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XCEL PROJECT\SAMICIOUS MICROFINANCE\"/>
    </mc:Choice>
  </mc:AlternateContent>
  <xr:revisionPtr revIDLastSave="0" documentId="13_ncr:1_{33C02E4F-DC81-4C64-ACE8-C923EFF05C2E}" xr6:coauthVersionLast="47" xr6:coauthVersionMax="47" xr10:uidLastSave="{00000000-0000-0000-0000-000000000000}"/>
  <bookViews>
    <workbookView xWindow="-120" yWindow="-120" windowWidth="29040" windowHeight="15720" tabRatio="500" firstSheet="6" activeTab="11" xr2:uid="{00000000-000D-0000-FFFF-FFFF00000000}"/>
  </bookViews>
  <sheets>
    <sheet name="🏠 DASHBOARD" sheetId="1" r:id="rId1"/>
    <sheet name="DEVELOPER" sheetId="2" r:id="rId2"/>
    <sheet name="ACKNOWLEDGEMENT" sheetId="3" r:id="rId3"/>
    <sheet name="🏦 MANAGER DASHBOARD" sheetId="4" r:id="rId4"/>
    <sheet name="NEW ACCOUNT" sheetId="5" r:id="rId5"/>
    <sheet name="DB_Customers" sheetId="6" r:id="rId6"/>
    <sheet name="DB_Savings" sheetId="7" r:id="rId7"/>
    <sheet name="DB_Withdrawals" sheetId="8" r:id="rId8"/>
    <sheet name="DB_Loans" sheetId="9" r:id="rId9"/>
    <sheet name="LOAN TOPUP" sheetId="10" r:id="rId10"/>
    <sheet name="Agent01_Savings" sheetId="11" r:id="rId11"/>
    <sheet name="Agent01_Withdrawals" sheetId="12" r:id="rId12"/>
    <sheet name="Agent01_Loans" sheetId="13" r:id="rId13"/>
    <sheet name="Agent02_Savings" sheetId="14" r:id="rId14"/>
    <sheet name="Agent02_Withdrawals" sheetId="15" r:id="rId15"/>
    <sheet name="Agent02_Loans" sheetId="16" r:id="rId16"/>
    <sheet name="Agent03_Savings" sheetId="17" r:id="rId17"/>
    <sheet name="Agent03_Withdrawals" sheetId="18" r:id="rId18"/>
    <sheet name="Agent03_Loans" sheetId="19" r:id="rId19"/>
    <sheet name="Agent04_Savings" sheetId="20" r:id="rId20"/>
    <sheet name="Agent04_Withdrawals" sheetId="21" r:id="rId21"/>
    <sheet name="Agent04_Loans" sheetId="22" r:id="rId22"/>
    <sheet name="Agent05_Savings" sheetId="23" r:id="rId23"/>
    <sheet name="Agent05_Withdrawals" sheetId="24" r:id="rId24"/>
    <sheet name="Agent05_Loans" sheetId="25" r:id="rId25"/>
    <sheet name="Agent06_Savings" sheetId="26" r:id="rId26"/>
    <sheet name="Agent06_Withdrawals" sheetId="27" r:id="rId27"/>
    <sheet name="Agent06_Loans" sheetId="28" r:id="rId28"/>
    <sheet name="Agent07_Savings" sheetId="29" r:id="rId29"/>
    <sheet name="Agent07_Withdrawals" sheetId="30" r:id="rId30"/>
    <sheet name="Agent07_Loans" sheetId="31" r:id="rId31"/>
    <sheet name="Agent08_Savings" sheetId="32" r:id="rId32"/>
    <sheet name="Agent08_Withdrawals" sheetId="33" r:id="rId33"/>
    <sheet name="Agent08_Loans" sheetId="34" r:id="rId34"/>
    <sheet name="Agent09_Savings" sheetId="35" r:id="rId35"/>
    <sheet name="Agent09_Withdrawals" sheetId="36" r:id="rId36"/>
    <sheet name="Agent09_Loans" sheetId="37" r:id="rId37"/>
    <sheet name="Agent10_Savings" sheetId="38" r:id="rId38"/>
    <sheet name="Agent10_Withdrawals" sheetId="39" r:id="rId39"/>
    <sheet name="Agent10_Loans" sheetId="40" r:id="rId40"/>
    <sheet name="REPORTS" sheetId="41" r:id="rId41"/>
    <sheet name="System_Config" sheetId="42" r:id="rId42"/>
    <sheet name="DB_Agents" sheetId="43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41" l="1"/>
  <c r="A2" i="41"/>
  <c r="K215" i="40"/>
  <c r="I215" i="40"/>
  <c r="D215" i="40"/>
  <c r="C215" i="40"/>
  <c r="A215" i="40"/>
  <c r="K214" i="40"/>
  <c r="J214" i="40"/>
  <c r="I214" i="40"/>
  <c r="D214" i="40"/>
  <c r="C214" i="40"/>
  <c r="A214" i="40"/>
  <c r="K213" i="40"/>
  <c r="J213" i="40"/>
  <c r="I213" i="40"/>
  <c r="J215" i="40" s="1"/>
  <c r="D213" i="40"/>
  <c r="C213" i="40"/>
  <c r="A213" i="40"/>
  <c r="K212" i="40"/>
  <c r="I212" i="40"/>
  <c r="D212" i="40"/>
  <c r="C212" i="40"/>
  <c r="A212" i="40"/>
  <c r="K211" i="40"/>
  <c r="I211" i="40"/>
  <c r="D211" i="40"/>
  <c r="C211" i="40"/>
  <c r="A211" i="40"/>
  <c r="K210" i="40"/>
  <c r="J210" i="40"/>
  <c r="I210" i="40"/>
  <c r="J212" i="40" s="1"/>
  <c r="D210" i="40"/>
  <c r="C210" i="40"/>
  <c r="A210" i="40"/>
  <c r="K209" i="40"/>
  <c r="J209" i="40"/>
  <c r="I209" i="40"/>
  <c r="J211" i="40" s="1"/>
  <c r="D209" i="40"/>
  <c r="C209" i="40"/>
  <c r="A209" i="40"/>
  <c r="K208" i="40"/>
  <c r="I208" i="40"/>
  <c r="D208" i="40"/>
  <c r="C208" i="40"/>
  <c r="A208" i="40"/>
  <c r="K207" i="40"/>
  <c r="I207" i="40"/>
  <c r="D207" i="40"/>
  <c r="C207" i="40"/>
  <c r="A207" i="40"/>
  <c r="K206" i="40"/>
  <c r="J206" i="40"/>
  <c r="I206" i="40"/>
  <c r="J208" i="40" s="1"/>
  <c r="D206" i="40"/>
  <c r="C206" i="40"/>
  <c r="A206" i="40"/>
  <c r="K205" i="40"/>
  <c r="J205" i="40"/>
  <c r="I205" i="40"/>
  <c r="J207" i="40" s="1"/>
  <c r="D205" i="40"/>
  <c r="C205" i="40"/>
  <c r="A205" i="40"/>
  <c r="K204" i="40"/>
  <c r="I204" i="40"/>
  <c r="D204" i="40"/>
  <c r="C204" i="40"/>
  <c r="A204" i="40"/>
  <c r="K203" i="40"/>
  <c r="I203" i="40"/>
  <c r="D203" i="40"/>
  <c r="C203" i="40"/>
  <c r="A203" i="40"/>
  <c r="K202" i="40"/>
  <c r="J202" i="40"/>
  <c r="I202" i="40"/>
  <c r="J204" i="40" s="1"/>
  <c r="D202" i="40"/>
  <c r="C202" i="40"/>
  <c r="A202" i="40"/>
  <c r="K201" i="40"/>
  <c r="J201" i="40"/>
  <c r="I201" i="40"/>
  <c r="J203" i="40" s="1"/>
  <c r="D201" i="40"/>
  <c r="C201" i="40"/>
  <c r="A201" i="40"/>
  <c r="K200" i="40"/>
  <c r="I200" i="40"/>
  <c r="D200" i="40"/>
  <c r="C200" i="40"/>
  <c r="A200" i="40"/>
  <c r="K199" i="40"/>
  <c r="I199" i="40"/>
  <c r="D199" i="40"/>
  <c r="C199" i="40"/>
  <c r="A199" i="40"/>
  <c r="K198" i="40"/>
  <c r="J198" i="40"/>
  <c r="I198" i="40"/>
  <c r="J200" i="40" s="1"/>
  <c r="D198" i="40"/>
  <c r="C198" i="40"/>
  <c r="A198" i="40"/>
  <c r="K197" i="40"/>
  <c r="J197" i="40"/>
  <c r="I197" i="40"/>
  <c r="J199" i="40" s="1"/>
  <c r="D197" i="40"/>
  <c r="C197" i="40"/>
  <c r="A197" i="40"/>
  <c r="K196" i="40"/>
  <c r="I196" i="40"/>
  <c r="D196" i="40"/>
  <c r="C196" i="40"/>
  <c r="A196" i="40"/>
  <c r="K195" i="40"/>
  <c r="I195" i="40"/>
  <c r="D195" i="40"/>
  <c r="C195" i="40"/>
  <c r="A195" i="40"/>
  <c r="K194" i="40"/>
  <c r="J194" i="40"/>
  <c r="I194" i="40"/>
  <c r="J196" i="40" s="1"/>
  <c r="D194" i="40"/>
  <c r="C194" i="40"/>
  <c r="A194" i="40"/>
  <c r="K193" i="40"/>
  <c r="J193" i="40"/>
  <c r="I193" i="40"/>
  <c r="J195" i="40" s="1"/>
  <c r="D193" i="40"/>
  <c r="C193" i="40"/>
  <c r="A193" i="40"/>
  <c r="K192" i="40"/>
  <c r="I192" i="40"/>
  <c r="D192" i="40"/>
  <c r="C192" i="40"/>
  <c r="A192" i="40"/>
  <c r="K191" i="40"/>
  <c r="I191" i="40"/>
  <c r="D191" i="40"/>
  <c r="C191" i="40"/>
  <c r="A191" i="40"/>
  <c r="K190" i="40"/>
  <c r="J190" i="40"/>
  <c r="I190" i="40"/>
  <c r="J192" i="40" s="1"/>
  <c r="D190" i="40"/>
  <c r="C190" i="40"/>
  <c r="A190" i="40"/>
  <c r="K189" i="40"/>
  <c r="J189" i="40"/>
  <c r="I189" i="40"/>
  <c r="J191" i="40" s="1"/>
  <c r="D189" i="40"/>
  <c r="C189" i="40"/>
  <c r="A189" i="40"/>
  <c r="K188" i="40"/>
  <c r="I188" i="40"/>
  <c r="D188" i="40"/>
  <c r="C188" i="40"/>
  <c r="A188" i="40"/>
  <c r="K187" i="40"/>
  <c r="I187" i="40"/>
  <c r="D187" i="40"/>
  <c r="C187" i="40"/>
  <c r="A187" i="40"/>
  <c r="K186" i="40"/>
  <c r="J186" i="40"/>
  <c r="I186" i="40"/>
  <c r="J188" i="40" s="1"/>
  <c r="D186" i="40"/>
  <c r="C186" i="40"/>
  <c r="A186" i="40"/>
  <c r="K185" i="40"/>
  <c r="J185" i="40"/>
  <c r="I185" i="40"/>
  <c r="J187" i="40" s="1"/>
  <c r="D185" i="40"/>
  <c r="C185" i="40"/>
  <c r="A185" i="40"/>
  <c r="K184" i="40"/>
  <c r="I184" i="40"/>
  <c r="D184" i="40"/>
  <c r="C184" i="40"/>
  <c r="A184" i="40"/>
  <c r="K183" i="40"/>
  <c r="I183" i="40"/>
  <c r="D183" i="40"/>
  <c r="C183" i="40"/>
  <c r="A183" i="40"/>
  <c r="K182" i="40"/>
  <c r="J182" i="40"/>
  <c r="I182" i="40"/>
  <c r="J184" i="40" s="1"/>
  <c r="D182" i="40"/>
  <c r="C182" i="40"/>
  <c r="A182" i="40"/>
  <c r="K181" i="40"/>
  <c r="J181" i="40"/>
  <c r="I181" i="40"/>
  <c r="J183" i="40" s="1"/>
  <c r="D181" i="40"/>
  <c r="C181" i="40"/>
  <c r="A181" i="40"/>
  <c r="K180" i="40"/>
  <c r="I180" i="40"/>
  <c r="D180" i="40"/>
  <c r="C180" i="40"/>
  <c r="A180" i="40"/>
  <c r="K179" i="40"/>
  <c r="I179" i="40"/>
  <c r="D179" i="40"/>
  <c r="C179" i="40"/>
  <c r="A179" i="40"/>
  <c r="K178" i="40"/>
  <c r="J178" i="40"/>
  <c r="I178" i="40"/>
  <c r="J180" i="40" s="1"/>
  <c r="D178" i="40"/>
  <c r="C178" i="40"/>
  <c r="A178" i="40"/>
  <c r="K177" i="40"/>
  <c r="J177" i="40"/>
  <c r="I177" i="40"/>
  <c r="J179" i="40" s="1"/>
  <c r="D177" i="40"/>
  <c r="C177" i="40"/>
  <c r="A177" i="40"/>
  <c r="K176" i="40"/>
  <c r="I176" i="40"/>
  <c r="D176" i="40"/>
  <c r="C176" i="40"/>
  <c r="A176" i="40"/>
  <c r="K175" i="40"/>
  <c r="I175" i="40"/>
  <c r="D175" i="40"/>
  <c r="C175" i="40"/>
  <c r="A175" i="40"/>
  <c r="K174" i="40"/>
  <c r="J174" i="40"/>
  <c r="I174" i="40"/>
  <c r="J176" i="40" s="1"/>
  <c r="D174" i="40"/>
  <c r="C174" i="40"/>
  <c r="A174" i="40"/>
  <c r="K173" i="40"/>
  <c r="J173" i="40"/>
  <c r="I173" i="40"/>
  <c r="J175" i="40" s="1"/>
  <c r="D173" i="40"/>
  <c r="C173" i="40"/>
  <c r="A173" i="40"/>
  <c r="K172" i="40"/>
  <c r="I172" i="40"/>
  <c r="D172" i="40"/>
  <c r="C172" i="40"/>
  <c r="A172" i="40"/>
  <c r="K171" i="40"/>
  <c r="I171" i="40"/>
  <c r="D171" i="40"/>
  <c r="C171" i="40"/>
  <c r="A171" i="40"/>
  <c r="K170" i="40"/>
  <c r="J170" i="40"/>
  <c r="I170" i="40"/>
  <c r="J172" i="40" s="1"/>
  <c r="D170" i="40"/>
  <c r="C170" i="40"/>
  <c r="A170" i="40"/>
  <c r="K169" i="40"/>
  <c r="J169" i="40"/>
  <c r="I169" i="40"/>
  <c r="J171" i="40" s="1"/>
  <c r="D169" i="40"/>
  <c r="C169" i="40"/>
  <c r="A169" i="40"/>
  <c r="K168" i="40"/>
  <c r="I168" i="40"/>
  <c r="D168" i="40"/>
  <c r="C168" i="40"/>
  <c r="A168" i="40"/>
  <c r="K167" i="40"/>
  <c r="I167" i="40"/>
  <c r="D167" i="40"/>
  <c r="C167" i="40"/>
  <c r="A167" i="40"/>
  <c r="K166" i="40"/>
  <c r="J166" i="40"/>
  <c r="I166" i="40"/>
  <c r="J168" i="40" s="1"/>
  <c r="D166" i="40"/>
  <c r="C166" i="40"/>
  <c r="A166" i="40"/>
  <c r="K165" i="40"/>
  <c r="J165" i="40"/>
  <c r="I165" i="40"/>
  <c r="J167" i="40" s="1"/>
  <c r="D165" i="40"/>
  <c r="C165" i="40"/>
  <c r="A165" i="40"/>
  <c r="K164" i="40"/>
  <c r="I164" i="40"/>
  <c r="D164" i="40"/>
  <c r="C164" i="40"/>
  <c r="A164" i="40"/>
  <c r="K163" i="40"/>
  <c r="I163" i="40"/>
  <c r="D163" i="40"/>
  <c r="C163" i="40"/>
  <c r="A163" i="40"/>
  <c r="K162" i="40"/>
  <c r="J162" i="40"/>
  <c r="I162" i="40"/>
  <c r="J164" i="40" s="1"/>
  <c r="D162" i="40"/>
  <c r="C162" i="40"/>
  <c r="A162" i="40"/>
  <c r="K161" i="40"/>
  <c r="J161" i="40"/>
  <c r="I161" i="40"/>
  <c r="J163" i="40" s="1"/>
  <c r="D161" i="40"/>
  <c r="C161" i="40"/>
  <c r="A161" i="40"/>
  <c r="K160" i="40"/>
  <c r="I160" i="40"/>
  <c r="D160" i="40"/>
  <c r="C160" i="40"/>
  <c r="A160" i="40"/>
  <c r="K159" i="40"/>
  <c r="I159" i="40"/>
  <c r="D159" i="40"/>
  <c r="C159" i="40"/>
  <c r="A159" i="40"/>
  <c r="K158" i="40"/>
  <c r="J158" i="40"/>
  <c r="I158" i="40"/>
  <c r="J160" i="40" s="1"/>
  <c r="D158" i="40"/>
  <c r="C158" i="40"/>
  <c r="A158" i="40"/>
  <c r="K157" i="40"/>
  <c r="J157" i="40"/>
  <c r="I157" i="40"/>
  <c r="J159" i="40" s="1"/>
  <c r="D157" i="40"/>
  <c r="C157" i="40"/>
  <c r="A157" i="40"/>
  <c r="K156" i="40"/>
  <c r="I156" i="40"/>
  <c r="D156" i="40"/>
  <c r="C156" i="40"/>
  <c r="A156" i="40"/>
  <c r="K155" i="40"/>
  <c r="I155" i="40"/>
  <c r="D155" i="40"/>
  <c r="C155" i="40"/>
  <c r="A155" i="40"/>
  <c r="K154" i="40"/>
  <c r="J154" i="40"/>
  <c r="I154" i="40"/>
  <c r="J156" i="40" s="1"/>
  <c r="D154" i="40"/>
  <c r="C154" i="40"/>
  <c r="A154" i="40"/>
  <c r="K153" i="40"/>
  <c r="J153" i="40"/>
  <c r="I153" i="40"/>
  <c r="J155" i="40" s="1"/>
  <c r="D153" i="40"/>
  <c r="C153" i="40"/>
  <c r="A153" i="40"/>
  <c r="K152" i="40"/>
  <c r="I152" i="40"/>
  <c r="D152" i="40"/>
  <c r="C152" i="40"/>
  <c r="A152" i="40"/>
  <c r="K151" i="40"/>
  <c r="I151" i="40"/>
  <c r="D151" i="40"/>
  <c r="C151" i="40"/>
  <c r="A151" i="40"/>
  <c r="K150" i="40"/>
  <c r="J150" i="40"/>
  <c r="I150" i="40"/>
  <c r="J152" i="40" s="1"/>
  <c r="D150" i="40"/>
  <c r="C150" i="40"/>
  <c r="A150" i="40"/>
  <c r="K149" i="40"/>
  <c r="J149" i="40"/>
  <c r="I149" i="40"/>
  <c r="J151" i="40" s="1"/>
  <c r="D149" i="40"/>
  <c r="C149" i="40"/>
  <c r="A149" i="40"/>
  <c r="K148" i="40"/>
  <c r="I148" i="40"/>
  <c r="D148" i="40"/>
  <c r="C148" i="40"/>
  <c r="A148" i="40"/>
  <c r="K147" i="40"/>
  <c r="I147" i="40"/>
  <c r="D147" i="40"/>
  <c r="C147" i="40"/>
  <c r="A147" i="40"/>
  <c r="K146" i="40"/>
  <c r="J146" i="40"/>
  <c r="I146" i="40"/>
  <c r="J148" i="40" s="1"/>
  <c r="D146" i="40"/>
  <c r="C146" i="40"/>
  <c r="A146" i="40"/>
  <c r="K145" i="40"/>
  <c r="J145" i="40"/>
  <c r="I145" i="40"/>
  <c r="J147" i="40" s="1"/>
  <c r="D145" i="40"/>
  <c r="C145" i="40"/>
  <c r="A145" i="40"/>
  <c r="K144" i="40"/>
  <c r="I144" i="40"/>
  <c r="D144" i="40"/>
  <c r="C144" i="40"/>
  <c r="A144" i="40"/>
  <c r="K143" i="40"/>
  <c r="I143" i="40"/>
  <c r="D143" i="40"/>
  <c r="C143" i="40"/>
  <c r="A143" i="40"/>
  <c r="K142" i="40"/>
  <c r="J142" i="40"/>
  <c r="I142" i="40"/>
  <c r="J144" i="40" s="1"/>
  <c r="D142" i="40"/>
  <c r="C142" i="40"/>
  <c r="A142" i="40"/>
  <c r="K141" i="40"/>
  <c r="J141" i="40"/>
  <c r="I141" i="40"/>
  <c r="J143" i="40" s="1"/>
  <c r="D141" i="40"/>
  <c r="C141" i="40"/>
  <c r="A141" i="40"/>
  <c r="K140" i="40"/>
  <c r="I140" i="40"/>
  <c r="D140" i="40"/>
  <c r="C140" i="40"/>
  <c r="A140" i="40"/>
  <c r="K139" i="40"/>
  <c r="I139" i="40"/>
  <c r="D139" i="40"/>
  <c r="C139" i="40"/>
  <c r="A139" i="40"/>
  <c r="K138" i="40"/>
  <c r="J138" i="40"/>
  <c r="I138" i="40"/>
  <c r="J140" i="40" s="1"/>
  <c r="D138" i="40"/>
  <c r="C138" i="40"/>
  <c r="A138" i="40"/>
  <c r="K137" i="40"/>
  <c r="J137" i="40"/>
  <c r="I137" i="40"/>
  <c r="J139" i="40" s="1"/>
  <c r="D137" i="40"/>
  <c r="C137" i="40"/>
  <c r="A137" i="40"/>
  <c r="K136" i="40"/>
  <c r="I136" i="40"/>
  <c r="D136" i="40"/>
  <c r="C136" i="40"/>
  <c r="A136" i="40"/>
  <c r="K135" i="40"/>
  <c r="I135" i="40"/>
  <c r="D135" i="40"/>
  <c r="C135" i="40"/>
  <c r="A135" i="40"/>
  <c r="K134" i="40"/>
  <c r="J134" i="40"/>
  <c r="I134" i="40"/>
  <c r="J136" i="40" s="1"/>
  <c r="D134" i="40"/>
  <c r="C134" i="40"/>
  <c r="A134" i="40"/>
  <c r="K133" i="40"/>
  <c r="J133" i="40"/>
  <c r="I133" i="40"/>
  <c r="J135" i="40" s="1"/>
  <c r="D133" i="40"/>
  <c r="C133" i="40"/>
  <c r="A133" i="40"/>
  <c r="K132" i="40"/>
  <c r="I132" i="40"/>
  <c r="D132" i="40"/>
  <c r="C132" i="40"/>
  <c r="A132" i="40"/>
  <c r="K131" i="40"/>
  <c r="I131" i="40"/>
  <c r="D131" i="40"/>
  <c r="C131" i="40"/>
  <c r="A131" i="40"/>
  <c r="K130" i="40"/>
  <c r="J130" i="40"/>
  <c r="I130" i="40"/>
  <c r="J132" i="40" s="1"/>
  <c r="D130" i="40"/>
  <c r="C130" i="40"/>
  <c r="A130" i="40"/>
  <c r="K129" i="40"/>
  <c r="J129" i="40"/>
  <c r="I129" i="40"/>
  <c r="J131" i="40" s="1"/>
  <c r="D129" i="40"/>
  <c r="C129" i="40"/>
  <c r="A129" i="40"/>
  <c r="K128" i="40"/>
  <c r="I128" i="40"/>
  <c r="D128" i="40"/>
  <c r="C128" i="40"/>
  <c r="A128" i="40"/>
  <c r="K127" i="40"/>
  <c r="I127" i="40"/>
  <c r="D127" i="40"/>
  <c r="C127" i="40"/>
  <c r="A127" i="40"/>
  <c r="K126" i="40"/>
  <c r="J126" i="40"/>
  <c r="I126" i="40"/>
  <c r="J128" i="40" s="1"/>
  <c r="D126" i="40"/>
  <c r="C126" i="40"/>
  <c r="A126" i="40"/>
  <c r="K125" i="40"/>
  <c r="J125" i="40"/>
  <c r="I125" i="40"/>
  <c r="J127" i="40" s="1"/>
  <c r="D125" i="40"/>
  <c r="C125" i="40"/>
  <c r="A125" i="40"/>
  <c r="K124" i="40"/>
  <c r="I124" i="40"/>
  <c r="D124" i="40"/>
  <c r="C124" i="40"/>
  <c r="A124" i="40"/>
  <c r="K123" i="40"/>
  <c r="I123" i="40"/>
  <c r="D123" i="40"/>
  <c r="C123" i="40"/>
  <c r="A123" i="40"/>
  <c r="K122" i="40"/>
  <c r="J122" i="40"/>
  <c r="I122" i="40"/>
  <c r="J124" i="40" s="1"/>
  <c r="D122" i="40"/>
  <c r="C122" i="40"/>
  <c r="A122" i="40"/>
  <c r="K121" i="40"/>
  <c r="J121" i="40"/>
  <c r="I121" i="40"/>
  <c r="J123" i="40" s="1"/>
  <c r="D121" i="40"/>
  <c r="C121" i="40"/>
  <c r="A121" i="40"/>
  <c r="K120" i="40"/>
  <c r="I120" i="40"/>
  <c r="D120" i="40"/>
  <c r="C120" i="40"/>
  <c r="A120" i="40"/>
  <c r="K119" i="40"/>
  <c r="I119" i="40"/>
  <c r="D119" i="40"/>
  <c r="C119" i="40"/>
  <c r="A119" i="40"/>
  <c r="K118" i="40"/>
  <c r="J118" i="40"/>
  <c r="I118" i="40"/>
  <c r="J120" i="40" s="1"/>
  <c r="D118" i="40"/>
  <c r="C118" i="40"/>
  <c r="A118" i="40"/>
  <c r="K117" i="40"/>
  <c r="J117" i="40"/>
  <c r="I117" i="40"/>
  <c r="J119" i="40" s="1"/>
  <c r="D117" i="40"/>
  <c r="C117" i="40"/>
  <c r="A117" i="40"/>
  <c r="K116" i="40"/>
  <c r="I116" i="40"/>
  <c r="D116" i="40"/>
  <c r="C116" i="40"/>
  <c r="A116" i="40"/>
  <c r="K115" i="40"/>
  <c r="I115" i="40"/>
  <c r="D115" i="40"/>
  <c r="C115" i="40"/>
  <c r="A115" i="40"/>
  <c r="K114" i="40"/>
  <c r="J114" i="40"/>
  <c r="I114" i="40"/>
  <c r="J116" i="40" s="1"/>
  <c r="D114" i="40"/>
  <c r="C114" i="40"/>
  <c r="A114" i="40"/>
  <c r="K113" i="40"/>
  <c r="J113" i="40"/>
  <c r="I113" i="40"/>
  <c r="J115" i="40" s="1"/>
  <c r="D113" i="40"/>
  <c r="C113" i="40"/>
  <c r="A113" i="40"/>
  <c r="K112" i="40"/>
  <c r="I112" i="40"/>
  <c r="D112" i="40"/>
  <c r="C112" i="40"/>
  <c r="A112" i="40"/>
  <c r="K111" i="40"/>
  <c r="I111" i="40"/>
  <c r="D111" i="40"/>
  <c r="C111" i="40"/>
  <c r="A111" i="40"/>
  <c r="K110" i="40"/>
  <c r="J110" i="40"/>
  <c r="I110" i="40"/>
  <c r="J112" i="40" s="1"/>
  <c r="D110" i="40"/>
  <c r="C110" i="40"/>
  <c r="A110" i="40"/>
  <c r="K109" i="40"/>
  <c r="J109" i="40"/>
  <c r="I109" i="40"/>
  <c r="J111" i="40" s="1"/>
  <c r="D109" i="40"/>
  <c r="C109" i="40"/>
  <c r="A109" i="40"/>
  <c r="K108" i="40"/>
  <c r="I108" i="40"/>
  <c r="D108" i="40"/>
  <c r="C108" i="40"/>
  <c r="A108" i="40"/>
  <c r="K107" i="40"/>
  <c r="I107" i="40"/>
  <c r="D107" i="40"/>
  <c r="C107" i="40"/>
  <c r="A107" i="40"/>
  <c r="K106" i="40"/>
  <c r="J106" i="40"/>
  <c r="I106" i="40"/>
  <c r="J108" i="40" s="1"/>
  <c r="D106" i="40"/>
  <c r="C106" i="40"/>
  <c r="A106" i="40"/>
  <c r="K105" i="40"/>
  <c r="J105" i="40"/>
  <c r="I105" i="40"/>
  <c r="J107" i="40" s="1"/>
  <c r="D105" i="40"/>
  <c r="C105" i="40"/>
  <c r="A105" i="40"/>
  <c r="K104" i="40"/>
  <c r="I104" i="40"/>
  <c r="D104" i="40"/>
  <c r="C104" i="40"/>
  <c r="A104" i="40"/>
  <c r="K103" i="40"/>
  <c r="I103" i="40"/>
  <c r="D103" i="40"/>
  <c r="C103" i="40"/>
  <c r="A103" i="40"/>
  <c r="K102" i="40"/>
  <c r="J102" i="40"/>
  <c r="I102" i="40"/>
  <c r="J104" i="40" s="1"/>
  <c r="D102" i="40"/>
  <c r="C102" i="40"/>
  <c r="A102" i="40"/>
  <c r="K101" i="40"/>
  <c r="J101" i="40"/>
  <c r="I101" i="40"/>
  <c r="J103" i="40" s="1"/>
  <c r="D101" i="40"/>
  <c r="C101" i="40"/>
  <c r="A101" i="40"/>
  <c r="K100" i="40"/>
  <c r="I100" i="40"/>
  <c r="D100" i="40"/>
  <c r="C100" i="40"/>
  <c r="A100" i="40"/>
  <c r="K99" i="40"/>
  <c r="I99" i="40"/>
  <c r="D99" i="40"/>
  <c r="C99" i="40"/>
  <c r="A99" i="40"/>
  <c r="K98" i="40"/>
  <c r="J98" i="40"/>
  <c r="I98" i="40"/>
  <c r="J100" i="40" s="1"/>
  <c r="D98" i="40"/>
  <c r="C98" i="40"/>
  <c r="A98" i="40"/>
  <c r="K97" i="40"/>
  <c r="J97" i="40"/>
  <c r="I97" i="40"/>
  <c r="J99" i="40" s="1"/>
  <c r="D97" i="40"/>
  <c r="C97" i="40"/>
  <c r="A97" i="40"/>
  <c r="K96" i="40"/>
  <c r="I96" i="40"/>
  <c r="D96" i="40"/>
  <c r="C96" i="40"/>
  <c r="A96" i="40"/>
  <c r="K95" i="40"/>
  <c r="I95" i="40"/>
  <c r="D95" i="40"/>
  <c r="C95" i="40"/>
  <c r="A95" i="40"/>
  <c r="K94" i="40"/>
  <c r="J94" i="40"/>
  <c r="I94" i="40"/>
  <c r="J96" i="40" s="1"/>
  <c r="D94" i="40"/>
  <c r="C94" i="40"/>
  <c r="A94" i="40"/>
  <c r="K93" i="40"/>
  <c r="J93" i="40"/>
  <c r="I93" i="40"/>
  <c r="J95" i="40" s="1"/>
  <c r="D93" i="40"/>
  <c r="C93" i="40"/>
  <c r="A93" i="40"/>
  <c r="K92" i="40"/>
  <c r="I92" i="40"/>
  <c r="D92" i="40"/>
  <c r="C92" i="40"/>
  <c r="A92" i="40"/>
  <c r="K91" i="40"/>
  <c r="I91" i="40"/>
  <c r="D91" i="40"/>
  <c r="C91" i="40"/>
  <c r="A91" i="40"/>
  <c r="K90" i="40"/>
  <c r="J90" i="40"/>
  <c r="I90" i="40"/>
  <c r="J92" i="40" s="1"/>
  <c r="D90" i="40"/>
  <c r="C90" i="40"/>
  <c r="A90" i="40"/>
  <c r="K89" i="40"/>
  <c r="J89" i="40"/>
  <c r="I89" i="40"/>
  <c r="J91" i="40" s="1"/>
  <c r="D89" i="40"/>
  <c r="C89" i="40"/>
  <c r="A89" i="40"/>
  <c r="K88" i="40"/>
  <c r="I88" i="40"/>
  <c r="D88" i="40"/>
  <c r="C88" i="40"/>
  <c r="A88" i="40"/>
  <c r="K87" i="40"/>
  <c r="I87" i="40"/>
  <c r="D87" i="40"/>
  <c r="C87" i="40"/>
  <c r="A87" i="40"/>
  <c r="K86" i="40"/>
  <c r="J86" i="40"/>
  <c r="I86" i="40"/>
  <c r="J88" i="40" s="1"/>
  <c r="D86" i="40"/>
  <c r="C86" i="40"/>
  <c r="A86" i="40"/>
  <c r="K85" i="40"/>
  <c r="J85" i="40"/>
  <c r="I85" i="40"/>
  <c r="J87" i="40" s="1"/>
  <c r="D85" i="40"/>
  <c r="C85" i="40"/>
  <c r="A85" i="40"/>
  <c r="K84" i="40"/>
  <c r="I84" i="40"/>
  <c r="D84" i="40"/>
  <c r="C84" i="40"/>
  <c r="A84" i="40"/>
  <c r="K83" i="40"/>
  <c r="I83" i="40"/>
  <c r="D83" i="40"/>
  <c r="C83" i="40"/>
  <c r="A83" i="40"/>
  <c r="K82" i="40"/>
  <c r="J82" i="40"/>
  <c r="I82" i="40"/>
  <c r="J84" i="40" s="1"/>
  <c r="D82" i="40"/>
  <c r="C82" i="40"/>
  <c r="A82" i="40"/>
  <c r="K81" i="40"/>
  <c r="J81" i="40"/>
  <c r="I81" i="40"/>
  <c r="J83" i="40" s="1"/>
  <c r="D81" i="40"/>
  <c r="C81" i="40"/>
  <c r="A81" i="40"/>
  <c r="K80" i="40"/>
  <c r="I80" i="40"/>
  <c r="D80" i="40"/>
  <c r="C80" i="40"/>
  <c r="A80" i="40"/>
  <c r="K79" i="40"/>
  <c r="I79" i="40"/>
  <c r="D79" i="40"/>
  <c r="C79" i="40"/>
  <c r="A79" i="40"/>
  <c r="K78" i="40"/>
  <c r="J78" i="40"/>
  <c r="I78" i="40"/>
  <c r="J80" i="40" s="1"/>
  <c r="D78" i="40"/>
  <c r="C78" i="40"/>
  <c r="A78" i="40"/>
  <c r="K77" i="40"/>
  <c r="J77" i="40"/>
  <c r="I77" i="40"/>
  <c r="J79" i="40" s="1"/>
  <c r="D77" i="40"/>
  <c r="C77" i="40"/>
  <c r="A77" i="40"/>
  <c r="K76" i="40"/>
  <c r="I76" i="40"/>
  <c r="D76" i="40"/>
  <c r="C76" i="40"/>
  <c r="A76" i="40"/>
  <c r="K75" i="40"/>
  <c r="I75" i="40"/>
  <c r="D75" i="40"/>
  <c r="C75" i="40"/>
  <c r="A75" i="40"/>
  <c r="K74" i="40"/>
  <c r="J74" i="40"/>
  <c r="I74" i="40"/>
  <c r="J76" i="40" s="1"/>
  <c r="D74" i="40"/>
  <c r="C74" i="40"/>
  <c r="A74" i="40"/>
  <c r="K73" i="40"/>
  <c r="J73" i="40"/>
  <c r="I73" i="40"/>
  <c r="J75" i="40" s="1"/>
  <c r="D73" i="40"/>
  <c r="C73" i="40"/>
  <c r="A73" i="40"/>
  <c r="K72" i="40"/>
  <c r="I72" i="40"/>
  <c r="D72" i="40"/>
  <c r="C72" i="40"/>
  <c r="A72" i="40"/>
  <c r="K71" i="40"/>
  <c r="I71" i="40"/>
  <c r="D71" i="40"/>
  <c r="C71" i="40"/>
  <c r="A71" i="40"/>
  <c r="K70" i="40"/>
  <c r="J70" i="40"/>
  <c r="I70" i="40"/>
  <c r="J72" i="40" s="1"/>
  <c r="D70" i="40"/>
  <c r="C70" i="40"/>
  <c r="A70" i="40"/>
  <c r="K69" i="40"/>
  <c r="J69" i="40"/>
  <c r="I69" i="40"/>
  <c r="J71" i="40" s="1"/>
  <c r="D69" i="40"/>
  <c r="C69" i="40"/>
  <c r="A69" i="40"/>
  <c r="K68" i="40"/>
  <c r="I68" i="40"/>
  <c r="D68" i="40"/>
  <c r="C68" i="40"/>
  <c r="A68" i="40"/>
  <c r="K67" i="40"/>
  <c r="I67" i="40"/>
  <c r="D67" i="40"/>
  <c r="C67" i="40"/>
  <c r="A67" i="40"/>
  <c r="K66" i="40"/>
  <c r="J66" i="40"/>
  <c r="I66" i="40"/>
  <c r="J68" i="40" s="1"/>
  <c r="D66" i="40"/>
  <c r="C66" i="40"/>
  <c r="A66" i="40"/>
  <c r="K65" i="40"/>
  <c r="J65" i="40"/>
  <c r="I65" i="40"/>
  <c r="J67" i="40" s="1"/>
  <c r="D65" i="40"/>
  <c r="C65" i="40"/>
  <c r="A65" i="40"/>
  <c r="K64" i="40"/>
  <c r="I64" i="40"/>
  <c r="D64" i="40"/>
  <c r="C64" i="40"/>
  <c r="A64" i="40"/>
  <c r="K63" i="40"/>
  <c r="I63" i="40"/>
  <c r="D63" i="40"/>
  <c r="C63" i="40"/>
  <c r="A63" i="40"/>
  <c r="K62" i="40"/>
  <c r="J62" i="40"/>
  <c r="I62" i="40"/>
  <c r="J64" i="40" s="1"/>
  <c r="D62" i="40"/>
  <c r="C62" i="40"/>
  <c r="A62" i="40"/>
  <c r="K61" i="40"/>
  <c r="J61" i="40"/>
  <c r="I61" i="40"/>
  <c r="J63" i="40" s="1"/>
  <c r="D61" i="40"/>
  <c r="C61" i="40"/>
  <c r="A61" i="40"/>
  <c r="K60" i="40"/>
  <c r="I60" i="40"/>
  <c r="D60" i="40"/>
  <c r="C60" i="40"/>
  <c r="A60" i="40"/>
  <c r="K59" i="40"/>
  <c r="I59" i="40"/>
  <c r="D59" i="40"/>
  <c r="C59" i="40"/>
  <c r="A59" i="40"/>
  <c r="K58" i="40"/>
  <c r="J58" i="40"/>
  <c r="I58" i="40"/>
  <c r="J60" i="40" s="1"/>
  <c r="D58" i="40"/>
  <c r="C58" i="40"/>
  <c r="A58" i="40"/>
  <c r="K57" i="40"/>
  <c r="J57" i="40"/>
  <c r="I57" i="40"/>
  <c r="J59" i="40" s="1"/>
  <c r="D57" i="40"/>
  <c r="C57" i="40"/>
  <c r="A57" i="40"/>
  <c r="K56" i="40"/>
  <c r="I56" i="40"/>
  <c r="D56" i="40"/>
  <c r="C56" i="40"/>
  <c r="A56" i="40"/>
  <c r="K55" i="40"/>
  <c r="I55" i="40"/>
  <c r="D55" i="40"/>
  <c r="C55" i="40"/>
  <c r="A55" i="40"/>
  <c r="K54" i="40"/>
  <c r="J54" i="40"/>
  <c r="I54" i="40"/>
  <c r="J56" i="40" s="1"/>
  <c r="D54" i="40"/>
  <c r="C54" i="40"/>
  <c r="A54" i="40"/>
  <c r="K53" i="40"/>
  <c r="J53" i="40"/>
  <c r="I53" i="40"/>
  <c r="J55" i="40" s="1"/>
  <c r="D53" i="40"/>
  <c r="C53" i="40"/>
  <c r="A53" i="40"/>
  <c r="K52" i="40"/>
  <c r="I52" i="40"/>
  <c r="D52" i="40"/>
  <c r="C52" i="40"/>
  <c r="A52" i="40"/>
  <c r="K51" i="40"/>
  <c r="I51" i="40"/>
  <c r="D51" i="40"/>
  <c r="C51" i="40"/>
  <c r="A51" i="40"/>
  <c r="K50" i="40"/>
  <c r="J50" i="40"/>
  <c r="I50" i="40"/>
  <c r="J52" i="40" s="1"/>
  <c r="D50" i="40"/>
  <c r="C50" i="40"/>
  <c r="A50" i="40"/>
  <c r="K49" i="40"/>
  <c r="J49" i="40"/>
  <c r="I49" i="40"/>
  <c r="J51" i="40" s="1"/>
  <c r="D49" i="40"/>
  <c r="C49" i="40"/>
  <c r="A49" i="40"/>
  <c r="K48" i="40"/>
  <c r="I48" i="40"/>
  <c r="D48" i="40"/>
  <c r="C48" i="40"/>
  <c r="A48" i="40"/>
  <c r="K47" i="40"/>
  <c r="I47" i="40"/>
  <c r="D47" i="40"/>
  <c r="C47" i="40"/>
  <c r="A47" i="40"/>
  <c r="K46" i="40"/>
  <c r="J46" i="40"/>
  <c r="I46" i="40"/>
  <c r="J48" i="40" s="1"/>
  <c r="D46" i="40"/>
  <c r="C46" i="40"/>
  <c r="A46" i="40"/>
  <c r="K45" i="40"/>
  <c r="J45" i="40"/>
  <c r="I45" i="40"/>
  <c r="J47" i="40" s="1"/>
  <c r="D45" i="40"/>
  <c r="C45" i="40"/>
  <c r="A45" i="40"/>
  <c r="K44" i="40"/>
  <c r="I44" i="40"/>
  <c r="D44" i="40"/>
  <c r="C44" i="40"/>
  <c r="A44" i="40"/>
  <c r="K43" i="40"/>
  <c r="I43" i="40"/>
  <c r="D43" i="40"/>
  <c r="C43" i="40"/>
  <c r="A43" i="40"/>
  <c r="K42" i="40"/>
  <c r="J42" i="40"/>
  <c r="I42" i="40"/>
  <c r="J44" i="40" s="1"/>
  <c r="D42" i="40"/>
  <c r="C42" i="40"/>
  <c r="A42" i="40"/>
  <c r="K41" i="40"/>
  <c r="J41" i="40"/>
  <c r="I41" i="40"/>
  <c r="J43" i="40" s="1"/>
  <c r="D41" i="40"/>
  <c r="C41" i="40"/>
  <c r="A41" i="40"/>
  <c r="K40" i="40"/>
  <c r="I40" i="40"/>
  <c r="D40" i="40"/>
  <c r="C40" i="40"/>
  <c r="A40" i="40"/>
  <c r="K39" i="40"/>
  <c r="I39" i="40"/>
  <c r="D39" i="40"/>
  <c r="C39" i="40"/>
  <c r="A39" i="40"/>
  <c r="K38" i="40"/>
  <c r="J38" i="40"/>
  <c r="I38" i="40"/>
  <c r="J40" i="40" s="1"/>
  <c r="D38" i="40"/>
  <c r="C38" i="40"/>
  <c r="A38" i="40"/>
  <c r="K37" i="40"/>
  <c r="J37" i="40"/>
  <c r="I37" i="40"/>
  <c r="J39" i="40" s="1"/>
  <c r="D37" i="40"/>
  <c r="C37" i="40"/>
  <c r="A37" i="40"/>
  <c r="K36" i="40"/>
  <c r="I36" i="40"/>
  <c r="D36" i="40"/>
  <c r="C36" i="40"/>
  <c r="A36" i="40"/>
  <c r="K35" i="40"/>
  <c r="I35" i="40"/>
  <c r="D35" i="40"/>
  <c r="C35" i="40"/>
  <c r="A35" i="40"/>
  <c r="K34" i="40"/>
  <c r="J34" i="40"/>
  <c r="I34" i="40"/>
  <c r="J36" i="40" s="1"/>
  <c r="D34" i="40"/>
  <c r="C34" i="40"/>
  <c r="A34" i="40"/>
  <c r="K33" i="40"/>
  <c r="J33" i="40"/>
  <c r="I33" i="40"/>
  <c r="J35" i="40" s="1"/>
  <c r="D33" i="40"/>
  <c r="C33" i="40"/>
  <c r="A33" i="40"/>
  <c r="K32" i="40"/>
  <c r="I32" i="40"/>
  <c r="D32" i="40"/>
  <c r="C32" i="40"/>
  <c r="A32" i="40"/>
  <c r="K31" i="40"/>
  <c r="I31" i="40"/>
  <c r="D31" i="40"/>
  <c r="C31" i="40"/>
  <c r="A31" i="40"/>
  <c r="K30" i="40"/>
  <c r="J30" i="40"/>
  <c r="I30" i="40"/>
  <c r="J32" i="40" s="1"/>
  <c r="D30" i="40"/>
  <c r="C30" i="40"/>
  <c r="A30" i="40"/>
  <c r="K29" i="40"/>
  <c r="J29" i="40"/>
  <c r="I29" i="40"/>
  <c r="J31" i="40" s="1"/>
  <c r="D29" i="40"/>
  <c r="C29" i="40"/>
  <c r="A29" i="40"/>
  <c r="K28" i="40"/>
  <c r="I28" i="40"/>
  <c r="D28" i="40"/>
  <c r="C28" i="40"/>
  <c r="A28" i="40"/>
  <c r="K27" i="40"/>
  <c r="I27" i="40"/>
  <c r="D27" i="40"/>
  <c r="C27" i="40"/>
  <c r="A27" i="40"/>
  <c r="K26" i="40"/>
  <c r="J26" i="40"/>
  <c r="I26" i="40"/>
  <c r="J28" i="40" s="1"/>
  <c r="D26" i="40"/>
  <c r="C26" i="40"/>
  <c r="A26" i="40"/>
  <c r="K25" i="40"/>
  <c r="J25" i="40"/>
  <c r="I25" i="40"/>
  <c r="J27" i="40" s="1"/>
  <c r="D25" i="40"/>
  <c r="C25" i="40"/>
  <c r="A25" i="40"/>
  <c r="K24" i="40"/>
  <c r="I24" i="40"/>
  <c r="D24" i="40"/>
  <c r="C24" i="40"/>
  <c r="A24" i="40"/>
  <c r="K23" i="40"/>
  <c r="I23" i="40"/>
  <c r="D23" i="40"/>
  <c r="C23" i="40"/>
  <c r="A23" i="40"/>
  <c r="K22" i="40"/>
  <c r="J22" i="40"/>
  <c r="I22" i="40"/>
  <c r="J24" i="40" s="1"/>
  <c r="D22" i="40"/>
  <c r="C22" i="40"/>
  <c r="A22" i="40"/>
  <c r="K21" i="40"/>
  <c r="J21" i="40"/>
  <c r="I21" i="40"/>
  <c r="J23" i="40" s="1"/>
  <c r="D21" i="40"/>
  <c r="C21" i="40"/>
  <c r="A21" i="40"/>
  <c r="K20" i="40"/>
  <c r="I20" i="40"/>
  <c r="D20" i="40"/>
  <c r="C20" i="40"/>
  <c r="A20" i="40"/>
  <c r="K19" i="40"/>
  <c r="I19" i="40"/>
  <c r="D19" i="40"/>
  <c r="C19" i="40"/>
  <c r="A19" i="40"/>
  <c r="K18" i="40"/>
  <c r="I18" i="40"/>
  <c r="J20" i="40" s="1"/>
  <c r="D18" i="40"/>
  <c r="C18" i="40"/>
  <c r="A18" i="40"/>
  <c r="K17" i="40"/>
  <c r="J17" i="40"/>
  <c r="I17" i="40"/>
  <c r="J19" i="40" s="1"/>
  <c r="D17" i="40"/>
  <c r="A17" i="40"/>
  <c r="K16" i="40"/>
  <c r="J16" i="40"/>
  <c r="I16" i="40"/>
  <c r="J18" i="40" s="1"/>
  <c r="D16" i="40"/>
  <c r="C16" i="40"/>
  <c r="A16" i="40"/>
  <c r="B11" i="40"/>
  <c r="B10" i="40"/>
  <c r="G4" i="40"/>
  <c r="J210" i="39"/>
  <c r="G210" i="39"/>
  <c r="D210" i="39"/>
  <c r="C210" i="39"/>
  <c r="B210" i="39"/>
  <c r="J209" i="39"/>
  <c r="G209" i="39"/>
  <c r="D209" i="39"/>
  <c r="C209" i="39"/>
  <c r="B209" i="39"/>
  <c r="J208" i="39"/>
  <c r="K210" i="39" s="1"/>
  <c r="G208" i="39"/>
  <c r="D208" i="39"/>
  <c r="C208" i="39"/>
  <c r="B208" i="39"/>
  <c r="J207" i="39"/>
  <c r="K209" i="39" s="1"/>
  <c r="G207" i="39"/>
  <c r="D207" i="39"/>
  <c r="C207" i="39"/>
  <c r="B207" i="39"/>
  <c r="J206" i="39"/>
  <c r="K208" i="39" s="1"/>
  <c r="G206" i="39"/>
  <c r="D206" i="39"/>
  <c r="C206" i="39"/>
  <c r="B206" i="39"/>
  <c r="J205" i="39"/>
  <c r="K207" i="39" s="1"/>
  <c r="G205" i="39"/>
  <c r="D205" i="39"/>
  <c r="C205" i="39"/>
  <c r="B205" i="39"/>
  <c r="J204" i="39"/>
  <c r="K206" i="39" s="1"/>
  <c r="G204" i="39"/>
  <c r="D204" i="39"/>
  <c r="C204" i="39"/>
  <c r="B204" i="39"/>
  <c r="J203" i="39"/>
  <c r="K205" i="39" s="1"/>
  <c r="G203" i="39"/>
  <c r="D203" i="39"/>
  <c r="C203" i="39"/>
  <c r="B203" i="39"/>
  <c r="J202" i="39"/>
  <c r="K204" i="39" s="1"/>
  <c r="G202" i="39"/>
  <c r="D202" i="39"/>
  <c r="C202" i="39"/>
  <c r="B202" i="39"/>
  <c r="J201" i="39"/>
  <c r="K203" i="39" s="1"/>
  <c r="G201" i="39"/>
  <c r="D201" i="39"/>
  <c r="C201" i="39"/>
  <c r="B201" i="39"/>
  <c r="J200" i="39"/>
  <c r="K202" i="39" s="1"/>
  <c r="G200" i="39"/>
  <c r="D200" i="39"/>
  <c r="C200" i="39"/>
  <c r="B200" i="39"/>
  <c r="J199" i="39"/>
  <c r="K201" i="39" s="1"/>
  <c r="G199" i="39"/>
  <c r="D199" i="39"/>
  <c r="C199" i="39"/>
  <c r="B199" i="39"/>
  <c r="J198" i="39"/>
  <c r="K200" i="39" s="1"/>
  <c r="G198" i="39"/>
  <c r="D198" i="39"/>
  <c r="C198" i="39"/>
  <c r="B198" i="39"/>
  <c r="J197" i="39"/>
  <c r="K199" i="39" s="1"/>
  <c r="G197" i="39"/>
  <c r="D197" i="39"/>
  <c r="C197" i="39"/>
  <c r="B197" i="39"/>
  <c r="J196" i="39"/>
  <c r="K198" i="39" s="1"/>
  <c r="G196" i="39"/>
  <c r="D196" i="39"/>
  <c r="C196" i="39"/>
  <c r="B196" i="39"/>
  <c r="J195" i="39"/>
  <c r="K197" i="39" s="1"/>
  <c r="G195" i="39"/>
  <c r="D195" i="39"/>
  <c r="C195" i="39"/>
  <c r="B195" i="39"/>
  <c r="J194" i="39"/>
  <c r="K196" i="39" s="1"/>
  <c r="G194" i="39"/>
  <c r="D194" i="39"/>
  <c r="C194" i="39"/>
  <c r="B194" i="39"/>
  <c r="J193" i="39"/>
  <c r="K195" i="39" s="1"/>
  <c r="G193" i="39"/>
  <c r="D193" i="39"/>
  <c r="C193" i="39"/>
  <c r="B193" i="39"/>
  <c r="J192" i="39"/>
  <c r="K194" i="39" s="1"/>
  <c r="G192" i="39"/>
  <c r="D192" i="39"/>
  <c r="C192" i="39"/>
  <c r="B192" i="39"/>
  <c r="J191" i="39"/>
  <c r="K193" i="39" s="1"/>
  <c r="G191" i="39"/>
  <c r="D191" i="39"/>
  <c r="C191" i="39"/>
  <c r="B191" i="39"/>
  <c r="J190" i="39"/>
  <c r="K192" i="39" s="1"/>
  <c r="G190" i="39"/>
  <c r="D190" i="39"/>
  <c r="C190" i="39"/>
  <c r="B190" i="39"/>
  <c r="J189" i="39"/>
  <c r="K191" i="39" s="1"/>
  <c r="G189" i="39"/>
  <c r="D189" i="39"/>
  <c r="C189" i="39"/>
  <c r="B189" i="39"/>
  <c r="J188" i="39"/>
  <c r="K190" i="39" s="1"/>
  <c r="G188" i="39"/>
  <c r="D188" i="39"/>
  <c r="C188" i="39"/>
  <c r="B188" i="39"/>
  <c r="J187" i="39"/>
  <c r="K189" i="39" s="1"/>
  <c r="G187" i="39"/>
  <c r="D187" i="39"/>
  <c r="C187" i="39"/>
  <c r="B187" i="39"/>
  <c r="J186" i="39"/>
  <c r="K188" i="39" s="1"/>
  <c r="G186" i="39"/>
  <c r="D186" i="39"/>
  <c r="C186" i="39"/>
  <c r="B186" i="39"/>
  <c r="J185" i="39"/>
  <c r="K187" i="39" s="1"/>
  <c r="G185" i="39"/>
  <c r="D185" i="39"/>
  <c r="C185" i="39"/>
  <c r="B185" i="39"/>
  <c r="J184" i="39"/>
  <c r="K186" i="39" s="1"/>
  <c r="G184" i="39"/>
  <c r="D184" i="39"/>
  <c r="C184" i="39"/>
  <c r="B184" i="39"/>
  <c r="J183" i="39"/>
  <c r="K185" i="39" s="1"/>
  <c r="G183" i="39"/>
  <c r="D183" i="39"/>
  <c r="C183" i="39"/>
  <c r="B183" i="39"/>
  <c r="J182" i="39"/>
  <c r="K184" i="39" s="1"/>
  <c r="G182" i="39"/>
  <c r="D182" i="39"/>
  <c r="C182" i="39"/>
  <c r="B182" i="39"/>
  <c r="J181" i="39"/>
  <c r="K183" i="39" s="1"/>
  <c r="G181" i="39"/>
  <c r="D181" i="39"/>
  <c r="C181" i="39"/>
  <c r="B181" i="39"/>
  <c r="J180" i="39"/>
  <c r="K182" i="39" s="1"/>
  <c r="G180" i="39"/>
  <c r="D180" i="39"/>
  <c r="C180" i="39"/>
  <c r="B180" i="39"/>
  <c r="J179" i="39"/>
  <c r="K181" i="39" s="1"/>
  <c r="G179" i="39"/>
  <c r="D179" i="39"/>
  <c r="C179" i="39"/>
  <c r="B179" i="39"/>
  <c r="J178" i="39"/>
  <c r="K180" i="39" s="1"/>
  <c r="G178" i="39"/>
  <c r="D178" i="39"/>
  <c r="C178" i="39"/>
  <c r="B178" i="39"/>
  <c r="J177" i="39"/>
  <c r="K179" i="39" s="1"/>
  <c r="G177" i="39"/>
  <c r="D177" i="39"/>
  <c r="C177" i="39"/>
  <c r="B177" i="39"/>
  <c r="J176" i="39"/>
  <c r="K178" i="39" s="1"/>
  <c r="G176" i="39"/>
  <c r="D176" i="39"/>
  <c r="C176" i="39"/>
  <c r="B176" i="39"/>
  <c r="J175" i="39"/>
  <c r="K177" i="39" s="1"/>
  <c r="G175" i="39"/>
  <c r="D175" i="39"/>
  <c r="C175" i="39"/>
  <c r="B175" i="39"/>
  <c r="J174" i="39"/>
  <c r="K176" i="39" s="1"/>
  <c r="G174" i="39"/>
  <c r="D174" i="39"/>
  <c r="C174" i="39"/>
  <c r="B174" i="39"/>
  <c r="J173" i="39"/>
  <c r="K175" i="39" s="1"/>
  <c r="G173" i="39"/>
  <c r="D173" i="39"/>
  <c r="C173" i="39"/>
  <c r="B173" i="39"/>
  <c r="J172" i="39"/>
  <c r="K174" i="39" s="1"/>
  <c r="G172" i="39"/>
  <c r="D172" i="39"/>
  <c r="C172" i="39"/>
  <c r="B172" i="39"/>
  <c r="J171" i="39"/>
  <c r="K173" i="39" s="1"/>
  <c r="G171" i="39"/>
  <c r="D171" i="39"/>
  <c r="C171" i="39"/>
  <c r="B171" i="39"/>
  <c r="J170" i="39"/>
  <c r="K172" i="39" s="1"/>
  <c r="G170" i="39"/>
  <c r="D170" i="39"/>
  <c r="C170" i="39"/>
  <c r="B170" i="39"/>
  <c r="J169" i="39"/>
  <c r="K171" i="39" s="1"/>
  <c r="G169" i="39"/>
  <c r="D169" i="39"/>
  <c r="C169" i="39"/>
  <c r="B169" i="39"/>
  <c r="J168" i="39"/>
  <c r="K170" i="39" s="1"/>
  <c r="G168" i="39"/>
  <c r="D168" i="39"/>
  <c r="C168" i="39"/>
  <c r="B168" i="39"/>
  <c r="J167" i="39"/>
  <c r="K169" i="39" s="1"/>
  <c r="G167" i="39"/>
  <c r="D167" i="39"/>
  <c r="C167" i="39"/>
  <c r="B167" i="39"/>
  <c r="J166" i="39"/>
  <c r="K168" i="39" s="1"/>
  <c r="G166" i="39"/>
  <c r="D166" i="39"/>
  <c r="C166" i="39"/>
  <c r="B166" i="39"/>
  <c r="J165" i="39"/>
  <c r="K167" i="39" s="1"/>
  <c r="G165" i="39"/>
  <c r="D165" i="39"/>
  <c r="C165" i="39"/>
  <c r="B165" i="39"/>
  <c r="J164" i="39"/>
  <c r="K166" i="39" s="1"/>
  <c r="G164" i="39"/>
  <c r="D164" i="39"/>
  <c r="C164" i="39"/>
  <c r="B164" i="39"/>
  <c r="J163" i="39"/>
  <c r="K165" i="39" s="1"/>
  <c r="G163" i="39"/>
  <c r="D163" i="39"/>
  <c r="C163" i="39"/>
  <c r="B163" i="39"/>
  <c r="J162" i="39"/>
  <c r="K164" i="39" s="1"/>
  <c r="G162" i="39"/>
  <c r="D162" i="39"/>
  <c r="C162" i="39"/>
  <c r="B162" i="39"/>
  <c r="J161" i="39"/>
  <c r="K163" i="39" s="1"/>
  <c r="G161" i="39"/>
  <c r="D161" i="39"/>
  <c r="C161" i="39"/>
  <c r="B161" i="39"/>
  <c r="J160" i="39"/>
  <c r="K162" i="39" s="1"/>
  <c r="G160" i="39"/>
  <c r="D160" i="39"/>
  <c r="C160" i="39"/>
  <c r="B160" i="39"/>
  <c r="J159" i="39"/>
  <c r="K161" i="39" s="1"/>
  <c r="G159" i="39"/>
  <c r="D159" i="39"/>
  <c r="C159" i="39"/>
  <c r="B159" i="39"/>
  <c r="J158" i="39"/>
  <c r="K160" i="39" s="1"/>
  <c r="G158" i="39"/>
  <c r="D158" i="39"/>
  <c r="C158" i="39"/>
  <c r="B158" i="39"/>
  <c r="J157" i="39"/>
  <c r="K159" i="39" s="1"/>
  <c r="G157" i="39"/>
  <c r="D157" i="39"/>
  <c r="C157" i="39"/>
  <c r="B157" i="39"/>
  <c r="J156" i="39"/>
  <c r="K158" i="39" s="1"/>
  <c r="G156" i="39"/>
  <c r="D156" i="39"/>
  <c r="C156" i="39"/>
  <c r="B156" i="39"/>
  <c r="J155" i="39"/>
  <c r="K157" i="39" s="1"/>
  <c r="G155" i="39"/>
  <c r="D155" i="39"/>
  <c r="C155" i="39"/>
  <c r="B155" i="39"/>
  <c r="J154" i="39"/>
  <c r="K156" i="39" s="1"/>
  <c r="G154" i="39"/>
  <c r="D154" i="39"/>
  <c r="C154" i="39"/>
  <c r="B154" i="39"/>
  <c r="J153" i="39"/>
  <c r="K155" i="39" s="1"/>
  <c r="G153" i="39"/>
  <c r="D153" i="39"/>
  <c r="C153" i="39"/>
  <c r="B153" i="39"/>
  <c r="J152" i="39"/>
  <c r="K154" i="39" s="1"/>
  <c r="G152" i="39"/>
  <c r="D152" i="39"/>
  <c r="C152" i="39"/>
  <c r="B152" i="39"/>
  <c r="J151" i="39"/>
  <c r="K153" i="39" s="1"/>
  <c r="G151" i="39"/>
  <c r="D151" i="39"/>
  <c r="C151" i="39"/>
  <c r="B151" i="39"/>
  <c r="J150" i="39"/>
  <c r="K152" i="39" s="1"/>
  <c r="G150" i="39"/>
  <c r="D150" i="39"/>
  <c r="C150" i="39"/>
  <c r="B150" i="39"/>
  <c r="J149" i="39"/>
  <c r="K151" i="39" s="1"/>
  <c r="G149" i="39"/>
  <c r="D149" i="39"/>
  <c r="C149" i="39"/>
  <c r="B149" i="39"/>
  <c r="J148" i="39"/>
  <c r="K150" i="39" s="1"/>
  <c r="G148" i="39"/>
  <c r="D148" i="39"/>
  <c r="C148" i="39"/>
  <c r="B148" i="39"/>
  <c r="J147" i="39"/>
  <c r="K149" i="39" s="1"/>
  <c r="G147" i="39"/>
  <c r="D147" i="39"/>
  <c r="C147" i="39"/>
  <c r="B147" i="39"/>
  <c r="J146" i="39"/>
  <c r="K148" i="39" s="1"/>
  <c r="G146" i="39"/>
  <c r="D146" i="39"/>
  <c r="C146" i="39"/>
  <c r="B146" i="39"/>
  <c r="J145" i="39"/>
  <c r="K147" i="39" s="1"/>
  <c r="G145" i="39"/>
  <c r="D145" i="39"/>
  <c r="C145" i="39"/>
  <c r="B145" i="39"/>
  <c r="J144" i="39"/>
  <c r="K146" i="39" s="1"/>
  <c r="G144" i="39"/>
  <c r="D144" i="39"/>
  <c r="C144" i="39"/>
  <c r="B144" i="39"/>
  <c r="J143" i="39"/>
  <c r="K145" i="39" s="1"/>
  <c r="G143" i="39"/>
  <c r="D143" i="39"/>
  <c r="C143" i="39"/>
  <c r="B143" i="39"/>
  <c r="J142" i="39"/>
  <c r="K144" i="39" s="1"/>
  <c r="G142" i="39"/>
  <c r="D142" i="39"/>
  <c r="C142" i="39"/>
  <c r="B142" i="39"/>
  <c r="J141" i="39"/>
  <c r="K143" i="39" s="1"/>
  <c r="G141" i="39"/>
  <c r="D141" i="39"/>
  <c r="C141" i="39"/>
  <c r="B141" i="39"/>
  <c r="J140" i="39"/>
  <c r="K142" i="39" s="1"/>
  <c r="G140" i="39"/>
  <c r="D140" i="39"/>
  <c r="C140" i="39"/>
  <c r="B140" i="39"/>
  <c r="J139" i="39"/>
  <c r="K141" i="39" s="1"/>
  <c r="G139" i="39"/>
  <c r="D139" i="39"/>
  <c r="C139" i="39"/>
  <c r="B139" i="39"/>
  <c r="J138" i="39"/>
  <c r="K140" i="39" s="1"/>
  <c r="G138" i="39"/>
  <c r="D138" i="39"/>
  <c r="C138" i="39"/>
  <c r="B138" i="39"/>
  <c r="J137" i="39"/>
  <c r="K139" i="39" s="1"/>
  <c r="G137" i="39"/>
  <c r="D137" i="39"/>
  <c r="C137" i="39"/>
  <c r="B137" i="39"/>
  <c r="J136" i="39"/>
  <c r="K138" i="39" s="1"/>
  <c r="G136" i="39"/>
  <c r="D136" i="39"/>
  <c r="C136" i="39"/>
  <c r="B136" i="39"/>
  <c r="J135" i="39"/>
  <c r="K137" i="39" s="1"/>
  <c r="G135" i="39"/>
  <c r="D135" i="39"/>
  <c r="C135" i="39"/>
  <c r="B135" i="39"/>
  <c r="J134" i="39"/>
  <c r="K136" i="39" s="1"/>
  <c r="G134" i="39"/>
  <c r="D134" i="39"/>
  <c r="C134" i="39"/>
  <c r="B134" i="39"/>
  <c r="J133" i="39"/>
  <c r="K135" i="39" s="1"/>
  <c r="G133" i="39"/>
  <c r="D133" i="39"/>
  <c r="C133" i="39"/>
  <c r="B133" i="39"/>
  <c r="J132" i="39"/>
  <c r="K134" i="39" s="1"/>
  <c r="G132" i="39"/>
  <c r="D132" i="39"/>
  <c r="C132" i="39"/>
  <c r="B132" i="39"/>
  <c r="J131" i="39"/>
  <c r="K133" i="39" s="1"/>
  <c r="G131" i="39"/>
  <c r="D131" i="39"/>
  <c r="C131" i="39"/>
  <c r="B131" i="39"/>
  <c r="J130" i="39"/>
  <c r="K132" i="39" s="1"/>
  <c r="G130" i="39"/>
  <c r="D130" i="39"/>
  <c r="C130" i="39"/>
  <c r="B130" i="39"/>
  <c r="J129" i="39"/>
  <c r="K131" i="39" s="1"/>
  <c r="G129" i="39"/>
  <c r="D129" i="39"/>
  <c r="C129" i="39"/>
  <c r="B129" i="39"/>
  <c r="J128" i="39"/>
  <c r="K130" i="39" s="1"/>
  <c r="G128" i="39"/>
  <c r="D128" i="39"/>
  <c r="C128" i="39"/>
  <c r="B128" i="39"/>
  <c r="J127" i="39"/>
  <c r="K129" i="39" s="1"/>
  <c r="G127" i="39"/>
  <c r="D127" i="39"/>
  <c r="C127" i="39"/>
  <c r="B127" i="39"/>
  <c r="J126" i="39"/>
  <c r="K128" i="39" s="1"/>
  <c r="G126" i="39"/>
  <c r="D126" i="39"/>
  <c r="C126" i="39"/>
  <c r="B126" i="39"/>
  <c r="J125" i="39"/>
  <c r="K127" i="39" s="1"/>
  <c r="G125" i="39"/>
  <c r="D125" i="39"/>
  <c r="C125" i="39"/>
  <c r="B125" i="39"/>
  <c r="J124" i="39"/>
  <c r="K126" i="39" s="1"/>
  <c r="G124" i="39"/>
  <c r="D124" i="39"/>
  <c r="C124" i="39"/>
  <c r="B124" i="39"/>
  <c r="J123" i="39"/>
  <c r="K125" i="39" s="1"/>
  <c r="G123" i="39"/>
  <c r="D123" i="39"/>
  <c r="C123" i="39"/>
  <c r="B123" i="39"/>
  <c r="J122" i="39"/>
  <c r="K124" i="39" s="1"/>
  <c r="G122" i="39"/>
  <c r="D122" i="39"/>
  <c r="C122" i="39"/>
  <c r="B122" i="39"/>
  <c r="J121" i="39"/>
  <c r="K123" i="39" s="1"/>
  <c r="G121" i="39"/>
  <c r="D121" i="39"/>
  <c r="C121" i="39"/>
  <c r="B121" i="39"/>
  <c r="J120" i="39"/>
  <c r="K122" i="39" s="1"/>
  <c r="G120" i="39"/>
  <c r="D120" i="39"/>
  <c r="C120" i="39"/>
  <c r="B120" i="39"/>
  <c r="J119" i="39"/>
  <c r="K121" i="39" s="1"/>
  <c r="G119" i="39"/>
  <c r="D119" i="39"/>
  <c r="C119" i="39"/>
  <c r="B119" i="39"/>
  <c r="J118" i="39"/>
  <c r="K120" i="39" s="1"/>
  <c r="G118" i="39"/>
  <c r="D118" i="39"/>
  <c r="C118" i="39"/>
  <c r="B118" i="39"/>
  <c r="J117" i="39"/>
  <c r="K119" i="39" s="1"/>
  <c r="G117" i="39"/>
  <c r="D117" i="39"/>
  <c r="C117" i="39"/>
  <c r="B117" i="39"/>
  <c r="J116" i="39"/>
  <c r="K118" i="39" s="1"/>
  <c r="G116" i="39"/>
  <c r="D116" i="39"/>
  <c r="C116" i="39"/>
  <c r="B116" i="39"/>
  <c r="J115" i="39"/>
  <c r="K117" i="39" s="1"/>
  <c r="G115" i="39"/>
  <c r="D115" i="39"/>
  <c r="C115" i="39"/>
  <c r="B115" i="39"/>
  <c r="J114" i="39"/>
  <c r="K116" i="39" s="1"/>
  <c r="G114" i="39"/>
  <c r="D114" i="39"/>
  <c r="C114" i="39"/>
  <c r="B114" i="39"/>
  <c r="J113" i="39"/>
  <c r="K115" i="39" s="1"/>
  <c r="G113" i="39"/>
  <c r="D113" i="39"/>
  <c r="C113" i="39"/>
  <c r="B113" i="39"/>
  <c r="J112" i="39"/>
  <c r="K114" i="39" s="1"/>
  <c r="G112" i="39"/>
  <c r="D112" i="39"/>
  <c r="C112" i="39"/>
  <c r="B112" i="39"/>
  <c r="J111" i="39"/>
  <c r="K113" i="39" s="1"/>
  <c r="G111" i="39"/>
  <c r="D111" i="39"/>
  <c r="C111" i="39"/>
  <c r="B111" i="39"/>
  <c r="J110" i="39"/>
  <c r="K112" i="39" s="1"/>
  <c r="G110" i="39"/>
  <c r="D110" i="39"/>
  <c r="C110" i="39"/>
  <c r="B110" i="39"/>
  <c r="J109" i="39"/>
  <c r="K111" i="39" s="1"/>
  <c r="G109" i="39"/>
  <c r="D109" i="39"/>
  <c r="C109" i="39"/>
  <c r="B109" i="39"/>
  <c r="J108" i="39"/>
  <c r="K110" i="39" s="1"/>
  <c r="G108" i="39"/>
  <c r="D108" i="39"/>
  <c r="C108" i="39"/>
  <c r="B108" i="39"/>
  <c r="J107" i="39"/>
  <c r="K109" i="39" s="1"/>
  <c r="G107" i="39"/>
  <c r="D107" i="39"/>
  <c r="C107" i="39"/>
  <c r="B107" i="39"/>
  <c r="J106" i="39"/>
  <c r="K108" i="39" s="1"/>
  <c r="G106" i="39"/>
  <c r="D106" i="39"/>
  <c r="C106" i="39"/>
  <c r="B106" i="39"/>
  <c r="J105" i="39"/>
  <c r="K107" i="39" s="1"/>
  <c r="G105" i="39"/>
  <c r="D105" i="39"/>
  <c r="C105" i="39"/>
  <c r="B105" i="39"/>
  <c r="J104" i="39"/>
  <c r="K106" i="39" s="1"/>
  <c r="G104" i="39"/>
  <c r="D104" i="39"/>
  <c r="C104" i="39"/>
  <c r="B104" i="39"/>
  <c r="J103" i="39"/>
  <c r="K105" i="39" s="1"/>
  <c r="G103" i="39"/>
  <c r="D103" i="39"/>
  <c r="C103" i="39"/>
  <c r="B103" i="39"/>
  <c r="J102" i="39"/>
  <c r="K104" i="39" s="1"/>
  <c r="G102" i="39"/>
  <c r="D102" i="39"/>
  <c r="C102" i="39"/>
  <c r="B102" i="39"/>
  <c r="J101" i="39"/>
  <c r="K103" i="39" s="1"/>
  <c r="G101" i="39"/>
  <c r="D101" i="39"/>
  <c r="C101" i="39"/>
  <c r="B101" i="39"/>
  <c r="J100" i="39"/>
  <c r="K102" i="39" s="1"/>
  <c r="G100" i="39"/>
  <c r="D100" i="39"/>
  <c r="C100" i="39"/>
  <c r="B100" i="39"/>
  <c r="J99" i="39"/>
  <c r="K101" i="39" s="1"/>
  <c r="G99" i="39"/>
  <c r="D99" i="39"/>
  <c r="C99" i="39"/>
  <c r="B99" i="39"/>
  <c r="J98" i="39"/>
  <c r="K100" i="39" s="1"/>
  <c r="G98" i="39"/>
  <c r="D98" i="39"/>
  <c r="C98" i="39"/>
  <c r="B98" i="39"/>
  <c r="J97" i="39"/>
  <c r="K99" i="39" s="1"/>
  <c r="G97" i="39"/>
  <c r="D97" i="39"/>
  <c r="C97" i="39"/>
  <c r="B97" i="39"/>
  <c r="J96" i="39"/>
  <c r="K98" i="39" s="1"/>
  <c r="G96" i="39"/>
  <c r="D96" i="39"/>
  <c r="C96" i="39"/>
  <c r="B96" i="39"/>
  <c r="J95" i="39"/>
  <c r="K97" i="39" s="1"/>
  <c r="G95" i="39"/>
  <c r="D95" i="39"/>
  <c r="C95" i="39"/>
  <c r="B95" i="39"/>
  <c r="J94" i="39"/>
  <c r="K96" i="39" s="1"/>
  <c r="G94" i="39"/>
  <c r="D94" i="39"/>
  <c r="C94" i="39"/>
  <c r="B94" i="39"/>
  <c r="J93" i="39"/>
  <c r="K95" i="39" s="1"/>
  <c r="G93" i="39"/>
  <c r="D93" i="39"/>
  <c r="C93" i="39"/>
  <c r="B93" i="39"/>
  <c r="J92" i="39"/>
  <c r="K94" i="39" s="1"/>
  <c r="G92" i="39"/>
  <c r="D92" i="39"/>
  <c r="C92" i="39"/>
  <c r="B92" i="39"/>
  <c r="J91" i="39"/>
  <c r="K93" i="39" s="1"/>
  <c r="G91" i="39"/>
  <c r="D91" i="39"/>
  <c r="C91" i="39"/>
  <c r="B91" i="39"/>
  <c r="J90" i="39"/>
  <c r="K92" i="39" s="1"/>
  <c r="G90" i="39"/>
  <c r="D90" i="39"/>
  <c r="C90" i="39"/>
  <c r="B90" i="39"/>
  <c r="J89" i="39"/>
  <c r="K91" i="39" s="1"/>
  <c r="G89" i="39"/>
  <c r="D89" i="39"/>
  <c r="C89" i="39"/>
  <c r="B89" i="39"/>
  <c r="J88" i="39"/>
  <c r="K90" i="39" s="1"/>
  <c r="G88" i="39"/>
  <c r="D88" i="39"/>
  <c r="C88" i="39"/>
  <c r="B88" i="39"/>
  <c r="J87" i="39"/>
  <c r="K89" i="39" s="1"/>
  <c r="G87" i="39"/>
  <c r="D87" i="39"/>
  <c r="C87" i="39"/>
  <c r="B87" i="39"/>
  <c r="J86" i="39"/>
  <c r="K88" i="39" s="1"/>
  <c r="G86" i="39"/>
  <c r="D86" i="39"/>
  <c r="C86" i="39"/>
  <c r="B86" i="39"/>
  <c r="J85" i="39"/>
  <c r="K87" i="39" s="1"/>
  <c r="G85" i="39"/>
  <c r="D85" i="39"/>
  <c r="C85" i="39"/>
  <c r="B85" i="39"/>
  <c r="J84" i="39"/>
  <c r="K86" i="39" s="1"/>
  <c r="G84" i="39"/>
  <c r="D84" i="39"/>
  <c r="C84" i="39"/>
  <c r="B84" i="39"/>
  <c r="J83" i="39"/>
  <c r="K85" i="39" s="1"/>
  <c r="G83" i="39"/>
  <c r="D83" i="39"/>
  <c r="C83" i="39"/>
  <c r="B83" i="39"/>
  <c r="J82" i="39"/>
  <c r="K84" i="39" s="1"/>
  <c r="G82" i="39"/>
  <c r="D82" i="39"/>
  <c r="C82" i="39"/>
  <c r="B82" i="39"/>
  <c r="J81" i="39"/>
  <c r="K83" i="39" s="1"/>
  <c r="G81" i="39"/>
  <c r="D81" i="39"/>
  <c r="C81" i="39"/>
  <c r="B81" i="39"/>
  <c r="J80" i="39"/>
  <c r="K82" i="39" s="1"/>
  <c r="G80" i="39"/>
  <c r="D80" i="39"/>
  <c r="C80" i="39"/>
  <c r="B80" i="39"/>
  <c r="J79" i="39"/>
  <c r="K81" i="39" s="1"/>
  <c r="G79" i="39"/>
  <c r="D79" i="39"/>
  <c r="C79" i="39"/>
  <c r="B79" i="39"/>
  <c r="J78" i="39"/>
  <c r="K80" i="39" s="1"/>
  <c r="G78" i="39"/>
  <c r="D78" i="39"/>
  <c r="C78" i="39"/>
  <c r="B78" i="39"/>
  <c r="J77" i="39"/>
  <c r="K79" i="39" s="1"/>
  <c r="G77" i="39"/>
  <c r="D77" i="39"/>
  <c r="C77" i="39"/>
  <c r="B77" i="39"/>
  <c r="J76" i="39"/>
  <c r="K78" i="39" s="1"/>
  <c r="G76" i="39"/>
  <c r="D76" i="39"/>
  <c r="C76" i="39"/>
  <c r="B76" i="39"/>
  <c r="J75" i="39"/>
  <c r="K77" i="39" s="1"/>
  <c r="G75" i="39"/>
  <c r="D75" i="39"/>
  <c r="C75" i="39"/>
  <c r="B75" i="39"/>
  <c r="J74" i="39"/>
  <c r="K76" i="39" s="1"/>
  <c r="G74" i="39"/>
  <c r="D74" i="39"/>
  <c r="C74" i="39"/>
  <c r="B74" i="39"/>
  <c r="J73" i="39"/>
  <c r="K75" i="39" s="1"/>
  <c r="G73" i="39"/>
  <c r="D73" i="39"/>
  <c r="C73" i="39"/>
  <c r="B73" i="39"/>
  <c r="J72" i="39"/>
  <c r="K74" i="39" s="1"/>
  <c r="G72" i="39"/>
  <c r="D72" i="39"/>
  <c r="C72" i="39"/>
  <c r="B72" i="39"/>
  <c r="J71" i="39"/>
  <c r="K73" i="39" s="1"/>
  <c r="G71" i="39"/>
  <c r="D71" i="39"/>
  <c r="C71" i="39"/>
  <c r="B71" i="39"/>
  <c r="J70" i="39"/>
  <c r="K72" i="39" s="1"/>
  <c r="G70" i="39"/>
  <c r="D70" i="39"/>
  <c r="C70" i="39"/>
  <c r="B70" i="39"/>
  <c r="J69" i="39"/>
  <c r="K71" i="39" s="1"/>
  <c r="G69" i="39"/>
  <c r="D69" i="39"/>
  <c r="C69" i="39"/>
  <c r="B69" i="39"/>
  <c r="J68" i="39"/>
  <c r="K70" i="39" s="1"/>
  <c r="G68" i="39"/>
  <c r="D68" i="39"/>
  <c r="C68" i="39"/>
  <c r="B68" i="39"/>
  <c r="J67" i="39"/>
  <c r="K69" i="39" s="1"/>
  <c r="G67" i="39"/>
  <c r="D67" i="39"/>
  <c r="C67" i="39"/>
  <c r="B67" i="39"/>
  <c r="J66" i="39"/>
  <c r="K68" i="39" s="1"/>
  <c r="G66" i="39"/>
  <c r="D66" i="39"/>
  <c r="C66" i="39"/>
  <c r="B66" i="39"/>
  <c r="J65" i="39"/>
  <c r="K67" i="39" s="1"/>
  <c r="G65" i="39"/>
  <c r="D65" i="39"/>
  <c r="C65" i="39"/>
  <c r="B65" i="39"/>
  <c r="J64" i="39"/>
  <c r="K66" i="39" s="1"/>
  <c r="G64" i="39"/>
  <c r="D64" i="39"/>
  <c r="C64" i="39"/>
  <c r="B64" i="39"/>
  <c r="J63" i="39"/>
  <c r="K65" i="39" s="1"/>
  <c r="G63" i="39"/>
  <c r="D63" i="39"/>
  <c r="C63" i="39"/>
  <c r="B63" i="39"/>
  <c r="J62" i="39"/>
  <c r="K64" i="39" s="1"/>
  <c r="G62" i="39"/>
  <c r="D62" i="39"/>
  <c r="C62" i="39"/>
  <c r="B62" i="39"/>
  <c r="J61" i="39"/>
  <c r="K63" i="39" s="1"/>
  <c r="G61" i="39"/>
  <c r="D61" i="39"/>
  <c r="C61" i="39"/>
  <c r="B61" i="39"/>
  <c r="J60" i="39"/>
  <c r="K62" i="39" s="1"/>
  <c r="G60" i="39"/>
  <c r="D60" i="39"/>
  <c r="C60" i="39"/>
  <c r="B60" i="39"/>
  <c r="J59" i="39"/>
  <c r="K61" i="39" s="1"/>
  <c r="G59" i="39"/>
  <c r="D59" i="39"/>
  <c r="C59" i="39"/>
  <c r="B59" i="39"/>
  <c r="J58" i="39"/>
  <c r="K60" i="39" s="1"/>
  <c r="G58" i="39"/>
  <c r="D58" i="39"/>
  <c r="C58" i="39"/>
  <c r="B58" i="39"/>
  <c r="J57" i="39"/>
  <c r="K59" i="39" s="1"/>
  <c r="G57" i="39"/>
  <c r="D57" i="39"/>
  <c r="C57" i="39"/>
  <c r="B57" i="39"/>
  <c r="J56" i="39"/>
  <c r="K58" i="39" s="1"/>
  <c r="G56" i="39"/>
  <c r="D56" i="39"/>
  <c r="C56" i="39"/>
  <c r="B56" i="39"/>
  <c r="J55" i="39"/>
  <c r="K57" i="39" s="1"/>
  <c r="G55" i="39"/>
  <c r="D55" i="39"/>
  <c r="C55" i="39"/>
  <c r="B55" i="39"/>
  <c r="J54" i="39"/>
  <c r="K56" i="39" s="1"/>
  <c r="G54" i="39"/>
  <c r="D54" i="39"/>
  <c r="C54" i="39"/>
  <c r="B54" i="39"/>
  <c r="J53" i="39"/>
  <c r="K55" i="39" s="1"/>
  <c r="G53" i="39"/>
  <c r="D53" i="39"/>
  <c r="C53" i="39"/>
  <c r="B53" i="39"/>
  <c r="J52" i="39"/>
  <c r="K54" i="39" s="1"/>
  <c r="G52" i="39"/>
  <c r="D52" i="39"/>
  <c r="C52" i="39"/>
  <c r="B52" i="39"/>
  <c r="J51" i="39"/>
  <c r="K53" i="39" s="1"/>
  <c r="G51" i="39"/>
  <c r="D51" i="39"/>
  <c r="C51" i="39"/>
  <c r="B51" i="39"/>
  <c r="J50" i="39"/>
  <c r="K52" i="39" s="1"/>
  <c r="G50" i="39"/>
  <c r="D50" i="39"/>
  <c r="C50" i="39"/>
  <c r="B50" i="39"/>
  <c r="J49" i="39"/>
  <c r="K51" i="39" s="1"/>
  <c r="G49" i="39"/>
  <c r="D49" i="39"/>
  <c r="C49" i="39"/>
  <c r="B49" i="39"/>
  <c r="J48" i="39"/>
  <c r="K50" i="39" s="1"/>
  <c r="G48" i="39"/>
  <c r="D48" i="39"/>
  <c r="C48" i="39"/>
  <c r="B48" i="39"/>
  <c r="J47" i="39"/>
  <c r="K49" i="39" s="1"/>
  <c r="G47" i="39"/>
  <c r="D47" i="39"/>
  <c r="C47" i="39"/>
  <c r="B47" i="39"/>
  <c r="J46" i="39"/>
  <c r="K48" i="39" s="1"/>
  <c r="G46" i="39"/>
  <c r="D46" i="39"/>
  <c r="C46" i="39"/>
  <c r="B46" i="39"/>
  <c r="J45" i="39"/>
  <c r="K47" i="39" s="1"/>
  <c r="G45" i="39"/>
  <c r="D45" i="39"/>
  <c r="C45" i="39"/>
  <c r="B45" i="39"/>
  <c r="J44" i="39"/>
  <c r="K46" i="39" s="1"/>
  <c r="G44" i="39"/>
  <c r="D44" i="39"/>
  <c r="C44" i="39"/>
  <c r="B44" i="39"/>
  <c r="J43" i="39"/>
  <c r="K45" i="39" s="1"/>
  <c r="G43" i="39"/>
  <c r="D43" i="39"/>
  <c r="C43" i="39"/>
  <c r="B43" i="39"/>
  <c r="J42" i="39"/>
  <c r="K44" i="39" s="1"/>
  <c r="G42" i="39"/>
  <c r="D42" i="39"/>
  <c r="C42" i="39"/>
  <c r="B42" i="39"/>
  <c r="J41" i="39"/>
  <c r="K43" i="39" s="1"/>
  <c r="G41" i="39"/>
  <c r="D41" i="39"/>
  <c r="C41" i="39"/>
  <c r="B41" i="39"/>
  <c r="J40" i="39"/>
  <c r="K42" i="39" s="1"/>
  <c r="G40" i="39"/>
  <c r="D40" i="39"/>
  <c r="C40" i="39"/>
  <c r="B40" i="39"/>
  <c r="J39" i="39"/>
  <c r="K41" i="39" s="1"/>
  <c r="G39" i="39"/>
  <c r="D39" i="39"/>
  <c r="C39" i="39"/>
  <c r="B39" i="39"/>
  <c r="J38" i="39"/>
  <c r="K40" i="39" s="1"/>
  <c r="G38" i="39"/>
  <c r="D38" i="39"/>
  <c r="C38" i="39"/>
  <c r="B38" i="39"/>
  <c r="J37" i="39"/>
  <c r="K39" i="39" s="1"/>
  <c r="G37" i="39"/>
  <c r="D37" i="39"/>
  <c r="C37" i="39"/>
  <c r="B37" i="39"/>
  <c r="J36" i="39"/>
  <c r="K38" i="39" s="1"/>
  <c r="G36" i="39"/>
  <c r="D36" i="39"/>
  <c r="C36" i="39"/>
  <c r="B36" i="39"/>
  <c r="J35" i="39"/>
  <c r="K37" i="39" s="1"/>
  <c r="G35" i="39"/>
  <c r="D35" i="39"/>
  <c r="C35" i="39"/>
  <c r="B35" i="39"/>
  <c r="J34" i="39"/>
  <c r="K36" i="39" s="1"/>
  <c r="G34" i="39"/>
  <c r="D34" i="39"/>
  <c r="C34" i="39"/>
  <c r="B34" i="39"/>
  <c r="J33" i="39"/>
  <c r="K35" i="39" s="1"/>
  <c r="G33" i="39"/>
  <c r="D33" i="39"/>
  <c r="C33" i="39"/>
  <c r="B33" i="39"/>
  <c r="J32" i="39"/>
  <c r="K34" i="39" s="1"/>
  <c r="G32" i="39"/>
  <c r="D32" i="39"/>
  <c r="C32" i="39"/>
  <c r="B32" i="39"/>
  <c r="J31" i="39"/>
  <c r="K33" i="39" s="1"/>
  <c r="G31" i="39"/>
  <c r="D31" i="39"/>
  <c r="C31" i="39"/>
  <c r="B31" i="39"/>
  <c r="J30" i="39"/>
  <c r="K32" i="39" s="1"/>
  <c r="G30" i="39"/>
  <c r="D30" i="39"/>
  <c r="C30" i="39"/>
  <c r="B30" i="39"/>
  <c r="J29" i="39"/>
  <c r="K31" i="39" s="1"/>
  <c r="G29" i="39"/>
  <c r="D29" i="39"/>
  <c r="C29" i="39"/>
  <c r="B29" i="39"/>
  <c r="J28" i="39"/>
  <c r="K30" i="39" s="1"/>
  <c r="G28" i="39"/>
  <c r="D28" i="39"/>
  <c r="C28" i="39"/>
  <c r="B28" i="39"/>
  <c r="J27" i="39"/>
  <c r="K29" i="39" s="1"/>
  <c r="G27" i="39"/>
  <c r="D27" i="39"/>
  <c r="C27" i="39"/>
  <c r="B27" i="39"/>
  <c r="J26" i="39"/>
  <c r="K28" i="39" s="1"/>
  <c r="G26" i="39"/>
  <c r="D26" i="39"/>
  <c r="C26" i="39"/>
  <c r="B26" i="39"/>
  <c r="J25" i="39"/>
  <c r="K27" i="39" s="1"/>
  <c r="G25" i="39"/>
  <c r="D25" i="39"/>
  <c r="C25" i="39"/>
  <c r="B25" i="39"/>
  <c r="J24" i="39"/>
  <c r="K26" i="39" s="1"/>
  <c r="G24" i="39"/>
  <c r="D24" i="39"/>
  <c r="C24" i="39"/>
  <c r="B24" i="39"/>
  <c r="J23" i="39"/>
  <c r="K25" i="39" s="1"/>
  <c r="G23" i="39"/>
  <c r="D23" i="39"/>
  <c r="C23" i="39"/>
  <c r="B23" i="39"/>
  <c r="J22" i="39"/>
  <c r="K24" i="39" s="1"/>
  <c r="G22" i="39"/>
  <c r="D22" i="39"/>
  <c r="C22" i="39"/>
  <c r="B22" i="39"/>
  <c r="J21" i="39"/>
  <c r="K23" i="39" s="1"/>
  <c r="G21" i="39"/>
  <c r="D21" i="39"/>
  <c r="C21" i="39"/>
  <c r="B21" i="39"/>
  <c r="J20" i="39"/>
  <c r="K22" i="39" s="1"/>
  <c r="G20" i="39"/>
  <c r="D20" i="39"/>
  <c r="C20" i="39"/>
  <c r="B20" i="39"/>
  <c r="J19" i="39"/>
  <c r="K21" i="39" s="1"/>
  <c r="G19" i="39"/>
  <c r="D19" i="39"/>
  <c r="C19" i="39"/>
  <c r="B19" i="39"/>
  <c r="J18" i="39"/>
  <c r="K20" i="39" s="1"/>
  <c r="G18" i="39"/>
  <c r="D18" i="39"/>
  <c r="C18" i="39"/>
  <c r="B18" i="39"/>
  <c r="J17" i="39"/>
  <c r="K19" i="39" s="1"/>
  <c r="G17" i="39"/>
  <c r="D17" i="39"/>
  <c r="C17" i="39"/>
  <c r="B17" i="39"/>
  <c r="J16" i="39"/>
  <c r="K18" i="39" s="1"/>
  <c r="G16" i="39"/>
  <c r="D16" i="39"/>
  <c r="C16" i="39"/>
  <c r="B16" i="39"/>
  <c r="J15" i="39"/>
  <c r="K17" i="39" s="1"/>
  <c r="G15" i="39"/>
  <c r="D15" i="39"/>
  <c r="C15" i="39"/>
  <c r="B15" i="39"/>
  <c r="J14" i="39"/>
  <c r="K16" i="39" s="1"/>
  <c r="G14" i="39"/>
  <c r="D14" i="39"/>
  <c r="C14" i="39"/>
  <c r="B14" i="39"/>
  <c r="J13" i="39"/>
  <c r="K15" i="39" s="1"/>
  <c r="G13" i="39"/>
  <c r="D13" i="39"/>
  <c r="C13" i="39"/>
  <c r="B13" i="39"/>
  <c r="K12" i="39"/>
  <c r="J12" i="39"/>
  <c r="K14" i="39" s="1"/>
  <c r="G12" i="39"/>
  <c r="D12" i="39"/>
  <c r="K11" i="39"/>
  <c r="J11" i="39"/>
  <c r="K13" i="39" s="1"/>
  <c r="G11" i="39"/>
  <c r="D11" i="39"/>
  <c r="C11" i="39"/>
  <c r="B11" i="39"/>
  <c r="J4" i="39"/>
  <c r="I210" i="38"/>
  <c r="F210" i="38"/>
  <c r="D210" i="38"/>
  <c r="C210" i="38"/>
  <c r="B210" i="38"/>
  <c r="J209" i="38"/>
  <c r="I209" i="38"/>
  <c r="F209" i="38"/>
  <c r="D209" i="38"/>
  <c r="C209" i="38"/>
  <c r="B209" i="38"/>
  <c r="I208" i="38"/>
  <c r="J210" i="38" s="1"/>
  <c r="F208" i="38"/>
  <c r="D208" i="38"/>
  <c r="C208" i="38"/>
  <c r="B208" i="38"/>
  <c r="I207" i="38"/>
  <c r="F207" i="38"/>
  <c r="D207" i="38"/>
  <c r="C207" i="38"/>
  <c r="B207" i="38"/>
  <c r="I206" i="38"/>
  <c r="J208" i="38" s="1"/>
  <c r="F206" i="38"/>
  <c r="D206" i="38"/>
  <c r="C206" i="38"/>
  <c r="B206" i="38"/>
  <c r="J205" i="38"/>
  <c r="I205" i="38"/>
  <c r="J207" i="38" s="1"/>
  <c r="F205" i="38"/>
  <c r="D205" i="38"/>
  <c r="C205" i="38"/>
  <c r="B205" i="38"/>
  <c r="I204" i="38"/>
  <c r="J206" i="38" s="1"/>
  <c r="F204" i="38"/>
  <c r="D204" i="38"/>
  <c r="C204" i="38"/>
  <c r="B204" i="38"/>
  <c r="I203" i="38"/>
  <c r="F203" i="38"/>
  <c r="D203" i="38"/>
  <c r="C203" i="38"/>
  <c r="B203" i="38"/>
  <c r="I202" i="38"/>
  <c r="J204" i="38" s="1"/>
  <c r="F202" i="38"/>
  <c r="D202" i="38"/>
  <c r="C202" i="38"/>
  <c r="B202" i="38"/>
  <c r="J201" i="38"/>
  <c r="I201" i="38"/>
  <c r="J203" i="38" s="1"/>
  <c r="F201" i="38"/>
  <c r="D201" i="38"/>
  <c r="C201" i="38"/>
  <c r="B201" i="38"/>
  <c r="I200" i="38"/>
  <c r="J202" i="38" s="1"/>
  <c r="F200" i="38"/>
  <c r="D200" i="38"/>
  <c r="C200" i="38"/>
  <c r="B200" i="38"/>
  <c r="I199" i="38"/>
  <c r="F199" i="38"/>
  <c r="D199" i="38"/>
  <c r="C199" i="38"/>
  <c r="B199" i="38"/>
  <c r="I198" i="38"/>
  <c r="J200" i="38" s="1"/>
  <c r="F198" i="38"/>
  <c r="D198" i="38"/>
  <c r="C198" i="38"/>
  <c r="B198" i="38"/>
  <c r="J197" i="38"/>
  <c r="I197" i="38"/>
  <c r="J199" i="38" s="1"/>
  <c r="F197" i="38"/>
  <c r="D197" i="38"/>
  <c r="C197" i="38"/>
  <c r="B197" i="38"/>
  <c r="I196" i="38"/>
  <c r="J198" i="38" s="1"/>
  <c r="F196" i="38"/>
  <c r="D196" i="38"/>
  <c r="C196" i="38"/>
  <c r="B196" i="38"/>
  <c r="I195" i="38"/>
  <c r="F195" i="38"/>
  <c r="D195" i="38"/>
  <c r="C195" i="38"/>
  <c r="B195" i="38"/>
  <c r="I194" i="38"/>
  <c r="J196" i="38" s="1"/>
  <c r="F194" i="38"/>
  <c r="D194" i="38"/>
  <c r="C194" i="38"/>
  <c r="B194" i="38"/>
  <c r="J193" i="38"/>
  <c r="I193" i="38"/>
  <c r="J195" i="38" s="1"/>
  <c r="F193" i="38"/>
  <c r="D193" i="38"/>
  <c r="C193" i="38"/>
  <c r="B193" i="38"/>
  <c r="I192" i="38"/>
  <c r="J194" i="38" s="1"/>
  <c r="F192" i="38"/>
  <c r="D192" i="38"/>
  <c r="C192" i="38"/>
  <c r="B192" i="38"/>
  <c r="I191" i="38"/>
  <c r="F191" i="38"/>
  <c r="D191" i="38"/>
  <c r="C191" i="38"/>
  <c r="B191" i="38"/>
  <c r="I190" i="38"/>
  <c r="J192" i="38" s="1"/>
  <c r="F190" i="38"/>
  <c r="D190" i="38"/>
  <c r="C190" i="38"/>
  <c r="B190" i="38"/>
  <c r="J189" i="38"/>
  <c r="I189" i="38"/>
  <c r="J191" i="38" s="1"/>
  <c r="F189" i="38"/>
  <c r="D189" i="38"/>
  <c r="C189" i="38"/>
  <c r="B189" i="38"/>
  <c r="I188" i="38"/>
  <c r="J190" i="38" s="1"/>
  <c r="F188" i="38"/>
  <c r="D188" i="38"/>
  <c r="C188" i="38"/>
  <c r="B188" i="38"/>
  <c r="I187" i="38"/>
  <c r="F187" i="38"/>
  <c r="D187" i="38"/>
  <c r="C187" i="38"/>
  <c r="B187" i="38"/>
  <c r="I186" i="38"/>
  <c r="J188" i="38" s="1"/>
  <c r="F186" i="38"/>
  <c r="D186" i="38"/>
  <c r="C186" i="38"/>
  <c r="B186" i="38"/>
  <c r="J185" i="38"/>
  <c r="I185" i="38"/>
  <c r="J187" i="38" s="1"/>
  <c r="F185" i="38"/>
  <c r="D185" i="38"/>
  <c r="C185" i="38"/>
  <c r="B185" i="38"/>
  <c r="I184" i="38"/>
  <c r="J186" i="38" s="1"/>
  <c r="F184" i="38"/>
  <c r="D184" i="38"/>
  <c r="C184" i="38"/>
  <c r="B184" i="38"/>
  <c r="I183" i="38"/>
  <c r="F183" i="38"/>
  <c r="D183" i="38"/>
  <c r="C183" i="38"/>
  <c r="B183" i="38"/>
  <c r="I182" i="38"/>
  <c r="J184" i="38" s="1"/>
  <c r="F182" i="38"/>
  <c r="D182" i="38"/>
  <c r="C182" i="38"/>
  <c r="B182" i="38"/>
  <c r="J181" i="38"/>
  <c r="I181" i="38"/>
  <c r="J183" i="38" s="1"/>
  <c r="F181" i="38"/>
  <c r="D181" i="38"/>
  <c r="C181" i="38"/>
  <c r="B181" i="38"/>
  <c r="I180" i="38"/>
  <c r="J182" i="38" s="1"/>
  <c r="F180" i="38"/>
  <c r="D180" i="38"/>
  <c r="C180" i="38"/>
  <c r="B180" i="38"/>
  <c r="I179" i="38"/>
  <c r="F179" i="38"/>
  <c r="D179" i="38"/>
  <c r="C179" i="38"/>
  <c r="B179" i="38"/>
  <c r="I178" i="38"/>
  <c r="J180" i="38" s="1"/>
  <c r="F178" i="38"/>
  <c r="D178" i="38"/>
  <c r="C178" i="38"/>
  <c r="B178" i="38"/>
  <c r="J177" i="38"/>
  <c r="I177" i="38"/>
  <c r="J179" i="38" s="1"/>
  <c r="F177" i="38"/>
  <c r="D177" i="38"/>
  <c r="C177" i="38"/>
  <c r="B177" i="38"/>
  <c r="I176" i="38"/>
  <c r="J178" i="38" s="1"/>
  <c r="F176" i="38"/>
  <c r="D176" i="38"/>
  <c r="C176" i="38"/>
  <c r="B176" i="38"/>
  <c r="I175" i="38"/>
  <c r="F175" i="38"/>
  <c r="D175" i="38"/>
  <c r="C175" i="38"/>
  <c r="B175" i="38"/>
  <c r="I174" i="38"/>
  <c r="J176" i="38" s="1"/>
  <c r="F174" i="38"/>
  <c r="D174" i="38"/>
  <c r="C174" i="38"/>
  <c r="B174" i="38"/>
  <c r="J173" i="38"/>
  <c r="I173" i="38"/>
  <c r="J175" i="38" s="1"/>
  <c r="F173" i="38"/>
  <c r="D173" i="38"/>
  <c r="C173" i="38"/>
  <c r="B173" i="38"/>
  <c r="I172" i="38"/>
  <c r="J174" i="38" s="1"/>
  <c r="F172" i="38"/>
  <c r="D172" i="38"/>
  <c r="C172" i="38"/>
  <c r="B172" i="38"/>
  <c r="I171" i="38"/>
  <c r="F171" i="38"/>
  <c r="D171" i="38"/>
  <c r="C171" i="38"/>
  <c r="B171" i="38"/>
  <c r="I170" i="38"/>
  <c r="J172" i="38" s="1"/>
  <c r="F170" i="38"/>
  <c r="D170" i="38"/>
  <c r="C170" i="38"/>
  <c r="B170" i="38"/>
  <c r="J169" i="38"/>
  <c r="I169" i="38"/>
  <c r="J171" i="38" s="1"/>
  <c r="F169" i="38"/>
  <c r="D169" i="38"/>
  <c r="C169" i="38"/>
  <c r="B169" i="38"/>
  <c r="I168" i="38"/>
  <c r="J170" i="38" s="1"/>
  <c r="F168" i="38"/>
  <c r="D168" i="38"/>
  <c r="C168" i="38"/>
  <c r="B168" i="38"/>
  <c r="I167" i="38"/>
  <c r="F167" i="38"/>
  <c r="D167" i="38"/>
  <c r="C167" i="38"/>
  <c r="B167" i="38"/>
  <c r="I166" i="38"/>
  <c r="J168" i="38" s="1"/>
  <c r="F166" i="38"/>
  <c r="D166" i="38"/>
  <c r="C166" i="38"/>
  <c r="B166" i="38"/>
  <c r="J165" i="38"/>
  <c r="I165" i="38"/>
  <c r="J167" i="38" s="1"/>
  <c r="F165" i="38"/>
  <c r="D165" i="38"/>
  <c r="C165" i="38"/>
  <c r="B165" i="38"/>
  <c r="I164" i="38"/>
  <c r="J166" i="38" s="1"/>
  <c r="F164" i="38"/>
  <c r="D164" i="38"/>
  <c r="C164" i="38"/>
  <c r="B164" i="38"/>
  <c r="I163" i="38"/>
  <c r="F163" i="38"/>
  <c r="D163" i="38"/>
  <c r="C163" i="38"/>
  <c r="B163" i="38"/>
  <c r="I162" i="38"/>
  <c r="J164" i="38" s="1"/>
  <c r="F162" i="38"/>
  <c r="D162" i="38"/>
  <c r="C162" i="38"/>
  <c r="B162" i="38"/>
  <c r="J161" i="38"/>
  <c r="I161" i="38"/>
  <c r="J163" i="38" s="1"/>
  <c r="F161" i="38"/>
  <c r="D161" i="38"/>
  <c r="C161" i="38"/>
  <c r="B161" i="38"/>
  <c r="I160" i="38"/>
  <c r="J162" i="38" s="1"/>
  <c r="F160" i="38"/>
  <c r="D160" i="38"/>
  <c r="C160" i="38"/>
  <c r="B160" i="38"/>
  <c r="I159" i="38"/>
  <c r="F159" i="38"/>
  <c r="D159" i="38"/>
  <c r="C159" i="38"/>
  <c r="B159" i="38"/>
  <c r="I158" i="38"/>
  <c r="J160" i="38" s="1"/>
  <c r="F158" i="38"/>
  <c r="D158" i="38"/>
  <c r="C158" i="38"/>
  <c r="B158" i="38"/>
  <c r="J157" i="38"/>
  <c r="I157" i="38"/>
  <c r="J159" i="38" s="1"/>
  <c r="F157" i="38"/>
  <c r="D157" i="38"/>
  <c r="C157" i="38"/>
  <c r="B157" i="38"/>
  <c r="I156" i="38"/>
  <c r="J158" i="38" s="1"/>
  <c r="F156" i="38"/>
  <c r="D156" i="38"/>
  <c r="C156" i="38"/>
  <c r="B156" i="38"/>
  <c r="I155" i="38"/>
  <c r="F155" i="38"/>
  <c r="D155" i="38"/>
  <c r="C155" i="38"/>
  <c r="B155" i="38"/>
  <c r="I154" i="38"/>
  <c r="J156" i="38" s="1"/>
  <c r="F154" i="38"/>
  <c r="D154" i="38"/>
  <c r="C154" i="38"/>
  <c r="B154" i="38"/>
  <c r="J153" i="38"/>
  <c r="I153" i="38"/>
  <c r="J155" i="38" s="1"/>
  <c r="F153" i="38"/>
  <c r="D153" i="38"/>
  <c r="C153" i="38"/>
  <c r="B153" i="38"/>
  <c r="I152" i="38"/>
  <c r="J154" i="38" s="1"/>
  <c r="F152" i="38"/>
  <c r="D152" i="38"/>
  <c r="C152" i="38"/>
  <c r="B152" i="38"/>
  <c r="I151" i="38"/>
  <c r="F151" i="38"/>
  <c r="D151" i="38"/>
  <c r="C151" i="38"/>
  <c r="B151" i="38"/>
  <c r="I150" i="38"/>
  <c r="J152" i="38" s="1"/>
  <c r="F150" i="38"/>
  <c r="D150" i="38"/>
  <c r="C150" i="38"/>
  <c r="B150" i="38"/>
  <c r="J149" i="38"/>
  <c r="I149" i="38"/>
  <c r="J151" i="38" s="1"/>
  <c r="F149" i="38"/>
  <c r="D149" i="38"/>
  <c r="C149" i="38"/>
  <c r="B149" i="38"/>
  <c r="I148" i="38"/>
  <c r="J150" i="38" s="1"/>
  <c r="F148" i="38"/>
  <c r="D148" i="38"/>
  <c r="C148" i="38"/>
  <c r="B148" i="38"/>
  <c r="I147" i="38"/>
  <c r="F147" i="38"/>
  <c r="D147" i="38"/>
  <c r="C147" i="38"/>
  <c r="B147" i="38"/>
  <c r="I146" i="38"/>
  <c r="J148" i="38" s="1"/>
  <c r="F146" i="38"/>
  <c r="D146" i="38"/>
  <c r="C146" i="38"/>
  <c r="B146" i="38"/>
  <c r="J145" i="38"/>
  <c r="I145" i="38"/>
  <c r="J147" i="38" s="1"/>
  <c r="F145" i="38"/>
  <c r="D145" i="38"/>
  <c r="C145" i="38"/>
  <c r="B145" i="38"/>
  <c r="I144" i="38"/>
  <c r="J146" i="38" s="1"/>
  <c r="F144" i="38"/>
  <c r="D144" i="38"/>
  <c r="C144" i="38"/>
  <c r="B144" i="38"/>
  <c r="I143" i="38"/>
  <c r="F143" i="38"/>
  <c r="D143" i="38"/>
  <c r="C143" i="38"/>
  <c r="B143" i="38"/>
  <c r="I142" i="38"/>
  <c r="J144" i="38" s="1"/>
  <c r="F142" i="38"/>
  <c r="D142" i="38"/>
  <c r="C142" i="38"/>
  <c r="B142" i="38"/>
  <c r="J141" i="38"/>
  <c r="I141" i="38"/>
  <c r="J143" i="38" s="1"/>
  <c r="F141" i="38"/>
  <c r="D141" i="38"/>
  <c r="C141" i="38"/>
  <c r="B141" i="38"/>
  <c r="I140" i="38"/>
  <c r="J142" i="38" s="1"/>
  <c r="F140" i="38"/>
  <c r="D140" i="38"/>
  <c r="C140" i="38"/>
  <c r="B140" i="38"/>
  <c r="I139" i="38"/>
  <c r="F139" i="38"/>
  <c r="D139" i="38"/>
  <c r="C139" i="38"/>
  <c r="B139" i="38"/>
  <c r="I138" i="38"/>
  <c r="J140" i="38" s="1"/>
  <c r="F138" i="38"/>
  <c r="D138" i="38"/>
  <c r="C138" i="38"/>
  <c r="B138" i="38"/>
  <c r="J137" i="38"/>
  <c r="I137" i="38"/>
  <c r="J139" i="38" s="1"/>
  <c r="F137" i="38"/>
  <c r="D137" i="38"/>
  <c r="C137" i="38"/>
  <c r="B137" i="38"/>
  <c r="I136" i="38"/>
  <c r="J138" i="38" s="1"/>
  <c r="F136" i="38"/>
  <c r="D136" i="38"/>
  <c r="C136" i="38"/>
  <c r="B136" i="38"/>
  <c r="I135" i="38"/>
  <c r="F135" i="38"/>
  <c r="D135" i="38"/>
  <c r="C135" i="38"/>
  <c r="B135" i="38"/>
  <c r="I134" i="38"/>
  <c r="J136" i="38" s="1"/>
  <c r="F134" i="38"/>
  <c r="D134" i="38"/>
  <c r="C134" i="38"/>
  <c r="B134" i="38"/>
  <c r="J133" i="38"/>
  <c r="I133" i="38"/>
  <c r="J135" i="38" s="1"/>
  <c r="F133" i="38"/>
  <c r="D133" i="38"/>
  <c r="C133" i="38"/>
  <c r="B133" i="38"/>
  <c r="I132" i="38"/>
  <c r="J134" i="38" s="1"/>
  <c r="F132" i="38"/>
  <c r="D132" i="38"/>
  <c r="C132" i="38"/>
  <c r="B132" i="38"/>
  <c r="I131" i="38"/>
  <c r="F131" i="38"/>
  <c r="D131" i="38"/>
  <c r="C131" i="38"/>
  <c r="B131" i="38"/>
  <c r="I130" i="38"/>
  <c r="J132" i="38" s="1"/>
  <c r="F130" i="38"/>
  <c r="D130" i="38"/>
  <c r="C130" i="38"/>
  <c r="B130" i="38"/>
  <c r="J129" i="38"/>
  <c r="I129" i="38"/>
  <c r="J131" i="38" s="1"/>
  <c r="F129" i="38"/>
  <c r="D129" i="38"/>
  <c r="C129" i="38"/>
  <c r="B129" i="38"/>
  <c r="I128" i="38"/>
  <c r="J130" i="38" s="1"/>
  <c r="F128" i="38"/>
  <c r="D128" i="38"/>
  <c r="C128" i="38"/>
  <c r="B128" i="38"/>
  <c r="I127" i="38"/>
  <c r="F127" i="38"/>
  <c r="D127" i="38"/>
  <c r="C127" i="38"/>
  <c r="B127" i="38"/>
  <c r="I126" i="38"/>
  <c r="J128" i="38" s="1"/>
  <c r="F126" i="38"/>
  <c r="D126" i="38"/>
  <c r="C126" i="38"/>
  <c r="B126" i="38"/>
  <c r="J125" i="38"/>
  <c r="I125" i="38"/>
  <c r="J127" i="38" s="1"/>
  <c r="F125" i="38"/>
  <c r="D125" i="38"/>
  <c r="C125" i="38"/>
  <c r="B125" i="38"/>
  <c r="I124" i="38"/>
  <c r="J126" i="38" s="1"/>
  <c r="F124" i="38"/>
  <c r="D124" i="38"/>
  <c r="C124" i="38"/>
  <c r="B124" i="38"/>
  <c r="I123" i="38"/>
  <c r="F123" i="38"/>
  <c r="D123" i="38"/>
  <c r="C123" i="38"/>
  <c r="B123" i="38"/>
  <c r="I122" i="38"/>
  <c r="J124" i="38" s="1"/>
  <c r="F122" i="38"/>
  <c r="D122" i="38"/>
  <c r="C122" i="38"/>
  <c r="B122" i="38"/>
  <c r="J121" i="38"/>
  <c r="I121" i="38"/>
  <c r="J123" i="38" s="1"/>
  <c r="F121" i="38"/>
  <c r="D121" i="38"/>
  <c r="C121" i="38"/>
  <c r="B121" i="38"/>
  <c r="I120" i="38"/>
  <c r="J122" i="38" s="1"/>
  <c r="F120" i="38"/>
  <c r="D120" i="38"/>
  <c r="C120" i="38"/>
  <c r="B120" i="38"/>
  <c r="I119" i="38"/>
  <c r="F119" i="38"/>
  <c r="D119" i="38"/>
  <c r="C119" i="38"/>
  <c r="B119" i="38"/>
  <c r="I118" i="38"/>
  <c r="J120" i="38" s="1"/>
  <c r="F118" i="38"/>
  <c r="D118" i="38"/>
  <c r="C118" i="38"/>
  <c r="B118" i="38"/>
  <c r="J117" i="38"/>
  <c r="I117" i="38"/>
  <c r="J119" i="38" s="1"/>
  <c r="F117" i="38"/>
  <c r="D117" i="38"/>
  <c r="C117" i="38"/>
  <c r="B117" i="38"/>
  <c r="I116" i="38"/>
  <c r="J118" i="38" s="1"/>
  <c r="F116" i="38"/>
  <c r="D116" i="38"/>
  <c r="C116" i="38"/>
  <c r="B116" i="38"/>
  <c r="I115" i="38"/>
  <c r="F115" i="38"/>
  <c r="D115" i="38"/>
  <c r="C115" i="38"/>
  <c r="B115" i="38"/>
  <c r="I114" i="38"/>
  <c r="J116" i="38" s="1"/>
  <c r="F114" i="38"/>
  <c r="D114" i="38"/>
  <c r="C114" i="38"/>
  <c r="B114" i="38"/>
  <c r="J113" i="38"/>
  <c r="I113" i="38"/>
  <c r="J115" i="38" s="1"/>
  <c r="F113" i="38"/>
  <c r="D113" i="38"/>
  <c r="C113" i="38"/>
  <c r="B113" i="38"/>
  <c r="I112" i="38"/>
  <c r="J114" i="38" s="1"/>
  <c r="F112" i="38"/>
  <c r="D112" i="38"/>
  <c r="C112" i="38"/>
  <c r="B112" i="38"/>
  <c r="I111" i="38"/>
  <c r="F111" i="38"/>
  <c r="D111" i="38"/>
  <c r="C111" i="38"/>
  <c r="B111" i="38"/>
  <c r="I110" i="38"/>
  <c r="J112" i="38" s="1"/>
  <c r="F110" i="38"/>
  <c r="D110" i="38"/>
  <c r="C110" i="38"/>
  <c r="B110" i="38"/>
  <c r="J109" i="38"/>
  <c r="I109" i="38"/>
  <c r="J111" i="38" s="1"/>
  <c r="F109" i="38"/>
  <c r="D109" i="38"/>
  <c r="C109" i="38"/>
  <c r="B109" i="38"/>
  <c r="I108" i="38"/>
  <c r="J110" i="38" s="1"/>
  <c r="F108" i="38"/>
  <c r="D108" i="38"/>
  <c r="C108" i="38"/>
  <c r="B108" i="38"/>
  <c r="I107" i="38"/>
  <c r="F107" i="38"/>
  <c r="D107" i="38"/>
  <c r="C107" i="38"/>
  <c r="B107" i="38"/>
  <c r="I106" i="38"/>
  <c r="J108" i="38" s="1"/>
  <c r="F106" i="38"/>
  <c r="D106" i="38"/>
  <c r="C106" i="38"/>
  <c r="B106" i="38"/>
  <c r="J105" i="38"/>
  <c r="I105" i="38"/>
  <c r="J107" i="38" s="1"/>
  <c r="F105" i="38"/>
  <c r="D105" i="38"/>
  <c r="C105" i="38"/>
  <c r="B105" i="38"/>
  <c r="I104" i="38"/>
  <c r="J106" i="38" s="1"/>
  <c r="F104" i="38"/>
  <c r="D104" i="38"/>
  <c r="C104" i="38"/>
  <c r="B104" i="38"/>
  <c r="I103" i="38"/>
  <c r="F103" i="38"/>
  <c r="D103" i="38"/>
  <c r="C103" i="38"/>
  <c r="B103" i="38"/>
  <c r="I102" i="38"/>
  <c r="J104" i="38" s="1"/>
  <c r="F102" i="38"/>
  <c r="D102" i="38"/>
  <c r="C102" i="38"/>
  <c r="B102" i="38"/>
  <c r="J101" i="38"/>
  <c r="I101" i="38"/>
  <c r="J103" i="38" s="1"/>
  <c r="F101" i="38"/>
  <c r="D101" i="38"/>
  <c r="C101" i="38"/>
  <c r="B101" i="38"/>
  <c r="I100" i="38"/>
  <c r="J102" i="38" s="1"/>
  <c r="F100" i="38"/>
  <c r="D100" i="38"/>
  <c r="C100" i="38"/>
  <c r="B100" i="38"/>
  <c r="I99" i="38"/>
  <c r="F99" i="38"/>
  <c r="D99" i="38"/>
  <c r="C99" i="38"/>
  <c r="B99" i="38"/>
  <c r="I98" i="38"/>
  <c r="J100" i="38" s="1"/>
  <c r="F98" i="38"/>
  <c r="D98" i="38"/>
  <c r="C98" i="38"/>
  <c r="B98" i="38"/>
  <c r="J97" i="38"/>
  <c r="I97" i="38"/>
  <c r="J99" i="38" s="1"/>
  <c r="F97" i="38"/>
  <c r="D97" i="38"/>
  <c r="C97" i="38"/>
  <c r="B97" i="38"/>
  <c r="I96" i="38"/>
  <c r="J98" i="38" s="1"/>
  <c r="F96" i="38"/>
  <c r="D96" i="38"/>
  <c r="C96" i="38"/>
  <c r="B96" i="38"/>
  <c r="I95" i="38"/>
  <c r="F95" i="38"/>
  <c r="D95" i="38"/>
  <c r="C95" i="38"/>
  <c r="B95" i="38"/>
  <c r="I94" i="38"/>
  <c r="J96" i="38" s="1"/>
  <c r="F94" i="38"/>
  <c r="D94" i="38"/>
  <c r="C94" i="38"/>
  <c r="B94" i="38"/>
  <c r="J93" i="38"/>
  <c r="I93" i="38"/>
  <c r="J95" i="38" s="1"/>
  <c r="F93" i="38"/>
  <c r="D93" i="38"/>
  <c r="C93" i="38"/>
  <c r="B93" i="38"/>
  <c r="I92" i="38"/>
  <c r="J94" i="38" s="1"/>
  <c r="F92" i="38"/>
  <c r="D92" i="38"/>
  <c r="C92" i="38"/>
  <c r="B92" i="38"/>
  <c r="I91" i="38"/>
  <c r="F91" i="38"/>
  <c r="D91" i="38"/>
  <c r="C91" i="38"/>
  <c r="B91" i="38"/>
  <c r="I90" i="38"/>
  <c r="J92" i="38" s="1"/>
  <c r="F90" i="38"/>
  <c r="D90" i="38"/>
  <c r="C90" i="38"/>
  <c r="B90" i="38"/>
  <c r="J89" i="38"/>
  <c r="I89" i="38"/>
  <c r="J91" i="38" s="1"/>
  <c r="F89" i="38"/>
  <c r="D89" i="38"/>
  <c r="C89" i="38"/>
  <c r="B89" i="38"/>
  <c r="I88" i="38"/>
  <c r="J90" i="38" s="1"/>
  <c r="F88" i="38"/>
  <c r="D88" i="38"/>
  <c r="C88" i="38"/>
  <c r="B88" i="38"/>
  <c r="I87" i="38"/>
  <c r="F87" i="38"/>
  <c r="D87" i="38"/>
  <c r="C87" i="38"/>
  <c r="B87" i="38"/>
  <c r="I86" i="38"/>
  <c r="J88" i="38" s="1"/>
  <c r="F86" i="38"/>
  <c r="D86" i="38"/>
  <c r="C86" i="38"/>
  <c r="B86" i="38"/>
  <c r="J85" i="38"/>
  <c r="I85" i="38"/>
  <c r="J87" i="38" s="1"/>
  <c r="F85" i="38"/>
  <c r="D85" i="38"/>
  <c r="C85" i="38"/>
  <c r="B85" i="38"/>
  <c r="I84" i="38"/>
  <c r="J86" i="38" s="1"/>
  <c r="F84" i="38"/>
  <c r="D84" i="38"/>
  <c r="C84" i="38"/>
  <c r="B84" i="38"/>
  <c r="I83" i="38"/>
  <c r="F83" i="38"/>
  <c r="D83" i="38"/>
  <c r="C83" i="38"/>
  <c r="B83" i="38"/>
  <c r="I82" i="38"/>
  <c r="J84" i="38" s="1"/>
  <c r="F82" i="38"/>
  <c r="D82" i="38"/>
  <c r="C82" i="38"/>
  <c r="B82" i="38"/>
  <c r="J81" i="38"/>
  <c r="I81" i="38"/>
  <c r="J83" i="38" s="1"/>
  <c r="F81" i="38"/>
  <c r="D81" i="38"/>
  <c r="C81" i="38"/>
  <c r="B81" i="38"/>
  <c r="I80" i="38"/>
  <c r="J82" i="38" s="1"/>
  <c r="F80" i="38"/>
  <c r="D80" i="38"/>
  <c r="C80" i="38"/>
  <c r="B80" i="38"/>
  <c r="I79" i="38"/>
  <c r="F79" i="38"/>
  <c r="D79" i="38"/>
  <c r="C79" i="38"/>
  <c r="B79" i="38"/>
  <c r="I78" i="38"/>
  <c r="J80" i="38" s="1"/>
  <c r="F78" i="38"/>
  <c r="D78" i="38"/>
  <c r="C78" i="38"/>
  <c r="B78" i="38"/>
  <c r="J77" i="38"/>
  <c r="I77" i="38"/>
  <c r="J79" i="38" s="1"/>
  <c r="F77" i="38"/>
  <c r="D77" i="38"/>
  <c r="C77" i="38"/>
  <c r="B77" i="38"/>
  <c r="I76" i="38"/>
  <c r="J78" i="38" s="1"/>
  <c r="F76" i="38"/>
  <c r="D76" i="38"/>
  <c r="C76" i="38"/>
  <c r="B76" i="38"/>
  <c r="I75" i="38"/>
  <c r="F75" i="38"/>
  <c r="D75" i="38"/>
  <c r="C75" i="38"/>
  <c r="B75" i="38"/>
  <c r="I74" i="38"/>
  <c r="J76" i="38" s="1"/>
  <c r="F74" i="38"/>
  <c r="D74" i="38"/>
  <c r="C74" i="38"/>
  <c r="B74" i="38"/>
  <c r="J73" i="38"/>
  <c r="I73" i="38"/>
  <c r="J75" i="38" s="1"/>
  <c r="F73" i="38"/>
  <c r="D73" i="38"/>
  <c r="C73" i="38"/>
  <c r="B73" i="38"/>
  <c r="I72" i="38"/>
  <c r="J74" i="38" s="1"/>
  <c r="F72" i="38"/>
  <c r="D72" i="38"/>
  <c r="C72" i="38"/>
  <c r="B72" i="38"/>
  <c r="I71" i="38"/>
  <c r="F71" i="38"/>
  <c r="D71" i="38"/>
  <c r="C71" i="38"/>
  <c r="B71" i="38"/>
  <c r="I70" i="38"/>
  <c r="J72" i="38" s="1"/>
  <c r="F70" i="38"/>
  <c r="D70" i="38"/>
  <c r="C70" i="38"/>
  <c r="B70" i="38"/>
  <c r="J69" i="38"/>
  <c r="I69" i="38"/>
  <c r="J71" i="38" s="1"/>
  <c r="F69" i="38"/>
  <c r="D69" i="38"/>
  <c r="C69" i="38"/>
  <c r="B69" i="38"/>
  <c r="I68" i="38"/>
  <c r="J70" i="38" s="1"/>
  <c r="F68" i="38"/>
  <c r="D68" i="38"/>
  <c r="C68" i="38"/>
  <c r="B68" i="38"/>
  <c r="I67" i="38"/>
  <c r="F67" i="38"/>
  <c r="D67" i="38"/>
  <c r="C67" i="38"/>
  <c r="B67" i="38"/>
  <c r="I66" i="38"/>
  <c r="J68" i="38" s="1"/>
  <c r="F66" i="38"/>
  <c r="D66" i="38"/>
  <c r="C66" i="38"/>
  <c r="B66" i="38"/>
  <c r="J65" i="38"/>
  <c r="I65" i="38"/>
  <c r="J67" i="38" s="1"/>
  <c r="F65" i="38"/>
  <c r="D65" i="38"/>
  <c r="C65" i="38"/>
  <c r="B65" i="38"/>
  <c r="I64" i="38"/>
  <c r="J66" i="38" s="1"/>
  <c r="F64" i="38"/>
  <c r="D64" i="38"/>
  <c r="C64" i="38"/>
  <c r="B64" i="38"/>
  <c r="I63" i="38"/>
  <c r="F63" i="38"/>
  <c r="D63" i="38"/>
  <c r="C63" i="38"/>
  <c r="B63" i="38"/>
  <c r="I62" i="38"/>
  <c r="J64" i="38" s="1"/>
  <c r="F62" i="38"/>
  <c r="D62" i="38"/>
  <c r="C62" i="38"/>
  <c r="B62" i="38"/>
  <c r="J61" i="38"/>
  <c r="I61" i="38"/>
  <c r="J63" i="38" s="1"/>
  <c r="F61" i="38"/>
  <c r="D61" i="38"/>
  <c r="C61" i="38"/>
  <c r="B61" i="38"/>
  <c r="I60" i="38"/>
  <c r="J62" i="38" s="1"/>
  <c r="F60" i="38"/>
  <c r="D60" i="38"/>
  <c r="C60" i="38"/>
  <c r="B60" i="38"/>
  <c r="I59" i="38"/>
  <c r="F59" i="38"/>
  <c r="D59" i="38"/>
  <c r="C59" i="38"/>
  <c r="B59" i="38"/>
  <c r="I58" i="38"/>
  <c r="J60" i="38" s="1"/>
  <c r="F58" i="38"/>
  <c r="D58" i="38"/>
  <c r="C58" i="38"/>
  <c r="B58" i="38"/>
  <c r="J57" i="38"/>
  <c r="I57" i="38"/>
  <c r="J59" i="38" s="1"/>
  <c r="F57" i="38"/>
  <c r="D57" i="38"/>
  <c r="C57" i="38"/>
  <c r="B57" i="38"/>
  <c r="I56" i="38"/>
  <c r="J58" i="38" s="1"/>
  <c r="F56" i="38"/>
  <c r="D56" i="38"/>
  <c r="C56" i="38"/>
  <c r="B56" i="38"/>
  <c r="I55" i="38"/>
  <c r="F55" i="38"/>
  <c r="D55" i="38"/>
  <c r="C55" i="38"/>
  <c r="B55" i="38"/>
  <c r="I54" i="38"/>
  <c r="J56" i="38" s="1"/>
  <c r="F54" i="38"/>
  <c r="D54" i="38"/>
  <c r="C54" i="38"/>
  <c r="B54" i="38"/>
  <c r="J53" i="38"/>
  <c r="I53" i="38"/>
  <c r="J55" i="38" s="1"/>
  <c r="F53" i="38"/>
  <c r="D53" i="38"/>
  <c r="C53" i="38"/>
  <c r="B53" i="38"/>
  <c r="I52" i="38"/>
  <c r="J54" i="38" s="1"/>
  <c r="F52" i="38"/>
  <c r="D52" i="38"/>
  <c r="C52" i="38"/>
  <c r="B52" i="38"/>
  <c r="I51" i="38"/>
  <c r="F51" i="38"/>
  <c r="D51" i="38"/>
  <c r="C51" i="38"/>
  <c r="B51" i="38"/>
  <c r="I50" i="38"/>
  <c r="J52" i="38" s="1"/>
  <c r="F50" i="38"/>
  <c r="D50" i="38"/>
  <c r="C50" i="38"/>
  <c r="B50" i="38"/>
  <c r="J49" i="38"/>
  <c r="I49" i="38"/>
  <c r="J51" i="38" s="1"/>
  <c r="F49" i="38"/>
  <c r="D49" i="38"/>
  <c r="C49" i="38"/>
  <c r="B49" i="38"/>
  <c r="I48" i="38"/>
  <c r="J50" i="38" s="1"/>
  <c r="F48" i="38"/>
  <c r="D48" i="38"/>
  <c r="C48" i="38"/>
  <c r="B48" i="38"/>
  <c r="I47" i="38"/>
  <c r="F47" i="38"/>
  <c r="D47" i="38"/>
  <c r="C47" i="38"/>
  <c r="B47" i="38"/>
  <c r="I46" i="38"/>
  <c r="J48" i="38" s="1"/>
  <c r="F46" i="38"/>
  <c r="D46" i="38"/>
  <c r="C46" i="38"/>
  <c r="B46" i="38"/>
  <c r="J45" i="38"/>
  <c r="I45" i="38"/>
  <c r="J47" i="38" s="1"/>
  <c r="F45" i="38"/>
  <c r="D45" i="38"/>
  <c r="C45" i="38"/>
  <c r="B45" i="38"/>
  <c r="I44" i="38"/>
  <c r="J46" i="38" s="1"/>
  <c r="F44" i="38"/>
  <c r="D44" i="38"/>
  <c r="C44" i="38"/>
  <c r="B44" i="38"/>
  <c r="I43" i="38"/>
  <c r="F43" i="38"/>
  <c r="D43" i="38"/>
  <c r="C43" i="38"/>
  <c r="B43" i="38"/>
  <c r="I42" i="38"/>
  <c r="J44" i="38" s="1"/>
  <c r="F42" i="38"/>
  <c r="D42" i="38"/>
  <c r="C42" i="38"/>
  <c r="B42" i="38"/>
  <c r="J41" i="38"/>
  <c r="I41" i="38"/>
  <c r="J43" i="38" s="1"/>
  <c r="F41" i="38"/>
  <c r="D41" i="38"/>
  <c r="C41" i="38"/>
  <c r="B41" i="38"/>
  <c r="I40" i="38"/>
  <c r="J42" i="38" s="1"/>
  <c r="F40" i="38"/>
  <c r="D40" i="38"/>
  <c r="C40" i="38"/>
  <c r="B40" i="38"/>
  <c r="I39" i="38"/>
  <c r="F39" i="38"/>
  <c r="D39" i="38"/>
  <c r="C39" i="38"/>
  <c r="B39" i="38"/>
  <c r="I38" i="38"/>
  <c r="J40" i="38" s="1"/>
  <c r="F38" i="38"/>
  <c r="D38" i="38"/>
  <c r="C38" i="38"/>
  <c r="B38" i="38"/>
  <c r="J37" i="38"/>
  <c r="I37" i="38"/>
  <c r="J39" i="38" s="1"/>
  <c r="F37" i="38"/>
  <c r="D37" i="38"/>
  <c r="C37" i="38"/>
  <c r="B37" i="38"/>
  <c r="I36" i="38"/>
  <c r="J38" i="38" s="1"/>
  <c r="F36" i="38"/>
  <c r="D36" i="38"/>
  <c r="C36" i="38"/>
  <c r="B36" i="38"/>
  <c r="I35" i="38"/>
  <c r="F35" i="38"/>
  <c r="D35" i="38"/>
  <c r="C35" i="38"/>
  <c r="B35" i="38"/>
  <c r="I34" i="38"/>
  <c r="J36" i="38" s="1"/>
  <c r="F34" i="38"/>
  <c r="D34" i="38"/>
  <c r="C34" i="38"/>
  <c r="B34" i="38"/>
  <c r="J33" i="38"/>
  <c r="I33" i="38"/>
  <c r="J35" i="38" s="1"/>
  <c r="F33" i="38"/>
  <c r="D33" i="38"/>
  <c r="C33" i="38"/>
  <c r="B33" i="38"/>
  <c r="I32" i="38"/>
  <c r="J34" i="38" s="1"/>
  <c r="F32" i="38"/>
  <c r="D32" i="38"/>
  <c r="C32" i="38"/>
  <c r="B32" i="38"/>
  <c r="I31" i="38"/>
  <c r="F31" i="38"/>
  <c r="D31" i="38"/>
  <c r="C31" i="38"/>
  <c r="B31" i="38"/>
  <c r="I30" i="38"/>
  <c r="J32" i="38" s="1"/>
  <c r="F30" i="38"/>
  <c r="D30" i="38"/>
  <c r="C30" i="38"/>
  <c r="B30" i="38"/>
  <c r="J29" i="38"/>
  <c r="I29" i="38"/>
  <c r="J31" i="38" s="1"/>
  <c r="F29" i="38"/>
  <c r="D29" i="38"/>
  <c r="C29" i="38"/>
  <c r="B29" i="38"/>
  <c r="I28" i="38"/>
  <c r="J30" i="38" s="1"/>
  <c r="F28" i="38"/>
  <c r="D28" i="38"/>
  <c r="C28" i="38"/>
  <c r="B28" i="38"/>
  <c r="I27" i="38"/>
  <c r="F27" i="38"/>
  <c r="D27" i="38"/>
  <c r="C27" i="38"/>
  <c r="B27" i="38"/>
  <c r="I26" i="38"/>
  <c r="J28" i="38" s="1"/>
  <c r="F26" i="38"/>
  <c r="D26" i="38"/>
  <c r="C26" i="38"/>
  <c r="B26" i="38"/>
  <c r="J25" i="38"/>
  <c r="I25" i="38"/>
  <c r="J27" i="38" s="1"/>
  <c r="F25" i="38"/>
  <c r="D25" i="38"/>
  <c r="C25" i="38"/>
  <c r="B25" i="38"/>
  <c r="I24" i="38"/>
  <c r="J26" i="38" s="1"/>
  <c r="F24" i="38"/>
  <c r="D24" i="38"/>
  <c r="C24" i="38"/>
  <c r="B24" i="38"/>
  <c r="I23" i="38"/>
  <c r="F23" i="38"/>
  <c r="D23" i="38"/>
  <c r="C23" i="38"/>
  <c r="B23" i="38"/>
  <c r="I22" i="38"/>
  <c r="J24" i="38" s="1"/>
  <c r="F22" i="38"/>
  <c r="D22" i="38"/>
  <c r="C22" i="38"/>
  <c r="B22" i="38"/>
  <c r="J21" i="38"/>
  <c r="I21" i="38"/>
  <c r="J23" i="38" s="1"/>
  <c r="F21" i="38"/>
  <c r="D21" i="38"/>
  <c r="C21" i="38"/>
  <c r="B21" i="38"/>
  <c r="I20" i="38"/>
  <c r="J22" i="38" s="1"/>
  <c r="F20" i="38"/>
  <c r="D20" i="38"/>
  <c r="C20" i="38"/>
  <c r="B20" i="38"/>
  <c r="I19" i="38"/>
  <c r="F19" i="38"/>
  <c r="D19" i="38"/>
  <c r="C19" i="38"/>
  <c r="B19" i="38"/>
  <c r="I18" i="38"/>
  <c r="J20" i="38" s="1"/>
  <c r="F18" i="38"/>
  <c r="D18" i="38"/>
  <c r="C18" i="38"/>
  <c r="B18" i="38"/>
  <c r="J17" i="38"/>
  <c r="I17" i="38"/>
  <c r="J19" i="38" s="1"/>
  <c r="F17" i="38"/>
  <c r="D17" i="38"/>
  <c r="C17" i="38"/>
  <c r="B17" i="38"/>
  <c r="I16" i="38"/>
  <c r="J18" i="38" s="1"/>
  <c r="F16" i="38"/>
  <c r="D16" i="38"/>
  <c r="C16" i="38"/>
  <c r="B16" i="38"/>
  <c r="I15" i="38"/>
  <c r="F15" i="38"/>
  <c r="D15" i="38"/>
  <c r="C15" i="38"/>
  <c r="B15" i="38"/>
  <c r="I14" i="38"/>
  <c r="J16" i="38" s="1"/>
  <c r="F14" i="38"/>
  <c r="D14" i="38"/>
  <c r="C14" i="38"/>
  <c r="B14" i="38"/>
  <c r="J13" i="38"/>
  <c r="I13" i="38"/>
  <c r="J15" i="38" s="1"/>
  <c r="F13" i="38"/>
  <c r="D13" i="38"/>
  <c r="C13" i="38"/>
  <c r="B13" i="38"/>
  <c r="J12" i="38"/>
  <c r="I12" i="38"/>
  <c r="J14" i="38" s="1"/>
  <c r="F12" i="38"/>
  <c r="D12" i="38"/>
  <c r="J11" i="38"/>
  <c r="I11" i="38"/>
  <c r="F11" i="38"/>
  <c r="D11" i="38"/>
  <c r="G4" i="38"/>
  <c r="K215" i="37"/>
  <c r="J215" i="37"/>
  <c r="I215" i="37"/>
  <c r="D215" i="37"/>
  <c r="C215" i="37"/>
  <c r="A215" i="37"/>
  <c r="K214" i="37"/>
  <c r="J214" i="37"/>
  <c r="I214" i="37"/>
  <c r="D214" i="37"/>
  <c r="C214" i="37"/>
  <c r="A214" i="37"/>
  <c r="K213" i="37"/>
  <c r="J213" i="37"/>
  <c r="I213" i="37"/>
  <c r="D213" i="37"/>
  <c r="C213" i="37"/>
  <c r="A213" i="37"/>
  <c r="K212" i="37"/>
  <c r="J212" i="37"/>
  <c r="I212" i="37"/>
  <c r="D212" i="37"/>
  <c r="C212" i="37"/>
  <c r="A212" i="37"/>
  <c r="K211" i="37"/>
  <c r="J211" i="37"/>
  <c r="I211" i="37"/>
  <c r="D211" i="37"/>
  <c r="C211" i="37"/>
  <c r="A211" i="37"/>
  <c r="K210" i="37"/>
  <c r="J210" i="37"/>
  <c r="I210" i="37"/>
  <c r="D210" i="37"/>
  <c r="C210" i="37"/>
  <c r="A210" i="37"/>
  <c r="K209" i="37"/>
  <c r="J209" i="37"/>
  <c r="I209" i="37"/>
  <c r="D209" i="37"/>
  <c r="C209" i="37"/>
  <c r="A209" i="37"/>
  <c r="K208" i="37"/>
  <c r="J208" i="37"/>
  <c r="I208" i="37"/>
  <c r="D208" i="37"/>
  <c r="C208" i="37"/>
  <c r="A208" i="37"/>
  <c r="K207" i="37"/>
  <c r="J207" i="37"/>
  <c r="I207" i="37"/>
  <c r="D207" i="37"/>
  <c r="C207" i="37"/>
  <c r="A207" i="37"/>
  <c r="K206" i="37"/>
  <c r="J206" i="37"/>
  <c r="I206" i="37"/>
  <c r="D206" i="37"/>
  <c r="C206" i="37"/>
  <c r="A206" i="37"/>
  <c r="K205" i="37"/>
  <c r="J205" i="37"/>
  <c r="I205" i="37"/>
  <c r="D205" i="37"/>
  <c r="C205" i="37"/>
  <c r="A205" i="37"/>
  <c r="K204" i="37"/>
  <c r="J204" i="37"/>
  <c r="I204" i="37"/>
  <c r="D204" i="37"/>
  <c r="C204" i="37"/>
  <c r="A204" i="37"/>
  <c r="K203" i="37"/>
  <c r="J203" i="37"/>
  <c r="I203" i="37"/>
  <c r="D203" i="37"/>
  <c r="C203" i="37"/>
  <c r="A203" i="37"/>
  <c r="K202" i="37"/>
  <c r="J202" i="37"/>
  <c r="I202" i="37"/>
  <c r="D202" i="37"/>
  <c r="C202" i="37"/>
  <c r="A202" i="37"/>
  <c r="K201" i="37"/>
  <c r="J201" i="37"/>
  <c r="I201" i="37"/>
  <c r="D201" i="37"/>
  <c r="C201" i="37"/>
  <c r="A201" i="37"/>
  <c r="K200" i="37"/>
  <c r="J200" i="37"/>
  <c r="I200" i="37"/>
  <c r="D200" i="37"/>
  <c r="C200" i="37"/>
  <c r="A200" i="37"/>
  <c r="K199" i="37"/>
  <c r="J199" i="37"/>
  <c r="I199" i="37"/>
  <c r="D199" i="37"/>
  <c r="C199" i="37"/>
  <c r="A199" i="37"/>
  <c r="K198" i="37"/>
  <c r="J198" i="37"/>
  <c r="I198" i="37"/>
  <c r="D198" i="37"/>
  <c r="C198" i="37"/>
  <c r="A198" i="37"/>
  <c r="K197" i="37"/>
  <c r="J197" i="37"/>
  <c r="I197" i="37"/>
  <c r="D197" i="37"/>
  <c r="C197" i="37"/>
  <c r="A197" i="37"/>
  <c r="K196" i="37"/>
  <c r="J196" i="37"/>
  <c r="I196" i="37"/>
  <c r="D196" i="37"/>
  <c r="C196" i="37"/>
  <c r="A196" i="37"/>
  <c r="K195" i="37"/>
  <c r="J195" i="37"/>
  <c r="I195" i="37"/>
  <c r="D195" i="37"/>
  <c r="C195" i="37"/>
  <c r="A195" i="37"/>
  <c r="K194" i="37"/>
  <c r="J194" i="37"/>
  <c r="I194" i="37"/>
  <c r="D194" i="37"/>
  <c r="C194" i="37"/>
  <c r="A194" i="37"/>
  <c r="K193" i="37"/>
  <c r="J193" i="37"/>
  <c r="I193" i="37"/>
  <c r="D193" i="37"/>
  <c r="C193" i="37"/>
  <c r="A193" i="37"/>
  <c r="K192" i="37"/>
  <c r="J192" i="37"/>
  <c r="I192" i="37"/>
  <c r="D192" i="37"/>
  <c r="C192" i="37"/>
  <c r="A192" i="37"/>
  <c r="K191" i="37"/>
  <c r="J191" i="37"/>
  <c r="I191" i="37"/>
  <c r="D191" i="37"/>
  <c r="C191" i="37"/>
  <c r="A191" i="37"/>
  <c r="K190" i="37"/>
  <c r="J190" i="37"/>
  <c r="I190" i="37"/>
  <c r="D190" i="37"/>
  <c r="C190" i="37"/>
  <c r="A190" i="37"/>
  <c r="K189" i="37"/>
  <c r="J189" i="37"/>
  <c r="I189" i="37"/>
  <c r="D189" i="37"/>
  <c r="C189" i="37"/>
  <c r="A189" i="37"/>
  <c r="K188" i="37"/>
  <c r="J188" i="37"/>
  <c r="I188" i="37"/>
  <c r="D188" i="37"/>
  <c r="C188" i="37"/>
  <c r="A188" i="37"/>
  <c r="K187" i="37"/>
  <c r="J187" i="37"/>
  <c r="I187" i="37"/>
  <c r="D187" i="37"/>
  <c r="C187" i="37"/>
  <c r="A187" i="37"/>
  <c r="K186" i="37"/>
  <c r="J186" i="37"/>
  <c r="I186" i="37"/>
  <c r="D186" i="37"/>
  <c r="C186" i="37"/>
  <c r="A186" i="37"/>
  <c r="K185" i="37"/>
  <c r="J185" i="37"/>
  <c r="I185" i="37"/>
  <c r="D185" i="37"/>
  <c r="C185" i="37"/>
  <c r="A185" i="37"/>
  <c r="K184" i="37"/>
  <c r="J184" i="37"/>
  <c r="I184" i="37"/>
  <c r="D184" i="37"/>
  <c r="C184" i="37"/>
  <c r="A184" i="37"/>
  <c r="K183" i="37"/>
  <c r="J183" i="37"/>
  <c r="I183" i="37"/>
  <c r="D183" i="37"/>
  <c r="C183" i="37"/>
  <c r="A183" i="37"/>
  <c r="K182" i="37"/>
  <c r="J182" i="37"/>
  <c r="I182" i="37"/>
  <c r="D182" i="37"/>
  <c r="C182" i="37"/>
  <c r="A182" i="37"/>
  <c r="K181" i="37"/>
  <c r="J181" i="37"/>
  <c r="I181" i="37"/>
  <c r="D181" i="37"/>
  <c r="C181" i="37"/>
  <c r="A181" i="37"/>
  <c r="K180" i="37"/>
  <c r="J180" i="37"/>
  <c r="I180" i="37"/>
  <c r="D180" i="37"/>
  <c r="C180" i="37"/>
  <c r="A180" i="37"/>
  <c r="K179" i="37"/>
  <c r="J179" i="37"/>
  <c r="I179" i="37"/>
  <c r="D179" i="37"/>
  <c r="C179" i="37"/>
  <c r="A179" i="37"/>
  <c r="K178" i="37"/>
  <c r="J178" i="37"/>
  <c r="I178" i="37"/>
  <c r="D178" i="37"/>
  <c r="C178" i="37"/>
  <c r="A178" i="37"/>
  <c r="K177" i="37"/>
  <c r="J177" i="37"/>
  <c r="I177" i="37"/>
  <c r="D177" i="37"/>
  <c r="C177" i="37"/>
  <c r="A177" i="37"/>
  <c r="K176" i="37"/>
  <c r="J176" i="37"/>
  <c r="I176" i="37"/>
  <c r="D176" i="37"/>
  <c r="C176" i="37"/>
  <c r="A176" i="37"/>
  <c r="K175" i="37"/>
  <c r="J175" i="37"/>
  <c r="I175" i="37"/>
  <c r="D175" i="37"/>
  <c r="C175" i="37"/>
  <c r="A175" i="37"/>
  <c r="K174" i="37"/>
  <c r="J174" i="37"/>
  <c r="I174" i="37"/>
  <c r="D174" i="37"/>
  <c r="C174" i="37"/>
  <c r="A174" i="37"/>
  <c r="K173" i="37"/>
  <c r="J173" i="37"/>
  <c r="I173" i="37"/>
  <c r="D173" i="37"/>
  <c r="C173" i="37"/>
  <c r="A173" i="37"/>
  <c r="K172" i="37"/>
  <c r="J172" i="37"/>
  <c r="I172" i="37"/>
  <c r="D172" i="37"/>
  <c r="C172" i="37"/>
  <c r="A172" i="37"/>
  <c r="K171" i="37"/>
  <c r="J171" i="37"/>
  <c r="I171" i="37"/>
  <c r="D171" i="37"/>
  <c r="C171" i="37"/>
  <c r="A171" i="37"/>
  <c r="K170" i="37"/>
  <c r="J170" i="37"/>
  <c r="I170" i="37"/>
  <c r="D170" i="37"/>
  <c r="C170" i="37"/>
  <c r="A170" i="37"/>
  <c r="K169" i="37"/>
  <c r="J169" i="37"/>
  <c r="I169" i="37"/>
  <c r="D169" i="37"/>
  <c r="C169" i="37"/>
  <c r="A169" i="37"/>
  <c r="K168" i="37"/>
  <c r="J168" i="37"/>
  <c r="I168" i="37"/>
  <c r="D168" i="37"/>
  <c r="C168" i="37"/>
  <c r="A168" i="37"/>
  <c r="K167" i="37"/>
  <c r="J167" i="37"/>
  <c r="I167" i="37"/>
  <c r="D167" i="37"/>
  <c r="C167" i="37"/>
  <c r="A167" i="37"/>
  <c r="K166" i="37"/>
  <c r="J166" i="37"/>
  <c r="I166" i="37"/>
  <c r="D166" i="37"/>
  <c r="C166" i="37"/>
  <c r="A166" i="37"/>
  <c r="K165" i="37"/>
  <c r="J165" i="37"/>
  <c r="I165" i="37"/>
  <c r="D165" i="37"/>
  <c r="C165" i="37"/>
  <c r="A165" i="37"/>
  <c r="K164" i="37"/>
  <c r="J164" i="37"/>
  <c r="I164" i="37"/>
  <c r="D164" i="37"/>
  <c r="C164" i="37"/>
  <c r="A164" i="37"/>
  <c r="K163" i="37"/>
  <c r="J163" i="37"/>
  <c r="I163" i="37"/>
  <c r="D163" i="37"/>
  <c r="C163" i="37"/>
  <c r="A163" i="37"/>
  <c r="K162" i="37"/>
  <c r="J162" i="37"/>
  <c r="I162" i="37"/>
  <c r="D162" i="37"/>
  <c r="C162" i="37"/>
  <c r="A162" i="37"/>
  <c r="K161" i="37"/>
  <c r="J161" i="37"/>
  <c r="I161" i="37"/>
  <c r="D161" i="37"/>
  <c r="C161" i="37"/>
  <c r="A161" i="37"/>
  <c r="K160" i="37"/>
  <c r="J160" i="37"/>
  <c r="I160" i="37"/>
  <c r="D160" i="37"/>
  <c r="C160" i="37"/>
  <c r="A160" i="37"/>
  <c r="K159" i="37"/>
  <c r="J159" i="37"/>
  <c r="I159" i="37"/>
  <c r="D159" i="37"/>
  <c r="C159" i="37"/>
  <c r="A159" i="37"/>
  <c r="K158" i="37"/>
  <c r="J158" i="37"/>
  <c r="I158" i="37"/>
  <c r="D158" i="37"/>
  <c r="C158" i="37"/>
  <c r="A158" i="37"/>
  <c r="K157" i="37"/>
  <c r="J157" i="37"/>
  <c r="I157" i="37"/>
  <c r="D157" i="37"/>
  <c r="C157" i="37"/>
  <c r="A157" i="37"/>
  <c r="K156" i="37"/>
  <c r="J156" i="37"/>
  <c r="I156" i="37"/>
  <c r="D156" i="37"/>
  <c r="C156" i="37"/>
  <c r="A156" i="37"/>
  <c r="K155" i="37"/>
  <c r="J155" i="37"/>
  <c r="I155" i="37"/>
  <c r="D155" i="37"/>
  <c r="C155" i="37"/>
  <c r="A155" i="37"/>
  <c r="K154" i="37"/>
  <c r="J154" i="37"/>
  <c r="I154" i="37"/>
  <c r="D154" i="37"/>
  <c r="C154" i="37"/>
  <c r="A154" i="37"/>
  <c r="K153" i="37"/>
  <c r="J153" i="37"/>
  <c r="I153" i="37"/>
  <c r="D153" i="37"/>
  <c r="C153" i="37"/>
  <c r="A153" i="37"/>
  <c r="K152" i="37"/>
  <c r="J152" i="37"/>
  <c r="I152" i="37"/>
  <c r="D152" i="37"/>
  <c r="C152" i="37"/>
  <c r="A152" i="37"/>
  <c r="K151" i="37"/>
  <c r="J151" i="37"/>
  <c r="I151" i="37"/>
  <c r="D151" i="37"/>
  <c r="C151" i="37"/>
  <c r="A151" i="37"/>
  <c r="K150" i="37"/>
  <c r="J150" i="37"/>
  <c r="I150" i="37"/>
  <c r="D150" i="37"/>
  <c r="C150" i="37"/>
  <c r="A150" i="37"/>
  <c r="K149" i="37"/>
  <c r="J149" i="37"/>
  <c r="I149" i="37"/>
  <c r="D149" i="37"/>
  <c r="C149" i="37"/>
  <c r="A149" i="37"/>
  <c r="K148" i="37"/>
  <c r="J148" i="37"/>
  <c r="I148" i="37"/>
  <c r="D148" i="37"/>
  <c r="C148" i="37"/>
  <c r="A148" i="37"/>
  <c r="K147" i="37"/>
  <c r="J147" i="37"/>
  <c r="I147" i="37"/>
  <c r="D147" i="37"/>
  <c r="C147" i="37"/>
  <c r="A147" i="37"/>
  <c r="K146" i="37"/>
  <c r="J146" i="37"/>
  <c r="I146" i="37"/>
  <c r="D146" i="37"/>
  <c r="C146" i="37"/>
  <c r="A146" i="37"/>
  <c r="K145" i="37"/>
  <c r="J145" i="37"/>
  <c r="I145" i="37"/>
  <c r="D145" i="37"/>
  <c r="C145" i="37"/>
  <c r="A145" i="37"/>
  <c r="K144" i="37"/>
  <c r="J144" i="37"/>
  <c r="I144" i="37"/>
  <c r="D144" i="37"/>
  <c r="C144" i="37"/>
  <c r="A144" i="37"/>
  <c r="K143" i="37"/>
  <c r="J143" i="37"/>
  <c r="I143" i="37"/>
  <c r="D143" i="37"/>
  <c r="C143" i="37"/>
  <c r="A143" i="37"/>
  <c r="K142" i="37"/>
  <c r="J142" i="37"/>
  <c r="I142" i="37"/>
  <c r="D142" i="37"/>
  <c r="C142" i="37"/>
  <c r="A142" i="37"/>
  <c r="K141" i="37"/>
  <c r="J141" i="37"/>
  <c r="I141" i="37"/>
  <c r="D141" i="37"/>
  <c r="C141" i="37"/>
  <c r="A141" i="37"/>
  <c r="K140" i="37"/>
  <c r="J140" i="37"/>
  <c r="I140" i="37"/>
  <c r="D140" i="37"/>
  <c r="C140" i="37"/>
  <c r="A140" i="37"/>
  <c r="K139" i="37"/>
  <c r="J139" i="37"/>
  <c r="I139" i="37"/>
  <c r="D139" i="37"/>
  <c r="C139" i="37"/>
  <c r="A139" i="37"/>
  <c r="K138" i="37"/>
  <c r="J138" i="37"/>
  <c r="I138" i="37"/>
  <c r="D138" i="37"/>
  <c r="C138" i="37"/>
  <c r="A138" i="37"/>
  <c r="K137" i="37"/>
  <c r="J137" i="37"/>
  <c r="I137" i="37"/>
  <c r="D137" i="37"/>
  <c r="C137" i="37"/>
  <c r="A137" i="37"/>
  <c r="K136" i="37"/>
  <c r="J136" i="37"/>
  <c r="I136" i="37"/>
  <c r="D136" i="37"/>
  <c r="C136" i="37"/>
  <c r="A136" i="37"/>
  <c r="K135" i="37"/>
  <c r="J135" i="37"/>
  <c r="I135" i="37"/>
  <c r="D135" i="37"/>
  <c r="C135" i="37"/>
  <c r="A135" i="37"/>
  <c r="K134" i="37"/>
  <c r="J134" i="37"/>
  <c r="I134" i="37"/>
  <c r="D134" i="37"/>
  <c r="C134" i="37"/>
  <c r="A134" i="37"/>
  <c r="K133" i="37"/>
  <c r="J133" i="37"/>
  <c r="I133" i="37"/>
  <c r="D133" i="37"/>
  <c r="C133" i="37"/>
  <c r="A133" i="37"/>
  <c r="K132" i="37"/>
  <c r="J132" i="37"/>
  <c r="I132" i="37"/>
  <c r="D132" i="37"/>
  <c r="C132" i="37"/>
  <c r="A132" i="37"/>
  <c r="K131" i="37"/>
  <c r="J131" i="37"/>
  <c r="I131" i="37"/>
  <c r="D131" i="37"/>
  <c r="C131" i="37"/>
  <c r="A131" i="37"/>
  <c r="K130" i="37"/>
  <c r="J130" i="37"/>
  <c r="I130" i="37"/>
  <c r="D130" i="37"/>
  <c r="C130" i="37"/>
  <c r="A130" i="37"/>
  <c r="K129" i="37"/>
  <c r="J129" i="37"/>
  <c r="I129" i="37"/>
  <c r="D129" i="37"/>
  <c r="C129" i="37"/>
  <c r="A129" i="37"/>
  <c r="K128" i="37"/>
  <c r="J128" i="37"/>
  <c r="I128" i="37"/>
  <c r="D128" i="37"/>
  <c r="C128" i="37"/>
  <c r="A128" i="37"/>
  <c r="K127" i="37"/>
  <c r="J127" i="37"/>
  <c r="I127" i="37"/>
  <c r="D127" i="37"/>
  <c r="C127" i="37"/>
  <c r="A127" i="37"/>
  <c r="K126" i="37"/>
  <c r="J126" i="37"/>
  <c r="I126" i="37"/>
  <c r="D126" i="37"/>
  <c r="C126" i="37"/>
  <c r="A126" i="37"/>
  <c r="K125" i="37"/>
  <c r="J125" i="37"/>
  <c r="I125" i="37"/>
  <c r="D125" i="37"/>
  <c r="C125" i="37"/>
  <c r="A125" i="37"/>
  <c r="K124" i="37"/>
  <c r="J124" i="37"/>
  <c r="I124" i="37"/>
  <c r="D124" i="37"/>
  <c r="C124" i="37"/>
  <c r="A124" i="37"/>
  <c r="K123" i="37"/>
  <c r="J123" i="37"/>
  <c r="I123" i="37"/>
  <c r="D123" i="37"/>
  <c r="C123" i="37"/>
  <c r="A123" i="37"/>
  <c r="K122" i="37"/>
  <c r="J122" i="37"/>
  <c r="I122" i="37"/>
  <c r="D122" i="37"/>
  <c r="C122" i="37"/>
  <c r="A122" i="37"/>
  <c r="K121" i="37"/>
  <c r="J121" i="37"/>
  <c r="I121" i="37"/>
  <c r="D121" i="37"/>
  <c r="C121" i="37"/>
  <c r="A121" i="37"/>
  <c r="K120" i="37"/>
  <c r="J120" i="37"/>
  <c r="I120" i="37"/>
  <c r="D120" i="37"/>
  <c r="C120" i="37"/>
  <c r="A120" i="37"/>
  <c r="K119" i="37"/>
  <c r="J119" i="37"/>
  <c r="I119" i="37"/>
  <c r="D119" i="37"/>
  <c r="C119" i="37"/>
  <c r="A119" i="37"/>
  <c r="K118" i="37"/>
  <c r="J118" i="37"/>
  <c r="I118" i="37"/>
  <c r="D118" i="37"/>
  <c r="C118" i="37"/>
  <c r="A118" i="37"/>
  <c r="K117" i="37"/>
  <c r="J117" i="37"/>
  <c r="I117" i="37"/>
  <c r="D117" i="37"/>
  <c r="C117" i="37"/>
  <c r="A117" i="37"/>
  <c r="K116" i="37"/>
  <c r="J116" i="37"/>
  <c r="I116" i="37"/>
  <c r="D116" i="37"/>
  <c r="C116" i="37"/>
  <c r="A116" i="37"/>
  <c r="K115" i="37"/>
  <c r="J115" i="37"/>
  <c r="I115" i="37"/>
  <c r="D115" i="37"/>
  <c r="C115" i="37"/>
  <c r="A115" i="37"/>
  <c r="K114" i="37"/>
  <c r="J114" i="37"/>
  <c r="I114" i="37"/>
  <c r="D114" i="37"/>
  <c r="C114" i="37"/>
  <c r="A114" i="37"/>
  <c r="K113" i="37"/>
  <c r="J113" i="37"/>
  <c r="I113" i="37"/>
  <c r="D113" i="37"/>
  <c r="C113" i="37"/>
  <c r="A113" i="37"/>
  <c r="K112" i="37"/>
  <c r="J112" i="37"/>
  <c r="I112" i="37"/>
  <c r="D112" i="37"/>
  <c r="C112" i="37"/>
  <c r="A112" i="37"/>
  <c r="K111" i="37"/>
  <c r="J111" i="37"/>
  <c r="I111" i="37"/>
  <c r="D111" i="37"/>
  <c r="C111" i="37"/>
  <c r="A111" i="37"/>
  <c r="K110" i="37"/>
  <c r="J110" i="37"/>
  <c r="I110" i="37"/>
  <c r="D110" i="37"/>
  <c r="C110" i="37"/>
  <c r="A110" i="37"/>
  <c r="K109" i="37"/>
  <c r="J109" i="37"/>
  <c r="I109" i="37"/>
  <c r="D109" i="37"/>
  <c r="C109" i="37"/>
  <c r="A109" i="37"/>
  <c r="K108" i="37"/>
  <c r="J108" i="37"/>
  <c r="I108" i="37"/>
  <c r="D108" i="37"/>
  <c r="C108" i="37"/>
  <c r="A108" i="37"/>
  <c r="K107" i="37"/>
  <c r="J107" i="37"/>
  <c r="I107" i="37"/>
  <c r="D107" i="37"/>
  <c r="C107" i="37"/>
  <c r="A107" i="37"/>
  <c r="K106" i="37"/>
  <c r="J106" i="37"/>
  <c r="I106" i="37"/>
  <c r="D106" i="37"/>
  <c r="C106" i="37"/>
  <c r="A106" i="37"/>
  <c r="K105" i="37"/>
  <c r="J105" i="37"/>
  <c r="I105" i="37"/>
  <c r="D105" i="37"/>
  <c r="C105" i="37"/>
  <c r="A105" i="37"/>
  <c r="K104" i="37"/>
  <c r="J104" i="37"/>
  <c r="I104" i="37"/>
  <c r="D104" i="37"/>
  <c r="C104" i="37"/>
  <c r="A104" i="37"/>
  <c r="K103" i="37"/>
  <c r="J103" i="37"/>
  <c r="I103" i="37"/>
  <c r="D103" i="37"/>
  <c r="C103" i="37"/>
  <c r="A103" i="37"/>
  <c r="K102" i="37"/>
  <c r="J102" i="37"/>
  <c r="I102" i="37"/>
  <c r="D102" i="37"/>
  <c r="C102" i="37"/>
  <c r="A102" i="37"/>
  <c r="K101" i="37"/>
  <c r="J101" i="37"/>
  <c r="I101" i="37"/>
  <c r="D101" i="37"/>
  <c r="C101" i="37"/>
  <c r="A101" i="37"/>
  <c r="K100" i="37"/>
  <c r="J100" i="37"/>
  <c r="I100" i="37"/>
  <c r="D100" i="37"/>
  <c r="C100" i="37"/>
  <c r="A100" i="37"/>
  <c r="K99" i="37"/>
  <c r="J99" i="37"/>
  <c r="I99" i="37"/>
  <c r="D99" i="37"/>
  <c r="C99" i="37"/>
  <c r="A99" i="37"/>
  <c r="K98" i="37"/>
  <c r="J98" i="37"/>
  <c r="I98" i="37"/>
  <c r="D98" i="37"/>
  <c r="C98" i="37"/>
  <c r="A98" i="37"/>
  <c r="K97" i="37"/>
  <c r="J97" i="37"/>
  <c r="I97" i="37"/>
  <c r="D97" i="37"/>
  <c r="C97" i="37"/>
  <c r="A97" i="37"/>
  <c r="K96" i="37"/>
  <c r="J96" i="37"/>
  <c r="I96" i="37"/>
  <c r="D96" i="37"/>
  <c r="C96" i="37"/>
  <c r="A96" i="37"/>
  <c r="K95" i="37"/>
  <c r="J95" i="37"/>
  <c r="I95" i="37"/>
  <c r="D95" i="37"/>
  <c r="C95" i="37"/>
  <c r="A95" i="37"/>
  <c r="K94" i="37"/>
  <c r="J94" i="37"/>
  <c r="I94" i="37"/>
  <c r="D94" i="37"/>
  <c r="C94" i="37"/>
  <c r="A94" i="37"/>
  <c r="K93" i="37"/>
  <c r="J93" i="37"/>
  <c r="I93" i="37"/>
  <c r="D93" i="37"/>
  <c r="C93" i="37"/>
  <c r="A93" i="37"/>
  <c r="K92" i="37"/>
  <c r="J92" i="37"/>
  <c r="I92" i="37"/>
  <c r="D92" i="37"/>
  <c r="C92" i="37"/>
  <c r="A92" i="37"/>
  <c r="K91" i="37"/>
  <c r="J91" i="37"/>
  <c r="I91" i="37"/>
  <c r="D91" i="37"/>
  <c r="C91" i="37"/>
  <c r="A91" i="37"/>
  <c r="K90" i="37"/>
  <c r="J90" i="37"/>
  <c r="I90" i="37"/>
  <c r="D90" i="37"/>
  <c r="C90" i="37"/>
  <c r="A90" i="37"/>
  <c r="K89" i="37"/>
  <c r="J89" i="37"/>
  <c r="I89" i="37"/>
  <c r="D89" i="37"/>
  <c r="C89" i="37"/>
  <c r="A89" i="37"/>
  <c r="K88" i="37"/>
  <c r="J88" i="37"/>
  <c r="I88" i="37"/>
  <c r="D88" i="37"/>
  <c r="C88" i="37"/>
  <c r="A88" i="37"/>
  <c r="K87" i="37"/>
  <c r="J87" i="37"/>
  <c r="I87" i="37"/>
  <c r="D87" i="37"/>
  <c r="C87" i="37"/>
  <c r="A87" i="37"/>
  <c r="K86" i="37"/>
  <c r="J86" i="37"/>
  <c r="I86" i="37"/>
  <c r="D86" i="37"/>
  <c r="C86" i="37"/>
  <c r="A86" i="37"/>
  <c r="K85" i="37"/>
  <c r="J85" i="37"/>
  <c r="I85" i="37"/>
  <c r="D85" i="37"/>
  <c r="C85" i="37"/>
  <c r="A85" i="37"/>
  <c r="K84" i="37"/>
  <c r="J84" i="37"/>
  <c r="I84" i="37"/>
  <c r="D84" i="37"/>
  <c r="C84" i="37"/>
  <c r="A84" i="37"/>
  <c r="K83" i="37"/>
  <c r="J83" i="37"/>
  <c r="I83" i="37"/>
  <c r="D83" i="37"/>
  <c r="C83" i="37"/>
  <c r="A83" i="37"/>
  <c r="K82" i="37"/>
  <c r="J82" i="37"/>
  <c r="I82" i="37"/>
  <c r="D82" i="37"/>
  <c r="C82" i="37"/>
  <c r="A82" i="37"/>
  <c r="K81" i="37"/>
  <c r="J81" i="37"/>
  <c r="I81" i="37"/>
  <c r="D81" i="37"/>
  <c r="C81" i="37"/>
  <c r="A81" i="37"/>
  <c r="K80" i="37"/>
  <c r="J80" i="37"/>
  <c r="I80" i="37"/>
  <c r="D80" i="37"/>
  <c r="C80" i="37"/>
  <c r="A80" i="37"/>
  <c r="K79" i="37"/>
  <c r="J79" i="37"/>
  <c r="I79" i="37"/>
  <c r="D79" i="37"/>
  <c r="C79" i="37"/>
  <c r="A79" i="37"/>
  <c r="K78" i="37"/>
  <c r="J78" i="37"/>
  <c r="I78" i="37"/>
  <c r="D78" i="37"/>
  <c r="C78" i="37"/>
  <c r="A78" i="37"/>
  <c r="K77" i="37"/>
  <c r="J77" i="37"/>
  <c r="I77" i="37"/>
  <c r="D77" i="37"/>
  <c r="C77" i="37"/>
  <c r="A77" i="37"/>
  <c r="K76" i="37"/>
  <c r="J76" i="37"/>
  <c r="I76" i="37"/>
  <c r="D76" i="37"/>
  <c r="C76" i="37"/>
  <c r="A76" i="37"/>
  <c r="K75" i="37"/>
  <c r="J75" i="37"/>
  <c r="I75" i="37"/>
  <c r="D75" i="37"/>
  <c r="C75" i="37"/>
  <c r="A75" i="37"/>
  <c r="K74" i="37"/>
  <c r="J74" i="37"/>
  <c r="I74" i="37"/>
  <c r="D74" i="37"/>
  <c r="C74" i="37"/>
  <c r="A74" i="37"/>
  <c r="K73" i="37"/>
  <c r="J73" i="37"/>
  <c r="I73" i="37"/>
  <c r="D73" i="37"/>
  <c r="C73" i="37"/>
  <c r="A73" i="37"/>
  <c r="K72" i="37"/>
  <c r="J72" i="37"/>
  <c r="I72" i="37"/>
  <c r="D72" i="37"/>
  <c r="C72" i="37"/>
  <c r="A72" i="37"/>
  <c r="K71" i="37"/>
  <c r="J71" i="37"/>
  <c r="I71" i="37"/>
  <c r="D71" i="37"/>
  <c r="C71" i="37"/>
  <c r="A71" i="37"/>
  <c r="K70" i="37"/>
  <c r="J70" i="37"/>
  <c r="I70" i="37"/>
  <c r="D70" i="37"/>
  <c r="C70" i="37"/>
  <c r="A70" i="37"/>
  <c r="K69" i="37"/>
  <c r="J69" i="37"/>
  <c r="I69" i="37"/>
  <c r="D69" i="37"/>
  <c r="C69" i="37"/>
  <c r="A69" i="37"/>
  <c r="K68" i="37"/>
  <c r="J68" i="37"/>
  <c r="I68" i="37"/>
  <c r="D68" i="37"/>
  <c r="C68" i="37"/>
  <c r="A68" i="37"/>
  <c r="K67" i="37"/>
  <c r="J67" i="37"/>
  <c r="I67" i="37"/>
  <c r="D67" i="37"/>
  <c r="C67" i="37"/>
  <c r="A67" i="37"/>
  <c r="K66" i="37"/>
  <c r="J66" i="37"/>
  <c r="I66" i="37"/>
  <c r="D66" i="37"/>
  <c r="C66" i="37"/>
  <c r="A66" i="37"/>
  <c r="K65" i="37"/>
  <c r="J65" i="37"/>
  <c r="I65" i="37"/>
  <c r="D65" i="37"/>
  <c r="C65" i="37"/>
  <c r="A65" i="37"/>
  <c r="K64" i="37"/>
  <c r="J64" i="37"/>
  <c r="I64" i="37"/>
  <c r="D64" i="37"/>
  <c r="C64" i="37"/>
  <c r="A64" i="37"/>
  <c r="K63" i="37"/>
  <c r="J63" i="37"/>
  <c r="I63" i="37"/>
  <c r="D63" i="37"/>
  <c r="C63" i="37"/>
  <c r="A63" i="37"/>
  <c r="K62" i="37"/>
  <c r="J62" i="37"/>
  <c r="I62" i="37"/>
  <c r="D62" i="37"/>
  <c r="C62" i="37"/>
  <c r="A62" i="37"/>
  <c r="K61" i="37"/>
  <c r="J61" i="37"/>
  <c r="I61" i="37"/>
  <c r="D61" i="37"/>
  <c r="C61" i="37"/>
  <c r="A61" i="37"/>
  <c r="K60" i="37"/>
  <c r="J60" i="37"/>
  <c r="I60" i="37"/>
  <c r="D60" i="37"/>
  <c r="C60" i="37"/>
  <c r="A60" i="37"/>
  <c r="K59" i="37"/>
  <c r="J59" i="37"/>
  <c r="I59" i="37"/>
  <c r="D59" i="37"/>
  <c r="C59" i="37"/>
  <c r="A59" i="37"/>
  <c r="K58" i="37"/>
  <c r="J58" i="37"/>
  <c r="I58" i="37"/>
  <c r="D58" i="37"/>
  <c r="C58" i="37"/>
  <c r="A58" i="37"/>
  <c r="K57" i="37"/>
  <c r="J57" i="37"/>
  <c r="I57" i="37"/>
  <c r="D57" i="37"/>
  <c r="C57" i="37"/>
  <c r="A57" i="37"/>
  <c r="K56" i="37"/>
  <c r="J56" i="37"/>
  <c r="I56" i="37"/>
  <c r="D56" i="37"/>
  <c r="C56" i="37"/>
  <c r="A56" i="37"/>
  <c r="K55" i="37"/>
  <c r="J55" i="37"/>
  <c r="I55" i="37"/>
  <c r="D55" i="37"/>
  <c r="C55" i="37"/>
  <c r="A55" i="37"/>
  <c r="K54" i="37"/>
  <c r="J54" i="37"/>
  <c r="I54" i="37"/>
  <c r="D54" i="37"/>
  <c r="C54" i="37"/>
  <c r="A54" i="37"/>
  <c r="K53" i="37"/>
  <c r="J53" i="37"/>
  <c r="I53" i="37"/>
  <c r="D53" i="37"/>
  <c r="C53" i="37"/>
  <c r="A53" i="37"/>
  <c r="K52" i="37"/>
  <c r="J52" i="37"/>
  <c r="I52" i="37"/>
  <c r="D52" i="37"/>
  <c r="C52" i="37"/>
  <c r="A52" i="37"/>
  <c r="K51" i="37"/>
  <c r="J51" i="37"/>
  <c r="I51" i="37"/>
  <c r="D51" i="37"/>
  <c r="C51" i="37"/>
  <c r="A51" i="37"/>
  <c r="K50" i="37"/>
  <c r="J50" i="37"/>
  <c r="I50" i="37"/>
  <c r="D50" i="37"/>
  <c r="C50" i="37"/>
  <c r="A50" i="37"/>
  <c r="K49" i="37"/>
  <c r="J49" i="37"/>
  <c r="I49" i="37"/>
  <c r="D49" i="37"/>
  <c r="C49" i="37"/>
  <c r="A49" i="37"/>
  <c r="K48" i="37"/>
  <c r="J48" i="37"/>
  <c r="I48" i="37"/>
  <c r="D48" i="37"/>
  <c r="C48" i="37"/>
  <c r="A48" i="37"/>
  <c r="K47" i="37"/>
  <c r="J47" i="37"/>
  <c r="I47" i="37"/>
  <c r="D47" i="37"/>
  <c r="C47" i="37"/>
  <c r="A47" i="37"/>
  <c r="K46" i="37"/>
  <c r="J46" i="37"/>
  <c r="I46" i="37"/>
  <c r="D46" i="37"/>
  <c r="C46" i="37"/>
  <c r="A46" i="37"/>
  <c r="K45" i="37"/>
  <c r="J45" i="37"/>
  <c r="I45" i="37"/>
  <c r="D45" i="37"/>
  <c r="C45" i="37"/>
  <c r="A45" i="37"/>
  <c r="K44" i="37"/>
  <c r="J44" i="37"/>
  <c r="I44" i="37"/>
  <c r="D44" i="37"/>
  <c r="C44" i="37"/>
  <c r="A44" i="37"/>
  <c r="K43" i="37"/>
  <c r="J43" i="37"/>
  <c r="I43" i="37"/>
  <c r="D43" i="37"/>
  <c r="C43" i="37"/>
  <c r="A43" i="37"/>
  <c r="K42" i="37"/>
  <c r="J42" i="37"/>
  <c r="I42" i="37"/>
  <c r="D42" i="37"/>
  <c r="C42" i="37"/>
  <c r="A42" i="37"/>
  <c r="K41" i="37"/>
  <c r="J41" i="37"/>
  <c r="I41" i="37"/>
  <c r="D41" i="37"/>
  <c r="C41" i="37"/>
  <c r="A41" i="37"/>
  <c r="K40" i="37"/>
  <c r="J40" i="37"/>
  <c r="I40" i="37"/>
  <c r="D40" i="37"/>
  <c r="C40" i="37"/>
  <c r="A40" i="37"/>
  <c r="K39" i="37"/>
  <c r="J39" i="37"/>
  <c r="I39" i="37"/>
  <c r="D39" i="37"/>
  <c r="C39" i="37"/>
  <c r="A39" i="37"/>
  <c r="K38" i="37"/>
  <c r="J38" i="37"/>
  <c r="I38" i="37"/>
  <c r="D38" i="37"/>
  <c r="C38" i="37"/>
  <c r="A38" i="37"/>
  <c r="K37" i="37"/>
  <c r="J37" i="37"/>
  <c r="I37" i="37"/>
  <c r="D37" i="37"/>
  <c r="C37" i="37"/>
  <c r="A37" i="37"/>
  <c r="K36" i="37"/>
  <c r="J36" i="37"/>
  <c r="I36" i="37"/>
  <c r="D36" i="37"/>
  <c r="C36" i="37"/>
  <c r="A36" i="37"/>
  <c r="K35" i="37"/>
  <c r="J35" i="37"/>
  <c r="I35" i="37"/>
  <c r="D35" i="37"/>
  <c r="C35" i="37"/>
  <c r="A35" i="37"/>
  <c r="K34" i="37"/>
  <c r="J34" i="37"/>
  <c r="I34" i="37"/>
  <c r="D34" i="37"/>
  <c r="C34" i="37"/>
  <c r="A34" i="37"/>
  <c r="K33" i="37"/>
  <c r="J33" i="37"/>
  <c r="I33" i="37"/>
  <c r="D33" i="37"/>
  <c r="C33" i="37"/>
  <c r="A33" i="37"/>
  <c r="K32" i="37"/>
  <c r="J32" i="37"/>
  <c r="I32" i="37"/>
  <c r="D32" i="37"/>
  <c r="C32" i="37"/>
  <c r="A32" i="37"/>
  <c r="K31" i="37"/>
  <c r="J31" i="37"/>
  <c r="I31" i="37"/>
  <c r="D31" i="37"/>
  <c r="C31" i="37"/>
  <c r="A31" i="37"/>
  <c r="K30" i="37"/>
  <c r="J30" i="37"/>
  <c r="I30" i="37"/>
  <c r="D30" i="37"/>
  <c r="C30" i="37"/>
  <c r="A30" i="37"/>
  <c r="K29" i="37"/>
  <c r="J29" i="37"/>
  <c r="I29" i="37"/>
  <c r="D29" i="37"/>
  <c r="C29" i="37"/>
  <c r="A29" i="37"/>
  <c r="K28" i="37"/>
  <c r="J28" i="37"/>
  <c r="I28" i="37"/>
  <c r="D28" i="37"/>
  <c r="C28" i="37"/>
  <c r="A28" i="37"/>
  <c r="K27" i="37"/>
  <c r="J27" i="37"/>
  <c r="I27" i="37"/>
  <c r="D27" i="37"/>
  <c r="C27" i="37"/>
  <c r="A27" i="37"/>
  <c r="K26" i="37"/>
  <c r="J26" i="37"/>
  <c r="I26" i="37"/>
  <c r="D26" i="37"/>
  <c r="C26" i="37"/>
  <c r="A26" i="37"/>
  <c r="K25" i="37"/>
  <c r="J25" i="37"/>
  <c r="I25" i="37"/>
  <c r="D25" i="37"/>
  <c r="C25" i="37"/>
  <c r="A25" i="37"/>
  <c r="K24" i="37"/>
  <c r="J24" i="37"/>
  <c r="I24" i="37"/>
  <c r="D24" i="37"/>
  <c r="C24" i="37"/>
  <c r="A24" i="37"/>
  <c r="K23" i="37"/>
  <c r="J23" i="37"/>
  <c r="I23" i="37"/>
  <c r="D23" i="37"/>
  <c r="C23" i="37"/>
  <c r="A23" i="37"/>
  <c r="K22" i="37"/>
  <c r="J22" i="37"/>
  <c r="I22" i="37"/>
  <c r="D22" i="37"/>
  <c r="C22" i="37"/>
  <c r="A22" i="37"/>
  <c r="K21" i="37"/>
  <c r="J21" i="37"/>
  <c r="I21" i="37"/>
  <c r="D21" i="37"/>
  <c r="C21" i="37"/>
  <c r="A21" i="37"/>
  <c r="K20" i="37"/>
  <c r="J20" i="37"/>
  <c r="I20" i="37"/>
  <c r="D20" i="37"/>
  <c r="C20" i="37"/>
  <c r="A20" i="37"/>
  <c r="K19" i="37"/>
  <c r="I19" i="37"/>
  <c r="D19" i="37"/>
  <c r="C19" i="37"/>
  <c r="A19" i="37"/>
  <c r="K18" i="37"/>
  <c r="I18" i="37"/>
  <c r="D18" i="37"/>
  <c r="C18" i="37"/>
  <c r="A18" i="37"/>
  <c r="K17" i="37"/>
  <c r="J17" i="37"/>
  <c r="I17" i="37"/>
  <c r="J19" i="37" s="1"/>
  <c r="D17" i="37"/>
  <c r="A17" i="37"/>
  <c r="K16" i="37"/>
  <c r="J16" i="37"/>
  <c r="I16" i="37"/>
  <c r="J18" i="37" s="1"/>
  <c r="D16" i="37"/>
  <c r="C16" i="37"/>
  <c r="A16" i="37"/>
  <c r="B11" i="37"/>
  <c r="B10" i="37"/>
  <c r="G4" i="37"/>
  <c r="J210" i="36"/>
  <c r="G210" i="36"/>
  <c r="D210" i="36"/>
  <c r="C210" i="36"/>
  <c r="B210" i="36"/>
  <c r="J209" i="36"/>
  <c r="G209" i="36"/>
  <c r="D209" i="36"/>
  <c r="C209" i="36"/>
  <c r="B209" i="36"/>
  <c r="J208" i="36"/>
  <c r="K210" i="36" s="1"/>
  <c r="G208" i="36"/>
  <c r="D208" i="36"/>
  <c r="C208" i="36"/>
  <c r="B208" i="36"/>
  <c r="J207" i="36"/>
  <c r="K209" i="36" s="1"/>
  <c r="G207" i="36"/>
  <c r="D207" i="36"/>
  <c r="C207" i="36"/>
  <c r="B207" i="36"/>
  <c r="J206" i="36"/>
  <c r="K208" i="36" s="1"/>
  <c r="G206" i="36"/>
  <c r="D206" i="36"/>
  <c r="C206" i="36"/>
  <c r="B206" i="36"/>
  <c r="J205" i="36"/>
  <c r="K207" i="36" s="1"/>
  <c r="G205" i="36"/>
  <c r="D205" i="36"/>
  <c r="C205" i="36"/>
  <c r="B205" i="36"/>
  <c r="J204" i="36"/>
  <c r="K206" i="36" s="1"/>
  <c r="G204" i="36"/>
  <c r="D204" i="36"/>
  <c r="C204" i="36"/>
  <c r="B204" i="36"/>
  <c r="J203" i="36"/>
  <c r="K205" i="36" s="1"/>
  <c r="G203" i="36"/>
  <c r="D203" i="36"/>
  <c r="C203" i="36"/>
  <c r="B203" i="36"/>
  <c r="J202" i="36"/>
  <c r="K204" i="36" s="1"/>
  <c r="G202" i="36"/>
  <c r="D202" i="36"/>
  <c r="C202" i="36"/>
  <c r="B202" i="36"/>
  <c r="J201" i="36"/>
  <c r="K203" i="36" s="1"/>
  <c r="G201" i="36"/>
  <c r="D201" i="36"/>
  <c r="C201" i="36"/>
  <c r="B201" i="36"/>
  <c r="J200" i="36"/>
  <c r="K202" i="36" s="1"/>
  <c r="G200" i="36"/>
  <c r="D200" i="36"/>
  <c r="C200" i="36"/>
  <c r="B200" i="36"/>
  <c r="J199" i="36"/>
  <c r="K201" i="36" s="1"/>
  <c r="G199" i="36"/>
  <c r="D199" i="36"/>
  <c r="C199" i="36"/>
  <c r="B199" i="36"/>
  <c r="J198" i="36"/>
  <c r="K200" i="36" s="1"/>
  <c r="G198" i="36"/>
  <c r="D198" i="36"/>
  <c r="C198" i="36"/>
  <c r="B198" i="36"/>
  <c r="J197" i="36"/>
  <c r="K199" i="36" s="1"/>
  <c r="G197" i="36"/>
  <c r="D197" i="36"/>
  <c r="C197" i="36"/>
  <c r="B197" i="36"/>
  <c r="J196" i="36"/>
  <c r="K198" i="36" s="1"/>
  <c r="G196" i="36"/>
  <c r="D196" i="36"/>
  <c r="C196" i="36"/>
  <c r="B196" i="36"/>
  <c r="J195" i="36"/>
  <c r="K197" i="36" s="1"/>
  <c r="G195" i="36"/>
  <c r="D195" i="36"/>
  <c r="C195" i="36"/>
  <c r="B195" i="36"/>
  <c r="J194" i="36"/>
  <c r="K196" i="36" s="1"/>
  <c r="G194" i="36"/>
  <c r="D194" i="36"/>
  <c r="C194" i="36"/>
  <c r="B194" i="36"/>
  <c r="J193" i="36"/>
  <c r="K195" i="36" s="1"/>
  <c r="G193" i="36"/>
  <c r="D193" i="36"/>
  <c r="C193" i="36"/>
  <c r="B193" i="36"/>
  <c r="J192" i="36"/>
  <c r="K194" i="36" s="1"/>
  <c r="G192" i="36"/>
  <c r="D192" i="36"/>
  <c r="C192" i="36"/>
  <c r="B192" i="36"/>
  <c r="J191" i="36"/>
  <c r="K193" i="36" s="1"/>
  <c r="G191" i="36"/>
  <c r="D191" i="36"/>
  <c r="C191" i="36"/>
  <c r="B191" i="36"/>
  <c r="J190" i="36"/>
  <c r="K192" i="36" s="1"/>
  <c r="G190" i="36"/>
  <c r="D190" i="36"/>
  <c r="C190" i="36"/>
  <c r="B190" i="36"/>
  <c r="J189" i="36"/>
  <c r="K191" i="36" s="1"/>
  <c r="G189" i="36"/>
  <c r="D189" i="36"/>
  <c r="C189" i="36"/>
  <c r="B189" i="36"/>
  <c r="J188" i="36"/>
  <c r="K190" i="36" s="1"/>
  <c r="G188" i="36"/>
  <c r="D188" i="36"/>
  <c r="C188" i="36"/>
  <c r="B188" i="36"/>
  <c r="J187" i="36"/>
  <c r="K189" i="36" s="1"/>
  <c r="G187" i="36"/>
  <c r="D187" i="36"/>
  <c r="C187" i="36"/>
  <c r="B187" i="36"/>
  <c r="J186" i="36"/>
  <c r="K188" i="36" s="1"/>
  <c r="G186" i="36"/>
  <c r="D186" i="36"/>
  <c r="C186" i="36"/>
  <c r="B186" i="36"/>
  <c r="J185" i="36"/>
  <c r="K187" i="36" s="1"/>
  <c r="G185" i="36"/>
  <c r="D185" i="36"/>
  <c r="C185" i="36"/>
  <c r="B185" i="36"/>
  <c r="J184" i="36"/>
  <c r="K186" i="36" s="1"/>
  <c r="G184" i="36"/>
  <c r="D184" i="36"/>
  <c r="C184" i="36"/>
  <c r="B184" i="36"/>
  <c r="J183" i="36"/>
  <c r="K185" i="36" s="1"/>
  <c r="G183" i="36"/>
  <c r="D183" i="36"/>
  <c r="C183" i="36"/>
  <c r="B183" i="36"/>
  <c r="J182" i="36"/>
  <c r="K184" i="36" s="1"/>
  <c r="G182" i="36"/>
  <c r="D182" i="36"/>
  <c r="C182" i="36"/>
  <c r="B182" i="36"/>
  <c r="J181" i="36"/>
  <c r="K183" i="36" s="1"/>
  <c r="G181" i="36"/>
  <c r="D181" i="36"/>
  <c r="C181" i="36"/>
  <c r="B181" i="36"/>
  <c r="J180" i="36"/>
  <c r="K182" i="36" s="1"/>
  <c r="G180" i="36"/>
  <c r="D180" i="36"/>
  <c r="C180" i="36"/>
  <c r="B180" i="36"/>
  <c r="J179" i="36"/>
  <c r="K181" i="36" s="1"/>
  <c r="G179" i="36"/>
  <c r="D179" i="36"/>
  <c r="C179" i="36"/>
  <c r="B179" i="36"/>
  <c r="J178" i="36"/>
  <c r="K180" i="36" s="1"/>
  <c r="G178" i="36"/>
  <c r="D178" i="36"/>
  <c r="C178" i="36"/>
  <c r="B178" i="36"/>
  <c r="J177" i="36"/>
  <c r="K179" i="36" s="1"/>
  <c r="G177" i="36"/>
  <c r="D177" i="36"/>
  <c r="C177" i="36"/>
  <c r="B177" i="36"/>
  <c r="J176" i="36"/>
  <c r="K178" i="36" s="1"/>
  <c r="G176" i="36"/>
  <c r="D176" i="36"/>
  <c r="C176" i="36"/>
  <c r="B176" i="36"/>
  <c r="J175" i="36"/>
  <c r="K177" i="36" s="1"/>
  <c r="G175" i="36"/>
  <c r="D175" i="36"/>
  <c r="C175" i="36"/>
  <c r="B175" i="36"/>
  <c r="J174" i="36"/>
  <c r="K176" i="36" s="1"/>
  <c r="G174" i="36"/>
  <c r="D174" i="36"/>
  <c r="C174" i="36"/>
  <c r="B174" i="36"/>
  <c r="J173" i="36"/>
  <c r="K175" i="36" s="1"/>
  <c r="G173" i="36"/>
  <c r="D173" i="36"/>
  <c r="C173" i="36"/>
  <c r="B173" i="36"/>
  <c r="J172" i="36"/>
  <c r="K174" i="36" s="1"/>
  <c r="G172" i="36"/>
  <c r="D172" i="36"/>
  <c r="C172" i="36"/>
  <c r="B172" i="36"/>
  <c r="J171" i="36"/>
  <c r="K173" i="36" s="1"/>
  <c r="G171" i="36"/>
  <c r="D171" i="36"/>
  <c r="C171" i="36"/>
  <c r="B171" i="36"/>
  <c r="J170" i="36"/>
  <c r="K172" i="36" s="1"/>
  <c r="G170" i="36"/>
  <c r="D170" i="36"/>
  <c r="C170" i="36"/>
  <c r="B170" i="36"/>
  <c r="J169" i="36"/>
  <c r="K171" i="36" s="1"/>
  <c r="G169" i="36"/>
  <c r="D169" i="36"/>
  <c r="C169" i="36"/>
  <c r="B169" i="36"/>
  <c r="J168" i="36"/>
  <c r="K170" i="36" s="1"/>
  <c r="G168" i="36"/>
  <c r="D168" i="36"/>
  <c r="C168" i="36"/>
  <c r="B168" i="36"/>
  <c r="J167" i="36"/>
  <c r="K169" i="36" s="1"/>
  <c r="G167" i="36"/>
  <c r="D167" i="36"/>
  <c r="C167" i="36"/>
  <c r="B167" i="36"/>
  <c r="J166" i="36"/>
  <c r="K168" i="36" s="1"/>
  <c r="G166" i="36"/>
  <c r="D166" i="36"/>
  <c r="C166" i="36"/>
  <c r="B166" i="36"/>
  <c r="J165" i="36"/>
  <c r="K167" i="36" s="1"/>
  <c r="G165" i="36"/>
  <c r="D165" i="36"/>
  <c r="C165" i="36"/>
  <c r="B165" i="36"/>
  <c r="J164" i="36"/>
  <c r="K166" i="36" s="1"/>
  <c r="G164" i="36"/>
  <c r="D164" i="36"/>
  <c r="C164" i="36"/>
  <c r="B164" i="36"/>
  <c r="J163" i="36"/>
  <c r="K165" i="36" s="1"/>
  <c r="G163" i="36"/>
  <c r="D163" i="36"/>
  <c r="C163" i="36"/>
  <c r="B163" i="36"/>
  <c r="J162" i="36"/>
  <c r="K164" i="36" s="1"/>
  <c r="G162" i="36"/>
  <c r="D162" i="36"/>
  <c r="C162" i="36"/>
  <c r="B162" i="36"/>
  <c r="J161" i="36"/>
  <c r="K163" i="36" s="1"/>
  <c r="G161" i="36"/>
  <c r="D161" i="36"/>
  <c r="C161" i="36"/>
  <c r="B161" i="36"/>
  <c r="J160" i="36"/>
  <c r="K162" i="36" s="1"/>
  <c r="G160" i="36"/>
  <c r="D160" i="36"/>
  <c r="C160" i="36"/>
  <c r="B160" i="36"/>
  <c r="J159" i="36"/>
  <c r="K161" i="36" s="1"/>
  <c r="G159" i="36"/>
  <c r="D159" i="36"/>
  <c r="C159" i="36"/>
  <c r="B159" i="36"/>
  <c r="J158" i="36"/>
  <c r="K160" i="36" s="1"/>
  <c r="G158" i="36"/>
  <c r="D158" i="36"/>
  <c r="C158" i="36"/>
  <c r="B158" i="36"/>
  <c r="J157" i="36"/>
  <c r="K159" i="36" s="1"/>
  <c r="G157" i="36"/>
  <c r="D157" i="36"/>
  <c r="C157" i="36"/>
  <c r="B157" i="36"/>
  <c r="J156" i="36"/>
  <c r="K158" i="36" s="1"/>
  <c r="G156" i="36"/>
  <c r="D156" i="36"/>
  <c r="C156" i="36"/>
  <c r="B156" i="36"/>
  <c r="J155" i="36"/>
  <c r="K157" i="36" s="1"/>
  <c r="G155" i="36"/>
  <c r="D155" i="36"/>
  <c r="C155" i="36"/>
  <c r="B155" i="36"/>
  <c r="J154" i="36"/>
  <c r="K156" i="36" s="1"/>
  <c r="G154" i="36"/>
  <c r="D154" i="36"/>
  <c r="C154" i="36"/>
  <c r="B154" i="36"/>
  <c r="J153" i="36"/>
  <c r="K155" i="36" s="1"/>
  <c r="G153" i="36"/>
  <c r="D153" i="36"/>
  <c r="C153" i="36"/>
  <c r="B153" i="36"/>
  <c r="J152" i="36"/>
  <c r="K154" i="36" s="1"/>
  <c r="G152" i="36"/>
  <c r="D152" i="36"/>
  <c r="C152" i="36"/>
  <c r="B152" i="36"/>
  <c r="J151" i="36"/>
  <c r="K153" i="36" s="1"/>
  <c r="G151" i="36"/>
  <c r="D151" i="36"/>
  <c r="C151" i="36"/>
  <c r="B151" i="36"/>
  <c r="J150" i="36"/>
  <c r="K152" i="36" s="1"/>
  <c r="G150" i="36"/>
  <c r="D150" i="36"/>
  <c r="C150" i="36"/>
  <c r="B150" i="36"/>
  <c r="J149" i="36"/>
  <c r="K151" i="36" s="1"/>
  <c r="G149" i="36"/>
  <c r="D149" i="36"/>
  <c r="C149" i="36"/>
  <c r="B149" i="36"/>
  <c r="J148" i="36"/>
  <c r="K150" i="36" s="1"/>
  <c r="G148" i="36"/>
  <c r="D148" i="36"/>
  <c r="C148" i="36"/>
  <c r="B148" i="36"/>
  <c r="J147" i="36"/>
  <c r="K149" i="36" s="1"/>
  <c r="G147" i="36"/>
  <c r="D147" i="36"/>
  <c r="C147" i="36"/>
  <c r="B147" i="36"/>
  <c r="J146" i="36"/>
  <c r="K148" i="36" s="1"/>
  <c r="G146" i="36"/>
  <c r="D146" i="36"/>
  <c r="C146" i="36"/>
  <c r="B146" i="36"/>
  <c r="J145" i="36"/>
  <c r="K147" i="36" s="1"/>
  <c r="G145" i="36"/>
  <c r="D145" i="36"/>
  <c r="C145" i="36"/>
  <c r="B145" i="36"/>
  <c r="J144" i="36"/>
  <c r="K146" i="36" s="1"/>
  <c r="G144" i="36"/>
  <c r="D144" i="36"/>
  <c r="C144" i="36"/>
  <c r="B144" i="36"/>
  <c r="J143" i="36"/>
  <c r="K145" i="36" s="1"/>
  <c r="G143" i="36"/>
  <c r="D143" i="36"/>
  <c r="C143" i="36"/>
  <c r="B143" i="36"/>
  <c r="J142" i="36"/>
  <c r="K144" i="36" s="1"/>
  <c r="G142" i="36"/>
  <c r="D142" i="36"/>
  <c r="C142" i="36"/>
  <c r="B142" i="36"/>
  <c r="J141" i="36"/>
  <c r="K143" i="36" s="1"/>
  <c r="G141" i="36"/>
  <c r="D141" i="36"/>
  <c r="C141" i="36"/>
  <c r="B141" i="36"/>
  <c r="J140" i="36"/>
  <c r="K142" i="36" s="1"/>
  <c r="G140" i="36"/>
  <c r="D140" i="36"/>
  <c r="C140" i="36"/>
  <c r="B140" i="36"/>
  <c r="J139" i="36"/>
  <c r="K141" i="36" s="1"/>
  <c r="G139" i="36"/>
  <c r="D139" i="36"/>
  <c r="C139" i="36"/>
  <c r="B139" i="36"/>
  <c r="J138" i="36"/>
  <c r="K140" i="36" s="1"/>
  <c r="G138" i="36"/>
  <c r="D138" i="36"/>
  <c r="C138" i="36"/>
  <c r="B138" i="36"/>
  <c r="J137" i="36"/>
  <c r="K139" i="36" s="1"/>
  <c r="G137" i="36"/>
  <c r="D137" i="36"/>
  <c r="C137" i="36"/>
  <c r="B137" i="36"/>
  <c r="J136" i="36"/>
  <c r="K138" i="36" s="1"/>
  <c r="G136" i="36"/>
  <c r="D136" i="36"/>
  <c r="C136" i="36"/>
  <c r="B136" i="36"/>
  <c r="J135" i="36"/>
  <c r="K137" i="36" s="1"/>
  <c r="G135" i="36"/>
  <c r="D135" i="36"/>
  <c r="C135" i="36"/>
  <c r="B135" i="36"/>
  <c r="J134" i="36"/>
  <c r="K136" i="36" s="1"/>
  <c r="G134" i="36"/>
  <c r="D134" i="36"/>
  <c r="C134" i="36"/>
  <c r="B134" i="36"/>
  <c r="J133" i="36"/>
  <c r="K135" i="36" s="1"/>
  <c r="G133" i="36"/>
  <c r="D133" i="36"/>
  <c r="C133" i="36"/>
  <c r="B133" i="36"/>
  <c r="J132" i="36"/>
  <c r="K134" i="36" s="1"/>
  <c r="G132" i="36"/>
  <c r="D132" i="36"/>
  <c r="C132" i="36"/>
  <c r="B132" i="36"/>
  <c r="J131" i="36"/>
  <c r="K133" i="36" s="1"/>
  <c r="G131" i="36"/>
  <c r="D131" i="36"/>
  <c r="C131" i="36"/>
  <c r="B131" i="36"/>
  <c r="J130" i="36"/>
  <c r="K132" i="36" s="1"/>
  <c r="G130" i="36"/>
  <c r="D130" i="36"/>
  <c r="C130" i="36"/>
  <c r="B130" i="36"/>
  <c r="J129" i="36"/>
  <c r="K131" i="36" s="1"/>
  <c r="G129" i="36"/>
  <c r="D129" i="36"/>
  <c r="C129" i="36"/>
  <c r="B129" i="36"/>
  <c r="J128" i="36"/>
  <c r="K130" i="36" s="1"/>
  <c r="G128" i="36"/>
  <c r="D128" i="36"/>
  <c r="C128" i="36"/>
  <c r="B128" i="36"/>
  <c r="J127" i="36"/>
  <c r="K129" i="36" s="1"/>
  <c r="G127" i="36"/>
  <c r="D127" i="36"/>
  <c r="C127" i="36"/>
  <c r="B127" i="36"/>
  <c r="J126" i="36"/>
  <c r="K128" i="36" s="1"/>
  <c r="G126" i="36"/>
  <c r="D126" i="36"/>
  <c r="C126" i="36"/>
  <c r="B126" i="36"/>
  <c r="J125" i="36"/>
  <c r="K127" i="36" s="1"/>
  <c r="G125" i="36"/>
  <c r="D125" i="36"/>
  <c r="C125" i="36"/>
  <c r="B125" i="36"/>
  <c r="J124" i="36"/>
  <c r="K126" i="36" s="1"/>
  <c r="G124" i="36"/>
  <c r="D124" i="36"/>
  <c r="C124" i="36"/>
  <c r="B124" i="36"/>
  <c r="J123" i="36"/>
  <c r="K125" i="36" s="1"/>
  <c r="G123" i="36"/>
  <c r="D123" i="36"/>
  <c r="C123" i="36"/>
  <c r="B123" i="36"/>
  <c r="J122" i="36"/>
  <c r="K124" i="36" s="1"/>
  <c r="G122" i="36"/>
  <c r="D122" i="36"/>
  <c r="C122" i="36"/>
  <c r="B122" i="36"/>
  <c r="J121" i="36"/>
  <c r="K123" i="36" s="1"/>
  <c r="G121" i="36"/>
  <c r="D121" i="36"/>
  <c r="C121" i="36"/>
  <c r="B121" i="36"/>
  <c r="J120" i="36"/>
  <c r="K122" i="36" s="1"/>
  <c r="G120" i="36"/>
  <c r="D120" i="36"/>
  <c r="C120" i="36"/>
  <c r="B120" i="36"/>
  <c r="J119" i="36"/>
  <c r="K121" i="36" s="1"/>
  <c r="G119" i="36"/>
  <c r="D119" i="36"/>
  <c r="C119" i="36"/>
  <c r="B119" i="36"/>
  <c r="J118" i="36"/>
  <c r="K120" i="36" s="1"/>
  <c r="G118" i="36"/>
  <c r="D118" i="36"/>
  <c r="C118" i="36"/>
  <c r="B118" i="36"/>
  <c r="J117" i="36"/>
  <c r="K119" i="36" s="1"/>
  <c r="G117" i="36"/>
  <c r="D117" i="36"/>
  <c r="C117" i="36"/>
  <c r="B117" i="36"/>
  <c r="J116" i="36"/>
  <c r="K118" i="36" s="1"/>
  <c r="G116" i="36"/>
  <c r="D116" i="36"/>
  <c r="C116" i="36"/>
  <c r="B116" i="36"/>
  <c r="J115" i="36"/>
  <c r="K117" i="36" s="1"/>
  <c r="G115" i="36"/>
  <c r="D115" i="36"/>
  <c r="C115" i="36"/>
  <c r="B115" i="36"/>
  <c r="J114" i="36"/>
  <c r="K116" i="36" s="1"/>
  <c r="G114" i="36"/>
  <c r="D114" i="36"/>
  <c r="C114" i="36"/>
  <c r="B114" i="36"/>
  <c r="J113" i="36"/>
  <c r="K115" i="36" s="1"/>
  <c r="G113" i="36"/>
  <c r="D113" i="36"/>
  <c r="C113" i="36"/>
  <c r="B113" i="36"/>
  <c r="J112" i="36"/>
  <c r="K114" i="36" s="1"/>
  <c r="G112" i="36"/>
  <c r="D112" i="36"/>
  <c r="C112" i="36"/>
  <c r="B112" i="36"/>
  <c r="J111" i="36"/>
  <c r="K113" i="36" s="1"/>
  <c r="G111" i="36"/>
  <c r="D111" i="36"/>
  <c r="C111" i="36"/>
  <c r="B111" i="36"/>
  <c r="J110" i="36"/>
  <c r="K112" i="36" s="1"/>
  <c r="G110" i="36"/>
  <c r="D110" i="36"/>
  <c r="C110" i="36"/>
  <c r="B110" i="36"/>
  <c r="J109" i="36"/>
  <c r="K111" i="36" s="1"/>
  <c r="G109" i="36"/>
  <c r="D109" i="36"/>
  <c r="C109" i="36"/>
  <c r="B109" i="36"/>
  <c r="J108" i="36"/>
  <c r="K110" i="36" s="1"/>
  <c r="G108" i="36"/>
  <c r="D108" i="36"/>
  <c r="C108" i="36"/>
  <c r="B108" i="36"/>
  <c r="J107" i="36"/>
  <c r="K109" i="36" s="1"/>
  <c r="G107" i="36"/>
  <c r="D107" i="36"/>
  <c r="C107" i="36"/>
  <c r="B107" i="36"/>
  <c r="J106" i="36"/>
  <c r="K108" i="36" s="1"/>
  <c r="G106" i="36"/>
  <c r="D106" i="36"/>
  <c r="C106" i="36"/>
  <c r="B106" i="36"/>
  <c r="J105" i="36"/>
  <c r="K107" i="36" s="1"/>
  <c r="G105" i="36"/>
  <c r="D105" i="36"/>
  <c r="C105" i="36"/>
  <c r="B105" i="36"/>
  <c r="J104" i="36"/>
  <c r="K106" i="36" s="1"/>
  <c r="G104" i="36"/>
  <c r="D104" i="36"/>
  <c r="C104" i="36"/>
  <c r="B104" i="36"/>
  <c r="J103" i="36"/>
  <c r="K105" i="36" s="1"/>
  <c r="G103" i="36"/>
  <c r="D103" i="36"/>
  <c r="C103" i="36"/>
  <c r="B103" i="36"/>
  <c r="J102" i="36"/>
  <c r="K104" i="36" s="1"/>
  <c r="G102" i="36"/>
  <c r="D102" i="36"/>
  <c r="C102" i="36"/>
  <c r="B102" i="36"/>
  <c r="J101" i="36"/>
  <c r="K103" i="36" s="1"/>
  <c r="G101" i="36"/>
  <c r="D101" i="36"/>
  <c r="C101" i="36"/>
  <c r="B101" i="36"/>
  <c r="J100" i="36"/>
  <c r="K102" i="36" s="1"/>
  <c r="G100" i="36"/>
  <c r="D100" i="36"/>
  <c r="C100" i="36"/>
  <c r="B100" i="36"/>
  <c r="J99" i="36"/>
  <c r="K101" i="36" s="1"/>
  <c r="G99" i="36"/>
  <c r="D99" i="36"/>
  <c r="C99" i="36"/>
  <c r="B99" i="36"/>
  <c r="J98" i="36"/>
  <c r="K100" i="36" s="1"/>
  <c r="G98" i="36"/>
  <c r="D98" i="36"/>
  <c r="C98" i="36"/>
  <c r="B98" i="36"/>
  <c r="J97" i="36"/>
  <c r="K99" i="36" s="1"/>
  <c r="G97" i="36"/>
  <c r="D97" i="36"/>
  <c r="C97" i="36"/>
  <c r="B97" i="36"/>
  <c r="J96" i="36"/>
  <c r="K98" i="36" s="1"/>
  <c r="G96" i="36"/>
  <c r="D96" i="36"/>
  <c r="C96" i="36"/>
  <c r="B96" i="36"/>
  <c r="J95" i="36"/>
  <c r="K97" i="36" s="1"/>
  <c r="G95" i="36"/>
  <c r="D95" i="36"/>
  <c r="C95" i="36"/>
  <c r="B95" i="36"/>
  <c r="J94" i="36"/>
  <c r="K96" i="36" s="1"/>
  <c r="G94" i="36"/>
  <c r="D94" i="36"/>
  <c r="C94" i="36"/>
  <c r="B94" i="36"/>
  <c r="J93" i="36"/>
  <c r="K95" i="36" s="1"/>
  <c r="G93" i="36"/>
  <c r="D93" i="36"/>
  <c r="C93" i="36"/>
  <c r="B93" i="36"/>
  <c r="J92" i="36"/>
  <c r="K94" i="36" s="1"/>
  <c r="G92" i="36"/>
  <c r="D92" i="36"/>
  <c r="C92" i="36"/>
  <c r="B92" i="36"/>
  <c r="J91" i="36"/>
  <c r="K93" i="36" s="1"/>
  <c r="G91" i="36"/>
  <c r="D91" i="36"/>
  <c r="C91" i="36"/>
  <c r="B91" i="36"/>
  <c r="J90" i="36"/>
  <c r="K92" i="36" s="1"/>
  <c r="G90" i="36"/>
  <c r="D90" i="36"/>
  <c r="C90" i="36"/>
  <c r="B90" i="36"/>
  <c r="J89" i="36"/>
  <c r="K91" i="36" s="1"/>
  <c r="G89" i="36"/>
  <c r="D89" i="36"/>
  <c r="C89" i="36"/>
  <c r="B89" i="36"/>
  <c r="J88" i="36"/>
  <c r="K90" i="36" s="1"/>
  <c r="G88" i="36"/>
  <c r="D88" i="36"/>
  <c r="C88" i="36"/>
  <c r="B88" i="36"/>
  <c r="J87" i="36"/>
  <c r="K89" i="36" s="1"/>
  <c r="G87" i="36"/>
  <c r="D87" i="36"/>
  <c r="C87" i="36"/>
  <c r="B87" i="36"/>
  <c r="J86" i="36"/>
  <c r="K88" i="36" s="1"/>
  <c r="G86" i="36"/>
  <c r="D86" i="36"/>
  <c r="C86" i="36"/>
  <c r="B86" i="36"/>
  <c r="J85" i="36"/>
  <c r="K87" i="36" s="1"/>
  <c r="G85" i="36"/>
  <c r="D85" i="36"/>
  <c r="C85" i="36"/>
  <c r="B85" i="36"/>
  <c r="J84" i="36"/>
  <c r="K86" i="36" s="1"/>
  <c r="G84" i="36"/>
  <c r="D84" i="36"/>
  <c r="C84" i="36"/>
  <c r="B84" i="36"/>
  <c r="J83" i="36"/>
  <c r="K85" i="36" s="1"/>
  <c r="G83" i="36"/>
  <c r="D83" i="36"/>
  <c r="C83" i="36"/>
  <c r="B83" i="36"/>
  <c r="J82" i="36"/>
  <c r="K84" i="36" s="1"/>
  <c r="G82" i="36"/>
  <c r="D82" i="36"/>
  <c r="C82" i="36"/>
  <c r="B82" i="36"/>
  <c r="J81" i="36"/>
  <c r="K83" i="36" s="1"/>
  <c r="G81" i="36"/>
  <c r="D81" i="36"/>
  <c r="C81" i="36"/>
  <c r="B81" i="36"/>
  <c r="J80" i="36"/>
  <c r="K82" i="36" s="1"/>
  <c r="G80" i="36"/>
  <c r="D80" i="36"/>
  <c r="C80" i="36"/>
  <c r="B80" i="36"/>
  <c r="J79" i="36"/>
  <c r="K81" i="36" s="1"/>
  <c r="G79" i="36"/>
  <c r="D79" i="36"/>
  <c r="C79" i="36"/>
  <c r="B79" i="36"/>
  <c r="J78" i="36"/>
  <c r="K80" i="36" s="1"/>
  <c r="G78" i="36"/>
  <c r="D78" i="36"/>
  <c r="C78" i="36"/>
  <c r="B78" i="36"/>
  <c r="J77" i="36"/>
  <c r="K79" i="36" s="1"/>
  <c r="G77" i="36"/>
  <c r="D77" i="36"/>
  <c r="C77" i="36"/>
  <c r="B77" i="36"/>
  <c r="J76" i="36"/>
  <c r="K78" i="36" s="1"/>
  <c r="G76" i="36"/>
  <c r="D76" i="36"/>
  <c r="C76" i="36"/>
  <c r="B76" i="36"/>
  <c r="J75" i="36"/>
  <c r="K77" i="36" s="1"/>
  <c r="G75" i="36"/>
  <c r="D75" i="36"/>
  <c r="C75" i="36"/>
  <c r="B75" i="36"/>
  <c r="J74" i="36"/>
  <c r="K76" i="36" s="1"/>
  <c r="G74" i="36"/>
  <c r="D74" i="36"/>
  <c r="C74" i="36"/>
  <c r="B74" i="36"/>
  <c r="J73" i="36"/>
  <c r="K75" i="36" s="1"/>
  <c r="G73" i="36"/>
  <c r="D73" i="36"/>
  <c r="C73" i="36"/>
  <c r="B73" i="36"/>
  <c r="J72" i="36"/>
  <c r="K74" i="36" s="1"/>
  <c r="G72" i="36"/>
  <c r="D72" i="36"/>
  <c r="C72" i="36"/>
  <c r="B72" i="36"/>
  <c r="J71" i="36"/>
  <c r="K73" i="36" s="1"/>
  <c r="G71" i="36"/>
  <c r="D71" i="36"/>
  <c r="C71" i="36"/>
  <c r="B71" i="36"/>
  <c r="J70" i="36"/>
  <c r="K72" i="36" s="1"/>
  <c r="G70" i="36"/>
  <c r="D70" i="36"/>
  <c r="C70" i="36"/>
  <c r="B70" i="36"/>
  <c r="J69" i="36"/>
  <c r="K71" i="36" s="1"/>
  <c r="G69" i="36"/>
  <c r="D69" i="36"/>
  <c r="C69" i="36"/>
  <c r="B69" i="36"/>
  <c r="J68" i="36"/>
  <c r="K70" i="36" s="1"/>
  <c r="G68" i="36"/>
  <c r="D68" i="36"/>
  <c r="C68" i="36"/>
  <c r="B68" i="36"/>
  <c r="J67" i="36"/>
  <c r="K69" i="36" s="1"/>
  <c r="G67" i="36"/>
  <c r="D67" i="36"/>
  <c r="C67" i="36"/>
  <c r="B67" i="36"/>
  <c r="J66" i="36"/>
  <c r="K68" i="36" s="1"/>
  <c r="G66" i="36"/>
  <c r="D66" i="36"/>
  <c r="C66" i="36"/>
  <c r="B66" i="36"/>
  <c r="J65" i="36"/>
  <c r="K67" i="36" s="1"/>
  <c r="G65" i="36"/>
  <c r="D65" i="36"/>
  <c r="C65" i="36"/>
  <c r="B65" i="36"/>
  <c r="J64" i="36"/>
  <c r="K66" i="36" s="1"/>
  <c r="G64" i="36"/>
  <c r="D64" i="36"/>
  <c r="C64" i="36"/>
  <c r="B64" i="36"/>
  <c r="J63" i="36"/>
  <c r="K65" i="36" s="1"/>
  <c r="G63" i="36"/>
  <c r="D63" i="36"/>
  <c r="C63" i="36"/>
  <c r="B63" i="36"/>
  <c r="J62" i="36"/>
  <c r="K64" i="36" s="1"/>
  <c r="G62" i="36"/>
  <c r="D62" i="36"/>
  <c r="C62" i="36"/>
  <c r="B62" i="36"/>
  <c r="J61" i="36"/>
  <c r="K63" i="36" s="1"/>
  <c r="G61" i="36"/>
  <c r="D61" i="36"/>
  <c r="C61" i="36"/>
  <c r="B61" i="36"/>
  <c r="J60" i="36"/>
  <c r="K62" i="36" s="1"/>
  <c r="G60" i="36"/>
  <c r="D60" i="36"/>
  <c r="C60" i="36"/>
  <c r="B60" i="36"/>
  <c r="J59" i="36"/>
  <c r="K61" i="36" s="1"/>
  <c r="G59" i="36"/>
  <c r="D59" i="36"/>
  <c r="C59" i="36"/>
  <c r="B59" i="36"/>
  <c r="J58" i="36"/>
  <c r="K60" i="36" s="1"/>
  <c r="G58" i="36"/>
  <c r="D58" i="36"/>
  <c r="C58" i="36"/>
  <c r="B58" i="36"/>
  <c r="J57" i="36"/>
  <c r="K59" i="36" s="1"/>
  <c r="G57" i="36"/>
  <c r="D57" i="36"/>
  <c r="C57" i="36"/>
  <c r="B57" i="36"/>
  <c r="J56" i="36"/>
  <c r="K58" i="36" s="1"/>
  <c r="G56" i="36"/>
  <c r="D56" i="36"/>
  <c r="C56" i="36"/>
  <c r="B56" i="36"/>
  <c r="J55" i="36"/>
  <c r="K57" i="36" s="1"/>
  <c r="G55" i="36"/>
  <c r="D55" i="36"/>
  <c r="C55" i="36"/>
  <c r="B55" i="36"/>
  <c r="J54" i="36"/>
  <c r="K56" i="36" s="1"/>
  <c r="G54" i="36"/>
  <c r="D54" i="36"/>
  <c r="C54" i="36"/>
  <c r="B54" i="36"/>
  <c r="J53" i="36"/>
  <c r="K55" i="36" s="1"/>
  <c r="G53" i="36"/>
  <c r="D53" i="36"/>
  <c r="C53" i="36"/>
  <c r="B53" i="36"/>
  <c r="J52" i="36"/>
  <c r="K54" i="36" s="1"/>
  <c r="G52" i="36"/>
  <c r="D52" i="36"/>
  <c r="C52" i="36"/>
  <c r="B52" i="36"/>
  <c r="J51" i="36"/>
  <c r="K53" i="36" s="1"/>
  <c r="G51" i="36"/>
  <c r="D51" i="36"/>
  <c r="C51" i="36"/>
  <c r="B51" i="36"/>
  <c r="J50" i="36"/>
  <c r="K52" i="36" s="1"/>
  <c r="G50" i="36"/>
  <c r="D50" i="36"/>
  <c r="C50" i="36"/>
  <c r="B50" i="36"/>
  <c r="J49" i="36"/>
  <c r="K51" i="36" s="1"/>
  <c r="G49" i="36"/>
  <c r="D49" i="36"/>
  <c r="C49" i="36"/>
  <c r="B49" i="36"/>
  <c r="J48" i="36"/>
  <c r="K50" i="36" s="1"/>
  <c r="G48" i="36"/>
  <c r="D48" i="36"/>
  <c r="C48" i="36"/>
  <c r="B48" i="36"/>
  <c r="J47" i="36"/>
  <c r="K49" i="36" s="1"/>
  <c r="G47" i="36"/>
  <c r="D47" i="36"/>
  <c r="C47" i="36"/>
  <c r="B47" i="36"/>
  <c r="J46" i="36"/>
  <c r="K48" i="36" s="1"/>
  <c r="G46" i="36"/>
  <c r="D46" i="36"/>
  <c r="C46" i="36"/>
  <c r="B46" i="36"/>
  <c r="J45" i="36"/>
  <c r="K47" i="36" s="1"/>
  <c r="G45" i="36"/>
  <c r="D45" i="36"/>
  <c r="C45" i="36"/>
  <c r="B45" i="36"/>
  <c r="J44" i="36"/>
  <c r="K46" i="36" s="1"/>
  <c r="G44" i="36"/>
  <c r="D44" i="36"/>
  <c r="C44" i="36"/>
  <c r="B44" i="36"/>
  <c r="J43" i="36"/>
  <c r="K45" i="36" s="1"/>
  <c r="G43" i="36"/>
  <c r="D43" i="36"/>
  <c r="C43" i="36"/>
  <c r="B43" i="36"/>
  <c r="J42" i="36"/>
  <c r="K44" i="36" s="1"/>
  <c r="G42" i="36"/>
  <c r="D42" i="36"/>
  <c r="C42" i="36"/>
  <c r="B42" i="36"/>
  <c r="J41" i="36"/>
  <c r="K43" i="36" s="1"/>
  <c r="G41" i="36"/>
  <c r="D41" i="36"/>
  <c r="C41" i="36"/>
  <c r="B41" i="36"/>
  <c r="J40" i="36"/>
  <c r="K42" i="36" s="1"/>
  <c r="G40" i="36"/>
  <c r="D40" i="36"/>
  <c r="C40" i="36"/>
  <c r="B40" i="36"/>
  <c r="J39" i="36"/>
  <c r="K41" i="36" s="1"/>
  <c r="G39" i="36"/>
  <c r="D39" i="36"/>
  <c r="C39" i="36"/>
  <c r="B39" i="36"/>
  <c r="J38" i="36"/>
  <c r="K40" i="36" s="1"/>
  <c r="G38" i="36"/>
  <c r="D38" i="36"/>
  <c r="C38" i="36"/>
  <c r="B38" i="36"/>
  <c r="J37" i="36"/>
  <c r="K39" i="36" s="1"/>
  <c r="G37" i="36"/>
  <c r="D37" i="36"/>
  <c r="C37" i="36"/>
  <c r="B37" i="36"/>
  <c r="J36" i="36"/>
  <c r="K38" i="36" s="1"/>
  <c r="G36" i="36"/>
  <c r="D36" i="36"/>
  <c r="C36" i="36"/>
  <c r="B36" i="36"/>
  <c r="J35" i="36"/>
  <c r="K37" i="36" s="1"/>
  <c r="G35" i="36"/>
  <c r="D35" i="36"/>
  <c r="C35" i="36"/>
  <c r="B35" i="36"/>
  <c r="J34" i="36"/>
  <c r="K36" i="36" s="1"/>
  <c r="G34" i="36"/>
  <c r="D34" i="36"/>
  <c r="C34" i="36"/>
  <c r="B34" i="36"/>
  <c r="J33" i="36"/>
  <c r="K35" i="36" s="1"/>
  <c r="G33" i="36"/>
  <c r="D33" i="36"/>
  <c r="C33" i="36"/>
  <c r="B33" i="36"/>
  <c r="J32" i="36"/>
  <c r="K34" i="36" s="1"/>
  <c r="G32" i="36"/>
  <c r="D32" i="36"/>
  <c r="C32" i="36"/>
  <c r="B32" i="36"/>
  <c r="J31" i="36"/>
  <c r="K33" i="36" s="1"/>
  <c r="G31" i="36"/>
  <c r="D31" i="36"/>
  <c r="C31" i="36"/>
  <c r="B31" i="36"/>
  <c r="J30" i="36"/>
  <c r="K32" i="36" s="1"/>
  <c r="G30" i="36"/>
  <c r="D30" i="36"/>
  <c r="C30" i="36"/>
  <c r="B30" i="36"/>
  <c r="J29" i="36"/>
  <c r="K31" i="36" s="1"/>
  <c r="G29" i="36"/>
  <c r="D29" i="36"/>
  <c r="C29" i="36"/>
  <c r="B29" i="36"/>
  <c r="J28" i="36"/>
  <c r="K30" i="36" s="1"/>
  <c r="G28" i="36"/>
  <c r="D28" i="36"/>
  <c r="C28" i="36"/>
  <c r="B28" i="36"/>
  <c r="J27" i="36"/>
  <c r="K29" i="36" s="1"/>
  <c r="G27" i="36"/>
  <c r="D27" i="36"/>
  <c r="C27" i="36"/>
  <c r="B27" i="36"/>
  <c r="J26" i="36"/>
  <c r="K28" i="36" s="1"/>
  <c r="G26" i="36"/>
  <c r="D26" i="36"/>
  <c r="C26" i="36"/>
  <c r="B26" i="36"/>
  <c r="J25" i="36"/>
  <c r="K27" i="36" s="1"/>
  <c r="G25" i="36"/>
  <c r="D25" i="36"/>
  <c r="C25" i="36"/>
  <c r="B25" i="36"/>
  <c r="J24" i="36"/>
  <c r="K26" i="36" s="1"/>
  <c r="G24" i="36"/>
  <c r="D24" i="36"/>
  <c r="C24" i="36"/>
  <c r="B24" i="36"/>
  <c r="J23" i="36"/>
  <c r="K25" i="36" s="1"/>
  <c r="G23" i="36"/>
  <c r="D23" i="36"/>
  <c r="C23" i="36"/>
  <c r="B23" i="36"/>
  <c r="J22" i="36"/>
  <c r="K24" i="36" s="1"/>
  <c r="G22" i="36"/>
  <c r="D22" i="36"/>
  <c r="C22" i="36"/>
  <c r="B22" i="36"/>
  <c r="J21" i="36"/>
  <c r="K23" i="36" s="1"/>
  <c r="G21" i="36"/>
  <c r="D21" i="36"/>
  <c r="C21" i="36"/>
  <c r="B21" i="36"/>
  <c r="J20" i="36"/>
  <c r="K22" i="36" s="1"/>
  <c r="G20" i="36"/>
  <c r="D20" i="36"/>
  <c r="C20" i="36"/>
  <c r="B20" i="36"/>
  <c r="J19" i="36"/>
  <c r="K21" i="36" s="1"/>
  <c r="G19" i="36"/>
  <c r="D19" i="36"/>
  <c r="C19" i="36"/>
  <c r="B19" i="36"/>
  <c r="J18" i="36"/>
  <c r="K20" i="36" s="1"/>
  <c r="G18" i="36"/>
  <c r="D18" i="36"/>
  <c r="C18" i="36"/>
  <c r="B18" i="36"/>
  <c r="J17" i="36"/>
  <c r="K19" i="36" s="1"/>
  <c r="G17" i="36"/>
  <c r="D17" i="36"/>
  <c r="C17" i="36"/>
  <c r="B17" i="36"/>
  <c r="J16" i="36"/>
  <c r="K18" i="36" s="1"/>
  <c r="G16" i="36"/>
  <c r="D16" i="36"/>
  <c r="C16" i="36"/>
  <c r="B16" i="36"/>
  <c r="J15" i="36"/>
  <c r="K17" i="36" s="1"/>
  <c r="G15" i="36"/>
  <c r="D15" i="36"/>
  <c r="C15" i="36"/>
  <c r="B15" i="36"/>
  <c r="J14" i="36"/>
  <c r="K16" i="36" s="1"/>
  <c r="G14" i="36"/>
  <c r="D14" i="36"/>
  <c r="C14" i="36"/>
  <c r="B14" i="36"/>
  <c r="J13" i="36"/>
  <c r="K15" i="36" s="1"/>
  <c r="G13" i="36"/>
  <c r="D13" i="36"/>
  <c r="C13" i="36"/>
  <c r="B13" i="36"/>
  <c r="K12" i="36"/>
  <c r="J12" i="36"/>
  <c r="K14" i="36" s="1"/>
  <c r="G12" i="36"/>
  <c r="D12" i="36"/>
  <c r="K11" i="36"/>
  <c r="J11" i="36"/>
  <c r="K13" i="36" s="1"/>
  <c r="G11" i="36"/>
  <c r="D11" i="36"/>
  <c r="C11" i="36"/>
  <c r="B11" i="36"/>
  <c r="J4" i="36"/>
  <c r="J210" i="35"/>
  <c r="I210" i="35"/>
  <c r="F210" i="35"/>
  <c r="D210" i="35"/>
  <c r="C210" i="35"/>
  <c r="B210" i="35"/>
  <c r="I209" i="35"/>
  <c r="F209" i="35"/>
  <c r="D209" i="35"/>
  <c r="C209" i="35"/>
  <c r="B209" i="35"/>
  <c r="I208" i="35"/>
  <c r="F208" i="35"/>
  <c r="D208" i="35"/>
  <c r="C208" i="35"/>
  <c r="B208" i="35"/>
  <c r="I207" i="35"/>
  <c r="J209" i="35" s="1"/>
  <c r="F207" i="35"/>
  <c r="D207" i="35"/>
  <c r="C207" i="35"/>
  <c r="B207" i="35"/>
  <c r="J206" i="35"/>
  <c r="I206" i="35"/>
  <c r="J208" i="35" s="1"/>
  <c r="F206" i="35"/>
  <c r="D206" i="35"/>
  <c r="C206" i="35"/>
  <c r="B206" i="35"/>
  <c r="I205" i="35"/>
  <c r="J207" i="35" s="1"/>
  <c r="F205" i="35"/>
  <c r="D205" i="35"/>
  <c r="C205" i="35"/>
  <c r="B205" i="35"/>
  <c r="I204" i="35"/>
  <c r="F204" i="35"/>
  <c r="D204" i="35"/>
  <c r="C204" i="35"/>
  <c r="B204" i="35"/>
  <c r="I203" i="35"/>
  <c r="J205" i="35" s="1"/>
  <c r="F203" i="35"/>
  <c r="D203" i="35"/>
  <c r="C203" i="35"/>
  <c r="B203" i="35"/>
  <c r="J202" i="35"/>
  <c r="I202" i="35"/>
  <c r="J204" i="35" s="1"/>
  <c r="F202" i="35"/>
  <c r="D202" i="35"/>
  <c r="C202" i="35"/>
  <c r="B202" i="35"/>
  <c r="I201" i="35"/>
  <c r="J203" i="35" s="1"/>
  <c r="F201" i="35"/>
  <c r="D201" i="35"/>
  <c r="C201" i="35"/>
  <c r="B201" i="35"/>
  <c r="I200" i="35"/>
  <c r="F200" i="35"/>
  <c r="D200" i="35"/>
  <c r="C200" i="35"/>
  <c r="B200" i="35"/>
  <c r="I199" i="35"/>
  <c r="J201" i="35" s="1"/>
  <c r="F199" i="35"/>
  <c r="D199" i="35"/>
  <c r="C199" i="35"/>
  <c r="B199" i="35"/>
  <c r="J198" i="35"/>
  <c r="I198" i="35"/>
  <c r="J200" i="35" s="1"/>
  <c r="F198" i="35"/>
  <c r="D198" i="35"/>
  <c r="C198" i="35"/>
  <c r="B198" i="35"/>
  <c r="I197" i="35"/>
  <c r="J199" i="35" s="1"/>
  <c r="F197" i="35"/>
  <c r="D197" i="35"/>
  <c r="C197" i="35"/>
  <c r="B197" i="35"/>
  <c r="I196" i="35"/>
  <c r="F196" i="35"/>
  <c r="D196" i="35"/>
  <c r="C196" i="35"/>
  <c r="B196" i="35"/>
  <c r="I195" i="35"/>
  <c r="J197" i="35" s="1"/>
  <c r="F195" i="35"/>
  <c r="D195" i="35"/>
  <c r="C195" i="35"/>
  <c r="B195" i="35"/>
  <c r="J194" i="35"/>
  <c r="I194" i="35"/>
  <c r="J196" i="35" s="1"/>
  <c r="F194" i="35"/>
  <c r="D194" i="35"/>
  <c r="C194" i="35"/>
  <c r="B194" i="35"/>
  <c r="I193" i="35"/>
  <c r="J195" i="35" s="1"/>
  <c r="F193" i="35"/>
  <c r="D193" i="35"/>
  <c r="C193" i="35"/>
  <c r="B193" i="35"/>
  <c r="I192" i="35"/>
  <c r="F192" i="35"/>
  <c r="D192" i="35"/>
  <c r="C192" i="35"/>
  <c r="B192" i="35"/>
  <c r="I191" i="35"/>
  <c r="J193" i="35" s="1"/>
  <c r="F191" i="35"/>
  <c r="D191" i="35"/>
  <c r="C191" i="35"/>
  <c r="B191" i="35"/>
  <c r="J190" i="35"/>
  <c r="I190" i="35"/>
  <c r="J192" i="35" s="1"/>
  <c r="F190" i="35"/>
  <c r="D190" i="35"/>
  <c r="C190" i="35"/>
  <c r="B190" i="35"/>
  <c r="I189" i="35"/>
  <c r="J191" i="35" s="1"/>
  <c r="F189" i="35"/>
  <c r="D189" i="35"/>
  <c r="C189" i="35"/>
  <c r="B189" i="35"/>
  <c r="I188" i="35"/>
  <c r="F188" i="35"/>
  <c r="D188" i="35"/>
  <c r="C188" i="35"/>
  <c r="B188" i="35"/>
  <c r="I187" i="35"/>
  <c r="J189" i="35" s="1"/>
  <c r="F187" i="35"/>
  <c r="D187" i="35"/>
  <c r="C187" i="35"/>
  <c r="B187" i="35"/>
  <c r="J186" i="35"/>
  <c r="I186" i="35"/>
  <c r="J188" i="35" s="1"/>
  <c r="F186" i="35"/>
  <c r="D186" i="35"/>
  <c r="C186" i="35"/>
  <c r="B186" i="35"/>
  <c r="I185" i="35"/>
  <c r="J187" i="35" s="1"/>
  <c r="F185" i="35"/>
  <c r="D185" i="35"/>
  <c r="C185" i="35"/>
  <c r="B185" i="35"/>
  <c r="I184" i="35"/>
  <c r="F184" i="35"/>
  <c r="D184" i="35"/>
  <c r="C184" i="35"/>
  <c r="B184" i="35"/>
  <c r="I183" i="35"/>
  <c r="J185" i="35" s="1"/>
  <c r="F183" i="35"/>
  <c r="D183" i="35"/>
  <c r="C183" i="35"/>
  <c r="B183" i="35"/>
  <c r="J182" i="35"/>
  <c r="I182" i="35"/>
  <c r="J184" i="35" s="1"/>
  <c r="F182" i="35"/>
  <c r="D182" i="35"/>
  <c r="C182" i="35"/>
  <c r="B182" i="35"/>
  <c r="I181" i="35"/>
  <c r="J183" i="35" s="1"/>
  <c r="F181" i="35"/>
  <c r="D181" i="35"/>
  <c r="C181" i="35"/>
  <c r="B181" i="35"/>
  <c r="I180" i="35"/>
  <c r="F180" i="35"/>
  <c r="D180" i="35"/>
  <c r="C180" i="35"/>
  <c r="B180" i="35"/>
  <c r="I179" i="35"/>
  <c r="J181" i="35" s="1"/>
  <c r="F179" i="35"/>
  <c r="D179" i="35"/>
  <c r="C179" i="35"/>
  <c r="B179" i="35"/>
  <c r="J178" i="35"/>
  <c r="I178" i="35"/>
  <c r="J180" i="35" s="1"/>
  <c r="F178" i="35"/>
  <c r="D178" i="35"/>
  <c r="C178" i="35"/>
  <c r="B178" i="35"/>
  <c r="I177" i="35"/>
  <c r="J179" i="35" s="1"/>
  <c r="F177" i="35"/>
  <c r="D177" i="35"/>
  <c r="C177" i="35"/>
  <c r="B177" i="35"/>
  <c r="I176" i="35"/>
  <c r="F176" i="35"/>
  <c r="D176" i="35"/>
  <c r="C176" i="35"/>
  <c r="B176" i="35"/>
  <c r="I175" i="35"/>
  <c r="J177" i="35" s="1"/>
  <c r="F175" i="35"/>
  <c r="D175" i="35"/>
  <c r="C175" i="35"/>
  <c r="B175" i="35"/>
  <c r="J174" i="35"/>
  <c r="I174" i="35"/>
  <c r="J176" i="35" s="1"/>
  <c r="F174" i="35"/>
  <c r="D174" i="35"/>
  <c r="C174" i="35"/>
  <c r="B174" i="35"/>
  <c r="I173" i="35"/>
  <c r="J175" i="35" s="1"/>
  <c r="F173" i="35"/>
  <c r="D173" i="35"/>
  <c r="C173" i="35"/>
  <c r="B173" i="35"/>
  <c r="I172" i="35"/>
  <c r="F172" i="35"/>
  <c r="D172" i="35"/>
  <c r="C172" i="35"/>
  <c r="B172" i="35"/>
  <c r="I171" i="35"/>
  <c r="J173" i="35" s="1"/>
  <c r="F171" i="35"/>
  <c r="D171" i="35"/>
  <c r="C171" i="35"/>
  <c r="B171" i="35"/>
  <c r="J170" i="35"/>
  <c r="I170" i="35"/>
  <c r="J172" i="35" s="1"/>
  <c r="F170" i="35"/>
  <c r="D170" i="35"/>
  <c r="C170" i="35"/>
  <c r="B170" i="35"/>
  <c r="I169" i="35"/>
  <c r="J171" i="35" s="1"/>
  <c r="F169" i="35"/>
  <c r="D169" i="35"/>
  <c r="C169" i="35"/>
  <c r="B169" i="35"/>
  <c r="I168" i="35"/>
  <c r="F168" i="35"/>
  <c r="D168" i="35"/>
  <c r="C168" i="35"/>
  <c r="B168" i="35"/>
  <c r="I167" i="35"/>
  <c r="J169" i="35" s="1"/>
  <c r="F167" i="35"/>
  <c r="D167" i="35"/>
  <c r="C167" i="35"/>
  <c r="B167" i="35"/>
  <c r="J166" i="35"/>
  <c r="I166" i="35"/>
  <c r="J168" i="35" s="1"/>
  <c r="F166" i="35"/>
  <c r="D166" i="35"/>
  <c r="C166" i="35"/>
  <c r="B166" i="35"/>
  <c r="I165" i="35"/>
  <c r="J167" i="35" s="1"/>
  <c r="F165" i="35"/>
  <c r="D165" i="35"/>
  <c r="C165" i="35"/>
  <c r="B165" i="35"/>
  <c r="I164" i="35"/>
  <c r="F164" i="35"/>
  <c r="D164" i="35"/>
  <c r="C164" i="35"/>
  <c r="B164" i="35"/>
  <c r="I163" i="35"/>
  <c r="J165" i="35" s="1"/>
  <c r="F163" i="35"/>
  <c r="D163" i="35"/>
  <c r="C163" i="35"/>
  <c r="B163" i="35"/>
  <c r="J162" i="35"/>
  <c r="I162" i="35"/>
  <c r="J164" i="35" s="1"/>
  <c r="F162" i="35"/>
  <c r="D162" i="35"/>
  <c r="C162" i="35"/>
  <c r="B162" i="35"/>
  <c r="I161" i="35"/>
  <c r="J163" i="35" s="1"/>
  <c r="F161" i="35"/>
  <c r="D161" i="35"/>
  <c r="C161" i="35"/>
  <c r="B161" i="35"/>
  <c r="I160" i="35"/>
  <c r="F160" i="35"/>
  <c r="D160" i="35"/>
  <c r="C160" i="35"/>
  <c r="B160" i="35"/>
  <c r="I159" i="35"/>
  <c r="J161" i="35" s="1"/>
  <c r="F159" i="35"/>
  <c r="D159" i="35"/>
  <c r="C159" i="35"/>
  <c r="B159" i="35"/>
  <c r="J158" i="35"/>
  <c r="I158" i="35"/>
  <c r="J160" i="35" s="1"/>
  <c r="F158" i="35"/>
  <c r="D158" i="35"/>
  <c r="C158" i="35"/>
  <c r="B158" i="35"/>
  <c r="I157" i="35"/>
  <c r="J159" i="35" s="1"/>
  <c r="F157" i="35"/>
  <c r="D157" i="35"/>
  <c r="C157" i="35"/>
  <c r="B157" i="35"/>
  <c r="I156" i="35"/>
  <c r="F156" i="35"/>
  <c r="D156" i="35"/>
  <c r="C156" i="35"/>
  <c r="B156" i="35"/>
  <c r="I155" i="35"/>
  <c r="J157" i="35" s="1"/>
  <c r="F155" i="35"/>
  <c r="D155" i="35"/>
  <c r="C155" i="35"/>
  <c r="B155" i="35"/>
  <c r="J154" i="35"/>
  <c r="I154" i="35"/>
  <c r="J156" i="35" s="1"/>
  <c r="F154" i="35"/>
  <c r="D154" i="35"/>
  <c r="C154" i="35"/>
  <c r="B154" i="35"/>
  <c r="I153" i="35"/>
  <c r="J155" i="35" s="1"/>
  <c r="F153" i="35"/>
  <c r="D153" i="35"/>
  <c r="C153" i="35"/>
  <c r="B153" i="35"/>
  <c r="I152" i="35"/>
  <c r="F152" i="35"/>
  <c r="D152" i="35"/>
  <c r="C152" i="35"/>
  <c r="B152" i="35"/>
  <c r="I151" i="35"/>
  <c r="J153" i="35" s="1"/>
  <c r="F151" i="35"/>
  <c r="D151" i="35"/>
  <c r="C151" i="35"/>
  <c r="B151" i="35"/>
  <c r="J150" i="35"/>
  <c r="I150" i="35"/>
  <c r="J152" i="35" s="1"/>
  <c r="F150" i="35"/>
  <c r="D150" i="35"/>
  <c r="C150" i="35"/>
  <c r="B150" i="35"/>
  <c r="I149" i="35"/>
  <c r="J151" i="35" s="1"/>
  <c r="F149" i="35"/>
  <c r="D149" i="35"/>
  <c r="C149" i="35"/>
  <c r="B149" i="35"/>
  <c r="I148" i="35"/>
  <c r="F148" i="35"/>
  <c r="D148" i="35"/>
  <c r="C148" i="35"/>
  <c r="B148" i="35"/>
  <c r="I147" i="35"/>
  <c r="J149" i="35" s="1"/>
  <c r="F147" i="35"/>
  <c r="D147" i="35"/>
  <c r="C147" i="35"/>
  <c r="B147" i="35"/>
  <c r="J146" i="35"/>
  <c r="I146" i="35"/>
  <c r="J148" i="35" s="1"/>
  <c r="F146" i="35"/>
  <c r="D146" i="35"/>
  <c r="C146" i="35"/>
  <c r="B146" i="35"/>
  <c r="I145" i="35"/>
  <c r="J147" i="35" s="1"/>
  <c r="F145" i="35"/>
  <c r="D145" i="35"/>
  <c r="C145" i="35"/>
  <c r="B145" i="35"/>
  <c r="I144" i="35"/>
  <c r="F144" i="35"/>
  <c r="D144" i="35"/>
  <c r="C144" i="35"/>
  <c r="B144" i="35"/>
  <c r="I143" i="35"/>
  <c r="J145" i="35" s="1"/>
  <c r="F143" i="35"/>
  <c r="D143" i="35"/>
  <c r="C143" i="35"/>
  <c r="B143" i="35"/>
  <c r="J142" i="35"/>
  <c r="I142" i="35"/>
  <c r="J144" i="35" s="1"/>
  <c r="F142" i="35"/>
  <c r="D142" i="35"/>
  <c r="C142" i="35"/>
  <c r="B142" i="35"/>
  <c r="I141" i="35"/>
  <c r="J143" i="35" s="1"/>
  <c r="F141" i="35"/>
  <c r="D141" i="35"/>
  <c r="C141" i="35"/>
  <c r="B141" i="35"/>
  <c r="I140" i="35"/>
  <c r="F140" i="35"/>
  <c r="D140" i="35"/>
  <c r="C140" i="35"/>
  <c r="B140" i="35"/>
  <c r="I139" i="35"/>
  <c r="J141" i="35" s="1"/>
  <c r="F139" i="35"/>
  <c r="D139" i="35"/>
  <c r="C139" i="35"/>
  <c r="B139" i="35"/>
  <c r="J138" i="35"/>
  <c r="I138" i="35"/>
  <c r="J140" i="35" s="1"/>
  <c r="F138" i="35"/>
  <c r="D138" i="35"/>
  <c r="C138" i="35"/>
  <c r="B138" i="35"/>
  <c r="I137" i="35"/>
  <c r="J139" i="35" s="1"/>
  <c r="F137" i="35"/>
  <c r="D137" i="35"/>
  <c r="C137" i="35"/>
  <c r="B137" i="35"/>
  <c r="I136" i="35"/>
  <c r="F136" i="35"/>
  <c r="D136" i="35"/>
  <c r="C136" i="35"/>
  <c r="B136" i="35"/>
  <c r="I135" i="35"/>
  <c r="J137" i="35" s="1"/>
  <c r="F135" i="35"/>
  <c r="D135" i="35"/>
  <c r="C135" i="35"/>
  <c r="B135" i="35"/>
  <c r="J134" i="35"/>
  <c r="I134" i="35"/>
  <c r="J136" i="35" s="1"/>
  <c r="F134" i="35"/>
  <c r="D134" i="35"/>
  <c r="C134" i="35"/>
  <c r="B134" i="35"/>
  <c r="I133" i="35"/>
  <c r="J135" i="35" s="1"/>
  <c r="F133" i="35"/>
  <c r="D133" i="35"/>
  <c r="C133" i="35"/>
  <c r="B133" i="35"/>
  <c r="I132" i="35"/>
  <c r="F132" i="35"/>
  <c r="D132" i="35"/>
  <c r="C132" i="35"/>
  <c r="B132" i="35"/>
  <c r="I131" i="35"/>
  <c r="J133" i="35" s="1"/>
  <c r="F131" i="35"/>
  <c r="D131" i="35"/>
  <c r="C131" i="35"/>
  <c r="B131" i="35"/>
  <c r="J130" i="35"/>
  <c r="I130" i="35"/>
  <c r="J132" i="35" s="1"/>
  <c r="F130" i="35"/>
  <c r="D130" i="35"/>
  <c r="C130" i="35"/>
  <c r="B130" i="35"/>
  <c r="I129" i="35"/>
  <c r="J131" i="35" s="1"/>
  <c r="F129" i="35"/>
  <c r="D129" i="35"/>
  <c r="C129" i="35"/>
  <c r="B129" i="35"/>
  <c r="I128" i="35"/>
  <c r="F128" i="35"/>
  <c r="D128" i="35"/>
  <c r="C128" i="35"/>
  <c r="B128" i="35"/>
  <c r="I127" i="35"/>
  <c r="J129" i="35" s="1"/>
  <c r="F127" i="35"/>
  <c r="D127" i="35"/>
  <c r="C127" i="35"/>
  <c r="B127" i="35"/>
  <c r="J126" i="35"/>
  <c r="I126" i="35"/>
  <c r="J128" i="35" s="1"/>
  <c r="F126" i="35"/>
  <c r="D126" i="35"/>
  <c r="C126" i="35"/>
  <c r="B126" i="35"/>
  <c r="I125" i="35"/>
  <c r="J127" i="35" s="1"/>
  <c r="F125" i="35"/>
  <c r="D125" i="35"/>
  <c r="C125" i="35"/>
  <c r="B125" i="35"/>
  <c r="I124" i="35"/>
  <c r="F124" i="35"/>
  <c r="D124" i="35"/>
  <c r="C124" i="35"/>
  <c r="B124" i="35"/>
  <c r="I123" i="35"/>
  <c r="J125" i="35" s="1"/>
  <c r="F123" i="35"/>
  <c r="D123" i="35"/>
  <c r="C123" i="35"/>
  <c r="B123" i="35"/>
  <c r="J122" i="35"/>
  <c r="I122" i="35"/>
  <c r="J124" i="35" s="1"/>
  <c r="F122" i="35"/>
  <c r="D122" i="35"/>
  <c r="C122" i="35"/>
  <c r="B122" i="35"/>
  <c r="I121" i="35"/>
  <c r="J123" i="35" s="1"/>
  <c r="F121" i="35"/>
  <c r="D121" i="35"/>
  <c r="C121" i="35"/>
  <c r="B121" i="35"/>
  <c r="I120" i="35"/>
  <c r="F120" i="35"/>
  <c r="D120" i="35"/>
  <c r="C120" i="35"/>
  <c r="B120" i="35"/>
  <c r="I119" i="35"/>
  <c r="J121" i="35" s="1"/>
  <c r="F119" i="35"/>
  <c r="D119" i="35"/>
  <c r="C119" i="35"/>
  <c r="B119" i="35"/>
  <c r="J118" i="35"/>
  <c r="I118" i="35"/>
  <c r="J120" i="35" s="1"/>
  <c r="F118" i="35"/>
  <c r="D118" i="35"/>
  <c r="C118" i="35"/>
  <c r="B118" i="35"/>
  <c r="I117" i="35"/>
  <c r="J119" i="35" s="1"/>
  <c r="F117" i="35"/>
  <c r="D117" i="35"/>
  <c r="C117" i="35"/>
  <c r="B117" i="35"/>
  <c r="I116" i="35"/>
  <c r="F116" i="35"/>
  <c r="D116" i="35"/>
  <c r="C116" i="35"/>
  <c r="B116" i="35"/>
  <c r="I115" i="35"/>
  <c r="J117" i="35" s="1"/>
  <c r="F115" i="35"/>
  <c r="D115" i="35"/>
  <c r="C115" i="35"/>
  <c r="B115" i="35"/>
  <c r="J114" i="35"/>
  <c r="I114" i="35"/>
  <c r="J116" i="35" s="1"/>
  <c r="F114" i="35"/>
  <c r="D114" i="35"/>
  <c r="C114" i="35"/>
  <c r="B114" i="35"/>
  <c r="I113" i="35"/>
  <c r="J115" i="35" s="1"/>
  <c r="F113" i="35"/>
  <c r="D113" i="35"/>
  <c r="C113" i="35"/>
  <c r="B113" i="35"/>
  <c r="I112" i="35"/>
  <c r="F112" i="35"/>
  <c r="D112" i="35"/>
  <c r="C112" i="35"/>
  <c r="B112" i="35"/>
  <c r="I111" i="35"/>
  <c r="J113" i="35" s="1"/>
  <c r="F111" i="35"/>
  <c r="D111" i="35"/>
  <c r="C111" i="35"/>
  <c r="B111" i="35"/>
  <c r="J110" i="35"/>
  <c r="I110" i="35"/>
  <c r="J112" i="35" s="1"/>
  <c r="F110" i="35"/>
  <c r="D110" i="35"/>
  <c r="C110" i="35"/>
  <c r="B110" i="35"/>
  <c r="I109" i="35"/>
  <c r="J111" i="35" s="1"/>
  <c r="F109" i="35"/>
  <c r="D109" i="35"/>
  <c r="C109" i="35"/>
  <c r="B109" i="35"/>
  <c r="I108" i="35"/>
  <c r="F108" i="35"/>
  <c r="D108" i="35"/>
  <c r="C108" i="35"/>
  <c r="B108" i="35"/>
  <c r="I107" i="35"/>
  <c r="J109" i="35" s="1"/>
  <c r="F107" i="35"/>
  <c r="D107" i="35"/>
  <c r="C107" i="35"/>
  <c r="B107" i="35"/>
  <c r="J106" i="35"/>
  <c r="I106" i="35"/>
  <c r="J108" i="35" s="1"/>
  <c r="F106" i="35"/>
  <c r="D106" i="35"/>
  <c r="C106" i="35"/>
  <c r="B106" i="35"/>
  <c r="I105" i="35"/>
  <c r="J107" i="35" s="1"/>
  <c r="F105" i="35"/>
  <c r="D105" i="35"/>
  <c r="C105" i="35"/>
  <c r="B105" i="35"/>
  <c r="I104" i="35"/>
  <c r="F104" i="35"/>
  <c r="D104" i="35"/>
  <c r="C104" i="35"/>
  <c r="B104" i="35"/>
  <c r="I103" i="35"/>
  <c r="J105" i="35" s="1"/>
  <c r="F103" i="35"/>
  <c r="D103" i="35"/>
  <c r="C103" i="35"/>
  <c r="B103" i="35"/>
  <c r="J102" i="35"/>
  <c r="I102" i="35"/>
  <c r="J104" i="35" s="1"/>
  <c r="F102" i="35"/>
  <c r="D102" i="35"/>
  <c r="C102" i="35"/>
  <c r="B102" i="35"/>
  <c r="I101" i="35"/>
  <c r="J103" i="35" s="1"/>
  <c r="F101" i="35"/>
  <c r="D101" i="35"/>
  <c r="C101" i="35"/>
  <c r="B101" i="35"/>
  <c r="I100" i="35"/>
  <c r="F100" i="35"/>
  <c r="D100" i="35"/>
  <c r="C100" i="35"/>
  <c r="B100" i="35"/>
  <c r="I99" i="35"/>
  <c r="J101" i="35" s="1"/>
  <c r="F99" i="35"/>
  <c r="D99" i="35"/>
  <c r="C99" i="35"/>
  <c r="B99" i="35"/>
  <c r="J98" i="35"/>
  <c r="I98" i="35"/>
  <c r="J100" i="35" s="1"/>
  <c r="F98" i="35"/>
  <c r="D98" i="35"/>
  <c r="C98" i="35"/>
  <c r="B98" i="35"/>
  <c r="I97" i="35"/>
  <c r="J99" i="35" s="1"/>
  <c r="F97" i="35"/>
  <c r="D97" i="35"/>
  <c r="C97" i="35"/>
  <c r="B97" i="35"/>
  <c r="I96" i="35"/>
  <c r="F96" i="35"/>
  <c r="D96" i="35"/>
  <c r="C96" i="35"/>
  <c r="B96" i="35"/>
  <c r="I95" i="35"/>
  <c r="J97" i="35" s="1"/>
  <c r="F95" i="35"/>
  <c r="D95" i="35"/>
  <c r="C95" i="35"/>
  <c r="B95" i="35"/>
  <c r="J94" i="35"/>
  <c r="I94" i="35"/>
  <c r="J96" i="35" s="1"/>
  <c r="F94" i="35"/>
  <c r="D94" i="35"/>
  <c r="C94" i="35"/>
  <c r="B94" i="35"/>
  <c r="I93" i="35"/>
  <c r="J95" i="35" s="1"/>
  <c r="F93" i="35"/>
  <c r="D93" i="35"/>
  <c r="C93" i="35"/>
  <c r="B93" i="35"/>
  <c r="I92" i="35"/>
  <c r="F92" i="35"/>
  <c r="D92" i="35"/>
  <c r="C92" i="35"/>
  <c r="B92" i="35"/>
  <c r="I91" i="35"/>
  <c r="J93" i="35" s="1"/>
  <c r="F91" i="35"/>
  <c r="D91" i="35"/>
  <c r="C91" i="35"/>
  <c r="B91" i="35"/>
  <c r="J90" i="35"/>
  <c r="I90" i="35"/>
  <c r="J92" i="35" s="1"/>
  <c r="F90" i="35"/>
  <c r="D90" i="35"/>
  <c r="C90" i="35"/>
  <c r="B90" i="35"/>
  <c r="I89" i="35"/>
  <c r="J91" i="35" s="1"/>
  <c r="F89" i="35"/>
  <c r="D89" i="35"/>
  <c r="C89" i="35"/>
  <c r="B89" i="35"/>
  <c r="I88" i="35"/>
  <c r="F88" i="35"/>
  <c r="D88" i="35"/>
  <c r="C88" i="35"/>
  <c r="B88" i="35"/>
  <c r="I87" i="35"/>
  <c r="J89" i="35" s="1"/>
  <c r="F87" i="35"/>
  <c r="D87" i="35"/>
  <c r="C87" i="35"/>
  <c r="B87" i="35"/>
  <c r="J86" i="35"/>
  <c r="I86" i="35"/>
  <c r="J88" i="35" s="1"/>
  <c r="F86" i="35"/>
  <c r="D86" i="35"/>
  <c r="C86" i="35"/>
  <c r="B86" i="35"/>
  <c r="I85" i="35"/>
  <c r="J87" i="35" s="1"/>
  <c r="F85" i="35"/>
  <c r="D85" i="35"/>
  <c r="C85" i="35"/>
  <c r="B85" i="35"/>
  <c r="I84" i="35"/>
  <c r="F84" i="35"/>
  <c r="D84" i="35"/>
  <c r="C84" i="35"/>
  <c r="B84" i="35"/>
  <c r="I83" i="35"/>
  <c r="J85" i="35" s="1"/>
  <c r="F83" i="35"/>
  <c r="D83" i="35"/>
  <c r="C83" i="35"/>
  <c r="B83" i="35"/>
  <c r="J82" i="35"/>
  <c r="I82" i="35"/>
  <c r="J84" i="35" s="1"/>
  <c r="F82" i="35"/>
  <c r="D82" i="35"/>
  <c r="C82" i="35"/>
  <c r="B82" i="35"/>
  <c r="I81" i="35"/>
  <c r="J83" i="35" s="1"/>
  <c r="F81" i="35"/>
  <c r="D81" i="35"/>
  <c r="C81" i="35"/>
  <c r="B81" i="35"/>
  <c r="I80" i="35"/>
  <c r="F80" i="35"/>
  <c r="D80" i="35"/>
  <c r="C80" i="35"/>
  <c r="B80" i="35"/>
  <c r="I79" i="35"/>
  <c r="J81" i="35" s="1"/>
  <c r="F79" i="35"/>
  <c r="D79" i="35"/>
  <c r="C79" i="35"/>
  <c r="B79" i="35"/>
  <c r="J78" i="35"/>
  <c r="I78" i="35"/>
  <c r="J80" i="35" s="1"/>
  <c r="F78" i="35"/>
  <c r="D78" i="35"/>
  <c r="C78" i="35"/>
  <c r="B78" i="35"/>
  <c r="I77" i="35"/>
  <c r="J79" i="35" s="1"/>
  <c r="F77" i="35"/>
  <c r="D77" i="35"/>
  <c r="C77" i="35"/>
  <c r="B77" i="35"/>
  <c r="I76" i="35"/>
  <c r="F76" i="35"/>
  <c r="D76" i="35"/>
  <c r="C76" i="35"/>
  <c r="B76" i="35"/>
  <c r="I75" i="35"/>
  <c r="J77" i="35" s="1"/>
  <c r="F75" i="35"/>
  <c r="D75" i="35"/>
  <c r="C75" i="35"/>
  <c r="B75" i="35"/>
  <c r="J74" i="35"/>
  <c r="I74" i="35"/>
  <c r="J76" i="35" s="1"/>
  <c r="F74" i="35"/>
  <c r="D74" i="35"/>
  <c r="C74" i="35"/>
  <c r="B74" i="35"/>
  <c r="I73" i="35"/>
  <c r="J75" i="35" s="1"/>
  <c r="F73" i="35"/>
  <c r="D73" i="35"/>
  <c r="C73" i="35"/>
  <c r="B73" i="35"/>
  <c r="I72" i="35"/>
  <c r="F72" i="35"/>
  <c r="D72" i="35"/>
  <c r="C72" i="35"/>
  <c r="B72" i="35"/>
  <c r="I71" i="35"/>
  <c r="J73" i="35" s="1"/>
  <c r="F71" i="35"/>
  <c r="D71" i="35"/>
  <c r="C71" i="35"/>
  <c r="B71" i="35"/>
  <c r="J70" i="35"/>
  <c r="I70" i="35"/>
  <c r="J72" i="35" s="1"/>
  <c r="F70" i="35"/>
  <c r="D70" i="35"/>
  <c r="C70" i="35"/>
  <c r="B70" i="35"/>
  <c r="I69" i="35"/>
  <c r="J71" i="35" s="1"/>
  <c r="F69" i="35"/>
  <c r="D69" i="35"/>
  <c r="C69" i="35"/>
  <c r="B69" i="35"/>
  <c r="I68" i="35"/>
  <c r="F68" i="35"/>
  <c r="D68" i="35"/>
  <c r="C68" i="35"/>
  <c r="B68" i="35"/>
  <c r="I67" i="35"/>
  <c r="J69" i="35" s="1"/>
  <c r="F67" i="35"/>
  <c r="D67" i="35"/>
  <c r="C67" i="35"/>
  <c r="B67" i="35"/>
  <c r="J66" i="35"/>
  <c r="I66" i="35"/>
  <c r="J68" i="35" s="1"/>
  <c r="F66" i="35"/>
  <c r="D66" i="35"/>
  <c r="C66" i="35"/>
  <c r="B66" i="35"/>
  <c r="I65" i="35"/>
  <c r="J67" i="35" s="1"/>
  <c r="F65" i="35"/>
  <c r="D65" i="35"/>
  <c r="C65" i="35"/>
  <c r="B65" i="35"/>
  <c r="I64" i="35"/>
  <c r="F64" i="35"/>
  <c r="D64" i="35"/>
  <c r="C64" i="35"/>
  <c r="B64" i="35"/>
  <c r="I63" i="35"/>
  <c r="J65" i="35" s="1"/>
  <c r="F63" i="35"/>
  <c r="D63" i="35"/>
  <c r="C63" i="35"/>
  <c r="B63" i="35"/>
  <c r="J62" i="35"/>
  <c r="I62" i="35"/>
  <c r="J64" i="35" s="1"/>
  <c r="F62" i="35"/>
  <c r="D62" i="35"/>
  <c r="C62" i="35"/>
  <c r="B62" i="35"/>
  <c r="I61" i="35"/>
  <c r="J63" i="35" s="1"/>
  <c r="F61" i="35"/>
  <c r="D61" i="35"/>
  <c r="C61" i="35"/>
  <c r="B61" i="35"/>
  <c r="I60" i="35"/>
  <c r="F60" i="35"/>
  <c r="D60" i="35"/>
  <c r="C60" i="35"/>
  <c r="B60" i="35"/>
  <c r="I59" i="35"/>
  <c r="J61" i="35" s="1"/>
  <c r="F59" i="35"/>
  <c r="D59" i="35"/>
  <c r="C59" i="35"/>
  <c r="B59" i="35"/>
  <c r="J58" i="35"/>
  <c r="I58" i="35"/>
  <c r="J60" i="35" s="1"/>
  <c r="F58" i="35"/>
  <c r="D58" i="35"/>
  <c r="C58" i="35"/>
  <c r="B58" i="35"/>
  <c r="I57" i="35"/>
  <c r="J59" i="35" s="1"/>
  <c r="F57" i="35"/>
  <c r="D57" i="35"/>
  <c r="C57" i="35"/>
  <c r="B57" i="35"/>
  <c r="I56" i="35"/>
  <c r="F56" i="35"/>
  <c r="D56" i="35"/>
  <c r="C56" i="35"/>
  <c r="B56" i="35"/>
  <c r="I55" i="35"/>
  <c r="J57" i="35" s="1"/>
  <c r="F55" i="35"/>
  <c r="D55" i="35"/>
  <c r="C55" i="35"/>
  <c r="B55" i="35"/>
  <c r="J54" i="35"/>
  <c r="I54" i="35"/>
  <c r="J56" i="35" s="1"/>
  <c r="F54" i="35"/>
  <c r="D54" i="35"/>
  <c r="C54" i="35"/>
  <c r="B54" i="35"/>
  <c r="I53" i="35"/>
  <c r="J55" i="35" s="1"/>
  <c r="F53" i="35"/>
  <c r="D53" i="35"/>
  <c r="C53" i="35"/>
  <c r="B53" i="35"/>
  <c r="I52" i="35"/>
  <c r="F52" i="35"/>
  <c r="D52" i="35"/>
  <c r="C52" i="35"/>
  <c r="B52" i="35"/>
  <c r="I51" i="35"/>
  <c r="J53" i="35" s="1"/>
  <c r="F51" i="35"/>
  <c r="D51" i="35"/>
  <c r="C51" i="35"/>
  <c r="B51" i="35"/>
  <c r="J50" i="35"/>
  <c r="I50" i="35"/>
  <c r="J52" i="35" s="1"/>
  <c r="F50" i="35"/>
  <c r="D50" i="35"/>
  <c r="C50" i="35"/>
  <c r="B50" i="35"/>
  <c r="I49" i="35"/>
  <c r="J51" i="35" s="1"/>
  <c r="F49" i="35"/>
  <c r="D49" i="35"/>
  <c r="C49" i="35"/>
  <c r="B49" i="35"/>
  <c r="I48" i="35"/>
  <c r="F48" i="35"/>
  <c r="D48" i="35"/>
  <c r="C48" i="35"/>
  <c r="B48" i="35"/>
  <c r="I47" i="35"/>
  <c r="J49" i="35" s="1"/>
  <c r="F47" i="35"/>
  <c r="D47" i="35"/>
  <c r="C47" i="35"/>
  <c r="B47" i="35"/>
  <c r="J46" i="35"/>
  <c r="I46" i="35"/>
  <c r="J48" i="35" s="1"/>
  <c r="F46" i="35"/>
  <c r="D46" i="35"/>
  <c r="C46" i="35"/>
  <c r="B46" i="35"/>
  <c r="I45" i="35"/>
  <c r="J47" i="35" s="1"/>
  <c r="F45" i="35"/>
  <c r="D45" i="35"/>
  <c r="C45" i="35"/>
  <c r="B45" i="35"/>
  <c r="I44" i="35"/>
  <c r="F44" i="35"/>
  <c r="D44" i="35"/>
  <c r="C44" i="35"/>
  <c r="B44" i="35"/>
  <c r="I43" i="35"/>
  <c r="J45" i="35" s="1"/>
  <c r="F43" i="35"/>
  <c r="D43" i="35"/>
  <c r="C43" i="35"/>
  <c r="B43" i="35"/>
  <c r="J42" i="35"/>
  <c r="I42" i="35"/>
  <c r="J44" i="35" s="1"/>
  <c r="F42" i="35"/>
  <c r="D42" i="35"/>
  <c r="C42" i="35"/>
  <c r="B42" i="35"/>
  <c r="I41" i="35"/>
  <c r="J43" i="35" s="1"/>
  <c r="F41" i="35"/>
  <c r="D41" i="35"/>
  <c r="C41" i="35"/>
  <c r="B41" i="35"/>
  <c r="I40" i="35"/>
  <c r="F40" i="35"/>
  <c r="D40" i="35"/>
  <c r="C40" i="35"/>
  <c r="B40" i="35"/>
  <c r="I39" i="35"/>
  <c r="J41" i="35" s="1"/>
  <c r="F39" i="35"/>
  <c r="D39" i="35"/>
  <c r="C39" i="35"/>
  <c r="B39" i="35"/>
  <c r="J38" i="35"/>
  <c r="I38" i="35"/>
  <c r="J40" i="35" s="1"/>
  <c r="F38" i="35"/>
  <c r="D38" i="35"/>
  <c r="C38" i="35"/>
  <c r="B38" i="35"/>
  <c r="I37" i="35"/>
  <c r="J39" i="35" s="1"/>
  <c r="F37" i="35"/>
  <c r="D37" i="35"/>
  <c r="C37" i="35"/>
  <c r="B37" i="35"/>
  <c r="I36" i="35"/>
  <c r="F36" i="35"/>
  <c r="D36" i="35"/>
  <c r="C36" i="35"/>
  <c r="B36" i="35"/>
  <c r="I35" i="35"/>
  <c r="J37" i="35" s="1"/>
  <c r="F35" i="35"/>
  <c r="D35" i="35"/>
  <c r="C35" i="35"/>
  <c r="B35" i="35"/>
  <c r="J34" i="35"/>
  <c r="I34" i="35"/>
  <c r="J36" i="35" s="1"/>
  <c r="F34" i="35"/>
  <c r="D34" i="35"/>
  <c r="C34" i="35"/>
  <c r="B34" i="35"/>
  <c r="I33" i="35"/>
  <c r="J35" i="35" s="1"/>
  <c r="F33" i="35"/>
  <c r="D33" i="35"/>
  <c r="C33" i="35"/>
  <c r="B33" i="35"/>
  <c r="I32" i="35"/>
  <c r="F32" i="35"/>
  <c r="D32" i="35"/>
  <c r="C32" i="35"/>
  <c r="B32" i="35"/>
  <c r="I31" i="35"/>
  <c r="J33" i="35" s="1"/>
  <c r="F31" i="35"/>
  <c r="D31" i="35"/>
  <c r="C31" i="35"/>
  <c r="B31" i="35"/>
  <c r="J30" i="35"/>
  <c r="I30" i="35"/>
  <c r="J32" i="35" s="1"/>
  <c r="F30" i="35"/>
  <c r="D30" i="35"/>
  <c r="C30" i="35"/>
  <c r="B30" i="35"/>
  <c r="I29" i="35"/>
  <c r="J31" i="35" s="1"/>
  <c r="F29" i="35"/>
  <c r="D29" i="35"/>
  <c r="C29" i="35"/>
  <c r="B29" i="35"/>
  <c r="I28" i="35"/>
  <c r="F28" i="35"/>
  <c r="D28" i="35"/>
  <c r="C28" i="35"/>
  <c r="B28" i="35"/>
  <c r="I27" i="35"/>
  <c r="J29" i="35" s="1"/>
  <c r="F27" i="35"/>
  <c r="D27" i="35"/>
  <c r="C27" i="35"/>
  <c r="B27" i="35"/>
  <c r="J26" i="35"/>
  <c r="I26" i="35"/>
  <c r="J28" i="35" s="1"/>
  <c r="F26" i="35"/>
  <c r="D26" i="35"/>
  <c r="C26" i="35"/>
  <c r="B26" i="35"/>
  <c r="I25" i="35"/>
  <c r="J27" i="35" s="1"/>
  <c r="F25" i="35"/>
  <c r="D25" i="35"/>
  <c r="C25" i="35"/>
  <c r="B25" i="35"/>
  <c r="I24" i="35"/>
  <c r="F24" i="35"/>
  <c r="D24" i="35"/>
  <c r="C24" i="35"/>
  <c r="B24" i="35"/>
  <c r="I23" i="35"/>
  <c r="J25" i="35" s="1"/>
  <c r="F23" i="35"/>
  <c r="D23" i="35"/>
  <c r="C23" i="35"/>
  <c r="B23" i="35"/>
  <c r="J22" i="35"/>
  <c r="I22" i="35"/>
  <c r="J24" i="35" s="1"/>
  <c r="F22" i="35"/>
  <c r="D22" i="35"/>
  <c r="C22" i="35"/>
  <c r="B22" i="35"/>
  <c r="I21" i="35"/>
  <c r="J23" i="35" s="1"/>
  <c r="F21" i="35"/>
  <c r="D21" i="35"/>
  <c r="C21" i="35"/>
  <c r="B21" i="35"/>
  <c r="I20" i="35"/>
  <c r="F20" i="35"/>
  <c r="D20" i="35"/>
  <c r="C20" i="35"/>
  <c r="B20" i="35"/>
  <c r="I19" i="35"/>
  <c r="J21" i="35" s="1"/>
  <c r="F19" i="35"/>
  <c r="D19" i="35"/>
  <c r="C19" i="35"/>
  <c r="B19" i="35"/>
  <c r="J18" i="35"/>
  <c r="I18" i="35"/>
  <c r="J20" i="35" s="1"/>
  <c r="F18" i="35"/>
  <c r="D18" i="35"/>
  <c r="C18" i="35"/>
  <c r="B18" i="35"/>
  <c r="I17" i="35"/>
  <c r="J19" i="35" s="1"/>
  <c r="F17" i="35"/>
  <c r="D17" i="35"/>
  <c r="C17" i="35"/>
  <c r="B17" i="35"/>
  <c r="I16" i="35"/>
  <c r="F16" i="35"/>
  <c r="D16" i="35"/>
  <c r="C16" i="35"/>
  <c r="B16" i="35"/>
  <c r="I15" i="35"/>
  <c r="J17" i="35" s="1"/>
  <c r="F15" i="35"/>
  <c r="D15" i="35"/>
  <c r="C15" i="35"/>
  <c r="B15" i="35"/>
  <c r="J14" i="35"/>
  <c r="I14" i="35"/>
  <c r="J16" i="35" s="1"/>
  <c r="F14" i="35"/>
  <c r="D14" i="35"/>
  <c r="C14" i="35"/>
  <c r="B14" i="35"/>
  <c r="I13" i="35"/>
  <c r="J15" i="35" s="1"/>
  <c r="F13" i="35"/>
  <c r="D13" i="35"/>
  <c r="C13" i="35"/>
  <c r="B13" i="35"/>
  <c r="J12" i="35"/>
  <c r="I12" i="35"/>
  <c r="F12" i="35"/>
  <c r="D12" i="35"/>
  <c r="J11" i="35"/>
  <c r="I11" i="35"/>
  <c r="J13" i="35" s="1"/>
  <c r="F11" i="35"/>
  <c r="D11" i="35"/>
  <c r="G4" i="35"/>
  <c r="K215" i="34"/>
  <c r="I215" i="34"/>
  <c r="D215" i="34"/>
  <c r="C215" i="34"/>
  <c r="A215" i="34"/>
  <c r="K214" i="34"/>
  <c r="I214" i="34"/>
  <c r="D214" i="34"/>
  <c r="C214" i="34"/>
  <c r="A214" i="34"/>
  <c r="K213" i="34"/>
  <c r="J213" i="34"/>
  <c r="I213" i="34"/>
  <c r="J215" i="34" s="1"/>
  <c r="D213" i="34"/>
  <c r="C213" i="34"/>
  <c r="A213" i="34"/>
  <c r="K212" i="34"/>
  <c r="J212" i="34"/>
  <c r="I212" i="34"/>
  <c r="J214" i="34" s="1"/>
  <c r="D212" i="34"/>
  <c r="C212" i="34"/>
  <c r="A212" i="34"/>
  <c r="K211" i="34"/>
  <c r="I211" i="34"/>
  <c r="D211" i="34"/>
  <c r="C211" i="34"/>
  <c r="A211" i="34"/>
  <c r="K210" i="34"/>
  <c r="J210" i="34"/>
  <c r="I210" i="34"/>
  <c r="D210" i="34"/>
  <c r="C210" i="34"/>
  <c r="A210" i="34"/>
  <c r="K209" i="34"/>
  <c r="I209" i="34"/>
  <c r="J211" i="34" s="1"/>
  <c r="D209" i="34"/>
  <c r="C209" i="34"/>
  <c r="A209" i="34"/>
  <c r="K208" i="34"/>
  <c r="I208" i="34"/>
  <c r="D208" i="34"/>
  <c r="C208" i="34"/>
  <c r="A208" i="34"/>
  <c r="K207" i="34"/>
  <c r="I207" i="34"/>
  <c r="J209" i="34" s="1"/>
  <c r="D207" i="34"/>
  <c r="C207" i="34"/>
  <c r="A207" i="34"/>
  <c r="K206" i="34"/>
  <c r="J206" i="34"/>
  <c r="I206" i="34"/>
  <c r="J208" i="34" s="1"/>
  <c r="D206" i="34"/>
  <c r="C206" i="34"/>
  <c r="A206" i="34"/>
  <c r="K205" i="34"/>
  <c r="J205" i="34"/>
  <c r="I205" i="34"/>
  <c r="J207" i="34" s="1"/>
  <c r="D205" i="34"/>
  <c r="C205" i="34"/>
  <c r="A205" i="34"/>
  <c r="K204" i="34"/>
  <c r="I204" i="34"/>
  <c r="D204" i="34"/>
  <c r="C204" i="34"/>
  <c r="A204" i="34"/>
  <c r="K203" i="34"/>
  <c r="I203" i="34"/>
  <c r="D203" i="34"/>
  <c r="C203" i="34"/>
  <c r="A203" i="34"/>
  <c r="K202" i="34"/>
  <c r="I202" i="34"/>
  <c r="J204" i="34" s="1"/>
  <c r="D202" i="34"/>
  <c r="C202" i="34"/>
  <c r="A202" i="34"/>
  <c r="K201" i="34"/>
  <c r="I201" i="34"/>
  <c r="J203" i="34" s="1"/>
  <c r="D201" i="34"/>
  <c r="C201" i="34"/>
  <c r="A201" i="34"/>
  <c r="K200" i="34"/>
  <c r="J200" i="34"/>
  <c r="I200" i="34"/>
  <c r="J202" i="34" s="1"/>
  <c r="D200" i="34"/>
  <c r="C200" i="34"/>
  <c r="A200" i="34"/>
  <c r="K199" i="34"/>
  <c r="I199" i="34"/>
  <c r="J201" i="34" s="1"/>
  <c r="D199" i="34"/>
  <c r="C199" i="34"/>
  <c r="A199" i="34"/>
  <c r="K198" i="34"/>
  <c r="I198" i="34"/>
  <c r="D198" i="34"/>
  <c r="C198" i="34"/>
  <c r="A198" i="34"/>
  <c r="K197" i="34"/>
  <c r="I197" i="34"/>
  <c r="J199" i="34" s="1"/>
  <c r="D197" i="34"/>
  <c r="C197" i="34"/>
  <c r="A197" i="34"/>
  <c r="K196" i="34"/>
  <c r="I196" i="34"/>
  <c r="J198" i="34" s="1"/>
  <c r="D196" i="34"/>
  <c r="C196" i="34"/>
  <c r="A196" i="34"/>
  <c r="K195" i="34"/>
  <c r="I195" i="34"/>
  <c r="J197" i="34" s="1"/>
  <c r="D195" i="34"/>
  <c r="C195" i="34"/>
  <c r="A195" i="34"/>
  <c r="K194" i="34"/>
  <c r="I194" i="34"/>
  <c r="J196" i="34" s="1"/>
  <c r="D194" i="34"/>
  <c r="C194" i="34"/>
  <c r="A194" i="34"/>
  <c r="K193" i="34"/>
  <c r="J193" i="34"/>
  <c r="I193" i="34"/>
  <c r="J195" i="34" s="1"/>
  <c r="D193" i="34"/>
  <c r="C193" i="34"/>
  <c r="A193" i="34"/>
  <c r="K192" i="34"/>
  <c r="J192" i="34"/>
  <c r="I192" i="34"/>
  <c r="J194" i="34" s="1"/>
  <c r="D192" i="34"/>
  <c r="C192" i="34"/>
  <c r="A192" i="34"/>
  <c r="K191" i="34"/>
  <c r="I191" i="34"/>
  <c r="D191" i="34"/>
  <c r="C191" i="34"/>
  <c r="A191" i="34"/>
  <c r="K190" i="34"/>
  <c r="I190" i="34"/>
  <c r="D190" i="34"/>
  <c r="C190" i="34"/>
  <c r="A190" i="34"/>
  <c r="K189" i="34"/>
  <c r="I189" i="34"/>
  <c r="J191" i="34" s="1"/>
  <c r="D189" i="34"/>
  <c r="C189" i="34"/>
  <c r="A189" i="34"/>
  <c r="K188" i="34"/>
  <c r="J188" i="34"/>
  <c r="I188" i="34"/>
  <c r="J190" i="34" s="1"/>
  <c r="D188" i="34"/>
  <c r="C188" i="34"/>
  <c r="A188" i="34"/>
  <c r="K187" i="34"/>
  <c r="I187" i="34"/>
  <c r="J189" i="34" s="1"/>
  <c r="D187" i="34"/>
  <c r="C187" i="34"/>
  <c r="A187" i="34"/>
  <c r="K186" i="34"/>
  <c r="J186" i="34"/>
  <c r="I186" i="34"/>
  <c r="D186" i="34"/>
  <c r="C186" i="34"/>
  <c r="A186" i="34"/>
  <c r="K185" i="34"/>
  <c r="J185" i="34"/>
  <c r="I185" i="34"/>
  <c r="J187" i="34" s="1"/>
  <c r="D185" i="34"/>
  <c r="C185" i="34"/>
  <c r="A185" i="34"/>
  <c r="K184" i="34"/>
  <c r="I184" i="34"/>
  <c r="D184" i="34"/>
  <c r="C184" i="34"/>
  <c r="A184" i="34"/>
  <c r="K183" i="34"/>
  <c r="I183" i="34"/>
  <c r="D183" i="34"/>
  <c r="C183" i="34"/>
  <c r="A183" i="34"/>
  <c r="K182" i="34"/>
  <c r="I182" i="34"/>
  <c r="J184" i="34" s="1"/>
  <c r="D182" i="34"/>
  <c r="C182" i="34"/>
  <c r="A182" i="34"/>
  <c r="K181" i="34"/>
  <c r="J181" i="34"/>
  <c r="I181" i="34"/>
  <c r="J183" i="34" s="1"/>
  <c r="D181" i="34"/>
  <c r="C181" i="34"/>
  <c r="A181" i="34"/>
  <c r="K180" i="34"/>
  <c r="J180" i="34"/>
  <c r="I180" i="34"/>
  <c r="J182" i="34" s="1"/>
  <c r="D180" i="34"/>
  <c r="C180" i="34"/>
  <c r="A180" i="34"/>
  <c r="K179" i="34"/>
  <c r="I179" i="34"/>
  <c r="D179" i="34"/>
  <c r="C179" i="34"/>
  <c r="A179" i="34"/>
  <c r="K178" i="34"/>
  <c r="J178" i="34"/>
  <c r="I178" i="34"/>
  <c r="D178" i="34"/>
  <c r="C178" i="34"/>
  <c r="A178" i="34"/>
  <c r="K177" i="34"/>
  <c r="I177" i="34"/>
  <c r="J179" i="34" s="1"/>
  <c r="D177" i="34"/>
  <c r="C177" i="34"/>
  <c r="A177" i="34"/>
  <c r="K176" i="34"/>
  <c r="I176" i="34"/>
  <c r="D176" i="34"/>
  <c r="C176" i="34"/>
  <c r="A176" i="34"/>
  <c r="K175" i="34"/>
  <c r="I175" i="34"/>
  <c r="J177" i="34" s="1"/>
  <c r="D175" i="34"/>
  <c r="C175" i="34"/>
  <c r="A175" i="34"/>
  <c r="K174" i="34"/>
  <c r="J174" i="34"/>
  <c r="I174" i="34"/>
  <c r="J176" i="34" s="1"/>
  <c r="D174" i="34"/>
  <c r="C174" i="34"/>
  <c r="A174" i="34"/>
  <c r="K173" i="34"/>
  <c r="J173" i="34"/>
  <c r="I173" i="34"/>
  <c r="J175" i="34" s="1"/>
  <c r="D173" i="34"/>
  <c r="C173" i="34"/>
  <c r="A173" i="34"/>
  <c r="K172" i="34"/>
  <c r="I172" i="34"/>
  <c r="D172" i="34"/>
  <c r="C172" i="34"/>
  <c r="A172" i="34"/>
  <c r="K171" i="34"/>
  <c r="I171" i="34"/>
  <c r="D171" i="34"/>
  <c r="C171" i="34"/>
  <c r="A171" i="34"/>
  <c r="K170" i="34"/>
  <c r="I170" i="34"/>
  <c r="J172" i="34" s="1"/>
  <c r="D170" i="34"/>
  <c r="C170" i="34"/>
  <c r="A170" i="34"/>
  <c r="K169" i="34"/>
  <c r="I169" i="34"/>
  <c r="J171" i="34" s="1"/>
  <c r="D169" i="34"/>
  <c r="C169" i="34"/>
  <c r="A169" i="34"/>
  <c r="K168" i="34"/>
  <c r="J168" i="34"/>
  <c r="I168" i="34"/>
  <c r="J170" i="34" s="1"/>
  <c r="D168" i="34"/>
  <c r="C168" i="34"/>
  <c r="A168" i="34"/>
  <c r="K167" i="34"/>
  <c r="I167" i="34"/>
  <c r="J169" i="34" s="1"/>
  <c r="D167" i="34"/>
  <c r="C167" i="34"/>
  <c r="A167" i="34"/>
  <c r="K166" i="34"/>
  <c r="I166" i="34"/>
  <c r="D166" i="34"/>
  <c r="C166" i="34"/>
  <c r="A166" i="34"/>
  <c r="K165" i="34"/>
  <c r="I165" i="34"/>
  <c r="J167" i="34" s="1"/>
  <c r="D165" i="34"/>
  <c r="C165" i="34"/>
  <c r="A165" i="34"/>
  <c r="K164" i="34"/>
  <c r="I164" i="34"/>
  <c r="J166" i="34" s="1"/>
  <c r="D164" i="34"/>
  <c r="C164" i="34"/>
  <c r="A164" i="34"/>
  <c r="K163" i="34"/>
  <c r="I163" i="34"/>
  <c r="J165" i="34" s="1"/>
  <c r="D163" i="34"/>
  <c r="C163" i="34"/>
  <c r="A163" i="34"/>
  <c r="K162" i="34"/>
  <c r="I162" i="34"/>
  <c r="J164" i="34" s="1"/>
  <c r="D162" i="34"/>
  <c r="C162" i="34"/>
  <c r="A162" i="34"/>
  <c r="K161" i="34"/>
  <c r="J161" i="34"/>
  <c r="I161" i="34"/>
  <c r="J163" i="34" s="1"/>
  <c r="D161" i="34"/>
  <c r="C161" i="34"/>
  <c r="A161" i="34"/>
  <c r="K160" i="34"/>
  <c r="J160" i="34"/>
  <c r="I160" i="34"/>
  <c r="J162" i="34" s="1"/>
  <c r="D160" i="34"/>
  <c r="C160" i="34"/>
  <c r="A160" i="34"/>
  <c r="K159" i="34"/>
  <c r="I159" i="34"/>
  <c r="D159" i="34"/>
  <c r="C159" i="34"/>
  <c r="A159" i="34"/>
  <c r="K158" i="34"/>
  <c r="I158" i="34"/>
  <c r="D158" i="34"/>
  <c r="C158" i="34"/>
  <c r="A158" i="34"/>
  <c r="K157" i="34"/>
  <c r="I157" i="34"/>
  <c r="J159" i="34" s="1"/>
  <c r="D157" i="34"/>
  <c r="C157" i="34"/>
  <c r="A157" i="34"/>
  <c r="K156" i="34"/>
  <c r="J156" i="34"/>
  <c r="I156" i="34"/>
  <c r="J158" i="34" s="1"/>
  <c r="D156" i="34"/>
  <c r="C156" i="34"/>
  <c r="A156" i="34"/>
  <c r="K155" i="34"/>
  <c r="I155" i="34"/>
  <c r="J157" i="34" s="1"/>
  <c r="D155" i="34"/>
  <c r="C155" i="34"/>
  <c r="A155" i="34"/>
  <c r="K154" i="34"/>
  <c r="J154" i="34"/>
  <c r="I154" i="34"/>
  <c r="D154" i="34"/>
  <c r="C154" i="34"/>
  <c r="A154" i="34"/>
  <c r="K153" i="34"/>
  <c r="J153" i="34"/>
  <c r="I153" i="34"/>
  <c r="J155" i="34" s="1"/>
  <c r="D153" i="34"/>
  <c r="C153" i="34"/>
  <c r="A153" i="34"/>
  <c r="K152" i="34"/>
  <c r="I152" i="34"/>
  <c r="D152" i="34"/>
  <c r="C152" i="34"/>
  <c r="A152" i="34"/>
  <c r="K151" i="34"/>
  <c r="I151" i="34"/>
  <c r="D151" i="34"/>
  <c r="C151" i="34"/>
  <c r="A151" i="34"/>
  <c r="K150" i="34"/>
  <c r="I150" i="34"/>
  <c r="J152" i="34" s="1"/>
  <c r="D150" i="34"/>
  <c r="C150" i="34"/>
  <c r="A150" i="34"/>
  <c r="K149" i="34"/>
  <c r="J149" i="34"/>
  <c r="I149" i="34"/>
  <c r="J151" i="34" s="1"/>
  <c r="D149" i="34"/>
  <c r="C149" i="34"/>
  <c r="A149" i="34"/>
  <c r="K148" i="34"/>
  <c r="J148" i="34"/>
  <c r="I148" i="34"/>
  <c r="J150" i="34" s="1"/>
  <c r="D148" i="34"/>
  <c r="C148" i="34"/>
  <c r="A148" i="34"/>
  <c r="K147" i="34"/>
  <c r="I147" i="34"/>
  <c r="D147" i="34"/>
  <c r="C147" i="34"/>
  <c r="A147" i="34"/>
  <c r="K146" i="34"/>
  <c r="J146" i="34"/>
  <c r="I146" i="34"/>
  <c r="D146" i="34"/>
  <c r="C146" i="34"/>
  <c r="A146" i="34"/>
  <c r="K145" i="34"/>
  <c r="I145" i="34"/>
  <c r="J147" i="34" s="1"/>
  <c r="D145" i="34"/>
  <c r="C145" i="34"/>
  <c r="A145" i="34"/>
  <c r="K144" i="34"/>
  <c r="I144" i="34"/>
  <c r="D144" i="34"/>
  <c r="C144" i="34"/>
  <c r="A144" i="34"/>
  <c r="K143" i="34"/>
  <c r="I143" i="34"/>
  <c r="J145" i="34" s="1"/>
  <c r="D143" i="34"/>
  <c r="C143" i="34"/>
  <c r="A143" i="34"/>
  <c r="K142" i="34"/>
  <c r="J142" i="34"/>
  <c r="I142" i="34"/>
  <c r="J144" i="34" s="1"/>
  <c r="D142" i="34"/>
  <c r="C142" i="34"/>
  <c r="A142" i="34"/>
  <c r="K141" i="34"/>
  <c r="J141" i="34"/>
  <c r="I141" i="34"/>
  <c r="J143" i="34" s="1"/>
  <c r="D141" i="34"/>
  <c r="C141" i="34"/>
  <c r="A141" i="34"/>
  <c r="K140" i="34"/>
  <c r="I140" i="34"/>
  <c r="D140" i="34"/>
  <c r="C140" i="34"/>
  <c r="A140" i="34"/>
  <c r="K139" i="34"/>
  <c r="I139" i="34"/>
  <c r="D139" i="34"/>
  <c r="C139" i="34"/>
  <c r="A139" i="34"/>
  <c r="K138" i="34"/>
  <c r="I138" i="34"/>
  <c r="J140" i="34" s="1"/>
  <c r="D138" i="34"/>
  <c r="C138" i="34"/>
  <c r="A138" i="34"/>
  <c r="K137" i="34"/>
  <c r="I137" i="34"/>
  <c r="J139" i="34" s="1"/>
  <c r="D137" i="34"/>
  <c r="C137" i="34"/>
  <c r="A137" i="34"/>
  <c r="K136" i="34"/>
  <c r="J136" i="34"/>
  <c r="I136" i="34"/>
  <c r="J138" i="34" s="1"/>
  <c r="D136" i="34"/>
  <c r="C136" i="34"/>
  <c r="A136" i="34"/>
  <c r="K135" i="34"/>
  <c r="I135" i="34"/>
  <c r="J137" i="34" s="1"/>
  <c r="D135" i="34"/>
  <c r="C135" i="34"/>
  <c r="A135" i="34"/>
  <c r="K134" i="34"/>
  <c r="I134" i="34"/>
  <c r="D134" i="34"/>
  <c r="C134" i="34"/>
  <c r="A134" i="34"/>
  <c r="K133" i="34"/>
  <c r="I133" i="34"/>
  <c r="J135" i="34" s="1"/>
  <c r="D133" i="34"/>
  <c r="C133" i="34"/>
  <c r="A133" i="34"/>
  <c r="K132" i="34"/>
  <c r="I132" i="34"/>
  <c r="J134" i="34" s="1"/>
  <c r="D132" i="34"/>
  <c r="C132" i="34"/>
  <c r="A132" i="34"/>
  <c r="K131" i="34"/>
  <c r="I131" i="34"/>
  <c r="J133" i="34" s="1"/>
  <c r="D131" i="34"/>
  <c r="C131" i="34"/>
  <c r="A131" i="34"/>
  <c r="K130" i="34"/>
  <c r="I130" i="34"/>
  <c r="J132" i="34" s="1"/>
  <c r="D130" i="34"/>
  <c r="C130" i="34"/>
  <c r="A130" i="34"/>
  <c r="K129" i="34"/>
  <c r="J129" i="34"/>
  <c r="I129" i="34"/>
  <c r="J131" i="34" s="1"/>
  <c r="D129" i="34"/>
  <c r="C129" i="34"/>
  <c r="A129" i="34"/>
  <c r="K128" i="34"/>
  <c r="J128" i="34"/>
  <c r="I128" i="34"/>
  <c r="J130" i="34" s="1"/>
  <c r="D128" i="34"/>
  <c r="C128" i="34"/>
  <c r="A128" i="34"/>
  <c r="K127" i="34"/>
  <c r="I127" i="34"/>
  <c r="D127" i="34"/>
  <c r="C127" i="34"/>
  <c r="A127" i="34"/>
  <c r="K126" i="34"/>
  <c r="I126" i="34"/>
  <c r="D126" i="34"/>
  <c r="C126" i="34"/>
  <c r="A126" i="34"/>
  <c r="K125" i="34"/>
  <c r="I125" i="34"/>
  <c r="J127" i="34" s="1"/>
  <c r="D125" i="34"/>
  <c r="C125" i="34"/>
  <c r="A125" i="34"/>
  <c r="K124" i="34"/>
  <c r="J124" i="34"/>
  <c r="I124" i="34"/>
  <c r="J126" i="34" s="1"/>
  <c r="D124" i="34"/>
  <c r="C124" i="34"/>
  <c r="A124" i="34"/>
  <c r="K123" i="34"/>
  <c r="I123" i="34"/>
  <c r="J125" i="34" s="1"/>
  <c r="D123" i="34"/>
  <c r="C123" i="34"/>
  <c r="A123" i="34"/>
  <c r="K122" i="34"/>
  <c r="J122" i="34"/>
  <c r="I122" i="34"/>
  <c r="D122" i="34"/>
  <c r="C122" i="34"/>
  <c r="A122" i="34"/>
  <c r="K121" i="34"/>
  <c r="J121" i="34"/>
  <c r="I121" i="34"/>
  <c r="J123" i="34" s="1"/>
  <c r="D121" i="34"/>
  <c r="C121" i="34"/>
  <c r="A121" i="34"/>
  <c r="K120" i="34"/>
  <c r="I120" i="34"/>
  <c r="D120" i="34"/>
  <c r="C120" i="34"/>
  <c r="A120" i="34"/>
  <c r="K119" i="34"/>
  <c r="I119" i="34"/>
  <c r="D119" i="34"/>
  <c r="C119" i="34"/>
  <c r="A119" i="34"/>
  <c r="K118" i="34"/>
  <c r="I118" i="34"/>
  <c r="J120" i="34" s="1"/>
  <c r="D118" i="34"/>
  <c r="C118" i="34"/>
  <c r="A118" i="34"/>
  <c r="K117" i="34"/>
  <c r="J117" i="34"/>
  <c r="I117" i="34"/>
  <c r="J119" i="34" s="1"/>
  <c r="D117" i="34"/>
  <c r="C117" i="34"/>
  <c r="A117" i="34"/>
  <c r="K116" i="34"/>
  <c r="J116" i="34"/>
  <c r="I116" i="34"/>
  <c r="J118" i="34" s="1"/>
  <c r="D116" i="34"/>
  <c r="C116" i="34"/>
  <c r="A116" i="34"/>
  <c r="K115" i="34"/>
  <c r="I115" i="34"/>
  <c r="D115" i="34"/>
  <c r="C115" i="34"/>
  <c r="A115" i="34"/>
  <c r="K114" i="34"/>
  <c r="J114" i="34"/>
  <c r="I114" i="34"/>
  <c r="D114" i="34"/>
  <c r="C114" i="34"/>
  <c r="A114" i="34"/>
  <c r="K113" i="34"/>
  <c r="I113" i="34"/>
  <c r="J115" i="34" s="1"/>
  <c r="D113" i="34"/>
  <c r="C113" i="34"/>
  <c r="A113" i="34"/>
  <c r="K112" i="34"/>
  <c r="I112" i="34"/>
  <c r="D112" i="34"/>
  <c r="C112" i="34"/>
  <c r="A112" i="34"/>
  <c r="K111" i="34"/>
  <c r="I111" i="34"/>
  <c r="J113" i="34" s="1"/>
  <c r="D111" i="34"/>
  <c r="C111" i="34"/>
  <c r="A111" i="34"/>
  <c r="K110" i="34"/>
  <c r="J110" i="34"/>
  <c r="I110" i="34"/>
  <c r="J112" i="34" s="1"/>
  <c r="D110" i="34"/>
  <c r="C110" i="34"/>
  <c r="A110" i="34"/>
  <c r="K109" i="34"/>
  <c r="J109" i="34"/>
  <c r="I109" i="34"/>
  <c r="J111" i="34" s="1"/>
  <c r="D109" i="34"/>
  <c r="C109" i="34"/>
  <c r="A109" i="34"/>
  <c r="K108" i="34"/>
  <c r="I108" i="34"/>
  <c r="D108" i="34"/>
  <c r="C108" i="34"/>
  <c r="A108" i="34"/>
  <c r="K107" i="34"/>
  <c r="I107" i="34"/>
  <c r="D107" i="34"/>
  <c r="C107" i="34"/>
  <c r="A107" i="34"/>
  <c r="K106" i="34"/>
  <c r="I106" i="34"/>
  <c r="J108" i="34" s="1"/>
  <c r="D106" i="34"/>
  <c r="C106" i="34"/>
  <c r="A106" i="34"/>
  <c r="K105" i="34"/>
  <c r="I105" i="34"/>
  <c r="J107" i="34" s="1"/>
  <c r="D105" i="34"/>
  <c r="C105" i="34"/>
  <c r="A105" i="34"/>
  <c r="K104" i="34"/>
  <c r="J104" i="34"/>
  <c r="I104" i="34"/>
  <c r="J106" i="34" s="1"/>
  <c r="D104" i="34"/>
  <c r="C104" i="34"/>
  <c r="A104" i="34"/>
  <c r="K103" i="34"/>
  <c r="J103" i="34"/>
  <c r="I103" i="34"/>
  <c r="J105" i="34" s="1"/>
  <c r="D103" i="34"/>
  <c r="C103" i="34"/>
  <c r="A103" i="34"/>
  <c r="K102" i="34"/>
  <c r="I102" i="34"/>
  <c r="D102" i="34"/>
  <c r="C102" i="34"/>
  <c r="A102" i="34"/>
  <c r="K101" i="34"/>
  <c r="I101" i="34"/>
  <c r="D101" i="34"/>
  <c r="C101" i="34"/>
  <c r="A101" i="34"/>
  <c r="K100" i="34"/>
  <c r="J100" i="34"/>
  <c r="I100" i="34"/>
  <c r="J102" i="34" s="1"/>
  <c r="D100" i="34"/>
  <c r="C100" i="34"/>
  <c r="A100" i="34"/>
  <c r="K99" i="34"/>
  <c r="J99" i="34"/>
  <c r="I99" i="34"/>
  <c r="J101" i="34" s="1"/>
  <c r="D99" i="34"/>
  <c r="C99" i="34"/>
  <c r="A99" i="34"/>
  <c r="K98" i="34"/>
  <c r="I98" i="34"/>
  <c r="D98" i="34"/>
  <c r="C98" i="34"/>
  <c r="A98" i="34"/>
  <c r="K97" i="34"/>
  <c r="I97" i="34"/>
  <c r="D97" i="34"/>
  <c r="C97" i="34"/>
  <c r="A97" i="34"/>
  <c r="K96" i="34"/>
  <c r="J96" i="34"/>
  <c r="I96" i="34"/>
  <c r="J98" i="34" s="1"/>
  <c r="D96" i="34"/>
  <c r="C96" i="34"/>
  <c r="A96" i="34"/>
  <c r="K95" i="34"/>
  <c r="J95" i="34"/>
  <c r="I95" i="34"/>
  <c r="J97" i="34" s="1"/>
  <c r="D95" i="34"/>
  <c r="C95" i="34"/>
  <c r="A95" i="34"/>
  <c r="K94" i="34"/>
  <c r="I94" i="34"/>
  <c r="D94" i="34"/>
  <c r="C94" i="34"/>
  <c r="A94" i="34"/>
  <c r="K93" i="34"/>
  <c r="I93" i="34"/>
  <c r="D93" i="34"/>
  <c r="C93" i="34"/>
  <c r="A93" i="34"/>
  <c r="K92" i="34"/>
  <c r="J92" i="34"/>
  <c r="I92" i="34"/>
  <c r="J94" i="34" s="1"/>
  <c r="D92" i="34"/>
  <c r="C92" i="34"/>
  <c r="A92" i="34"/>
  <c r="K91" i="34"/>
  <c r="J91" i="34"/>
  <c r="I91" i="34"/>
  <c r="J93" i="34" s="1"/>
  <c r="D91" i="34"/>
  <c r="C91" i="34"/>
  <c r="A91" i="34"/>
  <c r="K90" i="34"/>
  <c r="I90" i="34"/>
  <c r="D90" i="34"/>
  <c r="C90" i="34"/>
  <c r="A90" i="34"/>
  <c r="K89" i="34"/>
  <c r="I89" i="34"/>
  <c r="D89" i="34"/>
  <c r="C89" i="34"/>
  <c r="A89" i="34"/>
  <c r="K88" i="34"/>
  <c r="J88" i="34"/>
  <c r="I88" i="34"/>
  <c r="J90" i="34" s="1"/>
  <c r="D88" i="34"/>
  <c r="C88" i="34"/>
  <c r="A88" i="34"/>
  <c r="K87" i="34"/>
  <c r="J87" i="34"/>
  <c r="I87" i="34"/>
  <c r="J89" i="34" s="1"/>
  <c r="D87" i="34"/>
  <c r="C87" i="34"/>
  <c r="A87" i="34"/>
  <c r="K86" i="34"/>
  <c r="I86" i="34"/>
  <c r="D86" i="34"/>
  <c r="C86" i="34"/>
  <c r="A86" i="34"/>
  <c r="K85" i="34"/>
  <c r="I85" i="34"/>
  <c r="D85" i="34"/>
  <c r="C85" i="34"/>
  <c r="A85" i="34"/>
  <c r="K84" i="34"/>
  <c r="J84" i="34"/>
  <c r="I84" i="34"/>
  <c r="J86" i="34" s="1"/>
  <c r="D84" i="34"/>
  <c r="C84" i="34"/>
  <c r="A84" i="34"/>
  <c r="K83" i="34"/>
  <c r="J83" i="34"/>
  <c r="I83" i="34"/>
  <c r="J85" i="34" s="1"/>
  <c r="D83" i="34"/>
  <c r="C83" i="34"/>
  <c r="A83" i="34"/>
  <c r="K82" i="34"/>
  <c r="I82" i="34"/>
  <c r="D82" i="34"/>
  <c r="C82" i="34"/>
  <c r="A82" i="34"/>
  <c r="K81" i="34"/>
  <c r="I81" i="34"/>
  <c r="D81" i="34"/>
  <c r="C81" i="34"/>
  <c r="A81" i="34"/>
  <c r="K80" i="34"/>
  <c r="I80" i="34"/>
  <c r="J82" i="34" s="1"/>
  <c r="D80" i="34"/>
  <c r="C80" i="34"/>
  <c r="A80" i="34"/>
  <c r="K79" i="34"/>
  <c r="J79" i="34"/>
  <c r="I79" i="34"/>
  <c r="J81" i="34" s="1"/>
  <c r="D79" i="34"/>
  <c r="C79" i="34"/>
  <c r="A79" i="34"/>
  <c r="K78" i="34"/>
  <c r="I78" i="34"/>
  <c r="J80" i="34" s="1"/>
  <c r="D78" i="34"/>
  <c r="C78" i="34"/>
  <c r="A78" i="34"/>
  <c r="K77" i="34"/>
  <c r="I77" i="34"/>
  <c r="D77" i="34"/>
  <c r="C77" i="34"/>
  <c r="A77" i="34"/>
  <c r="K76" i="34"/>
  <c r="I76" i="34"/>
  <c r="J78" i="34" s="1"/>
  <c r="D76" i="34"/>
  <c r="C76" i="34"/>
  <c r="A76" i="34"/>
  <c r="K75" i="34"/>
  <c r="J75" i="34"/>
  <c r="I75" i="34"/>
  <c r="J77" i="34" s="1"/>
  <c r="D75" i="34"/>
  <c r="C75" i="34"/>
  <c r="A75" i="34"/>
  <c r="K74" i="34"/>
  <c r="I74" i="34"/>
  <c r="J76" i="34" s="1"/>
  <c r="D74" i="34"/>
  <c r="C74" i="34"/>
  <c r="A74" i="34"/>
  <c r="K73" i="34"/>
  <c r="I73" i="34"/>
  <c r="D73" i="34"/>
  <c r="C73" i="34"/>
  <c r="A73" i="34"/>
  <c r="K72" i="34"/>
  <c r="J72" i="34"/>
  <c r="I72" i="34"/>
  <c r="J74" i="34" s="1"/>
  <c r="D72" i="34"/>
  <c r="C72" i="34"/>
  <c r="A72" i="34"/>
  <c r="K71" i="34"/>
  <c r="J71" i="34"/>
  <c r="I71" i="34"/>
  <c r="J73" i="34" s="1"/>
  <c r="D71" i="34"/>
  <c r="C71" i="34"/>
  <c r="A71" i="34"/>
  <c r="K70" i="34"/>
  <c r="I70" i="34"/>
  <c r="D70" i="34"/>
  <c r="C70" i="34"/>
  <c r="A70" i="34"/>
  <c r="K69" i="34"/>
  <c r="I69" i="34"/>
  <c r="D69" i="34"/>
  <c r="C69" i="34"/>
  <c r="A69" i="34"/>
  <c r="K68" i="34"/>
  <c r="J68" i="34"/>
  <c r="I68" i="34"/>
  <c r="J70" i="34" s="1"/>
  <c r="D68" i="34"/>
  <c r="C68" i="34"/>
  <c r="A68" i="34"/>
  <c r="K67" i="34"/>
  <c r="J67" i="34"/>
  <c r="I67" i="34"/>
  <c r="J69" i="34" s="1"/>
  <c r="D67" i="34"/>
  <c r="C67" i="34"/>
  <c r="A67" i="34"/>
  <c r="K66" i="34"/>
  <c r="I66" i="34"/>
  <c r="D66" i="34"/>
  <c r="C66" i="34"/>
  <c r="A66" i="34"/>
  <c r="K65" i="34"/>
  <c r="I65" i="34"/>
  <c r="D65" i="34"/>
  <c r="C65" i="34"/>
  <c r="A65" i="34"/>
  <c r="K64" i="34"/>
  <c r="I64" i="34"/>
  <c r="J66" i="34" s="1"/>
  <c r="D64" i="34"/>
  <c r="C64" i="34"/>
  <c r="A64" i="34"/>
  <c r="K63" i="34"/>
  <c r="J63" i="34"/>
  <c r="I63" i="34"/>
  <c r="J65" i="34" s="1"/>
  <c r="D63" i="34"/>
  <c r="C63" i="34"/>
  <c r="A63" i="34"/>
  <c r="K62" i="34"/>
  <c r="I62" i="34"/>
  <c r="J64" i="34" s="1"/>
  <c r="D62" i="34"/>
  <c r="C62" i="34"/>
  <c r="A62" i="34"/>
  <c r="K61" i="34"/>
  <c r="I61" i="34"/>
  <c r="D61" i="34"/>
  <c r="C61" i="34"/>
  <c r="A61" i="34"/>
  <c r="K60" i="34"/>
  <c r="I60" i="34"/>
  <c r="J62" i="34" s="1"/>
  <c r="D60" i="34"/>
  <c r="C60" i="34"/>
  <c r="A60" i="34"/>
  <c r="K59" i="34"/>
  <c r="J59" i="34"/>
  <c r="I59" i="34"/>
  <c r="J61" i="34" s="1"/>
  <c r="D59" i="34"/>
  <c r="C59" i="34"/>
  <c r="A59" i="34"/>
  <c r="K58" i="34"/>
  <c r="I58" i="34"/>
  <c r="J60" i="34" s="1"/>
  <c r="D58" i="34"/>
  <c r="C58" i="34"/>
  <c r="A58" i="34"/>
  <c r="K57" i="34"/>
  <c r="I57" i="34"/>
  <c r="D57" i="34"/>
  <c r="C57" i="34"/>
  <c r="A57" i="34"/>
  <c r="K56" i="34"/>
  <c r="J56" i="34"/>
  <c r="I56" i="34"/>
  <c r="J58" i="34" s="1"/>
  <c r="D56" i="34"/>
  <c r="C56" i="34"/>
  <c r="A56" i="34"/>
  <c r="K55" i="34"/>
  <c r="J55" i="34"/>
  <c r="I55" i="34"/>
  <c r="J57" i="34" s="1"/>
  <c r="D55" i="34"/>
  <c r="C55" i="34"/>
  <c r="A55" i="34"/>
  <c r="K54" i="34"/>
  <c r="I54" i="34"/>
  <c r="D54" i="34"/>
  <c r="C54" i="34"/>
  <c r="A54" i="34"/>
  <c r="K53" i="34"/>
  <c r="I53" i="34"/>
  <c r="D53" i="34"/>
  <c r="C53" i="34"/>
  <c r="A53" i="34"/>
  <c r="K52" i="34"/>
  <c r="J52" i="34"/>
  <c r="I52" i="34"/>
  <c r="J54" i="34" s="1"/>
  <c r="D52" i="34"/>
  <c r="C52" i="34"/>
  <c r="A52" i="34"/>
  <c r="K51" i="34"/>
  <c r="J51" i="34"/>
  <c r="I51" i="34"/>
  <c r="J53" i="34" s="1"/>
  <c r="D51" i="34"/>
  <c r="C51" i="34"/>
  <c r="A51" i="34"/>
  <c r="K50" i="34"/>
  <c r="I50" i="34"/>
  <c r="D50" i="34"/>
  <c r="C50" i="34"/>
  <c r="A50" i="34"/>
  <c r="K49" i="34"/>
  <c r="I49" i="34"/>
  <c r="D49" i="34"/>
  <c r="C49" i="34"/>
  <c r="A49" i="34"/>
  <c r="K48" i="34"/>
  <c r="I48" i="34"/>
  <c r="J50" i="34" s="1"/>
  <c r="D48" i="34"/>
  <c r="C48" i="34"/>
  <c r="A48" i="34"/>
  <c r="K47" i="34"/>
  <c r="J47" i="34"/>
  <c r="I47" i="34"/>
  <c r="J49" i="34" s="1"/>
  <c r="D47" i="34"/>
  <c r="C47" i="34"/>
  <c r="A47" i="34"/>
  <c r="K46" i="34"/>
  <c r="I46" i="34"/>
  <c r="J48" i="34" s="1"/>
  <c r="D46" i="34"/>
  <c r="C46" i="34"/>
  <c r="A46" i="34"/>
  <c r="K45" i="34"/>
  <c r="I45" i="34"/>
  <c r="D45" i="34"/>
  <c r="C45" i="34"/>
  <c r="A45" i="34"/>
  <c r="K44" i="34"/>
  <c r="I44" i="34"/>
  <c r="J46" i="34" s="1"/>
  <c r="D44" i="34"/>
  <c r="C44" i="34"/>
  <c r="A44" i="34"/>
  <c r="K43" i="34"/>
  <c r="J43" i="34"/>
  <c r="I43" i="34"/>
  <c r="J45" i="34" s="1"/>
  <c r="D43" i="34"/>
  <c r="C43" i="34"/>
  <c r="A43" i="34"/>
  <c r="K42" i="34"/>
  <c r="I42" i="34"/>
  <c r="J44" i="34" s="1"/>
  <c r="D42" i="34"/>
  <c r="C42" i="34"/>
  <c r="A42" i="34"/>
  <c r="K41" i="34"/>
  <c r="I41" i="34"/>
  <c r="D41" i="34"/>
  <c r="C41" i="34"/>
  <c r="A41" i="34"/>
  <c r="K40" i="34"/>
  <c r="J40" i="34"/>
  <c r="I40" i="34"/>
  <c r="J42" i="34" s="1"/>
  <c r="D40" i="34"/>
  <c r="C40" i="34"/>
  <c r="A40" i="34"/>
  <c r="K39" i="34"/>
  <c r="J39" i="34"/>
  <c r="I39" i="34"/>
  <c r="J41" i="34" s="1"/>
  <c r="D39" i="34"/>
  <c r="C39" i="34"/>
  <c r="A39" i="34"/>
  <c r="K38" i="34"/>
  <c r="I38" i="34"/>
  <c r="D38" i="34"/>
  <c r="C38" i="34"/>
  <c r="A38" i="34"/>
  <c r="K37" i="34"/>
  <c r="I37" i="34"/>
  <c r="D37" i="34"/>
  <c r="C37" i="34"/>
  <c r="A37" i="34"/>
  <c r="K36" i="34"/>
  <c r="J36" i="34"/>
  <c r="I36" i="34"/>
  <c r="J38" i="34" s="1"/>
  <c r="D36" i="34"/>
  <c r="C36" i="34"/>
  <c r="A36" i="34"/>
  <c r="K35" i="34"/>
  <c r="J35" i="34"/>
  <c r="I35" i="34"/>
  <c r="J37" i="34" s="1"/>
  <c r="D35" i="34"/>
  <c r="C35" i="34"/>
  <c r="A35" i="34"/>
  <c r="K34" i="34"/>
  <c r="I34" i="34"/>
  <c r="D34" i="34"/>
  <c r="C34" i="34"/>
  <c r="A34" i="34"/>
  <c r="K33" i="34"/>
  <c r="I33" i="34"/>
  <c r="D33" i="34"/>
  <c r="C33" i="34"/>
  <c r="A33" i="34"/>
  <c r="K32" i="34"/>
  <c r="I32" i="34"/>
  <c r="J34" i="34" s="1"/>
  <c r="D32" i="34"/>
  <c r="C32" i="34"/>
  <c r="A32" i="34"/>
  <c r="K31" i="34"/>
  <c r="J31" i="34"/>
  <c r="I31" i="34"/>
  <c r="J33" i="34" s="1"/>
  <c r="D31" i="34"/>
  <c r="C31" i="34"/>
  <c r="A31" i="34"/>
  <c r="K30" i="34"/>
  <c r="I30" i="34"/>
  <c r="J32" i="34" s="1"/>
  <c r="D30" i="34"/>
  <c r="C30" i="34"/>
  <c r="A30" i="34"/>
  <c r="K29" i="34"/>
  <c r="I29" i="34"/>
  <c r="D29" i="34"/>
  <c r="C29" i="34"/>
  <c r="A29" i="34"/>
  <c r="K28" i="34"/>
  <c r="I28" i="34"/>
  <c r="J30" i="34" s="1"/>
  <c r="D28" i="34"/>
  <c r="C28" i="34"/>
  <c r="A28" i="34"/>
  <c r="K27" i="34"/>
  <c r="J27" i="34"/>
  <c r="I27" i="34"/>
  <c r="J29" i="34" s="1"/>
  <c r="D27" i="34"/>
  <c r="C27" i="34"/>
  <c r="A27" i="34"/>
  <c r="K26" i="34"/>
  <c r="I26" i="34"/>
  <c r="J28" i="34" s="1"/>
  <c r="D26" i="34"/>
  <c r="C26" i="34"/>
  <c r="A26" i="34"/>
  <c r="K25" i="34"/>
  <c r="I25" i="34"/>
  <c r="D25" i="34"/>
  <c r="C25" i="34"/>
  <c r="A25" i="34"/>
  <c r="K24" i="34"/>
  <c r="J24" i="34"/>
  <c r="I24" i="34"/>
  <c r="J26" i="34" s="1"/>
  <c r="D24" i="34"/>
  <c r="C24" i="34"/>
  <c r="A24" i="34"/>
  <c r="K23" i="34"/>
  <c r="J23" i="34"/>
  <c r="I23" i="34"/>
  <c r="J25" i="34" s="1"/>
  <c r="D23" i="34"/>
  <c r="C23" i="34"/>
  <c r="A23" i="34"/>
  <c r="K22" i="34"/>
  <c r="I22" i="34"/>
  <c r="D22" i="34"/>
  <c r="C22" i="34"/>
  <c r="A22" i="34"/>
  <c r="K21" i="34"/>
  <c r="I21" i="34"/>
  <c r="D21" i="34"/>
  <c r="C21" i="34"/>
  <c r="A21" i="34"/>
  <c r="K20" i="34"/>
  <c r="J20" i="34"/>
  <c r="I20" i="34"/>
  <c r="J22" i="34" s="1"/>
  <c r="D20" i="34"/>
  <c r="C20" i="34"/>
  <c r="A20" i="34"/>
  <c r="K19" i="34"/>
  <c r="J19" i="34"/>
  <c r="I19" i="34"/>
  <c r="J21" i="34" s="1"/>
  <c r="D19" i="34"/>
  <c r="C19" i="34"/>
  <c r="A19" i="34"/>
  <c r="K18" i="34"/>
  <c r="I18" i="34"/>
  <c r="D18" i="34"/>
  <c r="C18" i="34"/>
  <c r="A18" i="34"/>
  <c r="K17" i="34"/>
  <c r="J17" i="34"/>
  <c r="I17" i="34"/>
  <c r="D17" i="34"/>
  <c r="A17" i="34"/>
  <c r="K16" i="34"/>
  <c r="J16" i="34"/>
  <c r="I16" i="34"/>
  <c r="J18" i="34" s="1"/>
  <c r="D16" i="34"/>
  <c r="C16" i="34"/>
  <c r="A16" i="34"/>
  <c r="B11" i="34"/>
  <c r="B10" i="34"/>
  <c r="G4" i="34"/>
  <c r="J210" i="33"/>
  <c r="G210" i="33"/>
  <c r="D210" i="33"/>
  <c r="C210" i="33"/>
  <c r="B210" i="33"/>
  <c r="J209" i="33"/>
  <c r="G209" i="33"/>
  <c r="D209" i="33"/>
  <c r="C209" i="33"/>
  <c r="B209" i="33"/>
  <c r="J208" i="33"/>
  <c r="K210" i="33" s="1"/>
  <c r="G208" i="33"/>
  <c r="D208" i="33"/>
  <c r="C208" i="33"/>
  <c r="B208" i="33"/>
  <c r="J207" i="33"/>
  <c r="K209" i="33" s="1"/>
  <c r="G207" i="33"/>
  <c r="D207" i="33"/>
  <c r="C207" i="33"/>
  <c r="B207" i="33"/>
  <c r="J206" i="33"/>
  <c r="K208" i="33" s="1"/>
  <c r="G206" i="33"/>
  <c r="D206" i="33"/>
  <c r="C206" i="33"/>
  <c r="B206" i="33"/>
  <c r="J205" i="33"/>
  <c r="K207" i="33" s="1"/>
  <c r="G205" i="33"/>
  <c r="D205" i="33"/>
  <c r="C205" i="33"/>
  <c r="B205" i="33"/>
  <c r="J204" i="33"/>
  <c r="K206" i="33" s="1"/>
  <c r="G204" i="33"/>
  <c r="D204" i="33"/>
  <c r="C204" i="33"/>
  <c r="B204" i="33"/>
  <c r="J203" i="33"/>
  <c r="K205" i="33" s="1"/>
  <c r="G203" i="33"/>
  <c r="D203" i="33"/>
  <c r="C203" i="33"/>
  <c r="B203" i="33"/>
  <c r="J202" i="33"/>
  <c r="K204" i="33" s="1"/>
  <c r="G202" i="33"/>
  <c r="D202" i="33"/>
  <c r="C202" i="33"/>
  <c r="B202" i="33"/>
  <c r="J201" i="33"/>
  <c r="K203" i="33" s="1"/>
  <c r="G201" i="33"/>
  <c r="D201" i="33"/>
  <c r="C201" i="33"/>
  <c r="B201" i="33"/>
  <c r="J200" i="33"/>
  <c r="K202" i="33" s="1"/>
  <c r="G200" i="33"/>
  <c r="D200" i="33"/>
  <c r="C200" i="33"/>
  <c r="B200" i="33"/>
  <c r="J199" i="33"/>
  <c r="K201" i="33" s="1"/>
  <c r="G199" i="33"/>
  <c r="D199" i="33"/>
  <c r="C199" i="33"/>
  <c r="B199" i="33"/>
  <c r="J198" i="33"/>
  <c r="K200" i="33" s="1"/>
  <c r="G198" i="33"/>
  <c r="D198" i="33"/>
  <c r="C198" i="33"/>
  <c r="B198" i="33"/>
  <c r="J197" i="33"/>
  <c r="K199" i="33" s="1"/>
  <c r="G197" i="33"/>
  <c r="D197" i="33"/>
  <c r="C197" i="33"/>
  <c r="B197" i="33"/>
  <c r="J196" i="33"/>
  <c r="K198" i="33" s="1"/>
  <c r="G196" i="33"/>
  <c r="D196" i="33"/>
  <c r="C196" i="33"/>
  <c r="B196" i="33"/>
  <c r="J195" i="33"/>
  <c r="K197" i="33" s="1"/>
  <c r="G195" i="33"/>
  <c r="D195" i="33"/>
  <c r="C195" i="33"/>
  <c r="B195" i="33"/>
  <c r="J194" i="33"/>
  <c r="K196" i="33" s="1"/>
  <c r="G194" i="33"/>
  <c r="D194" i="33"/>
  <c r="C194" i="33"/>
  <c r="B194" i="33"/>
  <c r="J193" i="33"/>
  <c r="K195" i="33" s="1"/>
  <c r="G193" i="33"/>
  <c r="D193" i="33"/>
  <c r="C193" i="33"/>
  <c r="B193" i="33"/>
  <c r="J192" i="33"/>
  <c r="K194" i="33" s="1"/>
  <c r="G192" i="33"/>
  <c r="D192" i="33"/>
  <c r="C192" i="33"/>
  <c r="B192" i="33"/>
  <c r="J191" i="33"/>
  <c r="K193" i="33" s="1"/>
  <c r="G191" i="33"/>
  <c r="D191" i="33"/>
  <c r="C191" i="33"/>
  <c r="B191" i="33"/>
  <c r="J190" i="33"/>
  <c r="K192" i="33" s="1"/>
  <c r="G190" i="33"/>
  <c r="D190" i="33"/>
  <c r="C190" i="33"/>
  <c r="B190" i="33"/>
  <c r="J189" i="33"/>
  <c r="K191" i="33" s="1"/>
  <c r="G189" i="33"/>
  <c r="D189" i="33"/>
  <c r="C189" i="33"/>
  <c r="B189" i="33"/>
  <c r="J188" i="33"/>
  <c r="K190" i="33" s="1"/>
  <c r="G188" i="33"/>
  <c r="D188" i="33"/>
  <c r="C188" i="33"/>
  <c r="B188" i="33"/>
  <c r="J187" i="33"/>
  <c r="K189" i="33" s="1"/>
  <c r="G187" i="33"/>
  <c r="D187" i="33"/>
  <c r="C187" i="33"/>
  <c r="B187" i="33"/>
  <c r="J186" i="33"/>
  <c r="K188" i="33" s="1"/>
  <c r="G186" i="33"/>
  <c r="D186" i="33"/>
  <c r="C186" i="33"/>
  <c r="B186" i="33"/>
  <c r="J185" i="33"/>
  <c r="K187" i="33" s="1"/>
  <c r="G185" i="33"/>
  <c r="D185" i="33"/>
  <c r="C185" i="33"/>
  <c r="B185" i="33"/>
  <c r="J184" i="33"/>
  <c r="K186" i="33" s="1"/>
  <c r="G184" i="33"/>
  <c r="D184" i="33"/>
  <c r="C184" i="33"/>
  <c r="B184" i="33"/>
  <c r="J183" i="33"/>
  <c r="K185" i="33" s="1"/>
  <c r="G183" i="33"/>
  <c r="D183" i="33"/>
  <c r="C183" i="33"/>
  <c r="B183" i="33"/>
  <c r="J182" i="33"/>
  <c r="K184" i="33" s="1"/>
  <c r="G182" i="33"/>
  <c r="D182" i="33"/>
  <c r="C182" i="33"/>
  <c r="B182" i="33"/>
  <c r="J181" i="33"/>
  <c r="K183" i="33" s="1"/>
  <c r="G181" i="33"/>
  <c r="D181" i="33"/>
  <c r="C181" i="33"/>
  <c r="B181" i="33"/>
  <c r="J180" i="33"/>
  <c r="K182" i="33" s="1"/>
  <c r="G180" i="33"/>
  <c r="D180" i="33"/>
  <c r="C180" i="33"/>
  <c r="B180" i="33"/>
  <c r="J179" i="33"/>
  <c r="K181" i="33" s="1"/>
  <c r="G179" i="33"/>
  <c r="D179" i="33"/>
  <c r="C179" i="33"/>
  <c r="B179" i="33"/>
  <c r="J178" i="33"/>
  <c r="K180" i="33" s="1"/>
  <c r="G178" i="33"/>
  <c r="D178" i="33"/>
  <c r="C178" i="33"/>
  <c r="B178" i="33"/>
  <c r="J177" i="33"/>
  <c r="K179" i="33" s="1"/>
  <c r="G177" i="33"/>
  <c r="D177" i="33"/>
  <c r="C177" i="33"/>
  <c r="B177" i="33"/>
  <c r="J176" i="33"/>
  <c r="K178" i="33" s="1"/>
  <c r="G176" i="33"/>
  <c r="D176" i="33"/>
  <c r="C176" i="33"/>
  <c r="B176" i="33"/>
  <c r="J175" i="33"/>
  <c r="K177" i="33" s="1"/>
  <c r="G175" i="33"/>
  <c r="D175" i="33"/>
  <c r="C175" i="33"/>
  <c r="B175" i="33"/>
  <c r="J174" i="33"/>
  <c r="K176" i="33" s="1"/>
  <c r="G174" i="33"/>
  <c r="D174" i="33"/>
  <c r="C174" i="33"/>
  <c r="B174" i="33"/>
  <c r="J173" i="33"/>
  <c r="K175" i="33" s="1"/>
  <c r="G173" i="33"/>
  <c r="D173" i="33"/>
  <c r="C173" i="33"/>
  <c r="B173" i="33"/>
  <c r="J172" i="33"/>
  <c r="K174" i="33" s="1"/>
  <c r="G172" i="33"/>
  <c r="D172" i="33"/>
  <c r="C172" i="33"/>
  <c r="B172" i="33"/>
  <c r="J171" i="33"/>
  <c r="K173" i="33" s="1"/>
  <c r="G171" i="33"/>
  <c r="D171" i="33"/>
  <c r="C171" i="33"/>
  <c r="B171" i="33"/>
  <c r="J170" i="33"/>
  <c r="K172" i="33" s="1"/>
  <c r="G170" i="33"/>
  <c r="D170" i="33"/>
  <c r="C170" i="33"/>
  <c r="B170" i="33"/>
  <c r="J169" i="33"/>
  <c r="K171" i="33" s="1"/>
  <c r="G169" i="33"/>
  <c r="D169" i="33"/>
  <c r="C169" i="33"/>
  <c r="B169" i="33"/>
  <c r="J168" i="33"/>
  <c r="K170" i="33" s="1"/>
  <c r="G168" i="33"/>
  <c r="D168" i="33"/>
  <c r="C168" i="33"/>
  <c r="B168" i="33"/>
  <c r="J167" i="33"/>
  <c r="K169" i="33" s="1"/>
  <c r="G167" i="33"/>
  <c r="D167" i="33"/>
  <c r="C167" i="33"/>
  <c r="B167" i="33"/>
  <c r="J166" i="33"/>
  <c r="K168" i="33" s="1"/>
  <c r="G166" i="33"/>
  <c r="D166" i="33"/>
  <c r="C166" i="33"/>
  <c r="B166" i="33"/>
  <c r="J165" i="33"/>
  <c r="K167" i="33" s="1"/>
  <c r="G165" i="33"/>
  <c r="D165" i="33"/>
  <c r="C165" i="33"/>
  <c r="B165" i="33"/>
  <c r="J164" i="33"/>
  <c r="K166" i="33" s="1"/>
  <c r="G164" i="33"/>
  <c r="D164" i="33"/>
  <c r="C164" i="33"/>
  <c r="B164" i="33"/>
  <c r="J163" i="33"/>
  <c r="K165" i="33" s="1"/>
  <c r="G163" i="33"/>
  <c r="D163" i="33"/>
  <c r="C163" i="33"/>
  <c r="B163" i="33"/>
  <c r="J162" i="33"/>
  <c r="K164" i="33" s="1"/>
  <c r="G162" i="33"/>
  <c r="D162" i="33"/>
  <c r="C162" i="33"/>
  <c r="B162" i="33"/>
  <c r="J161" i="33"/>
  <c r="K163" i="33" s="1"/>
  <c r="G161" i="33"/>
  <c r="D161" i="33"/>
  <c r="C161" i="33"/>
  <c r="B161" i="33"/>
  <c r="J160" i="33"/>
  <c r="K162" i="33" s="1"/>
  <c r="G160" i="33"/>
  <c r="D160" i="33"/>
  <c r="C160" i="33"/>
  <c r="B160" i="33"/>
  <c r="J159" i="33"/>
  <c r="K161" i="33" s="1"/>
  <c r="G159" i="33"/>
  <c r="D159" i="33"/>
  <c r="C159" i="33"/>
  <c r="B159" i="33"/>
  <c r="J158" i="33"/>
  <c r="K160" i="33" s="1"/>
  <c r="G158" i="33"/>
  <c r="D158" i="33"/>
  <c r="C158" i="33"/>
  <c r="B158" i="33"/>
  <c r="J157" i="33"/>
  <c r="K159" i="33" s="1"/>
  <c r="G157" i="33"/>
  <c r="D157" i="33"/>
  <c r="C157" i="33"/>
  <c r="B157" i="33"/>
  <c r="J156" i="33"/>
  <c r="K158" i="33" s="1"/>
  <c r="G156" i="33"/>
  <c r="D156" i="33"/>
  <c r="C156" i="33"/>
  <c r="B156" i="33"/>
  <c r="J155" i="33"/>
  <c r="K157" i="33" s="1"/>
  <c r="G155" i="33"/>
  <c r="D155" i="33"/>
  <c r="C155" i="33"/>
  <c r="B155" i="33"/>
  <c r="J154" i="33"/>
  <c r="K156" i="33" s="1"/>
  <c r="G154" i="33"/>
  <c r="D154" i="33"/>
  <c r="C154" i="33"/>
  <c r="B154" i="33"/>
  <c r="J153" i="33"/>
  <c r="K155" i="33" s="1"/>
  <c r="G153" i="33"/>
  <c r="D153" i="33"/>
  <c r="C153" i="33"/>
  <c r="B153" i="33"/>
  <c r="J152" i="33"/>
  <c r="K154" i="33" s="1"/>
  <c r="G152" i="33"/>
  <c r="D152" i="33"/>
  <c r="C152" i="33"/>
  <c r="B152" i="33"/>
  <c r="J151" i="33"/>
  <c r="K153" i="33" s="1"/>
  <c r="G151" i="33"/>
  <c r="D151" i="33"/>
  <c r="C151" i="33"/>
  <c r="B151" i="33"/>
  <c r="J150" i="33"/>
  <c r="K152" i="33" s="1"/>
  <c r="G150" i="33"/>
  <c r="D150" i="33"/>
  <c r="C150" i="33"/>
  <c r="B150" i="33"/>
  <c r="J149" i="33"/>
  <c r="K151" i="33" s="1"/>
  <c r="G149" i="33"/>
  <c r="D149" i="33"/>
  <c r="C149" i="33"/>
  <c r="B149" i="33"/>
  <c r="J148" i="33"/>
  <c r="K150" i="33" s="1"/>
  <c r="G148" i="33"/>
  <c r="D148" i="33"/>
  <c r="C148" i="33"/>
  <c r="B148" i="33"/>
  <c r="J147" i="33"/>
  <c r="K149" i="33" s="1"/>
  <c r="G147" i="33"/>
  <c r="D147" i="33"/>
  <c r="C147" i="33"/>
  <c r="B147" i="33"/>
  <c r="J146" i="33"/>
  <c r="K148" i="33" s="1"/>
  <c r="G146" i="33"/>
  <c r="D146" i="33"/>
  <c r="C146" i="33"/>
  <c r="B146" i="33"/>
  <c r="J145" i="33"/>
  <c r="K147" i="33" s="1"/>
  <c r="G145" i="33"/>
  <c r="D145" i="33"/>
  <c r="C145" i="33"/>
  <c r="B145" i="33"/>
  <c r="J144" i="33"/>
  <c r="K146" i="33" s="1"/>
  <c r="G144" i="33"/>
  <c r="D144" i="33"/>
  <c r="C144" i="33"/>
  <c r="B144" i="33"/>
  <c r="J143" i="33"/>
  <c r="K145" i="33" s="1"/>
  <c r="G143" i="33"/>
  <c r="D143" i="33"/>
  <c r="C143" i="33"/>
  <c r="B143" i="33"/>
  <c r="J142" i="33"/>
  <c r="K144" i="33" s="1"/>
  <c r="G142" i="33"/>
  <c r="D142" i="33"/>
  <c r="C142" i="33"/>
  <c r="B142" i="33"/>
  <c r="J141" i="33"/>
  <c r="K143" i="33" s="1"/>
  <c r="G141" i="33"/>
  <c r="D141" i="33"/>
  <c r="C141" i="33"/>
  <c r="B141" i="33"/>
  <c r="J140" i="33"/>
  <c r="K142" i="33" s="1"/>
  <c r="G140" i="33"/>
  <c r="D140" i="33"/>
  <c r="C140" i="33"/>
  <c r="B140" i="33"/>
  <c r="J139" i="33"/>
  <c r="K141" i="33" s="1"/>
  <c r="G139" i="33"/>
  <c r="D139" i="33"/>
  <c r="C139" i="33"/>
  <c r="B139" i="33"/>
  <c r="J138" i="33"/>
  <c r="K140" i="33" s="1"/>
  <c r="G138" i="33"/>
  <c r="D138" i="33"/>
  <c r="C138" i="33"/>
  <c r="B138" i="33"/>
  <c r="J137" i="33"/>
  <c r="K139" i="33" s="1"/>
  <c r="G137" i="33"/>
  <c r="D137" i="33"/>
  <c r="C137" i="33"/>
  <c r="B137" i="33"/>
  <c r="J136" i="33"/>
  <c r="K138" i="33" s="1"/>
  <c r="G136" i="33"/>
  <c r="D136" i="33"/>
  <c r="C136" i="33"/>
  <c r="B136" i="33"/>
  <c r="J135" i="33"/>
  <c r="K137" i="33" s="1"/>
  <c r="G135" i="33"/>
  <c r="D135" i="33"/>
  <c r="C135" i="33"/>
  <c r="B135" i="33"/>
  <c r="J134" i="33"/>
  <c r="K136" i="33" s="1"/>
  <c r="G134" i="33"/>
  <c r="D134" i="33"/>
  <c r="C134" i="33"/>
  <c r="B134" i="33"/>
  <c r="J133" i="33"/>
  <c r="K135" i="33" s="1"/>
  <c r="G133" i="33"/>
  <c r="D133" i="33"/>
  <c r="C133" i="33"/>
  <c r="B133" i="33"/>
  <c r="J132" i="33"/>
  <c r="K134" i="33" s="1"/>
  <c r="G132" i="33"/>
  <c r="D132" i="33"/>
  <c r="C132" i="33"/>
  <c r="B132" i="33"/>
  <c r="J131" i="33"/>
  <c r="K133" i="33" s="1"/>
  <c r="G131" i="33"/>
  <c r="D131" i="33"/>
  <c r="C131" i="33"/>
  <c r="B131" i="33"/>
  <c r="J130" i="33"/>
  <c r="K132" i="33" s="1"/>
  <c r="G130" i="33"/>
  <c r="D130" i="33"/>
  <c r="C130" i="33"/>
  <c r="B130" i="33"/>
  <c r="J129" i="33"/>
  <c r="K131" i="33" s="1"/>
  <c r="G129" i="33"/>
  <c r="D129" i="33"/>
  <c r="C129" i="33"/>
  <c r="B129" i="33"/>
  <c r="J128" i="33"/>
  <c r="K130" i="33" s="1"/>
  <c r="G128" i="33"/>
  <c r="D128" i="33"/>
  <c r="C128" i="33"/>
  <c r="B128" i="33"/>
  <c r="J127" i="33"/>
  <c r="K129" i="33" s="1"/>
  <c r="G127" i="33"/>
  <c r="D127" i="33"/>
  <c r="C127" i="33"/>
  <c r="B127" i="33"/>
  <c r="J126" i="33"/>
  <c r="K128" i="33" s="1"/>
  <c r="G126" i="33"/>
  <c r="D126" i="33"/>
  <c r="C126" i="33"/>
  <c r="B126" i="33"/>
  <c r="J125" i="33"/>
  <c r="K127" i="33" s="1"/>
  <c r="G125" i="33"/>
  <c r="D125" i="33"/>
  <c r="C125" i="33"/>
  <c r="B125" i="33"/>
  <c r="J124" i="33"/>
  <c r="K126" i="33" s="1"/>
  <c r="G124" i="33"/>
  <c r="D124" i="33"/>
  <c r="C124" i="33"/>
  <c r="B124" i="33"/>
  <c r="J123" i="33"/>
  <c r="K125" i="33" s="1"/>
  <c r="G123" i="33"/>
  <c r="D123" i="33"/>
  <c r="C123" i="33"/>
  <c r="B123" i="33"/>
  <c r="J122" i="33"/>
  <c r="K124" i="33" s="1"/>
  <c r="G122" i="33"/>
  <c r="D122" i="33"/>
  <c r="C122" i="33"/>
  <c r="B122" i="33"/>
  <c r="J121" i="33"/>
  <c r="K123" i="33" s="1"/>
  <c r="G121" i="33"/>
  <c r="D121" i="33"/>
  <c r="C121" i="33"/>
  <c r="B121" i="33"/>
  <c r="J120" i="33"/>
  <c r="K122" i="33" s="1"/>
  <c r="G120" i="33"/>
  <c r="D120" i="33"/>
  <c r="C120" i="33"/>
  <c r="B120" i="33"/>
  <c r="J119" i="33"/>
  <c r="K121" i="33" s="1"/>
  <c r="G119" i="33"/>
  <c r="D119" i="33"/>
  <c r="C119" i="33"/>
  <c r="B119" i="33"/>
  <c r="J118" i="33"/>
  <c r="K120" i="33" s="1"/>
  <c r="G118" i="33"/>
  <c r="D118" i="33"/>
  <c r="C118" i="33"/>
  <c r="B118" i="33"/>
  <c r="J117" i="33"/>
  <c r="K119" i="33" s="1"/>
  <c r="G117" i="33"/>
  <c r="D117" i="33"/>
  <c r="C117" i="33"/>
  <c r="B117" i="33"/>
  <c r="J116" i="33"/>
  <c r="K118" i="33" s="1"/>
  <c r="G116" i="33"/>
  <c r="D116" i="33"/>
  <c r="C116" i="33"/>
  <c r="B116" i="33"/>
  <c r="J115" i="33"/>
  <c r="K117" i="33" s="1"/>
  <c r="G115" i="33"/>
  <c r="D115" i="33"/>
  <c r="C115" i="33"/>
  <c r="B115" i="33"/>
  <c r="J114" i="33"/>
  <c r="K116" i="33" s="1"/>
  <c r="G114" i="33"/>
  <c r="D114" i="33"/>
  <c r="C114" i="33"/>
  <c r="B114" i="33"/>
  <c r="J113" i="33"/>
  <c r="K115" i="33" s="1"/>
  <c r="G113" i="33"/>
  <c r="D113" i="33"/>
  <c r="C113" i="33"/>
  <c r="B113" i="33"/>
  <c r="J112" i="33"/>
  <c r="K114" i="33" s="1"/>
  <c r="G112" i="33"/>
  <c r="D112" i="33"/>
  <c r="C112" i="33"/>
  <c r="B112" i="33"/>
  <c r="J111" i="33"/>
  <c r="K113" i="33" s="1"/>
  <c r="G111" i="33"/>
  <c r="D111" i="33"/>
  <c r="C111" i="33"/>
  <c r="B111" i="33"/>
  <c r="J110" i="33"/>
  <c r="K112" i="33" s="1"/>
  <c r="G110" i="33"/>
  <c r="D110" i="33"/>
  <c r="C110" i="33"/>
  <c r="B110" i="33"/>
  <c r="J109" i="33"/>
  <c r="K111" i="33" s="1"/>
  <c r="G109" i="33"/>
  <c r="D109" i="33"/>
  <c r="C109" i="33"/>
  <c r="B109" i="33"/>
  <c r="J108" i="33"/>
  <c r="K110" i="33" s="1"/>
  <c r="G108" i="33"/>
  <c r="D108" i="33"/>
  <c r="C108" i="33"/>
  <c r="B108" i="33"/>
  <c r="J107" i="33"/>
  <c r="K109" i="33" s="1"/>
  <c r="G107" i="33"/>
  <c r="D107" i="33"/>
  <c r="C107" i="33"/>
  <c r="B107" i="33"/>
  <c r="J106" i="33"/>
  <c r="K108" i="33" s="1"/>
  <c r="G106" i="33"/>
  <c r="D106" i="33"/>
  <c r="C106" i="33"/>
  <c r="B106" i="33"/>
  <c r="J105" i="33"/>
  <c r="K107" i="33" s="1"/>
  <c r="G105" i="33"/>
  <c r="D105" i="33"/>
  <c r="C105" i="33"/>
  <c r="B105" i="33"/>
  <c r="J104" i="33"/>
  <c r="K106" i="33" s="1"/>
  <c r="G104" i="33"/>
  <c r="D104" i="33"/>
  <c r="C104" i="33"/>
  <c r="B104" i="33"/>
  <c r="J103" i="33"/>
  <c r="K105" i="33" s="1"/>
  <c r="G103" i="33"/>
  <c r="D103" i="33"/>
  <c r="C103" i="33"/>
  <c r="B103" i="33"/>
  <c r="J102" i="33"/>
  <c r="K104" i="33" s="1"/>
  <c r="G102" i="33"/>
  <c r="D102" i="33"/>
  <c r="C102" i="33"/>
  <c r="B102" i="33"/>
  <c r="J101" i="33"/>
  <c r="K103" i="33" s="1"/>
  <c r="G101" i="33"/>
  <c r="D101" i="33"/>
  <c r="C101" i="33"/>
  <c r="B101" i="33"/>
  <c r="J100" i="33"/>
  <c r="K102" i="33" s="1"/>
  <c r="G100" i="33"/>
  <c r="D100" i="33"/>
  <c r="C100" i="33"/>
  <c r="B100" i="33"/>
  <c r="J99" i="33"/>
  <c r="K101" i="33" s="1"/>
  <c r="G99" i="33"/>
  <c r="D99" i="33"/>
  <c r="C99" i="33"/>
  <c r="B99" i="33"/>
  <c r="J98" i="33"/>
  <c r="K100" i="33" s="1"/>
  <c r="G98" i="33"/>
  <c r="D98" i="33"/>
  <c r="C98" i="33"/>
  <c r="B98" i="33"/>
  <c r="J97" i="33"/>
  <c r="K99" i="33" s="1"/>
  <c r="G97" i="33"/>
  <c r="D97" i="33"/>
  <c r="C97" i="33"/>
  <c r="B97" i="33"/>
  <c r="J96" i="33"/>
  <c r="K98" i="33" s="1"/>
  <c r="G96" i="33"/>
  <c r="D96" i="33"/>
  <c r="C96" i="33"/>
  <c r="B96" i="33"/>
  <c r="J95" i="33"/>
  <c r="K97" i="33" s="1"/>
  <c r="G95" i="33"/>
  <c r="D95" i="33"/>
  <c r="C95" i="33"/>
  <c r="B95" i="33"/>
  <c r="J94" i="33"/>
  <c r="K96" i="33" s="1"/>
  <c r="G94" i="33"/>
  <c r="D94" i="33"/>
  <c r="C94" i="33"/>
  <c r="B94" i="33"/>
  <c r="J93" i="33"/>
  <c r="K95" i="33" s="1"/>
  <c r="G93" i="33"/>
  <c r="D93" i="33"/>
  <c r="C93" i="33"/>
  <c r="B93" i="33"/>
  <c r="J92" i="33"/>
  <c r="K94" i="33" s="1"/>
  <c r="G92" i="33"/>
  <c r="D92" i="33"/>
  <c r="C92" i="33"/>
  <c r="B92" i="33"/>
  <c r="J91" i="33"/>
  <c r="K93" i="33" s="1"/>
  <c r="G91" i="33"/>
  <c r="D91" i="33"/>
  <c r="C91" i="33"/>
  <c r="B91" i="33"/>
  <c r="J90" i="33"/>
  <c r="K92" i="33" s="1"/>
  <c r="G90" i="33"/>
  <c r="D90" i="33"/>
  <c r="C90" i="33"/>
  <c r="B90" i="33"/>
  <c r="J89" i="33"/>
  <c r="K91" i="33" s="1"/>
  <c r="G89" i="33"/>
  <c r="D89" i="33"/>
  <c r="C89" i="33"/>
  <c r="B89" i="33"/>
  <c r="J88" i="33"/>
  <c r="K90" i="33" s="1"/>
  <c r="G88" i="33"/>
  <c r="D88" i="33"/>
  <c r="C88" i="33"/>
  <c r="B88" i="33"/>
  <c r="J87" i="33"/>
  <c r="K89" i="33" s="1"/>
  <c r="G87" i="33"/>
  <c r="D87" i="33"/>
  <c r="C87" i="33"/>
  <c r="B87" i="33"/>
  <c r="J86" i="33"/>
  <c r="K88" i="33" s="1"/>
  <c r="G86" i="33"/>
  <c r="D86" i="33"/>
  <c r="C86" i="33"/>
  <c r="B86" i="33"/>
  <c r="J85" i="33"/>
  <c r="K87" i="33" s="1"/>
  <c r="G85" i="33"/>
  <c r="D85" i="33"/>
  <c r="C85" i="33"/>
  <c r="B85" i="33"/>
  <c r="J84" i="33"/>
  <c r="K86" i="33" s="1"/>
  <c r="G84" i="33"/>
  <c r="D84" i="33"/>
  <c r="C84" i="33"/>
  <c r="B84" i="33"/>
  <c r="J83" i="33"/>
  <c r="K85" i="33" s="1"/>
  <c r="G83" i="33"/>
  <c r="D83" i="33"/>
  <c r="C83" i="33"/>
  <c r="B83" i="33"/>
  <c r="J82" i="33"/>
  <c r="K84" i="33" s="1"/>
  <c r="G82" i="33"/>
  <c r="D82" i="33"/>
  <c r="C82" i="33"/>
  <c r="B82" i="33"/>
  <c r="J81" i="33"/>
  <c r="K83" i="33" s="1"/>
  <c r="G81" i="33"/>
  <c r="D81" i="33"/>
  <c r="C81" i="33"/>
  <c r="B81" i="33"/>
  <c r="J80" i="33"/>
  <c r="K82" i="33" s="1"/>
  <c r="G80" i="33"/>
  <c r="D80" i="33"/>
  <c r="C80" i="33"/>
  <c r="B80" i="33"/>
  <c r="J79" i="33"/>
  <c r="K81" i="33" s="1"/>
  <c r="G79" i="33"/>
  <c r="D79" i="33"/>
  <c r="C79" i="33"/>
  <c r="B79" i="33"/>
  <c r="J78" i="33"/>
  <c r="K80" i="33" s="1"/>
  <c r="G78" i="33"/>
  <c r="D78" i="33"/>
  <c r="C78" i="33"/>
  <c r="B78" i="33"/>
  <c r="J77" i="33"/>
  <c r="K79" i="33" s="1"/>
  <c r="G77" i="33"/>
  <c r="D77" i="33"/>
  <c r="C77" i="33"/>
  <c r="B77" i="33"/>
  <c r="J76" i="33"/>
  <c r="K78" i="33" s="1"/>
  <c r="G76" i="33"/>
  <c r="D76" i="33"/>
  <c r="C76" i="33"/>
  <c r="B76" i="33"/>
  <c r="J75" i="33"/>
  <c r="K77" i="33" s="1"/>
  <c r="G75" i="33"/>
  <c r="D75" i="33"/>
  <c r="C75" i="33"/>
  <c r="B75" i="33"/>
  <c r="J74" i="33"/>
  <c r="K76" i="33" s="1"/>
  <c r="G74" i="33"/>
  <c r="D74" i="33"/>
  <c r="C74" i="33"/>
  <c r="B74" i="33"/>
  <c r="J73" i="33"/>
  <c r="K75" i="33" s="1"/>
  <c r="G73" i="33"/>
  <c r="D73" i="33"/>
  <c r="C73" i="33"/>
  <c r="B73" i="33"/>
  <c r="J72" i="33"/>
  <c r="K74" i="33" s="1"/>
  <c r="G72" i="33"/>
  <c r="D72" i="33"/>
  <c r="C72" i="33"/>
  <c r="B72" i="33"/>
  <c r="J71" i="33"/>
  <c r="K73" i="33" s="1"/>
  <c r="G71" i="33"/>
  <c r="D71" i="33"/>
  <c r="C71" i="33"/>
  <c r="B71" i="33"/>
  <c r="J70" i="33"/>
  <c r="K72" i="33" s="1"/>
  <c r="G70" i="33"/>
  <c r="D70" i="33"/>
  <c r="C70" i="33"/>
  <c r="B70" i="33"/>
  <c r="J69" i="33"/>
  <c r="K71" i="33" s="1"/>
  <c r="G69" i="33"/>
  <c r="D69" i="33"/>
  <c r="C69" i="33"/>
  <c r="B69" i="33"/>
  <c r="J68" i="33"/>
  <c r="K70" i="33" s="1"/>
  <c r="G68" i="33"/>
  <c r="D68" i="33"/>
  <c r="C68" i="33"/>
  <c r="B68" i="33"/>
  <c r="J67" i="33"/>
  <c r="K69" i="33" s="1"/>
  <c r="G67" i="33"/>
  <c r="D67" i="33"/>
  <c r="C67" i="33"/>
  <c r="B67" i="33"/>
  <c r="J66" i="33"/>
  <c r="K68" i="33" s="1"/>
  <c r="G66" i="33"/>
  <c r="D66" i="33"/>
  <c r="C66" i="33"/>
  <c r="B66" i="33"/>
  <c r="J65" i="33"/>
  <c r="K67" i="33" s="1"/>
  <c r="G65" i="33"/>
  <c r="D65" i="33"/>
  <c r="C65" i="33"/>
  <c r="B65" i="33"/>
  <c r="J64" i="33"/>
  <c r="K66" i="33" s="1"/>
  <c r="G64" i="33"/>
  <c r="D64" i="33"/>
  <c r="C64" i="33"/>
  <c r="B64" i="33"/>
  <c r="J63" i="33"/>
  <c r="K65" i="33" s="1"/>
  <c r="G63" i="33"/>
  <c r="D63" i="33"/>
  <c r="C63" i="33"/>
  <c r="B63" i="33"/>
  <c r="J62" i="33"/>
  <c r="K64" i="33" s="1"/>
  <c r="G62" i="33"/>
  <c r="D62" i="33"/>
  <c r="C62" i="33"/>
  <c r="B62" i="33"/>
  <c r="J61" i="33"/>
  <c r="K63" i="33" s="1"/>
  <c r="G61" i="33"/>
  <c r="D61" i="33"/>
  <c r="C61" i="33"/>
  <c r="B61" i="33"/>
  <c r="J60" i="33"/>
  <c r="K62" i="33" s="1"/>
  <c r="G60" i="33"/>
  <c r="D60" i="33"/>
  <c r="C60" i="33"/>
  <c r="B60" i="33"/>
  <c r="J59" i="33"/>
  <c r="K61" i="33" s="1"/>
  <c r="G59" i="33"/>
  <c r="D59" i="33"/>
  <c r="C59" i="33"/>
  <c r="B59" i="33"/>
  <c r="J58" i="33"/>
  <c r="K60" i="33" s="1"/>
  <c r="G58" i="33"/>
  <c r="D58" i="33"/>
  <c r="C58" i="33"/>
  <c r="B58" i="33"/>
  <c r="J57" i="33"/>
  <c r="K59" i="33" s="1"/>
  <c r="G57" i="33"/>
  <c r="D57" i="33"/>
  <c r="C57" i="33"/>
  <c r="B57" i="33"/>
  <c r="J56" i="33"/>
  <c r="K58" i="33" s="1"/>
  <c r="G56" i="33"/>
  <c r="D56" i="33"/>
  <c r="C56" i="33"/>
  <c r="B56" i="33"/>
  <c r="J55" i="33"/>
  <c r="K57" i="33" s="1"/>
  <c r="G55" i="33"/>
  <c r="D55" i="33"/>
  <c r="C55" i="33"/>
  <c r="B55" i="33"/>
  <c r="J54" i="33"/>
  <c r="K56" i="33" s="1"/>
  <c r="G54" i="33"/>
  <c r="D54" i="33"/>
  <c r="C54" i="33"/>
  <c r="B54" i="33"/>
  <c r="J53" i="33"/>
  <c r="K55" i="33" s="1"/>
  <c r="G53" i="33"/>
  <c r="D53" i="33"/>
  <c r="C53" i="33"/>
  <c r="B53" i="33"/>
  <c r="J52" i="33"/>
  <c r="K54" i="33" s="1"/>
  <c r="G52" i="33"/>
  <c r="D52" i="33"/>
  <c r="C52" i="33"/>
  <c r="B52" i="33"/>
  <c r="J51" i="33"/>
  <c r="K53" i="33" s="1"/>
  <c r="G51" i="33"/>
  <c r="D51" i="33"/>
  <c r="C51" i="33"/>
  <c r="B51" i="33"/>
  <c r="J50" i="33"/>
  <c r="K52" i="33" s="1"/>
  <c r="G50" i="33"/>
  <c r="D50" i="33"/>
  <c r="C50" i="33"/>
  <c r="B50" i="33"/>
  <c r="J49" i="33"/>
  <c r="K51" i="33" s="1"/>
  <c r="G49" i="33"/>
  <c r="D49" i="33"/>
  <c r="C49" i="33"/>
  <c r="B49" i="33"/>
  <c r="J48" i="33"/>
  <c r="K50" i="33" s="1"/>
  <c r="G48" i="33"/>
  <c r="D48" i="33"/>
  <c r="C48" i="33"/>
  <c r="B48" i="33"/>
  <c r="J47" i="33"/>
  <c r="K49" i="33" s="1"/>
  <c r="G47" i="33"/>
  <c r="D47" i="33"/>
  <c r="C47" i="33"/>
  <c r="B47" i="33"/>
  <c r="J46" i="33"/>
  <c r="K48" i="33" s="1"/>
  <c r="G46" i="33"/>
  <c r="D46" i="33"/>
  <c r="C46" i="33"/>
  <c r="B46" i="33"/>
  <c r="J45" i="33"/>
  <c r="K47" i="33" s="1"/>
  <c r="G45" i="33"/>
  <c r="D45" i="33"/>
  <c r="C45" i="33"/>
  <c r="B45" i="33"/>
  <c r="J44" i="33"/>
  <c r="K46" i="33" s="1"/>
  <c r="G44" i="33"/>
  <c r="D44" i="33"/>
  <c r="C44" i="33"/>
  <c r="B44" i="33"/>
  <c r="J43" i="33"/>
  <c r="K45" i="33" s="1"/>
  <c r="G43" i="33"/>
  <c r="D43" i="33"/>
  <c r="C43" i="33"/>
  <c r="B43" i="33"/>
  <c r="J42" i="33"/>
  <c r="K44" i="33" s="1"/>
  <c r="G42" i="33"/>
  <c r="D42" i="33"/>
  <c r="C42" i="33"/>
  <c r="B42" i="33"/>
  <c r="J41" i="33"/>
  <c r="K43" i="33" s="1"/>
  <c r="G41" i="33"/>
  <c r="D41" i="33"/>
  <c r="C41" i="33"/>
  <c r="B41" i="33"/>
  <c r="J40" i="33"/>
  <c r="K42" i="33" s="1"/>
  <c r="G40" i="33"/>
  <c r="D40" i="33"/>
  <c r="C40" i="33"/>
  <c r="B40" i="33"/>
  <c r="J39" i="33"/>
  <c r="K41" i="33" s="1"/>
  <c r="G39" i="33"/>
  <c r="D39" i="33"/>
  <c r="C39" i="33"/>
  <c r="B39" i="33"/>
  <c r="J38" i="33"/>
  <c r="K40" i="33" s="1"/>
  <c r="G38" i="33"/>
  <c r="D38" i="33"/>
  <c r="C38" i="33"/>
  <c r="B38" i="33"/>
  <c r="J37" i="33"/>
  <c r="K39" i="33" s="1"/>
  <c r="G37" i="33"/>
  <c r="D37" i="33"/>
  <c r="C37" i="33"/>
  <c r="B37" i="33"/>
  <c r="J36" i="33"/>
  <c r="K38" i="33" s="1"/>
  <c r="G36" i="33"/>
  <c r="D36" i="33"/>
  <c r="C36" i="33"/>
  <c r="B36" i="33"/>
  <c r="J35" i="33"/>
  <c r="K37" i="33" s="1"/>
  <c r="G35" i="33"/>
  <c r="D35" i="33"/>
  <c r="C35" i="33"/>
  <c r="B35" i="33"/>
  <c r="J34" i="33"/>
  <c r="K36" i="33" s="1"/>
  <c r="G34" i="33"/>
  <c r="D34" i="33"/>
  <c r="C34" i="33"/>
  <c r="B34" i="33"/>
  <c r="J33" i="33"/>
  <c r="K35" i="33" s="1"/>
  <c r="G33" i="33"/>
  <c r="D33" i="33"/>
  <c r="C33" i="33"/>
  <c r="B33" i="33"/>
  <c r="J32" i="33"/>
  <c r="K34" i="33" s="1"/>
  <c r="G32" i="33"/>
  <c r="D32" i="33"/>
  <c r="C32" i="33"/>
  <c r="B32" i="33"/>
  <c r="J31" i="33"/>
  <c r="K33" i="33" s="1"/>
  <c r="G31" i="33"/>
  <c r="D31" i="33"/>
  <c r="C31" i="33"/>
  <c r="B31" i="33"/>
  <c r="J30" i="33"/>
  <c r="K32" i="33" s="1"/>
  <c r="G30" i="33"/>
  <c r="D30" i="33"/>
  <c r="C30" i="33"/>
  <c r="B30" i="33"/>
  <c r="J29" i="33"/>
  <c r="K31" i="33" s="1"/>
  <c r="G29" i="33"/>
  <c r="D29" i="33"/>
  <c r="C29" i="33"/>
  <c r="B29" i="33"/>
  <c r="J28" i="33"/>
  <c r="K30" i="33" s="1"/>
  <c r="G28" i="33"/>
  <c r="D28" i="33"/>
  <c r="C28" i="33"/>
  <c r="B28" i="33"/>
  <c r="J27" i="33"/>
  <c r="K29" i="33" s="1"/>
  <c r="G27" i="33"/>
  <c r="D27" i="33"/>
  <c r="C27" i="33"/>
  <c r="B27" i="33"/>
  <c r="J26" i="33"/>
  <c r="K28" i="33" s="1"/>
  <c r="G26" i="33"/>
  <c r="D26" i="33"/>
  <c r="C26" i="33"/>
  <c r="B26" i="33"/>
  <c r="J25" i="33"/>
  <c r="K27" i="33" s="1"/>
  <c r="G25" i="33"/>
  <c r="D25" i="33"/>
  <c r="C25" i="33"/>
  <c r="B25" i="33"/>
  <c r="J24" i="33"/>
  <c r="K26" i="33" s="1"/>
  <c r="G24" i="33"/>
  <c r="D24" i="33"/>
  <c r="C24" i="33"/>
  <c r="B24" i="33"/>
  <c r="J23" i="33"/>
  <c r="K25" i="33" s="1"/>
  <c r="G23" i="33"/>
  <c r="D23" i="33"/>
  <c r="C23" i="33"/>
  <c r="B23" i="33"/>
  <c r="J22" i="33"/>
  <c r="K24" i="33" s="1"/>
  <c r="G22" i="33"/>
  <c r="D22" i="33"/>
  <c r="C22" i="33"/>
  <c r="B22" i="33"/>
  <c r="J21" i="33"/>
  <c r="K23" i="33" s="1"/>
  <c r="G21" i="33"/>
  <c r="D21" i="33"/>
  <c r="C21" i="33"/>
  <c r="B21" i="33"/>
  <c r="J20" i="33"/>
  <c r="K22" i="33" s="1"/>
  <c r="G20" i="33"/>
  <c r="D20" i="33"/>
  <c r="C20" i="33"/>
  <c r="B20" i="33"/>
  <c r="J19" i="33"/>
  <c r="K21" i="33" s="1"/>
  <c r="G19" i="33"/>
  <c r="D19" i="33"/>
  <c r="C19" i="33"/>
  <c r="B19" i="33"/>
  <c r="J18" i="33"/>
  <c r="K20" i="33" s="1"/>
  <c r="G18" i="33"/>
  <c r="D18" i="33"/>
  <c r="C18" i="33"/>
  <c r="B18" i="33"/>
  <c r="J17" i="33"/>
  <c r="K19" i="33" s="1"/>
  <c r="G17" i="33"/>
  <c r="D17" i="33"/>
  <c r="C17" i="33"/>
  <c r="B17" i="33"/>
  <c r="J16" i="33"/>
  <c r="K18" i="33" s="1"/>
  <c r="G16" i="33"/>
  <c r="D16" i="33"/>
  <c r="C16" i="33"/>
  <c r="B16" i="33"/>
  <c r="J15" i="33"/>
  <c r="K17" i="33" s="1"/>
  <c r="G15" i="33"/>
  <c r="D15" i="33"/>
  <c r="C15" i="33"/>
  <c r="B15" i="33"/>
  <c r="J14" i="33"/>
  <c r="K16" i="33" s="1"/>
  <c r="G14" i="33"/>
  <c r="D14" i="33"/>
  <c r="C14" i="33"/>
  <c r="B14" i="33"/>
  <c r="J13" i="33"/>
  <c r="K15" i="33" s="1"/>
  <c r="G13" i="33"/>
  <c r="D13" i="33"/>
  <c r="C13" i="33"/>
  <c r="B13" i="33"/>
  <c r="K12" i="33"/>
  <c r="J12" i="33"/>
  <c r="K14" i="33" s="1"/>
  <c r="G12" i="33"/>
  <c r="D12" i="33"/>
  <c r="K11" i="33"/>
  <c r="J11" i="33"/>
  <c r="K13" i="33" s="1"/>
  <c r="G11" i="33"/>
  <c r="D11" i="33"/>
  <c r="C11" i="33"/>
  <c r="B11" i="33"/>
  <c r="J4" i="33"/>
  <c r="I210" i="32"/>
  <c r="F210" i="32"/>
  <c r="D210" i="32"/>
  <c r="C210" i="32"/>
  <c r="B210" i="32"/>
  <c r="J209" i="32"/>
  <c r="I209" i="32"/>
  <c r="F209" i="32"/>
  <c r="D209" i="32"/>
  <c r="C209" i="32"/>
  <c r="B209" i="32"/>
  <c r="I208" i="32"/>
  <c r="J210" i="32" s="1"/>
  <c r="F208" i="32"/>
  <c r="D208" i="32"/>
  <c r="C208" i="32"/>
  <c r="B208" i="32"/>
  <c r="J207" i="32"/>
  <c r="I207" i="32"/>
  <c r="F207" i="32"/>
  <c r="D207" i="32"/>
  <c r="C207" i="32"/>
  <c r="B207" i="32"/>
  <c r="I206" i="32"/>
  <c r="J208" i="32" s="1"/>
  <c r="F206" i="32"/>
  <c r="D206" i="32"/>
  <c r="C206" i="32"/>
  <c r="B206" i="32"/>
  <c r="J205" i="32"/>
  <c r="I205" i="32"/>
  <c r="F205" i="32"/>
  <c r="D205" i="32"/>
  <c r="C205" i="32"/>
  <c r="B205" i="32"/>
  <c r="I204" i="32"/>
  <c r="J206" i="32" s="1"/>
  <c r="F204" i="32"/>
  <c r="D204" i="32"/>
  <c r="C204" i="32"/>
  <c r="B204" i="32"/>
  <c r="J203" i="32"/>
  <c r="I203" i="32"/>
  <c r="F203" i="32"/>
  <c r="D203" i="32"/>
  <c r="C203" i="32"/>
  <c r="B203" i="32"/>
  <c r="I202" i="32"/>
  <c r="J204" i="32" s="1"/>
  <c r="F202" i="32"/>
  <c r="D202" i="32"/>
  <c r="C202" i="32"/>
  <c r="B202" i="32"/>
  <c r="J201" i="32"/>
  <c r="I201" i="32"/>
  <c r="F201" i="32"/>
  <c r="D201" i="32"/>
  <c r="C201" i="32"/>
  <c r="B201" i="32"/>
  <c r="I200" i="32"/>
  <c r="J202" i="32" s="1"/>
  <c r="F200" i="32"/>
  <c r="D200" i="32"/>
  <c r="C200" i="32"/>
  <c r="B200" i="32"/>
  <c r="J199" i="32"/>
  <c r="I199" i="32"/>
  <c r="F199" i="32"/>
  <c r="D199" i="32"/>
  <c r="C199" i="32"/>
  <c r="B199" i="32"/>
  <c r="I198" i="32"/>
  <c r="J200" i="32" s="1"/>
  <c r="F198" i="32"/>
  <c r="D198" i="32"/>
  <c r="C198" i="32"/>
  <c r="B198" i="32"/>
  <c r="J197" i="32"/>
  <c r="I197" i="32"/>
  <c r="F197" i="32"/>
  <c r="D197" i="32"/>
  <c r="C197" i="32"/>
  <c r="B197" i="32"/>
  <c r="I196" i="32"/>
  <c r="J198" i="32" s="1"/>
  <c r="F196" i="32"/>
  <c r="D196" i="32"/>
  <c r="C196" i="32"/>
  <c r="B196" i="32"/>
  <c r="J195" i="32"/>
  <c r="I195" i="32"/>
  <c r="F195" i="32"/>
  <c r="D195" i="32"/>
  <c r="C195" i="32"/>
  <c r="B195" i="32"/>
  <c r="I194" i="32"/>
  <c r="J196" i="32" s="1"/>
  <c r="F194" i="32"/>
  <c r="D194" i="32"/>
  <c r="C194" i="32"/>
  <c r="B194" i="32"/>
  <c r="J193" i="32"/>
  <c r="I193" i="32"/>
  <c r="F193" i="32"/>
  <c r="D193" i="32"/>
  <c r="C193" i="32"/>
  <c r="B193" i="32"/>
  <c r="I192" i="32"/>
  <c r="J194" i="32" s="1"/>
  <c r="F192" i="32"/>
  <c r="D192" i="32"/>
  <c r="C192" i="32"/>
  <c r="B192" i="32"/>
  <c r="J191" i="32"/>
  <c r="I191" i="32"/>
  <c r="F191" i="32"/>
  <c r="D191" i="32"/>
  <c r="C191" i="32"/>
  <c r="B191" i="32"/>
  <c r="I190" i="32"/>
  <c r="J192" i="32" s="1"/>
  <c r="F190" i="32"/>
  <c r="D190" i="32"/>
  <c r="C190" i="32"/>
  <c r="B190" i="32"/>
  <c r="J189" i="32"/>
  <c r="I189" i="32"/>
  <c r="F189" i="32"/>
  <c r="D189" i="32"/>
  <c r="C189" i="32"/>
  <c r="B189" i="32"/>
  <c r="I188" i="32"/>
  <c r="J190" i="32" s="1"/>
  <c r="F188" i="32"/>
  <c r="D188" i="32"/>
  <c r="C188" i="32"/>
  <c r="B188" i="32"/>
  <c r="J187" i="32"/>
  <c r="I187" i="32"/>
  <c r="F187" i="32"/>
  <c r="D187" i="32"/>
  <c r="C187" i="32"/>
  <c r="B187" i="32"/>
  <c r="I186" i="32"/>
  <c r="J188" i="32" s="1"/>
  <c r="F186" i="32"/>
  <c r="D186" i="32"/>
  <c r="C186" i="32"/>
  <c r="B186" i="32"/>
  <c r="J185" i="32"/>
  <c r="I185" i="32"/>
  <c r="F185" i="32"/>
  <c r="D185" i="32"/>
  <c r="C185" i="32"/>
  <c r="B185" i="32"/>
  <c r="I184" i="32"/>
  <c r="J186" i="32" s="1"/>
  <c r="F184" i="32"/>
  <c r="D184" i="32"/>
  <c r="C184" i="32"/>
  <c r="B184" i="32"/>
  <c r="J183" i="32"/>
  <c r="I183" i="32"/>
  <c r="F183" i="32"/>
  <c r="D183" i="32"/>
  <c r="C183" i="32"/>
  <c r="B183" i="32"/>
  <c r="I182" i="32"/>
  <c r="J184" i="32" s="1"/>
  <c r="F182" i="32"/>
  <c r="D182" i="32"/>
  <c r="C182" i="32"/>
  <c r="B182" i="32"/>
  <c r="J181" i="32"/>
  <c r="I181" i="32"/>
  <c r="F181" i="32"/>
  <c r="D181" i="32"/>
  <c r="C181" i="32"/>
  <c r="B181" i="32"/>
  <c r="I180" i="32"/>
  <c r="J182" i="32" s="1"/>
  <c r="F180" i="32"/>
  <c r="D180" i="32"/>
  <c r="C180" i="32"/>
  <c r="B180" i="32"/>
  <c r="J179" i="32"/>
  <c r="I179" i="32"/>
  <c r="F179" i="32"/>
  <c r="D179" i="32"/>
  <c r="C179" i="32"/>
  <c r="B179" i="32"/>
  <c r="I178" i="32"/>
  <c r="J180" i="32" s="1"/>
  <c r="F178" i="32"/>
  <c r="D178" i="32"/>
  <c r="C178" i="32"/>
  <c r="B178" i="32"/>
  <c r="J177" i="32"/>
  <c r="I177" i="32"/>
  <c r="F177" i="32"/>
  <c r="D177" i="32"/>
  <c r="C177" i="32"/>
  <c r="B177" i="32"/>
  <c r="I176" i="32"/>
  <c r="J178" i="32" s="1"/>
  <c r="F176" i="32"/>
  <c r="D176" i="32"/>
  <c r="C176" i="32"/>
  <c r="B176" i="32"/>
  <c r="J175" i="32"/>
  <c r="I175" i="32"/>
  <c r="F175" i="32"/>
  <c r="D175" i="32"/>
  <c r="C175" i="32"/>
  <c r="B175" i="32"/>
  <c r="I174" i="32"/>
  <c r="J176" i="32" s="1"/>
  <c r="F174" i="32"/>
  <c r="D174" i="32"/>
  <c r="C174" i="32"/>
  <c r="B174" i="32"/>
  <c r="J173" i="32"/>
  <c r="I173" i="32"/>
  <c r="F173" i="32"/>
  <c r="D173" i="32"/>
  <c r="C173" i="32"/>
  <c r="B173" i="32"/>
  <c r="I172" i="32"/>
  <c r="J174" i="32" s="1"/>
  <c r="F172" i="32"/>
  <c r="D172" i="32"/>
  <c r="C172" i="32"/>
  <c r="B172" i="32"/>
  <c r="J171" i="32"/>
  <c r="I171" i="32"/>
  <c r="F171" i="32"/>
  <c r="D171" i="32"/>
  <c r="C171" i="32"/>
  <c r="B171" i="32"/>
  <c r="I170" i="32"/>
  <c r="J172" i="32" s="1"/>
  <c r="F170" i="32"/>
  <c r="D170" i="32"/>
  <c r="C170" i="32"/>
  <c r="B170" i="32"/>
  <c r="J169" i="32"/>
  <c r="I169" i="32"/>
  <c r="F169" i="32"/>
  <c r="D169" i="32"/>
  <c r="C169" i="32"/>
  <c r="B169" i="32"/>
  <c r="I168" i="32"/>
  <c r="J170" i="32" s="1"/>
  <c r="F168" i="32"/>
  <c r="D168" i="32"/>
  <c r="C168" i="32"/>
  <c r="B168" i="32"/>
  <c r="J167" i="32"/>
  <c r="I167" i="32"/>
  <c r="F167" i="32"/>
  <c r="D167" i="32"/>
  <c r="C167" i="32"/>
  <c r="B167" i="32"/>
  <c r="I166" i="32"/>
  <c r="J168" i="32" s="1"/>
  <c r="F166" i="32"/>
  <c r="D166" i="32"/>
  <c r="C166" i="32"/>
  <c r="B166" i="32"/>
  <c r="J165" i="32"/>
  <c r="I165" i="32"/>
  <c r="F165" i="32"/>
  <c r="D165" i="32"/>
  <c r="C165" i="32"/>
  <c r="B165" i="32"/>
  <c r="I164" i="32"/>
  <c r="J166" i="32" s="1"/>
  <c r="F164" i="32"/>
  <c r="D164" i="32"/>
  <c r="C164" i="32"/>
  <c r="B164" i="32"/>
  <c r="J163" i="32"/>
  <c r="I163" i="32"/>
  <c r="F163" i="32"/>
  <c r="D163" i="32"/>
  <c r="C163" i="32"/>
  <c r="B163" i="32"/>
  <c r="I162" i="32"/>
  <c r="J164" i="32" s="1"/>
  <c r="F162" i="32"/>
  <c r="D162" i="32"/>
  <c r="C162" i="32"/>
  <c r="B162" i="32"/>
  <c r="J161" i="32"/>
  <c r="I161" i="32"/>
  <c r="F161" i="32"/>
  <c r="D161" i="32"/>
  <c r="C161" i="32"/>
  <c r="B161" i="32"/>
  <c r="I160" i="32"/>
  <c r="J162" i="32" s="1"/>
  <c r="F160" i="32"/>
  <c r="D160" i="32"/>
  <c r="C160" i="32"/>
  <c r="B160" i="32"/>
  <c r="J159" i="32"/>
  <c r="I159" i="32"/>
  <c r="F159" i="32"/>
  <c r="D159" i="32"/>
  <c r="C159" i="32"/>
  <c r="B159" i="32"/>
  <c r="I158" i="32"/>
  <c r="J160" i="32" s="1"/>
  <c r="F158" i="32"/>
  <c r="D158" i="32"/>
  <c r="C158" i="32"/>
  <c r="B158" i="32"/>
  <c r="J157" i="32"/>
  <c r="I157" i="32"/>
  <c r="F157" i="32"/>
  <c r="D157" i="32"/>
  <c r="C157" i="32"/>
  <c r="B157" i="32"/>
  <c r="I156" i="32"/>
  <c r="J158" i="32" s="1"/>
  <c r="F156" i="32"/>
  <c r="D156" i="32"/>
  <c r="C156" i="32"/>
  <c r="B156" i="32"/>
  <c r="J155" i="32"/>
  <c r="I155" i="32"/>
  <c r="F155" i="32"/>
  <c r="D155" i="32"/>
  <c r="C155" i="32"/>
  <c r="B155" i="32"/>
  <c r="I154" i="32"/>
  <c r="J156" i="32" s="1"/>
  <c r="F154" i="32"/>
  <c r="D154" i="32"/>
  <c r="C154" i="32"/>
  <c r="B154" i="32"/>
  <c r="J153" i="32"/>
  <c r="I153" i="32"/>
  <c r="F153" i="32"/>
  <c r="D153" i="32"/>
  <c r="C153" i="32"/>
  <c r="B153" i="32"/>
  <c r="I152" i="32"/>
  <c r="J154" i="32" s="1"/>
  <c r="F152" i="32"/>
  <c r="D152" i="32"/>
  <c r="C152" i="32"/>
  <c r="B152" i="32"/>
  <c r="J151" i="32"/>
  <c r="I151" i="32"/>
  <c r="F151" i="32"/>
  <c r="D151" i="32"/>
  <c r="C151" i="32"/>
  <c r="B151" i="32"/>
  <c r="I150" i="32"/>
  <c r="J152" i="32" s="1"/>
  <c r="F150" i="32"/>
  <c r="D150" i="32"/>
  <c r="C150" i="32"/>
  <c r="B150" i="32"/>
  <c r="J149" i="32"/>
  <c r="I149" i="32"/>
  <c r="F149" i="32"/>
  <c r="D149" i="32"/>
  <c r="C149" i="32"/>
  <c r="B149" i="32"/>
  <c r="I148" i="32"/>
  <c r="J150" i="32" s="1"/>
  <c r="F148" i="32"/>
  <c r="D148" i="32"/>
  <c r="C148" i="32"/>
  <c r="B148" i="32"/>
  <c r="J147" i="32"/>
  <c r="I147" i="32"/>
  <c r="F147" i="32"/>
  <c r="D147" i="32"/>
  <c r="C147" i="32"/>
  <c r="B147" i="32"/>
  <c r="I146" i="32"/>
  <c r="J148" i="32" s="1"/>
  <c r="F146" i="32"/>
  <c r="D146" i="32"/>
  <c r="C146" i="32"/>
  <c r="B146" i="32"/>
  <c r="J145" i="32"/>
  <c r="I145" i="32"/>
  <c r="F145" i="32"/>
  <c r="D145" i="32"/>
  <c r="C145" i="32"/>
  <c r="B145" i="32"/>
  <c r="I144" i="32"/>
  <c r="J146" i="32" s="1"/>
  <c r="F144" i="32"/>
  <c r="D144" i="32"/>
  <c r="C144" i="32"/>
  <c r="B144" i="32"/>
  <c r="J143" i="32"/>
  <c r="I143" i="32"/>
  <c r="F143" i="32"/>
  <c r="D143" i="32"/>
  <c r="C143" i="32"/>
  <c r="B143" i="32"/>
  <c r="I142" i="32"/>
  <c r="J144" i="32" s="1"/>
  <c r="F142" i="32"/>
  <c r="D142" i="32"/>
  <c r="C142" i="32"/>
  <c r="B142" i="32"/>
  <c r="J141" i="32"/>
  <c r="I141" i="32"/>
  <c r="F141" i="32"/>
  <c r="D141" i="32"/>
  <c r="C141" i="32"/>
  <c r="B141" i="32"/>
  <c r="I140" i="32"/>
  <c r="J142" i="32" s="1"/>
  <c r="F140" i="32"/>
  <c r="D140" i="32"/>
  <c r="C140" i="32"/>
  <c r="B140" i="32"/>
  <c r="J139" i="32"/>
  <c r="I139" i="32"/>
  <c r="F139" i="32"/>
  <c r="D139" i="32"/>
  <c r="C139" i="32"/>
  <c r="B139" i="32"/>
  <c r="I138" i="32"/>
  <c r="J140" i="32" s="1"/>
  <c r="F138" i="32"/>
  <c r="D138" i="32"/>
  <c r="C138" i="32"/>
  <c r="B138" i="32"/>
  <c r="J137" i="32"/>
  <c r="I137" i="32"/>
  <c r="F137" i="32"/>
  <c r="D137" i="32"/>
  <c r="C137" i="32"/>
  <c r="B137" i="32"/>
  <c r="I136" i="32"/>
  <c r="J138" i="32" s="1"/>
  <c r="F136" i="32"/>
  <c r="D136" i="32"/>
  <c r="C136" i="32"/>
  <c r="B136" i="32"/>
  <c r="J135" i="32"/>
  <c r="I135" i="32"/>
  <c r="F135" i="32"/>
  <c r="D135" i="32"/>
  <c r="C135" i="32"/>
  <c r="B135" i="32"/>
  <c r="I134" i="32"/>
  <c r="J136" i="32" s="1"/>
  <c r="F134" i="32"/>
  <c r="D134" i="32"/>
  <c r="C134" i="32"/>
  <c r="B134" i="32"/>
  <c r="J133" i="32"/>
  <c r="I133" i="32"/>
  <c r="F133" i="32"/>
  <c r="D133" i="32"/>
  <c r="C133" i="32"/>
  <c r="B133" i="32"/>
  <c r="I132" i="32"/>
  <c r="J134" i="32" s="1"/>
  <c r="F132" i="32"/>
  <c r="D132" i="32"/>
  <c r="C132" i="32"/>
  <c r="B132" i="32"/>
  <c r="J131" i="32"/>
  <c r="I131" i="32"/>
  <c r="F131" i="32"/>
  <c r="D131" i="32"/>
  <c r="C131" i="32"/>
  <c r="B131" i="32"/>
  <c r="I130" i="32"/>
  <c r="J132" i="32" s="1"/>
  <c r="F130" i="32"/>
  <c r="D130" i="32"/>
  <c r="C130" i="32"/>
  <c r="B130" i="32"/>
  <c r="J129" i="32"/>
  <c r="I129" i="32"/>
  <c r="F129" i="32"/>
  <c r="D129" i="32"/>
  <c r="C129" i="32"/>
  <c r="B129" i="32"/>
  <c r="I128" i="32"/>
  <c r="J130" i="32" s="1"/>
  <c r="F128" i="32"/>
  <c r="D128" i="32"/>
  <c r="C128" i="32"/>
  <c r="B128" i="32"/>
  <c r="J127" i="32"/>
  <c r="I127" i="32"/>
  <c r="F127" i="32"/>
  <c r="D127" i="32"/>
  <c r="C127" i="32"/>
  <c r="B127" i="32"/>
  <c r="I126" i="32"/>
  <c r="J128" i="32" s="1"/>
  <c r="F126" i="32"/>
  <c r="D126" i="32"/>
  <c r="C126" i="32"/>
  <c r="B126" i="32"/>
  <c r="J125" i="32"/>
  <c r="I125" i="32"/>
  <c r="F125" i="32"/>
  <c r="D125" i="32"/>
  <c r="C125" i="32"/>
  <c r="B125" i="32"/>
  <c r="I124" i="32"/>
  <c r="J126" i="32" s="1"/>
  <c r="F124" i="32"/>
  <c r="D124" i="32"/>
  <c r="C124" i="32"/>
  <c r="B124" i="32"/>
  <c r="J123" i="32"/>
  <c r="I123" i="32"/>
  <c r="F123" i="32"/>
  <c r="D123" i="32"/>
  <c r="C123" i="32"/>
  <c r="B123" i="32"/>
  <c r="I122" i="32"/>
  <c r="J124" i="32" s="1"/>
  <c r="F122" i="32"/>
  <c r="D122" i="32"/>
  <c r="C122" i="32"/>
  <c r="B122" i="32"/>
  <c r="J121" i="32"/>
  <c r="I121" i="32"/>
  <c r="F121" i="32"/>
  <c r="D121" i="32"/>
  <c r="C121" i="32"/>
  <c r="B121" i="32"/>
  <c r="I120" i="32"/>
  <c r="J122" i="32" s="1"/>
  <c r="F120" i="32"/>
  <c r="D120" i="32"/>
  <c r="C120" i="32"/>
  <c r="B120" i="32"/>
  <c r="J119" i="32"/>
  <c r="I119" i="32"/>
  <c r="F119" i="32"/>
  <c r="D119" i="32"/>
  <c r="C119" i="32"/>
  <c r="B119" i="32"/>
  <c r="I118" i="32"/>
  <c r="J120" i="32" s="1"/>
  <c r="F118" i="32"/>
  <c r="D118" i="32"/>
  <c r="C118" i="32"/>
  <c r="B118" i="32"/>
  <c r="J117" i="32"/>
  <c r="I117" i="32"/>
  <c r="F117" i="32"/>
  <c r="D117" i="32"/>
  <c r="C117" i="32"/>
  <c r="B117" i="32"/>
  <c r="I116" i="32"/>
  <c r="J118" i="32" s="1"/>
  <c r="F116" i="32"/>
  <c r="D116" i="32"/>
  <c r="C116" i="32"/>
  <c r="B116" i="32"/>
  <c r="J115" i="32"/>
  <c r="I115" i="32"/>
  <c r="F115" i="32"/>
  <c r="D115" i="32"/>
  <c r="C115" i="32"/>
  <c r="B115" i="32"/>
  <c r="I114" i="32"/>
  <c r="J116" i="32" s="1"/>
  <c r="F114" i="32"/>
  <c r="D114" i="32"/>
  <c r="C114" i="32"/>
  <c r="B114" i="32"/>
  <c r="J113" i="32"/>
  <c r="I113" i="32"/>
  <c r="F113" i="32"/>
  <c r="D113" i="32"/>
  <c r="C113" i="32"/>
  <c r="B113" i="32"/>
  <c r="I112" i="32"/>
  <c r="J114" i="32" s="1"/>
  <c r="F112" i="32"/>
  <c r="D112" i="32"/>
  <c r="C112" i="32"/>
  <c r="B112" i="32"/>
  <c r="J111" i="32"/>
  <c r="I111" i="32"/>
  <c r="F111" i="32"/>
  <c r="D111" i="32"/>
  <c r="C111" i="32"/>
  <c r="B111" i="32"/>
  <c r="I110" i="32"/>
  <c r="J112" i="32" s="1"/>
  <c r="F110" i="32"/>
  <c r="D110" i="32"/>
  <c r="C110" i="32"/>
  <c r="B110" i="32"/>
  <c r="J109" i="32"/>
  <c r="I109" i="32"/>
  <c r="F109" i="32"/>
  <c r="D109" i="32"/>
  <c r="C109" i="32"/>
  <c r="B109" i="32"/>
  <c r="I108" i="32"/>
  <c r="J110" i="32" s="1"/>
  <c r="F108" i="32"/>
  <c r="D108" i="32"/>
  <c r="C108" i="32"/>
  <c r="B108" i="32"/>
  <c r="J107" i="32"/>
  <c r="I107" i="32"/>
  <c r="F107" i="32"/>
  <c r="D107" i="32"/>
  <c r="C107" i="32"/>
  <c r="B107" i="32"/>
  <c r="I106" i="32"/>
  <c r="J108" i="32" s="1"/>
  <c r="F106" i="32"/>
  <c r="D106" i="32"/>
  <c r="C106" i="32"/>
  <c r="B106" i="32"/>
  <c r="I105" i="32"/>
  <c r="F105" i="32"/>
  <c r="D105" i="32"/>
  <c r="C105" i="32"/>
  <c r="B105" i="32"/>
  <c r="I104" i="32"/>
  <c r="J106" i="32" s="1"/>
  <c r="F104" i="32"/>
  <c r="D104" i="32"/>
  <c r="C104" i="32"/>
  <c r="B104" i="32"/>
  <c r="J103" i="32"/>
  <c r="I103" i="32"/>
  <c r="J105" i="32" s="1"/>
  <c r="F103" i="32"/>
  <c r="D103" i="32"/>
  <c r="C103" i="32"/>
  <c r="B103" i="32"/>
  <c r="I102" i="32"/>
  <c r="J104" i="32" s="1"/>
  <c r="F102" i="32"/>
  <c r="D102" i="32"/>
  <c r="C102" i="32"/>
  <c r="B102" i="32"/>
  <c r="I101" i="32"/>
  <c r="F101" i="32"/>
  <c r="D101" i="32"/>
  <c r="C101" i="32"/>
  <c r="B101" i="32"/>
  <c r="I100" i="32"/>
  <c r="J102" i="32" s="1"/>
  <c r="F100" i="32"/>
  <c r="D100" i="32"/>
  <c r="C100" i="32"/>
  <c r="B100" i="32"/>
  <c r="J99" i="32"/>
  <c r="I99" i="32"/>
  <c r="J101" i="32" s="1"/>
  <c r="F99" i="32"/>
  <c r="D99" i="32"/>
  <c r="C99" i="32"/>
  <c r="B99" i="32"/>
  <c r="I98" i="32"/>
  <c r="J100" i="32" s="1"/>
  <c r="F98" i="32"/>
  <c r="D98" i="32"/>
  <c r="C98" i="32"/>
  <c r="B98" i="32"/>
  <c r="I97" i="32"/>
  <c r="F97" i="32"/>
  <c r="D97" i="32"/>
  <c r="C97" i="32"/>
  <c r="B97" i="32"/>
  <c r="I96" i="32"/>
  <c r="J98" i="32" s="1"/>
  <c r="F96" i="32"/>
  <c r="D96" i="32"/>
  <c r="C96" i="32"/>
  <c r="B96" i="32"/>
  <c r="J95" i="32"/>
  <c r="I95" i="32"/>
  <c r="J97" i="32" s="1"/>
  <c r="F95" i="32"/>
  <c r="D95" i="32"/>
  <c r="C95" i="32"/>
  <c r="B95" i="32"/>
  <c r="I94" i="32"/>
  <c r="J96" i="32" s="1"/>
  <c r="F94" i="32"/>
  <c r="D94" i="32"/>
  <c r="C94" i="32"/>
  <c r="B94" i="32"/>
  <c r="I93" i="32"/>
  <c r="F93" i="32"/>
  <c r="D93" i="32"/>
  <c r="C93" i="32"/>
  <c r="B93" i="32"/>
  <c r="I92" i="32"/>
  <c r="J94" i="32" s="1"/>
  <c r="F92" i="32"/>
  <c r="D92" i="32"/>
  <c r="C92" i="32"/>
  <c r="B92" i="32"/>
  <c r="J91" i="32"/>
  <c r="I91" i="32"/>
  <c r="J93" i="32" s="1"/>
  <c r="F91" i="32"/>
  <c r="D91" i="32"/>
  <c r="C91" i="32"/>
  <c r="B91" i="32"/>
  <c r="I90" i="32"/>
  <c r="J92" i="32" s="1"/>
  <c r="F90" i="32"/>
  <c r="D90" i="32"/>
  <c r="C90" i="32"/>
  <c r="B90" i="32"/>
  <c r="I89" i="32"/>
  <c r="F89" i="32"/>
  <c r="D89" i="32"/>
  <c r="C89" i="32"/>
  <c r="B89" i="32"/>
  <c r="I88" i="32"/>
  <c r="J90" i="32" s="1"/>
  <c r="F88" i="32"/>
  <c r="D88" i="32"/>
  <c r="C88" i="32"/>
  <c r="B88" i="32"/>
  <c r="J87" i="32"/>
  <c r="I87" i="32"/>
  <c r="J89" i="32" s="1"/>
  <c r="F87" i="32"/>
  <c r="D87" i="32"/>
  <c r="C87" i="32"/>
  <c r="B87" i="32"/>
  <c r="I86" i="32"/>
  <c r="J88" i="32" s="1"/>
  <c r="F86" i="32"/>
  <c r="D86" i="32"/>
  <c r="C86" i="32"/>
  <c r="B86" i="32"/>
  <c r="I85" i="32"/>
  <c r="F85" i="32"/>
  <c r="D85" i="32"/>
  <c r="C85" i="32"/>
  <c r="B85" i="32"/>
  <c r="I84" i="32"/>
  <c r="J86" i="32" s="1"/>
  <c r="F84" i="32"/>
  <c r="D84" i="32"/>
  <c r="C84" i="32"/>
  <c r="B84" i="32"/>
  <c r="J83" i="32"/>
  <c r="I83" i="32"/>
  <c r="J85" i="32" s="1"/>
  <c r="F83" i="32"/>
  <c r="D83" i="32"/>
  <c r="C83" i="32"/>
  <c r="B83" i="32"/>
  <c r="I82" i="32"/>
  <c r="J84" i="32" s="1"/>
  <c r="F82" i="32"/>
  <c r="D82" i="32"/>
  <c r="C82" i="32"/>
  <c r="B82" i="32"/>
  <c r="I81" i="32"/>
  <c r="F81" i="32"/>
  <c r="D81" i="32"/>
  <c r="C81" i="32"/>
  <c r="B81" i="32"/>
  <c r="I80" i="32"/>
  <c r="J82" i="32" s="1"/>
  <c r="F80" i="32"/>
  <c r="D80" i="32"/>
  <c r="C80" i="32"/>
  <c r="B80" i="32"/>
  <c r="J79" i="32"/>
  <c r="I79" i="32"/>
  <c r="J81" i="32" s="1"/>
  <c r="F79" i="32"/>
  <c r="D79" i="32"/>
  <c r="C79" i="32"/>
  <c r="B79" i="32"/>
  <c r="I78" i="32"/>
  <c r="J80" i="32" s="1"/>
  <c r="F78" i="32"/>
  <c r="D78" i="32"/>
  <c r="C78" i="32"/>
  <c r="B78" i="32"/>
  <c r="I77" i="32"/>
  <c r="F77" i="32"/>
  <c r="D77" i="32"/>
  <c r="C77" i="32"/>
  <c r="B77" i="32"/>
  <c r="I76" i="32"/>
  <c r="J78" i="32" s="1"/>
  <c r="F76" i="32"/>
  <c r="D76" i="32"/>
  <c r="C76" i="32"/>
  <c r="B76" i="32"/>
  <c r="J75" i="32"/>
  <c r="I75" i="32"/>
  <c r="J77" i="32" s="1"/>
  <c r="F75" i="32"/>
  <c r="D75" i="32"/>
  <c r="C75" i="32"/>
  <c r="B75" i="32"/>
  <c r="I74" i="32"/>
  <c r="J76" i="32" s="1"/>
  <c r="F74" i="32"/>
  <c r="D74" i="32"/>
  <c r="C74" i="32"/>
  <c r="B74" i="32"/>
  <c r="I73" i="32"/>
  <c r="F73" i="32"/>
  <c r="D73" i="32"/>
  <c r="C73" i="32"/>
  <c r="B73" i="32"/>
  <c r="I72" i="32"/>
  <c r="J74" i="32" s="1"/>
  <c r="F72" i="32"/>
  <c r="D72" i="32"/>
  <c r="C72" i="32"/>
  <c r="B72" i="32"/>
  <c r="J71" i="32"/>
  <c r="I71" i="32"/>
  <c r="J73" i="32" s="1"/>
  <c r="F71" i="32"/>
  <c r="D71" i="32"/>
  <c r="C71" i="32"/>
  <c r="B71" i="32"/>
  <c r="I70" i="32"/>
  <c r="J72" i="32" s="1"/>
  <c r="F70" i="32"/>
  <c r="D70" i="32"/>
  <c r="C70" i="32"/>
  <c r="B70" i="32"/>
  <c r="I69" i="32"/>
  <c r="F69" i="32"/>
  <c r="D69" i="32"/>
  <c r="C69" i="32"/>
  <c r="B69" i="32"/>
  <c r="I68" i="32"/>
  <c r="J70" i="32" s="1"/>
  <c r="F68" i="32"/>
  <c r="D68" i="32"/>
  <c r="C68" i="32"/>
  <c r="B68" i="32"/>
  <c r="J67" i="32"/>
  <c r="I67" i="32"/>
  <c r="J69" i="32" s="1"/>
  <c r="F67" i="32"/>
  <c r="D67" i="32"/>
  <c r="C67" i="32"/>
  <c r="B67" i="32"/>
  <c r="I66" i="32"/>
  <c r="J68" i="32" s="1"/>
  <c r="F66" i="32"/>
  <c r="D66" i="32"/>
  <c r="C66" i="32"/>
  <c r="B66" i="32"/>
  <c r="I65" i="32"/>
  <c r="F65" i="32"/>
  <c r="D65" i="32"/>
  <c r="C65" i="32"/>
  <c r="B65" i="32"/>
  <c r="I64" i="32"/>
  <c r="J66" i="32" s="1"/>
  <c r="F64" i="32"/>
  <c r="D64" i="32"/>
  <c r="C64" i="32"/>
  <c r="B64" i="32"/>
  <c r="J63" i="32"/>
  <c r="I63" i="32"/>
  <c r="J65" i="32" s="1"/>
  <c r="F63" i="32"/>
  <c r="D63" i="32"/>
  <c r="C63" i="32"/>
  <c r="B63" i="32"/>
  <c r="I62" i="32"/>
  <c r="J64" i="32" s="1"/>
  <c r="F62" i="32"/>
  <c r="D62" i="32"/>
  <c r="C62" i="32"/>
  <c r="B62" i="32"/>
  <c r="I61" i="32"/>
  <c r="F61" i="32"/>
  <c r="D61" i="32"/>
  <c r="C61" i="32"/>
  <c r="B61" i="32"/>
  <c r="I60" i="32"/>
  <c r="J62" i="32" s="1"/>
  <c r="F60" i="32"/>
  <c r="D60" i="32"/>
  <c r="C60" i="32"/>
  <c r="B60" i="32"/>
  <c r="J59" i="32"/>
  <c r="I59" i="32"/>
  <c r="J61" i="32" s="1"/>
  <c r="F59" i="32"/>
  <c r="D59" i="32"/>
  <c r="C59" i="32"/>
  <c r="B59" i="32"/>
  <c r="I58" i="32"/>
  <c r="J60" i="32" s="1"/>
  <c r="F58" i="32"/>
  <c r="D58" i="32"/>
  <c r="C58" i="32"/>
  <c r="B58" i="32"/>
  <c r="I57" i="32"/>
  <c r="F57" i="32"/>
  <c r="D57" i="32"/>
  <c r="C57" i="32"/>
  <c r="B57" i="32"/>
  <c r="I56" i="32"/>
  <c r="J58" i="32" s="1"/>
  <c r="F56" i="32"/>
  <c r="D56" i="32"/>
  <c r="C56" i="32"/>
  <c r="B56" i="32"/>
  <c r="J55" i="32"/>
  <c r="I55" i="32"/>
  <c r="J57" i="32" s="1"/>
  <c r="F55" i="32"/>
  <c r="D55" i="32"/>
  <c r="C55" i="32"/>
  <c r="B55" i="32"/>
  <c r="I54" i="32"/>
  <c r="J56" i="32" s="1"/>
  <c r="F54" i="32"/>
  <c r="D54" i="32"/>
  <c r="C54" i="32"/>
  <c r="B54" i="32"/>
  <c r="I53" i="32"/>
  <c r="F53" i="32"/>
  <c r="D53" i="32"/>
  <c r="C53" i="32"/>
  <c r="B53" i="32"/>
  <c r="I52" i="32"/>
  <c r="J54" i="32" s="1"/>
  <c r="F52" i="32"/>
  <c r="D52" i="32"/>
  <c r="C52" i="32"/>
  <c r="B52" i="32"/>
  <c r="J51" i="32"/>
  <c r="I51" i="32"/>
  <c r="J53" i="32" s="1"/>
  <c r="F51" i="32"/>
  <c r="D51" i="32"/>
  <c r="C51" i="32"/>
  <c r="B51" i="32"/>
  <c r="I50" i="32"/>
  <c r="J52" i="32" s="1"/>
  <c r="F50" i="32"/>
  <c r="D50" i="32"/>
  <c r="C50" i="32"/>
  <c r="B50" i="32"/>
  <c r="I49" i="32"/>
  <c r="F49" i="32"/>
  <c r="D49" i="32"/>
  <c r="C49" i="32"/>
  <c r="B49" i="32"/>
  <c r="I48" i="32"/>
  <c r="J50" i="32" s="1"/>
  <c r="F48" i="32"/>
  <c r="D48" i="32"/>
  <c r="C48" i="32"/>
  <c r="B48" i="32"/>
  <c r="J47" i="32"/>
  <c r="I47" i="32"/>
  <c r="J49" i="32" s="1"/>
  <c r="F47" i="32"/>
  <c r="D47" i="32"/>
  <c r="C47" i="32"/>
  <c r="B47" i="32"/>
  <c r="I46" i="32"/>
  <c r="J48" i="32" s="1"/>
  <c r="F46" i="32"/>
  <c r="D46" i="32"/>
  <c r="C46" i="32"/>
  <c r="B46" i="32"/>
  <c r="I45" i="32"/>
  <c r="F45" i="32"/>
  <c r="D45" i="32"/>
  <c r="C45" i="32"/>
  <c r="B45" i="32"/>
  <c r="I44" i="32"/>
  <c r="J46" i="32" s="1"/>
  <c r="F44" i="32"/>
  <c r="D44" i="32"/>
  <c r="C44" i="32"/>
  <c r="B44" i="32"/>
  <c r="J43" i="32"/>
  <c r="I43" i="32"/>
  <c r="J45" i="32" s="1"/>
  <c r="F43" i="32"/>
  <c r="D43" i="32"/>
  <c r="C43" i="32"/>
  <c r="B43" i="32"/>
  <c r="I42" i="32"/>
  <c r="J44" i="32" s="1"/>
  <c r="F42" i="32"/>
  <c r="D42" i="32"/>
  <c r="C42" i="32"/>
  <c r="B42" i="32"/>
  <c r="I41" i="32"/>
  <c r="F41" i="32"/>
  <c r="D41" i="32"/>
  <c r="C41" i="32"/>
  <c r="B41" i="32"/>
  <c r="I40" i="32"/>
  <c r="J42" i="32" s="1"/>
  <c r="F40" i="32"/>
  <c r="D40" i="32"/>
  <c r="C40" i="32"/>
  <c r="B40" i="32"/>
  <c r="J39" i="32"/>
  <c r="I39" i="32"/>
  <c r="J41" i="32" s="1"/>
  <c r="F39" i="32"/>
  <c r="D39" i="32"/>
  <c r="C39" i="32"/>
  <c r="B39" i="32"/>
  <c r="I38" i="32"/>
  <c r="J40" i="32" s="1"/>
  <c r="F38" i="32"/>
  <c r="D38" i="32"/>
  <c r="C38" i="32"/>
  <c r="B38" i="32"/>
  <c r="I37" i="32"/>
  <c r="F37" i="32"/>
  <c r="D37" i="32"/>
  <c r="C37" i="32"/>
  <c r="B37" i="32"/>
  <c r="I36" i="32"/>
  <c r="J38" i="32" s="1"/>
  <c r="F36" i="32"/>
  <c r="D36" i="32"/>
  <c r="C36" i="32"/>
  <c r="B36" i="32"/>
  <c r="J35" i="32"/>
  <c r="I35" i="32"/>
  <c r="J37" i="32" s="1"/>
  <c r="F35" i="32"/>
  <c r="D35" i="32"/>
  <c r="C35" i="32"/>
  <c r="B35" i="32"/>
  <c r="I34" i="32"/>
  <c r="J36" i="32" s="1"/>
  <c r="F34" i="32"/>
  <c r="D34" i="32"/>
  <c r="C34" i="32"/>
  <c r="B34" i="32"/>
  <c r="I33" i="32"/>
  <c r="F33" i="32"/>
  <c r="D33" i="32"/>
  <c r="C33" i="32"/>
  <c r="B33" i="32"/>
  <c r="I32" i="32"/>
  <c r="J34" i="32" s="1"/>
  <c r="F32" i="32"/>
  <c r="D32" i="32"/>
  <c r="C32" i="32"/>
  <c r="B32" i="32"/>
  <c r="J31" i="32"/>
  <c r="I31" i="32"/>
  <c r="J33" i="32" s="1"/>
  <c r="F31" i="32"/>
  <c r="D31" i="32"/>
  <c r="C31" i="32"/>
  <c r="B31" i="32"/>
  <c r="I30" i="32"/>
  <c r="J32" i="32" s="1"/>
  <c r="F30" i="32"/>
  <c r="D30" i="32"/>
  <c r="C30" i="32"/>
  <c r="B30" i="32"/>
  <c r="I29" i="32"/>
  <c r="F29" i="32"/>
  <c r="D29" i="32"/>
  <c r="C29" i="32"/>
  <c r="B29" i="32"/>
  <c r="I28" i="32"/>
  <c r="J30" i="32" s="1"/>
  <c r="F28" i="32"/>
  <c r="D28" i="32"/>
  <c r="C28" i="32"/>
  <c r="B28" i="32"/>
  <c r="J27" i="32"/>
  <c r="I27" i="32"/>
  <c r="J29" i="32" s="1"/>
  <c r="F27" i="32"/>
  <c r="D27" i="32"/>
  <c r="C27" i="32"/>
  <c r="B27" i="32"/>
  <c r="I26" i="32"/>
  <c r="J28" i="32" s="1"/>
  <c r="F26" i="32"/>
  <c r="D26" i="32"/>
  <c r="C26" i="32"/>
  <c r="B26" i="32"/>
  <c r="I25" i="32"/>
  <c r="F25" i="32"/>
  <c r="D25" i="32"/>
  <c r="C25" i="32"/>
  <c r="B25" i="32"/>
  <c r="I24" i="32"/>
  <c r="J26" i="32" s="1"/>
  <c r="F24" i="32"/>
  <c r="D24" i="32"/>
  <c r="C24" i="32"/>
  <c r="B24" i="32"/>
  <c r="J23" i="32"/>
  <c r="I23" i="32"/>
  <c r="J25" i="32" s="1"/>
  <c r="F23" i="32"/>
  <c r="D23" i="32"/>
  <c r="C23" i="32"/>
  <c r="B23" i="32"/>
  <c r="I22" i="32"/>
  <c r="J24" i="32" s="1"/>
  <c r="F22" i="32"/>
  <c r="D22" i="32"/>
  <c r="C22" i="32"/>
  <c r="B22" i="32"/>
  <c r="I21" i="32"/>
  <c r="F21" i="32"/>
  <c r="D21" i="32"/>
  <c r="C21" i="32"/>
  <c r="B21" i="32"/>
  <c r="I20" i="32"/>
  <c r="J22" i="32" s="1"/>
  <c r="F20" i="32"/>
  <c r="D20" i="32"/>
  <c r="C20" i="32"/>
  <c r="B20" i="32"/>
  <c r="J19" i="32"/>
  <c r="I19" i="32"/>
  <c r="J21" i="32" s="1"/>
  <c r="F19" i="32"/>
  <c r="D19" i="32"/>
  <c r="C19" i="32"/>
  <c r="B19" i="32"/>
  <c r="I18" i="32"/>
  <c r="J20" i="32" s="1"/>
  <c r="F18" i="32"/>
  <c r="D18" i="32"/>
  <c r="C18" i="32"/>
  <c r="B18" i="32"/>
  <c r="I17" i="32"/>
  <c r="F17" i="32"/>
  <c r="D17" i="32"/>
  <c r="C17" i="32"/>
  <c r="B17" i="32"/>
  <c r="I16" i="32"/>
  <c r="J18" i="32" s="1"/>
  <c r="F16" i="32"/>
  <c r="D16" i="32"/>
  <c r="C16" i="32"/>
  <c r="B16" i="32"/>
  <c r="J15" i="32"/>
  <c r="I15" i="32"/>
  <c r="J17" i="32" s="1"/>
  <c r="F15" i="32"/>
  <c r="D15" i="32"/>
  <c r="C15" i="32"/>
  <c r="B15" i="32"/>
  <c r="I14" i="32"/>
  <c r="J16" i="32" s="1"/>
  <c r="F14" i="32"/>
  <c r="D14" i="32"/>
  <c r="C14" i="32"/>
  <c r="B14" i="32"/>
  <c r="I13" i="32"/>
  <c r="F13" i="32"/>
  <c r="D13" i="32"/>
  <c r="C13" i="32"/>
  <c r="B13" i="32"/>
  <c r="J12" i="32"/>
  <c r="I12" i="32"/>
  <c r="J14" i="32" s="1"/>
  <c r="F12" i="32"/>
  <c r="D12" i="32"/>
  <c r="J11" i="32"/>
  <c r="I11" i="32"/>
  <c r="J13" i="32" s="1"/>
  <c r="F11" i="32"/>
  <c r="D11" i="32"/>
  <c r="G4" i="32"/>
  <c r="K215" i="31"/>
  <c r="J215" i="31"/>
  <c r="I215" i="31"/>
  <c r="D215" i="31"/>
  <c r="C215" i="31"/>
  <c r="A215" i="31"/>
  <c r="K214" i="31"/>
  <c r="J214" i="31"/>
  <c r="I214" i="31"/>
  <c r="D214" i="31"/>
  <c r="C214" i="31"/>
  <c r="A214" i="31"/>
  <c r="K213" i="31"/>
  <c r="I213" i="31"/>
  <c r="D213" i="31"/>
  <c r="C213" i="31"/>
  <c r="A213" i="31"/>
  <c r="K212" i="31"/>
  <c r="J212" i="31"/>
  <c r="I212" i="31"/>
  <c r="D212" i="31"/>
  <c r="C212" i="31"/>
  <c r="A212" i="31"/>
  <c r="K211" i="31"/>
  <c r="J211" i="31"/>
  <c r="I211" i="31"/>
  <c r="J213" i="31" s="1"/>
  <c r="D211" i="31"/>
  <c r="C211" i="31"/>
  <c r="A211" i="31"/>
  <c r="K210" i="31"/>
  <c r="J210" i="31"/>
  <c r="I210" i="31"/>
  <c r="D210" i="31"/>
  <c r="C210" i="31"/>
  <c r="A210" i="31"/>
  <c r="K209" i="31"/>
  <c r="I209" i="31"/>
  <c r="D209" i="31"/>
  <c r="C209" i="31"/>
  <c r="A209" i="31"/>
  <c r="K208" i="31"/>
  <c r="J208" i="31"/>
  <c r="I208" i="31"/>
  <c r="D208" i="31"/>
  <c r="C208" i="31"/>
  <c r="A208" i="31"/>
  <c r="K207" i="31"/>
  <c r="J207" i="31"/>
  <c r="I207" i="31"/>
  <c r="J209" i="31" s="1"/>
  <c r="D207" i="31"/>
  <c r="C207" i="31"/>
  <c r="A207" i="31"/>
  <c r="K206" i="31"/>
  <c r="J206" i="31"/>
  <c r="I206" i="31"/>
  <c r="D206" i="31"/>
  <c r="C206" i="31"/>
  <c r="A206" i="31"/>
  <c r="K205" i="31"/>
  <c r="I205" i="31"/>
  <c r="D205" i="31"/>
  <c r="C205" i="31"/>
  <c r="A205" i="31"/>
  <c r="K204" i="31"/>
  <c r="J204" i="31"/>
  <c r="I204" i="31"/>
  <c r="D204" i="31"/>
  <c r="C204" i="31"/>
  <c r="A204" i="31"/>
  <c r="K203" i="31"/>
  <c r="J203" i="31"/>
  <c r="I203" i="31"/>
  <c r="J205" i="31" s="1"/>
  <c r="D203" i="31"/>
  <c r="C203" i="31"/>
  <c r="A203" i="31"/>
  <c r="K202" i="31"/>
  <c r="J202" i="31"/>
  <c r="I202" i="31"/>
  <c r="D202" i="31"/>
  <c r="C202" i="31"/>
  <c r="A202" i="31"/>
  <c r="K201" i="31"/>
  <c r="I201" i="31"/>
  <c r="D201" i="31"/>
  <c r="C201" i="31"/>
  <c r="A201" i="31"/>
  <c r="K200" i="31"/>
  <c r="J200" i="31"/>
  <c r="I200" i="31"/>
  <c r="D200" i="31"/>
  <c r="C200" i="31"/>
  <c r="A200" i="31"/>
  <c r="K199" i="31"/>
  <c r="J199" i="31"/>
  <c r="I199" i="31"/>
  <c r="J201" i="31" s="1"/>
  <c r="D199" i="31"/>
  <c r="C199" i="31"/>
  <c r="A199" i="31"/>
  <c r="K198" i="31"/>
  <c r="J198" i="31"/>
  <c r="I198" i="31"/>
  <c r="D198" i="31"/>
  <c r="C198" i="31"/>
  <c r="A198" i="31"/>
  <c r="K197" i="31"/>
  <c r="I197" i="31"/>
  <c r="D197" i="31"/>
  <c r="C197" i="31"/>
  <c r="A197" i="31"/>
  <c r="K196" i="31"/>
  <c r="J196" i="31"/>
  <c r="I196" i="31"/>
  <c r="D196" i="31"/>
  <c r="C196" i="31"/>
  <c r="A196" i="31"/>
  <c r="K195" i="31"/>
  <c r="J195" i="31"/>
  <c r="I195" i="31"/>
  <c r="J197" i="31" s="1"/>
  <c r="D195" i="31"/>
  <c r="C195" i="31"/>
  <c r="A195" i="31"/>
  <c r="K194" i="31"/>
  <c r="J194" i="31"/>
  <c r="I194" i="31"/>
  <c r="D194" i="31"/>
  <c r="C194" i="31"/>
  <c r="A194" i="31"/>
  <c r="K193" i="31"/>
  <c r="I193" i="31"/>
  <c r="D193" i="31"/>
  <c r="C193" i="31"/>
  <c r="A193" i="31"/>
  <c r="K192" i="31"/>
  <c r="J192" i="31"/>
  <c r="I192" i="31"/>
  <c r="D192" i="31"/>
  <c r="C192" i="31"/>
  <c r="A192" i="31"/>
  <c r="K191" i="31"/>
  <c r="J191" i="31"/>
  <c r="I191" i="31"/>
  <c r="J193" i="31" s="1"/>
  <c r="D191" i="31"/>
  <c r="C191" i="31"/>
  <c r="A191" i="31"/>
  <c r="K190" i="31"/>
  <c r="J190" i="31"/>
  <c r="I190" i="31"/>
  <c r="D190" i="31"/>
  <c r="C190" i="31"/>
  <c r="A190" i="31"/>
  <c r="K189" i="31"/>
  <c r="I189" i="31"/>
  <c r="D189" i="31"/>
  <c r="C189" i="31"/>
  <c r="A189" i="31"/>
  <c r="K188" i="31"/>
  <c r="J188" i="31"/>
  <c r="I188" i="31"/>
  <c r="D188" i="31"/>
  <c r="C188" i="31"/>
  <c r="A188" i="31"/>
  <c r="K187" i="31"/>
  <c r="J187" i="31"/>
  <c r="I187" i="31"/>
  <c r="J189" i="31" s="1"/>
  <c r="D187" i="31"/>
  <c r="C187" i="31"/>
  <c r="A187" i="31"/>
  <c r="K186" i="31"/>
  <c r="J186" i="31"/>
  <c r="I186" i="31"/>
  <c r="D186" i="31"/>
  <c r="C186" i="31"/>
  <c r="A186" i="31"/>
  <c r="K185" i="31"/>
  <c r="I185" i="31"/>
  <c r="D185" i="31"/>
  <c r="C185" i="31"/>
  <c r="A185" i="31"/>
  <c r="K184" i="31"/>
  <c r="J184" i="31"/>
  <c r="I184" i="31"/>
  <c r="D184" i="31"/>
  <c r="C184" i="31"/>
  <c r="A184" i="31"/>
  <c r="K183" i="31"/>
  <c r="J183" i="31"/>
  <c r="I183" i="31"/>
  <c r="J185" i="31" s="1"/>
  <c r="D183" i="31"/>
  <c r="C183" i="31"/>
  <c r="A183" i="31"/>
  <c r="K182" i="31"/>
  <c r="J182" i="31"/>
  <c r="I182" i="31"/>
  <c r="D182" i="31"/>
  <c r="C182" i="31"/>
  <c r="A182" i="31"/>
  <c r="K181" i="31"/>
  <c r="I181" i="31"/>
  <c r="D181" i="31"/>
  <c r="C181" i="31"/>
  <c r="A181" i="31"/>
  <c r="K180" i="31"/>
  <c r="J180" i="31"/>
  <c r="I180" i="31"/>
  <c r="D180" i="31"/>
  <c r="C180" i="31"/>
  <c r="A180" i="31"/>
  <c r="K179" i="31"/>
  <c r="J179" i="31"/>
  <c r="I179" i="31"/>
  <c r="J181" i="31" s="1"/>
  <c r="D179" i="31"/>
  <c r="C179" i="31"/>
  <c r="A179" i="31"/>
  <c r="K178" i="31"/>
  <c r="J178" i="31"/>
  <c r="I178" i="31"/>
  <c r="D178" i="31"/>
  <c r="C178" i="31"/>
  <c r="A178" i="31"/>
  <c r="K177" i="31"/>
  <c r="I177" i="31"/>
  <c r="D177" i="31"/>
  <c r="C177" i="31"/>
  <c r="A177" i="31"/>
  <c r="K176" i="31"/>
  <c r="J176" i="31"/>
  <c r="I176" i="31"/>
  <c r="D176" i="31"/>
  <c r="C176" i="31"/>
  <c r="A176" i="31"/>
  <c r="K175" i="31"/>
  <c r="J175" i="31"/>
  <c r="I175" i="31"/>
  <c r="J177" i="31" s="1"/>
  <c r="D175" i="31"/>
  <c r="C175" i="31"/>
  <c r="A175" i="31"/>
  <c r="K174" i="31"/>
  <c r="J174" i="31"/>
  <c r="I174" i="31"/>
  <c r="D174" i="31"/>
  <c r="C174" i="31"/>
  <c r="A174" i="31"/>
  <c r="K173" i="31"/>
  <c r="I173" i="31"/>
  <c r="D173" i="31"/>
  <c r="C173" i="31"/>
  <c r="A173" i="31"/>
  <c r="K172" i="31"/>
  <c r="J172" i="31"/>
  <c r="I172" i="31"/>
  <c r="D172" i="31"/>
  <c r="C172" i="31"/>
  <c r="A172" i="31"/>
  <c r="K171" i="31"/>
  <c r="J171" i="31"/>
  <c r="I171" i="31"/>
  <c r="J173" i="31" s="1"/>
  <c r="D171" i="31"/>
  <c r="C171" i="31"/>
  <c r="A171" i="31"/>
  <c r="K170" i="31"/>
  <c r="J170" i="31"/>
  <c r="I170" i="31"/>
  <c r="D170" i="31"/>
  <c r="C170" i="31"/>
  <c r="A170" i="31"/>
  <c r="K169" i="31"/>
  <c r="I169" i="31"/>
  <c r="D169" i="31"/>
  <c r="C169" i="31"/>
  <c r="A169" i="31"/>
  <c r="K168" i="31"/>
  <c r="J168" i="31"/>
  <c r="I168" i="31"/>
  <c r="D168" i="31"/>
  <c r="C168" i="31"/>
  <c r="A168" i="31"/>
  <c r="K167" i="31"/>
  <c r="J167" i="31"/>
  <c r="I167" i="31"/>
  <c r="J169" i="31" s="1"/>
  <c r="D167" i="31"/>
  <c r="C167" i="31"/>
  <c r="A167" i="31"/>
  <c r="K166" i="31"/>
  <c r="J166" i="31"/>
  <c r="I166" i="31"/>
  <c r="D166" i="31"/>
  <c r="C166" i="31"/>
  <c r="A166" i="31"/>
  <c r="K165" i="31"/>
  <c r="I165" i="31"/>
  <c r="D165" i="31"/>
  <c r="C165" i="31"/>
  <c r="A165" i="31"/>
  <c r="K164" i="31"/>
  <c r="J164" i="31"/>
  <c r="I164" i="31"/>
  <c r="D164" i="31"/>
  <c r="C164" i="31"/>
  <c r="A164" i="31"/>
  <c r="K163" i="31"/>
  <c r="J163" i="31"/>
  <c r="I163" i="31"/>
  <c r="J165" i="31" s="1"/>
  <c r="D163" i="31"/>
  <c r="C163" i="31"/>
  <c r="A163" i="31"/>
  <c r="K162" i="31"/>
  <c r="J162" i="31"/>
  <c r="I162" i="31"/>
  <c r="D162" i="31"/>
  <c r="C162" i="31"/>
  <c r="A162" i="31"/>
  <c r="K161" i="31"/>
  <c r="I161" i="31"/>
  <c r="D161" i="31"/>
  <c r="C161" i="31"/>
  <c r="A161" i="31"/>
  <c r="K160" i="31"/>
  <c r="J160" i="31"/>
  <c r="I160" i="31"/>
  <c r="D160" i="31"/>
  <c r="C160" i="31"/>
  <c r="A160" i="31"/>
  <c r="K159" i="31"/>
  <c r="J159" i="31"/>
  <c r="I159" i="31"/>
  <c r="J161" i="31" s="1"/>
  <c r="D159" i="31"/>
  <c r="C159" i="31"/>
  <c r="A159" i="31"/>
  <c r="K158" i="31"/>
  <c r="J158" i="31"/>
  <c r="I158" i="31"/>
  <c r="D158" i="31"/>
  <c r="C158" i="31"/>
  <c r="A158" i="31"/>
  <c r="K157" i="31"/>
  <c r="I157" i="31"/>
  <c r="D157" i="31"/>
  <c r="C157" i="31"/>
  <c r="A157" i="31"/>
  <c r="K156" i="31"/>
  <c r="J156" i="31"/>
  <c r="I156" i="31"/>
  <c r="D156" i="31"/>
  <c r="C156" i="31"/>
  <c r="A156" i="31"/>
  <c r="K155" i="31"/>
  <c r="J155" i="31"/>
  <c r="I155" i="31"/>
  <c r="J157" i="31" s="1"/>
  <c r="D155" i="31"/>
  <c r="C155" i="31"/>
  <c r="A155" i="31"/>
  <c r="K154" i="31"/>
  <c r="J154" i="31"/>
  <c r="I154" i="31"/>
  <c r="D154" i="31"/>
  <c r="C154" i="31"/>
  <c r="A154" i="31"/>
  <c r="K153" i="31"/>
  <c r="I153" i="31"/>
  <c r="D153" i="31"/>
  <c r="C153" i="31"/>
  <c r="A153" i="31"/>
  <c r="K152" i="31"/>
  <c r="J152" i="31"/>
  <c r="I152" i="31"/>
  <c r="D152" i="31"/>
  <c r="C152" i="31"/>
  <c r="A152" i="31"/>
  <c r="K151" i="31"/>
  <c r="J151" i="31"/>
  <c r="I151" i="31"/>
  <c r="J153" i="31" s="1"/>
  <c r="D151" i="31"/>
  <c r="C151" i="31"/>
  <c r="A151" i="31"/>
  <c r="K150" i="31"/>
  <c r="J150" i="31"/>
  <c r="I150" i="31"/>
  <c r="D150" i="31"/>
  <c r="C150" i="31"/>
  <c r="A150" i="31"/>
  <c r="K149" i="31"/>
  <c r="I149" i="31"/>
  <c r="D149" i="31"/>
  <c r="C149" i="31"/>
  <c r="A149" i="31"/>
  <c r="K148" i="31"/>
  <c r="J148" i="31"/>
  <c r="I148" i="31"/>
  <c r="D148" i="31"/>
  <c r="C148" i="31"/>
  <c r="A148" i="31"/>
  <c r="K147" i="31"/>
  <c r="J147" i="31"/>
  <c r="I147" i="31"/>
  <c r="J149" i="31" s="1"/>
  <c r="D147" i="31"/>
  <c r="C147" i="31"/>
  <c r="A147" i="31"/>
  <c r="K146" i="31"/>
  <c r="J146" i="31"/>
  <c r="I146" i="31"/>
  <c r="D146" i="31"/>
  <c r="C146" i="31"/>
  <c r="A146" i="31"/>
  <c r="K145" i="31"/>
  <c r="I145" i="31"/>
  <c r="D145" i="31"/>
  <c r="C145" i="31"/>
  <c r="A145" i="31"/>
  <c r="K144" i="31"/>
  <c r="J144" i="31"/>
  <c r="I144" i="31"/>
  <c r="D144" i="31"/>
  <c r="C144" i="31"/>
  <c r="A144" i="31"/>
  <c r="K143" i="31"/>
  <c r="J143" i="31"/>
  <c r="I143" i="31"/>
  <c r="J145" i="31" s="1"/>
  <c r="D143" i="31"/>
  <c r="C143" i="31"/>
  <c r="A143" i="31"/>
  <c r="K142" i="31"/>
  <c r="J142" i="31"/>
  <c r="I142" i="31"/>
  <c r="D142" i="31"/>
  <c r="C142" i="31"/>
  <c r="A142" i="31"/>
  <c r="K141" i="31"/>
  <c r="I141" i="31"/>
  <c r="D141" i="31"/>
  <c r="C141" i="31"/>
  <c r="A141" i="31"/>
  <c r="K140" i="31"/>
  <c r="J140" i="31"/>
  <c r="I140" i="31"/>
  <c r="D140" i="31"/>
  <c r="C140" i="31"/>
  <c r="A140" i="31"/>
  <c r="K139" i="31"/>
  <c r="J139" i="31"/>
  <c r="I139" i="31"/>
  <c r="J141" i="31" s="1"/>
  <c r="D139" i="31"/>
  <c r="C139" i="31"/>
  <c r="A139" i="31"/>
  <c r="K138" i="31"/>
  <c r="J138" i="31"/>
  <c r="I138" i="31"/>
  <c r="D138" i="31"/>
  <c r="C138" i="31"/>
  <c r="A138" i="31"/>
  <c r="K137" i="31"/>
  <c r="I137" i="31"/>
  <c r="D137" i="31"/>
  <c r="C137" i="31"/>
  <c r="A137" i="31"/>
  <c r="K136" i="31"/>
  <c r="J136" i="31"/>
  <c r="I136" i="31"/>
  <c r="D136" i="31"/>
  <c r="C136" i="31"/>
  <c r="A136" i="31"/>
  <c r="K135" i="31"/>
  <c r="J135" i="31"/>
  <c r="I135" i="31"/>
  <c r="J137" i="31" s="1"/>
  <c r="D135" i="31"/>
  <c r="C135" i="31"/>
  <c r="A135" i="31"/>
  <c r="K134" i="31"/>
  <c r="J134" i="31"/>
  <c r="I134" i="31"/>
  <c r="D134" i="31"/>
  <c r="C134" i="31"/>
  <c r="A134" i="31"/>
  <c r="K133" i="31"/>
  <c r="I133" i="31"/>
  <c r="D133" i="31"/>
  <c r="C133" i="31"/>
  <c r="A133" i="31"/>
  <c r="K132" i="31"/>
  <c r="J132" i="31"/>
  <c r="I132" i="31"/>
  <c r="D132" i="31"/>
  <c r="C132" i="31"/>
  <c r="A132" i="31"/>
  <c r="K131" i="31"/>
  <c r="J131" i="31"/>
  <c r="I131" i="31"/>
  <c r="J133" i="31" s="1"/>
  <c r="D131" i="31"/>
  <c r="C131" i="31"/>
  <c r="A131" i="31"/>
  <c r="K130" i="31"/>
  <c r="J130" i="31"/>
  <c r="I130" i="31"/>
  <c r="D130" i="31"/>
  <c r="C130" i="31"/>
  <c r="A130" i="31"/>
  <c r="K129" i="31"/>
  <c r="I129" i="31"/>
  <c r="D129" i="31"/>
  <c r="C129" i="31"/>
  <c r="A129" i="31"/>
  <c r="K128" i="31"/>
  <c r="J128" i="31"/>
  <c r="I128" i="31"/>
  <c r="D128" i="31"/>
  <c r="C128" i="31"/>
  <c r="A128" i="31"/>
  <c r="K127" i="31"/>
  <c r="J127" i="31"/>
  <c r="I127" i="31"/>
  <c r="J129" i="31" s="1"/>
  <c r="D127" i="31"/>
  <c r="C127" i="31"/>
  <c r="A127" i="31"/>
  <c r="K126" i="31"/>
  <c r="J126" i="31"/>
  <c r="I126" i="31"/>
  <c r="D126" i="31"/>
  <c r="C126" i="31"/>
  <c r="A126" i="31"/>
  <c r="K125" i="31"/>
  <c r="I125" i="31"/>
  <c r="D125" i="31"/>
  <c r="C125" i="31"/>
  <c r="A125" i="31"/>
  <c r="K124" i="31"/>
  <c r="J124" i="31"/>
  <c r="I124" i="31"/>
  <c r="D124" i="31"/>
  <c r="C124" i="31"/>
  <c r="A124" i="31"/>
  <c r="K123" i="31"/>
  <c r="J123" i="31"/>
  <c r="I123" i="31"/>
  <c r="J125" i="31" s="1"/>
  <c r="D123" i="31"/>
  <c r="C123" i="31"/>
  <c r="A123" i="31"/>
  <c r="K122" i="31"/>
  <c r="J122" i="31"/>
  <c r="I122" i="31"/>
  <c r="D122" i="31"/>
  <c r="C122" i="31"/>
  <c r="A122" i="31"/>
  <c r="K121" i="31"/>
  <c r="I121" i="31"/>
  <c r="D121" i="31"/>
  <c r="C121" i="31"/>
  <c r="A121" i="31"/>
  <c r="K120" i="31"/>
  <c r="J120" i="31"/>
  <c r="I120" i="31"/>
  <c r="D120" i="31"/>
  <c r="C120" i="31"/>
  <c r="A120" i="31"/>
  <c r="K119" i="31"/>
  <c r="J119" i="31"/>
  <c r="I119" i="31"/>
  <c r="J121" i="31" s="1"/>
  <c r="D119" i="31"/>
  <c r="C119" i="31"/>
  <c r="A119" i="31"/>
  <c r="K118" i="31"/>
  <c r="J118" i="31"/>
  <c r="I118" i="31"/>
  <c r="D118" i="31"/>
  <c r="C118" i="31"/>
  <c r="A118" i="31"/>
  <c r="K117" i="31"/>
  <c r="I117" i="31"/>
  <c r="D117" i="31"/>
  <c r="C117" i="31"/>
  <c r="A117" i="31"/>
  <c r="K116" i="31"/>
  <c r="J116" i="31"/>
  <c r="I116" i="31"/>
  <c r="D116" i="31"/>
  <c r="C116" i="31"/>
  <c r="A116" i="31"/>
  <c r="K115" i="31"/>
  <c r="J115" i="31"/>
  <c r="I115" i="31"/>
  <c r="J117" i="31" s="1"/>
  <c r="D115" i="31"/>
  <c r="C115" i="31"/>
  <c r="A115" i="31"/>
  <c r="K114" i="31"/>
  <c r="J114" i="31"/>
  <c r="I114" i="31"/>
  <c r="D114" i="31"/>
  <c r="C114" i="31"/>
  <c r="A114" i="31"/>
  <c r="K113" i="31"/>
  <c r="I113" i="31"/>
  <c r="D113" i="31"/>
  <c r="C113" i="31"/>
  <c r="A113" i="31"/>
  <c r="K112" i="31"/>
  <c r="J112" i="31"/>
  <c r="I112" i="31"/>
  <c r="D112" i="31"/>
  <c r="C112" i="31"/>
  <c r="A112" i="31"/>
  <c r="K111" i="31"/>
  <c r="J111" i="31"/>
  <c r="I111" i="31"/>
  <c r="J113" i="31" s="1"/>
  <c r="D111" i="31"/>
  <c r="C111" i="31"/>
  <c r="A111" i="31"/>
  <c r="K110" i="31"/>
  <c r="J110" i="31"/>
  <c r="I110" i="31"/>
  <c r="D110" i="31"/>
  <c r="C110" i="31"/>
  <c r="A110" i="31"/>
  <c r="K109" i="31"/>
  <c r="I109" i="31"/>
  <c r="D109" i="31"/>
  <c r="C109" i="31"/>
  <c r="A109" i="31"/>
  <c r="K108" i="31"/>
  <c r="J108" i="31"/>
  <c r="I108" i="31"/>
  <c r="D108" i="31"/>
  <c r="C108" i="31"/>
  <c r="A108" i="31"/>
  <c r="K107" i="31"/>
  <c r="J107" i="31"/>
  <c r="I107" i="31"/>
  <c r="J109" i="31" s="1"/>
  <c r="D107" i="31"/>
  <c r="C107" i="31"/>
  <c r="A107" i="31"/>
  <c r="K106" i="31"/>
  <c r="J106" i="31"/>
  <c r="I106" i="31"/>
  <c r="D106" i="31"/>
  <c r="C106" i="31"/>
  <c r="A106" i="31"/>
  <c r="K105" i="31"/>
  <c r="I105" i="31"/>
  <c r="D105" i="31"/>
  <c r="C105" i="31"/>
  <c r="A105" i="31"/>
  <c r="K104" i="31"/>
  <c r="J104" i="31"/>
  <c r="I104" i="31"/>
  <c r="D104" i="31"/>
  <c r="C104" i="31"/>
  <c r="A104" i="31"/>
  <c r="K103" i="31"/>
  <c r="J103" i="31"/>
  <c r="I103" i="31"/>
  <c r="J105" i="31" s="1"/>
  <c r="D103" i="31"/>
  <c r="C103" i="31"/>
  <c r="A103" i="31"/>
  <c r="K102" i="31"/>
  <c r="J102" i="31"/>
  <c r="I102" i="31"/>
  <c r="D102" i="31"/>
  <c r="C102" i="31"/>
  <c r="A102" i="31"/>
  <c r="K101" i="31"/>
  <c r="I101" i="31"/>
  <c r="D101" i="31"/>
  <c r="C101" i="31"/>
  <c r="A101" i="31"/>
  <c r="K100" i="31"/>
  <c r="J100" i="31"/>
  <c r="I100" i="31"/>
  <c r="D100" i="31"/>
  <c r="C100" i="31"/>
  <c r="A100" i="31"/>
  <c r="K99" i="31"/>
  <c r="J99" i="31"/>
  <c r="I99" i="31"/>
  <c r="J101" i="31" s="1"/>
  <c r="D99" i="31"/>
  <c r="C99" i="31"/>
  <c r="A99" i="31"/>
  <c r="K98" i="31"/>
  <c r="J98" i="31"/>
  <c r="I98" i="31"/>
  <c r="D98" i="31"/>
  <c r="C98" i="31"/>
  <c r="A98" i="31"/>
  <c r="K97" i="31"/>
  <c r="I97" i="31"/>
  <c r="D97" i="31"/>
  <c r="C97" i="31"/>
  <c r="A97" i="31"/>
  <c r="K96" i="31"/>
  <c r="J96" i="31"/>
  <c r="I96" i="31"/>
  <c r="D96" i="31"/>
  <c r="C96" i="31"/>
  <c r="A96" i="31"/>
  <c r="K95" i="31"/>
  <c r="J95" i="31"/>
  <c r="I95" i="31"/>
  <c r="J97" i="31" s="1"/>
  <c r="D95" i="31"/>
  <c r="C95" i="31"/>
  <c r="A95" i="31"/>
  <c r="K94" i="31"/>
  <c r="J94" i="31"/>
  <c r="I94" i="31"/>
  <c r="D94" i="31"/>
  <c r="C94" i="31"/>
  <c r="A94" i="31"/>
  <c r="K93" i="31"/>
  <c r="I93" i="31"/>
  <c r="D93" i="31"/>
  <c r="C93" i="31"/>
  <c r="A93" i="31"/>
  <c r="K92" i="31"/>
  <c r="J92" i="31"/>
  <c r="I92" i="31"/>
  <c r="D92" i="31"/>
  <c r="C92" i="31"/>
  <c r="A92" i="31"/>
  <c r="K91" i="31"/>
  <c r="J91" i="31"/>
  <c r="I91" i="31"/>
  <c r="J93" i="31" s="1"/>
  <c r="D91" i="31"/>
  <c r="C91" i="31"/>
  <c r="A91" i="31"/>
  <c r="K90" i="31"/>
  <c r="J90" i="31"/>
  <c r="I90" i="31"/>
  <c r="D90" i="31"/>
  <c r="C90" i="31"/>
  <c r="A90" i="31"/>
  <c r="K89" i="31"/>
  <c r="I89" i="31"/>
  <c r="D89" i="31"/>
  <c r="C89" i="31"/>
  <c r="A89" i="31"/>
  <c r="K88" i="31"/>
  <c r="J88" i="31"/>
  <c r="I88" i="31"/>
  <c r="D88" i="31"/>
  <c r="C88" i="31"/>
  <c r="A88" i="31"/>
  <c r="K87" i="31"/>
  <c r="J87" i="31"/>
  <c r="I87" i="31"/>
  <c r="J89" i="31" s="1"/>
  <c r="D87" i="31"/>
  <c r="C87" i="31"/>
  <c r="A87" i="31"/>
  <c r="K86" i="31"/>
  <c r="J86" i="31"/>
  <c r="I86" i="31"/>
  <c r="D86" i="31"/>
  <c r="C86" i="31"/>
  <c r="A86" i="31"/>
  <c r="K85" i="31"/>
  <c r="I85" i="31"/>
  <c r="D85" i="31"/>
  <c r="C85" i="31"/>
  <c r="A85" i="31"/>
  <c r="K84" i="31"/>
  <c r="J84" i="31"/>
  <c r="I84" i="31"/>
  <c r="D84" i="31"/>
  <c r="C84" i="31"/>
  <c r="A84" i="31"/>
  <c r="K83" i="31"/>
  <c r="J83" i="31"/>
  <c r="I83" i="31"/>
  <c r="J85" i="31" s="1"/>
  <c r="D83" i="31"/>
  <c r="C83" i="31"/>
  <c r="A83" i="31"/>
  <c r="K82" i="31"/>
  <c r="J82" i="31"/>
  <c r="I82" i="31"/>
  <c r="D82" i="31"/>
  <c r="C82" i="31"/>
  <c r="A82" i="31"/>
  <c r="K81" i="31"/>
  <c r="I81" i="31"/>
  <c r="D81" i="31"/>
  <c r="C81" i="31"/>
  <c r="A81" i="31"/>
  <c r="K80" i="31"/>
  <c r="J80" i="31"/>
  <c r="I80" i="31"/>
  <c r="D80" i="31"/>
  <c r="C80" i="31"/>
  <c r="A80" i="31"/>
  <c r="K79" i="31"/>
  <c r="J79" i="31"/>
  <c r="I79" i="31"/>
  <c r="J81" i="31" s="1"/>
  <c r="D79" i="31"/>
  <c r="C79" i="31"/>
  <c r="A79" i="31"/>
  <c r="K78" i="31"/>
  <c r="J78" i="31"/>
  <c r="I78" i="31"/>
  <c r="D78" i="31"/>
  <c r="C78" i="31"/>
  <c r="A78" i="31"/>
  <c r="K77" i="31"/>
  <c r="I77" i="31"/>
  <c r="D77" i="31"/>
  <c r="C77" i="31"/>
  <c r="A77" i="31"/>
  <c r="K76" i="31"/>
  <c r="J76" i="31"/>
  <c r="I76" i="31"/>
  <c r="D76" i="31"/>
  <c r="C76" i="31"/>
  <c r="A76" i="31"/>
  <c r="K75" i="31"/>
  <c r="J75" i="31"/>
  <c r="I75" i="31"/>
  <c r="J77" i="31" s="1"/>
  <c r="D75" i="31"/>
  <c r="C75" i="31"/>
  <c r="A75" i="31"/>
  <c r="K74" i="31"/>
  <c r="J74" i="31"/>
  <c r="I74" i="31"/>
  <c r="D74" i="31"/>
  <c r="C74" i="31"/>
  <c r="A74" i="31"/>
  <c r="K73" i="31"/>
  <c r="I73" i="31"/>
  <c r="D73" i="31"/>
  <c r="C73" i="31"/>
  <c r="A73" i="31"/>
  <c r="K72" i="31"/>
  <c r="J72" i="31"/>
  <c r="I72" i="31"/>
  <c r="D72" i="31"/>
  <c r="C72" i="31"/>
  <c r="A72" i="31"/>
  <c r="K71" i="31"/>
  <c r="J71" i="31"/>
  <c r="I71" i="31"/>
  <c r="J73" i="31" s="1"/>
  <c r="D71" i="31"/>
  <c r="C71" i="31"/>
  <c r="A71" i="31"/>
  <c r="K70" i="31"/>
  <c r="J70" i="31"/>
  <c r="I70" i="31"/>
  <c r="D70" i="31"/>
  <c r="C70" i="31"/>
  <c r="A70" i="31"/>
  <c r="K69" i="31"/>
  <c r="I69" i="31"/>
  <c r="D69" i="31"/>
  <c r="C69" i="31"/>
  <c r="A69" i="31"/>
  <c r="K68" i="31"/>
  <c r="J68" i="31"/>
  <c r="I68" i="31"/>
  <c r="D68" i="31"/>
  <c r="C68" i="31"/>
  <c r="A68" i="31"/>
  <c r="K67" i="31"/>
  <c r="J67" i="31"/>
  <c r="I67" i="31"/>
  <c r="J69" i="31" s="1"/>
  <c r="D67" i="31"/>
  <c r="C67" i="31"/>
  <c r="A67" i="31"/>
  <c r="K66" i="31"/>
  <c r="J66" i="31"/>
  <c r="I66" i="31"/>
  <c r="D66" i="31"/>
  <c r="C66" i="31"/>
  <c r="A66" i="31"/>
  <c r="K65" i="31"/>
  <c r="I65" i="31"/>
  <c r="D65" i="31"/>
  <c r="C65" i="31"/>
  <c r="A65" i="31"/>
  <c r="K64" i="31"/>
  <c r="J64" i="31"/>
  <c r="I64" i="31"/>
  <c r="D64" i="31"/>
  <c r="C64" i="31"/>
  <c r="A64" i="31"/>
  <c r="K63" i="31"/>
  <c r="J63" i="31"/>
  <c r="I63" i="31"/>
  <c r="J65" i="31" s="1"/>
  <c r="D63" i="31"/>
  <c r="C63" i="31"/>
  <c r="A63" i="31"/>
  <c r="K62" i="31"/>
  <c r="J62" i="31"/>
  <c r="I62" i="31"/>
  <c r="D62" i="31"/>
  <c r="C62" i="31"/>
  <c r="A62" i="31"/>
  <c r="K61" i="31"/>
  <c r="I61" i="31"/>
  <c r="D61" i="31"/>
  <c r="C61" i="31"/>
  <c r="A61" i="31"/>
  <c r="K60" i="31"/>
  <c r="J60" i="31"/>
  <c r="I60" i="31"/>
  <c r="D60" i="31"/>
  <c r="C60" i="31"/>
  <c r="A60" i="31"/>
  <c r="K59" i="31"/>
  <c r="J59" i="31"/>
  <c r="I59" i="31"/>
  <c r="J61" i="31" s="1"/>
  <c r="D59" i="31"/>
  <c r="C59" i="31"/>
  <c r="A59" i="31"/>
  <c r="K58" i="31"/>
  <c r="J58" i="31"/>
  <c r="I58" i="31"/>
  <c r="D58" i="31"/>
  <c r="C58" i="31"/>
  <c r="A58" i="31"/>
  <c r="K57" i="31"/>
  <c r="I57" i="31"/>
  <c r="D57" i="31"/>
  <c r="C57" i="31"/>
  <c r="A57" i="31"/>
  <c r="K56" i="31"/>
  <c r="J56" i="31"/>
  <c r="I56" i="31"/>
  <c r="D56" i="31"/>
  <c r="C56" i="31"/>
  <c r="A56" i="31"/>
  <c r="K55" i="31"/>
  <c r="J55" i="31"/>
  <c r="I55" i="31"/>
  <c r="J57" i="31" s="1"/>
  <c r="D55" i="31"/>
  <c r="C55" i="31"/>
  <c r="A55" i="31"/>
  <c r="K54" i="31"/>
  <c r="J54" i="31"/>
  <c r="I54" i="31"/>
  <c r="D54" i="31"/>
  <c r="C54" i="31"/>
  <c r="A54" i="31"/>
  <c r="K53" i="31"/>
  <c r="I53" i="31"/>
  <c r="D53" i="31"/>
  <c r="C53" i="31"/>
  <c r="A53" i="31"/>
  <c r="K52" i="31"/>
  <c r="J52" i="31"/>
  <c r="I52" i="31"/>
  <c r="D52" i="31"/>
  <c r="C52" i="31"/>
  <c r="A52" i="31"/>
  <c r="K51" i="31"/>
  <c r="J51" i="31"/>
  <c r="I51" i="31"/>
  <c r="J53" i="31" s="1"/>
  <c r="D51" i="31"/>
  <c r="C51" i="31"/>
  <c r="A51" i="31"/>
  <c r="K50" i="31"/>
  <c r="J50" i="31"/>
  <c r="I50" i="31"/>
  <c r="D50" i="31"/>
  <c r="C50" i="31"/>
  <c r="A50" i="31"/>
  <c r="K49" i="31"/>
  <c r="I49" i="31"/>
  <c r="D49" i="31"/>
  <c r="C49" i="31"/>
  <c r="A49" i="31"/>
  <c r="K48" i="31"/>
  <c r="J48" i="31"/>
  <c r="I48" i="31"/>
  <c r="D48" i="31"/>
  <c r="C48" i="31"/>
  <c r="A48" i="31"/>
  <c r="K47" i="31"/>
  <c r="J47" i="31"/>
  <c r="I47" i="31"/>
  <c r="J49" i="31" s="1"/>
  <c r="D47" i="31"/>
  <c r="C47" i="31"/>
  <c r="A47" i="31"/>
  <c r="K46" i="31"/>
  <c r="J46" i="31"/>
  <c r="I46" i="31"/>
  <c r="D46" i="31"/>
  <c r="C46" i="31"/>
  <c r="A46" i="31"/>
  <c r="K45" i="31"/>
  <c r="I45" i="31"/>
  <c r="D45" i="31"/>
  <c r="C45" i="31"/>
  <c r="A45" i="31"/>
  <c r="K44" i="31"/>
  <c r="J44" i="31"/>
  <c r="I44" i="31"/>
  <c r="D44" i="31"/>
  <c r="C44" i="31"/>
  <c r="A44" i="31"/>
  <c r="K43" i="31"/>
  <c r="J43" i="31"/>
  <c r="I43" i="31"/>
  <c r="J45" i="31" s="1"/>
  <c r="D43" i="31"/>
  <c r="C43" i="31"/>
  <c r="A43" i="31"/>
  <c r="K42" i="31"/>
  <c r="J42" i="31"/>
  <c r="I42" i="31"/>
  <c r="D42" i="31"/>
  <c r="C42" i="31"/>
  <c r="A42" i="31"/>
  <c r="K41" i="31"/>
  <c r="I41" i="31"/>
  <c r="D41" i="31"/>
  <c r="C41" i="31"/>
  <c r="A41" i="31"/>
  <c r="K40" i="31"/>
  <c r="J40" i="31"/>
  <c r="I40" i="31"/>
  <c r="D40" i="31"/>
  <c r="C40" i="31"/>
  <c r="A40" i="31"/>
  <c r="K39" i="31"/>
  <c r="J39" i="31"/>
  <c r="I39" i="31"/>
  <c r="J41" i="31" s="1"/>
  <c r="D39" i="31"/>
  <c r="C39" i="31"/>
  <c r="A39" i="31"/>
  <c r="K38" i="31"/>
  <c r="J38" i="31"/>
  <c r="I38" i="31"/>
  <c r="D38" i="31"/>
  <c r="C38" i="31"/>
  <c r="A38" i="31"/>
  <c r="K37" i="31"/>
  <c r="I37" i="31"/>
  <c r="D37" i="31"/>
  <c r="C37" i="31"/>
  <c r="A37" i="31"/>
  <c r="K36" i="31"/>
  <c r="J36" i="31"/>
  <c r="I36" i="31"/>
  <c r="D36" i="31"/>
  <c r="C36" i="31"/>
  <c r="A36" i="31"/>
  <c r="K35" i="31"/>
  <c r="J35" i="31"/>
  <c r="I35" i="31"/>
  <c r="J37" i="31" s="1"/>
  <c r="D35" i="31"/>
  <c r="C35" i="31"/>
  <c r="A35" i="31"/>
  <c r="K34" i="31"/>
  <c r="J34" i="31"/>
  <c r="I34" i="31"/>
  <c r="D34" i="31"/>
  <c r="C34" i="31"/>
  <c r="A34" i="31"/>
  <c r="K33" i="31"/>
  <c r="I33" i="31"/>
  <c r="D33" i="31"/>
  <c r="C33" i="31"/>
  <c r="A33" i="31"/>
  <c r="K32" i="31"/>
  <c r="J32" i="31"/>
  <c r="I32" i="31"/>
  <c r="D32" i="31"/>
  <c r="C32" i="31"/>
  <c r="A32" i="31"/>
  <c r="K31" i="31"/>
  <c r="J31" i="31"/>
  <c r="I31" i="31"/>
  <c r="J33" i="31" s="1"/>
  <c r="D31" i="31"/>
  <c r="C31" i="31"/>
  <c r="A31" i="31"/>
  <c r="K30" i="31"/>
  <c r="J30" i="31"/>
  <c r="I30" i="31"/>
  <c r="D30" i="31"/>
  <c r="C30" i="31"/>
  <c r="A30" i="31"/>
  <c r="K29" i="31"/>
  <c r="I29" i="31"/>
  <c r="D29" i="31"/>
  <c r="C29" i="31"/>
  <c r="A29" i="31"/>
  <c r="K28" i="31"/>
  <c r="J28" i="31"/>
  <c r="I28" i="31"/>
  <c r="D28" i="31"/>
  <c r="C28" i="31"/>
  <c r="A28" i="31"/>
  <c r="K27" i="31"/>
  <c r="J27" i="31"/>
  <c r="I27" i="31"/>
  <c r="J29" i="31" s="1"/>
  <c r="D27" i="31"/>
  <c r="C27" i="31"/>
  <c r="A27" i="31"/>
  <c r="K26" i="31"/>
  <c r="J26" i="31"/>
  <c r="I26" i="31"/>
  <c r="D26" i="31"/>
  <c r="C26" i="31"/>
  <c r="A26" i="31"/>
  <c r="K25" i="31"/>
  <c r="I25" i="31"/>
  <c r="D25" i="31"/>
  <c r="C25" i="31"/>
  <c r="A25" i="31"/>
  <c r="K24" i="31"/>
  <c r="J24" i="31"/>
  <c r="I24" i="31"/>
  <c r="D24" i="31"/>
  <c r="C24" i="31"/>
  <c r="A24" i="31"/>
  <c r="K23" i="31"/>
  <c r="J23" i="31"/>
  <c r="I23" i="31"/>
  <c r="J25" i="31" s="1"/>
  <c r="D23" i="31"/>
  <c r="C23" i="31"/>
  <c r="A23" i="31"/>
  <c r="K22" i="31"/>
  <c r="J22" i="31"/>
  <c r="I22" i="31"/>
  <c r="D22" i="31"/>
  <c r="C22" i="31"/>
  <c r="A22" i="31"/>
  <c r="K21" i="31"/>
  <c r="I21" i="31"/>
  <c r="D21" i="31"/>
  <c r="C21" i="31"/>
  <c r="A21" i="31"/>
  <c r="K20" i="31"/>
  <c r="J20" i="31"/>
  <c r="I20" i="31"/>
  <c r="D20" i="31"/>
  <c r="C20" i="31"/>
  <c r="A20" i="31"/>
  <c r="K19" i="31"/>
  <c r="J19" i="31"/>
  <c r="I19" i="31"/>
  <c r="J21" i="31" s="1"/>
  <c r="D19" i="31"/>
  <c r="C19" i="31"/>
  <c r="A19" i="31"/>
  <c r="K18" i="31"/>
  <c r="J18" i="31"/>
  <c r="I18" i="31"/>
  <c r="D18" i="31"/>
  <c r="C18" i="31"/>
  <c r="A18" i="31"/>
  <c r="K17" i="31"/>
  <c r="J17" i="31"/>
  <c r="I17" i="31"/>
  <c r="D17" i="31"/>
  <c r="A17" i="31"/>
  <c r="K16" i="31"/>
  <c r="J16" i="31"/>
  <c r="I16" i="31"/>
  <c r="D16" i="31"/>
  <c r="C16" i="31"/>
  <c r="A16" i="31"/>
  <c r="B11" i="31"/>
  <c r="B10" i="31"/>
  <c r="G4" i="31"/>
  <c r="J210" i="30"/>
  <c r="G210" i="30"/>
  <c r="D210" i="30"/>
  <c r="C210" i="30"/>
  <c r="B210" i="30"/>
  <c r="J209" i="30"/>
  <c r="G209" i="30"/>
  <c r="D209" i="30"/>
  <c r="C209" i="30"/>
  <c r="B209" i="30"/>
  <c r="J208" i="30"/>
  <c r="K210" i="30" s="1"/>
  <c r="G208" i="30"/>
  <c r="D208" i="30"/>
  <c r="C208" i="30"/>
  <c r="B208" i="30"/>
  <c r="J207" i="30"/>
  <c r="K209" i="30" s="1"/>
  <c r="G207" i="30"/>
  <c r="D207" i="30"/>
  <c r="C207" i="30"/>
  <c r="B207" i="30"/>
  <c r="J206" i="30"/>
  <c r="K208" i="30" s="1"/>
  <c r="G206" i="30"/>
  <c r="D206" i="30"/>
  <c r="C206" i="30"/>
  <c r="B206" i="30"/>
  <c r="J205" i="30"/>
  <c r="K207" i="30" s="1"/>
  <c r="G205" i="30"/>
  <c r="D205" i="30"/>
  <c r="C205" i="30"/>
  <c r="B205" i="30"/>
  <c r="J204" i="30"/>
  <c r="K206" i="30" s="1"/>
  <c r="G204" i="30"/>
  <c r="D204" i="30"/>
  <c r="C204" i="30"/>
  <c r="B204" i="30"/>
  <c r="J203" i="30"/>
  <c r="K205" i="30" s="1"/>
  <c r="G203" i="30"/>
  <c r="D203" i="30"/>
  <c r="C203" i="30"/>
  <c r="B203" i="30"/>
  <c r="J202" i="30"/>
  <c r="K204" i="30" s="1"/>
  <c r="G202" i="30"/>
  <c r="D202" i="30"/>
  <c r="C202" i="30"/>
  <c r="B202" i="30"/>
  <c r="J201" i="30"/>
  <c r="K203" i="30" s="1"/>
  <c r="G201" i="30"/>
  <c r="D201" i="30"/>
  <c r="C201" i="30"/>
  <c r="B201" i="30"/>
  <c r="J200" i="30"/>
  <c r="K202" i="30" s="1"/>
  <c r="G200" i="30"/>
  <c r="D200" i="30"/>
  <c r="C200" i="30"/>
  <c r="B200" i="30"/>
  <c r="J199" i="30"/>
  <c r="K201" i="30" s="1"/>
  <c r="G199" i="30"/>
  <c r="D199" i="30"/>
  <c r="C199" i="30"/>
  <c r="B199" i="30"/>
  <c r="J198" i="30"/>
  <c r="K200" i="30" s="1"/>
  <c r="G198" i="30"/>
  <c r="D198" i="30"/>
  <c r="C198" i="30"/>
  <c r="B198" i="30"/>
  <c r="J197" i="30"/>
  <c r="K199" i="30" s="1"/>
  <c r="G197" i="30"/>
  <c r="D197" i="30"/>
  <c r="C197" i="30"/>
  <c r="B197" i="30"/>
  <c r="J196" i="30"/>
  <c r="K198" i="30" s="1"/>
  <c r="G196" i="30"/>
  <c r="D196" i="30"/>
  <c r="C196" i="30"/>
  <c r="B196" i="30"/>
  <c r="J195" i="30"/>
  <c r="K197" i="30" s="1"/>
  <c r="G195" i="30"/>
  <c r="D195" i="30"/>
  <c r="C195" i="30"/>
  <c r="B195" i="30"/>
  <c r="J194" i="30"/>
  <c r="K196" i="30" s="1"/>
  <c r="G194" i="30"/>
  <c r="D194" i="30"/>
  <c r="C194" i="30"/>
  <c r="B194" i="30"/>
  <c r="J193" i="30"/>
  <c r="K195" i="30" s="1"/>
  <c r="G193" i="30"/>
  <c r="D193" i="30"/>
  <c r="C193" i="30"/>
  <c r="B193" i="30"/>
  <c r="J192" i="30"/>
  <c r="K194" i="30" s="1"/>
  <c r="G192" i="30"/>
  <c r="D192" i="30"/>
  <c r="C192" i="30"/>
  <c r="B192" i="30"/>
  <c r="J191" i="30"/>
  <c r="K193" i="30" s="1"/>
  <c r="G191" i="30"/>
  <c r="D191" i="30"/>
  <c r="C191" i="30"/>
  <c r="B191" i="30"/>
  <c r="J190" i="30"/>
  <c r="K192" i="30" s="1"/>
  <c r="G190" i="30"/>
  <c r="D190" i="30"/>
  <c r="C190" i="30"/>
  <c r="B190" i="30"/>
  <c r="J189" i="30"/>
  <c r="K191" i="30" s="1"/>
  <c r="G189" i="30"/>
  <c r="D189" i="30"/>
  <c r="C189" i="30"/>
  <c r="B189" i="30"/>
  <c r="J188" i="30"/>
  <c r="K190" i="30" s="1"/>
  <c r="G188" i="30"/>
  <c r="D188" i="30"/>
  <c r="C188" i="30"/>
  <c r="B188" i="30"/>
  <c r="J187" i="30"/>
  <c r="K189" i="30" s="1"/>
  <c r="G187" i="30"/>
  <c r="D187" i="30"/>
  <c r="C187" i="30"/>
  <c r="B187" i="30"/>
  <c r="J186" i="30"/>
  <c r="K188" i="30" s="1"/>
  <c r="G186" i="30"/>
  <c r="D186" i="30"/>
  <c r="C186" i="30"/>
  <c r="B186" i="30"/>
  <c r="J185" i="30"/>
  <c r="K187" i="30" s="1"/>
  <c r="G185" i="30"/>
  <c r="D185" i="30"/>
  <c r="C185" i="30"/>
  <c r="B185" i="30"/>
  <c r="J184" i="30"/>
  <c r="K186" i="30" s="1"/>
  <c r="G184" i="30"/>
  <c r="D184" i="30"/>
  <c r="C184" i="30"/>
  <c r="B184" i="30"/>
  <c r="J183" i="30"/>
  <c r="K185" i="30" s="1"/>
  <c r="G183" i="30"/>
  <c r="D183" i="30"/>
  <c r="C183" i="30"/>
  <c r="B183" i="30"/>
  <c r="J182" i="30"/>
  <c r="K184" i="30" s="1"/>
  <c r="G182" i="30"/>
  <c r="D182" i="30"/>
  <c r="C182" i="30"/>
  <c r="B182" i="30"/>
  <c r="J181" i="30"/>
  <c r="K183" i="30" s="1"/>
  <c r="G181" i="30"/>
  <c r="D181" i="30"/>
  <c r="C181" i="30"/>
  <c r="B181" i="30"/>
  <c r="J180" i="30"/>
  <c r="K182" i="30" s="1"/>
  <c r="G180" i="30"/>
  <c r="D180" i="30"/>
  <c r="C180" i="30"/>
  <c r="B180" i="30"/>
  <c r="J179" i="30"/>
  <c r="K181" i="30" s="1"/>
  <c r="G179" i="30"/>
  <c r="D179" i="30"/>
  <c r="C179" i="30"/>
  <c r="B179" i="30"/>
  <c r="J178" i="30"/>
  <c r="K180" i="30" s="1"/>
  <c r="G178" i="30"/>
  <c r="D178" i="30"/>
  <c r="C178" i="30"/>
  <c r="B178" i="30"/>
  <c r="J177" i="30"/>
  <c r="K179" i="30" s="1"/>
  <c r="G177" i="30"/>
  <c r="D177" i="30"/>
  <c r="C177" i="30"/>
  <c r="B177" i="30"/>
  <c r="J176" i="30"/>
  <c r="K178" i="30" s="1"/>
  <c r="G176" i="30"/>
  <c r="D176" i="30"/>
  <c r="C176" i="30"/>
  <c r="B176" i="30"/>
  <c r="J175" i="30"/>
  <c r="K177" i="30" s="1"/>
  <c r="G175" i="30"/>
  <c r="D175" i="30"/>
  <c r="C175" i="30"/>
  <c r="B175" i="30"/>
  <c r="J174" i="30"/>
  <c r="K176" i="30" s="1"/>
  <c r="G174" i="30"/>
  <c r="D174" i="30"/>
  <c r="C174" i="30"/>
  <c r="B174" i="30"/>
  <c r="J173" i="30"/>
  <c r="K175" i="30" s="1"/>
  <c r="G173" i="30"/>
  <c r="D173" i="30"/>
  <c r="C173" i="30"/>
  <c r="B173" i="30"/>
  <c r="J172" i="30"/>
  <c r="K174" i="30" s="1"/>
  <c r="G172" i="30"/>
  <c r="D172" i="30"/>
  <c r="C172" i="30"/>
  <c r="B172" i="30"/>
  <c r="J171" i="30"/>
  <c r="K173" i="30" s="1"/>
  <c r="G171" i="30"/>
  <c r="D171" i="30"/>
  <c r="C171" i="30"/>
  <c r="B171" i="30"/>
  <c r="J170" i="30"/>
  <c r="K172" i="30" s="1"/>
  <c r="G170" i="30"/>
  <c r="D170" i="30"/>
  <c r="C170" i="30"/>
  <c r="B170" i="30"/>
  <c r="J169" i="30"/>
  <c r="K171" i="30" s="1"/>
  <c r="G169" i="30"/>
  <c r="D169" i="30"/>
  <c r="C169" i="30"/>
  <c r="B169" i="30"/>
  <c r="J168" i="30"/>
  <c r="K170" i="30" s="1"/>
  <c r="G168" i="30"/>
  <c r="D168" i="30"/>
  <c r="C168" i="30"/>
  <c r="B168" i="30"/>
  <c r="J167" i="30"/>
  <c r="K169" i="30" s="1"/>
  <c r="G167" i="30"/>
  <c r="D167" i="30"/>
  <c r="C167" i="30"/>
  <c r="B167" i="30"/>
  <c r="J166" i="30"/>
  <c r="K168" i="30" s="1"/>
  <c r="G166" i="30"/>
  <c r="D166" i="30"/>
  <c r="C166" i="30"/>
  <c r="B166" i="30"/>
  <c r="J165" i="30"/>
  <c r="K167" i="30" s="1"/>
  <c r="G165" i="30"/>
  <c r="D165" i="30"/>
  <c r="C165" i="30"/>
  <c r="B165" i="30"/>
  <c r="J164" i="30"/>
  <c r="K166" i="30" s="1"/>
  <c r="G164" i="30"/>
  <c r="D164" i="30"/>
  <c r="C164" i="30"/>
  <c r="B164" i="30"/>
  <c r="J163" i="30"/>
  <c r="K165" i="30" s="1"/>
  <c r="G163" i="30"/>
  <c r="D163" i="30"/>
  <c r="C163" i="30"/>
  <c r="B163" i="30"/>
  <c r="J162" i="30"/>
  <c r="K164" i="30" s="1"/>
  <c r="G162" i="30"/>
  <c r="D162" i="30"/>
  <c r="C162" i="30"/>
  <c r="B162" i="30"/>
  <c r="J161" i="30"/>
  <c r="K163" i="30" s="1"/>
  <c r="G161" i="30"/>
  <c r="D161" i="30"/>
  <c r="C161" i="30"/>
  <c r="B161" i="30"/>
  <c r="J160" i="30"/>
  <c r="K162" i="30" s="1"/>
  <c r="G160" i="30"/>
  <c r="D160" i="30"/>
  <c r="C160" i="30"/>
  <c r="B160" i="30"/>
  <c r="J159" i="30"/>
  <c r="K161" i="30" s="1"/>
  <c r="G159" i="30"/>
  <c r="D159" i="30"/>
  <c r="C159" i="30"/>
  <c r="B159" i="30"/>
  <c r="J158" i="30"/>
  <c r="K160" i="30" s="1"/>
  <c r="G158" i="30"/>
  <c r="D158" i="30"/>
  <c r="C158" i="30"/>
  <c r="B158" i="30"/>
  <c r="J157" i="30"/>
  <c r="K159" i="30" s="1"/>
  <c r="G157" i="30"/>
  <c r="D157" i="30"/>
  <c r="C157" i="30"/>
  <c r="B157" i="30"/>
  <c r="J156" i="30"/>
  <c r="K158" i="30" s="1"/>
  <c r="G156" i="30"/>
  <c r="D156" i="30"/>
  <c r="C156" i="30"/>
  <c r="B156" i="30"/>
  <c r="J155" i="30"/>
  <c r="K157" i="30" s="1"/>
  <c r="G155" i="30"/>
  <c r="D155" i="30"/>
  <c r="C155" i="30"/>
  <c r="B155" i="30"/>
  <c r="J154" i="30"/>
  <c r="K156" i="30" s="1"/>
  <c r="G154" i="30"/>
  <c r="D154" i="30"/>
  <c r="C154" i="30"/>
  <c r="B154" i="30"/>
  <c r="J153" i="30"/>
  <c r="K155" i="30" s="1"/>
  <c r="G153" i="30"/>
  <c r="D153" i="30"/>
  <c r="C153" i="30"/>
  <c r="B153" i="30"/>
  <c r="J152" i="30"/>
  <c r="K154" i="30" s="1"/>
  <c r="G152" i="30"/>
  <c r="D152" i="30"/>
  <c r="C152" i="30"/>
  <c r="B152" i="30"/>
  <c r="J151" i="30"/>
  <c r="K153" i="30" s="1"/>
  <c r="G151" i="30"/>
  <c r="D151" i="30"/>
  <c r="C151" i="30"/>
  <c r="B151" i="30"/>
  <c r="J150" i="30"/>
  <c r="K152" i="30" s="1"/>
  <c r="G150" i="30"/>
  <c r="D150" i="30"/>
  <c r="C150" i="30"/>
  <c r="B150" i="30"/>
  <c r="J149" i="30"/>
  <c r="K151" i="30" s="1"/>
  <c r="G149" i="30"/>
  <c r="D149" i="30"/>
  <c r="C149" i="30"/>
  <c r="B149" i="30"/>
  <c r="J148" i="30"/>
  <c r="K150" i="30" s="1"/>
  <c r="G148" i="30"/>
  <c r="D148" i="30"/>
  <c r="C148" i="30"/>
  <c r="B148" i="30"/>
  <c r="J147" i="30"/>
  <c r="K149" i="30" s="1"/>
  <c r="G147" i="30"/>
  <c r="D147" i="30"/>
  <c r="C147" i="30"/>
  <c r="B147" i="30"/>
  <c r="J146" i="30"/>
  <c r="K148" i="30" s="1"/>
  <c r="G146" i="30"/>
  <c r="D146" i="30"/>
  <c r="C146" i="30"/>
  <c r="B146" i="30"/>
  <c r="J145" i="30"/>
  <c r="K147" i="30" s="1"/>
  <c r="G145" i="30"/>
  <c r="D145" i="30"/>
  <c r="C145" i="30"/>
  <c r="B145" i="30"/>
  <c r="J144" i="30"/>
  <c r="K146" i="30" s="1"/>
  <c r="G144" i="30"/>
  <c r="D144" i="30"/>
  <c r="C144" i="30"/>
  <c r="B144" i="30"/>
  <c r="J143" i="30"/>
  <c r="K145" i="30" s="1"/>
  <c r="G143" i="30"/>
  <c r="D143" i="30"/>
  <c r="C143" i="30"/>
  <c r="B143" i="30"/>
  <c r="J142" i="30"/>
  <c r="K144" i="30" s="1"/>
  <c r="G142" i="30"/>
  <c r="D142" i="30"/>
  <c r="C142" i="30"/>
  <c r="B142" i="30"/>
  <c r="J141" i="30"/>
  <c r="K143" i="30" s="1"/>
  <c r="G141" i="30"/>
  <c r="D141" i="30"/>
  <c r="C141" i="30"/>
  <c r="B141" i="30"/>
  <c r="J140" i="30"/>
  <c r="K142" i="30" s="1"/>
  <c r="G140" i="30"/>
  <c r="D140" i="30"/>
  <c r="C140" i="30"/>
  <c r="B140" i="30"/>
  <c r="J139" i="30"/>
  <c r="K141" i="30" s="1"/>
  <c r="G139" i="30"/>
  <c r="D139" i="30"/>
  <c r="C139" i="30"/>
  <c r="B139" i="30"/>
  <c r="J138" i="30"/>
  <c r="K140" i="30" s="1"/>
  <c r="G138" i="30"/>
  <c r="D138" i="30"/>
  <c r="C138" i="30"/>
  <c r="B138" i="30"/>
  <c r="J137" i="30"/>
  <c r="K139" i="30" s="1"/>
  <c r="G137" i="30"/>
  <c r="D137" i="30"/>
  <c r="C137" i="30"/>
  <c r="B137" i="30"/>
  <c r="J136" i="30"/>
  <c r="K138" i="30" s="1"/>
  <c r="G136" i="30"/>
  <c r="D136" i="30"/>
  <c r="C136" i="30"/>
  <c r="B136" i="30"/>
  <c r="J135" i="30"/>
  <c r="K137" i="30" s="1"/>
  <c r="G135" i="30"/>
  <c r="D135" i="30"/>
  <c r="C135" i="30"/>
  <c r="B135" i="30"/>
  <c r="J134" i="30"/>
  <c r="K136" i="30" s="1"/>
  <c r="G134" i="30"/>
  <c r="D134" i="30"/>
  <c r="C134" i="30"/>
  <c r="B134" i="30"/>
  <c r="J133" i="30"/>
  <c r="K135" i="30" s="1"/>
  <c r="G133" i="30"/>
  <c r="D133" i="30"/>
  <c r="C133" i="30"/>
  <c r="B133" i="30"/>
  <c r="J132" i="30"/>
  <c r="K134" i="30" s="1"/>
  <c r="G132" i="30"/>
  <c r="D132" i="30"/>
  <c r="C132" i="30"/>
  <c r="B132" i="30"/>
  <c r="J131" i="30"/>
  <c r="K133" i="30" s="1"/>
  <c r="G131" i="30"/>
  <c r="D131" i="30"/>
  <c r="C131" i="30"/>
  <c r="B131" i="30"/>
  <c r="J130" i="30"/>
  <c r="K132" i="30" s="1"/>
  <c r="G130" i="30"/>
  <c r="D130" i="30"/>
  <c r="C130" i="30"/>
  <c r="B130" i="30"/>
  <c r="J129" i="30"/>
  <c r="K131" i="30" s="1"/>
  <c r="G129" i="30"/>
  <c r="D129" i="30"/>
  <c r="C129" i="30"/>
  <c r="B129" i="30"/>
  <c r="J128" i="30"/>
  <c r="K130" i="30" s="1"/>
  <c r="G128" i="30"/>
  <c r="D128" i="30"/>
  <c r="C128" i="30"/>
  <c r="B128" i="30"/>
  <c r="J127" i="30"/>
  <c r="K129" i="30" s="1"/>
  <c r="G127" i="30"/>
  <c r="D127" i="30"/>
  <c r="C127" i="30"/>
  <c r="B127" i="30"/>
  <c r="J126" i="30"/>
  <c r="K128" i="30" s="1"/>
  <c r="G126" i="30"/>
  <c r="D126" i="30"/>
  <c r="C126" i="30"/>
  <c r="B126" i="30"/>
  <c r="J125" i="30"/>
  <c r="K127" i="30" s="1"/>
  <c r="G125" i="30"/>
  <c r="D125" i="30"/>
  <c r="C125" i="30"/>
  <c r="B125" i="30"/>
  <c r="J124" i="30"/>
  <c r="K126" i="30" s="1"/>
  <c r="G124" i="30"/>
  <c r="D124" i="30"/>
  <c r="C124" i="30"/>
  <c r="B124" i="30"/>
  <c r="J123" i="30"/>
  <c r="K125" i="30" s="1"/>
  <c r="G123" i="30"/>
  <c r="D123" i="30"/>
  <c r="C123" i="30"/>
  <c r="B123" i="30"/>
  <c r="J122" i="30"/>
  <c r="K124" i="30" s="1"/>
  <c r="G122" i="30"/>
  <c r="D122" i="30"/>
  <c r="C122" i="30"/>
  <c r="B122" i="30"/>
  <c r="J121" i="30"/>
  <c r="K123" i="30" s="1"/>
  <c r="G121" i="30"/>
  <c r="D121" i="30"/>
  <c r="C121" i="30"/>
  <c r="B121" i="30"/>
  <c r="J120" i="30"/>
  <c r="K122" i="30" s="1"/>
  <c r="G120" i="30"/>
  <c r="D120" i="30"/>
  <c r="C120" i="30"/>
  <c r="B120" i="30"/>
  <c r="J119" i="30"/>
  <c r="K121" i="30" s="1"/>
  <c r="G119" i="30"/>
  <c r="D119" i="30"/>
  <c r="C119" i="30"/>
  <c r="B119" i="30"/>
  <c r="J118" i="30"/>
  <c r="K120" i="30" s="1"/>
  <c r="G118" i="30"/>
  <c r="D118" i="30"/>
  <c r="C118" i="30"/>
  <c r="B118" i="30"/>
  <c r="J117" i="30"/>
  <c r="K119" i="30" s="1"/>
  <c r="G117" i="30"/>
  <c r="D117" i="30"/>
  <c r="C117" i="30"/>
  <c r="B117" i="30"/>
  <c r="J116" i="30"/>
  <c r="K118" i="30" s="1"/>
  <c r="G116" i="30"/>
  <c r="D116" i="30"/>
  <c r="C116" i="30"/>
  <c r="B116" i="30"/>
  <c r="J115" i="30"/>
  <c r="K117" i="30" s="1"/>
  <c r="G115" i="30"/>
  <c r="D115" i="30"/>
  <c r="C115" i="30"/>
  <c r="B115" i="30"/>
  <c r="J114" i="30"/>
  <c r="K116" i="30" s="1"/>
  <c r="G114" i="30"/>
  <c r="D114" i="30"/>
  <c r="C114" i="30"/>
  <c r="B114" i="30"/>
  <c r="J113" i="30"/>
  <c r="K115" i="30" s="1"/>
  <c r="G113" i="30"/>
  <c r="D113" i="30"/>
  <c r="C113" i="30"/>
  <c r="B113" i="30"/>
  <c r="J112" i="30"/>
  <c r="K114" i="30" s="1"/>
  <c r="G112" i="30"/>
  <c r="D112" i="30"/>
  <c r="C112" i="30"/>
  <c r="B112" i="30"/>
  <c r="J111" i="30"/>
  <c r="K113" i="30" s="1"/>
  <c r="G111" i="30"/>
  <c r="D111" i="30"/>
  <c r="C111" i="30"/>
  <c r="B111" i="30"/>
  <c r="J110" i="30"/>
  <c r="K112" i="30" s="1"/>
  <c r="G110" i="30"/>
  <c r="D110" i="30"/>
  <c r="C110" i="30"/>
  <c r="B110" i="30"/>
  <c r="J109" i="30"/>
  <c r="K111" i="30" s="1"/>
  <c r="G109" i="30"/>
  <c r="D109" i="30"/>
  <c r="C109" i="30"/>
  <c r="B109" i="30"/>
  <c r="J108" i="30"/>
  <c r="K110" i="30" s="1"/>
  <c r="G108" i="30"/>
  <c r="D108" i="30"/>
  <c r="C108" i="30"/>
  <c r="B108" i="30"/>
  <c r="J107" i="30"/>
  <c r="K109" i="30" s="1"/>
  <c r="G107" i="30"/>
  <c r="D107" i="30"/>
  <c r="C107" i="30"/>
  <c r="B107" i="30"/>
  <c r="J106" i="30"/>
  <c r="K108" i="30" s="1"/>
  <c r="G106" i="30"/>
  <c r="D106" i="30"/>
  <c r="C106" i="30"/>
  <c r="B106" i="30"/>
  <c r="J105" i="30"/>
  <c r="K107" i="30" s="1"/>
  <c r="G105" i="30"/>
  <c r="D105" i="30"/>
  <c r="C105" i="30"/>
  <c r="B105" i="30"/>
  <c r="J104" i="30"/>
  <c r="K106" i="30" s="1"/>
  <c r="G104" i="30"/>
  <c r="D104" i="30"/>
  <c r="C104" i="30"/>
  <c r="B104" i="30"/>
  <c r="J103" i="30"/>
  <c r="K105" i="30" s="1"/>
  <c r="G103" i="30"/>
  <c r="D103" i="30"/>
  <c r="C103" i="30"/>
  <c r="B103" i="30"/>
  <c r="J102" i="30"/>
  <c r="K104" i="30" s="1"/>
  <c r="G102" i="30"/>
  <c r="D102" i="30"/>
  <c r="C102" i="30"/>
  <c r="B102" i="30"/>
  <c r="J101" i="30"/>
  <c r="K103" i="30" s="1"/>
  <c r="G101" i="30"/>
  <c r="D101" i="30"/>
  <c r="C101" i="30"/>
  <c r="B101" i="30"/>
  <c r="J100" i="30"/>
  <c r="K102" i="30" s="1"/>
  <c r="G100" i="30"/>
  <c r="D100" i="30"/>
  <c r="C100" i="30"/>
  <c r="B100" i="30"/>
  <c r="J99" i="30"/>
  <c r="K101" i="30" s="1"/>
  <c r="G99" i="30"/>
  <c r="D99" i="30"/>
  <c r="C99" i="30"/>
  <c r="B99" i="30"/>
  <c r="J98" i="30"/>
  <c r="K100" i="30" s="1"/>
  <c r="G98" i="30"/>
  <c r="D98" i="30"/>
  <c r="C98" i="30"/>
  <c r="B98" i="30"/>
  <c r="J97" i="30"/>
  <c r="K99" i="30" s="1"/>
  <c r="G97" i="30"/>
  <c r="D97" i="30"/>
  <c r="C97" i="30"/>
  <c r="B97" i="30"/>
  <c r="J96" i="30"/>
  <c r="K98" i="30" s="1"/>
  <c r="G96" i="30"/>
  <c r="D96" i="30"/>
  <c r="C96" i="30"/>
  <c r="B96" i="30"/>
  <c r="J95" i="30"/>
  <c r="K97" i="30" s="1"/>
  <c r="G95" i="30"/>
  <c r="D95" i="30"/>
  <c r="C95" i="30"/>
  <c r="B95" i="30"/>
  <c r="J94" i="30"/>
  <c r="K96" i="30" s="1"/>
  <c r="G94" i="30"/>
  <c r="D94" i="30"/>
  <c r="C94" i="30"/>
  <c r="B94" i="30"/>
  <c r="J93" i="30"/>
  <c r="K95" i="30" s="1"/>
  <c r="G93" i="30"/>
  <c r="D93" i="30"/>
  <c r="C93" i="30"/>
  <c r="B93" i="30"/>
  <c r="J92" i="30"/>
  <c r="K94" i="30" s="1"/>
  <c r="G92" i="30"/>
  <c r="D92" i="30"/>
  <c r="C92" i="30"/>
  <c r="B92" i="30"/>
  <c r="J91" i="30"/>
  <c r="K93" i="30" s="1"/>
  <c r="G91" i="30"/>
  <c r="D91" i="30"/>
  <c r="C91" i="30"/>
  <c r="B91" i="30"/>
  <c r="J90" i="30"/>
  <c r="K92" i="30" s="1"/>
  <c r="G90" i="30"/>
  <c r="D90" i="30"/>
  <c r="C90" i="30"/>
  <c r="B90" i="30"/>
  <c r="J89" i="30"/>
  <c r="K91" i="30" s="1"/>
  <c r="G89" i="30"/>
  <c r="D89" i="30"/>
  <c r="C89" i="30"/>
  <c r="B89" i="30"/>
  <c r="J88" i="30"/>
  <c r="K90" i="30" s="1"/>
  <c r="G88" i="30"/>
  <c r="D88" i="30"/>
  <c r="C88" i="30"/>
  <c r="B88" i="30"/>
  <c r="J87" i="30"/>
  <c r="K89" i="30" s="1"/>
  <c r="G87" i="30"/>
  <c r="D87" i="30"/>
  <c r="C87" i="30"/>
  <c r="B87" i="30"/>
  <c r="J86" i="30"/>
  <c r="K88" i="30" s="1"/>
  <c r="G86" i="30"/>
  <c r="D86" i="30"/>
  <c r="C86" i="30"/>
  <c r="B86" i="30"/>
  <c r="J85" i="30"/>
  <c r="K87" i="30" s="1"/>
  <c r="G85" i="30"/>
  <c r="D85" i="30"/>
  <c r="C85" i="30"/>
  <c r="B85" i="30"/>
  <c r="J84" i="30"/>
  <c r="K86" i="30" s="1"/>
  <c r="G84" i="30"/>
  <c r="D84" i="30"/>
  <c r="C84" i="30"/>
  <c r="B84" i="30"/>
  <c r="J83" i="30"/>
  <c r="K85" i="30" s="1"/>
  <c r="G83" i="30"/>
  <c r="D83" i="30"/>
  <c r="C83" i="30"/>
  <c r="B83" i="30"/>
  <c r="J82" i="30"/>
  <c r="K84" i="30" s="1"/>
  <c r="G82" i="30"/>
  <c r="D82" i="30"/>
  <c r="C82" i="30"/>
  <c r="B82" i="30"/>
  <c r="J81" i="30"/>
  <c r="K83" i="30" s="1"/>
  <c r="G81" i="30"/>
  <c r="D81" i="30"/>
  <c r="C81" i="30"/>
  <c r="B81" i="30"/>
  <c r="J80" i="30"/>
  <c r="K82" i="30" s="1"/>
  <c r="G80" i="30"/>
  <c r="D80" i="30"/>
  <c r="C80" i="30"/>
  <c r="B80" i="30"/>
  <c r="J79" i="30"/>
  <c r="K81" i="30" s="1"/>
  <c r="G79" i="30"/>
  <c r="D79" i="30"/>
  <c r="C79" i="30"/>
  <c r="B79" i="30"/>
  <c r="J78" i="30"/>
  <c r="K80" i="30" s="1"/>
  <c r="G78" i="30"/>
  <c r="D78" i="30"/>
  <c r="C78" i="30"/>
  <c r="B78" i="30"/>
  <c r="J77" i="30"/>
  <c r="K79" i="30" s="1"/>
  <c r="G77" i="30"/>
  <c r="D77" i="30"/>
  <c r="C77" i="30"/>
  <c r="B77" i="30"/>
  <c r="J76" i="30"/>
  <c r="K78" i="30" s="1"/>
  <c r="G76" i="30"/>
  <c r="D76" i="30"/>
  <c r="C76" i="30"/>
  <c r="B76" i="30"/>
  <c r="J75" i="30"/>
  <c r="K77" i="30" s="1"/>
  <c r="G75" i="30"/>
  <c r="D75" i="30"/>
  <c r="C75" i="30"/>
  <c r="B75" i="30"/>
  <c r="J74" i="30"/>
  <c r="K76" i="30" s="1"/>
  <c r="G74" i="30"/>
  <c r="D74" i="30"/>
  <c r="C74" i="30"/>
  <c r="B74" i="30"/>
  <c r="J73" i="30"/>
  <c r="K75" i="30" s="1"/>
  <c r="G73" i="30"/>
  <c r="D73" i="30"/>
  <c r="C73" i="30"/>
  <c r="B73" i="30"/>
  <c r="J72" i="30"/>
  <c r="K74" i="30" s="1"/>
  <c r="G72" i="30"/>
  <c r="D72" i="30"/>
  <c r="C72" i="30"/>
  <c r="B72" i="30"/>
  <c r="J71" i="30"/>
  <c r="K73" i="30" s="1"/>
  <c r="G71" i="30"/>
  <c r="D71" i="30"/>
  <c r="C71" i="30"/>
  <c r="B71" i="30"/>
  <c r="J70" i="30"/>
  <c r="K72" i="30" s="1"/>
  <c r="G70" i="30"/>
  <c r="D70" i="30"/>
  <c r="C70" i="30"/>
  <c r="B70" i="30"/>
  <c r="J69" i="30"/>
  <c r="K71" i="30" s="1"/>
  <c r="G69" i="30"/>
  <c r="D69" i="30"/>
  <c r="C69" i="30"/>
  <c r="B69" i="30"/>
  <c r="J68" i="30"/>
  <c r="K70" i="30" s="1"/>
  <c r="G68" i="30"/>
  <c r="D68" i="30"/>
  <c r="C68" i="30"/>
  <c r="B68" i="30"/>
  <c r="J67" i="30"/>
  <c r="K69" i="30" s="1"/>
  <c r="G67" i="30"/>
  <c r="D67" i="30"/>
  <c r="C67" i="30"/>
  <c r="B67" i="30"/>
  <c r="J66" i="30"/>
  <c r="K68" i="30" s="1"/>
  <c r="G66" i="30"/>
  <c r="D66" i="30"/>
  <c r="C66" i="30"/>
  <c r="B66" i="30"/>
  <c r="J65" i="30"/>
  <c r="K67" i="30" s="1"/>
  <c r="G65" i="30"/>
  <c r="D65" i="30"/>
  <c r="C65" i="30"/>
  <c r="B65" i="30"/>
  <c r="J64" i="30"/>
  <c r="K66" i="30" s="1"/>
  <c r="G64" i="30"/>
  <c r="D64" i="30"/>
  <c r="C64" i="30"/>
  <c r="B64" i="30"/>
  <c r="J63" i="30"/>
  <c r="K65" i="30" s="1"/>
  <c r="G63" i="30"/>
  <c r="D63" i="30"/>
  <c r="C63" i="30"/>
  <c r="B63" i="30"/>
  <c r="J62" i="30"/>
  <c r="K64" i="30" s="1"/>
  <c r="G62" i="30"/>
  <c r="D62" i="30"/>
  <c r="C62" i="30"/>
  <c r="B62" i="30"/>
  <c r="J61" i="30"/>
  <c r="K63" i="30" s="1"/>
  <c r="G61" i="30"/>
  <c r="D61" i="30"/>
  <c r="C61" i="30"/>
  <c r="B61" i="30"/>
  <c r="J60" i="30"/>
  <c r="K62" i="30" s="1"/>
  <c r="G60" i="30"/>
  <c r="D60" i="30"/>
  <c r="C60" i="30"/>
  <c r="B60" i="30"/>
  <c r="J59" i="30"/>
  <c r="K61" i="30" s="1"/>
  <c r="G59" i="30"/>
  <c r="D59" i="30"/>
  <c r="C59" i="30"/>
  <c r="B59" i="30"/>
  <c r="J58" i="30"/>
  <c r="K60" i="30" s="1"/>
  <c r="G58" i="30"/>
  <c r="D58" i="30"/>
  <c r="C58" i="30"/>
  <c r="B58" i="30"/>
  <c r="J57" i="30"/>
  <c r="K59" i="30" s="1"/>
  <c r="G57" i="30"/>
  <c r="D57" i="30"/>
  <c r="C57" i="30"/>
  <c r="B57" i="30"/>
  <c r="J56" i="30"/>
  <c r="K58" i="30" s="1"/>
  <c r="G56" i="30"/>
  <c r="D56" i="30"/>
  <c r="C56" i="30"/>
  <c r="B56" i="30"/>
  <c r="J55" i="30"/>
  <c r="K57" i="30" s="1"/>
  <c r="G55" i="30"/>
  <c r="D55" i="30"/>
  <c r="C55" i="30"/>
  <c r="B55" i="30"/>
  <c r="J54" i="30"/>
  <c r="K56" i="30" s="1"/>
  <c r="G54" i="30"/>
  <c r="D54" i="30"/>
  <c r="C54" i="30"/>
  <c r="B54" i="30"/>
  <c r="J53" i="30"/>
  <c r="K55" i="30" s="1"/>
  <c r="G53" i="30"/>
  <c r="D53" i="30"/>
  <c r="C53" i="30"/>
  <c r="B53" i="30"/>
  <c r="J52" i="30"/>
  <c r="K54" i="30" s="1"/>
  <c r="G52" i="30"/>
  <c r="D52" i="30"/>
  <c r="C52" i="30"/>
  <c r="B52" i="30"/>
  <c r="J51" i="30"/>
  <c r="K53" i="30" s="1"/>
  <c r="G51" i="30"/>
  <c r="D51" i="30"/>
  <c r="C51" i="30"/>
  <c r="B51" i="30"/>
  <c r="J50" i="30"/>
  <c r="K52" i="30" s="1"/>
  <c r="G50" i="30"/>
  <c r="D50" i="30"/>
  <c r="C50" i="30"/>
  <c r="B50" i="30"/>
  <c r="J49" i="30"/>
  <c r="K51" i="30" s="1"/>
  <c r="G49" i="30"/>
  <c r="D49" i="30"/>
  <c r="C49" i="30"/>
  <c r="B49" i="30"/>
  <c r="J48" i="30"/>
  <c r="K50" i="30" s="1"/>
  <c r="G48" i="30"/>
  <c r="D48" i="30"/>
  <c r="C48" i="30"/>
  <c r="B48" i="30"/>
  <c r="J47" i="30"/>
  <c r="K49" i="30" s="1"/>
  <c r="G47" i="30"/>
  <c r="D47" i="30"/>
  <c r="C47" i="30"/>
  <c r="B47" i="30"/>
  <c r="J46" i="30"/>
  <c r="K48" i="30" s="1"/>
  <c r="G46" i="30"/>
  <c r="D46" i="30"/>
  <c r="C46" i="30"/>
  <c r="B46" i="30"/>
  <c r="J45" i="30"/>
  <c r="K47" i="30" s="1"/>
  <c r="G45" i="30"/>
  <c r="D45" i="30"/>
  <c r="C45" i="30"/>
  <c r="B45" i="30"/>
  <c r="J44" i="30"/>
  <c r="K46" i="30" s="1"/>
  <c r="G44" i="30"/>
  <c r="D44" i="30"/>
  <c r="C44" i="30"/>
  <c r="B44" i="30"/>
  <c r="J43" i="30"/>
  <c r="K45" i="30" s="1"/>
  <c r="G43" i="30"/>
  <c r="D43" i="30"/>
  <c r="C43" i="30"/>
  <c r="B43" i="30"/>
  <c r="J42" i="30"/>
  <c r="K44" i="30" s="1"/>
  <c r="G42" i="30"/>
  <c r="D42" i="30"/>
  <c r="C42" i="30"/>
  <c r="B42" i="30"/>
  <c r="J41" i="30"/>
  <c r="K43" i="30" s="1"/>
  <c r="G41" i="30"/>
  <c r="D41" i="30"/>
  <c r="C41" i="30"/>
  <c r="B41" i="30"/>
  <c r="J40" i="30"/>
  <c r="K42" i="30" s="1"/>
  <c r="G40" i="30"/>
  <c r="D40" i="30"/>
  <c r="C40" i="30"/>
  <c r="B40" i="30"/>
  <c r="J39" i="30"/>
  <c r="K41" i="30" s="1"/>
  <c r="G39" i="30"/>
  <c r="D39" i="30"/>
  <c r="C39" i="30"/>
  <c r="B39" i="30"/>
  <c r="J38" i="30"/>
  <c r="K40" i="30" s="1"/>
  <c r="G38" i="30"/>
  <c r="D38" i="30"/>
  <c r="C38" i="30"/>
  <c r="B38" i="30"/>
  <c r="J37" i="30"/>
  <c r="K39" i="30" s="1"/>
  <c r="G37" i="30"/>
  <c r="D37" i="30"/>
  <c r="C37" i="30"/>
  <c r="B37" i="30"/>
  <c r="J36" i="30"/>
  <c r="K38" i="30" s="1"/>
  <c r="G36" i="30"/>
  <c r="D36" i="30"/>
  <c r="C36" i="30"/>
  <c r="B36" i="30"/>
  <c r="J35" i="30"/>
  <c r="K37" i="30" s="1"/>
  <c r="G35" i="30"/>
  <c r="D35" i="30"/>
  <c r="C35" i="30"/>
  <c r="B35" i="30"/>
  <c r="J34" i="30"/>
  <c r="K36" i="30" s="1"/>
  <c r="G34" i="30"/>
  <c r="D34" i="30"/>
  <c r="C34" i="30"/>
  <c r="B34" i="30"/>
  <c r="J33" i="30"/>
  <c r="K35" i="30" s="1"/>
  <c r="G33" i="30"/>
  <c r="D33" i="30"/>
  <c r="C33" i="30"/>
  <c r="B33" i="30"/>
  <c r="J32" i="30"/>
  <c r="K34" i="30" s="1"/>
  <c r="G32" i="30"/>
  <c r="D32" i="30"/>
  <c r="C32" i="30"/>
  <c r="B32" i="30"/>
  <c r="J31" i="30"/>
  <c r="K33" i="30" s="1"/>
  <c r="G31" i="30"/>
  <c r="D31" i="30"/>
  <c r="C31" i="30"/>
  <c r="B31" i="30"/>
  <c r="J30" i="30"/>
  <c r="K32" i="30" s="1"/>
  <c r="G30" i="30"/>
  <c r="D30" i="30"/>
  <c r="C30" i="30"/>
  <c r="B30" i="30"/>
  <c r="J29" i="30"/>
  <c r="K31" i="30" s="1"/>
  <c r="G29" i="30"/>
  <c r="D29" i="30"/>
  <c r="C29" i="30"/>
  <c r="B29" i="30"/>
  <c r="J28" i="30"/>
  <c r="K30" i="30" s="1"/>
  <c r="G28" i="30"/>
  <c r="D28" i="30"/>
  <c r="C28" i="30"/>
  <c r="B28" i="30"/>
  <c r="J27" i="30"/>
  <c r="K29" i="30" s="1"/>
  <c r="G27" i="30"/>
  <c r="D27" i="30"/>
  <c r="C27" i="30"/>
  <c r="B27" i="30"/>
  <c r="J26" i="30"/>
  <c r="K28" i="30" s="1"/>
  <c r="G26" i="30"/>
  <c r="D26" i="30"/>
  <c r="C26" i="30"/>
  <c r="B26" i="30"/>
  <c r="J25" i="30"/>
  <c r="K27" i="30" s="1"/>
  <c r="G25" i="30"/>
  <c r="D25" i="30"/>
  <c r="C25" i="30"/>
  <c r="B25" i="30"/>
  <c r="J24" i="30"/>
  <c r="K26" i="30" s="1"/>
  <c r="G24" i="30"/>
  <c r="D24" i="30"/>
  <c r="C24" i="30"/>
  <c r="B24" i="30"/>
  <c r="J23" i="30"/>
  <c r="K25" i="30" s="1"/>
  <c r="G23" i="30"/>
  <c r="D23" i="30"/>
  <c r="C23" i="30"/>
  <c r="B23" i="30"/>
  <c r="J22" i="30"/>
  <c r="K24" i="30" s="1"/>
  <c r="G22" i="30"/>
  <c r="D22" i="30"/>
  <c r="C22" i="30"/>
  <c r="B22" i="30"/>
  <c r="J21" i="30"/>
  <c r="K23" i="30" s="1"/>
  <c r="G21" i="30"/>
  <c r="D21" i="30"/>
  <c r="C21" i="30"/>
  <c r="B21" i="30"/>
  <c r="J20" i="30"/>
  <c r="K22" i="30" s="1"/>
  <c r="G20" i="30"/>
  <c r="D20" i="30"/>
  <c r="C20" i="30"/>
  <c r="B20" i="30"/>
  <c r="J19" i="30"/>
  <c r="K21" i="30" s="1"/>
  <c r="G19" i="30"/>
  <c r="D19" i="30"/>
  <c r="C19" i="30"/>
  <c r="B19" i="30"/>
  <c r="J18" i="30"/>
  <c r="K20" i="30" s="1"/>
  <c r="G18" i="30"/>
  <c r="D18" i="30"/>
  <c r="C18" i="30"/>
  <c r="B18" i="30"/>
  <c r="J17" i="30"/>
  <c r="K19" i="30" s="1"/>
  <c r="G17" i="30"/>
  <c r="D17" i="30"/>
  <c r="C17" i="30"/>
  <c r="B17" i="30"/>
  <c r="J16" i="30"/>
  <c r="K18" i="30" s="1"/>
  <c r="G16" i="30"/>
  <c r="D16" i="30"/>
  <c r="C16" i="30"/>
  <c r="B16" i="30"/>
  <c r="J15" i="30"/>
  <c r="K17" i="30" s="1"/>
  <c r="G15" i="30"/>
  <c r="D15" i="30"/>
  <c r="C15" i="30"/>
  <c r="B15" i="30"/>
  <c r="J14" i="30"/>
  <c r="K16" i="30" s="1"/>
  <c r="G14" i="30"/>
  <c r="D14" i="30"/>
  <c r="C14" i="30"/>
  <c r="B14" i="30"/>
  <c r="K13" i="30"/>
  <c r="J13" i="30"/>
  <c r="K15" i="30" s="1"/>
  <c r="G13" i="30"/>
  <c r="D13" i="30"/>
  <c r="C13" i="30"/>
  <c r="B13" i="30"/>
  <c r="K12" i="30"/>
  <c r="J12" i="30"/>
  <c r="K14" i="30" s="1"/>
  <c r="G12" i="30"/>
  <c r="D12" i="30"/>
  <c r="K11" i="30"/>
  <c r="J11" i="30"/>
  <c r="G11" i="30"/>
  <c r="D11" i="30"/>
  <c r="C11" i="30"/>
  <c r="B11" i="30"/>
  <c r="J4" i="30"/>
  <c r="J210" i="29"/>
  <c r="I210" i="29"/>
  <c r="F210" i="29"/>
  <c r="D210" i="29"/>
  <c r="C210" i="29"/>
  <c r="B210" i="29"/>
  <c r="I209" i="29"/>
  <c r="F209" i="29"/>
  <c r="D209" i="29"/>
  <c r="C209" i="29"/>
  <c r="B209" i="29"/>
  <c r="I208" i="29"/>
  <c r="F208" i="29"/>
  <c r="D208" i="29"/>
  <c r="C208" i="29"/>
  <c r="B208" i="29"/>
  <c r="I207" i="29"/>
  <c r="J209" i="29" s="1"/>
  <c r="F207" i="29"/>
  <c r="D207" i="29"/>
  <c r="C207" i="29"/>
  <c r="B207" i="29"/>
  <c r="I206" i="29"/>
  <c r="J208" i="29" s="1"/>
  <c r="F206" i="29"/>
  <c r="D206" i="29"/>
  <c r="C206" i="29"/>
  <c r="B206" i="29"/>
  <c r="I205" i="29"/>
  <c r="J207" i="29" s="1"/>
  <c r="F205" i="29"/>
  <c r="D205" i="29"/>
  <c r="C205" i="29"/>
  <c r="B205" i="29"/>
  <c r="I204" i="29"/>
  <c r="J206" i="29" s="1"/>
  <c r="F204" i="29"/>
  <c r="D204" i="29"/>
  <c r="C204" i="29"/>
  <c r="B204" i="29"/>
  <c r="I203" i="29"/>
  <c r="J205" i="29" s="1"/>
  <c r="F203" i="29"/>
  <c r="D203" i="29"/>
  <c r="C203" i="29"/>
  <c r="B203" i="29"/>
  <c r="J202" i="29"/>
  <c r="I202" i="29"/>
  <c r="J204" i="29" s="1"/>
  <c r="F202" i="29"/>
  <c r="D202" i="29"/>
  <c r="C202" i="29"/>
  <c r="B202" i="29"/>
  <c r="I201" i="29"/>
  <c r="J203" i="29" s="1"/>
  <c r="F201" i="29"/>
  <c r="D201" i="29"/>
  <c r="C201" i="29"/>
  <c r="B201" i="29"/>
  <c r="I200" i="29"/>
  <c r="F200" i="29"/>
  <c r="D200" i="29"/>
  <c r="C200" i="29"/>
  <c r="B200" i="29"/>
  <c r="I199" i="29"/>
  <c r="J201" i="29" s="1"/>
  <c r="F199" i="29"/>
  <c r="D199" i="29"/>
  <c r="C199" i="29"/>
  <c r="B199" i="29"/>
  <c r="J198" i="29"/>
  <c r="I198" i="29"/>
  <c r="J200" i="29" s="1"/>
  <c r="F198" i="29"/>
  <c r="D198" i="29"/>
  <c r="C198" i="29"/>
  <c r="B198" i="29"/>
  <c r="I197" i="29"/>
  <c r="J199" i="29" s="1"/>
  <c r="F197" i="29"/>
  <c r="D197" i="29"/>
  <c r="C197" i="29"/>
  <c r="B197" i="29"/>
  <c r="I196" i="29"/>
  <c r="F196" i="29"/>
  <c r="D196" i="29"/>
  <c r="C196" i="29"/>
  <c r="B196" i="29"/>
  <c r="I195" i="29"/>
  <c r="J197" i="29" s="1"/>
  <c r="F195" i="29"/>
  <c r="D195" i="29"/>
  <c r="C195" i="29"/>
  <c r="B195" i="29"/>
  <c r="I194" i="29"/>
  <c r="J196" i="29" s="1"/>
  <c r="F194" i="29"/>
  <c r="D194" i="29"/>
  <c r="C194" i="29"/>
  <c r="B194" i="29"/>
  <c r="I193" i="29"/>
  <c r="J195" i="29" s="1"/>
  <c r="F193" i="29"/>
  <c r="D193" i="29"/>
  <c r="C193" i="29"/>
  <c r="B193" i="29"/>
  <c r="I192" i="29"/>
  <c r="J194" i="29" s="1"/>
  <c r="F192" i="29"/>
  <c r="D192" i="29"/>
  <c r="C192" i="29"/>
  <c r="B192" i="29"/>
  <c r="I191" i="29"/>
  <c r="J193" i="29" s="1"/>
  <c r="F191" i="29"/>
  <c r="D191" i="29"/>
  <c r="C191" i="29"/>
  <c r="B191" i="29"/>
  <c r="I190" i="29"/>
  <c r="J192" i="29" s="1"/>
  <c r="F190" i="29"/>
  <c r="D190" i="29"/>
  <c r="C190" i="29"/>
  <c r="B190" i="29"/>
  <c r="I189" i="29"/>
  <c r="J191" i="29" s="1"/>
  <c r="F189" i="29"/>
  <c r="D189" i="29"/>
  <c r="C189" i="29"/>
  <c r="B189" i="29"/>
  <c r="I188" i="29"/>
  <c r="J190" i="29" s="1"/>
  <c r="F188" i="29"/>
  <c r="D188" i="29"/>
  <c r="C188" i="29"/>
  <c r="B188" i="29"/>
  <c r="I187" i="29"/>
  <c r="J189" i="29" s="1"/>
  <c r="F187" i="29"/>
  <c r="D187" i="29"/>
  <c r="C187" i="29"/>
  <c r="B187" i="29"/>
  <c r="J186" i="29"/>
  <c r="I186" i="29"/>
  <c r="J188" i="29" s="1"/>
  <c r="F186" i="29"/>
  <c r="D186" i="29"/>
  <c r="C186" i="29"/>
  <c r="B186" i="29"/>
  <c r="I185" i="29"/>
  <c r="J187" i="29" s="1"/>
  <c r="F185" i="29"/>
  <c r="D185" i="29"/>
  <c r="C185" i="29"/>
  <c r="B185" i="29"/>
  <c r="I184" i="29"/>
  <c r="F184" i="29"/>
  <c r="D184" i="29"/>
  <c r="C184" i="29"/>
  <c r="B184" i="29"/>
  <c r="I183" i="29"/>
  <c r="J185" i="29" s="1"/>
  <c r="F183" i="29"/>
  <c r="D183" i="29"/>
  <c r="C183" i="29"/>
  <c r="B183" i="29"/>
  <c r="I182" i="29"/>
  <c r="J184" i="29" s="1"/>
  <c r="F182" i="29"/>
  <c r="D182" i="29"/>
  <c r="C182" i="29"/>
  <c r="B182" i="29"/>
  <c r="I181" i="29"/>
  <c r="J183" i="29" s="1"/>
  <c r="F181" i="29"/>
  <c r="D181" i="29"/>
  <c r="C181" i="29"/>
  <c r="B181" i="29"/>
  <c r="I180" i="29"/>
  <c r="J182" i="29" s="1"/>
  <c r="F180" i="29"/>
  <c r="D180" i="29"/>
  <c r="C180" i="29"/>
  <c r="B180" i="29"/>
  <c r="I179" i="29"/>
  <c r="J181" i="29" s="1"/>
  <c r="F179" i="29"/>
  <c r="D179" i="29"/>
  <c r="C179" i="29"/>
  <c r="B179" i="29"/>
  <c r="J178" i="29"/>
  <c r="I178" i="29"/>
  <c r="J180" i="29" s="1"/>
  <c r="F178" i="29"/>
  <c r="D178" i="29"/>
  <c r="C178" i="29"/>
  <c r="B178" i="29"/>
  <c r="I177" i="29"/>
  <c r="J179" i="29" s="1"/>
  <c r="F177" i="29"/>
  <c r="D177" i="29"/>
  <c r="C177" i="29"/>
  <c r="B177" i="29"/>
  <c r="I176" i="29"/>
  <c r="F176" i="29"/>
  <c r="D176" i="29"/>
  <c r="C176" i="29"/>
  <c r="B176" i="29"/>
  <c r="I175" i="29"/>
  <c r="J177" i="29" s="1"/>
  <c r="F175" i="29"/>
  <c r="D175" i="29"/>
  <c r="C175" i="29"/>
  <c r="B175" i="29"/>
  <c r="I174" i="29"/>
  <c r="J176" i="29" s="1"/>
  <c r="F174" i="29"/>
  <c r="D174" i="29"/>
  <c r="C174" i="29"/>
  <c r="B174" i="29"/>
  <c r="I173" i="29"/>
  <c r="J175" i="29" s="1"/>
  <c r="F173" i="29"/>
  <c r="D173" i="29"/>
  <c r="C173" i="29"/>
  <c r="B173" i="29"/>
  <c r="I172" i="29"/>
  <c r="J174" i="29" s="1"/>
  <c r="F172" i="29"/>
  <c r="D172" i="29"/>
  <c r="C172" i="29"/>
  <c r="B172" i="29"/>
  <c r="I171" i="29"/>
  <c r="J173" i="29" s="1"/>
  <c r="F171" i="29"/>
  <c r="D171" i="29"/>
  <c r="C171" i="29"/>
  <c r="B171" i="29"/>
  <c r="J170" i="29"/>
  <c r="I170" i="29"/>
  <c r="J172" i="29" s="1"/>
  <c r="F170" i="29"/>
  <c r="D170" i="29"/>
  <c r="C170" i="29"/>
  <c r="B170" i="29"/>
  <c r="I169" i="29"/>
  <c r="J171" i="29" s="1"/>
  <c r="F169" i="29"/>
  <c r="D169" i="29"/>
  <c r="C169" i="29"/>
  <c r="B169" i="29"/>
  <c r="I168" i="29"/>
  <c r="F168" i="29"/>
  <c r="D168" i="29"/>
  <c r="C168" i="29"/>
  <c r="B168" i="29"/>
  <c r="J167" i="29"/>
  <c r="I167" i="29"/>
  <c r="J169" i="29" s="1"/>
  <c r="F167" i="29"/>
  <c r="D167" i="29"/>
  <c r="C167" i="29"/>
  <c r="B167" i="29"/>
  <c r="J166" i="29"/>
  <c r="I166" i="29"/>
  <c r="J168" i="29" s="1"/>
  <c r="F166" i="29"/>
  <c r="D166" i="29"/>
  <c r="C166" i="29"/>
  <c r="B166" i="29"/>
  <c r="I165" i="29"/>
  <c r="F165" i="29"/>
  <c r="D165" i="29"/>
  <c r="C165" i="29"/>
  <c r="B165" i="29"/>
  <c r="I164" i="29"/>
  <c r="F164" i="29"/>
  <c r="D164" i="29"/>
  <c r="C164" i="29"/>
  <c r="B164" i="29"/>
  <c r="J163" i="29"/>
  <c r="I163" i="29"/>
  <c r="J165" i="29" s="1"/>
  <c r="F163" i="29"/>
  <c r="D163" i="29"/>
  <c r="C163" i="29"/>
  <c r="B163" i="29"/>
  <c r="J162" i="29"/>
  <c r="I162" i="29"/>
  <c r="J164" i="29" s="1"/>
  <c r="F162" i="29"/>
  <c r="D162" i="29"/>
  <c r="C162" i="29"/>
  <c r="B162" i="29"/>
  <c r="I161" i="29"/>
  <c r="F161" i="29"/>
  <c r="D161" i="29"/>
  <c r="C161" i="29"/>
  <c r="B161" i="29"/>
  <c r="I160" i="29"/>
  <c r="F160" i="29"/>
  <c r="D160" i="29"/>
  <c r="C160" i="29"/>
  <c r="B160" i="29"/>
  <c r="I159" i="29"/>
  <c r="J161" i="29" s="1"/>
  <c r="F159" i="29"/>
  <c r="D159" i="29"/>
  <c r="C159" i="29"/>
  <c r="B159" i="29"/>
  <c r="I158" i="29"/>
  <c r="J160" i="29" s="1"/>
  <c r="F158" i="29"/>
  <c r="D158" i="29"/>
  <c r="C158" i="29"/>
  <c r="B158" i="29"/>
  <c r="I157" i="29"/>
  <c r="J159" i="29" s="1"/>
  <c r="F157" i="29"/>
  <c r="D157" i="29"/>
  <c r="C157" i="29"/>
  <c r="B157" i="29"/>
  <c r="I156" i="29"/>
  <c r="J158" i="29" s="1"/>
  <c r="F156" i="29"/>
  <c r="D156" i="29"/>
  <c r="C156" i="29"/>
  <c r="B156" i="29"/>
  <c r="I155" i="29"/>
  <c r="J157" i="29" s="1"/>
  <c r="F155" i="29"/>
  <c r="D155" i="29"/>
  <c r="C155" i="29"/>
  <c r="B155" i="29"/>
  <c r="J154" i="29"/>
  <c r="I154" i="29"/>
  <c r="J156" i="29" s="1"/>
  <c r="F154" i="29"/>
  <c r="D154" i="29"/>
  <c r="C154" i="29"/>
  <c r="B154" i="29"/>
  <c r="I153" i="29"/>
  <c r="J155" i="29" s="1"/>
  <c r="F153" i="29"/>
  <c r="D153" i="29"/>
  <c r="C153" i="29"/>
  <c r="B153" i="29"/>
  <c r="I152" i="29"/>
  <c r="F152" i="29"/>
  <c r="D152" i="29"/>
  <c r="C152" i="29"/>
  <c r="B152" i="29"/>
  <c r="J151" i="29"/>
  <c r="I151" i="29"/>
  <c r="J153" i="29" s="1"/>
  <c r="F151" i="29"/>
  <c r="D151" i="29"/>
  <c r="C151" i="29"/>
  <c r="B151" i="29"/>
  <c r="J150" i="29"/>
  <c r="I150" i="29"/>
  <c r="J152" i="29" s="1"/>
  <c r="F150" i="29"/>
  <c r="D150" i="29"/>
  <c r="C150" i="29"/>
  <c r="B150" i="29"/>
  <c r="I149" i="29"/>
  <c r="F149" i="29"/>
  <c r="D149" i="29"/>
  <c r="C149" i="29"/>
  <c r="B149" i="29"/>
  <c r="I148" i="29"/>
  <c r="F148" i="29"/>
  <c r="D148" i="29"/>
  <c r="C148" i="29"/>
  <c r="B148" i="29"/>
  <c r="J147" i="29"/>
  <c r="I147" i="29"/>
  <c r="J149" i="29" s="1"/>
  <c r="F147" i="29"/>
  <c r="D147" i="29"/>
  <c r="C147" i="29"/>
  <c r="B147" i="29"/>
  <c r="J146" i="29"/>
  <c r="I146" i="29"/>
  <c r="J148" i="29" s="1"/>
  <c r="F146" i="29"/>
  <c r="D146" i="29"/>
  <c r="C146" i="29"/>
  <c r="B146" i="29"/>
  <c r="I145" i="29"/>
  <c r="F145" i="29"/>
  <c r="D145" i="29"/>
  <c r="C145" i="29"/>
  <c r="B145" i="29"/>
  <c r="I144" i="29"/>
  <c r="F144" i="29"/>
  <c r="D144" i="29"/>
  <c r="C144" i="29"/>
  <c r="B144" i="29"/>
  <c r="I143" i="29"/>
  <c r="J145" i="29" s="1"/>
  <c r="F143" i="29"/>
  <c r="D143" i="29"/>
  <c r="C143" i="29"/>
  <c r="B143" i="29"/>
  <c r="I142" i="29"/>
  <c r="J144" i="29" s="1"/>
  <c r="F142" i="29"/>
  <c r="D142" i="29"/>
  <c r="C142" i="29"/>
  <c r="B142" i="29"/>
  <c r="I141" i="29"/>
  <c r="J143" i="29" s="1"/>
  <c r="F141" i="29"/>
  <c r="D141" i="29"/>
  <c r="C141" i="29"/>
  <c r="B141" i="29"/>
  <c r="I140" i="29"/>
  <c r="J142" i="29" s="1"/>
  <c r="F140" i="29"/>
  <c r="D140" i="29"/>
  <c r="C140" i="29"/>
  <c r="B140" i="29"/>
  <c r="I139" i="29"/>
  <c r="J141" i="29" s="1"/>
  <c r="F139" i="29"/>
  <c r="D139" i="29"/>
  <c r="C139" i="29"/>
  <c r="B139" i="29"/>
  <c r="J138" i="29"/>
  <c r="I138" i="29"/>
  <c r="J140" i="29" s="1"/>
  <c r="F138" i="29"/>
  <c r="D138" i="29"/>
  <c r="C138" i="29"/>
  <c r="B138" i="29"/>
  <c r="I137" i="29"/>
  <c r="J139" i="29" s="1"/>
  <c r="F137" i="29"/>
  <c r="D137" i="29"/>
  <c r="C137" i="29"/>
  <c r="B137" i="29"/>
  <c r="I136" i="29"/>
  <c r="F136" i="29"/>
  <c r="D136" i="29"/>
  <c r="C136" i="29"/>
  <c r="B136" i="29"/>
  <c r="J135" i="29"/>
  <c r="I135" i="29"/>
  <c r="J137" i="29" s="1"/>
  <c r="F135" i="29"/>
  <c r="D135" i="29"/>
  <c r="C135" i="29"/>
  <c r="B135" i="29"/>
  <c r="J134" i="29"/>
  <c r="I134" i="29"/>
  <c r="J136" i="29" s="1"/>
  <c r="F134" i="29"/>
  <c r="D134" i="29"/>
  <c r="C134" i="29"/>
  <c r="B134" i="29"/>
  <c r="I133" i="29"/>
  <c r="F133" i="29"/>
  <c r="D133" i="29"/>
  <c r="C133" i="29"/>
  <c r="B133" i="29"/>
  <c r="I132" i="29"/>
  <c r="F132" i="29"/>
  <c r="D132" i="29"/>
  <c r="C132" i="29"/>
  <c r="B132" i="29"/>
  <c r="J131" i="29"/>
  <c r="I131" i="29"/>
  <c r="J133" i="29" s="1"/>
  <c r="F131" i="29"/>
  <c r="D131" i="29"/>
  <c r="C131" i="29"/>
  <c r="B131" i="29"/>
  <c r="J130" i="29"/>
  <c r="I130" i="29"/>
  <c r="J132" i="29" s="1"/>
  <c r="F130" i="29"/>
  <c r="D130" i="29"/>
  <c r="C130" i="29"/>
  <c r="B130" i="29"/>
  <c r="I129" i="29"/>
  <c r="F129" i="29"/>
  <c r="D129" i="29"/>
  <c r="C129" i="29"/>
  <c r="B129" i="29"/>
  <c r="I128" i="29"/>
  <c r="F128" i="29"/>
  <c r="D128" i="29"/>
  <c r="C128" i="29"/>
  <c r="B128" i="29"/>
  <c r="I127" i="29"/>
  <c r="J129" i="29" s="1"/>
  <c r="F127" i="29"/>
  <c r="D127" i="29"/>
  <c r="C127" i="29"/>
  <c r="B127" i="29"/>
  <c r="I126" i="29"/>
  <c r="J128" i="29" s="1"/>
  <c r="F126" i="29"/>
  <c r="D126" i="29"/>
  <c r="C126" i="29"/>
  <c r="B126" i="29"/>
  <c r="I125" i="29"/>
  <c r="J127" i="29" s="1"/>
  <c r="F125" i="29"/>
  <c r="D125" i="29"/>
  <c r="C125" i="29"/>
  <c r="B125" i="29"/>
  <c r="I124" i="29"/>
  <c r="J126" i="29" s="1"/>
  <c r="F124" i="29"/>
  <c r="D124" i="29"/>
  <c r="C124" i="29"/>
  <c r="B124" i="29"/>
  <c r="I123" i="29"/>
  <c r="J125" i="29" s="1"/>
  <c r="F123" i="29"/>
  <c r="D123" i="29"/>
  <c r="C123" i="29"/>
  <c r="B123" i="29"/>
  <c r="J122" i="29"/>
  <c r="I122" i="29"/>
  <c r="J124" i="29" s="1"/>
  <c r="F122" i="29"/>
  <c r="D122" i="29"/>
  <c r="C122" i="29"/>
  <c r="B122" i="29"/>
  <c r="I121" i="29"/>
  <c r="J123" i="29" s="1"/>
  <c r="F121" i="29"/>
  <c r="D121" i="29"/>
  <c r="C121" i="29"/>
  <c r="B121" i="29"/>
  <c r="I120" i="29"/>
  <c r="F120" i="29"/>
  <c r="D120" i="29"/>
  <c r="C120" i="29"/>
  <c r="B120" i="29"/>
  <c r="J119" i="29"/>
  <c r="I119" i="29"/>
  <c r="J121" i="29" s="1"/>
  <c r="F119" i="29"/>
  <c r="D119" i="29"/>
  <c r="C119" i="29"/>
  <c r="B119" i="29"/>
  <c r="J118" i="29"/>
  <c r="I118" i="29"/>
  <c r="J120" i="29" s="1"/>
  <c r="F118" i="29"/>
  <c r="D118" i="29"/>
  <c r="C118" i="29"/>
  <c r="B118" i="29"/>
  <c r="I117" i="29"/>
  <c r="F117" i="29"/>
  <c r="D117" i="29"/>
  <c r="C117" i="29"/>
  <c r="B117" i="29"/>
  <c r="I116" i="29"/>
  <c r="F116" i="29"/>
  <c r="D116" i="29"/>
  <c r="C116" i="29"/>
  <c r="B116" i="29"/>
  <c r="J115" i="29"/>
  <c r="I115" i="29"/>
  <c r="J117" i="29" s="1"/>
  <c r="F115" i="29"/>
  <c r="D115" i="29"/>
  <c r="C115" i="29"/>
  <c r="B115" i="29"/>
  <c r="J114" i="29"/>
  <c r="I114" i="29"/>
  <c r="J116" i="29" s="1"/>
  <c r="F114" i="29"/>
  <c r="D114" i="29"/>
  <c r="C114" i="29"/>
  <c r="B114" i="29"/>
  <c r="I113" i="29"/>
  <c r="F113" i="29"/>
  <c r="D113" i="29"/>
  <c r="C113" i="29"/>
  <c r="B113" i="29"/>
  <c r="I112" i="29"/>
  <c r="F112" i="29"/>
  <c r="D112" i="29"/>
  <c r="C112" i="29"/>
  <c r="B112" i="29"/>
  <c r="I111" i="29"/>
  <c r="J113" i="29" s="1"/>
  <c r="F111" i="29"/>
  <c r="D111" i="29"/>
  <c r="C111" i="29"/>
  <c r="B111" i="29"/>
  <c r="I110" i="29"/>
  <c r="J112" i="29" s="1"/>
  <c r="F110" i="29"/>
  <c r="D110" i="29"/>
  <c r="C110" i="29"/>
  <c r="B110" i="29"/>
  <c r="I109" i="29"/>
  <c r="J111" i="29" s="1"/>
  <c r="F109" i="29"/>
  <c r="D109" i="29"/>
  <c r="C109" i="29"/>
  <c r="B109" i="29"/>
  <c r="I108" i="29"/>
  <c r="J110" i="29" s="1"/>
  <c r="F108" i="29"/>
  <c r="D108" i="29"/>
  <c r="C108" i="29"/>
  <c r="B108" i="29"/>
  <c r="J107" i="29"/>
  <c r="I107" i="29"/>
  <c r="J109" i="29" s="1"/>
  <c r="F107" i="29"/>
  <c r="D107" i="29"/>
  <c r="C107" i="29"/>
  <c r="B107" i="29"/>
  <c r="I106" i="29"/>
  <c r="J108" i="29" s="1"/>
  <c r="F106" i="29"/>
  <c r="D106" i="29"/>
  <c r="C106" i="29"/>
  <c r="B106" i="29"/>
  <c r="J105" i="29"/>
  <c r="I105" i="29"/>
  <c r="F105" i="29"/>
  <c r="D105" i="29"/>
  <c r="C105" i="29"/>
  <c r="B105" i="29"/>
  <c r="J104" i="29"/>
  <c r="I104" i="29"/>
  <c r="J106" i="29" s="1"/>
  <c r="F104" i="29"/>
  <c r="D104" i="29"/>
  <c r="C104" i="29"/>
  <c r="B104" i="29"/>
  <c r="J103" i="29"/>
  <c r="I103" i="29"/>
  <c r="F103" i="29"/>
  <c r="D103" i="29"/>
  <c r="C103" i="29"/>
  <c r="B103" i="29"/>
  <c r="I102" i="29"/>
  <c r="F102" i="29"/>
  <c r="D102" i="29"/>
  <c r="C102" i="29"/>
  <c r="B102" i="29"/>
  <c r="J101" i="29"/>
  <c r="I101" i="29"/>
  <c r="F101" i="29"/>
  <c r="D101" i="29"/>
  <c r="C101" i="29"/>
  <c r="B101" i="29"/>
  <c r="J100" i="29"/>
  <c r="I100" i="29"/>
  <c r="J102" i="29" s="1"/>
  <c r="F100" i="29"/>
  <c r="D100" i="29"/>
  <c r="C100" i="29"/>
  <c r="B100" i="29"/>
  <c r="J99" i="29"/>
  <c r="I99" i="29"/>
  <c r="F99" i="29"/>
  <c r="D99" i="29"/>
  <c r="C99" i="29"/>
  <c r="B99" i="29"/>
  <c r="I98" i="29"/>
  <c r="F98" i="29"/>
  <c r="D98" i="29"/>
  <c r="C98" i="29"/>
  <c r="B98" i="29"/>
  <c r="J97" i="29"/>
  <c r="I97" i="29"/>
  <c r="F97" i="29"/>
  <c r="D97" i="29"/>
  <c r="C97" i="29"/>
  <c r="B97" i="29"/>
  <c r="J96" i="29"/>
  <c r="I96" i="29"/>
  <c r="J98" i="29" s="1"/>
  <c r="F96" i="29"/>
  <c r="D96" i="29"/>
  <c r="C96" i="29"/>
  <c r="B96" i="29"/>
  <c r="J95" i="29"/>
  <c r="I95" i="29"/>
  <c r="F95" i="29"/>
  <c r="D95" i="29"/>
  <c r="C95" i="29"/>
  <c r="B95" i="29"/>
  <c r="I94" i="29"/>
  <c r="F94" i="29"/>
  <c r="D94" i="29"/>
  <c r="C94" i="29"/>
  <c r="B94" i="29"/>
  <c r="J93" i="29"/>
  <c r="I93" i="29"/>
  <c r="F93" i="29"/>
  <c r="D93" i="29"/>
  <c r="C93" i="29"/>
  <c r="B93" i="29"/>
  <c r="J92" i="29"/>
  <c r="I92" i="29"/>
  <c r="J94" i="29" s="1"/>
  <c r="F92" i="29"/>
  <c r="D92" i="29"/>
  <c r="C92" i="29"/>
  <c r="B92" i="29"/>
  <c r="J91" i="29"/>
  <c r="I91" i="29"/>
  <c r="F91" i="29"/>
  <c r="D91" i="29"/>
  <c r="C91" i="29"/>
  <c r="B91" i="29"/>
  <c r="I90" i="29"/>
  <c r="F90" i="29"/>
  <c r="D90" i="29"/>
  <c r="C90" i="29"/>
  <c r="B90" i="29"/>
  <c r="J89" i="29"/>
  <c r="I89" i="29"/>
  <c r="F89" i="29"/>
  <c r="D89" i="29"/>
  <c r="C89" i="29"/>
  <c r="B89" i="29"/>
  <c r="J88" i="29"/>
  <c r="I88" i="29"/>
  <c r="J90" i="29" s="1"/>
  <c r="F88" i="29"/>
  <c r="D88" i="29"/>
  <c r="C88" i="29"/>
  <c r="B88" i="29"/>
  <c r="J87" i="29"/>
  <c r="I87" i="29"/>
  <c r="F87" i="29"/>
  <c r="D87" i="29"/>
  <c r="C87" i="29"/>
  <c r="B87" i="29"/>
  <c r="I86" i="29"/>
  <c r="F86" i="29"/>
  <c r="D86" i="29"/>
  <c r="C86" i="29"/>
  <c r="B86" i="29"/>
  <c r="J85" i="29"/>
  <c r="I85" i="29"/>
  <c r="F85" i="29"/>
  <c r="D85" i="29"/>
  <c r="C85" i="29"/>
  <c r="B85" i="29"/>
  <c r="J84" i="29"/>
  <c r="I84" i="29"/>
  <c r="J86" i="29" s="1"/>
  <c r="F84" i="29"/>
  <c r="D84" i="29"/>
  <c r="C84" i="29"/>
  <c r="B84" i="29"/>
  <c r="J83" i="29"/>
  <c r="I83" i="29"/>
  <c r="F83" i="29"/>
  <c r="D83" i="29"/>
  <c r="C83" i="29"/>
  <c r="B83" i="29"/>
  <c r="I82" i="29"/>
  <c r="F82" i="29"/>
  <c r="D82" i="29"/>
  <c r="C82" i="29"/>
  <c r="B82" i="29"/>
  <c r="J81" i="29"/>
  <c r="I81" i="29"/>
  <c r="F81" i="29"/>
  <c r="D81" i="29"/>
  <c r="C81" i="29"/>
  <c r="B81" i="29"/>
  <c r="J80" i="29"/>
  <c r="I80" i="29"/>
  <c r="J82" i="29" s="1"/>
  <c r="F80" i="29"/>
  <c r="D80" i="29"/>
  <c r="C80" i="29"/>
  <c r="B80" i="29"/>
  <c r="J79" i="29"/>
  <c r="I79" i="29"/>
  <c r="F79" i="29"/>
  <c r="D79" i="29"/>
  <c r="C79" i="29"/>
  <c r="B79" i="29"/>
  <c r="I78" i="29"/>
  <c r="F78" i="29"/>
  <c r="D78" i="29"/>
  <c r="C78" i="29"/>
  <c r="B78" i="29"/>
  <c r="J77" i="29"/>
  <c r="I77" i="29"/>
  <c r="F77" i="29"/>
  <c r="D77" i="29"/>
  <c r="C77" i="29"/>
  <c r="B77" i="29"/>
  <c r="J76" i="29"/>
  <c r="I76" i="29"/>
  <c r="J78" i="29" s="1"/>
  <c r="F76" i="29"/>
  <c r="D76" i="29"/>
  <c r="C76" i="29"/>
  <c r="B76" i="29"/>
  <c r="J75" i="29"/>
  <c r="I75" i="29"/>
  <c r="F75" i="29"/>
  <c r="D75" i="29"/>
  <c r="C75" i="29"/>
  <c r="B75" i="29"/>
  <c r="I74" i="29"/>
  <c r="F74" i="29"/>
  <c r="D74" i="29"/>
  <c r="C74" i="29"/>
  <c r="B74" i="29"/>
  <c r="J73" i="29"/>
  <c r="I73" i="29"/>
  <c r="F73" i="29"/>
  <c r="D73" i="29"/>
  <c r="C73" i="29"/>
  <c r="B73" i="29"/>
  <c r="J72" i="29"/>
  <c r="I72" i="29"/>
  <c r="J74" i="29" s="1"/>
  <c r="F72" i="29"/>
  <c r="D72" i="29"/>
  <c r="C72" i="29"/>
  <c r="B72" i="29"/>
  <c r="J71" i="29"/>
  <c r="I71" i="29"/>
  <c r="F71" i="29"/>
  <c r="D71" i="29"/>
  <c r="C71" i="29"/>
  <c r="B71" i="29"/>
  <c r="I70" i="29"/>
  <c r="F70" i="29"/>
  <c r="D70" i="29"/>
  <c r="C70" i="29"/>
  <c r="B70" i="29"/>
  <c r="J69" i="29"/>
  <c r="I69" i="29"/>
  <c r="F69" i="29"/>
  <c r="D69" i="29"/>
  <c r="C69" i="29"/>
  <c r="B69" i="29"/>
  <c r="J68" i="29"/>
  <c r="I68" i="29"/>
  <c r="J70" i="29" s="1"/>
  <c r="F68" i="29"/>
  <c r="D68" i="29"/>
  <c r="C68" i="29"/>
  <c r="B68" i="29"/>
  <c r="J67" i="29"/>
  <c r="I67" i="29"/>
  <c r="F67" i="29"/>
  <c r="D67" i="29"/>
  <c r="C67" i="29"/>
  <c r="B67" i="29"/>
  <c r="I66" i="29"/>
  <c r="F66" i="29"/>
  <c r="D66" i="29"/>
  <c r="C66" i="29"/>
  <c r="B66" i="29"/>
  <c r="J65" i="29"/>
  <c r="I65" i="29"/>
  <c r="F65" i="29"/>
  <c r="D65" i="29"/>
  <c r="C65" i="29"/>
  <c r="B65" i="29"/>
  <c r="J64" i="29"/>
  <c r="I64" i="29"/>
  <c r="J66" i="29" s="1"/>
  <c r="F64" i="29"/>
  <c r="D64" i="29"/>
  <c r="C64" i="29"/>
  <c r="B64" i="29"/>
  <c r="J63" i="29"/>
  <c r="I63" i="29"/>
  <c r="F63" i="29"/>
  <c r="D63" i="29"/>
  <c r="C63" i="29"/>
  <c r="B63" i="29"/>
  <c r="I62" i="29"/>
  <c r="F62" i="29"/>
  <c r="D62" i="29"/>
  <c r="C62" i="29"/>
  <c r="B62" i="29"/>
  <c r="J61" i="29"/>
  <c r="I61" i="29"/>
  <c r="F61" i="29"/>
  <c r="D61" i="29"/>
  <c r="C61" i="29"/>
  <c r="B61" i="29"/>
  <c r="J60" i="29"/>
  <c r="I60" i="29"/>
  <c r="J62" i="29" s="1"/>
  <c r="F60" i="29"/>
  <c r="D60" i="29"/>
  <c r="C60" i="29"/>
  <c r="B60" i="29"/>
  <c r="J59" i="29"/>
  <c r="I59" i="29"/>
  <c r="F59" i="29"/>
  <c r="D59" i="29"/>
  <c r="C59" i="29"/>
  <c r="B59" i="29"/>
  <c r="I58" i="29"/>
  <c r="F58" i="29"/>
  <c r="D58" i="29"/>
  <c r="C58" i="29"/>
  <c r="B58" i="29"/>
  <c r="J57" i="29"/>
  <c r="I57" i="29"/>
  <c r="F57" i="29"/>
  <c r="D57" i="29"/>
  <c r="C57" i="29"/>
  <c r="B57" i="29"/>
  <c r="J56" i="29"/>
  <c r="I56" i="29"/>
  <c r="J58" i="29" s="1"/>
  <c r="F56" i="29"/>
  <c r="D56" i="29"/>
  <c r="C56" i="29"/>
  <c r="B56" i="29"/>
  <c r="J55" i="29"/>
  <c r="I55" i="29"/>
  <c r="F55" i="29"/>
  <c r="D55" i="29"/>
  <c r="C55" i="29"/>
  <c r="B55" i="29"/>
  <c r="I54" i="29"/>
  <c r="F54" i="29"/>
  <c r="D54" i="29"/>
  <c r="C54" i="29"/>
  <c r="B54" i="29"/>
  <c r="J53" i="29"/>
  <c r="I53" i="29"/>
  <c r="F53" i="29"/>
  <c r="D53" i="29"/>
  <c r="C53" i="29"/>
  <c r="B53" i="29"/>
  <c r="J52" i="29"/>
  <c r="I52" i="29"/>
  <c r="J54" i="29" s="1"/>
  <c r="F52" i="29"/>
  <c r="D52" i="29"/>
  <c r="C52" i="29"/>
  <c r="B52" i="29"/>
  <c r="J51" i="29"/>
  <c r="I51" i="29"/>
  <c r="F51" i="29"/>
  <c r="D51" i="29"/>
  <c r="C51" i="29"/>
  <c r="B51" i="29"/>
  <c r="I50" i="29"/>
  <c r="F50" i="29"/>
  <c r="D50" i="29"/>
  <c r="C50" i="29"/>
  <c r="B50" i="29"/>
  <c r="J49" i="29"/>
  <c r="I49" i="29"/>
  <c r="F49" i="29"/>
  <c r="D49" i="29"/>
  <c r="C49" i="29"/>
  <c r="B49" i="29"/>
  <c r="J48" i="29"/>
  <c r="I48" i="29"/>
  <c r="J50" i="29" s="1"/>
  <c r="F48" i="29"/>
  <c r="D48" i="29"/>
  <c r="C48" i="29"/>
  <c r="B48" i="29"/>
  <c r="J47" i="29"/>
  <c r="I47" i="29"/>
  <c r="F47" i="29"/>
  <c r="D47" i="29"/>
  <c r="C47" i="29"/>
  <c r="B47" i="29"/>
  <c r="I46" i="29"/>
  <c r="F46" i="29"/>
  <c r="D46" i="29"/>
  <c r="C46" i="29"/>
  <c r="B46" i="29"/>
  <c r="J45" i="29"/>
  <c r="I45" i="29"/>
  <c r="F45" i="29"/>
  <c r="D45" i="29"/>
  <c r="C45" i="29"/>
  <c r="B45" i="29"/>
  <c r="J44" i="29"/>
  <c r="I44" i="29"/>
  <c r="J46" i="29" s="1"/>
  <c r="F44" i="29"/>
  <c r="D44" i="29"/>
  <c r="C44" i="29"/>
  <c r="B44" i="29"/>
  <c r="J43" i="29"/>
  <c r="I43" i="29"/>
  <c r="F43" i="29"/>
  <c r="D43" i="29"/>
  <c r="C43" i="29"/>
  <c r="B43" i="29"/>
  <c r="I42" i="29"/>
  <c r="F42" i="29"/>
  <c r="D42" i="29"/>
  <c r="C42" i="29"/>
  <c r="B42" i="29"/>
  <c r="J41" i="29"/>
  <c r="I41" i="29"/>
  <c r="F41" i="29"/>
  <c r="D41" i="29"/>
  <c r="C41" i="29"/>
  <c r="B41" i="29"/>
  <c r="J40" i="29"/>
  <c r="I40" i="29"/>
  <c r="J42" i="29" s="1"/>
  <c r="F40" i="29"/>
  <c r="D40" i="29"/>
  <c r="C40" i="29"/>
  <c r="B40" i="29"/>
  <c r="J39" i="29"/>
  <c r="I39" i="29"/>
  <c r="F39" i="29"/>
  <c r="D39" i="29"/>
  <c r="C39" i="29"/>
  <c r="B39" i="29"/>
  <c r="I38" i="29"/>
  <c r="F38" i="29"/>
  <c r="D38" i="29"/>
  <c r="C38" i="29"/>
  <c r="B38" i="29"/>
  <c r="J37" i="29"/>
  <c r="I37" i="29"/>
  <c r="F37" i="29"/>
  <c r="D37" i="29"/>
  <c r="C37" i="29"/>
  <c r="B37" i="29"/>
  <c r="J36" i="29"/>
  <c r="I36" i="29"/>
  <c r="J38" i="29" s="1"/>
  <c r="F36" i="29"/>
  <c r="D36" i="29"/>
  <c r="C36" i="29"/>
  <c r="B36" i="29"/>
  <c r="J35" i="29"/>
  <c r="I35" i="29"/>
  <c r="F35" i="29"/>
  <c r="D35" i="29"/>
  <c r="C35" i="29"/>
  <c r="B35" i="29"/>
  <c r="I34" i="29"/>
  <c r="F34" i="29"/>
  <c r="D34" i="29"/>
  <c r="C34" i="29"/>
  <c r="B34" i="29"/>
  <c r="J33" i="29"/>
  <c r="I33" i="29"/>
  <c r="F33" i="29"/>
  <c r="D33" i="29"/>
  <c r="C33" i="29"/>
  <c r="B33" i="29"/>
  <c r="J32" i="29"/>
  <c r="I32" i="29"/>
  <c r="J34" i="29" s="1"/>
  <c r="F32" i="29"/>
  <c r="D32" i="29"/>
  <c r="C32" i="29"/>
  <c r="B32" i="29"/>
  <c r="J31" i="29"/>
  <c r="I31" i="29"/>
  <c r="F31" i="29"/>
  <c r="D31" i="29"/>
  <c r="C31" i="29"/>
  <c r="B31" i="29"/>
  <c r="I30" i="29"/>
  <c r="F30" i="29"/>
  <c r="D30" i="29"/>
  <c r="C30" i="29"/>
  <c r="B30" i="29"/>
  <c r="J29" i="29"/>
  <c r="I29" i="29"/>
  <c r="F29" i="29"/>
  <c r="D29" i="29"/>
  <c r="C29" i="29"/>
  <c r="B29" i="29"/>
  <c r="J28" i="29"/>
  <c r="I28" i="29"/>
  <c r="J30" i="29" s="1"/>
  <c r="F28" i="29"/>
  <c r="D28" i="29"/>
  <c r="C28" i="29"/>
  <c r="B28" i="29"/>
  <c r="J27" i="29"/>
  <c r="I27" i="29"/>
  <c r="F27" i="29"/>
  <c r="D27" i="29"/>
  <c r="C27" i="29"/>
  <c r="B27" i="29"/>
  <c r="I26" i="29"/>
  <c r="F26" i="29"/>
  <c r="D26" i="29"/>
  <c r="C26" i="29"/>
  <c r="B26" i="29"/>
  <c r="J25" i="29"/>
  <c r="I25" i="29"/>
  <c r="F25" i="29"/>
  <c r="D25" i="29"/>
  <c r="C25" i="29"/>
  <c r="B25" i="29"/>
  <c r="J24" i="29"/>
  <c r="I24" i="29"/>
  <c r="J26" i="29" s="1"/>
  <c r="F24" i="29"/>
  <c r="D24" i="29"/>
  <c r="C24" i="29"/>
  <c r="B24" i="29"/>
  <c r="J23" i="29"/>
  <c r="I23" i="29"/>
  <c r="F23" i="29"/>
  <c r="D23" i="29"/>
  <c r="C23" i="29"/>
  <c r="B23" i="29"/>
  <c r="I22" i="29"/>
  <c r="F22" i="29"/>
  <c r="D22" i="29"/>
  <c r="C22" i="29"/>
  <c r="B22" i="29"/>
  <c r="J21" i="29"/>
  <c r="I21" i="29"/>
  <c r="F21" i="29"/>
  <c r="D21" i="29"/>
  <c r="C21" i="29"/>
  <c r="B21" i="29"/>
  <c r="J20" i="29"/>
  <c r="I20" i="29"/>
  <c r="J22" i="29" s="1"/>
  <c r="F20" i="29"/>
  <c r="D20" i="29"/>
  <c r="C20" i="29"/>
  <c r="B20" i="29"/>
  <c r="J19" i="29"/>
  <c r="I19" i="29"/>
  <c r="F19" i="29"/>
  <c r="D19" i="29"/>
  <c r="C19" i="29"/>
  <c r="B19" i="29"/>
  <c r="I18" i="29"/>
  <c r="F18" i="29"/>
  <c r="D18" i="29"/>
  <c r="C18" i="29"/>
  <c r="B18" i="29"/>
  <c r="J17" i="29"/>
  <c r="I17" i="29"/>
  <c r="F17" i="29"/>
  <c r="D17" i="29"/>
  <c r="C17" i="29"/>
  <c r="B17" i="29"/>
  <c r="J16" i="29"/>
  <c r="I16" i="29"/>
  <c r="J18" i="29" s="1"/>
  <c r="F16" i="29"/>
  <c r="D16" i="29"/>
  <c r="C16" i="29"/>
  <c r="B16" i="29"/>
  <c r="J15" i="29"/>
  <c r="I15" i="29"/>
  <c r="F15" i="29"/>
  <c r="D15" i="29"/>
  <c r="C15" i="29"/>
  <c r="B15" i="29"/>
  <c r="I14" i="29"/>
  <c r="F14" i="29"/>
  <c r="D14" i="29"/>
  <c r="C14" i="29"/>
  <c r="B14" i="29"/>
  <c r="J13" i="29"/>
  <c r="I13" i="29"/>
  <c r="F13" i="29"/>
  <c r="D13" i="29"/>
  <c r="C13" i="29"/>
  <c r="B13" i="29"/>
  <c r="J12" i="29"/>
  <c r="I12" i="29"/>
  <c r="J14" i="29" s="1"/>
  <c r="F12" i="29"/>
  <c r="D12" i="29"/>
  <c r="J11" i="29"/>
  <c r="I11" i="29"/>
  <c r="F11" i="29"/>
  <c r="D11" i="29"/>
  <c r="G4" i="29"/>
  <c r="K215" i="28"/>
  <c r="J215" i="28"/>
  <c r="I215" i="28"/>
  <c r="D215" i="28"/>
  <c r="C215" i="28"/>
  <c r="A215" i="28"/>
  <c r="K214" i="28"/>
  <c r="I214" i="28"/>
  <c r="D214" i="28"/>
  <c r="C214" i="28"/>
  <c r="A214" i="28"/>
  <c r="K213" i="28"/>
  <c r="I213" i="28"/>
  <c r="D213" i="28"/>
  <c r="C213" i="28"/>
  <c r="A213" i="28"/>
  <c r="K212" i="28"/>
  <c r="I212" i="28"/>
  <c r="J214" i="28" s="1"/>
  <c r="D212" i="28"/>
  <c r="C212" i="28"/>
  <c r="A212" i="28"/>
  <c r="K211" i="28"/>
  <c r="J211" i="28"/>
  <c r="I211" i="28"/>
  <c r="J213" i="28" s="1"/>
  <c r="D211" i="28"/>
  <c r="C211" i="28"/>
  <c r="A211" i="28"/>
  <c r="K210" i="28"/>
  <c r="I210" i="28"/>
  <c r="J212" i="28" s="1"/>
  <c r="D210" i="28"/>
  <c r="C210" i="28"/>
  <c r="A210" i="28"/>
  <c r="K209" i="28"/>
  <c r="I209" i="28"/>
  <c r="D209" i="28"/>
  <c r="C209" i="28"/>
  <c r="A209" i="28"/>
  <c r="K208" i="28"/>
  <c r="I208" i="28"/>
  <c r="J210" i="28" s="1"/>
  <c r="D208" i="28"/>
  <c r="C208" i="28"/>
  <c r="A208" i="28"/>
  <c r="K207" i="28"/>
  <c r="J207" i="28"/>
  <c r="I207" i="28"/>
  <c r="J209" i="28" s="1"/>
  <c r="D207" i="28"/>
  <c r="C207" i="28"/>
  <c r="A207" i="28"/>
  <c r="K206" i="28"/>
  <c r="I206" i="28"/>
  <c r="J208" i="28" s="1"/>
  <c r="D206" i="28"/>
  <c r="C206" i="28"/>
  <c r="A206" i="28"/>
  <c r="K205" i="28"/>
  <c r="I205" i="28"/>
  <c r="D205" i="28"/>
  <c r="C205" i="28"/>
  <c r="A205" i="28"/>
  <c r="K204" i="28"/>
  <c r="I204" i="28"/>
  <c r="J206" i="28" s="1"/>
  <c r="D204" i="28"/>
  <c r="C204" i="28"/>
  <c r="A204" i="28"/>
  <c r="K203" i="28"/>
  <c r="J203" i="28"/>
  <c r="I203" i="28"/>
  <c r="J205" i="28" s="1"/>
  <c r="D203" i="28"/>
  <c r="C203" i="28"/>
  <c r="A203" i="28"/>
  <c r="K202" i="28"/>
  <c r="I202" i="28"/>
  <c r="J204" i="28" s="1"/>
  <c r="D202" i="28"/>
  <c r="C202" i="28"/>
  <c r="A202" i="28"/>
  <c r="K201" i="28"/>
  <c r="I201" i="28"/>
  <c r="D201" i="28"/>
  <c r="C201" i="28"/>
  <c r="A201" i="28"/>
  <c r="K200" i="28"/>
  <c r="I200" i="28"/>
  <c r="J202" i="28" s="1"/>
  <c r="D200" i="28"/>
  <c r="C200" i="28"/>
  <c r="A200" i="28"/>
  <c r="K199" i="28"/>
  <c r="J199" i="28"/>
  <c r="I199" i="28"/>
  <c r="J201" i="28" s="1"/>
  <c r="D199" i="28"/>
  <c r="C199" i="28"/>
  <c r="A199" i="28"/>
  <c r="K198" i="28"/>
  <c r="I198" i="28"/>
  <c r="J200" i="28" s="1"/>
  <c r="D198" i="28"/>
  <c r="C198" i="28"/>
  <c r="A198" i="28"/>
  <c r="K197" i="28"/>
  <c r="I197" i="28"/>
  <c r="D197" i="28"/>
  <c r="C197" i="28"/>
  <c r="A197" i="28"/>
  <c r="K196" i="28"/>
  <c r="I196" i="28"/>
  <c r="J198" i="28" s="1"/>
  <c r="D196" i="28"/>
  <c r="C196" i="28"/>
  <c r="A196" i="28"/>
  <c r="K195" i="28"/>
  <c r="J195" i="28"/>
  <c r="I195" i="28"/>
  <c r="J197" i="28" s="1"/>
  <c r="D195" i="28"/>
  <c r="C195" i="28"/>
  <c r="A195" i="28"/>
  <c r="K194" i="28"/>
  <c r="I194" i="28"/>
  <c r="J196" i="28" s="1"/>
  <c r="D194" i="28"/>
  <c r="C194" i="28"/>
  <c r="A194" i="28"/>
  <c r="K193" i="28"/>
  <c r="I193" i="28"/>
  <c r="D193" i="28"/>
  <c r="C193" i="28"/>
  <c r="A193" i="28"/>
  <c r="K192" i="28"/>
  <c r="I192" i="28"/>
  <c r="J194" i="28" s="1"/>
  <c r="D192" i="28"/>
  <c r="C192" i="28"/>
  <c r="A192" i="28"/>
  <c r="K191" i="28"/>
  <c r="J191" i="28"/>
  <c r="I191" i="28"/>
  <c r="J193" i="28" s="1"/>
  <c r="D191" i="28"/>
  <c r="C191" i="28"/>
  <c r="A191" i="28"/>
  <c r="K190" i="28"/>
  <c r="I190" i="28"/>
  <c r="J192" i="28" s="1"/>
  <c r="D190" i="28"/>
  <c r="C190" i="28"/>
  <c r="A190" i="28"/>
  <c r="K189" i="28"/>
  <c r="I189" i="28"/>
  <c r="D189" i="28"/>
  <c r="C189" i="28"/>
  <c r="A189" i="28"/>
  <c r="K188" i="28"/>
  <c r="I188" i="28"/>
  <c r="J190" i="28" s="1"/>
  <c r="D188" i="28"/>
  <c r="C188" i="28"/>
  <c r="A188" i="28"/>
  <c r="K187" i="28"/>
  <c r="J187" i="28"/>
  <c r="I187" i="28"/>
  <c r="J189" i="28" s="1"/>
  <c r="D187" i="28"/>
  <c r="C187" i="28"/>
  <c r="A187" i="28"/>
  <c r="K186" i="28"/>
  <c r="I186" i="28"/>
  <c r="J188" i="28" s="1"/>
  <c r="D186" i="28"/>
  <c r="C186" i="28"/>
  <c r="A186" i="28"/>
  <c r="K185" i="28"/>
  <c r="I185" i="28"/>
  <c r="D185" i="28"/>
  <c r="C185" i="28"/>
  <c r="A185" i="28"/>
  <c r="K184" i="28"/>
  <c r="I184" i="28"/>
  <c r="J186" i="28" s="1"/>
  <c r="D184" i="28"/>
  <c r="C184" i="28"/>
  <c r="A184" i="28"/>
  <c r="K183" i="28"/>
  <c r="J183" i="28"/>
  <c r="I183" i="28"/>
  <c r="J185" i="28" s="1"/>
  <c r="D183" i="28"/>
  <c r="C183" i="28"/>
  <c r="A183" i="28"/>
  <c r="K182" i="28"/>
  <c r="I182" i="28"/>
  <c r="J184" i="28" s="1"/>
  <c r="D182" i="28"/>
  <c r="C182" i="28"/>
  <c r="A182" i="28"/>
  <c r="K181" i="28"/>
  <c r="I181" i="28"/>
  <c r="D181" i="28"/>
  <c r="C181" i="28"/>
  <c r="A181" i="28"/>
  <c r="K180" i="28"/>
  <c r="I180" i="28"/>
  <c r="J182" i="28" s="1"/>
  <c r="D180" i="28"/>
  <c r="C180" i="28"/>
  <c r="A180" i="28"/>
  <c r="K179" i="28"/>
  <c r="J179" i="28"/>
  <c r="I179" i="28"/>
  <c r="J181" i="28" s="1"/>
  <c r="D179" i="28"/>
  <c r="C179" i="28"/>
  <c r="A179" i="28"/>
  <c r="K178" i="28"/>
  <c r="I178" i="28"/>
  <c r="J180" i="28" s="1"/>
  <c r="D178" i="28"/>
  <c r="C178" i="28"/>
  <c r="A178" i="28"/>
  <c r="K177" i="28"/>
  <c r="I177" i="28"/>
  <c r="D177" i="28"/>
  <c r="C177" i="28"/>
  <c r="A177" i="28"/>
  <c r="K176" i="28"/>
  <c r="I176" i="28"/>
  <c r="J178" i="28" s="1"/>
  <c r="D176" i="28"/>
  <c r="C176" i="28"/>
  <c r="A176" i="28"/>
  <c r="K175" i="28"/>
  <c r="J175" i="28"/>
  <c r="I175" i="28"/>
  <c r="J177" i="28" s="1"/>
  <c r="D175" i="28"/>
  <c r="C175" i="28"/>
  <c r="A175" i="28"/>
  <c r="K174" i="28"/>
  <c r="I174" i="28"/>
  <c r="J176" i="28" s="1"/>
  <c r="D174" i="28"/>
  <c r="C174" i="28"/>
  <c r="A174" i="28"/>
  <c r="K173" i="28"/>
  <c r="I173" i="28"/>
  <c r="D173" i="28"/>
  <c r="C173" i="28"/>
  <c r="A173" i="28"/>
  <c r="K172" i="28"/>
  <c r="I172" i="28"/>
  <c r="J174" i="28" s="1"/>
  <c r="D172" i="28"/>
  <c r="C172" i="28"/>
  <c r="A172" i="28"/>
  <c r="K171" i="28"/>
  <c r="J171" i="28"/>
  <c r="I171" i="28"/>
  <c r="J173" i="28" s="1"/>
  <c r="D171" i="28"/>
  <c r="C171" i="28"/>
  <c r="A171" i="28"/>
  <c r="K170" i="28"/>
  <c r="I170" i="28"/>
  <c r="J172" i="28" s="1"/>
  <c r="D170" i="28"/>
  <c r="C170" i="28"/>
  <c r="A170" i="28"/>
  <c r="K169" i="28"/>
  <c r="I169" i="28"/>
  <c r="D169" i="28"/>
  <c r="C169" i="28"/>
  <c r="A169" i="28"/>
  <c r="K168" i="28"/>
  <c r="I168" i="28"/>
  <c r="J170" i="28" s="1"/>
  <c r="D168" i="28"/>
  <c r="C168" i="28"/>
  <c r="A168" i="28"/>
  <c r="K167" i="28"/>
  <c r="J167" i="28"/>
  <c r="I167" i="28"/>
  <c r="J169" i="28" s="1"/>
  <c r="D167" i="28"/>
  <c r="C167" i="28"/>
  <c r="A167" i="28"/>
  <c r="K166" i="28"/>
  <c r="I166" i="28"/>
  <c r="J168" i="28" s="1"/>
  <c r="D166" i="28"/>
  <c r="C166" i="28"/>
  <c r="A166" i="28"/>
  <c r="K165" i="28"/>
  <c r="I165" i="28"/>
  <c r="D165" i="28"/>
  <c r="C165" i="28"/>
  <c r="A165" i="28"/>
  <c r="K164" i="28"/>
  <c r="I164" i="28"/>
  <c r="J166" i="28" s="1"/>
  <c r="D164" i="28"/>
  <c r="C164" i="28"/>
  <c r="A164" i="28"/>
  <c r="K163" i="28"/>
  <c r="J163" i="28"/>
  <c r="I163" i="28"/>
  <c r="J165" i="28" s="1"/>
  <c r="D163" i="28"/>
  <c r="C163" i="28"/>
  <c r="A163" i="28"/>
  <c r="K162" i="28"/>
  <c r="I162" i="28"/>
  <c r="J164" i="28" s="1"/>
  <c r="D162" i="28"/>
  <c r="C162" i="28"/>
  <c r="A162" i="28"/>
  <c r="K161" i="28"/>
  <c r="I161" i="28"/>
  <c r="D161" i="28"/>
  <c r="C161" i="28"/>
  <c r="A161" i="28"/>
  <c r="K160" i="28"/>
  <c r="I160" i="28"/>
  <c r="J162" i="28" s="1"/>
  <c r="D160" i="28"/>
  <c r="C160" i="28"/>
  <c r="A160" i="28"/>
  <c r="K159" i="28"/>
  <c r="J159" i="28"/>
  <c r="I159" i="28"/>
  <c r="J161" i="28" s="1"/>
  <c r="D159" i="28"/>
  <c r="C159" i="28"/>
  <c r="A159" i="28"/>
  <c r="K158" i="28"/>
  <c r="I158" i="28"/>
  <c r="J160" i="28" s="1"/>
  <c r="D158" i="28"/>
  <c r="C158" i="28"/>
  <c r="A158" i="28"/>
  <c r="K157" i="28"/>
  <c r="I157" i="28"/>
  <c r="D157" i="28"/>
  <c r="C157" i="28"/>
  <c r="A157" i="28"/>
  <c r="K156" i="28"/>
  <c r="I156" i="28"/>
  <c r="J158" i="28" s="1"/>
  <c r="D156" i="28"/>
  <c r="C156" i="28"/>
  <c r="A156" i="28"/>
  <c r="K155" i="28"/>
  <c r="J155" i="28"/>
  <c r="I155" i="28"/>
  <c r="J157" i="28" s="1"/>
  <c r="D155" i="28"/>
  <c r="C155" i="28"/>
  <c r="A155" i="28"/>
  <c r="K154" i="28"/>
  <c r="I154" i="28"/>
  <c r="J156" i="28" s="1"/>
  <c r="D154" i="28"/>
  <c r="C154" i="28"/>
  <c r="A154" i="28"/>
  <c r="K153" i="28"/>
  <c r="I153" i="28"/>
  <c r="D153" i="28"/>
  <c r="C153" i="28"/>
  <c r="A153" i="28"/>
  <c r="K152" i="28"/>
  <c r="I152" i="28"/>
  <c r="J154" i="28" s="1"/>
  <c r="D152" i="28"/>
  <c r="C152" i="28"/>
  <c r="A152" i="28"/>
  <c r="K151" i="28"/>
  <c r="J151" i="28"/>
  <c r="I151" i="28"/>
  <c r="J153" i="28" s="1"/>
  <c r="D151" i="28"/>
  <c r="C151" i="28"/>
  <c r="A151" i="28"/>
  <c r="K150" i="28"/>
  <c r="I150" i="28"/>
  <c r="J152" i="28" s="1"/>
  <c r="D150" i="28"/>
  <c r="C150" i="28"/>
  <c r="A150" i="28"/>
  <c r="K149" i="28"/>
  <c r="I149" i="28"/>
  <c r="D149" i="28"/>
  <c r="C149" i="28"/>
  <c r="A149" i="28"/>
  <c r="K148" i="28"/>
  <c r="I148" i="28"/>
  <c r="J150" i="28" s="1"/>
  <c r="D148" i="28"/>
  <c r="C148" i="28"/>
  <c r="A148" i="28"/>
  <c r="K147" i="28"/>
  <c r="J147" i="28"/>
  <c r="I147" i="28"/>
  <c r="J149" i="28" s="1"/>
  <c r="D147" i="28"/>
  <c r="C147" i="28"/>
  <c r="A147" i="28"/>
  <c r="K146" i="28"/>
  <c r="I146" i="28"/>
  <c r="J148" i="28" s="1"/>
  <c r="D146" i="28"/>
  <c r="C146" i="28"/>
  <c r="A146" i="28"/>
  <c r="K145" i="28"/>
  <c r="I145" i="28"/>
  <c r="D145" i="28"/>
  <c r="C145" i="28"/>
  <c r="A145" i="28"/>
  <c r="K144" i="28"/>
  <c r="I144" i="28"/>
  <c r="J146" i="28" s="1"/>
  <c r="D144" i="28"/>
  <c r="C144" i="28"/>
  <c r="A144" i="28"/>
  <c r="K143" i="28"/>
  <c r="J143" i="28"/>
  <c r="I143" i="28"/>
  <c r="J145" i="28" s="1"/>
  <c r="D143" i="28"/>
  <c r="C143" i="28"/>
  <c r="A143" i="28"/>
  <c r="K142" i="28"/>
  <c r="I142" i="28"/>
  <c r="J144" i="28" s="1"/>
  <c r="D142" i="28"/>
  <c r="C142" i="28"/>
  <c r="A142" i="28"/>
  <c r="K141" i="28"/>
  <c r="I141" i="28"/>
  <c r="D141" i="28"/>
  <c r="C141" i="28"/>
  <c r="A141" i="28"/>
  <c r="K140" i="28"/>
  <c r="I140" i="28"/>
  <c r="J142" i="28" s="1"/>
  <c r="D140" i="28"/>
  <c r="C140" i="28"/>
  <c r="A140" i="28"/>
  <c r="K139" i="28"/>
  <c r="J139" i="28"/>
  <c r="I139" i="28"/>
  <c r="J141" i="28" s="1"/>
  <c r="D139" i="28"/>
  <c r="C139" i="28"/>
  <c r="A139" i="28"/>
  <c r="K138" i="28"/>
  <c r="I138" i="28"/>
  <c r="J140" i="28" s="1"/>
  <c r="D138" i="28"/>
  <c r="C138" i="28"/>
  <c r="A138" i="28"/>
  <c r="K137" i="28"/>
  <c r="I137" i="28"/>
  <c r="D137" i="28"/>
  <c r="C137" i="28"/>
  <c r="A137" i="28"/>
  <c r="K136" i="28"/>
  <c r="I136" i="28"/>
  <c r="J138" i="28" s="1"/>
  <c r="D136" i="28"/>
  <c r="C136" i="28"/>
  <c r="A136" i="28"/>
  <c r="K135" i="28"/>
  <c r="J135" i="28"/>
  <c r="I135" i="28"/>
  <c r="J137" i="28" s="1"/>
  <c r="D135" i="28"/>
  <c r="C135" i="28"/>
  <c r="A135" i="28"/>
  <c r="K134" i="28"/>
  <c r="I134" i="28"/>
  <c r="J136" i="28" s="1"/>
  <c r="D134" i="28"/>
  <c r="C134" i="28"/>
  <c r="A134" i="28"/>
  <c r="K133" i="28"/>
  <c r="I133" i="28"/>
  <c r="D133" i="28"/>
  <c r="C133" i="28"/>
  <c r="A133" i="28"/>
  <c r="K132" i="28"/>
  <c r="I132" i="28"/>
  <c r="J134" i="28" s="1"/>
  <c r="D132" i="28"/>
  <c r="C132" i="28"/>
  <c r="A132" i="28"/>
  <c r="K131" i="28"/>
  <c r="J131" i="28"/>
  <c r="I131" i="28"/>
  <c r="J133" i="28" s="1"/>
  <c r="D131" i="28"/>
  <c r="C131" i="28"/>
  <c r="A131" i="28"/>
  <c r="K130" i="28"/>
  <c r="I130" i="28"/>
  <c r="J132" i="28" s="1"/>
  <c r="D130" i="28"/>
  <c r="C130" i="28"/>
  <c r="A130" i="28"/>
  <c r="K129" i="28"/>
  <c r="I129" i="28"/>
  <c r="D129" i="28"/>
  <c r="C129" i="28"/>
  <c r="A129" i="28"/>
  <c r="K128" i="28"/>
  <c r="I128" i="28"/>
  <c r="J130" i="28" s="1"/>
  <c r="D128" i="28"/>
  <c r="C128" i="28"/>
  <c r="A128" i="28"/>
  <c r="K127" i="28"/>
  <c r="J127" i="28"/>
  <c r="I127" i="28"/>
  <c r="J129" i="28" s="1"/>
  <c r="D127" i="28"/>
  <c r="C127" i="28"/>
  <c r="A127" i="28"/>
  <c r="K126" i="28"/>
  <c r="I126" i="28"/>
  <c r="J128" i="28" s="1"/>
  <c r="D126" i="28"/>
  <c r="C126" i="28"/>
  <c r="A126" i="28"/>
  <c r="K125" i="28"/>
  <c r="I125" i="28"/>
  <c r="D125" i="28"/>
  <c r="C125" i="28"/>
  <c r="A125" i="28"/>
  <c r="K124" i="28"/>
  <c r="I124" i="28"/>
  <c r="J126" i="28" s="1"/>
  <c r="D124" i="28"/>
  <c r="C124" i="28"/>
  <c r="A124" i="28"/>
  <c r="K123" i="28"/>
  <c r="J123" i="28"/>
  <c r="I123" i="28"/>
  <c r="J125" i="28" s="1"/>
  <c r="D123" i="28"/>
  <c r="C123" i="28"/>
  <c r="A123" i="28"/>
  <c r="K122" i="28"/>
  <c r="I122" i="28"/>
  <c r="J124" i="28" s="1"/>
  <c r="D122" i="28"/>
  <c r="C122" i="28"/>
  <c r="A122" i="28"/>
  <c r="K121" i="28"/>
  <c r="I121" i="28"/>
  <c r="D121" i="28"/>
  <c r="C121" i="28"/>
  <c r="A121" i="28"/>
  <c r="K120" i="28"/>
  <c r="I120" i="28"/>
  <c r="J122" i="28" s="1"/>
  <c r="D120" i="28"/>
  <c r="C120" i="28"/>
  <c r="A120" i="28"/>
  <c r="K119" i="28"/>
  <c r="J119" i="28"/>
  <c r="I119" i="28"/>
  <c r="J121" i="28" s="1"/>
  <c r="D119" i="28"/>
  <c r="C119" i="28"/>
  <c r="A119" i="28"/>
  <c r="K118" i="28"/>
  <c r="I118" i="28"/>
  <c r="J120" i="28" s="1"/>
  <c r="D118" i="28"/>
  <c r="C118" i="28"/>
  <c r="A118" i="28"/>
  <c r="K117" i="28"/>
  <c r="I117" i="28"/>
  <c r="D117" i="28"/>
  <c r="C117" i="28"/>
  <c r="A117" i="28"/>
  <c r="K116" i="28"/>
  <c r="I116" i="28"/>
  <c r="J118" i="28" s="1"/>
  <c r="D116" i="28"/>
  <c r="C116" i="28"/>
  <c r="A116" i="28"/>
  <c r="K115" i="28"/>
  <c r="J115" i="28"/>
  <c r="I115" i="28"/>
  <c r="J117" i="28" s="1"/>
  <c r="D115" i="28"/>
  <c r="C115" i="28"/>
  <c r="A115" i="28"/>
  <c r="K114" i="28"/>
  <c r="I114" i="28"/>
  <c r="J116" i="28" s="1"/>
  <c r="D114" i="28"/>
  <c r="C114" i="28"/>
  <c r="A114" i="28"/>
  <c r="K113" i="28"/>
  <c r="I113" i="28"/>
  <c r="D113" i="28"/>
  <c r="C113" i="28"/>
  <c r="A113" i="28"/>
  <c r="K112" i="28"/>
  <c r="I112" i="28"/>
  <c r="J114" i="28" s="1"/>
  <c r="D112" i="28"/>
  <c r="C112" i="28"/>
  <c r="A112" i="28"/>
  <c r="K111" i="28"/>
  <c r="J111" i="28"/>
  <c r="I111" i="28"/>
  <c r="J113" i="28" s="1"/>
  <c r="D111" i="28"/>
  <c r="C111" i="28"/>
  <c r="A111" i="28"/>
  <c r="K110" i="28"/>
  <c r="I110" i="28"/>
  <c r="J112" i="28" s="1"/>
  <c r="D110" i="28"/>
  <c r="C110" i="28"/>
  <c r="A110" i="28"/>
  <c r="K109" i="28"/>
  <c r="I109" i="28"/>
  <c r="D109" i="28"/>
  <c r="C109" i="28"/>
  <c r="A109" i="28"/>
  <c r="K108" i="28"/>
  <c r="I108" i="28"/>
  <c r="J110" i="28" s="1"/>
  <c r="D108" i="28"/>
  <c r="C108" i="28"/>
  <c r="A108" i="28"/>
  <c r="K107" i="28"/>
  <c r="J107" i="28"/>
  <c r="I107" i="28"/>
  <c r="J109" i="28" s="1"/>
  <c r="D107" i="28"/>
  <c r="C107" i="28"/>
  <c r="A107" i="28"/>
  <c r="K106" i="28"/>
  <c r="I106" i="28"/>
  <c r="J108" i="28" s="1"/>
  <c r="D106" i="28"/>
  <c r="C106" i="28"/>
  <c r="A106" i="28"/>
  <c r="K105" i="28"/>
  <c r="I105" i="28"/>
  <c r="D105" i="28"/>
  <c r="C105" i="28"/>
  <c r="A105" i="28"/>
  <c r="K104" i="28"/>
  <c r="I104" i="28"/>
  <c r="J106" i="28" s="1"/>
  <c r="D104" i="28"/>
  <c r="C104" i="28"/>
  <c r="A104" i="28"/>
  <c r="K103" i="28"/>
  <c r="J103" i="28"/>
  <c r="I103" i="28"/>
  <c r="J105" i="28" s="1"/>
  <c r="D103" i="28"/>
  <c r="C103" i="28"/>
  <c r="A103" i="28"/>
  <c r="K102" i="28"/>
  <c r="I102" i="28"/>
  <c r="J104" i="28" s="1"/>
  <c r="D102" i="28"/>
  <c r="C102" i="28"/>
  <c r="A102" i="28"/>
  <c r="K101" i="28"/>
  <c r="I101" i="28"/>
  <c r="D101" i="28"/>
  <c r="C101" i="28"/>
  <c r="A101" i="28"/>
  <c r="K100" i="28"/>
  <c r="I100" i="28"/>
  <c r="J102" i="28" s="1"/>
  <c r="D100" i="28"/>
  <c r="C100" i="28"/>
  <c r="A100" i="28"/>
  <c r="K99" i="28"/>
  <c r="J99" i="28"/>
  <c r="I99" i="28"/>
  <c r="J101" i="28" s="1"/>
  <c r="D99" i="28"/>
  <c r="C99" i="28"/>
  <c r="A99" i="28"/>
  <c r="K98" i="28"/>
  <c r="I98" i="28"/>
  <c r="J100" i="28" s="1"/>
  <c r="D98" i="28"/>
  <c r="C98" i="28"/>
  <c r="A98" i="28"/>
  <c r="K97" i="28"/>
  <c r="I97" i="28"/>
  <c r="D97" i="28"/>
  <c r="C97" i="28"/>
  <c r="A97" i="28"/>
  <c r="K96" i="28"/>
  <c r="I96" i="28"/>
  <c r="J98" i="28" s="1"/>
  <c r="D96" i="28"/>
  <c r="C96" i="28"/>
  <c r="A96" i="28"/>
  <c r="K95" i="28"/>
  <c r="J95" i="28"/>
  <c r="I95" i="28"/>
  <c r="J97" i="28" s="1"/>
  <c r="D95" i="28"/>
  <c r="C95" i="28"/>
  <c r="A95" i="28"/>
  <c r="K94" i="28"/>
  <c r="I94" i="28"/>
  <c r="J96" i="28" s="1"/>
  <c r="D94" i="28"/>
  <c r="C94" i="28"/>
  <c r="A94" i="28"/>
  <c r="K93" i="28"/>
  <c r="I93" i="28"/>
  <c r="D93" i="28"/>
  <c r="C93" i="28"/>
  <c r="A93" i="28"/>
  <c r="K92" i="28"/>
  <c r="I92" i="28"/>
  <c r="J94" i="28" s="1"/>
  <c r="D92" i="28"/>
  <c r="C92" i="28"/>
  <c r="A92" i="28"/>
  <c r="K91" i="28"/>
  <c r="J91" i="28"/>
  <c r="I91" i="28"/>
  <c r="J93" i="28" s="1"/>
  <c r="D91" i="28"/>
  <c r="C91" i="28"/>
  <c r="A91" i="28"/>
  <c r="K90" i="28"/>
  <c r="I90" i="28"/>
  <c r="J92" i="28" s="1"/>
  <c r="D90" i="28"/>
  <c r="C90" i="28"/>
  <c r="A90" i="28"/>
  <c r="K89" i="28"/>
  <c r="I89" i="28"/>
  <c r="D89" i="28"/>
  <c r="C89" i="28"/>
  <c r="A89" i="28"/>
  <c r="K88" i="28"/>
  <c r="I88" i="28"/>
  <c r="J90" i="28" s="1"/>
  <c r="D88" i="28"/>
  <c r="C88" i="28"/>
  <c r="A88" i="28"/>
  <c r="K87" i="28"/>
  <c r="J87" i="28"/>
  <c r="I87" i="28"/>
  <c r="J89" i="28" s="1"/>
  <c r="D87" i="28"/>
  <c r="C87" i="28"/>
  <c r="A87" i="28"/>
  <c r="K86" i="28"/>
  <c r="I86" i="28"/>
  <c r="J88" i="28" s="1"/>
  <c r="D86" i="28"/>
  <c r="C86" i="28"/>
  <c r="A86" i="28"/>
  <c r="K85" i="28"/>
  <c r="I85" i="28"/>
  <c r="D85" i="28"/>
  <c r="C85" i="28"/>
  <c r="A85" i="28"/>
  <c r="K84" i="28"/>
  <c r="I84" i="28"/>
  <c r="J86" i="28" s="1"/>
  <c r="D84" i="28"/>
  <c r="C84" i="28"/>
  <c r="A84" i="28"/>
  <c r="K83" i="28"/>
  <c r="J83" i="28"/>
  <c r="I83" i="28"/>
  <c r="J85" i="28" s="1"/>
  <c r="D83" i="28"/>
  <c r="C83" i="28"/>
  <c r="A83" i="28"/>
  <c r="K82" i="28"/>
  <c r="I82" i="28"/>
  <c r="J84" i="28" s="1"/>
  <c r="D82" i="28"/>
  <c r="C82" i="28"/>
  <c r="A82" i="28"/>
  <c r="K81" i="28"/>
  <c r="I81" i="28"/>
  <c r="D81" i="28"/>
  <c r="C81" i="28"/>
  <c r="A81" i="28"/>
  <c r="K80" i="28"/>
  <c r="I80" i="28"/>
  <c r="J82" i="28" s="1"/>
  <c r="D80" i="28"/>
  <c r="C80" i="28"/>
  <c r="A80" i="28"/>
  <c r="K79" i="28"/>
  <c r="J79" i="28"/>
  <c r="I79" i="28"/>
  <c r="J81" i="28" s="1"/>
  <c r="D79" i="28"/>
  <c r="C79" i="28"/>
  <c r="A79" i="28"/>
  <c r="K78" i="28"/>
  <c r="I78" i="28"/>
  <c r="J80" i="28" s="1"/>
  <c r="D78" i="28"/>
  <c r="C78" i="28"/>
  <c r="A78" i="28"/>
  <c r="K77" i="28"/>
  <c r="I77" i="28"/>
  <c r="D77" i="28"/>
  <c r="C77" i="28"/>
  <c r="A77" i="28"/>
  <c r="K76" i="28"/>
  <c r="I76" i="28"/>
  <c r="J78" i="28" s="1"/>
  <c r="D76" i="28"/>
  <c r="C76" i="28"/>
  <c r="A76" i="28"/>
  <c r="K75" i="28"/>
  <c r="J75" i="28"/>
  <c r="I75" i="28"/>
  <c r="J77" i="28" s="1"/>
  <c r="D75" i="28"/>
  <c r="C75" i="28"/>
  <c r="A75" i="28"/>
  <c r="K74" i="28"/>
  <c r="I74" i="28"/>
  <c r="J76" i="28" s="1"/>
  <c r="D74" i="28"/>
  <c r="C74" i="28"/>
  <c r="A74" i="28"/>
  <c r="K73" i="28"/>
  <c r="I73" i="28"/>
  <c r="D73" i="28"/>
  <c r="C73" i="28"/>
  <c r="A73" i="28"/>
  <c r="K72" i="28"/>
  <c r="I72" i="28"/>
  <c r="J74" i="28" s="1"/>
  <c r="D72" i="28"/>
  <c r="C72" i="28"/>
  <c r="A72" i="28"/>
  <c r="K71" i="28"/>
  <c r="J71" i="28"/>
  <c r="I71" i="28"/>
  <c r="J73" i="28" s="1"/>
  <c r="D71" i="28"/>
  <c r="C71" i="28"/>
  <c r="A71" i="28"/>
  <c r="K70" i="28"/>
  <c r="I70" i="28"/>
  <c r="J72" i="28" s="1"/>
  <c r="D70" i="28"/>
  <c r="C70" i="28"/>
  <c r="A70" i="28"/>
  <c r="K69" i="28"/>
  <c r="I69" i="28"/>
  <c r="D69" i="28"/>
  <c r="C69" i="28"/>
  <c r="A69" i="28"/>
  <c r="K68" i="28"/>
  <c r="I68" i="28"/>
  <c r="J70" i="28" s="1"/>
  <c r="D68" i="28"/>
  <c r="C68" i="28"/>
  <c r="A68" i="28"/>
  <c r="K67" i="28"/>
  <c r="J67" i="28"/>
  <c r="I67" i="28"/>
  <c r="J69" i="28" s="1"/>
  <c r="D67" i="28"/>
  <c r="C67" i="28"/>
  <c r="A67" i="28"/>
  <c r="K66" i="28"/>
  <c r="I66" i="28"/>
  <c r="J68" i="28" s="1"/>
  <c r="D66" i="28"/>
  <c r="C66" i="28"/>
  <c r="A66" i="28"/>
  <c r="K65" i="28"/>
  <c r="I65" i="28"/>
  <c r="D65" i="28"/>
  <c r="C65" i="28"/>
  <c r="A65" i="28"/>
  <c r="K64" i="28"/>
  <c r="I64" i="28"/>
  <c r="J66" i="28" s="1"/>
  <c r="D64" i="28"/>
  <c r="C64" i="28"/>
  <c r="A64" i="28"/>
  <c r="K63" i="28"/>
  <c r="J63" i="28"/>
  <c r="I63" i="28"/>
  <c r="J65" i="28" s="1"/>
  <c r="D63" i="28"/>
  <c r="C63" i="28"/>
  <c r="A63" i="28"/>
  <c r="K62" i="28"/>
  <c r="I62" i="28"/>
  <c r="J64" i="28" s="1"/>
  <c r="D62" i="28"/>
  <c r="C62" i="28"/>
  <c r="A62" i="28"/>
  <c r="K61" i="28"/>
  <c r="I61" i="28"/>
  <c r="D61" i="28"/>
  <c r="C61" i="28"/>
  <c r="A61" i="28"/>
  <c r="K60" i="28"/>
  <c r="I60" i="28"/>
  <c r="J62" i="28" s="1"/>
  <c r="D60" i="28"/>
  <c r="C60" i="28"/>
  <c r="A60" i="28"/>
  <c r="K59" i="28"/>
  <c r="J59" i="28"/>
  <c r="I59" i="28"/>
  <c r="J61" i="28" s="1"/>
  <c r="D59" i="28"/>
  <c r="C59" i="28"/>
  <c r="A59" i="28"/>
  <c r="K58" i="28"/>
  <c r="I58" i="28"/>
  <c r="J60" i="28" s="1"/>
  <c r="D58" i="28"/>
  <c r="C58" i="28"/>
  <c r="A58" i="28"/>
  <c r="K57" i="28"/>
  <c r="I57" i="28"/>
  <c r="D57" i="28"/>
  <c r="C57" i="28"/>
  <c r="A57" i="28"/>
  <c r="K56" i="28"/>
  <c r="I56" i="28"/>
  <c r="J58" i="28" s="1"/>
  <c r="D56" i="28"/>
  <c r="C56" i="28"/>
  <c r="A56" i="28"/>
  <c r="K55" i="28"/>
  <c r="J55" i="28"/>
  <c r="I55" i="28"/>
  <c r="J57" i="28" s="1"/>
  <c r="D55" i="28"/>
  <c r="C55" i="28"/>
  <c r="A55" i="28"/>
  <c r="K54" i="28"/>
  <c r="I54" i="28"/>
  <c r="J56" i="28" s="1"/>
  <c r="D54" i="28"/>
  <c r="C54" i="28"/>
  <c r="A54" i="28"/>
  <c r="K53" i="28"/>
  <c r="I53" i="28"/>
  <c r="D53" i="28"/>
  <c r="C53" i="28"/>
  <c r="A53" i="28"/>
  <c r="K52" i="28"/>
  <c r="I52" i="28"/>
  <c r="J54" i="28" s="1"/>
  <c r="D52" i="28"/>
  <c r="C52" i="28"/>
  <c r="A52" i="28"/>
  <c r="K51" i="28"/>
  <c r="J51" i="28"/>
  <c r="I51" i="28"/>
  <c r="J53" i="28" s="1"/>
  <c r="D51" i="28"/>
  <c r="C51" i="28"/>
  <c r="A51" i="28"/>
  <c r="K50" i="28"/>
  <c r="I50" i="28"/>
  <c r="J52" i="28" s="1"/>
  <c r="D50" i="28"/>
  <c r="C50" i="28"/>
  <c r="A50" i="28"/>
  <c r="K49" i="28"/>
  <c r="I49" i="28"/>
  <c r="D49" i="28"/>
  <c r="C49" i="28"/>
  <c r="A49" i="28"/>
  <c r="K48" i="28"/>
  <c r="I48" i="28"/>
  <c r="J50" i="28" s="1"/>
  <c r="D48" i="28"/>
  <c r="C48" i="28"/>
  <c r="A48" i="28"/>
  <c r="K47" i="28"/>
  <c r="J47" i="28"/>
  <c r="I47" i="28"/>
  <c r="J49" i="28" s="1"/>
  <c r="D47" i="28"/>
  <c r="C47" i="28"/>
  <c r="A47" i="28"/>
  <c r="K46" i="28"/>
  <c r="I46" i="28"/>
  <c r="J48" i="28" s="1"/>
  <c r="D46" i="28"/>
  <c r="C46" i="28"/>
  <c r="A46" i="28"/>
  <c r="K45" i="28"/>
  <c r="I45" i="28"/>
  <c r="D45" i="28"/>
  <c r="C45" i="28"/>
  <c r="A45" i="28"/>
  <c r="K44" i="28"/>
  <c r="I44" i="28"/>
  <c r="J46" i="28" s="1"/>
  <c r="D44" i="28"/>
  <c r="C44" i="28"/>
  <c r="A44" i="28"/>
  <c r="K43" i="28"/>
  <c r="J43" i="28"/>
  <c r="I43" i="28"/>
  <c r="J45" i="28" s="1"/>
  <c r="D43" i="28"/>
  <c r="C43" i="28"/>
  <c r="A43" i="28"/>
  <c r="K42" i="28"/>
  <c r="I42" i="28"/>
  <c r="J44" i="28" s="1"/>
  <c r="D42" i="28"/>
  <c r="C42" i="28"/>
  <c r="A42" i="28"/>
  <c r="K41" i="28"/>
  <c r="I41" i="28"/>
  <c r="D41" i="28"/>
  <c r="C41" i="28"/>
  <c r="A41" i="28"/>
  <c r="K40" i="28"/>
  <c r="I40" i="28"/>
  <c r="J42" i="28" s="1"/>
  <c r="D40" i="28"/>
  <c r="C40" i="28"/>
  <c r="A40" i="28"/>
  <c r="K39" i="28"/>
  <c r="J39" i="28"/>
  <c r="I39" i="28"/>
  <c r="J41" i="28" s="1"/>
  <c r="D39" i="28"/>
  <c r="C39" i="28"/>
  <c r="A39" i="28"/>
  <c r="K38" i="28"/>
  <c r="I38" i="28"/>
  <c r="J40" i="28" s="1"/>
  <c r="D38" i="28"/>
  <c r="C38" i="28"/>
  <c r="A38" i="28"/>
  <c r="K37" i="28"/>
  <c r="I37" i="28"/>
  <c r="D37" i="28"/>
  <c r="C37" i="28"/>
  <c r="A37" i="28"/>
  <c r="K36" i="28"/>
  <c r="I36" i="28"/>
  <c r="J38" i="28" s="1"/>
  <c r="D36" i="28"/>
  <c r="C36" i="28"/>
  <c r="A36" i="28"/>
  <c r="K35" i="28"/>
  <c r="J35" i="28"/>
  <c r="I35" i="28"/>
  <c r="J37" i="28" s="1"/>
  <c r="D35" i="28"/>
  <c r="C35" i="28"/>
  <c r="A35" i="28"/>
  <c r="K34" i="28"/>
  <c r="I34" i="28"/>
  <c r="J36" i="28" s="1"/>
  <c r="D34" i="28"/>
  <c r="C34" i="28"/>
  <c r="A34" i="28"/>
  <c r="K33" i="28"/>
  <c r="I33" i="28"/>
  <c r="D33" i="28"/>
  <c r="C33" i="28"/>
  <c r="A33" i="28"/>
  <c r="K32" i="28"/>
  <c r="I32" i="28"/>
  <c r="J34" i="28" s="1"/>
  <c r="D32" i="28"/>
  <c r="C32" i="28"/>
  <c r="A32" i="28"/>
  <c r="K31" i="28"/>
  <c r="J31" i="28"/>
  <c r="I31" i="28"/>
  <c r="J33" i="28" s="1"/>
  <c r="D31" i="28"/>
  <c r="C31" i="28"/>
  <c r="A31" i="28"/>
  <c r="K30" i="28"/>
  <c r="I30" i="28"/>
  <c r="J32" i="28" s="1"/>
  <c r="D30" i="28"/>
  <c r="C30" i="28"/>
  <c r="A30" i="28"/>
  <c r="K29" i="28"/>
  <c r="I29" i="28"/>
  <c r="D29" i="28"/>
  <c r="C29" i="28"/>
  <c r="A29" i="28"/>
  <c r="K28" i="28"/>
  <c r="I28" i="28"/>
  <c r="J30" i="28" s="1"/>
  <c r="D28" i="28"/>
  <c r="C28" i="28"/>
  <c r="A28" i="28"/>
  <c r="K27" i="28"/>
  <c r="J27" i="28"/>
  <c r="I27" i="28"/>
  <c r="J29" i="28" s="1"/>
  <c r="D27" i="28"/>
  <c r="C27" i="28"/>
  <c r="A27" i="28"/>
  <c r="K26" i="28"/>
  <c r="I26" i="28"/>
  <c r="J28" i="28" s="1"/>
  <c r="D26" i="28"/>
  <c r="C26" i="28"/>
  <c r="A26" i="28"/>
  <c r="K25" i="28"/>
  <c r="I25" i="28"/>
  <c r="D25" i="28"/>
  <c r="C25" i="28"/>
  <c r="A25" i="28"/>
  <c r="K24" i="28"/>
  <c r="I24" i="28"/>
  <c r="J26" i="28" s="1"/>
  <c r="D24" i="28"/>
  <c r="C24" i="28"/>
  <c r="A24" i="28"/>
  <c r="K23" i="28"/>
  <c r="J23" i="28"/>
  <c r="I23" i="28"/>
  <c r="J25" i="28" s="1"/>
  <c r="D23" i="28"/>
  <c r="C23" i="28"/>
  <c r="A23" i="28"/>
  <c r="K22" i="28"/>
  <c r="I22" i="28"/>
  <c r="J24" i="28" s="1"/>
  <c r="D22" i="28"/>
  <c r="C22" i="28"/>
  <c r="A22" i="28"/>
  <c r="K21" i="28"/>
  <c r="I21" i="28"/>
  <c r="D21" i="28"/>
  <c r="C21" i="28"/>
  <c r="A21" i="28"/>
  <c r="K20" i="28"/>
  <c r="I20" i="28"/>
  <c r="J22" i="28" s="1"/>
  <c r="D20" i="28"/>
  <c r="C20" i="28"/>
  <c r="A20" i="28"/>
  <c r="K19" i="28"/>
  <c r="J19" i="28"/>
  <c r="I19" i="28"/>
  <c r="J21" i="28" s="1"/>
  <c r="D19" i="28"/>
  <c r="C19" i="28"/>
  <c r="A19" i="28"/>
  <c r="K18" i="28"/>
  <c r="I18" i="28"/>
  <c r="J20" i="28" s="1"/>
  <c r="D18" i="28"/>
  <c r="C18" i="28"/>
  <c r="A18" i="28"/>
  <c r="K17" i="28"/>
  <c r="J17" i="28"/>
  <c r="I17" i="28"/>
  <c r="D17" i="28"/>
  <c r="A17" i="28"/>
  <c r="K16" i="28"/>
  <c r="J16" i="28"/>
  <c r="I16" i="28"/>
  <c r="J18" i="28" s="1"/>
  <c r="D16" i="28"/>
  <c r="C16" i="28"/>
  <c r="A16" i="28"/>
  <c r="B11" i="28"/>
  <c r="B10" i="28"/>
  <c r="G4" i="28"/>
  <c r="J210" i="27"/>
  <c r="G210" i="27"/>
  <c r="D210" i="27"/>
  <c r="C210" i="27"/>
  <c r="B210" i="27"/>
  <c r="J209" i="27"/>
  <c r="G209" i="27"/>
  <c r="D209" i="27"/>
  <c r="C209" i="27"/>
  <c r="B209" i="27"/>
  <c r="J208" i="27"/>
  <c r="K210" i="27" s="1"/>
  <c r="G208" i="27"/>
  <c r="D208" i="27"/>
  <c r="C208" i="27"/>
  <c r="B208" i="27"/>
  <c r="J207" i="27"/>
  <c r="K209" i="27" s="1"/>
  <c r="G207" i="27"/>
  <c r="D207" i="27"/>
  <c r="C207" i="27"/>
  <c r="B207" i="27"/>
  <c r="J206" i="27"/>
  <c r="K208" i="27" s="1"/>
  <c r="G206" i="27"/>
  <c r="D206" i="27"/>
  <c r="C206" i="27"/>
  <c r="B206" i="27"/>
  <c r="J205" i="27"/>
  <c r="K207" i="27" s="1"/>
  <c r="G205" i="27"/>
  <c r="D205" i="27"/>
  <c r="C205" i="27"/>
  <c r="B205" i="27"/>
  <c r="J204" i="27"/>
  <c r="K206" i="27" s="1"/>
  <c r="G204" i="27"/>
  <c r="D204" i="27"/>
  <c r="C204" i="27"/>
  <c r="B204" i="27"/>
  <c r="J203" i="27"/>
  <c r="K205" i="27" s="1"/>
  <c r="G203" i="27"/>
  <c r="D203" i="27"/>
  <c r="C203" i="27"/>
  <c r="B203" i="27"/>
  <c r="J202" i="27"/>
  <c r="K204" i="27" s="1"/>
  <c r="G202" i="27"/>
  <c r="D202" i="27"/>
  <c r="C202" i="27"/>
  <c r="B202" i="27"/>
  <c r="J201" i="27"/>
  <c r="K203" i="27" s="1"/>
  <c r="G201" i="27"/>
  <c r="D201" i="27"/>
  <c r="C201" i="27"/>
  <c r="B201" i="27"/>
  <c r="J200" i="27"/>
  <c r="K202" i="27" s="1"/>
  <c r="G200" i="27"/>
  <c r="D200" i="27"/>
  <c r="C200" i="27"/>
  <c r="B200" i="27"/>
  <c r="J199" i="27"/>
  <c r="K201" i="27" s="1"/>
  <c r="G199" i="27"/>
  <c r="D199" i="27"/>
  <c r="C199" i="27"/>
  <c r="B199" i="27"/>
  <c r="J198" i="27"/>
  <c r="K200" i="27" s="1"/>
  <c r="G198" i="27"/>
  <c r="D198" i="27"/>
  <c r="C198" i="27"/>
  <c r="B198" i="27"/>
  <c r="J197" i="27"/>
  <c r="K199" i="27" s="1"/>
  <c r="G197" i="27"/>
  <c r="D197" i="27"/>
  <c r="C197" i="27"/>
  <c r="B197" i="27"/>
  <c r="J196" i="27"/>
  <c r="K198" i="27" s="1"/>
  <c r="G196" i="27"/>
  <c r="D196" i="27"/>
  <c r="C196" i="27"/>
  <c r="B196" i="27"/>
  <c r="J195" i="27"/>
  <c r="K197" i="27" s="1"/>
  <c r="G195" i="27"/>
  <c r="D195" i="27"/>
  <c r="C195" i="27"/>
  <c r="B195" i="27"/>
  <c r="J194" i="27"/>
  <c r="K196" i="27" s="1"/>
  <c r="G194" i="27"/>
  <c r="D194" i="27"/>
  <c r="C194" i="27"/>
  <c r="B194" i="27"/>
  <c r="J193" i="27"/>
  <c r="K195" i="27" s="1"/>
  <c r="G193" i="27"/>
  <c r="D193" i="27"/>
  <c r="C193" i="27"/>
  <c r="B193" i="27"/>
  <c r="J192" i="27"/>
  <c r="K194" i="27" s="1"/>
  <c r="G192" i="27"/>
  <c r="D192" i="27"/>
  <c r="C192" i="27"/>
  <c r="B192" i="27"/>
  <c r="J191" i="27"/>
  <c r="K193" i="27" s="1"/>
  <c r="G191" i="27"/>
  <c r="D191" i="27"/>
  <c r="C191" i="27"/>
  <c r="B191" i="27"/>
  <c r="J190" i="27"/>
  <c r="K192" i="27" s="1"/>
  <c r="G190" i="27"/>
  <c r="D190" i="27"/>
  <c r="C190" i="27"/>
  <c r="B190" i="27"/>
  <c r="J189" i="27"/>
  <c r="K191" i="27" s="1"/>
  <c r="G189" i="27"/>
  <c r="D189" i="27"/>
  <c r="C189" i="27"/>
  <c r="B189" i="27"/>
  <c r="J188" i="27"/>
  <c r="K190" i="27" s="1"/>
  <c r="G188" i="27"/>
  <c r="D188" i="27"/>
  <c r="C188" i="27"/>
  <c r="B188" i="27"/>
  <c r="J187" i="27"/>
  <c r="K189" i="27" s="1"/>
  <c r="G187" i="27"/>
  <c r="D187" i="27"/>
  <c r="C187" i="27"/>
  <c r="B187" i="27"/>
  <c r="J186" i="27"/>
  <c r="K188" i="27" s="1"/>
  <c r="G186" i="27"/>
  <c r="D186" i="27"/>
  <c r="C186" i="27"/>
  <c r="B186" i="27"/>
  <c r="J185" i="27"/>
  <c r="K187" i="27" s="1"/>
  <c r="G185" i="27"/>
  <c r="D185" i="27"/>
  <c r="C185" i="27"/>
  <c r="B185" i="27"/>
  <c r="J184" i="27"/>
  <c r="K186" i="27" s="1"/>
  <c r="G184" i="27"/>
  <c r="D184" i="27"/>
  <c r="C184" i="27"/>
  <c r="B184" i="27"/>
  <c r="J183" i="27"/>
  <c r="K185" i="27" s="1"/>
  <c r="G183" i="27"/>
  <c r="D183" i="27"/>
  <c r="C183" i="27"/>
  <c r="B183" i="27"/>
  <c r="J182" i="27"/>
  <c r="K184" i="27" s="1"/>
  <c r="G182" i="27"/>
  <c r="D182" i="27"/>
  <c r="C182" i="27"/>
  <c r="B182" i="27"/>
  <c r="J181" i="27"/>
  <c r="K183" i="27" s="1"/>
  <c r="G181" i="27"/>
  <c r="D181" i="27"/>
  <c r="C181" i="27"/>
  <c r="B181" i="27"/>
  <c r="J180" i="27"/>
  <c r="K182" i="27" s="1"/>
  <c r="G180" i="27"/>
  <c r="D180" i="27"/>
  <c r="C180" i="27"/>
  <c r="B180" i="27"/>
  <c r="J179" i="27"/>
  <c r="K181" i="27" s="1"/>
  <c r="G179" i="27"/>
  <c r="D179" i="27"/>
  <c r="C179" i="27"/>
  <c r="B179" i="27"/>
  <c r="J178" i="27"/>
  <c r="K180" i="27" s="1"/>
  <c r="G178" i="27"/>
  <c r="D178" i="27"/>
  <c r="C178" i="27"/>
  <c r="B178" i="27"/>
  <c r="J177" i="27"/>
  <c r="K179" i="27" s="1"/>
  <c r="G177" i="27"/>
  <c r="D177" i="27"/>
  <c r="C177" i="27"/>
  <c r="B177" i="27"/>
  <c r="J176" i="27"/>
  <c r="K178" i="27" s="1"/>
  <c r="G176" i="27"/>
  <c r="D176" i="27"/>
  <c r="C176" i="27"/>
  <c r="B176" i="27"/>
  <c r="J175" i="27"/>
  <c r="K177" i="27" s="1"/>
  <c r="G175" i="27"/>
  <c r="D175" i="27"/>
  <c r="C175" i="27"/>
  <c r="B175" i="27"/>
  <c r="J174" i="27"/>
  <c r="K176" i="27" s="1"/>
  <c r="G174" i="27"/>
  <c r="D174" i="27"/>
  <c r="C174" i="27"/>
  <c r="B174" i="27"/>
  <c r="J173" i="27"/>
  <c r="K175" i="27" s="1"/>
  <c r="G173" i="27"/>
  <c r="D173" i="27"/>
  <c r="C173" i="27"/>
  <c r="B173" i="27"/>
  <c r="J172" i="27"/>
  <c r="K174" i="27" s="1"/>
  <c r="G172" i="27"/>
  <c r="D172" i="27"/>
  <c r="C172" i="27"/>
  <c r="B172" i="27"/>
  <c r="J171" i="27"/>
  <c r="K173" i="27" s="1"/>
  <c r="G171" i="27"/>
  <c r="D171" i="27"/>
  <c r="C171" i="27"/>
  <c r="B171" i="27"/>
  <c r="J170" i="27"/>
  <c r="K172" i="27" s="1"/>
  <c r="G170" i="27"/>
  <c r="D170" i="27"/>
  <c r="C170" i="27"/>
  <c r="B170" i="27"/>
  <c r="J169" i="27"/>
  <c r="K171" i="27" s="1"/>
  <c r="G169" i="27"/>
  <c r="D169" i="27"/>
  <c r="C169" i="27"/>
  <c r="B169" i="27"/>
  <c r="J168" i="27"/>
  <c r="K170" i="27" s="1"/>
  <c r="G168" i="27"/>
  <c r="D168" i="27"/>
  <c r="C168" i="27"/>
  <c r="B168" i="27"/>
  <c r="J167" i="27"/>
  <c r="K169" i="27" s="1"/>
  <c r="G167" i="27"/>
  <c r="D167" i="27"/>
  <c r="C167" i="27"/>
  <c r="B167" i="27"/>
  <c r="J166" i="27"/>
  <c r="K168" i="27" s="1"/>
  <c r="G166" i="27"/>
  <c r="D166" i="27"/>
  <c r="C166" i="27"/>
  <c r="B166" i="27"/>
  <c r="J165" i="27"/>
  <c r="K167" i="27" s="1"/>
  <c r="G165" i="27"/>
  <c r="D165" i="27"/>
  <c r="C165" i="27"/>
  <c r="B165" i="27"/>
  <c r="J164" i="27"/>
  <c r="K166" i="27" s="1"/>
  <c r="G164" i="27"/>
  <c r="D164" i="27"/>
  <c r="C164" i="27"/>
  <c r="B164" i="27"/>
  <c r="J163" i="27"/>
  <c r="K165" i="27" s="1"/>
  <c r="G163" i="27"/>
  <c r="D163" i="27"/>
  <c r="C163" i="27"/>
  <c r="B163" i="27"/>
  <c r="J162" i="27"/>
  <c r="K164" i="27" s="1"/>
  <c r="G162" i="27"/>
  <c r="D162" i="27"/>
  <c r="C162" i="27"/>
  <c r="B162" i="27"/>
  <c r="J161" i="27"/>
  <c r="K163" i="27" s="1"/>
  <c r="G161" i="27"/>
  <c r="D161" i="27"/>
  <c r="C161" i="27"/>
  <c r="B161" i="27"/>
  <c r="J160" i="27"/>
  <c r="K162" i="27" s="1"/>
  <c r="G160" i="27"/>
  <c r="D160" i="27"/>
  <c r="C160" i="27"/>
  <c r="B160" i="27"/>
  <c r="J159" i="27"/>
  <c r="K161" i="27" s="1"/>
  <c r="G159" i="27"/>
  <c r="D159" i="27"/>
  <c r="C159" i="27"/>
  <c r="B159" i="27"/>
  <c r="J158" i="27"/>
  <c r="K160" i="27" s="1"/>
  <c r="G158" i="27"/>
  <c r="D158" i="27"/>
  <c r="C158" i="27"/>
  <c r="B158" i="27"/>
  <c r="J157" i="27"/>
  <c r="K159" i="27" s="1"/>
  <c r="G157" i="27"/>
  <c r="D157" i="27"/>
  <c r="C157" i="27"/>
  <c r="B157" i="27"/>
  <c r="J156" i="27"/>
  <c r="K158" i="27" s="1"/>
  <c r="G156" i="27"/>
  <c r="D156" i="27"/>
  <c r="C156" i="27"/>
  <c r="B156" i="27"/>
  <c r="J155" i="27"/>
  <c r="K157" i="27" s="1"/>
  <c r="G155" i="27"/>
  <c r="D155" i="27"/>
  <c r="C155" i="27"/>
  <c r="B155" i="27"/>
  <c r="J154" i="27"/>
  <c r="K156" i="27" s="1"/>
  <c r="G154" i="27"/>
  <c r="D154" i="27"/>
  <c r="C154" i="27"/>
  <c r="B154" i="27"/>
  <c r="J153" i="27"/>
  <c r="K155" i="27" s="1"/>
  <c r="G153" i="27"/>
  <c r="D153" i="27"/>
  <c r="C153" i="27"/>
  <c r="B153" i="27"/>
  <c r="J152" i="27"/>
  <c r="K154" i="27" s="1"/>
  <c r="G152" i="27"/>
  <c r="D152" i="27"/>
  <c r="C152" i="27"/>
  <c r="B152" i="27"/>
  <c r="J151" i="27"/>
  <c r="K153" i="27" s="1"/>
  <c r="G151" i="27"/>
  <c r="D151" i="27"/>
  <c r="C151" i="27"/>
  <c r="B151" i="27"/>
  <c r="J150" i="27"/>
  <c r="K152" i="27" s="1"/>
  <c r="G150" i="27"/>
  <c r="D150" i="27"/>
  <c r="C150" i="27"/>
  <c r="B150" i="27"/>
  <c r="J149" i="27"/>
  <c r="K151" i="27" s="1"/>
  <c r="G149" i="27"/>
  <c r="D149" i="27"/>
  <c r="C149" i="27"/>
  <c r="B149" i="27"/>
  <c r="J148" i="27"/>
  <c r="K150" i="27" s="1"/>
  <c r="G148" i="27"/>
  <c r="D148" i="27"/>
  <c r="C148" i="27"/>
  <c r="B148" i="27"/>
  <c r="J147" i="27"/>
  <c r="K149" i="27" s="1"/>
  <c r="G147" i="27"/>
  <c r="D147" i="27"/>
  <c r="C147" i="27"/>
  <c r="B147" i="27"/>
  <c r="J146" i="27"/>
  <c r="K148" i="27" s="1"/>
  <c r="G146" i="27"/>
  <c r="D146" i="27"/>
  <c r="C146" i="27"/>
  <c r="B146" i="27"/>
  <c r="J145" i="27"/>
  <c r="K147" i="27" s="1"/>
  <c r="G145" i="27"/>
  <c r="D145" i="27"/>
  <c r="C145" i="27"/>
  <c r="B145" i="27"/>
  <c r="J144" i="27"/>
  <c r="K146" i="27" s="1"/>
  <c r="G144" i="27"/>
  <c r="D144" i="27"/>
  <c r="C144" i="27"/>
  <c r="B144" i="27"/>
  <c r="J143" i="27"/>
  <c r="K145" i="27" s="1"/>
  <c r="G143" i="27"/>
  <c r="D143" i="27"/>
  <c r="C143" i="27"/>
  <c r="B143" i="27"/>
  <c r="J142" i="27"/>
  <c r="K144" i="27" s="1"/>
  <c r="G142" i="27"/>
  <c r="D142" i="27"/>
  <c r="C142" i="27"/>
  <c r="B142" i="27"/>
  <c r="J141" i="27"/>
  <c r="K143" i="27" s="1"/>
  <c r="G141" i="27"/>
  <c r="D141" i="27"/>
  <c r="C141" i="27"/>
  <c r="B141" i="27"/>
  <c r="J140" i="27"/>
  <c r="K142" i="27" s="1"/>
  <c r="G140" i="27"/>
  <c r="D140" i="27"/>
  <c r="C140" i="27"/>
  <c r="B140" i="27"/>
  <c r="J139" i="27"/>
  <c r="K141" i="27" s="1"/>
  <c r="G139" i="27"/>
  <c r="D139" i="27"/>
  <c r="C139" i="27"/>
  <c r="B139" i="27"/>
  <c r="J138" i="27"/>
  <c r="K140" i="27" s="1"/>
  <c r="G138" i="27"/>
  <c r="D138" i="27"/>
  <c r="C138" i="27"/>
  <c r="B138" i="27"/>
  <c r="J137" i="27"/>
  <c r="K139" i="27" s="1"/>
  <c r="G137" i="27"/>
  <c r="D137" i="27"/>
  <c r="C137" i="27"/>
  <c r="B137" i="27"/>
  <c r="J136" i="27"/>
  <c r="K138" i="27" s="1"/>
  <c r="G136" i="27"/>
  <c r="D136" i="27"/>
  <c r="C136" i="27"/>
  <c r="B136" i="27"/>
  <c r="J135" i="27"/>
  <c r="K137" i="27" s="1"/>
  <c r="G135" i="27"/>
  <c r="D135" i="27"/>
  <c r="C135" i="27"/>
  <c r="B135" i="27"/>
  <c r="J134" i="27"/>
  <c r="K136" i="27" s="1"/>
  <c r="G134" i="27"/>
  <c r="D134" i="27"/>
  <c r="C134" i="27"/>
  <c r="B134" i="27"/>
  <c r="J133" i="27"/>
  <c r="K135" i="27" s="1"/>
  <c r="G133" i="27"/>
  <c r="D133" i="27"/>
  <c r="C133" i="27"/>
  <c r="B133" i="27"/>
  <c r="J132" i="27"/>
  <c r="K134" i="27" s="1"/>
  <c r="G132" i="27"/>
  <c r="D132" i="27"/>
  <c r="C132" i="27"/>
  <c r="B132" i="27"/>
  <c r="J131" i="27"/>
  <c r="K133" i="27" s="1"/>
  <c r="G131" i="27"/>
  <c r="D131" i="27"/>
  <c r="C131" i="27"/>
  <c r="B131" i="27"/>
  <c r="J130" i="27"/>
  <c r="K132" i="27" s="1"/>
  <c r="G130" i="27"/>
  <c r="D130" i="27"/>
  <c r="C130" i="27"/>
  <c r="B130" i="27"/>
  <c r="J129" i="27"/>
  <c r="K131" i="27" s="1"/>
  <c r="G129" i="27"/>
  <c r="D129" i="27"/>
  <c r="C129" i="27"/>
  <c r="B129" i="27"/>
  <c r="J128" i="27"/>
  <c r="K130" i="27" s="1"/>
  <c r="G128" i="27"/>
  <c r="D128" i="27"/>
  <c r="C128" i="27"/>
  <c r="B128" i="27"/>
  <c r="J127" i="27"/>
  <c r="K129" i="27" s="1"/>
  <c r="G127" i="27"/>
  <c r="D127" i="27"/>
  <c r="C127" i="27"/>
  <c r="B127" i="27"/>
  <c r="J126" i="27"/>
  <c r="K128" i="27" s="1"/>
  <c r="G126" i="27"/>
  <c r="D126" i="27"/>
  <c r="C126" i="27"/>
  <c r="B126" i="27"/>
  <c r="J125" i="27"/>
  <c r="K127" i="27" s="1"/>
  <c r="G125" i="27"/>
  <c r="D125" i="27"/>
  <c r="C125" i="27"/>
  <c r="B125" i="27"/>
  <c r="J124" i="27"/>
  <c r="K126" i="27" s="1"/>
  <c r="G124" i="27"/>
  <c r="D124" i="27"/>
  <c r="C124" i="27"/>
  <c r="B124" i="27"/>
  <c r="J123" i="27"/>
  <c r="K125" i="27" s="1"/>
  <c r="G123" i="27"/>
  <c r="D123" i="27"/>
  <c r="C123" i="27"/>
  <c r="B123" i="27"/>
  <c r="J122" i="27"/>
  <c r="K124" i="27" s="1"/>
  <c r="G122" i="27"/>
  <c r="D122" i="27"/>
  <c r="C122" i="27"/>
  <c r="B122" i="27"/>
  <c r="J121" i="27"/>
  <c r="K123" i="27" s="1"/>
  <c r="G121" i="27"/>
  <c r="D121" i="27"/>
  <c r="C121" i="27"/>
  <c r="B121" i="27"/>
  <c r="J120" i="27"/>
  <c r="K122" i="27" s="1"/>
  <c r="G120" i="27"/>
  <c r="D120" i="27"/>
  <c r="C120" i="27"/>
  <c r="B120" i="27"/>
  <c r="J119" i="27"/>
  <c r="K121" i="27" s="1"/>
  <c r="G119" i="27"/>
  <c r="D119" i="27"/>
  <c r="C119" i="27"/>
  <c r="B119" i="27"/>
  <c r="J118" i="27"/>
  <c r="K120" i="27" s="1"/>
  <c r="G118" i="27"/>
  <c r="D118" i="27"/>
  <c r="C118" i="27"/>
  <c r="B118" i="27"/>
  <c r="J117" i="27"/>
  <c r="K119" i="27" s="1"/>
  <c r="G117" i="27"/>
  <c r="D117" i="27"/>
  <c r="C117" i="27"/>
  <c r="B117" i="27"/>
  <c r="J116" i="27"/>
  <c r="K118" i="27" s="1"/>
  <c r="G116" i="27"/>
  <c r="D116" i="27"/>
  <c r="C116" i="27"/>
  <c r="B116" i="27"/>
  <c r="J115" i="27"/>
  <c r="K117" i="27" s="1"/>
  <c r="G115" i="27"/>
  <c r="D115" i="27"/>
  <c r="C115" i="27"/>
  <c r="B115" i="27"/>
  <c r="J114" i="27"/>
  <c r="K116" i="27" s="1"/>
  <c r="G114" i="27"/>
  <c r="D114" i="27"/>
  <c r="C114" i="27"/>
  <c r="B114" i="27"/>
  <c r="J113" i="27"/>
  <c r="K115" i="27" s="1"/>
  <c r="G113" i="27"/>
  <c r="D113" i="27"/>
  <c r="C113" i="27"/>
  <c r="B113" i="27"/>
  <c r="J112" i="27"/>
  <c r="K114" i="27" s="1"/>
  <c r="G112" i="27"/>
  <c r="D112" i="27"/>
  <c r="C112" i="27"/>
  <c r="B112" i="27"/>
  <c r="J111" i="27"/>
  <c r="K113" i="27" s="1"/>
  <c r="G111" i="27"/>
  <c r="D111" i="27"/>
  <c r="C111" i="27"/>
  <c r="B111" i="27"/>
  <c r="J110" i="27"/>
  <c r="K112" i="27" s="1"/>
  <c r="G110" i="27"/>
  <c r="D110" i="27"/>
  <c r="C110" i="27"/>
  <c r="B110" i="27"/>
  <c r="J109" i="27"/>
  <c r="K111" i="27" s="1"/>
  <c r="G109" i="27"/>
  <c r="D109" i="27"/>
  <c r="C109" i="27"/>
  <c r="B109" i="27"/>
  <c r="J108" i="27"/>
  <c r="K110" i="27" s="1"/>
  <c r="G108" i="27"/>
  <c r="D108" i="27"/>
  <c r="C108" i="27"/>
  <c r="B108" i="27"/>
  <c r="J107" i="27"/>
  <c r="K109" i="27" s="1"/>
  <c r="G107" i="27"/>
  <c r="D107" i="27"/>
  <c r="C107" i="27"/>
  <c r="B107" i="27"/>
  <c r="J106" i="27"/>
  <c r="K108" i="27" s="1"/>
  <c r="G106" i="27"/>
  <c r="D106" i="27"/>
  <c r="C106" i="27"/>
  <c r="B106" i="27"/>
  <c r="J105" i="27"/>
  <c r="K107" i="27" s="1"/>
  <c r="G105" i="27"/>
  <c r="D105" i="27"/>
  <c r="C105" i="27"/>
  <c r="B105" i="27"/>
  <c r="J104" i="27"/>
  <c r="K106" i="27" s="1"/>
  <c r="G104" i="27"/>
  <c r="D104" i="27"/>
  <c r="C104" i="27"/>
  <c r="B104" i="27"/>
  <c r="J103" i="27"/>
  <c r="K105" i="27" s="1"/>
  <c r="G103" i="27"/>
  <c r="D103" i="27"/>
  <c r="C103" i="27"/>
  <c r="B103" i="27"/>
  <c r="J102" i="27"/>
  <c r="K104" i="27" s="1"/>
  <c r="G102" i="27"/>
  <c r="D102" i="27"/>
  <c r="C102" i="27"/>
  <c r="B102" i="27"/>
  <c r="J101" i="27"/>
  <c r="K103" i="27" s="1"/>
  <c r="G101" i="27"/>
  <c r="D101" i="27"/>
  <c r="C101" i="27"/>
  <c r="B101" i="27"/>
  <c r="J100" i="27"/>
  <c r="K102" i="27" s="1"/>
  <c r="G100" i="27"/>
  <c r="D100" i="27"/>
  <c r="C100" i="27"/>
  <c r="B100" i="27"/>
  <c r="J99" i="27"/>
  <c r="K101" i="27" s="1"/>
  <c r="G99" i="27"/>
  <c r="D99" i="27"/>
  <c r="C99" i="27"/>
  <c r="B99" i="27"/>
  <c r="J98" i="27"/>
  <c r="K100" i="27" s="1"/>
  <c r="G98" i="27"/>
  <c r="D98" i="27"/>
  <c r="C98" i="27"/>
  <c r="B98" i="27"/>
  <c r="J97" i="27"/>
  <c r="K99" i="27" s="1"/>
  <c r="G97" i="27"/>
  <c r="D97" i="27"/>
  <c r="C97" i="27"/>
  <c r="B97" i="27"/>
  <c r="J96" i="27"/>
  <c r="K98" i="27" s="1"/>
  <c r="G96" i="27"/>
  <c r="D96" i="27"/>
  <c r="C96" i="27"/>
  <c r="B96" i="27"/>
  <c r="J95" i="27"/>
  <c r="K97" i="27" s="1"/>
  <c r="G95" i="27"/>
  <c r="D95" i="27"/>
  <c r="C95" i="27"/>
  <c r="B95" i="27"/>
  <c r="J94" i="27"/>
  <c r="K96" i="27" s="1"/>
  <c r="G94" i="27"/>
  <c r="D94" i="27"/>
  <c r="C94" i="27"/>
  <c r="B94" i="27"/>
  <c r="J93" i="27"/>
  <c r="K95" i="27" s="1"/>
  <c r="G93" i="27"/>
  <c r="D93" i="27"/>
  <c r="C93" i="27"/>
  <c r="B93" i="27"/>
  <c r="J92" i="27"/>
  <c r="K94" i="27" s="1"/>
  <c r="G92" i="27"/>
  <c r="D92" i="27"/>
  <c r="C92" i="27"/>
  <c r="B92" i="27"/>
  <c r="J91" i="27"/>
  <c r="K93" i="27" s="1"/>
  <c r="G91" i="27"/>
  <c r="D91" i="27"/>
  <c r="C91" i="27"/>
  <c r="B91" i="27"/>
  <c r="J90" i="27"/>
  <c r="K92" i="27" s="1"/>
  <c r="G90" i="27"/>
  <c r="D90" i="27"/>
  <c r="C90" i="27"/>
  <c r="B90" i="27"/>
  <c r="J89" i="27"/>
  <c r="K91" i="27" s="1"/>
  <c r="G89" i="27"/>
  <c r="D89" i="27"/>
  <c r="C89" i="27"/>
  <c r="B89" i="27"/>
  <c r="J88" i="27"/>
  <c r="K90" i="27" s="1"/>
  <c r="G88" i="27"/>
  <c r="D88" i="27"/>
  <c r="C88" i="27"/>
  <c r="B88" i="27"/>
  <c r="J87" i="27"/>
  <c r="K89" i="27" s="1"/>
  <c r="G87" i="27"/>
  <c r="D87" i="27"/>
  <c r="C87" i="27"/>
  <c r="B87" i="27"/>
  <c r="J86" i="27"/>
  <c r="K88" i="27" s="1"/>
  <c r="G86" i="27"/>
  <c r="D86" i="27"/>
  <c r="C86" i="27"/>
  <c r="B86" i="27"/>
  <c r="J85" i="27"/>
  <c r="K87" i="27" s="1"/>
  <c r="G85" i="27"/>
  <c r="D85" i="27"/>
  <c r="C85" i="27"/>
  <c r="B85" i="27"/>
  <c r="J84" i="27"/>
  <c r="K86" i="27" s="1"/>
  <c r="G84" i="27"/>
  <c r="D84" i="27"/>
  <c r="C84" i="27"/>
  <c r="B84" i="27"/>
  <c r="J83" i="27"/>
  <c r="K85" i="27" s="1"/>
  <c r="G83" i="27"/>
  <c r="D83" i="27"/>
  <c r="C83" i="27"/>
  <c r="B83" i="27"/>
  <c r="J82" i="27"/>
  <c r="K84" i="27" s="1"/>
  <c r="G82" i="27"/>
  <c r="D82" i="27"/>
  <c r="C82" i="27"/>
  <c r="B82" i="27"/>
  <c r="J81" i="27"/>
  <c r="K83" i="27" s="1"/>
  <c r="G81" i="27"/>
  <c r="D81" i="27"/>
  <c r="C81" i="27"/>
  <c r="B81" i="27"/>
  <c r="J80" i="27"/>
  <c r="K82" i="27" s="1"/>
  <c r="G80" i="27"/>
  <c r="D80" i="27"/>
  <c r="C80" i="27"/>
  <c r="B80" i="27"/>
  <c r="J79" i="27"/>
  <c r="K81" i="27" s="1"/>
  <c r="G79" i="27"/>
  <c r="D79" i="27"/>
  <c r="C79" i="27"/>
  <c r="B79" i="27"/>
  <c r="J78" i="27"/>
  <c r="K80" i="27" s="1"/>
  <c r="G78" i="27"/>
  <c r="D78" i="27"/>
  <c r="C78" i="27"/>
  <c r="B78" i="27"/>
  <c r="J77" i="27"/>
  <c r="K79" i="27" s="1"/>
  <c r="G77" i="27"/>
  <c r="D77" i="27"/>
  <c r="C77" i="27"/>
  <c r="B77" i="27"/>
  <c r="J76" i="27"/>
  <c r="K78" i="27" s="1"/>
  <c r="G76" i="27"/>
  <c r="D76" i="27"/>
  <c r="C76" i="27"/>
  <c r="B76" i="27"/>
  <c r="J75" i="27"/>
  <c r="K77" i="27" s="1"/>
  <c r="G75" i="27"/>
  <c r="D75" i="27"/>
  <c r="C75" i="27"/>
  <c r="B75" i="27"/>
  <c r="J74" i="27"/>
  <c r="K76" i="27" s="1"/>
  <c r="G74" i="27"/>
  <c r="D74" i="27"/>
  <c r="C74" i="27"/>
  <c r="B74" i="27"/>
  <c r="J73" i="27"/>
  <c r="K75" i="27" s="1"/>
  <c r="G73" i="27"/>
  <c r="D73" i="27"/>
  <c r="C73" i="27"/>
  <c r="B73" i="27"/>
  <c r="J72" i="27"/>
  <c r="K74" i="27" s="1"/>
  <c r="G72" i="27"/>
  <c r="D72" i="27"/>
  <c r="C72" i="27"/>
  <c r="B72" i="27"/>
  <c r="J71" i="27"/>
  <c r="K73" i="27" s="1"/>
  <c r="G71" i="27"/>
  <c r="D71" i="27"/>
  <c r="C71" i="27"/>
  <c r="B71" i="27"/>
  <c r="J70" i="27"/>
  <c r="K72" i="27" s="1"/>
  <c r="G70" i="27"/>
  <c r="D70" i="27"/>
  <c r="C70" i="27"/>
  <c r="B70" i="27"/>
  <c r="J69" i="27"/>
  <c r="K71" i="27" s="1"/>
  <c r="G69" i="27"/>
  <c r="D69" i="27"/>
  <c r="C69" i="27"/>
  <c r="B69" i="27"/>
  <c r="J68" i="27"/>
  <c r="K70" i="27" s="1"/>
  <c r="G68" i="27"/>
  <c r="D68" i="27"/>
  <c r="C68" i="27"/>
  <c r="B68" i="27"/>
  <c r="J67" i="27"/>
  <c r="K69" i="27" s="1"/>
  <c r="G67" i="27"/>
  <c r="D67" i="27"/>
  <c r="C67" i="27"/>
  <c r="B67" i="27"/>
  <c r="J66" i="27"/>
  <c r="K68" i="27" s="1"/>
  <c r="G66" i="27"/>
  <c r="D66" i="27"/>
  <c r="C66" i="27"/>
  <c r="B66" i="27"/>
  <c r="J65" i="27"/>
  <c r="K67" i="27" s="1"/>
  <c r="G65" i="27"/>
  <c r="D65" i="27"/>
  <c r="C65" i="27"/>
  <c r="B65" i="27"/>
  <c r="J64" i="27"/>
  <c r="K66" i="27" s="1"/>
  <c r="G64" i="27"/>
  <c r="D64" i="27"/>
  <c r="C64" i="27"/>
  <c r="B64" i="27"/>
  <c r="J63" i="27"/>
  <c r="K65" i="27" s="1"/>
  <c r="G63" i="27"/>
  <c r="D63" i="27"/>
  <c r="C63" i="27"/>
  <c r="B63" i="27"/>
  <c r="J62" i="27"/>
  <c r="K64" i="27" s="1"/>
  <c r="G62" i="27"/>
  <c r="D62" i="27"/>
  <c r="C62" i="27"/>
  <c r="B62" i="27"/>
  <c r="J61" i="27"/>
  <c r="K63" i="27" s="1"/>
  <c r="G61" i="27"/>
  <c r="D61" i="27"/>
  <c r="C61" i="27"/>
  <c r="B61" i="27"/>
  <c r="J60" i="27"/>
  <c r="K62" i="27" s="1"/>
  <c r="G60" i="27"/>
  <c r="D60" i="27"/>
  <c r="C60" i="27"/>
  <c r="B60" i="27"/>
  <c r="J59" i="27"/>
  <c r="K61" i="27" s="1"/>
  <c r="G59" i="27"/>
  <c r="D59" i="27"/>
  <c r="C59" i="27"/>
  <c r="B59" i="27"/>
  <c r="J58" i="27"/>
  <c r="K60" i="27" s="1"/>
  <c r="G58" i="27"/>
  <c r="D58" i="27"/>
  <c r="C58" i="27"/>
  <c r="B58" i="27"/>
  <c r="J57" i="27"/>
  <c r="K59" i="27" s="1"/>
  <c r="G57" i="27"/>
  <c r="D57" i="27"/>
  <c r="C57" i="27"/>
  <c r="B57" i="27"/>
  <c r="J56" i="27"/>
  <c r="K58" i="27" s="1"/>
  <c r="G56" i="27"/>
  <c r="D56" i="27"/>
  <c r="C56" i="27"/>
  <c r="B56" i="27"/>
  <c r="J55" i="27"/>
  <c r="K57" i="27" s="1"/>
  <c r="G55" i="27"/>
  <c r="D55" i="27"/>
  <c r="C55" i="27"/>
  <c r="B55" i="27"/>
  <c r="J54" i="27"/>
  <c r="K56" i="27" s="1"/>
  <c r="G54" i="27"/>
  <c r="D54" i="27"/>
  <c r="C54" i="27"/>
  <c r="B54" i="27"/>
  <c r="J53" i="27"/>
  <c r="K55" i="27" s="1"/>
  <c r="G53" i="27"/>
  <c r="D53" i="27"/>
  <c r="C53" i="27"/>
  <c r="B53" i="27"/>
  <c r="J52" i="27"/>
  <c r="K54" i="27" s="1"/>
  <c r="G52" i="27"/>
  <c r="D52" i="27"/>
  <c r="C52" i="27"/>
  <c r="B52" i="27"/>
  <c r="J51" i="27"/>
  <c r="K53" i="27" s="1"/>
  <c r="G51" i="27"/>
  <c r="D51" i="27"/>
  <c r="C51" i="27"/>
  <c r="B51" i="27"/>
  <c r="J50" i="27"/>
  <c r="K52" i="27" s="1"/>
  <c r="G50" i="27"/>
  <c r="D50" i="27"/>
  <c r="C50" i="27"/>
  <c r="B50" i="27"/>
  <c r="J49" i="27"/>
  <c r="K51" i="27" s="1"/>
  <c r="G49" i="27"/>
  <c r="D49" i="27"/>
  <c r="C49" i="27"/>
  <c r="B49" i="27"/>
  <c r="J48" i="27"/>
  <c r="K50" i="27" s="1"/>
  <c r="G48" i="27"/>
  <c r="D48" i="27"/>
  <c r="C48" i="27"/>
  <c r="B48" i="27"/>
  <c r="J47" i="27"/>
  <c r="K49" i="27" s="1"/>
  <c r="G47" i="27"/>
  <c r="D47" i="27"/>
  <c r="C47" i="27"/>
  <c r="B47" i="27"/>
  <c r="J46" i="27"/>
  <c r="K48" i="27" s="1"/>
  <c r="G46" i="27"/>
  <c r="D46" i="27"/>
  <c r="C46" i="27"/>
  <c r="B46" i="27"/>
  <c r="J45" i="27"/>
  <c r="K47" i="27" s="1"/>
  <c r="G45" i="27"/>
  <c r="D45" i="27"/>
  <c r="C45" i="27"/>
  <c r="B45" i="27"/>
  <c r="J44" i="27"/>
  <c r="K46" i="27" s="1"/>
  <c r="G44" i="27"/>
  <c r="D44" i="27"/>
  <c r="C44" i="27"/>
  <c r="B44" i="27"/>
  <c r="J43" i="27"/>
  <c r="K45" i="27" s="1"/>
  <c r="G43" i="27"/>
  <c r="D43" i="27"/>
  <c r="C43" i="27"/>
  <c r="B43" i="27"/>
  <c r="J42" i="27"/>
  <c r="K44" i="27" s="1"/>
  <c r="G42" i="27"/>
  <c r="D42" i="27"/>
  <c r="C42" i="27"/>
  <c r="B42" i="27"/>
  <c r="J41" i="27"/>
  <c r="K43" i="27" s="1"/>
  <c r="G41" i="27"/>
  <c r="D41" i="27"/>
  <c r="C41" i="27"/>
  <c r="B41" i="27"/>
  <c r="J40" i="27"/>
  <c r="K42" i="27" s="1"/>
  <c r="G40" i="27"/>
  <c r="D40" i="27"/>
  <c r="C40" i="27"/>
  <c r="B40" i="27"/>
  <c r="J39" i="27"/>
  <c r="K41" i="27" s="1"/>
  <c r="G39" i="27"/>
  <c r="D39" i="27"/>
  <c r="C39" i="27"/>
  <c r="B39" i="27"/>
  <c r="J38" i="27"/>
  <c r="K40" i="27" s="1"/>
  <c r="G38" i="27"/>
  <c r="D38" i="27"/>
  <c r="C38" i="27"/>
  <c r="B38" i="27"/>
  <c r="J37" i="27"/>
  <c r="K39" i="27" s="1"/>
  <c r="G37" i="27"/>
  <c r="D37" i="27"/>
  <c r="C37" i="27"/>
  <c r="B37" i="27"/>
  <c r="J36" i="27"/>
  <c r="K38" i="27" s="1"/>
  <c r="G36" i="27"/>
  <c r="D36" i="27"/>
  <c r="C36" i="27"/>
  <c r="B36" i="27"/>
  <c r="J35" i="27"/>
  <c r="K37" i="27" s="1"/>
  <c r="G35" i="27"/>
  <c r="D35" i="27"/>
  <c r="C35" i="27"/>
  <c r="B35" i="27"/>
  <c r="J34" i="27"/>
  <c r="K36" i="27" s="1"/>
  <c r="G34" i="27"/>
  <c r="D34" i="27"/>
  <c r="C34" i="27"/>
  <c r="B34" i="27"/>
  <c r="J33" i="27"/>
  <c r="K35" i="27" s="1"/>
  <c r="G33" i="27"/>
  <c r="D33" i="27"/>
  <c r="C33" i="27"/>
  <c r="B33" i="27"/>
  <c r="J32" i="27"/>
  <c r="K34" i="27" s="1"/>
  <c r="G32" i="27"/>
  <c r="D32" i="27"/>
  <c r="C32" i="27"/>
  <c r="B32" i="27"/>
  <c r="J31" i="27"/>
  <c r="K33" i="27" s="1"/>
  <c r="G31" i="27"/>
  <c r="D31" i="27"/>
  <c r="C31" i="27"/>
  <c r="B31" i="27"/>
  <c r="J30" i="27"/>
  <c r="K32" i="27" s="1"/>
  <c r="G30" i="27"/>
  <c r="D30" i="27"/>
  <c r="C30" i="27"/>
  <c r="B30" i="27"/>
  <c r="J29" i="27"/>
  <c r="K31" i="27" s="1"/>
  <c r="G29" i="27"/>
  <c r="D29" i="27"/>
  <c r="C29" i="27"/>
  <c r="B29" i="27"/>
  <c r="J28" i="27"/>
  <c r="K30" i="27" s="1"/>
  <c r="G28" i="27"/>
  <c r="D28" i="27"/>
  <c r="C28" i="27"/>
  <c r="B28" i="27"/>
  <c r="J27" i="27"/>
  <c r="K29" i="27" s="1"/>
  <c r="G27" i="27"/>
  <c r="D27" i="27"/>
  <c r="C27" i="27"/>
  <c r="B27" i="27"/>
  <c r="J26" i="27"/>
  <c r="K28" i="27" s="1"/>
  <c r="G26" i="27"/>
  <c r="D26" i="27"/>
  <c r="C26" i="27"/>
  <c r="B26" i="27"/>
  <c r="J25" i="27"/>
  <c r="K27" i="27" s="1"/>
  <c r="G25" i="27"/>
  <c r="D25" i="27"/>
  <c r="C25" i="27"/>
  <c r="B25" i="27"/>
  <c r="J24" i="27"/>
  <c r="K26" i="27" s="1"/>
  <c r="G24" i="27"/>
  <c r="D24" i="27"/>
  <c r="C24" i="27"/>
  <c r="B24" i="27"/>
  <c r="J23" i="27"/>
  <c r="K25" i="27" s="1"/>
  <c r="G23" i="27"/>
  <c r="D23" i="27"/>
  <c r="C23" i="27"/>
  <c r="B23" i="27"/>
  <c r="J22" i="27"/>
  <c r="K24" i="27" s="1"/>
  <c r="G22" i="27"/>
  <c r="D22" i="27"/>
  <c r="C22" i="27"/>
  <c r="B22" i="27"/>
  <c r="J21" i="27"/>
  <c r="K23" i="27" s="1"/>
  <c r="G21" i="27"/>
  <c r="D21" i="27"/>
  <c r="C21" i="27"/>
  <c r="B21" i="27"/>
  <c r="J20" i="27"/>
  <c r="K22" i="27" s="1"/>
  <c r="G20" i="27"/>
  <c r="D20" i="27"/>
  <c r="C20" i="27"/>
  <c r="B20" i="27"/>
  <c r="J19" i="27"/>
  <c r="K21" i="27" s="1"/>
  <c r="G19" i="27"/>
  <c r="D19" i="27"/>
  <c r="C19" i="27"/>
  <c r="B19" i="27"/>
  <c r="J18" i="27"/>
  <c r="K20" i="27" s="1"/>
  <c r="G18" i="27"/>
  <c r="D18" i="27"/>
  <c r="C18" i="27"/>
  <c r="B18" i="27"/>
  <c r="J17" i="27"/>
  <c r="K19" i="27" s="1"/>
  <c r="G17" i="27"/>
  <c r="D17" i="27"/>
  <c r="C17" i="27"/>
  <c r="B17" i="27"/>
  <c r="J16" i="27"/>
  <c r="K18" i="27" s="1"/>
  <c r="G16" i="27"/>
  <c r="D16" i="27"/>
  <c r="C16" i="27"/>
  <c r="B16" i="27"/>
  <c r="J15" i="27"/>
  <c r="K17" i="27" s="1"/>
  <c r="G15" i="27"/>
  <c r="D15" i="27"/>
  <c r="C15" i="27"/>
  <c r="B15" i="27"/>
  <c r="J14" i="27"/>
  <c r="K16" i="27" s="1"/>
  <c r="G14" i="27"/>
  <c r="D14" i="27"/>
  <c r="C14" i="27"/>
  <c r="B14" i="27"/>
  <c r="K13" i="27"/>
  <c r="J13" i="27"/>
  <c r="K15" i="27" s="1"/>
  <c r="G13" i="27"/>
  <c r="D13" i="27"/>
  <c r="C13" i="27"/>
  <c r="B13" i="27"/>
  <c r="K12" i="27"/>
  <c r="J12" i="27"/>
  <c r="K14" i="27" s="1"/>
  <c r="G12" i="27"/>
  <c r="D12" i="27"/>
  <c r="K11" i="27"/>
  <c r="J11" i="27"/>
  <c r="G11" i="27"/>
  <c r="D11" i="27"/>
  <c r="C11" i="27"/>
  <c r="B11" i="27"/>
  <c r="J4" i="27"/>
  <c r="J210" i="26"/>
  <c r="I210" i="26"/>
  <c r="F210" i="26"/>
  <c r="D210" i="26"/>
  <c r="C210" i="26"/>
  <c r="B210" i="26"/>
  <c r="I209" i="26"/>
  <c r="F209" i="26"/>
  <c r="D209" i="26"/>
  <c r="C209" i="26"/>
  <c r="B209" i="26"/>
  <c r="J208" i="26"/>
  <c r="I208" i="26"/>
  <c r="F208" i="26"/>
  <c r="D208" i="26"/>
  <c r="C208" i="26"/>
  <c r="B208" i="26"/>
  <c r="I207" i="26"/>
  <c r="J209" i="26" s="1"/>
  <c r="F207" i="26"/>
  <c r="D207" i="26"/>
  <c r="C207" i="26"/>
  <c r="B207" i="26"/>
  <c r="J206" i="26"/>
  <c r="I206" i="26"/>
  <c r="F206" i="26"/>
  <c r="D206" i="26"/>
  <c r="C206" i="26"/>
  <c r="B206" i="26"/>
  <c r="I205" i="26"/>
  <c r="J207" i="26" s="1"/>
  <c r="F205" i="26"/>
  <c r="D205" i="26"/>
  <c r="C205" i="26"/>
  <c r="B205" i="26"/>
  <c r="J204" i="26"/>
  <c r="I204" i="26"/>
  <c r="F204" i="26"/>
  <c r="D204" i="26"/>
  <c r="C204" i="26"/>
  <c r="B204" i="26"/>
  <c r="I203" i="26"/>
  <c r="J205" i="26" s="1"/>
  <c r="F203" i="26"/>
  <c r="D203" i="26"/>
  <c r="C203" i="26"/>
  <c r="B203" i="26"/>
  <c r="J202" i="26"/>
  <c r="I202" i="26"/>
  <c r="F202" i="26"/>
  <c r="D202" i="26"/>
  <c r="C202" i="26"/>
  <c r="B202" i="26"/>
  <c r="I201" i="26"/>
  <c r="J203" i="26" s="1"/>
  <c r="F201" i="26"/>
  <c r="D201" i="26"/>
  <c r="C201" i="26"/>
  <c r="B201" i="26"/>
  <c r="J200" i="26"/>
  <c r="I200" i="26"/>
  <c r="F200" i="26"/>
  <c r="D200" i="26"/>
  <c r="C200" i="26"/>
  <c r="B200" i="26"/>
  <c r="J199" i="26"/>
  <c r="I199" i="26"/>
  <c r="J201" i="26" s="1"/>
  <c r="F199" i="26"/>
  <c r="D199" i="26"/>
  <c r="C199" i="26"/>
  <c r="B199" i="26"/>
  <c r="J198" i="26"/>
  <c r="I198" i="26"/>
  <c r="F198" i="26"/>
  <c r="D198" i="26"/>
  <c r="C198" i="26"/>
  <c r="B198" i="26"/>
  <c r="I197" i="26"/>
  <c r="F197" i="26"/>
  <c r="D197" i="26"/>
  <c r="C197" i="26"/>
  <c r="B197" i="26"/>
  <c r="J196" i="26"/>
  <c r="I196" i="26"/>
  <c r="F196" i="26"/>
  <c r="D196" i="26"/>
  <c r="C196" i="26"/>
  <c r="B196" i="26"/>
  <c r="I195" i="26"/>
  <c r="J197" i="26" s="1"/>
  <c r="F195" i="26"/>
  <c r="D195" i="26"/>
  <c r="C195" i="26"/>
  <c r="B195" i="26"/>
  <c r="J194" i="26"/>
  <c r="I194" i="26"/>
  <c r="F194" i="26"/>
  <c r="D194" i="26"/>
  <c r="C194" i="26"/>
  <c r="B194" i="26"/>
  <c r="I193" i="26"/>
  <c r="J195" i="26" s="1"/>
  <c r="F193" i="26"/>
  <c r="D193" i="26"/>
  <c r="C193" i="26"/>
  <c r="B193" i="26"/>
  <c r="J192" i="26"/>
  <c r="I192" i="26"/>
  <c r="F192" i="26"/>
  <c r="D192" i="26"/>
  <c r="C192" i="26"/>
  <c r="B192" i="26"/>
  <c r="J191" i="26"/>
  <c r="I191" i="26"/>
  <c r="J193" i="26" s="1"/>
  <c r="F191" i="26"/>
  <c r="D191" i="26"/>
  <c r="C191" i="26"/>
  <c r="B191" i="26"/>
  <c r="J190" i="26"/>
  <c r="I190" i="26"/>
  <c r="F190" i="26"/>
  <c r="D190" i="26"/>
  <c r="C190" i="26"/>
  <c r="B190" i="26"/>
  <c r="I189" i="26"/>
  <c r="F189" i="26"/>
  <c r="D189" i="26"/>
  <c r="C189" i="26"/>
  <c r="B189" i="26"/>
  <c r="J188" i="26"/>
  <c r="I188" i="26"/>
  <c r="F188" i="26"/>
  <c r="D188" i="26"/>
  <c r="C188" i="26"/>
  <c r="B188" i="26"/>
  <c r="J187" i="26"/>
  <c r="I187" i="26"/>
  <c r="J189" i="26" s="1"/>
  <c r="F187" i="26"/>
  <c r="D187" i="26"/>
  <c r="C187" i="26"/>
  <c r="B187" i="26"/>
  <c r="J186" i="26"/>
  <c r="I186" i="26"/>
  <c r="F186" i="26"/>
  <c r="D186" i="26"/>
  <c r="C186" i="26"/>
  <c r="B186" i="26"/>
  <c r="I185" i="26"/>
  <c r="F185" i="26"/>
  <c r="D185" i="26"/>
  <c r="C185" i="26"/>
  <c r="B185" i="26"/>
  <c r="J184" i="26"/>
  <c r="I184" i="26"/>
  <c r="F184" i="26"/>
  <c r="D184" i="26"/>
  <c r="C184" i="26"/>
  <c r="B184" i="26"/>
  <c r="I183" i="26"/>
  <c r="J185" i="26" s="1"/>
  <c r="F183" i="26"/>
  <c r="D183" i="26"/>
  <c r="C183" i="26"/>
  <c r="B183" i="26"/>
  <c r="J182" i="26"/>
  <c r="I182" i="26"/>
  <c r="F182" i="26"/>
  <c r="D182" i="26"/>
  <c r="C182" i="26"/>
  <c r="B182" i="26"/>
  <c r="I181" i="26"/>
  <c r="J183" i="26" s="1"/>
  <c r="F181" i="26"/>
  <c r="D181" i="26"/>
  <c r="C181" i="26"/>
  <c r="B181" i="26"/>
  <c r="J180" i="26"/>
  <c r="I180" i="26"/>
  <c r="F180" i="26"/>
  <c r="D180" i="26"/>
  <c r="C180" i="26"/>
  <c r="B180" i="26"/>
  <c r="J179" i="26"/>
  <c r="I179" i="26"/>
  <c r="J181" i="26" s="1"/>
  <c r="F179" i="26"/>
  <c r="D179" i="26"/>
  <c r="C179" i="26"/>
  <c r="B179" i="26"/>
  <c r="J178" i="26"/>
  <c r="I178" i="26"/>
  <c r="F178" i="26"/>
  <c r="D178" i="26"/>
  <c r="C178" i="26"/>
  <c r="B178" i="26"/>
  <c r="I177" i="26"/>
  <c r="F177" i="26"/>
  <c r="D177" i="26"/>
  <c r="C177" i="26"/>
  <c r="B177" i="26"/>
  <c r="J176" i="26"/>
  <c r="I176" i="26"/>
  <c r="F176" i="26"/>
  <c r="D176" i="26"/>
  <c r="C176" i="26"/>
  <c r="B176" i="26"/>
  <c r="I175" i="26"/>
  <c r="J177" i="26" s="1"/>
  <c r="F175" i="26"/>
  <c r="D175" i="26"/>
  <c r="C175" i="26"/>
  <c r="B175" i="26"/>
  <c r="J174" i="26"/>
  <c r="I174" i="26"/>
  <c r="F174" i="26"/>
  <c r="D174" i="26"/>
  <c r="C174" i="26"/>
  <c r="B174" i="26"/>
  <c r="I173" i="26"/>
  <c r="J175" i="26" s="1"/>
  <c r="F173" i="26"/>
  <c r="D173" i="26"/>
  <c r="C173" i="26"/>
  <c r="B173" i="26"/>
  <c r="J172" i="26"/>
  <c r="I172" i="26"/>
  <c r="F172" i="26"/>
  <c r="D172" i="26"/>
  <c r="C172" i="26"/>
  <c r="B172" i="26"/>
  <c r="I171" i="26"/>
  <c r="J173" i="26" s="1"/>
  <c r="F171" i="26"/>
  <c r="D171" i="26"/>
  <c r="C171" i="26"/>
  <c r="B171" i="26"/>
  <c r="J170" i="26"/>
  <c r="I170" i="26"/>
  <c r="F170" i="26"/>
  <c r="D170" i="26"/>
  <c r="C170" i="26"/>
  <c r="B170" i="26"/>
  <c r="I169" i="26"/>
  <c r="J171" i="26" s="1"/>
  <c r="F169" i="26"/>
  <c r="D169" i="26"/>
  <c r="C169" i="26"/>
  <c r="B169" i="26"/>
  <c r="J168" i="26"/>
  <c r="I168" i="26"/>
  <c r="F168" i="26"/>
  <c r="D168" i="26"/>
  <c r="C168" i="26"/>
  <c r="B168" i="26"/>
  <c r="J167" i="26"/>
  <c r="I167" i="26"/>
  <c r="J169" i="26" s="1"/>
  <c r="F167" i="26"/>
  <c r="D167" i="26"/>
  <c r="C167" i="26"/>
  <c r="B167" i="26"/>
  <c r="J166" i="26"/>
  <c r="I166" i="26"/>
  <c r="F166" i="26"/>
  <c r="D166" i="26"/>
  <c r="C166" i="26"/>
  <c r="B166" i="26"/>
  <c r="I165" i="26"/>
  <c r="F165" i="26"/>
  <c r="D165" i="26"/>
  <c r="C165" i="26"/>
  <c r="B165" i="26"/>
  <c r="J164" i="26"/>
  <c r="I164" i="26"/>
  <c r="F164" i="26"/>
  <c r="D164" i="26"/>
  <c r="C164" i="26"/>
  <c r="B164" i="26"/>
  <c r="I163" i="26"/>
  <c r="J165" i="26" s="1"/>
  <c r="F163" i="26"/>
  <c r="D163" i="26"/>
  <c r="C163" i="26"/>
  <c r="B163" i="26"/>
  <c r="J162" i="26"/>
  <c r="I162" i="26"/>
  <c r="F162" i="26"/>
  <c r="D162" i="26"/>
  <c r="C162" i="26"/>
  <c r="B162" i="26"/>
  <c r="I161" i="26"/>
  <c r="J163" i="26" s="1"/>
  <c r="F161" i="26"/>
  <c r="D161" i="26"/>
  <c r="C161" i="26"/>
  <c r="B161" i="26"/>
  <c r="J160" i="26"/>
  <c r="I160" i="26"/>
  <c r="F160" i="26"/>
  <c r="D160" i="26"/>
  <c r="C160" i="26"/>
  <c r="B160" i="26"/>
  <c r="J159" i="26"/>
  <c r="I159" i="26"/>
  <c r="J161" i="26" s="1"/>
  <c r="F159" i="26"/>
  <c r="D159" i="26"/>
  <c r="C159" i="26"/>
  <c r="B159" i="26"/>
  <c r="J158" i="26"/>
  <c r="I158" i="26"/>
  <c r="F158" i="26"/>
  <c r="D158" i="26"/>
  <c r="C158" i="26"/>
  <c r="B158" i="26"/>
  <c r="I157" i="26"/>
  <c r="F157" i="26"/>
  <c r="D157" i="26"/>
  <c r="C157" i="26"/>
  <c r="B157" i="26"/>
  <c r="J156" i="26"/>
  <c r="I156" i="26"/>
  <c r="F156" i="26"/>
  <c r="D156" i="26"/>
  <c r="C156" i="26"/>
  <c r="B156" i="26"/>
  <c r="J155" i="26"/>
  <c r="I155" i="26"/>
  <c r="J157" i="26" s="1"/>
  <c r="F155" i="26"/>
  <c r="D155" i="26"/>
  <c r="C155" i="26"/>
  <c r="B155" i="26"/>
  <c r="J154" i="26"/>
  <c r="I154" i="26"/>
  <c r="F154" i="26"/>
  <c r="D154" i="26"/>
  <c r="C154" i="26"/>
  <c r="B154" i="26"/>
  <c r="I153" i="26"/>
  <c r="F153" i="26"/>
  <c r="D153" i="26"/>
  <c r="C153" i="26"/>
  <c r="B153" i="26"/>
  <c r="J152" i="26"/>
  <c r="I152" i="26"/>
  <c r="F152" i="26"/>
  <c r="D152" i="26"/>
  <c r="C152" i="26"/>
  <c r="B152" i="26"/>
  <c r="I151" i="26"/>
  <c r="J153" i="26" s="1"/>
  <c r="F151" i="26"/>
  <c r="D151" i="26"/>
  <c r="C151" i="26"/>
  <c r="B151" i="26"/>
  <c r="J150" i="26"/>
  <c r="I150" i="26"/>
  <c r="F150" i="26"/>
  <c r="D150" i="26"/>
  <c r="C150" i="26"/>
  <c r="B150" i="26"/>
  <c r="I149" i="26"/>
  <c r="J151" i="26" s="1"/>
  <c r="F149" i="26"/>
  <c r="D149" i="26"/>
  <c r="C149" i="26"/>
  <c r="B149" i="26"/>
  <c r="J148" i="26"/>
  <c r="I148" i="26"/>
  <c r="F148" i="26"/>
  <c r="D148" i="26"/>
  <c r="C148" i="26"/>
  <c r="B148" i="26"/>
  <c r="J147" i="26"/>
  <c r="I147" i="26"/>
  <c r="J149" i="26" s="1"/>
  <c r="F147" i="26"/>
  <c r="D147" i="26"/>
  <c r="C147" i="26"/>
  <c r="B147" i="26"/>
  <c r="J146" i="26"/>
  <c r="I146" i="26"/>
  <c r="F146" i="26"/>
  <c r="D146" i="26"/>
  <c r="C146" i="26"/>
  <c r="B146" i="26"/>
  <c r="I145" i="26"/>
  <c r="F145" i="26"/>
  <c r="D145" i="26"/>
  <c r="C145" i="26"/>
  <c r="B145" i="26"/>
  <c r="J144" i="26"/>
  <c r="I144" i="26"/>
  <c r="F144" i="26"/>
  <c r="D144" i="26"/>
  <c r="C144" i="26"/>
  <c r="B144" i="26"/>
  <c r="I143" i="26"/>
  <c r="J145" i="26" s="1"/>
  <c r="F143" i="26"/>
  <c r="D143" i="26"/>
  <c r="C143" i="26"/>
  <c r="B143" i="26"/>
  <c r="J142" i="26"/>
  <c r="I142" i="26"/>
  <c r="F142" i="26"/>
  <c r="D142" i="26"/>
  <c r="C142" i="26"/>
  <c r="B142" i="26"/>
  <c r="I141" i="26"/>
  <c r="J143" i="26" s="1"/>
  <c r="F141" i="26"/>
  <c r="D141" i="26"/>
  <c r="C141" i="26"/>
  <c r="B141" i="26"/>
  <c r="J140" i="26"/>
  <c r="I140" i="26"/>
  <c r="F140" i="26"/>
  <c r="D140" i="26"/>
  <c r="C140" i="26"/>
  <c r="B140" i="26"/>
  <c r="I139" i="26"/>
  <c r="J141" i="26" s="1"/>
  <c r="F139" i="26"/>
  <c r="D139" i="26"/>
  <c r="C139" i="26"/>
  <c r="B139" i="26"/>
  <c r="J138" i="26"/>
  <c r="I138" i="26"/>
  <c r="F138" i="26"/>
  <c r="D138" i="26"/>
  <c r="C138" i="26"/>
  <c r="B138" i="26"/>
  <c r="I137" i="26"/>
  <c r="J139" i="26" s="1"/>
  <c r="F137" i="26"/>
  <c r="D137" i="26"/>
  <c r="C137" i="26"/>
  <c r="B137" i="26"/>
  <c r="J136" i="26"/>
  <c r="I136" i="26"/>
  <c r="F136" i="26"/>
  <c r="D136" i="26"/>
  <c r="C136" i="26"/>
  <c r="B136" i="26"/>
  <c r="J135" i="26"/>
  <c r="I135" i="26"/>
  <c r="J137" i="26" s="1"/>
  <c r="F135" i="26"/>
  <c r="D135" i="26"/>
  <c r="C135" i="26"/>
  <c r="B135" i="26"/>
  <c r="J134" i="26"/>
  <c r="I134" i="26"/>
  <c r="F134" i="26"/>
  <c r="D134" i="26"/>
  <c r="C134" i="26"/>
  <c r="B134" i="26"/>
  <c r="I133" i="26"/>
  <c r="F133" i="26"/>
  <c r="D133" i="26"/>
  <c r="C133" i="26"/>
  <c r="B133" i="26"/>
  <c r="J132" i="26"/>
  <c r="I132" i="26"/>
  <c r="F132" i="26"/>
  <c r="D132" i="26"/>
  <c r="C132" i="26"/>
  <c r="B132" i="26"/>
  <c r="I131" i="26"/>
  <c r="J133" i="26" s="1"/>
  <c r="F131" i="26"/>
  <c r="D131" i="26"/>
  <c r="C131" i="26"/>
  <c r="B131" i="26"/>
  <c r="J130" i="26"/>
  <c r="I130" i="26"/>
  <c r="F130" i="26"/>
  <c r="D130" i="26"/>
  <c r="C130" i="26"/>
  <c r="B130" i="26"/>
  <c r="I129" i="26"/>
  <c r="J131" i="26" s="1"/>
  <c r="F129" i="26"/>
  <c r="D129" i="26"/>
  <c r="C129" i="26"/>
  <c r="B129" i="26"/>
  <c r="J128" i="26"/>
  <c r="I128" i="26"/>
  <c r="F128" i="26"/>
  <c r="D128" i="26"/>
  <c r="C128" i="26"/>
  <c r="B128" i="26"/>
  <c r="J127" i="26"/>
  <c r="I127" i="26"/>
  <c r="J129" i="26" s="1"/>
  <c r="F127" i="26"/>
  <c r="D127" i="26"/>
  <c r="C127" i="26"/>
  <c r="B127" i="26"/>
  <c r="J126" i="26"/>
  <c r="I126" i="26"/>
  <c r="F126" i="26"/>
  <c r="D126" i="26"/>
  <c r="C126" i="26"/>
  <c r="B126" i="26"/>
  <c r="I125" i="26"/>
  <c r="F125" i="26"/>
  <c r="D125" i="26"/>
  <c r="C125" i="26"/>
  <c r="B125" i="26"/>
  <c r="J124" i="26"/>
  <c r="I124" i="26"/>
  <c r="F124" i="26"/>
  <c r="D124" i="26"/>
  <c r="C124" i="26"/>
  <c r="B124" i="26"/>
  <c r="J123" i="26"/>
  <c r="I123" i="26"/>
  <c r="J125" i="26" s="1"/>
  <c r="F123" i="26"/>
  <c r="D123" i="26"/>
  <c r="C123" i="26"/>
  <c r="B123" i="26"/>
  <c r="J122" i="26"/>
  <c r="I122" i="26"/>
  <c r="F122" i="26"/>
  <c r="D122" i="26"/>
  <c r="C122" i="26"/>
  <c r="B122" i="26"/>
  <c r="I121" i="26"/>
  <c r="F121" i="26"/>
  <c r="D121" i="26"/>
  <c r="C121" i="26"/>
  <c r="B121" i="26"/>
  <c r="J120" i="26"/>
  <c r="I120" i="26"/>
  <c r="F120" i="26"/>
  <c r="D120" i="26"/>
  <c r="C120" i="26"/>
  <c r="B120" i="26"/>
  <c r="I119" i="26"/>
  <c r="J121" i="26" s="1"/>
  <c r="F119" i="26"/>
  <c r="D119" i="26"/>
  <c r="C119" i="26"/>
  <c r="B119" i="26"/>
  <c r="J118" i="26"/>
  <c r="I118" i="26"/>
  <c r="F118" i="26"/>
  <c r="D118" i="26"/>
  <c r="C118" i="26"/>
  <c r="B118" i="26"/>
  <c r="I117" i="26"/>
  <c r="J119" i="26" s="1"/>
  <c r="F117" i="26"/>
  <c r="D117" i="26"/>
  <c r="C117" i="26"/>
  <c r="B117" i="26"/>
  <c r="J116" i="26"/>
  <c r="I116" i="26"/>
  <c r="F116" i="26"/>
  <c r="D116" i="26"/>
  <c r="C116" i="26"/>
  <c r="B116" i="26"/>
  <c r="J115" i="26"/>
  <c r="I115" i="26"/>
  <c r="J117" i="26" s="1"/>
  <c r="F115" i="26"/>
  <c r="D115" i="26"/>
  <c r="C115" i="26"/>
  <c r="B115" i="26"/>
  <c r="J114" i="26"/>
  <c r="I114" i="26"/>
  <c r="F114" i="26"/>
  <c r="D114" i="26"/>
  <c r="C114" i="26"/>
  <c r="B114" i="26"/>
  <c r="I113" i="26"/>
  <c r="F113" i="26"/>
  <c r="D113" i="26"/>
  <c r="C113" i="26"/>
  <c r="B113" i="26"/>
  <c r="J112" i="26"/>
  <c r="I112" i="26"/>
  <c r="F112" i="26"/>
  <c r="D112" i="26"/>
  <c r="C112" i="26"/>
  <c r="B112" i="26"/>
  <c r="I111" i="26"/>
  <c r="J113" i="26" s="1"/>
  <c r="F111" i="26"/>
  <c r="D111" i="26"/>
  <c r="C111" i="26"/>
  <c r="B111" i="26"/>
  <c r="J110" i="26"/>
  <c r="I110" i="26"/>
  <c r="F110" i="26"/>
  <c r="D110" i="26"/>
  <c r="C110" i="26"/>
  <c r="B110" i="26"/>
  <c r="I109" i="26"/>
  <c r="J111" i="26" s="1"/>
  <c r="F109" i="26"/>
  <c r="D109" i="26"/>
  <c r="C109" i="26"/>
  <c r="B109" i="26"/>
  <c r="J108" i="26"/>
  <c r="I108" i="26"/>
  <c r="F108" i="26"/>
  <c r="D108" i="26"/>
  <c r="C108" i="26"/>
  <c r="B108" i="26"/>
  <c r="I107" i="26"/>
  <c r="J109" i="26" s="1"/>
  <c r="F107" i="26"/>
  <c r="D107" i="26"/>
  <c r="C107" i="26"/>
  <c r="B107" i="26"/>
  <c r="J106" i="26"/>
  <c r="I106" i="26"/>
  <c r="F106" i="26"/>
  <c r="D106" i="26"/>
  <c r="C106" i="26"/>
  <c r="B106" i="26"/>
  <c r="I105" i="26"/>
  <c r="J107" i="26" s="1"/>
  <c r="F105" i="26"/>
  <c r="D105" i="26"/>
  <c r="C105" i="26"/>
  <c r="B105" i="26"/>
  <c r="J104" i="26"/>
  <c r="I104" i="26"/>
  <c r="F104" i="26"/>
  <c r="D104" i="26"/>
  <c r="C104" i="26"/>
  <c r="B104" i="26"/>
  <c r="J103" i="26"/>
  <c r="I103" i="26"/>
  <c r="J105" i="26" s="1"/>
  <c r="F103" i="26"/>
  <c r="D103" i="26"/>
  <c r="C103" i="26"/>
  <c r="B103" i="26"/>
  <c r="J102" i="26"/>
  <c r="I102" i="26"/>
  <c r="F102" i="26"/>
  <c r="D102" i="26"/>
  <c r="C102" i="26"/>
  <c r="B102" i="26"/>
  <c r="I101" i="26"/>
  <c r="F101" i="26"/>
  <c r="D101" i="26"/>
  <c r="C101" i="26"/>
  <c r="B101" i="26"/>
  <c r="J100" i="26"/>
  <c r="I100" i="26"/>
  <c r="F100" i="26"/>
  <c r="D100" i="26"/>
  <c r="C100" i="26"/>
  <c r="B100" i="26"/>
  <c r="I99" i="26"/>
  <c r="J101" i="26" s="1"/>
  <c r="F99" i="26"/>
  <c r="D99" i="26"/>
  <c r="C99" i="26"/>
  <c r="B99" i="26"/>
  <c r="J98" i="26"/>
  <c r="I98" i="26"/>
  <c r="F98" i="26"/>
  <c r="D98" i="26"/>
  <c r="C98" i="26"/>
  <c r="B98" i="26"/>
  <c r="I97" i="26"/>
  <c r="J99" i="26" s="1"/>
  <c r="F97" i="26"/>
  <c r="D97" i="26"/>
  <c r="C97" i="26"/>
  <c r="B97" i="26"/>
  <c r="J96" i="26"/>
  <c r="I96" i="26"/>
  <c r="F96" i="26"/>
  <c r="D96" i="26"/>
  <c r="C96" i="26"/>
  <c r="B96" i="26"/>
  <c r="J95" i="26"/>
  <c r="I95" i="26"/>
  <c r="J97" i="26" s="1"/>
  <c r="F95" i="26"/>
  <c r="D95" i="26"/>
  <c r="C95" i="26"/>
  <c r="B95" i="26"/>
  <c r="J94" i="26"/>
  <c r="I94" i="26"/>
  <c r="F94" i="26"/>
  <c r="D94" i="26"/>
  <c r="C94" i="26"/>
  <c r="B94" i="26"/>
  <c r="I93" i="26"/>
  <c r="F93" i="26"/>
  <c r="D93" i="26"/>
  <c r="C93" i="26"/>
  <c r="B93" i="26"/>
  <c r="J92" i="26"/>
  <c r="I92" i="26"/>
  <c r="F92" i="26"/>
  <c r="D92" i="26"/>
  <c r="C92" i="26"/>
  <c r="B92" i="26"/>
  <c r="J91" i="26"/>
  <c r="I91" i="26"/>
  <c r="J93" i="26" s="1"/>
  <c r="F91" i="26"/>
  <c r="D91" i="26"/>
  <c r="C91" i="26"/>
  <c r="B91" i="26"/>
  <c r="J90" i="26"/>
  <c r="I90" i="26"/>
  <c r="F90" i="26"/>
  <c r="D90" i="26"/>
  <c r="C90" i="26"/>
  <c r="B90" i="26"/>
  <c r="I89" i="26"/>
  <c r="F89" i="26"/>
  <c r="D89" i="26"/>
  <c r="C89" i="26"/>
  <c r="B89" i="26"/>
  <c r="J88" i="26"/>
  <c r="I88" i="26"/>
  <c r="F88" i="26"/>
  <c r="D88" i="26"/>
  <c r="C88" i="26"/>
  <c r="B88" i="26"/>
  <c r="I87" i="26"/>
  <c r="J89" i="26" s="1"/>
  <c r="F87" i="26"/>
  <c r="D87" i="26"/>
  <c r="C87" i="26"/>
  <c r="B87" i="26"/>
  <c r="J86" i="26"/>
  <c r="I86" i="26"/>
  <c r="F86" i="26"/>
  <c r="D86" i="26"/>
  <c r="C86" i="26"/>
  <c r="B86" i="26"/>
  <c r="I85" i="26"/>
  <c r="J87" i="26" s="1"/>
  <c r="F85" i="26"/>
  <c r="D85" i="26"/>
  <c r="C85" i="26"/>
  <c r="B85" i="26"/>
  <c r="J84" i="26"/>
  <c r="I84" i="26"/>
  <c r="F84" i="26"/>
  <c r="D84" i="26"/>
  <c r="C84" i="26"/>
  <c r="B84" i="26"/>
  <c r="J83" i="26"/>
  <c r="I83" i="26"/>
  <c r="J85" i="26" s="1"/>
  <c r="F83" i="26"/>
  <c r="D83" i="26"/>
  <c r="C83" i="26"/>
  <c r="B83" i="26"/>
  <c r="J82" i="26"/>
  <c r="I82" i="26"/>
  <c r="F82" i="26"/>
  <c r="D82" i="26"/>
  <c r="C82" i="26"/>
  <c r="B82" i="26"/>
  <c r="I81" i="26"/>
  <c r="F81" i="26"/>
  <c r="D81" i="26"/>
  <c r="C81" i="26"/>
  <c r="B81" i="26"/>
  <c r="J80" i="26"/>
  <c r="I80" i="26"/>
  <c r="F80" i="26"/>
  <c r="D80" i="26"/>
  <c r="C80" i="26"/>
  <c r="B80" i="26"/>
  <c r="I79" i="26"/>
  <c r="J81" i="26" s="1"/>
  <c r="F79" i="26"/>
  <c r="D79" i="26"/>
  <c r="C79" i="26"/>
  <c r="B79" i="26"/>
  <c r="J78" i="26"/>
  <c r="I78" i="26"/>
  <c r="F78" i="26"/>
  <c r="D78" i="26"/>
  <c r="C78" i="26"/>
  <c r="B78" i="26"/>
  <c r="I77" i="26"/>
  <c r="J79" i="26" s="1"/>
  <c r="F77" i="26"/>
  <c r="D77" i="26"/>
  <c r="C77" i="26"/>
  <c r="B77" i="26"/>
  <c r="J76" i="26"/>
  <c r="I76" i="26"/>
  <c r="F76" i="26"/>
  <c r="D76" i="26"/>
  <c r="C76" i="26"/>
  <c r="B76" i="26"/>
  <c r="I75" i="26"/>
  <c r="J77" i="26" s="1"/>
  <c r="F75" i="26"/>
  <c r="D75" i="26"/>
  <c r="C75" i="26"/>
  <c r="B75" i="26"/>
  <c r="J74" i="26"/>
  <c r="I74" i="26"/>
  <c r="F74" i="26"/>
  <c r="D74" i="26"/>
  <c r="C74" i="26"/>
  <c r="B74" i="26"/>
  <c r="I73" i="26"/>
  <c r="J75" i="26" s="1"/>
  <c r="F73" i="26"/>
  <c r="D73" i="26"/>
  <c r="C73" i="26"/>
  <c r="B73" i="26"/>
  <c r="J72" i="26"/>
  <c r="I72" i="26"/>
  <c r="F72" i="26"/>
  <c r="D72" i="26"/>
  <c r="C72" i="26"/>
  <c r="B72" i="26"/>
  <c r="J71" i="26"/>
  <c r="I71" i="26"/>
  <c r="J73" i="26" s="1"/>
  <c r="F71" i="26"/>
  <c r="D71" i="26"/>
  <c r="C71" i="26"/>
  <c r="B71" i="26"/>
  <c r="J70" i="26"/>
  <c r="I70" i="26"/>
  <c r="F70" i="26"/>
  <c r="D70" i="26"/>
  <c r="C70" i="26"/>
  <c r="B70" i="26"/>
  <c r="I69" i="26"/>
  <c r="F69" i="26"/>
  <c r="D69" i="26"/>
  <c r="C69" i="26"/>
  <c r="B69" i="26"/>
  <c r="J68" i="26"/>
  <c r="I68" i="26"/>
  <c r="F68" i="26"/>
  <c r="D68" i="26"/>
  <c r="C68" i="26"/>
  <c r="B68" i="26"/>
  <c r="I67" i="26"/>
  <c r="J69" i="26" s="1"/>
  <c r="F67" i="26"/>
  <c r="D67" i="26"/>
  <c r="C67" i="26"/>
  <c r="B67" i="26"/>
  <c r="J66" i="26"/>
  <c r="I66" i="26"/>
  <c r="F66" i="26"/>
  <c r="D66" i="26"/>
  <c r="C66" i="26"/>
  <c r="B66" i="26"/>
  <c r="I65" i="26"/>
  <c r="J67" i="26" s="1"/>
  <c r="F65" i="26"/>
  <c r="D65" i="26"/>
  <c r="C65" i="26"/>
  <c r="B65" i="26"/>
  <c r="J64" i="26"/>
  <c r="I64" i="26"/>
  <c r="F64" i="26"/>
  <c r="D64" i="26"/>
  <c r="C64" i="26"/>
  <c r="B64" i="26"/>
  <c r="J63" i="26"/>
  <c r="I63" i="26"/>
  <c r="J65" i="26" s="1"/>
  <c r="F63" i="26"/>
  <c r="D63" i="26"/>
  <c r="C63" i="26"/>
  <c r="B63" i="26"/>
  <c r="J62" i="26"/>
  <c r="I62" i="26"/>
  <c r="F62" i="26"/>
  <c r="D62" i="26"/>
  <c r="C62" i="26"/>
  <c r="B62" i="26"/>
  <c r="I61" i="26"/>
  <c r="F61" i="26"/>
  <c r="D61" i="26"/>
  <c r="C61" i="26"/>
  <c r="B61" i="26"/>
  <c r="J60" i="26"/>
  <c r="I60" i="26"/>
  <c r="F60" i="26"/>
  <c r="D60" i="26"/>
  <c r="C60" i="26"/>
  <c r="B60" i="26"/>
  <c r="J59" i="26"/>
  <c r="I59" i="26"/>
  <c r="J61" i="26" s="1"/>
  <c r="F59" i="26"/>
  <c r="D59" i="26"/>
  <c r="C59" i="26"/>
  <c r="B59" i="26"/>
  <c r="J58" i="26"/>
  <c r="I58" i="26"/>
  <c r="F58" i="26"/>
  <c r="D58" i="26"/>
  <c r="C58" i="26"/>
  <c r="B58" i="26"/>
  <c r="I57" i="26"/>
  <c r="F57" i="26"/>
  <c r="D57" i="26"/>
  <c r="C57" i="26"/>
  <c r="B57" i="26"/>
  <c r="J56" i="26"/>
  <c r="I56" i="26"/>
  <c r="F56" i="26"/>
  <c r="D56" i="26"/>
  <c r="C56" i="26"/>
  <c r="B56" i="26"/>
  <c r="I55" i="26"/>
  <c r="J57" i="26" s="1"/>
  <c r="F55" i="26"/>
  <c r="D55" i="26"/>
  <c r="C55" i="26"/>
  <c r="B55" i="26"/>
  <c r="J54" i="26"/>
  <c r="I54" i="26"/>
  <c r="F54" i="26"/>
  <c r="D54" i="26"/>
  <c r="C54" i="26"/>
  <c r="B54" i="26"/>
  <c r="I53" i="26"/>
  <c r="J55" i="26" s="1"/>
  <c r="F53" i="26"/>
  <c r="D53" i="26"/>
  <c r="C53" i="26"/>
  <c r="B53" i="26"/>
  <c r="J52" i="26"/>
  <c r="I52" i="26"/>
  <c r="F52" i="26"/>
  <c r="D52" i="26"/>
  <c r="C52" i="26"/>
  <c r="B52" i="26"/>
  <c r="J51" i="26"/>
  <c r="I51" i="26"/>
  <c r="J53" i="26" s="1"/>
  <c r="F51" i="26"/>
  <c r="D51" i="26"/>
  <c r="C51" i="26"/>
  <c r="B51" i="26"/>
  <c r="J50" i="26"/>
  <c r="I50" i="26"/>
  <c r="F50" i="26"/>
  <c r="D50" i="26"/>
  <c r="C50" i="26"/>
  <c r="B50" i="26"/>
  <c r="I49" i="26"/>
  <c r="F49" i="26"/>
  <c r="D49" i="26"/>
  <c r="C49" i="26"/>
  <c r="B49" i="26"/>
  <c r="J48" i="26"/>
  <c r="I48" i="26"/>
  <c r="F48" i="26"/>
  <c r="D48" i="26"/>
  <c r="C48" i="26"/>
  <c r="B48" i="26"/>
  <c r="I47" i="26"/>
  <c r="J49" i="26" s="1"/>
  <c r="F47" i="26"/>
  <c r="D47" i="26"/>
  <c r="C47" i="26"/>
  <c r="B47" i="26"/>
  <c r="J46" i="26"/>
  <c r="I46" i="26"/>
  <c r="F46" i="26"/>
  <c r="D46" i="26"/>
  <c r="C46" i="26"/>
  <c r="B46" i="26"/>
  <c r="I45" i="26"/>
  <c r="J47" i="26" s="1"/>
  <c r="F45" i="26"/>
  <c r="D45" i="26"/>
  <c r="C45" i="26"/>
  <c r="B45" i="26"/>
  <c r="J44" i="26"/>
  <c r="I44" i="26"/>
  <c r="F44" i="26"/>
  <c r="D44" i="26"/>
  <c r="C44" i="26"/>
  <c r="B44" i="26"/>
  <c r="I43" i="26"/>
  <c r="J45" i="26" s="1"/>
  <c r="F43" i="26"/>
  <c r="D43" i="26"/>
  <c r="C43" i="26"/>
  <c r="B43" i="26"/>
  <c r="J42" i="26"/>
  <c r="I42" i="26"/>
  <c r="F42" i="26"/>
  <c r="D42" i="26"/>
  <c r="C42" i="26"/>
  <c r="B42" i="26"/>
  <c r="I41" i="26"/>
  <c r="J43" i="26" s="1"/>
  <c r="F41" i="26"/>
  <c r="D41" i="26"/>
  <c r="C41" i="26"/>
  <c r="B41" i="26"/>
  <c r="J40" i="26"/>
  <c r="I40" i="26"/>
  <c r="F40" i="26"/>
  <c r="D40" i="26"/>
  <c r="C40" i="26"/>
  <c r="B40" i="26"/>
  <c r="J39" i="26"/>
  <c r="I39" i="26"/>
  <c r="J41" i="26" s="1"/>
  <c r="F39" i="26"/>
  <c r="D39" i="26"/>
  <c r="C39" i="26"/>
  <c r="B39" i="26"/>
  <c r="J38" i="26"/>
  <c r="I38" i="26"/>
  <c r="F38" i="26"/>
  <c r="D38" i="26"/>
  <c r="C38" i="26"/>
  <c r="B38" i="26"/>
  <c r="I37" i="26"/>
  <c r="F37" i="26"/>
  <c r="D37" i="26"/>
  <c r="C37" i="26"/>
  <c r="B37" i="26"/>
  <c r="J36" i="26"/>
  <c r="I36" i="26"/>
  <c r="F36" i="26"/>
  <c r="D36" i="26"/>
  <c r="C36" i="26"/>
  <c r="B36" i="26"/>
  <c r="I35" i="26"/>
  <c r="J37" i="26" s="1"/>
  <c r="F35" i="26"/>
  <c r="D35" i="26"/>
  <c r="C35" i="26"/>
  <c r="B35" i="26"/>
  <c r="J34" i="26"/>
  <c r="I34" i="26"/>
  <c r="F34" i="26"/>
  <c r="D34" i="26"/>
  <c r="C34" i="26"/>
  <c r="B34" i="26"/>
  <c r="I33" i="26"/>
  <c r="J35" i="26" s="1"/>
  <c r="F33" i="26"/>
  <c r="D33" i="26"/>
  <c r="C33" i="26"/>
  <c r="B33" i="26"/>
  <c r="J32" i="26"/>
  <c r="I32" i="26"/>
  <c r="F32" i="26"/>
  <c r="D32" i="26"/>
  <c r="C32" i="26"/>
  <c r="B32" i="26"/>
  <c r="J31" i="26"/>
  <c r="I31" i="26"/>
  <c r="J33" i="26" s="1"/>
  <c r="F31" i="26"/>
  <c r="D31" i="26"/>
  <c r="C31" i="26"/>
  <c r="B31" i="26"/>
  <c r="J30" i="26"/>
  <c r="I30" i="26"/>
  <c r="F30" i="26"/>
  <c r="D30" i="26"/>
  <c r="C30" i="26"/>
  <c r="B30" i="26"/>
  <c r="I29" i="26"/>
  <c r="F29" i="26"/>
  <c r="D29" i="26"/>
  <c r="C29" i="26"/>
  <c r="B29" i="26"/>
  <c r="J28" i="26"/>
  <c r="I28" i="26"/>
  <c r="F28" i="26"/>
  <c r="D28" i="26"/>
  <c r="C28" i="26"/>
  <c r="B28" i="26"/>
  <c r="J27" i="26"/>
  <c r="I27" i="26"/>
  <c r="J29" i="26" s="1"/>
  <c r="F27" i="26"/>
  <c r="D27" i="26"/>
  <c r="C27" i="26"/>
  <c r="B27" i="26"/>
  <c r="J26" i="26"/>
  <c r="I26" i="26"/>
  <c r="F26" i="26"/>
  <c r="D26" i="26"/>
  <c r="C26" i="26"/>
  <c r="B26" i="26"/>
  <c r="I25" i="26"/>
  <c r="F25" i="26"/>
  <c r="D25" i="26"/>
  <c r="C25" i="26"/>
  <c r="B25" i="26"/>
  <c r="J24" i="26"/>
  <c r="I24" i="26"/>
  <c r="F24" i="26"/>
  <c r="D24" i="26"/>
  <c r="C24" i="26"/>
  <c r="B24" i="26"/>
  <c r="I23" i="26"/>
  <c r="J25" i="26" s="1"/>
  <c r="F23" i="26"/>
  <c r="D23" i="26"/>
  <c r="C23" i="26"/>
  <c r="B23" i="26"/>
  <c r="J22" i="26"/>
  <c r="I22" i="26"/>
  <c r="F22" i="26"/>
  <c r="D22" i="26"/>
  <c r="C22" i="26"/>
  <c r="B22" i="26"/>
  <c r="I21" i="26"/>
  <c r="J23" i="26" s="1"/>
  <c r="F21" i="26"/>
  <c r="D21" i="26"/>
  <c r="C21" i="26"/>
  <c r="B21" i="26"/>
  <c r="J20" i="26"/>
  <c r="I20" i="26"/>
  <c r="F20" i="26"/>
  <c r="D20" i="26"/>
  <c r="C20" i="26"/>
  <c r="B20" i="26"/>
  <c r="I19" i="26"/>
  <c r="J21" i="26" s="1"/>
  <c r="F19" i="26"/>
  <c r="D19" i="26"/>
  <c r="C19" i="26"/>
  <c r="B19" i="26"/>
  <c r="J18" i="26"/>
  <c r="I18" i="26"/>
  <c r="F18" i="26"/>
  <c r="D18" i="26"/>
  <c r="C18" i="26"/>
  <c r="B18" i="26"/>
  <c r="I17" i="26"/>
  <c r="J19" i="26" s="1"/>
  <c r="F17" i="26"/>
  <c r="D17" i="26"/>
  <c r="C17" i="26"/>
  <c r="B17" i="26"/>
  <c r="J16" i="26"/>
  <c r="I16" i="26"/>
  <c r="F16" i="26"/>
  <c r="D16" i="26"/>
  <c r="C16" i="26"/>
  <c r="B16" i="26"/>
  <c r="I15" i="26"/>
  <c r="J17" i="26" s="1"/>
  <c r="F15" i="26"/>
  <c r="D15" i="26"/>
  <c r="C15" i="26"/>
  <c r="B15" i="26"/>
  <c r="J14" i="26"/>
  <c r="I14" i="26"/>
  <c r="F14" i="26"/>
  <c r="D14" i="26"/>
  <c r="C14" i="26"/>
  <c r="B14" i="26"/>
  <c r="I13" i="26"/>
  <c r="J15" i="26" s="1"/>
  <c r="F13" i="26"/>
  <c r="D13" i="26"/>
  <c r="C13" i="26"/>
  <c r="B13" i="26"/>
  <c r="J12" i="26"/>
  <c r="I12" i="26"/>
  <c r="F12" i="26"/>
  <c r="D12" i="26"/>
  <c r="J11" i="26"/>
  <c r="I11" i="26"/>
  <c r="J13" i="26" s="1"/>
  <c r="F11" i="26"/>
  <c r="D11" i="26"/>
  <c r="G4" i="26"/>
  <c r="K215" i="25"/>
  <c r="I215" i="25"/>
  <c r="D215" i="25"/>
  <c r="C215" i="25"/>
  <c r="A215" i="25"/>
  <c r="K214" i="25"/>
  <c r="I214" i="25"/>
  <c r="D214" i="25"/>
  <c r="C214" i="25"/>
  <c r="A214" i="25"/>
  <c r="K213" i="25"/>
  <c r="J213" i="25"/>
  <c r="I213" i="25"/>
  <c r="J215" i="25" s="1"/>
  <c r="D213" i="25"/>
  <c r="C213" i="25"/>
  <c r="A213" i="25"/>
  <c r="K212" i="25"/>
  <c r="J212" i="25"/>
  <c r="I212" i="25"/>
  <c r="J214" i="25" s="1"/>
  <c r="D212" i="25"/>
  <c r="C212" i="25"/>
  <c r="A212" i="25"/>
  <c r="K211" i="25"/>
  <c r="I211" i="25"/>
  <c r="D211" i="25"/>
  <c r="C211" i="25"/>
  <c r="A211" i="25"/>
  <c r="K210" i="25"/>
  <c r="I210" i="25"/>
  <c r="D210" i="25"/>
  <c r="C210" i="25"/>
  <c r="A210" i="25"/>
  <c r="K209" i="25"/>
  <c r="J209" i="25"/>
  <c r="I209" i="25"/>
  <c r="J211" i="25" s="1"/>
  <c r="D209" i="25"/>
  <c r="C209" i="25"/>
  <c r="A209" i="25"/>
  <c r="K208" i="25"/>
  <c r="J208" i="25"/>
  <c r="I208" i="25"/>
  <c r="J210" i="25" s="1"/>
  <c r="D208" i="25"/>
  <c r="C208" i="25"/>
  <c r="A208" i="25"/>
  <c r="K207" i="25"/>
  <c r="I207" i="25"/>
  <c r="D207" i="25"/>
  <c r="C207" i="25"/>
  <c r="A207" i="25"/>
  <c r="K206" i="25"/>
  <c r="I206" i="25"/>
  <c r="D206" i="25"/>
  <c r="C206" i="25"/>
  <c r="A206" i="25"/>
  <c r="K205" i="25"/>
  <c r="J205" i="25"/>
  <c r="I205" i="25"/>
  <c r="J207" i="25" s="1"/>
  <c r="D205" i="25"/>
  <c r="C205" i="25"/>
  <c r="A205" i="25"/>
  <c r="K204" i="25"/>
  <c r="J204" i="25"/>
  <c r="I204" i="25"/>
  <c r="J206" i="25" s="1"/>
  <c r="D204" i="25"/>
  <c r="C204" i="25"/>
  <c r="A204" i="25"/>
  <c r="K203" i="25"/>
  <c r="I203" i="25"/>
  <c r="D203" i="25"/>
  <c r="C203" i="25"/>
  <c r="A203" i="25"/>
  <c r="K202" i="25"/>
  <c r="I202" i="25"/>
  <c r="D202" i="25"/>
  <c r="C202" i="25"/>
  <c r="A202" i="25"/>
  <c r="K201" i="25"/>
  <c r="J201" i="25"/>
  <c r="I201" i="25"/>
  <c r="J203" i="25" s="1"/>
  <c r="D201" i="25"/>
  <c r="C201" i="25"/>
  <c r="A201" i="25"/>
  <c r="K200" i="25"/>
  <c r="J200" i="25"/>
  <c r="I200" i="25"/>
  <c r="J202" i="25" s="1"/>
  <c r="D200" i="25"/>
  <c r="C200" i="25"/>
  <c r="A200" i="25"/>
  <c r="K199" i="25"/>
  <c r="I199" i="25"/>
  <c r="D199" i="25"/>
  <c r="C199" i="25"/>
  <c r="A199" i="25"/>
  <c r="K198" i="25"/>
  <c r="I198" i="25"/>
  <c r="D198" i="25"/>
  <c r="C198" i="25"/>
  <c r="A198" i="25"/>
  <c r="K197" i="25"/>
  <c r="J197" i="25"/>
  <c r="I197" i="25"/>
  <c r="J199" i="25" s="1"/>
  <c r="D197" i="25"/>
  <c r="C197" i="25"/>
  <c r="A197" i="25"/>
  <c r="K196" i="25"/>
  <c r="J196" i="25"/>
  <c r="I196" i="25"/>
  <c r="J198" i="25" s="1"/>
  <c r="D196" i="25"/>
  <c r="C196" i="25"/>
  <c r="A196" i="25"/>
  <c r="K195" i="25"/>
  <c r="I195" i="25"/>
  <c r="D195" i="25"/>
  <c r="C195" i="25"/>
  <c r="A195" i="25"/>
  <c r="K194" i="25"/>
  <c r="I194" i="25"/>
  <c r="D194" i="25"/>
  <c r="C194" i="25"/>
  <c r="A194" i="25"/>
  <c r="K193" i="25"/>
  <c r="J193" i="25"/>
  <c r="I193" i="25"/>
  <c r="J195" i="25" s="1"/>
  <c r="D193" i="25"/>
  <c r="C193" i="25"/>
  <c r="A193" i="25"/>
  <c r="K192" i="25"/>
  <c r="J192" i="25"/>
  <c r="I192" i="25"/>
  <c r="J194" i="25" s="1"/>
  <c r="D192" i="25"/>
  <c r="C192" i="25"/>
  <c r="A192" i="25"/>
  <c r="K191" i="25"/>
  <c r="I191" i="25"/>
  <c r="D191" i="25"/>
  <c r="C191" i="25"/>
  <c r="A191" i="25"/>
  <c r="K190" i="25"/>
  <c r="I190" i="25"/>
  <c r="D190" i="25"/>
  <c r="C190" i="25"/>
  <c r="A190" i="25"/>
  <c r="K189" i="25"/>
  <c r="J189" i="25"/>
  <c r="I189" i="25"/>
  <c r="J191" i="25" s="1"/>
  <c r="D189" i="25"/>
  <c r="C189" i="25"/>
  <c r="A189" i="25"/>
  <c r="K188" i="25"/>
  <c r="J188" i="25"/>
  <c r="I188" i="25"/>
  <c r="J190" i="25" s="1"/>
  <c r="D188" i="25"/>
  <c r="C188" i="25"/>
  <c r="A188" i="25"/>
  <c r="K187" i="25"/>
  <c r="I187" i="25"/>
  <c r="D187" i="25"/>
  <c r="C187" i="25"/>
  <c r="A187" i="25"/>
  <c r="K186" i="25"/>
  <c r="I186" i="25"/>
  <c r="D186" i="25"/>
  <c r="C186" i="25"/>
  <c r="A186" i="25"/>
  <c r="K185" i="25"/>
  <c r="J185" i="25"/>
  <c r="I185" i="25"/>
  <c r="J187" i="25" s="1"/>
  <c r="D185" i="25"/>
  <c r="C185" i="25"/>
  <c r="A185" i="25"/>
  <c r="K184" i="25"/>
  <c r="J184" i="25"/>
  <c r="I184" i="25"/>
  <c r="J186" i="25" s="1"/>
  <c r="D184" i="25"/>
  <c r="C184" i="25"/>
  <c r="A184" i="25"/>
  <c r="K183" i="25"/>
  <c r="I183" i="25"/>
  <c r="D183" i="25"/>
  <c r="C183" i="25"/>
  <c r="A183" i="25"/>
  <c r="K182" i="25"/>
  <c r="I182" i="25"/>
  <c r="D182" i="25"/>
  <c r="C182" i="25"/>
  <c r="A182" i="25"/>
  <c r="K181" i="25"/>
  <c r="J181" i="25"/>
  <c r="I181" i="25"/>
  <c r="J183" i="25" s="1"/>
  <c r="D181" i="25"/>
  <c r="C181" i="25"/>
  <c r="A181" i="25"/>
  <c r="K180" i="25"/>
  <c r="J180" i="25"/>
  <c r="I180" i="25"/>
  <c r="J182" i="25" s="1"/>
  <c r="D180" i="25"/>
  <c r="C180" i="25"/>
  <c r="A180" i="25"/>
  <c r="K179" i="25"/>
  <c r="I179" i="25"/>
  <c r="D179" i="25"/>
  <c r="C179" i="25"/>
  <c r="A179" i="25"/>
  <c r="K178" i="25"/>
  <c r="I178" i="25"/>
  <c r="D178" i="25"/>
  <c r="C178" i="25"/>
  <c r="A178" i="25"/>
  <c r="K177" i="25"/>
  <c r="J177" i="25"/>
  <c r="I177" i="25"/>
  <c r="J179" i="25" s="1"/>
  <c r="D177" i="25"/>
  <c r="C177" i="25"/>
  <c r="A177" i="25"/>
  <c r="K176" i="25"/>
  <c r="J176" i="25"/>
  <c r="I176" i="25"/>
  <c r="J178" i="25" s="1"/>
  <c r="D176" i="25"/>
  <c r="C176" i="25"/>
  <c r="A176" i="25"/>
  <c r="K175" i="25"/>
  <c r="I175" i="25"/>
  <c r="D175" i="25"/>
  <c r="C175" i="25"/>
  <c r="A175" i="25"/>
  <c r="K174" i="25"/>
  <c r="I174" i="25"/>
  <c r="D174" i="25"/>
  <c r="C174" i="25"/>
  <c r="A174" i="25"/>
  <c r="K173" i="25"/>
  <c r="J173" i="25"/>
  <c r="I173" i="25"/>
  <c r="J175" i="25" s="1"/>
  <c r="D173" i="25"/>
  <c r="C173" i="25"/>
  <c r="A173" i="25"/>
  <c r="K172" i="25"/>
  <c r="J172" i="25"/>
  <c r="I172" i="25"/>
  <c r="J174" i="25" s="1"/>
  <c r="D172" i="25"/>
  <c r="C172" i="25"/>
  <c r="A172" i="25"/>
  <c r="K171" i="25"/>
  <c r="I171" i="25"/>
  <c r="D171" i="25"/>
  <c r="C171" i="25"/>
  <c r="A171" i="25"/>
  <c r="K170" i="25"/>
  <c r="I170" i="25"/>
  <c r="D170" i="25"/>
  <c r="C170" i="25"/>
  <c r="A170" i="25"/>
  <c r="K169" i="25"/>
  <c r="J169" i="25"/>
  <c r="I169" i="25"/>
  <c r="J171" i="25" s="1"/>
  <c r="D169" i="25"/>
  <c r="C169" i="25"/>
  <c r="A169" i="25"/>
  <c r="K168" i="25"/>
  <c r="J168" i="25"/>
  <c r="I168" i="25"/>
  <c r="J170" i="25" s="1"/>
  <c r="D168" i="25"/>
  <c r="C168" i="25"/>
  <c r="A168" i="25"/>
  <c r="K167" i="25"/>
  <c r="I167" i="25"/>
  <c r="D167" i="25"/>
  <c r="C167" i="25"/>
  <c r="A167" i="25"/>
  <c r="K166" i="25"/>
  <c r="I166" i="25"/>
  <c r="D166" i="25"/>
  <c r="C166" i="25"/>
  <c r="A166" i="25"/>
  <c r="K165" i="25"/>
  <c r="J165" i="25"/>
  <c r="I165" i="25"/>
  <c r="J167" i="25" s="1"/>
  <c r="D165" i="25"/>
  <c r="C165" i="25"/>
  <c r="A165" i="25"/>
  <c r="K164" i="25"/>
  <c r="J164" i="25"/>
  <c r="I164" i="25"/>
  <c r="J166" i="25" s="1"/>
  <c r="D164" i="25"/>
  <c r="C164" i="25"/>
  <c r="A164" i="25"/>
  <c r="K163" i="25"/>
  <c r="I163" i="25"/>
  <c r="D163" i="25"/>
  <c r="C163" i="25"/>
  <c r="A163" i="25"/>
  <c r="K162" i="25"/>
  <c r="I162" i="25"/>
  <c r="D162" i="25"/>
  <c r="C162" i="25"/>
  <c r="A162" i="25"/>
  <c r="K161" i="25"/>
  <c r="J161" i="25"/>
  <c r="I161" i="25"/>
  <c r="J163" i="25" s="1"/>
  <c r="D161" i="25"/>
  <c r="C161" i="25"/>
  <c r="A161" i="25"/>
  <c r="K160" i="25"/>
  <c r="J160" i="25"/>
  <c r="I160" i="25"/>
  <c r="J162" i="25" s="1"/>
  <c r="D160" i="25"/>
  <c r="C160" i="25"/>
  <c r="A160" i="25"/>
  <c r="K159" i="25"/>
  <c r="I159" i="25"/>
  <c r="D159" i="25"/>
  <c r="C159" i="25"/>
  <c r="A159" i="25"/>
  <c r="K158" i="25"/>
  <c r="I158" i="25"/>
  <c r="D158" i="25"/>
  <c r="C158" i="25"/>
  <c r="A158" i="25"/>
  <c r="K157" i="25"/>
  <c r="J157" i="25"/>
  <c r="I157" i="25"/>
  <c r="J159" i="25" s="1"/>
  <c r="D157" i="25"/>
  <c r="C157" i="25"/>
  <c r="A157" i="25"/>
  <c r="K156" i="25"/>
  <c r="J156" i="25"/>
  <c r="I156" i="25"/>
  <c r="J158" i="25" s="1"/>
  <c r="D156" i="25"/>
  <c r="C156" i="25"/>
  <c r="A156" i="25"/>
  <c r="K155" i="25"/>
  <c r="I155" i="25"/>
  <c r="D155" i="25"/>
  <c r="C155" i="25"/>
  <c r="A155" i="25"/>
  <c r="K154" i="25"/>
  <c r="I154" i="25"/>
  <c r="D154" i="25"/>
  <c r="C154" i="25"/>
  <c r="A154" i="25"/>
  <c r="K153" i="25"/>
  <c r="J153" i="25"/>
  <c r="I153" i="25"/>
  <c r="J155" i="25" s="1"/>
  <c r="D153" i="25"/>
  <c r="C153" i="25"/>
  <c r="A153" i="25"/>
  <c r="K152" i="25"/>
  <c r="J152" i="25"/>
  <c r="I152" i="25"/>
  <c r="J154" i="25" s="1"/>
  <c r="D152" i="25"/>
  <c r="C152" i="25"/>
  <c r="A152" i="25"/>
  <c r="K151" i="25"/>
  <c r="I151" i="25"/>
  <c r="D151" i="25"/>
  <c r="C151" i="25"/>
  <c r="A151" i="25"/>
  <c r="K150" i="25"/>
  <c r="I150" i="25"/>
  <c r="D150" i="25"/>
  <c r="C150" i="25"/>
  <c r="A150" i="25"/>
  <c r="K149" i="25"/>
  <c r="J149" i="25"/>
  <c r="I149" i="25"/>
  <c r="J151" i="25" s="1"/>
  <c r="D149" i="25"/>
  <c r="C149" i="25"/>
  <c r="A149" i="25"/>
  <c r="K148" i="25"/>
  <c r="J148" i="25"/>
  <c r="I148" i="25"/>
  <c r="J150" i="25" s="1"/>
  <c r="D148" i="25"/>
  <c r="C148" i="25"/>
  <c r="A148" i="25"/>
  <c r="K147" i="25"/>
  <c r="I147" i="25"/>
  <c r="D147" i="25"/>
  <c r="C147" i="25"/>
  <c r="A147" i="25"/>
  <c r="K146" i="25"/>
  <c r="I146" i="25"/>
  <c r="D146" i="25"/>
  <c r="C146" i="25"/>
  <c r="A146" i="25"/>
  <c r="K145" i="25"/>
  <c r="J145" i="25"/>
  <c r="I145" i="25"/>
  <c r="J147" i="25" s="1"/>
  <c r="D145" i="25"/>
  <c r="C145" i="25"/>
  <c r="A145" i="25"/>
  <c r="K144" i="25"/>
  <c r="J144" i="25"/>
  <c r="I144" i="25"/>
  <c r="J146" i="25" s="1"/>
  <c r="D144" i="25"/>
  <c r="C144" i="25"/>
  <c r="A144" i="25"/>
  <c r="K143" i="25"/>
  <c r="I143" i="25"/>
  <c r="D143" i="25"/>
  <c r="C143" i="25"/>
  <c r="A143" i="25"/>
  <c r="K142" i="25"/>
  <c r="I142" i="25"/>
  <c r="D142" i="25"/>
  <c r="C142" i="25"/>
  <c r="A142" i="25"/>
  <c r="K141" i="25"/>
  <c r="J141" i="25"/>
  <c r="I141" i="25"/>
  <c r="J143" i="25" s="1"/>
  <c r="D141" i="25"/>
  <c r="C141" i="25"/>
  <c r="A141" i="25"/>
  <c r="K140" i="25"/>
  <c r="J140" i="25"/>
  <c r="I140" i="25"/>
  <c r="J142" i="25" s="1"/>
  <c r="D140" i="25"/>
  <c r="C140" i="25"/>
  <c r="A140" i="25"/>
  <c r="K139" i="25"/>
  <c r="I139" i="25"/>
  <c r="D139" i="25"/>
  <c r="C139" i="25"/>
  <c r="A139" i="25"/>
  <c r="K138" i="25"/>
  <c r="I138" i="25"/>
  <c r="D138" i="25"/>
  <c r="C138" i="25"/>
  <c r="A138" i="25"/>
  <c r="K137" i="25"/>
  <c r="J137" i="25"/>
  <c r="I137" i="25"/>
  <c r="J139" i="25" s="1"/>
  <c r="D137" i="25"/>
  <c r="C137" i="25"/>
  <c r="A137" i="25"/>
  <c r="K136" i="25"/>
  <c r="J136" i="25"/>
  <c r="I136" i="25"/>
  <c r="J138" i="25" s="1"/>
  <c r="D136" i="25"/>
  <c r="C136" i="25"/>
  <c r="A136" i="25"/>
  <c r="K135" i="25"/>
  <c r="I135" i="25"/>
  <c r="D135" i="25"/>
  <c r="C135" i="25"/>
  <c r="A135" i="25"/>
  <c r="K134" i="25"/>
  <c r="I134" i="25"/>
  <c r="D134" i="25"/>
  <c r="C134" i="25"/>
  <c r="A134" i="25"/>
  <c r="K133" i="25"/>
  <c r="J133" i="25"/>
  <c r="I133" i="25"/>
  <c r="J135" i="25" s="1"/>
  <c r="D133" i="25"/>
  <c r="C133" i="25"/>
  <c r="A133" i="25"/>
  <c r="K132" i="25"/>
  <c r="J132" i="25"/>
  <c r="I132" i="25"/>
  <c r="J134" i="25" s="1"/>
  <c r="D132" i="25"/>
  <c r="C132" i="25"/>
  <c r="A132" i="25"/>
  <c r="K131" i="25"/>
  <c r="I131" i="25"/>
  <c r="D131" i="25"/>
  <c r="C131" i="25"/>
  <c r="A131" i="25"/>
  <c r="K130" i="25"/>
  <c r="I130" i="25"/>
  <c r="D130" i="25"/>
  <c r="C130" i="25"/>
  <c r="A130" i="25"/>
  <c r="K129" i="25"/>
  <c r="J129" i="25"/>
  <c r="I129" i="25"/>
  <c r="J131" i="25" s="1"/>
  <c r="D129" i="25"/>
  <c r="C129" i="25"/>
  <c r="A129" i="25"/>
  <c r="K128" i="25"/>
  <c r="J128" i="25"/>
  <c r="I128" i="25"/>
  <c r="J130" i="25" s="1"/>
  <c r="D128" i="25"/>
  <c r="C128" i="25"/>
  <c r="A128" i="25"/>
  <c r="K127" i="25"/>
  <c r="I127" i="25"/>
  <c r="D127" i="25"/>
  <c r="C127" i="25"/>
  <c r="A127" i="25"/>
  <c r="K126" i="25"/>
  <c r="I126" i="25"/>
  <c r="D126" i="25"/>
  <c r="C126" i="25"/>
  <c r="A126" i="25"/>
  <c r="K125" i="25"/>
  <c r="J125" i="25"/>
  <c r="I125" i="25"/>
  <c r="J127" i="25" s="1"/>
  <c r="D125" i="25"/>
  <c r="C125" i="25"/>
  <c r="A125" i="25"/>
  <c r="K124" i="25"/>
  <c r="J124" i="25"/>
  <c r="I124" i="25"/>
  <c r="J126" i="25" s="1"/>
  <c r="D124" i="25"/>
  <c r="C124" i="25"/>
  <c r="A124" i="25"/>
  <c r="K123" i="25"/>
  <c r="I123" i="25"/>
  <c r="D123" i="25"/>
  <c r="C123" i="25"/>
  <c r="A123" i="25"/>
  <c r="K122" i="25"/>
  <c r="I122" i="25"/>
  <c r="D122" i="25"/>
  <c r="C122" i="25"/>
  <c r="A122" i="25"/>
  <c r="K121" i="25"/>
  <c r="J121" i="25"/>
  <c r="I121" i="25"/>
  <c r="J123" i="25" s="1"/>
  <c r="D121" i="25"/>
  <c r="C121" i="25"/>
  <c r="A121" i="25"/>
  <c r="K120" i="25"/>
  <c r="J120" i="25"/>
  <c r="I120" i="25"/>
  <c r="J122" i="25" s="1"/>
  <c r="D120" i="25"/>
  <c r="C120" i="25"/>
  <c r="A120" i="25"/>
  <c r="K119" i="25"/>
  <c r="I119" i="25"/>
  <c r="D119" i="25"/>
  <c r="C119" i="25"/>
  <c r="A119" i="25"/>
  <c r="K118" i="25"/>
  <c r="I118" i="25"/>
  <c r="D118" i="25"/>
  <c r="C118" i="25"/>
  <c r="A118" i="25"/>
  <c r="K117" i="25"/>
  <c r="J117" i="25"/>
  <c r="I117" i="25"/>
  <c r="J119" i="25" s="1"/>
  <c r="D117" i="25"/>
  <c r="C117" i="25"/>
  <c r="A117" i="25"/>
  <c r="K116" i="25"/>
  <c r="J116" i="25"/>
  <c r="I116" i="25"/>
  <c r="J118" i="25" s="1"/>
  <c r="D116" i="25"/>
  <c r="C116" i="25"/>
  <c r="A116" i="25"/>
  <c r="K115" i="25"/>
  <c r="I115" i="25"/>
  <c r="D115" i="25"/>
  <c r="C115" i="25"/>
  <c r="A115" i="25"/>
  <c r="K114" i="25"/>
  <c r="I114" i="25"/>
  <c r="D114" i="25"/>
  <c r="C114" i="25"/>
  <c r="A114" i="25"/>
  <c r="K113" i="25"/>
  <c r="J113" i="25"/>
  <c r="I113" i="25"/>
  <c r="J115" i="25" s="1"/>
  <c r="D113" i="25"/>
  <c r="C113" i="25"/>
  <c r="A113" i="25"/>
  <c r="K112" i="25"/>
  <c r="J112" i="25"/>
  <c r="I112" i="25"/>
  <c r="J114" i="25" s="1"/>
  <c r="D112" i="25"/>
  <c r="C112" i="25"/>
  <c r="A112" i="25"/>
  <c r="K111" i="25"/>
  <c r="I111" i="25"/>
  <c r="D111" i="25"/>
  <c r="C111" i="25"/>
  <c r="A111" i="25"/>
  <c r="K110" i="25"/>
  <c r="I110" i="25"/>
  <c r="D110" i="25"/>
  <c r="C110" i="25"/>
  <c r="A110" i="25"/>
  <c r="K109" i="25"/>
  <c r="J109" i="25"/>
  <c r="I109" i="25"/>
  <c r="J111" i="25" s="1"/>
  <c r="D109" i="25"/>
  <c r="C109" i="25"/>
  <c r="A109" i="25"/>
  <c r="K108" i="25"/>
  <c r="J108" i="25"/>
  <c r="I108" i="25"/>
  <c r="J110" i="25" s="1"/>
  <c r="D108" i="25"/>
  <c r="C108" i="25"/>
  <c r="A108" i="25"/>
  <c r="K107" i="25"/>
  <c r="I107" i="25"/>
  <c r="D107" i="25"/>
  <c r="C107" i="25"/>
  <c r="A107" i="25"/>
  <c r="K106" i="25"/>
  <c r="I106" i="25"/>
  <c r="D106" i="25"/>
  <c r="C106" i="25"/>
  <c r="A106" i="25"/>
  <c r="K105" i="25"/>
  <c r="J105" i="25"/>
  <c r="I105" i="25"/>
  <c r="J107" i="25" s="1"/>
  <c r="D105" i="25"/>
  <c r="C105" i="25"/>
  <c r="A105" i="25"/>
  <c r="K104" i="25"/>
  <c r="J104" i="25"/>
  <c r="I104" i="25"/>
  <c r="J106" i="25" s="1"/>
  <c r="D104" i="25"/>
  <c r="C104" i="25"/>
  <c r="A104" i="25"/>
  <c r="K103" i="25"/>
  <c r="I103" i="25"/>
  <c r="D103" i="25"/>
  <c r="C103" i="25"/>
  <c r="A103" i="25"/>
  <c r="K102" i="25"/>
  <c r="I102" i="25"/>
  <c r="D102" i="25"/>
  <c r="C102" i="25"/>
  <c r="A102" i="25"/>
  <c r="K101" i="25"/>
  <c r="J101" i="25"/>
  <c r="I101" i="25"/>
  <c r="J103" i="25" s="1"/>
  <c r="D101" i="25"/>
  <c r="C101" i="25"/>
  <c r="A101" i="25"/>
  <c r="K100" i="25"/>
  <c r="J100" i="25"/>
  <c r="I100" i="25"/>
  <c r="J102" i="25" s="1"/>
  <c r="D100" i="25"/>
  <c r="C100" i="25"/>
  <c r="A100" i="25"/>
  <c r="K99" i="25"/>
  <c r="I99" i="25"/>
  <c r="D99" i="25"/>
  <c r="C99" i="25"/>
  <c r="A99" i="25"/>
  <c r="K98" i="25"/>
  <c r="I98" i="25"/>
  <c r="D98" i="25"/>
  <c r="C98" i="25"/>
  <c r="A98" i="25"/>
  <c r="K97" i="25"/>
  <c r="J97" i="25"/>
  <c r="I97" i="25"/>
  <c r="J99" i="25" s="1"/>
  <c r="D97" i="25"/>
  <c r="C97" i="25"/>
  <c r="A97" i="25"/>
  <c r="K96" i="25"/>
  <c r="J96" i="25"/>
  <c r="I96" i="25"/>
  <c r="J98" i="25" s="1"/>
  <c r="D96" i="25"/>
  <c r="C96" i="25"/>
  <c r="A96" i="25"/>
  <c r="K95" i="25"/>
  <c r="I95" i="25"/>
  <c r="D95" i="25"/>
  <c r="C95" i="25"/>
  <c r="A95" i="25"/>
  <c r="K94" i="25"/>
  <c r="I94" i="25"/>
  <c r="D94" i="25"/>
  <c r="C94" i="25"/>
  <c r="A94" i="25"/>
  <c r="K93" i="25"/>
  <c r="J93" i="25"/>
  <c r="I93" i="25"/>
  <c r="J95" i="25" s="1"/>
  <c r="D93" i="25"/>
  <c r="C93" i="25"/>
  <c r="A93" i="25"/>
  <c r="K92" i="25"/>
  <c r="J92" i="25"/>
  <c r="I92" i="25"/>
  <c r="J94" i="25" s="1"/>
  <c r="D92" i="25"/>
  <c r="C92" i="25"/>
  <c r="A92" i="25"/>
  <c r="K91" i="25"/>
  <c r="I91" i="25"/>
  <c r="D91" i="25"/>
  <c r="C91" i="25"/>
  <c r="A91" i="25"/>
  <c r="K90" i="25"/>
  <c r="I90" i="25"/>
  <c r="D90" i="25"/>
  <c r="C90" i="25"/>
  <c r="A90" i="25"/>
  <c r="K89" i="25"/>
  <c r="J89" i="25"/>
  <c r="I89" i="25"/>
  <c r="J91" i="25" s="1"/>
  <c r="D89" i="25"/>
  <c r="C89" i="25"/>
  <c r="A89" i="25"/>
  <c r="K88" i="25"/>
  <c r="J88" i="25"/>
  <c r="I88" i="25"/>
  <c r="J90" i="25" s="1"/>
  <c r="D88" i="25"/>
  <c r="C88" i="25"/>
  <c r="A88" i="25"/>
  <c r="K87" i="25"/>
  <c r="I87" i="25"/>
  <c r="D87" i="25"/>
  <c r="C87" i="25"/>
  <c r="A87" i="25"/>
  <c r="K86" i="25"/>
  <c r="I86" i="25"/>
  <c r="D86" i="25"/>
  <c r="C86" i="25"/>
  <c r="A86" i="25"/>
  <c r="K85" i="25"/>
  <c r="J85" i="25"/>
  <c r="I85" i="25"/>
  <c r="J87" i="25" s="1"/>
  <c r="D85" i="25"/>
  <c r="C85" i="25"/>
  <c r="A85" i="25"/>
  <c r="K84" i="25"/>
  <c r="J84" i="25"/>
  <c r="I84" i="25"/>
  <c r="J86" i="25" s="1"/>
  <c r="D84" i="25"/>
  <c r="C84" i="25"/>
  <c r="A84" i="25"/>
  <c r="K83" i="25"/>
  <c r="I83" i="25"/>
  <c r="D83" i="25"/>
  <c r="C83" i="25"/>
  <c r="A83" i="25"/>
  <c r="K82" i="25"/>
  <c r="I82" i="25"/>
  <c r="D82" i="25"/>
  <c r="C82" i="25"/>
  <c r="A82" i="25"/>
  <c r="K81" i="25"/>
  <c r="J81" i="25"/>
  <c r="I81" i="25"/>
  <c r="J83" i="25" s="1"/>
  <c r="D81" i="25"/>
  <c r="C81" i="25"/>
  <c r="A81" i="25"/>
  <c r="K80" i="25"/>
  <c r="J80" i="25"/>
  <c r="I80" i="25"/>
  <c r="J82" i="25" s="1"/>
  <c r="D80" i="25"/>
  <c r="C80" i="25"/>
  <c r="A80" i="25"/>
  <c r="K79" i="25"/>
  <c r="I79" i="25"/>
  <c r="D79" i="25"/>
  <c r="C79" i="25"/>
  <c r="A79" i="25"/>
  <c r="K78" i="25"/>
  <c r="I78" i="25"/>
  <c r="D78" i="25"/>
  <c r="C78" i="25"/>
  <c r="A78" i="25"/>
  <c r="K77" i="25"/>
  <c r="J77" i="25"/>
  <c r="I77" i="25"/>
  <c r="J79" i="25" s="1"/>
  <c r="D77" i="25"/>
  <c r="C77" i="25"/>
  <c r="A77" i="25"/>
  <c r="K76" i="25"/>
  <c r="J76" i="25"/>
  <c r="I76" i="25"/>
  <c r="J78" i="25" s="1"/>
  <c r="D76" i="25"/>
  <c r="C76" i="25"/>
  <c r="A76" i="25"/>
  <c r="K75" i="25"/>
  <c r="I75" i="25"/>
  <c r="D75" i="25"/>
  <c r="C75" i="25"/>
  <c r="A75" i="25"/>
  <c r="K74" i="25"/>
  <c r="I74" i="25"/>
  <c r="D74" i="25"/>
  <c r="C74" i="25"/>
  <c r="A74" i="25"/>
  <c r="K73" i="25"/>
  <c r="J73" i="25"/>
  <c r="I73" i="25"/>
  <c r="J75" i="25" s="1"/>
  <c r="D73" i="25"/>
  <c r="C73" i="25"/>
  <c r="A73" i="25"/>
  <c r="K72" i="25"/>
  <c r="J72" i="25"/>
  <c r="I72" i="25"/>
  <c r="J74" i="25" s="1"/>
  <c r="D72" i="25"/>
  <c r="C72" i="25"/>
  <c r="A72" i="25"/>
  <c r="K71" i="25"/>
  <c r="I71" i="25"/>
  <c r="D71" i="25"/>
  <c r="C71" i="25"/>
  <c r="A71" i="25"/>
  <c r="K70" i="25"/>
  <c r="I70" i="25"/>
  <c r="D70" i="25"/>
  <c r="C70" i="25"/>
  <c r="A70" i="25"/>
  <c r="K69" i="25"/>
  <c r="J69" i="25"/>
  <c r="I69" i="25"/>
  <c r="J71" i="25" s="1"/>
  <c r="D69" i="25"/>
  <c r="C69" i="25"/>
  <c r="A69" i="25"/>
  <c r="K68" i="25"/>
  <c r="J68" i="25"/>
  <c r="I68" i="25"/>
  <c r="J70" i="25" s="1"/>
  <c r="D68" i="25"/>
  <c r="C68" i="25"/>
  <c r="A68" i="25"/>
  <c r="K67" i="25"/>
  <c r="I67" i="25"/>
  <c r="D67" i="25"/>
  <c r="C67" i="25"/>
  <c r="A67" i="25"/>
  <c r="K66" i="25"/>
  <c r="I66" i="25"/>
  <c r="D66" i="25"/>
  <c r="C66" i="25"/>
  <c r="A66" i="25"/>
  <c r="K65" i="25"/>
  <c r="J65" i="25"/>
  <c r="I65" i="25"/>
  <c r="J67" i="25" s="1"/>
  <c r="D65" i="25"/>
  <c r="C65" i="25"/>
  <c r="A65" i="25"/>
  <c r="K64" i="25"/>
  <c r="J64" i="25"/>
  <c r="I64" i="25"/>
  <c r="J66" i="25" s="1"/>
  <c r="D64" i="25"/>
  <c r="C64" i="25"/>
  <c r="A64" i="25"/>
  <c r="K63" i="25"/>
  <c r="I63" i="25"/>
  <c r="D63" i="25"/>
  <c r="C63" i="25"/>
  <c r="A63" i="25"/>
  <c r="K62" i="25"/>
  <c r="I62" i="25"/>
  <c r="D62" i="25"/>
  <c r="C62" i="25"/>
  <c r="A62" i="25"/>
  <c r="K61" i="25"/>
  <c r="J61" i="25"/>
  <c r="I61" i="25"/>
  <c r="J63" i="25" s="1"/>
  <c r="D61" i="25"/>
  <c r="C61" i="25"/>
  <c r="A61" i="25"/>
  <c r="K60" i="25"/>
  <c r="J60" i="25"/>
  <c r="I60" i="25"/>
  <c r="J62" i="25" s="1"/>
  <c r="D60" i="25"/>
  <c r="C60" i="25"/>
  <c r="A60" i="25"/>
  <c r="K59" i="25"/>
  <c r="I59" i="25"/>
  <c r="D59" i="25"/>
  <c r="C59" i="25"/>
  <c r="A59" i="25"/>
  <c r="K58" i="25"/>
  <c r="I58" i="25"/>
  <c r="D58" i="25"/>
  <c r="C58" i="25"/>
  <c r="A58" i="25"/>
  <c r="K57" i="25"/>
  <c r="J57" i="25"/>
  <c r="I57" i="25"/>
  <c r="J59" i="25" s="1"/>
  <c r="D57" i="25"/>
  <c r="C57" i="25"/>
  <c r="A57" i="25"/>
  <c r="K56" i="25"/>
  <c r="J56" i="25"/>
  <c r="I56" i="25"/>
  <c r="J58" i="25" s="1"/>
  <c r="D56" i="25"/>
  <c r="C56" i="25"/>
  <c r="A56" i="25"/>
  <c r="K55" i="25"/>
  <c r="I55" i="25"/>
  <c r="D55" i="25"/>
  <c r="C55" i="25"/>
  <c r="A55" i="25"/>
  <c r="K54" i="25"/>
  <c r="I54" i="25"/>
  <c r="D54" i="25"/>
  <c r="C54" i="25"/>
  <c r="A54" i="25"/>
  <c r="K53" i="25"/>
  <c r="J53" i="25"/>
  <c r="I53" i="25"/>
  <c r="J55" i="25" s="1"/>
  <c r="D53" i="25"/>
  <c r="C53" i="25"/>
  <c r="A53" i="25"/>
  <c r="K52" i="25"/>
  <c r="I52" i="25"/>
  <c r="J54" i="25" s="1"/>
  <c r="D52" i="25"/>
  <c r="C52" i="25"/>
  <c r="A52" i="25"/>
  <c r="K51" i="25"/>
  <c r="I51" i="25"/>
  <c r="D51" i="25"/>
  <c r="C51" i="25"/>
  <c r="A51" i="25"/>
  <c r="K50" i="25"/>
  <c r="I50" i="25"/>
  <c r="J52" i="25" s="1"/>
  <c r="D50" i="25"/>
  <c r="C50" i="25"/>
  <c r="A50" i="25"/>
  <c r="K49" i="25"/>
  <c r="J49" i="25"/>
  <c r="I49" i="25"/>
  <c r="J51" i="25" s="1"/>
  <c r="D49" i="25"/>
  <c r="C49" i="25"/>
  <c r="A49" i="25"/>
  <c r="K48" i="25"/>
  <c r="I48" i="25"/>
  <c r="J50" i="25" s="1"/>
  <c r="D48" i="25"/>
  <c r="C48" i="25"/>
  <c r="A48" i="25"/>
  <c r="K47" i="25"/>
  <c r="I47" i="25"/>
  <c r="D47" i="25"/>
  <c r="C47" i="25"/>
  <c r="A47" i="25"/>
  <c r="K46" i="25"/>
  <c r="I46" i="25"/>
  <c r="J48" i="25" s="1"/>
  <c r="D46" i="25"/>
  <c r="C46" i="25"/>
  <c r="A46" i="25"/>
  <c r="K45" i="25"/>
  <c r="J45" i="25"/>
  <c r="I45" i="25"/>
  <c r="J47" i="25" s="1"/>
  <c r="D45" i="25"/>
  <c r="C45" i="25"/>
  <c r="A45" i="25"/>
  <c r="K44" i="25"/>
  <c r="I44" i="25"/>
  <c r="J46" i="25" s="1"/>
  <c r="D44" i="25"/>
  <c r="C44" i="25"/>
  <c r="A44" i="25"/>
  <c r="K43" i="25"/>
  <c r="I43" i="25"/>
  <c r="D43" i="25"/>
  <c r="C43" i="25"/>
  <c r="A43" i="25"/>
  <c r="K42" i="25"/>
  <c r="I42" i="25"/>
  <c r="J44" i="25" s="1"/>
  <c r="D42" i="25"/>
  <c r="C42" i="25"/>
  <c r="A42" i="25"/>
  <c r="K41" i="25"/>
  <c r="J41" i="25"/>
  <c r="I41" i="25"/>
  <c r="J43" i="25" s="1"/>
  <c r="D41" i="25"/>
  <c r="C41" i="25"/>
  <c r="A41" i="25"/>
  <c r="K40" i="25"/>
  <c r="I40" i="25"/>
  <c r="J42" i="25" s="1"/>
  <c r="D40" i="25"/>
  <c r="C40" i="25"/>
  <c r="A40" i="25"/>
  <c r="K39" i="25"/>
  <c r="I39" i="25"/>
  <c r="D39" i="25"/>
  <c r="C39" i="25"/>
  <c r="A39" i="25"/>
  <c r="K38" i="25"/>
  <c r="I38" i="25"/>
  <c r="J40" i="25" s="1"/>
  <c r="D38" i="25"/>
  <c r="C38" i="25"/>
  <c r="A38" i="25"/>
  <c r="K37" i="25"/>
  <c r="J37" i="25"/>
  <c r="I37" i="25"/>
  <c r="J39" i="25" s="1"/>
  <c r="D37" i="25"/>
  <c r="C37" i="25"/>
  <c r="A37" i="25"/>
  <c r="K36" i="25"/>
  <c r="I36" i="25"/>
  <c r="J38" i="25" s="1"/>
  <c r="D36" i="25"/>
  <c r="C36" i="25"/>
  <c r="A36" i="25"/>
  <c r="K35" i="25"/>
  <c r="I35" i="25"/>
  <c r="D35" i="25"/>
  <c r="C35" i="25"/>
  <c r="A35" i="25"/>
  <c r="K34" i="25"/>
  <c r="I34" i="25"/>
  <c r="J36" i="25" s="1"/>
  <c r="D34" i="25"/>
  <c r="C34" i="25"/>
  <c r="A34" i="25"/>
  <c r="K33" i="25"/>
  <c r="J33" i="25"/>
  <c r="I33" i="25"/>
  <c r="J35" i="25" s="1"/>
  <c r="D33" i="25"/>
  <c r="C33" i="25"/>
  <c r="A33" i="25"/>
  <c r="K32" i="25"/>
  <c r="I32" i="25"/>
  <c r="J34" i="25" s="1"/>
  <c r="D32" i="25"/>
  <c r="C32" i="25"/>
  <c r="A32" i="25"/>
  <c r="K31" i="25"/>
  <c r="I31" i="25"/>
  <c r="D31" i="25"/>
  <c r="C31" i="25"/>
  <c r="A31" i="25"/>
  <c r="K30" i="25"/>
  <c r="I30" i="25"/>
  <c r="J32" i="25" s="1"/>
  <c r="D30" i="25"/>
  <c r="C30" i="25"/>
  <c r="A30" i="25"/>
  <c r="K29" i="25"/>
  <c r="J29" i="25"/>
  <c r="I29" i="25"/>
  <c r="J31" i="25" s="1"/>
  <c r="D29" i="25"/>
  <c r="C29" i="25"/>
  <c r="A29" i="25"/>
  <c r="K28" i="25"/>
  <c r="I28" i="25"/>
  <c r="J30" i="25" s="1"/>
  <c r="D28" i="25"/>
  <c r="C28" i="25"/>
  <c r="A28" i="25"/>
  <c r="K27" i="25"/>
  <c r="I27" i="25"/>
  <c r="D27" i="25"/>
  <c r="C27" i="25"/>
  <c r="A27" i="25"/>
  <c r="K26" i="25"/>
  <c r="I26" i="25"/>
  <c r="J28" i="25" s="1"/>
  <c r="D26" i="25"/>
  <c r="C26" i="25"/>
  <c r="A26" i="25"/>
  <c r="K25" i="25"/>
  <c r="J25" i="25"/>
  <c r="I25" i="25"/>
  <c r="J27" i="25" s="1"/>
  <c r="D25" i="25"/>
  <c r="C25" i="25"/>
  <c r="A25" i="25"/>
  <c r="K24" i="25"/>
  <c r="I24" i="25"/>
  <c r="J26" i="25" s="1"/>
  <c r="D24" i="25"/>
  <c r="C24" i="25"/>
  <c r="A24" i="25"/>
  <c r="K23" i="25"/>
  <c r="I23" i="25"/>
  <c r="D23" i="25"/>
  <c r="C23" i="25"/>
  <c r="A23" i="25"/>
  <c r="K22" i="25"/>
  <c r="I22" i="25"/>
  <c r="J24" i="25" s="1"/>
  <c r="D22" i="25"/>
  <c r="C22" i="25"/>
  <c r="A22" i="25"/>
  <c r="K21" i="25"/>
  <c r="J21" i="25"/>
  <c r="I21" i="25"/>
  <c r="J23" i="25" s="1"/>
  <c r="D21" i="25"/>
  <c r="C21" i="25"/>
  <c r="A21" i="25"/>
  <c r="K20" i="25"/>
  <c r="I20" i="25"/>
  <c r="J22" i="25" s="1"/>
  <c r="D20" i="25"/>
  <c r="C20" i="25"/>
  <c r="A20" i="25"/>
  <c r="K19" i="25"/>
  <c r="I19" i="25"/>
  <c r="D19" i="25"/>
  <c r="C19" i="25"/>
  <c r="A19" i="25"/>
  <c r="K18" i="25"/>
  <c r="I18" i="25"/>
  <c r="J20" i="25" s="1"/>
  <c r="D18" i="25"/>
  <c r="C18" i="25"/>
  <c r="A18" i="25"/>
  <c r="K17" i="25"/>
  <c r="J17" i="25"/>
  <c r="I17" i="25"/>
  <c r="J19" i="25" s="1"/>
  <c r="D17" i="25"/>
  <c r="A17" i="25"/>
  <c r="K16" i="25"/>
  <c r="J16" i="25"/>
  <c r="I16" i="25"/>
  <c r="J18" i="25" s="1"/>
  <c r="D16" i="25"/>
  <c r="C16" i="25"/>
  <c r="A16" i="25"/>
  <c r="B11" i="25"/>
  <c r="B10" i="25"/>
  <c r="G4" i="25"/>
  <c r="J210" i="24"/>
  <c r="G210" i="24"/>
  <c r="D210" i="24"/>
  <c r="C210" i="24"/>
  <c r="B210" i="24"/>
  <c r="J209" i="24"/>
  <c r="G209" i="24"/>
  <c r="D209" i="24"/>
  <c r="C209" i="24"/>
  <c r="B209" i="24"/>
  <c r="J208" i="24"/>
  <c r="K210" i="24" s="1"/>
  <c r="G208" i="24"/>
  <c r="D208" i="24"/>
  <c r="C208" i="24"/>
  <c r="B208" i="24"/>
  <c r="J207" i="24"/>
  <c r="K209" i="24" s="1"/>
  <c r="G207" i="24"/>
  <c r="D207" i="24"/>
  <c r="C207" i="24"/>
  <c r="B207" i="24"/>
  <c r="J206" i="24"/>
  <c r="K208" i="24" s="1"/>
  <c r="G206" i="24"/>
  <c r="D206" i="24"/>
  <c r="C206" i="24"/>
  <c r="B206" i="24"/>
  <c r="J205" i="24"/>
  <c r="K207" i="24" s="1"/>
  <c r="G205" i="24"/>
  <c r="D205" i="24"/>
  <c r="C205" i="24"/>
  <c r="B205" i="24"/>
  <c r="J204" i="24"/>
  <c r="K206" i="24" s="1"/>
  <c r="G204" i="24"/>
  <c r="D204" i="24"/>
  <c r="C204" i="24"/>
  <c r="B204" i="24"/>
  <c r="J203" i="24"/>
  <c r="K205" i="24" s="1"/>
  <c r="G203" i="24"/>
  <c r="D203" i="24"/>
  <c r="C203" i="24"/>
  <c r="B203" i="24"/>
  <c r="J202" i="24"/>
  <c r="K204" i="24" s="1"/>
  <c r="G202" i="24"/>
  <c r="D202" i="24"/>
  <c r="C202" i="24"/>
  <c r="B202" i="24"/>
  <c r="J201" i="24"/>
  <c r="K203" i="24" s="1"/>
  <c r="G201" i="24"/>
  <c r="D201" i="24"/>
  <c r="C201" i="24"/>
  <c r="B201" i="24"/>
  <c r="J200" i="24"/>
  <c r="K202" i="24" s="1"/>
  <c r="G200" i="24"/>
  <c r="D200" i="24"/>
  <c r="C200" i="24"/>
  <c r="B200" i="24"/>
  <c r="J199" i="24"/>
  <c r="K201" i="24" s="1"/>
  <c r="G199" i="24"/>
  <c r="D199" i="24"/>
  <c r="C199" i="24"/>
  <c r="B199" i="24"/>
  <c r="J198" i="24"/>
  <c r="K200" i="24" s="1"/>
  <c r="G198" i="24"/>
  <c r="D198" i="24"/>
  <c r="C198" i="24"/>
  <c r="B198" i="24"/>
  <c r="J197" i="24"/>
  <c r="K199" i="24" s="1"/>
  <c r="G197" i="24"/>
  <c r="D197" i="24"/>
  <c r="C197" i="24"/>
  <c r="B197" i="24"/>
  <c r="J196" i="24"/>
  <c r="K198" i="24" s="1"/>
  <c r="G196" i="24"/>
  <c r="D196" i="24"/>
  <c r="C196" i="24"/>
  <c r="B196" i="24"/>
  <c r="J195" i="24"/>
  <c r="K197" i="24" s="1"/>
  <c r="G195" i="24"/>
  <c r="D195" i="24"/>
  <c r="C195" i="24"/>
  <c r="B195" i="24"/>
  <c r="J194" i="24"/>
  <c r="K196" i="24" s="1"/>
  <c r="G194" i="24"/>
  <c r="D194" i="24"/>
  <c r="C194" i="24"/>
  <c r="B194" i="24"/>
  <c r="J193" i="24"/>
  <c r="K195" i="24" s="1"/>
  <c r="G193" i="24"/>
  <c r="D193" i="24"/>
  <c r="C193" i="24"/>
  <c r="B193" i="24"/>
  <c r="J192" i="24"/>
  <c r="K194" i="24" s="1"/>
  <c r="G192" i="24"/>
  <c r="D192" i="24"/>
  <c r="C192" i="24"/>
  <c r="B192" i="24"/>
  <c r="J191" i="24"/>
  <c r="K193" i="24" s="1"/>
  <c r="G191" i="24"/>
  <c r="D191" i="24"/>
  <c r="C191" i="24"/>
  <c r="B191" i="24"/>
  <c r="J190" i="24"/>
  <c r="K192" i="24" s="1"/>
  <c r="G190" i="24"/>
  <c r="D190" i="24"/>
  <c r="C190" i="24"/>
  <c r="B190" i="24"/>
  <c r="J189" i="24"/>
  <c r="K191" i="24" s="1"/>
  <c r="G189" i="24"/>
  <c r="D189" i="24"/>
  <c r="C189" i="24"/>
  <c r="B189" i="24"/>
  <c r="J188" i="24"/>
  <c r="K190" i="24" s="1"/>
  <c r="G188" i="24"/>
  <c r="D188" i="24"/>
  <c r="C188" i="24"/>
  <c r="B188" i="24"/>
  <c r="J187" i="24"/>
  <c r="K189" i="24" s="1"/>
  <c r="G187" i="24"/>
  <c r="D187" i="24"/>
  <c r="C187" i="24"/>
  <c r="B187" i="24"/>
  <c r="J186" i="24"/>
  <c r="K188" i="24" s="1"/>
  <c r="G186" i="24"/>
  <c r="D186" i="24"/>
  <c r="C186" i="24"/>
  <c r="B186" i="24"/>
  <c r="J185" i="24"/>
  <c r="K187" i="24" s="1"/>
  <c r="G185" i="24"/>
  <c r="D185" i="24"/>
  <c r="C185" i="24"/>
  <c r="B185" i="24"/>
  <c r="J184" i="24"/>
  <c r="K186" i="24" s="1"/>
  <c r="G184" i="24"/>
  <c r="D184" i="24"/>
  <c r="C184" i="24"/>
  <c r="B184" i="24"/>
  <c r="J183" i="24"/>
  <c r="K185" i="24" s="1"/>
  <c r="G183" i="24"/>
  <c r="D183" i="24"/>
  <c r="C183" i="24"/>
  <c r="B183" i="24"/>
  <c r="J182" i="24"/>
  <c r="K184" i="24" s="1"/>
  <c r="G182" i="24"/>
  <c r="D182" i="24"/>
  <c r="C182" i="24"/>
  <c r="B182" i="24"/>
  <c r="J181" i="24"/>
  <c r="K183" i="24" s="1"/>
  <c r="G181" i="24"/>
  <c r="D181" i="24"/>
  <c r="C181" i="24"/>
  <c r="B181" i="24"/>
  <c r="J180" i="24"/>
  <c r="K182" i="24" s="1"/>
  <c r="G180" i="24"/>
  <c r="D180" i="24"/>
  <c r="C180" i="24"/>
  <c r="B180" i="24"/>
  <c r="J179" i="24"/>
  <c r="K181" i="24" s="1"/>
  <c r="G179" i="24"/>
  <c r="D179" i="24"/>
  <c r="C179" i="24"/>
  <c r="B179" i="24"/>
  <c r="J178" i="24"/>
  <c r="K180" i="24" s="1"/>
  <c r="G178" i="24"/>
  <c r="D178" i="24"/>
  <c r="C178" i="24"/>
  <c r="B178" i="24"/>
  <c r="J177" i="24"/>
  <c r="K179" i="24" s="1"/>
  <c r="G177" i="24"/>
  <c r="D177" i="24"/>
  <c r="C177" i="24"/>
  <c r="B177" i="24"/>
  <c r="J176" i="24"/>
  <c r="K178" i="24" s="1"/>
  <c r="G176" i="24"/>
  <c r="D176" i="24"/>
  <c r="C176" i="24"/>
  <c r="B176" i="24"/>
  <c r="J175" i="24"/>
  <c r="K177" i="24" s="1"/>
  <c r="G175" i="24"/>
  <c r="D175" i="24"/>
  <c r="C175" i="24"/>
  <c r="B175" i="24"/>
  <c r="J174" i="24"/>
  <c r="K176" i="24" s="1"/>
  <c r="G174" i="24"/>
  <c r="D174" i="24"/>
  <c r="C174" i="24"/>
  <c r="B174" i="24"/>
  <c r="J173" i="24"/>
  <c r="K175" i="24" s="1"/>
  <c r="G173" i="24"/>
  <c r="D173" i="24"/>
  <c r="C173" i="24"/>
  <c r="B173" i="24"/>
  <c r="J172" i="24"/>
  <c r="K174" i="24" s="1"/>
  <c r="G172" i="24"/>
  <c r="D172" i="24"/>
  <c r="C172" i="24"/>
  <c r="B172" i="24"/>
  <c r="J171" i="24"/>
  <c r="K173" i="24" s="1"/>
  <c r="G171" i="24"/>
  <c r="D171" i="24"/>
  <c r="C171" i="24"/>
  <c r="B171" i="24"/>
  <c r="J170" i="24"/>
  <c r="K172" i="24" s="1"/>
  <c r="G170" i="24"/>
  <c r="D170" i="24"/>
  <c r="C170" i="24"/>
  <c r="B170" i="24"/>
  <c r="J169" i="24"/>
  <c r="K171" i="24" s="1"/>
  <c r="G169" i="24"/>
  <c r="D169" i="24"/>
  <c r="C169" i="24"/>
  <c r="B169" i="24"/>
  <c r="J168" i="24"/>
  <c r="K170" i="24" s="1"/>
  <c r="G168" i="24"/>
  <c r="D168" i="24"/>
  <c r="C168" i="24"/>
  <c r="B168" i="24"/>
  <c r="J167" i="24"/>
  <c r="K169" i="24" s="1"/>
  <c r="G167" i="24"/>
  <c r="D167" i="24"/>
  <c r="C167" i="24"/>
  <c r="B167" i="24"/>
  <c r="J166" i="24"/>
  <c r="K168" i="24" s="1"/>
  <c r="G166" i="24"/>
  <c r="D166" i="24"/>
  <c r="C166" i="24"/>
  <c r="B166" i="24"/>
  <c r="J165" i="24"/>
  <c r="K167" i="24" s="1"/>
  <c r="G165" i="24"/>
  <c r="D165" i="24"/>
  <c r="C165" i="24"/>
  <c r="B165" i="24"/>
  <c r="J164" i="24"/>
  <c r="K166" i="24" s="1"/>
  <c r="G164" i="24"/>
  <c r="D164" i="24"/>
  <c r="C164" i="24"/>
  <c r="B164" i="24"/>
  <c r="J163" i="24"/>
  <c r="K165" i="24" s="1"/>
  <c r="G163" i="24"/>
  <c r="D163" i="24"/>
  <c r="C163" i="24"/>
  <c r="B163" i="24"/>
  <c r="J162" i="24"/>
  <c r="K164" i="24" s="1"/>
  <c r="G162" i="24"/>
  <c r="D162" i="24"/>
  <c r="C162" i="24"/>
  <c r="B162" i="24"/>
  <c r="J161" i="24"/>
  <c r="K163" i="24" s="1"/>
  <c r="G161" i="24"/>
  <c r="D161" i="24"/>
  <c r="C161" i="24"/>
  <c r="B161" i="24"/>
  <c r="J160" i="24"/>
  <c r="K162" i="24" s="1"/>
  <c r="G160" i="24"/>
  <c r="D160" i="24"/>
  <c r="C160" i="24"/>
  <c r="B160" i="24"/>
  <c r="J159" i="24"/>
  <c r="K161" i="24" s="1"/>
  <c r="G159" i="24"/>
  <c r="D159" i="24"/>
  <c r="C159" i="24"/>
  <c r="B159" i="24"/>
  <c r="J158" i="24"/>
  <c r="K160" i="24" s="1"/>
  <c r="G158" i="24"/>
  <c r="D158" i="24"/>
  <c r="C158" i="24"/>
  <c r="B158" i="24"/>
  <c r="J157" i="24"/>
  <c r="K159" i="24" s="1"/>
  <c r="G157" i="24"/>
  <c r="D157" i="24"/>
  <c r="C157" i="24"/>
  <c r="B157" i="24"/>
  <c r="J156" i="24"/>
  <c r="K158" i="24" s="1"/>
  <c r="G156" i="24"/>
  <c r="D156" i="24"/>
  <c r="C156" i="24"/>
  <c r="B156" i="24"/>
  <c r="J155" i="24"/>
  <c r="K157" i="24" s="1"/>
  <c r="G155" i="24"/>
  <c r="D155" i="24"/>
  <c r="C155" i="24"/>
  <c r="B155" i="24"/>
  <c r="J154" i="24"/>
  <c r="K156" i="24" s="1"/>
  <c r="G154" i="24"/>
  <c r="D154" i="24"/>
  <c r="C154" i="24"/>
  <c r="B154" i="24"/>
  <c r="J153" i="24"/>
  <c r="K155" i="24" s="1"/>
  <c r="G153" i="24"/>
  <c r="D153" i="24"/>
  <c r="C153" i="24"/>
  <c r="B153" i="24"/>
  <c r="J152" i="24"/>
  <c r="K154" i="24" s="1"/>
  <c r="G152" i="24"/>
  <c r="D152" i="24"/>
  <c r="C152" i="24"/>
  <c r="B152" i="24"/>
  <c r="J151" i="24"/>
  <c r="K153" i="24" s="1"/>
  <c r="G151" i="24"/>
  <c r="D151" i="24"/>
  <c r="C151" i="24"/>
  <c r="B151" i="24"/>
  <c r="J150" i="24"/>
  <c r="K152" i="24" s="1"/>
  <c r="G150" i="24"/>
  <c r="D150" i="24"/>
  <c r="C150" i="24"/>
  <c r="B150" i="24"/>
  <c r="J149" i="24"/>
  <c r="K151" i="24" s="1"/>
  <c r="G149" i="24"/>
  <c r="D149" i="24"/>
  <c r="C149" i="24"/>
  <c r="B149" i="24"/>
  <c r="J148" i="24"/>
  <c r="K150" i="24" s="1"/>
  <c r="G148" i="24"/>
  <c r="D148" i="24"/>
  <c r="C148" i="24"/>
  <c r="B148" i="24"/>
  <c r="J147" i="24"/>
  <c r="K149" i="24" s="1"/>
  <c r="G147" i="24"/>
  <c r="D147" i="24"/>
  <c r="C147" i="24"/>
  <c r="B147" i="24"/>
  <c r="J146" i="24"/>
  <c r="K148" i="24" s="1"/>
  <c r="G146" i="24"/>
  <c r="D146" i="24"/>
  <c r="C146" i="24"/>
  <c r="B146" i="24"/>
  <c r="J145" i="24"/>
  <c r="K147" i="24" s="1"/>
  <c r="G145" i="24"/>
  <c r="D145" i="24"/>
  <c r="C145" i="24"/>
  <c r="B145" i="24"/>
  <c r="J144" i="24"/>
  <c r="K146" i="24" s="1"/>
  <c r="G144" i="24"/>
  <c r="D144" i="24"/>
  <c r="C144" i="24"/>
  <c r="B144" i="24"/>
  <c r="J143" i="24"/>
  <c r="K145" i="24" s="1"/>
  <c r="G143" i="24"/>
  <c r="D143" i="24"/>
  <c r="C143" i="24"/>
  <c r="B143" i="24"/>
  <c r="J142" i="24"/>
  <c r="K144" i="24" s="1"/>
  <c r="G142" i="24"/>
  <c r="D142" i="24"/>
  <c r="C142" i="24"/>
  <c r="B142" i="24"/>
  <c r="J141" i="24"/>
  <c r="K143" i="24" s="1"/>
  <c r="G141" i="24"/>
  <c r="D141" i="24"/>
  <c r="C141" i="24"/>
  <c r="B141" i="24"/>
  <c r="J140" i="24"/>
  <c r="K142" i="24" s="1"/>
  <c r="G140" i="24"/>
  <c r="D140" i="24"/>
  <c r="C140" i="24"/>
  <c r="B140" i="24"/>
  <c r="J139" i="24"/>
  <c r="K141" i="24" s="1"/>
  <c r="G139" i="24"/>
  <c r="D139" i="24"/>
  <c r="C139" i="24"/>
  <c r="B139" i="24"/>
  <c r="J138" i="24"/>
  <c r="K140" i="24" s="1"/>
  <c r="G138" i="24"/>
  <c r="D138" i="24"/>
  <c r="C138" i="24"/>
  <c r="B138" i="24"/>
  <c r="J137" i="24"/>
  <c r="K139" i="24" s="1"/>
  <c r="G137" i="24"/>
  <c r="D137" i="24"/>
  <c r="C137" i="24"/>
  <c r="B137" i="24"/>
  <c r="J136" i="24"/>
  <c r="K138" i="24" s="1"/>
  <c r="G136" i="24"/>
  <c r="D136" i="24"/>
  <c r="C136" i="24"/>
  <c r="B136" i="24"/>
  <c r="J135" i="24"/>
  <c r="K137" i="24" s="1"/>
  <c r="G135" i="24"/>
  <c r="D135" i="24"/>
  <c r="C135" i="24"/>
  <c r="B135" i="24"/>
  <c r="J134" i="24"/>
  <c r="K136" i="24" s="1"/>
  <c r="G134" i="24"/>
  <c r="D134" i="24"/>
  <c r="C134" i="24"/>
  <c r="B134" i="24"/>
  <c r="J133" i="24"/>
  <c r="K135" i="24" s="1"/>
  <c r="G133" i="24"/>
  <c r="D133" i="24"/>
  <c r="C133" i="24"/>
  <c r="B133" i="24"/>
  <c r="J132" i="24"/>
  <c r="K134" i="24" s="1"/>
  <c r="G132" i="24"/>
  <c r="D132" i="24"/>
  <c r="C132" i="24"/>
  <c r="B132" i="24"/>
  <c r="J131" i="24"/>
  <c r="K133" i="24" s="1"/>
  <c r="G131" i="24"/>
  <c r="D131" i="24"/>
  <c r="C131" i="24"/>
  <c r="B131" i="24"/>
  <c r="J130" i="24"/>
  <c r="K132" i="24" s="1"/>
  <c r="G130" i="24"/>
  <c r="D130" i="24"/>
  <c r="C130" i="24"/>
  <c r="B130" i="24"/>
  <c r="J129" i="24"/>
  <c r="K131" i="24" s="1"/>
  <c r="G129" i="24"/>
  <c r="D129" i="24"/>
  <c r="C129" i="24"/>
  <c r="B129" i="24"/>
  <c r="J128" i="24"/>
  <c r="K130" i="24" s="1"/>
  <c r="G128" i="24"/>
  <c r="D128" i="24"/>
  <c r="C128" i="24"/>
  <c r="B128" i="24"/>
  <c r="J127" i="24"/>
  <c r="K129" i="24" s="1"/>
  <c r="G127" i="24"/>
  <c r="D127" i="24"/>
  <c r="C127" i="24"/>
  <c r="B127" i="24"/>
  <c r="J126" i="24"/>
  <c r="K128" i="24" s="1"/>
  <c r="G126" i="24"/>
  <c r="D126" i="24"/>
  <c r="C126" i="24"/>
  <c r="B126" i="24"/>
  <c r="J125" i="24"/>
  <c r="K127" i="24" s="1"/>
  <c r="G125" i="24"/>
  <c r="D125" i="24"/>
  <c r="C125" i="24"/>
  <c r="B125" i="24"/>
  <c r="J124" i="24"/>
  <c r="K126" i="24" s="1"/>
  <c r="G124" i="24"/>
  <c r="D124" i="24"/>
  <c r="C124" i="24"/>
  <c r="B124" i="24"/>
  <c r="J123" i="24"/>
  <c r="K125" i="24" s="1"/>
  <c r="G123" i="24"/>
  <c r="D123" i="24"/>
  <c r="C123" i="24"/>
  <c r="B123" i="24"/>
  <c r="J122" i="24"/>
  <c r="K124" i="24" s="1"/>
  <c r="G122" i="24"/>
  <c r="D122" i="24"/>
  <c r="C122" i="24"/>
  <c r="B122" i="24"/>
  <c r="J121" i="24"/>
  <c r="K123" i="24" s="1"/>
  <c r="G121" i="24"/>
  <c r="D121" i="24"/>
  <c r="C121" i="24"/>
  <c r="B121" i="24"/>
  <c r="J120" i="24"/>
  <c r="K122" i="24" s="1"/>
  <c r="G120" i="24"/>
  <c r="D120" i="24"/>
  <c r="C120" i="24"/>
  <c r="B120" i="24"/>
  <c r="J119" i="24"/>
  <c r="K121" i="24" s="1"/>
  <c r="G119" i="24"/>
  <c r="D119" i="24"/>
  <c r="C119" i="24"/>
  <c r="B119" i="24"/>
  <c r="J118" i="24"/>
  <c r="K120" i="24" s="1"/>
  <c r="G118" i="24"/>
  <c r="D118" i="24"/>
  <c r="C118" i="24"/>
  <c r="B118" i="24"/>
  <c r="J117" i="24"/>
  <c r="K119" i="24" s="1"/>
  <c r="G117" i="24"/>
  <c r="D117" i="24"/>
  <c r="C117" i="24"/>
  <c r="B117" i="24"/>
  <c r="J116" i="24"/>
  <c r="K118" i="24" s="1"/>
  <c r="G116" i="24"/>
  <c r="D116" i="24"/>
  <c r="C116" i="24"/>
  <c r="B116" i="24"/>
  <c r="J115" i="24"/>
  <c r="K117" i="24" s="1"/>
  <c r="G115" i="24"/>
  <c r="D115" i="24"/>
  <c r="C115" i="24"/>
  <c r="B115" i="24"/>
  <c r="J114" i="24"/>
  <c r="K116" i="24" s="1"/>
  <c r="G114" i="24"/>
  <c r="D114" i="24"/>
  <c r="C114" i="24"/>
  <c r="B114" i="24"/>
  <c r="J113" i="24"/>
  <c r="K115" i="24" s="1"/>
  <c r="G113" i="24"/>
  <c r="D113" i="24"/>
  <c r="C113" i="24"/>
  <c r="B113" i="24"/>
  <c r="J112" i="24"/>
  <c r="K114" i="24" s="1"/>
  <c r="G112" i="24"/>
  <c r="D112" i="24"/>
  <c r="C112" i="24"/>
  <c r="B112" i="24"/>
  <c r="J111" i="24"/>
  <c r="K113" i="24" s="1"/>
  <c r="G111" i="24"/>
  <c r="D111" i="24"/>
  <c r="C111" i="24"/>
  <c r="B111" i="24"/>
  <c r="J110" i="24"/>
  <c r="K112" i="24" s="1"/>
  <c r="G110" i="24"/>
  <c r="D110" i="24"/>
  <c r="C110" i="24"/>
  <c r="B110" i="24"/>
  <c r="J109" i="24"/>
  <c r="K111" i="24" s="1"/>
  <c r="G109" i="24"/>
  <c r="D109" i="24"/>
  <c r="C109" i="24"/>
  <c r="B109" i="24"/>
  <c r="J108" i="24"/>
  <c r="K110" i="24" s="1"/>
  <c r="G108" i="24"/>
  <c r="D108" i="24"/>
  <c r="C108" i="24"/>
  <c r="B108" i="24"/>
  <c r="J107" i="24"/>
  <c r="K109" i="24" s="1"/>
  <c r="G107" i="24"/>
  <c r="D107" i="24"/>
  <c r="C107" i="24"/>
  <c r="B107" i="24"/>
  <c r="J106" i="24"/>
  <c r="K108" i="24" s="1"/>
  <c r="G106" i="24"/>
  <c r="D106" i="24"/>
  <c r="C106" i="24"/>
  <c r="B106" i="24"/>
  <c r="J105" i="24"/>
  <c r="K107" i="24" s="1"/>
  <c r="G105" i="24"/>
  <c r="D105" i="24"/>
  <c r="C105" i="24"/>
  <c r="B105" i="24"/>
  <c r="J104" i="24"/>
  <c r="K106" i="24" s="1"/>
  <c r="G104" i="24"/>
  <c r="D104" i="24"/>
  <c r="C104" i="24"/>
  <c r="B104" i="24"/>
  <c r="J103" i="24"/>
  <c r="K105" i="24" s="1"/>
  <c r="G103" i="24"/>
  <c r="D103" i="24"/>
  <c r="C103" i="24"/>
  <c r="B103" i="24"/>
  <c r="J102" i="24"/>
  <c r="K104" i="24" s="1"/>
  <c r="G102" i="24"/>
  <c r="D102" i="24"/>
  <c r="C102" i="24"/>
  <c r="B102" i="24"/>
  <c r="J101" i="24"/>
  <c r="K103" i="24" s="1"/>
  <c r="G101" i="24"/>
  <c r="D101" i="24"/>
  <c r="C101" i="24"/>
  <c r="B101" i="24"/>
  <c r="J100" i="24"/>
  <c r="K102" i="24" s="1"/>
  <c r="G100" i="24"/>
  <c r="D100" i="24"/>
  <c r="C100" i="24"/>
  <c r="B100" i="24"/>
  <c r="J99" i="24"/>
  <c r="K101" i="24" s="1"/>
  <c r="G99" i="24"/>
  <c r="D99" i="24"/>
  <c r="C99" i="24"/>
  <c r="B99" i="24"/>
  <c r="J98" i="24"/>
  <c r="K100" i="24" s="1"/>
  <c r="G98" i="24"/>
  <c r="D98" i="24"/>
  <c r="C98" i="24"/>
  <c r="B98" i="24"/>
  <c r="J97" i="24"/>
  <c r="K99" i="24" s="1"/>
  <c r="G97" i="24"/>
  <c r="D97" i="24"/>
  <c r="C97" i="24"/>
  <c r="B97" i="24"/>
  <c r="J96" i="24"/>
  <c r="K98" i="24" s="1"/>
  <c r="G96" i="24"/>
  <c r="D96" i="24"/>
  <c r="C96" i="24"/>
  <c r="B96" i="24"/>
  <c r="J95" i="24"/>
  <c r="K97" i="24" s="1"/>
  <c r="G95" i="24"/>
  <c r="D95" i="24"/>
  <c r="C95" i="24"/>
  <c r="B95" i="24"/>
  <c r="J94" i="24"/>
  <c r="K96" i="24" s="1"/>
  <c r="G94" i="24"/>
  <c r="D94" i="24"/>
  <c r="C94" i="24"/>
  <c r="B94" i="24"/>
  <c r="J93" i="24"/>
  <c r="K95" i="24" s="1"/>
  <c r="G93" i="24"/>
  <c r="D93" i="24"/>
  <c r="C93" i="24"/>
  <c r="B93" i="24"/>
  <c r="J92" i="24"/>
  <c r="K94" i="24" s="1"/>
  <c r="G92" i="24"/>
  <c r="D92" i="24"/>
  <c r="C92" i="24"/>
  <c r="B92" i="24"/>
  <c r="J91" i="24"/>
  <c r="K93" i="24" s="1"/>
  <c r="G91" i="24"/>
  <c r="D91" i="24"/>
  <c r="C91" i="24"/>
  <c r="B91" i="24"/>
  <c r="J90" i="24"/>
  <c r="K92" i="24" s="1"/>
  <c r="G90" i="24"/>
  <c r="D90" i="24"/>
  <c r="C90" i="24"/>
  <c r="B90" i="24"/>
  <c r="J89" i="24"/>
  <c r="K91" i="24" s="1"/>
  <c r="G89" i="24"/>
  <c r="D89" i="24"/>
  <c r="C89" i="24"/>
  <c r="B89" i="24"/>
  <c r="J88" i="24"/>
  <c r="K90" i="24" s="1"/>
  <c r="G88" i="24"/>
  <c r="D88" i="24"/>
  <c r="C88" i="24"/>
  <c r="B88" i="24"/>
  <c r="J87" i="24"/>
  <c r="K89" i="24" s="1"/>
  <c r="G87" i="24"/>
  <c r="D87" i="24"/>
  <c r="C87" i="24"/>
  <c r="B87" i="24"/>
  <c r="J86" i="24"/>
  <c r="K88" i="24" s="1"/>
  <c r="G86" i="24"/>
  <c r="D86" i="24"/>
  <c r="C86" i="24"/>
  <c r="B86" i="24"/>
  <c r="J85" i="24"/>
  <c r="K87" i="24" s="1"/>
  <c r="G85" i="24"/>
  <c r="D85" i="24"/>
  <c r="C85" i="24"/>
  <c r="B85" i="24"/>
  <c r="J84" i="24"/>
  <c r="K86" i="24" s="1"/>
  <c r="G84" i="24"/>
  <c r="D84" i="24"/>
  <c r="C84" i="24"/>
  <c r="B84" i="24"/>
  <c r="J83" i="24"/>
  <c r="K85" i="24" s="1"/>
  <c r="G83" i="24"/>
  <c r="D83" i="24"/>
  <c r="C83" i="24"/>
  <c r="B83" i="24"/>
  <c r="J82" i="24"/>
  <c r="K84" i="24" s="1"/>
  <c r="G82" i="24"/>
  <c r="D82" i="24"/>
  <c r="C82" i="24"/>
  <c r="B82" i="24"/>
  <c r="J81" i="24"/>
  <c r="K83" i="24" s="1"/>
  <c r="G81" i="24"/>
  <c r="D81" i="24"/>
  <c r="C81" i="24"/>
  <c r="B81" i="24"/>
  <c r="J80" i="24"/>
  <c r="K82" i="24" s="1"/>
  <c r="G80" i="24"/>
  <c r="D80" i="24"/>
  <c r="C80" i="24"/>
  <c r="B80" i="24"/>
  <c r="J79" i="24"/>
  <c r="K81" i="24" s="1"/>
  <c r="G79" i="24"/>
  <c r="D79" i="24"/>
  <c r="C79" i="24"/>
  <c r="B79" i="24"/>
  <c r="J78" i="24"/>
  <c r="K80" i="24" s="1"/>
  <c r="G78" i="24"/>
  <c r="D78" i="24"/>
  <c r="C78" i="24"/>
  <c r="B78" i="24"/>
  <c r="J77" i="24"/>
  <c r="K79" i="24" s="1"/>
  <c r="G77" i="24"/>
  <c r="D77" i="24"/>
  <c r="C77" i="24"/>
  <c r="B77" i="24"/>
  <c r="J76" i="24"/>
  <c r="K78" i="24" s="1"/>
  <c r="G76" i="24"/>
  <c r="D76" i="24"/>
  <c r="C76" i="24"/>
  <c r="B76" i="24"/>
  <c r="J75" i="24"/>
  <c r="K77" i="24" s="1"/>
  <c r="G75" i="24"/>
  <c r="D75" i="24"/>
  <c r="C75" i="24"/>
  <c r="B75" i="24"/>
  <c r="J74" i="24"/>
  <c r="K76" i="24" s="1"/>
  <c r="G74" i="24"/>
  <c r="D74" i="24"/>
  <c r="C74" i="24"/>
  <c r="B74" i="24"/>
  <c r="J73" i="24"/>
  <c r="K75" i="24" s="1"/>
  <c r="G73" i="24"/>
  <c r="D73" i="24"/>
  <c r="C73" i="24"/>
  <c r="B73" i="24"/>
  <c r="J72" i="24"/>
  <c r="K74" i="24" s="1"/>
  <c r="G72" i="24"/>
  <c r="D72" i="24"/>
  <c r="C72" i="24"/>
  <c r="B72" i="24"/>
  <c r="J71" i="24"/>
  <c r="K73" i="24" s="1"/>
  <c r="G71" i="24"/>
  <c r="D71" i="24"/>
  <c r="C71" i="24"/>
  <c r="B71" i="24"/>
  <c r="J70" i="24"/>
  <c r="K72" i="24" s="1"/>
  <c r="G70" i="24"/>
  <c r="D70" i="24"/>
  <c r="C70" i="24"/>
  <c r="B70" i="24"/>
  <c r="J69" i="24"/>
  <c r="K71" i="24" s="1"/>
  <c r="G69" i="24"/>
  <c r="D69" i="24"/>
  <c r="C69" i="24"/>
  <c r="B69" i="24"/>
  <c r="J68" i="24"/>
  <c r="K70" i="24" s="1"/>
  <c r="G68" i="24"/>
  <c r="D68" i="24"/>
  <c r="C68" i="24"/>
  <c r="B68" i="24"/>
  <c r="J67" i="24"/>
  <c r="K69" i="24" s="1"/>
  <c r="G67" i="24"/>
  <c r="D67" i="24"/>
  <c r="C67" i="24"/>
  <c r="B67" i="24"/>
  <c r="J66" i="24"/>
  <c r="K68" i="24" s="1"/>
  <c r="G66" i="24"/>
  <c r="D66" i="24"/>
  <c r="C66" i="24"/>
  <c r="B66" i="24"/>
  <c r="J65" i="24"/>
  <c r="K67" i="24" s="1"/>
  <c r="G65" i="24"/>
  <c r="D65" i="24"/>
  <c r="C65" i="24"/>
  <c r="B65" i="24"/>
  <c r="J64" i="24"/>
  <c r="K66" i="24" s="1"/>
  <c r="G64" i="24"/>
  <c r="D64" i="24"/>
  <c r="C64" i="24"/>
  <c r="B64" i="24"/>
  <c r="J63" i="24"/>
  <c r="K65" i="24" s="1"/>
  <c r="G63" i="24"/>
  <c r="D63" i="24"/>
  <c r="C63" i="24"/>
  <c r="B63" i="24"/>
  <c r="J62" i="24"/>
  <c r="K64" i="24" s="1"/>
  <c r="G62" i="24"/>
  <c r="D62" i="24"/>
  <c r="C62" i="24"/>
  <c r="B62" i="24"/>
  <c r="J61" i="24"/>
  <c r="K63" i="24" s="1"/>
  <c r="G61" i="24"/>
  <c r="D61" i="24"/>
  <c r="C61" i="24"/>
  <c r="B61" i="24"/>
  <c r="J60" i="24"/>
  <c r="K62" i="24" s="1"/>
  <c r="G60" i="24"/>
  <c r="D60" i="24"/>
  <c r="C60" i="24"/>
  <c r="B60" i="24"/>
  <c r="J59" i="24"/>
  <c r="K61" i="24" s="1"/>
  <c r="G59" i="24"/>
  <c r="D59" i="24"/>
  <c r="C59" i="24"/>
  <c r="B59" i="24"/>
  <c r="J58" i="24"/>
  <c r="K60" i="24" s="1"/>
  <c r="G58" i="24"/>
  <c r="D58" i="24"/>
  <c r="C58" i="24"/>
  <c r="B58" i="24"/>
  <c r="J57" i="24"/>
  <c r="K59" i="24" s="1"/>
  <c r="G57" i="24"/>
  <c r="D57" i="24"/>
  <c r="C57" i="24"/>
  <c r="B57" i="24"/>
  <c r="J56" i="24"/>
  <c r="K58" i="24" s="1"/>
  <c r="G56" i="24"/>
  <c r="D56" i="24"/>
  <c r="C56" i="24"/>
  <c r="B56" i="24"/>
  <c r="J55" i="24"/>
  <c r="K57" i="24" s="1"/>
  <c r="G55" i="24"/>
  <c r="D55" i="24"/>
  <c r="C55" i="24"/>
  <c r="B55" i="24"/>
  <c r="J54" i="24"/>
  <c r="K56" i="24" s="1"/>
  <c r="G54" i="24"/>
  <c r="D54" i="24"/>
  <c r="C54" i="24"/>
  <c r="B54" i="24"/>
  <c r="J53" i="24"/>
  <c r="K55" i="24" s="1"/>
  <c r="G53" i="24"/>
  <c r="D53" i="24"/>
  <c r="C53" i="24"/>
  <c r="B53" i="24"/>
  <c r="J52" i="24"/>
  <c r="K54" i="24" s="1"/>
  <c r="G52" i="24"/>
  <c r="D52" i="24"/>
  <c r="C52" i="24"/>
  <c r="B52" i="24"/>
  <c r="J51" i="24"/>
  <c r="K53" i="24" s="1"/>
  <c r="G51" i="24"/>
  <c r="D51" i="24"/>
  <c r="C51" i="24"/>
  <c r="B51" i="24"/>
  <c r="J50" i="24"/>
  <c r="K52" i="24" s="1"/>
  <c r="G50" i="24"/>
  <c r="D50" i="24"/>
  <c r="C50" i="24"/>
  <c r="B50" i="24"/>
  <c r="J49" i="24"/>
  <c r="K51" i="24" s="1"/>
  <c r="G49" i="24"/>
  <c r="D49" i="24"/>
  <c r="C49" i="24"/>
  <c r="B49" i="24"/>
  <c r="J48" i="24"/>
  <c r="K50" i="24" s="1"/>
  <c r="G48" i="24"/>
  <c r="D48" i="24"/>
  <c r="C48" i="24"/>
  <c r="B48" i="24"/>
  <c r="J47" i="24"/>
  <c r="K49" i="24" s="1"/>
  <c r="G47" i="24"/>
  <c r="D47" i="24"/>
  <c r="C47" i="24"/>
  <c r="B47" i="24"/>
  <c r="J46" i="24"/>
  <c r="K48" i="24" s="1"/>
  <c r="G46" i="24"/>
  <c r="D46" i="24"/>
  <c r="C46" i="24"/>
  <c r="B46" i="24"/>
  <c r="J45" i="24"/>
  <c r="K47" i="24" s="1"/>
  <c r="G45" i="24"/>
  <c r="D45" i="24"/>
  <c r="C45" i="24"/>
  <c r="B45" i="24"/>
  <c r="J44" i="24"/>
  <c r="K46" i="24" s="1"/>
  <c r="G44" i="24"/>
  <c r="D44" i="24"/>
  <c r="C44" i="24"/>
  <c r="B44" i="24"/>
  <c r="J43" i="24"/>
  <c r="K45" i="24" s="1"/>
  <c r="G43" i="24"/>
  <c r="D43" i="24"/>
  <c r="C43" i="24"/>
  <c r="B43" i="24"/>
  <c r="J42" i="24"/>
  <c r="K44" i="24" s="1"/>
  <c r="G42" i="24"/>
  <c r="D42" i="24"/>
  <c r="C42" i="24"/>
  <c r="B42" i="24"/>
  <c r="J41" i="24"/>
  <c r="K43" i="24" s="1"/>
  <c r="G41" i="24"/>
  <c r="D41" i="24"/>
  <c r="C41" i="24"/>
  <c r="B41" i="24"/>
  <c r="J40" i="24"/>
  <c r="K42" i="24" s="1"/>
  <c r="G40" i="24"/>
  <c r="D40" i="24"/>
  <c r="C40" i="24"/>
  <c r="B40" i="24"/>
  <c r="J39" i="24"/>
  <c r="K41" i="24" s="1"/>
  <c r="G39" i="24"/>
  <c r="D39" i="24"/>
  <c r="C39" i="24"/>
  <c r="B39" i="24"/>
  <c r="J38" i="24"/>
  <c r="K40" i="24" s="1"/>
  <c r="G38" i="24"/>
  <c r="D38" i="24"/>
  <c r="C38" i="24"/>
  <c r="B38" i="24"/>
  <c r="J37" i="24"/>
  <c r="K39" i="24" s="1"/>
  <c r="G37" i="24"/>
  <c r="D37" i="24"/>
  <c r="C37" i="24"/>
  <c r="B37" i="24"/>
  <c r="J36" i="24"/>
  <c r="K38" i="24" s="1"/>
  <c r="G36" i="24"/>
  <c r="D36" i="24"/>
  <c r="C36" i="24"/>
  <c r="B36" i="24"/>
  <c r="J35" i="24"/>
  <c r="K37" i="24" s="1"/>
  <c r="G35" i="24"/>
  <c r="D35" i="24"/>
  <c r="C35" i="24"/>
  <c r="B35" i="24"/>
  <c r="J34" i="24"/>
  <c r="K36" i="24" s="1"/>
  <c r="G34" i="24"/>
  <c r="D34" i="24"/>
  <c r="C34" i="24"/>
  <c r="B34" i="24"/>
  <c r="J33" i="24"/>
  <c r="K35" i="24" s="1"/>
  <c r="G33" i="24"/>
  <c r="D33" i="24"/>
  <c r="C33" i="24"/>
  <c r="B33" i="24"/>
  <c r="J32" i="24"/>
  <c r="K34" i="24" s="1"/>
  <c r="G32" i="24"/>
  <c r="D32" i="24"/>
  <c r="C32" i="24"/>
  <c r="B32" i="24"/>
  <c r="J31" i="24"/>
  <c r="K33" i="24" s="1"/>
  <c r="G31" i="24"/>
  <c r="D31" i="24"/>
  <c r="C31" i="24"/>
  <c r="B31" i="24"/>
  <c r="J30" i="24"/>
  <c r="K32" i="24" s="1"/>
  <c r="G30" i="24"/>
  <c r="D30" i="24"/>
  <c r="C30" i="24"/>
  <c r="B30" i="24"/>
  <c r="J29" i="24"/>
  <c r="K31" i="24" s="1"/>
  <c r="G29" i="24"/>
  <c r="D29" i="24"/>
  <c r="C29" i="24"/>
  <c r="B29" i="24"/>
  <c r="J28" i="24"/>
  <c r="K30" i="24" s="1"/>
  <c r="G28" i="24"/>
  <c r="D28" i="24"/>
  <c r="C28" i="24"/>
  <c r="B28" i="24"/>
  <c r="J27" i="24"/>
  <c r="K29" i="24" s="1"/>
  <c r="G27" i="24"/>
  <c r="D27" i="24"/>
  <c r="C27" i="24"/>
  <c r="B27" i="24"/>
  <c r="J26" i="24"/>
  <c r="K28" i="24" s="1"/>
  <c r="G26" i="24"/>
  <c r="D26" i="24"/>
  <c r="C26" i="24"/>
  <c r="B26" i="24"/>
  <c r="J25" i="24"/>
  <c r="K27" i="24" s="1"/>
  <c r="G25" i="24"/>
  <c r="D25" i="24"/>
  <c r="C25" i="24"/>
  <c r="B25" i="24"/>
  <c r="J24" i="24"/>
  <c r="K26" i="24" s="1"/>
  <c r="G24" i="24"/>
  <c r="D24" i="24"/>
  <c r="C24" i="24"/>
  <c r="B24" i="24"/>
  <c r="J23" i="24"/>
  <c r="K25" i="24" s="1"/>
  <c r="G23" i="24"/>
  <c r="D23" i="24"/>
  <c r="C23" i="24"/>
  <c r="B23" i="24"/>
  <c r="J22" i="24"/>
  <c r="K24" i="24" s="1"/>
  <c r="G22" i="24"/>
  <c r="D22" i="24"/>
  <c r="C22" i="24"/>
  <c r="B22" i="24"/>
  <c r="J21" i="24"/>
  <c r="K23" i="24" s="1"/>
  <c r="G21" i="24"/>
  <c r="D21" i="24"/>
  <c r="C21" i="24"/>
  <c r="B21" i="24"/>
  <c r="J20" i="24"/>
  <c r="K22" i="24" s="1"/>
  <c r="G20" i="24"/>
  <c r="D20" i="24"/>
  <c r="C20" i="24"/>
  <c r="B20" i="24"/>
  <c r="J19" i="24"/>
  <c r="K21" i="24" s="1"/>
  <c r="G19" i="24"/>
  <c r="D19" i="24"/>
  <c r="C19" i="24"/>
  <c r="B19" i="24"/>
  <c r="J18" i="24"/>
  <c r="K20" i="24" s="1"/>
  <c r="G18" i="24"/>
  <c r="D18" i="24"/>
  <c r="C18" i="24"/>
  <c r="B18" i="24"/>
  <c r="J17" i="24"/>
  <c r="K19" i="24" s="1"/>
  <c r="G17" i="24"/>
  <c r="D17" i="24"/>
  <c r="C17" i="24"/>
  <c r="B17" i="24"/>
  <c r="J16" i="24"/>
  <c r="K18" i="24" s="1"/>
  <c r="G16" i="24"/>
  <c r="D16" i="24"/>
  <c r="C16" i="24"/>
  <c r="B16" i="24"/>
  <c r="J15" i="24"/>
  <c r="K17" i="24" s="1"/>
  <c r="G15" i="24"/>
  <c r="D15" i="24"/>
  <c r="C15" i="24"/>
  <c r="B15" i="24"/>
  <c r="J14" i="24"/>
  <c r="K16" i="24" s="1"/>
  <c r="G14" i="24"/>
  <c r="D14" i="24"/>
  <c r="C14" i="24"/>
  <c r="B14" i="24"/>
  <c r="K13" i="24"/>
  <c r="J13" i="24"/>
  <c r="K15" i="24" s="1"/>
  <c r="G13" i="24"/>
  <c r="D13" i="24"/>
  <c r="C13" i="24"/>
  <c r="B13" i="24"/>
  <c r="K12" i="24"/>
  <c r="J12" i="24"/>
  <c r="K14" i="24" s="1"/>
  <c r="G12" i="24"/>
  <c r="D12" i="24"/>
  <c r="K11" i="24"/>
  <c r="J11" i="24"/>
  <c r="G11" i="24"/>
  <c r="D11" i="24"/>
  <c r="C11" i="24"/>
  <c r="B11" i="24"/>
  <c r="J4" i="24"/>
  <c r="I210" i="23"/>
  <c r="F210" i="23"/>
  <c r="D210" i="23"/>
  <c r="C210" i="23"/>
  <c r="B210" i="23"/>
  <c r="J209" i="23"/>
  <c r="I209" i="23"/>
  <c r="F209" i="23"/>
  <c r="D209" i="23"/>
  <c r="C209" i="23"/>
  <c r="B209" i="23"/>
  <c r="I208" i="23"/>
  <c r="J210" i="23" s="1"/>
  <c r="F208" i="23"/>
  <c r="D208" i="23"/>
  <c r="C208" i="23"/>
  <c r="B208" i="23"/>
  <c r="I207" i="23"/>
  <c r="F207" i="23"/>
  <c r="D207" i="23"/>
  <c r="C207" i="23"/>
  <c r="B207" i="23"/>
  <c r="I206" i="23"/>
  <c r="J208" i="23" s="1"/>
  <c r="F206" i="23"/>
  <c r="D206" i="23"/>
  <c r="C206" i="23"/>
  <c r="B206" i="23"/>
  <c r="J205" i="23"/>
  <c r="I205" i="23"/>
  <c r="J207" i="23" s="1"/>
  <c r="F205" i="23"/>
  <c r="D205" i="23"/>
  <c r="C205" i="23"/>
  <c r="B205" i="23"/>
  <c r="I204" i="23"/>
  <c r="J206" i="23" s="1"/>
  <c r="F204" i="23"/>
  <c r="D204" i="23"/>
  <c r="C204" i="23"/>
  <c r="B204" i="23"/>
  <c r="I203" i="23"/>
  <c r="F203" i="23"/>
  <c r="D203" i="23"/>
  <c r="C203" i="23"/>
  <c r="B203" i="23"/>
  <c r="I202" i="23"/>
  <c r="J204" i="23" s="1"/>
  <c r="F202" i="23"/>
  <c r="D202" i="23"/>
  <c r="C202" i="23"/>
  <c r="B202" i="23"/>
  <c r="J201" i="23"/>
  <c r="I201" i="23"/>
  <c r="J203" i="23" s="1"/>
  <c r="F201" i="23"/>
  <c r="D201" i="23"/>
  <c r="C201" i="23"/>
  <c r="B201" i="23"/>
  <c r="I200" i="23"/>
  <c r="J202" i="23" s="1"/>
  <c r="F200" i="23"/>
  <c r="D200" i="23"/>
  <c r="C200" i="23"/>
  <c r="B200" i="23"/>
  <c r="I199" i="23"/>
  <c r="F199" i="23"/>
  <c r="D199" i="23"/>
  <c r="C199" i="23"/>
  <c r="B199" i="23"/>
  <c r="I198" i="23"/>
  <c r="J200" i="23" s="1"/>
  <c r="F198" i="23"/>
  <c r="D198" i="23"/>
  <c r="C198" i="23"/>
  <c r="B198" i="23"/>
  <c r="J197" i="23"/>
  <c r="I197" i="23"/>
  <c r="J199" i="23" s="1"/>
  <c r="F197" i="23"/>
  <c r="D197" i="23"/>
  <c r="C197" i="23"/>
  <c r="B197" i="23"/>
  <c r="I196" i="23"/>
  <c r="J198" i="23" s="1"/>
  <c r="F196" i="23"/>
  <c r="D196" i="23"/>
  <c r="C196" i="23"/>
  <c r="B196" i="23"/>
  <c r="I195" i="23"/>
  <c r="F195" i="23"/>
  <c r="D195" i="23"/>
  <c r="C195" i="23"/>
  <c r="B195" i="23"/>
  <c r="I194" i="23"/>
  <c r="J196" i="23" s="1"/>
  <c r="F194" i="23"/>
  <c r="D194" i="23"/>
  <c r="C194" i="23"/>
  <c r="B194" i="23"/>
  <c r="J193" i="23"/>
  <c r="I193" i="23"/>
  <c r="J195" i="23" s="1"/>
  <c r="F193" i="23"/>
  <c r="D193" i="23"/>
  <c r="C193" i="23"/>
  <c r="B193" i="23"/>
  <c r="I192" i="23"/>
  <c r="J194" i="23" s="1"/>
  <c r="F192" i="23"/>
  <c r="D192" i="23"/>
  <c r="C192" i="23"/>
  <c r="B192" i="23"/>
  <c r="I191" i="23"/>
  <c r="F191" i="23"/>
  <c r="D191" i="23"/>
  <c r="C191" i="23"/>
  <c r="B191" i="23"/>
  <c r="I190" i="23"/>
  <c r="J192" i="23" s="1"/>
  <c r="F190" i="23"/>
  <c r="D190" i="23"/>
  <c r="C190" i="23"/>
  <c r="B190" i="23"/>
  <c r="J189" i="23"/>
  <c r="I189" i="23"/>
  <c r="J191" i="23" s="1"/>
  <c r="F189" i="23"/>
  <c r="D189" i="23"/>
  <c r="C189" i="23"/>
  <c r="B189" i="23"/>
  <c r="I188" i="23"/>
  <c r="J190" i="23" s="1"/>
  <c r="F188" i="23"/>
  <c r="D188" i="23"/>
  <c r="C188" i="23"/>
  <c r="B188" i="23"/>
  <c r="I187" i="23"/>
  <c r="F187" i="23"/>
  <c r="D187" i="23"/>
  <c r="C187" i="23"/>
  <c r="B187" i="23"/>
  <c r="I186" i="23"/>
  <c r="J188" i="23" s="1"/>
  <c r="F186" i="23"/>
  <c r="D186" i="23"/>
  <c r="C186" i="23"/>
  <c r="B186" i="23"/>
  <c r="J185" i="23"/>
  <c r="I185" i="23"/>
  <c r="J187" i="23" s="1"/>
  <c r="F185" i="23"/>
  <c r="D185" i="23"/>
  <c r="C185" i="23"/>
  <c r="B185" i="23"/>
  <c r="I184" i="23"/>
  <c r="J186" i="23" s="1"/>
  <c r="F184" i="23"/>
  <c r="D184" i="23"/>
  <c r="C184" i="23"/>
  <c r="B184" i="23"/>
  <c r="I183" i="23"/>
  <c r="F183" i="23"/>
  <c r="D183" i="23"/>
  <c r="C183" i="23"/>
  <c r="B183" i="23"/>
  <c r="I182" i="23"/>
  <c r="J184" i="23" s="1"/>
  <c r="F182" i="23"/>
  <c r="D182" i="23"/>
  <c r="C182" i="23"/>
  <c r="B182" i="23"/>
  <c r="J181" i="23"/>
  <c r="I181" i="23"/>
  <c r="J183" i="23" s="1"/>
  <c r="F181" i="23"/>
  <c r="D181" i="23"/>
  <c r="C181" i="23"/>
  <c r="B181" i="23"/>
  <c r="I180" i="23"/>
  <c r="J182" i="23" s="1"/>
  <c r="F180" i="23"/>
  <c r="D180" i="23"/>
  <c r="C180" i="23"/>
  <c r="B180" i="23"/>
  <c r="I179" i="23"/>
  <c r="F179" i="23"/>
  <c r="D179" i="23"/>
  <c r="C179" i="23"/>
  <c r="B179" i="23"/>
  <c r="I178" i="23"/>
  <c r="J180" i="23" s="1"/>
  <c r="F178" i="23"/>
  <c r="D178" i="23"/>
  <c r="C178" i="23"/>
  <c r="B178" i="23"/>
  <c r="J177" i="23"/>
  <c r="I177" i="23"/>
  <c r="J179" i="23" s="1"/>
  <c r="F177" i="23"/>
  <c r="D177" i="23"/>
  <c r="C177" i="23"/>
  <c r="B177" i="23"/>
  <c r="I176" i="23"/>
  <c r="J178" i="23" s="1"/>
  <c r="F176" i="23"/>
  <c r="D176" i="23"/>
  <c r="C176" i="23"/>
  <c r="B176" i="23"/>
  <c r="I175" i="23"/>
  <c r="F175" i="23"/>
  <c r="D175" i="23"/>
  <c r="C175" i="23"/>
  <c r="B175" i="23"/>
  <c r="I174" i="23"/>
  <c r="J176" i="23" s="1"/>
  <c r="F174" i="23"/>
  <c r="D174" i="23"/>
  <c r="C174" i="23"/>
  <c r="B174" i="23"/>
  <c r="J173" i="23"/>
  <c r="I173" i="23"/>
  <c r="J175" i="23" s="1"/>
  <c r="F173" i="23"/>
  <c r="D173" i="23"/>
  <c r="C173" i="23"/>
  <c r="B173" i="23"/>
  <c r="I172" i="23"/>
  <c r="J174" i="23" s="1"/>
  <c r="F172" i="23"/>
  <c r="D172" i="23"/>
  <c r="C172" i="23"/>
  <c r="B172" i="23"/>
  <c r="I171" i="23"/>
  <c r="F171" i="23"/>
  <c r="D171" i="23"/>
  <c r="C171" i="23"/>
  <c r="B171" i="23"/>
  <c r="I170" i="23"/>
  <c r="J172" i="23" s="1"/>
  <c r="F170" i="23"/>
  <c r="D170" i="23"/>
  <c r="C170" i="23"/>
  <c r="B170" i="23"/>
  <c r="J169" i="23"/>
  <c r="I169" i="23"/>
  <c r="J171" i="23" s="1"/>
  <c r="F169" i="23"/>
  <c r="D169" i="23"/>
  <c r="C169" i="23"/>
  <c r="B169" i="23"/>
  <c r="I168" i="23"/>
  <c r="J170" i="23" s="1"/>
  <c r="F168" i="23"/>
  <c r="D168" i="23"/>
  <c r="C168" i="23"/>
  <c r="B168" i="23"/>
  <c r="I167" i="23"/>
  <c r="F167" i="23"/>
  <c r="D167" i="23"/>
  <c r="C167" i="23"/>
  <c r="B167" i="23"/>
  <c r="I166" i="23"/>
  <c r="J168" i="23" s="1"/>
  <c r="F166" i="23"/>
  <c r="D166" i="23"/>
  <c r="C166" i="23"/>
  <c r="B166" i="23"/>
  <c r="J165" i="23"/>
  <c r="I165" i="23"/>
  <c r="J167" i="23" s="1"/>
  <c r="F165" i="23"/>
  <c r="D165" i="23"/>
  <c r="C165" i="23"/>
  <c r="B165" i="23"/>
  <c r="I164" i="23"/>
  <c r="J166" i="23" s="1"/>
  <c r="F164" i="23"/>
  <c r="D164" i="23"/>
  <c r="C164" i="23"/>
  <c r="B164" i="23"/>
  <c r="I163" i="23"/>
  <c r="F163" i="23"/>
  <c r="D163" i="23"/>
  <c r="C163" i="23"/>
  <c r="B163" i="23"/>
  <c r="I162" i="23"/>
  <c r="J164" i="23" s="1"/>
  <c r="F162" i="23"/>
  <c r="D162" i="23"/>
  <c r="C162" i="23"/>
  <c r="B162" i="23"/>
  <c r="J161" i="23"/>
  <c r="I161" i="23"/>
  <c r="J163" i="23" s="1"/>
  <c r="F161" i="23"/>
  <c r="D161" i="23"/>
  <c r="C161" i="23"/>
  <c r="B161" i="23"/>
  <c r="I160" i="23"/>
  <c r="J162" i="23" s="1"/>
  <c r="F160" i="23"/>
  <c r="D160" i="23"/>
  <c r="C160" i="23"/>
  <c r="B160" i="23"/>
  <c r="I159" i="23"/>
  <c r="F159" i="23"/>
  <c r="D159" i="23"/>
  <c r="C159" i="23"/>
  <c r="B159" i="23"/>
  <c r="I158" i="23"/>
  <c r="J160" i="23" s="1"/>
  <c r="F158" i="23"/>
  <c r="D158" i="23"/>
  <c r="C158" i="23"/>
  <c r="B158" i="23"/>
  <c r="J157" i="23"/>
  <c r="I157" i="23"/>
  <c r="J159" i="23" s="1"/>
  <c r="F157" i="23"/>
  <c r="D157" i="23"/>
  <c r="C157" i="23"/>
  <c r="B157" i="23"/>
  <c r="I156" i="23"/>
  <c r="J158" i="23" s="1"/>
  <c r="F156" i="23"/>
  <c r="D156" i="23"/>
  <c r="C156" i="23"/>
  <c r="B156" i="23"/>
  <c r="I155" i="23"/>
  <c r="F155" i="23"/>
  <c r="D155" i="23"/>
  <c r="C155" i="23"/>
  <c r="B155" i="23"/>
  <c r="I154" i="23"/>
  <c r="J156" i="23" s="1"/>
  <c r="F154" i="23"/>
  <c r="D154" i="23"/>
  <c r="C154" i="23"/>
  <c r="B154" i="23"/>
  <c r="J153" i="23"/>
  <c r="I153" i="23"/>
  <c r="J155" i="23" s="1"/>
  <c r="F153" i="23"/>
  <c r="D153" i="23"/>
  <c r="C153" i="23"/>
  <c r="B153" i="23"/>
  <c r="I152" i="23"/>
  <c r="J154" i="23" s="1"/>
  <c r="F152" i="23"/>
  <c r="D152" i="23"/>
  <c r="C152" i="23"/>
  <c r="B152" i="23"/>
  <c r="I151" i="23"/>
  <c r="F151" i="23"/>
  <c r="D151" i="23"/>
  <c r="C151" i="23"/>
  <c r="B151" i="23"/>
  <c r="I150" i="23"/>
  <c r="J152" i="23" s="1"/>
  <c r="F150" i="23"/>
  <c r="D150" i="23"/>
  <c r="C150" i="23"/>
  <c r="B150" i="23"/>
  <c r="J149" i="23"/>
  <c r="I149" i="23"/>
  <c r="J151" i="23" s="1"/>
  <c r="F149" i="23"/>
  <c r="D149" i="23"/>
  <c r="C149" i="23"/>
  <c r="B149" i="23"/>
  <c r="I148" i="23"/>
  <c r="J150" i="23" s="1"/>
  <c r="F148" i="23"/>
  <c r="D148" i="23"/>
  <c r="C148" i="23"/>
  <c r="B148" i="23"/>
  <c r="I147" i="23"/>
  <c r="F147" i="23"/>
  <c r="D147" i="23"/>
  <c r="C147" i="23"/>
  <c r="B147" i="23"/>
  <c r="I146" i="23"/>
  <c r="J148" i="23" s="1"/>
  <c r="F146" i="23"/>
  <c r="D146" i="23"/>
  <c r="C146" i="23"/>
  <c r="B146" i="23"/>
  <c r="J145" i="23"/>
  <c r="I145" i="23"/>
  <c r="J147" i="23" s="1"/>
  <c r="F145" i="23"/>
  <c r="D145" i="23"/>
  <c r="C145" i="23"/>
  <c r="B145" i="23"/>
  <c r="I144" i="23"/>
  <c r="J146" i="23" s="1"/>
  <c r="F144" i="23"/>
  <c r="D144" i="23"/>
  <c r="C144" i="23"/>
  <c r="B144" i="23"/>
  <c r="I143" i="23"/>
  <c r="F143" i="23"/>
  <c r="D143" i="23"/>
  <c r="C143" i="23"/>
  <c r="B143" i="23"/>
  <c r="I142" i="23"/>
  <c r="J144" i="23" s="1"/>
  <c r="F142" i="23"/>
  <c r="D142" i="23"/>
  <c r="C142" i="23"/>
  <c r="B142" i="23"/>
  <c r="J141" i="23"/>
  <c r="I141" i="23"/>
  <c r="J143" i="23" s="1"/>
  <c r="F141" i="23"/>
  <c r="D141" i="23"/>
  <c r="C141" i="23"/>
  <c r="B141" i="23"/>
  <c r="I140" i="23"/>
  <c r="J142" i="23" s="1"/>
  <c r="F140" i="23"/>
  <c r="D140" i="23"/>
  <c r="C140" i="23"/>
  <c r="B140" i="23"/>
  <c r="I139" i="23"/>
  <c r="F139" i="23"/>
  <c r="D139" i="23"/>
  <c r="C139" i="23"/>
  <c r="B139" i="23"/>
  <c r="I138" i="23"/>
  <c r="J140" i="23" s="1"/>
  <c r="F138" i="23"/>
  <c r="D138" i="23"/>
  <c r="C138" i="23"/>
  <c r="B138" i="23"/>
  <c r="J137" i="23"/>
  <c r="I137" i="23"/>
  <c r="J139" i="23" s="1"/>
  <c r="F137" i="23"/>
  <c r="D137" i="23"/>
  <c r="C137" i="23"/>
  <c r="B137" i="23"/>
  <c r="I136" i="23"/>
  <c r="J138" i="23" s="1"/>
  <c r="F136" i="23"/>
  <c r="D136" i="23"/>
  <c r="C136" i="23"/>
  <c r="B136" i="23"/>
  <c r="I135" i="23"/>
  <c r="F135" i="23"/>
  <c r="D135" i="23"/>
  <c r="C135" i="23"/>
  <c r="B135" i="23"/>
  <c r="I134" i="23"/>
  <c r="J136" i="23" s="1"/>
  <c r="F134" i="23"/>
  <c r="D134" i="23"/>
  <c r="C134" i="23"/>
  <c r="B134" i="23"/>
  <c r="J133" i="23"/>
  <c r="I133" i="23"/>
  <c r="J135" i="23" s="1"/>
  <c r="F133" i="23"/>
  <c r="D133" i="23"/>
  <c r="C133" i="23"/>
  <c r="B133" i="23"/>
  <c r="I132" i="23"/>
  <c r="J134" i="23" s="1"/>
  <c r="F132" i="23"/>
  <c r="D132" i="23"/>
  <c r="C132" i="23"/>
  <c r="B132" i="23"/>
  <c r="I131" i="23"/>
  <c r="F131" i="23"/>
  <c r="D131" i="23"/>
  <c r="C131" i="23"/>
  <c r="B131" i="23"/>
  <c r="I130" i="23"/>
  <c r="J132" i="23" s="1"/>
  <c r="F130" i="23"/>
  <c r="D130" i="23"/>
  <c r="C130" i="23"/>
  <c r="B130" i="23"/>
  <c r="J129" i="23"/>
  <c r="I129" i="23"/>
  <c r="J131" i="23" s="1"/>
  <c r="F129" i="23"/>
  <c r="D129" i="23"/>
  <c r="C129" i="23"/>
  <c r="B129" i="23"/>
  <c r="I128" i="23"/>
  <c r="J130" i="23" s="1"/>
  <c r="F128" i="23"/>
  <c r="D128" i="23"/>
  <c r="C128" i="23"/>
  <c r="B128" i="23"/>
  <c r="I127" i="23"/>
  <c r="F127" i="23"/>
  <c r="D127" i="23"/>
  <c r="C127" i="23"/>
  <c r="B127" i="23"/>
  <c r="I126" i="23"/>
  <c r="J128" i="23" s="1"/>
  <c r="F126" i="23"/>
  <c r="D126" i="23"/>
  <c r="C126" i="23"/>
  <c r="B126" i="23"/>
  <c r="J125" i="23"/>
  <c r="I125" i="23"/>
  <c r="J127" i="23" s="1"/>
  <c r="F125" i="23"/>
  <c r="D125" i="23"/>
  <c r="C125" i="23"/>
  <c r="B125" i="23"/>
  <c r="I124" i="23"/>
  <c r="J126" i="23" s="1"/>
  <c r="F124" i="23"/>
  <c r="D124" i="23"/>
  <c r="C124" i="23"/>
  <c r="B124" i="23"/>
  <c r="I123" i="23"/>
  <c r="F123" i="23"/>
  <c r="D123" i="23"/>
  <c r="C123" i="23"/>
  <c r="B123" i="23"/>
  <c r="I122" i="23"/>
  <c r="J124" i="23" s="1"/>
  <c r="F122" i="23"/>
  <c r="D122" i="23"/>
  <c r="C122" i="23"/>
  <c r="B122" i="23"/>
  <c r="J121" i="23"/>
  <c r="I121" i="23"/>
  <c r="J123" i="23" s="1"/>
  <c r="F121" i="23"/>
  <c r="D121" i="23"/>
  <c r="C121" i="23"/>
  <c r="B121" i="23"/>
  <c r="I120" i="23"/>
  <c r="J122" i="23" s="1"/>
  <c r="F120" i="23"/>
  <c r="D120" i="23"/>
  <c r="C120" i="23"/>
  <c r="B120" i="23"/>
  <c r="I119" i="23"/>
  <c r="F119" i="23"/>
  <c r="D119" i="23"/>
  <c r="C119" i="23"/>
  <c r="B119" i="23"/>
  <c r="I118" i="23"/>
  <c r="J120" i="23" s="1"/>
  <c r="F118" i="23"/>
  <c r="D118" i="23"/>
  <c r="C118" i="23"/>
  <c r="B118" i="23"/>
  <c r="J117" i="23"/>
  <c r="I117" i="23"/>
  <c r="J119" i="23" s="1"/>
  <c r="F117" i="23"/>
  <c r="D117" i="23"/>
  <c r="C117" i="23"/>
  <c r="B117" i="23"/>
  <c r="I116" i="23"/>
  <c r="J118" i="23" s="1"/>
  <c r="F116" i="23"/>
  <c r="D116" i="23"/>
  <c r="C116" i="23"/>
  <c r="B116" i="23"/>
  <c r="I115" i="23"/>
  <c r="F115" i="23"/>
  <c r="D115" i="23"/>
  <c r="C115" i="23"/>
  <c r="B115" i="23"/>
  <c r="I114" i="23"/>
  <c r="J116" i="23" s="1"/>
  <c r="F114" i="23"/>
  <c r="D114" i="23"/>
  <c r="C114" i="23"/>
  <c r="B114" i="23"/>
  <c r="J113" i="23"/>
  <c r="I113" i="23"/>
  <c r="J115" i="23" s="1"/>
  <c r="F113" i="23"/>
  <c r="D113" i="23"/>
  <c r="C113" i="23"/>
  <c r="B113" i="23"/>
  <c r="I112" i="23"/>
  <c r="J114" i="23" s="1"/>
  <c r="F112" i="23"/>
  <c r="D112" i="23"/>
  <c r="C112" i="23"/>
  <c r="B112" i="23"/>
  <c r="I111" i="23"/>
  <c r="F111" i="23"/>
  <c r="D111" i="23"/>
  <c r="C111" i="23"/>
  <c r="B111" i="23"/>
  <c r="I110" i="23"/>
  <c r="J112" i="23" s="1"/>
  <c r="F110" i="23"/>
  <c r="D110" i="23"/>
  <c r="C110" i="23"/>
  <c r="B110" i="23"/>
  <c r="J109" i="23"/>
  <c r="I109" i="23"/>
  <c r="J111" i="23" s="1"/>
  <c r="F109" i="23"/>
  <c r="D109" i="23"/>
  <c r="C109" i="23"/>
  <c r="B109" i="23"/>
  <c r="I108" i="23"/>
  <c r="J110" i="23" s="1"/>
  <c r="F108" i="23"/>
  <c r="D108" i="23"/>
  <c r="C108" i="23"/>
  <c r="B108" i="23"/>
  <c r="I107" i="23"/>
  <c r="F107" i="23"/>
  <c r="D107" i="23"/>
  <c r="C107" i="23"/>
  <c r="B107" i="23"/>
  <c r="I106" i="23"/>
  <c r="J108" i="23" s="1"/>
  <c r="F106" i="23"/>
  <c r="D106" i="23"/>
  <c r="C106" i="23"/>
  <c r="B106" i="23"/>
  <c r="J105" i="23"/>
  <c r="I105" i="23"/>
  <c r="J107" i="23" s="1"/>
  <c r="F105" i="23"/>
  <c r="D105" i="23"/>
  <c r="C105" i="23"/>
  <c r="B105" i="23"/>
  <c r="I104" i="23"/>
  <c r="J106" i="23" s="1"/>
  <c r="F104" i="23"/>
  <c r="D104" i="23"/>
  <c r="C104" i="23"/>
  <c r="B104" i="23"/>
  <c r="I103" i="23"/>
  <c r="F103" i="23"/>
  <c r="D103" i="23"/>
  <c r="C103" i="23"/>
  <c r="B103" i="23"/>
  <c r="I102" i="23"/>
  <c r="J104" i="23" s="1"/>
  <c r="F102" i="23"/>
  <c r="D102" i="23"/>
  <c r="C102" i="23"/>
  <c r="B102" i="23"/>
  <c r="J101" i="23"/>
  <c r="I101" i="23"/>
  <c r="J103" i="23" s="1"/>
  <c r="F101" i="23"/>
  <c r="D101" i="23"/>
  <c r="C101" i="23"/>
  <c r="B101" i="23"/>
  <c r="I100" i="23"/>
  <c r="J102" i="23" s="1"/>
  <c r="F100" i="23"/>
  <c r="D100" i="23"/>
  <c r="C100" i="23"/>
  <c r="B100" i="23"/>
  <c r="I99" i="23"/>
  <c r="F99" i="23"/>
  <c r="D99" i="23"/>
  <c r="C99" i="23"/>
  <c r="B99" i="23"/>
  <c r="I98" i="23"/>
  <c r="J100" i="23" s="1"/>
  <c r="F98" i="23"/>
  <c r="D98" i="23"/>
  <c r="C98" i="23"/>
  <c r="B98" i="23"/>
  <c r="J97" i="23"/>
  <c r="I97" i="23"/>
  <c r="J99" i="23" s="1"/>
  <c r="F97" i="23"/>
  <c r="D97" i="23"/>
  <c r="C97" i="23"/>
  <c r="B97" i="23"/>
  <c r="I96" i="23"/>
  <c r="J98" i="23" s="1"/>
  <c r="F96" i="23"/>
  <c r="D96" i="23"/>
  <c r="C96" i="23"/>
  <c r="B96" i="23"/>
  <c r="I95" i="23"/>
  <c r="F95" i="23"/>
  <c r="D95" i="23"/>
  <c r="C95" i="23"/>
  <c r="B95" i="23"/>
  <c r="I94" i="23"/>
  <c r="J96" i="23" s="1"/>
  <c r="F94" i="23"/>
  <c r="D94" i="23"/>
  <c r="C94" i="23"/>
  <c r="B94" i="23"/>
  <c r="J93" i="23"/>
  <c r="I93" i="23"/>
  <c r="J95" i="23" s="1"/>
  <c r="F93" i="23"/>
  <c r="D93" i="23"/>
  <c r="C93" i="23"/>
  <c r="B93" i="23"/>
  <c r="I92" i="23"/>
  <c r="J94" i="23" s="1"/>
  <c r="F92" i="23"/>
  <c r="D92" i="23"/>
  <c r="C92" i="23"/>
  <c r="B92" i="23"/>
  <c r="I91" i="23"/>
  <c r="F91" i="23"/>
  <c r="D91" i="23"/>
  <c r="C91" i="23"/>
  <c r="B91" i="23"/>
  <c r="I90" i="23"/>
  <c r="J92" i="23" s="1"/>
  <c r="F90" i="23"/>
  <c r="D90" i="23"/>
  <c r="C90" i="23"/>
  <c r="B90" i="23"/>
  <c r="J89" i="23"/>
  <c r="I89" i="23"/>
  <c r="J91" i="23" s="1"/>
  <c r="F89" i="23"/>
  <c r="D89" i="23"/>
  <c r="C89" i="23"/>
  <c r="B89" i="23"/>
  <c r="I88" i="23"/>
  <c r="J90" i="23" s="1"/>
  <c r="F88" i="23"/>
  <c r="D88" i="23"/>
  <c r="C88" i="23"/>
  <c r="B88" i="23"/>
  <c r="I87" i="23"/>
  <c r="F87" i="23"/>
  <c r="D87" i="23"/>
  <c r="C87" i="23"/>
  <c r="B87" i="23"/>
  <c r="I86" i="23"/>
  <c r="J88" i="23" s="1"/>
  <c r="F86" i="23"/>
  <c r="D86" i="23"/>
  <c r="C86" i="23"/>
  <c r="B86" i="23"/>
  <c r="J85" i="23"/>
  <c r="I85" i="23"/>
  <c r="J87" i="23" s="1"/>
  <c r="F85" i="23"/>
  <c r="D85" i="23"/>
  <c r="C85" i="23"/>
  <c r="B85" i="23"/>
  <c r="I84" i="23"/>
  <c r="J86" i="23" s="1"/>
  <c r="F84" i="23"/>
  <c r="D84" i="23"/>
  <c r="C84" i="23"/>
  <c r="B84" i="23"/>
  <c r="I83" i="23"/>
  <c r="F83" i="23"/>
  <c r="D83" i="23"/>
  <c r="C83" i="23"/>
  <c r="B83" i="23"/>
  <c r="I82" i="23"/>
  <c r="J84" i="23" s="1"/>
  <c r="F82" i="23"/>
  <c r="D82" i="23"/>
  <c r="C82" i="23"/>
  <c r="B82" i="23"/>
  <c r="J81" i="23"/>
  <c r="I81" i="23"/>
  <c r="J83" i="23" s="1"/>
  <c r="F81" i="23"/>
  <c r="D81" i="23"/>
  <c r="C81" i="23"/>
  <c r="B81" i="23"/>
  <c r="I80" i="23"/>
  <c r="J82" i="23" s="1"/>
  <c r="F80" i="23"/>
  <c r="D80" i="23"/>
  <c r="C80" i="23"/>
  <c r="B80" i="23"/>
  <c r="I79" i="23"/>
  <c r="F79" i="23"/>
  <c r="D79" i="23"/>
  <c r="C79" i="23"/>
  <c r="B79" i="23"/>
  <c r="I78" i="23"/>
  <c r="J80" i="23" s="1"/>
  <c r="F78" i="23"/>
  <c r="D78" i="23"/>
  <c r="C78" i="23"/>
  <c r="B78" i="23"/>
  <c r="J77" i="23"/>
  <c r="I77" i="23"/>
  <c r="J79" i="23" s="1"/>
  <c r="F77" i="23"/>
  <c r="D77" i="23"/>
  <c r="C77" i="23"/>
  <c r="B77" i="23"/>
  <c r="I76" i="23"/>
  <c r="J78" i="23" s="1"/>
  <c r="F76" i="23"/>
  <c r="D76" i="23"/>
  <c r="C76" i="23"/>
  <c r="B76" i="23"/>
  <c r="I75" i="23"/>
  <c r="F75" i="23"/>
  <c r="D75" i="23"/>
  <c r="C75" i="23"/>
  <c r="B75" i="23"/>
  <c r="I74" i="23"/>
  <c r="J76" i="23" s="1"/>
  <c r="F74" i="23"/>
  <c r="D74" i="23"/>
  <c r="C74" i="23"/>
  <c r="B74" i="23"/>
  <c r="J73" i="23"/>
  <c r="I73" i="23"/>
  <c r="J75" i="23" s="1"/>
  <c r="F73" i="23"/>
  <c r="D73" i="23"/>
  <c r="C73" i="23"/>
  <c r="B73" i="23"/>
  <c r="I72" i="23"/>
  <c r="J74" i="23" s="1"/>
  <c r="F72" i="23"/>
  <c r="D72" i="23"/>
  <c r="C72" i="23"/>
  <c r="B72" i="23"/>
  <c r="I71" i="23"/>
  <c r="F71" i="23"/>
  <c r="D71" i="23"/>
  <c r="C71" i="23"/>
  <c r="B71" i="23"/>
  <c r="I70" i="23"/>
  <c r="J72" i="23" s="1"/>
  <c r="F70" i="23"/>
  <c r="D70" i="23"/>
  <c r="C70" i="23"/>
  <c r="B70" i="23"/>
  <c r="J69" i="23"/>
  <c r="I69" i="23"/>
  <c r="J71" i="23" s="1"/>
  <c r="F69" i="23"/>
  <c r="D69" i="23"/>
  <c r="C69" i="23"/>
  <c r="B69" i="23"/>
  <c r="I68" i="23"/>
  <c r="J70" i="23" s="1"/>
  <c r="F68" i="23"/>
  <c r="D68" i="23"/>
  <c r="C68" i="23"/>
  <c r="B68" i="23"/>
  <c r="I67" i="23"/>
  <c r="F67" i="23"/>
  <c r="D67" i="23"/>
  <c r="C67" i="23"/>
  <c r="B67" i="23"/>
  <c r="I66" i="23"/>
  <c r="J68" i="23" s="1"/>
  <c r="F66" i="23"/>
  <c r="D66" i="23"/>
  <c r="C66" i="23"/>
  <c r="B66" i="23"/>
  <c r="J65" i="23"/>
  <c r="I65" i="23"/>
  <c r="J67" i="23" s="1"/>
  <c r="F65" i="23"/>
  <c r="D65" i="23"/>
  <c r="C65" i="23"/>
  <c r="B65" i="23"/>
  <c r="I64" i="23"/>
  <c r="J66" i="23" s="1"/>
  <c r="F64" i="23"/>
  <c r="D64" i="23"/>
  <c r="C64" i="23"/>
  <c r="B64" i="23"/>
  <c r="I63" i="23"/>
  <c r="F63" i="23"/>
  <c r="D63" i="23"/>
  <c r="C63" i="23"/>
  <c r="B63" i="23"/>
  <c r="I62" i="23"/>
  <c r="J64" i="23" s="1"/>
  <c r="F62" i="23"/>
  <c r="D62" i="23"/>
  <c r="C62" i="23"/>
  <c r="B62" i="23"/>
  <c r="J61" i="23"/>
  <c r="I61" i="23"/>
  <c r="J63" i="23" s="1"/>
  <c r="F61" i="23"/>
  <c r="D61" i="23"/>
  <c r="C61" i="23"/>
  <c r="B61" i="23"/>
  <c r="I60" i="23"/>
  <c r="J62" i="23" s="1"/>
  <c r="F60" i="23"/>
  <c r="D60" i="23"/>
  <c r="C60" i="23"/>
  <c r="B60" i="23"/>
  <c r="I59" i="23"/>
  <c r="F59" i="23"/>
  <c r="D59" i="23"/>
  <c r="C59" i="23"/>
  <c r="B59" i="23"/>
  <c r="I58" i="23"/>
  <c r="J60" i="23" s="1"/>
  <c r="F58" i="23"/>
  <c r="D58" i="23"/>
  <c r="C58" i="23"/>
  <c r="B58" i="23"/>
  <c r="J57" i="23"/>
  <c r="I57" i="23"/>
  <c r="J59" i="23" s="1"/>
  <c r="F57" i="23"/>
  <c r="D57" i="23"/>
  <c r="C57" i="23"/>
  <c r="B57" i="23"/>
  <c r="I56" i="23"/>
  <c r="J58" i="23" s="1"/>
  <c r="F56" i="23"/>
  <c r="D56" i="23"/>
  <c r="C56" i="23"/>
  <c r="B56" i="23"/>
  <c r="I55" i="23"/>
  <c r="F55" i="23"/>
  <c r="D55" i="23"/>
  <c r="C55" i="23"/>
  <c r="B55" i="23"/>
  <c r="J54" i="23"/>
  <c r="I54" i="23"/>
  <c r="J56" i="23" s="1"/>
  <c r="F54" i="23"/>
  <c r="D54" i="23"/>
  <c r="C54" i="23"/>
  <c r="B54" i="23"/>
  <c r="J53" i="23"/>
  <c r="I53" i="23"/>
  <c r="J55" i="23" s="1"/>
  <c r="F53" i="23"/>
  <c r="D53" i="23"/>
  <c r="C53" i="23"/>
  <c r="B53" i="23"/>
  <c r="I52" i="23"/>
  <c r="F52" i="23"/>
  <c r="D52" i="23"/>
  <c r="C52" i="23"/>
  <c r="B52" i="23"/>
  <c r="I51" i="23"/>
  <c r="F51" i="23"/>
  <c r="D51" i="23"/>
  <c r="C51" i="23"/>
  <c r="B51" i="23"/>
  <c r="I50" i="23"/>
  <c r="J52" i="23" s="1"/>
  <c r="F50" i="23"/>
  <c r="D50" i="23"/>
  <c r="C50" i="23"/>
  <c r="B50" i="23"/>
  <c r="J49" i="23"/>
  <c r="I49" i="23"/>
  <c r="J51" i="23" s="1"/>
  <c r="F49" i="23"/>
  <c r="D49" i="23"/>
  <c r="C49" i="23"/>
  <c r="B49" i="23"/>
  <c r="I48" i="23"/>
  <c r="J50" i="23" s="1"/>
  <c r="F48" i="23"/>
  <c r="D48" i="23"/>
  <c r="C48" i="23"/>
  <c r="B48" i="23"/>
  <c r="I47" i="23"/>
  <c r="F47" i="23"/>
  <c r="D47" i="23"/>
  <c r="C47" i="23"/>
  <c r="B47" i="23"/>
  <c r="I46" i="23"/>
  <c r="J48" i="23" s="1"/>
  <c r="F46" i="23"/>
  <c r="D46" i="23"/>
  <c r="C46" i="23"/>
  <c r="B46" i="23"/>
  <c r="J45" i="23"/>
  <c r="I45" i="23"/>
  <c r="J47" i="23" s="1"/>
  <c r="F45" i="23"/>
  <c r="D45" i="23"/>
  <c r="C45" i="23"/>
  <c r="B45" i="23"/>
  <c r="I44" i="23"/>
  <c r="J46" i="23" s="1"/>
  <c r="F44" i="23"/>
  <c r="D44" i="23"/>
  <c r="C44" i="23"/>
  <c r="B44" i="23"/>
  <c r="I43" i="23"/>
  <c r="F43" i="23"/>
  <c r="D43" i="23"/>
  <c r="C43" i="23"/>
  <c r="B43" i="23"/>
  <c r="I42" i="23"/>
  <c r="J44" i="23" s="1"/>
  <c r="F42" i="23"/>
  <c r="D42" i="23"/>
  <c r="C42" i="23"/>
  <c r="B42" i="23"/>
  <c r="J41" i="23"/>
  <c r="I41" i="23"/>
  <c r="J43" i="23" s="1"/>
  <c r="F41" i="23"/>
  <c r="D41" i="23"/>
  <c r="C41" i="23"/>
  <c r="B41" i="23"/>
  <c r="I40" i="23"/>
  <c r="J42" i="23" s="1"/>
  <c r="F40" i="23"/>
  <c r="D40" i="23"/>
  <c r="C40" i="23"/>
  <c r="B40" i="23"/>
  <c r="I39" i="23"/>
  <c r="F39" i="23"/>
  <c r="D39" i="23"/>
  <c r="C39" i="23"/>
  <c r="B39" i="23"/>
  <c r="I38" i="23"/>
  <c r="J40" i="23" s="1"/>
  <c r="F38" i="23"/>
  <c r="D38" i="23"/>
  <c r="C38" i="23"/>
  <c r="B38" i="23"/>
  <c r="J37" i="23"/>
  <c r="I37" i="23"/>
  <c r="J39" i="23" s="1"/>
  <c r="F37" i="23"/>
  <c r="D37" i="23"/>
  <c r="C37" i="23"/>
  <c r="B37" i="23"/>
  <c r="I36" i="23"/>
  <c r="J38" i="23" s="1"/>
  <c r="F36" i="23"/>
  <c r="D36" i="23"/>
  <c r="C36" i="23"/>
  <c r="B36" i="23"/>
  <c r="I35" i="23"/>
  <c r="F35" i="23"/>
  <c r="D35" i="23"/>
  <c r="C35" i="23"/>
  <c r="B35" i="23"/>
  <c r="I34" i="23"/>
  <c r="J36" i="23" s="1"/>
  <c r="F34" i="23"/>
  <c r="D34" i="23"/>
  <c r="C34" i="23"/>
  <c r="B34" i="23"/>
  <c r="J33" i="23"/>
  <c r="I33" i="23"/>
  <c r="J35" i="23" s="1"/>
  <c r="F33" i="23"/>
  <c r="D33" i="23"/>
  <c r="C33" i="23"/>
  <c r="B33" i="23"/>
  <c r="I32" i="23"/>
  <c r="J34" i="23" s="1"/>
  <c r="F32" i="23"/>
  <c r="D32" i="23"/>
  <c r="C32" i="23"/>
  <c r="B32" i="23"/>
  <c r="I31" i="23"/>
  <c r="F31" i="23"/>
  <c r="D31" i="23"/>
  <c r="C31" i="23"/>
  <c r="B31" i="23"/>
  <c r="I30" i="23"/>
  <c r="J32" i="23" s="1"/>
  <c r="F30" i="23"/>
  <c r="D30" i="23"/>
  <c r="C30" i="23"/>
  <c r="B30" i="23"/>
  <c r="J29" i="23"/>
  <c r="I29" i="23"/>
  <c r="J31" i="23" s="1"/>
  <c r="F29" i="23"/>
  <c r="D29" i="23"/>
  <c r="C29" i="23"/>
  <c r="B29" i="23"/>
  <c r="I28" i="23"/>
  <c r="J30" i="23" s="1"/>
  <c r="F28" i="23"/>
  <c r="D28" i="23"/>
  <c r="C28" i="23"/>
  <c r="B28" i="23"/>
  <c r="I27" i="23"/>
  <c r="F27" i="23"/>
  <c r="D27" i="23"/>
  <c r="C27" i="23"/>
  <c r="B27" i="23"/>
  <c r="I26" i="23"/>
  <c r="J28" i="23" s="1"/>
  <c r="F26" i="23"/>
  <c r="D26" i="23"/>
  <c r="C26" i="23"/>
  <c r="B26" i="23"/>
  <c r="J25" i="23"/>
  <c r="I25" i="23"/>
  <c r="J27" i="23" s="1"/>
  <c r="F25" i="23"/>
  <c r="D25" i="23"/>
  <c r="C25" i="23"/>
  <c r="B25" i="23"/>
  <c r="I24" i="23"/>
  <c r="J26" i="23" s="1"/>
  <c r="F24" i="23"/>
  <c r="D24" i="23"/>
  <c r="C24" i="23"/>
  <c r="B24" i="23"/>
  <c r="I23" i="23"/>
  <c r="F23" i="23"/>
  <c r="D23" i="23"/>
  <c r="C23" i="23"/>
  <c r="B23" i="23"/>
  <c r="I22" i="23"/>
  <c r="J24" i="23" s="1"/>
  <c r="F22" i="23"/>
  <c r="D22" i="23"/>
  <c r="C22" i="23"/>
  <c r="B22" i="23"/>
  <c r="J21" i="23"/>
  <c r="I21" i="23"/>
  <c r="J23" i="23" s="1"/>
  <c r="F21" i="23"/>
  <c r="D21" i="23"/>
  <c r="C21" i="23"/>
  <c r="B21" i="23"/>
  <c r="I20" i="23"/>
  <c r="J22" i="23" s="1"/>
  <c r="F20" i="23"/>
  <c r="D20" i="23"/>
  <c r="C20" i="23"/>
  <c r="B20" i="23"/>
  <c r="I19" i="23"/>
  <c r="F19" i="23"/>
  <c r="D19" i="23"/>
  <c r="C19" i="23"/>
  <c r="B19" i="23"/>
  <c r="I18" i="23"/>
  <c r="J20" i="23" s="1"/>
  <c r="F18" i="23"/>
  <c r="D18" i="23"/>
  <c r="C18" i="23"/>
  <c r="B18" i="23"/>
  <c r="J17" i="23"/>
  <c r="I17" i="23"/>
  <c r="J19" i="23" s="1"/>
  <c r="F17" i="23"/>
  <c r="D17" i="23"/>
  <c r="C17" i="23"/>
  <c r="B17" i="23"/>
  <c r="I16" i="23"/>
  <c r="J18" i="23" s="1"/>
  <c r="F16" i="23"/>
  <c r="D16" i="23"/>
  <c r="C16" i="23"/>
  <c r="B16" i="23"/>
  <c r="I15" i="23"/>
  <c r="F15" i="23"/>
  <c r="D15" i="23"/>
  <c r="C15" i="23"/>
  <c r="B15" i="23"/>
  <c r="I14" i="23"/>
  <c r="J16" i="23" s="1"/>
  <c r="F14" i="23"/>
  <c r="D14" i="23"/>
  <c r="C14" i="23"/>
  <c r="B14" i="23"/>
  <c r="J13" i="23"/>
  <c r="I13" i="23"/>
  <c r="J15" i="23" s="1"/>
  <c r="F13" i="23"/>
  <c r="D13" i="23"/>
  <c r="C13" i="23"/>
  <c r="B13" i="23"/>
  <c r="J12" i="23"/>
  <c r="I12" i="23"/>
  <c r="J14" i="23" s="1"/>
  <c r="F12" i="23"/>
  <c r="D12" i="23"/>
  <c r="J11" i="23"/>
  <c r="I11" i="23"/>
  <c r="F11" i="23"/>
  <c r="D11" i="23"/>
  <c r="G4" i="23"/>
  <c r="K215" i="22"/>
  <c r="J215" i="22"/>
  <c r="I215" i="22"/>
  <c r="D215" i="22"/>
  <c r="C215" i="22"/>
  <c r="A215" i="22"/>
  <c r="K214" i="22"/>
  <c r="I214" i="22"/>
  <c r="D214" i="22"/>
  <c r="C214" i="22"/>
  <c r="A214" i="22"/>
  <c r="K213" i="22"/>
  <c r="J213" i="22"/>
  <c r="I213" i="22"/>
  <c r="D213" i="22"/>
  <c r="C213" i="22"/>
  <c r="A213" i="22"/>
  <c r="K212" i="22"/>
  <c r="J212" i="22"/>
  <c r="I212" i="22"/>
  <c r="J214" i="22" s="1"/>
  <c r="D212" i="22"/>
  <c r="C212" i="22"/>
  <c r="A212" i="22"/>
  <c r="K211" i="22"/>
  <c r="J211" i="22"/>
  <c r="I211" i="22"/>
  <c r="D211" i="22"/>
  <c r="C211" i="22"/>
  <c r="A211" i="22"/>
  <c r="K210" i="22"/>
  <c r="I210" i="22"/>
  <c r="D210" i="22"/>
  <c r="C210" i="22"/>
  <c r="A210" i="22"/>
  <c r="K209" i="22"/>
  <c r="J209" i="22"/>
  <c r="I209" i="22"/>
  <c r="D209" i="22"/>
  <c r="C209" i="22"/>
  <c r="A209" i="22"/>
  <c r="K208" i="22"/>
  <c r="J208" i="22"/>
  <c r="I208" i="22"/>
  <c r="J210" i="22" s="1"/>
  <c r="D208" i="22"/>
  <c r="C208" i="22"/>
  <c r="A208" i="22"/>
  <c r="K207" i="22"/>
  <c r="J207" i="22"/>
  <c r="I207" i="22"/>
  <c r="D207" i="22"/>
  <c r="C207" i="22"/>
  <c r="A207" i="22"/>
  <c r="K206" i="22"/>
  <c r="I206" i="22"/>
  <c r="D206" i="22"/>
  <c r="C206" i="22"/>
  <c r="A206" i="22"/>
  <c r="K205" i="22"/>
  <c r="J205" i="22"/>
  <c r="I205" i="22"/>
  <c r="D205" i="22"/>
  <c r="C205" i="22"/>
  <c r="A205" i="22"/>
  <c r="K204" i="22"/>
  <c r="J204" i="22"/>
  <c r="I204" i="22"/>
  <c r="J206" i="22" s="1"/>
  <c r="D204" i="22"/>
  <c r="C204" i="22"/>
  <c r="A204" i="22"/>
  <c r="K203" i="22"/>
  <c r="J203" i="22"/>
  <c r="I203" i="22"/>
  <c r="D203" i="22"/>
  <c r="C203" i="22"/>
  <c r="A203" i="22"/>
  <c r="K202" i="22"/>
  <c r="I202" i="22"/>
  <c r="D202" i="22"/>
  <c r="C202" i="22"/>
  <c r="A202" i="22"/>
  <c r="K201" i="22"/>
  <c r="J201" i="22"/>
  <c r="I201" i="22"/>
  <c r="D201" i="22"/>
  <c r="C201" i="22"/>
  <c r="A201" i="22"/>
  <c r="K200" i="22"/>
  <c r="J200" i="22"/>
  <c r="I200" i="22"/>
  <c r="J202" i="22" s="1"/>
  <c r="D200" i="22"/>
  <c r="C200" i="22"/>
  <c r="A200" i="22"/>
  <c r="K199" i="22"/>
  <c r="J199" i="22"/>
  <c r="I199" i="22"/>
  <c r="D199" i="22"/>
  <c r="C199" i="22"/>
  <c r="A199" i="22"/>
  <c r="K198" i="22"/>
  <c r="I198" i="22"/>
  <c r="D198" i="22"/>
  <c r="C198" i="22"/>
  <c r="A198" i="22"/>
  <c r="K197" i="22"/>
  <c r="J197" i="22"/>
  <c r="I197" i="22"/>
  <c r="D197" i="22"/>
  <c r="C197" i="22"/>
  <c r="A197" i="22"/>
  <c r="K196" i="22"/>
  <c r="J196" i="22"/>
  <c r="I196" i="22"/>
  <c r="J198" i="22" s="1"/>
  <c r="D196" i="22"/>
  <c r="C196" i="22"/>
  <c r="A196" i="22"/>
  <c r="K195" i="22"/>
  <c r="J195" i="22"/>
  <c r="I195" i="22"/>
  <c r="D195" i="22"/>
  <c r="C195" i="22"/>
  <c r="A195" i="22"/>
  <c r="K194" i="22"/>
  <c r="I194" i="22"/>
  <c r="D194" i="22"/>
  <c r="C194" i="22"/>
  <c r="A194" i="22"/>
  <c r="K193" i="22"/>
  <c r="J193" i="22"/>
  <c r="I193" i="22"/>
  <c r="D193" i="22"/>
  <c r="C193" i="22"/>
  <c r="A193" i="22"/>
  <c r="K192" i="22"/>
  <c r="J192" i="22"/>
  <c r="I192" i="22"/>
  <c r="J194" i="22" s="1"/>
  <c r="D192" i="22"/>
  <c r="C192" i="22"/>
  <c r="A192" i="22"/>
  <c r="K191" i="22"/>
  <c r="J191" i="22"/>
  <c r="I191" i="22"/>
  <c r="D191" i="22"/>
  <c r="C191" i="22"/>
  <c r="A191" i="22"/>
  <c r="K190" i="22"/>
  <c r="I190" i="22"/>
  <c r="D190" i="22"/>
  <c r="C190" i="22"/>
  <c r="A190" i="22"/>
  <c r="K189" i="22"/>
  <c r="J189" i="22"/>
  <c r="I189" i="22"/>
  <c r="D189" i="22"/>
  <c r="C189" i="22"/>
  <c r="A189" i="22"/>
  <c r="K188" i="22"/>
  <c r="J188" i="22"/>
  <c r="I188" i="22"/>
  <c r="J190" i="22" s="1"/>
  <c r="D188" i="22"/>
  <c r="C188" i="22"/>
  <c r="A188" i="22"/>
  <c r="K187" i="22"/>
  <c r="J187" i="22"/>
  <c r="I187" i="22"/>
  <c r="D187" i="22"/>
  <c r="C187" i="22"/>
  <c r="A187" i="22"/>
  <c r="K186" i="22"/>
  <c r="I186" i="22"/>
  <c r="D186" i="22"/>
  <c r="C186" i="22"/>
  <c r="A186" i="22"/>
  <c r="K185" i="22"/>
  <c r="J185" i="22"/>
  <c r="I185" i="22"/>
  <c r="D185" i="22"/>
  <c r="C185" i="22"/>
  <c r="A185" i="22"/>
  <c r="K184" i="22"/>
  <c r="J184" i="22"/>
  <c r="I184" i="22"/>
  <c r="J186" i="22" s="1"/>
  <c r="D184" i="22"/>
  <c r="C184" i="22"/>
  <c r="A184" i="22"/>
  <c r="K183" i="22"/>
  <c r="J183" i="22"/>
  <c r="I183" i="22"/>
  <c r="D183" i="22"/>
  <c r="C183" i="22"/>
  <c r="A183" i="22"/>
  <c r="K182" i="22"/>
  <c r="I182" i="22"/>
  <c r="D182" i="22"/>
  <c r="C182" i="22"/>
  <c r="A182" i="22"/>
  <c r="K181" i="22"/>
  <c r="J181" i="22"/>
  <c r="I181" i="22"/>
  <c r="D181" i="22"/>
  <c r="C181" i="22"/>
  <c r="A181" i="22"/>
  <c r="K180" i="22"/>
  <c r="J180" i="22"/>
  <c r="I180" i="22"/>
  <c r="J182" i="22" s="1"/>
  <c r="D180" i="22"/>
  <c r="C180" i="22"/>
  <c r="A180" i="22"/>
  <c r="K179" i="22"/>
  <c r="J179" i="22"/>
  <c r="I179" i="22"/>
  <c r="D179" i="22"/>
  <c r="C179" i="22"/>
  <c r="A179" i="22"/>
  <c r="K178" i="22"/>
  <c r="I178" i="22"/>
  <c r="D178" i="22"/>
  <c r="C178" i="22"/>
  <c r="A178" i="22"/>
  <c r="K177" i="22"/>
  <c r="J177" i="22"/>
  <c r="I177" i="22"/>
  <c r="D177" i="22"/>
  <c r="C177" i="22"/>
  <c r="A177" i="22"/>
  <c r="K176" i="22"/>
  <c r="J176" i="22"/>
  <c r="I176" i="22"/>
  <c r="J178" i="22" s="1"/>
  <c r="D176" i="22"/>
  <c r="C176" i="22"/>
  <c r="A176" i="22"/>
  <c r="K175" i="22"/>
  <c r="J175" i="22"/>
  <c r="I175" i="22"/>
  <c r="D175" i="22"/>
  <c r="C175" i="22"/>
  <c r="A175" i="22"/>
  <c r="K174" i="22"/>
  <c r="I174" i="22"/>
  <c r="D174" i="22"/>
  <c r="C174" i="22"/>
  <c r="A174" i="22"/>
  <c r="K173" i="22"/>
  <c r="J173" i="22"/>
  <c r="I173" i="22"/>
  <c r="D173" i="22"/>
  <c r="C173" i="22"/>
  <c r="A173" i="22"/>
  <c r="K172" i="22"/>
  <c r="J172" i="22"/>
  <c r="I172" i="22"/>
  <c r="J174" i="22" s="1"/>
  <c r="D172" i="22"/>
  <c r="C172" i="22"/>
  <c r="A172" i="22"/>
  <c r="K171" i="22"/>
  <c r="J171" i="22"/>
  <c r="I171" i="22"/>
  <c r="D171" i="22"/>
  <c r="C171" i="22"/>
  <c r="A171" i="22"/>
  <c r="K170" i="22"/>
  <c r="I170" i="22"/>
  <c r="D170" i="22"/>
  <c r="C170" i="22"/>
  <c r="A170" i="22"/>
  <c r="K169" i="22"/>
  <c r="J169" i="22"/>
  <c r="I169" i="22"/>
  <c r="D169" i="22"/>
  <c r="C169" i="22"/>
  <c r="A169" i="22"/>
  <c r="K168" i="22"/>
  <c r="J168" i="22"/>
  <c r="I168" i="22"/>
  <c r="J170" i="22" s="1"/>
  <c r="D168" i="22"/>
  <c r="C168" i="22"/>
  <c r="A168" i="22"/>
  <c r="K167" i="22"/>
  <c r="J167" i="22"/>
  <c r="I167" i="22"/>
  <c r="D167" i="22"/>
  <c r="C167" i="22"/>
  <c r="A167" i="22"/>
  <c r="K166" i="22"/>
  <c r="I166" i="22"/>
  <c r="D166" i="22"/>
  <c r="C166" i="22"/>
  <c r="A166" i="22"/>
  <c r="K165" i="22"/>
  <c r="J165" i="22"/>
  <c r="I165" i="22"/>
  <c r="D165" i="22"/>
  <c r="C165" i="22"/>
  <c r="A165" i="22"/>
  <c r="K164" i="22"/>
  <c r="J164" i="22"/>
  <c r="I164" i="22"/>
  <c r="J166" i="22" s="1"/>
  <c r="D164" i="22"/>
  <c r="C164" i="22"/>
  <c r="A164" i="22"/>
  <c r="K163" i="22"/>
  <c r="J163" i="22"/>
  <c r="I163" i="22"/>
  <c r="D163" i="22"/>
  <c r="C163" i="22"/>
  <c r="A163" i="22"/>
  <c r="K162" i="22"/>
  <c r="I162" i="22"/>
  <c r="D162" i="22"/>
  <c r="C162" i="22"/>
  <c r="A162" i="22"/>
  <c r="K161" i="22"/>
  <c r="J161" i="22"/>
  <c r="I161" i="22"/>
  <c r="D161" i="22"/>
  <c r="C161" i="22"/>
  <c r="A161" i="22"/>
  <c r="K160" i="22"/>
  <c r="J160" i="22"/>
  <c r="I160" i="22"/>
  <c r="J162" i="22" s="1"/>
  <c r="D160" i="22"/>
  <c r="C160" i="22"/>
  <c r="A160" i="22"/>
  <c r="K159" i="22"/>
  <c r="I159" i="22"/>
  <c r="D159" i="22"/>
  <c r="C159" i="22"/>
  <c r="A159" i="22"/>
  <c r="K158" i="22"/>
  <c r="I158" i="22"/>
  <c r="D158" i="22"/>
  <c r="C158" i="22"/>
  <c r="A158" i="22"/>
  <c r="K157" i="22"/>
  <c r="J157" i="22"/>
  <c r="I157" i="22"/>
  <c r="J159" i="22" s="1"/>
  <c r="D157" i="22"/>
  <c r="C157" i="22"/>
  <c r="A157" i="22"/>
  <c r="K156" i="22"/>
  <c r="J156" i="22"/>
  <c r="I156" i="22"/>
  <c r="J158" i="22" s="1"/>
  <c r="D156" i="22"/>
  <c r="C156" i="22"/>
  <c r="A156" i="22"/>
  <c r="K155" i="22"/>
  <c r="I155" i="22"/>
  <c r="D155" i="22"/>
  <c r="C155" i="22"/>
  <c r="A155" i="22"/>
  <c r="K154" i="22"/>
  <c r="I154" i="22"/>
  <c r="D154" i="22"/>
  <c r="C154" i="22"/>
  <c r="A154" i="22"/>
  <c r="K153" i="22"/>
  <c r="J153" i="22"/>
  <c r="I153" i="22"/>
  <c r="J155" i="22" s="1"/>
  <c r="D153" i="22"/>
  <c r="C153" i="22"/>
  <c r="A153" i="22"/>
  <c r="K152" i="22"/>
  <c r="J152" i="22"/>
  <c r="I152" i="22"/>
  <c r="J154" i="22" s="1"/>
  <c r="D152" i="22"/>
  <c r="C152" i="22"/>
  <c r="A152" i="22"/>
  <c r="K151" i="22"/>
  <c r="I151" i="22"/>
  <c r="D151" i="22"/>
  <c r="C151" i="22"/>
  <c r="A151" i="22"/>
  <c r="K150" i="22"/>
  <c r="I150" i="22"/>
  <c r="D150" i="22"/>
  <c r="C150" i="22"/>
  <c r="A150" i="22"/>
  <c r="K149" i="22"/>
  <c r="J149" i="22"/>
  <c r="I149" i="22"/>
  <c r="J151" i="22" s="1"/>
  <c r="D149" i="22"/>
  <c r="C149" i="22"/>
  <c r="A149" i="22"/>
  <c r="K148" i="22"/>
  <c r="J148" i="22"/>
  <c r="I148" i="22"/>
  <c r="J150" i="22" s="1"/>
  <c r="D148" i="22"/>
  <c r="C148" i="22"/>
  <c r="A148" i="22"/>
  <c r="K147" i="22"/>
  <c r="I147" i="22"/>
  <c r="D147" i="22"/>
  <c r="C147" i="22"/>
  <c r="A147" i="22"/>
  <c r="K146" i="22"/>
  <c r="I146" i="22"/>
  <c r="D146" i="22"/>
  <c r="C146" i="22"/>
  <c r="A146" i="22"/>
  <c r="K145" i="22"/>
  <c r="J145" i="22"/>
  <c r="I145" i="22"/>
  <c r="J147" i="22" s="1"/>
  <c r="D145" i="22"/>
  <c r="C145" i="22"/>
  <c r="A145" i="22"/>
  <c r="K144" i="22"/>
  <c r="J144" i="22"/>
  <c r="I144" i="22"/>
  <c r="J146" i="22" s="1"/>
  <c r="D144" i="22"/>
  <c r="C144" i="22"/>
  <c r="A144" i="22"/>
  <c r="K143" i="22"/>
  <c r="I143" i="22"/>
  <c r="D143" i="22"/>
  <c r="C143" i="22"/>
  <c r="A143" i="22"/>
  <c r="K142" i="22"/>
  <c r="I142" i="22"/>
  <c r="D142" i="22"/>
  <c r="C142" i="22"/>
  <c r="A142" i="22"/>
  <c r="K141" i="22"/>
  <c r="J141" i="22"/>
  <c r="I141" i="22"/>
  <c r="J143" i="22" s="1"/>
  <c r="D141" i="22"/>
  <c r="C141" i="22"/>
  <c r="A141" i="22"/>
  <c r="K140" i="22"/>
  <c r="J140" i="22"/>
  <c r="I140" i="22"/>
  <c r="J142" i="22" s="1"/>
  <c r="D140" i="22"/>
  <c r="C140" i="22"/>
  <c r="A140" i="22"/>
  <c r="K139" i="22"/>
  <c r="I139" i="22"/>
  <c r="D139" i="22"/>
  <c r="C139" i="22"/>
  <c r="A139" i="22"/>
  <c r="K138" i="22"/>
  <c r="I138" i="22"/>
  <c r="D138" i="22"/>
  <c r="C138" i="22"/>
  <c r="A138" i="22"/>
  <c r="K137" i="22"/>
  <c r="J137" i="22"/>
  <c r="I137" i="22"/>
  <c r="J139" i="22" s="1"/>
  <c r="D137" i="22"/>
  <c r="C137" i="22"/>
  <c r="A137" i="22"/>
  <c r="K136" i="22"/>
  <c r="J136" i="22"/>
  <c r="I136" i="22"/>
  <c r="J138" i="22" s="1"/>
  <c r="D136" i="22"/>
  <c r="C136" i="22"/>
  <c r="A136" i="22"/>
  <c r="K135" i="22"/>
  <c r="I135" i="22"/>
  <c r="D135" i="22"/>
  <c r="C135" i="22"/>
  <c r="A135" i="22"/>
  <c r="K134" i="22"/>
  <c r="I134" i="22"/>
  <c r="D134" i="22"/>
  <c r="C134" i="22"/>
  <c r="A134" i="22"/>
  <c r="K133" i="22"/>
  <c r="J133" i="22"/>
  <c r="I133" i="22"/>
  <c r="J135" i="22" s="1"/>
  <c r="D133" i="22"/>
  <c r="C133" i="22"/>
  <c r="A133" i="22"/>
  <c r="K132" i="22"/>
  <c r="J132" i="22"/>
  <c r="I132" i="22"/>
  <c r="J134" i="22" s="1"/>
  <c r="D132" i="22"/>
  <c r="C132" i="22"/>
  <c r="A132" i="22"/>
  <c r="K131" i="22"/>
  <c r="I131" i="22"/>
  <c r="D131" i="22"/>
  <c r="C131" i="22"/>
  <c r="A131" i="22"/>
  <c r="K130" i="22"/>
  <c r="I130" i="22"/>
  <c r="D130" i="22"/>
  <c r="C130" i="22"/>
  <c r="A130" i="22"/>
  <c r="K129" i="22"/>
  <c r="J129" i="22"/>
  <c r="I129" i="22"/>
  <c r="J131" i="22" s="1"/>
  <c r="D129" i="22"/>
  <c r="C129" i="22"/>
  <c r="A129" i="22"/>
  <c r="K128" i="22"/>
  <c r="J128" i="22"/>
  <c r="I128" i="22"/>
  <c r="J130" i="22" s="1"/>
  <c r="D128" i="22"/>
  <c r="C128" i="22"/>
  <c r="A128" i="22"/>
  <c r="K127" i="22"/>
  <c r="I127" i="22"/>
  <c r="D127" i="22"/>
  <c r="C127" i="22"/>
  <c r="A127" i="22"/>
  <c r="K126" i="22"/>
  <c r="I126" i="22"/>
  <c r="D126" i="22"/>
  <c r="C126" i="22"/>
  <c r="A126" i="22"/>
  <c r="K125" i="22"/>
  <c r="J125" i="22"/>
  <c r="I125" i="22"/>
  <c r="J127" i="22" s="1"/>
  <c r="D125" i="22"/>
  <c r="C125" i="22"/>
  <c r="A125" i="22"/>
  <c r="K124" i="22"/>
  <c r="J124" i="22"/>
  <c r="I124" i="22"/>
  <c r="J126" i="22" s="1"/>
  <c r="D124" i="22"/>
  <c r="C124" i="22"/>
  <c r="A124" i="22"/>
  <c r="K123" i="22"/>
  <c r="I123" i="22"/>
  <c r="D123" i="22"/>
  <c r="C123" i="22"/>
  <c r="A123" i="22"/>
  <c r="K122" i="22"/>
  <c r="I122" i="22"/>
  <c r="D122" i="22"/>
  <c r="C122" i="22"/>
  <c r="A122" i="22"/>
  <c r="K121" i="22"/>
  <c r="J121" i="22"/>
  <c r="I121" i="22"/>
  <c r="J123" i="22" s="1"/>
  <c r="D121" i="22"/>
  <c r="C121" i="22"/>
  <c r="A121" i="22"/>
  <c r="K120" i="22"/>
  <c r="J120" i="22"/>
  <c r="I120" i="22"/>
  <c r="J122" i="22" s="1"/>
  <c r="D120" i="22"/>
  <c r="C120" i="22"/>
  <c r="A120" i="22"/>
  <c r="K119" i="22"/>
  <c r="I119" i="22"/>
  <c r="D119" i="22"/>
  <c r="C119" i="22"/>
  <c r="A119" i="22"/>
  <c r="K118" i="22"/>
  <c r="I118" i="22"/>
  <c r="D118" i="22"/>
  <c r="C118" i="22"/>
  <c r="A118" i="22"/>
  <c r="K117" i="22"/>
  <c r="J117" i="22"/>
  <c r="I117" i="22"/>
  <c r="J119" i="22" s="1"/>
  <c r="D117" i="22"/>
  <c r="C117" i="22"/>
  <c r="A117" i="22"/>
  <c r="K116" i="22"/>
  <c r="J116" i="22"/>
  <c r="I116" i="22"/>
  <c r="J118" i="22" s="1"/>
  <c r="D116" i="22"/>
  <c r="C116" i="22"/>
  <c r="A116" i="22"/>
  <c r="K115" i="22"/>
  <c r="I115" i="22"/>
  <c r="D115" i="22"/>
  <c r="C115" i="22"/>
  <c r="A115" i="22"/>
  <c r="K114" i="22"/>
  <c r="I114" i="22"/>
  <c r="D114" i="22"/>
  <c r="C114" i="22"/>
  <c r="A114" i="22"/>
  <c r="K113" i="22"/>
  <c r="J113" i="22"/>
  <c r="I113" i="22"/>
  <c r="J115" i="22" s="1"/>
  <c r="D113" i="22"/>
  <c r="C113" i="22"/>
  <c r="A113" i="22"/>
  <c r="K112" i="22"/>
  <c r="J112" i="22"/>
  <c r="I112" i="22"/>
  <c r="J114" i="22" s="1"/>
  <c r="D112" i="22"/>
  <c r="C112" i="22"/>
  <c r="A112" i="22"/>
  <c r="K111" i="22"/>
  <c r="I111" i="22"/>
  <c r="D111" i="22"/>
  <c r="C111" i="22"/>
  <c r="A111" i="22"/>
  <c r="K110" i="22"/>
  <c r="I110" i="22"/>
  <c r="D110" i="22"/>
  <c r="C110" i="22"/>
  <c r="A110" i="22"/>
  <c r="K109" i="22"/>
  <c r="J109" i="22"/>
  <c r="I109" i="22"/>
  <c r="J111" i="22" s="1"/>
  <c r="D109" i="22"/>
  <c r="C109" i="22"/>
  <c r="A109" i="22"/>
  <c r="K108" i="22"/>
  <c r="J108" i="22"/>
  <c r="I108" i="22"/>
  <c r="J110" i="22" s="1"/>
  <c r="D108" i="22"/>
  <c r="C108" i="22"/>
  <c r="A108" i="22"/>
  <c r="K107" i="22"/>
  <c r="I107" i="22"/>
  <c r="D107" i="22"/>
  <c r="C107" i="22"/>
  <c r="A107" i="22"/>
  <c r="K106" i="22"/>
  <c r="I106" i="22"/>
  <c r="D106" i="22"/>
  <c r="C106" i="22"/>
  <c r="A106" i="22"/>
  <c r="K105" i="22"/>
  <c r="J105" i="22"/>
  <c r="I105" i="22"/>
  <c r="J107" i="22" s="1"/>
  <c r="D105" i="22"/>
  <c r="C105" i="22"/>
  <c r="A105" i="22"/>
  <c r="K104" i="22"/>
  <c r="J104" i="22"/>
  <c r="I104" i="22"/>
  <c r="J106" i="22" s="1"/>
  <c r="D104" i="22"/>
  <c r="C104" i="22"/>
  <c r="A104" i="22"/>
  <c r="K103" i="22"/>
  <c r="I103" i="22"/>
  <c r="D103" i="22"/>
  <c r="C103" i="22"/>
  <c r="A103" i="22"/>
  <c r="K102" i="22"/>
  <c r="I102" i="22"/>
  <c r="D102" i="22"/>
  <c r="C102" i="22"/>
  <c r="A102" i="22"/>
  <c r="K101" i="22"/>
  <c r="J101" i="22"/>
  <c r="I101" i="22"/>
  <c r="J103" i="22" s="1"/>
  <c r="D101" i="22"/>
  <c r="C101" i="22"/>
  <c r="A101" i="22"/>
  <c r="K100" i="22"/>
  <c r="J100" i="22"/>
  <c r="I100" i="22"/>
  <c r="J102" i="22" s="1"/>
  <c r="D100" i="22"/>
  <c r="C100" i="22"/>
  <c r="A100" i="22"/>
  <c r="K99" i="22"/>
  <c r="I99" i="22"/>
  <c r="D99" i="22"/>
  <c r="C99" i="22"/>
  <c r="A99" i="22"/>
  <c r="K98" i="22"/>
  <c r="I98" i="22"/>
  <c r="D98" i="22"/>
  <c r="C98" i="22"/>
  <c r="A98" i="22"/>
  <c r="K97" i="22"/>
  <c r="J97" i="22"/>
  <c r="I97" i="22"/>
  <c r="J99" i="22" s="1"/>
  <c r="D97" i="22"/>
  <c r="C97" i="22"/>
  <c r="A97" i="22"/>
  <c r="K96" i="22"/>
  <c r="J96" i="22"/>
  <c r="I96" i="22"/>
  <c r="J98" i="22" s="1"/>
  <c r="D96" i="22"/>
  <c r="C96" i="22"/>
  <c r="A96" i="22"/>
  <c r="K95" i="22"/>
  <c r="I95" i="22"/>
  <c r="D95" i="22"/>
  <c r="C95" i="22"/>
  <c r="A95" i="22"/>
  <c r="K94" i="22"/>
  <c r="I94" i="22"/>
  <c r="D94" i="22"/>
  <c r="C94" i="22"/>
  <c r="A94" i="22"/>
  <c r="K93" i="22"/>
  <c r="J93" i="22"/>
  <c r="I93" i="22"/>
  <c r="J95" i="22" s="1"/>
  <c r="D93" i="22"/>
  <c r="C93" i="22"/>
  <c r="A93" i="22"/>
  <c r="K92" i="22"/>
  <c r="J92" i="22"/>
  <c r="I92" i="22"/>
  <c r="J94" i="22" s="1"/>
  <c r="D92" i="22"/>
  <c r="C92" i="22"/>
  <c r="A92" i="22"/>
  <c r="K91" i="22"/>
  <c r="I91" i="22"/>
  <c r="D91" i="22"/>
  <c r="C91" i="22"/>
  <c r="A91" i="22"/>
  <c r="K90" i="22"/>
  <c r="I90" i="22"/>
  <c r="D90" i="22"/>
  <c r="C90" i="22"/>
  <c r="A90" i="22"/>
  <c r="K89" i="22"/>
  <c r="J89" i="22"/>
  <c r="I89" i="22"/>
  <c r="J91" i="22" s="1"/>
  <c r="D89" i="22"/>
  <c r="C89" i="22"/>
  <c r="A89" i="22"/>
  <c r="K88" i="22"/>
  <c r="I88" i="22"/>
  <c r="J90" i="22" s="1"/>
  <c r="D88" i="22"/>
  <c r="C88" i="22"/>
  <c r="A88" i="22"/>
  <c r="K87" i="22"/>
  <c r="I87" i="22"/>
  <c r="D87" i="22"/>
  <c r="C87" i="22"/>
  <c r="A87" i="22"/>
  <c r="K86" i="22"/>
  <c r="I86" i="22"/>
  <c r="J88" i="22" s="1"/>
  <c r="D86" i="22"/>
  <c r="C86" i="22"/>
  <c r="A86" i="22"/>
  <c r="K85" i="22"/>
  <c r="J85" i="22"/>
  <c r="I85" i="22"/>
  <c r="J87" i="22" s="1"/>
  <c r="D85" i="22"/>
  <c r="C85" i="22"/>
  <c r="A85" i="22"/>
  <c r="K84" i="22"/>
  <c r="I84" i="22"/>
  <c r="J86" i="22" s="1"/>
  <c r="D84" i="22"/>
  <c r="C84" i="22"/>
  <c r="A84" i="22"/>
  <c r="K83" i="22"/>
  <c r="I83" i="22"/>
  <c r="D83" i="22"/>
  <c r="C83" i="22"/>
  <c r="A83" i="22"/>
  <c r="K82" i="22"/>
  <c r="I82" i="22"/>
  <c r="J84" i="22" s="1"/>
  <c r="D82" i="22"/>
  <c r="C82" i="22"/>
  <c r="A82" i="22"/>
  <c r="K81" i="22"/>
  <c r="J81" i="22"/>
  <c r="I81" i="22"/>
  <c r="J83" i="22" s="1"/>
  <c r="D81" i="22"/>
  <c r="C81" i="22"/>
  <c r="A81" i="22"/>
  <c r="K80" i="22"/>
  <c r="I80" i="22"/>
  <c r="J82" i="22" s="1"/>
  <c r="D80" i="22"/>
  <c r="C80" i="22"/>
  <c r="A80" i="22"/>
  <c r="K79" i="22"/>
  <c r="I79" i="22"/>
  <c r="D79" i="22"/>
  <c r="C79" i="22"/>
  <c r="A79" i="22"/>
  <c r="K78" i="22"/>
  <c r="I78" i="22"/>
  <c r="J80" i="22" s="1"/>
  <c r="D78" i="22"/>
  <c r="C78" i="22"/>
  <c r="A78" i="22"/>
  <c r="K77" i="22"/>
  <c r="J77" i="22"/>
  <c r="I77" i="22"/>
  <c r="J79" i="22" s="1"/>
  <c r="D77" i="22"/>
  <c r="C77" i="22"/>
  <c r="A77" i="22"/>
  <c r="K76" i="22"/>
  <c r="I76" i="22"/>
  <c r="J78" i="22" s="1"/>
  <c r="D76" i="22"/>
  <c r="C76" i="22"/>
  <c r="A76" i="22"/>
  <c r="K75" i="22"/>
  <c r="I75" i="22"/>
  <c r="D75" i="22"/>
  <c r="C75" i="22"/>
  <c r="A75" i="22"/>
  <c r="K74" i="22"/>
  <c r="I74" i="22"/>
  <c r="J76" i="22" s="1"/>
  <c r="D74" i="22"/>
  <c r="C74" i="22"/>
  <c r="A74" i="22"/>
  <c r="K73" i="22"/>
  <c r="J73" i="22"/>
  <c r="I73" i="22"/>
  <c r="J75" i="22" s="1"/>
  <c r="D73" i="22"/>
  <c r="C73" i="22"/>
  <c r="A73" i="22"/>
  <c r="K72" i="22"/>
  <c r="I72" i="22"/>
  <c r="J74" i="22" s="1"/>
  <c r="D72" i="22"/>
  <c r="C72" i="22"/>
  <c r="A72" i="22"/>
  <c r="K71" i="22"/>
  <c r="I71" i="22"/>
  <c r="D71" i="22"/>
  <c r="C71" i="22"/>
  <c r="A71" i="22"/>
  <c r="K70" i="22"/>
  <c r="I70" i="22"/>
  <c r="J72" i="22" s="1"/>
  <c r="D70" i="22"/>
  <c r="C70" i="22"/>
  <c r="A70" i="22"/>
  <c r="K69" i="22"/>
  <c r="J69" i="22"/>
  <c r="I69" i="22"/>
  <c r="J71" i="22" s="1"/>
  <c r="D69" i="22"/>
  <c r="C69" i="22"/>
  <c r="A69" i="22"/>
  <c r="K68" i="22"/>
  <c r="I68" i="22"/>
  <c r="J70" i="22" s="1"/>
  <c r="D68" i="22"/>
  <c r="C68" i="22"/>
  <c r="A68" i="22"/>
  <c r="K67" i="22"/>
  <c r="I67" i="22"/>
  <c r="D67" i="22"/>
  <c r="C67" i="22"/>
  <c r="A67" i="22"/>
  <c r="K66" i="22"/>
  <c r="I66" i="22"/>
  <c r="J68" i="22" s="1"/>
  <c r="D66" i="22"/>
  <c r="C66" i="22"/>
  <c r="A66" i="22"/>
  <c r="K65" i="22"/>
  <c r="J65" i="22"/>
  <c r="I65" i="22"/>
  <c r="J67" i="22" s="1"/>
  <c r="D65" i="22"/>
  <c r="C65" i="22"/>
  <c r="A65" i="22"/>
  <c r="K64" i="22"/>
  <c r="I64" i="22"/>
  <c r="J66" i="22" s="1"/>
  <c r="D64" i="22"/>
  <c r="C64" i="22"/>
  <c r="A64" i="22"/>
  <c r="K63" i="22"/>
  <c r="I63" i="22"/>
  <c r="D63" i="22"/>
  <c r="C63" i="22"/>
  <c r="A63" i="22"/>
  <c r="K62" i="22"/>
  <c r="I62" i="22"/>
  <c r="J64" i="22" s="1"/>
  <c r="D62" i="22"/>
  <c r="C62" i="22"/>
  <c r="A62" i="22"/>
  <c r="K61" i="22"/>
  <c r="J61" i="22"/>
  <c r="I61" i="22"/>
  <c r="J63" i="22" s="1"/>
  <c r="D61" i="22"/>
  <c r="C61" i="22"/>
  <c r="A61" i="22"/>
  <c r="K60" i="22"/>
  <c r="I60" i="22"/>
  <c r="J62" i="22" s="1"/>
  <c r="D60" i="22"/>
  <c r="C60" i="22"/>
  <c r="A60" i="22"/>
  <c r="K59" i="22"/>
  <c r="I59" i="22"/>
  <c r="D59" i="22"/>
  <c r="C59" i="22"/>
  <c r="A59" i="22"/>
  <c r="K58" i="22"/>
  <c r="I58" i="22"/>
  <c r="J60" i="22" s="1"/>
  <c r="D58" i="22"/>
  <c r="C58" i="22"/>
  <c r="A58" i="22"/>
  <c r="K57" i="22"/>
  <c r="J57" i="22"/>
  <c r="I57" i="22"/>
  <c r="J59" i="22" s="1"/>
  <c r="D57" i="22"/>
  <c r="C57" i="22"/>
  <c r="A57" i="22"/>
  <c r="K56" i="22"/>
  <c r="I56" i="22"/>
  <c r="J58" i="22" s="1"/>
  <c r="D56" i="22"/>
  <c r="C56" i="22"/>
  <c r="A56" i="22"/>
  <c r="K55" i="22"/>
  <c r="I55" i="22"/>
  <c r="D55" i="22"/>
  <c r="C55" i="22"/>
  <c r="A55" i="22"/>
  <c r="K54" i="22"/>
  <c r="I54" i="22"/>
  <c r="J56" i="22" s="1"/>
  <c r="D54" i="22"/>
  <c r="C54" i="22"/>
  <c r="A54" i="22"/>
  <c r="K53" i="22"/>
  <c r="J53" i="22"/>
  <c r="I53" i="22"/>
  <c r="J55" i="22" s="1"/>
  <c r="D53" i="22"/>
  <c r="C53" i="22"/>
  <c r="A53" i="22"/>
  <c r="K52" i="22"/>
  <c r="I52" i="22"/>
  <c r="J54" i="22" s="1"/>
  <c r="D52" i="22"/>
  <c r="C52" i="22"/>
  <c r="A52" i="22"/>
  <c r="K51" i="22"/>
  <c r="I51" i="22"/>
  <c r="D51" i="22"/>
  <c r="C51" i="22"/>
  <c r="A51" i="22"/>
  <c r="K50" i="22"/>
  <c r="I50" i="22"/>
  <c r="J52" i="22" s="1"/>
  <c r="D50" i="22"/>
  <c r="C50" i="22"/>
  <c r="A50" i="22"/>
  <c r="K49" i="22"/>
  <c r="J49" i="22"/>
  <c r="I49" i="22"/>
  <c r="J51" i="22" s="1"/>
  <c r="D49" i="22"/>
  <c r="C49" i="22"/>
  <c r="A49" i="22"/>
  <c r="K48" i="22"/>
  <c r="I48" i="22"/>
  <c r="J50" i="22" s="1"/>
  <c r="D48" i="22"/>
  <c r="C48" i="22"/>
  <c r="A48" i="22"/>
  <c r="K47" i="22"/>
  <c r="I47" i="22"/>
  <c r="D47" i="22"/>
  <c r="C47" i="22"/>
  <c r="A47" i="22"/>
  <c r="K46" i="22"/>
  <c r="I46" i="22"/>
  <c r="J48" i="22" s="1"/>
  <c r="D46" i="22"/>
  <c r="C46" i="22"/>
  <c r="A46" i="22"/>
  <c r="K45" i="22"/>
  <c r="J45" i="22"/>
  <c r="I45" i="22"/>
  <c r="J47" i="22" s="1"/>
  <c r="D45" i="22"/>
  <c r="C45" i="22"/>
  <c r="A45" i="22"/>
  <c r="K44" i="22"/>
  <c r="I44" i="22"/>
  <c r="J46" i="22" s="1"/>
  <c r="D44" i="22"/>
  <c r="C44" i="22"/>
  <c r="A44" i="22"/>
  <c r="K43" i="22"/>
  <c r="I43" i="22"/>
  <c r="D43" i="22"/>
  <c r="C43" i="22"/>
  <c r="A43" i="22"/>
  <c r="K42" i="22"/>
  <c r="I42" i="22"/>
  <c r="J44" i="22" s="1"/>
  <c r="D42" i="22"/>
  <c r="C42" i="22"/>
  <c r="A42" i="22"/>
  <c r="K41" i="22"/>
  <c r="J41" i="22"/>
  <c r="I41" i="22"/>
  <c r="J43" i="22" s="1"/>
  <c r="D41" i="22"/>
  <c r="C41" i="22"/>
  <c r="A41" i="22"/>
  <c r="K40" i="22"/>
  <c r="I40" i="22"/>
  <c r="J42" i="22" s="1"/>
  <c r="D40" i="22"/>
  <c r="C40" i="22"/>
  <c r="A40" i="22"/>
  <c r="K39" i="22"/>
  <c r="I39" i="22"/>
  <c r="D39" i="22"/>
  <c r="C39" i="22"/>
  <c r="A39" i="22"/>
  <c r="K38" i="22"/>
  <c r="I38" i="22"/>
  <c r="J40" i="22" s="1"/>
  <c r="D38" i="22"/>
  <c r="C38" i="22"/>
  <c r="A38" i="22"/>
  <c r="K37" i="22"/>
  <c r="J37" i="22"/>
  <c r="I37" i="22"/>
  <c r="J39" i="22" s="1"/>
  <c r="D37" i="22"/>
  <c r="C37" i="22"/>
  <c r="A37" i="22"/>
  <c r="K36" i="22"/>
  <c r="I36" i="22"/>
  <c r="J38" i="22" s="1"/>
  <c r="D36" i="22"/>
  <c r="C36" i="22"/>
  <c r="A36" i="22"/>
  <c r="K35" i="22"/>
  <c r="I35" i="22"/>
  <c r="D35" i="22"/>
  <c r="C35" i="22"/>
  <c r="A35" i="22"/>
  <c r="K34" i="22"/>
  <c r="I34" i="22"/>
  <c r="J36" i="22" s="1"/>
  <c r="D34" i="22"/>
  <c r="C34" i="22"/>
  <c r="A34" i="22"/>
  <c r="K33" i="22"/>
  <c r="J33" i="22"/>
  <c r="I33" i="22"/>
  <c r="J35" i="22" s="1"/>
  <c r="D33" i="22"/>
  <c r="C33" i="22"/>
  <c r="A33" i="22"/>
  <c r="K32" i="22"/>
  <c r="I32" i="22"/>
  <c r="J34" i="22" s="1"/>
  <c r="D32" i="22"/>
  <c r="C32" i="22"/>
  <c r="A32" i="22"/>
  <c r="K31" i="22"/>
  <c r="I31" i="22"/>
  <c r="D31" i="22"/>
  <c r="C31" i="22"/>
  <c r="A31" i="22"/>
  <c r="K30" i="22"/>
  <c r="I30" i="22"/>
  <c r="J32" i="22" s="1"/>
  <c r="D30" i="22"/>
  <c r="C30" i="22"/>
  <c r="A30" i="22"/>
  <c r="K29" i="22"/>
  <c r="J29" i="22"/>
  <c r="I29" i="22"/>
  <c r="J31" i="22" s="1"/>
  <c r="D29" i="22"/>
  <c r="C29" i="22"/>
  <c r="A29" i="22"/>
  <c r="K28" i="22"/>
  <c r="I28" i="22"/>
  <c r="J30" i="22" s="1"/>
  <c r="D28" i="22"/>
  <c r="C28" i="22"/>
  <c r="A28" i="22"/>
  <c r="K27" i="22"/>
  <c r="I27" i="22"/>
  <c r="D27" i="22"/>
  <c r="C27" i="22"/>
  <c r="A27" i="22"/>
  <c r="K26" i="22"/>
  <c r="I26" i="22"/>
  <c r="J28" i="22" s="1"/>
  <c r="D26" i="22"/>
  <c r="C26" i="22"/>
  <c r="A26" i="22"/>
  <c r="K25" i="22"/>
  <c r="J25" i="22"/>
  <c r="I25" i="22"/>
  <c r="J27" i="22" s="1"/>
  <c r="D25" i="22"/>
  <c r="C25" i="22"/>
  <c r="A25" i="22"/>
  <c r="K24" i="22"/>
  <c r="I24" i="22"/>
  <c r="J26" i="22" s="1"/>
  <c r="D24" i="22"/>
  <c r="C24" i="22"/>
  <c r="A24" i="22"/>
  <c r="K23" i="22"/>
  <c r="I23" i="22"/>
  <c r="D23" i="22"/>
  <c r="C23" i="22"/>
  <c r="A23" i="22"/>
  <c r="K22" i="22"/>
  <c r="I22" i="22"/>
  <c r="J24" i="22" s="1"/>
  <c r="D22" i="22"/>
  <c r="C22" i="22"/>
  <c r="A22" i="22"/>
  <c r="K21" i="22"/>
  <c r="J21" i="22"/>
  <c r="I21" i="22"/>
  <c r="J23" i="22" s="1"/>
  <c r="D21" i="22"/>
  <c r="C21" i="22"/>
  <c r="A21" i="22"/>
  <c r="K20" i="22"/>
  <c r="I20" i="22"/>
  <c r="J22" i="22" s="1"/>
  <c r="D20" i="22"/>
  <c r="C20" i="22"/>
  <c r="A20" i="22"/>
  <c r="K19" i="22"/>
  <c r="I19" i="22"/>
  <c r="D19" i="22"/>
  <c r="C19" i="22"/>
  <c r="A19" i="22"/>
  <c r="K18" i="22"/>
  <c r="I18" i="22"/>
  <c r="J20" i="22" s="1"/>
  <c r="D18" i="22"/>
  <c r="C18" i="22"/>
  <c r="A18" i="22"/>
  <c r="K17" i="22"/>
  <c r="J17" i="22"/>
  <c r="I17" i="22"/>
  <c r="J19" i="22" s="1"/>
  <c r="D17" i="22"/>
  <c r="A17" i="22"/>
  <c r="K16" i="22"/>
  <c r="J16" i="22"/>
  <c r="I16" i="22"/>
  <c r="J18" i="22" s="1"/>
  <c r="D16" i="22"/>
  <c r="C16" i="22"/>
  <c r="A16" i="22"/>
  <c r="B11" i="22"/>
  <c r="B10" i="22"/>
  <c r="G4" i="22"/>
  <c r="J210" i="21"/>
  <c r="G210" i="21"/>
  <c r="D210" i="21"/>
  <c r="C210" i="21"/>
  <c r="B210" i="21"/>
  <c r="J209" i="21"/>
  <c r="G209" i="21"/>
  <c r="D209" i="21"/>
  <c r="C209" i="21"/>
  <c r="B209" i="21"/>
  <c r="J208" i="21"/>
  <c r="K210" i="21" s="1"/>
  <c r="G208" i="21"/>
  <c r="D208" i="21"/>
  <c r="C208" i="21"/>
  <c r="B208" i="21"/>
  <c r="J207" i="21"/>
  <c r="K209" i="21" s="1"/>
  <c r="G207" i="21"/>
  <c r="D207" i="21"/>
  <c r="C207" i="21"/>
  <c r="B207" i="21"/>
  <c r="J206" i="21"/>
  <c r="K208" i="21" s="1"/>
  <c r="G206" i="21"/>
  <c r="D206" i="21"/>
  <c r="C206" i="21"/>
  <c r="B206" i="21"/>
  <c r="J205" i="21"/>
  <c r="K207" i="21" s="1"/>
  <c r="G205" i="21"/>
  <c r="D205" i="21"/>
  <c r="C205" i="21"/>
  <c r="B205" i="21"/>
  <c r="J204" i="21"/>
  <c r="K206" i="21" s="1"/>
  <c r="G204" i="21"/>
  <c r="D204" i="21"/>
  <c r="C204" i="21"/>
  <c r="B204" i="21"/>
  <c r="J203" i="21"/>
  <c r="K205" i="21" s="1"/>
  <c r="G203" i="21"/>
  <c r="D203" i="21"/>
  <c r="C203" i="21"/>
  <c r="B203" i="21"/>
  <c r="J202" i="21"/>
  <c r="K204" i="21" s="1"/>
  <c r="G202" i="21"/>
  <c r="D202" i="21"/>
  <c r="C202" i="21"/>
  <c r="B202" i="21"/>
  <c r="J201" i="21"/>
  <c r="K203" i="21" s="1"/>
  <c r="G201" i="21"/>
  <c r="D201" i="21"/>
  <c r="C201" i="21"/>
  <c r="B201" i="21"/>
  <c r="J200" i="21"/>
  <c r="K202" i="21" s="1"/>
  <c r="G200" i="21"/>
  <c r="D200" i="21"/>
  <c r="C200" i="21"/>
  <c r="B200" i="21"/>
  <c r="J199" i="21"/>
  <c r="K201" i="21" s="1"/>
  <c r="G199" i="21"/>
  <c r="D199" i="21"/>
  <c r="C199" i="21"/>
  <c r="B199" i="21"/>
  <c r="J198" i="21"/>
  <c r="K200" i="21" s="1"/>
  <c r="G198" i="21"/>
  <c r="D198" i="21"/>
  <c r="C198" i="21"/>
  <c r="B198" i="21"/>
  <c r="J197" i="21"/>
  <c r="K199" i="21" s="1"/>
  <c r="G197" i="21"/>
  <c r="D197" i="21"/>
  <c r="C197" i="21"/>
  <c r="B197" i="21"/>
  <c r="J196" i="21"/>
  <c r="K198" i="21" s="1"/>
  <c r="G196" i="21"/>
  <c r="D196" i="21"/>
  <c r="C196" i="21"/>
  <c r="B196" i="21"/>
  <c r="J195" i="21"/>
  <c r="K197" i="21" s="1"/>
  <c r="G195" i="21"/>
  <c r="D195" i="21"/>
  <c r="C195" i="21"/>
  <c r="B195" i="21"/>
  <c r="J194" i="21"/>
  <c r="K196" i="21" s="1"/>
  <c r="G194" i="21"/>
  <c r="D194" i="21"/>
  <c r="C194" i="21"/>
  <c r="B194" i="21"/>
  <c r="J193" i="21"/>
  <c r="K195" i="21" s="1"/>
  <c r="G193" i="21"/>
  <c r="D193" i="21"/>
  <c r="C193" i="21"/>
  <c r="B193" i="21"/>
  <c r="J192" i="21"/>
  <c r="K194" i="21" s="1"/>
  <c r="G192" i="21"/>
  <c r="D192" i="21"/>
  <c r="C192" i="21"/>
  <c r="B192" i="21"/>
  <c r="J191" i="21"/>
  <c r="K193" i="21" s="1"/>
  <c r="G191" i="21"/>
  <c r="D191" i="21"/>
  <c r="C191" i="21"/>
  <c r="B191" i="21"/>
  <c r="J190" i="21"/>
  <c r="K192" i="21" s="1"/>
  <c r="G190" i="21"/>
  <c r="D190" i="21"/>
  <c r="C190" i="21"/>
  <c r="B190" i="21"/>
  <c r="J189" i="21"/>
  <c r="K191" i="21" s="1"/>
  <c r="G189" i="21"/>
  <c r="D189" i="21"/>
  <c r="C189" i="21"/>
  <c r="B189" i="21"/>
  <c r="J188" i="21"/>
  <c r="K190" i="21" s="1"/>
  <c r="G188" i="21"/>
  <c r="D188" i="21"/>
  <c r="C188" i="21"/>
  <c r="B188" i="21"/>
  <c r="J187" i="21"/>
  <c r="K189" i="21" s="1"/>
  <c r="G187" i="21"/>
  <c r="D187" i="21"/>
  <c r="C187" i="21"/>
  <c r="B187" i="21"/>
  <c r="J186" i="21"/>
  <c r="K188" i="21" s="1"/>
  <c r="G186" i="21"/>
  <c r="D186" i="21"/>
  <c r="C186" i="21"/>
  <c r="B186" i="21"/>
  <c r="J185" i="21"/>
  <c r="K187" i="21" s="1"/>
  <c r="G185" i="21"/>
  <c r="D185" i="21"/>
  <c r="C185" i="21"/>
  <c r="B185" i="21"/>
  <c r="J184" i="21"/>
  <c r="K186" i="21" s="1"/>
  <c r="G184" i="21"/>
  <c r="D184" i="21"/>
  <c r="C184" i="21"/>
  <c r="B184" i="21"/>
  <c r="J183" i="21"/>
  <c r="K185" i="21" s="1"/>
  <c r="G183" i="21"/>
  <c r="D183" i="21"/>
  <c r="C183" i="21"/>
  <c r="B183" i="21"/>
  <c r="J182" i="21"/>
  <c r="K184" i="21" s="1"/>
  <c r="G182" i="21"/>
  <c r="D182" i="21"/>
  <c r="C182" i="21"/>
  <c r="B182" i="21"/>
  <c r="J181" i="21"/>
  <c r="K183" i="21" s="1"/>
  <c r="G181" i="21"/>
  <c r="D181" i="21"/>
  <c r="C181" i="21"/>
  <c r="B181" i="21"/>
  <c r="J180" i="21"/>
  <c r="K182" i="21" s="1"/>
  <c r="G180" i="21"/>
  <c r="D180" i="21"/>
  <c r="C180" i="21"/>
  <c r="B180" i="21"/>
  <c r="J179" i="21"/>
  <c r="K181" i="21" s="1"/>
  <c r="G179" i="21"/>
  <c r="D179" i="21"/>
  <c r="C179" i="21"/>
  <c r="B179" i="21"/>
  <c r="J178" i="21"/>
  <c r="K180" i="21" s="1"/>
  <c r="G178" i="21"/>
  <c r="D178" i="21"/>
  <c r="C178" i="21"/>
  <c r="B178" i="21"/>
  <c r="J177" i="21"/>
  <c r="K179" i="21" s="1"/>
  <c r="G177" i="21"/>
  <c r="D177" i="21"/>
  <c r="C177" i="21"/>
  <c r="B177" i="21"/>
  <c r="J176" i="21"/>
  <c r="K178" i="21" s="1"/>
  <c r="G176" i="21"/>
  <c r="D176" i="21"/>
  <c r="C176" i="21"/>
  <c r="B176" i="21"/>
  <c r="J175" i="21"/>
  <c r="K177" i="21" s="1"/>
  <c r="G175" i="21"/>
  <c r="D175" i="21"/>
  <c r="C175" i="21"/>
  <c r="B175" i="21"/>
  <c r="J174" i="21"/>
  <c r="K176" i="21" s="1"/>
  <c r="G174" i="21"/>
  <c r="D174" i="21"/>
  <c r="C174" i="21"/>
  <c r="B174" i="21"/>
  <c r="J173" i="21"/>
  <c r="K175" i="21" s="1"/>
  <c r="G173" i="21"/>
  <c r="D173" i="21"/>
  <c r="C173" i="21"/>
  <c r="B173" i="21"/>
  <c r="J172" i="21"/>
  <c r="K174" i="21" s="1"/>
  <c r="G172" i="21"/>
  <c r="D172" i="21"/>
  <c r="C172" i="21"/>
  <c r="B172" i="21"/>
  <c r="J171" i="21"/>
  <c r="K173" i="21" s="1"/>
  <c r="G171" i="21"/>
  <c r="D171" i="21"/>
  <c r="C171" i="21"/>
  <c r="B171" i="21"/>
  <c r="J170" i="21"/>
  <c r="K172" i="21" s="1"/>
  <c r="G170" i="21"/>
  <c r="D170" i="21"/>
  <c r="C170" i="21"/>
  <c r="B170" i="21"/>
  <c r="J169" i="21"/>
  <c r="K171" i="21" s="1"/>
  <c r="G169" i="21"/>
  <c r="D169" i="21"/>
  <c r="C169" i="21"/>
  <c r="B169" i="21"/>
  <c r="J168" i="21"/>
  <c r="K170" i="21" s="1"/>
  <c r="G168" i="21"/>
  <c r="D168" i="21"/>
  <c r="C168" i="21"/>
  <c r="B168" i="21"/>
  <c r="J167" i="21"/>
  <c r="K169" i="21" s="1"/>
  <c r="G167" i="21"/>
  <c r="D167" i="21"/>
  <c r="C167" i="21"/>
  <c r="B167" i="21"/>
  <c r="J166" i="21"/>
  <c r="K168" i="21" s="1"/>
  <c r="G166" i="21"/>
  <c r="D166" i="21"/>
  <c r="C166" i="21"/>
  <c r="B166" i="21"/>
  <c r="J165" i="21"/>
  <c r="K167" i="21" s="1"/>
  <c r="G165" i="21"/>
  <c r="D165" i="21"/>
  <c r="C165" i="21"/>
  <c r="B165" i="21"/>
  <c r="J164" i="21"/>
  <c r="K166" i="21" s="1"/>
  <c r="G164" i="21"/>
  <c r="D164" i="21"/>
  <c r="C164" i="21"/>
  <c r="B164" i="21"/>
  <c r="J163" i="21"/>
  <c r="K165" i="21" s="1"/>
  <c r="G163" i="21"/>
  <c r="D163" i="21"/>
  <c r="C163" i="21"/>
  <c r="B163" i="21"/>
  <c r="J162" i="21"/>
  <c r="K164" i="21" s="1"/>
  <c r="G162" i="21"/>
  <c r="D162" i="21"/>
  <c r="C162" i="21"/>
  <c r="B162" i="21"/>
  <c r="J161" i="21"/>
  <c r="K163" i="21" s="1"/>
  <c r="G161" i="21"/>
  <c r="D161" i="21"/>
  <c r="C161" i="21"/>
  <c r="B161" i="21"/>
  <c r="J160" i="21"/>
  <c r="K162" i="21" s="1"/>
  <c r="G160" i="21"/>
  <c r="D160" i="21"/>
  <c r="C160" i="21"/>
  <c r="B160" i="21"/>
  <c r="J159" i="21"/>
  <c r="K161" i="21" s="1"/>
  <c r="G159" i="21"/>
  <c r="D159" i="21"/>
  <c r="C159" i="21"/>
  <c r="B159" i="21"/>
  <c r="J158" i="21"/>
  <c r="K160" i="21" s="1"/>
  <c r="G158" i="21"/>
  <c r="D158" i="21"/>
  <c r="C158" i="21"/>
  <c r="B158" i="21"/>
  <c r="J157" i="21"/>
  <c r="K159" i="21" s="1"/>
  <c r="G157" i="21"/>
  <c r="D157" i="21"/>
  <c r="C157" i="21"/>
  <c r="B157" i="21"/>
  <c r="J156" i="21"/>
  <c r="K158" i="21" s="1"/>
  <c r="G156" i="21"/>
  <c r="D156" i="21"/>
  <c r="C156" i="21"/>
  <c r="B156" i="21"/>
  <c r="J155" i="21"/>
  <c r="K157" i="21" s="1"/>
  <c r="G155" i="21"/>
  <c r="D155" i="21"/>
  <c r="C155" i="21"/>
  <c r="B155" i="21"/>
  <c r="J154" i="21"/>
  <c r="K156" i="21" s="1"/>
  <c r="G154" i="21"/>
  <c r="D154" i="21"/>
  <c r="C154" i="21"/>
  <c r="B154" i="21"/>
  <c r="J153" i="21"/>
  <c r="K155" i="21" s="1"/>
  <c r="G153" i="21"/>
  <c r="D153" i="21"/>
  <c r="C153" i="21"/>
  <c r="B153" i="21"/>
  <c r="J152" i="21"/>
  <c r="K154" i="21" s="1"/>
  <c r="G152" i="21"/>
  <c r="D152" i="21"/>
  <c r="C152" i="21"/>
  <c r="B152" i="21"/>
  <c r="J151" i="21"/>
  <c r="K153" i="21" s="1"/>
  <c r="G151" i="21"/>
  <c r="D151" i="21"/>
  <c r="C151" i="21"/>
  <c r="B151" i="21"/>
  <c r="J150" i="21"/>
  <c r="K152" i="21" s="1"/>
  <c r="G150" i="21"/>
  <c r="D150" i="21"/>
  <c r="C150" i="21"/>
  <c r="B150" i="21"/>
  <c r="J149" i="21"/>
  <c r="K151" i="21" s="1"/>
  <c r="G149" i="21"/>
  <c r="D149" i="21"/>
  <c r="C149" i="21"/>
  <c r="B149" i="21"/>
  <c r="J148" i="21"/>
  <c r="K150" i="21" s="1"/>
  <c r="G148" i="21"/>
  <c r="D148" i="21"/>
  <c r="C148" i="21"/>
  <c r="B148" i="21"/>
  <c r="J147" i="21"/>
  <c r="K149" i="21" s="1"/>
  <c r="G147" i="21"/>
  <c r="D147" i="21"/>
  <c r="C147" i="21"/>
  <c r="B147" i="21"/>
  <c r="J146" i="21"/>
  <c r="K148" i="21" s="1"/>
  <c r="G146" i="21"/>
  <c r="D146" i="21"/>
  <c r="C146" i="21"/>
  <c r="B146" i="21"/>
  <c r="J145" i="21"/>
  <c r="K147" i="21" s="1"/>
  <c r="G145" i="21"/>
  <c r="D145" i="21"/>
  <c r="C145" i="21"/>
  <c r="B145" i="21"/>
  <c r="J144" i="21"/>
  <c r="K146" i="21" s="1"/>
  <c r="G144" i="21"/>
  <c r="D144" i="21"/>
  <c r="C144" i="21"/>
  <c r="B144" i="21"/>
  <c r="J143" i="21"/>
  <c r="K145" i="21" s="1"/>
  <c r="G143" i="21"/>
  <c r="D143" i="21"/>
  <c r="C143" i="21"/>
  <c r="B143" i="21"/>
  <c r="J142" i="21"/>
  <c r="K144" i="21" s="1"/>
  <c r="G142" i="21"/>
  <c r="D142" i="21"/>
  <c r="C142" i="21"/>
  <c r="B142" i="21"/>
  <c r="J141" i="21"/>
  <c r="K143" i="21" s="1"/>
  <c r="G141" i="21"/>
  <c r="D141" i="21"/>
  <c r="C141" i="21"/>
  <c r="B141" i="21"/>
  <c r="J140" i="21"/>
  <c r="K142" i="21" s="1"/>
  <c r="G140" i="21"/>
  <c r="D140" i="21"/>
  <c r="C140" i="21"/>
  <c r="B140" i="21"/>
  <c r="J139" i="21"/>
  <c r="K141" i="21" s="1"/>
  <c r="G139" i="21"/>
  <c r="D139" i="21"/>
  <c r="C139" i="21"/>
  <c r="B139" i="21"/>
  <c r="J138" i="21"/>
  <c r="K140" i="21" s="1"/>
  <c r="G138" i="21"/>
  <c r="D138" i="21"/>
  <c r="C138" i="21"/>
  <c r="B138" i="21"/>
  <c r="J137" i="21"/>
  <c r="K139" i="21" s="1"/>
  <c r="G137" i="21"/>
  <c r="D137" i="21"/>
  <c r="C137" i="21"/>
  <c r="B137" i="21"/>
  <c r="J136" i="21"/>
  <c r="K138" i="21" s="1"/>
  <c r="G136" i="21"/>
  <c r="D136" i="21"/>
  <c r="C136" i="21"/>
  <c r="B136" i="21"/>
  <c r="J135" i="21"/>
  <c r="K137" i="21" s="1"/>
  <c r="G135" i="21"/>
  <c r="D135" i="21"/>
  <c r="C135" i="21"/>
  <c r="B135" i="21"/>
  <c r="J134" i="21"/>
  <c r="K136" i="21" s="1"/>
  <c r="G134" i="21"/>
  <c r="D134" i="21"/>
  <c r="C134" i="21"/>
  <c r="B134" i="21"/>
  <c r="J133" i="21"/>
  <c r="K135" i="21" s="1"/>
  <c r="G133" i="21"/>
  <c r="D133" i="21"/>
  <c r="C133" i="21"/>
  <c r="B133" i="21"/>
  <c r="J132" i="21"/>
  <c r="K134" i="21" s="1"/>
  <c r="G132" i="21"/>
  <c r="D132" i="21"/>
  <c r="C132" i="21"/>
  <c r="B132" i="21"/>
  <c r="J131" i="21"/>
  <c r="K133" i="21" s="1"/>
  <c r="G131" i="21"/>
  <c r="D131" i="21"/>
  <c r="C131" i="21"/>
  <c r="B131" i="21"/>
  <c r="J130" i="21"/>
  <c r="K132" i="21" s="1"/>
  <c r="G130" i="21"/>
  <c r="D130" i="21"/>
  <c r="C130" i="21"/>
  <c r="B130" i="21"/>
  <c r="J129" i="21"/>
  <c r="K131" i="21" s="1"/>
  <c r="G129" i="21"/>
  <c r="D129" i="21"/>
  <c r="C129" i="21"/>
  <c r="B129" i="21"/>
  <c r="J128" i="21"/>
  <c r="K130" i="21" s="1"/>
  <c r="G128" i="21"/>
  <c r="D128" i="21"/>
  <c r="C128" i="21"/>
  <c r="B128" i="21"/>
  <c r="J127" i="21"/>
  <c r="K129" i="21" s="1"/>
  <c r="G127" i="21"/>
  <c r="D127" i="21"/>
  <c r="C127" i="21"/>
  <c r="B127" i="21"/>
  <c r="J126" i="21"/>
  <c r="K128" i="21" s="1"/>
  <c r="G126" i="21"/>
  <c r="D126" i="21"/>
  <c r="C126" i="21"/>
  <c r="B126" i="21"/>
  <c r="J125" i="21"/>
  <c r="K127" i="21" s="1"/>
  <c r="G125" i="21"/>
  <c r="D125" i="21"/>
  <c r="C125" i="21"/>
  <c r="B125" i="21"/>
  <c r="J124" i="21"/>
  <c r="K126" i="21" s="1"/>
  <c r="G124" i="21"/>
  <c r="D124" i="21"/>
  <c r="C124" i="21"/>
  <c r="B124" i="21"/>
  <c r="J123" i="21"/>
  <c r="K125" i="21" s="1"/>
  <c r="G123" i="21"/>
  <c r="D123" i="21"/>
  <c r="C123" i="21"/>
  <c r="B123" i="21"/>
  <c r="J122" i="21"/>
  <c r="K124" i="21" s="1"/>
  <c r="G122" i="21"/>
  <c r="D122" i="21"/>
  <c r="C122" i="21"/>
  <c r="B122" i="21"/>
  <c r="J121" i="21"/>
  <c r="K123" i="21" s="1"/>
  <c r="G121" i="21"/>
  <c r="D121" i="21"/>
  <c r="C121" i="21"/>
  <c r="B121" i="21"/>
  <c r="J120" i="21"/>
  <c r="K122" i="21" s="1"/>
  <c r="G120" i="21"/>
  <c r="D120" i="21"/>
  <c r="C120" i="21"/>
  <c r="B120" i="21"/>
  <c r="J119" i="21"/>
  <c r="K121" i="21" s="1"/>
  <c r="G119" i="21"/>
  <c r="D119" i="21"/>
  <c r="C119" i="21"/>
  <c r="B119" i="21"/>
  <c r="J118" i="21"/>
  <c r="K120" i="21" s="1"/>
  <c r="G118" i="21"/>
  <c r="D118" i="21"/>
  <c r="C118" i="21"/>
  <c r="B118" i="21"/>
  <c r="J117" i="21"/>
  <c r="K119" i="21" s="1"/>
  <c r="G117" i="21"/>
  <c r="D117" i="21"/>
  <c r="C117" i="21"/>
  <c r="B117" i="21"/>
  <c r="J116" i="21"/>
  <c r="K118" i="21" s="1"/>
  <c r="G116" i="21"/>
  <c r="D116" i="21"/>
  <c r="C116" i="21"/>
  <c r="B116" i="21"/>
  <c r="J115" i="21"/>
  <c r="K117" i="21" s="1"/>
  <c r="G115" i="21"/>
  <c r="D115" i="21"/>
  <c r="C115" i="21"/>
  <c r="B115" i="21"/>
  <c r="J114" i="21"/>
  <c r="K116" i="21" s="1"/>
  <c r="G114" i="21"/>
  <c r="D114" i="21"/>
  <c r="C114" i="21"/>
  <c r="B114" i="21"/>
  <c r="J113" i="21"/>
  <c r="K115" i="21" s="1"/>
  <c r="G113" i="21"/>
  <c r="D113" i="21"/>
  <c r="C113" i="21"/>
  <c r="B113" i="21"/>
  <c r="J112" i="21"/>
  <c r="K114" i="21" s="1"/>
  <c r="G112" i="21"/>
  <c r="D112" i="21"/>
  <c r="C112" i="21"/>
  <c r="B112" i="21"/>
  <c r="J111" i="21"/>
  <c r="K113" i="21" s="1"/>
  <c r="G111" i="21"/>
  <c r="D111" i="21"/>
  <c r="C111" i="21"/>
  <c r="B111" i="21"/>
  <c r="J110" i="21"/>
  <c r="K112" i="21" s="1"/>
  <c r="G110" i="21"/>
  <c r="D110" i="21"/>
  <c r="C110" i="21"/>
  <c r="B110" i="21"/>
  <c r="J109" i="21"/>
  <c r="K111" i="21" s="1"/>
  <c r="G109" i="21"/>
  <c r="D109" i="21"/>
  <c r="C109" i="21"/>
  <c r="B109" i="21"/>
  <c r="J108" i="21"/>
  <c r="K110" i="21" s="1"/>
  <c r="G108" i="21"/>
  <c r="D108" i="21"/>
  <c r="C108" i="21"/>
  <c r="B108" i="21"/>
  <c r="J107" i="21"/>
  <c r="K109" i="21" s="1"/>
  <c r="G107" i="21"/>
  <c r="D107" i="21"/>
  <c r="C107" i="21"/>
  <c r="B107" i="21"/>
  <c r="J106" i="21"/>
  <c r="K108" i="21" s="1"/>
  <c r="G106" i="21"/>
  <c r="D106" i="21"/>
  <c r="C106" i="21"/>
  <c r="B106" i="21"/>
  <c r="J105" i="21"/>
  <c r="K107" i="21" s="1"/>
  <c r="G105" i="21"/>
  <c r="D105" i="21"/>
  <c r="C105" i="21"/>
  <c r="B105" i="21"/>
  <c r="J104" i="21"/>
  <c r="K106" i="21" s="1"/>
  <c r="G104" i="21"/>
  <c r="D104" i="21"/>
  <c r="C104" i="21"/>
  <c r="B104" i="21"/>
  <c r="J103" i="21"/>
  <c r="K105" i="21" s="1"/>
  <c r="G103" i="21"/>
  <c r="D103" i="21"/>
  <c r="C103" i="21"/>
  <c r="B103" i="21"/>
  <c r="J102" i="21"/>
  <c r="K104" i="21" s="1"/>
  <c r="G102" i="21"/>
  <c r="D102" i="21"/>
  <c r="C102" i="21"/>
  <c r="B102" i="21"/>
  <c r="J101" i="21"/>
  <c r="K103" i="21" s="1"/>
  <c r="G101" i="21"/>
  <c r="D101" i="21"/>
  <c r="C101" i="21"/>
  <c r="B101" i="21"/>
  <c r="J100" i="21"/>
  <c r="K102" i="21" s="1"/>
  <c r="G100" i="21"/>
  <c r="D100" i="21"/>
  <c r="C100" i="21"/>
  <c r="B100" i="21"/>
  <c r="J99" i="21"/>
  <c r="K101" i="21" s="1"/>
  <c r="G99" i="21"/>
  <c r="D99" i="21"/>
  <c r="C99" i="21"/>
  <c r="B99" i="21"/>
  <c r="J98" i="21"/>
  <c r="K100" i="21" s="1"/>
  <c r="G98" i="21"/>
  <c r="D98" i="21"/>
  <c r="C98" i="21"/>
  <c r="B98" i="21"/>
  <c r="J97" i="21"/>
  <c r="K99" i="21" s="1"/>
  <c r="G97" i="21"/>
  <c r="D97" i="21"/>
  <c r="C97" i="21"/>
  <c r="B97" i="21"/>
  <c r="J96" i="21"/>
  <c r="K98" i="21" s="1"/>
  <c r="G96" i="21"/>
  <c r="D96" i="21"/>
  <c r="C96" i="21"/>
  <c r="B96" i="21"/>
  <c r="J95" i="21"/>
  <c r="K97" i="21" s="1"/>
  <c r="G95" i="21"/>
  <c r="D95" i="21"/>
  <c r="C95" i="21"/>
  <c r="B95" i="21"/>
  <c r="J94" i="21"/>
  <c r="K96" i="21" s="1"/>
  <c r="G94" i="21"/>
  <c r="D94" i="21"/>
  <c r="C94" i="21"/>
  <c r="B94" i="21"/>
  <c r="J93" i="21"/>
  <c r="K95" i="21" s="1"/>
  <c r="G93" i="21"/>
  <c r="D93" i="21"/>
  <c r="C93" i="21"/>
  <c r="B93" i="21"/>
  <c r="J92" i="21"/>
  <c r="K94" i="21" s="1"/>
  <c r="G92" i="21"/>
  <c r="D92" i="21"/>
  <c r="C92" i="21"/>
  <c r="B92" i="21"/>
  <c r="J91" i="21"/>
  <c r="K93" i="21" s="1"/>
  <c r="G91" i="21"/>
  <c r="D91" i="21"/>
  <c r="C91" i="21"/>
  <c r="B91" i="21"/>
  <c r="J90" i="21"/>
  <c r="K92" i="21" s="1"/>
  <c r="G90" i="21"/>
  <c r="D90" i="21"/>
  <c r="C90" i="21"/>
  <c r="B90" i="21"/>
  <c r="J89" i="21"/>
  <c r="K91" i="21" s="1"/>
  <c r="G89" i="21"/>
  <c r="D89" i="21"/>
  <c r="C89" i="21"/>
  <c r="B89" i="21"/>
  <c r="J88" i="21"/>
  <c r="K90" i="21" s="1"/>
  <c r="G88" i="21"/>
  <c r="D88" i="21"/>
  <c r="C88" i="21"/>
  <c r="B88" i="21"/>
  <c r="J87" i="21"/>
  <c r="K89" i="21" s="1"/>
  <c r="G87" i="21"/>
  <c r="D87" i="21"/>
  <c r="C87" i="21"/>
  <c r="B87" i="21"/>
  <c r="J86" i="21"/>
  <c r="K88" i="21" s="1"/>
  <c r="G86" i="21"/>
  <c r="D86" i="21"/>
  <c r="C86" i="21"/>
  <c r="B86" i="21"/>
  <c r="J85" i="21"/>
  <c r="K87" i="21" s="1"/>
  <c r="G85" i="21"/>
  <c r="D85" i="21"/>
  <c r="C85" i="21"/>
  <c r="B85" i="21"/>
  <c r="J84" i="21"/>
  <c r="K86" i="21" s="1"/>
  <c r="G84" i="21"/>
  <c r="D84" i="21"/>
  <c r="C84" i="21"/>
  <c r="B84" i="21"/>
  <c r="J83" i="21"/>
  <c r="K85" i="21" s="1"/>
  <c r="G83" i="21"/>
  <c r="D83" i="21"/>
  <c r="C83" i="21"/>
  <c r="B83" i="21"/>
  <c r="J82" i="21"/>
  <c r="K84" i="21" s="1"/>
  <c r="G82" i="21"/>
  <c r="D82" i="21"/>
  <c r="C82" i="21"/>
  <c r="B82" i="21"/>
  <c r="J81" i="21"/>
  <c r="K83" i="21" s="1"/>
  <c r="G81" i="21"/>
  <c r="D81" i="21"/>
  <c r="C81" i="21"/>
  <c r="B81" i="21"/>
  <c r="J80" i="21"/>
  <c r="K82" i="21" s="1"/>
  <c r="G80" i="21"/>
  <c r="D80" i="21"/>
  <c r="C80" i="21"/>
  <c r="B80" i="21"/>
  <c r="J79" i="21"/>
  <c r="K81" i="21" s="1"/>
  <c r="G79" i="21"/>
  <c r="D79" i="21"/>
  <c r="C79" i="21"/>
  <c r="B79" i="21"/>
  <c r="J78" i="21"/>
  <c r="K80" i="21" s="1"/>
  <c r="G78" i="21"/>
  <c r="D78" i="21"/>
  <c r="C78" i="21"/>
  <c r="B78" i="21"/>
  <c r="J77" i="21"/>
  <c r="K79" i="21" s="1"/>
  <c r="G77" i="21"/>
  <c r="D77" i="21"/>
  <c r="C77" i="21"/>
  <c r="B77" i="21"/>
  <c r="J76" i="21"/>
  <c r="K78" i="21" s="1"/>
  <c r="G76" i="21"/>
  <c r="D76" i="21"/>
  <c r="C76" i="21"/>
  <c r="B76" i="21"/>
  <c r="J75" i="21"/>
  <c r="K77" i="21" s="1"/>
  <c r="G75" i="21"/>
  <c r="D75" i="21"/>
  <c r="C75" i="21"/>
  <c r="B75" i="21"/>
  <c r="J74" i="21"/>
  <c r="K76" i="21" s="1"/>
  <c r="G74" i="21"/>
  <c r="D74" i="21"/>
  <c r="C74" i="21"/>
  <c r="B74" i="21"/>
  <c r="J73" i="21"/>
  <c r="K75" i="21" s="1"/>
  <c r="G73" i="21"/>
  <c r="D73" i="21"/>
  <c r="C73" i="21"/>
  <c r="B73" i="21"/>
  <c r="J72" i="21"/>
  <c r="K74" i="21" s="1"/>
  <c r="G72" i="21"/>
  <c r="D72" i="21"/>
  <c r="C72" i="21"/>
  <c r="B72" i="21"/>
  <c r="J71" i="21"/>
  <c r="K73" i="21" s="1"/>
  <c r="G71" i="21"/>
  <c r="D71" i="21"/>
  <c r="C71" i="21"/>
  <c r="B71" i="21"/>
  <c r="J70" i="21"/>
  <c r="K72" i="21" s="1"/>
  <c r="G70" i="21"/>
  <c r="D70" i="21"/>
  <c r="C70" i="21"/>
  <c r="B70" i="21"/>
  <c r="J69" i="21"/>
  <c r="K71" i="21" s="1"/>
  <c r="G69" i="21"/>
  <c r="D69" i="21"/>
  <c r="C69" i="21"/>
  <c r="B69" i="21"/>
  <c r="J68" i="21"/>
  <c r="K70" i="21" s="1"/>
  <c r="G68" i="21"/>
  <c r="D68" i="21"/>
  <c r="C68" i="21"/>
  <c r="B68" i="21"/>
  <c r="J67" i="21"/>
  <c r="K69" i="21" s="1"/>
  <c r="G67" i="21"/>
  <c r="D67" i="21"/>
  <c r="C67" i="21"/>
  <c r="B67" i="21"/>
  <c r="J66" i="21"/>
  <c r="K68" i="21" s="1"/>
  <c r="G66" i="21"/>
  <c r="D66" i="21"/>
  <c r="C66" i="21"/>
  <c r="B66" i="21"/>
  <c r="J65" i="21"/>
  <c r="K67" i="21" s="1"/>
  <c r="G65" i="21"/>
  <c r="D65" i="21"/>
  <c r="C65" i="21"/>
  <c r="B65" i="21"/>
  <c r="J64" i="21"/>
  <c r="K66" i="21" s="1"/>
  <c r="G64" i="21"/>
  <c r="D64" i="21"/>
  <c r="C64" i="21"/>
  <c r="B64" i="21"/>
  <c r="J63" i="21"/>
  <c r="K65" i="21" s="1"/>
  <c r="G63" i="21"/>
  <c r="D63" i="21"/>
  <c r="C63" i="21"/>
  <c r="B63" i="21"/>
  <c r="J62" i="21"/>
  <c r="K64" i="21" s="1"/>
  <c r="G62" i="21"/>
  <c r="D62" i="21"/>
  <c r="C62" i="21"/>
  <c r="B62" i="21"/>
  <c r="J61" i="21"/>
  <c r="K63" i="21" s="1"/>
  <c r="G61" i="21"/>
  <c r="D61" i="21"/>
  <c r="C61" i="21"/>
  <c r="B61" i="21"/>
  <c r="J60" i="21"/>
  <c r="K62" i="21" s="1"/>
  <c r="G60" i="21"/>
  <c r="D60" i="21"/>
  <c r="C60" i="21"/>
  <c r="B60" i="21"/>
  <c r="J59" i="21"/>
  <c r="K61" i="21" s="1"/>
  <c r="G59" i="21"/>
  <c r="D59" i="21"/>
  <c r="C59" i="21"/>
  <c r="B59" i="21"/>
  <c r="J58" i="21"/>
  <c r="K60" i="21" s="1"/>
  <c r="G58" i="21"/>
  <c r="D58" i="21"/>
  <c r="C58" i="21"/>
  <c r="B58" i="21"/>
  <c r="J57" i="21"/>
  <c r="K59" i="21" s="1"/>
  <c r="G57" i="21"/>
  <c r="D57" i="21"/>
  <c r="C57" i="21"/>
  <c r="B57" i="21"/>
  <c r="J56" i="21"/>
  <c r="K58" i="21" s="1"/>
  <c r="G56" i="21"/>
  <c r="D56" i="21"/>
  <c r="C56" i="21"/>
  <c r="B56" i="21"/>
  <c r="J55" i="21"/>
  <c r="K57" i="21" s="1"/>
  <c r="G55" i="21"/>
  <c r="D55" i="21"/>
  <c r="C55" i="21"/>
  <c r="B55" i="21"/>
  <c r="J54" i="21"/>
  <c r="K56" i="21" s="1"/>
  <c r="G54" i="21"/>
  <c r="D54" i="21"/>
  <c r="C54" i="21"/>
  <c r="B54" i="21"/>
  <c r="J53" i="21"/>
  <c r="K55" i="21" s="1"/>
  <c r="G53" i="21"/>
  <c r="D53" i="21"/>
  <c r="C53" i="21"/>
  <c r="B53" i="21"/>
  <c r="J52" i="21"/>
  <c r="K54" i="21" s="1"/>
  <c r="G52" i="21"/>
  <c r="D52" i="21"/>
  <c r="C52" i="21"/>
  <c r="B52" i="21"/>
  <c r="J51" i="21"/>
  <c r="K53" i="21" s="1"/>
  <c r="G51" i="21"/>
  <c r="D51" i="21"/>
  <c r="C51" i="21"/>
  <c r="B51" i="21"/>
  <c r="J50" i="21"/>
  <c r="K52" i="21" s="1"/>
  <c r="G50" i="21"/>
  <c r="D50" i="21"/>
  <c r="C50" i="21"/>
  <c r="B50" i="21"/>
  <c r="J49" i="21"/>
  <c r="K51" i="21" s="1"/>
  <c r="G49" i="21"/>
  <c r="D49" i="21"/>
  <c r="C49" i="21"/>
  <c r="B49" i="21"/>
  <c r="J48" i="21"/>
  <c r="K50" i="21" s="1"/>
  <c r="G48" i="21"/>
  <c r="D48" i="21"/>
  <c r="C48" i="21"/>
  <c r="B48" i="21"/>
  <c r="J47" i="21"/>
  <c r="K49" i="21" s="1"/>
  <c r="G47" i="21"/>
  <c r="D47" i="21"/>
  <c r="C47" i="21"/>
  <c r="B47" i="21"/>
  <c r="J46" i="21"/>
  <c r="K48" i="21" s="1"/>
  <c r="G46" i="21"/>
  <c r="D46" i="21"/>
  <c r="C46" i="21"/>
  <c r="B46" i="21"/>
  <c r="J45" i="21"/>
  <c r="K47" i="21" s="1"/>
  <c r="G45" i="21"/>
  <c r="D45" i="21"/>
  <c r="C45" i="21"/>
  <c r="B45" i="21"/>
  <c r="J44" i="21"/>
  <c r="K46" i="21" s="1"/>
  <c r="G44" i="21"/>
  <c r="D44" i="21"/>
  <c r="C44" i="21"/>
  <c r="B44" i="21"/>
  <c r="J43" i="21"/>
  <c r="K45" i="21" s="1"/>
  <c r="G43" i="21"/>
  <c r="D43" i="21"/>
  <c r="C43" i="21"/>
  <c r="B43" i="21"/>
  <c r="J42" i="21"/>
  <c r="K44" i="21" s="1"/>
  <c r="G42" i="21"/>
  <c r="D42" i="21"/>
  <c r="C42" i="21"/>
  <c r="B42" i="21"/>
  <c r="J41" i="21"/>
  <c r="K43" i="21" s="1"/>
  <c r="G41" i="21"/>
  <c r="D41" i="21"/>
  <c r="C41" i="21"/>
  <c r="B41" i="21"/>
  <c r="J40" i="21"/>
  <c r="K42" i="21" s="1"/>
  <c r="G40" i="21"/>
  <c r="D40" i="21"/>
  <c r="C40" i="21"/>
  <c r="B40" i="21"/>
  <c r="J39" i="21"/>
  <c r="K41" i="21" s="1"/>
  <c r="G39" i="21"/>
  <c r="D39" i="21"/>
  <c r="C39" i="21"/>
  <c r="B39" i="21"/>
  <c r="J38" i="21"/>
  <c r="K40" i="21" s="1"/>
  <c r="G38" i="21"/>
  <c r="D38" i="21"/>
  <c r="C38" i="21"/>
  <c r="B38" i="21"/>
  <c r="J37" i="21"/>
  <c r="K39" i="21" s="1"/>
  <c r="G37" i="21"/>
  <c r="D37" i="21"/>
  <c r="C37" i="21"/>
  <c r="B37" i="21"/>
  <c r="J36" i="21"/>
  <c r="K38" i="21" s="1"/>
  <c r="G36" i="21"/>
  <c r="D36" i="21"/>
  <c r="C36" i="21"/>
  <c r="B36" i="21"/>
  <c r="J35" i="21"/>
  <c r="K37" i="21" s="1"/>
  <c r="G35" i="21"/>
  <c r="D35" i="21"/>
  <c r="C35" i="21"/>
  <c r="B35" i="21"/>
  <c r="J34" i="21"/>
  <c r="K36" i="21" s="1"/>
  <c r="G34" i="21"/>
  <c r="D34" i="21"/>
  <c r="C34" i="21"/>
  <c r="B34" i="21"/>
  <c r="J33" i="21"/>
  <c r="K35" i="21" s="1"/>
  <c r="G33" i="21"/>
  <c r="D33" i="21"/>
  <c r="C33" i="21"/>
  <c r="B33" i="21"/>
  <c r="J32" i="21"/>
  <c r="K34" i="21" s="1"/>
  <c r="G32" i="21"/>
  <c r="D32" i="21"/>
  <c r="C32" i="21"/>
  <c r="B32" i="21"/>
  <c r="J31" i="21"/>
  <c r="K33" i="21" s="1"/>
  <c r="G31" i="21"/>
  <c r="D31" i="21"/>
  <c r="C31" i="21"/>
  <c r="B31" i="21"/>
  <c r="J30" i="21"/>
  <c r="K32" i="21" s="1"/>
  <c r="G30" i="21"/>
  <c r="D30" i="21"/>
  <c r="C30" i="21"/>
  <c r="B30" i="21"/>
  <c r="J29" i="21"/>
  <c r="K31" i="21" s="1"/>
  <c r="G29" i="21"/>
  <c r="D29" i="21"/>
  <c r="C29" i="21"/>
  <c r="B29" i="21"/>
  <c r="J28" i="21"/>
  <c r="K30" i="21" s="1"/>
  <c r="G28" i="21"/>
  <c r="D28" i="21"/>
  <c r="C28" i="21"/>
  <c r="B28" i="21"/>
  <c r="J27" i="21"/>
  <c r="K29" i="21" s="1"/>
  <c r="G27" i="21"/>
  <c r="D27" i="21"/>
  <c r="C27" i="21"/>
  <c r="B27" i="21"/>
  <c r="J26" i="21"/>
  <c r="K28" i="21" s="1"/>
  <c r="G26" i="21"/>
  <c r="D26" i="21"/>
  <c r="C26" i="21"/>
  <c r="B26" i="21"/>
  <c r="J25" i="21"/>
  <c r="K27" i="21" s="1"/>
  <c r="G25" i="21"/>
  <c r="D25" i="21"/>
  <c r="C25" i="21"/>
  <c r="B25" i="21"/>
  <c r="J24" i="21"/>
  <c r="K26" i="21" s="1"/>
  <c r="G24" i="21"/>
  <c r="D24" i="21"/>
  <c r="C24" i="21"/>
  <c r="B24" i="21"/>
  <c r="J23" i="21"/>
  <c r="K25" i="21" s="1"/>
  <c r="G23" i="21"/>
  <c r="D23" i="21"/>
  <c r="C23" i="21"/>
  <c r="B23" i="21"/>
  <c r="J22" i="21"/>
  <c r="K24" i="21" s="1"/>
  <c r="G22" i="21"/>
  <c r="D22" i="21"/>
  <c r="C22" i="21"/>
  <c r="B22" i="21"/>
  <c r="J21" i="21"/>
  <c r="K23" i="21" s="1"/>
  <c r="G21" i="21"/>
  <c r="D21" i="21"/>
  <c r="C21" i="21"/>
  <c r="B21" i="21"/>
  <c r="J20" i="21"/>
  <c r="K22" i="21" s="1"/>
  <c r="G20" i="21"/>
  <c r="D20" i="21"/>
  <c r="C20" i="21"/>
  <c r="B20" i="21"/>
  <c r="J19" i="21"/>
  <c r="K21" i="21" s="1"/>
  <c r="G19" i="21"/>
  <c r="D19" i="21"/>
  <c r="C19" i="21"/>
  <c r="B19" i="21"/>
  <c r="J18" i="21"/>
  <c r="K20" i="21" s="1"/>
  <c r="G18" i="21"/>
  <c r="D18" i="21"/>
  <c r="C18" i="21"/>
  <c r="B18" i="21"/>
  <c r="J17" i="21"/>
  <c r="K19" i="21" s="1"/>
  <c r="G17" i="21"/>
  <c r="D17" i="21"/>
  <c r="C17" i="21"/>
  <c r="B17" i="21"/>
  <c r="J16" i="21"/>
  <c r="K18" i="21" s="1"/>
  <c r="G16" i="21"/>
  <c r="D16" i="21"/>
  <c r="C16" i="21"/>
  <c r="B16" i="21"/>
  <c r="J15" i="21"/>
  <c r="K17" i="21" s="1"/>
  <c r="G15" i="21"/>
  <c r="D15" i="21"/>
  <c r="C15" i="21"/>
  <c r="B15" i="21"/>
  <c r="K14" i="21"/>
  <c r="J14" i="21"/>
  <c r="K16" i="21" s="1"/>
  <c r="G14" i="21"/>
  <c r="D14" i="21"/>
  <c r="C14" i="21"/>
  <c r="B14" i="21"/>
  <c r="J13" i="21"/>
  <c r="K15" i="21" s="1"/>
  <c r="G13" i="21"/>
  <c r="D13" i="21"/>
  <c r="C13" i="21"/>
  <c r="B13" i="21"/>
  <c r="K12" i="21"/>
  <c r="J12" i="21"/>
  <c r="G12" i="21"/>
  <c r="D12" i="21"/>
  <c r="K11" i="21"/>
  <c r="J11" i="21"/>
  <c r="K13" i="21" s="1"/>
  <c r="G11" i="21"/>
  <c r="D11" i="21"/>
  <c r="C11" i="21"/>
  <c r="B11" i="21"/>
  <c r="J4" i="21"/>
  <c r="J210" i="20"/>
  <c r="I210" i="20"/>
  <c r="F210" i="20"/>
  <c r="D210" i="20"/>
  <c r="C210" i="20"/>
  <c r="B210" i="20"/>
  <c r="J209" i="20"/>
  <c r="I209" i="20"/>
  <c r="F209" i="20"/>
  <c r="D209" i="20"/>
  <c r="C209" i="20"/>
  <c r="B209" i="20"/>
  <c r="I208" i="20"/>
  <c r="F208" i="20"/>
  <c r="D208" i="20"/>
  <c r="C208" i="20"/>
  <c r="B208" i="20"/>
  <c r="J207" i="20"/>
  <c r="I207" i="20"/>
  <c r="F207" i="20"/>
  <c r="D207" i="20"/>
  <c r="C207" i="20"/>
  <c r="B207" i="20"/>
  <c r="J206" i="20"/>
  <c r="I206" i="20"/>
  <c r="J208" i="20" s="1"/>
  <c r="F206" i="20"/>
  <c r="D206" i="20"/>
  <c r="C206" i="20"/>
  <c r="B206" i="20"/>
  <c r="J205" i="20"/>
  <c r="I205" i="20"/>
  <c r="F205" i="20"/>
  <c r="D205" i="20"/>
  <c r="C205" i="20"/>
  <c r="B205" i="20"/>
  <c r="I204" i="20"/>
  <c r="F204" i="20"/>
  <c r="D204" i="20"/>
  <c r="C204" i="20"/>
  <c r="B204" i="20"/>
  <c r="J203" i="20"/>
  <c r="I203" i="20"/>
  <c r="F203" i="20"/>
  <c r="D203" i="20"/>
  <c r="C203" i="20"/>
  <c r="B203" i="20"/>
  <c r="J202" i="20"/>
  <c r="I202" i="20"/>
  <c r="J204" i="20" s="1"/>
  <c r="F202" i="20"/>
  <c r="D202" i="20"/>
  <c r="C202" i="20"/>
  <c r="B202" i="20"/>
  <c r="I201" i="20"/>
  <c r="F201" i="20"/>
  <c r="D201" i="20"/>
  <c r="C201" i="20"/>
  <c r="B201" i="20"/>
  <c r="I200" i="20"/>
  <c r="F200" i="20"/>
  <c r="D200" i="20"/>
  <c r="C200" i="20"/>
  <c r="B200" i="20"/>
  <c r="J199" i="20"/>
  <c r="I199" i="20"/>
  <c r="J201" i="20" s="1"/>
  <c r="F199" i="20"/>
  <c r="D199" i="20"/>
  <c r="C199" i="20"/>
  <c r="B199" i="20"/>
  <c r="J198" i="20"/>
  <c r="I198" i="20"/>
  <c r="J200" i="20" s="1"/>
  <c r="F198" i="20"/>
  <c r="D198" i="20"/>
  <c r="C198" i="20"/>
  <c r="B198" i="20"/>
  <c r="I197" i="20"/>
  <c r="F197" i="20"/>
  <c r="D197" i="20"/>
  <c r="C197" i="20"/>
  <c r="B197" i="20"/>
  <c r="I196" i="20"/>
  <c r="F196" i="20"/>
  <c r="D196" i="20"/>
  <c r="C196" i="20"/>
  <c r="B196" i="20"/>
  <c r="J195" i="20"/>
  <c r="I195" i="20"/>
  <c r="J197" i="20" s="1"/>
  <c r="F195" i="20"/>
  <c r="D195" i="20"/>
  <c r="C195" i="20"/>
  <c r="B195" i="20"/>
  <c r="J194" i="20"/>
  <c r="I194" i="20"/>
  <c r="J196" i="20" s="1"/>
  <c r="F194" i="20"/>
  <c r="D194" i="20"/>
  <c r="C194" i="20"/>
  <c r="B194" i="20"/>
  <c r="I193" i="20"/>
  <c r="F193" i="20"/>
  <c r="D193" i="20"/>
  <c r="C193" i="20"/>
  <c r="B193" i="20"/>
  <c r="I192" i="20"/>
  <c r="F192" i="20"/>
  <c r="D192" i="20"/>
  <c r="C192" i="20"/>
  <c r="B192" i="20"/>
  <c r="J191" i="20"/>
  <c r="I191" i="20"/>
  <c r="J193" i="20" s="1"/>
  <c r="F191" i="20"/>
  <c r="D191" i="20"/>
  <c r="C191" i="20"/>
  <c r="B191" i="20"/>
  <c r="J190" i="20"/>
  <c r="I190" i="20"/>
  <c r="J192" i="20" s="1"/>
  <c r="F190" i="20"/>
  <c r="D190" i="20"/>
  <c r="C190" i="20"/>
  <c r="B190" i="20"/>
  <c r="I189" i="20"/>
  <c r="F189" i="20"/>
  <c r="D189" i="20"/>
  <c r="C189" i="20"/>
  <c r="B189" i="20"/>
  <c r="I188" i="20"/>
  <c r="F188" i="20"/>
  <c r="D188" i="20"/>
  <c r="C188" i="20"/>
  <c r="B188" i="20"/>
  <c r="J187" i="20"/>
  <c r="I187" i="20"/>
  <c r="J189" i="20" s="1"/>
  <c r="F187" i="20"/>
  <c r="D187" i="20"/>
  <c r="C187" i="20"/>
  <c r="B187" i="20"/>
  <c r="J186" i="20"/>
  <c r="I186" i="20"/>
  <c r="J188" i="20" s="1"/>
  <c r="F186" i="20"/>
  <c r="D186" i="20"/>
  <c r="C186" i="20"/>
  <c r="B186" i="20"/>
  <c r="J185" i="20"/>
  <c r="I185" i="20"/>
  <c r="F185" i="20"/>
  <c r="D185" i="20"/>
  <c r="C185" i="20"/>
  <c r="B185" i="20"/>
  <c r="I184" i="20"/>
  <c r="F184" i="20"/>
  <c r="D184" i="20"/>
  <c r="C184" i="20"/>
  <c r="B184" i="20"/>
  <c r="J183" i="20"/>
  <c r="I183" i="20"/>
  <c r="F183" i="20"/>
  <c r="D183" i="20"/>
  <c r="C183" i="20"/>
  <c r="B183" i="20"/>
  <c r="J182" i="20"/>
  <c r="I182" i="20"/>
  <c r="J184" i="20" s="1"/>
  <c r="F182" i="20"/>
  <c r="D182" i="20"/>
  <c r="C182" i="20"/>
  <c r="B182" i="20"/>
  <c r="J181" i="20"/>
  <c r="I181" i="20"/>
  <c r="F181" i="20"/>
  <c r="D181" i="20"/>
  <c r="C181" i="20"/>
  <c r="B181" i="20"/>
  <c r="I180" i="20"/>
  <c r="F180" i="20"/>
  <c r="D180" i="20"/>
  <c r="C180" i="20"/>
  <c r="B180" i="20"/>
  <c r="J179" i="20"/>
  <c r="I179" i="20"/>
  <c r="F179" i="20"/>
  <c r="D179" i="20"/>
  <c r="C179" i="20"/>
  <c r="B179" i="20"/>
  <c r="J178" i="20"/>
  <c r="I178" i="20"/>
  <c r="J180" i="20" s="1"/>
  <c r="F178" i="20"/>
  <c r="D178" i="20"/>
  <c r="C178" i="20"/>
  <c r="B178" i="20"/>
  <c r="J177" i="20"/>
  <c r="I177" i="20"/>
  <c r="F177" i="20"/>
  <c r="D177" i="20"/>
  <c r="C177" i="20"/>
  <c r="B177" i="20"/>
  <c r="I176" i="20"/>
  <c r="F176" i="20"/>
  <c r="D176" i="20"/>
  <c r="C176" i="20"/>
  <c r="B176" i="20"/>
  <c r="J175" i="20"/>
  <c r="I175" i="20"/>
  <c r="F175" i="20"/>
  <c r="D175" i="20"/>
  <c r="C175" i="20"/>
  <c r="B175" i="20"/>
  <c r="J174" i="20"/>
  <c r="I174" i="20"/>
  <c r="J176" i="20" s="1"/>
  <c r="F174" i="20"/>
  <c r="D174" i="20"/>
  <c r="C174" i="20"/>
  <c r="B174" i="20"/>
  <c r="J173" i="20"/>
  <c r="I173" i="20"/>
  <c r="F173" i="20"/>
  <c r="D173" i="20"/>
  <c r="C173" i="20"/>
  <c r="B173" i="20"/>
  <c r="I172" i="20"/>
  <c r="F172" i="20"/>
  <c r="D172" i="20"/>
  <c r="C172" i="20"/>
  <c r="B172" i="20"/>
  <c r="J171" i="20"/>
  <c r="I171" i="20"/>
  <c r="F171" i="20"/>
  <c r="D171" i="20"/>
  <c r="C171" i="20"/>
  <c r="B171" i="20"/>
  <c r="J170" i="20"/>
  <c r="I170" i="20"/>
  <c r="J172" i="20" s="1"/>
  <c r="F170" i="20"/>
  <c r="D170" i="20"/>
  <c r="C170" i="20"/>
  <c r="B170" i="20"/>
  <c r="I169" i="20"/>
  <c r="F169" i="20"/>
  <c r="D169" i="20"/>
  <c r="C169" i="20"/>
  <c r="B169" i="20"/>
  <c r="I168" i="20"/>
  <c r="F168" i="20"/>
  <c r="D168" i="20"/>
  <c r="C168" i="20"/>
  <c r="B168" i="20"/>
  <c r="J167" i="20"/>
  <c r="I167" i="20"/>
  <c r="J169" i="20" s="1"/>
  <c r="F167" i="20"/>
  <c r="D167" i="20"/>
  <c r="C167" i="20"/>
  <c r="B167" i="20"/>
  <c r="J166" i="20"/>
  <c r="I166" i="20"/>
  <c r="J168" i="20" s="1"/>
  <c r="F166" i="20"/>
  <c r="D166" i="20"/>
  <c r="C166" i="20"/>
  <c r="B166" i="20"/>
  <c r="I165" i="20"/>
  <c r="F165" i="20"/>
  <c r="D165" i="20"/>
  <c r="C165" i="20"/>
  <c r="B165" i="20"/>
  <c r="I164" i="20"/>
  <c r="F164" i="20"/>
  <c r="D164" i="20"/>
  <c r="C164" i="20"/>
  <c r="B164" i="20"/>
  <c r="J163" i="20"/>
  <c r="I163" i="20"/>
  <c r="J165" i="20" s="1"/>
  <c r="F163" i="20"/>
  <c r="D163" i="20"/>
  <c r="C163" i="20"/>
  <c r="B163" i="20"/>
  <c r="J162" i="20"/>
  <c r="I162" i="20"/>
  <c r="J164" i="20" s="1"/>
  <c r="F162" i="20"/>
  <c r="D162" i="20"/>
  <c r="C162" i="20"/>
  <c r="B162" i="20"/>
  <c r="I161" i="20"/>
  <c r="F161" i="20"/>
  <c r="D161" i="20"/>
  <c r="C161" i="20"/>
  <c r="B161" i="20"/>
  <c r="I160" i="20"/>
  <c r="F160" i="20"/>
  <c r="D160" i="20"/>
  <c r="C160" i="20"/>
  <c r="B160" i="20"/>
  <c r="J159" i="20"/>
  <c r="I159" i="20"/>
  <c r="J161" i="20" s="1"/>
  <c r="F159" i="20"/>
  <c r="D159" i="20"/>
  <c r="C159" i="20"/>
  <c r="B159" i="20"/>
  <c r="J158" i="20"/>
  <c r="I158" i="20"/>
  <c r="J160" i="20" s="1"/>
  <c r="F158" i="20"/>
  <c r="D158" i="20"/>
  <c r="C158" i="20"/>
  <c r="B158" i="20"/>
  <c r="I157" i="20"/>
  <c r="F157" i="20"/>
  <c r="D157" i="20"/>
  <c r="C157" i="20"/>
  <c r="B157" i="20"/>
  <c r="I156" i="20"/>
  <c r="F156" i="20"/>
  <c r="D156" i="20"/>
  <c r="C156" i="20"/>
  <c r="B156" i="20"/>
  <c r="J155" i="20"/>
  <c r="I155" i="20"/>
  <c r="J157" i="20" s="1"/>
  <c r="F155" i="20"/>
  <c r="D155" i="20"/>
  <c r="C155" i="20"/>
  <c r="B155" i="20"/>
  <c r="J154" i="20"/>
  <c r="I154" i="20"/>
  <c r="J156" i="20" s="1"/>
  <c r="F154" i="20"/>
  <c r="D154" i="20"/>
  <c r="C154" i="20"/>
  <c r="B154" i="20"/>
  <c r="I153" i="20"/>
  <c r="F153" i="20"/>
  <c r="D153" i="20"/>
  <c r="C153" i="20"/>
  <c r="B153" i="20"/>
  <c r="I152" i="20"/>
  <c r="F152" i="20"/>
  <c r="D152" i="20"/>
  <c r="C152" i="20"/>
  <c r="B152" i="20"/>
  <c r="J151" i="20"/>
  <c r="I151" i="20"/>
  <c r="J153" i="20" s="1"/>
  <c r="F151" i="20"/>
  <c r="D151" i="20"/>
  <c r="C151" i="20"/>
  <c r="B151" i="20"/>
  <c r="J150" i="20"/>
  <c r="I150" i="20"/>
  <c r="J152" i="20" s="1"/>
  <c r="F150" i="20"/>
  <c r="D150" i="20"/>
  <c r="C150" i="20"/>
  <c r="B150" i="20"/>
  <c r="J149" i="20"/>
  <c r="I149" i="20"/>
  <c r="F149" i="20"/>
  <c r="D149" i="20"/>
  <c r="C149" i="20"/>
  <c r="B149" i="20"/>
  <c r="I148" i="20"/>
  <c r="F148" i="20"/>
  <c r="D148" i="20"/>
  <c r="C148" i="20"/>
  <c r="B148" i="20"/>
  <c r="J147" i="20"/>
  <c r="I147" i="20"/>
  <c r="F147" i="20"/>
  <c r="D147" i="20"/>
  <c r="C147" i="20"/>
  <c r="B147" i="20"/>
  <c r="J146" i="20"/>
  <c r="I146" i="20"/>
  <c r="J148" i="20" s="1"/>
  <c r="F146" i="20"/>
  <c r="D146" i="20"/>
  <c r="C146" i="20"/>
  <c r="B146" i="20"/>
  <c r="J145" i="20"/>
  <c r="I145" i="20"/>
  <c r="F145" i="20"/>
  <c r="D145" i="20"/>
  <c r="C145" i="20"/>
  <c r="B145" i="20"/>
  <c r="I144" i="20"/>
  <c r="F144" i="20"/>
  <c r="D144" i="20"/>
  <c r="C144" i="20"/>
  <c r="B144" i="20"/>
  <c r="J143" i="20"/>
  <c r="I143" i="20"/>
  <c r="F143" i="20"/>
  <c r="D143" i="20"/>
  <c r="C143" i="20"/>
  <c r="B143" i="20"/>
  <c r="J142" i="20"/>
  <c r="I142" i="20"/>
  <c r="J144" i="20" s="1"/>
  <c r="F142" i="20"/>
  <c r="D142" i="20"/>
  <c r="C142" i="20"/>
  <c r="B142" i="20"/>
  <c r="J141" i="20"/>
  <c r="I141" i="20"/>
  <c r="F141" i="20"/>
  <c r="D141" i="20"/>
  <c r="C141" i="20"/>
  <c r="B141" i="20"/>
  <c r="I140" i="20"/>
  <c r="F140" i="20"/>
  <c r="D140" i="20"/>
  <c r="C140" i="20"/>
  <c r="B140" i="20"/>
  <c r="J139" i="20"/>
  <c r="I139" i="20"/>
  <c r="F139" i="20"/>
  <c r="D139" i="20"/>
  <c r="C139" i="20"/>
  <c r="B139" i="20"/>
  <c r="J138" i="20"/>
  <c r="I138" i="20"/>
  <c r="J140" i="20" s="1"/>
  <c r="F138" i="20"/>
  <c r="D138" i="20"/>
  <c r="C138" i="20"/>
  <c r="B138" i="20"/>
  <c r="I137" i="20"/>
  <c r="F137" i="20"/>
  <c r="D137" i="20"/>
  <c r="C137" i="20"/>
  <c r="B137" i="20"/>
  <c r="I136" i="20"/>
  <c r="F136" i="20"/>
  <c r="D136" i="20"/>
  <c r="C136" i="20"/>
  <c r="B136" i="20"/>
  <c r="J135" i="20"/>
  <c r="I135" i="20"/>
  <c r="J137" i="20" s="1"/>
  <c r="F135" i="20"/>
  <c r="D135" i="20"/>
  <c r="C135" i="20"/>
  <c r="B135" i="20"/>
  <c r="J134" i="20"/>
  <c r="I134" i="20"/>
  <c r="J136" i="20" s="1"/>
  <c r="F134" i="20"/>
  <c r="D134" i="20"/>
  <c r="C134" i="20"/>
  <c r="B134" i="20"/>
  <c r="I133" i="20"/>
  <c r="F133" i="20"/>
  <c r="D133" i="20"/>
  <c r="C133" i="20"/>
  <c r="B133" i="20"/>
  <c r="I132" i="20"/>
  <c r="F132" i="20"/>
  <c r="D132" i="20"/>
  <c r="C132" i="20"/>
  <c r="B132" i="20"/>
  <c r="J131" i="20"/>
  <c r="I131" i="20"/>
  <c r="J133" i="20" s="1"/>
  <c r="F131" i="20"/>
  <c r="D131" i="20"/>
  <c r="C131" i="20"/>
  <c r="B131" i="20"/>
  <c r="J130" i="20"/>
  <c r="I130" i="20"/>
  <c r="J132" i="20" s="1"/>
  <c r="F130" i="20"/>
  <c r="D130" i="20"/>
  <c r="C130" i="20"/>
  <c r="B130" i="20"/>
  <c r="I129" i="20"/>
  <c r="F129" i="20"/>
  <c r="D129" i="20"/>
  <c r="C129" i="20"/>
  <c r="B129" i="20"/>
  <c r="I128" i="20"/>
  <c r="F128" i="20"/>
  <c r="D128" i="20"/>
  <c r="C128" i="20"/>
  <c r="B128" i="20"/>
  <c r="J127" i="20"/>
  <c r="I127" i="20"/>
  <c r="J129" i="20" s="1"/>
  <c r="F127" i="20"/>
  <c r="D127" i="20"/>
  <c r="C127" i="20"/>
  <c r="B127" i="20"/>
  <c r="J126" i="20"/>
  <c r="I126" i="20"/>
  <c r="J128" i="20" s="1"/>
  <c r="F126" i="20"/>
  <c r="D126" i="20"/>
  <c r="C126" i="20"/>
  <c r="B126" i="20"/>
  <c r="I125" i="20"/>
  <c r="F125" i="20"/>
  <c r="D125" i="20"/>
  <c r="C125" i="20"/>
  <c r="B125" i="20"/>
  <c r="J124" i="20"/>
  <c r="I124" i="20"/>
  <c r="F124" i="20"/>
  <c r="D124" i="20"/>
  <c r="C124" i="20"/>
  <c r="B124" i="20"/>
  <c r="J123" i="20"/>
  <c r="I123" i="20"/>
  <c r="J125" i="20" s="1"/>
  <c r="F123" i="20"/>
  <c r="D123" i="20"/>
  <c r="C123" i="20"/>
  <c r="B123" i="20"/>
  <c r="J122" i="20"/>
  <c r="I122" i="20"/>
  <c r="F122" i="20"/>
  <c r="D122" i="20"/>
  <c r="C122" i="20"/>
  <c r="B122" i="20"/>
  <c r="I121" i="20"/>
  <c r="F121" i="20"/>
  <c r="D121" i="20"/>
  <c r="C121" i="20"/>
  <c r="B121" i="20"/>
  <c r="J120" i="20"/>
  <c r="I120" i="20"/>
  <c r="F120" i="20"/>
  <c r="D120" i="20"/>
  <c r="C120" i="20"/>
  <c r="B120" i="20"/>
  <c r="J119" i="20"/>
  <c r="I119" i="20"/>
  <c r="J121" i="20" s="1"/>
  <c r="F119" i="20"/>
  <c r="D119" i="20"/>
  <c r="C119" i="20"/>
  <c r="B119" i="20"/>
  <c r="J118" i="20"/>
  <c r="I118" i="20"/>
  <c r="F118" i="20"/>
  <c r="D118" i="20"/>
  <c r="C118" i="20"/>
  <c r="B118" i="20"/>
  <c r="I117" i="20"/>
  <c r="F117" i="20"/>
  <c r="D117" i="20"/>
  <c r="C117" i="20"/>
  <c r="B117" i="20"/>
  <c r="J116" i="20"/>
  <c r="I116" i="20"/>
  <c r="F116" i="20"/>
  <c r="D116" i="20"/>
  <c r="C116" i="20"/>
  <c r="B116" i="20"/>
  <c r="J115" i="20"/>
  <c r="I115" i="20"/>
  <c r="J117" i="20" s="1"/>
  <c r="F115" i="20"/>
  <c r="D115" i="20"/>
  <c r="C115" i="20"/>
  <c r="B115" i="20"/>
  <c r="J114" i="20"/>
  <c r="I114" i="20"/>
  <c r="F114" i="20"/>
  <c r="D114" i="20"/>
  <c r="C114" i="20"/>
  <c r="B114" i="20"/>
  <c r="I113" i="20"/>
  <c r="F113" i="20"/>
  <c r="D113" i="20"/>
  <c r="C113" i="20"/>
  <c r="B113" i="20"/>
  <c r="J112" i="20"/>
  <c r="I112" i="20"/>
  <c r="F112" i="20"/>
  <c r="D112" i="20"/>
  <c r="C112" i="20"/>
  <c r="B112" i="20"/>
  <c r="J111" i="20"/>
  <c r="I111" i="20"/>
  <c r="J113" i="20" s="1"/>
  <c r="F111" i="20"/>
  <c r="D111" i="20"/>
  <c r="C111" i="20"/>
  <c r="B111" i="20"/>
  <c r="J110" i="20"/>
  <c r="I110" i="20"/>
  <c r="F110" i="20"/>
  <c r="D110" i="20"/>
  <c r="C110" i="20"/>
  <c r="B110" i="20"/>
  <c r="I109" i="20"/>
  <c r="F109" i="20"/>
  <c r="D109" i="20"/>
  <c r="C109" i="20"/>
  <c r="B109" i="20"/>
  <c r="J108" i="20"/>
  <c r="I108" i="20"/>
  <c r="F108" i="20"/>
  <c r="D108" i="20"/>
  <c r="C108" i="20"/>
  <c r="B108" i="20"/>
  <c r="J107" i="20"/>
  <c r="I107" i="20"/>
  <c r="J109" i="20" s="1"/>
  <c r="F107" i="20"/>
  <c r="D107" i="20"/>
  <c r="C107" i="20"/>
  <c r="B107" i="20"/>
  <c r="J106" i="20"/>
  <c r="I106" i="20"/>
  <c r="F106" i="20"/>
  <c r="D106" i="20"/>
  <c r="C106" i="20"/>
  <c r="B106" i="20"/>
  <c r="I105" i="20"/>
  <c r="F105" i="20"/>
  <c r="D105" i="20"/>
  <c r="C105" i="20"/>
  <c r="B105" i="20"/>
  <c r="J104" i="20"/>
  <c r="I104" i="20"/>
  <c r="F104" i="20"/>
  <c r="D104" i="20"/>
  <c r="C104" i="20"/>
  <c r="B104" i="20"/>
  <c r="J103" i="20"/>
  <c r="I103" i="20"/>
  <c r="J105" i="20" s="1"/>
  <c r="F103" i="20"/>
  <c r="D103" i="20"/>
  <c r="C103" i="20"/>
  <c r="B103" i="20"/>
  <c r="J102" i="20"/>
  <c r="I102" i="20"/>
  <c r="F102" i="20"/>
  <c r="D102" i="20"/>
  <c r="C102" i="20"/>
  <c r="B102" i="20"/>
  <c r="I101" i="20"/>
  <c r="F101" i="20"/>
  <c r="D101" i="20"/>
  <c r="C101" i="20"/>
  <c r="B101" i="20"/>
  <c r="J100" i="20"/>
  <c r="I100" i="20"/>
  <c r="F100" i="20"/>
  <c r="D100" i="20"/>
  <c r="C100" i="20"/>
  <c r="B100" i="20"/>
  <c r="J99" i="20"/>
  <c r="I99" i="20"/>
  <c r="J101" i="20" s="1"/>
  <c r="F99" i="20"/>
  <c r="D99" i="20"/>
  <c r="C99" i="20"/>
  <c r="B99" i="20"/>
  <c r="J98" i="20"/>
  <c r="I98" i="20"/>
  <c r="F98" i="20"/>
  <c r="D98" i="20"/>
  <c r="C98" i="20"/>
  <c r="B98" i="20"/>
  <c r="I97" i="20"/>
  <c r="F97" i="20"/>
  <c r="D97" i="20"/>
  <c r="C97" i="20"/>
  <c r="B97" i="20"/>
  <c r="J96" i="20"/>
  <c r="I96" i="20"/>
  <c r="F96" i="20"/>
  <c r="D96" i="20"/>
  <c r="C96" i="20"/>
  <c r="B96" i="20"/>
  <c r="J95" i="20"/>
  <c r="I95" i="20"/>
  <c r="J97" i="20" s="1"/>
  <c r="F95" i="20"/>
  <c r="D95" i="20"/>
  <c r="C95" i="20"/>
  <c r="B95" i="20"/>
  <c r="J94" i="20"/>
  <c r="I94" i="20"/>
  <c r="F94" i="20"/>
  <c r="D94" i="20"/>
  <c r="C94" i="20"/>
  <c r="B94" i="20"/>
  <c r="I93" i="20"/>
  <c r="F93" i="20"/>
  <c r="D93" i="20"/>
  <c r="C93" i="20"/>
  <c r="B93" i="20"/>
  <c r="J92" i="20"/>
  <c r="I92" i="20"/>
  <c r="F92" i="20"/>
  <c r="D92" i="20"/>
  <c r="C92" i="20"/>
  <c r="B92" i="20"/>
  <c r="J91" i="20"/>
  <c r="I91" i="20"/>
  <c r="J93" i="20" s="1"/>
  <c r="F91" i="20"/>
  <c r="D91" i="20"/>
  <c r="C91" i="20"/>
  <c r="B91" i="20"/>
  <c r="J90" i="20"/>
  <c r="I90" i="20"/>
  <c r="F90" i="20"/>
  <c r="D90" i="20"/>
  <c r="C90" i="20"/>
  <c r="B90" i="20"/>
  <c r="I89" i="20"/>
  <c r="F89" i="20"/>
  <c r="D89" i="20"/>
  <c r="C89" i="20"/>
  <c r="B89" i="20"/>
  <c r="J88" i="20"/>
  <c r="I88" i="20"/>
  <c r="F88" i="20"/>
  <c r="D88" i="20"/>
  <c r="C88" i="20"/>
  <c r="B88" i="20"/>
  <c r="J87" i="20"/>
  <c r="I87" i="20"/>
  <c r="J89" i="20" s="1"/>
  <c r="F87" i="20"/>
  <c r="D87" i="20"/>
  <c r="C87" i="20"/>
  <c r="B87" i="20"/>
  <c r="J86" i="20"/>
  <c r="I86" i="20"/>
  <c r="F86" i="20"/>
  <c r="D86" i="20"/>
  <c r="C86" i="20"/>
  <c r="B86" i="20"/>
  <c r="I85" i="20"/>
  <c r="F85" i="20"/>
  <c r="D85" i="20"/>
  <c r="C85" i="20"/>
  <c r="B85" i="20"/>
  <c r="J84" i="20"/>
  <c r="I84" i="20"/>
  <c r="F84" i="20"/>
  <c r="D84" i="20"/>
  <c r="C84" i="20"/>
  <c r="B84" i="20"/>
  <c r="J83" i="20"/>
  <c r="I83" i="20"/>
  <c r="J85" i="20" s="1"/>
  <c r="F83" i="20"/>
  <c r="D83" i="20"/>
  <c r="C83" i="20"/>
  <c r="B83" i="20"/>
  <c r="J82" i="20"/>
  <c r="I82" i="20"/>
  <c r="F82" i="20"/>
  <c r="D82" i="20"/>
  <c r="C82" i="20"/>
  <c r="B82" i="20"/>
  <c r="I81" i="20"/>
  <c r="F81" i="20"/>
  <c r="D81" i="20"/>
  <c r="C81" i="20"/>
  <c r="B81" i="20"/>
  <c r="J80" i="20"/>
  <c r="I80" i="20"/>
  <c r="F80" i="20"/>
  <c r="D80" i="20"/>
  <c r="C80" i="20"/>
  <c r="B80" i="20"/>
  <c r="J79" i="20"/>
  <c r="I79" i="20"/>
  <c r="J81" i="20" s="1"/>
  <c r="F79" i="20"/>
  <c r="D79" i="20"/>
  <c r="C79" i="20"/>
  <c r="B79" i="20"/>
  <c r="J78" i="20"/>
  <c r="I78" i="20"/>
  <c r="F78" i="20"/>
  <c r="D78" i="20"/>
  <c r="C78" i="20"/>
  <c r="B78" i="20"/>
  <c r="I77" i="20"/>
  <c r="F77" i="20"/>
  <c r="D77" i="20"/>
  <c r="C77" i="20"/>
  <c r="B77" i="20"/>
  <c r="J76" i="20"/>
  <c r="I76" i="20"/>
  <c r="F76" i="20"/>
  <c r="D76" i="20"/>
  <c r="C76" i="20"/>
  <c r="B76" i="20"/>
  <c r="J75" i="20"/>
  <c r="I75" i="20"/>
  <c r="J77" i="20" s="1"/>
  <c r="F75" i="20"/>
  <c r="D75" i="20"/>
  <c r="C75" i="20"/>
  <c r="B75" i="20"/>
  <c r="J74" i="20"/>
  <c r="I74" i="20"/>
  <c r="F74" i="20"/>
  <c r="D74" i="20"/>
  <c r="C74" i="20"/>
  <c r="B74" i="20"/>
  <c r="I73" i="20"/>
  <c r="F73" i="20"/>
  <c r="D73" i="20"/>
  <c r="C73" i="20"/>
  <c r="B73" i="20"/>
  <c r="J72" i="20"/>
  <c r="I72" i="20"/>
  <c r="F72" i="20"/>
  <c r="D72" i="20"/>
  <c r="C72" i="20"/>
  <c r="B72" i="20"/>
  <c r="J71" i="20"/>
  <c r="I71" i="20"/>
  <c r="J73" i="20" s="1"/>
  <c r="F71" i="20"/>
  <c r="D71" i="20"/>
  <c r="C71" i="20"/>
  <c r="B71" i="20"/>
  <c r="J70" i="20"/>
  <c r="I70" i="20"/>
  <c r="F70" i="20"/>
  <c r="D70" i="20"/>
  <c r="C70" i="20"/>
  <c r="B70" i="20"/>
  <c r="I69" i="20"/>
  <c r="F69" i="20"/>
  <c r="D69" i="20"/>
  <c r="C69" i="20"/>
  <c r="B69" i="20"/>
  <c r="J68" i="20"/>
  <c r="I68" i="20"/>
  <c r="F68" i="20"/>
  <c r="D68" i="20"/>
  <c r="C68" i="20"/>
  <c r="B68" i="20"/>
  <c r="J67" i="20"/>
  <c r="I67" i="20"/>
  <c r="J69" i="20" s="1"/>
  <c r="F67" i="20"/>
  <c r="D67" i="20"/>
  <c r="C67" i="20"/>
  <c r="B67" i="20"/>
  <c r="J66" i="20"/>
  <c r="I66" i="20"/>
  <c r="F66" i="20"/>
  <c r="D66" i="20"/>
  <c r="C66" i="20"/>
  <c r="B66" i="20"/>
  <c r="I65" i="20"/>
  <c r="F65" i="20"/>
  <c r="D65" i="20"/>
  <c r="C65" i="20"/>
  <c r="B65" i="20"/>
  <c r="J64" i="20"/>
  <c r="I64" i="20"/>
  <c r="F64" i="20"/>
  <c r="D64" i="20"/>
  <c r="C64" i="20"/>
  <c r="B64" i="20"/>
  <c r="J63" i="20"/>
  <c r="I63" i="20"/>
  <c r="J65" i="20" s="1"/>
  <c r="F63" i="20"/>
  <c r="D63" i="20"/>
  <c r="C63" i="20"/>
  <c r="B63" i="20"/>
  <c r="J62" i="20"/>
  <c r="I62" i="20"/>
  <c r="F62" i="20"/>
  <c r="D62" i="20"/>
  <c r="C62" i="20"/>
  <c r="B62" i="20"/>
  <c r="I61" i="20"/>
  <c r="F61" i="20"/>
  <c r="D61" i="20"/>
  <c r="C61" i="20"/>
  <c r="B61" i="20"/>
  <c r="J60" i="20"/>
  <c r="I60" i="20"/>
  <c r="F60" i="20"/>
  <c r="D60" i="20"/>
  <c r="C60" i="20"/>
  <c r="B60" i="20"/>
  <c r="J59" i="20"/>
  <c r="I59" i="20"/>
  <c r="J61" i="20" s="1"/>
  <c r="F59" i="20"/>
  <c r="D59" i="20"/>
  <c r="C59" i="20"/>
  <c r="B59" i="20"/>
  <c r="J58" i="20"/>
  <c r="I58" i="20"/>
  <c r="F58" i="20"/>
  <c r="D58" i="20"/>
  <c r="C58" i="20"/>
  <c r="B58" i="20"/>
  <c r="I57" i="20"/>
  <c r="F57" i="20"/>
  <c r="D57" i="20"/>
  <c r="C57" i="20"/>
  <c r="B57" i="20"/>
  <c r="J56" i="20"/>
  <c r="I56" i="20"/>
  <c r="F56" i="20"/>
  <c r="D56" i="20"/>
  <c r="C56" i="20"/>
  <c r="B56" i="20"/>
  <c r="J55" i="20"/>
  <c r="I55" i="20"/>
  <c r="J57" i="20" s="1"/>
  <c r="F55" i="20"/>
  <c r="D55" i="20"/>
  <c r="C55" i="20"/>
  <c r="B55" i="20"/>
  <c r="J54" i="20"/>
  <c r="I54" i="20"/>
  <c r="F54" i="20"/>
  <c r="D54" i="20"/>
  <c r="C54" i="20"/>
  <c r="B54" i="20"/>
  <c r="I53" i="20"/>
  <c r="F53" i="20"/>
  <c r="D53" i="20"/>
  <c r="C53" i="20"/>
  <c r="B53" i="20"/>
  <c r="J52" i="20"/>
  <c r="I52" i="20"/>
  <c r="F52" i="20"/>
  <c r="D52" i="20"/>
  <c r="C52" i="20"/>
  <c r="B52" i="20"/>
  <c r="J51" i="20"/>
  <c r="I51" i="20"/>
  <c r="J53" i="20" s="1"/>
  <c r="F51" i="20"/>
  <c r="D51" i="20"/>
  <c r="C51" i="20"/>
  <c r="B51" i="20"/>
  <c r="J50" i="20"/>
  <c r="I50" i="20"/>
  <c r="F50" i="20"/>
  <c r="D50" i="20"/>
  <c r="C50" i="20"/>
  <c r="B50" i="20"/>
  <c r="I49" i="20"/>
  <c r="F49" i="20"/>
  <c r="D49" i="20"/>
  <c r="C49" i="20"/>
  <c r="B49" i="20"/>
  <c r="J48" i="20"/>
  <c r="I48" i="20"/>
  <c r="F48" i="20"/>
  <c r="D48" i="20"/>
  <c r="C48" i="20"/>
  <c r="B48" i="20"/>
  <c r="J47" i="20"/>
  <c r="I47" i="20"/>
  <c r="J49" i="20" s="1"/>
  <c r="F47" i="20"/>
  <c r="D47" i="20"/>
  <c r="C47" i="20"/>
  <c r="B47" i="20"/>
  <c r="J46" i="20"/>
  <c r="I46" i="20"/>
  <c r="F46" i="20"/>
  <c r="D46" i="20"/>
  <c r="C46" i="20"/>
  <c r="B46" i="20"/>
  <c r="I45" i="20"/>
  <c r="F45" i="20"/>
  <c r="D45" i="20"/>
  <c r="C45" i="20"/>
  <c r="B45" i="20"/>
  <c r="J44" i="20"/>
  <c r="I44" i="20"/>
  <c r="F44" i="20"/>
  <c r="D44" i="20"/>
  <c r="C44" i="20"/>
  <c r="B44" i="20"/>
  <c r="J43" i="20"/>
  <c r="I43" i="20"/>
  <c r="J45" i="20" s="1"/>
  <c r="F43" i="20"/>
  <c r="D43" i="20"/>
  <c r="C43" i="20"/>
  <c r="B43" i="20"/>
  <c r="J42" i="20"/>
  <c r="I42" i="20"/>
  <c r="F42" i="20"/>
  <c r="D42" i="20"/>
  <c r="C42" i="20"/>
  <c r="B42" i="20"/>
  <c r="I41" i="20"/>
  <c r="F41" i="20"/>
  <c r="D41" i="20"/>
  <c r="C41" i="20"/>
  <c r="B41" i="20"/>
  <c r="J40" i="20"/>
  <c r="I40" i="20"/>
  <c r="F40" i="20"/>
  <c r="D40" i="20"/>
  <c r="C40" i="20"/>
  <c r="B40" i="20"/>
  <c r="J39" i="20"/>
  <c r="I39" i="20"/>
  <c r="J41" i="20" s="1"/>
  <c r="F39" i="20"/>
  <c r="D39" i="20"/>
  <c r="C39" i="20"/>
  <c r="B39" i="20"/>
  <c r="J38" i="20"/>
  <c r="I38" i="20"/>
  <c r="F38" i="20"/>
  <c r="D38" i="20"/>
  <c r="C38" i="20"/>
  <c r="B38" i="20"/>
  <c r="I37" i="20"/>
  <c r="F37" i="20"/>
  <c r="D37" i="20"/>
  <c r="C37" i="20"/>
  <c r="B37" i="20"/>
  <c r="J36" i="20"/>
  <c r="I36" i="20"/>
  <c r="F36" i="20"/>
  <c r="D36" i="20"/>
  <c r="C36" i="20"/>
  <c r="B36" i="20"/>
  <c r="J35" i="20"/>
  <c r="I35" i="20"/>
  <c r="J37" i="20" s="1"/>
  <c r="F35" i="20"/>
  <c r="D35" i="20"/>
  <c r="C35" i="20"/>
  <c r="B35" i="20"/>
  <c r="J34" i="20"/>
  <c r="I34" i="20"/>
  <c r="F34" i="20"/>
  <c r="D34" i="20"/>
  <c r="C34" i="20"/>
  <c r="B34" i="20"/>
  <c r="I33" i="20"/>
  <c r="F33" i="20"/>
  <c r="D33" i="20"/>
  <c r="C33" i="20"/>
  <c r="B33" i="20"/>
  <c r="J32" i="20"/>
  <c r="I32" i="20"/>
  <c r="F32" i="20"/>
  <c r="D32" i="20"/>
  <c r="C32" i="20"/>
  <c r="B32" i="20"/>
  <c r="J31" i="20"/>
  <c r="I31" i="20"/>
  <c r="J33" i="20" s="1"/>
  <c r="F31" i="20"/>
  <c r="D31" i="20"/>
  <c r="C31" i="20"/>
  <c r="B31" i="20"/>
  <c r="J30" i="20"/>
  <c r="I30" i="20"/>
  <c r="F30" i="20"/>
  <c r="D30" i="20"/>
  <c r="C30" i="20"/>
  <c r="B30" i="20"/>
  <c r="I29" i="20"/>
  <c r="F29" i="20"/>
  <c r="D29" i="20"/>
  <c r="C29" i="20"/>
  <c r="B29" i="20"/>
  <c r="J28" i="20"/>
  <c r="I28" i="20"/>
  <c r="F28" i="20"/>
  <c r="D28" i="20"/>
  <c r="C28" i="20"/>
  <c r="B28" i="20"/>
  <c r="J27" i="20"/>
  <c r="I27" i="20"/>
  <c r="J29" i="20" s="1"/>
  <c r="F27" i="20"/>
  <c r="D27" i="20"/>
  <c r="C27" i="20"/>
  <c r="B27" i="20"/>
  <c r="J26" i="20"/>
  <c r="I26" i="20"/>
  <c r="F26" i="20"/>
  <c r="D26" i="20"/>
  <c r="C26" i="20"/>
  <c r="B26" i="20"/>
  <c r="I25" i="20"/>
  <c r="F25" i="20"/>
  <c r="D25" i="20"/>
  <c r="C25" i="20"/>
  <c r="B25" i="20"/>
  <c r="J24" i="20"/>
  <c r="I24" i="20"/>
  <c r="F24" i="20"/>
  <c r="D24" i="20"/>
  <c r="C24" i="20"/>
  <c r="B24" i="20"/>
  <c r="J23" i="20"/>
  <c r="I23" i="20"/>
  <c r="J25" i="20" s="1"/>
  <c r="F23" i="20"/>
  <c r="D23" i="20"/>
  <c r="C23" i="20"/>
  <c r="B23" i="20"/>
  <c r="J22" i="20"/>
  <c r="I22" i="20"/>
  <c r="F22" i="20"/>
  <c r="D22" i="20"/>
  <c r="C22" i="20"/>
  <c r="B22" i="20"/>
  <c r="I21" i="20"/>
  <c r="F21" i="20"/>
  <c r="D21" i="20"/>
  <c r="C21" i="20"/>
  <c r="B21" i="20"/>
  <c r="J20" i="20"/>
  <c r="I20" i="20"/>
  <c r="F20" i="20"/>
  <c r="D20" i="20"/>
  <c r="C20" i="20"/>
  <c r="B20" i="20"/>
  <c r="J19" i="20"/>
  <c r="I19" i="20"/>
  <c r="J21" i="20" s="1"/>
  <c r="F19" i="20"/>
  <c r="D19" i="20"/>
  <c r="C19" i="20"/>
  <c r="B19" i="20"/>
  <c r="J18" i="20"/>
  <c r="I18" i="20"/>
  <c r="F18" i="20"/>
  <c r="D18" i="20"/>
  <c r="C18" i="20"/>
  <c r="B18" i="20"/>
  <c r="I17" i="20"/>
  <c r="F17" i="20"/>
  <c r="D17" i="20"/>
  <c r="C17" i="20"/>
  <c r="B17" i="20"/>
  <c r="J16" i="20"/>
  <c r="I16" i="20"/>
  <c r="F16" i="20"/>
  <c r="D16" i="20"/>
  <c r="C16" i="20"/>
  <c r="B16" i="20"/>
  <c r="J15" i="20"/>
  <c r="I15" i="20"/>
  <c r="J17" i="20" s="1"/>
  <c r="F15" i="20"/>
  <c r="D15" i="20"/>
  <c r="C15" i="20"/>
  <c r="B15" i="20"/>
  <c r="J14" i="20"/>
  <c r="I14" i="20"/>
  <c r="F14" i="20"/>
  <c r="D14" i="20"/>
  <c r="C14" i="20"/>
  <c r="B14" i="20"/>
  <c r="I13" i="20"/>
  <c r="F13" i="20"/>
  <c r="D13" i="20"/>
  <c r="C13" i="20"/>
  <c r="B13" i="20"/>
  <c r="J12" i="20"/>
  <c r="I12" i="20"/>
  <c r="F12" i="20"/>
  <c r="D12" i="20"/>
  <c r="J11" i="20"/>
  <c r="I11" i="20"/>
  <c r="J13" i="20" s="1"/>
  <c r="F11" i="20"/>
  <c r="D11" i="20"/>
  <c r="G4" i="20"/>
  <c r="K215" i="19"/>
  <c r="I215" i="19"/>
  <c r="D215" i="19"/>
  <c r="C215" i="19"/>
  <c r="A215" i="19"/>
  <c r="K214" i="19"/>
  <c r="I214" i="19"/>
  <c r="D214" i="19"/>
  <c r="C214" i="19"/>
  <c r="A214" i="19"/>
  <c r="K213" i="19"/>
  <c r="I213" i="19"/>
  <c r="J215" i="19" s="1"/>
  <c r="D213" i="19"/>
  <c r="C213" i="19"/>
  <c r="A213" i="19"/>
  <c r="K212" i="19"/>
  <c r="I212" i="19"/>
  <c r="J214" i="19" s="1"/>
  <c r="D212" i="19"/>
  <c r="C212" i="19"/>
  <c r="A212" i="19"/>
  <c r="K211" i="19"/>
  <c r="I211" i="19"/>
  <c r="J213" i="19" s="1"/>
  <c r="D211" i="19"/>
  <c r="C211" i="19"/>
  <c r="A211" i="19"/>
  <c r="K210" i="19"/>
  <c r="I210" i="19"/>
  <c r="J212" i="19" s="1"/>
  <c r="D210" i="19"/>
  <c r="C210" i="19"/>
  <c r="A210" i="19"/>
  <c r="K209" i="19"/>
  <c r="I209" i="19"/>
  <c r="J211" i="19" s="1"/>
  <c r="D209" i="19"/>
  <c r="C209" i="19"/>
  <c r="A209" i="19"/>
  <c r="K208" i="19"/>
  <c r="I208" i="19"/>
  <c r="J210" i="19" s="1"/>
  <c r="D208" i="19"/>
  <c r="C208" i="19"/>
  <c r="A208" i="19"/>
  <c r="K207" i="19"/>
  <c r="I207" i="19"/>
  <c r="J209" i="19" s="1"/>
  <c r="D207" i="19"/>
  <c r="C207" i="19"/>
  <c r="A207" i="19"/>
  <c r="K206" i="19"/>
  <c r="I206" i="19"/>
  <c r="J208" i="19" s="1"/>
  <c r="D206" i="19"/>
  <c r="C206" i="19"/>
  <c r="A206" i="19"/>
  <c r="K205" i="19"/>
  <c r="I205" i="19"/>
  <c r="J207" i="19" s="1"/>
  <c r="D205" i="19"/>
  <c r="C205" i="19"/>
  <c r="A205" i="19"/>
  <c r="K204" i="19"/>
  <c r="I204" i="19"/>
  <c r="J206" i="19" s="1"/>
  <c r="D204" i="19"/>
  <c r="C204" i="19"/>
  <c r="A204" i="19"/>
  <c r="K203" i="19"/>
  <c r="I203" i="19"/>
  <c r="J205" i="19" s="1"/>
  <c r="D203" i="19"/>
  <c r="C203" i="19"/>
  <c r="A203" i="19"/>
  <c r="K202" i="19"/>
  <c r="I202" i="19"/>
  <c r="J204" i="19" s="1"/>
  <c r="D202" i="19"/>
  <c r="C202" i="19"/>
  <c r="A202" i="19"/>
  <c r="K201" i="19"/>
  <c r="I201" i="19"/>
  <c r="J203" i="19" s="1"/>
  <c r="D201" i="19"/>
  <c r="C201" i="19"/>
  <c r="A201" i="19"/>
  <c r="K200" i="19"/>
  <c r="I200" i="19"/>
  <c r="J202" i="19" s="1"/>
  <c r="D200" i="19"/>
  <c r="C200" i="19"/>
  <c r="A200" i="19"/>
  <c r="K199" i="19"/>
  <c r="I199" i="19"/>
  <c r="J201" i="19" s="1"/>
  <c r="D199" i="19"/>
  <c r="C199" i="19"/>
  <c r="A199" i="19"/>
  <c r="K198" i="19"/>
  <c r="I198" i="19"/>
  <c r="J200" i="19" s="1"/>
  <c r="D198" i="19"/>
  <c r="C198" i="19"/>
  <c r="A198" i="19"/>
  <c r="K197" i="19"/>
  <c r="I197" i="19"/>
  <c r="J199" i="19" s="1"/>
  <c r="D197" i="19"/>
  <c r="C197" i="19"/>
  <c r="A197" i="19"/>
  <c r="K196" i="19"/>
  <c r="I196" i="19"/>
  <c r="J198" i="19" s="1"/>
  <c r="D196" i="19"/>
  <c r="C196" i="19"/>
  <c r="A196" i="19"/>
  <c r="K195" i="19"/>
  <c r="I195" i="19"/>
  <c r="J197" i="19" s="1"/>
  <c r="D195" i="19"/>
  <c r="C195" i="19"/>
  <c r="A195" i="19"/>
  <c r="K194" i="19"/>
  <c r="I194" i="19"/>
  <c r="J196" i="19" s="1"/>
  <c r="D194" i="19"/>
  <c r="C194" i="19"/>
  <c r="A194" i="19"/>
  <c r="K193" i="19"/>
  <c r="I193" i="19"/>
  <c r="J195" i="19" s="1"/>
  <c r="D193" i="19"/>
  <c r="C193" i="19"/>
  <c r="A193" i="19"/>
  <c r="K192" i="19"/>
  <c r="I192" i="19"/>
  <c r="J194" i="19" s="1"/>
  <c r="D192" i="19"/>
  <c r="C192" i="19"/>
  <c r="A192" i="19"/>
  <c r="K191" i="19"/>
  <c r="I191" i="19"/>
  <c r="J193" i="19" s="1"/>
  <c r="D191" i="19"/>
  <c r="C191" i="19"/>
  <c r="A191" i="19"/>
  <c r="K190" i="19"/>
  <c r="I190" i="19"/>
  <c r="J192" i="19" s="1"/>
  <c r="D190" i="19"/>
  <c r="C190" i="19"/>
  <c r="A190" i="19"/>
  <c r="K189" i="19"/>
  <c r="I189" i="19"/>
  <c r="J191" i="19" s="1"/>
  <c r="D189" i="19"/>
  <c r="C189" i="19"/>
  <c r="A189" i="19"/>
  <c r="K188" i="19"/>
  <c r="I188" i="19"/>
  <c r="J190" i="19" s="1"/>
  <c r="D188" i="19"/>
  <c r="C188" i="19"/>
  <c r="A188" i="19"/>
  <c r="K187" i="19"/>
  <c r="I187" i="19"/>
  <c r="J189" i="19" s="1"/>
  <c r="D187" i="19"/>
  <c r="C187" i="19"/>
  <c r="A187" i="19"/>
  <c r="K186" i="19"/>
  <c r="I186" i="19"/>
  <c r="J188" i="19" s="1"/>
  <c r="D186" i="19"/>
  <c r="C186" i="19"/>
  <c r="A186" i="19"/>
  <c r="K185" i="19"/>
  <c r="I185" i="19"/>
  <c r="J187" i="19" s="1"/>
  <c r="D185" i="19"/>
  <c r="C185" i="19"/>
  <c r="A185" i="19"/>
  <c r="K184" i="19"/>
  <c r="I184" i="19"/>
  <c r="J186" i="19" s="1"/>
  <c r="D184" i="19"/>
  <c r="C184" i="19"/>
  <c r="A184" i="19"/>
  <c r="K183" i="19"/>
  <c r="I183" i="19"/>
  <c r="J185" i="19" s="1"/>
  <c r="D183" i="19"/>
  <c r="C183" i="19"/>
  <c r="A183" i="19"/>
  <c r="K182" i="19"/>
  <c r="I182" i="19"/>
  <c r="J184" i="19" s="1"/>
  <c r="D182" i="19"/>
  <c r="C182" i="19"/>
  <c r="A182" i="19"/>
  <c r="K181" i="19"/>
  <c r="I181" i="19"/>
  <c r="J183" i="19" s="1"/>
  <c r="D181" i="19"/>
  <c r="C181" i="19"/>
  <c r="A181" i="19"/>
  <c r="K180" i="19"/>
  <c r="I180" i="19"/>
  <c r="J182" i="19" s="1"/>
  <c r="D180" i="19"/>
  <c r="C180" i="19"/>
  <c r="A180" i="19"/>
  <c r="K179" i="19"/>
  <c r="I179" i="19"/>
  <c r="J181" i="19" s="1"/>
  <c r="D179" i="19"/>
  <c r="C179" i="19"/>
  <c r="A179" i="19"/>
  <c r="K178" i="19"/>
  <c r="I178" i="19"/>
  <c r="J180" i="19" s="1"/>
  <c r="D178" i="19"/>
  <c r="C178" i="19"/>
  <c r="A178" i="19"/>
  <c r="K177" i="19"/>
  <c r="I177" i="19"/>
  <c r="J179" i="19" s="1"/>
  <c r="D177" i="19"/>
  <c r="C177" i="19"/>
  <c r="A177" i="19"/>
  <c r="K176" i="19"/>
  <c r="I176" i="19"/>
  <c r="J178" i="19" s="1"/>
  <c r="D176" i="19"/>
  <c r="C176" i="19"/>
  <c r="A176" i="19"/>
  <c r="K175" i="19"/>
  <c r="I175" i="19"/>
  <c r="J177" i="19" s="1"/>
  <c r="D175" i="19"/>
  <c r="C175" i="19"/>
  <c r="A175" i="19"/>
  <c r="K174" i="19"/>
  <c r="I174" i="19"/>
  <c r="J176" i="19" s="1"/>
  <c r="D174" i="19"/>
  <c r="C174" i="19"/>
  <c r="A174" i="19"/>
  <c r="K173" i="19"/>
  <c r="I173" i="19"/>
  <c r="J175" i="19" s="1"/>
  <c r="D173" i="19"/>
  <c r="C173" i="19"/>
  <c r="A173" i="19"/>
  <c r="K172" i="19"/>
  <c r="I172" i="19"/>
  <c r="J174" i="19" s="1"/>
  <c r="D172" i="19"/>
  <c r="C172" i="19"/>
  <c r="A172" i="19"/>
  <c r="K171" i="19"/>
  <c r="I171" i="19"/>
  <c r="J173" i="19" s="1"/>
  <c r="D171" i="19"/>
  <c r="C171" i="19"/>
  <c r="A171" i="19"/>
  <c r="K170" i="19"/>
  <c r="I170" i="19"/>
  <c r="J172" i="19" s="1"/>
  <c r="D170" i="19"/>
  <c r="C170" i="19"/>
  <c r="A170" i="19"/>
  <c r="K169" i="19"/>
  <c r="I169" i="19"/>
  <c r="J171" i="19" s="1"/>
  <c r="D169" i="19"/>
  <c r="C169" i="19"/>
  <c r="A169" i="19"/>
  <c r="K168" i="19"/>
  <c r="I168" i="19"/>
  <c r="J170" i="19" s="1"/>
  <c r="D168" i="19"/>
  <c r="C168" i="19"/>
  <c r="A168" i="19"/>
  <c r="K167" i="19"/>
  <c r="I167" i="19"/>
  <c r="J169" i="19" s="1"/>
  <c r="D167" i="19"/>
  <c r="C167" i="19"/>
  <c r="A167" i="19"/>
  <c r="K166" i="19"/>
  <c r="I166" i="19"/>
  <c r="J168" i="19" s="1"/>
  <c r="D166" i="19"/>
  <c r="C166" i="19"/>
  <c r="A166" i="19"/>
  <c r="K165" i="19"/>
  <c r="I165" i="19"/>
  <c r="J167" i="19" s="1"/>
  <c r="D165" i="19"/>
  <c r="C165" i="19"/>
  <c r="A165" i="19"/>
  <c r="K164" i="19"/>
  <c r="I164" i="19"/>
  <c r="J166" i="19" s="1"/>
  <c r="D164" i="19"/>
  <c r="C164" i="19"/>
  <c r="A164" i="19"/>
  <c r="K163" i="19"/>
  <c r="I163" i="19"/>
  <c r="J165" i="19" s="1"/>
  <c r="D163" i="19"/>
  <c r="C163" i="19"/>
  <c r="A163" i="19"/>
  <c r="K162" i="19"/>
  <c r="I162" i="19"/>
  <c r="J164" i="19" s="1"/>
  <c r="D162" i="19"/>
  <c r="C162" i="19"/>
  <c r="A162" i="19"/>
  <c r="K161" i="19"/>
  <c r="I161" i="19"/>
  <c r="J163" i="19" s="1"/>
  <c r="D161" i="19"/>
  <c r="C161" i="19"/>
  <c r="A161" i="19"/>
  <c r="K160" i="19"/>
  <c r="I160" i="19"/>
  <c r="J162" i="19" s="1"/>
  <c r="D160" i="19"/>
  <c r="C160" i="19"/>
  <c r="A160" i="19"/>
  <c r="K159" i="19"/>
  <c r="I159" i="19"/>
  <c r="J161" i="19" s="1"/>
  <c r="D159" i="19"/>
  <c r="C159" i="19"/>
  <c r="A159" i="19"/>
  <c r="K158" i="19"/>
  <c r="I158" i="19"/>
  <c r="J160" i="19" s="1"/>
  <c r="D158" i="19"/>
  <c r="C158" i="19"/>
  <c r="A158" i="19"/>
  <c r="K157" i="19"/>
  <c r="I157" i="19"/>
  <c r="J159" i="19" s="1"/>
  <c r="D157" i="19"/>
  <c r="C157" i="19"/>
  <c r="A157" i="19"/>
  <c r="K156" i="19"/>
  <c r="I156" i="19"/>
  <c r="J158" i="19" s="1"/>
  <c r="D156" i="19"/>
  <c r="C156" i="19"/>
  <c r="A156" i="19"/>
  <c r="K155" i="19"/>
  <c r="I155" i="19"/>
  <c r="J157" i="19" s="1"/>
  <c r="D155" i="19"/>
  <c r="C155" i="19"/>
  <c r="A155" i="19"/>
  <c r="K154" i="19"/>
  <c r="J154" i="19"/>
  <c r="I154" i="19"/>
  <c r="J156" i="19" s="1"/>
  <c r="D154" i="19"/>
  <c r="C154" i="19"/>
  <c r="A154" i="19"/>
  <c r="K153" i="19"/>
  <c r="I153" i="19"/>
  <c r="J155" i="19" s="1"/>
  <c r="D153" i="19"/>
  <c r="C153" i="19"/>
  <c r="A153" i="19"/>
  <c r="K152" i="19"/>
  <c r="I152" i="19"/>
  <c r="D152" i="19"/>
  <c r="C152" i="19"/>
  <c r="A152" i="19"/>
  <c r="K151" i="19"/>
  <c r="I151" i="19"/>
  <c r="J153" i="19" s="1"/>
  <c r="D151" i="19"/>
  <c r="C151" i="19"/>
  <c r="A151" i="19"/>
  <c r="K150" i="19"/>
  <c r="I150" i="19"/>
  <c r="J152" i="19" s="1"/>
  <c r="D150" i="19"/>
  <c r="C150" i="19"/>
  <c r="A150" i="19"/>
  <c r="K149" i="19"/>
  <c r="I149" i="19"/>
  <c r="J151" i="19" s="1"/>
  <c r="D149" i="19"/>
  <c r="C149" i="19"/>
  <c r="A149" i="19"/>
  <c r="K148" i="19"/>
  <c r="I148" i="19"/>
  <c r="J150" i="19" s="1"/>
  <c r="D148" i="19"/>
  <c r="C148" i="19"/>
  <c r="A148" i="19"/>
  <c r="K147" i="19"/>
  <c r="I147" i="19"/>
  <c r="J149" i="19" s="1"/>
  <c r="D147" i="19"/>
  <c r="C147" i="19"/>
  <c r="A147" i="19"/>
  <c r="K146" i="19"/>
  <c r="J146" i="19"/>
  <c r="I146" i="19"/>
  <c r="J148" i="19" s="1"/>
  <c r="D146" i="19"/>
  <c r="C146" i="19"/>
  <c r="A146" i="19"/>
  <c r="K145" i="19"/>
  <c r="I145" i="19"/>
  <c r="J147" i="19" s="1"/>
  <c r="D145" i="19"/>
  <c r="C145" i="19"/>
  <c r="A145" i="19"/>
  <c r="K144" i="19"/>
  <c r="I144" i="19"/>
  <c r="D144" i="19"/>
  <c r="C144" i="19"/>
  <c r="A144" i="19"/>
  <c r="K143" i="19"/>
  <c r="I143" i="19"/>
  <c r="J145" i="19" s="1"/>
  <c r="D143" i="19"/>
  <c r="C143" i="19"/>
  <c r="A143" i="19"/>
  <c r="K142" i="19"/>
  <c r="J142" i="19"/>
  <c r="I142" i="19"/>
  <c r="J144" i="19" s="1"/>
  <c r="D142" i="19"/>
  <c r="C142" i="19"/>
  <c r="A142" i="19"/>
  <c r="K141" i="19"/>
  <c r="I141" i="19"/>
  <c r="J143" i="19" s="1"/>
  <c r="D141" i="19"/>
  <c r="C141" i="19"/>
  <c r="A141" i="19"/>
  <c r="K140" i="19"/>
  <c r="I140" i="19"/>
  <c r="D140" i="19"/>
  <c r="C140" i="19"/>
  <c r="A140" i="19"/>
  <c r="K139" i="19"/>
  <c r="I139" i="19"/>
  <c r="J141" i="19" s="1"/>
  <c r="D139" i="19"/>
  <c r="C139" i="19"/>
  <c r="A139" i="19"/>
  <c r="K138" i="19"/>
  <c r="I138" i="19"/>
  <c r="J140" i="19" s="1"/>
  <c r="D138" i="19"/>
  <c r="C138" i="19"/>
  <c r="A138" i="19"/>
  <c r="K137" i="19"/>
  <c r="I137" i="19"/>
  <c r="J139" i="19" s="1"/>
  <c r="D137" i="19"/>
  <c r="C137" i="19"/>
  <c r="A137" i="19"/>
  <c r="K136" i="19"/>
  <c r="I136" i="19"/>
  <c r="J138" i="19" s="1"/>
  <c r="D136" i="19"/>
  <c r="C136" i="19"/>
  <c r="A136" i="19"/>
  <c r="K135" i="19"/>
  <c r="I135" i="19"/>
  <c r="J137" i="19" s="1"/>
  <c r="D135" i="19"/>
  <c r="C135" i="19"/>
  <c r="A135" i="19"/>
  <c r="K134" i="19"/>
  <c r="I134" i="19"/>
  <c r="J136" i="19" s="1"/>
  <c r="D134" i="19"/>
  <c r="C134" i="19"/>
  <c r="A134" i="19"/>
  <c r="K133" i="19"/>
  <c r="I133" i="19"/>
  <c r="J135" i="19" s="1"/>
  <c r="D133" i="19"/>
  <c r="C133" i="19"/>
  <c r="A133" i="19"/>
  <c r="K132" i="19"/>
  <c r="I132" i="19"/>
  <c r="J134" i="19" s="1"/>
  <c r="D132" i="19"/>
  <c r="C132" i="19"/>
  <c r="A132" i="19"/>
  <c r="K131" i="19"/>
  <c r="I131" i="19"/>
  <c r="J133" i="19" s="1"/>
  <c r="D131" i="19"/>
  <c r="C131" i="19"/>
  <c r="A131" i="19"/>
  <c r="K130" i="19"/>
  <c r="J130" i="19"/>
  <c r="I130" i="19"/>
  <c r="J132" i="19" s="1"/>
  <c r="D130" i="19"/>
  <c r="C130" i="19"/>
  <c r="A130" i="19"/>
  <c r="K129" i="19"/>
  <c r="I129" i="19"/>
  <c r="J131" i="19" s="1"/>
  <c r="D129" i="19"/>
  <c r="C129" i="19"/>
  <c r="A129" i="19"/>
  <c r="K128" i="19"/>
  <c r="I128" i="19"/>
  <c r="D128" i="19"/>
  <c r="C128" i="19"/>
  <c r="A128" i="19"/>
  <c r="K127" i="19"/>
  <c r="I127" i="19"/>
  <c r="J129" i="19" s="1"/>
  <c r="D127" i="19"/>
  <c r="C127" i="19"/>
  <c r="A127" i="19"/>
  <c r="K126" i="19"/>
  <c r="J126" i="19"/>
  <c r="I126" i="19"/>
  <c r="J128" i="19" s="1"/>
  <c r="D126" i="19"/>
  <c r="C126" i="19"/>
  <c r="A126" i="19"/>
  <c r="K125" i="19"/>
  <c r="I125" i="19"/>
  <c r="J127" i="19" s="1"/>
  <c r="D125" i="19"/>
  <c r="C125" i="19"/>
  <c r="A125" i="19"/>
  <c r="K124" i="19"/>
  <c r="I124" i="19"/>
  <c r="D124" i="19"/>
  <c r="C124" i="19"/>
  <c r="A124" i="19"/>
  <c r="K123" i="19"/>
  <c r="I123" i="19"/>
  <c r="J125" i="19" s="1"/>
  <c r="D123" i="19"/>
  <c r="C123" i="19"/>
  <c r="A123" i="19"/>
  <c r="K122" i="19"/>
  <c r="I122" i="19"/>
  <c r="J124" i="19" s="1"/>
  <c r="D122" i="19"/>
  <c r="C122" i="19"/>
  <c r="A122" i="19"/>
  <c r="K121" i="19"/>
  <c r="I121" i="19"/>
  <c r="J123" i="19" s="1"/>
  <c r="D121" i="19"/>
  <c r="C121" i="19"/>
  <c r="A121" i="19"/>
  <c r="K120" i="19"/>
  <c r="I120" i="19"/>
  <c r="J122" i="19" s="1"/>
  <c r="D120" i="19"/>
  <c r="C120" i="19"/>
  <c r="A120" i="19"/>
  <c r="K119" i="19"/>
  <c r="I119" i="19"/>
  <c r="J121" i="19" s="1"/>
  <c r="D119" i="19"/>
  <c r="C119" i="19"/>
  <c r="A119" i="19"/>
  <c r="K118" i="19"/>
  <c r="I118" i="19"/>
  <c r="J120" i="19" s="1"/>
  <c r="D118" i="19"/>
  <c r="C118" i="19"/>
  <c r="A118" i="19"/>
  <c r="K117" i="19"/>
  <c r="I117" i="19"/>
  <c r="J119" i="19" s="1"/>
  <c r="D117" i="19"/>
  <c r="C117" i="19"/>
  <c r="A117" i="19"/>
  <c r="K116" i="19"/>
  <c r="I116" i="19"/>
  <c r="J118" i="19" s="1"/>
  <c r="D116" i="19"/>
  <c r="C116" i="19"/>
  <c r="A116" i="19"/>
  <c r="K115" i="19"/>
  <c r="I115" i="19"/>
  <c r="J117" i="19" s="1"/>
  <c r="D115" i="19"/>
  <c r="C115" i="19"/>
  <c r="A115" i="19"/>
  <c r="K114" i="19"/>
  <c r="J114" i="19"/>
  <c r="I114" i="19"/>
  <c r="J116" i="19" s="1"/>
  <c r="D114" i="19"/>
  <c r="C114" i="19"/>
  <c r="A114" i="19"/>
  <c r="K113" i="19"/>
  <c r="I113" i="19"/>
  <c r="J115" i="19" s="1"/>
  <c r="D113" i="19"/>
  <c r="C113" i="19"/>
  <c r="A113" i="19"/>
  <c r="K112" i="19"/>
  <c r="I112" i="19"/>
  <c r="D112" i="19"/>
  <c r="C112" i="19"/>
  <c r="A112" i="19"/>
  <c r="K111" i="19"/>
  <c r="I111" i="19"/>
  <c r="J113" i="19" s="1"/>
  <c r="D111" i="19"/>
  <c r="C111" i="19"/>
  <c r="A111" i="19"/>
  <c r="K110" i="19"/>
  <c r="J110" i="19"/>
  <c r="I110" i="19"/>
  <c r="J112" i="19" s="1"/>
  <c r="D110" i="19"/>
  <c r="C110" i="19"/>
  <c r="A110" i="19"/>
  <c r="K109" i="19"/>
  <c r="I109" i="19"/>
  <c r="J111" i="19" s="1"/>
  <c r="D109" i="19"/>
  <c r="C109" i="19"/>
  <c r="A109" i="19"/>
  <c r="K108" i="19"/>
  <c r="I108" i="19"/>
  <c r="D108" i="19"/>
  <c r="C108" i="19"/>
  <c r="A108" i="19"/>
  <c r="K107" i="19"/>
  <c r="I107" i="19"/>
  <c r="J109" i="19" s="1"/>
  <c r="D107" i="19"/>
  <c r="C107" i="19"/>
  <c r="A107" i="19"/>
  <c r="K106" i="19"/>
  <c r="I106" i="19"/>
  <c r="J108" i="19" s="1"/>
  <c r="D106" i="19"/>
  <c r="C106" i="19"/>
  <c r="A106" i="19"/>
  <c r="K105" i="19"/>
  <c r="I105" i="19"/>
  <c r="J107" i="19" s="1"/>
  <c r="D105" i="19"/>
  <c r="C105" i="19"/>
  <c r="A105" i="19"/>
  <c r="K104" i="19"/>
  <c r="I104" i="19"/>
  <c r="J106" i="19" s="1"/>
  <c r="D104" i="19"/>
  <c r="C104" i="19"/>
  <c r="A104" i="19"/>
  <c r="K103" i="19"/>
  <c r="I103" i="19"/>
  <c r="J105" i="19" s="1"/>
  <c r="D103" i="19"/>
  <c r="C103" i="19"/>
  <c r="A103" i="19"/>
  <c r="K102" i="19"/>
  <c r="I102" i="19"/>
  <c r="J104" i="19" s="1"/>
  <c r="D102" i="19"/>
  <c r="C102" i="19"/>
  <c r="A102" i="19"/>
  <c r="K101" i="19"/>
  <c r="I101" i="19"/>
  <c r="J103" i="19" s="1"/>
  <c r="D101" i="19"/>
  <c r="C101" i="19"/>
  <c r="A101" i="19"/>
  <c r="K100" i="19"/>
  <c r="I100" i="19"/>
  <c r="J102" i="19" s="1"/>
  <c r="D100" i="19"/>
  <c r="C100" i="19"/>
  <c r="A100" i="19"/>
  <c r="K99" i="19"/>
  <c r="I99" i="19"/>
  <c r="J101" i="19" s="1"/>
  <c r="D99" i="19"/>
  <c r="C99" i="19"/>
  <c r="A99" i="19"/>
  <c r="K98" i="19"/>
  <c r="J98" i="19"/>
  <c r="I98" i="19"/>
  <c r="J100" i="19" s="1"/>
  <c r="D98" i="19"/>
  <c r="C98" i="19"/>
  <c r="A98" i="19"/>
  <c r="K97" i="19"/>
  <c r="I97" i="19"/>
  <c r="J99" i="19" s="1"/>
  <c r="D97" i="19"/>
  <c r="C97" i="19"/>
  <c r="A97" i="19"/>
  <c r="K96" i="19"/>
  <c r="I96" i="19"/>
  <c r="D96" i="19"/>
  <c r="C96" i="19"/>
  <c r="A96" i="19"/>
  <c r="K95" i="19"/>
  <c r="I95" i="19"/>
  <c r="J97" i="19" s="1"/>
  <c r="D95" i="19"/>
  <c r="C95" i="19"/>
  <c r="A95" i="19"/>
  <c r="K94" i="19"/>
  <c r="J94" i="19"/>
  <c r="I94" i="19"/>
  <c r="J96" i="19" s="1"/>
  <c r="D94" i="19"/>
  <c r="C94" i="19"/>
  <c r="A94" i="19"/>
  <c r="K93" i="19"/>
  <c r="I93" i="19"/>
  <c r="J95" i="19" s="1"/>
  <c r="D93" i="19"/>
  <c r="C93" i="19"/>
  <c r="A93" i="19"/>
  <c r="K92" i="19"/>
  <c r="I92" i="19"/>
  <c r="D92" i="19"/>
  <c r="C92" i="19"/>
  <c r="A92" i="19"/>
  <c r="K91" i="19"/>
  <c r="I91" i="19"/>
  <c r="J93" i="19" s="1"/>
  <c r="D91" i="19"/>
  <c r="C91" i="19"/>
  <c r="A91" i="19"/>
  <c r="K90" i="19"/>
  <c r="I90" i="19"/>
  <c r="J92" i="19" s="1"/>
  <c r="D90" i="19"/>
  <c r="C90" i="19"/>
  <c r="A90" i="19"/>
  <c r="K89" i="19"/>
  <c r="I89" i="19"/>
  <c r="J91" i="19" s="1"/>
  <c r="D89" i="19"/>
  <c r="C89" i="19"/>
  <c r="A89" i="19"/>
  <c r="K88" i="19"/>
  <c r="I88" i="19"/>
  <c r="J90" i="19" s="1"/>
  <c r="D88" i="19"/>
  <c r="C88" i="19"/>
  <c r="A88" i="19"/>
  <c r="K87" i="19"/>
  <c r="I87" i="19"/>
  <c r="J89" i="19" s="1"/>
  <c r="D87" i="19"/>
  <c r="C87" i="19"/>
  <c r="A87" i="19"/>
  <c r="K86" i="19"/>
  <c r="I86" i="19"/>
  <c r="J88" i="19" s="1"/>
  <c r="D86" i="19"/>
  <c r="C86" i="19"/>
  <c r="A86" i="19"/>
  <c r="K85" i="19"/>
  <c r="I85" i="19"/>
  <c r="J87" i="19" s="1"/>
  <c r="D85" i="19"/>
  <c r="C85" i="19"/>
  <c r="A85" i="19"/>
  <c r="K84" i="19"/>
  <c r="I84" i="19"/>
  <c r="J86" i="19" s="1"/>
  <c r="D84" i="19"/>
  <c r="C84" i="19"/>
  <c r="A84" i="19"/>
  <c r="K83" i="19"/>
  <c r="I83" i="19"/>
  <c r="J85" i="19" s="1"/>
  <c r="D83" i="19"/>
  <c r="C83" i="19"/>
  <c r="A83" i="19"/>
  <c r="K82" i="19"/>
  <c r="J82" i="19"/>
  <c r="I82" i="19"/>
  <c r="J84" i="19" s="1"/>
  <c r="D82" i="19"/>
  <c r="C82" i="19"/>
  <c r="A82" i="19"/>
  <c r="K81" i="19"/>
  <c r="I81" i="19"/>
  <c r="J83" i="19" s="1"/>
  <c r="D81" i="19"/>
  <c r="C81" i="19"/>
  <c r="A81" i="19"/>
  <c r="K80" i="19"/>
  <c r="I80" i="19"/>
  <c r="D80" i="19"/>
  <c r="C80" i="19"/>
  <c r="A80" i="19"/>
  <c r="K79" i="19"/>
  <c r="I79" i="19"/>
  <c r="J81" i="19" s="1"/>
  <c r="D79" i="19"/>
  <c r="C79" i="19"/>
  <c r="A79" i="19"/>
  <c r="K78" i="19"/>
  <c r="J78" i="19"/>
  <c r="I78" i="19"/>
  <c r="J80" i="19" s="1"/>
  <c r="D78" i="19"/>
  <c r="C78" i="19"/>
  <c r="A78" i="19"/>
  <c r="K77" i="19"/>
  <c r="I77" i="19"/>
  <c r="J79" i="19" s="1"/>
  <c r="D77" i="19"/>
  <c r="C77" i="19"/>
  <c r="A77" i="19"/>
  <c r="K76" i="19"/>
  <c r="I76" i="19"/>
  <c r="D76" i="19"/>
  <c r="C76" i="19"/>
  <c r="A76" i="19"/>
  <c r="K75" i="19"/>
  <c r="I75" i="19"/>
  <c r="J77" i="19" s="1"/>
  <c r="D75" i="19"/>
  <c r="C75" i="19"/>
  <c r="A75" i="19"/>
  <c r="K74" i="19"/>
  <c r="I74" i="19"/>
  <c r="J76" i="19" s="1"/>
  <c r="D74" i="19"/>
  <c r="C74" i="19"/>
  <c r="A74" i="19"/>
  <c r="K73" i="19"/>
  <c r="I73" i="19"/>
  <c r="J75" i="19" s="1"/>
  <c r="D73" i="19"/>
  <c r="C73" i="19"/>
  <c r="A73" i="19"/>
  <c r="K72" i="19"/>
  <c r="I72" i="19"/>
  <c r="J74" i="19" s="1"/>
  <c r="D72" i="19"/>
  <c r="C72" i="19"/>
  <c r="A72" i="19"/>
  <c r="K71" i="19"/>
  <c r="I71" i="19"/>
  <c r="J73" i="19" s="1"/>
  <c r="D71" i="19"/>
  <c r="C71" i="19"/>
  <c r="A71" i="19"/>
  <c r="K70" i="19"/>
  <c r="I70" i="19"/>
  <c r="J72" i="19" s="1"/>
  <c r="D70" i="19"/>
  <c r="C70" i="19"/>
  <c r="A70" i="19"/>
  <c r="K69" i="19"/>
  <c r="I69" i="19"/>
  <c r="J71" i="19" s="1"/>
  <c r="D69" i="19"/>
  <c r="C69" i="19"/>
  <c r="A69" i="19"/>
  <c r="K68" i="19"/>
  <c r="I68" i="19"/>
  <c r="J70" i="19" s="1"/>
  <c r="D68" i="19"/>
  <c r="C68" i="19"/>
  <c r="A68" i="19"/>
  <c r="K67" i="19"/>
  <c r="I67" i="19"/>
  <c r="J69" i="19" s="1"/>
  <c r="D67" i="19"/>
  <c r="C67" i="19"/>
  <c r="A67" i="19"/>
  <c r="K66" i="19"/>
  <c r="J66" i="19"/>
  <c r="I66" i="19"/>
  <c r="J68" i="19" s="1"/>
  <c r="D66" i="19"/>
  <c r="C66" i="19"/>
  <c r="A66" i="19"/>
  <c r="K65" i="19"/>
  <c r="I65" i="19"/>
  <c r="J67" i="19" s="1"/>
  <c r="D65" i="19"/>
  <c r="C65" i="19"/>
  <c r="A65" i="19"/>
  <c r="K64" i="19"/>
  <c r="I64" i="19"/>
  <c r="D64" i="19"/>
  <c r="C64" i="19"/>
  <c r="A64" i="19"/>
  <c r="K63" i="19"/>
  <c r="I63" i="19"/>
  <c r="J65" i="19" s="1"/>
  <c r="D63" i="19"/>
  <c r="C63" i="19"/>
  <c r="A63" i="19"/>
  <c r="K62" i="19"/>
  <c r="J62" i="19"/>
  <c r="I62" i="19"/>
  <c r="J64" i="19" s="1"/>
  <c r="D62" i="19"/>
  <c r="C62" i="19"/>
  <c r="A62" i="19"/>
  <c r="K61" i="19"/>
  <c r="I61" i="19"/>
  <c r="J63" i="19" s="1"/>
  <c r="D61" i="19"/>
  <c r="C61" i="19"/>
  <c r="A61" i="19"/>
  <c r="K60" i="19"/>
  <c r="I60" i="19"/>
  <c r="D60" i="19"/>
  <c r="C60" i="19"/>
  <c r="A60" i="19"/>
  <c r="K59" i="19"/>
  <c r="I59" i="19"/>
  <c r="J61" i="19" s="1"/>
  <c r="D59" i="19"/>
  <c r="C59" i="19"/>
  <c r="A59" i="19"/>
  <c r="K58" i="19"/>
  <c r="I58" i="19"/>
  <c r="J60" i="19" s="1"/>
  <c r="D58" i="19"/>
  <c r="C58" i="19"/>
  <c r="A58" i="19"/>
  <c r="K57" i="19"/>
  <c r="I57" i="19"/>
  <c r="J59" i="19" s="1"/>
  <c r="D57" i="19"/>
  <c r="C57" i="19"/>
  <c r="A57" i="19"/>
  <c r="K56" i="19"/>
  <c r="I56" i="19"/>
  <c r="J58" i="19" s="1"/>
  <c r="D56" i="19"/>
  <c r="C56" i="19"/>
  <c r="A56" i="19"/>
  <c r="K55" i="19"/>
  <c r="I55" i="19"/>
  <c r="J57" i="19" s="1"/>
  <c r="D55" i="19"/>
  <c r="C55" i="19"/>
  <c r="A55" i="19"/>
  <c r="K54" i="19"/>
  <c r="I54" i="19"/>
  <c r="J56" i="19" s="1"/>
  <c r="D54" i="19"/>
  <c r="C54" i="19"/>
  <c r="A54" i="19"/>
  <c r="K53" i="19"/>
  <c r="I53" i="19"/>
  <c r="J55" i="19" s="1"/>
  <c r="D53" i="19"/>
  <c r="C53" i="19"/>
  <c r="A53" i="19"/>
  <c r="K52" i="19"/>
  <c r="I52" i="19"/>
  <c r="J54" i="19" s="1"/>
  <c r="D52" i="19"/>
  <c r="C52" i="19"/>
  <c r="A52" i="19"/>
  <c r="K51" i="19"/>
  <c r="I51" i="19"/>
  <c r="J53" i="19" s="1"/>
  <c r="D51" i="19"/>
  <c r="C51" i="19"/>
  <c r="A51" i="19"/>
  <c r="K50" i="19"/>
  <c r="J50" i="19"/>
  <c r="I50" i="19"/>
  <c r="J52" i="19" s="1"/>
  <c r="D50" i="19"/>
  <c r="C50" i="19"/>
  <c r="A50" i="19"/>
  <c r="K49" i="19"/>
  <c r="I49" i="19"/>
  <c r="J51" i="19" s="1"/>
  <c r="D49" i="19"/>
  <c r="C49" i="19"/>
  <c r="A49" i="19"/>
  <c r="K48" i="19"/>
  <c r="I48" i="19"/>
  <c r="D48" i="19"/>
  <c r="C48" i="19"/>
  <c r="A48" i="19"/>
  <c r="K47" i="19"/>
  <c r="I47" i="19"/>
  <c r="J49" i="19" s="1"/>
  <c r="D47" i="19"/>
  <c r="C47" i="19"/>
  <c r="A47" i="19"/>
  <c r="K46" i="19"/>
  <c r="J46" i="19"/>
  <c r="I46" i="19"/>
  <c r="J48" i="19" s="1"/>
  <c r="D46" i="19"/>
  <c r="C46" i="19"/>
  <c r="A46" i="19"/>
  <c r="K45" i="19"/>
  <c r="I45" i="19"/>
  <c r="J47" i="19" s="1"/>
  <c r="D45" i="19"/>
  <c r="C45" i="19"/>
  <c r="A45" i="19"/>
  <c r="K44" i="19"/>
  <c r="I44" i="19"/>
  <c r="D44" i="19"/>
  <c r="C44" i="19"/>
  <c r="A44" i="19"/>
  <c r="K43" i="19"/>
  <c r="I43" i="19"/>
  <c r="J45" i="19" s="1"/>
  <c r="D43" i="19"/>
  <c r="C43" i="19"/>
  <c r="A43" i="19"/>
  <c r="K42" i="19"/>
  <c r="I42" i="19"/>
  <c r="J44" i="19" s="1"/>
  <c r="D42" i="19"/>
  <c r="C42" i="19"/>
  <c r="A42" i="19"/>
  <c r="K41" i="19"/>
  <c r="I41" i="19"/>
  <c r="J43" i="19" s="1"/>
  <c r="D41" i="19"/>
  <c r="C41" i="19"/>
  <c r="A41" i="19"/>
  <c r="K40" i="19"/>
  <c r="I40" i="19"/>
  <c r="J42" i="19" s="1"/>
  <c r="D40" i="19"/>
  <c r="C40" i="19"/>
  <c r="A40" i="19"/>
  <c r="K39" i="19"/>
  <c r="I39" i="19"/>
  <c r="J41" i="19" s="1"/>
  <c r="D39" i="19"/>
  <c r="C39" i="19"/>
  <c r="A39" i="19"/>
  <c r="K38" i="19"/>
  <c r="I38" i="19"/>
  <c r="J40" i="19" s="1"/>
  <c r="D38" i="19"/>
  <c r="C38" i="19"/>
  <c r="A38" i="19"/>
  <c r="K37" i="19"/>
  <c r="I37" i="19"/>
  <c r="J39" i="19" s="1"/>
  <c r="D37" i="19"/>
  <c r="C37" i="19"/>
  <c r="A37" i="19"/>
  <c r="K36" i="19"/>
  <c r="I36" i="19"/>
  <c r="J38" i="19" s="1"/>
  <c r="D36" i="19"/>
  <c r="C36" i="19"/>
  <c r="A36" i="19"/>
  <c r="K35" i="19"/>
  <c r="I35" i="19"/>
  <c r="J37" i="19" s="1"/>
  <c r="D35" i="19"/>
  <c r="C35" i="19"/>
  <c r="A35" i="19"/>
  <c r="K34" i="19"/>
  <c r="J34" i="19"/>
  <c r="I34" i="19"/>
  <c r="J36" i="19" s="1"/>
  <c r="D34" i="19"/>
  <c r="C34" i="19"/>
  <c r="A34" i="19"/>
  <c r="K33" i="19"/>
  <c r="I33" i="19"/>
  <c r="J35" i="19" s="1"/>
  <c r="D33" i="19"/>
  <c r="C33" i="19"/>
  <c r="A33" i="19"/>
  <c r="K32" i="19"/>
  <c r="I32" i="19"/>
  <c r="D32" i="19"/>
  <c r="C32" i="19"/>
  <c r="A32" i="19"/>
  <c r="K31" i="19"/>
  <c r="I31" i="19"/>
  <c r="J33" i="19" s="1"/>
  <c r="D31" i="19"/>
  <c r="C31" i="19"/>
  <c r="A31" i="19"/>
  <c r="K30" i="19"/>
  <c r="J30" i="19"/>
  <c r="I30" i="19"/>
  <c r="J32" i="19" s="1"/>
  <c r="D30" i="19"/>
  <c r="C30" i="19"/>
  <c r="A30" i="19"/>
  <c r="K29" i="19"/>
  <c r="I29" i="19"/>
  <c r="J31" i="19" s="1"/>
  <c r="D29" i="19"/>
  <c r="C29" i="19"/>
  <c r="A29" i="19"/>
  <c r="K28" i="19"/>
  <c r="I28" i="19"/>
  <c r="D28" i="19"/>
  <c r="C28" i="19"/>
  <c r="A28" i="19"/>
  <c r="K27" i="19"/>
  <c r="I27" i="19"/>
  <c r="J29" i="19" s="1"/>
  <c r="D27" i="19"/>
  <c r="C27" i="19"/>
  <c r="A27" i="19"/>
  <c r="K26" i="19"/>
  <c r="I26" i="19"/>
  <c r="J28" i="19" s="1"/>
  <c r="D26" i="19"/>
  <c r="C26" i="19"/>
  <c r="A26" i="19"/>
  <c r="K25" i="19"/>
  <c r="I25" i="19"/>
  <c r="J27" i="19" s="1"/>
  <c r="D25" i="19"/>
  <c r="C25" i="19"/>
  <c r="A25" i="19"/>
  <c r="K24" i="19"/>
  <c r="I24" i="19"/>
  <c r="J26" i="19" s="1"/>
  <c r="D24" i="19"/>
  <c r="C24" i="19"/>
  <c r="A24" i="19"/>
  <c r="K23" i="19"/>
  <c r="I23" i="19"/>
  <c r="J25" i="19" s="1"/>
  <c r="D23" i="19"/>
  <c r="C23" i="19"/>
  <c r="A23" i="19"/>
  <c r="K22" i="19"/>
  <c r="I22" i="19"/>
  <c r="J24" i="19" s="1"/>
  <c r="D22" i="19"/>
  <c r="C22" i="19"/>
  <c r="A22" i="19"/>
  <c r="K21" i="19"/>
  <c r="I21" i="19"/>
  <c r="J23" i="19" s="1"/>
  <c r="D21" i="19"/>
  <c r="C21" i="19"/>
  <c r="A21" i="19"/>
  <c r="K20" i="19"/>
  <c r="I20" i="19"/>
  <c r="J22" i="19" s="1"/>
  <c r="D20" i="19"/>
  <c r="C20" i="19"/>
  <c r="A20" i="19"/>
  <c r="K19" i="19"/>
  <c r="I19" i="19"/>
  <c r="J21" i="19" s="1"/>
  <c r="D19" i="19"/>
  <c r="C19" i="19"/>
  <c r="A19" i="19"/>
  <c r="K18" i="19"/>
  <c r="I18" i="19"/>
  <c r="J20" i="19" s="1"/>
  <c r="D18" i="19"/>
  <c r="C18" i="19"/>
  <c r="A18" i="19"/>
  <c r="K17" i="19"/>
  <c r="J17" i="19"/>
  <c r="I17" i="19"/>
  <c r="J19" i="19" s="1"/>
  <c r="D17" i="19"/>
  <c r="A17" i="19"/>
  <c r="K16" i="19"/>
  <c r="J16" i="19"/>
  <c r="I16" i="19"/>
  <c r="J18" i="19" s="1"/>
  <c r="D16" i="19"/>
  <c r="C16" i="19"/>
  <c r="A16" i="19"/>
  <c r="B11" i="19"/>
  <c r="B10" i="19"/>
  <c r="G4" i="19"/>
  <c r="J210" i="18"/>
  <c r="G210" i="18"/>
  <c r="D210" i="18"/>
  <c r="C210" i="18"/>
  <c r="B210" i="18"/>
  <c r="J209" i="18"/>
  <c r="G209" i="18"/>
  <c r="D209" i="18"/>
  <c r="C209" i="18"/>
  <c r="B209" i="18"/>
  <c r="J208" i="18"/>
  <c r="K210" i="18" s="1"/>
  <c r="G208" i="18"/>
  <c r="D208" i="18"/>
  <c r="C208" i="18"/>
  <c r="B208" i="18"/>
  <c r="J207" i="18"/>
  <c r="K209" i="18" s="1"/>
  <c r="G207" i="18"/>
  <c r="D207" i="18"/>
  <c r="C207" i="18"/>
  <c r="B207" i="18"/>
  <c r="J206" i="18"/>
  <c r="K208" i="18" s="1"/>
  <c r="G206" i="18"/>
  <c r="D206" i="18"/>
  <c r="C206" i="18"/>
  <c r="B206" i="18"/>
  <c r="J205" i="18"/>
  <c r="K207" i="18" s="1"/>
  <c r="G205" i="18"/>
  <c r="D205" i="18"/>
  <c r="C205" i="18"/>
  <c r="B205" i="18"/>
  <c r="J204" i="18"/>
  <c r="K206" i="18" s="1"/>
  <c r="G204" i="18"/>
  <c r="D204" i="18"/>
  <c r="C204" i="18"/>
  <c r="B204" i="18"/>
  <c r="J203" i="18"/>
  <c r="K205" i="18" s="1"/>
  <c r="G203" i="18"/>
  <c r="D203" i="18"/>
  <c r="C203" i="18"/>
  <c r="B203" i="18"/>
  <c r="J202" i="18"/>
  <c r="K204" i="18" s="1"/>
  <c r="G202" i="18"/>
  <c r="D202" i="18"/>
  <c r="C202" i="18"/>
  <c r="B202" i="18"/>
  <c r="J201" i="18"/>
  <c r="K203" i="18" s="1"/>
  <c r="G201" i="18"/>
  <c r="D201" i="18"/>
  <c r="C201" i="18"/>
  <c r="B201" i="18"/>
  <c r="J200" i="18"/>
  <c r="K202" i="18" s="1"/>
  <c r="G200" i="18"/>
  <c r="D200" i="18"/>
  <c r="C200" i="18"/>
  <c r="B200" i="18"/>
  <c r="J199" i="18"/>
  <c r="K201" i="18" s="1"/>
  <c r="G199" i="18"/>
  <c r="D199" i="18"/>
  <c r="C199" i="18"/>
  <c r="B199" i="18"/>
  <c r="J198" i="18"/>
  <c r="K200" i="18" s="1"/>
  <c r="G198" i="18"/>
  <c r="D198" i="18"/>
  <c r="C198" i="18"/>
  <c r="B198" i="18"/>
  <c r="J197" i="18"/>
  <c r="K199" i="18" s="1"/>
  <c r="G197" i="18"/>
  <c r="D197" i="18"/>
  <c r="C197" i="18"/>
  <c r="B197" i="18"/>
  <c r="J196" i="18"/>
  <c r="K198" i="18" s="1"/>
  <c r="G196" i="18"/>
  <c r="D196" i="18"/>
  <c r="C196" i="18"/>
  <c r="B196" i="18"/>
  <c r="J195" i="18"/>
  <c r="K197" i="18" s="1"/>
  <c r="G195" i="18"/>
  <c r="D195" i="18"/>
  <c r="C195" i="18"/>
  <c r="B195" i="18"/>
  <c r="J194" i="18"/>
  <c r="K196" i="18" s="1"/>
  <c r="G194" i="18"/>
  <c r="D194" i="18"/>
  <c r="C194" i="18"/>
  <c r="B194" i="18"/>
  <c r="J193" i="18"/>
  <c r="K195" i="18" s="1"/>
  <c r="G193" i="18"/>
  <c r="D193" i="18"/>
  <c r="C193" i="18"/>
  <c r="B193" i="18"/>
  <c r="J192" i="18"/>
  <c r="K194" i="18" s="1"/>
  <c r="G192" i="18"/>
  <c r="D192" i="18"/>
  <c r="C192" i="18"/>
  <c r="B192" i="18"/>
  <c r="J191" i="18"/>
  <c r="K193" i="18" s="1"/>
  <c r="G191" i="18"/>
  <c r="D191" i="18"/>
  <c r="C191" i="18"/>
  <c r="B191" i="18"/>
  <c r="J190" i="18"/>
  <c r="K192" i="18" s="1"/>
  <c r="G190" i="18"/>
  <c r="D190" i="18"/>
  <c r="C190" i="18"/>
  <c r="B190" i="18"/>
  <c r="J189" i="18"/>
  <c r="K191" i="18" s="1"/>
  <c r="G189" i="18"/>
  <c r="D189" i="18"/>
  <c r="C189" i="18"/>
  <c r="B189" i="18"/>
  <c r="J188" i="18"/>
  <c r="K190" i="18" s="1"/>
  <c r="G188" i="18"/>
  <c r="D188" i="18"/>
  <c r="C188" i="18"/>
  <c r="B188" i="18"/>
  <c r="J187" i="18"/>
  <c r="K189" i="18" s="1"/>
  <c r="G187" i="18"/>
  <c r="D187" i="18"/>
  <c r="C187" i="18"/>
  <c r="B187" i="18"/>
  <c r="J186" i="18"/>
  <c r="K188" i="18" s="1"/>
  <c r="G186" i="18"/>
  <c r="D186" i="18"/>
  <c r="C186" i="18"/>
  <c r="B186" i="18"/>
  <c r="J185" i="18"/>
  <c r="K187" i="18" s="1"/>
  <c r="G185" i="18"/>
  <c r="D185" i="18"/>
  <c r="C185" i="18"/>
  <c r="B185" i="18"/>
  <c r="J184" i="18"/>
  <c r="K186" i="18" s="1"/>
  <c r="G184" i="18"/>
  <c r="D184" i="18"/>
  <c r="C184" i="18"/>
  <c r="B184" i="18"/>
  <c r="J183" i="18"/>
  <c r="K185" i="18" s="1"/>
  <c r="G183" i="18"/>
  <c r="D183" i="18"/>
  <c r="C183" i="18"/>
  <c r="B183" i="18"/>
  <c r="J182" i="18"/>
  <c r="K184" i="18" s="1"/>
  <c r="G182" i="18"/>
  <c r="D182" i="18"/>
  <c r="C182" i="18"/>
  <c r="B182" i="18"/>
  <c r="J181" i="18"/>
  <c r="K183" i="18" s="1"/>
  <c r="G181" i="18"/>
  <c r="D181" i="18"/>
  <c r="C181" i="18"/>
  <c r="B181" i="18"/>
  <c r="J180" i="18"/>
  <c r="K182" i="18" s="1"/>
  <c r="G180" i="18"/>
  <c r="D180" i="18"/>
  <c r="C180" i="18"/>
  <c r="B180" i="18"/>
  <c r="J179" i="18"/>
  <c r="K181" i="18" s="1"/>
  <c r="G179" i="18"/>
  <c r="D179" i="18"/>
  <c r="C179" i="18"/>
  <c r="B179" i="18"/>
  <c r="J178" i="18"/>
  <c r="K180" i="18" s="1"/>
  <c r="G178" i="18"/>
  <c r="D178" i="18"/>
  <c r="C178" i="18"/>
  <c r="B178" i="18"/>
  <c r="J177" i="18"/>
  <c r="K179" i="18" s="1"/>
  <c r="G177" i="18"/>
  <c r="D177" i="18"/>
  <c r="C177" i="18"/>
  <c r="B177" i="18"/>
  <c r="J176" i="18"/>
  <c r="K178" i="18" s="1"/>
  <c r="G176" i="18"/>
  <c r="D176" i="18"/>
  <c r="C176" i="18"/>
  <c r="B176" i="18"/>
  <c r="J175" i="18"/>
  <c r="K177" i="18" s="1"/>
  <c r="G175" i="18"/>
  <c r="D175" i="18"/>
  <c r="C175" i="18"/>
  <c r="B175" i="18"/>
  <c r="J174" i="18"/>
  <c r="K176" i="18" s="1"/>
  <c r="G174" i="18"/>
  <c r="D174" i="18"/>
  <c r="C174" i="18"/>
  <c r="B174" i="18"/>
  <c r="J173" i="18"/>
  <c r="K175" i="18" s="1"/>
  <c r="G173" i="18"/>
  <c r="D173" i="18"/>
  <c r="C173" i="18"/>
  <c r="B173" i="18"/>
  <c r="J172" i="18"/>
  <c r="K174" i="18" s="1"/>
  <c r="G172" i="18"/>
  <c r="D172" i="18"/>
  <c r="C172" i="18"/>
  <c r="B172" i="18"/>
  <c r="J171" i="18"/>
  <c r="K173" i="18" s="1"/>
  <c r="G171" i="18"/>
  <c r="D171" i="18"/>
  <c r="C171" i="18"/>
  <c r="B171" i="18"/>
  <c r="J170" i="18"/>
  <c r="K172" i="18" s="1"/>
  <c r="G170" i="18"/>
  <c r="D170" i="18"/>
  <c r="C170" i="18"/>
  <c r="B170" i="18"/>
  <c r="J169" i="18"/>
  <c r="K171" i="18" s="1"/>
  <c r="G169" i="18"/>
  <c r="D169" i="18"/>
  <c r="C169" i="18"/>
  <c r="B169" i="18"/>
  <c r="J168" i="18"/>
  <c r="K170" i="18" s="1"/>
  <c r="G168" i="18"/>
  <c r="D168" i="18"/>
  <c r="C168" i="18"/>
  <c r="B168" i="18"/>
  <c r="J167" i="18"/>
  <c r="K169" i="18" s="1"/>
  <c r="G167" i="18"/>
  <c r="D167" i="18"/>
  <c r="C167" i="18"/>
  <c r="B167" i="18"/>
  <c r="J166" i="18"/>
  <c r="K168" i="18" s="1"/>
  <c r="G166" i="18"/>
  <c r="D166" i="18"/>
  <c r="C166" i="18"/>
  <c r="B166" i="18"/>
  <c r="J165" i="18"/>
  <c r="K167" i="18" s="1"/>
  <c r="G165" i="18"/>
  <c r="D165" i="18"/>
  <c r="C165" i="18"/>
  <c r="B165" i="18"/>
  <c r="J164" i="18"/>
  <c r="K166" i="18" s="1"/>
  <c r="G164" i="18"/>
  <c r="D164" i="18"/>
  <c r="C164" i="18"/>
  <c r="B164" i="18"/>
  <c r="J163" i="18"/>
  <c r="K165" i="18" s="1"/>
  <c r="G163" i="18"/>
  <c r="D163" i="18"/>
  <c r="C163" i="18"/>
  <c r="B163" i="18"/>
  <c r="J162" i="18"/>
  <c r="K164" i="18" s="1"/>
  <c r="G162" i="18"/>
  <c r="D162" i="18"/>
  <c r="C162" i="18"/>
  <c r="B162" i="18"/>
  <c r="J161" i="18"/>
  <c r="K163" i="18" s="1"/>
  <c r="G161" i="18"/>
  <c r="D161" i="18"/>
  <c r="C161" i="18"/>
  <c r="B161" i="18"/>
  <c r="J160" i="18"/>
  <c r="K162" i="18" s="1"/>
  <c r="G160" i="18"/>
  <c r="D160" i="18"/>
  <c r="C160" i="18"/>
  <c r="B160" i="18"/>
  <c r="J159" i="18"/>
  <c r="K161" i="18" s="1"/>
  <c r="G159" i="18"/>
  <c r="D159" i="18"/>
  <c r="C159" i="18"/>
  <c r="B159" i="18"/>
  <c r="J158" i="18"/>
  <c r="K160" i="18" s="1"/>
  <c r="G158" i="18"/>
  <c r="D158" i="18"/>
  <c r="C158" i="18"/>
  <c r="B158" i="18"/>
  <c r="J157" i="18"/>
  <c r="K159" i="18" s="1"/>
  <c r="G157" i="18"/>
  <c r="D157" i="18"/>
  <c r="C157" i="18"/>
  <c r="B157" i="18"/>
  <c r="J156" i="18"/>
  <c r="K158" i="18" s="1"/>
  <c r="G156" i="18"/>
  <c r="D156" i="18"/>
  <c r="C156" i="18"/>
  <c r="B156" i="18"/>
  <c r="J155" i="18"/>
  <c r="K157" i="18" s="1"/>
  <c r="G155" i="18"/>
  <c r="D155" i="18"/>
  <c r="C155" i="18"/>
  <c r="B155" i="18"/>
  <c r="J154" i="18"/>
  <c r="K156" i="18" s="1"/>
  <c r="G154" i="18"/>
  <c r="D154" i="18"/>
  <c r="C154" i="18"/>
  <c r="B154" i="18"/>
  <c r="J153" i="18"/>
  <c r="K155" i="18" s="1"/>
  <c r="G153" i="18"/>
  <c r="D153" i="18"/>
  <c r="C153" i="18"/>
  <c r="B153" i="18"/>
  <c r="J152" i="18"/>
  <c r="K154" i="18" s="1"/>
  <c r="G152" i="18"/>
  <c r="D152" i="18"/>
  <c r="C152" i="18"/>
  <c r="B152" i="18"/>
  <c r="J151" i="18"/>
  <c r="K153" i="18" s="1"/>
  <c r="G151" i="18"/>
  <c r="D151" i="18"/>
  <c r="C151" i="18"/>
  <c r="B151" i="18"/>
  <c r="J150" i="18"/>
  <c r="K152" i="18" s="1"/>
  <c r="G150" i="18"/>
  <c r="D150" i="18"/>
  <c r="C150" i="18"/>
  <c r="B150" i="18"/>
  <c r="J149" i="18"/>
  <c r="K151" i="18" s="1"/>
  <c r="G149" i="18"/>
  <c r="D149" i="18"/>
  <c r="C149" i="18"/>
  <c r="B149" i="18"/>
  <c r="J148" i="18"/>
  <c r="K150" i="18" s="1"/>
  <c r="G148" i="18"/>
  <c r="D148" i="18"/>
  <c r="C148" i="18"/>
  <c r="B148" i="18"/>
  <c r="J147" i="18"/>
  <c r="K149" i="18" s="1"/>
  <c r="G147" i="18"/>
  <c r="D147" i="18"/>
  <c r="C147" i="18"/>
  <c r="B147" i="18"/>
  <c r="J146" i="18"/>
  <c r="K148" i="18" s="1"/>
  <c r="G146" i="18"/>
  <c r="D146" i="18"/>
  <c r="C146" i="18"/>
  <c r="B146" i="18"/>
  <c r="J145" i="18"/>
  <c r="K147" i="18" s="1"/>
  <c r="G145" i="18"/>
  <c r="D145" i="18"/>
  <c r="C145" i="18"/>
  <c r="B145" i="18"/>
  <c r="J144" i="18"/>
  <c r="K146" i="18" s="1"/>
  <c r="G144" i="18"/>
  <c r="D144" i="18"/>
  <c r="C144" i="18"/>
  <c r="B144" i="18"/>
  <c r="J143" i="18"/>
  <c r="K145" i="18" s="1"/>
  <c r="G143" i="18"/>
  <c r="D143" i="18"/>
  <c r="C143" i="18"/>
  <c r="B143" i="18"/>
  <c r="J142" i="18"/>
  <c r="K144" i="18" s="1"/>
  <c r="G142" i="18"/>
  <c r="D142" i="18"/>
  <c r="C142" i="18"/>
  <c r="B142" i="18"/>
  <c r="J141" i="18"/>
  <c r="K143" i="18" s="1"/>
  <c r="G141" i="18"/>
  <c r="D141" i="18"/>
  <c r="C141" i="18"/>
  <c r="B141" i="18"/>
  <c r="J140" i="18"/>
  <c r="K142" i="18" s="1"/>
  <c r="G140" i="18"/>
  <c r="D140" i="18"/>
  <c r="C140" i="18"/>
  <c r="B140" i="18"/>
  <c r="J139" i="18"/>
  <c r="K141" i="18" s="1"/>
  <c r="G139" i="18"/>
  <c r="D139" i="18"/>
  <c r="C139" i="18"/>
  <c r="B139" i="18"/>
  <c r="J138" i="18"/>
  <c r="K140" i="18" s="1"/>
  <c r="G138" i="18"/>
  <c r="D138" i="18"/>
  <c r="C138" i="18"/>
  <c r="B138" i="18"/>
  <c r="J137" i="18"/>
  <c r="K139" i="18" s="1"/>
  <c r="G137" i="18"/>
  <c r="D137" i="18"/>
  <c r="C137" i="18"/>
  <c r="B137" i="18"/>
  <c r="J136" i="18"/>
  <c r="K138" i="18" s="1"/>
  <c r="G136" i="18"/>
  <c r="D136" i="18"/>
  <c r="C136" i="18"/>
  <c r="B136" i="18"/>
  <c r="J135" i="18"/>
  <c r="K137" i="18" s="1"/>
  <c r="G135" i="18"/>
  <c r="D135" i="18"/>
  <c r="C135" i="18"/>
  <c r="B135" i="18"/>
  <c r="J134" i="18"/>
  <c r="K136" i="18" s="1"/>
  <c r="G134" i="18"/>
  <c r="D134" i="18"/>
  <c r="C134" i="18"/>
  <c r="B134" i="18"/>
  <c r="J133" i="18"/>
  <c r="K135" i="18" s="1"/>
  <c r="G133" i="18"/>
  <c r="D133" i="18"/>
  <c r="C133" i="18"/>
  <c r="B133" i="18"/>
  <c r="J132" i="18"/>
  <c r="K134" i="18" s="1"/>
  <c r="G132" i="18"/>
  <c r="D132" i="18"/>
  <c r="C132" i="18"/>
  <c r="B132" i="18"/>
  <c r="J131" i="18"/>
  <c r="K133" i="18" s="1"/>
  <c r="G131" i="18"/>
  <c r="D131" i="18"/>
  <c r="C131" i="18"/>
  <c r="B131" i="18"/>
  <c r="J130" i="18"/>
  <c r="K132" i="18" s="1"/>
  <c r="G130" i="18"/>
  <c r="D130" i="18"/>
  <c r="C130" i="18"/>
  <c r="B130" i="18"/>
  <c r="J129" i="18"/>
  <c r="K131" i="18" s="1"/>
  <c r="G129" i="18"/>
  <c r="D129" i="18"/>
  <c r="C129" i="18"/>
  <c r="B129" i="18"/>
  <c r="J128" i="18"/>
  <c r="K130" i="18" s="1"/>
  <c r="G128" i="18"/>
  <c r="D128" i="18"/>
  <c r="C128" i="18"/>
  <c r="B128" i="18"/>
  <c r="J127" i="18"/>
  <c r="K129" i="18" s="1"/>
  <c r="G127" i="18"/>
  <c r="D127" i="18"/>
  <c r="C127" i="18"/>
  <c r="B127" i="18"/>
  <c r="J126" i="18"/>
  <c r="K128" i="18" s="1"/>
  <c r="G126" i="18"/>
  <c r="D126" i="18"/>
  <c r="C126" i="18"/>
  <c r="B126" i="18"/>
  <c r="J125" i="18"/>
  <c r="K127" i="18" s="1"/>
  <c r="G125" i="18"/>
  <c r="D125" i="18"/>
  <c r="C125" i="18"/>
  <c r="B125" i="18"/>
  <c r="J124" i="18"/>
  <c r="K126" i="18" s="1"/>
  <c r="G124" i="18"/>
  <c r="D124" i="18"/>
  <c r="C124" i="18"/>
  <c r="B124" i="18"/>
  <c r="J123" i="18"/>
  <c r="K125" i="18" s="1"/>
  <c r="G123" i="18"/>
  <c r="D123" i="18"/>
  <c r="C123" i="18"/>
  <c r="B123" i="18"/>
  <c r="J122" i="18"/>
  <c r="K124" i="18" s="1"/>
  <c r="G122" i="18"/>
  <c r="D122" i="18"/>
  <c r="C122" i="18"/>
  <c r="B122" i="18"/>
  <c r="J121" i="18"/>
  <c r="K123" i="18" s="1"/>
  <c r="G121" i="18"/>
  <c r="D121" i="18"/>
  <c r="C121" i="18"/>
  <c r="B121" i="18"/>
  <c r="J120" i="18"/>
  <c r="K122" i="18" s="1"/>
  <c r="G120" i="18"/>
  <c r="D120" i="18"/>
  <c r="C120" i="18"/>
  <c r="B120" i="18"/>
  <c r="J119" i="18"/>
  <c r="K121" i="18" s="1"/>
  <c r="G119" i="18"/>
  <c r="D119" i="18"/>
  <c r="C119" i="18"/>
  <c r="B119" i="18"/>
  <c r="J118" i="18"/>
  <c r="K120" i="18" s="1"/>
  <c r="G118" i="18"/>
  <c r="D118" i="18"/>
  <c r="C118" i="18"/>
  <c r="B118" i="18"/>
  <c r="J117" i="18"/>
  <c r="K119" i="18" s="1"/>
  <c r="G117" i="18"/>
  <c r="D117" i="18"/>
  <c r="C117" i="18"/>
  <c r="B117" i="18"/>
  <c r="J116" i="18"/>
  <c r="K118" i="18" s="1"/>
  <c r="G116" i="18"/>
  <c r="D116" i="18"/>
  <c r="C116" i="18"/>
  <c r="B116" i="18"/>
  <c r="J115" i="18"/>
  <c r="K117" i="18" s="1"/>
  <c r="G115" i="18"/>
  <c r="D115" i="18"/>
  <c r="C115" i="18"/>
  <c r="B115" i="18"/>
  <c r="J114" i="18"/>
  <c r="K116" i="18" s="1"/>
  <c r="G114" i="18"/>
  <c r="D114" i="18"/>
  <c r="C114" i="18"/>
  <c r="B114" i="18"/>
  <c r="J113" i="18"/>
  <c r="K115" i="18" s="1"/>
  <c r="G113" i="18"/>
  <c r="D113" i="18"/>
  <c r="C113" i="18"/>
  <c r="B113" i="18"/>
  <c r="J112" i="18"/>
  <c r="K114" i="18" s="1"/>
  <c r="G112" i="18"/>
  <c r="D112" i="18"/>
  <c r="C112" i="18"/>
  <c r="B112" i="18"/>
  <c r="J111" i="18"/>
  <c r="K113" i="18" s="1"/>
  <c r="G111" i="18"/>
  <c r="D111" i="18"/>
  <c r="C111" i="18"/>
  <c r="B111" i="18"/>
  <c r="J110" i="18"/>
  <c r="K112" i="18" s="1"/>
  <c r="G110" i="18"/>
  <c r="D110" i="18"/>
  <c r="C110" i="18"/>
  <c r="B110" i="18"/>
  <c r="J109" i="18"/>
  <c r="K111" i="18" s="1"/>
  <c r="G109" i="18"/>
  <c r="D109" i="18"/>
  <c r="C109" i="18"/>
  <c r="B109" i="18"/>
  <c r="J108" i="18"/>
  <c r="K110" i="18" s="1"/>
  <c r="G108" i="18"/>
  <c r="D108" i="18"/>
  <c r="C108" i="18"/>
  <c r="B108" i="18"/>
  <c r="J107" i="18"/>
  <c r="K109" i="18" s="1"/>
  <c r="G107" i="18"/>
  <c r="D107" i="18"/>
  <c r="C107" i="18"/>
  <c r="B107" i="18"/>
  <c r="J106" i="18"/>
  <c r="K108" i="18" s="1"/>
  <c r="G106" i="18"/>
  <c r="D106" i="18"/>
  <c r="C106" i="18"/>
  <c r="B106" i="18"/>
  <c r="J105" i="18"/>
  <c r="K107" i="18" s="1"/>
  <c r="G105" i="18"/>
  <c r="D105" i="18"/>
  <c r="C105" i="18"/>
  <c r="B105" i="18"/>
  <c r="J104" i="18"/>
  <c r="K106" i="18" s="1"/>
  <c r="G104" i="18"/>
  <c r="D104" i="18"/>
  <c r="C104" i="18"/>
  <c r="B104" i="18"/>
  <c r="J103" i="18"/>
  <c r="K105" i="18" s="1"/>
  <c r="G103" i="18"/>
  <c r="D103" i="18"/>
  <c r="C103" i="18"/>
  <c r="B103" i="18"/>
  <c r="J102" i="18"/>
  <c r="K104" i="18" s="1"/>
  <c r="G102" i="18"/>
  <c r="D102" i="18"/>
  <c r="C102" i="18"/>
  <c r="B102" i="18"/>
  <c r="J101" i="18"/>
  <c r="K103" i="18" s="1"/>
  <c r="G101" i="18"/>
  <c r="D101" i="18"/>
  <c r="C101" i="18"/>
  <c r="B101" i="18"/>
  <c r="J100" i="18"/>
  <c r="K102" i="18" s="1"/>
  <c r="G100" i="18"/>
  <c r="D100" i="18"/>
  <c r="C100" i="18"/>
  <c r="B100" i="18"/>
  <c r="J99" i="18"/>
  <c r="K101" i="18" s="1"/>
  <c r="G99" i="18"/>
  <c r="D99" i="18"/>
  <c r="C99" i="18"/>
  <c r="B99" i="18"/>
  <c r="J98" i="18"/>
  <c r="K100" i="18" s="1"/>
  <c r="G98" i="18"/>
  <c r="D98" i="18"/>
  <c r="C98" i="18"/>
  <c r="B98" i="18"/>
  <c r="J97" i="18"/>
  <c r="K99" i="18" s="1"/>
  <c r="G97" i="18"/>
  <c r="D97" i="18"/>
  <c r="C97" i="18"/>
  <c r="B97" i="18"/>
  <c r="J96" i="18"/>
  <c r="K98" i="18" s="1"/>
  <c r="G96" i="18"/>
  <c r="D96" i="18"/>
  <c r="C96" i="18"/>
  <c r="B96" i="18"/>
  <c r="J95" i="18"/>
  <c r="K97" i="18" s="1"/>
  <c r="G95" i="18"/>
  <c r="D95" i="18"/>
  <c r="C95" i="18"/>
  <c r="B95" i="18"/>
  <c r="J94" i="18"/>
  <c r="K96" i="18" s="1"/>
  <c r="G94" i="18"/>
  <c r="D94" i="18"/>
  <c r="C94" i="18"/>
  <c r="B94" i="18"/>
  <c r="J93" i="18"/>
  <c r="K95" i="18" s="1"/>
  <c r="G93" i="18"/>
  <c r="D93" i="18"/>
  <c r="C93" i="18"/>
  <c r="B93" i="18"/>
  <c r="J92" i="18"/>
  <c r="K94" i="18" s="1"/>
  <c r="G92" i="18"/>
  <c r="D92" i="18"/>
  <c r="C92" i="18"/>
  <c r="B92" i="18"/>
  <c r="J91" i="18"/>
  <c r="K93" i="18" s="1"/>
  <c r="G91" i="18"/>
  <c r="D91" i="18"/>
  <c r="C91" i="18"/>
  <c r="B91" i="18"/>
  <c r="J90" i="18"/>
  <c r="K92" i="18" s="1"/>
  <c r="G90" i="18"/>
  <c r="D90" i="18"/>
  <c r="C90" i="18"/>
  <c r="B90" i="18"/>
  <c r="J89" i="18"/>
  <c r="K91" i="18" s="1"/>
  <c r="G89" i="18"/>
  <c r="D89" i="18"/>
  <c r="C89" i="18"/>
  <c r="B89" i="18"/>
  <c r="J88" i="18"/>
  <c r="K90" i="18" s="1"/>
  <c r="G88" i="18"/>
  <c r="D88" i="18"/>
  <c r="C88" i="18"/>
  <c r="B88" i="18"/>
  <c r="J87" i="18"/>
  <c r="K89" i="18" s="1"/>
  <c r="G87" i="18"/>
  <c r="D87" i="18"/>
  <c r="C87" i="18"/>
  <c r="B87" i="18"/>
  <c r="J86" i="18"/>
  <c r="K88" i="18" s="1"/>
  <c r="G86" i="18"/>
  <c r="D86" i="18"/>
  <c r="C86" i="18"/>
  <c r="B86" i="18"/>
  <c r="J85" i="18"/>
  <c r="K87" i="18" s="1"/>
  <c r="G85" i="18"/>
  <c r="D85" i="18"/>
  <c r="C85" i="18"/>
  <c r="B85" i="18"/>
  <c r="J84" i="18"/>
  <c r="K86" i="18" s="1"/>
  <c r="G84" i="18"/>
  <c r="D84" i="18"/>
  <c r="C84" i="18"/>
  <c r="B84" i="18"/>
  <c r="J83" i="18"/>
  <c r="K85" i="18" s="1"/>
  <c r="G83" i="18"/>
  <c r="D83" i="18"/>
  <c r="C83" i="18"/>
  <c r="B83" i="18"/>
  <c r="J82" i="18"/>
  <c r="K84" i="18" s="1"/>
  <c r="G82" i="18"/>
  <c r="D82" i="18"/>
  <c r="C82" i="18"/>
  <c r="B82" i="18"/>
  <c r="J81" i="18"/>
  <c r="K83" i="18" s="1"/>
  <c r="G81" i="18"/>
  <c r="D81" i="18"/>
  <c r="C81" i="18"/>
  <c r="B81" i="18"/>
  <c r="J80" i="18"/>
  <c r="K82" i="18" s="1"/>
  <c r="G80" i="18"/>
  <c r="D80" i="18"/>
  <c r="C80" i="18"/>
  <c r="B80" i="18"/>
  <c r="J79" i="18"/>
  <c r="K81" i="18" s="1"/>
  <c r="G79" i="18"/>
  <c r="D79" i="18"/>
  <c r="C79" i="18"/>
  <c r="B79" i="18"/>
  <c r="J78" i="18"/>
  <c r="K80" i="18" s="1"/>
  <c r="G78" i="18"/>
  <c r="D78" i="18"/>
  <c r="C78" i="18"/>
  <c r="B78" i="18"/>
  <c r="J77" i="18"/>
  <c r="K79" i="18" s="1"/>
  <c r="G77" i="18"/>
  <c r="D77" i="18"/>
  <c r="C77" i="18"/>
  <c r="B77" i="18"/>
  <c r="J76" i="18"/>
  <c r="K78" i="18" s="1"/>
  <c r="G76" i="18"/>
  <c r="D76" i="18"/>
  <c r="C76" i="18"/>
  <c r="B76" i="18"/>
  <c r="J75" i="18"/>
  <c r="K77" i="18" s="1"/>
  <c r="G75" i="18"/>
  <c r="D75" i="18"/>
  <c r="C75" i="18"/>
  <c r="B75" i="18"/>
  <c r="J74" i="18"/>
  <c r="K76" i="18" s="1"/>
  <c r="G74" i="18"/>
  <c r="D74" i="18"/>
  <c r="C74" i="18"/>
  <c r="B74" i="18"/>
  <c r="J73" i="18"/>
  <c r="K75" i="18" s="1"/>
  <c r="G73" i="18"/>
  <c r="D73" i="18"/>
  <c r="C73" i="18"/>
  <c r="B73" i="18"/>
  <c r="J72" i="18"/>
  <c r="K74" i="18" s="1"/>
  <c r="G72" i="18"/>
  <c r="D72" i="18"/>
  <c r="C72" i="18"/>
  <c r="B72" i="18"/>
  <c r="J71" i="18"/>
  <c r="K73" i="18" s="1"/>
  <c r="G71" i="18"/>
  <c r="D71" i="18"/>
  <c r="C71" i="18"/>
  <c r="B71" i="18"/>
  <c r="J70" i="18"/>
  <c r="K72" i="18" s="1"/>
  <c r="G70" i="18"/>
  <c r="D70" i="18"/>
  <c r="C70" i="18"/>
  <c r="B70" i="18"/>
  <c r="J69" i="18"/>
  <c r="K71" i="18" s="1"/>
  <c r="G69" i="18"/>
  <c r="D69" i="18"/>
  <c r="C69" i="18"/>
  <c r="B69" i="18"/>
  <c r="J68" i="18"/>
  <c r="K70" i="18" s="1"/>
  <c r="G68" i="18"/>
  <c r="D68" i="18"/>
  <c r="C68" i="18"/>
  <c r="B68" i="18"/>
  <c r="J67" i="18"/>
  <c r="K69" i="18" s="1"/>
  <c r="G67" i="18"/>
  <c r="D67" i="18"/>
  <c r="C67" i="18"/>
  <c r="B67" i="18"/>
  <c r="J66" i="18"/>
  <c r="K68" i="18" s="1"/>
  <c r="G66" i="18"/>
  <c r="D66" i="18"/>
  <c r="C66" i="18"/>
  <c r="B66" i="18"/>
  <c r="J65" i="18"/>
  <c r="K67" i="18" s="1"/>
  <c r="G65" i="18"/>
  <c r="D65" i="18"/>
  <c r="C65" i="18"/>
  <c r="B65" i="18"/>
  <c r="J64" i="18"/>
  <c r="K66" i="18" s="1"/>
  <c r="G64" i="18"/>
  <c r="D64" i="18"/>
  <c r="C64" i="18"/>
  <c r="B64" i="18"/>
  <c r="J63" i="18"/>
  <c r="K65" i="18" s="1"/>
  <c r="G63" i="18"/>
  <c r="D63" i="18"/>
  <c r="C63" i="18"/>
  <c r="B63" i="18"/>
  <c r="J62" i="18"/>
  <c r="K64" i="18" s="1"/>
  <c r="G62" i="18"/>
  <c r="D62" i="18"/>
  <c r="C62" i="18"/>
  <c r="B62" i="18"/>
  <c r="J61" i="18"/>
  <c r="K63" i="18" s="1"/>
  <c r="G61" i="18"/>
  <c r="D61" i="18"/>
  <c r="C61" i="18"/>
  <c r="B61" i="18"/>
  <c r="J60" i="18"/>
  <c r="K62" i="18" s="1"/>
  <c r="G60" i="18"/>
  <c r="D60" i="18"/>
  <c r="C60" i="18"/>
  <c r="B60" i="18"/>
  <c r="J59" i="18"/>
  <c r="K61" i="18" s="1"/>
  <c r="G59" i="18"/>
  <c r="D59" i="18"/>
  <c r="C59" i="18"/>
  <c r="B59" i="18"/>
  <c r="J58" i="18"/>
  <c r="K60" i="18" s="1"/>
  <c r="G58" i="18"/>
  <c r="D58" i="18"/>
  <c r="C58" i="18"/>
  <c r="B58" i="18"/>
  <c r="J57" i="18"/>
  <c r="K59" i="18" s="1"/>
  <c r="G57" i="18"/>
  <c r="D57" i="18"/>
  <c r="C57" i="18"/>
  <c r="B57" i="18"/>
  <c r="J56" i="18"/>
  <c r="K58" i="18" s="1"/>
  <c r="G56" i="18"/>
  <c r="D56" i="18"/>
  <c r="C56" i="18"/>
  <c r="B56" i="18"/>
  <c r="J55" i="18"/>
  <c r="K57" i="18" s="1"/>
  <c r="G55" i="18"/>
  <c r="D55" i="18"/>
  <c r="C55" i="18"/>
  <c r="B55" i="18"/>
  <c r="J54" i="18"/>
  <c r="K56" i="18" s="1"/>
  <c r="G54" i="18"/>
  <c r="D54" i="18"/>
  <c r="C54" i="18"/>
  <c r="B54" i="18"/>
  <c r="J53" i="18"/>
  <c r="K55" i="18" s="1"/>
  <c r="G53" i="18"/>
  <c r="D53" i="18"/>
  <c r="C53" i="18"/>
  <c r="B53" i="18"/>
  <c r="J52" i="18"/>
  <c r="K54" i="18" s="1"/>
  <c r="G52" i="18"/>
  <c r="D52" i="18"/>
  <c r="C52" i="18"/>
  <c r="B52" i="18"/>
  <c r="J51" i="18"/>
  <c r="K53" i="18" s="1"/>
  <c r="G51" i="18"/>
  <c r="D51" i="18"/>
  <c r="C51" i="18"/>
  <c r="B51" i="18"/>
  <c r="J50" i="18"/>
  <c r="K52" i="18" s="1"/>
  <c r="G50" i="18"/>
  <c r="D50" i="18"/>
  <c r="C50" i="18"/>
  <c r="B50" i="18"/>
  <c r="J49" i="18"/>
  <c r="K51" i="18" s="1"/>
  <c r="G49" i="18"/>
  <c r="D49" i="18"/>
  <c r="C49" i="18"/>
  <c r="B49" i="18"/>
  <c r="J48" i="18"/>
  <c r="K50" i="18" s="1"/>
  <c r="G48" i="18"/>
  <c r="D48" i="18"/>
  <c r="C48" i="18"/>
  <c r="B48" i="18"/>
  <c r="J47" i="18"/>
  <c r="K49" i="18" s="1"/>
  <c r="G47" i="18"/>
  <c r="D47" i="18"/>
  <c r="C47" i="18"/>
  <c r="B47" i="18"/>
  <c r="J46" i="18"/>
  <c r="K48" i="18" s="1"/>
  <c r="G46" i="18"/>
  <c r="D46" i="18"/>
  <c r="C46" i="18"/>
  <c r="B46" i="18"/>
  <c r="J45" i="18"/>
  <c r="K47" i="18" s="1"/>
  <c r="G45" i="18"/>
  <c r="D45" i="18"/>
  <c r="C45" i="18"/>
  <c r="B45" i="18"/>
  <c r="J44" i="18"/>
  <c r="K46" i="18" s="1"/>
  <c r="G44" i="18"/>
  <c r="D44" i="18"/>
  <c r="C44" i="18"/>
  <c r="B44" i="18"/>
  <c r="J43" i="18"/>
  <c r="K45" i="18" s="1"/>
  <c r="G43" i="18"/>
  <c r="D43" i="18"/>
  <c r="C43" i="18"/>
  <c r="B43" i="18"/>
  <c r="J42" i="18"/>
  <c r="K44" i="18" s="1"/>
  <c r="G42" i="18"/>
  <c r="D42" i="18"/>
  <c r="C42" i="18"/>
  <c r="B42" i="18"/>
  <c r="J41" i="18"/>
  <c r="K43" i="18" s="1"/>
  <c r="G41" i="18"/>
  <c r="D41" i="18"/>
  <c r="C41" i="18"/>
  <c r="B41" i="18"/>
  <c r="J40" i="18"/>
  <c r="K42" i="18" s="1"/>
  <c r="G40" i="18"/>
  <c r="D40" i="18"/>
  <c r="C40" i="18"/>
  <c r="B40" i="18"/>
  <c r="J39" i="18"/>
  <c r="K41" i="18" s="1"/>
  <c r="G39" i="18"/>
  <c r="D39" i="18"/>
  <c r="C39" i="18"/>
  <c r="B39" i="18"/>
  <c r="J38" i="18"/>
  <c r="K40" i="18" s="1"/>
  <c r="G38" i="18"/>
  <c r="D38" i="18"/>
  <c r="C38" i="18"/>
  <c r="B38" i="18"/>
  <c r="J37" i="18"/>
  <c r="K39" i="18" s="1"/>
  <c r="G37" i="18"/>
  <c r="D37" i="18"/>
  <c r="C37" i="18"/>
  <c r="B37" i="18"/>
  <c r="J36" i="18"/>
  <c r="K38" i="18" s="1"/>
  <c r="G36" i="18"/>
  <c r="D36" i="18"/>
  <c r="C36" i="18"/>
  <c r="B36" i="18"/>
  <c r="J35" i="18"/>
  <c r="K37" i="18" s="1"/>
  <c r="G35" i="18"/>
  <c r="D35" i="18"/>
  <c r="C35" i="18"/>
  <c r="B35" i="18"/>
  <c r="J34" i="18"/>
  <c r="K36" i="18" s="1"/>
  <c r="G34" i="18"/>
  <c r="D34" i="18"/>
  <c r="C34" i="18"/>
  <c r="B34" i="18"/>
  <c r="J33" i="18"/>
  <c r="K35" i="18" s="1"/>
  <c r="G33" i="18"/>
  <c r="D33" i="18"/>
  <c r="C33" i="18"/>
  <c r="B33" i="18"/>
  <c r="J32" i="18"/>
  <c r="K34" i="18" s="1"/>
  <c r="G32" i="18"/>
  <c r="D32" i="18"/>
  <c r="C32" i="18"/>
  <c r="B32" i="18"/>
  <c r="J31" i="18"/>
  <c r="K33" i="18" s="1"/>
  <c r="G31" i="18"/>
  <c r="D31" i="18"/>
  <c r="C31" i="18"/>
  <c r="B31" i="18"/>
  <c r="J30" i="18"/>
  <c r="K32" i="18" s="1"/>
  <c r="G30" i="18"/>
  <c r="D30" i="18"/>
  <c r="C30" i="18"/>
  <c r="B30" i="18"/>
  <c r="J29" i="18"/>
  <c r="K31" i="18" s="1"/>
  <c r="G29" i="18"/>
  <c r="D29" i="18"/>
  <c r="C29" i="18"/>
  <c r="B29" i="18"/>
  <c r="J28" i="18"/>
  <c r="K30" i="18" s="1"/>
  <c r="G28" i="18"/>
  <c r="D28" i="18"/>
  <c r="C28" i="18"/>
  <c r="B28" i="18"/>
  <c r="J27" i="18"/>
  <c r="K29" i="18" s="1"/>
  <c r="G27" i="18"/>
  <c r="D27" i="18"/>
  <c r="C27" i="18"/>
  <c r="B27" i="18"/>
  <c r="J26" i="18"/>
  <c r="K28" i="18" s="1"/>
  <c r="G26" i="18"/>
  <c r="D26" i="18"/>
  <c r="C26" i="18"/>
  <c r="B26" i="18"/>
  <c r="J25" i="18"/>
  <c r="K27" i="18" s="1"/>
  <c r="G25" i="18"/>
  <c r="D25" i="18"/>
  <c r="C25" i="18"/>
  <c r="B25" i="18"/>
  <c r="J24" i="18"/>
  <c r="K26" i="18" s="1"/>
  <c r="G24" i="18"/>
  <c r="D24" i="18"/>
  <c r="C24" i="18"/>
  <c r="B24" i="18"/>
  <c r="J23" i="18"/>
  <c r="K25" i="18" s="1"/>
  <c r="G23" i="18"/>
  <c r="D23" i="18"/>
  <c r="C23" i="18"/>
  <c r="B23" i="18"/>
  <c r="J22" i="18"/>
  <c r="K24" i="18" s="1"/>
  <c r="G22" i="18"/>
  <c r="D22" i="18"/>
  <c r="C22" i="18"/>
  <c r="B22" i="18"/>
  <c r="J21" i="18"/>
  <c r="K23" i="18" s="1"/>
  <c r="G21" i="18"/>
  <c r="D21" i="18"/>
  <c r="C21" i="18"/>
  <c r="B21" i="18"/>
  <c r="J20" i="18"/>
  <c r="K22" i="18" s="1"/>
  <c r="G20" i="18"/>
  <c r="D20" i="18"/>
  <c r="C20" i="18"/>
  <c r="B20" i="18"/>
  <c r="J19" i="18"/>
  <c r="K21" i="18" s="1"/>
  <c r="G19" i="18"/>
  <c r="D19" i="18"/>
  <c r="C19" i="18"/>
  <c r="B19" i="18"/>
  <c r="J18" i="18"/>
  <c r="K20" i="18" s="1"/>
  <c r="G18" i="18"/>
  <c r="D18" i="18"/>
  <c r="C18" i="18"/>
  <c r="B18" i="18"/>
  <c r="J17" i="18"/>
  <c r="K19" i="18" s="1"/>
  <c r="G17" i="18"/>
  <c r="D17" i="18"/>
  <c r="C17" i="18"/>
  <c r="B17" i="18"/>
  <c r="J16" i="18"/>
  <c r="K18" i="18" s="1"/>
  <c r="G16" i="18"/>
  <c r="D16" i="18"/>
  <c r="C16" i="18"/>
  <c r="B16" i="18"/>
  <c r="J15" i="18"/>
  <c r="K17" i="18" s="1"/>
  <c r="G15" i="18"/>
  <c r="D15" i="18"/>
  <c r="C15" i="18"/>
  <c r="B15" i="18"/>
  <c r="J14" i="18"/>
  <c r="K16" i="18" s="1"/>
  <c r="G14" i="18"/>
  <c r="D14" i="18"/>
  <c r="C14" i="18"/>
  <c r="B14" i="18"/>
  <c r="J13" i="18"/>
  <c r="K15" i="18" s="1"/>
  <c r="G13" i="18"/>
  <c r="D13" i="18"/>
  <c r="C13" i="18"/>
  <c r="B13" i="18"/>
  <c r="K12" i="18"/>
  <c r="J12" i="18"/>
  <c r="K14" i="18" s="1"/>
  <c r="G12" i="18"/>
  <c r="D12" i="18"/>
  <c r="K11" i="18"/>
  <c r="J11" i="18"/>
  <c r="K13" i="18" s="1"/>
  <c r="G11" i="18"/>
  <c r="D11" i="18"/>
  <c r="C11" i="18"/>
  <c r="B11" i="18"/>
  <c r="J4" i="18"/>
  <c r="I210" i="17"/>
  <c r="F210" i="17"/>
  <c r="D210" i="17"/>
  <c r="C210" i="17"/>
  <c r="B210" i="17"/>
  <c r="J209" i="17"/>
  <c r="I209" i="17"/>
  <c r="F209" i="17"/>
  <c r="D209" i="17"/>
  <c r="C209" i="17"/>
  <c r="B209" i="17"/>
  <c r="J208" i="17"/>
  <c r="I208" i="17"/>
  <c r="J210" i="17" s="1"/>
  <c r="F208" i="17"/>
  <c r="D208" i="17"/>
  <c r="C208" i="17"/>
  <c r="B208" i="17"/>
  <c r="I207" i="17"/>
  <c r="F207" i="17"/>
  <c r="D207" i="17"/>
  <c r="C207" i="17"/>
  <c r="B207" i="17"/>
  <c r="I206" i="17"/>
  <c r="F206" i="17"/>
  <c r="D206" i="17"/>
  <c r="C206" i="17"/>
  <c r="B206" i="17"/>
  <c r="J205" i="17"/>
  <c r="I205" i="17"/>
  <c r="J207" i="17" s="1"/>
  <c r="F205" i="17"/>
  <c r="D205" i="17"/>
  <c r="C205" i="17"/>
  <c r="B205" i="17"/>
  <c r="J204" i="17"/>
  <c r="I204" i="17"/>
  <c r="J206" i="17" s="1"/>
  <c r="F204" i="17"/>
  <c r="D204" i="17"/>
  <c r="C204" i="17"/>
  <c r="B204" i="17"/>
  <c r="I203" i="17"/>
  <c r="F203" i="17"/>
  <c r="D203" i="17"/>
  <c r="C203" i="17"/>
  <c r="B203" i="17"/>
  <c r="I202" i="17"/>
  <c r="F202" i="17"/>
  <c r="D202" i="17"/>
  <c r="C202" i="17"/>
  <c r="B202" i="17"/>
  <c r="J201" i="17"/>
  <c r="I201" i="17"/>
  <c r="J203" i="17" s="1"/>
  <c r="F201" i="17"/>
  <c r="D201" i="17"/>
  <c r="C201" i="17"/>
  <c r="B201" i="17"/>
  <c r="J200" i="17"/>
  <c r="I200" i="17"/>
  <c r="J202" i="17" s="1"/>
  <c r="F200" i="17"/>
  <c r="D200" i="17"/>
  <c r="C200" i="17"/>
  <c r="B200" i="17"/>
  <c r="I199" i="17"/>
  <c r="F199" i="17"/>
  <c r="D199" i="17"/>
  <c r="C199" i="17"/>
  <c r="B199" i="17"/>
  <c r="I198" i="17"/>
  <c r="F198" i="17"/>
  <c r="D198" i="17"/>
  <c r="C198" i="17"/>
  <c r="B198" i="17"/>
  <c r="J197" i="17"/>
  <c r="I197" i="17"/>
  <c r="J199" i="17" s="1"/>
  <c r="F197" i="17"/>
  <c r="D197" i="17"/>
  <c r="C197" i="17"/>
  <c r="B197" i="17"/>
  <c r="J196" i="17"/>
  <c r="I196" i="17"/>
  <c r="J198" i="17" s="1"/>
  <c r="F196" i="17"/>
  <c r="D196" i="17"/>
  <c r="C196" i="17"/>
  <c r="B196" i="17"/>
  <c r="I195" i="17"/>
  <c r="F195" i="17"/>
  <c r="D195" i="17"/>
  <c r="C195" i="17"/>
  <c r="B195" i="17"/>
  <c r="I194" i="17"/>
  <c r="F194" i="17"/>
  <c r="D194" i="17"/>
  <c r="C194" i="17"/>
  <c r="B194" i="17"/>
  <c r="J193" i="17"/>
  <c r="I193" i="17"/>
  <c r="J195" i="17" s="1"/>
  <c r="F193" i="17"/>
  <c r="D193" i="17"/>
  <c r="C193" i="17"/>
  <c r="B193" i="17"/>
  <c r="J192" i="17"/>
  <c r="I192" i="17"/>
  <c r="J194" i="17" s="1"/>
  <c r="F192" i="17"/>
  <c r="D192" i="17"/>
  <c r="C192" i="17"/>
  <c r="B192" i="17"/>
  <c r="I191" i="17"/>
  <c r="F191" i="17"/>
  <c r="D191" i="17"/>
  <c r="C191" i="17"/>
  <c r="B191" i="17"/>
  <c r="I190" i="17"/>
  <c r="F190" i="17"/>
  <c r="D190" i="17"/>
  <c r="C190" i="17"/>
  <c r="B190" i="17"/>
  <c r="J189" i="17"/>
  <c r="I189" i="17"/>
  <c r="J191" i="17" s="1"/>
  <c r="F189" i="17"/>
  <c r="D189" i="17"/>
  <c r="C189" i="17"/>
  <c r="B189" i="17"/>
  <c r="J188" i="17"/>
  <c r="I188" i="17"/>
  <c r="J190" i="17" s="1"/>
  <c r="F188" i="17"/>
  <c r="D188" i="17"/>
  <c r="C188" i="17"/>
  <c r="B188" i="17"/>
  <c r="I187" i="17"/>
  <c r="F187" i="17"/>
  <c r="D187" i="17"/>
  <c r="C187" i="17"/>
  <c r="B187" i="17"/>
  <c r="I186" i="17"/>
  <c r="F186" i="17"/>
  <c r="D186" i="17"/>
  <c r="C186" i="17"/>
  <c r="B186" i="17"/>
  <c r="J185" i="17"/>
  <c r="I185" i="17"/>
  <c r="J187" i="17" s="1"/>
  <c r="F185" i="17"/>
  <c r="D185" i="17"/>
  <c r="C185" i="17"/>
  <c r="B185" i="17"/>
  <c r="I184" i="17"/>
  <c r="J186" i="17" s="1"/>
  <c r="F184" i="17"/>
  <c r="D184" i="17"/>
  <c r="C184" i="17"/>
  <c r="B184" i="17"/>
  <c r="I183" i="17"/>
  <c r="F183" i="17"/>
  <c r="D183" i="17"/>
  <c r="C183" i="17"/>
  <c r="B183" i="17"/>
  <c r="I182" i="17"/>
  <c r="J184" i="17" s="1"/>
  <c r="F182" i="17"/>
  <c r="D182" i="17"/>
  <c r="C182" i="17"/>
  <c r="B182" i="17"/>
  <c r="J181" i="17"/>
  <c r="I181" i="17"/>
  <c r="J183" i="17" s="1"/>
  <c r="F181" i="17"/>
  <c r="D181" i="17"/>
  <c r="C181" i="17"/>
  <c r="B181" i="17"/>
  <c r="I180" i="17"/>
  <c r="J182" i="17" s="1"/>
  <c r="F180" i="17"/>
  <c r="D180" i="17"/>
  <c r="C180" i="17"/>
  <c r="B180" i="17"/>
  <c r="I179" i="17"/>
  <c r="F179" i="17"/>
  <c r="D179" i="17"/>
  <c r="C179" i="17"/>
  <c r="B179" i="17"/>
  <c r="I178" i="17"/>
  <c r="J180" i="17" s="1"/>
  <c r="F178" i="17"/>
  <c r="D178" i="17"/>
  <c r="C178" i="17"/>
  <c r="B178" i="17"/>
  <c r="J177" i="17"/>
  <c r="I177" i="17"/>
  <c r="J179" i="17" s="1"/>
  <c r="F177" i="17"/>
  <c r="D177" i="17"/>
  <c r="C177" i="17"/>
  <c r="B177" i="17"/>
  <c r="I176" i="17"/>
  <c r="J178" i="17" s="1"/>
  <c r="F176" i="17"/>
  <c r="D176" i="17"/>
  <c r="C176" i="17"/>
  <c r="B176" i="17"/>
  <c r="I175" i="17"/>
  <c r="F175" i="17"/>
  <c r="D175" i="17"/>
  <c r="C175" i="17"/>
  <c r="B175" i="17"/>
  <c r="I174" i="17"/>
  <c r="J176" i="17" s="1"/>
  <c r="F174" i="17"/>
  <c r="D174" i="17"/>
  <c r="C174" i="17"/>
  <c r="B174" i="17"/>
  <c r="J173" i="17"/>
  <c r="I173" i="17"/>
  <c r="J175" i="17" s="1"/>
  <c r="F173" i="17"/>
  <c r="D173" i="17"/>
  <c r="C173" i="17"/>
  <c r="B173" i="17"/>
  <c r="I172" i="17"/>
  <c r="J174" i="17" s="1"/>
  <c r="F172" i="17"/>
  <c r="D172" i="17"/>
  <c r="C172" i="17"/>
  <c r="B172" i="17"/>
  <c r="I171" i="17"/>
  <c r="F171" i="17"/>
  <c r="D171" i="17"/>
  <c r="C171" i="17"/>
  <c r="B171" i="17"/>
  <c r="I170" i="17"/>
  <c r="J172" i="17" s="1"/>
  <c r="F170" i="17"/>
  <c r="D170" i="17"/>
  <c r="C170" i="17"/>
  <c r="B170" i="17"/>
  <c r="J169" i="17"/>
  <c r="I169" i="17"/>
  <c r="J171" i="17" s="1"/>
  <c r="F169" i="17"/>
  <c r="D169" i="17"/>
  <c r="C169" i="17"/>
  <c r="B169" i="17"/>
  <c r="I168" i="17"/>
  <c r="J170" i="17" s="1"/>
  <c r="F168" i="17"/>
  <c r="D168" i="17"/>
  <c r="C168" i="17"/>
  <c r="B168" i="17"/>
  <c r="I167" i="17"/>
  <c r="F167" i="17"/>
  <c r="D167" i="17"/>
  <c r="C167" i="17"/>
  <c r="B167" i="17"/>
  <c r="I166" i="17"/>
  <c r="J168" i="17" s="1"/>
  <c r="F166" i="17"/>
  <c r="D166" i="17"/>
  <c r="C166" i="17"/>
  <c r="B166" i="17"/>
  <c r="J165" i="17"/>
  <c r="I165" i="17"/>
  <c r="J167" i="17" s="1"/>
  <c r="F165" i="17"/>
  <c r="D165" i="17"/>
  <c r="C165" i="17"/>
  <c r="B165" i="17"/>
  <c r="I164" i="17"/>
  <c r="J166" i="17" s="1"/>
  <c r="F164" i="17"/>
  <c r="D164" i="17"/>
  <c r="C164" i="17"/>
  <c r="B164" i="17"/>
  <c r="I163" i="17"/>
  <c r="F163" i="17"/>
  <c r="D163" i="17"/>
  <c r="C163" i="17"/>
  <c r="B163" i="17"/>
  <c r="I162" i="17"/>
  <c r="J164" i="17" s="1"/>
  <c r="F162" i="17"/>
  <c r="D162" i="17"/>
  <c r="C162" i="17"/>
  <c r="B162" i="17"/>
  <c r="J161" i="17"/>
  <c r="I161" i="17"/>
  <c r="J163" i="17" s="1"/>
  <c r="F161" i="17"/>
  <c r="D161" i="17"/>
  <c r="C161" i="17"/>
  <c r="B161" i="17"/>
  <c r="I160" i="17"/>
  <c r="J162" i="17" s="1"/>
  <c r="F160" i="17"/>
  <c r="D160" i="17"/>
  <c r="C160" i="17"/>
  <c r="B160" i="17"/>
  <c r="I159" i="17"/>
  <c r="F159" i="17"/>
  <c r="D159" i="17"/>
  <c r="C159" i="17"/>
  <c r="B159" i="17"/>
  <c r="I158" i="17"/>
  <c r="J160" i="17" s="1"/>
  <c r="F158" i="17"/>
  <c r="D158" i="17"/>
  <c r="C158" i="17"/>
  <c r="B158" i="17"/>
  <c r="J157" i="17"/>
  <c r="I157" i="17"/>
  <c r="J159" i="17" s="1"/>
  <c r="F157" i="17"/>
  <c r="D157" i="17"/>
  <c r="C157" i="17"/>
  <c r="B157" i="17"/>
  <c r="I156" i="17"/>
  <c r="J158" i="17" s="1"/>
  <c r="F156" i="17"/>
  <c r="D156" i="17"/>
  <c r="C156" i="17"/>
  <c r="B156" i="17"/>
  <c r="I155" i="17"/>
  <c r="F155" i="17"/>
  <c r="D155" i="17"/>
  <c r="C155" i="17"/>
  <c r="B155" i="17"/>
  <c r="I154" i="17"/>
  <c r="J156" i="17" s="1"/>
  <c r="F154" i="17"/>
  <c r="D154" i="17"/>
  <c r="C154" i="17"/>
  <c r="B154" i="17"/>
  <c r="J153" i="17"/>
  <c r="I153" i="17"/>
  <c r="J155" i="17" s="1"/>
  <c r="F153" i="17"/>
  <c r="D153" i="17"/>
  <c r="C153" i="17"/>
  <c r="B153" i="17"/>
  <c r="I152" i="17"/>
  <c r="J154" i="17" s="1"/>
  <c r="F152" i="17"/>
  <c r="D152" i="17"/>
  <c r="C152" i="17"/>
  <c r="B152" i="17"/>
  <c r="I151" i="17"/>
  <c r="F151" i="17"/>
  <c r="D151" i="17"/>
  <c r="C151" i="17"/>
  <c r="B151" i="17"/>
  <c r="I150" i="17"/>
  <c r="J152" i="17" s="1"/>
  <c r="F150" i="17"/>
  <c r="D150" i="17"/>
  <c r="C150" i="17"/>
  <c r="B150" i="17"/>
  <c r="J149" i="17"/>
  <c r="I149" i="17"/>
  <c r="J151" i="17" s="1"/>
  <c r="F149" i="17"/>
  <c r="D149" i="17"/>
  <c r="C149" i="17"/>
  <c r="B149" i="17"/>
  <c r="I148" i="17"/>
  <c r="J150" i="17" s="1"/>
  <c r="F148" i="17"/>
  <c r="D148" i="17"/>
  <c r="C148" i="17"/>
  <c r="B148" i="17"/>
  <c r="I147" i="17"/>
  <c r="F147" i="17"/>
  <c r="D147" i="17"/>
  <c r="C147" i="17"/>
  <c r="B147" i="17"/>
  <c r="I146" i="17"/>
  <c r="J148" i="17" s="1"/>
  <c r="F146" i="17"/>
  <c r="D146" i="17"/>
  <c r="C146" i="17"/>
  <c r="B146" i="17"/>
  <c r="J145" i="17"/>
  <c r="I145" i="17"/>
  <c r="J147" i="17" s="1"/>
  <c r="F145" i="17"/>
  <c r="D145" i="17"/>
  <c r="C145" i="17"/>
  <c r="B145" i="17"/>
  <c r="I144" i="17"/>
  <c r="J146" i="17" s="1"/>
  <c r="F144" i="17"/>
  <c r="D144" i="17"/>
  <c r="C144" i="17"/>
  <c r="B144" i="17"/>
  <c r="I143" i="17"/>
  <c r="F143" i="17"/>
  <c r="D143" i="17"/>
  <c r="C143" i="17"/>
  <c r="B143" i="17"/>
  <c r="I142" i="17"/>
  <c r="J144" i="17" s="1"/>
  <c r="F142" i="17"/>
  <c r="D142" i="17"/>
  <c r="C142" i="17"/>
  <c r="B142" i="17"/>
  <c r="J141" i="17"/>
  <c r="I141" i="17"/>
  <c r="J143" i="17" s="1"/>
  <c r="F141" i="17"/>
  <c r="D141" i="17"/>
  <c r="C141" i="17"/>
  <c r="B141" i="17"/>
  <c r="I140" i="17"/>
  <c r="J142" i="17" s="1"/>
  <c r="F140" i="17"/>
  <c r="D140" i="17"/>
  <c r="C140" i="17"/>
  <c r="B140" i="17"/>
  <c r="I139" i="17"/>
  <c r="F139" i="17"/>
  <c r="D139" i="17"/>
  <c r="C139" i="17"/>
  <c r="B139" i="17"/>
  <c r="I138" i="17"/>
  <c r="J140" i="17" s="1"/>
  <c r="F138" i="17"/>
  <c r="D138" i="17"/>
  <c r="C138" i="17"/>
  <c r="B138" i="17"/>
  <c r="J137" i="17"/>
  <c r="I137" i="17"/>
  <c r="J139" i="17" s="1"/>
  <c r="F137" i="17"/>
  <c r="D137" i="17"/>
  <c r="C137" i="17"/>
  <c r="B137" i="17"/>
  <c r="I136" i="17"/>
  <c r="J138" i="17" s="1"/>
  <c r="F136" i="17"/>
  <c r="D136" i="17"/>
  <c r="C136" i="17"/>
  <c r="B136" i="17"/>
  <c r="I135" i="17"/>
  <c r="F135" i="17"/>
  <c r="D135" i="17"/>
  <c r="C135" i="17"/>
  <c r="B135" i="17"/>
  <c r="I134" i="17"/>
  <c r="J136" i="17" s="1"/>
  <c r="F134" i="17"/>
  <c r="D134" i="17"/>
  <c r="C134" i="17"/>
  <c r="B134" i="17"/>
  <c r="J133" i="17"/>
  <c r="I133" i="17"/>
  <c r="J135" i="17" s="1"/>
  <c r="F133" i="17"/>
  <c r="D133" i="17"/>
  <c r="C133" i="17"/>
  <c r="B133" i="17"/>
  <c r="I132" i="17"/>
  <c r="J134" i="17" s="1"/>
  <c r="F132" i="17"/>
  <c r="D132" i="17"/>
  <c r="C132" i="17"/>
  <c r="B132" i="17"/>
  <c r="I131" i="17"/>
  <c r="F131" i="17"/>
  <c r="D131" i="17"/>
  <c r="C131" i="17"/>
  <c r="B131" i="17"/>
  <c r="I130" i="17"/>
  <c r="J132" i="17" s="1"/>
  <c r="F130" i="17"/>
  <c r="D130" i="17"/>
  <c r="C130" i="17"/>
  <c r="B130" i="17"/>
  <c r="J129" i="17"/>
  <c r="I129" i="17"/>
  <c r="J131" i="17" s="1"/>
  <c r="F129" i="17"/>
  <c r="D129" i="17"/>
  <c r="C129" i="17"/>
  <c r="B129" i="17"/>
  <c r="I128" i="17"/>
  <c r="J130" i="17" s="1"/>
  <c r="F128" i="17"/>
  <c r="D128" i="17"/>
  <c r="C128" i="17"/>
  <c r="B128" i="17"/>
  <c r="I127" i="17"/>
  <c r="F127" i="17"/>
  <c r="D127" i="17"/>
  <c r="C127" i="17"/>
  <c r="B127" i="17"/>
  <c r="I126" i="17"/>
  <c r="J128" i="17" s="1"/>
  <c r="F126" i="17"/>
  <c r="D126" i="17"/>
  <c r="C126" i="17"/>
  <c r="B126" i="17"/>
  <c r="J125" i="17"/>
  <c r="I125" i="17"/>
  <c r="J127" i="17" s="1"/>
  <c r="F125" i="17"/>
  <c r="D125" i="17"/>
  <c r="C125" i="17"/>
  <c r="B125" i="17"/>
  <c r="I124" i="17"/>
  <c r="J126" i="17" s="1"/>
  <c r="F124" i="17"/>
  <c r="D124" i="17"/>
  <c r="C124" i="17"/>
  <c r="B124" i="17"/>
  <c r="I123" i="17"/>
  <c r="F123" i="17"/>
  <c r="D123" i="17"/>
  <c r="C123" i="17"/>
  <c r="B123" i="17"/>
  <c r="I122" i="17"/>
  <c r="J124" i="17" s="1"/>
  <c r="F122" i="17"/>
  <c r="D122" i="17"/>
  <c r="C122" i="17"/>
  <c r="B122" i="17"/>
  <c r="J121" i="17"/>
  <c r="I121" i="17"/>
  <c r="J123" i="17" s="1"/>
  <c r="F121" i="17"/>
  <c r="D121" i="17"/>
  <c r="C121" i="17"/>
  <c r="B121" i="17"/>
  <c r="I120" i="17"/>
  <c r="J122" i="17" s="1"/>
  <c r="F120" i="17"/>
  <c r="D120" i="17"/>
  <c r="C120" i="17"/>
  <c r="B120" i="17"/>
  <c r="I119" i="17"/>
  <c r="F119" i="17"/>
  <c r="D119" i="17"/>
  <c r="C119" i="17"/>
  <c r="B119" i="17"/>
  <c r="I118" i="17"/>
  <c r="J120" i="17" s="1"/>
  <c r="F118" i="17"/>
  <c r="D118" i="17"/>
  <c r="C118" i="17"/>
  <c r="B118" i="17"/>
  <c r="J117" i="17"/>
  <c r="I117" i="17"/>
  <c r="J119" i="17" s="1"/>
  <c r="F117" i="17"/>
  <c r="D117" i="17"/>
  <c r="C117" i="17"/>
  <c r="B117" i="17"/>
  <c r="I116" i="17"/>
  <c r="J118" i="17" s="1"/>
  <c r="F116" i="17"/>
  <c r="D116" i="17"/>
  <c r="C116" i="17"/>
  <c r="B116" i="17"/>
  <c r="I115" i="17"/>
  <c r="F115" i="17"/>
  <c r="D115" i="17"/>
  <c r="C115" i="17"/>
  <c r="B115" i="17"/>
  <c r="I114" i="17"/>
  <c r="J116" i="17" s="1"/>
  <c r="F114" i="17"/>
  <c r="D114" i="17"/>
  <c r="C114" i="17"/>
  <c r="B114" i="17"/>
  <c r="J113" i="17"/>
  <c r="I113" i="17"/>
  <c r="J115" i="17" s="1"/>
  <c r="F113" i="17"/>
  <c r="D113" i="17"/>
  <c r="C113" i="17"/>
  <c r="B113" i="17"/>
  <c r="I112" i="17"/>
  <c r="J114" i="17" s="1"/>
  <c r="F112" i="17"/>
  <c r="D112" i="17"/>
  <c r="C112" i="17"/>
  <c r="B112" i="17"/>
  <c r="I111" i="17"/>
  <c r="F111" i="17"/>
  <c r="D111" i="17"/>
  <c r="C111" i="17"/>
  <c r="B111" i="17"/>
  <c r="I110" i="17"/>
  <c r="J112" i="17" s="1"/>
  <c r="F110" i="17"/>
  <c r="D110" i="17"/>
  <c r="C110" i="17"/>
  <c r="B110" i="17"/>
  <c r="J109" i="17"/>
  <c r="I109" i="17"/>
  <c r="J111" i="17" s="1"/>
  <c r="F109" i="17"/>
  <c r="D109" i="17"/>
  <c r="C109" i="17"/>
  <c r="B109" i="17"/>
  <c r="I108" i="17"/>
  <c r="J110" i="17" s="1"/>
  <c r="F108" i="17"/>
  <c r="D108" i="17"/>
  <c r="C108" i="17"/>
  <c r="B108" i="17"/>
  <c r="I107" i="17"/>
  <c r="F107" i="17"/>
  <c r="D107" i="17"/>
  <c r="C107" i="17"/>
  <c r="B107" i="17"/>
  <c r="I106" i="17"/>
  <c r="J108" i="17" s="1"/>
  <c r="F106" i="17"/>
  <c r="D106" i="17"/>
  <c r="C106" i="17"/>
  <c r="B106" i="17"/>
  <c r="J105" i="17"/>
  <c r="I105" i="17"/>
  <c r="J107" i="17" s="1"/>
  <c r="F105" i="17"/>
  <c r="D105" i="17"/>
  <c r="C105" i="17"/>
  <c r="B105" i="17"/>
  <c r="I104" i="17"/>
  <c r="J106" i="17" s="1"/>
  <c r="F104" i="17"/>
  <c r="D104" i="17"/>
  <c r="C104" i="17"/>
  <c r="B104" i="17"/>
  <c r="I103" i="17"/>
  <c r="F103" i="17"/>
  <c r="D103" i="17"/>
  <c r="C103" i="17"/>
  <c r="B103" i="17"/>
  <c r="I102" i="17"/>
  <c r="J104" i="17" s="1"/>
  <c r="F102" i="17"/>
  <c r="D102" i="17"/>
  <c r="C102" i="17"/>
  <c r="B102" i="17"/>
  <c r="J101" i="17"/>
  <c r="I101" i="17"/>
  <c r="J103" i="17" s="1"/>
  <c r="F101" i="17"/>
  <c r="D101" i="17"/>
  <c r="C101" i="17"/>
  <c r="B101" i="17"/>
  <c r="I100" i="17"/>
  <c r="J102" i="17" s="1"/>
  <c r="F100" i="17"/>
  <c r="D100" i="17"/>
  <c r="C100" i="17"/>
  <c r="B100" i="17"/>
  <c r="I99" i="17"/>
  <c r="F99" i="17"/>
  <c r="D99" i="17"/>
  <c r="C99" i="17"/>
  <c r="B99" i="17"/>
  <c r="I98" i="17"/>
  <c r="J100" i="17" s="1"/>
  <c r="F98" i="17"/>
  <c r="D98" i="17"/>
  <c r="C98" i="17"/>
  <c r="B98" i="17"/>
  <c r="J97" i="17"/>
  <c r="I97" i="17"/>
  <c r="J99" i="17" s="1"/>
  <c r="F97" i="17"/>
  <c r="D97" i="17"/>
  <c r="C97" i="17"/>
  <c r="B97" i="17"/>
  <c r="I96" i="17"/>
  <c r="J98" i="17" s="1"/>
  <c r="F96" i="17"/>
  <c r="D96" i="17"/>
  <c r="C96" i="17"/>
  <c r="B96" i="17"/>
  <c r="I95" i="17"/>
  <c r="F95" i="17"/>
  <c r="D95" i="17"/>
  <c r="C95" i="17"/>
  <c r="B95" i="17"/>
  <c r="I94" i="17"/>
  <c r="J96" i="17" s="1"/>
  <c r="F94" i="17"/>
  <c r="D94" i="17"/>
  <c r="C94" i="17"/>
  <c r="B94" i="17"/>
  <c r="J93" i="17"/>
  <c r="I93" i="17"/>
  <c r="J95" i="17" s="1"/>
  <c r="F93" i="17"/>
  <c r="D93" i="17"/>
  <c r="C93" i="17"/>
  <c r="B93" i="17"/>
  <c r="I92" i="17"/>
  <c r="J94" i="17" s="1"/>
  <c r="F92" i="17"/>
  <c r="D92" i="17"/>
  <c r="C92" i="17"/>
  <c r="B92" i="17"/>
  <c r="I91" i="17"/>
  <c r="F91" i="17"/>
  <c r="D91" i="17"/>
  <c r="C91" i="17"/>
  <c r="B91" i="17"/>
  <c r="I90" i="17"/>
  <c r="J92" i="17" s="1"/>
  <c r="F90" i="17"/>
  <c r="D90" i="17"/>
  <c r="C90" i="17"/>
  <c r="B90" i="17"/>
  <c r="J89" i="17"/>
  <c r="I89" i="17"/>
  <c r="J91" i="17" s="1"/>
  <c r="F89" i="17"/>
  <c r="D89" i="17"/>
  <c r="C89" i="17"/>
  <c r="B89" i="17"/>
  <c r="I88" i="17"/>
  <c r="J90" i="17" s="1"/>
  <c r="F88" i="17"/>
  <c r="D88" i="17"/>
  <c r="C88" i="17"/>
  <c r="B88" i="17"/>
  <c r="I87" i="17"/>
  <c r="F87" i="17"/>
  <c r="D87" i="17"/>
  <c r="C87" i="17"/>
  <c r="B87" i="17"/>
  <c r="I86" i="17"/>
  <c r="J88" i="17" s="1"/>
  <c r="F86" i="17"/>
  <c r="D86" i="17"/>
  <c r="C86" i="17"/>
  <c r="B86" i="17"/>
  <c r="J85" i="17"/>
  <c r="I85" i="17"/>
  <c r="J87" i="17" s="1"/>
  <c r="F85" i="17"/>
  <c r="D85" i="17"/>
  <c r="C85" i="17"/>
  <c r="B85" i="17"/>
  <c r="I84" i="17"/>
  <c r="J86" i="17" s="1"/>
  <c r="F84" i="17"/>
  <c r="D84" i="17"/>
  <c r="C84" i="17"/>
  <c r="B84" i="17"/>
  <c r="I83" i="17"/>
  <c r="F83" i="17"/>
  <c r="D83" i="17"/>
  <c r="C83" i="17"/>
  <c r="B83" i="17"/>
  <c r="I82" i="17"/>
  <c r="J84" i="17" s="1"/>
  <c r="F82" i="17"/>
  <c r="D82" i="17"/>
  <c r="C82" i="17"/>
  <c r="B82" i="17"/>
  <c r="J81" i="17"/>
  <c r="I81" i="17"/>
  <c r="J83" i="17" s="1"/>
  <c r="F81" i="17"/>
  <c r="D81" i="17"/>
  <c r="C81" i="17"/>
  <c r="B81" i="17"/>
  <c r="I80" i="17"/>
  <c r="J82" i="17" s="1"/>
  <c r="F80" i="17"/>
  <c r="D80" i="17"/>
  <c r="C80" i="17"/>
  <c r="B80" i="17"/>
  <c r="I79" i="17"/>
  <c r="F79" i="17"/>
  <c r="D79" i="17"/>
  <c r="C79" i="17"/>
  <c r="B79" i="17"/>
  <c r="I78" i="17"/>
  <c r="J80" i="17" s="1"/>
  <c r="F78" i="17"/>
  <c r="D78" i="17"/>
  <c r="C78" i="17"/>
  <c r="B78" i="17"/>
  <c r="J77" i="17"/>
  <c r="I77" i="17"/>
  <c r="J79" i="17" s="1"/>
  <c r="F77" i="17"/>
  <c r="D77" i="17"/>
  <c r="C77" i="17"/>
  <c r="B77" i="17"/>
  <c r="I76" i="17"/>
  <c r="J78" i="17" s="1"/>
  <c r="F76" i="17"/>
  <c r="D76" i="17"/>
  <c r="C76" i="17"/>
  <c r="B76" i="17"/>
  <c r="I75" i="17"/>
  <c r="F75" i="17"/>
  <c r="D75" i="17"/>
  <c r="C75" i="17"/>
  <c r="B75" i="17"/>
  <c r="I74" i="17"/>
  <c r="J76" i="17" s="1"/>
  <c r="F74" i="17"/>
  <c r="D74" i="17"/>
  <c r="C74" i="17"/>
  <c r="B74" i="17"/>
  <c r="J73" i="17"/>
  <c r="I73" i="17"/>
  <c r="J75" i="17" s="1"/>
  <c r="F73" i="17"/>
  <c r="D73" i="17"/>
  <c r="C73" i="17"/>
  <c r="B73" i="17"/>
  <c r="I72" i="17"/>
  <c r="J74" i="17" s="1"/>
  <c r="F72" i="17"/>
  <c r="D72" i="17"/>
  <c r="C72" i="17"/>
  <c r="B72" i="17"/>
  <c r="I71" i="17"/>
  <c r="F71" i="17"/>
  <c r="D71" i="17"/>
  <c r="C71" i="17"/>
  <c r="B71" i="17"/>
  <c r="I70" i="17"/>
  <c r="J72" i="17" s="1"/>
  <c r="F70" i="17"/>
  <c r="D70" i="17"/>
  <c r="C70" i="17"/>
  <c r="B70" i="17"/>
  <c r="J69" i="17"/>
  <c r="I69" i="17"/>
  <c r="J71" i="17" s="1"/>
  <c r="F69" i="17"/>
  <c r="D69" i="17"/>
  <c r="C69" i="17"/>
  <c r="B69" i="17"/>
  <c r="I68" i="17"/>
  <c r="J70" i="17" s="1"/>
  <c r="F68" i="17"/>
  <c r="D68" i="17"/>
  <c r="C68" i="17"/>
  <c r="B68" i="17"/>
  <c r="I67" i="17"/>
  <c r="F67" i="17"/>
  <c r="D67" i="17"/>
  <c r="C67" i="17"/>
  <c r="B67" i="17"/>
  <c r="I66" i="17"/>
  <c r="J68" i="17" s="1"/>
  <c r="F66" i="17"/>
  <c r="D66" i="17"/>
  <c r="C66" i="17"/>
  <c r="B66" i="17"/>
  <c r="J65" i="17"/>
  <c r="I65" i="17"/>
  <c r="J67" i="17" s="1"/>
  <c r="F65" i="17"/>
  <c r="D65" i="17"/>
  <c r="C65" i="17"/>
  <c r="B65" i="17"/>
  <c r="I64" i="17"/>
  <c r="J66" i="17" s="1"/>
  <c r="F64" i="17"/>
  <c r="D64" i="17"/>
  <c r="C64" i="17"/>
  <c r="B64" i="17"/>
  <c r="I63" i="17"/>
  <c r="F63" i="17"/>
  <c r="D63" i="17"/>
  <c r="C63" i="17"/>
  <c r="B63" i="17"/>
  <c r="I62" i="17"/>
  <c r="J64" i="17" s="1"/>
  <c r="F62" i="17"/>
  <c r="D62" i="17"/>
  <c r="C62" i="17"/>
  <c r="B62" i="17"/>
  <c r="J61" i="17"/>
  <c r="I61" i="17"/>
  <c r="J63" i="17" s="1"/>
  <c r="F61" i="17"/>
  <c r="D61" i="17"/>
  <c r="C61" i="17"/>
  <c r="B61" i="17"/>
  <c r="I60" i="17"/>
  <c r="J62" i="17" s="1"/>
  <c r="F60" i="17"/>
  <c r="D60" i="17"/>
  <c r="C60" i="17"/>
  <c r="B60" i="17"/>
  <c r="I59" i="17"/>
  <c r="F59" i="17"/>
  <c r="D59" i="17"/>
  <c r="C59" i="17"/>
  <c r="B59" i="17"/>
  <c r="I58" i="17"/>
  <c r="J60" i="17" s="1"/>
  <c r="F58" i="17"/>
  <c r="D58" i="17"/>
  <c r="C58" i="17"/>
  <c r="B58" i="17"/>
  <c r="J57" i="17"/>
  <c r="I57" i="17"/>
  <c r="J59" i="17" s="1"/>
  <c r="F57" i="17"/>
  <c r="D57" i="17"/>
  <c r="C57" i="17"/>
  <c r="B57" i="17"/>
  <c r="I56" i="17"/>
  <c r="J58" i="17" s="1"/>
  <c r="F56" i="17"/>
  <c r="D56" i="17"/>
  <c r="C56" i="17"/>
  <c r="B56" i="17"/>
  <c r="I55" i="17"/>
  <c r="F55" i="17"/>
  <c r="D55" i="17"/>
  <c r="C55" i="17"/>
  <c r="B55" i="17"/>
  <c r="I54" i="17"/>
  <c r="J56" i="17" s="1"/>
  <c r="F54" i="17"/>
  <c r="D54" i="17"/>
  <c r="C54" i="17"/>
  <c r="B54" i="17"/>
  <c r="J53" i="17"/>
  <c r="I53" i="17"/>
  <c r="J55" i="17" s="1"/>
  <c r="F53" i="17"/>
  <c r="D53" i="17"/>
  <c r="C53" i="17"/>
  <c r="B53" i="17"/>
  <c r="I52" i="17"/>
  <c r="J54" i="17" s="1"/>
  <c r="F52" i="17"/>
  <c r="D52" i="17"/>
  <c r="C52" i="17"/>
  <c r="B52" i="17"/>
  <c r="I51" i="17"/>
  <c r="F51" i="17"/>
  <c r="D51" i="17"/>
  <c r="C51" i="17"/>
  <c r="B51" i="17"/>
  <c r="I50" i="17"/>
  <c r="J52" i="17" s="1"/>
  <c r="F50" i="17"/>
  <c r="D50" i="17"/>
  <c r="C50" i="17"/>
  <c r="B50" i="17"/>
  <c r="J49" i="17"/>
  <c r="I49" i="17"/>
  <c r="J51" i="17" s="1"/>
  <c r="F49" i="17"/>
  <c r="D49" i="17"/>
  <c r="C49" i="17"/>
  <c r="B49" i="17"/>
  <c r="I48" i="17"/>
  <c r="J50" i="17" s="1"/>
  <c r="F48" i="17"/>
  <c r="D48" i="17"/>
  <c r="C48" i="17"/>
  <c r="B48" i="17"/>
  <c r="I47" i="17"/>
  <c r="F47" i="17"/>
  <c r="D47" i="17"/>
  <c r="C47" i="17"/>
  <c r="B47" i="17"/>
  <c r="I46" i="17"/>
  <c r="J48" i="17" s="1"/>
  <c r="F46" i="17"/>
  <c r="D46" i="17"/>
  <c r="C46" i="17"/>
  <c r="B46" i="17"/>
  <c r="J45" i="17"/>
  <c r="I45" i="17"/>
  <c r="J47" i="17" s="1"/>
  <c r="F45" i="17"/>
  <c r="D45" i="17"/>
  <c r="C45" i="17"/>
  <c r="B45" i="17"/>
  <c r="I44" i="17"/>
  <c r="J46" i="17" s="1"/>
  <c r="F44" i="17"/>
  <c r="D44" i="17"/>
  <c r="C44" i="17"/>
  <c r="B44" i="17"/>
  <c r="I43" i="17"/>
  <c r="F43" i="17"/>
  <c r="D43" i="17"/>
  <c r="C43" i="17"/>
  <c r="B43" i="17"/>
  <c r="I42" i="17"/>
  <c r="J44" i="17" s="1"/>
  <c r="F42" i="17"/>
  <c r="D42" i="17"/>
  <c r="C42" i="17"/>
  <c r="B42" i="17"/>
  <c r="J41" i="17"/>
  <c r="I41" i="17"/>
  <c r="J43" i="17" s="1"/>
  <c r="F41" i="17"/>
  <c r="D41" i="17"/>
  <c r="C41" i="17"/>
  <c r="B41" i="17"/>
  <c r="I40" i="17"/>
  <c r="J42" i="17" s="1"/>
  <c r="F40" i="17"/>
  <c r="D40" i="17"/>
  <c r="C40" i="17"/>
  <c r="B40" i="17"/>
  <c r="I39" i="17"/>
  <c r="F39" i="17"/>
  <c r="D39" i="17"/>
  <c r="C39" i="17"/>
  <c r="B39" i="17"/>
  <c r="I38" i="17"/>
  <c r="J40" i="17" s="1"/>
  <c r="F38" i="17"/>
  <c r="D38" i="17"/>
  <c r="C38" i="17"/>
  <c r="B38" i="17"/>
  <c r="J37" i="17"/>
  <c r="I37" i="17"/>
  <c r="J39" i="17" s="1"/>
  <c r="F37" i="17"/>
  <c r="D37" i="17"/>
  <c r="C37" i="17"/>
  <c r="B37" i="17"/>
  <c r="I36" i="17"/>
  <c r="J38" i="17" s="1"/>
  <c r="F36" i="17"/>
  <c r="D36" i="17"/>
  <c r="C36" i="17"/>
  <c r="B36" i="17"/>
  <c r="I35" i="17"/>
  <c r="F35" i="17"/>
  <c r="D35" i="17"/>
  <c r="C35" i="17"/>
  <c r="B35" i="17"/>
  <c r="I34" i="17"/>
  <c r="J36" i="17" s="1"/>
  <c r="F34" i="17"/>
  <c r="D34" i="17"/>
  <c r="C34" i="17"/>
  <c r="B34" i="17"/>
  <c r="J33" i="17"/>
  <c r="I33" i="17"/>
  <c r="J35" i="17" s="1"/>
  <c r="F33" i="17"/>
  <c r="D33" i="17"/>
  <c r="C33" i="17"/>
  <c r="B33" i="17"/>
  <c r="I32" i="17"/>
  <c r="J34" i="17" s="1"/>
  <c r="F32" i="17"/>
  <c r="D32" i="17"/>
  <c r="C32" i="17"/>
  <c r="B32" i="17"/>
  <c r="I31" i="17"/>
  <c r="F31" i="17"/>
  <c r="D31" i="17"/>
  <c r="C31" i="17"/>
  <c r="B31" i="17"/>
  <c r="I30" i="17"/>
  <c r="J32" i="17" s="1"/>
  <c r="F30" i="17"/>
  <c r="D30" i="17"/>
  <c r="C30" i="17"/>
  <c r="B30" i="17"/>
  <c r="J29" i="17"/>
  <c r="I29" i="17"/>
  <c r="J31" i="17" s="1"/>
  <c r="F29" i="17"/>
  <c r="D29" i="17"/>
  <c r="C29" i="17"/>
  <c r="B29" i="17"/>
  <c r="I28" i="17"/>
  <c r="J30" i="17" s="1"/>
  <c r="F28" i="17"/>
  <c r="D28" i="17"/>
  <c r="C28" i="17"/>
  <c r="B28" i="17"/>
  <c r="I27" i="17"/>
  <c r="F27" i="17"/>
  <c r="D27" i="17"/>
  <c r="C27" i="17"/>
  <c r="B27" i="17"/>
  <c r="I26" i="17"/>
  <c r="J28" i="17" s="1"/>
  <c r="F26" i="17"/>
  <c r="D26" i="17"/>
  <c r="C26" i="17"/>
  <c r="B26" i="17"/>
  <c r="J25" i="17"/>
  <c r="I25" i="17"/>
  <c r="J27" i="17" s="1"/>
  <c r="F25" i="17"/>
  <c r="D25" i="17"/>
  <c r="C25" i="17"/>
  <c r="B25" i="17"/>
  <c r="I24" i="17"/>
  <c r="J26" i="17" s="1"/>
  <c r="F24" i="17"/>
  <c r="D24" i="17"/>
  <c r="C24" i="17"/>
  <c r="B24" i="17"/>
  <c r="I23" i="17"/>
  <c r="F23" i="17"/>
  <c r="D23" i="17"/>
  <c r="C23" i="17"/>
  <c r="B23" i="17"/>
  <c r="I22" i="17"/>
  <c r="J24" i="17" s="1"/>
  <c r="F22" i="17"/>
  <c r="D22" i="17"/>
  <c r="C22" i="17"/>
  <c r="B22" i="17"/>
  <c r="J21" i="17"/>
  <c r="I21" i="17"/>
  <c r="J23" i="17" s="1"/>
  <c r="F21" i="17"/>
  <c r="D21" i="17"/>
  <c r="C21" i="17"/>
  <c r="B21" i="17"/>
  <c r="I20" i="17"/>
  <c r="J22" i="17" s="1"/>
  <c r="F20" i="17"/>
  <c r="D20" i="17"/>
  <c r="C20" i="17"/>
  <c r="B20" i="17"/>
  <c r="I19" i="17"/>
  <c r="F19" i="17"/>
  <c r="D19" i="17"/>
  <c r="C19" i="17"/>
  <c r="B19" i="17"/>
  <c r="I18" i="17"/>
  <c r="J20" i="17" s="1"/>
  <c r="F18" i="17"/>
  <c r="D18" i="17"/>
  <c r="C18" i="17"/>
  <c r="B18" i="17"/>
  <c r="J17" i="17"/>
  <c r="I17" i="17"/>
  <c r="J19" i="17" s="1"/>
  <c r="F17" i="17"/>
  <c r="D17" i="17"/>
  <c r="C17" i="17"/>
  <c r="B17" i="17"/>
  <c r="I16" i="17"/>
  <c r="J18" i="17" s="1"/>
  <c r="F16" i="17"/>
  <c r="D16" i="17"/>
  <c r="C16" i="17"/>
  <c r="B16" i="17"/>
  <c r="I15" i="17"/>
  <c r="F15" i="17"/>
  <c r="D15" i="17"/>
  <c r="C15" i="17"/>
  <c r="B15" i="17"/>
  <c r="I14" i="17"/>
  <c r="J16" i="17" s="1"/>
  <c r="F14" i="17"/>
  <c r="D14" i="17"/>
  <c r="C14" i="17"/>
  <c r="B14" i="17"/>
  <c r="J13" i="17"/>
  <c r="I13" i="17"/>
  <c r="J15" i="17" s="1"/>
  <c r="F13" i="17"/>
  <c r="D13" i="17"/>
  <c r="C13" i="17"/>
  <c r="B13" i="17"/>
  <c r="J12" i="17"/>
  <c r="I12" i="17"/>
  <c r="J14" i="17" s="1"/>
  <c r="F12" i="17"/>
  <c r="D12" i="17"/>
  <c r="J11" i="17"/>
  <c r="I11" i="17"/>
  <c r="F11" i="17"/>
  <c r="D11" i="17"/>
  <c r="G4" i="17"/>
  <c r="K215" i="16"/>
  <c r="I215" i="16"/>
  <c r="D215" i="16"/>
  <c r="C215" i="16"/>
  <c r="A215" i="16"/>
  <c r="K214" i="16"/>
  <c r="J214" i="16"/>
  <c r="I214" i="16"/>
  <c r="D214" i="16"/>
  <c r="C214" i="16"/>
  <c r="A214" i="16"/>
  <c r="K213" i="16"/>
  <c r="I213" i="16"/>
  <c r="J215" i="16" s="1"/>
  <c r="D213" i="16"/>
  <c r="C213" i="16"/>
  <c r="A213" i="16"/>
  <c r="K212" i="16"/>
  <c r="J212" i="16"/>
  <c r="I212" i="16"/>
  <c r="D212" i="16"/>
  <c r="C212" i="16"/>
  <c r="A212" i="16"/>
  <c r="K211" i="16"/>
  <c r="I211" i="16"/>
  <c r="J213" i="16" s="1"/>
  <c r="D211" i="16"/>
  <c r="C211" i="16"/>
  <c r="A211" i="16"/>
  <c r="K210" i="16"/>
  <c r="J210" i="16"/>
  <c r="I210" i="16"/>
  <c r="D210" i="16"/>
  <c r="C210" i="16"/>
  <c r="A210" i="16"/>
  <c r="K209" i="16"/>
  <c r="I209" i="16"/>
  <c r="J211" i="16" s="1"/>
  <c r="D209" i="16"/>
  <c r="C209" i="16"/>
  <c r="A209" i="16"/>
  <c r="K208" i="16"/>
  <c r="J208" i="16"/>
  <c r="I208" i="16"/>
  <c r="D208" i="16"/>
  <c r="C208" i="16"/>
  <c r="A208" i="16"/>
  <c r="K207" i="16"/>
  <c r="I207" i="16"/>
  <c r="J209" i="16" s="1"/>
  <c r="D207" i="16"/>
  <c r="C207" i="16"/>
  <c r="A207" i="16"/>
  <c r="K206" i="16"/>
  <c r="J206" i="16"/>
  <c r="I206" i="16"/>
  <c r="D206" i="16"/>
  <c r="C206" i="16"/>
  <c r="A206" i="16"/>
  <c r="K205" i="16"/>
  <c r="I205" i="16"/>
  <c r="J207" i="16" s="1"/>
  <c r="D205" i="16"/>
  <c r="C205" i="16"/>
  <c r="A205" i="16"/>
  <c r="K204" i="16"/>
  <c r="J204" i="16"/>
  <c r="I204" i="16"/>
  <c r="D204" i="16"/>
  <c r="C204" i="16"/>
  <c r="A204" i="16"/>
  <c r="K203" i="16"/>
  <c r="I203" i="16"/>
  <c r="J205" i="16" s="1"/>
  <c r="D203" i="16"/>
  <c r="C203" i="16"/>
  <c r="A203" i="16"/>
  <c r="K202" i="16"/>
  <c r="J202" i="16"/>
  <c r="I202" i="16"/>
  <c r="D202" i="16"/>
  <c r="C202" i="16"/>
  <c r="A202" i="16"/>
  <c r="K201" i="16"/>
  <c r="I201" i="16"/>
  <c r="J203" i="16" s="1"/>
  <c r="D201" i="16"/>
  <c r="C201" i="16"/>
  <c r="A201" i="16"/>
  <c r="K200" i="16"/>
  <c r="J200" i="16"/>
  <c r="I200" i="16"/>
  <c r="D200" i="16"/>
  <c r="C200" i="16"/>
  <c r="A200" i="16"/>
  <c r="K199" i="16"/>
  <c r="I199" i="16"/>
  <c r="J201" i="16" s="1"/>
  <c r="D199" i="16"/>
  <c r="C199" i="16"/>
  <c r="A199" i="16"/>
  <c r="K198" i="16"/>
  <c r="J198" i="16"/>
  <c r="I198" i="16"/>
  <c r="D198" i="16"/>
  <c r="C198" i="16"/>
  <c r="A198" i="16"/>
  <c r="K197" i="16"/>
  <c r="I197" i="16"/>
  <c r="J199" i="16" s="1"/>
  <c r="D197" i="16"/>
  <c r="C197" i="16"/>
  <c r="A197" i="16"/>
  <c r="K196" i="16"/>
  <c r="J196" i="16"/>
  <c r="I196" i="16"/>
  <c r="D196" i="16"/>
  <c r="C196" i="16"/>
  <c r="A196" i="16"/>
  <c r="K195" i="16"/>
  <c r="I195" i="16"/>
  <c r="J197" i="16" s="1"/>
  <c r="D195" i="16"/>
  <c r="C195" i="16"/>
  <c r="A195" i="16"/>
  <c r="K194" i="16"/>
  <c r="J194" i="16"/>
  <c r="I194" i="16"/>
  <c r="D194" i="16"/>
  <c r="C194" i="16"/>
  <c r="A194" i="16"/>
  <c r="K193" i="16"/>
  <c r="I193" i="16"/>
  <c r="J195" i="16" s="1"/>
  <c r="D193" i="16"/>
  <c r="C193" i="16"/>
  <c r="A193" i="16"/>
  <c r="K192" i="16"/>
  <c r="J192" i="16"/>
  <c r="I192" i="16"/>
  <c r="D192" i="16"/>
  <c r="C192" i="16"/>
  <c r="A192" i="16"/>
  <c r="K191" i="16"/>
  <c r="I191" i="16"/>
  <c r="J193" i="16" s="1"/>
  <c r="D191" i="16"/>
  <c r="C191" i="16"/>
  <c r="A191" i="16"/>
  <c r="K190" i="16"/>
  <c r="J190" i="16"/>
  <c r="I190" i="16"/>
  <c r="D190" i="16"/>
  <c r="C190" i="16"/>
  <c r="A190" i="16"/>
  <c r="K189" i="16"/>
  <c r="I189" i="16"/>
  <c r="J191" i="16" s="1"/>
  <c r="D189" i="16"/>
  <c r="C189" i="16"/>
  <c r="A189" i="16"/>
  <c r="K188" i="16"/>
  <c r="J188" i="16"/>
  <c r="I188" i="16"/>
  <c r="D188" i="16"/>
  <c r="C188" i="16"/>
  <c r="A188" i="16"/>
  <c r="K187" i="16"/>
  <c r="I187" i="16"/>
  <c r="J189" i="16" s="1"/>
  <c r="D187" i="16"/>
  <c r="C187" i="16"/>
  <c r="A187" i="16"/>
  <c r="K186" i="16"/>
  <c r="J186" i="16"/>
  <c r="I186" i="16"/>
  <c r="D186" i="16"/>
  <c r="C186" i="16"/>
  <c r="A186" i="16"/>
  <c r="K185" i="16"/>
  <c r="I185" i="16"/>
  <c r="J187" i="16" s="1"/>
  <c r="D185" i="16"/>
  <c r="C185" i="16"/>
  <c r="A185" i="16"/>
  <c r="K184" i="16"/>
  <c r="J184" i="16"/>
  <c r="I184" i="16"/>
  <c r="D184" i="16"/>
  <c r="C184" i="16"/>
  <c r="A184" i="16"/>
  <c r="K183" i="16"/>
  <c r="I183" i="16"/>
  <c r="J185" i="16" s="1"/>
  <c r="D183" i="16"/>
  <c r="C183" i="16"/>
  <c r="A183" i="16"/>
  <c r="K182" i="16"/>
  <c r="J182" i="16"/>
  <c r="I182" i="16"/>
  <c r="D182" i="16"/>
  <c r="C182" i="16"/>
  <c r="A182" i="16"/>
  <c r="K181" i="16"/>
  <c r="I181" i="16"/>
  <c r="J183" i="16" s="1"/>
  <c r="D181" i="16"/>
  <c r="C181" i="16"/>
  <c r="A181" i="16"/>
  <c r="K180" i="16"/>
  <c r="J180" i="16"/>
  <c r="I180" i="16"/>
  <c r="D180" i="16"/>
  <c r="C180" i="16"/>
  <c r="A180" i="16"/>
  <c r="K179" i="16"/>
  <c r="I179" i="16"/>
  <c r="J181" i="16" s="1"/>
  <c r="D179" i="16"/>
  <c r="C179" i="16"/>
  <c r="A179" i="16"/>
  <c r="K178" i="16"/>
  <c r="J178" i="16"/>
  <c r="I178" i="16"/>
  <c r="D178" i="16"/>
  <c r="C178" i="16"/>
  <c r="A178" i="16"/>
  <c r="K177" i="16"/>
  <c r="I177" i="16"/>
  <c r="J179" i="16" s="1"/>
  <c r="D177" i="16"/>
  <c r="C177" i="16"/>
  <c r="A177" i="16"/>
  <c r="K176" i="16"/>
  <c r="J176" i="16"/>
  <c r="I176" i="16"/>
  <c r="D176" i="16"/>
  <c r="C176" i="16"/>
  <c r="A176" i="16"/>
  <c r="K175" i="16"/>
  <c r="I175" i="16"/>
  <c r="J177" i="16" s="1"/>
  <c r="D175" i="16"/>
  <c r="C175" i="16"/>
  <c r="A175" i="16"/>
  <c r="K174" i="16"/>
  <c r="J174" i="16"/>
  <c r="I174" i="16"/>
  <c r="D174" i="16"/>
  <c r="C174" i="16"/>
  <c r="A174" i="16"/>
  <c r="K173" i="16"/>
  <c r="I173" i="16"/>
  <c r="J175" i="16" s="1"/>
  <c r="D173" i="16"/>
  <c r="C173" i="16"/>
  <c r="A173" i="16"/>
  <c r="K172" i="16"/>
  <c r="J172" i="16"/>
  <c r="I172" i="16"/>
  <c r="D172" i="16"/>
  <c r="C172" i="16"/>
  <c r="A172" i="16"/>
  <c r="K171" i="16"/>
  <c r="I171" i="16"/>
  <c r="J173" i="16" s="1"/>
  <c r="D171" i="16"/>
  <c r="C171" i="16"/>
  <c r="A171" i="16"/>
  <c r="K170" i="16"/>
  <c r="J170" i="16"/>
  <c r="I170" i="16"/>
  <c r="D170" i="16"/>
  <c r="C170" i="16"/>
  <c r="A170" i="16"/>
  <c r="K169" i="16"/>
  <c r="I169" i="16"/>
  <c r="J171" i="16" s="1"/>
  <c r="D169" i="16"/>
  <c r="C169" i="16"/>
  <c r="A169" i="16"/>
  <c r="K168" i="16"/>
  <c r="J168" i="16"/>
  <c r="I168" i="16"/>
  <c r="D168" i="16"/>
  <c r="C168" i="16"/>
  <c r="A168" i="16"/>
  <c r="K167" i="16"/>
  <c r="I167" i="16"/>
  <c r="J169" i="16" s="1"/>
  <c r="D167" i="16"/>
  <c r="C167" i="16"/>
  <c r="A167" i="16"/>
  <c r="K166" i="16"/>
  <c r="J166" i="16"/>
  <c r="I166" i="16"/>
  <c r="D166" i="16"/>
  <c r="C166" i="16"/>
  <c r="A166" i="16"/>
  <c r="K165" i="16"/>
  <c r="I165" i="16"/>
  <c r="J167" i="16" s="1"/>
  <c r="D165" i="16"/>
  <c r="C165" i="16"/>
  <c r="A165" i="16"/>
  <c r="K164" i="16"/>
  <c r="J164" i="16"/>
  <c r="I164" i="16"/>
  <c r="D164" i="16"/>
  <c r="C164" i="16"/>
  <c r="A164" i="16"/>
  <c r="K163" i="16"/>
  <c r="I163" i="16"/>
  <c r="J165" i="16" s="1"/>
  <c r="D163" i="16"/>
  <c r="C163" i="16"/>
  <c r="A163" i="16"/>
  <c r="K162" i="16"/>
  <c r="J162" i="16"/>
  <c r="I162" i="16"/>
  <c r="D162" i="16"/>
  <c r="C162" i="16"/>
  <c r="A162" i="16"/>
  <c r="K161" i="16"/>
  <c r="I161" i="16"/>
  <c r="J163" i="16" s="1"/>
  <c r="D161" i="16"/>
  <c r="C161" i="16"/>
  <c r="A161" i="16"/>
  <c r="K160" i="16"/>
  <c r="J160" i="16"/>
  <c r="I160" i="16"/>
  <c r="D160" i="16"/>
  <c r="C160" i="16"/>
  <c r="A160" i="16"/>
  <c r="K159" i="16"/>
  <c r="I159" i="16"/>
  <c r="J161" i="16" s="1"/>
  <c r="D159" i="16"/>
  <c r="C159" i="16"/>
  <c r="A159" i="16"/>
  <c r="K158" i="16"/>
  <c r="J158" i="16"/>
  <c r="I158" i="16"/>
  <c r="D158" i="16"/>
  <c r="C158" i="16"/>
  <c r="A158" i="16"/>
  <c r="K157" i="16"/>
  <c r="I157" i="16"/>
  <c r="J159" i="16" s="1"/>
  <c r="D157" i="16"/>
  <c r="C157" i="16"/>
  <c r="A157" i="16"/>
  <c r="K156" i="16"/>
  <c r="J156" i="16"/>
  <c r="I156" i="16"/>
  <c r="D156" i="16"/>
  <c r="C156" i="16"/>
  <c r="A156" i="16"/>
  <c r="K155" i="16"/>
  <c r="I155" i="16"/>
  <c r="J157" i="16" s="1"/>
  <c r="D155" i="16"/>
  <c r="C155" i="16"/>
  <c r="A155" i="16"/>
  <c r="K154" i="16"/>
  <c r="J154" i="16"/>
  <c r="I154" i="16"/>
  <c r="D154" i="16"/>
  <c r="C154" i="16"/>
  <c r="A154" i="16"/>
  <c r="K153" i="16"/>
  <c r="I153" i="16"/>
  <c r="J155" i="16" s="1"/>
  <c r="D153" i="16"/>
  <c r="C153" i="16"/>
  <c r="A153" i="16"/>
  <c r="K152" i="16"/>
  <c r="J152" i="16"/>
  <c r="I152" i="16"/>
  <c r="D152" i="16"/>
  <c r="C152" i="16"/>
  <c r="A152" i="16"/>
  <c r="K151" i="16"/>
  <c r="I151" i="16"/>
  <c r="J153" i="16" s="1"/>
  <c r="D151" i="16"/>
  <c r="C151" i="16"/>
  <c r="A151" i="16"/>
  <c r="K150" i="16"/>
  <c r="J150" i="16"/>
  <c r="I150" i="16"/>
  <c r="D150" i="16"/>
  <c r="C150" i="16"/>
  <c r="A150" i="16"/>
  <c r="K149" i="16"/>
  <c r="I149" i="16"/>
  <c r="J151" i="16" s="1"/>
  <c r="D149" i="16"/>
  <c r="C149" i="16"/>
  <c r="A149" i="16"/>
  <c r="K148" i="16"/>
  <c r="J148" i="16"/>
  <c r="I148" i="16"/>
  <c r="D148" i="16"/>
  <c r="C148" i="16"/>
  <c r="A148" i="16"/>
  <c r="K147" i="16"/>
  <c r="I147" i="16"/>
  <c r="J149" i="16" s="1"/>
  <c r="D147" i="16"/>
  <c r="C147" i="16"/>
  <c r="A147" i="16"/>
  <c r="K146" i="16"/>
  <c r="J146" i="16"/>
  <c r="I146" i="16"/>
  <c r="D146" i="16"/>
  <c r="C146" i="16"/>
  <c r="A146" i="16"/>
  <c r="K145" i="16"/>
  <c r="I145" i="16"/>
  <c r="J147" i="16" s="1"/>
  <c r="D145" i="16"/>
  <c r="C145" i="16"/>
  <c r="A145" i="16"/>
  <c r="K144" i="16"/>
  <c r="J144" i="16"/>
  <c r="I144" i="16"/>
  <c r="D144" i="16"/>
  <c r="C144" i="16"/>
  <c r="A144" i="16"/>
  <c r="K143" i="16"/>
  <c r="I143" i="16"/>
  <c r="J145" i="16" s="1"/>
  <c r="D143" i="16"/>
  <c r="C143" i="16"/>
  <c r="A143" i="16"/>
  <c r="K142" i="16"/>
  <c r="J142" i="16"/>
  <c r="I142" i="16"/>
  <c r="D142" i="16"/>
  <c r="C142" i="16"/>
  <c r="A142" i="16"/>
  <c r="K141" i="16"/>
  <c r="I141" i="16"/>
  <c r="J143" i="16" s="1"/>
  <c r="D141" i="16"/>
  <c r="C141" i="16"/>
  <c r="A141" i="16"/>
  <c r="K140" i="16"/>
  <c r="J140" i="16"/>
  <c r="I140" i="16"/>
  <c r="D140" i="16"/>
  <c r="C140" i="16"/>
  <c r="A140" i="16"/>
  <c r="K139" i="16"/>
  <c r="I139" i="16"/>
  <c r="J141" i="16" s="1"/>
  <c r="D139" i="16"/>
  <c r="C139" i="16"/>
  <c r="A139" i="16"/>
  <c r="K138" i="16"/>
  <c r="J138" i="16"/>
  <c r="I138" i="16"/>
  <c r="D138" i="16"/>
  <c r="C138" i="16"/>
  <c r="A138" i="16"/>
  <c r="K137" i="16"/>
  <c r="I137" i="16"/>
  <c r="J139" i="16" s="1"/>
  <c r="D137" i="16"/>
  <c r="C137" i="16"/>
  <c r="A137" i="16"/>
  <c r="K136" i="16"/>
  <c r="J136" i="16"/>
  <c r="I136" i="16"/>
  <c r="D136" i="16"/>
  <c r="C136" i="16"/>
  <c r="A136" i="16"/>
  <c r="K135" i="16"/>
  <c r="I135" i="16"/>
  <c r="J137" i="16" s="1"/>
  <c r="D135" i="16"/>
  <c r="C135" i="16"/>
  <c r="A135" i="16"/>
  <c r="K134" i="16"/>
  <c r="J134" i="16"/>
  <c r="I134" i="16"/>
  <c r="D134" i="16"/>
  <c r="C134" i="16"/>
  <c r="A134" i="16"/>
  <c r="K133" i="16"/>
  <c r="I133" i="16"/>
  <c r="J135" i="16" s="1"/>
  <c r="D133" i="16"/>
  <c r="C133" i="16"/>
  <c r="A133" i="16"/>
  <c r="K132" i="16"/>
  <c r="J132" i="16"/>
  <c r="I132" i="16"/>
  <c r="D132" i="16"/>
  <c r="C132" i="16"/>
  <c r="A132" i="16"/>
  <c r="K131" i="16"/>
  <c r="I131" i="16"/>
  <c r="J133" i="16" s="1"/>
  <c r="D131" i="16"/>
  <c r="C131" i="16"/>
  <c r="A131" i="16"/>
  <c r="K130" i="16"/>
  <c r="J130" i="16"/>
  <c r="I130" i="16"/>
  <c r="D130" i="16"/>
  <c r="C130" i="16"/>
  <c r="A130" i="16"/>
  <c r="K129" i="16"/>
  <c r="I129" i="16"/>
  <c r="J131" i="16" s="1"/>
  <c r="D129" i="16"/>
  <c r="C129" i="16"/>
  <c r="A129" i="16"/>
  <c r="K128" i="16"/>
  <c r="J128" i="16"/>
  <c r="I128" i="16"/>
  <c r="D128" i="16"/>
  <c r="C128" i="16"/>
  <c r="A128" i="16"/>
  <c r="K127" i="16"/>
  <c r="I127" i="16"/>
  <c r="J129" i="16" s="1"/>
  <c r="D127" i="16"/>
  <c r="C127" i="16"/>
  <c r="A127" i="16"/>
  <c r="K126" i="16"/>
  <c r="J126" i="16"/>
  <c r="I126" i="16"/>
  <c r="D126" i="16"/>
  <c r="C126" i="16"/>
  <c r="A126" i="16"/>
  <c r="K125" i="16"/>
  <c r="I125" i="16"/>
  <c r="J127" i="16" s="1"/>
  <c r="D125" i="16"/>
  <c r="C125" i="16"/>
  <c r="A125" i="16"/>
  <c r="K124" i="16"/>
  <c r="J124" i="16"/>
  <c r="I124" i="16"/>
  <c r="D124" i="16"/>
  <c r="C124" i="16"/>
  <c r="A124" i="16"/>
  <c r="K123" i="16"/>
  <c r="I123" i="16"/>
  <c r="J125" i="16" s="1"/>
  <c r="D123" i="16"/>
  <c r="C123" i="16"/>
  <c r="A123" i="16"/>
  <c r="K122" i="16"/>
  <c r="J122" i="16"/>
  <c r="I122" i="16"/>
  <c r="D122" i="16"/>
  <c r="C122" i="16"/>
  <c r="A122" i="16"/>
  <c r="K121" i="16"/>
  <c r="I121" i="16"/>
  <c r="J123" i="16" s="1"/>
  <c r="D121" i="16"/>
  <c r="C121" i="16"/>
  <c r="A121" i="16"/>
  <c r="K120" i="16"/>
  <c r="J120" i="16"/>
  <c r="I120" i="16"/>
  <c r="D120" i="16"/>
  <c r="C120" i="16"/>
  <c r="A120" i="16"/>
  <c r="K119" i="16"/>
  <c r="I119" i="16"/>
  <c r="J121" i="16" s="1"/>
  <c r="D119" i="16"/>
  <c r="C119" i="16"/>
  <c r="A119" i="16"/>
  <c r="K118" i="16"/>
  <c r="J118" i="16"/>
  <c r="I118" i="16"/>
  <c r="D118" i="16"/>
  <c r="C118" i="16"/>
  <c r="A118" i="16"/>
  <c r="K117" i="16"/>
  <c r="I117" i="16"/>
  <c r="J119" i="16" s="1"/>
  <c r="D117" i="16"/>
  <c r="C117" i="16"/>
  <c r="A117" i="16"/>
  <c r="K116" i="16"/>
  <c r="J116" i="16"/>
  <c r="I116" i="16"/>
  <c r="D116" i="16"/>
  <c r="C116" i="16"/>
  <c r="A116" i="16"/>
  <c r="K115" i="16"/>
  <c r="I115" i="16"/>
  <c r="J117" i="16" s="1"/>
  <c r="D115" i="16"/>
  <c r="C115" i="16"/>
  <c r="A115" i="16"/>
  <c r="K114" i="16"/>
  <c r="J114" i="16"/>
  <c r="I114" i="16"/>
  <c r="D114" i="16"/>
  <c r="C114" i="16"/>
  <c r="A114" i="16"/>
  <c r="K113" i="16"/>
  <c r="I113" i="16"/>
  <c r="J115" i="16" s="1"/>
  <c r="D113" i="16"/>
  <c r="C113" i="16"/>
  <c r="A113" i="16"/>
  <c r="K112" i="16"/>
  <c r="J112" i="16"/>
  <c r="I112" i="16"/>
  <c r="D112" i="16"/>
  <c r="C112" i="16"/>
  <c r="A112" i="16"/>
  <c r="K111" i="16"/>
  <c r="I111" i="16"/>
  <c r="J113" i="16" s="1"/>
  <c r="D111" i="16"/>
  <c r="C111" i="16"/>
  <c r="A111" i="16"/>
  <c r="K110" i="16"/>
  <c r="J110" i="16"/>
  <c r="I110" i="16"/>
  <c r="D110" i="16"/>
  <c r="C110" i="16"/>
  <c r="A110" i="16"/>
  <c r="K109" i="16"/>
  <c r="I109" i="16"/>
  <c r="J111" i="16" s="1"/>
  <c r="D109" i="16"/>
  <c r="C109" i="16"/>
  <c r="A109" i="16"/>
  <c r="K108" i="16"/>
  <c r="J108" i="16"/>
  <c r="I108" i="16"/>
  <c r="D108" i="16"/>
  <c r="C108" i="16"/>
  <c r="A108" i="16"/>
  <c r="K107" i="16"/>
  <c r="I107" i="16"/>
  <c r="J109" i="16" s="1"/>
  <c r="D107" i="16"/>
  <c r="C107" i="16"/>
  <c r="A107" i="16"/>
  <c r="K106" i="16"/>
  <c r="J106" i="16"/>
  <c r="I106" i="16"/>
  <c r="D106" i="16"/>
  <c r="C106" i="16"/>
  <c r="A106" i="16"/>
  <c r="K105" i="16"/>
  <c r="I105" i="16"/>
  <c r="J107" i="16" s="1"/>
  <c r="D105" i="16"/>
  <c r="C105" i="16"/>
  <c r="A105" i="16"/>
  <c r="K104" i="16"/>
  <c r="J104" i="16"/>
  <c r="I104" i="16"/>
  <c r="D104" i="16"/>
  <c r="C104" i="16"/>
  <c r="A104" i="16"/>
  <c r="K103" i="16"/>
  <c r="I103" i="16"/>
  <c r="J105" i="16" s="1"/>
  <c r="D103" i="16"/>
  <c r="C103" i="16"/>
  <c r="A103" i="16"/>
  <c r="K102" i="16"/>
  <c r="J102" i="16"/>
  <c r="I102" i="16"/>
  <c r="D102" i="16"/>
  <c r="C102" i="16"/>
  <c r="A102" i="16"/>
  <c r="K101" i="16"/>
  <c r="I101" i="16"/>
  <c r="J103" i="16" s="1"/>
  <c r="D101" i="16"/>
  <c r="C101" i="16"/>
  <c r="A101" i="16"/>
  <c r="K100" i="16"/>
  <c r="J100" i="16"/>
  <c r="I100" i="16"/>
  <c r="D100" i="16"/>
  <c r="C100" i="16"/>
  <c r="A100" i="16"/>
  <c r="K99" i="16"/>
  <c r="I99" i="16"/>
  <c r="J101" i="16" s="1"/>
  <c r="D99" i="16"/>
  <c r="C99" i="16"/>
  <c r="A99" i="16"/>
  <c r="K98" i="16"/>
  <c r="J98" i="16"/>
  <c r="I98" i="16"/>
  <c r="D98" i="16"/>
  <c r="C98" i="16"/>
  <c r="A98" i="16"/>
  <c r="K97" i="16"/>
  <c r="I97" i="16"/>
  <c r="J99" i="16" s="1"/>
  <c r="D97" i="16"/>
  <c r="C97" i="16"/>
  <c r="A97" i="16"/>
  <c r="K96" i="16"/>
  <c r="I96" i="16"/>
  <c r="D96" i="16"/>
  <c r="C96" i="16"/>
  <c r="A96" i="16"/>
  <c r="K95" i="16"/>
  <c r="I95" i="16"/>
  <c r="J97" i="16" s="1"/>
  <c r="D95" i="16"/>
  <c r="C95" i="16"/>
  <c r="A95" i="16"/>
  <c r="K94" i="16"/>
  <c r="J94" i="16"/>
  <c r="I94" i="16"/>
  <c r="J96" i="16" s="1"/>
  <c r="D94" i="16"/>
  <c r="C94" i="16"/>
  <c r="A94" i="16"/>
  <c r="K93" i="16"/>
  <c r="I93" i="16"/>
  <c r="J95" i="16" s="1"/>
  <c r="D93" i="16"/>
  <c r="C93" i="16"/>
  <c r="A93" i="16"/>
  <c r="K92" i="16"/>
  <c r="I92" i="16"/>
  <c r="D92" i="16"/>
  <c r="C92" i="16"/>
  <c r="A92" i="16"/>
  <c r="K91" i="16"/>
  <c r="I91" i="16"/>
  <c r="J93" i="16" s="1"/>
  <c r="D91" i="16"/>
  <c r="C91" i="16"/>
  <c r="A91" i="16"/>
  <c r="K90" i="16"/>
  <c r="J90" i="16"/>
  <c r="I90" i="16"/>
  <c r="J92" i="16" s="1"/>
  <c r="D90" i="16"/>
  <c r="C90" i="16"/>
  <c r="A90" i="16"/>
  <c r="K89" i="16"/>
  <c r="I89" i="16"/>
  <c r="J91" i="16" s="1"/>
  <c r="D89" i="16"/>
  <c r="C89" i="16"/>
  <c r="A89" i="16"/>
  <c r="K88" i="16"/>
  <c r="I88" i="16"/>
  <c r="D88" i="16"/>
  <c r="C88" i="16"/>
  <c r="A88" i="16"/>
  <c r="K87" i="16"/>
  <c r="I87" i="16"/>
  <c r="J89" i="16" s="1"/>
  <c r="D87" i="16"/>
  <c r="C87" i="16"/>
  <c r="A87" i="16"/>
  <c r="K86" i="16"/>
  <c r="J86" i="16"/>
  <c r="I86" i="16"/>
  <c r="J88" i="16" s="1"/>
  <c r="D86" i="16"/>
  <c r="C86" i="16"/>
  <c r="A86" i="16"/>
  <c r="K85" i="16"/>
  <c r="I85" i="16"/>
  <c r="J87" i="16" s="1"/>
  <c r="D85" i="16"/>
  <c r="C85" i="16"/>
  <c r="A85" i="16"/>
  <c r="K84" i="16"/>
  <c r="I84" i="16"/>
  <c r="D84" i="16"/>
  <c r="C84" i="16"/>
  <c r="A84" i="16"/>
  <c r="K83" i="16"/>
  <c r="I83" i="16"/>
  <c r="J85" i="16" s="1"/>
  <c r="D83" i="16"/>
  <c r="C83" i="16"/>
  <c r="A83" i="16"/>
  <c r="K82" i="16"/>
  <c r="J82" i="16"/>
  <c r="I82" i="16"/>
  <c r="J84" i="16" s="1"/>
  <c r="D82" i="16"/>
  <c r="C82" i="16"/>
  <c r="A82" i="16"/>
  <c r="K81" i="16"/>
  <c r="I81" i="16"/>
  <c r="J83" i="16" s="1"/>
  <c r="D81" i="16"/>
  <c r="C81" i="16"/>
  <c r="A81" i="16"/>
  <c r="K80" i="16"/>
  <c r="I80" i="16"/>
  <c r="D80" i="16"/>
  <c r="C80" i="16"/>
  <c r="A80" i="16"/>
  <c r="K79" i="16"/>
  <c r="I79" i="16"/>
  <c r="J81" i="16" s="1"/>
  <c r="D79" i="16"/>
  <c r="C79" i="16"/>
  <c r="A79" i="16"/>
  <c r="K78" i="16"/>
  <c r="J78" i="16"/>
  <c r="I78" i="16"/>
  <c r="J80" i="16" s="1"/>
  <c r="D78" i="16"/>
  <c r="C78" i="16"/>
  <c r="A78" i="16"/>
  <c r="K77" i="16"/>
  <c r="I77" i="16"/>
  <c r="J79" i="16" s="1"/>
  <c r="D77" i="16"/>
  <c r="C77" i="16"/>
  <c r="A77" i="16"/>
  <c r="K76" i="16"/>
  <c r="I76" i="16"/>
  <c r="D76" i="16"/>
  <c r="C76" i="16"/>
  <c r="A76" i="16"/>
  <c r="K75" i="16"/>
  <c r="I75" i="16"/>
  <c r="J77" i="16" s="1"/>
  <c r="D75" i="16"/>
  <c r="C75" i="16"/>
  <c r="A75" i="16"/>
  <c r="K74" i="16"/>
  <c r="J74" i="16"/>
  <c r="I74" i="16"/>
  <c r="J76" i="16" s="1"/>
  <c r="D74" i="16"/>
  <c r="C74" i="16"/>
  <c r="A74" i="16"/>
  <c r="K73" i="16"/>
  <c r="I73" i="16"/>
  <c r="J75" i="16" s="1"/>
  <c r="D73" i="16"/>
  <c r="C73" i="16"/>
  <c r="A73" i="16"/>
  <c r="K72" i="16"/>
  <c r="I72" i="16"/>
  <c r="D72" i="16"/>
  <c r="C72" i="16"/>
  <c r="A72" i="16"/>
  <c r="K71" i="16"/>
  <c r="I71" i="16"/>
  <c r="J73" i="16" s="1"/>
  <c r="D71" i="16"/>
  <c r="C71" i="16"/>
  <c r="A71" i="16"/>
  <c r="K70" i="16"/>
  <c r="J70" i="16"/>
  <c r="I70" i="16"/>
  <c r="J72" i="16" s="1"/>
  <c r="D70" i="16"/>
  <c r="C70" i="16"/>
  <c r="A70" i="16"/>
  <c r="K69" i="16"/>
  <c r="I69" i="16"/>
  <c r="J71" i="16" s="1"/>
  <c r="D69" i="16"/>
  <c r="C69" i="16"/>
  <c r="A69" i="16"/>
  <c r="K68" i="16"/>
  <c r="I68" i="16"/>
  <c r="D68" i="16"/>
  <c r="C68" i="16"/>
  <c r="A68" i="16"/>
  <c r="K67" i="16"/>
  <c r="I67" i="16"/>
  <c r="J69" i="16" s="1"/>
  <c r="D67" i="16"/>
  <c r="C67" i="16"/>
  <c r="A67" i="16"/>
  <c r="K66" i="16"/>
  <c r="J66" i="16"/>
  <c r="I66" i="16"/>
  <c r="J68" i="16" s="1"/>
  <c r="D66" i="16"/>
  <c r="C66" i="16"/>
  <c r="A66" i="16"/>
  <c r="K65" i="16"/>
  <c r="I65" i="16"/>
  <c r="J67" i="16" s="1"/>
  <c r="D65" i="16"/>
  <c r="C65" i="16"/>
  <c r="A65" i="16"/>
  <c r="K64" i="16"/>
  <c r="I64" i="16"/>
  <c r="D64" i="16"/>
  <c r="C64" i="16"/>
  <c r="A64" i="16"/>
  <c r="K63" i="16"/>
  <c r="I63" i="16"/>
  <c r="J65" i="16" s="1"/>
  <c r="D63" i="16"/>
  <c r="C63" i="16"/>
  <c r="A63" i="16"/>
  <c r="K62" i="16"/>
  <c r="J62" i="16"/>
  <c r="I62" i="16"/>
  <c r="J64" i="16" s="1"/>
  <c r="D62" i="16"/>
  <c r="C62" i="16"/>
  <c r="A62" i="16"/>
  <c r="K61" i="16"/>
  <c r="I61" i="16"/>
  <c r="J63" i="16" s="1"/>
  <c r="D61" i="16"/>
  <c r="C61" i="16"/>
  <c r="A61" i="16"/>
  <c r="K60" i="16"/>
  <c r="I60" i="16"/>
  <c r="D60" i="16"/>
  <c r="C60" i="16"/>
  <c r="A60" i="16"/>
  <c r="K59" i="16"/>
  <c r="I59" i="16"/>
  <c r="J61" i="16" s="1"/>
  <c r="D59" i="16"/>
  <c r="C59" i="16"/>
  <c r="A59" i="16"/>
  <c r="K58" i="16"/>
  <c r="J58" i="16"/>
  <c r="I58" i="16"/>
  <c r="J60" i="16" s="1"/>
  <c r="D58" i="16"/>
  <c r="C58" i="16"/>
  <c r="A58" i="16"/>
  <c r="K57" i="16"/>
  <c r="I57" i="16"/>
  <c r="J59" i="16" s="1"/>
  <c r="D57" i="16"/>
  <c r="C57" i="16"/>
  <c r="A57" i="16"/>
  <c r="K56" i="16"/>
  <c r="I56" i="16"/>
  <c r="D56" i="16"/>
  <c r="C56" i="16"/>
  <c r="A56" i="16"/>
  <c r="K55" i="16"/>
  <c r="I55" i="16"/>
  <c r="J57" i="16" s="1"/>
  <c r="D55" i="16"/>
  <c r="C55" i="16"/>
  <c r="A55" i="16"/>
  <c r="K54" i="16"/>
  <c r="J54" i="16"/>
  <c r="I54" i="16"/>
  <c r="J56" i="16" s="1"/>
  <c r="D54" i="16"/>
  <c r="C54" i="16"/>
  <c r="A54" i="16"/>
  <c r="K53" i="16"/>
  <c r="I53" i="16"/>
  <c r="J55" i="16" s="1"/>
  <c r="D53" i="16"/>
  <c r="C53" i="16"/>
  <c r="A53" i="16"/>
  <c r="K52" i="16"/>
  <c r="I52" i="16"/>
  <c r="D52" i="16"/>
  <c r="C52" i="16"/>
  <c r="A52" i="16"/>
  <c r="K51" i="16"/>
  <c r="I51" i="16"/>
  <c r="J53" i="16" s="1"/>
  <c r="D51" i="16"/>
  <c r="C51" i="16"/>
  <c r="A51" i="16"/>
  <c r="K50" i="16"/>
  <c r="J50" i="16"/>
  <c r="I50" i="16"/>
  <c r="J52" i="16" s="1"/>
  <c r="D50" i="16"/>
  <c r="C50" i="16"/>
  <c r="A50" i="16"/>
  <c r="K49" i="16"/>
  <c r="I49" i="16"/>
  <c r="J51" i="16" s="1"/>
  <c r="D49" i="16"/>
  <c r="C49" i="16"/>
  <c r="A49" i="16"/>
  <c r="K48" i="16"/>
  <c r="I48" i="16"/>
  <c r="D48" i="16"/>
  <c r="C48" i="16"/>
  <c r="A48" i="16"/>
  <c r="K47" i="16"/>
  <c r="I47" i="16"/>
  <c r="J49" i="16" s="1"/>
  <c r="D47" i="16"/>
  <c r="C47" i="16"/>
  <c r="A47" i="16"/>
  <c r="K46" i="16"/>
  <c r="J46" i="16"/>
  <c r="I46" i="16"/>
  <c r="J48" i="16" s="1"/>
  <c r="D46" i="16"/>
  <c r="C46" i="16"/>
  <c r="A46" i="16"/>
  <c r="K45" i="16"/>
  <c r="I45" i="16"/>
  <c r="J47" i="16" s="1"/>
  <c r="D45" i="16"/>
  <c r="C45" i="16"/>
  <c r="A45" i="16"/>
  <c r="K44" i="16"/>
  <c r="I44" i="16"/>
  <c r="D44" i="16"/>
  <c r="C44" i="16"/>
  <c r="A44" i="16"/>
  <c r="K43" i="16"/>
  <c r="I43" i="16"/>
  <c r="J45" i="16" s="1"/>
  <c r="D43" i="16"/>
  <c r="C43" i="16"/>
  <c r="A43" i="16"/>
  <c r="K42" i="16"/>
  <c r="J42" i="16"/>
  <c r="I42" i="16"/>
  <c r="J44" i="16" s="1"/>
  <c r="D42" i="16"/>
  <c r="C42" i="16"/>
  <c r="A42" i="16"/>
  <c r="K41" i="16"/>
  <c r="I41" i="16"/>
  <c r="J43" i="16" s="1"/>
  <c r="D41" i="16"/>
  <c r="C41" i="16"/>
  <c r="A41" i="16"/>
  <c r="K40" i="16"/>
  <c r="I40" i="16"/>
  <c r="D40" i="16"/>
  <c r="C40" i="16"/>
  <c r="A40" i="16"/>
  <c r="K39" i="16"/>
  <c r="I39" i="16"/>
  <c r="J41" i="16" s="1"/>
  <c r="D39" i="16"/>
  <c r="C39" i="16"/>
  <c r="A39" i="16"/>
  <c r="K38" i="16"/>
  <c r="J38" i="16"/>
  <c r="I38" i="16"/>
  <c r="J40" i="16" s="1"/>
  <c r="D38" i="16"/>
  <c r="C38" i="16"/>
  <c r="A38" i="16"/>
  <c r="K37" i="16"/>
  <c r="I37" i="16"/>
  <c r="J39" i="16" s="1"/>
  <c r="D37" i="16"/>
  <c r="C37" i="16"/>
  <c r="A37" i="16"/>
  <c r="K36" i="16"/>
  <c r="I36" i="16"/>
  <c r="D36" i="16"/>
  <c r="C36" i="16"/>
  <c r="A36" i="16"/>
  <c r="K35" i="16"/>
  <c r="I35" i="16"/>
  <c r="J37" i="16" s="1"/>
  <c r="D35" i="16"/>
  <c r="C35" i="16"/>
  <c r="A35" i="16"/>
  <c r="K34" i="16"/>
  <c r="J34" i="16"/>
  <c r="I34" i="16"/>
  <c r="J36" i="16" s="1"/>
  <c r="D34" i="16"/>
  <c r="C34" i="16"/>
  <c r="A34" i="16"/>
  <c r="K33" i="16"/>
  <c r="I33" i="16"/>
  <c r="J35" i="16" s="1"/>
  <c r="D33" i="16"/>
  <c r="C33" i="16"/>
  <c r="A33" i="16"/>
  <c r="K32" i="16"/>
  <c r="I32" i="16"/>
  <c r="D32" i="16"/>
  <c r="C32" i="16"/>
  <c r="A32" i="16"/>
  <c r="K31" i="16"/>
  <c r="I31" i="16"/>
  <c r="J33" i="16" s="1"/>
  <c r="D31" i="16"/>
  <c r="C31" i="16"/>
  <c r="A31" i="16"/>
  <c r="K30" i="16"/>
  <c r="I30" i="16"/>
  <c r="J32" i="16" s="1"/>
  <c r="D30" i="16"/>
  <c r="C30" i="16"/>
  <c r="A30" i="16"/>
  <c r="K29" i="16"/>
  <c r="I29" i="16"/>
  <c r="J31" i="16" s="1"/>
  <c r="D29" i="16"/>
  <c r="C29" i="16"/>
  <c r="A29" i="16"/>
  <c r="K28" i="16"/>
  <c r="I28" i="16"/>
  <c r="J30" i="16" s="1"/>
  <c r="D28" i="16"/>
  <c r="C28" i="16"/>
  <c r="A28" i="16"/>
  <c r="K27" i="16"/>
  <c r="I27" i="16"/>
  <c r="J29" i="16" s="1"/>
  <c r="D27" i="16"/>
  <c r="C27" i="16"/>
  <c r="A27" i="16"/>
  <c r="K26" i="16"/>
  <c r="I26" i="16"/>
  <c r="J28" i="16" s="1"/>
  <c r="D26" i="16"/>
  <c r="C26" i="16"/>
  <c r="A26" i="16"/>
  <c r="K25" i="16"/>
  <c r="I25" i="16"/>
  <c r="J27" i="16" s="1"/>
  <c r="D25" i="16"/>
  <c r="C25" i="16"/>
  <c r="A25" i="16"/>
  <c r="K24" i="16"/>
  <c r="I24" i="16"/>
  <c r="J26" i="16" s="1"/>
  <c r="D24" i="16"/>
  <c r="C24" i="16"/>
  <c r="A24" i="16"/>
  <c r="K23" i="16"/>
  <c r="I23" i="16"/>
  <c r="J25" i="16" s="1"/>
  <c r="D23" i="16"/>
  <c r="C23" i="16"/>
  <c r="A23" i="16"/>
  <c r="K22" i="16"/>
  <c r="I22" i="16"/>
  <c r="J24" i="16" s="1"/>
  <c r="D22" i="16"/>
  <c r="C22" i="16"/>
  <c r="A22" i="16"/>
  <c r="K21" i="16"/>
  <c r="J21" i="16"/>
  <c r="I21" i="16"/>
  <c r="J23" i="16" s="1"/>
  <c r="D21" i="16"/>
  <c r="C21" i="16"/>
  <c r="A21" i="16"/>
  <c r="K20" i="16"/>
  <c r="I20" i="16"/>
  <c r="J22" i="16" s="1"/>
  <c r="D20" i="16"/>
  <c r="C20" i="16"/>
  <c r="A20" i="16"/>
  <c r="K19" i="16"/>
  <c r="I19" i="16"/>
  <c r="D19" i="16"/>
  <c r="C19" i="16"/>
  <c r="A19" i="16"/>
  <c r="K18" i="16"/>
  <c r="I18" i="16"/>
  <c r="J20" i="16" s="1"/>
  <c r="D18" i="16"/>
  <c r="C18" i="16"/>
  <c r="A18" i="16"/>
  <c r="K17" i="16"/>
  <c r="J17" i="16"/>
  <c r="I17" i="16"/>
  <c r="J19" i="16" s="1"/>
  <c r="D17" i="16"/>
  <c r="A17" i="16"/>
  <c r="K16" i="16"/>
  <c r="J16" i="16"/>
  <c r="I16" i="16"/>
  <c r="J18" i="16" s="1"/>
  <c r="D16" i="16"/>
  <c r="C16" i="16"/>
  <c r="A16" i="16"/>
  <c r="B11" i="16"/>
  <c r="B10" i="16"/>
  <c r="G4" i="16"/>
  <c r="J210" i="15"/>
  <c r="G210" i="15"/>
  <c r="D210" i="15"/>
  <c r="C210" i="15"/>
  <c r="B210" i="15"/>
  <c r="J209" i="15"/>
  <c r="G209" i="15"/>
  <c r="D209" i="15"/>
  <c r="C209" i="15"/>
  <c r="B209" i="15"/>
  <c r="J208" i="15"/>
  <c r="K210" i="15" s="1"/>
  <c r="G208" i="15"/>
  <c r="D208" i="15"/>
  <c r="C208" i="15"/>
  <c r="B208" i="15"/>
  <c r="J207" i="15"/>
  <c r="K209" i="15" s="1"/>
  <c r="G207" i="15"/>
  <c r="D207" i="15"/>
  <c r="C207" i="15"/>
  <c r="B207" i="15"/>
  <c r="J206" i="15"/>
  <c r="K208" i="15" s="1"/>
  <c r="G206" i="15"/>
  <c r="D206" i="15"/>
  <c r="C206" i="15"/>
  <c r="B206" i="15"/>
  <c r="J205" i="15"/>
  <c r="K207" i="15" s="1"/>
  <c r="G205" i="15"/>
  <c r="D205" i="15"/>
  <c r="C205" i="15"/>
  <c r="B205" i="15"/>
  <c r="J204" i="15"/>
  <c r="K206" i="15" s="1"/>
  <c r="G204" i="15"/>
  <c r="D204" i="15"/>
  <c r="C204" i="15"/>
  <c r="B204" i="15"/>
  <c r="J203" i="15"/>
  <c r="K205" i="15" s="1"/>
  <c r="G203" i="15"/>
  <c r="D203" i="15"/>
  <c r="C203" i="15"/>
  <c r="B203" i="15"/>
  <c r="J202" i="15"/>
  <c r="K204" i="15" s="1"/>
  <c r="G202" i="15"/>
  <c r="D202" i="15"/>
  <c r="C202" i="15"/>
  <c r="B202" i="15"/>
  <c r="J201" i="15"/>
  <c r="K203" i="15" s="1"/>
  <c r="G201" i="15"/>
  <c r="D201" i="15"/>
  <c r="C201" i="15"/>
  <c r="B201" i="15"/>
  <c r="J200" i="15"/>
  <c r="K202" i="15" s="1"/>
  <c r="G200" i="15"/>
  <c r="D200" i="15"/>
  <c r="C200" i="15"/>
  <c r="B200" i="15"/>
  <c r="J199" i="15"/>
  <c r="K201" i="15" s="1"/>
  <c r="G199" i="15"/>
  <c r="D199" i="15"/>
  <c r="C199" i="15"/>
  <c r="B199" i="15"/>
  <c r="J198" i="15"/>
  <c r="K200" i="15" s="1"/>
  <c r="G198" i="15"/>
  <c r="D198" i="15"/>
  <c r="C198" i="15"/>
  <c r="B198" i="15"/>
  <c r="J197" i="15"/>
  <c r="K199" i="15" s="1"/>
  <c r="G197" i="15"/>
  <c r="D197" i="15"/>
  <c r="C197" i="15"/>
  <c r="B197" i="15"/>
  <c r="J196" i="15"/>
  <c r="K198" i="15" s="1"/>
  <c r="G196" i="15"/>
  <c r="D196" i="15"/>
  <c r="C196" i="15"/>
  <c r="B196" i="15"/>
  <c r="J195" i="15"/>
  <c r="K197" i="15" s="1"/>
  <c r="G195" i="15"/>
  <c r="D195" i="15"/>
  <c r="C195" i="15"/>
  <c r="B195" i="15"/>
  <c r="J194" i="15"/>
  <c r="K196" i="15" s="1"/>
  <c r="G194" i="15"/>
  <c r="D194" i="15"/>
  <c r="C194" i="15"/>
  <c r="B194" i="15"/>
  <c r="J193" i="15"/>
  <c r="K195" i="15" s="1"/>
  <c r="G193" i="15"/>
  <c r="D193" i="15"/>
  <c r="C193" i="15"/>
  <c r="B193" i="15"/>
  <c r="J192" i="15"/>
  <c r="K194" i="15" s="1"/>
  <c r="G192" i="15"/>
  <c r="D192" i="15"/>
  <c r="C192" i="15"/>
  <c r="B192" i="15"/>
  <c r="J191" i="15"/>
  <c r="K193" i="15" s="1"/>
  <c r="G191" i="15"/>
  <c r="D191" i="15"/>
  <c r="C191" i="15"/>
  <c r="B191" i="15"/>
  <c r="J190" i="15"/>
  <c r="K192" i="15" s="1"/>
  <c r="G190" i="15"/>
  <c r="D190" i="15"/>
  <c r="C190" i="15"/>
  <c r="B190" i="15"/>
  <c r="J189" i="15"/>
  <c r="K191" i="15" s="1"/>
  <c r="G189" i="15"/>
  <c r="D189" i="15"/>
  <c r="C189" i="15"/>
  <c r="B189" i="15"/>
  <c r="J188" i="15"/>
  <c r="K190" i="15" s="1"/>
  <c r="G188" i="15"/>
  <c r="D188" i="15"/>
  <c r="C188" i="15"/>
  <c r="B188" i="15"/>
  <c r="J187" i="15"/>
  <c r="K189" i="15" s="1"/>
  <c r="G187" i="15"/>
  <c r="D187" i="15"/>
  <c r="C187" i="15"/>
  <c r="B187" i="15"/>
  <c r="J186" i="15"/>
  <c r="K188" i="15" s="1"/>
  <c r="G186" i="15"/>
  <c r="D186" i="15"/>
  <c r="C186" i="15"/>
  <c r="B186" i="15"/>
  <c r="J185" i="15"/>
  <c r="K187" i="15" s="1"/>
  <c r="G185" i="15"/>
  <c r="D185" i="15"/>
  <c r="C185" i="15"/>
  <c r="B185" i="15"/>
  <c r="J184" i="15"/>
  <c r="K186" i="15" s="1"/>
  <c r="G184" i="15"/>
  <c r="D184" i="15"/>
  <c r="C184" i="15"/>
  <c r="B184" i="15"/>
  <c r="J183" i="15"/>
  <c r="K185" i="15" s="1"/>
  <c r="G183" i="15"/>
  <c r="D183" i="15"/>
  <c r="C183" i="15"/>
  <c r="B183" i="15"/>
  <c r="J182" i="15"/>
  <c r="K184" i="15" s="1"/>
  <c r="G182" i="15"/>
  <c r="D182" i="15"/>
  <c r="C182" i="15"/>
  <c r="B182" i="15"/>
  <c r="J181" i="15"/>
  <c r="K183" i="15" s="1"/>
  <c r="G181" i="15"/>
  <c r="D181" i="15"/>
  <c r="C181" i="15"/>
  <c r="B181" i="15"/>
  <c r="J180" i="15"/>
  <c r="K182" i="15" s="1"/>
  <c r="G180" i="15"/>
  <c r="D180" i="15"/>
  <c r="C180" i="15"/>
  <c r="B180" i="15"/>
  <c r="J179" i="15"/>
  <c r="K181" i="15" s="1"/>
  <c r="G179" i="15"/>
  <c r="D179" i="15"/>
  <c r="C179" i="15"/>
  <c r="B179" i="15"/>
  <c r="J178" i="15"/>
  <c r="K180" i="15" s="1"/>
  <c r="G178" i="15"/>
  <c r="D178" i="15"/>
  <c r="C178" i="15"/>
  <c r="B178" i="15"/>
  <c r="J177" i="15"/>
  <c r="K179" i="15" s="1"/>
  <c r="G177" i="15"/>
  <c r="D177" i="15"/>
  <c r="C177" i="15"/>
  <c r="B177" i="15"/>
  <c r="J176" i="15"/>
  <c r="K178" i="15" s="1"/>
  <c r="G176" i="15"/>
  <c r="D176" i="15"/>
  <c r="C176" i="15"/>
  <c r="B176" i="15"/>
  <c r="J175" i="15"/>
  <c r="K177" i="15" s="1"/>
  <c r="G175" i="15"/>
  <c r="D175" i="15"/>
  <c r="C175" i="15"/>
  <c r="B175" i="15"/>
  <c r="J174" i="15"/>
  <c r="K176" i="15" s="1"/>
  <c r="G174" i="15"/>
  <c r="D174" i="15"/>
  <c r="C174" i="15"/>
  <c r="B174" i="15"/>
  <c r="J173" i="15"/>
  <c r="K175" i="15" s="1"/>
  <c r="G173" i="15"/>
  <c r="D173" i="15"/>
  <c r="C173" i="15"/>
  <c r="B173" i="15"/>
  <c r="J172" i="15"/>
  <c r="K174" i="15" s="1"/>
  <c r="G172" i="15"/>
  <c r="D172" i="15"/>
  <c r="C172" i="15"/>
  <c r="B172" i="15"/>
  <c r="J171" i="15"/>
  <c r="K173" i="15" s="1"/>
  <c r="G171" i="15"/>
  <c r="D171" i="15"/>
  <c r="C171" i="15"/>
  <c r="B171" i="15"/>
  <c r="J170" i="15"/>
  <c r="K172" i="15" s="1"/>
  <c r="G170" i="15"/>
  <c r="D170" i="15"/>
  <c r="C170" i="15"/>
  <c r="B170" i="15"/>
  <c r="J169" i="15"/>
  <c r="K171" i="15" s="1"/>
  <c r="G169" i="15"/>
  <c r="D169" i="15"/>
  <c r="C169" i="15"/>
  <c r="B169" i="15"/>
  <c r="J168" i="15"/>
  <c r="K170" i="15" s="1"/>
  <c r="G168" i="15"/>
  <c r="D168" i="15"/>
  <c r="C168" i="15"/>
  <c r="B168" i="15"/>
  <c r="J167" i="15"/>
  <c r="K169" i="15" s="1"/>
  <c r="G167" i="15"/>
  <c r="D167" i="15"/>
  <c r="C167" i="15"/>
  <c r="B167" i="15"/>
  <c r="J166" i="15"/>
  <c r="K168" i="15" s="1"/>
  <c r="G166" i="15"/>
  <c r="D166" i="15"/>
  <c r="C166" i="15"/>
  <c r="B166" i="15"/>
  <c r="J165" i="15"/>
  <c r="K167" i="15" s="1"/>
  <c r="G165" i="15"/>
  <c r="D165" i="15"/>
  <c r="C165" i="15"/>
  <c r="B165" i="15"/>
  <c r="J164" i="15"/>
  <c r="K166" i="15" s="1"/>
  <c r="G164" i="15"/>
  <c r="D164" i="15"/>
  <c r="C164" i="15"/>
  <c r="B164" i="15"/>
  <c r="J163" i="15"/>
  <c r="K165" i="15" s="1"/>
  <c r="G163" i="15"/>
  <c r="D163" i="15"/>
  <c r="C163" i="15"/>
  <c r="B163" i="15"/>
  <c r="J162" i="15"/>
  <c r="K164" i="15" s="1"/>
  <c r="G162" i="15"/>
  <c r="D162" i="15"/>
  <c r="C162" i="15"/>
  <c r="B162" i="15"/>
  <c r="J161" i="15"/>
  <c r="K163" i="15" s="1"/>
  <c r="G161" i="15"/>
  <c r="D161" i="15"/>
  <c r="C161" i="15"/>
  <c r="B161" i="15"/>
  <c r="J160" i="15"/>
  <c r="K162" i="15" s="1"/>
  <c r="G160" i="15"/>
  <c r="D160" i="15"/>
  <c r="C160" i="15"/>
  <c r="B160" i="15"/>
  <c r="J159" i="15"/>
  <c r="K161" i="15" s="1"/>
  <c r="G159" i="15"/>
  <c r="D159" i="15"/>
  <c r="C159" i="15"/>
  <c r="B159" i="15"/>
  <c r="J158" i="15"/>
  <c r="K160" i="15" s="1"/>
  <c r="G158" i="15"/>
  <c r="D158" i="15"/>
  <c r="C158" i="15"/>
  <c r="B158" i="15"/>
  <c r="J157" i="15"/>
  <c r="K159" i="15" s="1"/>
  <c r="G157" i="15"/>
  <c r="D157" i="15"/>
  <c r="C157" i="15"/>
  <c r="B157" i="15"/>
  <c r="J156" i="15"/>
  <c r="K158" i="15" s="1"/>
  <c r="G156" i="15"/>
  <c r="D156" i="15"/>
  <c r="C156" i="15"/>
  <c r="B156" i="15"/>
  <c r="J155" i="15"/>
  <c r="K157" i="15" s="1"/>
  <c r="G155" i="15"/>
  <c r="D155" i="15"/>
  <c r="C155" i="15"/>
  <c r="B155" i="15"/>
  <c r="J154" i="15"/>
  <c r="K156" i="15" s="1"/>
  <c r="G154" i="15"/>
  <c r="D154" i="15"/>
  <c r="C154" i="15"/>
  <c r="B154" i="15"/>
  <c r="J153" i="15"/>
  <c r="K155" i="15" s="1"/>
  <c r="G153" i="15"/>
  <c r="D153" i="15"/>
  <c r="C153" i="15"/>
  <c r="B153" i="15"/>
  <c r="J152" i="15"/>
  <c r="K154" i="15" s="1"/>
  <c r="G152" i="15"/>
  <c r="D152" i="15"/>
  <c r="C152" i="15"/>
  <c r="B152" i="15"/>
  <c r="J151" i="15"/>
  <c r="K153" i="15" s="1"/>
  <c r="G151" i="15"/>
  <c r="D151" i="15"/>
  <c r="C151" i="15"/>
  <c r="B151" i="15"/>
  <c r="J150" i="15"/>
  <c r="K152" i="15" s="1"/>
  <c r="G150" i="15"/>
  <c r="D150" i="15"/>
  <c r="C150" i="15"/>
  <c r="B150" i="15"/>
  <c r="J149" i="15"/>
  <c r="K151" i="15" s="1"/>
  <c r="G149" i="15"/>
  <c r="D149" i="15"/>
  <c r="C149" i="15"/>
  <c r="B149" i="15"/>
  <c r="J148" i="15"/>
  <c r="K150" i="15" s="1"/>
  <c r="G148" i="15"/>
  <c r="D148" i="15"/>
  <c r="C148" i="15"/>
  <c r="B148" i="15"/>
  <c r="J147" i="15"/>
  <c r="K149" i="15" s="1"/>
  <c r="G147" i="15"/>
  <c r="D147" i="15"/>
  <c r="C147" i="15"/>
  <c r="B147" i="15"/>
  <c r="J146" i="15"/>
  <c r="K148" i="15" s="1"/>
  <c r="G146" i="15"/>
  <c r="D146" i="15"/>
  <c r="C146" i="15"/>
  <c r="B146" i="15"/>
  <c r="J145" i="15"/>
  <c r="K147" i="15" s="1"/>
  <c r="G145" i="15"/>
  <c r="D145" i="15"/>
  <c r="C145" i="15"/>
  <c r="B145" i="15"/>
  <c r="J144" i="15"/>
  <c r="K146" i="15" s="1"/>
  <c r="G144" i="15"/>
  <c r="D144" i="15"/>
  <c r="C144" i="15"/>
  <c r="B144" i="15"/>
  <c r="J143" i="15"/>
  <c r="K145" i="15" s="1"/>
  <c r="G143" i="15"/>
  <c r="D143" i="15"/>
  <c r="C143" i="15"/>
  <c r="B143" i="15"/>
  <c r="J142" i="15"/>
  <c r="K144" i="15" s="1"/>
  <c r="G142" i="15"/>
  <c r="D142" i="15"/>
  <c r="C142" i="15"/>
  <c r="B142" i="15"/>
  <c r="J141" i="15"/>
  <c r="K143" i="15" s="1"/>
  <c r="G141" i="15"/>
  <c r="D141" i="15"/>
  <c r="C141" i="15"/>
  <c r="B141" i="15"/>
  <c r="J140" i="15"/>
  <c r="K142" i="15" s="1"/>
  <c r="G140" i="15"/>
  <c r="D140" i="15"/>
  <c r="C140" i="15"/>
  <c r="B140" i="15"/>
  <c r="J139" i="15"/>
  <c r="K141" i="15" s="1"/>
  <c r="G139" i="15"/>
  <c r="D139" i="15"/>
  <c r="C139" i="15"/>
  <c r="B139" i="15"/>
  <c r="J138" i="15"/>
  <c r="K140" i="15" s="1"/>
  <c r="G138" i="15"/>
  <c r="D138" i="15"/>
  <c r="C138" i="15"/>
  <c r="B138" i="15"/>
  <c r="J137" i="15"/>
  <c r="K139" i="15" s="1"/>
  <c r="G137" i="15"/>
  <c r="D137" i="15"/>
  <c r="C137" i="15"/>
  <c r="B137" i="15"/>
  <c r="J136" i="15"/>
  <c r="K138" i="15" s="1"/>
  <c r="G136" i="15"/>
  <c r="D136" i="15"/>
  <c r="C136" i="15"/>
  <c r="B136" i="15"/>
  <c r="J135" i="15"/>
  <c r="K137" i="15" s="1"/>
  <c r="G135" i="15"/>
  <c r="D135" i="15"/>
  <c r="C135" i="15"/>
  <c r="B135" i="15"/>
  <c r="J134" i="15"/>
  <c r="K136" i="15" s="1"/>
  <c r="G134" i="15"/>
  <c r="D134" i="15"/>
  <c r="C134" i="15"/>
  <c r="B134" i="15"/>
  <c r="J133" i="15"/>
  <c r="K135" i="15" s="1"/>
  <c r="G133" i="15"/>
  <c r="D133" i="15"/>
  <c r="C133" i="15"/>
  <c r="B133" i="15"/>
  <c r="J132" i="15"/>
  <c r="K134" i="15" s="1"/>
  <c r="G132" i="15"/>
  <c r="D132" i="15"/>
  <c r="C132" i="15"/>
  <c r="B132" i="15"/>
  <c r="J131" i="15"/>
  <c r="K133" i="15" s="1"/>
  <c r="G131" i="15"/>
  <c r="D131" i="15"/>
  <c r="C131" i="15"/>
  <c r="B131" i="15"/>
  <c r="J130" i="15"/>
  <c r="K132" i="15" s="1"/>
  <c r="G130" i="15"/>
  <c r="D130" i="15"/>
  <c r="C130" i="15"/>
  <c r="B130" i="15"/>
  <c r="J129" i="15"/>
  <c r="K131" i="15" s="1"/>
  <c r="G129" i="15"/>
  <c r="D129" i="15"/>
  <c r="C129" i="15"/>
  <c r="B129" i="15"/>
  <c r="J128" i="15"/>
  <c r="K130" i="15" s="1"/>
  <c r="G128" i="15"/>
  <c r="D128" i="15"/>
  <c r="C128" i="15"/>
  <c r="B128" i="15"/>
  <c r="J127" i="15"/>
  <c r="K129" i="15" s="1"/>
  <c r="G127" i="15"/>
  <c r="D127" i="15"/>
  <c r="C127" i="15"/>
  <c r="B127" i="15"/>
  <c r="J126" i="15"/>
  <c r="K128" i="15" s="1"/>
  <c r="G126" i="15"/>
  <c r="D126" i="15"/>
  <c r="C126" i="15"/>
  <c r="B126" i="15"/>
  <c r="J125" i="15"/>
  <c r="K127" i="15" s="1"/>
  <c r="G125" i="15"/>
  <c r="D125" i="15"/>
  <c r="C125" i="15"/>
  <c r="B125" i="15"/>
  <c r="J124" i="15"/>
  <c r="K126" i="15" s="1"/>
  <c r="G124" i="15"/>
  <c r="D124" i="15"/>
  <c r="C124" i="15"/>
  <c r="B124" i="15"/>
  <c r="J123" i="15"/>
  <c r="K125" i="15" s="1"/>
  <c r="G123" i="15"/>
  <c r="D123" i="15"/>
  <c r="C123" i="15"/>
  <c r="B123" i="15"/>
  <c r="J122" i="15"/>
  <c r="K124" i="15" s="1"/>
  <c r="G122" i="15"/>
  <c r="D122" i="15"/>
  <c r="C122" i="15"/>
  <c r="B122" i="15"/>
  <c r="J121" i="15"/>
  <c r="K123" i="15" s="1"/>
  <c r="G121" i="15"/>
  <c r="D121" i="15"/>
  <c r="C121" i="15"/>
  <c r="B121" i="15"/>
  <c r="J120" i="15"/>
  <c r="K122" i="15" s="1"/>
  <c r="G120" i="15"/>
  <c r="D120" i="15"/>
  <c r="C120" i="15"/>
  <c r="B120" i="15"/>
  <c r="J119" i="15"/>
  <c r="K121" i="15" s="1"/>
  <c r="G119" i="15"/>
  <c r="D119" i="15"/>
  <c r="C119" i="15"/>
  <c r="B119" i="15"/>
  <c r="J118" i="15"/>
  <c r="K120" i="15" s="1"/>
  <c r="G118" i="15"/>
  <c r="D118" i="15"/>
  <c r="C118" i="15"/>
  <c r="B118" i="15"/>
  <c r="J117" i="15"/>
  <c r="K119" i="15" s="1"/>
  <c r="G117" i="15"/>
  <c r="D117" i="15"/>
  <c r="C117" i="15"/>
  <c r="B117" i="15"/>
  <c r="J116" i="15"/>
  <c r="K118" i="15" s="1"/>
  <c r="G116" i="15"/>
  <c r="D116" i="15"/>
  <c r="C116" i="15"/>
  <c r="B116" i="15"/>
  <c r="J115" i="15"/>
  <c r="K117" i="15" s="1"/>
  <c r="G115" i="15"/>
  <c r="D115" i="15"/>
  <c r="C115" i="15"/>
  <c r="B115" i="15"/>
  <c r="J114" i="15"/>
  <c r="K116" i="15" s="1"/>
  <c r="G114" i="15"/>
  <c r="D114" i="15"/>
  <c r="C114" i="15"/>
  <c r="B114" i="15"/>
  <c r="J113" i="15"/>
  <c r="K115" i="15" s="1"/>
  <c r="G113" i="15"/>
  <c r="D113" i="15"/>
  <c r="C113" i="15"/>
  <c r="B113" i="15"/>
  <c r="J112" i="15"/>
  <c r="K114" i="15" s="1"/>
  <c r="G112" i="15"/>
  <c r="D112" i="15"/>
  <c r="C112" i="15"/>
  <c r="B112" i="15"/>
  <c r="J111" i="15"/>
  <c r="K113" i="15" s="1"/>
  <c r="G111" i="15"/>
  <c r="D111" i="15"/>
  <c r="C111" i="15"/>
  <c r="B111" i="15"/>
  <c r="J110" i="15"/>
  <c r="K112" i="15" s="1"/>
  <c r="G110" i="15"/>
  <c r="D110" i="15"/>
  <c r="C110" i="15"/>
  <c r="B110" i="15"/>
  <c r="J109" i="15"/>
  <c r="K111" i="15" s="1"/>
  <c r="G109" i="15"/>
  <c r="D109" i="15"/>
  <c r="C109" i="15"/>
  <c r="B109" i="15"/>
  <c r="J108" i="15"/>
  <c r="K110" i="15" s="1"/>
  <c r="G108" i="15"/>
  <c r="D108" i="15"/>
  <c r="C108" i="15"/>
  <c r="B108" i="15"/>
  <c r="J107" i="15"/>
  <c r="K109" i="15" s="1"/>
  <c r="G107" i="15"/>
  <c r="D107" i="15"/>
  <c r="C107" i="15"/>
  <c r="B107" i="15"/>
  <c r="J106" i="15"/>
  <c r="K108" i="15" s="1"/>
  <c r="G106" i="15"/>
  <c r="D106" i="15"/>
  <c r="C106" i="15"/>
  <c r="B106" i="15"/>
  <c r="J105" i="15"/>
  <c r="K107" i="15" s="1"/>
  <c r="G105" i="15"/>
  <c r="D105" i="15"/>
  <c r="C105" i="15"/>
  <c r="B105" i="15"/>
  <c r="J104" i="15"/>
  <c r="K106" i="15" s="1"/>
  <c r="G104" i="15"/>
  <c r="D104" i="15"/>
  <c r="C104" i="15"/>
  <c r="B104" i="15"/>
  <c r="J103" i="15"/>
  <c r="K105" i="15" s="1"/>
  <c r="G103" i="15"/>
  <c r="D103" i="15"/>
  <c r="C103" i="15"/>
  <c r="B103" i="15"/>
  <c r="J102" i="15"/>
  <c r="K104" i="15" s="1"/>
  <c r="G102" i="15"/>
  <c r="D102" i="15"/>
  <c r="C102" i="15"/>
  <c r="B102" i="15"/>
  <c r="J101" i="15"/>
  <c r="K103" i="15" s="1"/>
  <c r="G101" i="15"/>
  <c r="D101" i="15"/>
  <c r="C101" i="15"/>
  <c r="B101" i="15"/>
  <c r="J100" i="15"/>
  <c r="K102" i="15" s="1"/>
  <c r="G100" i="15"/>
  <c r="D100" i="15"/>
  <c r="C100" i="15"/>
  <c r="B100" i="15"/>
  <c r="J99" i="15"/>
  <c r="K101" i="15" s="1"/>
  <c r="G99" i="15"/>
  <c r="D99" i="15"/>
  <c r="C99" i="15"/>
  <c r="B99" i="15"/>
  <c r="J98" i="15"/>
  <c r="K100" i="15" s="1"/>
  <c r="G98" i="15"/>
  <c r="D98" i="15"/>
  <c r="C98" i="15"/>
  <c r="B98" i="15"/>
  <c r="J97" i="15"/>
  <c r="K99" i="15" s="1"/>
  <c r="G97" i="15"/>
  <c r="D97" i="15"/>
  <c r="C97" i="15"/>
  <c r="B97" i="15"/>
  <c r="J96" i="15"/>
  <c r="K98" i="15" s="1"/>
  <c r="G96" i="15"/>
  <c r="D96" i="15"/>
  <c r="C96" i="15"/>
  <c r="B96" i="15"/>
  <c r="J95" i="15"/>
  <c r="K97" i="15" s="1"/>
  <c r="G95" i="15"/>
  <c r="D95" i="15"/>
  <c r="C95" i="15"/>
  <c r="B95" i="15"/>
  <c r="J94" i="15"/>
  <c r="K96" i="15" s="1"/>
  <c r="G94" i="15"/>
  <c r="D94" i="15"/>
  <c r="C94" i="15"/>
  <c r="B94" i="15"/>
  <c r="J93" i="15"/>
  <c r="K95" i="15" s="1"/>
  <c r="G93" i="15"/>
  <c r="D93" i="15"/>
  <c r="C93" i="15"/>
  <c r="B93" i="15"/>
  <c r="J92" i="15"/>
  <c r="K94" i="15" s="1"/>
  <c r="G92" i="15"/>
  <c r="D92" i="15"/>
  <c r="C92" i="15"/>
  <c r="B92" i="15"/>
  <c r="J91" i="15"/>
  <c r="K93" i="15" s="1"/>
  <c r="G91" i="15"/>
  <c r="D91" i="15"/>
  <c r="C91" i="15"/>
  <c r="B91" i="15"/>
  <c r="J90" i="15"/>
  <c r="K92" i="15" s="1"/>
  <c r="G90" i="15"/>
  <c r="D90" i="15"/>
  <c r="C90" i="15"/>
  <c r="B90" i="15"/>
  <c r="J89" i="15"/>
  <c r="K91" i="15" s="1"/>
  <c r="G89" i="15"/>
  <c r="D89" i="15"/>
  <c r="C89" i="15"/>
  <c r="B89" i="15"/>
  <c r="J88" i="15"/>
  <c r="K90" i="15" s="1"/>
  <c r="G88" i="15"/>
  <c r="D88" i="15"/>
  <c r="C88" i="15"/>
  <c r="B88" i="15"/>
  <c r="J87" i="15"/>
  <c r="K89" i="15" s="1"/>
  <c r="G87" i="15"/>
  <c r="D87" i="15"/>
  <c r="C87" i="15"/>
  <c r="B87" i="15"/>
  <c r="J86" i="15"/>
  <c r="K88" i="15" s="1"/>
  <c r="G86" i="15"/>
  <c r="D86" i="15"/>
  <c r="C86" i="15"/>
  <c r="B86" i="15"/>
  <c r="J85" i="15"/>
  <c r="K87" i="15" s="1"/>
  <c r="G85" i="15"/>
  <c r="D85" i="15"/>
  <c r="C85" i="15"/>
  <c r="B85" i="15"/>
  <c r="J84" i="15"/>
  <c r="K86" i="15" s="1"/>
  <c r="G84" i="15"/>
  <c r="D84" i="15"/>
  <c r="C84" i="15"/>
  <c r="B84" i="15"/>
  <c r="J83" i="15"/>
  <c r="K85" i="15" s="1"/>
  <c r="G83" i="15"/>
  <c r="D83" i="15"/>
  <c r="C83" i="15"/>
  <c r="B83" i="15"/>
  <c r="J82" i="15"/>
  <c r="K84" i="15" s="1"/>
  <c r="G82" i="15"/>
  <c r="D82" i="15"/>
  <c r="C82" i="15"/>
  <c r="B82" i="15"/>
  <c r="J81" i="15"/>
  <c r="K83" i="15" s="1"/>
  <c r="G81" i="15"/>
  <c r="D81" i="15"/>
  <c r="C81" i="15"/>
  <c r="B81" i="15"/>
  <c r="J80" i="15"/>
  <c r="K82" i="15" s="1"/>
  <c r="G80" i="15"/>
  <c r="D80" i="15"/>
  <c r="C80" i="15"/>
  <c r="B80" i="15"/>
  <c r="J79" i="15"/>
  <c r="K81" i="15" s="1"/>
  <c r="G79" i="15"/>
  <c r="D79" i="15"/>
  <c r="C79" i="15"/>
  <c r="B79" i="15"/>
  <c r="J78" i="15"/>
  <c r="K80" i="15" s="1"/>
  <c r="G78" i="15"/>
  <c r="D78" i="15"/>
  <c r="C78" i="15"/>
  <c r="B78" i="15"/>
  <c r="J77" i="15"/>
  <c r="K79" i="15" s="1"/>
  <c r="G77" i="15"/>
  <c r="D77" i="15"/>
  <c r="C77" i="15"/>
  <c r="B77" i="15"/>
  <c r="J76" i="15"/>
  <c r="K78" i="15" s="1"/>
  <c r="G76" i="15"/>
  <c r="D76" i="15"/>
  <c r="C76" i="15"/>
  <c r="B76" i="15"/>
  <c r="J75" i="15"/>
  <c r="K77" i="15" s="1"/>
  <c r="G75" i="15"/>
  <c r="D75" i="15"/>
  <c r="C75" i="15"/>
  <c r="B75" i="15"/>
  <c r="J74" i="15"/>
  <c r="K76" i="15" s="1"/>
  <c r="G74" i="15"/>
  <c r="D74" i="15"/>
  <c r="C74" i="15"/>
  <c r="B74" i="15"/>
  <c r="J73" i="15"/>
  <c r="K75" i="15" s="1"/>
  <c r="G73" i="15"/>
  <c r="D73" i="15"/>
  <c r="C73" i="15"/>
  <c r="B73" i="15"/>
  <c r="J72" i="15"/>
  <c r="K74" i="15" s="1"/>
  <c r="G72" i="15"/>
  <c r="D72" i="15"/>
  <c r="C72" i="15"/>
  <c r="B72" i="15"/>
  <c r="J71" i="15"/>
  <c r="K73" i="15" s="1"/>
  <c r="G71" i="15"/>
  <c r="D71" i="15"/>
  <c r="C71" i="15"/>
  <c r="B71" i="15"/>
  <c r="J70" i="15"/>
  <c r="K72" i="15" s="1"/>
  <c r="G70" i="15"/>
  <c r="D70" i="15"/>
  <c r="C70" i="15"/>
  <c r="B70" i="15"/>
  <c r="J69" i="15"/>
  <c r="K71" i="15" s="1"/>
  <c r="G69" i="15"/>
  <c r="D69" i="15"/>
  <c r="C69" i="15"/>
  <c r="B69" i="15"/>
  <c r="J68" i="15"/>
  <c r="K70" i="15" s="1"/>
  <c r="G68" i="15"/>
  <c r="D68" i="15"/>
  <c r="C68" i="15"/>
  <c r="B68" i="15"/>
  <c r="J67" i="15"/>
  <c r="K69" i="15" s="1"/>
  <c r="G67" i="15"/>
  <c r="D67" i="15"/>
  <c r="C67" i="15"/>
  <c r="B67" i="15"/>
  <c r="J66" i="15"/>
  <c r="K68" i="15" s="1"/>
  <c r="G66" i="15"/>
  <c r="D66" i="15"/>
  <c r="C66" i="15"/>
  <c r="B66" i="15"/>
  <c r="J65" i="15"/>
  <c r="K67" i="15" s="1"/>
  <c r="G65" i="15"/>
  <c r="D65" i="15"/>
  <c r="C65" i="15"/>
  <c r="B65" i="15"/>
  <c r="J64" i="15"/>
  <c r="K66" i="15" s="1"/>
  <c r="G64" i="15"/>
  <c r="D64" i="15"/>
  <c r="C64" i="15"/>
  <c r="B64" i="15"/>
  <c r="J63" i="15"/>
  <c r="K65" i="15" s="1"/>
  <c r="G63" i="15"/>
  <c r="D63" i="15"/>
  <c r="C63" i="15"/>
  <c r="B63" i="15"/>
  <c r="J62" i="15"/>
  <c r="K64" i="15" s="1"/>
  <c r="G62" i="15"/>
  <c r="D62" i="15"/>
  <c r="C62" i="15"/>
  <c r="B62" i="15"/>
  <c r="J61" i="15"/>
  <c r="K63" i="15" s="1"/>
  <c r="G61" i="15"/>
  <c r="D61" i="15"/>
  <c r="C61" i="15"/>
  <c r="B61" i="15"/>
  <c r="J60" i="15"/>
  <c r="K62" i="15" s="1"/>
  <c r="G60" i="15"/>
  <c r="D60" i="15"/>
  <c r="C60" i="15"/>
  <c r="B60" i="15"/>
  <c r="J59" i="15"/>
  <c r="K61" i="15" s="1"/>
  <c r="G59" i="15"/>
  <c r="D59" i="15"/>
  <c r="C59" i="15"/>
  <c r="B59" i="15"/>
  <c r="J58" i="15"/>
  <c r="K60" i="15" s="1"/>
  <c r="G58" i="15"/>
  <c r="D58" i="15"/>
  <c r="C58" i="15"/>
  <c r="B58" i="15"/>
  <c r="J57" i="15"/>
  <c r="K59" i="15" s="1"/>
  <c r="G57" i="15"/>
  <c r="D57" i="15"/>
  <c r="C57" i="15"/>
  <c r="B57" i="15"/>
  <c r="J56" i="15"/>
  <c r="K58" i="15" s="1"/>
  <c r="G56" i="15"/>
  <c r="D56" i="15"/>
  <c r="C56" i="15"/>
  <c r="B56" i="15"/>
  <c r="J55" i="15"/>
  <c r="K57" i="15" s="1"/>
  <c r="G55" i="15"/>
  <c r="D55" i="15"/>
  <c r="C55" i="15"/>
  <c r="B55" i="15"/>
  <c r="J54" i="15"/>
  <c r="K56" i="15" s="1"/>
  <c r="G54" i="15"/>
  <c r="D54" i="15"/>
  <c r="C54" i="15"/>
  <c r="B54" i="15"/>
  <c r="J53" i="15"/>
  <c r="K55" i="15" s="1"/>
  <c r="G53" i="15"/>
  <c r="D53" i="15"/>
  <c r="C53" i="15"/>
  <c r="B53" i="15"/>
  <c r="J52" i="15"/>
  <c r="K54" i="15" s="1"/>
  <c r="G52" i="15"/>
  <c r="D52" i="15"/>
  <c r="C52" i="15"/>
  <c r="B52" i="15"/>
  <c r="J51" i="15"/>
  <c r="K53" i="15" s="1"/>
  <c r="G51" i="15"/>
  <c r="D51" i="15"/>
  <c r="C51" i="15"/>
  <c r="B51" i="15"/>
  <c r="J50" i="15"/>
  <c r="K52" i="15" s="1"/>
  <c r="G50" i="15"/>
  <c r="D50" i="15"/>
  <c r="C50" i="15"/>
  <c r="B50" i="15"/>
  <c r="J49" i="15"/>
  <c r="K51" i="15" s="1"/>
  <c r="G49" i="15"/>
  <c r="D49" i="15"/>
  <c r="C49" i="15"/>
  <c r="B49" i="15"/>
  <c r="J48" i="15"/>
  <c r="K50" i="15" s="1"/>
  <c r="G48" i="15"/>
  <c r="D48" i="15"/>
  <c r="C48" i="15"/>
  <c r="B48" i="15"/>
  <c r="J47" i="15"/>
  <c r="K49" i="15" s="1"/>
  <c r="G47" i="15"/>
  <c r="D47" i="15"/>
  <c r="C47" i="15"/>
  <c r="B47" i="15"/>
  <c r="J46" i="15"/>
  <c r="K48" i="15" s="1"/>
  <c r="G46" i="15"/>
  <c r="D46" i="15"/>
  <c r="C46" i="15"/>
  <c r="B46" i="15"/>
  <c r="J45" i="15"/>
  <c r="K47" i="15" s="1"/>
  <c r="G45" i="15"/>
  <c r="D45" i="15"/>
  <c r="C45" i="15"/>
  <c r="B45" i="15"/>
  <c r="J44" i="15"/>
  <c r="K46" i="15" s="1"/>
  <c r="G44" i="15"/>
  <c r="D44" i="15"/>
  <c r="C44" i="15"/>
  <c r="B44" i="15"/>
  <c r="J43" i="15"/>
  <c r="K45" i="15" s="1"/>
  <c r="G43" i="15"/>
  <c r="D43" i="15"/>
  <c r="C43" i="15"/>
  <c r="B43" i="15"/>
  <c r="J42" i="15"/>
  <c r="K44" i="15" s="1"/>
  <c r="G42" i="15"/>
  <c r="D42" i="15"/>
  <c r="C42" i="15"/>
  <c r="B42" i="15"/>
  <c r="J41" i="15"/>
  <c r="K43" i="15" s="1"/>
  <c r="G41" i="15"/>
  <c r="D41" i="15"/>
  <c r="C41" i="15"/>
  <c r="B41" i="15"/>
  <c r="J40" i="15"/>
  <c r="K42" i="15" s="1"/>
  <c r="G40" i="15"/>
  <c r="D40" i="15"/>
  <c r="C40" i="15"/>
  <c r="B40" i="15"/>
  <c r="J39" i="15"/>
  <c r="K41" i="15" s="1"/>
  <c r="G39" i="15"/>
  <c r="D39" i="15"/>
  <c r="C39" i="15"/>
  <c r="B39" i="15"/>
  <c r="J38" i="15"/>
  <c r="K40" i="15" s="1"/>
  <c r="G38" i="15"/>
  <c r="D38" i="15"/>
  <c r="C38" i="15"/>
  <c r="B38" i="15"/>
  <c r="J37" i="15"/>
  <c r="K39" i="15" s="1"/>
  <c r="G37" i="15"/>
  <c r="D37" i="15"/>
  <c r="C37" i="15"/>
  <c r="B37" i="15"/>
  <c r="J36" i="15"/>
  <c r="K38" i="15" s="1"/>
  <c r="G36" i="15"/>
  <c r="D36" i="15"/>
  <c r="C36" i="15"/>
  <c r="B36" i="15"/>
  <c r="J35" i="15"/>
  <c r="K37" i="15" s="1"/>
  <c r="G35" i="15"/>
  <c r="D35" i="15"/>
  <c r="C35" i="15"/>
  <c r="B35" i="15"/>
  <c r="J34" i="15"/>
  <c r="K36" i="15" s="1"/>
  <c r="G34" i="15"/>
  <c r="D34" i="15"/>
  <c r="C34" i="15"/>
  <c r="B34" i="15"/>
  <c r="J33" i="15"/>
  <c r="K35" i="15" s="1"/>
  <c r="G33" i="15"/>
  <c r="D33" i="15"/>
  <c r="C33" i="15"/>
  <c r="B33" i="15"/>
  <c r="J32" i="15"/>
  <c r="K34" i="15" s="1"/>
  <c r="G32" i="15"/>
  <c r="D32" i="15"/>
  <c r="C32" i="15"/>
  <c r="B32" i="15"/>
  <c r="J31" i="15"/>
  <c r="K33" i="15" s="1"/>
  <c r="G31" i="15"/>
  <c r="D31" i="15"/>
  <c r="C31" i="15"/>
  <c r="B31" i="15"/>
  <c r="J30" i="15"/>
  <c r="K32" i="15" s="1"/>
  <c r="G30" i="15"/>
  <c r="D30" i="15"/>
  <c r="C30" i="15"/>
  <c r="B30" i="15"/>
  <c r="J29" i="15"/>
  <c r="K31" i="15" s="1"/>
  <c r="G29" i="15"/>
  <c r="D29" i="15"/>
  <c r="C29" i="15"/>
  <c r="B29" i="15"/>
  <c r="J28" i="15"/>
  <c r="K30" i="15" s="1"/>
  <c r="G28" i="15"/>
  <c r="D28" i="15"/>
  <c r="C28" i="15"/>
  <c r="B28" i="15"/>
  <c r="J27" i="15"/>
  <c r="K29" i="15" s="1"/>
  <c r="G27" i="15"/>
  <c r="D27" i="15"/>
  <c r="C27" i="15"/>
  <c r="B27" i="15"/>
  <c r="J26" i="15"/>
  <c r="K28" i="15" s="1"/>
  <c r="G26" i="15"/>
  <c r="D26" i="15"/>
  <c r="C26" i="15"/>
  <c r="B26" i="15"/>
  <c r="J25" i="15"/>
  <c r="K27" i="15" s="1"/>
  <c r="G25" i="15"/>
  <c r="D25" i="15"/>
  <c r="C25" i="15"/>
  <c r="B25" i="15"/>
  <c r="J24" i="15"/>
  <c r="K26" i="15" s="1"/>
  <c r="G24" i="15"/>
  <c r="D24" i="15"/>
  <c r="C24" i="15"/>
  <c r="B24" i="15"/>
  <c r="J23" i="15"/>
  <c r="K25" i="15" s="1"/>
  <c r="G23" i="15"/>
  <c r="D23" i="15"/>
  <c r="C23" i="15"/>
  <c r="B23" i="15"/>
  <c r="J22" i="15"/>
  <c r="K24" i="15" s="1"/>
  <c r="G22" i="15"/>
  <c r="D22" i="15"/>
  <c r="C22" i="15"/>
  <c r="B22" i="15"/>
  <c r="J21" i="15"/>
  <c r="K23" i="15" s="1"/>
  <c r="G21" i="15"/>
  <c r="D21" i="15"/>
  <c r="C21" i="15"/>
  <c r="B21" i="15"/>
  <c r="J20" i="15"/>
  <c r="K22" i="15" s="1"/>
  <c r="G20" i="15"/>
  <c r="D20" i="15"/>
  <c r="C20" i="15"/>
  <c r="B20" i="15"/>
  <c r="J19" i="15"/>
  <c r="K21" i="15" s="1"/>
  <c r="G19" i="15"/>
  <c r="D19" i="15"/>
  <c r="C19" i="15"/>
  <c r="B19" i="15"/>
  <c r="J18" i="15"/>
  <c r="K20" i="15" s="1"/>
  <c r="G18" i="15"/>
  <c r="D18" i="15"/>
  <c r="C18" i="15"/>
  <c r="B18" i="15"/>
  <c r="J17" i="15"/>
  <c r="K19" i="15" s="1"/>
  <c r="G17" i="15"/>
  <c r="D17" i="15"/>
  <c r="C17" i="15"/>
  <c r="B17" i="15"/>
  <c r="J16" i="15"/>
  <c r="K18" i="15" s="1"/>
  <c r="G16" i="15"/>
  <c r="D16" i="15"/>
  <c r="C16" i="15"/>
  <c r="B16" i="15"/>
  <c r="J15" i="15"/>
  <c r="K17" i="15" s="1"/>
  <c r="G15" i="15"/>
  <c r="D15" i="15"/>
  <c r="C15" i="15"/>
  <c r="B15" i="15"/>
  <c r="J14" i="15"/>
  <c r="K16" i="15" s="1"/>
  <c r="G14" i="15"/>
  <c r="D14" i="15"/>
  <c r="C14" i="15"/>
  <c r="B14" i="15"/>
  <c r="J13" i="15"/>
  <c r="K15" i="15" s="1"/>
  <c r="G13" i="15"/>
  <c r="D13" i="15"/>
  <c r="C13" i="15"/>
  <c r="B13" i="15"/>
  <c r="K12" i="15"/>
  <c r="J12" i="15"/>
  <c r="K14" i="15" s="1"/>
  <c r="G12" i="15"/>
  <c r="D12" i="15"/>
  <c r="K11" i="15"/>
  <c r="J11" i="15"/>
  <c r="K13" i="15" s="1"/>
  <c r="G11" i="15"/>
  <c r="D11" i="15"/>
  <c r="C11" i="15"/>
  <c r="B11" i="15"/>
  <c r="J4" i="15"/>
  <c r="I210" i="14"/>
  <c r="F210" i="14"/>
  <c r="D210" i="14"/>
  <c r="C210" i="14"/>
  <c r="B210" i="14"/>
  <c r="J209" i="14"/>
  <c r="I209" i="14"/>
  <c r="F209" i="14"/>
  <c r="D209" i="14"/>
  <c r="C209" i="14"/>
  <c r="B209" i="14"/>
  <c r="J208" i="14"/>
  <c r="I208" i="14"/>
  <c r="J210" i="14" s="1"/>
  <c r="F208" i="14"/>
  <c r="D208" i="14"/>
  <c r="C208" i="14"/>
  <c r="B208" i="14"/>
  <c r="J207" i="14"/>
  <c r="I207" i="14"/>
  <c r="F207" i="14"/>
  <c r="D207" i="14"/>
  <c r="C207" i="14"/>
  <c r="B207" i="14"/>
  <c r="I206" i="14"/>
  <c r="F206" i="14"/>
  <c r="D206" i="14"/>
  <c r="C206" i="14"/>
  <c r="B206" i="14"/>
  <c r="J205" i="14"/>
  <c r="I205" i="14"/>
  <c r="F205" i="14"/>
  <c r="D205" i="14"/>
  <c r="C205" i="14"/>
  <c r="B205" i="14"/>
  <c r="J204" i="14"/>
  <c r="I204" i="14"/>
  <c r="J206" i="14" s="1"/>
  <c r="F204" i="14"/>
  <c r="D204" i="14"/>
  <c r="C204" i="14"/>
  <c r="B204" i="14"/>
  <c r="J203" i="14"/>
  <c r="I203" i="14"/>
  <c r="F203" i="14"/>
  <c r="D203" i="14"/>
  <c r="C203" i="14"/>
  <c r="B203" i="14"/>
  <c r="I202" i="14"/>
  <c r="F202" i="14"/>
  <c r="D202" i="14"/>
  <c r="C202" i="14"/>
  <c r="B202" i="14"/>
  <c r="J201" i="14"/>
  <c r="I201" i="14"/>
  <c r="F201" i="14"/>
  <c r="D201" i="14"/>
  <c r="C201" i="14"/>
  <c r="B201" i="14"/>
  <c r="J200" i="14"/>
  <c r="I200" i="14"/>
  <c r="J202" i="14" s="1"/>
  <c r="F200" i="14"/>
  <c r="D200" i="14"/>
  <c r="C200" i="14"/>
  <c r="B200" i="14"/>
  <c r="J199" i="14"/>
  <c r="I199" i="14"/>
  <c r="F199" i="14"/>
  <c r="D199" i="14"/>
  <c r="C199" i="14"/>
  <c r="B199" i="14"/>
  <c r="I198" i="14"/>
  <c r="F198" i="14"/>
  <c r="D198" i="14"/>
  <c r="C198" i="14"/>
  <c r="B198" i="14"/>
  <c r="J197" i="14"/>
  <c r="I197" i="14"/>
  <c r="F197" i="14"/>
  <c r="D197" i="14"/>
  <c r="C197" i="14"/>
  <c r="B197" i="14"/>
  <c r="J196" i="14"/>
  <c r="I196" i="14"/>
  <c r="J198" i="14" s="1"/>
  <c r="F196" i="14"/>
  <c r="D196" i="14"/>
  <c r="C196" i="14"/>
  <c r="B196" i="14"/>
  <c r="J195" i="14"/>
  <c r="I195" i="14"/>
  <c r="F195" i="14"/>
  <c r="D195" i="14"/>
  <c r="C195" i="14"/>
  <c r="B195" i="14"/>
  <c r="I194" i="14"/>
  <c r="F194" i="14"/>
  <c r="D194" i="14"/>
  <c r="C194" i="14"/>
  <c r="B194" i="14"/>
  <c r="J193" i="14"/>
  <c r="I193" i="14"/>
  <c r="F193" i="14"/>
  <c r="D193" i="14"/>
  <c r="C193" i="14"/>
  <c r="B193" i="14"/>
  <c r="J192" i="14"/>
  <c r="I192" i="14"/>
  <c r="J194" i="14" s="1"/>
  <c r="F192" i="14"/>
  <c r="D192" i="14"/>
  <c r="C192" i="14"/>
  <c r="B192" i="14"/>
  <c r="J191" i="14"/>
  <c r="I191" i="14"/>
  <c r="F191" i="14"/>
  <c r="D191" i="14"/>
  <c r="C191" i="14"/>
  <c r="B191" i="14"/>
  <c r="I190" i="14"/>
  <c r="F190" i="14"/>
  <c r="D190" i="14"/>
  <c r="C190" i="14"/>
  <c r="B190" i="14"/>
  <c r="J189" i="14"/>
  <c r="I189" i="14"/>
  <c r="F189" i="14"/>
  <c r="D189" i="14"/>
  <c r="C189" i="14"/>
  <c r="B189" i="14"/>
  <c r="J188" i="14"/>
  <c r="I188" i="14"/>
  <c r="J190" i="14" s="1"/>
  <c r="F188" i="14"/>
  <c r="D188" i="14"/>
  <c r="C188" i="14"/>
  <c r="B188" i="14"/>
  <c r="J187" i="14"/>
  <c r="I187" i="14"/>
  <c r="F187" i="14"/>
  <c r="D187" i="14"/>
  <c r="C187" i="14"/>
  <c r="B187" i="14"/>
  <c r="I186" i="14"/>
  <c r="F186" i="14"/>
  <c r="D186" i="14"/>
  <c r="C186" i="14"/>
  <c r="B186" i="14"/>
  <c r="J185" i="14"/>
  <c r="I185" i="14"/>
  <c r="F185" i="14"/>
  <c r="D185" i="14"/>
  <c r="C185" i="14"/>
  <c r="B185" i="14"/>
  <c r="J184" i="14"/>
  <c r="I184" i="14"/>
  <c r="J186" i="14" s="1"/>
  <c r="F184" i="14"/>
  <c r="D184" i="14"/>
  <c r="C184" i="14"/>
  <c r="B184" i="14"/>
  <c r="J183" i="14"/>
  <c r="I183" i="14"/>
  <c r="F183" i="14"/>
  <c r="D183" i="14"/>
  <c r="C183" i="14"/>
  <c r="B183" i="14"/>
  <c r="I182" i="14"/>
  <c r="F182" i="14"/>
  <c r="D182" i="14"/>
  <c r="C182" i="14"/>
  <c r="B182" i="14"/>
  <c r="J181" i="14"/>
  <c r="I181" i="14"/>
  <c r="F181" i="14"/>
  <c r="D181" i="14"/>
  <c r="C181" i="14"/>
  <c r="B181" i="14"/>
  <c r="J180" i="14"/>
  <c r="I180" i="14"/>
  <c r="J182" i="14" s="1"/>
  <c r="F180" i="14"/>
  <c r="D180" i="14"/>
  <c r="C180" i="14"/>
  <c r="B180" i="14"/>
  <c r="J179" i="14"/>
  <c r="I179" i="14"/>
  <c r="F179" i="14"/>
  <c r="D179" i="14"/>
  <c r="C179" i="14"/>
  <c r="B179" i="14"/>
  <c r="I178" i="14"/>
  <c r="F178" i="14"/>
  <c r="D178" i="14"/>
  <c r="C178" i="14"/>
  <c r="B178" i="14"/>
  <c r="J177" i="14"/>
  <c r="I177" i="14"/>
  <c r="F177" i="14"/>
  <c r="D177" i="14"/>
  <c r="C177" i="14"/>
  <c r="B177" i="14"/>
  <c r="J176" i="14"/>
  <c r="I176" i="14"/>
  <c r="J178" i="14" s="1"/>
  <c r="F176" i="14"/>
  <c r="D176" i="14"/>
  <c r="C176" i="14"/>
  <c r="B176" i="14"/>
  <c r="J175" i="14"/>
  <c r="I175" i="14"/>
  <c r="F175" i="14"/>
  <c r="D175" i="14"/>
  <c r="C175" i="14"/>
  <c r="B175" i="14"/>
  <c r="I174" i="14"/>
  <c r="F174" i="14"/>
  <c r="D174" i="14"/>
  <c r="C174" i="14"/>
  <c r="B174" i="14"/>
  <c r="J173" i="14"/>
  <c r="I173" i="14"/>
  <c r="F173" i="14"/>
  <c r="D173" i="14"/>
  <c r="C173" i="14"/>
  <c r="B173" i="14"/>
  <c r="J172" i="14"/>
  <c r="I172" i="14"/>
  <c r="J174" i="14" s="1"/>
  <c r="F172" i="14"/>
  <c r="D172" i="14"/>
  <c r="C172" i="14"/>
  <c r="B172" i="14"/>
  <c r="J171" i="14"/>
  <c r="I171" i="14"/>
  <c r="F171" i="14"/>
  <c r="D171" i="14"/>
  <c r="C171" i="14"/>
  <c r="B171" i="14"/>
  <c r="I170" i="14"/>
  <c r="F170" i="14"/>
  <c r="D170" i="14"/>
  <c r="C170" i="14"/>
  <c r="B170" i="14"/>
  <c r="J169" i="14"/>
  <c r="I169" i="14"/>
  <c r="F169" i="14"/>
  <c r="D169" i="14"/>
  <c r="C169" i="14"/>
  <c r="B169" i="14"/>
  <c r="J168" i="14"/>
  <c r="I168" i="14"/>
  <c r="J170" i="14" s="1"/>
  <c r="F168" i="14"/>
  <c r="D168" i="14"/>
  <c r="C168" i="14"/>
  <c r="B168" i="14"/>
  <c r="J167" i="14"/>
  <c r="I167" i="14"/>
  <c r="F167" i="14"/>
  <c r="D167" i="14"/>
  <c r="C167" i="14"/>
  <c r="B167" i="14"/>
  <c r="I166" i="14"/>
  <c r="F166" i="14"/>
  <c r="D166" i="14"/>
  <c r="C166" i="14"/>
  <c r="B166" i="14"/>
  <c r="J165" i="14"/>
  <c r="I165" i="14"/>
  <c r="F165" i="14"/>
  <c r="D165" i="14"/>
  <c r="C165" i="14"/>
  <c r="B165" i="14"/>
  <c r="J164" i="14"/>
  <c r="I164" i="14"/>
  <c r="J166" i="14" s="1"/>
  <c r="F164" i="14"/>
  <c r="D164" i="14"/>
  <c r="C164" i="14"/>
  <c r="B164" i="14"/>
  <c r="J163" i="14"/>
  <c r="I163" i="14"/>
  <c r="F163" i="14"/>
  <c r="D163" i="14"/>
  <c r="C163" i="14"/>
  <c r="B163" i="14"/>
  <c r="I162" i="14"/>
  <c r="F162" i="14"/>
  <c r="D162" i="14"/>
  <c r="C162" i="14"/>
  <c r="B162" i="14"/>
  <c r="J161" i="14"/>
  <c r="I161" i="14"/>
  <c r="F161" i="14"/>
  <c r="D161" i="14"/>
  <c r="C161" i="14"/>
  <c r="B161" i="14"/>
  <c r="J160" i="14"/>
  <c r="I160" i="14"/>
  <c r="J162" i="14" s="1"/>
  <c r="F160" i="14"/>
  <c r="D160" i="14"/>
  <c r="C160" i="14"/>
  <c r="B160" i="14"/>
  <c r="J159" i="14"/>
  <c r="I159" i="14"/>
  <c r="F159" i="14"/>
  <c r="D159" i="14"/>
  <c r="C159" i="14"/>
  <c r="B159" i="14"/>
  <c r="I158" i="14"/>
  <c r="F158" i="14"/>
  <c r="D158" i="14"/>
  <c r="C158" i="14"/>
  <c r="B158" i="14"/>
  <c r="J157" i="14"/>
  <c r="I157" i="14"/>
  <c r="F157" i="14"/>
  <c r="D157" i="14"/>
  <c r="C157" i="14"/>
  <c r="B157" i="14"/>
  <c r="J156" i="14"/>
  <c r="I156" i="14"/>
  <c r="J158" i="14" s="1"/>
  <c r="F156" i="14"/>
  <c r="D156" i="14"/>
  <c r="C156" i="14"/>
  <c r="B156" i="14"/>
  <c r="J155" i="14"/>
  <c r="I155" i="14"/>
  <c r="F155" i="14"/>
  <c r="D155" i="14"/>
  <c r="C155" i="14"/>
  <c r="B155" i="14"/>
  <c r="I154" i="14"/>
  <c r="F154" i="14"/>
  <c r="D154" i="14"/>
  <c r="C154" i="14"/>
  <c r="B154" i="14"/>
  <c r="J153" i="14"/>
  <c r="I153" i="14"/>
  <c r="F153" i="14"/>
  <c r="D153" i="14"/>
  <c r="C153" i="14"/>
  <c r="B153" i="14"/>
  <c r="J152" i="14"/>
  <c r="I152" i="14"/>
  <c r="J154" i="14" s="1"/>
  <c r="F152" i="14"/>
  <c r="D152" i="14"/>
  <c r="C152" i="14"/>
  <c r="B152" i="14"/>
  <c r="J151" i="14"/>
  <c r="I151" i="14"/>
  <c r="F151" i="14"/>
  <c r="D151" i="14"/>
  <c r="C151" i="14"/>
  <c r="B151" i="14"/>
  <c r="I150" i="14"/>
  <c r="F150" i="14"/>
  <c r="D150" i="14"/>
  <c r="C150" i="14"/>
  <c r="B150" i="14"/>
  <c r="J149" i="14"/>
  <c r="I149" i="14"/>
  <c r="F149" i="14"/>
  <c r="D149" i="14"/>
  <c r="C149" i="14"/>
  <c r="B149" i="14"/>
  <c r="J148" i="14"/>
  <c r="I148" i="14"/>
  <c r="J150" i="14" s="1"/>
  <c r="F148" i="14"/>
  <c r="D148" i="14"/>
  <c r="C148" i="14"/>
  <c r="B148" i="14"/>
  <c r="J147" i="14"/>
  <c r="I147" i="14"/>
  <c r="F147" i="14"/>
  <c r="D147" i="14"/>
  <c r="C147" i="14"/>
  <c r="B147" i="14"/>
  <c r="I146" i="14"/>
  <c r="F146" i="14"/>
  <c r="D146" i="14"/>
  <c r="C146" i="14"/>
  <c r="B146" i="14"/>
  <c r="J145" i="14"/>
  <c r="I145" i="14"/>
  <c r="F145" i="14"/>
  <c r="D145" i="14"/>
  <c r="C145" i="14"/>
  <c r="B145" i="14"/>
  <c r="J144" i="14"/>
  <c r="I144" i="14"/>
  <c r="J146" i="14" s="1"/>
  <c r="F144" i="14"/>
  <c r="D144" i="14"/>
  <c r="C144" i="14"/>
  <c r="B144" i="14"/>
  <c r="J143" i="14"/>
  <c r="I143" i="14"/>
  <c r="F143" i="14"/>
  <c r="D143" i="14"/>
  <c r="C143" i="14"/>
  <c r="B143" i="14"/>
  <c r="I142" i="14"/>
  <c r="F142" i="14"/>
  <c r="D142" i="14"/>
  <c r="C142" i="14"/>
  <c r="B142" i="14"/>
  <c r="J141" i="14"/>
  <c r="I141" i="14"/>
  <c r="F141" i="14"/>
  <c r="D141" i="14"/>
  <c r="C141" i="14"/>
  <c r="B141" i="14"/>
  <c r="J140" i="14"/>
  <c r="I140" i="14"/>
  <c r="J142" i="14" s="1"/>
  <c r="F140" i="14"/>
  <c r="D140" i="14"/>
  <c r="C140" i="14"/>
  <c r="B140" i="14"/>
  <c r="J139" i="14"/>
  <c r="I139" i="14"/>
  <c r="F139" i="14"/>
  <c r="D139" i="14"/>
  <c r="C139" i="14"/>
  <c r="B139" i="14"/>
  <c r="I138" i="14"/>
  <c r="F138" i="14"/>
  <c r="D138" i="14"/>
  <c r="C138" i="14"/>
  <c r="B138" i="14"/>
  <c r="J137" i="14"/>
  <c r="I137" i="14"/>
  <c r="F137" i="14"/>
  <c r="D137" i="14"/>
  <c r="C137" i="14"/>
  <c r="B137" i="14"/>
  <c r="J136" i="14"/>
  <c r="I136" i="14"/>
  <c r="J138" i="14" s="1"/>
  <c r="F136" i="14"/>
  <c r="D136" i="14"/>
  <c r="C136" i="14"/>
  <c r="B136" i="14"/>
  <c r="J135" i="14"/>
  <c r="I135" i="14"/>
  <c r="F135" i="14"/>
  <c r="D135" i="14"/>
  <c r="C135" i="14"/>
  <c r="B135" i="14"/>
  <c r="I134" i="14"/>
  <c r="F134" i="14"/>
  <c r="D134" i="14"/>
  <c r="C134" i="14"/>
  <c r="B134" i="14"/>
  <c r="J133" i="14"/>
  <c r="I133" i="14"/>
  <c r="F133" i="14"/>
  <c r="D133" i="14"/>
  <c r="C133" i="14"/>
  <c r="B133" i="14"/>
  <c r="J132" i="14"/>
  <c r="I132" i="14"/>
  <c r="J134" i="14" s="1"/>
  <c r="F132" i="14"/>
  <c r="D132" i="14"/>
  <c r="C132" i="14"/>
  <c r="B132" i="14"/>
  <c r="J131" i="14"/>
  <c r="I131" i="14"/>
  <c r="F131" i="14"/>
  <c r="D131" i="14"/>
  <c r="C131" i="14"/>
  <c r="B131" i="14"/>
  <c r="I130" i="14"/>
  <c r="F130" i="14"/>
  <c r="D130" i="14"/>
  <c r="C130" i="14"/>
  <c r="B130" i="14"/>
  <c r="J129" i="14"/>
  <c r="I129" i="14"/>
  <c r="F129" i="14"/>
  <c r="D129" i="14"/>
  <c r="C129" i="14"/>
  <c r="B129" i="14"/>
  <c r="J128" i="14"/>
  <c r="I128" i="14"/>
  <c r="J130" i="14" s="1"/>
  <c r="F128" i="14"/>
  <c r="D128" i="14"/>
  <c r="C128" i="14"/>
  <c r="B128" i="14"/>
  <c r="J127" i="14"/>
  <c r="I127" i="14"/>
  <c r="F127" i="14"/>
  <c r="D127" i="14"/>
  <c r="C127" i="14"/>
  <c r="B127" i="14"/>
  <c r="I126" i="14"/>
  <c r="F126" i="14"/>
  <c r="D126" i="14"/>
  <c r="C126" i="14"/>
  <c r="B126" i="14"/>
  <c r="J125" i="14"/>
  <c r="I125" i="14"/>
  <c r="F125" i="14"/>
  <c r="D125" i="14"/>
  <c r="C125" i="14"/>
  <c r="B125" i="14"/>
  <c r="J124" i="14"/>
  <c r="I124" i="14"/>
  <c r="J126" i="14" s="1"/>
  <c r="F124" i="14"/>
  <c r="D124" i="14"/>
  <c r="C124" i="14"/>
  <c r="B124" i="14"/>
  <c r="J123" i="14"/>
  <c r="I123" i="14"/>
  <c r="F123" i="14"/>
  <c r="D123" i="14"/>
  <c r="C123" i="14"/>
  <c r="B123" i="14"/>
  <c r="I122" i="14"/>
  <c r="F122" i="14"/>
  <c r="D122" i="14"/>
  <c r="C122" i="14"/>
  <c r="B122" i="14"/>
  <c r="J121" i="14"/>
  <c r="I121" i="14"/>
  <c r="F121" i="14"/>
  <c r="D121" i="14"/>
  <c r="C121" i="14"/>
  <c r="B121" i="14"/>
  <c r="J120" i="14"/>
  <c r="I120" i="14"/>
  <c r="J122" i="14" s="1"/>
  <c r="F120" i="14"/>
  <c r="D120" i="14"/>
  <c r="C120" i="14"/>
  <c r="B120" i="14"/>
  <c r="J119" i="14"/>
  <c r="I119" i="14"/>
  <c r="F119" i="14"/>
  <c r="D119" i="14"/>
  <c r="C119" i="14"/>
  <c r="B119" i="14"/>
  <c r="I118" i="14"/>
  <c r="F118" i="14"/>
  <c r="D118" i="14"/>
  <c r="C118" i="14"/>
  <c r="B118" i="14"/>
  <c r="J117" i="14"/>
  <c r="I117" i="14"/>
  <c r="F117" i="14"/>
  <c r="D117" i="14"/>
  <c r="C117" i="14"/>
  <c r="B117" i="14"/>
  <c r="J116" i="14"/>
  <c r="I116" i="14"/>
  <c r="J118" i="14" s="1"/>
  <c r="F116" i="14"/>
  <c r="D116" i="14"/>
  <c r="C116" i="14"/>
  <c r="B116" i="14"/>
  <c r="J115" i="14"/>
  <c r="I115" i="14"/>
  <c r="F115" i="14"/>
  <c r="D115" i="14"/>
  <c r="C115" i="14"/>
  <c r="B115" i="14"/>
  <c r="I114" i="14"/>
  <c r="F114" i="14"/>
  <c r="D114" i="14"/>
  <c r="C114" i="14"/>
  <c r="B114" i="14"/>
  <c r="J113" i="14"/>
  <c r="I113" i="14"/>
  <c r="F113" i="14"/>
  <c r="D113" i="14"/>
  <c r="C113" i="14"/>
  <c r="B113" i="14"/>
  <c r="J112" i="14"/>
  <c r="I112" i="14"/>
  <c r="J114" i="14" s="1"/>
  <c r="F112" i="14"/>
  <c r="D112" i="14"/>
  <c r="C112" i="14"/>
  <c r="B112" i="14"/>
  <c r="J111" i="14"/>
  <c r="I111" i="14"/>
  <c r="F111" i="14"/>
  <c r="D111" i="14"/>
  <c r="C111" i="14"/>
  <c r="B111" i="14"/>
  <c r="I110" i="14"/>
  <c r="F110" i="14"/>
  <c r="D110" i="14"/>
  <c r="C110" i="14"/>
  <c r="B110" i="14"/>
  <c r="J109" i="14"/>
  <c r="I109" i="14"/>
  <c r="F109" i="14"/>
  <c r="D109" i="14"/>
  <c r="C109" i="14"/>
  <c r="B109" i="14"/>
  <c r="J108" i="14"/>
  <c r="I108" i="14"/>
  <c r="J110" i="14" s="1"/>
  <c r="F108" i="14"/>
  <c r="D108" i="14"/>
  <c r="C108" i="14"/>
  <c r="B108" i="14"/>
  <c r="J107" i="14"/>
  <c r="I107" i="14"/>
  <c r="F107" i="14"/>
  <c r="D107" i="14"/>
  <c r="C107" i="14"/>
  <c r="B107" i="14"/>
  <c r="I106" i="14"/>
  <c r="F106" i="14"/>
  <c r="D106" i="14"/>
  <c r="C106" i="14"/>
  <c r="B106" i="14"/>
  <c r="J105" i="14"/>
  <c r="I105" i="14"/>
  <c r="F105" i="14"/>
  <c r="D105" i="14"/>
  <c r="C105" i="14"/>
  <c r="B105" i="14"/>
  <c r="J104" i="14"/>
  <c r="I104" i="14"/>
  <c r="J106" i="14" s="1"/>
  <c r="F104" i="14"/>
  <c r="D104" i="14"/>
  <c r="C104" i="14"/>
  <c r="B104" i="14"/>
  <c r="J103" i="14"/>
  <c r="I103" i="14"/>
  <c r="F103" i="14"/>
  <c r="D103" i="14"/>
  <c r="C103" i="14"/>
  <c r="B103" i="14"/>
  <c r="I102" i="14"/>
  <c r="F102" i="14"/>
  <c r="D102" i="14"/>
  <c r="C102" i="14"/>
  <c r="B102" i="14"/>
  <c r="J101" i="14"/>
  <c r="I101" i="14"/>
  <c r="F101" i="14"/>
  <c r="D101" i="14"/>
  <c r="C101" i="14"/>
  <c r="B101" i="14"/>
  <c r="J100" i="14"/>
  <c r="I100" i="14"/>
  <c r="J102" i="14" s="1"/>
  <c r="F100" i="14"/>
  <c r="D100" i="14"/>
  <c r="C100" i="14"/>
  <c r="B100" i="14"/>
  <c r="J99" i="14"/>
  <c r="I99" i="14"/>
  <c r="F99" i="14"/>
  <c r="D99" i="14"/>
  <c r="C99" i="14"/>
  <c r="B99" i="14"/>
  <c r="I98" i="14"/>
  <c r="F98" i="14"/>
  <c r="D98" i="14"/>
  <c r="C98" i="14"/>
  <c r="B98" i="14"/>
  <c r="J97" i="14"/>
  <c r="I97" i="14"/>
  <c r="F97" i="14"/>
  <c r="D97" i="14"/>
  <c r="C97" i="14"/>
  <c r="B97" i="14"/>
  <c r="J96" i="14"/>
  <c r="I96" i="14"/>
  <c r="J98" i="14" s="1"/>
  <c r="F96" i="14"/>
  <c r="D96" i="14"/>
  <c r="C96" i="14"/>
  <c r="B96" i="14"/>
  <c r="J95" i="14"/>
  <c r="I95" i="14"/>
  <c r="F95" i="14"/>
  <c r="D95" i="14"/>
  <c r="C95" i="14"/>
  <c r="B95" i="14"/>
  <c r="I94" i="14"/>
  <c r="F94" i="14"/>
  <c r="D94" i="14"/>
  <c r="C94" i="14"/>
  <c r="B94" i="14"/>
  <c r="J93" i="14"/>
  <c r="I93" i="14"/>
  <c r="F93" i="14"/>
  <c r="D93" i="14"/>
  <c r="C93" i="14"/>
  <c r="B93" i="14"/>
  <c r="J92" i="14"/>
  <c r="I92" i="14"/>
  <c r="J94" i="14" s="1"/>
  <c r="F92" i="14"/>
  <c r="D92" i="14"/>
  <c r="C92" i="14"/>
  <c r="B92" i="14"/>
  <c r="J91" i="14"/>
  <c r="I91" i="14"/>
  <c r="F91" i="14"/>
  <c r="D91" i="14"/>
  <c r="C91" i="14"/>
  <c r="B91" i="14"/>
  <c r="I90" i="14"/>
  <c r="F90" i="14"/>
  <c r="D90" i="14"/>
  <c r="C90" i="14"/>
  <c r="B90" i="14"/>
  <c r="J89" i="14"/>
  <c r="I89" i="14"/>
  <c r="F89" i="14"/>
  <c r="D89" i="14"/>
  <c r="C89" i="14"/>
  <c r="B89" i="14"/>
  <c r="J88" i="14"/>
  <c r="I88" i="14"/>
  <c r="J90" i="14" s="1"/>
  <c r="F88" i="14"/>
  <c r="D88" i="14"/>
  <c r="C88" i="14"/>
  <c r="B88" i="14"/>
  <c r="J87" i="14"/>
  <c r="I87" i="14"/>
  <c r="F87" i="14"/>
  <c r="D87" i="14"/>
  <c r="C87" i="14"/>
  <c r="B87" i="14"/>
  <c r="I86" i="14"/>
  <c r="F86" i="14"/>
  <c r="D86" i="14"/>
  <c r="C86" i="14"/>
  <c r="B86" i="14"/>
  <c r="J85" i="14"/>
  <c r="I85" i="14"/>
  <c r="F85" i="14"/>
  <c r="D85" i="14"/>
  <c r="C85" i="14"/>
  <c r="B85" i="14"/>
  <c r="J84" i="14"/>
  <c r="I84" i="14"/>
  <c r="J86" i="14" s="1"/>
  <c r="F84" i="14"/>
  <c r="D84" i="14"/>
  <c r="C84" i="14"/>
  <c r="B84" i="14"/>
  <c r="J83" i="14"/>
  <c r="I83" i="14"/>
  <c r="F83" i="14"/>
  <c r="D83" i="14"/>
  <c r="C83" i="14"/>
  <c r="B83" i="14"/>
  <c r="I82" i="14"/>
  <c r="F82" i="14"/>
  <c r="D82" i="14"/>
  <c r="C82" i="14"/>
  <c r="B82" i="14"/>
  <c r="J81" i="14"/>
  <c r="I81" i="14"/>
  <c r="F81" i="14"/>
  <c r="D81" i="14"/>
  <c r="C81" i="14"/>
  <c r="B81" i="14"/>
  <c r="J80" i="14"/>
  <c r="I80" i="14"/>
  <c r="J82" i="14" s="1"/>
  <c r="F80" i="14"/>
  <c r="D80" i="14"/>
  <c r="C80" i="14"/>
  <c r="B80" i="14"/>
  <c r="J79" i="14"/>
  <c r="I79" i="14"/>
  <c r="F79" i="14"/>
  <c r="D79" i="14"/>
  <c r="C79" i="14"/>
  <c r="B79" i="14"/>
  <c r="I78" i="14"/>
  <c r="F78" i="14"/>
  <c r="D78" i="14"/>
  <c r="C78" i="14"/>
  <c r="B78" i="14"/>
  <c r="J77" i="14"/>
  <c r="I77" i="14"/>
  <c r="F77" i="14"/>
  <c r="D77" i="14"/>
  <c r="C77" i="14"/>
  <c r="B77" i="14"/>
  <c r="J76" i="14"/>
  <c r="I76" i="14"/>
  <c r="J78" i="14" s="1"/>
  <c r="F76" i="14"/>
  <c r="D76" i="14"/>
  <c r="C76" i="14"/>
  <c r="B76" i="14"/>
  <c r="J75" i="14"/>
  <c r="I75" i="14"/>
  <c r="F75" i="14"/>
  <c r="D75" i="14"/>
  <c r="C75" i="14"/>
  <c r="B75" i="14"/>
  <c r="I74" i="14"/>
  <c r="F74" i="14"/>
  <c r="D74" i="14"/>
  <c r="C74" i="14"/>
  <c r="B74" i="14"/>
  <c r="J73" i="14"/>
  <c r="I73" i="14"/>
  <c r="F73" i="14"/>
  <c r="D73" i="14"/>
  <c r="C73" i="14"/>
  <c r="B73" i="14"/>
  <c r="J72" i="14"/>
  <c r="I72" i="14"/>
  <c r="J74" i="14" s="1"/>
  <c r="F72" i="14"/>
  <c r="D72" i="14"/>
  <c r="C72" i="14"/>
  <c r="B72" i="14"/>
  <c r="J71" i="14"/>
  <c r="I71" i="14"/>
  <c r="F71" i="14"/>
  <c r="D71" i="14"/>
  <c r="C71" i="14"/>
  <c r="B71" i="14"/>
  <c r="I70" i="14"/>
  <c r="F70" i="14"/>
  <c r="D70" i="14"/>
  <c r="C70" i="14"/>
  <c r="B70" i="14"/>
  <c r="J69" i="14"/>
  <c r="I69" i="14"/>
  <c r="F69" i="14"/>
  <c r="D69" i="14"/>
  <c r="C69" i="14"/>
  <c r="B69" i="14"/>
  <c r="J68" i="14"/>
  <c r="I68" i="14"/>
  <c r="J70" i="14" s="1"/>
  <c r="F68" i="14"/>
  <c r="D68" i="14"/>
  <c r="C68" i="14"/>
  <c r="B68" i="14"/>
  <c r="J67" i="14"/>
  <c r="I67" i="14"/>
  <c r="F67" i="14"/>
  <c r="D67" i="14"/>
  <c r="C67" i="14"/>
  <c r="B67" i="14"/>
  <c r="I66" i="14"/>
  <c r="F66" i="14"/>
  <c r="D66" i="14"/>
  <c r="C66" i="14"/>
  <c r="B66" i="14"/>
  <c r="J65" i="14"/>
  <c r="I65" i="14"/>
  <c r="F65" i="14"/>
  <c r="D65" i="14"/>
  <c r="C65" i="14"/>
  <c r="B65" i="14"/>
  <c r="J64" i="14"/>
  <c r="I64" i="14"/>
  <c r="J66" i="14" s="1"/>
  <c r="F64" i="14"/>
  <c r="D64" i="14"/>
  <c r="C64" i="14"/>
  <c r="B64" i="14"/>
  <c r="J63" i="14"/>
  <c r="I63" i="14"/>
  <c r="F63" i="14"/>
  <c r="D63" i="14"/>
  <c r="C63" i="14"/>
  <c r="B63" i="14"/>
  <c r="I62" i="14"/>
  <c r="F62" i="14"/>
  <c r="D62" i="14"/>
  <c r="C62" i="14"/>
  <c r="B62" i="14"/>
  <c r="J61" i="14"/>
  <c r="I61" i="14"/>
  <c r="F61" i="14"/>
  <c r="D61" i="14"/>
  <c r="C61" i="14"/>
  <c r="B61" i="14"/>
  <c r="J60" i="14"/>
  <c r="I60" i="14"/>
  <c r="J62" i="14" s="1"/>
  <c r="F60" i="14"/>
  <c r="D60" i="14"/>
  <c r="C60" i="14"/>
  <c r="B60" i="14"/>
  <c r="J59" i="14"/>
  <c r="I59" i="14"/>
  <c r="F59" i="14"/>
  <c r="D59" i="14"/>
  <c r="C59" i="14"/>
  <c r="B59" i="14"/>
  <c r="I58" i="14"/>
  <c r="F58" i="14"/>
  <c r="D58" i="14"/>
  <c r="C58" i="14"/>
  <c r="B58" i="14"/>
  <c r="J57" i="14"/>
  <c r="I57" i="14"/>
  <c r="F57" i="14"/>
  <c r="D57" i="14"/>
  <c r="C57" i="14"/>
  <c r="B57" i="14"/>
  <c r="J56" i="14"/>
  <c r="I56" i="14"/>
  <c r="J58" i="14" s="1"/>
  <c r="F56" i="14"/>
  <c r="D56" i="14"/>
  <c r="C56" i="14"/>
  <c r="B56" i="14"/>
  <c r="J55" i="14"/>
  <c r="I55" i="14"/>
  <c r="F55" i="14"/>
  <c r="D55" i="14"/>
  <c r="C55" i="14"/>
  <c r="B55" i="14"/>
  <c r="I54" i="14"/>
  <c r="F54" i="14"/>
  <c r="D54" i="14"/>
  <c r="C54" i="14"/>
  <c r="B54" i="14"/>
  <c r="J53" i="14"/>
  <c r="I53" i="14"/>
  <c r="F53" i="14"/>
  <c r="D53" i="14"/>
  <c r="C53" i="14"/>
  <c r="B53" i="14"/>
  <c r="J52" i="14"/>
  <c r="I52" i="14"/>
  <c r="J54" i="14" s="1"/>
  <c r="F52" i="14"/>
  <c r="D52" i="14"/>
  <c r="C52" i="14"/>
  <c r="B52" i="14"/>
  <c r="J51" i="14"/>
  <c r="I51" i="14"/>
  <c r="F51" i="14"/>
  <c r="D51" i="14"/>
  <c r="C51" i="14"/>
  <c r="B51" i="14"/>
  <c r="I50" i="14"/>
  <c r="F50" i="14"/>
  <c r="D50" i="14"/>
  <c r="C50" i="14"/>
  <c r="B50" i="14"/>
  <c r="J49" i="14"/>
  <c r="I49" i="14"/>
  <c r="F49" i="14"/>
  <c r="D49" i="14"/>
  <c r="C49" i="14"/>
  <c r="B49" i="14"/>
  <c r="J48" i="14"/>
  <c r="I48" i="14"/>
  <c r="J50" i="14" s="1"/>
  <c r="F48" i="14"/>
  <c r="D48" i="14"/>
  <c r="C48" i="14"/>
  <c r="B48" i="14"/>
  <c r="J47" i="14"/>
  <c r="I47" i="14"/>
  <c r="F47" i="14"/>
  <c r="D47" i="14"/>
  <c r="C47" i="14"/>
  <c r="B47" i="14"/>
  <c r="I46" i="14"/>
  <c r="F46" i="14"/>
  <c r="D46" i="14"/>
  <c r="C46" i="14"/>
  <c r="B46" i="14"/>
  <c r="J45" i="14"/>
  <c r="I45" i="14"/>
  <c r="F45" i="14"/>
  <c r="D45" i="14"/>
  <c r="C45" i="14"/>
  <c r="B45" i="14"/>
  <c r="J44" i="14"/>
  <c r="I44" i="14"/>
  <c r="J46" i="14" s="1"/>
  <c r="F44" i="14"/>
  <c r="D44" i="14"/>
  <c r="C44" i="14"/>
  <c r="B44" i="14"/>
  <c r="J43" i="14"/>
  <c r="I43" i="14"/>
  <c r="F43" i="14"/>
  <c r="D43" i="14"/>
  <c r="C43" i="14"/>
  <c r="B43" i="14"/>
  <c r="I42" i="14"/>
  <c r="F42" i="14"/>
  <c r="D42" i="14"/>
  <c r="C42" i="14"/>
  <c r="B42" i="14"/>
  <c r="J41" i="14"/>
  <c r="I41" i="14"/>
  <c r="F41" i="14"/>
  <c r="D41" i="14"/>
  <c r="C41" i="14"/>
  <c r="B41" i="14"/>
  <c r="J40" i="14"/>
  <c r="I40" i="14"/>
  <c r="J42" i="14" s="1"/>
  <c r="F40" i="14"/>
  <c r="D40" i="14"/>
  <c r="C40" i="14"/>
  <c r="B40" i="14"/>
  <c r="J39" i="14"/>
  <c r="I39" i="14"/>
  <c r="F39" i="14"/>
  <c r="D39" i="14"/>
  <c r="C39" i="14"/>
  <c r="B39" i="14"/>
  <c r="I38" i="14"/>
  <c r="F38" i="14"/>
  <c r="D38" i="14"/>
  <c r="C38" i="14"/>
  <c r="B38" i="14"/>
  <c r="J37" i="14"/>
  <c r="I37" i="14"/>
  <c r="F37" i="14"/>
  <c r="D37" i="14"/>
  <c r="C37" i="14"/>
  <c r="B37" i="14"/>
  <c r="J36" i="14"/>
  <c r="I36" i="14"/>
  <c r="J38" i="14" s="1"/>
  <c r="F36" i="14"/>
  <c r="D36" i="14"/>
  <c r="C36" i="14"/>
  <c r="B36" i="14"/>
  <c r="J35" i="14"/>
  <c r="I35" i="14"/>
  <c r="F35" i="14"/>
  <c r="D35" i="14"/>
  <c r="C35" i="14"/>
  <c r="B35" i="14"/>
  <c r="I34" i="14"/>
  <c r="F34" i="14"/>
  <c r="D34" i="14"/>
  <c r="C34" i="14"/>
  <c r="B34" i="14"/>
  <c r="J33" i="14"/>
  <c r="I33" i="14"/>
  <c r="F33" i="14"/>
  <c r="D33" i="14"/>
  <c r="C33" i="14"/>
  <c r="B33" i="14"/>
  <c r="J32" i="14"/>
  <c r="I32" i="14"/>
  <c r="J34" i="14" s="1"/>
  <c r="F32" i="14"/>
  <c r="D32" i="14"/>
  <c r="C32" i="14"/>
  <c r="B32" i="14"/>
  <c r="J31" i="14"/>
  <c r="I31" i="14"/>
  <c r="F31" i="14"/>
  <c r="D31" i="14"/>
  <c r="C31" i="14"/>
  <c r="B31" i="14"/>
  <c r="I30" i="14"/>
  <c r="F30" i="14"/>
  <c r="D30" i="14"/>
  <c r="C30" i="14"/>
  <c r="B30" i="14"/>
  <c r="J29" i="14"/>
  <c r="I29" i="14"/>
  <c r="F29" i="14"/>
  <c r="D29" i="14"/>
  <c r="C29" i="14"/>
  <c r="B29" i="14"/>
  <c r="J28" i="14"/>
  <c r="I28" i="14"/>
  <c r="J30" i="14" s="1"/>
  <c r="F28" i="14"/>
  <c r="D28" i="14"/>
  <c r="C28" i="14"/>
  <c r="B28" i="14"/>
  <c r="J27" i="14"/>
  <c r="I27" i="14"/>
  <c r="F27" i="14"/>
  <c r="D27" i="14"/>
  <c r="C27" i="14"/>
  <c r="B27" i="14"/>
  <c r="I26" i="14"/>
  <c r="F26" i="14"/>
  <c r="D26" i="14"/>
  <c r="C26" i="14"/>
  <c r="B26" i="14"/>
  <c r="J25" i="14"/>
  <c r="I25" i="14"/>
  <c r="F25" i="14"/>
  <c r="D25" i="14"/>
  <c r="C25" i="14"/>
  <c r="B25" i="14"/>
  <c r="J24" i="14"/>
  <c r="I24" i="14"/>
  <c r="J26" i="14" s="1"/>
  <c r="F24" i="14"/>
  <c r="D24" i="14"/>
  <c r="C24" i="14"/>
  <c r="B24" i="14"/>
  <c r="J23" i="14"/>
  <c r="I23" i="14"/>
  <c r="F23" i="14"/>
  <c r="D23" i="14"/>
  <c r="C23" i="14"/>
  <c r="B23" i="14"/>
  <c r="I22" i="14"/>
  <c r="F22" i="14"/>
  <c r="D22" i="14"/>
  <c r="C22" i="14"/>
  <c r="B22" i="14"/>
  <c r="J21" i="14"/>
  <c r="I21" i="14"/>
  <c r="F21" i="14"/>
  <c r="D21" i="14"/>
  <c r="C21" i="14"/>
  <c r="B21" i="14"/>
  <c r="J20" i="14"/>
  <c r="I20" i="14"/>
  <c r="J22" i="14" s="1"/>
  <c r="F20" i="14"/>
  <c r="D20" i="14"/>
  <c r="C20" i="14"/>
  <c r="B20" i="14"/>
  <c r="J19" i="14"/>
  <c r="I19" i="14"/>
  <c r="F19" i="14"/>
  <c r="D19" i="14"/>
  <c r="C19" i="14"/>
  <c r="B19" i="14"/>
  <c r="I18" i="14"/>
  <c r="F18" i="14"/>
  <c r="D18" i="14"/>
  <c r="C18" i="14"/>
  <c r="B18" i="14"/>
  <c r="J17" i="14"/>
  <c r="I17" i="14"/>
  <c r="F17" i="14"/>
  <c r="D17" i="14"/>
  <c r="C17" i="14"/>
  <c r="B17" i="14"/>
  <c r="J16" i="14"/>
  <c r="I16" i="14"/>
  <c r="J18" i="14" s="1"/>
  <c r="F16" i="14"/>
  <c r="D16" i="14"/>
  <c r="C16" i="14"/>
  <c r="B16" i="14"/>
  <c r="J15" i="14"/>
  <c r="I15" i="14"/>
  <c r="F15" i="14"/>
  <c r="D15" i="14"/>
  <c r="C15" i="14"/>
  <c r="B15" i="14"/>
  <c r="I14" i="14"/>
  <c r="F14" i="14"/>
  <c r="D14" i="14"/>
  <c r="C14" i="14"/>
  <c r="B14" i="14"/>
  <c r="J13" i="14"/>
  <c r="I13" i="14"/>
  <c r="F13" i="14"/>
  <c r="D13" i="14"/>
  <c r="C13" i="14"/>
  <c r="B13" i="14"/>
  <c r="J12" i="14"/>
  <c r="I12" i="14"/>
  <c r="J14" i="14" s="1"/>
  <c r="F12" i="14"/>
  <c r="D12" i="14"/>
  <c r="J11" i="14"/>
  <c r="I11" i="14"/>
  <c r="F11" i="14"/>
  <c r="D11" i="14"/>
  <c r="G4" i="14"/>
  <c r="K215" i="13"/>
  <c r="I215" i="13"/>
  <c r="D215" i="13"/>
  <c r="C215" i="13"/>
  <c r="A215" i="13"/>
  <c r="K214" i="13"/>
  <c r="I214" i="13"/>
  <c r="D214" i="13"/>
  <c r="C214" i="13"/>
  <c r="A214" i="13"/>
  <c r="K213" i="13"/>
  <c r="I213" i="13"/>
  <c r="J215" i="13" s="1"/>
  <c r="D213" i="13"/>
  <c r="C213" i="13"/>
  <c r="A213" i="13"/>
  <c r="K212" i="13"/>
  <c r="I212" i="13"/>
  <c r="J214" i="13" s="1"/>
  <c r="D212" i="13"/>
  <c r="C212" i="13"/>
  <c r="A212" i="13"/>
  <c r="K211" i="13"/>
  <c r="I211" i="13"/>
  <c r="J213" i="13" s="1"/>
  <c r="D211" i="13"/>
  <c r="C211" i="13"/>
  <c r="A211" i="13"/>
  <c r="K210" i="13"/>
  <c r="I210" i="13"/>
  <c r="J212" i="13" s="1"/>
  <c r="D210" i="13"/>
  <c r="C210" i="13"/>
  <c r="A210" i="13"/>
  <c r="K209" i="13"/>
  <c r="I209" i="13"/>
  <c r="J211" i="13" s="1"/>
  <c r="D209" i="13"/>
  <c r="C209" i="13"/>
  <c r="A209" i="13"/>
  <c r="K208" i="13"/>
  <c r="I208" i="13"/>
  <c r="J210" i="13" s="1"/>
  <c r="D208" i="13"/>
  <c r="C208" i="13"/>
  <c r="A208" i="13"/>
  <c r="K207" i="13"/>
  <c r="I207" i="13"/>
  <c r="J209" i="13" s="1"/>
  <c r="D207" i="13"/>
  <c r="C207" i="13"/>
  <c r="A207" i="13"/>
  <c r="K206" i="13"/>
  <c r="I206" i="13"/>
  <c r="J208" i="13" s="1"/>
  <c r="D206" i="13"/>
  <c r="C206" i="13"/>
  <c r="A206" i="13"/>
  <c r="K205" i="13"/>
  <c r="I205" i="13"/>
  <c r="J207" i="13" s="1"/>
  <c r="D205" i="13"/>
  <c r="C205" i="13"/>
  <c r="A205" i="13"/>
  <c r="K204" i="13"/>
  <c r="I204" i="13"/>
  <c r="J206" i="13" s="1"/>
  <c r="D204" i="13"/>
  <c r="C204" i="13"/>
  <c r="A204" i="13"/>
  <c r="K203" i="13"/>
  <c r="I203" i="13"/>
  <c r="J205" i="13" s="1"/>
  <c r="D203" i="13"/>
  <c r="C203" i="13"/>
  <c r="A203" i="13"/>
  <c r="K202" i="13"/>
  <c r="I202" i="13"/>
  <c r="J204" i="13" s="1"/>
  <c r="D202" i="13"/>
  <c r="C202" i="13"/>
  <c r="A202" i="13"/>
  <c r="K201" i="13"/>
  <c r="I201" i="13"/>
  <c r="J203" i="13" s="1"/>
  <c r="D201" i="13"/>
  <c r="C201" i="13"/>
  <c r="A201" i="13"/>
  <c r="K200" i="13"/>
  <c r="I200" i="13"/>
  <c r="J202" i="13" s="1"/>
  <c r="D200" i="13"/>
  <c r="C200" i="13"/>
  <c r="A200" i="13"/>
  <c r="K199" i="13"/>
  <c r="I199" i="13"/>
  <c r="J201" i="13" s="1"/>
  <c r="D199" i="13"/>
  <c r="C199" i="13"/>
  <c r="A199" i="13"/>
  <c r="K198" i="13"/>
  <c r="I198" i="13"/>
  <c r="J200" i="13" s="1"/>
  <c r="D198" i="13"/>
  <c r="C198" i="13"/>
  <c r="A198" i="13"/>
  <c r="K197" i="13"/>
  <c r="I197" i="13"/>
  <c r="J199" i="13" s="1"/>
  <c r="D197" i="13"/>
  <c r="C197" i="13"/>
  <c r="A197" i="13"/>
  <c r="K196" i="13"/>
  <c r="I196" i="13"/>
  <c r="J198" i="13" s="1"/>
  <c r="D196" i="13"/>
  <c r="C196" i="13"/>
  <c r="A196" i="13"/>
  <c r="K195" i="13"/>
  <c r="I195" i="13"/>
  <c r="J197" i="13" s="1"/>
  <c r="D195" i="13"/>
  <c r="C195" i="13"/>
  <c r="A195" i="13"/>
  <c r="K194" i="13"/>
  <c r="I194" i="13"/>
  <c r="J196" i="13" s="1"/>
  <c r="D194" i="13"/>
  <c r="C194" i="13"/>
  <c r="A194" i="13"/>
  <c r="K193" i="13"/>
  <c r="I193" i="13"/>
  <c r="J195" i="13" s="1"/>
  <c r="D193" i="13"/>
  <c r="C193" i="13"/>
  <c r="A193" i="13"/>
  <c r="K192" i="13"/>
  <c r="I192" i="13"/>
  <c r="J194" i="13" s="1"/>
  <c r="D192" i="13"/>
  <c r="C192" i="13"/>
  <c r="A192" i="13"/>
  <c r="K191" i="13"/>
  <c r="I191" i="13"/>
  <c r="J193" i="13" s="1"/>
  <c r="D191" i="13"/>
  <c r="C191" i="13"/>
  <c r="A191" i="13"/>
  <c r="K190" i="13"/>
  <c r="I190" i="13"/>
  <c r="J192" i="13" s="1"/>
  <c r="D190" i="13"/>
  <c r="C190" i="13"/>
  <c r="A190" i="13"/>
  <c r="K189" i="13"/>
  <c r="I189" i="13"/>
  <c r="J191" i="13" s="1"/>
  <c r="D189" i="13"/>
  <c r="C189" i="13"/>
  <c r="A189" i="13"/>
  <c r="K188" i="13"/>
  <c r="I188" i="13"/>
  <c r="J190" i="13" s="1"/>
  <c r="D188" i="13"/>
  <c r="C188" i="13"/>
  <c r="A188" i="13"/>
  <c r="K187" i="13"/>
  <c r="I187" i="13"/>
  <c r="J189" i="13" s="1"/>
  <c r="D187" i="13"/>
  <c r="C187" i="13"/>
  <c r="A187" i="13"/>
  <c r="K186" i="13"/>
  <c r="I186" i="13"/>
  <c r="J188" i="13" s="1"/>
  <c r="D186" i="13"/>
  <c r="C186" i="13"/>
  <c r="A186" i="13"/>
  <c r="K185" i="13"/>
  <c r="I185" i="13"/>
  <c r="J187" i="13" s="1"/>
  <c r="D185" i="13"/>
  <c r="C185" i="13"/>
  <c r="A185" i="13"/>
  <c r="K184" i="13"/>
  <c r="I184" i="13"/>
  <c r="J186" i="13" s="1"/>
  <c r="D184" i="13"/>
  <c r="C184" i="13"/>
  <c r="A184" i="13"/>
  <c r="K183" i="13"/>
  <c r="I183" i="13"/>
  <c r="J185" i="13" s="1"/>
  <c r="D183" i="13"/>
  <c r="C183" i="13"/>
  <c r="A183" i="13"/>
  <c r="K182" i="13"/>
  <c r="I182" i="13"/>
  <c r="J184" i="13" s="1"/>
  <c r="D182" i="13"/>
  <c r="C182" i="13"/>
  <c r="A182" i="13"/>
  <c r="K181" i="13"/>
  <c r="I181" i="13"/>
  <c r="J183" i="13" s="1"/>
  <c r="D181" i="13"/>
  <c r="C181" i="13"/>
  <c r="A181" i="13"/>
  <c r="K180" i="13"/>
  <c r="I180" i="13"/>
  <c r="J182" i="13" s="1"/>
  <c r="D180" i="13"/>
  <c r="C180" i="13"/>
  <c r="A180" i="13"/>
  <c r="K179" i="13"/>
  <c r="I179" i="13"/>
  <c r="J181" i="13" s="1"/>
  <c r="D179" i="13"/>
  <c r="C179" i="13"/>
  <c r="A179" i="13"/>
  <c r="K178" i="13"/>
  <c r="I178" i="13"/>
  <c r="J180" i="13" s="1"/>
  <c r="D178" i="13"/>
  <c r="C178" i="13"/>
  <c r="A178" i="13"/>
  <c r="K177" i="13"/>
  <c r="I177" i="13"/>
  <c r="J179" i="13" s="1"/>
  <c r="D177" i="13"/>
  <c r="C177" i="13"/>
  <c r="A177" i="13"/>
  <c r="K176" i="13"/>
  <c r="I176" i="13"/>
  <c r="J178" i="13" s="1"/>
  <c r="D176" i="13"/>
  <c r="C176" i="13"/>
  <c r="A176" i="13"/>
  <c r="K175" i="13"/>
  <c r="I175" i="13"/>
  <c r="J177" i="13" s="1"/>
  <c r="D175" i="13"/>
  <c r="C175" i="13"/>
  <c r="A175" i="13"/>
  <c r="K174" i="13"/>
  <c r="I174" i="13"/>
  <c r="J176" i="13" s="1"/>
  <c r="D174" i="13"/>
  <c r="C174" i="13"/>
  <c r="A174" i="13"/>
  <c r="K173" i="13"/>
  <c r="I173" i="13"/>
  <c r="J175" i="13" s="1"/>
  <c r="D173" i="13"/>
  <c r="C173" i="13"/>
  <c r="A173" i="13"/>
  <c r="K172" i="13"/>
  <c r="I172" i="13"/>
  <c r="J174" i="13" s="1"/>
  <c r="D172" i="13"/>
  <c r="C172" i="13"/>
  <c r="A172" i="13"/>
  <c r="K171" i="13"/>
  <c r="I171" i="13"/>
  <c r="J173" i="13" s="1"/>
  <c r="D171" i="13"/>
  <c r="C171" i="13"/>
  <c r="A171" i="13"/>
  <c r="K170" i="13"/>
  <c r="I170" i="13"/>
  <c r="J172" i="13" s="1"/>
  <c r="D170" i="13"/>
  <c r="C170" i="13"/>
  <c r="A170" i="13"/>
  <c r="K169" i="13"/>
  <c r="I169" i="13"/>
  <c r="J171" i="13" s="1"/>
  <c r="D169" i="13"/>
  <c r="C169" i="13"/>
  <c r="A169" i="13"/>
  <c r="K168" i="13"/>
  <c r="I168" i="13"/>
  <c r="J170" i="13" s="1"/>
  <c r="D168" i="13"/>
  <c r="C168" i="13"/>
  <c r="A168" i="13"/>
  <c r="K167" i="13"/>
  <c r="I167" i="13"/>
  <c r="J169" i="13" s="1"/>
  <c r="D167" i="13"/>
  <c r="C167" i="13"/>
  <c r="A167" i="13"/>
  <c r="K166" i="13"/>
  <c r="I166" i="13"/>
  <c r="J168" i="13" s="1"/>
  <c r="D166" i="13"/>
  <c r="C166" i="13"/>
  <c r="A166" i="13"/>
  <c r="K165" i="13"/>
  <c r="I165" i="13"/>
  <c r="J167" i="13" s="1"/>
  <c r="D165" i="13"/>
  <c r="C165" i="13"/>
  <c r="A165" i="13"/>
  <c r="K164" i="13"/>
  <c r="I164" i="13"/>
  <c r="J166" i="13" s="1"/>
  <c r="D164" i="13"/>
  <c r="C164" i="13"/>
  <c r="A164" i="13"/>
  <c r="K163" i="13"/>
  <c r="I163" i="13"/>
  <c r="J165" i="13" s="1"/>
  <c r="D163" i="13"/>
  <c r="C163" i="13"/>
  <c r="A163" i="13"/>
  <c r="K162" i="13"/>
  <c r="I162" i="13"/>
  <c r="J164" i="13" s="1"/>
  <c r="D162" i="13"/>
  <c r="C162" i="13"/>
  <c r="A162" i="13"/>
  <c r="K161" i="13"/>
  <c r="I161" i="13"/>
  <c r="J163" i="13" s="1"/>
  <c r="D161" i="13"/>
  <c r="C161" i="13"/>
  <c r="A161" i="13"/>
  <c r="K160" i="13"/>
  <c r="I160" i="13"/>
  <c r="J162" i="13" s="1"/>
  <c r="D160" i="13"/>
  <c r="C160" i="13"/>
  <c r="A160" i="13"/>
  <c r="K159" i="13"/>
  <c r="I159" i="13"/>
  <c r="J161" i="13" s="1"/>
  <c r="D159" i="13"/>
  <c r="C159" i="13"/>
  <c r="A159" i="13"/>
  <c r="K158" i="13"/>
  <c r="I158" i="13"/>
  <c r="J160" i="13" s="1"/>
  <c r="D158" i="13"/>
  <c r="C158" i="13"/>
  <c r="A158" i="13"/>
  <c r="K157" i="13"/>
  <c r="I157" i="13"/>
  <c r="J159" i="13" s="1"/>
  <c r="D157" i="13"/>
  <c r="C157" i="13"/>
  <c r="A157" i="13"/>
  <c r="K156" i="13"/>
  <c r="I156" i="13"/>
  <c r="J158" i="13" s="1"/>
  <c r="D156" i="13"/>
  <c r="C156" i="13"/>
  <c r="A156" i="13"/>
  <c r="K155" i="13"/>
  <c r="I155" i="13"/>
  <c r="J157" i="13" s="1"/>
  <c r="D155" i="13"/>
  <c r="C155" i="13"/>
  <c r="A155" i="13"/>
  <c r="K154" i="13"/>
  <c r="I154" i="13"/>
  <c r="J156" i="13" s="1"/>
  <c r="D154" i="13"/>
  <c r="C154" i="13"/>
  <c r="A154" i="13"/>
  <c r="K153" i="13"/>
  <c r="I153" i="13"/>
  <c r="J155" i="13" s="1"/>
  <c r="D153" i="13"/>
  <c r="C153" i="13"/>
  <c r="A153" i="13"/>
  <c r="K152" i="13"/>
  <c r="I152" i="13"/>
  <c r="J154" i="13" s="1"/>
  <c r="D152" i="13"/>
  <c r="C152" i="13"/>
  <c r="A152" i="13"/>
  <c r="K151" i="13"/>
  <c r="I151" i="13"/>
  <c r="J153" i="13" s="1"/>
  <c r="D151" i="13"/>
  <c r="C151" i="13"/>
  <c r="A151" i="13"/>
  <c r="K150" i="13"/>
  <c r="I150" i="13"/>
  <c r="J152" i="13" s="1"/>
  <c r="D150" i="13"/>
  <c r="C150" i="13"/>
  <c r="A150" i="13"/>
  <c r="K149" i="13"/>
  <c r="I149" i="13"/>
  <c r="J151" i="13" s="1"/>
  <c r="D149" i="13"/>
  <c r="C149" i="13"/>
  <c r="A149" i="13"/>
  <c r="K148" i="13"/>
  <c r="I148" i="13"/>
  <c r="J150" i="13" s="1"/>
  <c r="D148" i="13"/>
  <c r="C148" i="13"/>
  <c r="A148" i="13"/>
  <c r="K147" i="13"/>
  <c r="I147" i="13"/>
  <c r="J149" i="13" s="1"/>
  <c r="D147" i="13"/>
  <c r="C147" i="13"/>
  <c r="A147" i="13"/>
  <c r="K146" i="13"/>
  <c r="I146" i="13"/>
  <c r="J148" i="13" s="1"/>
  <c r="D146" i="13"/>
  <c r="C146" i="13"/>
  <c r="A146" i="13"/>
  <c r="K145" i="13"/>
  <c r="I145" i="13"/>
  <c r="J147" i="13" s="1"/>
  <c r="D145" i="13"/>
  <c r="C145" i="13"/>
  <c r="A145" i="13"/>
  <c r="K144" i="13"/>
  <c r="I144" i="13"/>
  <c r="J146" i="13" s="1"/>
  <c r="D144" i="13"/>
  <c r="C144" i="13"/>
  <c r="A144" i="13"/>
  <c r="K143" i="13"/>
  <c r="I143" i="13"/>
  <c r="J145" i="13" s="1"/>
  <c r="D143" i="13"/>
  <c r="C143" i="13"/>
  <c r="A143" i="13"/>
  <c r="K142" i="13"/>
  <c r="I142" i="13"/>
  <c r="J144" i="13" s="1"/>
  <c r="D142" i="13"/>
  <c r="C142" i="13"/>
  <c r="A142" i="13"/>
  <c r="K141" i="13"/>
  <c r="I141" i="13"/>
  <c r="J143" i="13" s="1"/>
  <c r="D141" i="13"/>
  <c r="C141" i="13"/>
  <c r="A141" i="13"/>
  <c r="K140" i="13"/>
  <c r="I140" i="13"/>
  <c r="J142" i="13" s="1"/>
  <c r="D140" i="13"/>
  <c r="C140" i="13"/>
  <c r="A140" i="13"/>
  <c r="K139" i="13"/>
  <c r="I139" i="13"/>
  <c r="J141" i="13" s="1"/>
  <c r="D139" i="13"/>
  <c r="C139" i="13"/>
  <c r="A139" i="13"/>
  <c r="K138" i="13"/>
  <c r="I138" i="13"/>
  <c r="J140" i="13" s="1"/>
  <c r="D138" i="13"/>
  <c r="C138" i="13"/>
  <c r="A138" i="13"/>
  <c r="K137" i="13"/>
  <c r="I137" i="13"/>
  <c r="J139" i="13" s="1"/>
  <c r="D137" i="13"/>
  <c r="C137" i="13"/>
  <c r="A137" i="13"/>
  <c r="K136" i="13"/>
  <c r="I136" i="13"/>
  <c r="J138" i="13" s="1"/>
  <c r="D136" i="13"/>
  <c r="C136" i="13"/>
  <c r="A136" i="13"/>
  <c r="K135" i="13"/>
  <c r="I135" i="13"/>
  <c r="J137" i="13" s="1"/>
  <c r="D135" i="13"/>
  <c r="C135" i="13"/>
  <c r="A135" i="13"/>
  <c r="K134" i="13"/>
  <c r="I134" i="13"/>
  <c r="J136" i="13" s="1"/>
  <c r="D134" i="13"/>
  <c r="C134" i="13"/>
  <c r="A134" i="13"/>
  <c r="K133" i="13"/>
  <c r="I133" i="13"/>
  <c r="J135" i="13" s="1"/>
  <c r="D133" i="13"/>
  <c r="C133" i="13"/>
  <c r="A133" i="13"/>
  <c r="K132" i="13"/>
  <c r="I132" i="13"/>
  <c r="J134" i="13" s="1"/>
  <c r="D132" i="13"/>
  <c r="C132" i="13"/>
  <c r="A132" i="13"/>
  <c r="K131" i="13"/>
  <c r="I131" i="13"/>
  <c r="J133" i="13" s="1"/>
  <c r="D131" i="13"/>
  <c r="C131" i="13"/>
  <c r="A131" i="13"/>
  <c r="K130" i="13"/>
  <c r="I130" i="13"/>
  <c r="J132" i="13" s="1"/>
  <c r="D130" i="13"/>
  <c r="C130" i="13"/>
  <c r="A130" i="13"/>
  <c r="K129" i="13"/>
  <c r="I129" i="13"/>
  <c r="J131" i="13" s="1"/>
  <c r="D129" i="13"/>
  <c r="C129" i="13"/>
  <c r="A129" i="13"/>
  <c r="K128" i="13"/>
  <c r="I128" i="13"/>
  <c r="J130" i="13" s="1"/>
  <c r="D128" i="13"/>
  <c r="C128" i="13"/>
  <c r="A128" i="13"/>
  <c r="K127" i="13"/>
  <c r="I127" i="13"/>
  <c r="J129" i="13" s="1"/>
  <c r="D127" i="13"/>
  <c r="C127" i="13"/>
  <c r="A127" i="13"/>
  <c r="K126" i="13"/>
  <c r="I126" i="13"/>
  <c r="J128" i="13" s="1"/>
  <c r="D126" i="13"/>
  <c r="C126" i="13"/>
  <c r="A126" i="13"/>
  <c r="K125" i="13"/>
  <c r="I125" i="13"/>
  <c r="J127" i="13" s="1"/>
  <c r="D125" i="13"/>
  <c r="C125" i="13"/>
  <c r="A125" i="13"/>
  <c r="K124" i="13"/>
  <c r="I124" i="13"/>
  <c r="J126" i="13" s="1"/>
  <c r="D124" i="13"/>
  <c r="C124" i="13"/>
  <c r="A124" i="13"/>
  <c r="K123" i="13"/>
  <c r="I123" i="13"/>
  <c r="J125" i="13" s="1"/>
  <c r="D123" i="13"/>
  <c r="C123" i="13"/>
  <c r="A123" i="13"/>
  <c r="K122" i="13"/>
  <c r="I122" i="13"/>
  <c r="J124" i="13" s="1"/>
  <c r="D122" i="13"/>
  <c r="C122" i="13"/>
  <c r="A122" i="13"/>
  <c r="K121" i="13"/>
  <c r="I121" i="13"/>
  <c r="J123" i="13" s="1"/>
  <c r="D121" i="13"/>
  <c r="C121" i="13"/>
  <c r="A121" i="13"/>
  <c r="K120" i="13"/>
  <c r="I120" i="13"/>
  <c r="J122" i="13" s="1"/>
  <c r="D120" i="13"/>
  <c r="C120" i="13"/>
  <c r="A120" i="13"/>
  <c r="K119" i="13"/>
  <c r="I119" i="13"/>
  <c r="J121" i="13" s="1"/>
  <c r="D119" i="13"/>
  <c r="C119" i="13"/>
  <c r="A119" i="13"/>
  <c r="K118" i="13"/>
  <c r="I118" i="13"/>
  <c r="J120" i="13" s="1"/>
  <c r="D118" i="13"/>
  <c r="C118" i="13"/>
  <c r="A118" i="13"/>
  <c r="K117" i="13"/>
  <c r="I117" i="13"/>
  <c r="J119" i="13" s="1"/>
  <c r="D117" i="13"/>
  <c r="C117" i="13"/>
  <c r="A117" i="13"/>
  <c r="K116" i="13"/>
  <c r="I116" i="13"/>
  <c r="J118" i="13" s="1"/>
  <c r="D116" i="13"/>
  <c r="C116" i="13"/>
  <c r="A116" i="13"/>
  <c r="K115" i="13"/>
  <c r="I115" i="13"/>
  <c r="J117" i="13" s="1"/>
  <c r="D115" i="13"/>
  <c r="C115" i="13"/>
  <c r="A115" i="13"/>
  <c r="K114" i="13"/>
  <c r="I114" i="13"/>
  <c r="J116" i="13" s="1"/>
  <c r="D114" i="13"/>
  <c r="C114" i="13"/>
  <c r="A114" i="13"/>
  <c r="K113" i="13"/>
  <c r="I113" i="13"/>
  <c r="J115" i="13" s="1"/>
  <c r="D113" i="13"/>
  <c r="C113" i="13"/>
  <c r="A113" i="13"/>
  <c r="K112" i="13"/>
  <c r="I112" i="13"/>
  <c r="J114" i="13" s="1"/>
  <c r="D112" i="13"/>
  <c r="C112" i="13"/>
  <c r="A112" i="13"/>
  <c r="K111" i="13"/>
  <c r="I111" i="13"/>
  <c r="J113" i="13" s="1"/>
  <c r="D111" i="13"/>
  <c r="C111" i="13"/>
  <c r="A111" i="13"/>
  <c r="K110" i="13"/>
  <c r="I110" i="13"/>
  <c r="J112" i="13" s="1"/>
  <c r="D110" i="13"/>
  <c r="C110" i="13"/>
  <c r="A110" i="13"/>
  <c r="K109" i="13"/>
  <c r="I109" i="13"/>
  <c r="J111" i="13" s="1"/>
  <c r="D109" i="13"/>
  <c r="C109" i="13"/>
  <c r="A109" i="13"/>
  <c r="K108" i="13"/>
  <c r="I108" i="13"/>
  <c r="J110" i="13" s="1"/>
  <c r="D108" i="13"/>
  <c r="C108" i="13"/>
  <c r="A108" i="13"/>
  <c r="K107" i="13"/>
  <c r="I107" i="13"/>
  <c r="J109" i="13" s="1"/>
  <c r="D107" i="13"/>
  <c r="C107" i="13"/>
  <c r="A107" i="13"/>
  <c r="K106" i="13"/>
  <c r="I106" i="13"/>
  <c r="J108" i="13" s="1"/>
  <c r="D106" i="13"/>
  <c r="C106" i="13"/>
  <c r="A106" i="13"/>
  <c r="K105" i="13"/>
  <c r="I105" i="13"/>
  <c r="J107" i="13" s="1"/>
  <c r="D105" i="13"/>
  <c r="C105" i="13"/>
  <c r="A105" i="13"/>
  <c r="K104" i="13"/>
  <c r="I104" i="13"/>
  <c r="J106" i="13" s="1"/>
  <c r="D104" i="13"/>
  <c r="C104" i="13"/>
  <c r="A104" i="13"/>
  <c r="K103" i="13"/>
  <c r="I103" i="13"/>
  <c r="J105" i="13" s="1"/>
  <c r="D103" i="13"/>
  <c r="C103" i="13"/>
  <c r="A103" i="13"/>
  <c r="K102" i="13"/>
  <c r="I102" i="13"/>
  <c r="J104" i="13" s="1"/>
  <c r="D102" i="13"/>
  <c r="C102" i="13"/>
  <c r="A102" i="13"/>
  <c r="K101" i="13"/>
  <c r="I101" i="13"/>
  <c r="J103" i="13" s="1"/>
  <c r="D101" i="13"/>
  <c r="C101" i="13"/>
  <c r="A101" i="13"/>
  <c r="K100" i="13"/>
  <c r="I100" i="13"/>
  <c r="J102" i="13" s="1"/>
  <c r="D100" i="13"/>
  <c r="C100" i="13"/>
  <c r="A100" i="13"/>
  <c r="K99" i="13"/>
  <c r="I99" i="13"/>
  <c r="J101" i="13" s="1"/>
  <c r="D99" i="13"/>
  <c r="C99" i="13"/>
  <c r="A99" i="13"/>
  <c r="K98" i="13"/>
  <c r="I98" i="13"/>
  <c r="J100" i="13" s="1"/>
  <c r="D98" i="13"/>
  <c r="C98" i="13"/>
  <c r="A98" i="13"/>
  <c r="K97" i="13"/>
  <c r="I97" i="13"/>
  <c r="J99" i="13" s="1"/>
  <c r="D97" i="13"/>
  <c r="C97" i="13"/>
  <c r="A97" i="13"/>
  <c r="K96" i="13"/>
  <c r="I96" i="13"/>
  <c r="J98" i="13" s="1"/>
  <c r="D96" i="13"/>
  <c r="C96" i="13"/>
  <c r="A96" i="13"/>
  <c r="K95" i="13"/>
  <c r="J95" i="13"/>
  <c r="I95" i="13"/>
  <c r="J97" i="13" s="1"/>
  <c r="D95" i="13"/>
  <c r="C95" i="13"/>
  <c r="A95" i="13"/>
  <c r="K94" i="13"/>
  <c r="I94" i="13"/>
  <c r="J96" i="13" s="1"/>
  <c r="D94" i="13"/>
  <c r="C94" i="13"/>
  <c r="A94" i="13"/>
  <c r="K93" i="13"/>
  <c r="I93" i="13"/>
  <c r="D93" i="13"/>
  <c r="C93" i="13"/>
  <c r="A93" i="13"/>
  <c r="K92" i="13"/>
  <c r="I92" i="13"/>
  <c r="J94" i="13" s="1"/>
  <c r="D92" i="13"/>
  <c r="C92" i="13"/>
  <c r="A92" i="13"/>
  <c r="K91" i="13"/>
  <c r="J91" i="13"/>
  <c r="I91" i="13"/>
  <c r="J93" i="13" s="1"/>
  <c r="D91" i="13"/>
  <c r="C91" i="13"/>
  <c r="A91" i="13"/>
  <c r="K90" i="13"/>
  <c r="I90" i="13"/>
  <c r="J92" i="13" s="1"/>
  <c r="D90" i="13"/>
  <c r="C90" i="13"/>
  <c r="A90" i="13"/>
  <c r="K89" i="13"/>
  <c r="I89" i="13"/>
  <c r="D89" i="13"/>
  <c r="C89" i="13"/>
  <c r="A89" i="13"/>
  <c r="K88" i="13"/>
  <c r="I88" i="13"/>
  <c r="J90" i="13" s="1"/>
  <c r="D88" i="13"/>
  <c r="C88" i="13"/>
  <c r="A88" i="13"/>
  <c r="K87" i="13"/>
  <c r="I87" i="13"/>
  <c r="J89" i="13" s="1"/>
  <c r="D87" i="13"/>
  <c r="C87" i="13"/>
  <c r="A87" i="13"/>
  <c r="K86" i="13"/>
  <c r="I86" i="13"/>
  <c r="J88" i="13" s="1"/>
  <c r="D86" i="13"/>
  <c r="C86" i="13"/>
  <c r="A86" i="13"/>
  <c r="K85" i="13"/>
  <c r="I85" i="13"/>
  <c r="J87" i="13" s="1"/>
  <c r="D85" i="13"/>
  <c r="C85" i="13"/>
  <c r="A85" i="13"/>
  <c r="K84" i="13"/>
  <c r="I84" i="13"/>
  <c r="J86" i="13" s="1"/>
  <c r="D84" i="13"/>
  <c r="C84" i="13"/>
  <c r="A84" i="13"/>
  <c r="K83" i="13"/>
  <c r="J83" i="13"/>
  <c r="I83" i="13"/>
  <c r="J85" i="13" s="1"/>
  <c r="D83" i="13"/>
  <c r="C83" i="13"/>
  <c r="A83" i="13"/>
  <c r="K82" i="13"/>
  <c r="I82" i="13"/>
  <c r="J84" i="13" s="1"/>
  <c r="D82" i="13"/>
  <c r="C82" i="13"/>
  <c r="A82" i="13"/>
  <c r="K81" i="13"/>
  <c r="I81" i="13"/>
  <c r="D81" i="13"/>
  <c r="C81" i="13"/>
  <c r="A81" i="13"/>
  <c r="K80" i="13"/>
  <c r="J80" i="13"/>
  <c r="I80" i="13"/>
  <c r="J82" i="13" s="1"/>
  <c r="D80" i="13"/>
  <c r="C80" i="13"/>
  <c r="A80" i="13"/>
  <c r="K79" i="13"/>
  <c r="J79" i="13"/>
  <c r="I79" i="13"/>
  <c r="J81" i="13" s="1"/>
  <c r="D79" i="13"/>
  <c r="C79" i="13"/>
  <c r="A79" i="13"/>
  <c r="K78" i="13"/>
  <c r="I78" i="13"/>
  <c r="D78" i="13"/>
  <c r="C78" i="13"/>
  <c r="A78" i="13"/>
  <c r="K77" i="13"/>
  <c r="I77" i="13"/>
  <c r="D77" i="13"/>
  <c r="C77" i="13"/>
  <c r="A77" i="13"/>
  <c r="K76" i="13"/>
  <c r="J76" i="13"/>
  <c r="I76" i="13"/>
  <c r="J78" i="13" s="1"/>
  <c r="D76" i="13"/>
  <c r="C76" i="13"/>
  <c r="A76" i="13"/>
  <c r="K75" i="13"/>
  <c r="I75" i="13"/>
  <c r="J77" i="13" s="1"/>
  <c r="D75" i="13"/>
  <c r="C75" i="13"/>
  <c r="A75" i="13"/>
  <c r="K74" i="13"/>
  <c r="I74" i="13"/>
  <c r="D74" i="13"/>
  <c r="C74" i="13"/>
  <c r="A74" i="13"/>
  <c r="K73" i="13"/>
  <c r="I73" i="13"/>
  <c r="J75" i="13" s="1"/>
  <c r="D73" i="13"/>
  <c r="C73" i="13"/>
  <c r="A73" i="13"/>
  <c r="K72" i="13"/>
  <c r="I72" i="13"/>
  <c r="J74" i="13" s="1"/>
  <c r="D72" i="13"/>
  <c r="C72" i="13"/>
  <c r="A72" i="13"/>
  <c r="K71" i="13"/>
  <c r="I71" i="13"/>
  <c r="J73" i="13" s="1"/>
  <c r="D71" i="13"/>
  <c r="C71" i="13"/>
  <c r="A71" i="13"/>
  <c r="K70" i="13"/>
  <c r="I70" i="13"/>
  <c r="J72" i="13" s="1"/>
  <c r="D70" i="13"/>
  <c r="C70" i="13"/>
  <c r="A70" i="13"/>
  <c r="K69" i="13"/>
  <c r="I69" i="13"/>
  <c r="J71" i="13" s="1"/>
  <c r="D69" i="13"/>
  <c r="C69" i="13"/>
  <c r="A69" i="13"/>
  <c r="K68" i="13"/>
  <c r="I68" i="13"/>
  <c r="J70" i="13" s="1"/>
  <c r="D68" i="13"/>
  <c r="C68" i="13"/>
  <c r="A68" i="13"/>
  <c r="K67" i="13"/>
  <c r="J67" i="13"/>
  <c r="I67" i="13"/>
  <c r="J69" i="13" s="1"/>
  <c r="D67" i="13"/>
  <c r="C67" i="13"/>
  <c r="A67" i="13"/>
  <c r="K66" i="13"/>
  <c r="I66" i="13"/>
  <c r="J68" i="13" s="1"/>
  <c r="D66" i="13"/>
  <c r="C66" i="13"/>
  <c r="A66" i="13"/>
  <c r="K65" i="13"/>
  <c r="I65" i="13"/>
  <c r="D65" i="13"/>
  <c r="C65" i="13"/>
  <c r="A65" i="13"/>
  <c r="K64" i="13"/>
  <c r="J64" i="13"/>
  <c r="I64" i="13"/>
  <c r="J66" i="13" s="1"/>
  <c r="D64" i="13"/>
  <c r="C64" i="13"/>
  <c r="A64" i="13"/>
  <c r="K63" i="13"/>
  <c r="J63" i="13"/>
  <c r="I63" i="13"/>
  <c r="J65" i="13" s="1"/>
  <c r="D63" i="13"/>
  <c r="C63" i="13"/>
  <c r="A63" i="13"/>
  <c r="K62" i="13"/>
  <c r="I62" i="13"/>
  <c r="D62" i="13"/>
  <c r="C62" i="13"/>
  <c r="A62" i="13"/>
  <c r="K61" i="13"/>
  <c r="I61" i="13"/>
  <c r="D61" i="13"/>
  <c r="C61" i="13"/>
  <c r="A61" i="13"/>
  <c r="K60" i="13"/>
  <c r="J60" i="13"/>
  <c r="I60" i="13"/>
  <c r="J62" i="13" s="1"/>
  <c r="D60" i="13"/>
  <c r="C60" i="13"/>
  <c r="A60" i="13"/>
  <c r="K59" i="13"/>
  <c r="I59" i="13"/>
  <c r="J61" i="13" s="1"/>
  <c r="D59" i="13"/>
  <c r="C59" i="13"/>
  <c r="A59" i="13"/>
  <c r="K58" i="13"/>
  <c r="I58" i="13"/>
  <c r="D58" i="13"/>
  <c r="C58" i="13"/>
  <c r="A58" i="13"/>
  <c r="K57" i="13"/>
  <c r="I57" i="13"/>
  <c r="J59" i="13" s="1"/>
  <c r="D57" i="13"/>
  <c r="C57" i="13"/>
  <c r="A57" i="13"/>
  <c r="K56" i="13"/>
  <c r="I56" i="13"/>
  <c r="J58" i="13" s="1"/>
  <c r="D56" i="13"/>
  <c r="C56" i="13"/>
  <c r="A56" i="13"/>
  <c r="K55" i="13"/>
  <c r="I55" i="13"/>
  <c r="J57" i="13" s="1"/>
  <c r="D55" i="13"/>
  <c r="C55" i="13"/>
  <c r="A55" i="13"/>
  <c r="K54" i="13"/>
  <c r="I54" i="13"/>
  <c r="J56" i="13" s="1"/>
  <c r="D54" i="13"/>
  <c r="C54" i="13"/>
  <c r="A54" i="13"/>
  <c r="K53" i="13"/>
  <c r="J53" i="13"/>
  <c r="I53" i="13"/>
  <c r="J55" i="13" s="1"/>
  <c r="D53" i="13"/>
  <c r="C53" i="13"/>
  <c r="A53" i="13"/>
  <c r="K52" i="13"/>
  <c r="I52" i="13"/>
  <c r="J54" i="13" s="1"/>
  <c r="D52" i="13"/>
  <c r="C52" i="13"/>
  <c r="A52" i="13"/>
  <c r="K51" i="13"/>
  <c r="I51" i="13"/>
  <c r="D51" i="13"/>
  <c r="C51" i="13"/>
  <c r="A51" i="13"/>
  <c r="K50" i="13"/>
  <c r="I50" i="13"/>
  <c r="J52" i="13" s="1"/>
  <c r="D50" i="13"/>
  <c r="C50" i="13"/>
  <c r="A50" i="13"/>
  <c r="K49" i="13"/>
  <c r="J49" i="13"/>
  <c r="I49" i="13"/>
  <c r="J51" i="13" s="1"/>
  <c r="D49" i="13"/>
  <c r="C49" i="13"/>
  <c r="A49" i="13"/>
  <c r="K48" i="13"/>
  <c r="I48" i="13"/>
  <c r="J50" i="13" s="1"/>
  <c r="D48" i="13"/>
  <c r="C48" i="13"/>
  <c r="A48" i="13"/>
  <c r="K47" i="13"/>
  <c r="I47" i="13"/>
  <c r="D47" i="13"/>
  <c r="C47" i="13"/>
  <c r="A47" i="13"/>
  <c r="K46" i="13"/>
  <c r="I46" i="13"/>
  <c r="J48" i="13" s="1"/>
  <c r="D46" i="13"/>
  <c r="C46" i="13"/>
  <c r="A46" i="13"/>
  <c r="K45" i="13"/>
  <c r="J45" i="13"/>
  <c r="I45" i="13"/>
  <c r="J47" i="13" s="1"/>
  <c r="D45" i="13"/>
  <c r="C45" i="13"/>
  <c r="A45" i="13"/>
  <c r="K44" i="13"/>
  <c r="I44" i="13"/>
  <c r="J46" i="13" s="1"/>
  <c r="D44" i="13"/>
  <c r="C44" i="13"/>
  <c r="A44" i="13"/>
  <c r="K43" i="13"/>
  <c r="I43" i="13"/>
  <c r="D43" i="13"/>
  <c r="C43" i="13"/>
  <c r="A43" i="13"/>
  <c r="K42" i="13"/>
  <c r="I42" i="13"/>
  <c r="J44" i="13" s="1"/>
  <c r="D42" i="13"/>
  <c r="C42" i="13"/>
  <c r="A42" i="13"/>
  <c r="K41" i="13"/>
  <c r="J41" i="13"/>
  <c r="I41" i="13"/>
  <c r="J43" i="13" s="1"/>
  <c r="D41" i="13"/>
  <c r="C41" i="13"/>
  <c r="A41" i="13"/>
  <c r="K40" i="13"/>
  <c r="I40" i="13"/>
  <c r="J42" i="13" s="1"/>
  <c r="D40" i="13"/>
  <c r="C40" i="13"/>
  <c r="A40" i="13"/>
  <c r="K39" i="13"/>
  <c r="I39" i="13"/>
  <c r="D39" i="13"/>
  <c r="C39" i="13"/>
  <c r="A39" i="13"/>
  <c r="K38" i="13"/>
  <c r="I38" i="13"/>
  <c r="J40" i="13" s="1"/>
  <c r="D38" i="13"/>
  <c r="C38" i="13"/>
  <c r="A38" i="13"/>
  <c r="K37" i="13"/>
  <c r="J37" i="13"/>
  <c r="I37" i="13"/>
  <c r="J39" i="13" s="1"/>
  <c r="D37" i="13"/>
  <c r="C37" i="13"/>
  <c r="A37" i="13"/>
  <c r="K36" i="13"/>
  <c r="I36" i="13"/>
  <c r="J38" i="13" s="1"/>
  <c r="D36" i="13"/>
  <c r="C36" i="13"/>
  <c r="A36" i="13"/>
  <c r="K35" i="13"/>
  <c r="I35" i="13"/>
  <c r="D35" i="13"/>
  <c r="C35" i="13"/>
  <c r="A35" i="13"/>
  <c r="K34" i="13"/>
  <c r="I34" i="13"/>
  <c r="J36" i="13" s="1"/>
  <c r="D34" i="13"/>
  <c r="C34" i="13"/>
  <c r="A34" i="13"/>
  <c r="K33" i="13"/>
  <c r="J33" i="13"/>
  <c r="I33" i="13"/>
  <c r="J35" i="13" s="1"/>
  <c r="D33" i="13"/>
  <c r="C33" i="13"/>
  <c r="A33" i="13"/>
  <c r="K32" i="13"/>
  <c r="I32" i="13"/>
  <c r="J34" i="13" s="1"/>
  <c r="D32" i="13"/>
  <c r="C32" i="13"/>
  <c r="A32" i="13"/>
  <c r="K31" i="13"/>
  <c r="I31" i="13"/>
  <c r="D31" i="13"/>
  <c r="C31" i="13"/>
  <c r="A31" i="13"/>
  <c r="K30" i="13"/>
  <c r="I30" i="13"/>
  <c r="J32" i="13" s="1"/>
  <c r="D30" i="13"/>
  <c r="C30" i="13"/>
  <c r="A30" i="13"/>
  <c r="K29" i="13"/>
  <c r="J29" i="13"/>
  <c r="I29" i="13"/>
  <c r="J31" i="13" s="1"/>
  <c r="D29" i="13"/>
  <c r="C29" i="13"/>
  <c r="A29" i="13"/>
  <c r="K28" i="13"/>
  <c r="I28" i="13"/>
  <c r="J30" i="13" s="1"/>
  <c r="D28" i="13"/>
  <c r="C28" i="13"/>
  <c r="A28" i="13"/>
  <c r="K27" i="13"/>
  <c r="I27" i="13"/>
  <c r="D27" i="13"/>
  <c r="C27" i="13"/>
  <c r="A27" i="13"/>
  <c r="K26" i="13"/>
  <c r="I26" i="13"/>
  <c r="J28" i="13" s="1"/>
  <c r="D26" i="13"/>
  <c r="C26" i="13"/>
  <c r="A26" i="13"/>
  <c r="K25" i="13"/>
  <c r="J25" i="13"/>
  <c r="I25" i="13"/>
  <c r="J27" i="13" s="1"/>
  <c r="D25" i="13"/>
  <c r="C25" i="13"/>
  <c r="A25" i="13"/>
  <c r="K24" i="13"/>
  <c r="I24" i="13"/>
  <c r="J26" i="13" s="1"/>
  <c r="D24" i="13"/>
  <c r="C24" i="13"/>
  <c r="A24" i="13"/>
  <c r="K23" i="13"/>
  <c r="I23" i="13"/>
  <c r="D23" i="13"/>
  <c r="C23" i="13"/>
  <c r="A23" i="13"/>
  <c r="K22" i="13"/>
  <c r="I22" i="13"/>
  <c r="J24" i="13" s="1"/>
  <c r="D22" i="13"/>
  <c r="C22" i="13"/>
  <c r="A22" i="13"/>
  <c r="K21" i="13"/>
  <c r="J21" i="13"/>
  <c r="I21" i="13"/>
  <c r="J23" i="13" s="1"/>
  <c r="D21" i="13"/>
  <c r="C21" i="13"/>
  <c r="A21" i="13"/>
  <c r="K20" i="13"/>
  <c r="I20" i="13"/>
  <c r="J22" i="13" s="1"/>
  <c r="D20" i="13"/>
  <c r="C20" i="13"/>
  <c r="A20" i="13"/>
  <c r="K19" i="13"/>
  <c r="I19" i="13"/>
  <c r="D19" i="13"/>
  <c r="C19" i="13"/>
  <c r="A19" i="13"/>
  <c r="K18" i="13"/>
  <c r="I18" i="13"/>
  <c r="J20" i="13" s="1"/>
  <c r="D18" i="13"/>
  <c r="C18" i="13"/>
  <c r="J17" i="13"/>
  <c r="I17" i="13"/>
  <c r="J19" i="13" s="1"/>
  <c r="K16" i="13"/>
  <c r="J16" i="13"/>
  <c r="I16" i="13"/>
  <c r="J18" i="13" s="1"/>
  <c r="D16" i="13"/>
  <c r="D4" i="9" s="1"/>
  <c r="C16" i="13"/>
  <c r="A16" i="13"/>
  <c r="B11" i="13"/>
  <c r="B10" i="13"/>
  <c r="G4" i="13"/>
  <c r="J210" i="12"/>
  <c r="G210" i="12"/>
  <c r="D210" i="12"/>
  <c r="C210" i="12"/>
  <c r="B210" i="12"/>
  <c r="J209" i="12"/>
  <c r="G209" i="12"/>
  <c r="D209" i="12"/>
  <c r="C209" i="12"/>
  <c r="B209" i="12"/>
  <c r="J208" i="12"/>
  <c r="K210" i="12" s="1"/>
  <c r="G208" i="12"/>
  <c r="D208" i="12"/>
  <c r="C208" i="12"/>
  <c r="B208" i="12"/>
  <c r="J207" i="12"/>
  <c r="K209" i="12" s="1"/>
  <c r="G207" i="12"/>
  <c r="D207" i="12"/>
  <c r="C207" i="12"/>
  <c r="B207" i="12"/>
  <c r="J206" i="12"/>
  <c r="K208" i="12" s="1"/>
  <c r="G206" i="12"/>
  <c r="D206" i="12"/>
  <c r="C206" i="12"/>
  <c r="B206" i="12"/>
  <c r="J205" i="12"/>
  <c r="K207" i="12" s="1"/>
  <c r="G205" i="12"/>
  <c r="D205" i="12"/>
  <c r="C205" i="12"/>
  <c r="B205" i="12"/>
  <c r="J204" i="12"/>
  <c r="K206" i="12" s="1"/>
  <c r="G204" i="12"/>
  <c r="D204" i="12"/>
  <c r="C204" i="12"/>
  <c r="B204" i="12"/>
  <c r="J203" i="12"/>
  <c r="K205" i="12" s="1"/>
  <c r="G203" i="12"/>
  <c r="D203" i="12"/>
  <c r="C203" i="12"/>
  <c r="B203" i="12"/>
  <c r="J202" i="12"/>
  <c r="K204" i="12" s="1"/>
  <c r="G202" i="12"/>
  <c r="D202" i="12"/>
  <c r="C202" i="12"/>
  <c r="B202" i="12"/>
  <c r="J201" i="12"/>
  <c r="K203" i="12" s="1"/>
  <c r="G201" i="12"/>
  <c r="D201" i="12"/>
  <c r="C201" i="12"/>
  <c r="B201" i="12"/>
  <c r="J200" i="12"/>
  <c r="K202" i="12" s="1"/>
  <c r="G200" i="12"/>
  <c r="D200" i="12"/>
  <c r="C200" i="12"/>
  <c r="B200" i="12"/>
  <c r="J199" i="12"/>
  <c r="K201" i="12" s="1"/>
  <c r="G199" i="12"/>
  <c r="D199" i="12"/>
  <c r="C199" i="12"/>
  <c r="B199" i="12"/>
  <c r="J198" i="12"/>
  <c r="K200" i="12" s="1"/>
  <c r="G198" i="12"/>
  <c r="D198" i="12"/>
  <c r="C198" i="12"/>
  <c r="B198" i="12"/>
  <c r="J197" i="12"/>
  <c r="K199" i="12" s="1"/>
  <c r="G197" i="12"/>
  <c r="D197" i="12"/>
  <c r="C197" i="12"/>
  <c r="B197" i="12"/>
  <c r="J196" i="12"/>
  <c r="K198" i="12" s="1"/>
  <c r="G196" i="12"/>
  <c r="D196" i="12"/>
  <c r="C196" i="12"/>
  <c r="B196" i="12"/>
  <c r="J195" i="12"/>
  <c r="K197" i="12" s="1"/>
  <c r="G195" i="12"/>
  <c r="D195" i="12"/>
  <c r="C195" i="12"/>
  <c r="B195" i="12"/>
  <c r="J194" i="12"/>
  <c r="K196" i="12" s="1"/>
  <c r="G194" i="12"/>
  <c r="D194" i="12"/>
  <c r="C194" i="12"/>
  <c r="B194" i="12"/>
  <c r="J193" i="12"/>
  <c r="K195" i="12" s="1"/>
  <c r="G193" i="12"/>
  <c r="D193" i="12"/>
  <c r="C193" i="12"/>
  <c r="B193" i="12"/>
  <c r="J192" i="12"/>
  <c r="K194" i="12" s="1"/>
  <c r="G192" i="12"/>
  <c r="D192" i="12"/>
  <c r="C192" i="12"/>
  <c r="B192" i="12"/>
  <c r="J191" i="12"/>
  <c r="K193" i="12" s="1"/>
  <c r="G191" i="12"/>
  <c r="D191" i="12"/>
  <c r="C191" i="12"/>
  <c r="B191" i="12"/>
  <c r="J190" i="12"/>
  <c r="K192" i="12" s="1"/>
  <c r="G190" i="12"/>
  <c r="D190" i="12"/>
  <c r="C190" i="12"/>
  <c r="B190" i="12"/>
  <c r="J189" i="12"/>
  <c r="K191" i="12" s="1"/>
  <c r="G189" i="12"/>
  <c r="D189" i="12"/>
  <c r="C189" i="12"/>
  <c r="B189" i="12"/>
  <c r="J188" i="12"/>
  <c r="K190" i="12" s="1"/>
  <c r="G188" i="12"/>
  <c r="D188" i="12"/>
  <c r="C188" i="12"/>
  <c r="B188" i="12"/>
  <c r="J187" i="12"/>
  <c r="K189" i="12" s="1"/>
  <c r="G187" i="12"/>
  <c r="D187" i="12"/>
  <c r="C187" i="12"/>
  <c r="B187" i="12"/>
  <c r="J186" i="12"/>
  <c r="K188" i="12" s="1"/>
  <c r="G186" i="12"/>
  <c r="D186" i="12"/>
  <c r="C186" i="12"/>
  <c r="B186" i="12"/>
  <c r="J185" i="12"/>
  <c r="K187" i="12" s="1"/>
  <c r="G185" i="12"/>
  <c r="D185" i="12"/>
  <c r="C185" i="12"/>
  <c r="B185" i="12"/>
  <c r="J184" i="12"/>
  <c r="K186" i="12" s="1"/>
  <c r="G184" i="12"/>
  <c r="D184" i="12"/>
  <c r="C184" i="12"/>
  <c r="B184" i="12"/>
  <c r="J183" i="12"/>
  <c r="K185" i="12" s="1"/>
  <c r="G183" i="12"/>
  <c r="D183" i="12"/>
  <c r="C183" i="12"/>
  <c r="B183" i="12"/>
  <c r="J182" i="12"/>
  <c r="K184" i="12" s="1"/>
  <c r="G182" i="12"/>
  <c r="D182" i="12"/>
  <c r="C182" i="12"/>
  <c r="B182" i="12"/>
  <c r="J181" i="12"/>
  <c r="K183" i="12" s="1"/>
  <c r="G181" i="12"/>
  <c r="D181" i="12"/>
  <c r="C181" i="12"/>
  <c r="B181" i="12"/>
  <c r="J180" i="12"/>
  <c r="K182" i="12" s="1"/>
  <c r="G180" i="12"/>
  <c r="D180" i="12"/>
  <c r="C180" i="12"/>
  <c r="B180" i="12"/>
  <c r="J179" i="12"/>
  <c r="K181" i="12" s="1"/>
  <c r="G179" i="12"/>
  <c r="D179" i="12"/>
  <c r="C179" i="12"/>
  <c r="B179" i="12"/>
  <c r="J178" i="12"/>
  <c r="K180" i="12" s="1"/>
  <c r="G178" i="12"/>
  <c r="D178" i="12"/>
  <c r="C178" i="12"/>
  <c r="B178" i="12"/>
  <c r="J177" i="12"/>
  <c r="K179" i="12" s="1"/>
  <c r="G177" i="12"/>
  <c r="D177" i="12"/>
  <c r="C177" i="12"/>
  <c r="B177" i="12"/>
  <c r="J176" i="12"/>
  <c r="K178" i="12" s="1"/>
  <c r="G176" i="12"/>
  <c r="D176" i="12"/>
  <c r="C176" i="12"/>
  <c r="B176" i="12"/>
  <c r="J175" i="12"/>
  <c r="K177" i="12" s="1"/>
  <c r="G175" i="12"/>
  <c r="D175" i="12"/>
  <c r="C175" i="12"/>
  <c r="B175" i="12"/>
  <c r="J174" i="12"/>
  <c r="K176" i="12" s="1"/>
  <c r="G174" i="12"/>
  <c r="D174" i="12"/>
  <c r="C174" i="12"/>
  <c r="B174" i="12"/>
  <c r="J173" i="12"/>
  <c r="K175" i="12" s="1"/>
  <c r="G173" i="12"/>
  <c r="D173" i="12"/>
  <c r="C173" i="12"/>
  <c r="B173" i="12"/>
  <c r="J172" i="12"/>
  <c r="K174" i="12" s="1"/>
  <c r="G172" i="12"/>
  <c r="D172" i="12"/>
  <c r="C172" i="12"/>
  <c r="B172" i="12"/>
  <c r="J171" i="12"/>
  <c r="K173" i="12" s="1"/>
  <c r="G171" i="12"/>
  <c r="D171" i="12"/>
  <c r="C171" i="12"/>
  <c r="B171" i="12"/>
  <c r="J170" i="12"/>
  <c r="K172" i="12" s="1"/>
  <c r="G170" i="12"/>
  <c r="D170" i="12"/>
  <c r="C170" i="12"/>
  <c r="B170" i="12"/>
  <c r="J169" i="12"/>
  <c r="K171" i="12" s="1"/>
  <c r="G169" i="12"/>
  <c r="D169" i="12"/>
  <c r="C169" i="12"/>
  <c r="B169" i="12"/>
  <c r="J168" i="12"/>
  <c r="K170" i="12" s="1"/>
  <c r="G168" i="12"/>
  <c r="D168" i="12"/>
  <c r="C168" i="12"/>
  <c r="B168" i="12"/>
  <c r="J167" i="12"/>
  <c r="K169" i="12" s="1"/>
  <c r="G167" i="12"/>
  <c r="D167" i="12"/>
  <c r="C167" i="12"/>
  <c r="B167" i="12"/>
  <c r="J166" i="12"/>
  <c r="K168" i="12" s="1"/>
  <c r="G166" i="12"/>
  <c r="D166" i="12"/>
  <c r="C166" i="12"/>
  <c r="B166" i="12"/>
  <c r="J165" i="12"/>
  <c r="K167" i="12" s="1"/>
  <c r="G165" i="12"/>
  <c r="D165" i="12"/>
  <c r="C165" i="12"/>
  <c r="B165" i="12"/>
  <c r="J164" i="12"/>
  <c r="K166" i="12" s="1"/>
  <c r="G164" i="12"/>
  <c r="D164" i="12"/>
  <c r="C164" i="12"/>
  <c r="B164" i="12"/>
  <c r="J163" i="12"/>
  <c r="K165" i="12" s="1"/>
  <c r="G163" i="12"/>
  <c r="D163" i="12"/>
  <c r="C163" i="12"/>
  <c r="B163" i="12"/>
  <c r="J162" i="12"/>
  <c r="K164" i="12" s="1"/>
  <c r="G162" i="12"/>
  <c r="D162" i="12"/>
  <c r="C162" i="12"/>
  <c r="B162" i="12"/>
  <c r="J161" i="12"/>
  <c r="K163" i="12" s="1"/>
  <c r="G161" i="12"/>
  <c r="D161" i="12"/>
  <c r="C161" i="12"/>
  <c r="B161" i="12"/>
  <c r="J160" i="12"/>
  <c r="K162" i="12" s="1"/>
  <c r="G160" i="12"/>
  <c r="D160" i="12"/>
  <c r="C160" i="12"/>
  <c r="B160" i="12"/>
  <c r="J159" i="12"/>
  <c r="K161" i="12" s="1"/>
  <c r="G159" i="12"/>
  <c r="D159" i="12"/>
  <c r="C159" i="12"/>
  <c r="B159" i="12"/>
  <c r="J158" i="12"/>
  <c r="K160" i="12" s="1"/>
  <c r="G158" i="12"/>
  <c r="D158" i="12"/>
  <c r="C158" i="12"/>
  <c r="B158" i="12"/>
  <c r="J157" i="12"/>
  <c r="K159" i="12" s="1"/>
  <c r="G157" i="12"/>
  <c r="D157" i="12"/>
  <c r="C157" i="12"/>
  <c r="B157" i="12"/>
  <c r="J156" i="12"/>
  <c r="K158" i="12" s="1"/>
  <c r="G156" i="12"/>
  <c r="D156" i="12"/>
  <c r="C156" i="12"/>
  <c r="B156" i="12"/>
  <c r="J155" i="12"/>
  <c r="K157" i="12" s="1"/>
  <c r="G155" i="12"/>
  <c r="D155" i="12"/>
  <c r="C155" i="12"/>
  <c r="B155" i="12"/>
  <c r="J154" i="12"/>
  <c r="K156" i="12" s="1"/>
  <c r="G154" i="12"/>
  <c r="D154" i="12"/>
  <c r="C154" i="12"/>
  <c r="B154" i="12"/>
  <c r="J153" i="12"/>
  <c r="K155" i="12" s="1"/>
  <c r="G153" i="12"/>
  <c r="D153" i="12"/>
  <c r="C153" i="12"/>
  <c r="B153" i="12"/>
  <c r="J152" i="12"/>
  <c r="K154" i="12" s="1"/>
  <c r="G152" i="12"/>
  <c r="D152" i="12"/>
  <c r="C152" i="12"/>
  <c r="B152" i="12"/>
  <c r="J151" i="12"/>
  <c r="K153" i="12" s="1"/>
  <c r="G151" i="12"/>
  <c r="D151" i="12"/>
  <c r="C151" i="12"/>
  <c r="B151" i="12"/>
  <c r="J150" i="12"/>
  <c r="K152" i="12" s="1"/>
  <c r="G150" i="12"/>
  <c r="D150" i="12"/>
  <c r="C150" i="12"/>
  <c r="B150" i="12"/>
  <c r="J149" i="12"/>
  <c r="K151" i="12" s="1"/>
  <c r="G149" i="12"/>
  <c r="D149" i="12"/>
  <c r="C149" i="12"/>
  <c r="B149" i="12"/>
  <c r="J148" i="12"/>
  <c r="K150" i="12" s="1"/>
  <c r="G148" i="12"/>
  <c r="D148" i="12"/>
  <c r="C148" i="12"/>
  <c r="B148" i="12"/>
  <c r="J147" i="12"/>
  <c r="K149" i="12" s="1"/>
  <c r="G147" i="12"/>
  <c r="D147" i="12"/>
  <c r="C147" i="12"/>
  <c r="B147" i="12"/>
  <c r="J146" i="12"/>
  <c r="K148" i="12" s="1"/>
  <c r="G146" i="12"/>
  <c r="D146" i="12"/>
  <c r="C146" i="12"/>
  <c r="B146" i="12"/>
  <c r="J145" i="12"/>
  <c r="K147" i="12" s="1"/>
  <c r="G145" i="12"/>
  <c r="D145" i="12"/>
  <c r="C145" i="12"/>
  <c r="B145" i="12"/>
  <c r="J144" i="12"/>
  <c r="K146" i="12" s="1"/>
  <c r="G144" i="12"/>
  <c r="D144" i="12"/>
  <c r="C144" i="12"/>
  <c r="B144" i="12"/>
  <c r="J143" i="12"/>
  <c r="K145" i="12" s="1"/>
  <c r="G143" i="12"/>
  <c r="D143" i="12"/>
  <c r="C143" i="12"/>
  <c r="B143" i="12"/>
  <c r="J142" i="12"/>
  <c r="K144" i="12" s="1"/>
  <c r="G142" i="12"/>
  <c r="D142" i="12"/>
  <c r="C142" i="12"/>
  <c r="B142" i="12"/>
  <c r="J141" i="12"/>
  <c r="K143" i="12" s="1"/>
  <c r="G141" i="12"/>
  <c r="D141" i="12"/>
  <c r="C141" i="12"/>
  <c r="B141" i="12"/>
  <c r="J140" i="12"/>
  <c r="K142" i="12" s="1"/>
  <c r="G140" i="12"/>
  <c r="D140" i="12"/>
  <c r="C140" i="12"/>
  <c r="B140" i="12"/>
  <c r="J139" i="12"/>
  <c r="K141" i="12" s="1"/>
  <c r="G139" i="12"/>
  <c r="D139" i="12"/>
  <c r="C139" i="12"/>
  <c r="B139" i="12"/>
  <c r="J138" i="12"/>
  <c r="K140" i="12" s="1"/>
  <c r="G138" i="12"/>
  <c r="D138" i="12"/>
  <c r="C138" i="12"/>
  <c r="B138" i="12"/>
  <c r="J137" i="12"/>
  <c r="K139" i="12" s="1"/>
  <c r="G137" i="12"/>
  <c r="D137" i="12"/>
  <c r="C137" i="12"/>
  <c r="B137" i="12"/>
  <c r="J136" i="12"/>
  <c r="K138" i="12" s="1"/>
  <c r="G136" i="12"/>
  <c r="D136" i="12"/>
  <c r="C136" i="12"/>
  <c r="B136" i="12"/>
  <c r="J135" i="12"/>
  <c r="K137" i="12" s="1"/>
  <c r="G135" i="12"/>
  <c r="D135" i="12"/>
  <c r="C135" i="12"/>
  <c r="B135" i="12"/>
  <c r="J134" i="12"/>
  <c r="K136" i="12" s="1"/>
  <c r="G134" i="12"/>
  <c r="D134" i="12"/>
  <c r="C134" i="12"/>
  <c r="B134" i="12"/>
  <c r="J133" i="12"/>
  <c r="K135" i="12" s="1"/>
  <c r="G133" i="12"/>
  <c r="D133" i="12"/>
  <c r="C133" i="12"/>
  <c r="B133" i="12"/>
  <c r="J132" i="12"/>
  <c r="K134" i="12" s="1"/>
  <c r="G132" i="12"/>
  <c r="D132" i="12"/>
  <c r="C132" i="12"/>
  <c r="B132" i="12"/>
  <c r="J131" i="12"/>
  <c r="K133" i="12" s="1"/>
  <c r="G131" i="12"/>
  <c r="D131" i="12"/>
  <c r="C131" i="12"/>
  <c r="B131" i="12"/>
  <c r="J130" i="12"/>
  <c r="K132" i="12" s="1"/>
  <c r="G130" i="12"/>
  <c r="D130" i="12"/>
  <c r="C130" i="12"/>
  <c r="B130" i="12"/>
  <c r="J129" i="12"/>
  <c r="K131" i="12" s="1"/>
  <c r="G129" i="12"/>
  <c r="D129" i="12"/>
  <c r="C129" i="12"/>
  <c r="B129" i="12"/>
  <c r="J128" i="12"/>
  <c r="K130" i="12" s="1"/>
  <c r="G128" i="12"/>
  <c r="D128" i="12"/>
  <c r="C128" i="12"/>
  <c r="B128" i="12"/>
  <c r="J127" i="12"/>
  <c r="K129" i="12" s="1"/>
  <c r="G127" i="12"/>
  <c r="D127" i="12"/>
  <c r="C127" i="12"/>
  <c r="B127" i="12"/>
  <c r="J126" i="12"/>
  <c r="K128" i="12" s="1"/>
  <c r="G126" i="12"/>
  <c r="D126" i="12"/>
  <c r="C126" i="12"/>
  <c r="B126" i="12"/>
  <c r="J125" i="12"/>
  <c r="K127" i="12" s="1"/>
  <c r="G125" i="12"/>
  <c r="D125" i="12"/>
  <c r="C125" i="12"/>
  <c r="B125" i="12"/>
  <c r="J124" i="12"/>
  <c r="K126" i="12" s="1"/>
  <c r="G124" i="12"/>
  <c r="D124" i="12"/>
  <c r="C124" i="12"/>
  <c r="B124" i="12"/>
  <c r="J123" i="12"/>
  <c r="K125" i="12" s="1"/>
  <c r="G123" i="12"/>
  <c r="D123" i="12"/>
  <c r="C123" i="12"/>
  <c r="B123" i="12"/>
  <c r="J122" i="12"/>
  <c r="K124" i="12" s="1"/>
  <c r="G122" i="12"/>
  <c r="D122" i="12"/>
  <c r="C122" i="12"/>
  <c r="B122" i="12"/>
  <c r="J121" i="12"/>
  <c r="K123" i="12" s="1"/>
  <c r="G121" i="12"/>
  <c r="D121" i="12"/>
  <c r="C121" i="12"/>
  <c r="B121" i="12"/>
  <c r="J120" i="12"/>
  <c r="K122" i="12" s="1"/>
  <c r="G120" i="12"/>
  <c r="D120" i="12"/>
  <c r="C120" i="12"/>
  <c r="B120" i="12"/>
  <c r="J119" i="12"/>
  <c r="K121" i="12" s="1"/>
  <c r="G119" i="12"/>
  <c r="D119" i="12"/>
  <c r="C119" i="12"/>
  <c r="B119" i="12"/>
  <c r="J118" i="12"/>
  <c r="K120" i="12" s="1"/>
  <c r="G118" i="12"/>
  <c r="D118" i="12"/>
  <c r="C118" i="12"/>
  <c r="B118" i="12"/>
  <c r="J117" i="12"/>
  <c r="K119" i="12" s="1"/>
  <c r="G117" i="12"/>
  <c r="D117" i="12"/>
  <c r="C117" i="12"/>
  <c r="B117" i="12"/>
  <c r="J116" i="12"/>
  <c r="K118" i="12" s="1"/>
  <c r="G116" i="12"/>
  <c r="D116" i="12"/>
  <c r="C116" i="12"/>
  <c r="B116" i="12"/>
  <c r="J115" i="12"/>
  <c r="K117" i="12" s="1"/>
  <c r="G115" i="12"/>
  <c r="D115" i="12"/>
  <c r="C115" i="12"/>
  <c r="B115" i="12"/>
  <c r="J114" i="12"/>
  <c r="K116" i="12" s="1"/>
  <c r="G114" i="12"/>
  <c r="D114" i="12"/>
  <c r="C114" i="12"/>
  <c r="B114" i="12"/>
  <c r="J113" i="12"/>
  <c r="K115" i="12" s="1"/>
  <c r="G113" i="12"/>
  <c r="D113" i="12"/>
  <c r="C113" i="12"/>
  <c r="B113" i="12"/>
  <c r="J112" i="12"/>
  <c r="K114" i="12" s="1"/>
  <c r="G112" i="12"/>
  <c r="D112" i="12"/>
  <c r="C112" i="12"/>
  <c r="B112" i="12"/>
  <c r="J111" i="12"/>
  <c r="K113" i="12" s="1"/>
  <c r="G111" i="12"/>
  <c r="D111" i="12"/>
  <c r="C111" i="12"/>
  <c r="B111" i="12"/>
  <c r="J110" i="12"/>
  <c r="K112" i="12" s="1"/>
  <c r="G110" i="12"/>
  <c r="D110" i="12"/>
  <c r="C110" i="12"/>
  <c r="B110" i="12"/>
  <c r="J109" i="12"/>
  <c r="K111" i="12" s="1"/>
  <c r="G109" i="12"/>
  <c r="D109" i="12"/>
  <c r="C109" i="12"/>
  <c r="B109" i="12"/>
  <c r="J108" i="12"/>
  <c r="K110" i="12" s="1"/>
  <c r="G108" i="12"/>
  <c r="D108" i="12"/>
  <c r="C108" i="12"/>
  <c r="B108" i="12"/>
  <c r="J107" i="12"/>
  <c r="K109" i="12" s="1"/>
  <c r="G107" i="12"/>
  <c r="D107" i="12"/>
  <c r="C107" i="12"/>
  <c r="B107" i="12"/>
  <c r="J106" i="12"/>
  <c r="K108" i="12" s="1"/>
  <c r="G106" i="12"/>
  <c r="D106" i="12"/>
  <c r="C106" i="12"/>
  <c r="B106" i="12"/>
  <c r="J105" i="12"/>
  <c r="K107" i="12" s="1"/>
  <c r="G105" i="12"/>
  <c r="D105" i="12"/>
  <c r="C105" i="12"/>
  <c r="B105" i="12"/>
  <c r="J104" i="12"/>
  <c r="K106" i="12" s="1"/>
  <c r="G104" i="12"/>
  <c r="D104" i="12"/>
  <c r="C104" i="12"/>
  <c r="B104" i="12"/>
  <c r="J103" i="12"/>
  <c r="K105" i="12" s="1"/>
  <c r="G103" i="12"/>
  <c r="D103" i="12"/>
  <c r="C103" i="12"/>
  <c r="B103" i="12"/>
  <c r="J102" i="12"/>
  <c r="K104" i="12" s="1"/>
  <c r="G102" i="12"/>
  <c r="D102" i="12"/>
  <c r="C102" i="12"/>
  <c r="B102" i="12"/>
  <c r="J101" i="12"/>
  <c r="K103" i="12" s="1"/>
  <c r="G101" i="12"/>
  <c r="D101" i="12"/>
  <c r="C101" i="12"/>
  <c r="B101" i="12"/>
  <c r="J100" i="12"/>
  <c r="K102" i="12" s="1"/>
  <c r="G100" i="12"/>
  <c r="D100" i="12"/>
  <c r="C100" i="12"/>
  <c r="B100" i="12"/>
  <c r="J99" i="12"/>
  <c r="K101" i="12" s="1"/>
  <c r="G99" i="12"/>
  <c r="D99" i="12"/>
  <c r="C99" i="12"/>
  <c r="B99" i="12"/>
  <c r="J98" i="12"/>
  <c r="K100" i="12" s="1"/>
  <c r="G98" i="12"/>
  <c r="D98" i="12"/>
  <c r="C98" i="12"/>
  <c r="B98" i="12"/>
  <c r="J97" i="12"/>
  <c r="K99" i="12" s="1"/>
  <c r="G97" i="12"/>
  <c r="D97" i="12"/>
  <c r="C97" i="12"/>
  <c r="B97" i="12"/>
  <c r="J96" i="12"/>
  <c r="K98" i="12" s="1"/>
  <c r="G96" i="12"/>
  <c r="D96" i="12"/>
  <c r="C96" i="12"/>
  <c r="B96" i="12"/>
  <c r="J95" i="12"/>
  <c r="K97" i="12" s="1"/>
  <c r="G95" i="12"/>
  <c r="D95" i="12"/>
  <c r="C95" i="12"/>
  <c r="B95" i="12"/>
  <c r="J94" i="12"/>
  <c r="K96" i="12" s="1"/>
  <c r="G94" i="12"/>
  <c r="D94" i="12"/>
  <c r="C94" i="12"/>
  <c r="B94" i="12"/>
  <c r="J93" i="12"/>
  <c r="K95" i="12" s="1"/>
  <c r="G93" i="12"/>
  <c r="D93" i="12"/>
  <c r="C93" i="12"/>
  <c r="B93" i="12"/>
  <c r="J92" i="12"/>
  <c r="K94" i="12" s="1"/>
  <c r="G92" i="12"/>
  <c r="D92" i="12"/>
  <c r="C92" i="12"/>
  <c r="B92" i="12"/>
  <c r="J91" i="12"/>
  <c r="K93" i="12" s="1"/>
  <c r="G91" i="12"/>
  <c r="D91" i="12"/>
  <c r="C91" i="12"/>
  <c r="B91" i="12"/>
  <c r="J90" i="12"/>
  <c r="K92" i="12" s="1"/>
  <c r="G90" i="12"/>
  <c r="D90" i="12"/>
  <c r="C90" i="12"/>
  <c r="B90" i="12"/>
  <c r="J89" i="12"/>
  <c r="K91" i="12" s="1"/>
  <c r="G89" i="12"/>
  <c r="D89" i="12"/>
  <c r="C89" i="12"/>
  <c r="B89" i="12"/>
  <c r="J88" i="12"/>
  <c r="K90" i="12" s="1"/>
  <c r="G88" i="12"/>
  <c r="D88" i="12"/>
  <c r="C88" i="12"/>
  <c r="B88" i="12"/>
  <c r="J87" i="12"/>
  <c r="K89" i="12" s="1"/>
  <c r="G87" i="12"/>
  <c r="D87" i="12"/>
  <c r="C87" i="12"/>
  <c r="B87" i="12"/>
  <c r="J86" i="12"/>
  <c r="K88" i="12" s="1"/>
  <c r="G86" i="12"/>
  <c r="D86" i="12"/>
  <c r="C86" i="12"/>
  <c r="B86" i="12"/>
  <c r="J85" i="12"/>
  <c r="K87" i="12" s="1"/>
  <c r="G85" i="12"/>
  <c r="D85" i="12"/>
  <c r="C85" i="12"/>
  <c r="B85" i="12"/>
  <c r="J84" i="12"/>
  <c r="K86" i="12" s="1"/>
  <c r="G84" i="12"/>
  <c r="D84" i="12"/>
  <c r="C84" i="12"/>
  <c r="B84" i="12"/>
  <c r="J83" i="12"/>
  <c r="K85" i="12" s="1"/>
  <c r="G83" i="12"/>
  <c r="D83" i="12"/>
  <c r="C83" i="12"/>
  <c r="B83" i="12"/>
  <c r="J82" i="12"/>
  <c r="K84" i="12" s="1"/>
  <c r="G82" i="12"/>
  <c r="D82" i="12"/>
  <c r="C82" i="12"/>
  <c r="B82" i="12"/>
  <c r="J81" i="12"/>
  <c r="K83" i="12" s="1"/>
  <c r="G81" i="12"/>
  <c r="D81" i="12"/>
  <c r="C81" i="12"/>
  <c r="B81" i="12"/>
  <c r="J80" i="12"/>
  <c r="K82" i="12" s="1"/>
  <c r="G80" i="12"/>
  <c r="D80" i="12"/>
  <c r="C80" i="12"/>
  <c r="B80" i="12"/>
  <c r="J79" i="12"/>
  <c r="K81" i="12" s="1"/>
  <c r="G79" i="12"/>
  <c r="D79" i="12"/>
  <c r="C79" i="12"/>
  <c r="B79" i="12"/>
  <c r="J78" i="12"/>
  <c r="K80" i="12" s="1"/>
  <c r="G78" i="12"/>
  <c r="D78" i="12"/>
  <c r="C78" i="12"/>
  <c r="B78" i="12"/>
  <c r="J77" i="12"/>
  <c r="K79" i="12" s="1"/>
  <c r="G77" i="12"/>
  <c r="D77" i="12"/>
  <c r="C77" i="12"/>
  <c r="B77" i="12"/>
  <c r="J76" i="12"/>
  <c r="K78" i="12" s="1"/>
  <c r="G76" i="12"/>
  <c r="D76" i="12"/>
  <c r="C76" i="12"/>
  <c r="B76" i="12"/>
  <c r="J75" i="12"/>
  <c r="K77" i="12" s="1"/>
  <c r="G75" i="12"/>
  <c r="D75" i="12"/>
  <c r="C75" i="12"/>
  <c r="B75" i="12"/>
  <c r="J74" i="12"/>
  <c r="K76" i="12" s="1"/>
  <c r="G74" i="12"/>
  <c r="D74" i="12"/>
  <c r="C74" i="12"/>
  <c r="B74" i="12"/>
  <c r="J73" i="12"/>
  <c r="K75" i="12" s="1"/>
  <c r="G73" i="12"/>
  <c r="D73" i="12"/>
  <c r="C73" i="12"/>
  <c r="B73" i="12"/>
  <c r="J72" i="12"/>
  <c r="K74" i="12" s="1"/>
  <c r="G72" i="12"/>
  <c r="D72" i="12"/>
  <c r="C72" i="12"/>
  <c r="B72" i="12"/>
  <c r="J71" i="12"/>
  <c r="K73" i="12" s="1"/>
  <c r="G71" i="12"/>
  <c r="D71" i="12"/>
  <c r="C71" i="12"/>
  <c r="B71" i="12"/>
  <c r="J70" i="12"/>
  <c r="K72" i="12" s="1"/>
  <c r="G70" i="12"/>
  <c r="D70" i="12"/>
  <c r="C70" i="12"/>
  <c r="B70" i="12"/>
  <c r="J69" i="12"/>
  <c r="K71" i="12" s="1"/>
  <c r="G69" i="12"/>
  <c r="D69" i="12"/>
  <c r="C69" i="12"/>
  <c r="B69" i="12"/>
  <c r="J68" i="12"/>
  <c r="K70" i="12" s="1"/>
  <c r="G68" i="12"/>
  <c r="D68" i="12"/>
  <c r="C68" i="12"/>
  <c r="B68" i="12"/>
  <c r="J67" i="12"/>
  <c r="K69" i="12" s="1"/>
  <c r="G67" i="12"/>
  <c r="D67" i="12"/>
  <c r="C67" i="12"/>
  <c r="B67" i="12"/>
  <c r="J66" i="12"/>
  <c r="K68" i="12" s="1"/>
  <c r="G66" i="12"/>
  <c r="D66" i="12"/>
  <c r="C66" i="12"/>
  <c r="B66" i="12"/>
  <c r="J65" i="12"/>
  <c r="K67" i="12" s="1"/>
  <c r="G65" i="12"/>
  <c r="D65" i="12"/>
  <c r="C65" i="12"/>
  <c r="B65" i="12"/>
  <c r="J64" i="12"/>
  <c r="K66" i="12" s="1"/>
  <c r="G64" i="12"/>
  <c r="D64" i="12"/>
  <c r="C64" i="12"/>
  <c r="B64" i="12"/>
  <c r="J63" i="12"/>
  <c r="K65" i="12" s="1"/>
  <c r="G63" i="12"/>
  <c r="D63" i="12"/>
  <c r="C63" i="12"/>
  <c r="B63" i="12"/>
  <c r="J62" i="12"/>
  <c r="K64" i="12" s="1"/>
  <c r="G62" i="12"/>
  <c r="D62" i="12"/>
  <c r="C62" i="12"/>
  <c r="B62" i="12"/>
  <c r="J61" i="12"/>
  <c r="K63" i="12" s="1"/>
  <c r="G61" i="12"/>
  <c r="D61" i="12"/>
  <c r="C61" i="12"/>
  <c r="B61" i="12"/>
  <c r="J60" i="12"/>
  <c r="K62" i="12" s="1"/>
  <c r="G60" i="12"/>
  <c r="D60" i="12"/>
  <c r="C60" i="12"/>
  <c r="B60" i="12"/>
  <c r="J59" i="12"/>
  <c r="K61" i="12" s="1"/>
  <c r="G59" i="12"/>
  <c r="D59" i="12"/>
  <c r="C59" i="12"/>
  <c r="B59" i="12"/>
  <c r="J58" i="12"/>
  <c r="K60" i="12" s="1"/>
  <c r="G58" i="12"/>
  <c r="D58" i="12"/>
  <c r="C58" i="12"/>
  <c r="B58" i="12"/>
  <c r="J57" i="12"/>
  <c r="K59" i="12" s="1"/>
  <c r="G57" i="12"/>
  <c r="D57" i="12"/>
  <c r="C57" i="12"/>
  <c r="B57" i="12"/>
  <c r="J56" i="12"/>
  <c r="K58" i="12" s="1"/>
  <c r="G56" i="12"/>
  <c r="D56" i="12"/>
  <c r="C56" i="12"/>
  <c r="B56" i="12"/>
  <c r="J55" i="12"/>
  <c r="K57" i="12" s="1"/>
  <c r="G55" i="12"/>
  <c r="D55" i="12"/>
  <c r="C55" i="12"/>
  <c r="B55" i="12"/>
  <c r="J54" i="12"/>
  <c r="K56" i="12" s="1"/>
  <c r="G54" i="12"/>
  <c r="D54" i="12"/>
  <c r="C54" i="12"/>
  <c r="B54" i="12"/>
  <c r="J53" i="12"/>
  <c r="K55" i="12" s="1"/>
  <c r="G53" i="12"/>
  <c r="D53" i="12"/>
  <c r="C53" i="12"/>
  <c r="B53" i="12"/>
  <c r="J52" i="12"/>
  <c r="K54" i="12" s="1"/>
  <c r="G52" i="12"/>
  <c r="D52" i="12"/>
  <c r="C52" i="12"/>
  <c r="B52" i="12"/>
  <c r="J51" i="12"/>
  <c r="K53" i="12" s="1"/>
  <c r="G51" i="12"/>
  <c r="D51" i="12"/>
  <c r="C51" i="12"/>
  <c r="B51" i="12"/>
  <c r="J50" i="12"/>
  <c r="K52" i="12" s="1"/>
  <c r="G50" i="12"/>
  <c r="D50" i="12"/>
  <c r="C50" i="12"/>
  <c r="B50" i="12"/>
  <c r="J49" i="12"/>
  <c r="K51" i="12" s="1"/>
  <c r="G49" i="12"/>
  <c r="D49" i="12"/>
  <c r="C49" i="12"/>
  <c r="B49" i="12"/>
  <c r="J48" i="12"/>
  <c r="K50" i="12" s="1"/>
  <c r="G48" i="12"/>
  <c r="D48" i="12"/>
  <c r="C48" i="12"/>
  <c r="B48" i="12"/>
  <c r="J47" i="12"/>
  <c r="K49" i="12" s="1"/>
  <c r="G47" i="12"/>
  <c r="D47" i="12"/>
  <c r="C47" i="12"/>
  <c r="B47" i="12"/>
  <c r="J46" i="12"/>
  <c r="K48" i="12" s="1"/>
  <c r="G46" i="12"/>
  <c r="D46" i="12"/>
  <c r="C46" i="12"/>
  <c r="B46" i="12"/>
  <c r="J45" i="12"/>
  <c r="K47" i="12" s="1"/>
  <c r="G45" i="12"/>
  <c r="D45" i="12"/>
  <c r="C45" i="12"/>
  <c r="B45" i="12"/>
  <c r="J44" i="12"/>
  <c r="K46" i="12" s="1"/>
  <c r="G44" i="12"/>
  <c r="D44" i="12"/>
  <c r="C44" i="12"/>
  <c r="B44" i="12"/>
  <c r="J43" i="12"/>
  <c r="K45" i="12" s="1"/>
  <c r="G43" i="12"/>
  <c r="D43" i="12"/>
  <c r="C43" i="12"/>
  <c r="B43" i="12"/>
  <c r="J42" i="12"/>
  <c r="K44" i="12" s="1"/>
  <c r="G42" i="12"/>
  <c r="D42" i="12"/>
  <c r="C42" i="12"/>
  <c r="B42" i="12"/>
  <c r="J41" i="12"/>
  <c r="K43" i="12" s="1"/>
  <c r="G41" i="12"/>
  <c r="D41" i="12"/>
  <c r="C41" i="12"/>
  <c r="B41" i="12"/>
  <c r="J40" i="12"/>
  <c r="K42" i="12" s="1"/>
  <c r="G40" i="12"/>
  <c r="D40" i="12"/>
  <c r="C40" i="12"/>
  <c r="B40" i="12"/>
  <c r="J39" i="12"/>
  <c r="K41" i="12" s="1"/>
  <c r="G39" i="12"/>
  <c r="D39" i="12"/>
  <c r="C39" i="12"/>
  <c r="B39" i="12"/>
  <c r="J38" i="12"/>
  <c r="K40" i="12" s="1"/>
  <c r="G38" i="12"/>
  <c r="D38" i="12"/>
  <c r="C38" i="12"/>
  <c r="B38" i="12"/>
  <c r="J37" i="12"/>
  <c r="K39" i="12" s="1"/>
  <c r="G37" i="12"/>
  <c r="D37" i="12"/>
  <c r="C37" i="12"/>
  <c r="B37" i="12"/>
  <c r="J36" i="12"/>
  <c r="K38" i="12" s="1"/>
  <c r="G36" i="12"/>
  <c r="D36" i="12"/>
  <c r="C36" i="12"/>
  <c r="B36" i="12"/>
  <c r="J35" i="12"/>
  <c r="K37" i="12" s="1"/>
  <c r="G35" i="12"/>
  <c r="D35" i="12"/>
  <c r="C35" i="12"/>
  <c r="B35" i="12"/>
  <c r="J34" i="12"/>
  <c r="K36" i="12" s="1"/>
  <c r="G34" i="12"/>
  <c r="D34" i="12"/>
  <c r="C34" i="12"/>
  <c r="B34" i="12"/>
  <c r="J33" i="12"/>
  <c r="K35" i="12" s="1"/>
  <c r="G33" i="12"/>
  <c r="D33" i="12"/>
  <c r="C33" i="12"/>
  <c r="B33" i="12"/>
  <c r="J32" i="12"/>
  <c r="K34" i="12" s="1"/>
  <c r="G32" i="12"/>
  <c r="D32" i="12"/>
  <c r="C32" i="12"/>
  <c r="B32" i="12"/>
  <c r="J31" i="12"/>
  <c r="K33" i="12" s="1"/>
  <c r="G31" i="12"/>
  <c r="D31" i="12"/>
  <c r="C31" i="12"/>
  <c r="B31" i="12"/>
  <c r="J30" i="12"/>
  <c r="K32" i="12" s="1"/>
  <c r="G30" i="12"/>
  <c r="D30" i="12"/>
  <c r="C30" i="12"/>
  <c r="B30" i="12"/>
  <c r="J29" i="12"/>
  <c r="K31" i="12" s="1"/>
  <c r="G29" i="12"/>
  <c r="D29" i="12"/>
  <c r="C29" i="12"/>
  <c r="B29" i="12"/>
  <c r="J28" i="12"/>
  <c r="K30" i="12" s="1"/>
  <c r="G28" i="12"/>
  <c r="D28" i="12"/>
  <c r="C28" i="12"/>
  <c r="B28" i="12"/>
  <c r="J27" i="12"/>
  <c r="K29" i="12" s="1"/>
  <c r="G27" i="12"/>
  <c r="D27" i="12"/>
  <c r="C27" i="12"/>
  <c r="B27" i="12"/>
  <c r="J26" i="12"/>
  <c r="K28" i="12" s="1"/>
  <c r="G26" i="12"/>
  <c r="D26" i="12"/>
  <c r="C26" i="12"/>
  <c r="B26" i="12"/>
  <c r="J25" i="12"/>
  <c r="K27" i="12" s="1"/>
  <c r="G25" i="12"/>
  <c r="D25" i="12"/>
  <c r="C25" i="12"/>
  <c r="B25" i="12"/>
  <c r="J24" i="12"/>
  <c r="K26" i="12" s="1"/>
  <c r="G24" i="12"/>
  <c r="D24" i="12"/>
  <c r="C24" i="12"/>
  <c r="B24" i="12"/>
  <c r="J23" i="12"/>
  <c r="K25" i="12" s="1"/>
  <c r="G23" i="12"/>
  <c r="D23" i="12"/>
  <c r="C23" i="12"/>
  <c r="B23" i="12"/>
  <c r="J22" i="12"/>
  <c r="K24" i="12" s="1"/>
  <c r="G22" i="12"/>
  <c r="D22" i="12"/>
  <c r="C22" i="12"/>
  <c r="B22" i="12"/>
  <c r="J21" i="12"/>
  <c r="K23" i="12" s="1"/>
  <c r="G21" i="12"/>
  <c r="D21" i="12"/>
  <c r="C21" i="12"/>
  <c r="B21" i="12"/>
  <c r="J20" i="12"/>
  <c r="K22" i="12" s="1"/>
  <c r="G20" i="12"/>
  <c r="D20" i="12"/>
  <c r="C20" i="12"/>
  <c r="B20" i="12"/>
  <c r="J19" i="12"/>
  <c r="K21" i="12" s="1"/>
  <c r="G19" i="12"/>
  <c r="D19" i="12"/>
  <c r="C19" i="12"/>
  <c r="B19" i="12"/>
  <c r="J18" i="12"/>
  <c r="K20" i="12" s="1"/>
  <c r="G18" i="12"/>
  <c r="D18" i="12"/>
  <c r="C18" i="12"/>
  <c r="B18" i="12"/>
  <c r="J17" i="12"/>
  <c r="K19" i="12" s="1"/>
  <c r="G17" i="12"/>
  <c r="D17" i="12"/>
  <c r="C17" i="12"/>
  <c r="B17" i="12"/>
  <c r="J16" i="12"/>
  <c r="K18" i="12" s="1"/>
  <c r="G16" i="12"/>
  <c r="D16" i="12"/>
  <c r="C16" i="12"/>
  <c r="B16" i="12"/>
  <c r="J15" i="12"/>
  <c r="K17" i="12" s="1"/>
  <c r="G15" i="12"/>
  <c r="D15" i="12"/>
  <c r="C15" i="12"/>
  <c r="B15" i="12"/>
  <c r="J14" i="12"/>
  <c r="K16" i="12" s="1"/>
  <c r="G14" i="12"/>
  <c r="D14" i="12"/>
  <c r="C14" i="12"/>
  <c r="B14" i="12"/>
  <c r="J13" i="12"/>
  <c r="K15" i="12" s="1"/>
  <c r="G13" i="12"/>
  <c r="K12" i="12"/>
  <c r="J12" i="12"/>
  <c r="K14" i="12" s="1"/>
  <c r="G12" i="12"/>
  <c r="K11" i="12"/>
  <c r="K4" i="8" s="1"/>
  <c r="J11" i="12"/>
  <c r="K13" i="12" s="1"/>
  <c r="G11" i="12"/>
  <c r="E4" i="8"/>
  <c r="C11" i="12"/>
  <c r="B11" i="12"/>
  <c r="J4" i="12"/>
  <c r="I210" i="11"/>
  <c r="F210" i="11"/>
  <c r="D210" i="11"/>
  <c r="C210" i="11"/>
  <c r="B210" i="11"/>
  <c r="J209" i="11"/>
  <c r="I209" i="11"/>
  <c r="F209" i="11"/>
  <c r="D209" i="11"/>
  <c r="C209" i="11"/>
  <c r="B209" i="11"/>
  <c r="J208" i="11"/>
  <c r="I208" i="11"/>
  <c r="J210" i="11" s="1"/>
  <c r="F208" i="11"/>
  <c r="D208" i="11"/>
  <c r="C208" i="11"/>
  <c r="B208" i="11"/>
  <c r="J207" i="11"/>
  <c r="I207" i="11"/>
  <c r="F207" i="11"/>
  <c r="D207" i="11"/>
  <c r="C207" i="11"/>
  <c r="B207" i="11"/>
  <c r="I206" i="11"/>
  <c r="F206" i="11"/>
  <c r="D206" i="11"/>
  <c r="C206" i="11"/>
  <c r="B206" i="11"/>
  <c r="J205" i="11"/>
  <c r="I205" i="11"/>
  <c r="F205" i="11"/>
  <c r="D205" i="11"/>
  <c r="C205" i="11"/>
  <c r="B205" i="11"/>
  <c r="J204" i="11"/>
  <c r="I204" i="11"/>
  <c r="J206" i="11" s="1"/>
  <c r="F204" i="11"/>
  <c r="D204" i="11"/>
  <c r="C204" i="11"/>
  <c r="B204" i="11"/>
  <c r="J203" i="11"/>
  <c r="I203" i="11"/>
  <c r="F203" i="11"/>
  <c r="D203" i="11"/>
  <c r="C203" i="11"/>
  <c r="B203" i="11"/>
  <c r="I202" i="11"/>
  <c r="F202" i="11"/>
  <c r="D202" i="11"/>
  <c r="C202" i="11"/>
  <c r="B202" i="11"/>
  <c r="J201" i="11"/>
  <c r="I201" i="11"/>
  <c r="F201" i="11"/>
  <c r="D201" i="11"/>
  <c r="C201" i="11"/>
  <c r="B201" i="11"/>
  <c r="J200" i="11"/>
  <c r="I200" i="11"/>
  <c r="J202" i="11" s="1"/>
  <c r="F200" i="11"/>
  <c r="D200" i="11"/>
  <c r="C200" i="11"/>
  <c r="B200" i="11"/>
  <c r="J199" i="11"/>
  <c r="I199" i="11"/>
  <c r="F199" i="11"/>
  <c r="D199" i="11"/>
  <c r="C199" i="11"/>
  <c r="B199" i="11"/>
  <c r="I198" i="11"/>
  <c r="F198" i="11"/>
  <c r="D198" i="11"/>
  <c r="C198" i="11"/>
  <c r="B198" i="11"/>
  <c r="J197" i="11"/>
  <c r="I197" i="11"/>
  <c r="F197" i="11"/>
  <c r="D197" i="11"/>
  <c r="C197" i="11"/>
  <c r="B197" i="11"/>
  <c r="J196" i="11"/>
  <c r="I196" i="11"/>
  <c r="J198" i="11" s="1"/>
  <c r="F196" i="11"/>
  <c r="D196" i="11"/>
  <c r="C196" i="11"/>
  <c r="B196" i="11"/>
  <c r="J195" i="11"/>
  <c r="I195" i="11"/>
  <c r="F195" i="11"/>
  <c r="D195" i="11"/>
  <c r="C195" i="11"/>
  <c r="B195" i="11"/>
  <c r="I194" i="11"/>
  <c r="F194" i="11"/>
  <c r="D194" i="11"/>
  <c r="C194" i="11"/>
  <c r="B194" i="11"/>
  <c r="J193" i="11"/>
  <c r="I193" i="11"/>
  <c r="F193" i="11"/>
  <c r="D193" i="11"/>
  <c r="C193" i="11"/>
  <c r="B193" i="11"/>
  <c r="J192" i="11"/>
  <c r="I192" i="11"/>
  <c r="J194" i="11" s="1"/>
  <c r="F192" i="11"/>
  <c r="D192" i="11"/>
  <c r="C192" i="11"/>
  <c r="B192" i="11"/>
  <c r="J191" i="11"/>
  <c r="I191" i="11"/>
  <c r="F191" i="11"/>
  <c r="D191" i="11"/>
  <c r="C191" i="11"/>
  <c r="B191" i="11"/>
  <c r="I190" i="11"/>
  <c r="F190" i="11"/>
  <c r="D190" i="11"/>
  <c r="C190" i="11"/>
  <c r="B190" i="11"/>
  <c r="J189" i="11"/>
  <c r="I189" i="11"/>
  <c r="F189" i="11"/>
  <c r="D189" i="11"/>
  <c r="C189" i="11"/>
  <c r="B189" i="11"/>
  <c r="J188" i="11"/>
  <c r="I188" i="11"/>
  <c r="J190" i="11" s="1"/>
  <c r="F188" i="11"/>
  <c r="D188" i="11"/>
  <c r="C188" i="11"/>
  <c r="B188" i="11"/>
  <c r="J187" i="11"/>
  <c r="I187" i="11"/>
  <c r="F187" i="11"/>
  <c r="D187" i="11"/>
  <c r="C187" i="11"/>
  <c r="B187" i="11"/>
  <c r="I186" i="11"/>
  <c r="F186" i="11"/>
  <c r="D186" i="11"/>
  <c r="C186" i="11"/>
  <c r="B186" i="11"/>
  <c r="J185" i="11"/>
  <c r="I185" i="11"/>
  <c r="F185" i="11"/>
  <c r="D185" i="11"/>
  <c r="C185" i="11"/>
  <c r="B185" i="11"/>
  <c r="J184" i="11"/>
  <c r="I184" i="11"/>
  <c r="J186" i="11" s="1"/>
  <c r="F184" i="11"/>
  <c r="D184" i="11"/>
  <c r="C184" i="11"/>
  <c r="B184" i="11"/>
  <c r="J183" i="11"/>
  <c r="I183" i="11"/>
  <c r="F183" i="11"/>
  <c r="D183" i="11"/>
  <c r="C183" i="11"/>
  <c r="B183" i="11"/>
  <c r="J182" i="11"/>
  <c r="I182" i="11"/>
  <c r="F182" i="11"/>
  <c r="D182" i="11"/>
  <c r="C182" i="11"/>
  <c r="B182" i="11"/>
  <c r="J181" i="11"/>
  <c r="I181" i="11"/>
  <c r="F181" i="11"/>
  <c r="D181" i="11"/>
  <c r="C181" i="11"/>
  <c r="B181" i="11"/>
  <c r="J180" i="11"/>
  <c r="I180" i="11"/>
  <c r="F180" i="11"/>
  <c r="D180" i="11"/>
  <c r="C180" i="11"/>
  <c r="B180" i="11"/>
  <c r="J179" i="11"/>
  <c r="I179" i="11"/>
  <c r="F179" i="11"/>
  <c r="D179" i="11"/>
  <c r="C179" i="11"/>
  <c r="B179" i="11"/>
  <c r="J178" i="11"/>
  <c r="I178" i="11"/>
  <c r="F178" i="11"/>
  <c r="D178" i="11"/>
  <c r="C178" i="11"/>
  <c r="B178" i="11"/>
  <c r="J177" i="11"/>
  <c r="I177" i="11"/>
  <c r="F177" i="11"/>
  <c r="D177" i="11"/>
  <c r="C177" i="11"/>
  <c r="B177" i="11"/>
  <c r="J176" i="11"/>
  <c r="I176" i="11"/>
  <c r="F176" i="11"/>
  <c r="D176" i="11"/>
  <c r="C176" i="11"/>
  <c r="B176" i="11"/>
  <c r="J175" i="11"/>
  <c r="I175" i="11"/>
  <c r="F175" i="11"/>
  <c r="D175" i="11"/>
  <c r="C175" i="11"/>
  <c r="B175" i="11"/>
  <c r="J174" i="11"/>
  <c r="I174" i="11"/>
  <c r="F174" i="11"/>
  <c r="D174" i="11"/>
  <c r="C174" i="11"/>
  <c r="B174" i="11"/>
  <c r="J173" i="11"/>
  <c r="I173" i="11"/>
  <c r="F173" i="11"/>
  <c r="D173" i="11"/>
  <c r="C173" i="11"/>
  <c r="B173" i="11"/>
  <c r="J172" i="11"/>
  <c r="I172" i="11"/>
  <c r="F172" i="11"/>
  <c r="D172" i="11"/>
  <c r="C172" i="11"/>
  <c r="B172" i="11"/>
  <c r="J171" i="11"/>
  <c r="I171" i="11"/>
  <c r="F171" i="11"/>
  <c r="D171" i="11"/>
  <c r="C171" i="11"/>
  <c r="B171" i="11"/>
  <c r="J170" i="11"/>
  <c r="I170" i="11"/>
  <c r="F170" i="11"/>
  <c r="D170" i="11"/>
  <c r="C170" i="11"/>
  <c r="B170" i="11"/>
  <c r="J169" i="11"/>
  <c r="I169" i="11"/>
  <c r="F169" i="11"/>
  <c r="D169" i="11"/>
  <c r="C169" i="11"/>
  <c r="B169" i="11"/>
  <c r="J168" i="11"/>
  <c r="I168" i="11"/>
  <c r="F168" i="11"/>
  <c r="D168" i="11"/>
  <c r="C168" i="11"/>
  <c r="B168" i="11"/>
  <c r="J167" i="11"/>
  <c r="I167" i="11"/>
  <c r="F167" i="11"/>
  <c r="D167" i="11"/>
  <c r="C167" i="11"/>
  <c r="B167" i="11"/>
  <c r="J166" i="11"/>
  <c r="I166" i="11"/>
  <c r="F166" i="11"/>
  <c r="D166" i="11"/>
  <c r="C166" i="11"/>
  <c r="B166" i="11"/>
  <c r="J165" i="11"/>
  <c r="I165" i="11"/>
  <c r="F165" i="11"/>
  <c r="D165" i="11"/>
  <c r="C165" i="11"/>
  <c r="B165" i="11"/>
  <c r="J164" i="11"/>
  <c r="I164" i="11"/>
  <c r="F164" i="11"/>
  <c r="D164" i="11"/>
  <c r="C164" i="11"/>
  <c r="B164" i="11"/>
  <c r="J163" i="11"/>
  <c r="I163" i="11"/>
  <c r="F163" i="11"/>
  <c r="D163" i="11"/>
  <c r="C163" i="11"/>
  <c r="B163" i="11"/>
  <c r="J162" i="11"/>
  <c r="I162" i="11"/>
  <c r="F162" i="11"/>
  <c r="D162" i="11"/>
  <c r="C162" i="11"/>
  <c r="B162" i="11"/>
  <c r="J161" i="11"/>
  <c r="I161" i="11"/>
  <c r="F161" i="11"/>
  <c r="D161" i="11"/>
  <c r="C161" i="11"/>
  <c r="B161" i="11"/>
  <c r="J160" i="11"/>
  <c r="I160" i="11"/>
  <c r="F160" i="11"/>
  <c r="D160" i="11"/>
  <c r="C160" i="11"/>
  <c r="B160" i="11"/>
  <c r="J159" i="11"/>
  <c r="I159" i="11"/>
  <c r="F159" i="11"/>
  <c r="D159" i="11"/>
  <c r="C159" i="11"/>
  <c r="B159" i="11"/>
  <c r="J158" i="11"/>
  <c r="I158" i="11"/>
  <c r="F158" i="11"/>
  <c r="D158" i="11"/>
  <c r="C158" i="11"/>
  <c r="B158" i="11"/>
  <c r="J157" i="11"/>
  <c r="I157" i="11"/>
  <c r="F157" i="11"/>
  <c r="D157" i="11"/>
  <c r="C157" i="11"/>
  <c r="B157" i="11"/>
  <c r="J156" i="11"/>
  <c r="I156" i="11"/>
  <c r="F156" i="11"/>
  <c r="D156" i="11"/>
  <c r="C156" i="11"/>
  <c r="B156" i="11"/>
  <c r="J155" i="11"/>
  <c r="I155" i="11"/>
  <c r="F155" i="11"/>
  <c r="D155" i="11"/>
  <c r="C155" i="11"/>
  <c r="B155" i="11"/>
  <c r="J154" i="11"/>
  <c r="I154" i="11"/>
  <c r="F154" i="11"/>
  <c r="D154" i="11"/>
  <c r="C154" i="11"/>
  <c r="B154" i="11"/>
  <c r="J153" i="11"/>
  <c r="I153" i="11"/>
  <c r="F153" i="11"/>
  <c r="D153" i="11"/>
  <c r="C153" i="11"/>
  <c r="B153" i="11"/>
  <c r="J152" i="11"/>
  <c r="I152" i="11"/>
  <c r="F152" i="11"/>
  <c r="D152" i="11"/>
  <c r="C152" i="11"/>
  <c r="B152" i="11"/>
  <c r="J151" i="11"/>
  <c r="I151" i="11"/>
  <c r="F151" i="11"/>
  <c r="D151" i="11"/>
  <c r="C151" i="11"/>
  <c r="B151" i="11"/>
  <c r="J150" i="11"/>
  <c r="I150" i="11"/>
  <c r="F150" i="11"/>
  <c r="D150" i="11"/>
  <c r="C150" i="11"/>
  <c r="B150" i="11"/>
  <c r="J149" i="11"/>
  <c r="I149" i="11"/>
  <c r="F149" i="11"/>
  <c r="D149" i="11"/>
  <c r="C149" i="11"/>
  <c r="B149" i="11"/>
  <c r="J148" i="11"/>
  <c r="I148" i="11"/>
  <c r="F148" i="11"/>
  <c r="D148" i="11"/>
  <c r="C148" i="11"/>
  <c r="B148" i="11"/>
  <c r="J147" i="11"/>
  <c r="I147" i="11"/>
  <c r="F147" i="11"/>
  <c r="D147" i="11"/>
  <c r="C147" i="11"/>
  <c r="B147" i="11"/>
  <c r="J146" i="11"/>
  <c r="I146" i="11"/>
  <c r="F146" i="11"/>
  <c r="D146" i="11"/>
  <c r="C146" i="11"/>
  <c r="B146" i="11"/>
  <c r="J145" i="11"/>
  <c r="I145" i="11"/>
  <c r="F145" i="11"/>
  <c r="D145" i="11"/>
  <c r="C145" i="11"/>
  <c r="B145" i="11"/>
  <c r="J144" i="11"/>
  <c r="I144" i="11"/>
  <c r="F144" i="11"/>
  <c r="D144" i="11"/>
  <c r="C144" i="11"/>
  <c r="B144" i="11"/>
  <c r="J143" i="11"/>
  <c r="I143" i="11"/>
  <c r="F143" i="11"/>
  <c r="D143" i="11"/>
  <c r="C143" i="11"/>
  <c r="B143" i="11"/>
  <c r="J142" i="11"/>
  <c r="I142" i="11"/>
  <c r="F142" i="11"/>
  <c r="D142" i="11"/>
  <c r="C142" i="11"/>
  <c r="B142" i="11"/>
  <c r="J141" i="11"/>
  <c r="I141" i="11"/>
  <c r="F141" i="11"/>
  <c r="D141" i="11"/>
  <c r="C141" i="11"/>
  <c r="B141" i="11"/>
  <c r="J140" i="11"/>
  <c r="I140" i="11"/>
  <c r="F140" i="11"/>
  <c r="D140" i="11"/>
  <c r="C140" i="11"/>
  <c r="B140" i="11"/>
  <c r="J139" i="11"/>
  <c r="I139" i="11"/>
  <c r="F139" i="11"/>
  <c r="D139" i="11"/>
  <c r="C139" i="11"/>
  <c r="B139" i="11"/>
  <c r="J138" i="11"/>
  <c r="I138" i="11"/>
  <c r="F138" i="11"/>
  <c r="D138" i="11"/>
  <c r="C138" i="11"/>
  <c r="B138" i="11"/>
  <c r="J137" i="11"/>
  <c r="I137" i="11"/>
  <c r="F137" i="11"/>
  <c r="D137" i="11"/>
  <c r="C137" i="11"/>
  <c r="B137" i="11"/>
  <c r="J136" i="11"/>
  <c r="I136" i="11"/>
  <c r="F136" i="11"/>
  <c r="D136" i="11"/>
  <c r="C136" i="11"/>
  <c r="B136" i="11"/>
  <c r="J135" i="11"/>
  <c r="I135" i="11"/>
  <c r="F135" i="11"/>
  <c r="D135" i="11"/>
  <c r="C135" i="11"/>
  <c r="B135" i="11"/>
  <c r="J134" i="11"/>
  <c r="I134" i="11"/>
  <c r="F134" i="11"/>
  <c r="D134" i="11"/>
  <c r="C134" i="11"/>
  <c r="B134" i="11"/>
  <c r="J133" i="11"/>
  <c r="I133" i="11"/>
  <c r="F133" i="11"/>
  <c r="D133" i="11"/>
  <c r="C133" i="11"/>
  <c r="B133" i="11"/>
  <c r="J132" i="11"/>
  <c r="I132" i="11"/>
  <c r="F132" i="11"/>
  <c r="D132" i="11"/>
  <c r="C132" i="11"/>
  <c r="B132" i="11"/>
  <c r="J131" i="11"/>
  <c r="I131" i="11"/>
  <c r="F131" i="11"/>
  <c r="D131" i="11"/>
  <c r="C131" i="11"/>
  <c r="B131" i="11"/>
  <c r="J130" i="11"/>
  <c r="I130" i="11"/>
  <c r="F130" i="11"/>
  <c r="D130" i="11"/>
  <c r="C130" i="11"/>
  <c r="B130" i="11"/>
  <c r="J129" i="11"/>
  <c r="I129" i="11"/>
  <c r="F129" i="11"/>
  <c r="D129" i="11"/>
  <c r="C129" i="11"/>
  <c r="B129" i="11"/>
  <c r="J128" i="11"/>
  <c r="I128" i="11"/>
  <c r="F128" i="11"/>
  <c r="D128" i="11"/>
  <c r="C128" i="11"/>
  <c r="B128" i="11"/>
  <c r="J127" i="11"/>
  <c r="I127" i="11"/>
  <c r="F127" i="11"/>
  <c r="D127" i="11"/>
  <c r="C127" i="11"/>
  <c r="B127" i="11"/>
  <c r="J126" i="11"/>
  <c r="I126" i="11"/>
  <c r="F126" i="11"/>
  <c r="D126" i="11"/>
  <c r="C126" i="11"/>
  <c r="B126" i="11"/>
  <c r="J125" i="11"/>
  <c r="I125" i="11"/>
  <c r="F125" i="11"/>
  <c r="D125" i="11"/>
  <c r="C125" i="11"/>
  <c r="B125" i="11"/>
  <c r="J124" i="11"/>
  <c r="I124" i="11"/>
  <c r="F124" i="11"/>
  <c r="D124" i="11"/>
  <c r="C124" i="11"/>
  <c r="B124" i="11"/>
  <c r="J123" i="11"/>
  <c r="I123" i="11"/>
  <c r="F123" i="11"/>
  <c r="D123" i="11"/>
  <c r="C123" i="11"/>
  <c r="B123" i="11"/>
  <c r="J122" i="11"/>
  <c r="I122" i="11"/>
  <c r="F122" i="11"/>
  <c r="D122" i="11"/>
  <c r="C122" i="11"/>
  <c r="B122" i="11"/>
  <c r="J121" i="11"/>
  <c r="I121" i="11"/>
  <c r="F121" i="11"/>
  <c r="D121" i="11"/>
  <c r="C121" i="11"/>
  <c r="B121" i="11"/>
  <c r="J120" i="11"/>
  <c r="I120" i="11"/>
  <c r="F120" i="11"/>
  <c r="D120" i="11"/>
  <c r="C120" i="11"/>
  <c r="B120" i="11"/>
  <c r="J119" i="11"/>
  <c r="I119" i="11"/>
  <c r="F119" i="11"/>
  <c r="D119" i="11"/>
  <c r="C119" i="11"/>
  <c r="B119" i="11"/>
  <c r="J118" i="11"/>
  <c r="I118" i="11"/>
  <c r="F118" i="11"/>
  <c r="D118" i="11"/>
  <c r="C118" i="11"/>
  <c r="B118" i="11"/>
  <c r="J117" i="11"/>
  <c r="I117" i="11"/>
  <c r="F117" i="11"/>
  <c r="D117" i="11"/>
  <c r="C117" i="11"/>
  <c r="B117" i="11"/>
  <c r="J116" i="11"/>
  <c r="I116" i="11"/>
  <c r="F116" i="11"/>
  <c r="D116" i="11"/>
  <c r="C116" i="11"/>
  <c r="B116" i="11"/>
  <c r="J115" i="11"/>
  <c r="I115" i="11"/>
  <c r="F115" i="11"/>
  <c r="D115" i="11"/>
  <c r="C115" i="11"/>
  <c r="B115" i="11"/>
  <c r="J114" i="11"/>
  <c r="I114" i="11"/>
  <c r="F114" i="11"/>
  <c r="D114" i="11"/>
  <c r="C114" i="11"/>
  <c r="B114" i="11"/>
  <c r="J113" i="11"/>
  <c r="I113" i="11"/>
  <c r="F113" i="11"/>
  <c r="D113" i="11"/>
  <c r="C113" i="11"/>
  <c r="B113" i="11"/>
  <c r="J112" i="11"/>
  <c r="I112" i="11"/>
  <c r="F112" i="11"/>
  <c r="D112" i="11"/>
  <c r="C112" i="11"/>
  <c r="B112" i="11"/>
  <c r="J111" i="11"/>
  <c r="I111" i="11"/>
  <c r="F111" i="11"/>
  <c r="D111" i="11"/>
  <c r="C111" i="11"/>
  <c r="B111" i="11"/>
  <c r="J110" i="11"/>
  <c r="I110" i="11"/>
  <c r="F110" i="11"/>
  <c r="D110" i="11"/>
  <c r="C110" i="11"/>
  <c r="B110" i="11"/>
  <c r="J109" i="11"/>
  <c r="I109" i="11"/>
  <c r="F109" i="11"/>
  <c r="D109" i="11"/>
  <c r="C109" i="11"/>
  <c r="B109" i="11"/>
  <c r="J108" i="11"/>
  <c r="I108" i="11"/>
  <c r="F108" i="11"/>
  <c r="D108" i="11"/>
  <c r="C108" i="11"/>
  <c r="B108" i="11"/>
  <c r="J107" i="11"/>
  <c r="I107" i="11"/>
  <c r="F107" i="11"/>
  <c r="D107" i="11"/>
  <c r="C107" i="11"/>
  <c r="B107" i="11"/>
  <c r="J106" i="11"/>
  <c r="I106" i="11"/>
  <c r="F106" i="11"/>
  <c r="D106" i="11"/>
  <c r="C106" i="11"/>
  <c r="B106" i="11"/>
  <c r="J105" i="11"/>
  <c r="I105" i="11"/>
  <c r="F105" i="11"/>
  <c r="D105" i="11"/>
  <c r="C105" i="11"/>
  <c r="B105" i="11"/>
  <c r="J104" i="11"/>
  <c r="I104" i="11"/>
  <c r="F104" i="11"/>
  <c r="D104" i="11"/>
  <c r="C104" i="11"/>
  <c r="B104" i="11"/>
  <c r="J103" i="11"/>
  <c r="I103" i="11"/>
  <c r="F103" i="11"/>
  <c r="D103" i="11"/>
  <c r="C103" i="11"/>
  <c r="B103" i="11"/>
  <c r="J102" i="11"/>
  <c r="I102" i="11"/>
  <c r="F102" i="11"/>
  <c r="D102" i="11"/>
  <c r="C102" i="11"/>
  <c r="B102" i="11"/>
  <c r="J101" i="11"/>
  <c r="I101" i="11"/>
  <c r="F101" i="11"/>
  <c r="D101" i="11"/>
  <c r="C101" i="11"/>
  <c r="B101" i="11"/>
  <c r="J100" i="11"/>
  <c r="I100" i="11"/>
  <c r="F100" i="11"/>
  <c r="D100" i="11"/>
  <c r="C100" i="11"/>
  <c r="B100" i="11"/>
  <c r="J99" i="11"/>
  <c r="I99" i="11"/>
  <c r="F99" i="11"/>
  <c r="D99" i="11"/>
  <c r="C99" i="11"/>
  <c r="B99" i="11"/>
  <c r="J98" i="11"/>
  <c r="I98" i="11"/>
  <c r="F98" i="11"/>
  <c r="D98" i="11"/>
  <c r="C98" i="11"/>
  <c r="B98" i="11"/>
  <c r="J97" i="11"/>
  <c r="I97" i="11"/>
  <c r="F97" i="11"/>
  <c r="D97" i="11"/>
  <c r="C97" i="11"/>
  <c r="B97" i="11"/>
  <c r="J96" i="11"/>
  <c r="I96" i="11"/>
  <c r="F96" i="11"/>
  <c r="D96" i="11"/>
  <c r="C96" i="11"/>
  <c r="B96" i="11"/>
  <c r="J95" i="11"/>
  <c r="I95" i="11"/>
  <c r="F95" i="11"/>
  <c r="D95" i="11"/>
  <c r="C95" i="11"/>
  <c r="B95" i="11"/>
  <c r="J94" i="11"/>
  <c r="I94" i="11"/>
  <c r="F94" i="11"/>
  <c r="D94" i="11"/>
  <c r="C94" i="11"/>
  <c r="B94" i="11"/>
  <c r="J93" i="11"/>
  <c r="I93" i="11"/>
  <c r="F93" i="11"/>
  <c r="D93" i="11"/>
  <c r="C93" i="11"/>
  <c r="B93" i="11"/>
  <c r="J92" i="11"/>
  <c r="I92" i="11"/>
  <c r="F92" i="11"/>
  <c r="D92" i="11"/>
  <c r="C92" i="11"/>
  <c r="B92" i="11"/>
  <c r="J91" i="11"/>
  <c r="I91" i="11"/>
  <c r="F91" i="11"/>
  <c r="D91" i="11"/>
  <c r="C91" i="11"/>
  <c r="B91" i="11"/>
  <c r="J90" i="11"/>
  <c r="I90" i="11"/>
  <c r="F90" i="11"/>
  <c r="D90" i="11"/>
  <c r="C90" i="11"/>
  <c r="B90" i="11"/>
  <c r="J89" i="11"/>
  <c r="I89" i="11"/>
  <c r="F89" i="11"/>
  <c r="D89" i="11"/>
  <c r="C89" i="11"/>
  <c r="B89" i="11"/>
  <c r="J88" i="11"/>
  <c r="I88" i="11"/>
  <c r="F88" i="11"/>
  <c r="D88" i="11"/>
  <c r="C88" i="11"/>
  <c r="B88" i="11"/>
  <c r="J87" i="11"/>
  <c r="I87" i="11"/>
  <c r="F87" i="11"/>
  <c r="D87" i="11"/>
  <c r="C87" i="11"/>
  <c r="B87" i="11"/>
  <c r="J86" i="11"/>
  <c r="I86" i="11"/>
  <c r="F86" i="11"/>
  <c r="D86" i="11"/>
  <c r="C86" i="11"/>
  <c r="B86" i="11"/>
  <c r="J85" i="11"/>
  <c r="I85" i="11"/>
  <c r="F85" i="11"/>
  <c r="D85" i="11"/>
  <c r="C85" i="11"/>
  <c r="B85" i="11"/>
  <c r="J84" i="11"/>
  <c r="I84" i="11"/>
  <c r="F84" i="11"/>
  <c r="D84" i="11"/>
  <c r="C84" i="11"/>
  <c r="B84" i="11"/>
  <c r="J83" i="11"/>
  <c r="I83" i="11"/>
  <c r="F83" i="11"/>
  <c r="D83" i="11"/>
  <c r="C83" i="11"/>
  <c r="B83" i="11"/>
  <c r="J82" i="11"/>
  <c r="I82" i="11"/>
  <c r="F82" i="11"/>
  <c r="D82" i="11"/>
  <c r="C82" i="11"/>
  <c r="B82" i="11"/>
  <c r="J81" i="11"/>
  <c r="I81" i="11"/>
  <c r="F81" i="11"/>
  <c r="D81" i="11"/>
  <c r="C81" i="11"/>
  <c r="B81" i="11"/>
  <c r="J80" i="11"/>
  <c r="I80" i="11"/>
  <c r="F80" i="11"/>
  <c r="D80" i="11"/>
  <c r="C80" i="11"/>
  <c r="B80" i="11"/>
  <c r="J79" i="11"/>
  <c r="I79" i="11"/>
  <c r="F79" i="11"/>
  <c r="D79" i="11"/>
  <c r="C79" i="11"/>
  <c r="B79" i="11"/>
  <c r="J78" i="11"/>
  <c r="I78" i="11"/>
  <c r="F78" i="11"/>
  <c r="D78" i="11"/>
  <c r="C78" i="11"/>
  <c r="B78" i="11"/>
  <c r="J77" i="11"/>
  <c r="I77" i="11"/>
  <c r="F77" i="11"/>
  <c r="D77" i="11"/>
  <c r="C77" i="11"/>
  <c r="B77" i="11"/>
  <c r="J76" i="11"/>
  <c r="I76" i="11"/>
  <c r="F76" i="11"/>
  <c r="D76" i="11"/>
  <c r="C76" i="11"/>
  <c r="B76" i="11"/>
  <c r="J75" i="11"/>
  <c r="I75" i="11"/>
  <c r="F75" i="11"/>
  <c r="D75" i="11"/>
  <c r="C75" i="11"/>
  <c r="B75" i="11"/>
  <c r="J74" i="11"/>
  <c r="I74" i="11"/>
  <c r="F74" i="11"/>
  <c r="D74" i="11"/>
  <c r="C74" i="11"/>
  <c r="B74" i="11"/>
  <c r="J73" i="11"/>
  <c r="I73" i="11"/>
  <c r="F73" i="11"/>
  <c r="D73" i="11"/>
  <c r="C73" i="11"/>
  <c r="B73" i="11"/>
  <c r="J72" i="11"/>
  <c r="I72" i="11"/>
  <c r="F72" i="11"/>
  <c r="D72" i="11"/>
  <c r="C72" i="11"/>
  <c r="B72" i="11"/>
  <c r="J71" i="11"/>
  <c r="I71" i="11"/>
  <c r="F71" i="11"/>
  <c r="D71" i="11"/>
  <c r="C71" i="11"/>
  <c r="B71" i="11"/>
  <c r="J70" i="11"/>
  <c r="I70" i="11"/>
  <c r="F70" i="11"/>
  <c r="D70" i="11"/>
  <c r="C70" i="11"/>
  <c r="B70" i="11"/>
  <c r="J69" i="11"/>
  <c r="I69" i="11"/>
  <c r="F69" i="11"/>
  <c r="D69" i="11"/>
  <c r="C69" i="11"/>
  <c r="B69" i="11"/>
  <c r="J68" i="11"/>
  <c r="I68" i="11"/>
  <c r="F68" i="11"/>
  <c r="D68" i="11"/>
  <c r="C68" i="11"/>
  <c r="B68" i="11"/>
  <c r="J67" i="11"/>
  <c r="I67" i="11"/>
  <c r="F67" i="11"/>
  <c r="D67" i="11"/>
  <c r="C67" i="11"/>
  <c r="B67" i="11"/>
  <c r="J66" i="11"/>
  <c r="I66" i="11"/>
  <c r="F66" i="11"/>
  <c r="D66" i="11"/>
  <c r="C66" i="11"/>
  <c r="B66" i="11"/>
  <c r="J65" i="11"/>
  <c r="I65" i="11"/>
  <c r="F65" i="11"/>
  <c r="D65" i="11"/>
  <c r="C65" i="11"/>
  <c r="B65" i="11"/>
  <c r="J64" i="11"/>
  <c r="I64" i="11"/>
  <c r="F64" i="11"/>
  <c r="D64" i="11"/>
  <c r="C64" i="11"/>
  <c r="B64" i="11"/>
  <c r="J63" i="11"/>
  <c r="I63" i="11"/>
  <c r="F63" i="11"/>
  <c r="D63" i="11"/>
  <c r="C63" i="11"/>
  <c r="B63" i="11"/>
  <c r="J62" i="11"/>
  <c r="I62" i="11"/>
  <c r="F62" i="11"/>
  <c r="D62" i="11"/>
  <c r="C62" i="11"/>
  <c r="B62" i="11"/>
  <c r="J61" i="11"/>
  <c r="I61" i="11"/>
  <c r="F61" i="11"/>
  <c r="D61" i="11"/>
  <c r="C61" i="11"/>
  <c r="B61" i="11"/>
  <c r="J60" i="11"/>
  <c r="I60" i="11"/>
  <c r="F60" i="11"/>
  <c r="D60" i="11"/>
  <c r="C60" i="11"/>
  <c r="B60" i="11"/>
  <c r="J59" i="11"/>
  <c r="I59" i="11"/>
  <c r="F59" i="11"/>
  <c r="D59" i="11"/>
  <c r="C59" i="11"/>
  <c r="B59" i="11"/>
  <c r="J58" i="11"/>
  <c r="I58" i="11"/>
  <c r="F58" i="11"/>
  <c r="D58" i="11"/>
  <c r="C58" i="11"/>
  <c r="B58" i="11"/>
  <c r="J57" i="11"/>
  <c r="I57" i="11"/>
  <c r="F57" i="11"/>
  <c r="D57" i="11"/>
  <c r="C57" i="11"/>
  <c r="B57" i="11"/>
  <c r="J56" i="11"/>
  <c r="I56" i="11"/>
  <c r="F56" i="11"/>
  <c r="D56" i="11"/>
  <c r="C56" i="11"/>
  <c r="B56" i="11"/>
  <c r="J55" i="11"/>
  <c r="I55" i="11"/>
  <c r="F55" i="11"/>
  <c r="D55" i="11"/>
  <c r="C55" i="11"/>
  <c r="B55" i="11"/>
  <c r="J54" i="11"/>
  <c r="I54" i="11"/>
  <c r="F54" i="11"/>
  <c r="D54" i="11"/>
  <c r="C54" i="11"/>
  <c r="B54" i="11"/>
  <c r="J53" i="11"/>
  <c r="I53" i="11"/>
  <c r="F53" i="11"/>
  <c r="D53" i="11"/>
  <c r="C53" i="11"/>
  <c r="B53" i="11"/>
  <c r="J52" i="11"/>
  <c r="I52" i="11"/>
  <c r="F52" i="11"/>
  <c r="D52" i="11"/>
  <c r="C52" i="11"/>
  <c r="B52" i="11"/>
  <c r="J51" i="11"/>
  <c r="I51" i="11"/>
  <c r="F51" i="11"/>
  <c r="D51" i="11"/>
  <c r="C51" i="11"/>
  <c r="B51" i="11"/>
  <c r="J50" i="11"/>
  <c r="I50" i="11"/>
  <c r="F50" i="11"/>
  <c r="D50" i="11"/>
  <c r="C50" i="11"/>
  <c r="B50" i="11"/>
  <c r="J49" i="11"/>
  <c r="I49" i="11"/>
  <c r="F49" i="11"/>
  <c r="D49" i="11"/>
  <c r="C49" i="11"/>
  <c r="B49" i="11"/>
  <c r="J48" i="11"/>
  <c r="I48" i="11"/>
  <c r="F48" i="11"/>
  <c r="D48" i="11"/>
  <c r="C48" i="11"/>
  <c r="B48" i="11"/>
  <c r="J47" i="11"/>
  <c r="I47" i="11"/>
  <c r="F47" i="11"/>
  <c r="D47" i="11"/>
  <c r="C47" i="11"/>
  <c r="B47" i="11"/>
  <c r="J46" i="11"/>
  <c r="I46" i="11"/>
  <c r="F46" i="11"/>
  <c r="D46" i="11"/>
  <c r="C46" i="11"/>
  <c r="B46" i="11"/>
  <c r="J45" i="11"/>
  <c r="I45" i="11"/>
  <c r="F45" i="11"/>
  <c r="D45" i="11"/>
  <c r="C45" i="11"/>
  <c r="B45" i="11"/>
  <c r="J44" i="11"/>
  <c r="I44" i="11"/>
  <c r="F44" i="11"/>
  <c r="D44" i="11"/>
  <c r="C44" i="11"/>
  <c r="B44" i="11"/>
  <c r="J43" i="11"/>
  <c r="I43" i="11"/>
  <c r="F43" i="11"/>
  <c r="D43" i="11"/>
  <c r="C43" i="11"/>
  <c r="B43" i="11"/>
  <c r="J42" i="11"/>
  <c r="I42" i="11"/>
  <c r="F42" i="11"/>
  <c r="D42" i="11"/>
  <c r="C42" i="11"/>
  <c r="B42" i="11"/>
  <c r="J41" i="11"/>
  <c r="I41" i="11"/>
  <c r="F41" i="11"/>
  <c r="D41" i="11"/>
  <c r="C41" i="11"/>
  <c r="B41" i="11"/>
  <c r="J40" i="11"/>
  <c r="I40" i="11"/>
  <c r="F40" i="11"/>
  <c r="D40" i="11"/>
  <c r="C40" i="11"/>
  <c r="B40" i="11"/>
  <c r="J39" i="11"/>
  <c r="I39" i="11"/>
  <c r="F39" i="11"/>
  <c r="D39" i="11"/>
  <c r="C39" i="11"/>
  <c r="B39" i="11"/>
  <c r="J38" i="11"/>
  <c r="I38" i="11"/>
  <c r="F38" i="11"/>
  <c r="D38" i="11"/>
  <c r="C38" i="11"/>
  <c r="B38" i="11"/>
  <c r="J37" i="11"/>
  <c r="I37" i="11"/>
  <c r="F37" i="11"/>
  <c r="D37" i="11"/>
  <c r="C37" i="11"/>
  <c r="B37" i="11"/>
  <c r="J36" i="11"/>
  <c r="I36" i="11"/>
  <c r="F36" i="11"/>
  <c r="D36" i="11"/>
  <c r="C36" i="11"/>
  <c r="B36" i="11"/>
  <c r="J35" i="11"/>
  <c r="I35" i="11"/>
  <c r="F35" i="11"/>
  <c r="D35" i="11"/>
  <c r="C35" i="11"/>
  <c r="B35" i="11"/>
  <c r="J34" i="11"/>
  <c r="I34" i="11"/>
  <c r="F34" i="11"/>
  <c r="D34" i="11"/>
  <c r="C34" i="11"/>
  <c r="B34" i="11"/>
  <c r="J33" i="11"/>
  <c r="I33" i="11"/>
  <c r="F33" i="11"/>
  <c r="D33" i="11"/>
  <c r="C33" i="11"/>
  <c r="B33" i="11"/>
  <c r="J32" i="11"/>
  <c r="I32" i="11"/>
  <c r="F32" i="11"/>
  <c r="D32" i="11"/>
  <c r="C32" i="11"/>
  <c r="B32" i="11"/>
  <c r="J31" i="11"/>
  <c r="I31" i="11"/>
  <c r="F31" i="11"/>
  <c r="D31" i="11"/>
  <c r="C31" i="11"/>
  <c r="B31" i="11"/>
  <c r="J30" i="11"/>
  <c r="I30" i="11"/>
  <c r="F30" i="11"/>
  <c r="D30" i="11"/>
  <c r="C30" i="11"/>
  <c r="B30" i="11"/>
  <c r="J29" i="11"/>
  <c r="I29" i="11"/>
  <c r="F29" i="11"/>
  <c r="D29" i="11"/>
  <c r="C29" i="11"/>
  <c r="B29" i="11"/>
  <c r="J28" i="11"/>
  <c r="I28" i="11"/>
  <c r="F28" i="11"/>
  <c r="D28" i="11"/>
  <c r="C28" i="11"/>
  <c r="B28" i="11"/>
  <c r="J27" i="11"/>
  <c r="I27" i="11"/>
  <c r="F27" i="11"/>
  <c r="D27" i="11"/>
  <c r="C27" i="11"/>
  <c r="B27" i="11"/>
  <c r="J26" i="11"/>
  <c r="I26" i="11"/>
  <c r="F26" i="11"/>
  <c r="D26" i="11"/>
  <c r="C26" i="11"/>
  <c r="B26" i="11"/>
  <c r="J25" i="11"/>
  <c r="I25" i="11"/>
  <c r="F25" i="11"/>
  <c r="D25" i="11"/>
  <c r="C25" i="11"/>
  <c r="B25" i="11"/>
  <c r="J24" i="11"/>
  <c r="I24" i="11"/>
  <c r="F24" i="11"/>
  <c r="D24" i="11"/>
  <c r="C24" i="11"/>
  <c r="B24" i="11"/>
  <c r="J23" i="11"/>
  <c r="I23" i="11"/>
  <c r="F23" i="11"/>
  <c r="D23" i="11"/>
  <c r="C23" i="11"/>
  <c r="B23" i="11"/>
  <c r="J22" i="11"/>
  <c r="I22" i="11"/>
  <c r="F22" i="11"/>
  <c r="D22" i="11"/>
  <c r="C22" i="11"/>
  <c r="B22" i="11"/>
  <c r="J21" i="11"/>
  <c r="I21" i="11"/>
  <c r="F21" i="11"/>
  <c r="D21" i="11"/>
  <c r="C21" i="11"/>
  <c r="B21" i="11"/>
  <c r="J20" i="11"/>
  <c r="I20" i="11"/>
  <c r="F20" i="11"/>
  <c r="D20" i="11"/>
  <c r="C20" i="11"/>
  <c r="B20" i="11"/>
  <c r="J19" i="11"/>
  <c r="I19" i="11"/>
  <c r="F19" i="11"/>
  <c r="D19" i="11"/>
  <c r="C19" i="11"/>
  <c r="B19" i="11"/>
  <c r="J18" i="11"/>
  <c r="I18" i="11"/>
  <c r="F18" i="11"/>
  <c r="D18" i="11"/>
  <c r="C18" i="11"/>
  <c r="B18" i="11"/>
  <c r="J17" i="11"/>
  <c r="I17" i="11"/>
  <c r="F17" i="11"/>
  <c r="D17" i="11"/>
  <c r="C17" i="11"/>
  <c r="B17" i="11"/>
  <c r="J16" i="11"/>
  <c r="I16" i="11"/>
  <c r="F16" i="11"/>
  <c r="D16" i="11"/>
  <c r="C16" i="11"/>
  <c r="B16" i="11"/>
  <c r="J15" i="11"/>
  <c r="I15" i="11"/>
  <c r="F15" i="11"/>
  <c r="D15" i="11"/>
  <c r="C15" i="11"/>
  <c r="B15" i="11"/>
  <c r="J14" i="11"/>
  <c r="I14" i="11"/>
  <c r="F14" i="11"/>
  <c r="D14" i="11"/>
  <c r="C14" i="11"/>
  <c r="B14" i="11"/>
  <c r="J13" i="11"/>
  <c r="I13" i="11"/>
  <c r="F13" i="11"/>
  <c r="D13" i="11"/>
  <c r="B13" i="11"/>
  <c r="J12" i="11"/>
  <c r="F12" i="11"/>
  <c r="J11" i="11"/>
  <c r="I4" i="7" s="1"/>
  <c r="I11" i="11"/>
  <c r="F11" i="11"/>
  <c r="G4" i="11"/>
  <c r="I504" i="10"/>
  <c r="H504" i="10"/>
  <c r="F504" i="10"/>
  <c r="C504" i="10"/>
  <c r="A504" i="10"/>
  <c r="I503" i="10"/>
  <c r="H503" i="10"/>
  <c r="F503" i="10"/>
  <c r="C503" i="10"/>
  <c r="A503" i="10"/>
  <c r="I502" i="10"/>
  <c r="H502" i="10"/>
  <c r="F502" i="10"/>
  <c r="C502" i="10"/>
  <c r="A502" i="10"/>
  <c r="I501" i="10"/>
  <c r="H501" i="10"/>
  <c r="F501" i="10"/>
  <c r="C501" i="10"/>
  <c r="A501" i="10"/>
  <c r="I500" i="10"/>
  <c r="H500" i="10"/>
  <c r="F500" i="10"/>
  <c r="C500" i="10"/>
  <c r="A500" i="10"/>
  <c r="I499" i="10"/>
  <c r="H499" i="10"/>
  <c r="F499" i="10"/>
  <c r="C499" i="10"/>
  <c r="A499" i="10"/>
  <c r="I498" i="10"/>
  <c r="H498" i="10"/>
  <c r="F498" i="10"/>
  <c r="C498" i="10"/>
  <c r="A498" i="10"/>
  <c r="I497" i="10"/>
  <c r="H497" i="10"/>
  <c r="F497" i="10"/>
  <c r="C497" i="10"/>
  <c r="A497" i="10"/>
  <c r="I496" i="10"/>
  <c r="H496" i="10"/>
  <c r="F496" i="10"/>
  <c r="C496" i="10"/>
  <c r="A496" i="10"/>
  <c r="I495" i="10"/>
  <c r="H495" i="10"/>
  <c r="F495" i="10"/>
  <c r="C495" i="10"/>
  <c r="A495" i="10"/>
  <c r="I494" i="10"/>
  <c r="H494" i="10"/>
  <c r="F494" i="10"/>
  <c r="C494" i="10"/>
  <c r="A494" i="10"/>
  <c r="I493" i="10"/>
  <c r="H493" i="10"/>
  <c r="F493" i="10"/>
  <c r="C493" i="10"/>
  <c r="A493" i="10"/>
  <c r="I492" i="10"/>
  <c r="H492" i="10"/>
  <c r="F492" i="10"/>
  <c r="C492" i="10"/>
  <c r="A492" i="10"/>
  <c r="I491" i="10"/>
  <c r="H491" i="10"/>
  <c r="F491" i="10"/>
  <c r="C491" i="10"/>
  <c r="A491" i="10"/>
  <c r="I490" i="10"/>
  <c r="H490" i="10"/>
  <c r="F490" i="10"/>
  <c r="C490" i="10"/>
  <c r="A490" i="10"/>
  <c r="I489" i="10"/>
  <c r="H489" i="10"/>
  <c r="F489" i="10"/>
  <c r="C489" i="10"/>
  <c r="A489" i="10"/>
  <c r="I488" i="10"/>
  <c r="H488" i="10"/>
  <c r="F488" i="10"/>
  <c r="C488" i="10"/>
  <c r="A488" i="10"/>
  <c r="I487" i="10"/>
  <c r="H487" i="10"/>
  <c r="F487" i="10"/>
  <c r="C487" i="10"/>
  <c r="A487" i="10"/>
  <c r="I486" i="10"/>
  <c r="H486" i="10"/>
  <c r="F486" i="10"/>
  <c r="C486" i="10"/>
  <c r="A486" i="10"/>
  <c r="I485" i="10"/>
  <c r="H485" i="10"/>
  <c r="F485" i="10"/>
  <c r="C485" i="10"/>
  <c r="A485" i="10"/>
  <c r="I484" i="10"/>
  <c r="H484" i="10"/>
  <c r="F484" i="10"/>
  <c r="C484" i="10"/>
  <c r="A484" i="10"/>
  <c r="I483" i="10"/>
  <c r="H483" i="10"/>
  <c r="F483" i="10"/>
  <c r="C483" i="10"/>
  <c r="A483" i="10"/>
  <c r="I482" i="10"/>
  <c r="H482" i="10"/>
  <c r="F482" i="10"/>
  <c r="C482" i="10"/>
  <c r="A482" i="10"/>
  <c r="I481" i="10"/>
  <c r="H481" i="10"/>
  <c r="F481" i="10"/>
  <c r="C481" i="10"/>
  <c r="A481" i="10"/>
  <c r="I480" i="10"/>
  <c r="H480" i="10"/>
  <c r="F480" i="10"/>
  <c r="C480" i="10"/>
  <c r="A480" i="10"/>
  <c r="I479" i="10"/>
  <c r="H479" i="10"/>
  <c r="F479" i="10"/>
  <c r="C479" i="10"/>
  <c r="A479" i="10"/>
  <c r="I478" i="10"/>
  <c r="H478" i="10"/>
  <c r="F478" i="10"/>
  <c r="C478" i="10"/>
  <c r="A478" i="10"/>
  <c r="I477" i="10"/>
  <c r="H477" i="10"/>
  <c r="F477" i="10"/>
  <c r="C477" i="10"/>
  <c r="A477" i="10"/>
  <c r="I476" i="10"/>
  <c r="H476" i="10"/>
  <c r="F476" i="10"/>
  <c r="C476" i="10"/>
  <c r="A476" i="10"/>
  <c r="I475" i="10"/>
  <c r="H475" i="10"/>
  <c r="F475" i="10"/>
  <c r="C475" i="10"/>
  <c r="A475" i="10"/>
  <c r="I474" i="10"/>
  <c r="H474" i="10"/>
  <c r="F474" i="10"/>
  <c r="C474" i="10"/>
  <c r="A474" i="10"/>
  <c r="I473" i="10"/>
  <c r="H473" i="10"/>
  <c r="F473" i="10"/>
  <c r="C473" i="10"/>
  <c r="A473" i="10"/>
  <c r="I472" i="10"/>
  <c r="H472" i="10"/>
  <c r="F472" i="10"/>
  <c r="C472" i="10"/>
  <c r="A472" i="10"/>
  <c r="I471" i="10"/>
  <c r="H471" i="10"/>
  <c r="F471" i="10"/>
  <c r="C471" i="10"/>
  <c r="A471" i="10"/>
  <c r="I470" i="10"/>
  <c r="H470" i="10"/>
  <c r="F470" i="10"/>
  <c r="C470" i="10"/>
  <c r="A470" i="10"/>
  <c r="I469" i="10"/>
  <c r="H469" i="10"/>
  <c r="F469" i="10"/>
  <c r="C469" i="10"/>
  <c r="A469" i="10"/>
  <c r="I468" i="10"/>
  <c r="H468" i="10"/>
  <c r="F468" i="10"/>
  <c r="C468" i="10"/>
  <c r="A468" i="10"/>
  <c r="I467" i="10"/>
  <c r="H467" i="10"/>
  <c r="F467" i="10"/>
  <c r="C467" i="10"/>
  <c r="A467" i="10"/>
  <c r="I466" i="10"/>
  <c r="H466" i="10"/>
  <c r="F466" i="10"/>
  <c r="C466" i="10"/>
  <c r="A466" i="10"/>
  <c r="I465" i="10"/>
  <c r="H465" i="10"/>
  <c r="F465" i="10"/>
  <c r="C465" i="10"/>
  <c r="A465" i="10"/>
  <c r="I464" i="10"/>
  <c r="H464" i="10"/>
  <c r="F464" i="10"/>
  <c r="C464" i="10"/>
  <c r="A464" i="10"/>
  <c r="I463" i="10"/>
  <c r="H463" i="10"/>
  <c r="F463" i="10"/>
  <c r="C463" i="10"/>
  <c r="A463" i="10"/>
  <c r="I462" i="10"/>
  <c r="H462" i="10"/>
  <c r="F462" i="10"/>
  <c r="C462" i="10"/>
  <c r="A462" i="10"/>
  <c r="I461" i="10"/>
  <c r="H461" i="10"/>
  <c r="F461" i="10"/>
  <c r="C461" i="10"/>
  <c r="A461" i="10"/>
  <c r="I460" i="10"/>
  <c r="H460" i="10"/>
  <c r="F460" i="10"/>
  <c r="C460" i="10"/>
  <c r="A460" i="10"/>
  <c r="I459" i="10"/>
  <c r="H459" i="10"/>
  <c r="F459" i="10"/>
  <c r="C459" i="10"/>
  <c r="A459" i="10"/>
  <c r="I458" i="10"/>
  <c r="H458" i="10"/>
  <c r="F458" i="10"/>
  <c r="C458" i="10"/>
  <c r="A458" i="10"/>
  <c r="I457" i="10"/>
  <c r="H457" i="10"/>
  <c r="F457" i="10"/>
  <c r="C457" i="10"/>
  <c r="A457" i="10"/>
  <c r="I456" i="10"/>
  <c r="H456" i="10"/>
  <c r="F456" i="10"/>
  <c r="C456" i="10"/>
  <c r="A456" i="10"/>
  <c r="I455" i="10"/>
  <c r="H455" i="10"/>
  <c r="F455" i="10"/>
  <c r="C455" i="10"/>
  <c r="A455" i="10"/>
  <c r="I454" i="10"/>
  <c r="H454" i="10"/>
  <c r="F454" i="10"/>
  <c r="C454" i="10"/>
  <c r="A454" i="10"/>
  <c r="I453" i="10"/>
  <c r="H453" i="10"/>
  <c r="F453" i="10"/>
  <c r="C453" i="10"/>
  <c r="A453" i="10"/>
  <c r="I452" i="10"/>
  <c r="H452" i="10"/>
  <c r="F452" i="10"/>
  <c r="C452" i="10"/>
  <c r="A452" i="10"/>
  <c r="I451" i="10"/>
  <c r="H451" i="10"/>
  <c r="F451" i="10"/>
  <c r="C451" i="10"/>
  <c r="A451" i="10"/>
  <c r="I450" i="10"/>
  <c r="H450" i="10"/>
  <c r="F450" i="10"/>
  <c r="C450" i="10"/>
  <c r="A450" i="10"/>
  <c r="I449" i="10"/>
  <c r="H449" i="10"/>
  <c r="F449" i="10"/>
  <c r="C449" i="10"/>
  <c r="A449" i="10"/>
  <c r="I448" i="10"/>
  <c r="H448" i="10"/>
  <c r="F448" i="10"/>
  <c r="C448" i="10"/>
  <c r="A448" i="10"/>
  <c r="I447" i="10"/>
  <c r="H447" i="10"/>
  <c r="F447" i="10"/>
  <c r="C447" i="10"/>
  <c r="A447" i="10"/>
  <c r="I446" i="10"/>
  <c r="H446" i="10"/>
  <c r="F446" i="10"/>
  <c r="C446" i="10"/>
  <c r="A446" i="10"/>
  <c r="I445" i="10"/>
  <c r="H445" i="10"/>
  <c r="F445" i="10"/>
  <c r="C445" i="10"/>
  <c r="A445" i="10"/>
  <c r="I444" i="10"/>
  <c r="H444" i="10"/>
  <c r="F444" i="10"/>
  <c r="C444" i="10"/>
  <c r="A444" i="10"/>
  <c r="I443" i="10"/>
  <c r="H443" i="10"/>
  <c r="F443" i="10"/>
  <c r="C443" i="10"/>
  <c r="A443" i="10"/>
  <c r="I442" i="10"/>
  <c r="H442" i="10"/>
  <c r="F442" i="10"/>
  <c r="C442" i="10"/>
  <c r="A442" i="10"/>
  <c r="I441" i="10"/>
  <c r="H441" i="10"/>
  <c r="F441" i="10"/>
  <c r="C441" i="10"/>
  <c r="A441" i="10"/>
  <c r="I440" i="10"/>
  <c r="H440" i="10"/>
  <c r="F440" i="10"/>
  <c r="C440" i="10"/>
  <c r="A440" i="10"/>
  <c r="I439" i="10"/>
  <c r="H439" i="10"/>
  <c r="F439" i="10"/>
  <c r="C439" i="10"/>
  <c r="A439" i="10"/>
  <c r="I438" i="10"/>
  <c r="H438" i="10"/>
  <c r="F438" i="10"/>
  <c r="C438" i="10"/>
  <c r="A438" i="10"/>
  <c r="I437" i="10"/>
  <c r="H437" i="10"/>
  <c r="F437" i="10"/>
  <c r="C437" i="10"/>
  <c r="A437" i="10"/>
  <c r="I436" i="10"/>
  <c r="H436" i="10"/>
  <c r="F436" i="10"/>
  <c r="C436" i="10"/>
  <c r="A436" i="10"/>
  <c r="I435" i="10"/>
  <c r="H435" i="10"/>
  <c r="F435" i="10"/>
  <c r="C435" i="10"/>
  <c r="A435" i="10"/>
  <c r="I434" i="10"/>
  <c r="H434" i="10"/>
  <c r="F434" i="10"/>
  <c r="C434" i="10"/>
  <c r="A434" i="10"/>
  <c r="I433" i="10"/>
  <c r="H433" i="10"/>
  <c r="F433" i="10"/>
  <c r="C433" i="10"/>
  <c r="A433" i="10"/>
  <c r="I432" i="10"/>
  <c r="H432" i="10"/>
  <c r="F432" i="10"/>
  <c r="C432" i="10"/>
  <c r="A432" i="10"/>
  <c r="I431" i="10"/>
  <c r="H431" i="10"/>
  <c r="F431" i="10"/>
  <c r="C431" i="10"/>
  <c r="A431" i="10"/>
  <c r="I430" i="10"/>
  <c r="H430" i="10"/>
  <c r="F430" i="10"/>
  <c r="C430" i="10"/>
  <c r="A430" i="10"/>
  <c r="I429" i="10"/>
  <c r="H429" i="10"/>
  <c r="F429" i="10"/>
  <c r="C429" i="10"/>
  <c r="A429" i="10"/>
  <c r="I428" i="10"/>
  <c r="H428" i="10"/>
  <c r="F428" i="10"/>
  <c r="C428" i="10"/>
  <c r="A428" i="10"/>
  <c r="I427" i="10"/>
  <c r="H427" i="10"/>
  <c r="F427" i="10"/>
  <c r="C427" i="10"/>
  <c r="A427" i="10"/>
  <c r="I426" i="10"/>
  <c r="H426" i="10"/>
  <c r="F426" i="10"/>
  <c r="C426" i="10"/>
  <c r="A426" i="10"/>
  <c r="I425" i="10"/>
  <c r="H425" i="10"/>
  <c r="F425" i="10"/>
  <c r="C425" i="10"/>
  <c r="A425" i="10"/>
  <c r="I424" i="10"/>
  <c r="H424" i="10"/>
  <c r="F424" i="10"/>
  <c r="C424" i="10"/>
  <c r="A424" i="10"/>
  <c r="I423" i="10"/>
  <c r="H423" i="10"/>
  <c r="F423" i="10"/>
  <c r="C423" i="10"/>
  <c r="A423" i="10"/>
  <c r="I422" i="10"/>
  <c r="H422" i="10"/>
  <c r="F422" i="10"/>
  <c r="C422" i="10"/>
  <c r="A422" i="10"/>
  <c r="I421" i="10"/>
  <c r="H421" i="10"/>
  <c r="F421" i="10"/>
  <c r="C421" i="10"/>
  <c r="A421" i="10"/>
  <c r="I420" i="10"/>
  <c r="H420" i="10"/>
  <c r="F420" i="10"/>
  <c r="C420" i="10"/>
  <c r="A420" i="10"/>
  <c r="I419" i="10"/>
  <c r="H419" i="10"/>
  <c r="F419" i="10"/>
  <c r="C419" i="10"/>
  <c r="A419" i="10"/>
  <c r="I418" i="10"/>
  <c r="H418" i="10"/>
  <c r="F418" i="10"/>
  <c r="C418" i="10"/>
  <c r="A418" i="10"/>
  <c r="I417" i="10"/>
  <c r="H417" i="10"/>
  <c r="F417" i="10"/>
  <c r="C417" i="10"/>
  <c r="A417" i="10"/>
  <c r="I416" i="10"/>
  <c r="H416" i="10"/>
  <c r="F416" i="10"/>
  <c r="C416" i="10"/>
  <c r="A416" i="10"/>
  <c r="I415" i="10"/>
  <c r="H415" i="10"/>
  <c r="F415" i="10"/>
  <c r="C415" i="10"/>
  <c r="A415" i="10"/>
  <c r="I414" i="10"/>
  <c r="H414" i="10"/>
  <c r="F414" i="10"/>
  <c r="C414" i="10"/>
  <c r="A414" i="10"/>
  <c r="I413" i="10"/>
  <c r="H413" i="10"/>
  <c r="F413" i="10"/>
  <c r="C413" i="10"/>
  <c r="A413" i="10"/>
  <c r="I412" i="10"/>
  <c r="H412" i="10"/>
  <c r="F412" i="10"/>
  <c r="C412" i="10"/>
  <c r="A412" i="10"/>
  <c r="I411" i="10"/>
  <c r="H411" i="10"/>
  <c r="F411" i="10"/>
  <c r="C411" i="10"/>
  <c r="A411" i="10"/>
  <c r="I410" i="10"/>
  <c r="H410" i="10"/>
  <c r="F410" i="10"/>
  <c r="C410" i="10"/>
  <c r="A410" i="10"/>
  <c r="I409" i="10"/>
  <c r="H409" i="10"/>
  <c r="F409" i="10"/>
  <c r="C409" i="10"/>
  <c r="A409" i="10"/>
  <c r="I408" i="10"/>
  <c r="H408" i="10"/>
  <c r="F408" i="10"/>
  <c r="C408" i="10"/>
  <c r="A408" i="10"/>
  <c r="I407" i="10"/>
  <c r="H407" i="10"/>
  <c r="F407" i="10"/>
  <c r="C407" i="10"/>
  <c r="A407" i="10"/>
  <c r="I406" i="10"/>
  <c r="H406" i="10"/>
  <c r="F406" i="10"/>
  <c r="C406" i="10"/>
  <c r="A406" i="10"/>
  <c r="I405" i="10"/>
  <c r="H405" i="10"/>
  <c r="F405" i="10"/>
  <c r="C405" i="10"/>
  <c r="A405" i="10"/>
  <c r="I404" i="10"/>
  <c r="H404" i="10"/>
  <c r="F404" i="10"/>
  <c r="C404" i="10"/>
  <c r="A404" i="10"/>
  <c r="I403" i="10"/>
  <c r="H403" i="10"/>
  <c r="F403" i="10"/>
  <c r="C403" i="10"/>
  <c r="A403" i="10"/>
  <c r="I402" i="10"/>
  <c r="H402" i="10"/>
  <c r="F402" i="10"/>
  <c r="C402" i="10"/>
  <c r="A402" i="10"/>
  <c r="I401" i="10"/>
  <c r="H401" i="10"/>
  <c r="F401" i="10"/>
  <c r="C401" i="10"/>
  <c r="A401" i="10"/>
  <c r="I400" i="10"/>
  <c r="H400" i="10"/>
  <c r="F400" i="10"/>
  <c r="C400" i="10"/>
  <c r="A400" i="10"/>
  <c r="I399" i="10"/>
  <c r="H399" i="10"/>
  <c r="F399" i="10"/>
  <c r="C399" i="10"/>
  <c r="A399" i="10"/>
  <c r="I398" i="10"/>
  <c r="H398" i="10"/>
  <c r="F398" i="10"/>
  <c r="C398" i="10"/>
  <c r="A398" i="10"/>
  <c r="I397" i="10"/>
  <c r="H397" i="10"/>
  <c r="F397" i="10"/>
  <c r="C397" i="10"/>
  <c r="A397" i="10"/>
  <c r="I396" i="10"/>
  <c r="H396" i="10"/>
  <c r="F396" i="10"/>
  <c r="C396" i="10"/>
  <c r="A396" i="10"/>
  <c r="I395" i="10"/>
  <c r="H395" i="10"/>
  <c r="F395" i="10"/>
  <c r="C395" i="10"/>
  <c r="A395" i="10"/>
  <c r="I394" i="10"/>
  <c r="H394" i="10"/>
  <c r="F394" i="10"/>
  <c r="C394" i="10"/>
  <c r="A394" i="10"/>
  <c r="I393" i="10"/>
  <c r="H393" i="10"/>
  <c r="F393" i="10"/>
  <c r="C393" i="10"/>
  <c r="A393" i="10"/>
  <c r="I392" i="10"/>
  <c r="H392" i="10"/>
  <c r="F392" i="10"/>
  <c r="C392" i="10"/>
  <c r="A392" i="10"/>
  <c r="I391" i="10"/>
  <c r="H391" i="10"/>
  <c r="F391" i="10"/>
  <c r="C391" i="10"/>
  <c r="A391" i="10"/>
  <c r="I390" i="10"/>
  <c r="H390" i="10"/>
  <c r="F390" i="10"/>
  <c r="C390" i="10"/>
  <c r="A390" i="10"/>
  <c r="I389" i="10"/>
  <c r="H389" i="10"/>
  <c r="F389" i="10"/>
  <c r="C389" i="10"/>
  <c r="A389" i="10"/>
  <c r="I388" i="10"/>
  <c r="H388" i="10"/>
  <c r="F388" i="10"/>
  <c r="C388" i="10"/>
  <c r="A388" i="10"/>
  <c r="I387" i="10"/>
  <c r="H387" i="10"/>
  <c r="F387" i="10"/>
  <c r="C387" i="10"/>
  <c r="A387" i="10"/>
  <c r="I386" i="10"/>
  <c r="H386" i="10"/>
  <c r="F386" i="10"/>
  <c r="C386" i="10"/>
  <c r="A386" i="10"/>
  <c r="I385" i="10"/>
  <c r="H385" i="10"/>
  <c r="F385" i="10"/>
  <c r="C385" i="10"/>
  <c r="A385" i="10"/>
  <c r="I384" i="10"/>
  <c r="H384" i="10"/>
  <c r="F384" i="10"/>
  <c r="C384" i="10"/>
  <c r="A384" i="10"/>
  <c r="I383" i="10"/>
  <c r="H383" i="10"/>
  <c r="F383" i="10"/>
  <c r="C383" i="10"/>
  <c r="A383" i="10"/>
  <c r="I382" i="10"/>
  <c r="H382" i="10"/>
  <c r="F382" i="10"/>
  <c r="C382" i="10"/>
  <c r="A382" i="10"/>
  <c r="I381" i="10"/>
  <c r="H381" i="10"/>
  <c r="F381" i="10"/>
  <c r="C381" i="10"/>
  <c r="A381" i="10"/>
  <c r="I380" i="10"/>
  <c r="H380" i="10"/>
  <c r="F380" i="10"/>
  <c r="C380" i="10"/>
  <c r="A380" i="10"/>
  <c r="I379" i="10"/>
  <c r="H379" i="10"/>
  <c r="F379" i="10"/>
  <c r="C379" i="10"/>
  <c r="A379" i="10"/>
  <c r="I378" i="10"/>
  <c r="H378" i="10"/>
  <c r="F378" i="10"/>
  <c r="C378" i="10"/>
  <c r="A378" i="10"/>
  <c r="I377" i="10"/>
  <c r="H377" i="10"/>
  <c r="F377" i="10"/>
  <c r="C377" i="10"/>
  <c r="A377" i="10"/>
  <c r="I376" i="10"/>
  <c r="H376" i="10"/>
  <c r="F376" i="10"/>
  <c r="C376" i="10"/>
  <c r="A376" i="10"/>
  <c r="I375" i="10"/>
  <c r="H375" i="10"/>
  <c r="F375" i="10"/>
  <c r="C375" i="10"/>
  <c r="A375" i="10"/>
  <c r="I374" i="10"/>
  <c r="H374" i="10"/>
  <c r="F374" i="10"/>
  <c r="C374" i="10"/>
  <c r="A374" i="10"/>
  <c r="I373" i="10"/>
  <c r="H373" i="10"/>
  <c r="F373" i="10"/>
  <c r="C373" i="10"/>
  <c r="A373" i="10"/>
  <c r="I372" i="10"/>
  <c r="H372" i="10"/>
  <c r="F372" i="10"/>
  <c r="C372" i="10"/>
  <c r="A372" i="10"/>
  <c r="I371" i="10"/>
  <c r="H371" i="10"/>
  <c r="F371" i="10"/>
  <c r="C371" i="10"/>
  <c r="A371" i="10"/>
  <c r="I370" i="10"/>
  <c r="H370" i="10"/>
  <c r="F370" i="10"/>
  <c r="C370" i="10"/>
  <c r="A370" i="10"/>
  <c r="I369" i="10"/>
  <c r="H369" i="10"/>
  <c r="F369" i="10"/>
  <c r="C369" i="10"/>
  <c r="A369" i="10"/>
  <c r="I368" i="10"/>
  <c r="H368" i="10"/>
  <c r="F368" i="10"/>
  <c r="C368" i="10"/>
  <c r="A368" i="10"/>
  <c r="I367" i="10"/>
  <c r="H367" i="10"/>
  <c r="F367" i="10"/>
  <c r="C367" i="10"/>
  <c r="A367" i="10"/>
  <c r="I366" i="10"/>
  <c r="H366" i="10"/>
  <c r="F366" i="10"/>
  <c r="C366" i="10"/>
  <c r="A366" i="10"/>
  <c r="I365" i="10"/>
  <c r="H365" i="10"/>
  <c r="F365" i="10"/>
  <c r="C365" i="10"/>
  <c r="A365" i="10"/>
  <c r="I364" i="10"/>
  <c r="H364" i="10"/>
  <c r="F364" i="10"/>
  <c r="C364" i="10"/>
  <c r="A364" i="10"/>
  <c r="I363" i="10"/>
  <c r="H363" i="10"/>
  <c r="F363" i="10"/>
  <c r="C363" i="10"/>
  <c r="A363" i="10"/>
  <c r="I362" i="10"/>
  <c r="H362" i="10"/>
  <c r="F362" i="10"/>
  <c r="C362" i="10"/>
  <c r="A362" i="10"/>
  <c r="I361" i="10"/>
  <c r="H361" i="10"/>
  <c r="F361" i="10"/>
  <c r="C361" i="10"/>
  <c r="A361" i="10"/>
  <c r="I360" i="10"/>
  <c r="H360" i="10"/>
  <c r="F360" i="10"/>
  <c r="C360" i="10"/>
  <c r="A360" i="10"/>
  <c r="I359" i="10"/>
  <c r="H359" i="10"/>
  <c r="F359" i="10"/>
  <c r="C359" i="10"/>
  <c r="A359" i="10"/>
  <c r="I358" i="10"/>
  <c r="H358" i="10"/>
  <c r="F358" i="10"/>
  <c r="C358" i="10"/>
  <c r="A358" i="10"/>
  <c r="I357" i="10"/>
  <c r="H357" i="10"/>
  <c r="F357" i="10"/>
  <c r="C357" i="10"/>
  <c r="A357" i="10"/>
  <c r="I356" i="10"/>
  <c r="H356" i="10"/>
  <c r="F356" i="10"/>
  <c r="C356" i="10"/>
  <c r="A356" i="10"/>
  <c r="I355" i="10"/>
  <c r="H355" i="10"/>
  <c r="F355" i="10"/>
  <c r="C355" i="10"/>
  <c r="A355" i="10"/>
  <c r="I354" i="10"/>
  <c r="H354" i="10"/>
  <c r="F354" i="10"/>
  <c r="C354" i="10"/>
  <c r="A354" i="10"/>
  <c r="I353" i="10"/>
  <c r="H353" i="10"/>
  <c r="F353" i="10"/>
  <c r="C353" i="10"/>
  <c r="A353" i="10"/>
  <c r="I352" i="10"/>
  <c r="H352" i="10"/>
  <c r="F352" i="10"/>
  <c r="C352" i="10"/>
  <c r="A352" i="10"/>
  <c r="I351" i="10"/>
  <c r="H351" i="10"/>
  <c r="F351" i="10"/>
  <c r="C351" i="10"/>
  <c r="A351" i="10"/>
  <c r="I350" i="10"/>
  <c r="H350" i="10"/>
  <c r="F350" i="10"/>
  <c r="C350" i="10"/>
  <c r="A350" i="10"/>
  <c r="I349" i="10"/>
  <c r="H349" i="10"/>
  <c r="F349" i="10"/>
  <c r="C349" i="10"/>
  <c r="A349" i="10"/>
  <c r="I348" i="10"/>
  <c r="H348" i="10"/>
  <c r="F348" i="10"/>
  <c r="C348" i="10"/>
  <c r="A348" i="10"/>
  <c r="I347" i="10"/>
  <c r="H347" i="10"/>
  <c r="F347" i="10"/>
  <c r="C347" i="10"/>
  <c r="A347" i="10"/>
  <c r="I346" i="10"/>
  <c r="H346" i="10"/>
  <c r="F346" i="10"/>
  <c r="C346" i="10"/>
  <c r="A346" i="10"/>
  <c r="I345" i="10"/>
  <c r="H345" i="10"/>
  <c r="F345" i="10"/>
  <c r="C345" i="10"/>
  <c r="A345" i="10"/>
  <c r="I344" i="10"/>
  <c r="H344" i="10"/>
  <c r="F344" i="10"/>
  <c r="C344" i="10"/>
  <c r="A344" i="10"/>
  <c r="I343" i="10"/>
  <c r="H343" i="10"/>
  <c r="F343" i="10"/>
  <c r="C343" i="10"/>
  <c r="A343" i="10"/>
  <c r="I342" i="10"/>
  <c r="H342" i="10"/>
  <c r="F342" i="10"/>
  <c r="C342" i="10"/>
  <c r="A342" i="10"/>
  <c r="I341" i="10"/>
  <c r="H341" i="10"/>
  <c r="F341" i="10"/>
  <c r="C341" i="10"/>
  <c r="A341" i="10"/>
  <c r="I340" i="10"/>
  <c r="H340" i="10"/>
  <c r="F340" i="10"/>
  <c r="C340" i="10"/>
  <c r="A340" i="10"/>
  <c r="I339" i="10"/>
  <c r="H339" i="10"/>
  <c r="F339" i="10"/>
  <c r="C339" i="10"/>
  <c r="A339" i="10"/>
  <c r="I338" i="10"/>
  <c r="H338" i="10"/>
  <c r="F338" i="10"/>
  <c r="C338" i="10"/>
  <c r="A338" i="10"/>
  <c r="I337" i="10"/>
  <c r="H337" i="10"/>
  <c r="F337" i="10"/>
  <c r="C337" i="10"/>
  <c r="A337" i="10"/>
  <c r="I336" i="10"/>
  <c r="H336" i="10"/>
  <c r="F336" i="10"/>
  <c r="C336" i="10"/>
  <c r="A336" i="10"/>
  <c r="I335" i="10"/>
  <c r="H335" i="10"/>
  <c r="F335" i="10"/>
  <c r="C335" i="10"/>
  <c r="A335" i="10"/>
  <c r="I334" i="10"/>
  <c r="H334" i="10"/>
  <c r="F334" i="10"/>
  <c r="C334" i="10"/>
  <c r="A334" i="10"/>
  <c r="I333" i="10"/>
  <c r="H333" i="10"/>
  <c r="F333" i="10"/>
  <c r="C333" i="10"/>
  <c r="A333" i="10"/>
  <c r="I332" i="10"/>
  <c r="H332" i="10"/>
  <c r="F332" i="10"/>
  <c r="C332" i="10"/>
  <c r="A332" i="10"/>
  <c r="I331" i="10"/>
  <c r="H331" i="10"/>
  <c r="F331" i="10"/>
  <c r="C331" i="10"/>
  <c r="A331" i="10"/>
  <c r="I330" i="10"/>
  <c r="H330" i="10"/>
  <c r="F330" i="10"/>
  <c r="C330" i="10"/>
  <c r="A330" i="10"/>
  <c r="I329" i="10"/>
  <c r="H329" i="10"/>
  <c r="F329" i="10"/>
  <c r="C329" i="10"/>
  <c r="A329" i="10"/>
  <c r="I328" i="10"/>
  <c r="H328" i="10"/>
  <c r="F328" i="10"/>
  <c r="C328" i="10"/>
  <c r="A328" i="10"/>
  <c r="I327" i="10"/>
  <c r="H327" i="10"/>
  <c r="F327" i="10"/>
  <c r="C327" i="10"/>
  <c r="A327" i="10"/>
  <c r="I326" i="10"/>
  <c r="H326" i="10"/>
  <c r="F326" i="10"/>
  <c r="C326" i="10"/>
  <c r="A326" i="10"/>
  <c r="I325" i="10"/>
  <c r="H325" i="10"/>
  <c r="F325" i="10"/>
  <c r="C325" i="10"/>
  <c r="A325" i="10"/>
  <c r="I324" i="10"/>
  <c r="H324" i="10"/>
  <c r="F324" i="10"/>
  <c r="C324" i="10"/>
  <c r="A324" i="10"/>
  <c r="I323" i="10"/>
  <c r="H323" i="10"/>
  <c r="F323" i="10"/>
  <c r="C323" i="10"/>
  <c r="A323" i="10"/>
  <c r="I322" i="10"/>
  <c r="H322" i="10"/>
  <c r="F322" i="10"/>
  <c r="C322" i="10"/>
  <c r="A322" i="10"/>
  <c r="I321" i="10"/>
  <c r="H321" i="10"/>
  <c r="F321" i="10"/>
  <c r="C321" i="10"/>
  <c r="A321" i="10"/>
  <c r="I320" i="10"/>
  <c r="H320" i="10"/>
  <c r="F320" i="10"/>
  <c r="C320" i="10"/>
  <c r="A320" i="10"/>
  <c r="I319" i="10"/>
  <c r="H319" i="10"/>
  <c r="F319" i="10"/>
  <c r="C319" i="10"/>
  <c r="A319" i="10"/>
  <c r="I318" i="10"/>
  <c r="H318" i="10"/>
  <c r="F318" i="10"/>
  <c r="C318" i="10"/>
  <c r="A318" i="10"/>
  <c r="I317" i="10"/>
  <c r="H317" i="10"/>
  <c r="F317" i="10"/>
  <c r="C317" i="10"/>
  <c r="A317" i="10"/>
  <c r="I316" i="10"/>
  <c r="H316" i="10"/>
  <c r="F316" i="10"/>
  <c r="C316" i="10"/>
  <c r="A316" i="10"/>
  <c r="I315" i="10"/>
  <c r="H315" i="10"/>
  <c r="F315" i="10"/>
  <c r="C315" i="10"/>
  <c r="A315" i="10"/>
  <c r="I314" i="10"/>
  <c r="H314" i="10"/>
  <c r="F314" i="10"/>
  <c r="C314" i="10"/>
  <c r="A314" i="10"/>
  <c r="I313" i="10"/>
  <c r="H313" i="10"/>
  <c r="F313" i="10"/>
  <c r="C313" i="10"/>
  <c r="A313" i="10"/>
  <c r="I312" i="10"/>
  <c r="H312" i="10"/>
  <c r="F312" i="10"/>
  <c r="C312" i="10"/>
  <c r="A312" i="10"/>
  <c r="I311" i="10"/>
  <c r="H311" i="10"/>
  <c r="F311" i="10"/>
  <c r="C311" i="10"/>
  <c r="A311" i="10"/>
  <c r="I310" i="10"/>
  <c r="H310" i="10"/>
  <c r="F310" i="10"/>
  <c r="C310" i="10"/>
  <c r="A310" i="10"/>
  <c r="I309" i="10"/>
  <c r="H309" i="10"/>
  <c r="F309" i="10"/>
  <c r="C309" i="10"/>
  <c r="A309" i="10"/>
  <c r="I308" i="10"/>
  <c r="H308" i="10"/>
  <c r="F308" i="10"/>
  <c r="C308" i="10"/>
  <c r="A308" i="10"/>
  <c r="I307" i="10"/>
  <c r="H307" i="10"/>
  <c r="F307" i="10"/>
  <c r="C307" i="10"/>
  <c r="A307" i="10"/>
  <c r="I306" i="10"/>
  <c r="H306" i="10"/>
  <c r="F306" i="10"/>
  <c r="C306" i="10"/>
  <c r="A306" i="10"/>
  <c r="I305" i="10"/>
  <c r="H305" i="10"/>
  <c r="F305" i="10"/>
  <c r="C305" i="10"/>
  <c r="A305" i="10"/>
  <c r="I304" i="10"/>
  <c r="H304" i="10"/>
  <c r="F304" i="10"/>
  <c r="C304" i="10"/>
  <c r="A304" i="10"/>
  <c r="I303" i="10"/>
  <c r="H303" i="10"/>
  <c r="F303" i="10"/>
  <c r="C303" i="10"/>
  <c r="A303" i="10"/>
  <c r="I302" i="10"/>
  <c r="H302" i="10"/>
  <c r="F302" i="10"/>
  <c r="C302" i="10"/>
  <c r="A302" i="10"/>
  <c r="I301" i="10"/>
  <c r="H301" i="10"/>
  <c r="F301" i="10"/>
  <c r="C301" i="10"/>
  <c r="A301" i="10"/>
  <c r="I300" i="10"/>
  <c r="H300" i="10"/>
  <c r="F300" i="10"/>
  <c r="C300" i="10"/>
  <c r="A300" i="10"/>
  <c r="I299" i="10"/>
  <c r="H299" i="10"/>
  <c r="F299" i="10"/>
  <c r="C299" i="10"/>
  <c r="A299" i="10"/>
  <c r="I298" i="10"/>
  <c r="H298" i="10"/>
  <c r="F298" i="10"/>
  <c r="C298" i="10"/>
  <c r="A298" i="10"/>
  <c r="I297" i="10"/>
  <c r="H297" i="10"/>
  <c r="F297" i="10"/>
  <c r="C297" i="10"/>
  <c r="A297" i="10"/>
  <c r="I296" i="10"/>
  <c r="H296" i="10"/>
  <c r="F296" i="10"/>
  <c r="C296" i="10"/>
  <c r="A296" i="10"/>
  <c r="I295" i="10"/>
  <c r="H295" i="10"/>
  <c r="F295" i="10"/>
  <c r="C295" i="10"/>
  <c r="A295" i="10"/>
  <c r="I294" i="10"/>
  <c r="H294" i="10"/>
  <c r="F294" i="10"/>
  <c r="C294" i="10"/>
  <c r="A294" i="10"/>
  <c r="I293" i="10"/>
  <c r="H293" i="10"/>
  <c r="F293" i="10"/>
  <c r="C293" i="10"/>
  <c r="A293" i="10"/>
  <c r="I292" i="10"/>
  <c r="H292" i="10"/>
  <c r="F292" i="10"/>
  <c r="C292" i="10"/>
  <c r="A292" i="10"/>
  <c r="I291" i="10"/>
  <c r="H291" i="10"/>
  <c r="F291" i="10"/>
  <c r="C291" i="10"/>
  <c r="A291" i="10"/>
  <c r="I290" i="10"/>
  <c r="H290" i="10"/>
  <c r="F290" i="10"/>
  <c r="C290" i="10"/>
  <c r="A290" i="10"/>
  <c r="I289" i="10"/>
  <c r="H289" i="10"/>
  <c r="F289" i="10"/>
  <c r="C289" i="10"/>
  <c r="A289" i="10"/>
  <c r="I288" i="10"/>
  <c r="H288" i="10"/>
  <c r="F288" i="10"/>
  <c r="C288" i="10"/>
  <c r="A288" i="10"/>
  <c r="I287" i="10"/>
  <c r="H287" i="10"/>
  <c r="F287" i="10"/>
  <c r="C287" i="10"/>
  <c r="A287" i="10"/>
  <c r="I286" i="10"/>
  <c r="H286" i="10"/>
  <c r="F286" i="10"/>
  <c r="C286" i="10"/>
  <c r="A286" i="10"/>
  <c r="I285" i="10"/>
  <c r="H285" i="10"/>
  <c r="F285" i="10"/>
  <c r="C285" i="10"/>
  <c r="A285" i="10"/>
  <c r="I284" i="10"/>
  <c r="H284" i="10"/>
  <c r="F284" i="10"/>
  <c r="C284" i="10"/>
  <c r="A284" i="10"/>
  <c r="I283" i="10"/>
  <c r="H283" i="10"/>
  <c r="F283" i="10"/>
  <c r="C283" i="10"/>
  <c r="A283" i="10"/>
  <c r="I282" i="10"/>
  <c r="H282" i="10"/>
  <c r="F282" i="10"/>
  <c r="C282" i="10"/>
  <c r="A282" i="10"/>
  <c r="I281" i="10"/>
  <c r="H281" i="10"/>
  <c r="F281" i="10"/>
  <c r="C281" i="10"/>
  <c r="A281" i="10"/>
  <c r="I280" i="10"/>
  <c r="H280" i="10"/>
  <c r="F280" i="10"/>
  <c r="C280" i="10"/>
  <c r="A280" i="10"/>
  <c r="I279" i="10"/>
  <c r="H279" i="10"/>
  <c r="F279" i="10"/>
  <c r="C279" i="10"/>
  <c r="A279" i="10"/>
  <c r="I278" i="10"/>
  <c r="H278" i="10"/>
  <c r="F278" i="10"/>
  <c r="C278" i="10"/>
  <c r="A278" i="10"/>
  <c r="I277" i="10"/>
  <c r="H277" i="10"/>
  <c r="F277" i="10"/>
  <c r="C277" i="10"/>
  <c r="A277" i="10"/>
  <c r="I276" i="10"/>
  <c r="H276" i="10"/>
  <c r="F276" i="10"/>
  <c r="C276" i="10"/>
  <c r="A276" i="10"/>
  <c r="I275" i="10"/>
  <c r="H275" i="10"/>
  <c r="F275" i="10"/>
  <c r="C275" i="10"/>
  <c r="A275" i="10"/>
  <c r="I274" i="10"/>
  <c r="H274" i="10"/>
  <c r="F274" i="10"/>
  <c r="C274" i="10"/>
  <c r="A274" i="10"/>
  <c r="I273" i="10"/>
  <c r="H273" i="10"/>
  <c r="F273" i="10"/>
  <c r="C273" i="10"/>
  <c r="A273" i="10"/>
  <c r="I272" i="10"/>
  <c r="H272" i="10"/>
  <c r="F272" i="10"/>
  <c r="C272" i="10"/>
  <c r="A272" i="10"/>
  <c r="I271" i="10"/>
  <c r="H271" i="10"/>
  <c r="F271" i="10"/>
  <c r="C271" i="10"/>
  <c r="A271" i="10"/>
  <c r="I270" i="10"/>
  <c r="H270" i="10"/>
  <c r="F270" i="10"/>
  <c r="C270" i="10"/>
  <c r="A270" i="10"/>
  <c r="I269" i="10"/>
  <c r="H269" i="10"/>
  <c r="F269" i="10"/>
  <c r="C269" i="10"/>
  <c r="A269" i="10"/>
  <c r="I268" i="10"/>
  <c r="H268" i="10"/>
  <c r="F268" i="10"/>
  <c r="C268" i="10"/>
  <c r="A268" i="10"/>
  <c r="I267" i="10"/>
  <c r="H267" i="10"/>
  <c r="F267" i="10"/>
  <c r="C267" i="10"/>
  <c r="A267" i="10"/>
  <c r="I266" i="10"/>
  <c r="H266" i="10"/>
  <c r="F266" i="10"/>
  <c r="C266" i="10"/>
  <c r="A266" i="10"/>
  <c r="I265" i="10"/>
  <c r="H265" i="10"/>
  <c r="F265" i="10"/>
  <c r="C265" i="10"/>
  <c r="A265" i="10"/>
  <c r="I264" i="10"/>
  <c r="H264" i="10"/>
  <c r="F264" i="10"/>
  <c r="C264" i="10"/>
  <c r="A264" i="10"/>
  <c r="I263" i="10"/>
  <c r="H263" i="10"/>
  <c r="F263" i="10"/>
  <c r="C263" i="10"/>
  <c r="A263" i="10"/>
  <c r="I262" i="10"/>
  <c r="H262" i="10"/>
  <c r="F262" i="10"/>
  <c r="C262" i="10"/>
  <c r="A262" i="10"/>
  <c r="I261" i="10"/>
  <c r="H261" i="10"/>
  <c r="F261" i="10"/>
  <c r="C261" i="10"/>
  <c r="A261" i="10"/>
  <c r="I260" i="10"/>
  <c r="H260" i="10"/>
  <c r="F260" i="10"/>
  <c r="C260" i="10"/>
  <c r="A260" i="10"/>
  <c r="I259" i="10"/>
  <c r="H259" i="10"/>
  <c r="F259" i="10"/>
  <c r="C259" i="10"/>
  <c r="A259" i="10"/>
  <c r="I258" i="10"/>
  <c r="H258" i="10"/>
  <c r="F258" i="10"/>
  <c r="C258" i="10"/>
  <c r="A258" i="10"/>
  <c r="I257" i="10"/>
  <c r="H257" i="10"/>
  <c r="F257" i="10"/>
  <c r="C257" i="10"/>
  <c r="A257" i="10"/>
  <c r="I256" i="10"/>
  <c r="H256" i="10"/>
  <c r="F256" i="10"/>
  <c r="C256" i="10"/>
  <c r="A256" i="10"/>
  <c r="I255" i="10"/>
  <c r="H255" i="10"/>
  <c r="F255" i="10"/>
  <c r="C255" i="10"/>
  <c r="A255" i="10"/>
  <c r="I254" i="10"/>
  <c r="H254" i="10"/>
  <c r="F254" i="10"/>
  <c r="C254" i="10"/>
  <c r="A254" i="10"/>
  <c r="I253" i="10"/>
  <c r="H253" i="10"/>
  <c r="F253" i="10"/>
  <c r="C253" i="10"/>
  <c r="A253" i="10"/>
  <c r="I252" i="10"/>
  <c r="H252" i="10"/>
  <c r="F252" i="10"/>
  <c r="C252" i="10"/>
  <c r="A252" i="10"/>
  <c r="I251" i="10"/>
  <c r="H251" i="10"/>
  <c r="F251" i="10"/>
  <c r="C251" i="10"/>
  <c r="A251" i="10"/>
  <c r="I250" i="10"/>
  <c r="H250" i="10"/>
  <c r="F250" i="10"/>
  <c r="C250" i="10"/>
  <c r="A250" i="10"/>
  <c r="I249" i="10"/>
  <c r="H249" i="10"/>
  <c r="F249" i="10"/>
  <c r="C249" i="10"/>
  <c r="A249" i="10"/>
  <c r="I248" i="10"/>
  <c r="H248" i="10"/>
  <c r="F248" i="10"/>
  <c r="C248" i="10"/>
  <c r="A248" i="10"/>
  <c r="I247" i="10"/>
  <c r="H247" i="10"/>
  <c r="F247" i="10"/>
  <c r="C247" i="10"/>
  <c r="A247" i="10"/>
  <c r="I246" i="10"/>
  <c r="H246" i="10"/>
  <c r="F246" i="10"/>
  <c r="C246" i="10"/>
  <c r="A246" i="10"/>
  <c r="I245" i="10"/>
  <c r="H245" i="10"/>
  <c r="F245" i="10"/>
  <c r="C245" i="10"/>
  <c r="A245" i="10"/>
  <c r="I244" i="10"/>
  <c r="H244" i="10"/>
  <c r="F244" i="10"/>
  <c r="C244" i="10"/>
  <c r="A244" i="10"/>
  <c r="I243" i="10"/>
  <c r="H243" i="10"/>
  <c r="F243" i="10"/>
  <c r="C243" i="10"/>
  <c r="A243" i="10"/>
  <c r="I242" i="10"/>
  <c r="H242" i="10"/>
  <c r="F242" i="10"/>
  <c r="C242" i="10"/>
  <c r="A242" i="10"/>
  <c r="I241" i="10"/>
  <c r="H241" i="10"/>
  <c r="F241" i="10"/>
  <c r="C241" i="10"/>
  <c r="A241" i="10"/>
  <c r="I240" i="10"/>
  <c r="H240" i="10"/>
  <c r="F240" i="10"/>
  <c r="C240" i="10"/>
  <c r="A240" i="10"/>
  <c r="I239" i="10"/>
  <c r="H239" i="10"/>
  <c r="F239" i="10"/>
  <c r="C239" i="10"/>
  <c r="A239" i="10"/>
  <c r="I238" i="10"/>
  <c r="H238" i="10"/>
  <c r="F238" i="10"/>
  <c r="C238" i="10"/>
  <c r="A238" i="10"/>
  <c r="I237" i="10"/>
  <c r="H237" i="10"/>
  <c r="F237" i="10"/>
  <c r="C237" i="10"/>
  <c r="A237" i="10"/>
  <c r="I236" i="10"/>
  <c r="H236" i="10"/>
  <c r="F236" i="10"/>
  <c r="C236" i="10"/>
  <c r="A236" i="10"/>
  <c r="I235" i="10"/>
  <c r="H235" i="10"/>
  <c r="F235" i="10"/>
  <c r="C235" i="10"/>
  <c r="A235" i="10"/>
  <c r="I234" i="10"/>
  <c r="H234" i="10"/>
  <c r="F234" i="10"/>
  <c r="C234" i="10"/>
  <c r="A234" i="10"/>
  <c r="I233" i="10"/>
  <c r="H233" i="10"/>
  <c r="F233" i="10"/>
  <c r="C233" i="10"/>
  <c r="A233" i="10"/>
  <c r="I232" i="10"/>
  <c r="H232" i="10"/>
  <c r="F232" i="10"/>
  <c r="C232" i="10"/>
  <c r="A232" i="10"/>
  <c r="I231" i="10"/>
  <c r="H231" i="10"/>
  <c r="F231" i="10"/>
  <c r="C231" i="10"/>
  <c r="A231" i="10"/>
  <c r="I230" i="10"/>
  <c r="H230" i="10"/>
  <c r="F230" i="10"/>
  <c r="C230" i="10"/>
  <c r="A230" i="10"/>
  <c r="I229" i="10"/>
  <c r="H229" i="10"/>
  <c r="F229" i="10"/>
  <c r="C229" i="10"/>
  <c r="A229" i="10"/>
  <c r="I228" i="10"/>
  <c r="H228" i="10"/>
  <c r="F228" i="10"/>
  <c r="C228" i="10"/>
  <c r="A228" i="10"/>
  <c r="I227" i="10"/>
  <c r="H227" i="10"/>
  <c r="F227" i="10"/>
  <c r="C227" i="10"/>
  <c r="A227" i="10"/>
  <c r="I226" i="10"/>
  <c r="H226" i="10"/>
  <c r="F226" i="10"/>
  <c r="C226" i="10"/>
  <c r="A226" i="10"/>
  <c r="I225" i="10"/>
  <c r="H225" i="10"/>
  <c r="F225" i="10"/>
  <c r="C225" i="10"/>
  <c r="A225" i="10"/>
  <c r="I224" i="10"/>
  <c r="H224" i="10"/>
  <c r="F224" i="10"/>
  <c r="C224" i="10"/>
  <c r="A224" i="10"/>
  <c r="I223" i="10"/>
  <c r="H223" i="10"/>
  <c r="F223" i="10"/>
  <c r="C223" i="10"/>
  <c r="A223" i="10"/>
  <c r="I222" i="10"/>
  <c r="H222" i="10"/>
  <c r="F222" i="10"/>
  <c r="C222" i="10"/>
  <c r="A222" i="10"/>
  <c r="I221" i="10"/>
  <c r="H221" i="10"/>
  <c r="F221" i="10"/>
  <c r="C221" i="10"/>
  <c r="A221" i="10"/>
  <c r="I220" i="10"/>
  <c r="H220" i="10"/>
  <c r="F220" i="10"/>
  <c r="C220" i="10"/>
  <c r="A220" i="10"/>
  <c r="I219" i="10"/>
  <c r="H219" i="10"/>
  <c r="F219" i="10"/>
  <c r="C219" i="10"/>
  <c r="A219" i="10"/>
  <c r="I218" i="10"/>
  <c r="H218" i="10"/>
  <c r="F218" i="10"/>
  <c r="C218" i="10"/>
  <c r="A218" i="10"/>
  <c r="I217" i="10"/>
  <c r="H217" i="10"/>
  <c r="F217" i="10"/>
  <c r="C217" i="10"/>
  <c r="A217" i="10"/>
  <c r="I216" i="10"/>
  <c r="H216" i="10"/>
  <c r="F216" i="10"/>
  <c r="C216" i="10"/>
  <c r="A216" i="10"/>
  <c r="I215" i="10"/>
  <c r="H215" i="10"/>
  <c r="F215" i="10"/>
  <c r="C215" i="10"/>
  <c r="A215" i="10"/>
  <c r="I214" i="10"/>
  <c r="H214" i="10"/>
  <c r="F214" i="10"/>
  <c r="C214" i="10"/>
  <c r="A214" i="10"/>
  <c r="I213" i="10"/>
  <c r="H213" i="10"/>
  <c r="F213" i="10"/>
  <c r="C213" i="10"/>
  <c r="A213" i="10"/>
  <c r="I212" i="10"/>
  <c r="H212" i="10"/>
  <c r="F212" i="10"/>
  <c r="C212" i="10"/>
  <c r="A212" i="10"/>
  <c r="I211" i="10"/>
  <c r="H211" i="10"/>
  <c r="F211" i="10"/>
  <c r="C211" i="10"/>
  <c r="A211" i="10"/>
  <c r="I210" i="10"/>
  <c r="H210" i="10"/>
  <c r="F210" i="10"/>
  <c r="C210" i="10"/>
  <c r="A210" i="10"/>
  <c r="I209" i="10"/>
  <c r="H209" i="10"/>
  <c r="F209" i="10"/>
  <c r="C209" i="10"/>
  <c r="A209" i="10"/>
  <c r="I208" i="10"/>
  <c r="H208" i="10"/>
  <c r="F208" i="10"/>
  <c r="C208" i="10"/>
  <c r="A208" i="10"/>
  <c r="I207" i="10"/>
  <c r="H207" i="10"/>
  <c r="F207" i="10"/>
  <c r="C207" i="10"/>
  <c r="A207" i="10"/>
  <c r="I206" i="10"/>
  <c r="H206" i="10"/>
  <c r="F206" i="10"/>
  <c r="C206" i="10"/>
  <c r="A206" i="10"/>
  <c r="I205" i="10"/>
  <c r="H205" i="10"/>
  <c r="F205" i="10"/>
  <c r="C205" i="10"/>
  <c r="A205" i="10"/>
  <c r="I204" i="10"/>
  <c r="H204" i="10"/>
  <c r="F204" i="10"/>
  <c r="C204" i="10"/>
  <c r="A204" i="10"/>
  <c r="I203" i="10"/>
  <c r="H203" i="10"/>
  <c r="F203" i="10"/>
  <c r="C203" i="10"/>
  <c r="A203" i="10"/>
  <c r="I202" i="10"/>
  <c r="H202" i="10"/>
  <c r="F202" i="10"/>
  <c r="C202" i="10"/>
  <c r="A202" i="10"/>
  <c r="I201" i="10"/>
  <c r="H201" i="10"/>
  <c r="F201" i="10"/>
  <c r="C201" i="10"/>
  <c r="A201" i="10"/>
  <c r="I200" i="10"/>
  <c r="H200" i="10"/>
  <c r="F200" i="10"/>
  <c r="C200" i="10"/>
  <c r="A200" i="10"/>
  <c r="I199" i="10"/>
  <c r="H199" i="10"/>
  <c r="F199" i="10"/>
  <c r="C199" i="10"/>
  <c r="A199" i="10"/>
  <c r="I198" i="10"/>
  <c r="H198" i="10"/>
  <c r="F198" i="10"/>
  <c r="C198" i="10"/>
  <c r="A198" i="10"/>
  <c r="I197" i="10"/>
  <c r="H197" i="10"/>
  <c r="F197" i="10"/>
  <c r="C197" i="10"/>
  <c r="A197" i="10"/>
  <c r="I196" i="10"/>
  <c r="H196" i="10"/>
  <c r="F196" i="10"/>
  <c r="C196" i="10"/>
  <c r="A196" i="10"/>
  <c r="I195" i="10"/>
  <c r="H195" i="10"/>
  <c r="F195" i="10"/>
  <c r="C195" i="10"/>
  <c r="A195" i="10"/>
  <c r="I194" i="10"/>
  <c r="H194" i="10"/>
  <c r="F194" i="10"/>
  <c r="C194" i="10"/>
  <c r="A194" i="10"/>
  <c r="I193" i="10"/>
  <c r="H193" i="10"/>
  <c r="F193" i="10"/>
  <c r="C193" i="10"/>
  <c r="A193" i="10"/>
  <c r="I192" i="10"/>
  <c r="H192" i="10"/>
  <c r="F192" i="10"/>
  <c r="C192" i="10"/>
  <c r="A192" i="10"/>
  <c r="I191" i="10"/>
  <c r="H191" i="10"/>
  <c r="F191" i="10"/>
  <c r="C191" i="10"/>
  <c r="A191" i="10"/>
  <c r="I190" i="10"/>
  <c r="H190" i="10"/>
  <c r="F190" i="10"/>
  <c r="C190" i="10"/>
  <c r="A190" i="10"/>
  <c r="I189" i="10"/>
  <c r="H189" i="10"/>
  <c r="F189" i="10"/>
  <c r="C189" i="10"/>
  <c r="A189" i="10"/>
  <c r="I188" i="10"/>
  <c r="H188" i="10"/>
  <c r="F188" i="10"/>
  <c r="C188" i="10"/>
  <c r="A188" i="10"/>
  <c r="I187" i="10"/>
  <c r="H187" i="10"/>
  <c r="F187" i="10"/>
  <c r="C187" i="10"/>
  <c r="A187" i="10"/>
  <c r="I186" i="10"/>
  <c r="H186" i="10"/>
  <c r="F186" i="10"/>
  <c r="C186" i="10"/>
  <c r="A186" i="10"/>
  <c r="I185" i="10"/>
  <c r="H185" i="10"/>
  <c r="F185" i="10"/>
  <c r="C185" i="10"/>
  <c r="A185" i="10"/>
  <c r="I184" i="10"/>
  <c r="H184" i="10"/>
  <c r="F184" i="10"/>
  <c r="C184" i="10"/>
  <c r="A184" i="10"/>
  <c r="I183" i="10"/>
  <c r="H183" i="10"/>
  <c r="F183" i="10"/>
  <c r="C183" i="10"/>
  <c r="A183" i="10"/>
  <c r="I182" i="10"/>
  <c r="H182" i="10"/>
  <c r="F182" i="10"/>
  <c r="C182" i="10"/>
  <c r="A182" i="10"/>
  <c r="I181" i="10"/>
  <c r="H181" i="10"/>
  <c r="F181" i="10"/>
  <c r="C181" i="10"/>
  <c r="A181" i="10"/>
  <c r="I180" i="10"/>
  <c r="H180" i="10"/>
  <c r="F180" i="10"/>
  <c r="C180" i="10"/>
  <c r="A180" i="10"/>
  <c r="I179" i="10"/>
  <c r="H179" i="10"/>
  <c r="F179" i="10"/>
  <c r="C179" i="10"/>
  <c r="A179" i="10"/>
  <c r="I178" i="10"/>
  <c r="H178" i="10"/>
  <c r="F178" i="10"/>
  <c r="C178" i="10"/>
  <c r="A178" i="10"/>
  <c r="I177" i="10"/>
  <c r="H177" i="10"/>
  <c r="F177" i="10"/>
  <c r="C177" i="10"/>
  <c r="A177" i="10"/>
  <c r="I176" i="10"/>
  <c r="H176" i="10"/>
  <c r="F176" i="10"/>
  <c r="C176" i="10"/>
  <c r="A176" i="10"/>
  <c r="I175" i="10"/>
  <c r="H175" i="10"/>
  <c r="F175" i="10"/>
  <c r="C175" i="10"/>
  <c r="A175" i="10"/>
  <c r="I174" i="10"/>
  <c r="H174" i="10"/>
  <c r="F174" i="10"/>
  <c r="C174" i="10"/>
  <c r="A174" i="10"/>
  <c r="I173" i="10"/>
  <c r="H173" i="10"/>
  <c r="F173" i="10"/>
  <c r="C173" i="10"/>
  <c r="A173" i="10"/>
  <c r="I172" i="10"/>
  <c r="H172" i="10"/>
  <c r="F172" i="10"/>
  <c r="C172" i="10"/>
  <c r="A172" i="10"/>
  <c r="I171" i="10"/>
  <c r="H171" i="10"/>
  <c r="F171" i="10"/>
  <c r="C171" i="10"/>
  <c r="A171" i="10"/>
  <c r="I170" i="10"/>
  <c r="H170" i="10"/>
  <c r="F170" i="10"/>
  <c r="C170" i="10"/>
  <c r="A170" i="10"/>
  <c r="I169" i="10"/>
  <c r="H169" i="10"/>
  <c r="F169" i="10"/>
  <c r="C169" i="10"/>
  <c r="A169" i="10"/>
  <c r="I168" i="10"/>
  <c r="H168" i="10"/>
  <c r="F168" i="10"/>
  <c r="C168" i="10"/>
  <c r="A168" i="10"/>
  <c r="I167" i="10"/>
  <c r="H167" i="10"/>
  <c r="F167" i="10"/>
  <c r="C167" i="10"/>
  <c r="A167" i="10"/>
  <c r="I166" i="10"/>
  <c r="H166" i="10"/>
  <c r="F166" i="10"/>
  <c r="C166" i="10"/>
  <c r="A166" i="10"/>
  <c r="I165" i="10"/>
  <c r="H165" i="10"/>
  <c r="F165" i="10"/>
  <c r="C165" i="10"/>
  <c r="A165" i="10"/>
  <c r="I164" i="10"/>
  <c r="H164" i="10"/>
  <c r="F164" i="10"/>
  <c r="C164" i="10"/>
  <c r="A164" i="10"/>
  <c r="I163" i="10"/>
  <c r="H163" i="10"/>
  <c r="F163" i="10"/>
  <c r="C163" i="10"/>
  <c r="A163" i="10"/>
  <c r="I162" i="10"/>
  <c r="H162" i="10"/>
  <c r="F162" i="10"/>
  <c r="C162" i="10"/>
  <c r="A162" i="10"/>
  <c r="I161" i="10"/>
  <c r="H161" i="10"/>
  <c r="F161" i="10"/>
  <c r="C161" i="10"/>
  <c r="A161" i="10"/>
  <c r="I160" i="10"/>
  <c r="H160" i="10"/>
  <c r="F160" i="10"/>
  <c r="C160" i="10"/>
  <c r="A160" i="10"/>
  <c r="I159" i="10"/>
  <c r="H159" i="10"/>
  <c r="F159" i="10"/>
  <c r="C159" i="10"/>
  <c r="A159" i="10"/>
  <c r="I158" i="10"/>
  <c r="H158" i="10"/>
  <c r="F158" i="10"/>
  <c r="C158" i="10"/>
  <c r="A158" i="10"/>
  <c r="I157" i="10"/>
  <c r="H157" i="10"/>
  <c r="F157" i="10"/>
  <c r="C157" i="10"/>
  <c r="A157" i="10"/>
  <c r="I156" i="10"/>
  <c r="H156" i="10"/>
  <c r="F156" i="10"/>
  <c r="C156" i="10"/>
  <c r="A156" i="10"/>
  <c r="I155" i="10"/>
  <c r="H155" i="10"/>
  <c r="F155" i="10"/>
  <c r="C155" i="10"/>
  <c r="A155" i="10"/>
  <c r="I154" i="10"/>
  <c r="H154" i="10"/>
  <c r="F154" i="10"/>
  <c r="C154" i="10"/>
  <c r="A154" i="10"/>
  <c r="I153" i="10"/>
  <c r="H153" i="10"/>
  <c r="F153" i="10"/>
  <c r="C153" i="10"/>
  <c r="A153" i="10"/>
  <c r="I152" i="10"/>
  <c r="H152" i="10"/>
  <c r="F152" i="10"/>
  <c r="C152" i="10"/>
  <c r="A152" i="10"/>
  <c r="I151" i="10"/>
  <c r="H151" i="10"/>
  <c r="F151" i="10"/>
  <c r="C151" i="10"/>
  <c r="A151" i="10"/>
  <c r="I150" i="10"/>
  <c r="H150" i="10"/>
  <c r="F150" i="10"/>
  <c r="C150" i="10"/>
  <c r="A150" i="10"/>
  <c r="I149" i="10"/>
  <c r="H149" i="10"/>
  <c r="F149" i="10"/>
  <c r="C149" i="10"/>
  <c r="A149" i="10"/>
  <c r="I148" i="10"/>
  <c r="H148" i="10"/>
  <c r="F148" i="10"/>
  <c r="C148" i="10"/>
  <c r="A148" i="10"/>
  <c r="I147" i="10"/>
  <c r="H147" i="10"/>
  <c r="F147" i="10"/>
  <c r="C147" i="10"/>
  <c r="A147" i="10"/>
  <c r="I146" i="10"/>
  <c r="H146" i="10"/>
  <c r="F146" i="10"/>
  <c r="C146" i="10"/>
  <c r="A146" i="10"/>
  <c r="I145" i="10"/>
  <c r="H145" i="10"/>
  <c r="F145" i="10"/>
  <c r="C145" i="10"/>
  <c r="A145" i="10"/>
  <c r="I144" i="10"/>
  <c r="H144" i="10"/>
  <c r="F144" i="10"/>
  <c r="C144" i="10"/>
  <c r="A144" i="10"/>
  <c r="I143" i="10"/>
  <c r="H143" i="10"/>
  <c r="F143" i="10"/>
  <c r="C143" i="10"/>
  <c r="A143" i="10"/>
  <c r="I142" i="10"/>
  <c r="H142" i="10"/>
  <c r="F142" i="10"/>
  <c r="C142" i="10"/>
  <c r="A142" i="10"/>
  <c r="I141" i="10"/>
  <c r="H141" i="10"/>
  <c r="F141" i="10"/>
  <c r="C141" i="10"/>
  <c r="A141" i="10"/>
  <c r="I140" i="10"/>
  <c r="H140" i="10"/>
  <c r="F140" i="10"/>
  <c r="C140" i="10"/>
  <c r="A140" i="10"/>
  <c r="I139" i="10"/>
  <c r="H139" i="10"/>
  <c r="F139" i="10"/>
  <c r="C139" i="10"/>
  <c r="A139" i="10"/>
  <c r="I138" i="10"/>
  <c r="H138" i="10"/>
  <c r="F138" i="10"/>
  <c r="C138" i="10"/>
  <c r="A138" i="10"/>
  <c r="I137" i="10"/>
  <c r="H137" i="10"/>
  <c r="F137" i="10"/>
  <c r="C137" i="10"/>
  <c r="A137" i="10"/>
  <c r="I136" i="10"/>
  <c r="H136" i="10"/>
  <c r="F136" i="10"/>
  <c r="C136" i="10"/>
  <c r="A136" i="10"/>
  <c r="I135" i="10"/>
  <c r="H135" i="10"/>
  <c r="F135" i="10"/>
  <c r="C135" i="10"/>
  <c r="A135" i="10"/>
  <c r="I134" i="10"/>
  <c r="H134" i="10"/>
  <c r="F134" i="10"/>
  <c r="C134" i="10"/>
  <c r="A134" i="10"/>
  <c r="I133" i="10"/>
  <c r="H133" i="10"/>
  <c r="F133" i="10"/>
  <c r="C133" i="10"/>
  <c r="A133" i="10"/>
  <c r="I132" i="10"/>
  <c r="H132" i="10"/>
  <c r="F132" i="10"/>
  <c r="C132" i="10"/>
  <c r="A132" i="10"/>
  <c r="I131" i="10"/>
  <c r="H131" i="10"/>
  <c r="F131" i="10"/>
  <c r="C131" i="10"/>
  <c r="A131" i="10"/>
  <c r="I130" i="10"/>
  <c r="H130" i="10"/>
  <c r="F130" i="10"/>
  <c r="C130" i="10"/>
  <c r="A130" i="10"/>
  <c r="I129" i="10"/>
  <c r="H129" i="10"/>
  <c r="F129" i="10"/>
  <c r="C129" i="10"/>
  <c r="A129" i="10"/>
  <c r="I128" i="10"/>
  <c r="H128" i="10"/>
  <c r="F128" i="10"/>
  <c r="C128" i="10"/>
  <c r="A128" i="10"/>
  <c r="I127" i="10"/>
  <c r="H127" i="10"/>
  <c r="F127" i="10"/>
  <c r="C127" i="10"/>
  <c r="A127" i="10"/>
  <c r="I126" i="10"/>
  <c r="H126" i="10"/>
  <c r="F126" i="10"/>
  <c r="C126" i="10"/>
  <c r="A126" i="10"/>
  <c r="I125" i="10"/>
  <c r="H125" i="10"/>
  <c r="F125" i="10"/>
  <c r="C125" i="10"/>
  <c r="A125" i="10"/>
  <c r="I124" i="10"/>
  <c r="H124" i="10"/>
  <c r="F124" i="10"/>
  <c r="C124" i="10"/>
  <c r="A124" i="10"/>
  <c r="I123" i="10"/>
  <c r="H123" i="10"/>
  <c r="F123" i="10"/>
  <c r="C123" i="10"/>
  <c r="A123" i="10"/>
  <c r="I122" i="10"/>
  <c r="H122" i="10"/>
  <c r="F122" i="10"/>
  <c r="C122" i="10"/>
  <c r="A122" i="10"/>
  <c r="I121" i="10"/>
  <c r="H121" i="10"/>
  <c r="F121" i="10"/>
  <c r="C121" i="10"/>
  <c r="A121" i="10"/>
  <c r="I120" i="10"/>
  <c r="H120" i="10"/>
  <c r="F120" i="10"/>
  <c r="C120" i="10"/>
  <c r="A120" i="10"/>
  <c r="I119" i="10"/>
  <c r="H119" i="10"/>
  <c r="F119" i="10"/>
  <c r="C119" i="10"/>
  <c r="A119" i="10"/>
  <c r="I118" i="10"/>
  <c r="H118" i="10"/>
  <c r="F118" i="10"/>
  <c r="C118" i="10"/>
  <c r="A118" i="10"/>
  <c r="I117" i="10"/>
  <c r="H117" i="10"/>
  <c r="F117" i="10"/>
  <c r="C117" i="10"/>
  <c r="A117" i="10"/>
  <c r="I116" i="10"/>
  <c r="H116" i="10"/>
  <c r="F116" i="10"/>
  <c r="C116" i="10"/>
  <c r="A116" i="10"/>
  <c r="I115" i="10"/>
  <c r="H115" i="10"/>
  <c r="F115" i="10"/>
  <c r="C115" i="10"/>
  <c r="A115" i="10"/>
  <c r="I114" i="10"/>
  <c r="H114" i="10"/>
  <c r="F114" i="10"/>
  <c r="C114" i="10"/>
  <c r="A114" i="10"/>
  <c r="I113" i="10"/>
  <c r="H113" i="10"/>
  <c r="F113" i="10"/>
  <c r="C113" i="10"/>
  <c r="A113" i="10"/>
  <c r="I112" i="10"/>
  <c r="H112" i="10"/>
  <c r="F112" i="10"/>
  <c r="C112" i="10"/>
  <c r="A112" i="10"/>
  <c r="I111" i="10"/>
  <c r="H111" i="10"/>
  <c r="F111" i="10"/>
  <c r="C111" i="10"/>
  <c r="A111" i="10"/>
  <c r="I110" i="10"/>
  <c r="H110" i="10"/>
  <c r="F110" i="10"/>
  <c r="C110" i="10"/>
  <c r="A110" i="10"/>
  <c r="I109" i="10"/>
  <c r="H109" i="10"/>
  <c r="F109" i="10"/>
  <c r="C109" i="10"/>
  <c r="A109" i="10"/>
  <c r="I108" i="10"/>
  <c r="H108" i="10"/>
  <c r="F108" i="10"/>
  <c r="C108" i="10"/>
  <c r="A108" i="10"/>
  <c r="I107" i="10"/>
  <c r="H107" i="10"/>
  <c r="F107" i="10"/>
  <c r="C107" i="10"/>
  <c r="A107" i="10"/>
  <c r="I106" i="10"/>
  <c r="H106" i="10"/>
  <c r="F106" i="10"/>
  <c r="C106" i="10"/>
  <c r="A106" i="10"/>
  <c r="I105" i="10"/>
  <c r="H105" i="10"/>
  <c r="F105" i="10"/>
  <c r="C105" i="10"/>
  <c r="A105" i="10"/>
  <c r="I104" i="10"/>
  <c r="H104" i="10"/>
  <c r="F104" i="10"/>
  <c r="C104" i="10"/>
  <c r="A104" i="10"/>
  <c r="I103" i="10"/>
  <c r="H103" i="10"/>
  <c r="F103" i="10"/>
  <c r="C103" i="10"/>
  <c r="A103" i="10"/>
  <c r="I102" i="10"/>
  <c r="H102" i="10"/>
  <c r="F102" i="10"/>
  <c r="C102" i="10"/>
  <c r="A102" i="10"/>
  <c r="I101" i="10"/>
  <c r="H101" i="10"/>
  <c r="F101" i="10"/>
  <c r="C101" i="10"/>
  <c r="A101" i="10"/>
  <c r="I100" i="10"/>
  <c r="H100" i="10"/>
  <c r="F100" i="10"/>
  <c r="C100" i="10"/>
  <c r="A100" i="10"/>
  <c r="I99" i="10"/>
  <c r="H99" i="10"/>
  <c r="F99" i="10"/>
  <c r="C99" i="10"/>
  <c r="A99" i="10"/>
  <c r="I98" i="10"/>
  <c r="H98" i="10"/>
  <c r="F98" i="10"/>
  <c r="C98" i="10"/>
  <c r="A98" i="10"/>
  <c r="I97" i="10"/>
  <c r="H97" i="10"/>
  <c r="F97" i="10"/>
  <c r="C97" i="10"/>
  <c r="A97" i="10"/>
  <c r="I96" i="10"/>
  <c r="H96" i="10"/>
  <c r="F96" i="10"/>
  <c r="C96" i="10"/>
  <c r="A96" i="10"/>
  <c r="I95" i="10"/>
  <c r="H95" i="10"/>
  <c r="F95" i="10"/>
  <c r="C95" i="10"/>
  <c r="A95" i="10"/>
  <c r="I94" i="10"/>
  <c r="H94" i="10"/>
  <c r="F94" i="10"/>
  <c r="C94" i="10"/>
  <c r="A94" i="10"/>
  <c r="I93" i="10"/>
  <c r="H93" i="10"/>
  <c r="F93" i="10"/>
  <c r="C93" i="10"/>
  <c r="A93" i="10"/>
  <c r="I92" i="10"/>
  <c r="H92" i="10"/>
  <c r="F92" i="10"/>
  <c r="C92" i="10"/>
  <c r="A92" i="10"/>
  <c r="I91" i="10"/>
  <c r="H91" i="10"/>
  <c r="F91" i="10"/>
  <c r="C91" i="10"/>
  <c r="A91" i="10"/>
  <c r="I90" i="10"/>
  <c r="H90" i="10"/>
  <c r="F90" i="10"/>
  <c r="C90" i="10"/>
  <c r="A90" i="10"/>
  <c r="I89" i="10"/>
  <c r="H89" i="10"/>
  <c r="F89" i="10"/>
  <c r="C89" i="10"/>
  <c r="A89" i="10"/>
  <c r="I88" i="10"/>
  <c r="H88" i="10"/>
  <c r="F88" i="10"/>
  <c r="C88" i="10"/>
  <c r="A88" i="10"/>
  <c r="I87" i="10"/>
  <c r="H87" i="10"/>
  <c r="F87" i="10"/>
  <c r="C87" i="10"/>
  <c r="A87" i="10"/>
  <c r="I86" i="10"/>
  <c r="H86" i="10"/>
  <c r="F86" i="10"/>
  <c r="C86" i="10"/>
  <c r="A86" i="10"/>
  <c r="I85" i="10"/>
  <c r="H85" i="10"/>
  <c r="F85" i="10"/>
  <c r="C85" i="10"/>
  <c r="A85" i="10"/>
  <c r="I84" i="10"/>
  <c r="H84" i="10"/>
  <c r="F84" i="10"/>
  <c r="C84" i="10"/>
  <c r="A84" i="10"/>
  <c r="I83" i="10"/>
  <c r="H83" i="10"/>
  <c r="F83" i="10"/>
  <c r="C83" i="10"/>
  <c r="A83" i="10"/>
  <c r="I82" i="10"/>
  <c r="H82" i="10"/>
  <c r="F82" i="10"/>
  <c r="C82" i="10"/>
  <c r="A82" i="10"/>
  <c r="I81" i="10"/>
  <c r="H81" i="10"/>
  <c r="F81" i="10"/>
  <c r="C81" i="10"/>
  <c r="A81" i="10"/>
  <c r="I80" i="10"/>
  <c r="H80" i="10"/>
  <c r="F80" i="10"/>
  <c r="C80" i="10"/>
  <c r="A80" i="10"/>
  <c r="I79" i="10"/>
  <c r="H79" i="10"/>
  <c r="F79" i="10"/>
  <c r="C79" i="10"/>
  <c r="A79" i="10"/>
  <c r="I78" i="10"/>
  <c r="H78" i="10"/>
  <c r="F78" i="10"/>
  <c r="C78" i="10"/>
  <c r="A78" i="10"/>
  <c r="I77" i="10"/>
  <c r="H77" i="10"/>
  <c r="F77" i="10"/>
  <c r="C77" i="10"/>
  <c r="A77" i="10"/>
  <c r="I76" i="10"/>
  <c r="H76" i="10"/>
  <c r="F76" i="10"/>
  <c r="C76" i="10"/>
  <c r="A76" i="10"/>
  <c r="I75" i="10"/>
  <c r="H75" i="10"/>
  <c r="F75" i="10"/>
  <c r="C75" i="10"/>
  <c r="A75" i="10"/>
  <c r="I74" i="10"/>
  <c r="H74" i="10"/>
  <c r="F74" i="10"/>
  <c r="C74" i="10"/>
  <c r="A74" i="10"/>
  <c r="I73" i="10"/>
  <c r="H73" i="10"/>
  <c r="F73" i="10"/>
  <c r="C73" i="10"/>
  <c r="A73" i="10"/>
  <c r="I72" i="10"/>
  <c r="H72" i="10"/>
  <c r="F72" i="10"/>
  <c r="C72" i="10"/>
  <c r="A72" i="10"/>
  <c r="I71" i="10"/>
  <c r="H71" i="10"/>
  <c r="F71" i="10"/>
  <c r="C71" i="10"/>
  <c r="A71" i="10"/>
  <c r="I70" i="10"/>
  <c r="H70" i="10"/>
  <c r="F70" i="10"/>
  <c r="C70" i="10"/>
  <c r="A70" i="10"/>
  <c r="I69" i="10"/>
  <c r="H69" i="10"/>
  <c r="F69" i="10"/>
  <c r="C69" i="10"/>
  <c r="A69" i="10"/>
  <c r="I68" i="10"/>
  <c r="H68" i="10"/>
  <c r="F68" i="10"/>
  <c r="C68" i="10"/>
  <c r="A68" i="10"/>
  <c r="I67" i="10"/>
  <c r="H67" i="10"/>
  <c r="F67" i="10"/>
  <c r="C67" i="10"/>
  <c r="A67" i="10"/>
  <c r="I66" i="10"/>
  <c r="H66" i="10"/>
  <c r="F66" i="10"/>
  <c r="C66" i="10"/>
  <c r="A66" i="10"/>
  <c r="I65" i="10"/>
  <c r="H65" i="10"/>
  <c r="F65" i="10"/>
  <c r="C65" i="10"/>
  <c r="A65" i="10"/>
  <c r="I64" i="10"/>
  <c r="H64" i="10"/>
  <c r="F64" i="10"/>
  <c r="C64" i="10"/>
  <c r="A64" i="10"/>
  <c r="I63" i="10"/>
  <c r="H63" i="10"/>
  <c r="F63" i="10"/>
  <c r="C63" i="10"/>
  <c r="A63" i="10"/>
  <c r="I62" i="10"/>
  <c r="H62" i="10"/>
  <c r="F62" i="10"/>
  <c r="C62" i="10"/>
  <c r="A62" i="10"/>
  <c r="I61" i="10"/>
  <c r="H61" i="10"/>
  <c r="F61" i="10"/>
  <c r="C61" i="10"/>
  <c r="A61" i="10"/>
  <c r="I60" i="10"/>
  <c r="H60" i="10"/>
  <c r="F60" i="10"/>
  <c r="C60" i="10"/>
  <c r="A60" i="10"/>
  <c r="I59" i="10"/>
  <c r="H59" i="10"/>
  <c r="F59" i="10"/>
  <c r="C59" i="10"/>
  <c r="A59" i="10"/>
  <c r="I58" i="10"/>
  <c r="H58" i="10"/>
  <c r="F58" i="10"/>
  <c r="C58" i="10"/>
  <c r="A58" i="10"/>
  <c r="I57" i="10"/>
  <c r="H57" i="10"/>
  <c r="F57" i="10"/>
  <c r="C57" i="10"/>
  <c r="A57" i="10"/>
  <c r="I56" i="10"/>
  <c r="H56" i="10"/>
  <c r="F56" i="10"/>
  <c r="C56" i="10"/>
  <c r="A56" i="10"/>
  <c r="I55" i="10"/>
  <c r="H55" i="10"/>
  <c r="F55" i="10"/>
  <c r="C55" i="10"/>
  <c r="A55" i="10"/>
  <c r="I54" i="10"/>
  <c r="H54" i="10"/>
  <c r="F54" i="10"/>
  <c r="C54" i="10"/>
  <c r="A54" i="10"/>
  <c r="I53" i="10"/>
  <c r="H53" i="10"/>
  <c r="F53" i="10"/>
  <c r="C53" i="10"/>
  <c r="A53" i="10"/>
  <c r="I52" i="10"/>
  <c r="H52" i="10"/>
  <c r="F52" i="10"/>
  <c r="C52" i="10"/>
  <c r="A52" i="10"/>
  <c r="I51" i="10"/>
  <c r="H51" i="10"/>
  <c r="F51" i="10"/>
  <c r="C51" i="10"/>
  <c r="A51" i="10"/>
  <c r="I50" i="10"/>
  <c r="H50" i="10"/>
  <c r="F50" i="10"/>
  <c r="C50" i="10"/>
  <c r="A50" i="10"/>
  <c r="I49" i="10"/>
  <c r="H49" i="10"/>
  <c r="F49" i="10"/>
  <c r="C49" i="10"/>
  <c r="A49" i="10"/>
  <c r="I48" i="10"/>
  <c r="H48" i="10"/>
  <c r="F48" i="10"/>
  <c r="C48" i="10"/>
  <c r="A48" i="10"/>
  <c r="I47" i="10"/>
  <c r="H47" i="10"/>
  <c r="F47" i="10"/>
  <c r="C47" i="10"/>
  <c r="A47" i="10"/>
  <c r="I46" i="10"/>
  <c r="H46" i="10"/>
  <c r="F46" i="10"/>
  <c r="C46" i="10"/>
  <c r="A46" i="10"/>
  <c r="I45" i="10"/>
  <c r="H45" i="10"/>
  <c r="F45" i="10"/>
  <c r="C45" i="10"/>
  <c r="A45" i="10"/>
  <c r="I44" i="10"/>
  <c r="H44" i="10"/>
  <c r="F44" i="10"/>
  <c r="C44" i="10"/>
  <c r="A44" i="10"/>
  <c r="I43" i="10"/>
  <c r="H43" i="10"/>
  <c r="F43" i="10"/>
  <c r="C43" i="10"/>
  <c r="A43" i="10"/>
  <c r="I42" i="10"/>
  <c r="H42" i="10"/>
  <c r="F42" i="10"/>
  <c r="C42" i="10"/>
  <c r="A42" i="10"/>
  <c r="I41" i="10"/>
  <c r="H41" i="10"/>
  <c r="F41" i="10"/>
  <c r="C41" i="10"/>
  <c r="A41" i="10"/>
  <c r="I40" i="10"/>
  <c r="H40" i="10"/>
  <c r="F40" i="10"/>
  <c r="C40" i="10"/>
  <c r="A40" i="10"/>
  <c r="I39" i="10"/>
  <c r="H39" i="10"/>
  <c r="F39" i="10"/>
  <c r="C39" i="10"/>
  <c r="A39" i="10"/>
  <c r="I38" i="10"/>
  <c r="H38" i="10"/>
  <c r="F38" i="10"/>
  <c r="C38" i="10"/>
  <c r="A38" i="10"/>
  <c r="I37" i="10"/>
  <c r="H37" i="10"/>
  <c r="F37" i="10"/>
  <c r="C37" i="10"/>
  <c r="A37" i="10"/>
  <c r="I36" i="10"/>
  <c r="H36" i="10"/>
  <c r="F36" i="10"/>
  <c r="C36" i="10"/>
  <c r="A36" i="10"/>
  <c r="I35" i="10"/>
  <c r="H35" i="10"/>
  <c r="F35" i="10"/>
  <c r="C35" i="10"/>
  <c r="A35" i="10"/>
  <c r="I34" i="10"/>
  <c r="H34" i="10"/>
  <c r="F34" i="10"/>
  <c r="C34" i="10"/>
  <c r="A34" i="10"/>
  <c r="I33" i="10"/>
  <c r="H33" i="10"/>
  <c r="F33" i="10"/>
  <c r="C33" i="10"/>
  <c r="A33" i="10"/>
  <c r="I32" i="10"/>
  <c r="H32" i="10"/>
  <c r="F32" i="10"/>
  <c r="C32" i="10"/>
  <c r="A32" i="10"/>
  <c r="I31" i="10"/>
  <c r="H31" i="10"/>
  <c r="F31" i="10"/>
  <c r="C31" i="10"/>
  <c r="A31" i="10"/>
  <c r="I30" i="10"/>
  <c r="H30" i="10"/>
  <c r="F30" i="10"/>
  <c r="C30" i="10"/>
  <c r="A30" i="10"/>
  <c r="I29" i="10"/>
  <c r="H29" i="10"/>
  <c r="F29" i="10"/>
  <c r="C29" i="10"/>
  <c r="A29" i="10"/>
  <c r="I28" i="10"/>
  <c r="H28" i="10"/>
  <c r="F28" i="10"/>
  <c r="C28" i="10"/>
  <c r="A28" i="10"/>
  <c r="I27" i="10"/>
  <c r="H27" i="10"/>
  <c r="F27" i="10"/>
  <c r="C27" i="10"/>
  <c r="A27" i="10"/>
  <c r="I26" i="10"/>
  <c r="H26" i="10"/>
  <c r="F26" i="10"/>
  <c r="C26" i="10"/>
  <c r="A26" i="10"/>
  <c r="I25" i="10"/>
  <c r="H25" i="10"/>
  <c r="F25" i="10"/>
  <c r="C25" i="10"/>
  <c r="A25" i="10"/>
  <c r="I24" i="10"/>
  <c r="H24" i="10"/>
  <c r="F24" i="10"/>
  <c r="C24" i="10"/>
  <c r="A24" i="10"/>
  <c r="I23" i="10"/>
  <c r="H23" i="10"/>
  <c r="F23" i="10"/>
  <c r="C23" i="10"/>
  <c r="A23" i="10"/>
  <c r="I22" i="10"/>
  <c r="H22" i="10"/>
  <c r="F22" i="10"/>
  <c r="C22" i="10"/>
  <c r="A22" i="10"/>
  <c r="I21" i="10"/>
  <c r="H21" i="10"/>
  <c r="F21" i="10"/>
  <c r="C21" i="10"/>
  <c r="A21" i="10"/>
  <c r="I20" i="10"/>
  <c r="H20" i="10"/>
  <c r="F20" i="10"/>
  <c r="C20" i="10"/>
  <c r="A20" i="10"/>
  <c r="I19" i="10"/>
  <c r="H19" i="10"/>
  <c r="F19" i="10"/>
  <c r="C19" i="10"/>
  <c r="A19" i="10"/>
  <c r="I18" i="10"/>
  <c r="H18" i="10"/>
  <c r="F18" i="10"/>
  <c r="C18" i="10"/>
  <c r="A18" i="10"/>
  <c r="I17" i="10"/>
  <c r="H17" i="10"/>
  <c r="F17" i="10"/>
  <c r="C17" i="10"/>
  <c r="A17" i="10"/>
  <c r="I16" i="10"/>
  <c r="H16" i="10"/>
  <c r="F16" i="10"/>
  <c r="C16" i="10"/>
  <c r="A16" i="10"/>
  <c r="I15" i="10"/>
  <c r="H15" i="10"/>
  <c r="F15" i="10"/>
  <c r="C15" i="10"/>
  <c r="A15" i="10"/>
  <c r="I14" i="10"/>
  <c r="H14" i="10"/>
  <c r="F14" i="10"/>
  <c r="C14" i="10"/>
  <c r="A14" i="10"/>
  <c r="I13" i="10"/>
  <c r="H13" i="10"/>
  <c r="F13" i="10"/>
  <c r="C13" i="10"/>
  <c r="A13" i="10"/>
  <c r="I12" i="10"/>
  <c r="H12" i="10"/>
  <c r="F12" i="10"/>
  <c r="C12" i="10"/>
  <c r="A12" i="10"/>
  <c r="I11" i="10"/>
  <c r="H11" i="10"/>
  <c r="F11" i="10"/>
  <c r="C11" i="10"/>
  <c r="A11" i="10"/>
  <c r="I10" i="10"/>
  <c r="H10" i="10"/>
  <c r="F10" i="10"/>
  <c r="C10" i="10"/>
  <c r="A10" i="10"/>
  <c r="I9" i="10"/>
  <c r="H9" i="10"/>
  <c r="F9" i="10"/>
  <c r="C9" i="10"/>
  <c r="A9" i="10"/>
  <c r="I8" i="10"/>
  <c r="H8" i="10"/>
  <c r="F8" i="10"/>
  <c r="C8" i="10"/>
  <c r="A8" i="10"/>
  <c r="I7" i="10"/>
  <c r="H7" i="10"/>
  <c r="F7" i="10"/>
  <c r="C7" i="10"/>
  <c r="A7" i="10"/>
  <c r="I6" i="10"/>
  <c r="H6" i="10"/>
  <c r="F6" i="10"/>
  <c r="C6" i="10"/>
  <c r="A6" i="10"/>
  <c r="I5" i="10"/>
  <c r="H5" i="10"/>
  <c r="F5" i="10"/>
  <c r="C5" i="10"/>
  <c r="A5" i="10"/>
  <c r="M2003" i="9"/>
  <c r="L2003" i="9"/>
  <c r="K2003" i="9"/>
  <c r="J2003" i="9"/>
  <c r="I2003" i="9"/>
  <c r="H2003" i="9"/>
  <c r="G2003" i="9"/>
  <c r="F2003" i="9"/>
  <c r="E2003" i="9"/>
  <c r="D2003" i="9"/>
  <c r="C2003" i="9"/>
  <c r="B2003" i="9"/>
  <c r="A2003" i="9"/>
  <c r="M2002" i="9"/>
  <c r="L2002" i="9"/>
  <c r="K2002" i="9"/>
  <c r="J2002" i="9"/>
  <c r="I2002" i="9"/>
  <c r="H2002" i="9"/>
  <c r="G2002" i="9"/>
  <c r="F2002" i="9"/>
  <c r="E2002" i="9"/>
  <c r="D2002" i="9"/>
  <c r="C2002" i="9"/>
  <c r="B2002" i="9"/>
  <c r="A2002" i="9"/>
  <c r="M2001" i="9"/>
  <c r="L2001" i="9"/>
  <c r="K2001" i="9"/>
  <c r="J2001" i="9"/>
  <c r="I2001" i="9"/>
  <c r="H2001" i="9"/>
  <c r="G2001" i="9"/>
  <c r="F2001" i="9"/>
  <c r="E2001" i="9"/>
  <c r="D2001" i="9"/>
  <c r="C2001" i="9"/>
  <c r="B2001" i="9"/>
  <c r="A2001" i="9"/>
  <c r="M2000" i="9"/>
  <c r="L2000" i="9"/>
  <c r="K2000" i="9"/>
  <c r="J2000" i="9"/>
  <c r="I2000" i="9"/>
  <c r="H2000" i="9"/>
  <c r="G2000" i="9"/>
  <c r="F2000" i="9"/>
  <c r="E2000" i="9"/>
  <c r="D2000" i="9"/>
  <c r="C2000" i="9"/>
  <c r="B2000" i="9"/>
  <c r="A2000" i="9"/>
  <c r="M1999" i="9"/>
  <c r="L1999" i="9"/>
  <c r="K1999" i="9"/>
  <c r="J1999" i="9"/>
  <c r="I1999" i="9"/>
  <c r="H1999" i="9"/>
  <c r="G1999" i="9"/>
  <c r="F1999" i="9"/>
  <c r="E1999" i="9"/>
  <c r="D1999" i="9"/>
  <c r="C1999" i="9"/>
  <c r="B1999" i="9"/>
  <c r="A1999" i="9"/>
  <c r="M1998" i="9"/>
  <c r="L1998" i="9"/>
  <c r="K1998" i="9"/>
  <c r="J1998" i="9"/>
  <c r="I1998" i="9"/>
  <c r="H1998" i="9"/>
  <c r="G1998" i="9"/>
  <c r="F1998" i="9"/>
  <c r="E1998" i="9"/>
  <c r="D1998" i="9"/>
  <c r="C1998" i="9"/>
  <c r="B1998" i="9"/>
  <c r="A1998" i="9"/>
  <c r="M1997" i="9"/>
  <c r="L1997" i="9"/>
  <c r="K1997" i="9"/>
  <c r="J1997" i="9"/>
  <c r="I1997" i="9"/>
  <c r="H1997" i="9"/>
  <c r="G1997" i="9"/>
  <c r="F1997" i="9"/>
  <c r="E1997" i="9"/>
  <c r="D1997" i="9"/>
  <c r="C1997" i="9"/>
  <c r="B1997" i="9"/>
  <c r="A1997" i="9"/>
  <c r="M1996" i="9"/>
  <c r="L1996" i="9"/>
  <c r="K1996" i="9"/>
  <c r="J1996" i="9"/>
  <c r="I1996" i="9"/>
  <c r="H1996" i="9"/>
  <c r="G1996" i="9"/>
  <c r="F1996" i="9"/>
  <c r="E1996" i="9"/>
  <c r="D1996" i="9"/>
  <c r="C1996" i="9"/>
  <c r="B1996" i="9"/>
  <c r="A1996" i="9"/>
  <c r="M1995" i="9"/>
  <c r="L1995" i="9"/>
  <c r="K1995" i="9"/>
  <c r="J1995" i="9"/>
  <c r="I1995" i="9"/>
  <c r="H1995" i="9"/>
  <c r="G1995" i="9"/>
  <c r="F1995" i="9"/>
  <c r="E1995" i="9"/>
  <c r="D1995" i="9"/>
  <c r="C1995" i="9"/>
  <c r="B1995" i="9"/>
  <c r="A1995" i="9"/>
  <c r="M1994" i="9"/>
  <c r="L1994" i="9"/>
  <c r="K1994" i="9"/>
  <c r="J1994" i="9"/>
  <c r="I1994" i="9"/>
  <c r="H1994" i="9"/>
  <c r="G1994" i="9"/>
  <c r="F1994" i="9"/>
  <c r="E1994" i="9"/>
  <c r="D1994" i="9"/>
  <c r="C1994" i="9"/>
  <c r="B1994" i="9"/>
  <c r="A1994" i="9"/>
  <c r="M1993" i="9"/>
  <c r="L1993" i="9"/>
  <c r="K1993" i="9"/>
  <c r="J1993" i="9"/>
  <c r="I1993" i="9"/>
  <c r="H1993" i="9"/>
  <c r="G1993" i="9"/>
  <c r="F1993" i="9"/>
  <c r="E1993" i="9"/>
  <c r="D1993" i="9"/>
  <c r="C1993" i="9"/>
  <c r="B1993" i="9"/>
  <c r="A1993" i="9"/>
  <c r="M1992" i="9"/>
  <c r="L1992" i="9"/>
  <c r="K1992" i="9"/>
  <c r="J1992" i="9"/>
  <c r="I1992" i="9"/>
  <c r="H1992" i="9"/>
  <c r="G1992" i="9"/>
  <c r="F1992" i="9"/>
  <c r="E1992" i="9"/>
  <c r="D1992" i="9"/>
  <c r="C1992" i="9"/>
  <c r="B1992" i="9"/>
  <c r="A1992" i="9"/>
  <c r="M1991" i="9"/>
  <c r="L1991" i="9"/>
  <c r="K1991" i="9"/>
  <c r="J1991" i="9"/>
  <c r="I1991" i="9"/>
  <c r="H1991" i="9"/>
  <c r="G1991" i="9"/>
  <c r="F1991" i="9"/>
  <c r="E1991" i="9"/>
  <c r="D1991" i="9"/>
  <c r="C1991" i="9"/>
  <c r="B1991" i="9"/>
  <c r="A1991" i="9"/>
  <c r="M1990" i="9"/>
  <c r="L1990" i="9"/>
  <c r="K1990" i="9"/>
  <c r="J1990" i="9"/>
  <c r="I1990" i="9"/>
  <c r="H1990" i="9"/>
  <c r="G1990" i="9"/>
  <c r="F1990" i="9"/>
  <c r="E1990" i="9"/>
  <c r="D1990" i="9"/>
  <c r="C1990" i="9"/>
  <c r="B1990" i="9"/>
  <c r="A1990" i="9"/>
  <c r="M1989" i="9"/>
  <c r="L1989" i="9"/>
  <c r="K1989" i="9"/>
  <c r="J1989" i="9"/>
  <c r="I1989" i="9"/>
  <c r="H1989" i="9"/>
  <c r="G1989" i="9"/>
  <c r="F1989" i="9"/>
  <c r="E1989" i="9"/>
  <c r="D1989" i="9"/>
  <c r="C1989" i="9"/>
  <c r="B1989" i="9"/>
  <c r="A1989" i="9"/>
  <c r="M1988" i="9"/>
  <c r="L1988" i="9"/>
  <c r="K1988" i="9"/>
  <c r="J1988" i="9"/>
  <c r="I1988" i="9"/>
  <c r="H1988" i="9"/>
  <c r="G1988" i="9"/>
  <c r="F1988" i="9"/>
  <c r="E1988" i="9"/>
  <c r="D1988" i="9"/>
  <c r="C1988" i="9"/>
  <c r="B1988" i="9"/>
  <c r="A1988" i="9"/>
  <c r="M1987" i="9"/>
  <c r="L1987" i="9"/>
  <c r="K1987" i="9"/>
  <c r="J1987" i="9"/>
  <c r="I1987" i="9"/>
  <c r="H1987" i="9"/>
  <c r="G1987" i="9"/>
  <c r="F1987" i="9"/>
  <c r="E1987" i="9"/>
  <c r="D1987" i="9"/>
  <c r="C1987" i="9"/>
  <c r="B1987" i="9"/>
  <c r="A1987" i="9"/>
  <c r="M1986" i="9"/>
  <c r="L1986" i="9"/>
  <c r="K1986" i="9"/>
  <c r="J1986" i="9"/>
  <c r="I1986" i="9"/>
  <c r="H1986" i="9"/>
  <c r="G1986" i="9"/>
  <c r="F1986" i="9"/>
  <c r="E1986" i="9"/>
  <c r="D1986" i="9"/>
  <c r="C1986" i="9"/>
  <c r="B1986" i="9"/>
  <c r="A1986" i="9"/>
  <c r="M1985" i="9"/>
  <c r="L1985" i="9"/>
  <c r="K1985" i="9"/>
  <c r="J1985" i="9"/>
  <c r="I1985" i="9"/>
  <c r="H1985" i="9"/>
  <c r="G1985" i="9"/>
  <c r="F1985" i="9"/>
  <c r="E1985" i="9"/>
  <c r="D1985" i="9"/>
  <c r="C1985" i="9"/>
  <c r="B1985" i="9"/>
  <c r="A1985" i="9"/>
  <c r="M1984" i="9"/>
  <c r="L1984" i="9"/>
  <c r="K1984" i="9"/>
  <c r="J1984" i="9"/>
  <c r="I1984" i="9"/>
  <c r="H1984" i="9"/>
  <c r="G1984" i="9"/>
  <c r="F1984" i="9"/>
  <c r="E1984" i="9"/>
  <c r="D1984" i="9"/>
  <c r="C1984" i="9"/>
  <c r="B1984" i="9"/>
  <c r="A1984" i="9"/>
  <c r="M1983" i="9"/>
  <c r="L1983" i="9"/>
  <c r="K1983" i="9"/>
  <c r="J1983" i="9"/>
  <c r="I1983" i="9"/>
  <c r="H1983" i="9"/>
  <c r="G1983" i="9"/>
  <c r="F1983" i="9"/>
  <c r="E1983" i="9"/>
  <c r="D1983" i="9"/>
  <c r="C1983" i="9"/>
  <c r="B1983" i="9"/>
  <c r="A1983" i="9"/>
  <c r="M1982" i="9"/>
  <c r="L1982" i="9"/>
  <c r="K1982" i="9"/>
  <c r="J1982" i="9"/>
  <c r="I1982" i="9"/>
  <c r="H1982" i="9"/>
  <c r="G1982" i="9"/>
  <c r="F1982" i="9"/>
  <c r="E1982" i="9"/>
  <c r="D1982" i="9"/>
  <c r="C1982" i="9"/>
  <c r="B1982" i="9"/>
  <c r="A1982" i="9"/>
  <c r="M1981" i="9"/>
  <c r="L1981" i="9"/>
  <c r="K1981" i="9"/>
  <c r="J1981" i="9"/>
  <c r="I1981" i="9"/>
  <c r="H1981" i="9"/>
  <c r="G1981" i="9"/>
  <c r="F1981" i="9"/>
  <c r="E1981" i="9"/>
  <c r="D1981" i="9"/>
  <c r="C1981" i="9"/>
  <c r="B1981" i="9"/>
  <c r="A1981" i="9"/>
  <c r="M1980" i="9"/>
  <c r="L1980" i="9"/>
  <c r="K1980" i="9"/>
  <c r="J1980" i="9"/>
  <c r="I1980" i="9"/>
  <c r="H1980" i="9"/>
  <c r="G1980" i="9"/>
  <c r="F1980" i="9"/>
  <c r="E1980" i="9"/>
  <c r="D1980" i="9"/>
  <c r="C1980" i="9"/>
  <c r="B1980" i="9"/>
  <c r="A1980" i="9"/>
  <c r="M1979" i="9"/>
  <c r="L1979" i="9"/>
  <c r="K1979" i="9"/>
  <c r="J1979" i="9"/>
  <c r="I1979" i="9"/>
  <c r="H1979" i="9"/>
  <c r="G1979" i="9"/>
  <c r="F1979" i="9"/>
  <c r="E1979" i="9"/>
  <c r="D1979" i="9"/>
  <c r="C1979" i="9"/>
  <c r="B1979" i="9"/>
  <c r="A1979" i="9"/>
  <c r="M1978" i="9"/>
  <c r="L1978" i="9"/>
  <c r="K1978" i="9"/>
  <c r="J1978" i="9"/>
  <c r="I1978" i="9"/>
  <c r="H1978" i="9"/>
  <c r="G1978" i="9"/>
  <c r="F1978" i="9"/>
  <c r="E1978" i="9"/>
  <c r="D1978" i="9"/>
  <c r="C1978" i="9"/>
  <c r="B1978" i="9"/>
  <c r="A1978" i="9"/>
  <c r="M1977" i="9"/>
  <c r="L1977" i="9"/>
  <c r="K1977" i="9"/>
  <c r="J1977" i="9"/>
  <c r="I1977" i="9"/>
  <c r="H1977" i="9"/>
  <c r="G1977" i="9"/>
  <c r="F1977" i="9"/>
  <c r="E1977" i="9"/>
  <c r="D1977" i="9"/>
  <c r="C1977" i="9"/>
  <c r="B1977" i="9"/>
  <c r="A1977" i="9"/>
  <c r="M1976" i="9"/>
  <c r="L1976" i="9"/>
  <c r="K1976" i="9"/>
  <c r="J1976" i="9"/>
  <c r="I1976" i="9"/>
  <c r="H1976" i="9"/>
  <c r="G1976" i="9"/>
  <c r="F1976" i="9"/>
  <c r="E1976" i="9"/>
  <c r="D1976" i="9"/>
  <c r="C1976" i="9"/>
  <c r="B1976" i="9"/>
  <c r="A1976" i="9"/>
  <c r="M1975" i="9"/>
  <c r="L1975" i="9"/>
  <c r="K1975" i="9"/>
  <c r="J1975" i="9"/>
  <c r="I1975" i="9"/>
  <c r="H1975" i="9"/>
  <c r="G1975" i="9"/>
  <c r="F1975" i="9"/>
  <c r="E1975" i="9"/>
  <c r="D1975" i="9"/>
  <c r="C1975" i="9"/>
  <c r="B1975" i="9"/>
  <c r="A1975" i="9"/>
  <c r="M1974" i="9"/>
  <c r="L1974" i="9"/>
  <c r="K1974" i="9"/>
  <c r="J1974" i="9"/>
  <c r="I1974" i="9"/>
  <c r="H1974" i="9"/>
  <c r="G1974" i="9"/>
  <c r="F1974" i="9"/>
  <c r="E1974" i="9"/>
  <c r="D1974" i="9"/>
  <c r="C1974" i="9"/>
  <c r="B1974" i="9"/>
  <c r="A1974" i="9"/>
  <c r="M1973" i="9"/>
  <c r="L1973" i="9"/>
  <c r="K1973" i="9"/>
  <c r="J1973" i="9"/>
  <c r="I1973" i="9"/>
  <c r="H1973" i="9"/>
  <c r="G1973" i="9"/>
  <c r="F1973" i="9"/>
  <c r="E1973" i="9"/>
  <c r="D1973" i="9"/>
  <c r="C1973" i="9"/>
  <c r="B1973" i="9"/>
  <c r="A1973" i="9"/>
  <c r="M1972" i="9"/>
  <c r="L1972" i="9"/>
  <c r="K1972" i="9"/>
  <c r="J1972" i="9"/>
  <c r="I1972" i="9"/>
  <c r="H1972" i="9"/>
  <c r="G1972" i="9"/>
  <c r="F1972" i="9"/>
  <c r="E1972" i="9"/>
  <c r="D1972" i="9"/>
  <c r="C1972" i="9"/>
  <c r="B1972" i="9"/>
  <c r="A1972" i="9"/>
  <c r="M1971" i="9"/>
  <c r="L1971" i="9"/>
  <c r="K1971" i="9"/>
  <c r="J1971" i="9"/>
  <c r="I1971" i="9"/>
  <c r="H1971" i="9"/>
  <c r="G1971" i="9"/>
  <c r="F1971" i="9"/>
  <c r="E1971" i="9"/>
  <c r="D1971" i="9"/>
  <c r="C1971" i="9"/>
  <c r="B1971" i="9"/>
  <c r="A1971" i="9"/>
  <c r="M1970" i="9"/>
  <c r="L1970" i="9"/>
  <c r="K1970" i="9"/>
  <c r="J1970" i="9"/>
  <c r="I1970" i="9"/>
  <c r="H1970" i="9"/>
  <c r="G1970" i="9"/>
  <c r="F1970" i="9"/>
  <c r="E1970" i="9"/>
  <c r="D1970" i="9"/>
  <c r="C1970" i="9"/>
  <c r="B1970" i="9"/>
  <c r="A1970" i="9"/>
  <c r="M1969" i="9"/>
  <c r="L1969" i="9"/>
  <c r="K1969" i="9"/>
  <c r="J1969" i="9"/>
  <c r="I1969" i="9"/>
  <c r="H1969" i="9"/>
  <c r="G1969" i="9"/>
  <c r="F1969" i="9"/>
  <c r="E1969" i="9"/>
  <c r="D1969" i="9"/>
  <c r="C1969" i="9"/>
  <c r="B1969" i="9"/>
  <c r="A1969" i="9"/>
  <c r="M1968" i="9"/>
  <c r="L1968" i="9"/>
  <c r="K1968" i="9"/>
  <c r="J1968" i="9"/>
  <c r="I1968" i="9"/>
  <c r="H1968" i="9"/>
  <c r="G1968" i="9"/>
  <c r="F1968" i="9"/>
  <c r="E1968" i="9"/>
  <c r="D1968" i="9"/>
  <c r="C1968" i="9"/>
  <c r="B1968" i="9"/>
  <c r="A1968" i="9"/>
  <c r="M1967" i="9"/>
  <c r="L1967" i="9"/>
  <c r="K1967" i="9"/>
  <c r="J1967" i="9"/>
  <c r="I1967" i="9"/>
  <c r="H1967" i="9"/>
  <c r="G1967" i="9"/>
  <c r="F1967" i="9"/>
  <c r="E1967" i="9"/>
  <c r="D1967" i="9"/>
  <c r="C1967" i="9"/>
  <c r="B1967" i="9"/>
  <c r="A1967" i="9"/>
  <c r="M1966" i="9"/>
  <c r="L1966" i="9"/>
  <c r="K1966" i="9"/>
  <c r="J1966" i="9"/>
  <c r="I1966" i="9"/>
  <c r="H1966" i="9"/>
  <c r="G1966" i="9"/>
  <c r="F1966" i="9"/>
  <c r="E1966" i="9"/>
  <c r="D1966" i="9"/>
  <c r="C1966" i="9"/>
  <c r="B1966" i="9"/>
  <c r="A1966" i="9"/>
  <c r="M1965" i="9"/>
  <c r="L1965" i="9"/>
  <c r="K1965" i="9"/>
  <c r="J1965" i="9"/>
  <c r="I1965" i="9"/>
  <c r="H1965" i="9"/>
  <c r="G1965" i="9"/>
  <c r="F1965" i="9"/>
  <c r="E1965" i="9"/>
  <c r="D1965" i="9"/>
  <c r="C1965" i="9"/>
  <c r="B1965" i="9"/>
  <c r="A1965" i="9"/>
  <c r="M1964" i="9"/>
  <c r="L1964" i="9"/>
  <c r="K1964" i="9"/>
  <c r="J1964" i="9"/>
  <c r="I1964" i="9"/>
  <c r="H1964" i="9"/>
  <c r="G1964" i="9"/>
  <c r="F1964" i="9"/>
  <c r="E1964" i="9"/>
  <c r="D1964" i="9"/>
  <c r="C1964" i="9"/>
  <c r="B1964" i="9"/>
  <c r="A1964" i="9"/>
  <c r="M1963" i="9"/>
  <c r="L1963" i="9"/>
  <c r="K1963" i="9"/>
  <c r="J1963" i="9"/>
  <c r="I1963" i="9"/>
  <c r="H1963" i="9"/>
  <c r="G1963" i="9"/>
  <c r="F1963" i="9"/>
  <c r="E1963" i="9"/>
  <c r="D1963" i="9"/>
  <c r="C1963" i="9"/>
  <c r="B1963" i="9"/>
  <c r="A1963" i="9"/>
  <c r="M1962" i="9"/>
  <c r="L1962" i="9"/>
  <c r="K1962" i="9"/>
  <c r="J1962" i="9"/>
  <c r="I1962" i="9"/>
  <c r="H1962" i="9"/>
  <c r="G1962" i="9"/>
  <c r="F1962" i="9"/>
  <c r="E1962" i="9"/>
  <c r="D1962" i="9"/>
  <c r="C1962" i="9"/>
  <c r="B1962" i="9"/>
  <c r="A1962" i="9"/>
  <c r="M1961" i="9"/>
  <c r="L1961" i="9"/>
  <c r="K1961" i="9"/>
  <c r="J1961" i="9"/>
  <c r="I1961" i="9"/>
  <c r="H1961" i="9"/>
  <c r="G1961" i="9"/>
  <c r="F1961" i="9"/>
  <c r="E1961" i="9"/>
  <c r="D1961" i="9"/>
  <c r="C1961" i="9"/>
  <c r="B1961" i="9"/>
  <c r="A1961" i="9"/>
  <c r="M1960" i="9"/>
  <c r="L1960" i="9"/>
  <c r="K1960" i="9"/>
  <c r="J1960" i="9"/>
  <c r="I1960" i="9"/>
  <c r="H1960" i="9"/>
  <c r="G1960" i="9"/>
  <c r="F1960" i="9"/>
  <c r="E1960" i="9"/>
  <c r="D1960" i="9"/>
  <c r="C1960" i="9"/>
  <c r="B1960" i="9"/>
  <c r="A1960" i="9"/>
  <c r="M1959" i="9"/>
  <c r="L1959" i="9"/>
  <c r="K1959" i="9"/>
  <c r="J1959" i="9"/>
  <c r="I1959" i="9"/>
  <c r="H1959" i="9"/>
  <c r="G1959" i="9"/>
  <c r="F1959" i="9"/>
  <c r="E1959" i="9"/>
  <c r="D1959" i="9"/>
  <c r="C1959" i="9"/>
  <c r="B1959" i="9"/>
  <c r="A1959" i="9"/>
  <c r="M1958" i="9"/>
  <c r="L1958" i="9"/>
  <c r="K1958" i="9"/>
  <c r="J1958" i="9"/>
  <c r="I1958" i="9"/>
  <c r="H1958" i="9"/>
  <c r="G1958" i="9"/>
  <c r="F1958" i="9"/>
  <c r="E1958" i="9"/>
  <c r="D1958" i="9"/>
  <c r="C1958" i="9"/>
  <c r="B1958" i="9"/>
  <c r="A1958" i="9"/>
  <c r="M1957" i="9"/>
  <c r="L1957" i="9"/>
  <c r="K1957" i="9"/>
  <c r="J1957" i="9"/>
  <c r="I1957" i="9"/>
  <c r="H1957" i="9"/>
  <c r="G1957" i="9"/>
  <c r="F1957" i="9"/>
  <c r="E1957" i="9"/>
  <c r="D1957" i="9"/>
  <c r="C1957" i="9"/>
  <c r="B1957" i="9"/>
  <c r="A1957" i="9"/>
  <c r="M1956" i="9"/>
  <c r="L1956" i="9"/>
  <c r="K1956" i="9"/>
  <c r="J1956" i="9"/>
  <c r="I1956" i="9"/>
  <c r="H1956" i="9"/>
  <c r="G1956" i="9"/>
  <c r="F1956" i="9"/>
  <c r="E1956" i="9"/>
  <c r="D1956" i="9"/>
  <c r="C1956" i="9"/>
  <c r="B1956" i="9"/>
  <c r="A1956" i="9"/>
  <c r="M1955" i="9"/>
  <c r="L1955" i="9"/>
  <c r="K1955" i="9"/>
  <c r="J1955" i="9"/>
  <c r="I1955" i="9"/>
  <c r="H1955" i="9"/>
  <c r="G1955" i="9"/>
  <c r="F1955" i="9"/>
  <c r="E1955" i="9"/>
  <c r="D1955" i="9"/>
  <c r="C1955" i="9"/>
  <c r="B1955" i="9"/>
  <c r="A1955" i="9"/>
  <c r="M1954" i="9"/>
  <c r="L1954" i="9"/>
  <c r="K1954" i="9"/>
  <c r="J1954" i="9"/>
  <c r="I1954" i="9"/>
  <c r="H1954" i="9"/>
  <c r="G1954" i="9"/>
  <c r="F1954" i="9"/>
  <c r="E1954" i="9"/>
  <c r="D1954" i="9"/>
  <c r="C1954" i="9"/>
  <c r="B1954" i="9"/>
  <c r="A1954" i="9"/>
  <c r="M1953" i="9"/>
  <c r="L1953" i="9"/>
  <c r="K1953" i="9"/>
  <c r="J1953" i="9"/>
  <c r="I1953" i="9"/>
  <c r="H1953" i="9"/>
  <c r="G1953" i="9"/>
  <c r="F1953" i="9"/>
  <c r="E1953" i="9"/>
  <c r="D1953" i="9"/>
  <c r="C1953" i="9"/>
  <c r="B1953" i="9"/>
  <c r="A1953" i="9"/>
  <c r="M1952" i="9"/>
  <c r="L1952" i="9"/>
  <c r="K1952" i="9"/>
  <c r="J1952" i="9"/>
  <c r="I1952" i="9"/>
  <c r="H1952" i="9"/>
  <c r="G1952" i="9"/>
  <c r="F1952" i="9"/>
  <c r="E1952" i="9"/>
  <c r="D1952" i="9"/>
  <c r="C1952" i="9"/>
  <c r="B1952" i="9"/>
  <c r="A1952" i="9"/>
  <c r="M1951" i="9"/>
  <c r="L1951" i="9"/>
  <c r="K1951" i="9"/>
  <c r="J1951" i="9"/>
  <c r="I1951" i="9"/>
  <c r="H1951" i="9"/>
  <c r="G1951" i="9"/>
  <c r="F1951" i="9"/>
  <c r="E1951" i="9"/>
  <c r="D1951" i="9"/>
  <c r="C1951" i="9"/>
  <c r="B1951" i="9"/>
  <c r="A1951" i="9"/>
  <c r="M1950" i="9"/>
  <c r="L1950" i="9"/>
  <c r="K1950" i="9"/>
  <c r="J1950" i="9"/>
  <c r="I1950" i="9"/>
  <c r="H1950" i="9"/>
  <c r="G1950" i="9"/>
  <c r="F1950" i="9"/>
  <c r="E1950" i="9"/>
  <c r="D1950" i="9"/>
  <c r="C1950" i="9"/>
  <c r="B1950" i="9"/>
  <c r="A1950" i="9"/>
  <c r="M1949" i="9"/>
  <c r="L1949" i="9"/>
  <c r="K1949" i="9"/>
  <c r="J1949" i="9"/>
  <c r="I1949" i="9"/>
  <c r="H1949" i="9"/>
  <c r="G1949" i="9"/>
  <c r="F1949" i="9"/>
  <c r="E1949" i="9"/>
  <c r="D1949" i="9"/>
  <c r="C1949" i="9"/>
  <c r="B1949" i="9"/>
  <c r="A1949" i="9"/>
  <c r="M1948" i="9"/>
  <c r="L1948" i="9"/>
  <c r="K1948" i="9"/>
  <c r="J1948" i="9"/>
  <c r="I1948" i="9"/>
  <c r="H1948" i="9"/>
  <c r="G1948" i="9"/>
  <c r="F1948" i="9"/>
  <c r="E1948" i="9"/>
  <c r="D1948" i="9"/>
  <c r="C1948" i="9"/>
  <c r="B1948" i="9"/>
  <c r="A1948" i="9"/>
  <c r="M1947" i="9"/>
  <c r="L1947" i="9"/>
  <c r="K1947" i="9"/>
  <c r="J1947" i="9"/>
  <c r="I1947" i="9"/>
  <c r="H1947" i="9"/>
  <c r="G1947" i="9"/>
  <c r="F1947" i="9"/>
  <c r="E1947" i="9"/>
  <c r="D1947" i="9"/>
  <c r="C1947" i="9"/>
  <c r="B1947" i="9"/>
  <c r="A1947" i="9"/>
  <c r="M1946" i="9"/>
  <c r="L1946" i="9"/>
  <c r="K1946" i="9"/>
  <c r="J1946" i="9"/>
  <c r="I1946" i="9"/>
  <c r="H1946" i="9"/>
  <c r="G1946" i="9"/>
  <c r="F1946" i="9"/>
  <c r="E1946" i="9"/>
  <c r="D1946" i="9"/>
  <c r="C1946" i="9"/>
  <c r="B1946" i="9"/>
  <c r="A1946" i="9"/>
  <c r="M1945" i="9"/>
  <c r="L1945" i="9"/>
  <c r="K1945" i="9"/>
  <c r="J1945" i="9"/>
  <c r="I1945" i="9"/>
  <c r="H1945" i="9"/>
  <c r="G1945" i="9"/>
  <c r="F1945" i="9"/>
  <c r="E1945" i="9"/>
  <c r="D1945" i="9"/>
  <c r="C1945" i="9"/>
  <c r="B1945" i="9"/>
  <c r="A1945" i="9"/>
  <c r="M1944" i="9"/>
  <c r="L1944" i="9"/>
  <c r="K1944" i="9"/>
  <c r="J1944" i="9"/>
  <c r="I1944" i="9"/>
  <c r="H1944" i="9"/>
  <c r="G1944" i="9"/>
  <c r="F1944" i="9"/>
  <c r="E1944" i="9"/>
  <c r="D1944" i="9"/>
  <c r="C1944" i="9"/>
  <c r="B1944" i="9"/>
  <c r="A1944" i="9"/>
  <c r="M1943" i="9"/>
  <c r="L1943" i="9"/>
  <c r="K1943" i="9"/>
  <c r="J1943" i="9"/>
  <c r="I1943" i="9"/>
  <c r="H1943" i="9"/>
  <c r="G1943" i="9"/>
  <c r="F1943" i="9"/>
  <c r="E1943" i="9"/>
  <c r="D1943" i="9"/>
  <c r="C1943" i="9"/>
  <c r="B1943" i="9"/>
  <c r="A1943" i="9"/>
  <c r="M1942" i="9"/>
  <c r="L1942" i="9"/>
  <c r="K1942" i="9"/>
  <c r="J1942" i="9"/>
  <c r="I1942" i="9"/>
  <c r="H1942" i="9"/>
  <c r="G1942" i="9"/>
  <c r="F1942" i="9"/>
  <c r="E1942" i="9"/>
  <c r="D1942" i="9"/>
  <c r="C1942" i="9"/>
  <c r="B1942" i="9"/>
  <c r="A1942" i="9"/>
  <c r="M1941" i="9"/>
  <c r="L1941" i="9"/>
  <c r="K1941" i="9"/>
  <c r="J1941" i="9"/>
  <c r="I1941" i="9"/>
  <c r="H1941" i="9"/>
  <c r="G1941" i="9"/>
  <c r="F1941" i="9"/>
  <c r="E1941" i="9"/>
  <c r="D1941" i="9"/>
  <c r="C1941" i="9"/>
  <c r="B1941" i="9"/>
  <c r="A1941" i="9"/>
  <c r="M1940" i="9"/>
  <c r="L1940" i="9"/>
  <c r="K1940" i="9"/>
  <c r="J1940" i="9"/>
  <c r="I1940" i="9"/>
  <c r="H1940" i="9"/>
  <c r="G1940" i="9"/>
  <c r="F1940" i="9"/>
  <c r="E1940" i="9"/>
  <c r="D1940" i="9"/>
  <c r="C1940" i="9"/>
  <c r="B1940" i="9"/>
  <c r="A1940" i="9"/>
  <c r="M1939" i="9"/>
  <c r="L1939" i="9"/>
  <c r="K1939" i="9"/>
  <c r="J1939" i="9"/>
  <c r="I1939" i="9"/>
  <c r="H1939" i="9"/>
  <c r="G1939" i="9"/>
  <c r="F1939" i="9"/>
  <c r="E1939" i="9"/>
  <c r="D1939" i="9"/>
  <c r="C1939" i="9"/>
  <c r="B1939" i="9"/>
  <c r="A1939" i="9"/>
  <c r="M1938" i="9"/>
  <c r="L1938" i="9"/>
  <c r="K1938" i="9"/>
  <c r="J1938" i="9"/>
  <c r="I1938" i="9"/>
  <c r="H1938" i="9"/>
  <c r="G1938" i="9"/>
  <c r="F1938" i="9"/>
  <c r="E1938" i="9"/>
  <c r="D1938" i="9"/>
  <c r="C1938" i="9"/>
  <c r="B1938" i="9"/>
  <c r="A1938" i="9"/>
  <c r="M1937" i="9"/>
  <c r="L1937" i="9"/>
  <c r="K1937" i="9"/>
  <c r="J1937" i="9"/>
  <c r="I1937" i="9"/>
  <c r="H1937" i="9"/>
  <c r="G1937" i="9"/>
  <c r="F1937" i="9"/>
  <c r="E1937" i="9"/>
  <c r="D1937" i="9"/>
  <c r="C1937" i="9"/>
  <c r="B1937" i="9"/>
  <c r="A1937" i="9"/>
  <c r="M1936" i="9"/>
  <c r="L1936" i="9"/>
  <c r="K1936" i="9"/>
  <c r="J1936" i="9"/>
  <c r="I1936" i="9"/>
  <c r="H1936" i="9"/>
  <c r="G1936" i="9"/>
  <c r="F1936" i="9"/>
  <c r="E1936" i="9"/>
  <c r="D1936" i="9"/>
  <c r="C1936" i="9"/>
  <c r="B1936" i="9"/>
  <c r="A1936" i="9"/>
  <c r="M1935" i="9"/>
  <c r="L1935" i="9"/>
  <c r="K1935" i="9"/>
  <c r="J1935" i="9"/>
  <c r="I1935" i="9"/>
  <c r="H1935" i="9"/>
  <c r="G1935" i="9"/>
  <c r="F1935" i="9"/>
  <c r="E1935" i="9"/>
  <c r="D1935" i="9"/>
  <c r="C1935" i="9"/>
  <c r="B1935" i="9"/>
  <c r="A1935" i="9"/>
  <c r="M1934" i="9"/>
  <c r="L1934" i="9"/>
  <c r="K1934" i="9"/>
  <c r="J1934" i="9"/>
  <c r="I1934" i="9"/>
  <c r="H1934" i="9"/>
  <c r="G1934" i="9"/>
  <c r="F1934" i="9"/>
  <c r="E1934" i="9"/>
  <c r="D1934" i="9"/>
  <c r="C1934" i="9"/>
  <c r="B1934" i="9"/>
  <c r="A1934" i="9"/>
  <c r="M1933" i="9"/>
  <c r="L1933" i="9"/>
  <c r="K1933" i="9"/>
  <c r="J1933" i="9"/>
  <c r="I1933" i="9"/>
  <c r="H1933" i="9"/>
  <c r="G1933" i="9"/>
  <c r="F1933" i="9"/>
  <c r="E1933" i="9"/>
  <c r="D1933" i="9"/>
  <c r="C1933" i="9"/>
  <c r="B1933" i="9"/>
  <c r="A1933" i="9"/>
  <c r="M1932" i="9"/>
  <c r="L1932" i="9"/>
  <c r="K1932" i="9"/>
  <c r="J1932" i="9"/>
  <c r="I1932" i="9"/>
  <c r="H1932" i="9"/>
  <c r="G1932" i="9"/>
  <c r="F1932" i="9"/>
  <c r="E1932" i="9"/>
  <c r="D1932" i="9"/>
  <c r="C1932" i="9"/>
  <c r="B1932" i="9"/>
  <c r="A1932" i="9"/>
  <c r="M1931" i="9"/>
  <c r="L1931" i="9"/>
  <c r="K1931" i="9"/>
  <c r="J1931" i="9"/>
  <c r="I1931" i="9"/>
  <c r="H1931" i="9"/>
  <c r="G1931" i="9"/>
  <c r="F1931" i="9"/>
  <c r="E1931" i="9"/>
  <c r="D1931" i="9"/>
  <c r="C1931" i="9"/>
  <c r="B1931" i="9"/>
  <c r="A1931" i="9"/>
  <c r="M1930" i="9"/>
  <c r="L1930" i="9"/>
  <c r="K1930" i="9"/>
  <c r="J1930" i="9"/>
  <c r="I1930" i="9"/>
  <c r="H1930" i="9"/>
  <c r="G1930" i="9"/>
  <c r="F1930" i="9"/>
  <c r="E1930" i="9"/>
  <c r="D1930" i="9"/>
  <c r="C1930" i="9"/>
  <c r="B1930" i="9"/>
  <c r="A1930" i="9"/>
  <c r="M1929" i="9"/>
  <c r="L1929" i="9"/>
  <c r="K1929" i="9"/>
  <c r="J1929" i="9"/>
  <c r="I1929" i="9"/>
  <c r="H1929" i="9"/>
  <c r="G1929" i="9"/>
  <c r="F1929" i="9"/>
  <c r="E1929" i="9"/>
  <c r="D1929" i="9"/>
  <c r="C1929" i="9"/>
  <c r="B1929" i="9"/>
  <c r="A1929" i="9"/>
  <c r="M1928" i="9"/>
  <c r="L1928" i="9"/>
  <c r="K1928" i="9"/>
  <c r="J1928" i="9"/>
  <c r="I1928" i="9"/>
  <c r="H1928" i="9"/>
  <c r="G1928" i="9"/>
  <c r="F1928" i="9"/>
  <c r="E1928" i="9"/>
  <c r="D1928" i="9"/>
  <c r="C1928" i="9"/>
  <c r="B1928" i="9"/>
  <c r="A1928" i="9"/>
  <c r="M1927" i="9"/>
  <c r="L1927" i="9"/>
  <c r="K1927" i="9"/>
  <c r="J1927" i="9"/>
  <c r="I1927" i="9"/>
  <c r="H1927" i="9"/>
  <c r="G1927" i="9"/>
  <c r="F1927" i="9"/>
  <c r="E1927" i="9"/>
  <c r="D1927" i="9"/>
  <c r="C1927" i="9"/>
  <c r="B1927" i="9"/>
  <c r="A1927" i="9"/>
  <c r="M1926" i="9"/>
  <c r="L1926" i="9"/>
  <c r="K1926" i="9"/>
  <c r="J1926" i="9"/>
  <c r="I1926" i="9"/>
  <c r="H1926" i="9"/>
  <c r="G1926" i="9"/>
  <c r="F1926" i="9"/>
  <c r="E1926" i="9"/>
  <c r="D1926" i="9"/>
  <c r="C1926" i="9"/>
  <c r="B1926" i="9"/>
  <c r="A1926" i="9"/>
  <c r="M1925" i="9"/>
  <c r="L1925" i="9"/>
  <c r="K1925" i="9"/>
  <c r="J1925" i="9"/>
  <c r="I1925" i="9"/>
  <c r="H1925" i="9"/>
  <c r="G1925" i="9"/>
  <c r="F1925" i="9"/>
  <c r="E1925" i="9"/>
  <c r="D1925" i="9"/>
  <c r="C1925" i="9"/>
  <c r="B1925" i="9"/>
  <c r="A1925" i="9"/>
  <c r="M1924" i="9"/>
  <c r="L1924" i="9"/>
  <c r="K1924" i="9"/>
  <c r="J1924" i="9"/>
  <c r="I1924" i="9"/>
  <c r="H1924" i="9"/>
  <c r="G1924" i="9"/>
  <c r="F1924" i="9"/>
  <c r="E1924" i="9"/>
  <c r="D1924" i="9"/>
  <c r="C1924" i="9"/>
  <c r="B1924" i="9"/>
  <c r="A1924" i="9"/>
  <c r="M1923" i="9"/>
  <c r="L1923" i="9"/>
  <c r="K1923" i="9"/>
  <c r="J1923" i="9"/>
  <c r="I1923" i="9"/>
  <c r="H1923" i="9"/>
  <c r="G1923" i="9"/>
  <c r="F1923" i="9"/>
  <c r="E1923" i="9"/>
  <c r="D1923" i="9"/>
  <c r="C1923" i="9"/>
  <c r="B1923" i="9"/>
  <c r="A1923" i="9"/>
  <c r="M1922" i="9"/>
  <c r="L1922" i="9"/>
  <c r="K1922" i="9"/>
  <c r="J1922" i="9"/>
  <c r="I1922" i="9"/>
  <c r="H1922" i="9"/>
  <c r="G1922" i="9"/>
  <c r="F1922" i="9"/>
  <c r="E1922" i="9"/>
  <c r="D1922" i="9"/>
  <c r="C1922" i="9"/>
  <c r="B1922" i="9"/>
  <c r="A1922" i="9"/>
  <c r="M1921" i="9"/>
  <c r="L1921" i="9"/>
  <c r="K1921" i="9"/>
  <c r="J1921" i="9"/>
  <c r="I1921" i="9"/>
  <c r="H1921" i="9"/>
  <c r="G1921" i="9"/>
  <c r="F1921" i="9"/>
  <c r="E1921" i="9"/>
  <c r="D1921" i="9"/>
  <c r="C1921" i="9"/>
  <c r="B1921" i="9"/>
  <c r="A1921" i="9"/>
  <c r="M1920" i="9"/>
  <c r="L1920" i="9"/>
  <c r="K1920" i="9"/>
  <c r="J1920" i="9"/>
  <c r="I1920" i="9"/>
  <c r="H1920" i="9"/>
  <c r="G1920" i="9"/>
  <c r="F1920" i="9"/>
  <c r="E1920" i="9"/>
  <c r="D1920" i="9"/>
  <c r="C1920" i="9"/>
  <c r="B1920" i="9"/>
  <c r="A1920" i="9"/>
  <c r="M1919" i="9"/>
  <c r="L1919" i="9"/>
  <c r="K1919" i="9"/>
  <c r="J1919" i="9"/>
  <c r="I1919" i="9"/>
  <c r="H1919" i="9"/>
  <c r="G1919" i="9"/>
  <c r="F1919" i="9"/>
  <c r="E1919" i="9"/>
  <c r="D1919" i="9"/>
  <c r="C1919" i="9"/>
  <c r="B1919" i="9"/>
  <c r="A1919" i="9"/>
  <c r="M1918" i="9"/>
  <c r="L1918" i="9"/>
  <c r="K1918" i="9"/>
  <c r="J1918" i="9"/>
  <c r="I1918" i="9"/>
  <c r="H1918" i="9"/>
  <c r="G1918" i="9"/>
  <c r="F1918" i="9"/>
  <c r="E1918" i="9"/>
  <c r="D1918" i="9"/>
  <c r="C1918" i="9"/>
  <c r="B1918" i="9"/>
  <c r="A1918" i="9"/>
  <c r="M1917" i="9"/>
  <c r="L1917" i="9"/>
  <c r="K1917" i="9"/>
  <c r="J1917" i="9"/>
  <c r="I1917" i="9"/>
  <c r="H1917" i="9"/>
  <c r="G1917" i="9"/>
  <c r="F1917" i="9"/>
  <c r="E1917" i="9"/>
  <c r="D1917" i="9"/>
  <c r="C1917" i="9"/>
  <c r="B1917" i="9"/>
  <c r="A1917" i="9"/>
  <c r="M1916" i="9"/>
  <c r="L1916" i="9"/>
  <c r="K1916" i="9"/>
  <c r="J1916" i="9"/>
  <c r="I1916" i="9"/>
  <c r="H1916" i="9"/>
  <c r="G1916" i="9"/>
  <c r="F1916" i="9"/>
  <c r="E1916" i="9"/>
  <c r="D1916" i="9"/>
  <c r="C1916" i="9"/>
  <c r="B1916" i="9"/>
  <c r="A1916" i="9"/>
  <c r="M1915" i="9"/>
  <c r="L1915" i="9"/>
  <c r="K1915" i="9"/>
  <c r="J1915" i="9"/>
  <c r="I1915" i="9"/>
  <c r="H1915" i="9"/>
  <c r="G1915" i="9"/>
  <c r="F1915" i="9"/>
  <c r="E1915" i="9"/>
  <c r="D1915" i="9"/>
  <c r="C1915" i="9"/>
  <c r="B1915" i="9"/>
  <c r="A1915" i="9"/>
  <c r="M1914" i="9"/>
  <c r="L1914" i="9"/>
  <c r="K1914" i="9"/>
  <c r="J1914" i="9"/>
  <c r="I1914" i="9"/>
  <c r="H1914" i="9"/>
  <c r="G1914" i="9"/>
  <c r="F1914" i="9"/>
  <c r="E1914" i="9"/>
  <c r="D1914" i="9"/>
  <c r="C1914" i="9"/>
  <c r="B1914" i="9"/>
  <c r="A1914" i="9"/>
  <c r="M1913" i="9"/>
  <c r="L1913" i="9"/>
  <c r="K1913" i="9"/>
  <c r="J1913" i="9"/>
  <c r="I1913" i="9"/>
  <c r="H1913" i="9"/>
  <c r="G1913" i="9"/>
  <c r="F1913" i="9"/>
  <c r="E1913" i="9"/>
  <c r="D1913" i="9"/>
  <c r="C1913" i="9"/>
  <c r="B1913" i="9"/>
  <c r="A1913" i="9"/>
  <c r="M1912" i="9"/>
  <c r="L1912" i="9"/>
  <c r="K1912" i="9"/>
  <c r="J1912" i="9"/>
  <c r="I1912" i="9"/>
  <c r="H1912" i="9"/>
  <c r="G1912" i="9"/>
  <c r="F1912" i="9"/>
  <c r="E1912" i="9"/>
  <c r="D1912" i="9"/>
  <c r="C1912" i="9"/>
  <c r="B1912" i="9"/>
  <c r="A1912" i="9"/>
  <c r="M1911" i="9"/>
  <c r="L1911" i="9"/>
  <c r="K1911" i="9"/>
  <c r="J1911" i="9"/>
  <c r="I1911" i="9"/>
  <c r="H1911" i="9"/>
  <c r="G1911" i="9"/>
  <c r="F1911" i="9"/>
  <c r="E1911" i="9"/>
  <c r="D1911" i="9"/>
  <c r="C1911" i="9"/>
  <c r="B1911" i="9"/>
  <c r="A1911" i="9"/>
  <c r="M1910" i="9"/>
  <c r="L1910" i="9"/>
  <c r="K1910" i="9"/>
  <c r="J1910" i="9"/>
  <c r="I1910" i="9"/>
  <c r="H1910" i="9"/>
  <c r="G1910" i="9"/>
  <c r="F1910" i="9"/>
  <c r="E1910" i="9"/>
  <c r="D1910" i="9"/>
  <c r="C1910" i="9"/>
  <c r="B1910" i="9"/>
  <c r="A1910" i="9"/>
  <c r="M1909" i="9"/>
  <c r="L1909" i="9"/>
  <c r="K1909" i="9"/>
  <c r="J1909" i="9"/>
  <c r="I1909" i="9"/>
  <c r="H1909" i="9"/>
  <c r="G1909" i="9"/>
  <c r="F1909" i="9"/>
  <c r="E1909" i="9"/>
  <c r="D1909" i="9"/>
  <c r="C1909" i="9"/>
  <c r="B1909" i="9"/>
  <c r="A1909" i="9"/>
  <c r="M1908" i="9"/>
  <c r="L1908" i="9"/>
  <c r="K1908" i="9"/>
  <c r="J1908" i="9"/>
  <c r="I1908" i="9"/>
  <c r="H1908" i="9"/>
  <c r="G1908" i="9"/>
  <c r="F1908" i="9"/>
  <c r="E1908" i="9"/>
  <c r="D1908" i="9"/>
  <c r="C1908" i="9"/>
  <c r="B1908" i="9"/>
  <c r="A1908" i="9"/>
  <c r="M1907" i="9"/>
  <c r="L1907" i="9"/>
  <c r="K1907" i="9"/>
  <c r="J1907" i="9"/>
  <c r="I1907" i="9"/>
  <c r="H1907" i="9"/>
  <c r="G1907" i="9"/>
  <c r="F1907" i="9"/>
  <c r="E1907" i="9"/>
  <c r="D1907" i="9"/>
  <c r="C1907" i="9"/>
  <c r="B1907" i="9"/>
  <c r="A1907" i="9"/>
  <c r="M1906" i="9"/>
  <c r="L1906" i="9"/>
  <c r="K1906" i="9"/>
  <c r="J1906" i="9"/>
  <c r="I1906" i="9"/>
  <c r="H1906" i="9"/>
  <c r="G1906" i="9"/>
  <c r="F1906" i="9"/>
  <c r="E1906" i="9"/>
  <c r="D1906" i="9"/>
  <c r="C1906" i="9"/>
  <c r="B1906" i="9"/>
  <c r="A1906" i="9"/>
  <c r="M1905" i="9"/>
  <c r="L1905" i="9"/>
  <c r="K1905" i="9"/>
  <c r="J1905" i="9"/>
  <c r="I1905" i="9"/>
  <c r="H1905" i="9"/>
  <c r="G1905" i="9"/>
  <c r="F1905" i="9"/>
  <c r="E1905" i="9"/>
  <c r="D1905" i="9"/>
  <c r="C1905" i="9"/>
  <c r="B1905" i="9"/>
  <c r="A1905" i="9"/>
  <c r="M1904" i="9"/>
  <c r="L1904" i="9"/>
  <c r="K1904" i="9"/>
  <c r="J1904" i="9"/>
  <c r="I1904" i="9"/>
  <c r="H1904" i="9"/>
  <c r="G1904" i="9"/>
  <c r="F1904" i="9"/>
  <c r="E1904" i="9"/>
  <c r="D1904" i="9"/>
  <c r="C1904" i="9"/>
  <c r="B1904" i="9"/>
  <c r="A1904" i="9"/>
  <c r="M1903" i="9"/>
  <c r="L1903" i="9"/>
  <c r="K1903" i="9"/>
  <c r="J1903" i="9"/>
  <c r="I1903" i="9"/>
  <c r="H1903" i="9"/>
  <c r="G1903" i="9"/>
  <c r="F1903" i="9"/>
  <c r="E1903" i="9"/>
  <c r="D1903" i="9"/>
  <c r="C1903" i="9"/>
  <c r="B1903" i="9"/>
  <c r="A1903" i="9"/>
  <c r="M1902" i="9"/>
  <c r="L1902" i="9"/>
  <c r="K1902" i="9"/>
  <c r="J1902" i="9"/>
  <c r="I1902" i="9"/>
  <c r="H1902" i="9"/>
  <c r="G1902" i="9"/>
  <c r="F1902" i="9"/>
  <c r="E1902" i="9"/>
  <c r="D1902" i="9"/>
  <c r="C1902" i="9"/>
  <c r="B1902" i="9"/>
  <c r="A1902" i="9"/>
  <c r="M1901" i="9"/>
  <c r="L1901" i="9"/>
  <c r="K1901" i="9"/>
  <c r="J1901" i="9"/>
  <c r="I1901" i="9"/>
  <c r="H1901" i="9"/>
  <c r="G1901" i="9"/>
  <c r="F1901" i="9"/>
  <c r="E1901" i="9"/>
  <c r="D1901" i="9"/>
  <c r="C1901" i="9"/>
  <c r="B1901" i="9"/>
  <c r="A1901" i="9"/>
  <c r="M1900" i="9"/>
  <c r="L1900" i="9"/>
  <c r="K1900" i="9"/>
  <c r="J1900" i="9"/>
  <c r="I1900" i="9"/>
  <c r="H1900" i="9"/>
  <c r="G1900" i="9"/>
  <c r="F1900" i="9"/>
  <c r="E1900" i="9"/>
  <c r="D1900" i="9"/>
  <c r="C1900" i="9"/>
  <c r="B1900" i="9"/>
  <c r="A1900" i="9"/>
  <c r="M1899" i="9"/>
  <c r="L1899" i="9"/>
  <c r="K1899" i="9"/>
  <c r="J1899" i="9"/>
  <c r="I1899" i="9"/>
  <c r="H1899" i="9"/>
  <c r="G1899" i="9"/>
  <c r="F1899" i="9"/>
  <c r="E1899" i="9"/>
  <c r="D1899" i="9"/>
  <c r="C1899" i="9"/>
  <c r="B1899" i="9"/>
  <c r="A1899" i="9"/>
  <c r="M1898" i="9"/>
  <c r="L1898" i="9"/>
  <c r="K1898" i="9"/>
  <c r="J1898" i="9"/>
  <c r="I1898" i="9"/>
  <c r="H1898" i="9"/>
  <c r="G1898" i="9"/>
  <c r="F1898" i="9"/>
  <c r="E1898" i="9"/>
  <c r="D1898" i="9"/>
  <c r="C1898" i="9"/>
  <c r="B1898" i="9"/>
  <c r="A1898" i="9"/>
  <c r="M1897" i="9"/>
  <c r="L1897" i="9"/>
  <c r="K1897" i="9"/>
  <c r="J1897" i="9"/>
  <c r="I1897" i="9"/>
  <c r="H1897" i="9"/>
  <c r="G1897" i="9"/>
  <c r="F1897" i="9"/>
  <c r="E1897" i="9"/>
  <c r="D1897" i="9"/>
  <c r="C1897" i="9"/>
  <c r="B1897" i="9"/>
  <c r="A1897" i="9"/>
  <c r="M1896" i="9"/>
  <c r="L1896" i="9"/>
  <c r="K1896" i="9"/>
  <c r="J1896" i="9"/>
  <c r="I1896" i="9"/>
  <c r="H1896" i="9"/>
  <c r="G1896" i="9"/>
  <c r="F1896" i="9"/>
  <c r="E1896" i="9"/>
  <c r="D1896" i="9"/>
  <c r="C1896" i="9"/>
  <c r="B1896" i="9"/>
  <c r="A1896" i="9"/>
  <c r="M1895" i="9"/>
  <c r="L1895" i="9"/>
  <c r="K1895" i="9"/>
  <c r="J1895" i="9"/>
  <c r="I1895" i="9"/>
  <c r="H1895" i="9"/>
  <c r="G1895" i="9"/>
  <c r="F1895" i="9"/>
  <c r="E1895" i="9"/>
  <c r="D1895" i="9"/>
  <c r="C1895" i="9"/>
  <c r="B1895" i="9"/>
  <c r="A1895" i="9"/>
  <c r="M1894" i="9"/>
  <c r="L1894" i="9"/>
  <c r="K1894" i="9"/>
  <c r="J1894" i="9"/>
  <c r="I1894" i="9"/>
  <c r="H1894" i="9"/>
  <c r="G1894" i="9"/>
  <c r="F1894" i="9"/>
  <c r="E1894" i="9"/>
  <c r="D1894" i="9"/>
  <c r="C1894" i="9"/>
  <c r="B1894" i="9"/>
  <c r="A1894" i="9"/>
  <c r="M1893" i="9"/>
  <c r="L1893" i="9"/>
  <c r="K1893" i="9"/>
  <c r="J1893" i="9"/>
  <c r="I1893" i="9"/>
  <c r="H1893" i="9"/>
  <c r="G1893" i="9"/>
  <c r="F1893" i="9"/>
  <c r="E1893" i="9"/>
  <c r="D1893" i="9"/>
  <c r="C1893" i="9"/>
  <c r="B1893" i="9"/>
  <c r="A1893" i="9"/>
  <c r="M1892" i="9"/>
  <c r="L1892" i="9"/>
  <c r="K1892" i="9"/>
  <c r="J1892" i="9"/>
  <c r="I1892" i="9"/>
  <c r="H1892" i="9"/>
  <c r="G1892" i="9"/>
  <c r="F1892" i="9"/>
  <c r="E1892" i="9"/>
  <c r="D1892" i="9"/>
  <c r="C1892" i="9"/>
  <c r="B1892" i="9"/>
  <c r="A1892" i="9"/>
  <c r="M1891" i="9"/>
  <c r="L1891" i="9"/>
  <c r="K1891" i="9"/>
  <c r="J1891" i="9"/>
  <c r="I1891" i="9"/>
  <c r="H1891" i="9"/>
  <c r="G1891" i="9"/>
  <c r="F1891" i="9"/>
  <c r="E1891" i="9"/>
  <c r="D1891" i="9"/>
  <c r="C1891" i="9"/>
  <c r="B1891" i="9"/>
  <c r="A1891" i="9"/>
  <c r="M1890" i="9"/>
  <c r="L1890" i="9"/>
  <c r="K1890" i="9"/>
  <c r="J1890" i="9"/>
  <c r="I1890" i="9"/>
  <c r="H1890" i="9"/>
  <c r="G1890" i="9"/>
  <c r="F1890" i="9"/>
  <c r="E1890" i="9"/>
  <c r="D1890" i="9"/>
  <c r="C1890" i="9"/>
  <c r="B1890" i="9"/>
  <c r="A1890" i="9"/>
  <c r="M1889" i="9"/>
  <c r="L1889" i="9"/>
  <c r="K1889" i="9"/>
  <c r="J1889" i="9"/>
  <c r="I1889" i="9"/>
  <c r="H1889" i="9"/>
  <c r="G1889" i="9"/>
  <c r="F1889" i="9"/>
  <c r="E1889" i="9"/>
  <c r="D1889" i="9"/>
  <c r="C1889" i="9"/>
  <c r="B1889" i="9"/>
  <c r="A1889" i="9"/>
  <c r="M1888" i="9"/>
  <c r="L1888" i="9"/>
  <c r="K1888" i="9"/>
  <c r="J1888" i="9"/>
  <c r="I1888" i="9"/>
  <c r="H1888" i="9"/>
  <c r="G1888" i="9"/>
  <c r="F1888" i="9"/>
  <c r="E1888" i="9"/>
  <c r="D1888" i="9"/>
  <c r="C1888" i="9"/>
  <c r="B1888" i="9"/>
  <c r="A1888" i="9"/>
  <c r="M1887" i="9"/>
  <c r="L1887" i="9"/>
  <c r="K1887" i="9"/>
  <c r="J1887" i="9"/>
  <c r="I1887" i="9"/>
  <c r="H1887" i="9"/>
  <c r="G1887" i="9"/>
  <c r="F1887" i="9"/>
  <c r="E1887" i="9"/>
  <c r="D1887" i="9"/>
  <c r="C1887" i="9"/>
  <c r="B1887" i="9"/>
  <c r="A1887" i="9"/>
  <c r="M1886" i="9"/>
  <c r="L1886" i="9"/>
  <c r="K1886" i="9"/>
  <c r="J1886" i="9"/>
  <c r="I1886" i="9"/>
  <c r="H1886" i="9"/>
  <c r="G1886" i="9"/>
  <c r="F1886" i="9"/>
  <c r="E1886" i="9"/>
  <c r="D1886" i="9"/>
  <c r="C1886" i="9"/>
  <c r="B1886" i="9"/>
  <c r="A1886" i="9"/>
  <c r="M1885" i="9"/>
  <c r="L1885" i="9"/>
  <c r="K1885" i="9"/>
  <c r="J1885" i="9"/>
  <c r="I1885" i="9"/>
  <c r="H1885" i="9"/>
  <c r="G1885" i="9"/>
  <c r="F1885" i="9"/>
  <c r="E1885" i="9"/>
  <c r="D1885" i="9"/>
  <c r="C1885" i="9"/>
  <c r="B1885" i="9"/>
  <c r="A1885" i="9"/>
  <c r="M1884" i="9"/>
  <c r="L1884" i="9"/>
  <c r="K1884" i="9"/>
  <c r="J1884" i="9"/>
  <c r="I1884" i="9"/>
  <c r="H1884" i="9"/>
  <c r="G1884" i="9"/>
  <c r="F1884" i="9"/>
  <c r="E1884" i="9"/>
  <c r="D1884" i="9"/>
  <c r="C1884" i="9"/>
  <c r="B1884" i="9"/>
  <c r="A1884" i="9"/>
  <c r="M1883" i="9"/>
  <c r="L1883" i="9"/>
  <c r="K1883" i="9"/>
  <c r="J1883" i="9"/>
  <c r="I1883" i="9"/>
  <c r="H1883" i="9"/>
  <c r="G1883" i="9"/>
  <c r="F1883" i="9"/>
  <c r="E1883" i="9"/>
  <c r="D1883" i="9"/>
  <c r="C1883" i="9"/>
  <c r="B1883" i="9"/>
  <c r="A1883" i="9"/>
  <c r="M1882" i="9"/>
  <c r="L1882" i="9"/>
  <c r="K1882" i="9"/>
  <c r="J1882" i="9"/>
  <c r="I1882" i="9"/>
  <c r="H1882" i="9"/>
  <c r="G1882" i="9"/>
  <c r="F1882" i="9"/>
  <c r="E1882" i="9"/>
  <c r="D1882" i="9"/>
  <c r="C1882" i="9"/>
  <c r="B1882" i="9"/>
  <c r="A1882" i="9"/>
  <c r="M1881" i="9"/>
  <c r="L1881" i="9"/>
  <c r="K1881" i="9"/>
  <c r="J1881" i="9"/>
  <c r="I1881" i="9"/>
  <c r="H1881" i="9"/>
  <c r="G1881" i="9"/>
  <c r="F1881" i="9"/>
  <c r="E1881" i="9"/>
  <c r="D1881" i="9"/>
  <c r="C1881" i="9"/>
  <c r="B1881" i="9"/>
  <c r="A1881" i="9"/>
  <c r="M1880" i="9"/>
  <c r="L1880" i="9"/>
  <c r="K1880" i="9"/>
  <c r="J1880" i="9"/>
  <c r="I1880" i="9"/>
  <c r="H1880" i="9"/>
  <c r="G1880" i="9"/>
  <c r="F1880" i="9"/>
  <c r="E1880" i="9"/>
  <c r="D1880" i="9"/>
  <c r="C1880" i="9"/>
  <c r="B1880" i="9"/>
  <c r="A1880" i="9"/>
  <c r="M1879" i="9"/>
  <c r="L1879" i="9"/>
  <c r="K1879" i="9"/>
  <c r="J1879" i="9"/>
  <c r="I1879" i="9"/>
  <c r="H1879" i="9"/>
  <c r="G1879" i="9"/>
  <c r="F1879" i="9"/>
  <c r="E1879" i="9"/>
  <c r="D1879" i="9"/>
  <c r="C1879" i="9"/>
  <c r="B1879" i="9"/>
  <c r="A1879" i="9"/>
  <c r="M1878" i="9"/>
  <c r="L1878" i="9"/>
  <c r="K1878" i="9"/>
  <c r="J1878" i="9"/>
  <c r="I1878" i="9"/>
  <c r="H1878" i="9"/>
  <c r="G1878" i="9"/>
  <c r="F1878" i="9"/>
  <c r="E1878" i="9"/>
  <c r="D1878" i="9"/>
  <c r="C1878" i="9"/>
  <c r="B1878" i="9"/>
  <c r="A1878" i="9"/>
  <c r="M1877" i="9"/>
  <c r="L1877" i="9"/>
  <c r="K1877" i="9"/>
  <c r="J1877" i="9"/>
  <c r="I1877" i="9"/>
  <c r="H1877" i="9"/>
  <c r="G1877" i="9"/>
  <c r="F1877" i="9"/>
  <c r="E1877" i="9"/>
  <c r="D1877" i="9"/>
  <c r="C1877" i="9"/>
  <c r="B1877" i="9"/>
  <c r="A1877" i="9"/>
  <c r="M1876" i="9"/>
  <c r="L1876" i="9"/>
  <c r="K1876" i="9"/>
  <c r="J1876" i="9"/>
  <c r="I1876" i="9"/>
  <c r="H1876" i="9"/>
  <c r="G1876" i="9"/>
  <c r="F1876" i="9"/>
  <c r="E1876" i="9"/>
  <c r="D1876" i="9"/>
  <c r="C1876" i="9"/>
  <c r="B1876" i="9"/>
  <c r="A1876" i="9"/>
  <c r="M1875" i="9"/>
  <c r="L1875" i="9"/>
  <c r="K1875" i="9"/>
  <c r="J1875" i="9"/>
  <c r="I1875" i="9"/>
  <c r="H1875" i="9"/>
  <c r="G1875" i="9"/>
  <c r="F1875" i="9"/>
  <c r="E1875" i="9"/>
  <c r="D1875" i="9"/>
  <c r="C1875" i="9"/>
  <c r="B1875" i="9"/>
  <c r="A1875" i="9"/>
  <c r="M1874" i="9"/>
  <c r="L1874" i="9"/>
  <c r="K1874" i="9"/>
  <c r="J1874" i="9"/>
  <c r="I1874" i="9"/>
  <c r="H1874" i="9"/>
  <c r="G1874" i="9"/>
  <c r="F1874" i="9"/>
  <c r="E1874" i="9"/>
  <c r="D1874" i="9"/>
  <c r="C1874" i="9"/>
  <c r="B1874" i="9"/>
  <c r="A1874" i="9"/>
  <c r="M1873" i="9"/>
  <c r="L1873" i="9"/>
  <c r="K1873" i="9"/>
  <c r="J1873" i="9"/>
  <c r="I1873" i="9"/>
  <c r="H1873" i="9"/>
  <c r="G1873" i="9"/>
  <c r="F1873" i="9"/>
  <c r="E1873" i="9"/>
  <c r="D1873" i="9"/>
  <c r="C1873" i="9"/>
  <c r="B1873" i="9"/>
  <c r="A1873" i="9"/>
  <c r="M1872" i="9"/>
  <c r="L1872" i="9"/>
  <c r="K1872" i="9"/>
  <c r="J1872" i="9"/>
  <c r="I1872" i="9"/>
  <c r="H1872" i="9"/>
  <c r="G1872" i="9"/>
  <c r="F1872" i="9"/>
  <c r="E1872" i="9"/>
  <c r="D1872" i="9"/>
  <c r="C1872" i="9"/>
  <c r="B1872" i="9"/>
  <c r="A1872" i="9"/>
  <c r="M1871" i="9"/>
  <c r="L1871" i="9"/>
  <c r="K1871" i="9"/>
  <c r="J1871" i="9"/>
  <c r="I1871" i="9"/>
  <c r="H1871" i="9"/>
  <c r="G1871" i="9"/>
  <c r="F1871" i="9"/>
  <c r="E1871" i="9"/>
  <c r="D1871" i="9"/>
  <c r="C1871" i="9"/>
  <c r="B1871" i="9"/>
  <c r="A1871" i="9"/>
  <c r="M1870" i="9"/>
  <c r="L1870" i="9"/>
  <c r="K1870" i="9"/>
  <c r="J1870" i="9"/>
  <c r="I1870" i="9"/>
  <c r="H1870" i="9"/>
  <c r="G1870" i="9"/>
  <c r="F1870" i="9"/>
  <c r="E1870" i="9"/>
  <c r="D1870" i="9"/>
  <c r="C1870" i="9"/>
  <c r="B1870" i="9"/>
  <c r="A1870" i="9"/>
  <c r="M1869" i="9"/>
  <c r="L1869" i="9"/>
  <c r="K1869" i="9"/>
  <c r="J1869" i="9"/>
  <c r="I1869" i="9"/>
  <c r="H1869" i="9"/>
  <c r="G1869" i="9"/>
  <c r="F1869" i="9"/>
  <c r="E1869" i="9"/>
  <c r="D1869" i="9"/>
  <c r="C1869" i="9"/>
  <c r="B1869" i="9"/>
  <c r="A1869" i="9"/>
  <c r="M1868" i="9"/>
  <c r="L1868" i="9"/>
  <c r="K1868" i="9"/>
  <c r="J1868" i="9"/>
  <c r="I1868" i="9"/>
  <c r="H1868" i="9"/>
  <c r="G1868" i="9"/>
  <c r="F1868" i="9"/>
  <c r="E1868" i="9"/>
  <c r="D1868" i="9"/>
  <c r="C1868" i="9"/>
  <c r="B1868" i="9"/>
  <c r="A1868" i="9"/>
  <c r="M1867" i="9"/>
  <c r="L1867" i="9"/>
  <c r="K1867" i="9"/>
  <c r="J1867" i="9"/>
  <c r="I1867" i="9"/>
  <c r="H1867" i="9"/>
  <c r="G1867" i="9"/>
  <c r="F1867" i="9"/>
  <c r="E1867" i="9"/>
  <c r="D1867" i="9"/>
  <c r="C1867" i="9"/>
  <c r="B1867" i="9"/>
  <c r="A1867" i="9"/>
  <c r="M1866" i="9"/>
  <c r="L1866" i="9"/>
  <c r="K1866" i="9"/>
  <c r="J1866" i="9"/>
  <c r="I1866" i="9"/>
  <c r="H1866" i="9"/>
  <c r="G1866" i="9"/>
  <c r="F1866" i="9"/>
  <c r="E1866" i="9"/>
  <c r="D1866" i="9"/>
  <c r="C1866" i="9"/>
  <c r="B1866" i="9"/>
  <c r="A1866" i="9"/>
  <c r="M1865" i="9"/>
  <c r="L1865" i="9"/>
  <c r="K1865" i="9"/>
  <c r="J1865" i="9"/>
  <c r="I1865" i="9"/>
  <c r="H1865" i="9"/>
  <c r="G1865" i="9"/>
  <c r="F1865" i="9"/>
  <c r="E1865" i="9"/>
  <c r="D1865" i="9"/>
  <c r="C1865" i="9"/>
  <c r="B1865" i="9"/>
  <c r="A1865" i="9"/>
  <c r="M1864" i="9"/>
  <c r="L1864" i="9"/>
  <c r="K1864" i="9"/>
  <c r="J1864" i="9"/>
  <c r="I1864" i="9"/>
  <c r="H1864" i="9"/>
  <c r="G1864" i="9"/>
  <c r="F1864" i="9"/>
  <c r="E1864" i="9"/>
  <c r="D1864" i="9"/>
  <c r="C1864" i="9"/>
  <c r="B1864" i="9"/>
  <c r="A1864" i="9"/>
  <c r="M1863" i="9"/>
  <c r="L1863" i="9"/>
  <c r="K1863" i="9"/>
  <c r="J1863" i="9"/>
  <c r="I1863" i="9"/>
  <c r="H1863" i="9"/>
  <c r="G1863" i="9"/>
  <c r="F1863" i="9"/>
  <c r="E1863" i="9"/>
  <c r="D1863" i="9"/>
  <c r="C1863" i="9"/>
  <c r="B1863" i="9"/>
  <c r="A1863" i="9"/>
  <c r="M1862" i="9"/>
  <c r="L1862" i="9"/>
  <c r="K1862" i="9"/>
  <c r="J1862" i="9"/>
  <c r="I1862" i="9"/>
  <c r="H1862" i="9"/>
  <c r="G1862" i="9"/>
  <c r="F1862" i="9"/>
  <c r="E1862" i="9"/>
  <c r="D1862" i="9"/>
  <c r="C1862" i="9"/>
  <c r="B1862" i="9"/>
  <c r="A1862" i="9"/>
  <c r="M1861" i="9"/>
  <c r="L1861" i="9"/>
  <c r="K1861" i="9"/>
  <c r="J1861" i="9"/>
  <c r="I1861" i="9"/>
  <c r="H1861" i="9"/>
  <c r="G1861" i="9"/>
  <c r="F1861" i="9"/>
  <c r="E1861" i="9"/>
  <c r="D1861" i="9"/>
  <c r="C1861" i="9"/>
  <c r="B1861" i="9"/>
  <c r="A1861" i="9"/>
  <c r="M1860" i="9"/>
  <c r="L1860" i="9"/>
  <c r="K1860" i="9"/>
  <c r="J1860" i="9"/>
  <c r="I1860" i="9"/>
  <c r="H1860" i="9"/>
  <c r="G1860" i="9"/>
  <c r="F1860" i="9"/>
  <c r="E1860" i="9"/>
  <c r="D1860" i="9"/>
  <c r="C1860" i="9"/>
  <c r="B1860" i="9"/>
  <c r="A1860" i="9"/>
  <c r="M1859" i="9"/>
  <c r="L1859" i="9"/>
  <c r="K1859" i="9"/>
  <c r="J1859" i="9"/>
  <c r="I1859" i="9"/>
  <c r="H1859" i="9"/>
  <c r="G1859" i="9"/>
  <c r="F1859" i="9"/>
  <c r="E1859" i="9"/>
  <c r="D1859" i="9"/>
  <c r="C1859" i="9"/>
  <c r="B1859" i="9"/>
  <c r="A1859" i="9"/>
  <c r="M1858" i="9"/>
  <c r="L1858" i="9"/>
  <c r="K1858" i="9"/>
  <c r="J1858" i="9"/>
  <c r="I1858" i="9"/>
  <c r="H1858" i="9"/>
  <c r="G1858" i="9"/>
  <c r="F1858" i="9"/>
  <c r="E1858" i="9"/>
  <c r="D1858" i="9"/>
  <c r="C1858" i="9"/>
  <c r="B1858" i="9"/>
  <c r="A1858" i="9"/>
  <c r="M1857" i="9"/>
  <c r="L1857" i="9"/>
  <c r="K1857" i="9"/>
  <c r="J1857" i="9"/>
  <c r="I1857" i="9"/>
  <c r="H1857" i="9"/>
  <c r="G1857" i="9"/>
  <c r="F1857" i="9"/>
  <c r="E1857" i="9"/>
  <c r="D1857" i="9"/>
  <c r="C1857" i="9"/>
  <c r="B1857" i="9"/>
  <c r="A1857" i="9"/>
  <c r="M1856" i="9"/>
  <c r="L1856" i="9"/>
  <c r="K1856" i="9"/>
  <c r="J1856" i="9"/>
  <c r="I1856" i="9"/>
  <c r="H1856" i="9"/>
  <c r="G1856" i="9"/>
  <c r="F1856" i="9"/>
  <c r="E1856" i="9"/>
  <c r="D1856" i="9"/>
  <c r="C1856" i="9"/>
  <c r="B1856" i="9"/>
  <c r="A1856" i="9"/>
  <c r="M1855" i="9"/>
  <c r="L1855" i="9"/>
  <c r="K1855" i="9"/>
  <c r="J1855" i="9"/>
  <c r="I1855" i="9"/>
  <c r="H1855" i="9"/>
  <c r="G1855" i="9"/>
  <c r="F1855" i="9"/>
  <c r="E1855" i="9"/>
  <c r="D1855" i="9"/>
  <c r="C1855" i="9"/>
  <c r="B1855" i="9"/>
  <c r="A1855" i="9"/>
  <c r="M1854" i="9"/>
  <c r="L1854" i="9"/>
  <c r="K1854" i="9"/>
  <c r="J1854" i="9"/>
  <c r="I1854" i="9"/>
  <c r="H1854" i="9"/>
  <c r="G1854" i="9"/>
  <c r="F1854" i="9"/>
  <c r="E1854" i="9"/>
  <c r="D1854" i="9"/>
  <c r="C1854" i="9"/>
  <c r="B1854" i="9"/>
  <c r="A1854" i="9"/>
  <c r="M1853" i="9"/>
  <c r="L1853" i="9"/>
  <c r="K1853" i="9"/>
  <c r="J1853" i="9"/>
  <c r="I1853" i="9"/>
  <c r="H1853" i="9"/>
  <c r="G1853" i="9"/>
  <c r="F1853" i="9"/>
  <c r="E1853" i="9"/>
  <c r="D1853" i="9"/>
  <c r="C1853" i="9"/>
  <c r="B1853" i="9"/>
  <c r="A1853" i="9"/>
  <c r="M1852" i="9"/>
  <c r="L1852" i="9"/>
  <c r="K1852" i="9"/>
  <c r="J1852" i="9"/>
  <c r="I1852" i="9"/>
  <c r="H1852" i="9"/>
  <c r="G1852" i="9"/>
  <c r="F1852" i="9"/>
  <c r="E1852" i="9"/>
  <c r="D1852" i="9"/>
  <c r="C1852" i="9"/>
  <c r="B1852" i="9"/>
  <c r="A1852" i="9"/>
  <c r="M1851" i="9"/>
  <c r="L1851" i="9"/>
  <c r="K1851" i="9"/>
  <c r="J1851" i="9"/>
  <c r="I1851" i="9"/>
  <c r="H1851" i="9"/>
  <c r="G1851" i="9"/>
  <c r="F1851" i="9"/>
  <c r="E1851" i="9"/>
  <c r="D1851" i="9"/>
  <c r="C1851" i="9"/>
  <c r="B1851" i="9"/>
  <c r="A1851" i="9"/>
  <c r="M1850" i="9"/>
  <c r="L1850" i="9"/>
  <c r="K1850" i="9"/>
  <c r="J1850" i="9"/>
  <c r="I1850" i="9"/>
  <c r="H1850" i="9"/>
  <c r="G1850" i="9"/>
  <c r="F1850" i="9"/>
  <c r="E1850" i="9"/>
  <c r="D1850" i="9"/>
  <c r="C1850" i="9"/>
  <c r="B1850" i="9"/>
  <c r="A1850" i="9"/>
  <c r="M1849" i="9"/>
  <c r="L1849" i="9"/>
  <c r="K1849" i="9"/>
  <c r="J1849" i="9"/>
  <c r="I1849" i="9"/>
  <c r="H1849" i="9"/>
  <c r="G1849" i="9"/>
  <c r="F1849" i="9"/>
  <c r="E1849" i="9"/>
  <c r="D1849" i="9"/>
  <c r="C1849" i="9"/>
  <c r="B1849" i="9"/>
  <c r="A1849" i="9"/>
  <c r="M1848" i="9"/>
  <c r="L1848" i="9"/>
  <c r="K1848" i="9"/>
  <c r="J1848" i="9"/>
  <c r="I1848" i="9"/>
  <c r="H1848" i="9"/>
  <c r="G1848" i="9"/>
  <c r="F1848" i="9"/>
  <c r="E1848" i="9"/>
  <c r="D1848" i="9"/>
  <c r="C1848" i="9"/>
  <c r="B1848" i="9"/>
  <c r="A1848" i="9"/>
  <c r="M1847" i="9"/>
  <c r="L1847" i="9"/>
  <c r="K1847" i="9"/>
  <c r="J1847" i="9"/>
  <c r="I1847" i="9"/>
  <c r="H1847" i="9"/>
  <c r="G1847" i="9"/>
  <c r="F1847" i="9"/>
  <c r="E1847" i="9"/>
  <c r="D1847" i="9"/>
  <c r="C1847" i="9"/>
  <c r="B1847" i="9"/>
  <c r="A1847" i="9"/>
  <c r="M1846" i="9"/>
  <c r="L1846" i="9"/>
  <c r="K1846" i="9"/>
  <c r="J1846" i="9"/>
  <c r="I1846" i="9"/>
  <c r="H1846" i="9"/>
  <c r="G1846" i="9"/>
  <c r="F1846" i="9"/>
  <c r="E1846" i="9"/>
  <c r="D1846" i="9"/>
  <c r="C1846" i="9"/>
  <c r="B1846" i="9"/>
  <c r="A1846" i="9"/>
  <c r="M1845" i="9"/>
  <c r="L1845" i="9"/>
  <c r="K1845" i="9"/>
  <c r="J1845" i="9"/>
  <c r="I1845" i="9"/>
  <c r="H1845" i="9"/>
  <c r="G1845" i="9"/>
  <c r="F1845" i="9"/>
  <c r="E1845" i="9"/>
  <c r="D1845" i="9"/>
  <c r="C1845" i="9"/>
  <c r="B1845" i="9"/>
  <c r="A1845" i="9"/>
  <c r="M1844" i="9"/>
  <c r="L1844" i="9"/>
  <c r="K1844" i="9"/>
  <c r="J1844" i="9"/>
  <c r="I1844" i="9"/>
  <c r="H1844" i="9"/>
  <c r="G1844" i="9"/>
  <c r="F1844" i="9"/>
  <c r="E1844" i="9"/>
  <c r="D1844" i="9"/>
  <c r="C1844" i="9"/>
  <c r="B1844" i="9"/>
  <c r="A1844" i="9"/>
  <c r="M1843" i="9"/>
  <c r="L1843" i="9"/>
  <c r="K1843" i="9"/>
  <c r="J1843" i="9"/>
  <c r="I1843" i="9"/>
  <c r="H1843" i="9"/>
  <c r="G1843" i="9"/>
  <c r="F1843" i="9"/>
  <c r="E1843" i="9"/>
  <c r="D1843" i="9"/>
  <c r="C1843" i="9"/>
  <c r="B1843" i="9"/>
  <c r="A1843" i="9"/>
  <c r="M1842" i="9"/>
  <c r="L1842" i="9"/>
  <c r="K1842" i="9"/>
  <c r="J1842" i="9"/>
  <c r="I1842" i="9"/>
  <c r="H1842" i="9"/>
  <c r="G1842" i="9"/>
  <c r="F1842" i="9"/>
  <c r="E1842" i="9"/>
  <c r="D1842" i="9"/>
  <c r="C1842" i="9"/>
  <c r="B1842" i="9"/>
  <c r="A1842" i="9"/>
  <c r="M1841" i="9"/>
  <c r="L1841" i="9"/>
  <c r="K1841" i="9"/>
  <c r="J1841" i="9"/>
  <c r="I1841" i="9"/>
  <c r="H1841" i="9"/>
  <c r="G1841" i="9"/>
  <c r="F1841" i="9"/>
  <c r="E1841" i="9"/>
  <c r="D1841" i="9"/>
  <c r="C1841" i="9"/>
  <c r="B1841" i="9"/>
  <c r="A1841" i="9"/>
  <c r="M1840" i="9"/>
  <c r="L1840" i="9"/>
  <c r="K1840" i="9"/>
  <c r="J1840" i="9"/>
  <c r="I1840" i="9"/>
  <c r="H1840" i="9"/>
  <c r="G1840" i="9"/>
  <c r="F1840" i="9"/>
  <c r="E1840" i="9"/>
  <c r="D1840" i="9"/>
  <c r="C1840" i="9"/>
  <c r="B1840" i="9"/>
  <c r="A1840" i="9"/>
  <c r="M1839" i="9"/>
  <c r="L1839" i="9"/>
  <c r="K1839" i="9"/>
  <c r="J1839" i="9"/>
  <c r="I1839" i="9"/>
  <c r="H1839" i="9"/>
  <c r="G1839" i="9"/>
  <c r="F1839" i="9"/>
  <c r="E1839" i="9"/>
  <c r="D1839" i="9"/>
  <c r="C1839" i="9"/>
  <c r="B1839" i="9"/>
  <c r="A1839" i="9"/>
  <c r="M1838" i="9"/>
  <c r="L1838" i="9"/>
  <c r="K1838" i="9"/>
  <c r="J1838" i="9"/>
  <c r="I1838" i="9"/>
  <c r="H1838" i="9"/>
  <c r="G1838" i="9"/>
  <c r="F1838" i="9"/>
  <c r="E1838" i="9"/>
  <c r="D1838" i="9"/>
  <c r="C1838" i="9"/>
  <c r="B1838" i="9"/>
  <c r="A1838" i="9"/>
  <c r="M1837" i="9"/>
  <c r="L1837" i="9"/>
  <c r="K1837" i="9"/>
  <c r="J1837" i="9"/>
  <c r="I1837" i="9"/>
  <c r="H1837" i="9"/>
  <c r="G1837" i="9"/>
  <c r="F1837" i="9"/>
  <c r="E1837" i="9"/>
  <c r="D1837" i="9"/>
  <c r="C1837" i="9"/>
  <c r="B1837" i="9"/>
  <c r="A1837" i="9"/>
  <c r="M1836" i="9"/>
  <c r="L1836" i="9"/>
  <c r="K1836" i="9"/>
  <c r="J1836" i="9"/>
  <c r="I1836" i="9"/>
  <c r="H1836" i="9"/>
  <c r="G1836" i="9"/>
  <c r="F1836" i="9"/>
  <c r="E1836" i="9"/>
  <c r="D1836" i="9"/>
  <c r="C1836" i="9"/>
  <c r="B1836" i="9"/>
  <c r="A1836" i="9"/>
  <c r="M1835" i="9"/>
  <c r="L1835" i="9"/>
  <c r="K1835" i="9"/>
  <c r="J1835" i="9"/>
  <c r="I1835" i="9"/>
  <c r="H1835" i="9"/>
  <c r="G1835" i="9"/>
  <c r="F1835" i="9"/>
  <c r="E1835" i="9"/>
  <c r="D1835" i="9"/>
  <c r="C1835" i="9"/>
  <c r="B1835" i="9"/>
  <c r="A1835" i="9"/>
  <c r="M1834" i="9"/>
  <c r="L1834" i="9"/>
  <c r="K1834" i="9"/>
  <c r="J1834" i="9"/>
  <c r="I1834" i="9"/>
  <c r="H1834" i="9"/>
  <c r="G1834" i="9"/>
  <c r="F1834" i="9"/>
  <c r="E1834" i="9"/>
  <c r="D1834" i="9"/>
  <c r="C1834" i="9"/>
  <c r="B1834" i="9"/>
  <c r="A1834" i="9"/>
  <c r="M1833" i="9"/>
  <c r="L1833" i="9"/>
  <c r="K1833" i="9"/>
  <c r="J1833" i="9"/>
  <c r="I1833" i="9"/>
  <c r="H1833" i="9"/>
  <c r="G1833" i="9"/>
  <c r="F1833" i="9"/>
  <c r="E1833" i="9"/>
  <c r="D1833" i="9"/>
  <c r="C1833" i="9"/>
  <c r="B1833" i="9"/>
  <c r="A1833" i="9"/>
  <c r="M1832" i="9"/>
  <c r="L1832" i="9"/>
  <c r="K1832" i="9"/>
  <c r="J1832" i="9"/>
  <c r="I1832" i="9"/>
  <c r="H1832" i="9"/>
  <c r="G1832" i="9"/>
  <c r="F1832" i="9"/>
  <c r="E1832" i="9"/>
  <c r="D1832" i="9"/>
  <c r="C1832" i="9"/>
  <c r="B1832" i="9"/>
  <c r="A1832" i="9"/>
  <c r="M1831" i="9"/>
  <c r="L1831" i="9"/>
  <c r="K1831" i="9"/>
  <c r="J1831" i="9"/>
  <c r="I1831" i="9"/>
  <c r="H1831" i="9"/>
  <c r="G1831" i="9"/>
  <c r="F1831" i="9"/>
  <c r="E1831" i="9"/>
  <c r="D1831" i="9"/>
  <c r="C1831" i="9"/>
  <c r="B1831" i="9"/>
  <c r="A1831" i="9"/>
  <c r="M1830" i="9"/>
  <c r="L1830" i="9"/>
  <c r="K1830" i="9"/>
  <c r="J1830" i="9"/>
  <c r="I1830" i="9"/>
  <c r="H1830" i="9"/>
  <c r="G1830" i="9"/>
  <c r="F1830" i="9"/>
  <c r="E1830" i="9"/>
  <c r="D1830" i="9"/>
  <c r="C1830" i="9"/>
  <c r="B1830" i="9"/>
  <c r="A1830" i="9"/>
  <c r="M1829" i="9"/>
  <c r="L1829" i="9"/>
  <c r="K1829" i="9"/>
  <c r="J1829" i="9"/>
  <c r="I1829" i="9"/>
  <c r="H1829" i="9"/>
  <c r="G1829" i="9"/>
  <c r="F1829" i="9"/>
  <c r="E1829" i="9"/>
  <c r="D1829" i="9"/>
  <c r="C1829" i="9"/>
  <c r="B1829" i="9"/>
  <c r="A1829" i="9"/>
  <c r="M1828" i="9"/>
  <c r="L1828" i="9"/>
  <c r="K1828" i="9"/>
  <c r="J1828" i="9"/>
  <c r="I1828" i="9"/>
  <c r="H1828" i="9"/>
  <c r="G1828" i="9"/>
  <c r="F1828" i="9"/>
  <c r="E1828" i="9"/>
  <c r="D1828" i="9"/>
  <c r="C1828" i="9"/>
  <c r="B1828" i="9"/>
  <c r="A1828" i="9"/>
  <c r="M1827" i="9"/>
  <c r="L1827" i="9"/>
  <c r="K1827" i="9"/>
  <c r="J1827" i="9"/>
  <c r="I1827" i="9"/>
  <c r="H1827" i="9"/>
  <c r="G1827" i="9"/>
  <c r="F1827" i="9"/>
  <c r="E1827" i="9"/>
  <c r="D1827" i="9"/>
  <c r="C1827" i="9"/>
  <c r="B1827" i="9"/>
  <c r="A1827" i="9"/>
  <c r="M1826" i="9"/>
  <c r="L1826" i="9"/>
  <c r="K1826" i="9"/>
  <c r="J1826" i="9"/>
  <c r="I1826" i="9"/>
  <c r="H1826" i="9"/>
  <c r="G1826" i="9"/>
  <c r="F1826" i="9"/>
  <c r="E1826" i="9"/>
  <c r="D1826" i="9"/>
  <c r="C1826" i="9"/>
  <c r="B1826" i="9"/>
  <c r="A1826" i="9"/>
  <c r="M1825" i="9"/>
  <c r="L1825" i="9"/>
  <c r="K1825" i="9"/>
  <c r="J1825" i="9"/>
  <c r="I1825" i="9"/>
  <c r="H1825" i="9"/>
  <c r="G1825" i="9"/>
  <c r="F1825" i="9"/>
  <c r="E1825" i="9"/>
  <c r="D1825" i="9"/>
  <c r="C1825" i="9"/>
  <c r="B1825" i="9"/>
  <c r="A1825" i="9"/>
  <c r="M1824" i="9"/>
  <c r="L1824" i="9"/>
  <c r="K1824" i="9"/>
  <c r="J1824" i="9"/>
  <c r="I1824" i="9"/>
  <c r="H1824" i="9"/>
  <c r="G1824" i="9"/>
  <c r="F1824" i="9"/>
  <c r="E1824" i="9"/>
  <c r="D1824" i="9"/>
  <c r="C1824" i="9"/>
  <c r="B1824" i="9"/>
  <c r="A1824" i="9"/>
  <c r="M1823" i="9"/>
  <c r="L1823" i="9"/>
  <c r="K1823" i="9"/>
  <c r="J1823" i="9"/>
  <c r="I1823" i="9"/>
  <c r="H1823" i="9"/>
  <c r="G1823" i="9"/>
  <c r="F1823" i="9"/>
  <c r="E1823" i="9"/>
  <c r="D1823" i="9"/>
  <c r="C1823" i="9"/>
  <c r="B1823" i="9"/>
  <c r="A1823" i="9"/>
  <c r="M1822" i="9"/>
  <c r="L1822" i="9"/>
  <c r="K1822" i="9"/>
  <c r="J1822" i="9"/>
  <c r="I1822" i="9"/>
  <c r="H1822" i="9"/>
  <c r="G1822" i="9"/>
  <c r="F1822" i="9"/>
  <c r="E1822" i="9"/>
  <c r="D1822" i="9"/>
  <c r="C1822" i="9"/>
  <c r="B1822" i="9"/>
  <c r="A1822" i="9"/>
  <c r="M1821" i="9"/>
  <c r="L1821" i="9"/>
  <c r="K1821" i="9"/>
  <c r="J1821" i="9"/>
  <c r="I1821" i="9"/>
  <c r="H1821" i="9"/>
  <c r="G1821" i="9"/>
  <c r="F1821" i="9"/>
  <c r="E1821" i="9"/>
  <c r="D1821" i="9"/>
  <c r="C1821" i="9"/>
  <c r="B1821" i="9"/>
  <c r="A1821" i="9"/>
  <c r="M1820" i="9"/>
  <c r="L1820" i="9"/>
  <c r="K1820" i="9"/>
  <c r="J1820" i="9"/>
  <c r="I1820" i="9"/>
  <c r="H1820" i="9"/>
  <c r="G1820" i="9"/>
  <c r="F1820" i="9"/>
  <c r="E1820" i="9"/>
  <c r="D1820" i="9"/>
  <c r="C1820" i="9"/>
  <c r="B1820" i="9"/>
  <c r="A1820" i="9"/>
  <c r="M1819" i="9"/>
  <c r="L1819" i="9"/>
  <c r="K1819" i="9"/>
  <c r="J1819" i="9"/>
  <c r="I1819" i="9"/>
  <c r="H1819" i="9"/>
  <c r="G1819" i="9"/>
  <c r="F1819" i="9"/>
  <c r="E1819" i="9"/>
  <c r="D1819" i="9"/>
  <c r="C1819" i="9"/>
  <c r="B1819" i="9"/>
  <c r="A1819" i="9"/>
  <c r="M1818" i="9"/>
  <c r="L1818" i="9"/>
  <c r="K1818" i="9"/>
  <c r="J1818" i="9"/>
  <c r="I1818" i="9"/>
  <c r="H1818" i="9"/>
  <c r="G1818" i="9"/>
  <c r="F1818" i="9"/>
  <c r="E1818" i="9"/>
  <c r="D1818" i="9"/>
  <c r="C1818" i="9"/>
  <c r="B1818" i="9"/>
  <c r="A1818" i="9"/>
  <c r="M1817" i="9"/>
  <c r="L1817" i="9"/>
  <c r="K1817" i="9"/>
  <c r="J1817" i="9"/>
  <c r="I1817" i="9"/>
  <c r="H1817" i="9"/>
  <c r="G1817" i="9"/>
  <c r="F1817" i="9"/>
  <c r="E1817" i="9"/>
  <c r="D1817" i="9"/>
  <c r="C1817" i="9"/>
  <c r="B1817" i="9"/>
  <c r="A1817" i="9"/>
  <c r="M1816" i="9"/>
  <c r="L1816" i="9"/>
  <c r="K1816" i="9"/>
  <c r="J1816" i="9"/>
  <c r="I1816" i="9"/>
  <c r="H1816" i="9"/>
  <c r="G1816" i="9"/>
  <c r="F1816" i="9"/>
  <c r="E1816" i="9"/>
  <c r="D1816" i="9"/>
  <c r="C1816" i="9"/>
  <c r="B1816" i="9"/>
  <c r="A1816" i="9"/>
  <c r="M1815" i="9"/>
  <c r="L1815" i="9"/>
  <c r="K1815" i="9"/>
  <c r="J1815" i="9"/>
  <c r="I1815" i="9"/>
  <c r="H1815" i="9"/>
  <c r="G1815" i="9"/>
  <c r="F1815" i="9"/>
  <c r="E1815" i="9"/>
  <c r="D1815" i="9"/>
  <c r="C1815" i="9"/>
  <c r="B1815" i="9"/>
  <c r="A1815" i="9"/>
  <c r="M1814" i="9"/>
  <c r="L1814" i="9"/>
  <c r="K1814" i="9"/>
  <c r="J1814" i="9"/>
  <c r="I1814" i="9"/>
  <c r="H1814" i="9"/>
  <c r="G1814" i="9"/>
  <c r="F1814" i="9"/>
  <c r="E1814" i="9"/>
  <c r="D1814" i="9"/>
  <c r="C1814" i="9"/>
  <c r="B1814" i="9"/>
  <c r="A1814" i="9"/>
  <c r="M1813" i="9"/>
  <c r="L1813" i="9"/>
  <c r="K1813" i="9"/>
  <c r="J1813" i="9"/>
  <c r="I1813" i="9"/>
  <c r="H1813" i="9"/>
  <c r="G1813" i="9"/>
  <c r="F1813" i="9"/>
  <c r="E1813" i="9"/>
  <c r="D1813" i="9"/>
  <c r="C1813" i="9"/>
  <c r="B1813" i="9"/>
  <c r="A1813" i="9"/>
  <c r="M1812" i="9"/>
  <c r="L1812" i="9"/>
  <c r="K1812" i="9"/>
  <c r="J1812" i="9"/>
  <c r="I1812" i="9"/>
  <c r="H1812" i="9"/>
  <c r="G1812" i="9"/>
  <c r="F1812" i="9"/>
  <c r="E1812" i="9"/>
  <c r="D1812" i="9"/>
  <c r="C1812" i="9"/>
  <c r="B1812" i="9"/>
  <c r="A1812" i="9"/>
  <c r="M1811" i="9"/>
  <c r="L1811" i="9"/>
  <c r="K1811" i="9"/>
  <c r="J1811" i="9"/>
  <c r="I1811" i="9"/>
  <c r="H1811" i="9"/>
  <c r="G1811" i="9"/>
  <c r="F1811" i="9"/>
  <c r="E1811" i="9"/>
  <c r="D1811" i="9"/>
  <c r="C1811" i="9"/>
  <c r="B1811" i="9"/>
  <c r="A1811" i="9"/>
  <c r="M1810" i="9"/>
  <c r="L1810" i="9"/>
  <c r="K1810" i="9"/>
  <c r="J1810" i="9"/>
  <c r="I1810" i="9"/>
  <c r="H1810" i="9"/>
  <c r="G1810" i="9"/>
  <c r="F1810" i="9"/>
  <c r="E1810" i="9"/>
  <c r="D1810" i="9"/>
  <c r="C1810" i="9"/>
  <c r="B1810" i="9"/>
  <c r="A1810" i="9"/>
  <c r="M1809" i="9"/>
  <c r="L1809" i="9"/>
  <c r="K1809" i="9"/>
  <c r="J1809" i="9"/>
  <c r="I1809" i="9"/>
  <c r="H1809" i="9"/>
  <c r="G1809" i="9"/>
  <c r="F1809" i="9"/>
  <c r="E1809" i="9"/>
  <c r="D1809" i="9"/>
  <c r="C1809" i="9"/>
  <c r="B1809" i="9"/>
  <c r="A1809" i="9"/>
  <c r="M1808" i="9"/>
  <c r="L1808" i="9"/>
  <c r="K1808" i="9"/>
  <c r="J1808" i="9"/>
  <c r="I1808" i="9"/>
  <c r="H1808" i="9"/>
  <c r="G1808" i="9"/>
  <c r="F1808" i="9"/>
  <c r="E1808" i="9"/>
  <c r="D1808" i="9"/>
  <c r="C1808" i="9"/>
  <c r="B1808" i="9"/>
  <c r="A1808" i="9"/>
  <c r="M1807" i="9"/>
  <c r="L1807" i="9"/>
  <c r="K1807" i="9"/>
  <c r="J1807" i="9"/>
  <c r="I1807" i="9"/>
  <c r="H1807" i="9"/>
  <c r="G1807" i="9"/>
  <c r="F1807" i="9"/>
  <c r="E1807" i="9"/>
  <c r="D1807" i="9"/>
  <c r="C1807" i="9"/>
  <c r="B1807" i="9"/>
  <c r="A1807" i="9"/>
  <c r="M1806" i="9"/>
  <c r="L1806" i="9"/>
  <c r="K1806" i="9"/>
  <c r="J1806" i="9"/>
  <c r="I1806" i="9"/>
  <c r="H1806" i="9"/>
  <c r="G1806" i="9"/>
  <c r="F1806" i="9"/>
  <c r="E1806" i="9"/>
  <c r="D1806" i="9"/>
  <c r="C1806" i="9"/>
  <c r="B1806" i="9"/>
  <c r="A1806" i="9"/>
  <c r="M1805" i="9"/>
  <c r="L1805" i="9"/>
  <c r="K1805" i="9"/>
  <c r="J1805" i="9"/>
  <c r="I1805" i="9"/>
  <c r="H1805" i="9"/>
  <c r="G1805" i="9"/>
  <c r="F1805" i="9"/>
  <c r="E1805" i="9"/>
  <c r="D1805" i="9"/>
  <c r="C1805" i="9"/>
  <c r="B1805" i="9"/>
  <c r="A1805" i="9"/>
  <c r="M1804" i="9"/>
  <c r="L1804" i="9"/>
  <c r="K1804" i="9"/>
  <c r="J1804" i="9"/>
  <c r="I1804" i="9"/>
  <c r="H1804" i="9"/>
  <c r="G1804" i="9"/>
  <c r="F1804" i="9"/>
  <c r="E1804" i="9"/>
  <c r="D1804" i="9"/>
  <c r="C1804" i="9"/>
  <c r="B1804" i="9"/>
  <c r="A1804" i="9"/>
  <c r="M1803" i="9"/>
  <c r="L1803" i="9"/>
  <c r="K1803" i="9"/>
  <c r="J1803" i="9"/>
  <c r="I1803" i="9"/>
  <c r="H1803" i="9"/>
  <c r="G1803" i="9"/>
  <c r="F1803" i="9"/>
  <c r="E1803" i="9"/>
  <c r="D1803" i="9"/>
  <c r="C1803" i="9"/>
  <c r="B1803" i="9"/>
  <c r="A1803" i="9"/>
  <c r="M1802" i="9"/>
  <c r="L1802" i="9"/>
  <c r="K1802" i="9"/>
  <c r="J1802" i="9"/>
  <c r="I1802" i="9"/>
  <c r="H1802" i="9"/>
  <c r="G1802" i="9"/>
  <c r="F1802" i="9"/>
  <c r="E1802" i="9"/>
  <c r="D1802" i="9"/>
  <c r="C1802" i="9"/>
  <c r="B1802" i="9"/>
  <c r="A1802" i="9"/>
  <c r="M1801" i="9"/>
  <c r="L1801" i="9"/>
  <c r="K1801" i="9"/>
  <c r="J1801" i="9"/>
  <c r="I1801" i="9"/>
  <c r="H1801" i="9"/>
  <c r="G1801" i="9"/>
  <c r="F1801" i="9"/>
  <c r="E1801" i="9"/>
  <c r="D1801" i="9"/>
  <c r="C1801" i="9"/>
  <c r="B1801" i="9"/>
  <c r="A1801" i="9"/>
  <c r="M1800" i="9"/>
  <c r="L1800" i="9"/>
  <c r="K1800" i="9"/>
  <c r="J1800" i="9"/>
  <c r="I1800" i="9"/>
  <c r="H1800" i="9"/>
  <c r="G1800" i="9"/>
  <c r="F1800" i="9"/>
  <c r="E1800" i="9"/>
  <c r="D1800" i="9"/>
  <c r="C1800" i="9"/>
  <c r="B1800" i="9"/>
  <c r="A1800" i="9"/>
  <c r="M1799" i="9"/>
  <c r="L1799" i="9"/>
  <c r="K1799" i="9"/>
  <c r="J1799" i="9"/>
  <c r="I1799" i="9"/>
  <c r="H1799" i="9"/>
  <c r="G1799" i="9"/>
  <c r="F1799" i="9"/>
  <c r="E1799" i="9"/>
  <c r="D1799" i="9"/>
  <c r="C1799" i="9"/>
  <c r="B1799" i="9"/>
  <c r="A1799" i="9"/>
  <c r="M1798" i="9"/>
  <c r="L1798" i="9"/>
  <c r="K1798" i="9"/>
  <c r="J1798" i="9"/>
  <c r="I1798" i="9"/>
  <c r="H1798" i="9"/>
  <c r="G1798" i="9"/>
  <c r="F1798" i="9"/>
  <c r="E1798" i="9"/>
  <c r="D1798" i="9"/>
  <c r="C1798" i="9"/>
  <c r="B1798" i="9"/>
  <c r="A1798" i="9"/>
  <c r="M1797" i="9"/>
  <c r="L1797" i="9"/>
  <c r="K1797" i="9"/>
  <c r="J1797" i="9"/>
  <c r="I1797" i="9"/>
  <c r="H1797" i="9"/>
  <c r="G1797" i="9"/>
  <c r="F1797" i="9"/>
  <c r="E1797" i="9"/>
  <c r="D1797" i="9"/>
  <c r="C1797" i="9"/>
  <c r="B1797" i="9"/>
  <c r="A1797" i="9"/>
  <c r="M1796" i="9"/>
  <c r="L1796" i="9"/>
  <c r="K1796" i="9"/>
  <c r="J1796" i="9"/>
  <c r="I1796" i="9"/>
  <c r="H1796" i="9"/>
  <c r="G1796" i="9"/>
  <c r="F1796" i="9"/>
  <c r="E1796" i="9"/>
  <c r="D1796" i="9"/>
  <c r="C1796" i="9"/>
  <c r="B1796" i="9"/>
  <c r="A1796" i="9"/>
  <c r="M1795" i="9"/>
  <c r="L1795" i="9"/>
  <c r="K1795" i="9"/>
  <c r="J1795" i="9"/>
  <c r="I1795" i="9"/>
  <c r="H1795" i="9"/>
  <c r="G1795" i="9"/>
  <c r="F1795" i="9"/>
  <c r="E1795" i="9"/>
  <c r="D1795" i="9"/>
  <c r="C1795" i="9"/>
  <c r="B1795" i="9"/>
  <c r="A1795" i="9"/>
  <c r="M1794" i="9"/>
  <c r="L1794" i="9"/>
  <c r="K1794" i="9"/>
  <c r="J1794" i="9"/>
  <c r="I1794" i="9"/>
  <c r="H1794" i="9"/>
  <c r="G1794" i="9"/>
  <c r="F1794" i="9"/>
  <c r="E1794" i="9"/>
  <c r="D1794" i="9"/>
  <c r="C1794" i="9"/>
  <c r="B1794" i="9"/>
  <c r="A1794" i="9"/>
  <c r="M1793" i="9"/>
  <c r="L1793" i="9"/>
  <c r="K1793" i="9"/>
  <c r="J1793" i="9"/>
  <c r="I1793" i="9"/>
  <c r="H1793" i="9"/>
  <c r="G1793" i="9"/>
  <c r="F1793" i="9"/>
  <c r="E1793" i="9"/>
  <c r="D1793" i="9"/>
  <c r="C1793" i="9"/>
  <c r="B1793" i="9"/>
  <c r="A1793" i="9"/>
  <c r="M1792" i="9"/>
  <c r="L1792" i="9"/>
  <c r="K1792" i="9"/>
  <c r="J1792" i="9"/>
  <c r="I1792" i="9"/>
  <c r="H1792" i="9"/>
  <c r="G1792" i="9"/>
  <c r="F1792" i="9"/>
  <c r="E1792" i="9"/>
  <c r="D1792" i="9"/>
  <c r="C1792" i="9"/>
  <c r="B1792" i="9"/>
  <c r="A1792" i="9"/>
  <c r="M1791" i="9"/>
  <c r="L1791" i="9"/>
  <c r="K1791" i="9"/>
  <c r="J1791" i="9"/>
  <c r="I1791" i="9"/>
  <c r="H1791" i="9"/>
  <c r="G1791" i="9"/>
  <c r="F1791" i="9"/>
  <c r="E1791" i="9"/>
  <c r="D1791" i="9"/>
  <c r="C1791" i="9"/>
  <c r="B1791" i="9"/>
  <c r="A1791" i="9"/>
  <c r="M1790" i="9"/>
  <c r="L1790" i="9"/>
  <c r="K1790" i="9"/>
  <c r="J1790" i="9"/>
  <c r="I1790" i="9"/>
  <c r="H1790" i="9"/>
  <c r="G1790" i="9"/>
  <c r="F1790" i="9"/>
  <c r="E1790" i="9"/>
  <c r="D1790" i="9"/>
  <c r="C1790" i="9"/>
  <c r="B1790" i="9"/>
  <c r="A1790" i="9"/>
  <c r="M1789" i="9"/>
  <c r="L1789" i="9"/>
  <c r="K1789" i="9"/>
  <c r="J1789" i="9"/>
  <c r="I1789" i="9"/>
  <c r="H1789" i="9"/>
  <c r="G1789" i="9"/>
  <c r="F1789" i="9"/>
  <c r="E1789" i="9"/>
  <c r="D1789" i="9"/>
  <c r="C1789" i="9"/>
  <c r="B1789" i="9"/>
  <c r="A1789" i="9"/>
  <c r="M1788" i="9"/>
  <c r="L1788" i="9"/>
  <c r="K1788" i="9"/>
  <c r="J1788" i="9"/>
  <c r="I1788" i="9"/>
  <c r="H1788" i="9"/>
  <c r="G1788" i="9"/>
  <c r="F1788" i="9"/>
  <c r="E1788" i="9"/>
  <c r="D1788" i="9"/>
  <c r="C1788" i="9"/>
  <c r="B1788" i="9"/>
  <c r="A1788" i="9"/>
  <c r="M1787" i="9"/>
  <c r="L1787" i="9"/>
  <c r="K1787" i="9"/>
  <c r="J1787" i="9"/>
  <c r="I1787" i="9"/>
  <c r="H1787" i="9"/>
  <c r="G1787" i="9"/>
  <c r="F1787" i="9"/>
  <c r="E1787" i="9"/>
  <c r="D1787" i="9"/>
  <c r="C1787" i="9"/>
  <c r="B1787" i="9"/>
  <c r="A1787" i="9"/>
  <c r="M1786" i="9"/>
  <c r="L1786" i="9"/>
  <c r="K1786" i="9"/>
  <c r="J1786" i="9"/>
  <c r="I1786" i="9"/>
  <c r="H1786" i="9"/>
  <c r="G1786" i="9"/>
  <c r="F1786" i="9"/>
  <c r="E1786" i="9"/>
  <c r="D1786" i="9"/>
  <c r="C1786" i="9"/>
  <c r="B1786" i="9"/>
  <c r="A1786" i="9"/>
  <c r="M1785" i="9"/>
  <c r="L1785" i="9"/>
  <c r="K1785" i="9"/>
  <c r="J1785" i="9"/>
  <c r="I1785" i="9"/>
  <c r="H1785" i="9"/>
  <c r="G1785" i="9"/>
  <c r="F1785" i="9"/>
  <c r="E1785" i="9"/>
  <c r="D1785" i="9"/>
  <c r="C1785" i="9"/>
  <c r="B1785" i="9"/>
  <c r="A1785" i="9"/>
  <c r="M1784" i="9"/>
  <c r="L1784" i="9"/>
  <c r="K1784" i="9"/>
  <c r="J1784" i="9"/>
  <c r="I1784" i="9"/>
  <c r="H1784" i="9"/>
  <c r="G1784" i="9"/>
  <c r="F1784" i="9"/>
  <c r="E1784" i="9"/>
  <c r="D1784" i="9"/>
  <c r="C1784" i="9"/>
  <c r="B1784" i="9"/>
  <c r="A1784" i="9"/>
  <c r="M1783" i="9"/>
  <c r="L1783" i="9"/>
  <c r="K1783" i="9"/>
  <c r="J1783" i="9"/>
  <c r="I1783" i="9"/>
  <c r="H1783" i="9"/>
  <c r="G1783" i="9"/>
  <c r="F1783" i="9"/>
  <c r="E1783" i="9"/>
  <c r="D1783" i="9"/>
  <c r="C1783" i="9"/>
  <c r="B1783" i="9"/>
  <c r="A1783" i="9"/>
  <c r="M1782" i="9"/>
  <c r="L1782" i="9"/>
  <c r="K1782" i="9"/>
  <c r="J1782" i="9"/>
  <c r="I1782" i="9"/>
  <c r="H1782" i="9"/>
  <c r="G1782" i="9"/>
  <c r="F1782" i="9"/>
  <c r="E1782" i="9"/>
  <c r="D1782" i="9"/>
  <c r="C1782" i="9"/>
  <c r="B1782" i="9"/>
  <c r="A1782" i="9"/>
  <c r="M1781" i="9"/>
  <c r="L1781" i="9"/>
  <c r="K1781" i="9"/>
  <c r="J1781" i="9"/>
  <c r="I1781" i="9"/>
  <c r="H1781" i="9"/>
  <c r="G1781" i="9"/>
  <c r="F1781" i="9"/>
  <c r="E1781" i="9"/>
  <c r="D1781" i="9"/>
  <c r="C1781" i="9"/>
  <c r="B1781" i="9"/>
  <c r="A1781" i="9"/>
  <c r="M1780" i="9"/>
  <c r="L1780" i="9"/>
  <c r="K1780" i="9"/>
  <c r="J1780" i="9"/>
  <c r="I1780" i="9"/>
  <c r="H1780" i="9"/>
  <c r="G1780" i="9"/>
  <c r="F1780" i="9"/>
  <c r="E1780" i="9"/>
  <c r="D1780" i="9"/>
  <c r="C1780" i="9"/>
  <c r="B1780" i="9"/>
  <c r="A1780" i="9"/>
  <c r="M1779" i="9"/>
  <c r="L1779" i="9"/>
  <c r="K1779" i="9"/>
  <c r="J1779" i="9"/>
  <c r="I1779" i="9"/>
  <c r="H1779" i="9"/>
  <c r="G1779" i="9"/>
  <c r="F1779" i="9"/>
  <c r="E1779" i="9"/>
  <c r="D1779" i="9"/>
  <c r="C1779" i="9"/>
  <c r="B1779" i="9"/>
  <c r="A1779" i="9"/>
  <c r="M1778" i="9"/>
  <c r="L1778" i="9"/>
  <c r="K1778" i="9"/>
  <c r="J1778" i="9"/>
  <c r="I1778" i="9"/>
  <c r="H1778" i="9"/>
  <c r="G1778" i="9"/>
  <c r="F1778" i="9"/>
  <c r="E1778" i="9"/>
  <c r="D1778" i="9"/>
  <c r="C1778" i="9"/>
  <c r="B1778" i="9"/>
  <c r="A1778" i="9"/>
  <c r="M1777" i="9"/>
  <c r="L1777" i="9"/>
  <c r="K1777" i="9"/>
  <c r="J1777" i="9"/>
  <c r="I1777" i="9"/>
  <c r="H1777" i="9"/>
  <c r="G1777" i="9"/>
  <c r="F1777" i="9"/>
  <c r="E1777" i="9"/>
  <c r="D1777" i="9"/>
  <c r="C1777" i="9"/>
  <c r="B1777" i="9"/>
  <c r="A1777" i="9"/>
  <c r="M1776" i="9"/>
  <c r="L1776" i="9"/>
  <c r="K1776" i="9"/>
  <c r="J1776" i="9"/>
  <c r="I1776" i="9"/>
  <c r="H1776" i="9"/>
  <c r="G1776" i="9"/>
  <c r="F1776" i="9"/>
  <c r="E1776" i="9"/>
  <c r="D1776" i="9"/>
  <c r="C1776" i="9"/>
  <c r="B1776" i="9"/>
  <c r="A1776" i="9"/>
  <c r="M1775" i="9"/>
  <c r="L1775" i="9"/>
  <c r="K1775" i="9"/>
  <c r="J1775" i="9"/>
  <c r="I1775" i="9"/>
  <c r="H1775" i="9"/>
  <c r="G1775" i="9"/>
  <c r="F1775" i="9"/>
  <c r="E1775" i="9"/>
  <c r="D1775" i="9"/>
  <c r="C1775" i="9"/>
  <c r="B1775" i="9"/>
  <c r="A1775" i="9"/>
  <c r="M1774" i="9"/>
  <c r="L1774" i="9"/>
  <c r="K1774" i="9"/>
  <c r="J1774" i="9"/>
  <c r="I1774" i="9"/>
  <c r="H1774" i="9"/>
  <c r="G1774" i="9"/>
  <c r="F1774" i="9"/>
  <c r="E1774" i="9"/>
  <c r="D1774" i="9"/>
  <c r="C1774" i="9"/>
  <c r="B1774" i="9"/>
  <c r="A1774" i="9"/>
  <c r="M1773" i="9"/>
  <c r="L1773" i="9"/>
  <c r="K1773" i="9"/>
  <c r="J1773" i="9"/>
  <c r="I1773" i="9"/>
  <c r="H1773" i="9"/>
  <c r="G1773" i="9"/>
  <c r="F1773" i="9"/>
  <c r="E1773" i="9"/>
  <c r="D1773" i="9"/>
  <c r="C1773" i="9"/>
  <c r="B1773" i="9"/>
  <c r="A1773" i="9"/>
  <c r="M1772" i="9"/>
  <c r="L1772" i="9"/>
  <c r="K1772" i="9"/>
  <c r="J1772" i="9"/>
  <c r="I1772" i="9"/>
  <c r="H1772" i="9"/>
  <c r="G1772" i="9"/>
  <c r="F1772" i="9"/>
  <c r="E1772" i="9"/>
  <c r="D1772" i="9"/>
  <c r="C1772" i="9"/>
  <c r="B1772" i="9"/>
  <c r="A1772" i="9"/>
  <c r="M1771" i="9"/>
  <c r="L1771" i="9"/>
  <c r="K1771" i="9"/>
  <c r="J1771" i="9"/>
  <c r="I1771" i="9"/>
  <c r="H1771" i="9"/>
  <c r="G1771" i="9"/>
  <c r="F1771" i="9"/>
  <c r="E1771" i="9"/>
  <c r="D1771" i="9"/>
  <c r="C1771" i="9"/>
  <c r="B1771" i="9"/>
  <c r="A1771" i="9"/>
  <c r="M1770" i="9"/>
  <c r="L1770" i="9"/>
  <c r="K1770" i="9"/>
  <c r="J1770" i="9"/>
  <c r="I1770" i="9"/>
  <c r="H1770" i="9"/>
  <c r="G1770" i="9"/>
  <c r="F1770" i="9"/>
  <c r="E1770" i="9"/>
  <c r="D1770" i="9"/>
  <c r="C1770" i="9"/>
  <c r="B1770" i="9"/>
  <c r="A1770" i="9"/>
  <c r="M1769" i="9"/>
  <c r="L1769" i="9"/>
  <c r="K1769" i="9"/>
  <c r="J1769" i="9"/>
  <c r="I1769" i="9"/>
  <c r="H1769" i="9"/>
  <c r="G1769" i="9"/>
  <c r="F1769" i="9"/>
  <c r="E1769" i="9"/>
  <c r="D1769" i="9"/>
  <c r="C1769" i="9"/>
  <c r="B1769" i="9"/>
  <c r="A1769" i="9"/>
  <c r="M1768" i="9"/>
  <c r="L1768" i="9"/>
  <c r="K1768" i="9"/>
  <c r="J1768" i="9"/>
  <c r="I1768" i="9"/>
  <c r="H1768" i="9"/>
  <c r="G1768" i="9"/>
  <c r="F1768" i="9"/>
  <c r="E1768" i="9"/>
  <c r="D1768" i="9"/>
  <c r="C1768" i="9"/>
  <c r="B1768" i="9"/>
  <c r="A1768" i="9"/>
  <c r="M1767" i="9"/>
  <c r="L1767" i="9"/>
  <c r="K1767" i="9"/>
  <c r="J1767" i="9"/>
  <c r="I1767" i="9"/>
  <c r="H1767" i="9"/>
  <c r="G1767" i="9"/>
  <c r="F1767" i="9"/>
  <c r="E1767" i="9"/>
  <c r="D1767" i="9"/>
  <c r="C1767" i="9"/>
  <c r="B1767" i="9"/>
  <c r="A1767" i="9"/>
  <c r="M1766" i="9"/>
  <c r="L1766" i="9"/>
  <c r="K1766" i="9"/>
  <c r="J1766" i="9"/>
  <c r="I1766" i="9"/>
  <c r="H1766" i="9"/>
  <c r="G1766" i="9"/>
  <c r="F1766" i="9"/>
  <c r="E1766" i="9"/>
  <c r="D1766" i="9"/>
  <c r="C1766" i="9"/>
  <c r="B1766" i="9"/>
  <c r="A1766" i="9"/>
  <c r="M1765" i="9"/>
  <c r="L1765" i="9"/>
  <c r="K1765" i="9"/>
  <c r="J1765" i="9"/>
  <c r="I1765" i="9"/>
  <c r="H1765" i="9"/>
  <c r="G1765" i="9"/>
  <c r="F1765" i="9"/>
  <c r="E1765" i="9"/>
  <c r="D1765" i="9"/>
  <c r="C1765" i="9"/>
  <c r="B1765" i="9"/>
  <c r="A1765" i="9"/>
  <c r="M1764" i="9"/>
  <c r="L1764" i="9"/>
  <c r="K1764" i="9"/>
  <c r="J1764" i="9"/>
  <c r="I1764" i="9"/>
  <c r="H1764" i="9"/>
  <c r="G1764" i="9"/>
  <c r="F1764" i="9"/>
  <c r="E1764" i="9"/>
  <c r="D1764" i="9"/>
  <c r="C1764" i="9"/>
  <c r="B1764" i="9"/>
  <c r="A1764" i="9"/>
  <c r="M1763" i="9"/>
  <c r="L1763" i="9"/>
  <c r="K1763" i="9"/>
  <c r="J1763" i="9"/>
  <c r="I1763" i="9"/>
  <c r="H1763" i="9"/>
  <c r="G1763" i="9"/>
  <c r="F1763" i="9"/>
  <c r="E1763" i="9"/>
  <c r="D1763" i="9"/>
  <c r="C1763" i="9"/>
  <c r="B1763" i="9"/>
  <c r="A1763" i="9"/>
  <c r="M1762" i="9"/>
  <c r="L1762" i="9"/>
  <c r="K1762" i="9"/>
  <c r="J1762" i="9"/>
  <c r="I1762" i="9"/>
  <c r="H1762" i="9"/>
  <c r="G1762" i="9"/>
  <c r="F1762" i="9"/>
  <c r="E1762" i="9"/>
  <c r="D1762" i="9"/>
  <c r="C1762" i="9"/>
  <c r="B1762" i="9"/>
  <c r="A1762" i="9"/>
  <c r="M1761" i="9"/>
  <c r="L1761" i="9"/>
  <c r="K1761" i="9"/>
  <c r="J1761" i="9"/>
  <c r="I1761" i="9"/>
  <c r="H1761" i="9"/>
  <c r="G1761" i="9"/>
  <c r="F1761" i="9"/>
  <c r="E1761" i="9"/>
  <c r="D1761" i="9"/>
  <c r="C1761" i="9"/>
  <c r="B1761" i="9"/>
  <c r="A1761" i="9"/>
  <c r="M1760" i="9"/>
  <c r="L1760" i="9"/>
  <c r="K1760" i="9"/>
  <c r="J1760" i="9"/>
  <c r="I1760" i="9"/>
  <c r="H1760" i="9"/>
  <c r="G1760" i="9"/>
  <c r="F1760" i="9"/>
  <c r="E1760" i="9"/>
  <c r="D1760" i="9"/>
  <c r="C1760" i="9"/>
  <c r="B1760" i="9"/>
  <c r="A1760" i="9"/>
  <c r="M1759" i="9"/>
  <c r="L1759" i="9"/>
  <c r="K1759" i="9"/>
  <c r="J1759" i="9"/>
  <c r="I1759" i="9"/>
  <c r="H1759" i="9"/>
  <c r="G1759" i="9"/>
  <c r="F1759" i="9"/>
  <c r="E1759" i="9"/>
  <c r="D1759" i="9"/>
  <c r="C1759" i="9"/>
  <c r="B1759" i="9"/>
  <c r="A1759" i="9"/>
  <c r="M1758" i="9"/>
  <c r="L1758" i="9"/>
  <c r="K1758" i="9"/>
  <c r="J1758" i="9"/>
  <c r="I1758" i="9"/>
  <c r="H1758" i="9"/>
  <c r="G1758" i="9"/>
  <c r="F1758" i="9"/>
  <c r="E1758" i="9"/>
  <c r="D1758" i="9"/>
  <c r="C1758" i="9"/>
  <c r="B1758" i="9"/>
  <c r="A1758" i="9"/>
  <c r="M1757" i="9"/>
  <c r="L1757" i="9"/>
  <c r="K1757" i="9"/>
  <c r="J1757" i="9"/>
  <c r="I1757" i="9"/>
  <c r="H1757" i="9"/>
  <c r="G1757" i="9"/>
  <c r="F1757" i="9"/>
  <c r="E1757" i="9"/>
  <c r="D1757" i="9"/>
  <c r="C1757" i="9"/>
  <c r="B1757" i="9"/>
  <c r="A1757" i="9"/>
  <c r="M1756" i="9"/>
  <c r="L1756" i="9"/>
  <c r="K1756" i="9"/>
  <c r="J1756" i="9"/>
  <c r="I1756" i="9"/>
  <c r="H1756" i="9"/>
  <c r="G1756" i="9"/>
  <c r="F1756" i="9"/>
  <c r="E1756" i="9"/>
  <c r="D1756" i="9"/>
  <c r="C1756" i="9"/>
  <c r="B1756" i="9"/>
  <c r="A1756" i="9"/>
  <c r="M1755" i="9"/>
  <c r="L1755" i="9"/>
  <c r="K1755" i="9"/>
  <c r="J1755" i="9"/>
  <c r="I1755" i="9"/>
  <c r="H1755" i="9"/>
  <c r="G1755" i="9"/>
  <c r="F1755" i="9"/>
  <c r="E1755" i="9"/>
  <c r="D1755" i="9"/>
  <c r="C1755" i="9"/>
  <c r="B1755" i="9"/>
  <c r="A1755" i="9"/>
  <c r="M1754" i="9"/>
  <c r="L1754" i="9"/>
  <c r="K1754" i="9"/>
  <c r="J1754" i="9"/>
  <c r="I1754" i="9"/>
  <c r="H1754" i="9"/>
  <c r="G1754" i="9"/>
  <c r="F1754" i="9"/>
  <c r="E1754" i="9"/>
  <c r="D1754" i="9"/>
  <c r="C1754" i="9"/>
  <c r="B1754" i="9"/>
  <c r="A1754" i="9"/>
  <c r="M1753" i="9"/>
  <c r="L1753" i="9"/>
  <c r="K1753" i="9"/>
  <c r="J1753" i="9"/>
  <c r="I1753" i="9"/>
  <c r="H1753" i="9"/>
  <c r="G1753" i="9"/>
  <c r="F1753" i="9"/>
  <c r="E1753" i="9"/>
  <c r="D1753" i="9"/>
  <c r="C1753" i="9"/>
  <c r="B1753" i="9"/>
  <c r="A1753" i="9"/>
  <c r="M1752" i="9"/>
  <c r="L1752" i="9"/>
  <c r="K1752" i="9"/>
  <c r="J1752" i="9"/>
  <c r="I1752" i="9"/>
  <c r="H1752" i="9"/>
  <c r="G1752" i="9"/>
  <c r="F1752" i="9"/>
  <c r="E1752" i="9"/>
  <c r="D1752" i="9"/>
  <c r="C1752" i="9"/>
  <c r="B1752" i="9"/>
  <c r="A1752" i="9"/>
  <c r="M1751" i="9"/>
  <c r="L1751" i="9"/>
  <c r="K1751" i="9"/>
  <c r="J1751" i="9"/>
  <c r="I1751" i="9"/>
  <c r="H1751" i="9"/>
  <c r="G1751" i="9"/>
  <c r="F1751" i="9"/>
  <c r="E1751" i="9"/>
  <c r="D1751" i="9"/>
  <c r="C1751" i="9"/>
  <c r="B1751" i="9"/>
  <c r="A1751" i="9"/>
  <c r="M1750" i="9"/>
  <c r="L1750" i="9"/>
  <c r="K1750" i="9"/>
  <c r="J1750" i="9"/>
  <c r="I1750" i="9"/>
  <c r="H1750" i="9"/>
  <c r="G1750" i="9"/>
  <c r="F1750" i="9"/>
  <c r="E1750" i="9"/>
  <c r="D1750" i="9"/>
  <c r="C1750" i="9"/>
  <c r="B1750" i="9"/>
  <c r="A1750" i="9"/>
  <c r="M1749" i="9"/>
  <c r="L1749" i="9"/>
  <c r="K1749" i="9"/>
  <c r="J1749" i="9"/>
  <c r="I1749" i="9"/>
  <c r="H1749" i="9"/>
  <c r="G1749" i="9"/>
  <c r="F1749" i="9"/>
  <c r="E1749" i="9"/>
  <c r="D1749" i="9"/>
  <c r="C1749" i="9"/>
  <c r="B1749" i="9"/>
  <c r="A1749" i="9"/>
  <c r="M1748" i="9"/>
  <c r="L1748" i="9"/>
  <c r="K1748" i="9"/>
  <c r="J1748" i="9"/>
  <c r="I1748" i="9"/>
  <c r="H1748" i="9"/>
  <c r="G1748" i="9"/>
  <c r="F1748" i="9"/>
  <c r="E1748" i="9"/>
  <c r="D1748" i="9"/>
  <c r="C1748" i="9"/>
  <c r="B1748" i="9"/>
  <c r="A1748" i="9"/>
  <c r="M1747" i="9"/>
  <c r="L1747" i="9"/>
  <c r="K1747" i="9"/>
  <c r="J1747" i="9"/>
  <c r="I1747" i="9"/>
  <c r="H1747" i="9"/>
  <c r="G1747" i="9"/>
  <c r="F1747" i="9"/>
  <c r="E1747" i="9"/>
  <c r="D1747" i="9"/>
  <c r="C1747" i="9"/>
  <c r="B1747" i="9"/>
  <c r="A1747" i="9"/>
  <c r="M1746" i="9"/>
  <c r="L1746" i="9"/>
  <c r="K1746" i="9"/>
  <c r="J1746" i="9"/>
  <c r="I1746" i="9"/>
  <c r="H1746" i="9"/>
  <c r="G1746" i="9"/>
  <c r="F1746" i="9"/>
  <c r="E1746" i="9"/>
  <c r="D1746" i="9"/>
  <c r="C1746" i="9"/>
  <c r="B1746" i="9"/>
  <c r="A1746" i="9"/>
  <c r="M1745" i="9"/>
  <c r="L1745" i="9"/>
  <c r="K1745" i="9"/>
  <c r="J1745" i="9"/>
  <c r="I1745" i="9"/>
  <c r="H1745" i="9"/>
  <c r="G1745" i="9"/>
  <c r="F1745" i="9"/>
  <c r="E1745" i="9"/>
  <c r="D1745" i="9"/>
  <c r="C1745" i="9"/>
  <c r="B1745" i="9"/>
  <c r="A1745" i="9"/>
  <c r="M1744" i="9"/>
  <c r="L1744" i="9"/>
  <c r="K1744" i="9"/>
  <c r="J1744" i="9"/>
  <c r="I1744" i="9"/>
  <c r="H1744" i="9"/>
  <c r="G1744" i="9"/>
  <c r="F1744" i="9"/>
  <c r="E1744" i="9"/>
  <c r="D1744" i="9"/>
  <c r="C1744" i="9"/>
  <c r="B1744" i="9"/>
  <c r="A1744" i="9"/>
  <c r="M1743" i="9"/>
  <c r="L1743" i="9"/>
  <c r="K1743" i="9"/>
  <c r="J1743" i="9"/>
  <c r="I1743" i="9"/>
  <c r="H1743" i="9"/>
  <c r="G1743" i="9"/>
  <c r="F1743" i="9"/>
  <c r="E1743" i="9"/>
  <c r="D1743" i="9"/>
  <c r="C1743" i="9"/>
  <c r="B1743" i="9"/>
  <c r="A1743" i="9"/>
  <c r="M1742" i="9"/>
  <c r="L1742" i="9"/>
  <c r="K1742" i="9"/>
  <c r="J1742" i="9"/>
  <c r="I1742" i="9"/>
  <c r="H1742" i="9"/>
  <c r="G1742" i="9"/>
  <c r="F1742" i="9"/>
  <c r="E1742" i="9"/>
  <c r="D1742" i="9"/>
  <c r="C1742" i="9"/>
  <c r="B1742" i="9"/>
  <c r="A1742" i="9"/>
  <c r="M1741" i="9"/>
  <c r="L1741" i="9"/>
  <c r="K1741" i="9"/>
  <c r="J1741" i="9"/>
  <c r="I1741" i="9"/>
  <c r="H1741" i="9"/>
  <c r="G1741" i="9"/>
  <c r="F1741" i="9"/>
  <c r="E1741" i="9"/>
  <c r="D1741" i="9"/>
  <c r="C1741" i="9"/>
  <c r="B1741" i="9"/>
  <c r="A1741" i="9"/>
  <c r="M1740" i="9"/>
  <c r="L1740" i="9"/>
  <c r="K1740" i="9"/>
  <c r="J1740" i="9"/>
  <c r="I1740" i="9"/>
  <c r="H1740" i="9"/>
  <c r="G1740" i="9"/>
  <c r="F1740" i="9"/>
  <c r="E1740" i="9"/>
  <c r="D1740" i="9"/>
  <c r="C1740" i="9"/>
  <c r="B1740" i="9"/>
  <c r="A1740" i="9"/>
  <c r="M1739" i="9"/>
  <c r="L1739" i="9"/>
  <c r="K1739" i="9"/>
  <c r="J1739" i="9"/>
  <c r="I1739" i="9"/>
  <c r="H1739" i="9"/>
  <c r="G1739" i="9"/>
  <c r="F1739" i="9"/>
  <c r="E1739" i="9"/>
  <c r="D1739" i="9"/>
  <c r="C1739" i="9"/>
  <c r="B1739" i="9"/>
  <c r="A1739" i="9"/>
  <c r="M1738" i="9"/>
  <c r="L1738" i="9"/>
  <c r="K1738" i="9"/>
  <c r="J1738" i="9"/>
  <c r="I1738" i="9"/>
  <c r="H1738" i="9"/>
  <c r="G1738" i="9"/>
  <c r="F1738" i="9"/>
  <c r="E1738" i="9"/>
  <c r="D1738" i="9"/>
  <c r="C1738" i="9"/>
  <c r="B1738" i="9"/>
  <c r="A1738" i="9"/>
  <c r="M1737" i="9"/>
  <c r="L1737" i="9"/>
  <c r="K1737" i="9"/>
  <c r="J1737" i="9"/>
  <c r="I1737" i="9"/>
  <c r="H1737" i="9"/>
  <c r="G1737" i="9"/>
  <c r="F1737" i="9"/>
  <c r="E1737" i="9"/>
  <c r="D1737" i="9"/>
  <c r="C1737" i="9"/>
  <c r="B1737" i="9"/>
  <c r="A1737" i="9"/>
  <c r="M1736" i="9"/>
  <c r="L1736" i="9"/>
  <c r="K1736" i="9"/>
  <c r="J1736" i="9"/>
  <c r="I1736" i="9"/>
  <c r="H1736" i="9"/>
  <c r="G1736" i="9"/>
  <c r="F1736" i="9"/>
  <c r="E1736" i="9"/>
  <c r="D1736" i="9"/>
  <c r="C1736" i="9"/>
  <c r="B1736" i="9"/>
  <c r="A1736" i="9"/>
  <c r="M1735" i="9"/>
  <c r="L1735" i="9"/>
  <c r="K1735" i="9"/>
  <c r="J1735" i="9"/>
  <c r="I1735" i="9"/>
  <c r="H1735" i="9"/>
  <c r="G1735" i="9"/>
  <c r="F1735" i="9"/>
  <c r="E1735" i="9"/>
  <c r="D1735" i="9"/>
  <c r="C1735" i="9"/>
  <c r="B1735" i="9"/>
  <c r="A1735" i="9"/>
  <c r="M1734" i="9"/>
  <c r="L1734" i="9"/>
  <c r="K1734" i="9"/>
  <c r="J1734" i="9"/>
  <c r="I1734" i="9"/>
  <c r="H1734" i="9"/>
  <c r="G1734" i="9"/>
  <c r="F1734" i="9"/>
  <c r="E1734" i="9"/>
  <c r="D1734" i="9"/>
  <c r="C1734" i="9"/>
  <c r="B1734" i="9"/>
  <c r="A1734" i="9"/>
  <c r="M1733" i="9"/>
  <c r="L1733" i="9"/>
  <c r="K1733" i="9"/>
  <c r="J1733" i="9"/>
  <c r="I1733" i="9"/>
  <c r="H1733" i="9"/>
  <c r="G1733" i="9"/>
  <c r="F1733" i="9"/>
  <c r="E1733" i="9"/>
  <c r="D1733" i="9"/>
  <c r="C1733" i="9"/>
  <c r="B1733" i="9"/>
  <c r="A1733" i="9"/>
  <c r="M1732" i="9"/>
  <c r="L1732" i="9"/>
  <c r="K1732" i="9"/>
  <c r="J1732" i="9"/>
  <c r="I1732" i="9"/>
  <c r="H1732" i="9"/>
  <c r="G1732" i="9"/>
  <c r="F1732" i="9"/>
  <c r="E1732" i="9"/>
  <c r="D1732" i="9"/>
  <c r="C1732" i="9"/>
  <c r="B1732" i="9"/>
  <c r="A1732" i="9"/>
  <c r="M1731" i="9"/>
  <c r="L1731" i="9"/>
  <c r="K1731" i="9"/>
  <c r="J1731" i="9"/>
  <c r="I1731" i="9"/>
  <c r="H1731" i="9"/>
  <c r="G1731" i="9"/>
  <c r="F1731" i="9"/>
  <c r="E1731" i="9"/>
  <c r="D1731" i="9"/>
  <c r="C1731" i="9"/>
  <c r="B1731" i="9"/>
  <c r="A1731" i="9"/>
  <c r="M1730" i="9"/>
  <c r="L1730" i="9"/>
  <c r="K1730" i="9"/>
  <c r="J1730" i="9"/>
  <c r="I1730" i="9"/>
  <c r="H1730" i="9"/>
  <c r="G1730" i="9"/>
  <c r="F1730" i="9"/>
  <c r="E1730" i="9"/>
  <c r="D1730" i="9"/>
  <c r="C1730" i="9"/>
  <c r="B1730" i="9"/>
  <c r="A1730" i="9"/>
  <c r="M1729" i="9"/>
  <c r="L1729" i="9"/>
  <c r="K1729" i="9"/>
  <c r="J1729" i="9"/>
  <c r="I1729" i="9"/>
  <c r="H1729" i="9"/>
  <c r="G1729" i="9"/>
  <c r="F1729" i="9"/>
  <c r="E1729" i="9"/>
  <c r="D1729" i="9"/>
  <c r="C1729" i="9"/>
  <c r="B1729" i="9"/>
  <c r="A1729" i="9"/>
  <c r="M1728" i="9"/>
  <c r="L1728" i="9"/>
  <c r="K1728" i="9"/>
  <c r="J1728" i="9"/>
  <c r="I1728" i="9"/>
  <c r="H1728" i="9"/>
  <c r="G1728" i="9"/>
  <c r="F1728" i="9"/>
  <c r="E1728" i="9"/>
  <c r="D1728" i="9"/>
  <c r="C1728" i="9"/>
  <c r="B1728" i="9"/>
  <c r="A1728" i="9"/>
  <c r="M1727" i="9"/>
  <c r="L1727" i="9"/>
  <c r="K1727" i="9"/>
  <c r="J1727" i="9"/>
  <c r="I1727" i="9"/>
  <c r="H1727" i="9"/>
  <c r="G1727" i="9"/>
  <c r="F1727" i="9"/>
  <c r="E1727" i="9"/>
  <c r="D1727" i="9"/>
  <c r="C1727" i="9"/>
  <c r="B1727" i="9"/>
  <c r="A1727" i="9"/>
  <c r="M1726" i="9"/>
  <c r="L1726" i="9"/>
  <c r="K1726" i="9"/>
  <c r="J1726" i="9"/>
  <c r="I1726" i="9"/>
  <c r="H1726" i="9"/>
  <c r="G1726" i="9"/>
  <c r="F1726" i="9"/>
  <c r="E1726" i="9"/>
  <c r="D1726" i="9"/>
  <c r="C1726" i="9"/>
  <c r="B1726" i="9"/>
  <c r="A1726" i="9"/>
  <c r="M1725" i="9"/>
  <c r="L1725" i="9"/>
  <c r="K1725" i="9"/>
  <c r="J1725" i="9"/>
  <c r="I1725" i="9"/>
  <c r="H1725" i="9"/>
  <c r="G1725" i="9"/>
  <c r="F1725" i="9"/>
  <c r="E1725" i="9"/>
  <c r="D1725" i="9"/>
  <c r="C1725" i="9"/>
  <c r="B1725" i="9"/>
  <c r="A1725" i="9"/>
  <c r="M1724" i="9"/>
  <c r="L1724" i="9"/>
  <c r="K1724" i="9"/>
  <c r="J1724" i="9"/>
  <c r="I1724" i="9"/>
  <c r="H1724" i="9"/>
  <c r="G1724" i="9"/>
  <c r="F1724" i="9"/>
  <c r="E1724" i="9"/>
  <c r="D1724" i="9"/>
  <c r="C1724" i="9"/>
  <c r="B1724" i="9"/>
  <c r="A1724" i="9"/>
  <c r="M1723" i="9"/>
  <c r="L1723" i="9"/>
  <c r="K1723" i="9"/>
  <c r="J1723" i="9"/>
  <c r="I1723" i="9"/>
  <c r="H1723" i="9"/>
  <c r="G1723" i="9"/>
  <c r="F1723" i="9"/>
  <c r="E1723" i="9"/>
  <c r="D1723" i="9"/>
  <c r="C1723" i="9"/>
  <c r="B1723" i="9"/>
  <c r="A1723" i="9"/>
  <c r="M1722" i="9"/>
  <c r="L1722" i="9"/>
  <c r="K1722" i="9"/>
  <c r="J1722" i="9"/>
  <c r="I1722" i="9"/>
  <c r="H1722" i="9"/>
  <c r="G1722" i="9"/>
  <c r="F1722" i="9"/>
  <c r="E1722" i="9"/>
  <c r="D1722" i="9"/>
  <c r="C1722" i="9"/>
  <c r="B1722" i="9"/>
  <c r="A1722" i="9"/>
  <c r="M1721" i="9"/>
  <c r="L1721" i="9"/>
  <c r="K1721" i="9"/>
  <c r="J1721" i="9"/>
  <c r="I1721" i="9"/>
  <c r="H1721" i="9"/>
  <c r="G1721" i="9"/>
  <c r="F1721" i="9"/>
  <c r="E1721" i="9"/>
  <c r="D1721" i="9"/>
  <c r="C1721" i="9"/>
  <c r="B1721" i="9"/>
  <c r="A1721" i="9"/>
  <c r="M1720" i="9"/>
  <c r="L1720" i="9"/>
  <c r="K1720" i="9"/>
  <c r="J1720" i="9"/>
  <c r="I1720" i="9"/>
  <c r="H1720" i="9"/>
  <c r="G1720" i="9"/>
  <c r="F1720" i="9"/>
  <c r="E1720" i="9"/>
  <c r="D1720" i="9"/>
  <c r="C1720" i="9"/>
  <c r="B1720" i="9"/>
  <c r="A1720" i="9"/>
  <c r="M1719" i="9"/>
  <c r="L1719" i="9"/>
  <c r="K1719" i="9"/>
  <c r="J1719" i="9"/>
  <c r="I1719" i="9"/>
  <c r="H1719" i="9"/>
  <c r="G1719" i="9"/>
  <c r="F1719" i="9"/>
  <c r="E1719" i="9"/>
  <c r="D1719" i="9"/>
  <c r="C1719" i="9"/>
  <c r="B1719" i="9"/>
  <c r="A1719" i="9"/>
  <c r="M1718" i="9"/>
  <c r="L1718" i="9"/>
  <c r="K1718" i="9"/>
  <c r="J1718" i="9"/>
  <c r="I1718" i="9"/>
  <c r="H1718" i="9"/>
  <c r="G1718" i="9"/>
  <c r="F1718" i="9"/>
  <c r="E1718" i="9"/>
  <c r="D1718" i="9"/>
  <c r="C1718" i="9"/>
  <c r="B1718" i="9"/>
  <c r="A1718" i="9"/>
  <c r="M1717" i="9"/>
  <c r="L1717" i="9"/>
  <c r="K1717" i="9"/>
  <c r="J1717" i="9"/>
  <c r="I1717" i="9"/>
  <c r="H1717" i="9"/>
  <c r="G1717" i="9"/>
  <c r="F1717" i="9"/>
  <c r="E1717" i="9"/>
  <c r="D1717" i="9"/>
  <c r="C1717" i="9"/>
  <c r="B1717" i="9"/>
  <c r="A1717" i="9"/>
  <c r="M1716" i="9"/>
  <c r="L1716" i="9"/>
  <c r="K1716" i="9"/>
  <c r="J1716" i="9"/>
  <c r="I1716" i="9"/>
  <c r="H1716" i="9"/>
  <c r="G1716" i="9"/>
  <c r="F1716" i="9"/>
  <c r="E1716" i="9"/>
  <c r="D1716" i="9"/>
  <c r="C1716" i="9"/>
  <c r="B1716" i="9"/>
  <c r="A1716" i="9"/>
  <c r="M1715" i="9"/>
  <c r="L1715" i="9"/>
  <c r="K1715" i="9"/>
  <c r="J1715" i="9"/>
  <c r="I1715" i="9"/>
  <c r="H1715" i="9"/>
  <c r="G1715" i="9"/>
  <c r="F1715" i="9"/>
  <c r="E1715" i="9"/>
  <c r="D1715" i="9"/>
  <c r="C1715" i="9"/>
  <c r="B1715" i="9"/>
  <c r="A1715" i="9"/>
  <c r="M1714" i="9"/>
  <c r="L1714" i="9"/>
  <c r="K1714" i="9"/>
  <c r="J1714" i="9"/>
  <c r="I1714" i="9"/>
  <c r="H1714" i="9"/>
  <c r="G1714" i="9"/>
  <c r="F1714" i="9"/>
  <c r="E1714" i="9"/>
  <c r="D1714" i="9"/>
  <c r="C1714" i="9"/>
  <c r="B1714" i="9"/>
  <c r="A1714" i="9"/>
  <c r="M1713" i="9"/>
  <c r="L1713" i="9"/>
  <c r="K1713" i="9"/>
  <c r="J1713" i="9"/>
  <c r="I1713" i="9"/>
  <c r="H1713" i="9"/>
  <c r="G1713" i="9"/>
  <c r="F1713" i="9"/>
  <c r="E1713" i="9"/>
  <c r="D1713" i="9"/>
  <c r="C1713" i="9"/>
  <c r="B1713" i="9"/>
  <c r="A1713" i="9"/>
  <c r="M1712" i="9"/>
  <c r="L1712" i="9"/>
  <c r="K1712" i="9"/>
  <c r="J1712" i="9"/>
  <c r="I1712" i="9"/>
  <c r="H1712" i="9"/>
  <c r="G1712" i="9"/>
  <c r="F1712" i="9"/>
  <c r="E1712" i="9"/>
  <c r="D1712" i="9"/>
  <c r="C1712" i="9"/>
  <c r="B1712" i="9"/>
  <c r="A1712" i="9"/>
  <c r="M1711" i="9"/>
  <c r="L1711" i="9"/>
  <c r="K1711" i="9"/>
  <c r="J1711" i="9"/>
  <c r="I1711" i="9"/>
  <c r="H1711" i="9"/>
  <c r="G1711" i="9"/>
  <c r="F1711" i="9"/>
  <c r="E1711" i="9"/>
  <c r="D1711" i="9"/>
  <c r="C1711" i="9"/>
  <c r="B1711" i="9"/>
  <c r="A1711" i="9"/>
  <c r="M1710" i="9"/>
  <c r="L1710" i="9"/>
  <c r="K1710" i="9"/>
  <c r="J1710" i="9"/>
  <c r="I1710" i="9"/>
  <c r="H1710" i="9"/>
  <c r="G1710" i="9"/>
  <c r="F1710" i="9"/>
  <c r="E1710" i="9"/>
  <c r="D1710" i="9"/>
  <c r="C1710" i="9"/>
  <c r="B1710" i="9"/>
  <c r="A1710" i="9"/>
  <c r="M1709" i="9"/>
  <c r="L1709" i="9"/>
  <c r="K1709" i="9"/>
  <c r="J1709" i="9"/>
  <c r="I1709" i="9"/>
  <c r="H1709" i="9"/>
  <c r="G1709" i="9"/>
  <c r="F1709" i="9"/>
  <c r="E1709" i="9"/>
  <c r="D1709" i="9"/>
  <c r="C1709" i="9"/>
  <c r="B1709" i="9"/>
  <c r="A1709" i="9"/>
  <c r="M1708" i="9"/>
  <c r="L1708" i="9"/>
  <c r="K1708" i="9"/>
  <c r="J1708" i="9"/>
  <c r="I1708" i="9"/>
  <c r="H1708" i="9"/>
  <c r="G1708" i="9"/>
  <c r="F1708" i="9"/>
  <c r="E1708" i="9"/>
  <c r="D1708" i="9"/>
  <c r="C1708" i="9"/>
  <c r="B1708" i="9"/>
  <c r="A1708" i="9"/>
  <c r="M1707" i="9"/>
  <c r="L1707" i="9"/>
  <c r="K1707" i="9"/>
  <c r="J1707" i="9"/>
  <c r="I1707" i="9"/>
  <c r="H1707" i="9"/>
  <c r="G1707" i="9"/>
  <c r="F1707" i="9"/>
  <c r="E1707" i="9"/>
  <c r="D1707" i="9"/>
  <c r="C1707" i="9"/>
  <c r="B1707" i="9"/>
  <c r="A1707" i="9"/>
  <c r="M1706" i="9"/>
  <c r="L1706" i="9"/>
  <c r="K1706" i="9"/>
  <c r="J1706" i="9"/>
  <c r="I1706" i="9"/>
  <c r="H1706" i="9"/>
  <c r="G1706" i="9"/>
  <c r="F1706" i="9"/>
  <c r="E1706" i="9"/>
  <c r="D1706" i="9"/>
  <c r="C1706" i="9"/>
  <c r="B1706" i="9"/>
  <c r="A1706" i="9"/>
  <c r="M1705" i="9"/>
  <c r="L1705" i="9"/>
  <c r="K1705" i="9"/>
  <c r="J1705" i="9"/>
  <c r="I1705" i="9"/>
  <c r="H1705" i="9"/>
  <c r="G1705" i="9"/>
  <c r="F1705" i="9"/>
  <c r="E1705" i="9"/>
  <c r="D1705" i="9"/>
  <c r="C1705" i="9"/>
  <c r="B1705" i="9"/>
  <c r="A1705" i="9"/>
  <c r="M1704" i="9"/>
  <c r="L1704" i="9"/>
  <c r="K1704" i="9"/>
  <c r="J1704" i="9"/>
  <c r="I1704" i="9"/>
  <c r="H1704" i="9"/>
  <c r="G1704" i="9"/>
  <c r="F1704" i="9"/>
  <c r="E1704" i="9"/>
  <c r="D1704" i="9"/>
  <c r="C1704" i="9"/>
  <c r="B1704" i="9"/>
  <c r="A1704" i="9"/>
  <c r="M1703" i="9"/>
  <c r="L1703" i="9"/>
  <c r="K1703" i="9"/>
  <c r="J1703" i="9"/>
  <c r="I1703" i="9"/>
  <c r="H1703" i="9"/>
  <c r="G1703" i="9"/>
  <c r="F1703" i="9"/>
  <c r="E1703" i="9"/>
  <c r="D1703" i="9"/>
  <c r="C1703" i="9"/>
  <c r="B1703" i="9"/>
  <c r="A1703" i="9"/>
  <c r="M1702" i="9"/>
  <c r="L1702" i="9"/>
  <c r="K1702" i="9"/>
  <c r="J1702" i="9"/>
  <c r="I1702" i="9"/>
  <c r="H1702" i="9"/>
  <c r="G1702" i="9"/>
  <c r="F1702" i="9"/>
  <c r="E1702" i="9"/>
  <c r="D1702" i="9"/>
  <c r="C1702" i="9"/>
  <c r="B1702" i="9"/>
  <c r="A1702" i="9"/>
  <c r="M1701" i="9"/>
  <c r="L1701" i="9"/>
  <c r="K1701" i="9"/>
  <c r="J1701" i="9"/>
  <c r="I1701" i="9"/>
  <c r="H1701" i="9"/>
  <c r="G1701" i="9"/>
  <c r="F1701" i="9"/>
  <c r="E1701" i="9"/>
  <c r="D1701" i="9"/>
  <c r="C1701" i="9"/>
  <c r="B1701" i="9"/>
  <c r="A1701" i="9"/>
  <c r="M1700" i="9"/>
  <c r="L1700" i="9"/>
  <c r="K1700" i="9"/>
  <c r="J1700" i="9"/>
  <c r="I1700" i="9"/>
  <c r="H1700" i="9"/>
  <c r="G1700" i="9"/>
  <c r="F1700" i="9"/>
  <c r="E1700" i="9"/>
  <c r="D1700" i="9"/>
  <c r="C1700" i="9"/>
  <c r="B1700" i="9"/>
  <c r="A1700" i="9"/>
  <c r="M1699" i="9"/>
  <c r="L1699" i="9"/>
  <c r="K1699" i="9"/>
  <c r="J1699" i="9"/>
  <c r="I1699" i="9"/>
  <c r="H1699" i="9"/>
  <c r="G1699" i="9"/>
  <c r="F1699" i="9"/>
  <c r="E1699" i="9"/>
  <c r="D1699" i="9"/>
  <c r="C1699" i="9"/>
  <c r="B1699" i="9"/>
  <c r="A1699" i="9"/>
  <c r="M1698" i="9"/>
  <c r="L1698" i="9"/>
  <c r="K1698" i="9"/>
  <c r="J1698" i="9"/>
  <c r="I1698" i="9"/>
  <c r="H1698" i="9"/>
  <c r="G1698" i="9"/>
  <c r="F1698" i="9"/>
  <c r="E1698" i="9"/>
  <c r="D1698" i="9"/>
  <c r="C1698" i="9"/>
  <c r="B1698" i="9"/>
  <c r="A1698" i="9"/>
  <c r="M1697" i="9"/>
  <c r="L1697" i="9"/>
  <c r="K1697" i="9"/>
  <c r="J1697" i="9"/>
  <c r="I1697" i="9"/>
  <c r="H1697" i="9"/>
  <c r="G1697" i="9"/>
  <c r="F1697" i="9"/>
  <c r="E1697" i="9"/>
  <c r="D1697" i="9"/>
  <c r="C1697" i="9"/>
  <c r="B1697" i="9"/>
  <c r="A1697" i="9"/>
  <c r="M1696" i="9"/>
  <c r="L1696" i="9"/>
  <c r="K1696" i="9"/>
  <c r="J1696" i="9"/>
  <c r="I1696" i="9"/>
  <c r="H1696" i="9"/>
  <c r="G1696" i="9"/>
  <c r="F1696" i="9"/>
  <c r="E1696" i="9"/>
  <c r="D1696" i="9"/>
  <c r="C1696" i="9"/>
  <c r="B1696" i="9"/>
  <c r="A1696" i="9"/>
  <c r="M1695" i="9"/>
  <c r="L1695" i="9"/>
  <c r="K1695" i="9"/>
  <c r="J1695" i="9"/>
  <c r="I1695" i="9"/>
  <c r="H1695" i="9"/>
  <c r="G1695" i="9"/>
  <c r="F1695" i="9"/>
  <c r="E1695" i="9"/>
  <c r="D1695" i="9"/>
  <c r="C1695" i="9"/>
  <c r="B1695" i="9"/>
  <c r="A1695" i="9"/>
  <c r="M1694" i="9"/>
  <c r="L1694" i="9"/>
  <c r="K1694" i="9"/>
  <c r="J1694" i="9"/>
  <c r="I1694" i="9"/>
  <c r="H1694" i="9"/>
  <c r="G1694" i="9"/>
  <c r="F1694" i="9"/>
  <c r="E1694" i="9"/>
  <c r="D1694" i="9"/>
  <c r="C1694" i="9"/>
  <c r="B1694" i="9"/>
  <c r="A1694" i="9"/>
  <c r="M1693" i="9"/>
  <c r="L1693" i="9"/>
  <c r="K1693" i="9"/>
  <c r="J1693" i="9"/>
  <c r="I1693" i="9"/>
  <c r="H1693" i="9"/>
  <c r="G1693" i="9"/>
  <c r="F1693" i="9"/>
  <c r="E1693" i="9"/>
  <c r="D1693" i="9"/>
  <c r="C1693" i="9"/>
  <c r="B1693" i="9"/>
  <c r="A1693" i="9"/>
  <c r="M1692" i="9"/>
  <c r="L1692" i="9"/>
  <c r="K1692" i="9"/>
  <c r="J1692" i="9"/>
  <c r="I1692" i="9"/>
  <c r="H1692" i="9"/>
  <c r="G1692" i="9"/>
  <c r="F1692" i="9"/>
  <c r="E1692" i="9"/>
  <c r="D1692" i="9"/>
  <c r="C1692" i="9"/>
  <c r="B1692" i="9"/>
  <c r="A1692" i="9"/>
  <c r="M1691" i="9"/>
  <c r="L1691" i="9"/>
  <c r="K1691" i="9"/>
  <c r="J1691" i="9"/>
  <c r="I1691" i="9"/>
  <c r="H1691" i="9"/>
  <c r="G1691" i="9"/>
  <c r="F1691" i="9"/>
  <c r="E1691" i="9"/>
  <c r="D1691" i="9"/>
  <c r="C1691" i="9"/>
  <c r="B1691" i="9"/>
  <c r="A1691" i="9"/>
  <c r="M1690" i="9"/>
  <c r="L1690" i="9"/>
  <c r="K1690" i="9"/>
  <c r="J1690" i="9"/>
  <c r="I1690" i="9"/>
  <c r="H1690" i="9"/>
  <c r="G1690" i="9"/>
  <c r="F1690" i="9"/>
  <c r="E1690" i="9"/>
  <c r="D1690" i="9"/>
  <c r="C1690" i="9"/>
  <c r="B1690" i="9"/>
  <c r="A1690" i="9"/>
  <c r="M1689" i="9"/>
  <c r="L1689" i="9"/>
  <c r="K1689" i="9"/>
  <c r="J1689" i="9"/>
  <c r="I1689" i="9"/>
  <c r="H1689" i="9"/>
  <c r="G1689" i="9"/>
  <c r="F1689" i="9"/>
  <c r="E1689" i="9"/>
  <c r="D1689" i="9"/>
  <c r="C1689" i="9"/>
  <c r="B1689" i="9"/>
  <c r="A1689" i="9"/>
  <c r="M1688" i="9"/>
  <c r="L1688" i="9"/>
  <c r="K1688" i="9"/>
  <c r="J1688" i="9"/>
  <c r="I1688" i="9"/>
  <c r="H1688" i="9"/>
  <c r="G1688" i="9"/>
  <c r="F1688" i="9"/>
  <c r="E1688" i="9"/>
  <c r="D1688" i="9"/>
  <c r="C1688" i="9"/>
  <c r="B1688" i="9"/>
  <c r="A1688" i="9"/>
  <c r="M1687" i="9"/>
  <c r="L1687" i="9"/>
  <c r="K1687" i="9"/>
  <c r="J1687" i="9"/>
  <c r="I1687" i="9"/>
  <c r="H1687" i="9"/>
  <c r="G1687" i="9"/>
  <c r="F1687" i="9"/>
  <c r="E1687" i="9"/>
  <c r="D1687" i="9"/>
  <c r="C1687" i="9"/>
  <c r="B1687" i="9"/>
  <c r="A1687" i="9"/>
  <c r="M1686" i="9"/>
  <c r="L1686" i="9"/>
  <c r="K1686" i="9"/>
  <c r="J1686" i="9"/>
  <c r="I1686" i="9"/>
  <c r="H1686" i="9"/>
  <c r="G1686" i="9"/>
  <c r="F1686" i="9"/>
  <c r="E1686" i="9"/>
  <c r="D1686" i="9"/>
  <c r="C1686" i="9"/>
  <c r="B1686" i="9"/>
  <c r="A1686" i="9"/>
  <c r="M1685" i="9"/>
  <c r="L1685" i="9"/>
  <c r="K1685" i="9"/>
  <c r="J1685" i="9"/>
  <c r="I1685" i="9"/>
  <c r="H1685" i="9"/>
  <c r="G1685" i="9"/>
  <c r="F1685" i="9"/>
  <c r="E1685" i="9"/>
  <c r="D1685" i="9"/>
  <c r="C1685" i="9"/>
  <c r="B1685" i="9"/>
  <c r="A1685" i="9"/>
  <c r="M1684" i="9"/>
  <c r="L1684" i="9"/>
  <c r="K1684" i="9"/>
  <c r="J1684" i="9"/>
  <c r="I1684" i="9"/>
  <c r="H1684" i="9"/>
  <c r="G1684" i="9"/>
  <c r="F1684" i="9"/>
  <c r="E1684" i="9"/>
  <c r="D1684" i="9"/>
  <c r="C1684" i="9"/>
  <c r="B1684" i="9"/>
  <c r="A1684" i="9"/>
  <c r="M1683" i="9"/>
  <c r="L1683" i="9"/>
  <c r="K1683" i="9"/>
  <c r="J1683" i="9"/>
  <c r="I1683" i="9"/>
  <c r="H1683" i="9"/>
  <c r="G1683" i="9"/>
  <c r="F1683" i="9"/>
  <c r="E1683" i="9"/>
  <c r="D1683" i="9"/>
  <c r="C1683" i="9"/>
  <c r="B1683" i="9"/>
  <c r="A1683" i="9"/>
  <c r="M1682" i="9"/>
  <c r="L1682" i="9"/>
  <c r="K1682" i="9"/>
  <c r="J1682" i="9"/>
  <c r="I1682" i="9"/>
  <c r="H1682" i="9"/>
  <c r="G1682" i="9"/>
  <c r="F1682" i="9"/>
  <c r="E1682" i="9"/>
  <c r="D1682" i="9"/>
  <c r="C1682" i="9"/>
  <c r="B1682" i="9"/>
  <c r="A1682" i="9"/>
  <c r="M1681" i="9"/>
  <c r="L1681" i="9"/>
  <c r="K1681" i="9"/>
  <c r="J1681" i="9"/>
  <c r="I1681" i="9"/>
  <c r="H1681" i="9"/>
  <c r="G1681" i="9"/>
  <c r="F1681" i="9"/>
  <c r="E1681" i="9"/>
  <c r="D1681" i="9"/>
  <c r="C1681" i="9"/>
  <c r="B1681" i="9"/>
  <c r="A1681" i="9"/>
  <c r="M1680" i="9"/>
  <c r="L1680" i="9"/>
  <c r="K1680" i="9"/>
  <c r="J1680" i="9"/>
  <c r="I1680" i="9"/>
  <c r="H1680" i="9"/>
  <c r="G1680" i="9"/>
  <c r="F1680" i="9"/>
  <c r="E1680" i="9"/>
  <c r="D1680" i="9"/>
  <c r="C1680" i="9"/>
  <c r="B1680" i="9"/>
  <c r="A1680" i="9"/>
  <c r="M1679" i="9"/>
  <c r="L1679" i="9"/>
  <c r="K1679" i="9"/>
  <c r="J1679" i="9"/>
  <c r="I1679" i="9"/>
  <c r="H1679" i="9"/>
  <c r="G1679" i="9"/>
  <c r="F1679" i="9"/>
  <c r="E1679" i="9"/>
  <c r="D1679" i="9"/>
  <c r="C1679" i="9"/>
  <c r="B1679" i="9"/>
  <c r="A1679" i="9"/>
  <c r="M1678" i="9"/>
  <c r="L1678" i="9"/>
  <c r="K1678" i="9"/>
  <c r="J1678" i="9"/>
  <c r="I1678" i="9"/>
  <c r="H1678" i="9"/>
  <c r="G1678" i="9"/>
  <c r="F1678" i="9"/>
  <c r="E1678" i="9"/>
  <c r="D1678" i="9"/>
  <c r="C1678" i="9"/>
  <c r="B1678" i="9"/>
  <c r="A1678" i="9"/>
  <c r="M1677" i="9"/>
  <c r="L1677" i="9"/>
  <c r="K1677" i="9"/>
  <c r="J1677" i="9"/>
  <c r="I1677" i="9"/>
  <c r="H1677" i="9"/>
  <c r="G1677" i="9"/>
  <c r="F1677" i="9"/>
  <c r="E1677" i="9"/>
  <c r="D1677" i="9"/>
  <c r="C1677" i="9"/>
  <c r="B1677" i="9"/>
  <c r="A1677" i="9"/>
  <c r="M1676" i="9"/>
  <c r="L1676" i="9"/>
  <c r="K1676" i="9"/>
  <c r="J1676" i="9"/>
  <c r="I1676" i="9"/>
  <c r="H1676" i="9"/>
  <c r="G1676" i="9"/>
  <c r="F1676" i="9"/>
  <c r="E1676" i="9"/>
  <c r="D1676" i="9"/>
  <c r="C1676" i="9"/>
  <c r="B1676" i="9"/>
  <c r="A1676" i="9"/>
  <c r="M1675" i="9"/>
  <c r="L1675" i="9"/>
  <c r="K1675" i="9"/>
  <c r="J1675" i="9"/>
  <c r="I1675" i="9"/>
  <c r="H1675" i="9"/>
  <c r="G1675" i="9"/>
  <c r="F1675" i="9"/>
  <c r="E1675" i="9"/>
  <c r="D1675" i="9"/>
  <c r="C1675" i="9"/>
  <c r="B1675" i="9"/>
  <c r="A1675" i="9"/>
  <c r="M1674" i="9"/>
  <c r="L1674" i="9"/>
  <c r="K1674" i="9"/>
  <c r="J1674" i="9"/>
  <c r="I1674" i="9"/>
  <c r="H1674" i="9"/>
  <c r="G1674" i="9"/>
  <c r="F1674" i="9"/>
  <c r="E1674" i="9"/>
  <c r="D1674" i="9"/>
  <c r="C1674" i="9"/>
  <c r="B1674" i="9"/>
  <c r="A1674" i="9"/>
  <c r="M1673" i="9"/>
  <c r="L1673" i="9"/>
  <c r="K1673" i="9"/>
  <c r="J1673" i="9"/>
  <c r="I1673" i="9"/>
  <c r="H1673" i="9"/>
  <c r="G1673" i="9"/>
  <c r="F1673" i="9"/>
  <c r="E1673" i="9"/>
  <c r="D1673" i="9"/>
  <c r="C1673" i="9"/>
  <c r="B1673" i="9"/>
  <c r="A1673" i="9"/>
  <c r="M1672" i="9"/>
  <c r="L1672" i="9"/>
  <c r="K1672" i="9"/>
  <c r="J1672" i="9"/>
  <c r="I1672" i="9"/>
  <c r="H1672" i="9"/>
  <c r="G1672" i="9"/>
  <c r="F1672" i="9"/>
  <c r="E1672" i="9"/>
  <c r="D1672" i="9"/>
  <c r="C1672" i="9"/>
  <c r="B1672" i="9"/>
  <c r="A1672" i="9"/>
  <c r="M1671" i="9"/>
  <c r="L1671" i="9"/>
  <c r="K1671" i="9"/>
  <c r="J1671" i="9"/>
  <c r="I1671" i="9"/>
  <c r="H1671" i="9"/>
  <c r="G1671" i="9"/>
  <c r="F1671" i="9"/>
  <c r="E1671" i="9"/>
  <c r="D1671" i="9"/>
  <c r="C1671" i="9"/>
  <c r="B1671" i="9"/>
  <c r="A1671" i="9"/>
  <c r="M1670" i="9"/>
  <c r="L1670" i="9"/>
  <c r="K1670" i="9"/>
  <c r="J1670" i="9"/>
  <c r="I1670" i="9"/>
  <c r="H1670" i="9"/>
  <c r="G1670" i="9"/>
  <c r="F1670" i="9"/>
  <c r="E1670" i="9"/>
  <c r="D1670" i="9"/>
  <c r="C1670" i="9"/>
  <c r="B1670" i="9"/>
  <c r="A1670" i="9"/>
  <c r="M1669" i="9"/>
  <c r="L1669" i="9"/>
  <c r="K1669" i="9"/>
  <c r="J1669" i="9"/>
  <c r="I1669" i="9"/>
  <c r="H1669" i="9"/>
  <c r="G1669" i="9"/>
  <c r="F1669" i="9"/>
  <c r="E1669" i="9"/>
  <c r="D1669" i="9"/>
  <c r="C1669" i="9"/>
  <c r="B1669" i="9"/>
  <c r="A1669" i="9"/>
  <c r="M1668" i="9"/>
  <c r="L1668" i="9"/>
  <c r="K1668" i="9"/>
  <c r="J1668" i="9"/>
  <c r="I1668" i="9"/>
  <c r="H1668" i="9"/>
  <c r="G1668" i="9"/>
  <c r="F1668" i="9"/>
  <c r="E1668" i="9"/>
  <c r="D1668" i="9"/>
  <c r="C1668" i="9"/>
  <c r="B1668" i="9"/>
  <c r="A1668" i="9"/>
  <c r="M1667" i="9"/>
  <c r="L1667" i="9"/>
  <c r="K1667" i="9"/>
  <c r="J1667" i="9"/>
  <c r="I1667" i="9"/>
  <c r="H1667" i="9"/>
  <c r="G1667" i="9"/>
  <c r="F1667" i="9"/>
  <c r="E1667" i="9"/>
  <c r="D1667" i="9"/>
  <c r="C1667" i="9"/>
  <c r="B1667" i="9"/>
  <c r="A1667" i="9"/>
  <c r="M1666" i="9"/>
  <c r="L1666" i="9"/>
  <c r="K1666" i="9"/>
  <c r="J1666" i="9"/>
  <c r="I1666" i="9"/>
  <c r="H1666" i="9"/>
  <c r="G1666" i="9"/>
  <c r="F1666" i="9"/>
  <c r="E1666" i="9"/>
  <c r="D1666" i="9"/>
  <c r="C1666" i="9"/>
  <c r="B1666" i="9"/>
  <c r="A1666" i="9"/>
  <c r="M1665" i="9"/>
  <c r="L1665" i="9"/>
  <c r="K1665" i="9"/>
  <c r="J1665" i="9"/>
  <c r="I1665" i="9"/>
  <c r="H1665" i="9"/>
  <c r="G1665" i="9"/>
  <c r="F1665" i="9"/>
  <c r="E1665" i="9"/>
  <c r="D1665" i="9"/>
  <c r="C1665" i="9"/>
  <c r="B1665" i="9"/>
  <c r="A1665" i="9"/>
  <c r="M1664" i="9"/>
  <c r="L1664" i="9"/>
  <c r="K1664" i="9"/>
  <c r="J1664" i="9"/>
  <c r="I1664" i="9"/>
  <c r="H1664" i="9"/>
  <c r="G1664" i="9"/>
  <c r="F1664" i="9"/>
  <c r="E1664" i="9"/>
  <c r="D1664" i="9"/>
  <c r="C1664" i="9"/>
  <c r="B1664" i="9"/>
  <c r="A1664" i="9"/>
  <c r="M1663" i="9"/>
  <c r="L1663" i="9"/>
  <c r="K1663" i="9"/>
  <c r="J1663" i="9"/>
  <c r="I1663" i="9"/>
  <c r="H1663" i="9"/>
  <c r="G1663" i="9"/>
  <c r="F1663" i="9"/>
  <c r="E1663" i="9"/>
  <c r="D1663" i="9"/>
  <c r="C1663" i="9"/>
  <c r="B1663" i="9"/>
  <c r="A1663" i="9"/>
  <c r="M1662" i="9"/>
  <c r="L1662" i="9"/>
  <c r="K1662" i="9"/>
  <c r="J1662" i="9"/>
  <c r="I1662" i="9"/>
  <c r="H1662" i="9"/>
  <c r="G1662" i="9"/>
  <c r="F1662" i="9"/>
  <c r="E1662" i="9"/>
  <c r="D1662" i="9"/>
  <c r="C1662" i="9"/>
  <c r="B1662" i="9"/>
  <c r="A1662" i="9"/>
  <c r="M1661" i="9"/>
  <c r="L1661" i="9"/>
  <c r="K1661" i="9"/>
  <c r="J1661" i="9"/>
  <c r="I1661" i="9"/>
  <c r="H1661" i="9"/>
  <c r="G1661" i="9"/>
  <c r="F1661" i="9"/>
  <c r="E1661" i="9"/>
  <c r="D1661" i="9"/>
  <c r="C1661" i="9"/>
  <c r="B1661" i="9"/>
  <c r="A1661" i="9"/>
  <c r="M1660" i="9"/>
  <c r="L1660" i="9"/>
  <c r="K1660" i="9"/>
  <c r="J1660" i="9"/>
  <c r="I1660" i="9"/>
  <c r="H1660" i="9"/>
  <c r="G1660" i="9"/>
  <c r="F1660" i="9"/>
  <c r="E1660" i="9"/>
  <c r="D1660" i="9"/>
  <c r="C1660" i="9"/>
  <c r="B1660" i="9"/>
  <c r="A1660" i="9"/>
  <c r="M1659" i="9"/>
  <c r="L1659" i="9"/>
  <c r="K1659" i="9"/>
  <c r="J1659" i="9"/>
  <c r="I1659" i="9"/>
  <c r="H1659" i="9"/>
  <c r="G1659" i="9"/>
  <c r="F1659" i="9"/>
  <c r="E1659" i="9"/>
  <c r="D1659" i="9"/>
  <c r="C1659" i="9"/>
  <c r="B1659" i="9"/>
  <c r="A1659" i="9"/>
  <c r="M1658" i="9"/>
  <c r="L1658" i="9"/>
  <c r="K1658" i="9"/>
  <c r="J1658" i="9"/>
  <c r="I1658" i="9"/>
  <c r="H1658" i="9"/>
  <c r="G1658" i="9"/>
  <c r="F1658" i="9"/>
  <c r="E1658" i="9"/>
  <c r="D1658" i="9"/>
  <c r="C1658" i="9"/>
  <c r="B1658" i="9"/>
  <c r="A1658" i="9"/>
  <c r="M1657" i="9"/>
  <c r="L1657" i="9"/>
  <c r="K1657" i="9"/>
  <c r="J1657" i="9"/>
  <c r="I1657" i="9"/>
  <c r="H1657" i="9"/>
  <c r="G1657" i="9"/>
  <c r="F1657" i="9"/>
  <c r="E1657" i="9"/>
  <c r="D1657" i="9"/>
  <c r="C1657" i="9"/>
  <c r="B1657" i="9"/>
  <c r="A1657" i="9"/>
  <c r="M1656" i="9"/>
  <c r="L1656" i="9"/>
  <c r="K1656" i="9"/>
  <c r="J1656" i="9"/>
  <c r="I1656" i="9"/>
  <c r="H1656" i="9"/>
  <c r="G1656" i="9"/>
  <c r="F1656" i="9"/>
  <c r="E1656" i="9"/>
  <c r="D1656" i="9"/>
  <c r="C1656" i="9"/>
  <c r="B1656" i="9"/>
  <c r="A1656" i="9"/>
  <c r="M1655" i="9"/>
  <c r="L1655" i="9"/>
  <c r="K1655" i="9"/>
  <c r="J1655" i="9"/>
  <c r="I1655" i="9"/>
  <c r="H1655" i="9"/>
  <c r="G1655" i="9"/>
  <c r="F1655" i="9"/>
  <c r="E1655" i="9"/>
  <c r="D1655" i="9"/>
  <c r="C1655" i="9"/>
  <c r="B1655" i="9"/>
  <c r="A1655" i="9"/>
  <c r="M1654" i="9"/>
  <c r="L1654" i="9"/>
  <c r="K1654" i="9"/>
  <c r="J1654" i="9"/>
  <c r="I1654" i="9"/>
  <c r="H1654" i="9"/>
  <c r="G1654" i="9"/>
  <c r="F1654" i="9"/>
  <c r="E1654" i="9"/>
  <c r="D1654" i="9"/>
  <c r="C1654" i="9"/>
  <c r="B1654" i="9"/>
  <c r="A1654" i="9"/>
  <c r="M1653" i="9"/>
  <c r="L1653" i="9"/>
  <c r="K1653" i="9"/>
  <c r="J1653" i="9"/>
  <c r="I1653" i="9"/>
  <c r="H1653" i="9"/>
  <c r="G1653" i="9"/>
  <c r="F1653" i="9"/>
  <c r="E1653" i="9"/>
  <c r="D1653" i="9"/>
  <c r="C1653" i="9"/>
  <c r="B1653" i="9"/>
  <c r="A1653" i="9"/>
  <c r="M1652" i="9"/>
  <c r="L1652" i="9"/>
  <c r="K1652" i="9"/>
  <c r="J1652" i="9"/>
  <c r="I1652" i="9"/>
  <c r="H1652" i="9"/>
  <c r="G1652" i="9"/>
  <c r="F1652" i="9"/>
  <c r="E1652" i="9"/>
  <c r="D1652" i="9"/>
  <c r="C1652" i="9"/>
  <c r="B1652" i="9"/>
  <c r="A1652" i="9"/>
  <c r="M1651" i="9"/>
  <c r="L1651" i="9"/>
  <c r="K1651" i="9"/>
  <c r="J1651" i="9"/>
  <c r="I1651" i="9"/>
  <c r="H1651" i="9"/>
  <c r="G1651" i="9"/>
  <c r="F1651" i="9"/>
  <c r="E1651" i="9"/>
  <c r="D1651" i="9"/>
  <c r="C1651" i="9"/>
  <c r="B1651" i="9"/>
  <c r="A1651" i="9"/>
  <c r="M1650" i="9"/>
  <c r="L1650" i="9"/>
  <c r="K1650" i="9"/>
  <c r="J1650" i="9"/>
  <c r="I1650" i="9"/>
  <c r="H1650" i="9"/>
  <c r="G1650" i="9"/>
  <c r="F1650" i="9"/>
  <c r="E1650" i="9"/>
  <c r="D1650" i="9"/>
  <c r="C1650" i="9"/>
  <c r="B1650" i="9"/>
  <c r="A1650" i="9"/>
  <c r="M1649" i="9"/>
  <c r="L1649" i="9"/>
  <c r="K1649" i="9"/>
  <c r="J1649" i="9"/>
  <c r="I1649" i="9"/>
  <c r="H1649" i="9"/>
  <c r="G1649" i="9"/>
  <c r="F1649" i="9"/>
  <c r="E1649" i="9"/>
  <c r="D1649" i="9"/>
  <c r="C1649" i="9"/>
  <c r="B1649" i="9"/>
  <c r="A1649" i="9"/>
  <c r="M1648" i="9"/>
  <c r="L1648" i="9"/>
  <c r="K1648" i="9"/>
  <c r="J1648" i="9"/>
  <c r="I1648" i="9"/>
  <c r="H1648" i="9"/>
  <c r="G1648" i="9"/>
  <c r="F1648" i="9"/>
  <c r="E1648" i="9"/>
  <c r="D1648" i="9"/>
  <c r="C1648" i="9"/>
  <c r="B1648" i="9"/>
  <c r="A1648" i="9"/>
  <c r="M1647" i="9"/>
  <c r="L1647" i="9"/>
  <c r="K1647" i="9"/>
  <c r="J1647" i="9"/>
  <c r="I1647" i="9"/>
  <c r="H1647" i="9"/>
  <c r="G1647" i="9"/>
  <c r="F1647" i="9"/>
  <c r="E1647" i="9"/>
  <c r="D1647" i="9"/>
  <c r="C1647" i="9"/>
  <c r="B1647" i="9"/>
  <c r="A1647" i="9"/>
  <c r="M1646" i="9"/>
  <c r="L1646" i="9"/>
  <c r="K1646" i="9"/>
  <c r="J1646" i="9"/>
  <c r="I1646" i="9"/>
  <c r="H1646" i="9"/>
  <c r="G1646" i="9"/>
  <c r="F1646" i="9"/>
  <c r="E1646" i="9"/>
  <c r="D1646" i="9"/>
  <c r="C1646" i="9"/>
  <c r="B1646" i="9"/>
  <c r="A1646" i="9"/>
  <c r="M1645" i="9"/>
  <c r="L1645" i="9"/>
  <c r="K1645" i="9"/>
  <c r="J1645" i="9"/>
  <c r="I1645" i="9"/>
  <c r="H1645" i="9"/>
  <c r="G1645" i="9"/>
  <c r="F1645" i="9"/>
  <c r="E1645" i="9"/>
  <c r="D1645" i="9"/>
  <c r="C1645" i="9"/>
  <c r="B1645" i="9"/>
  <c r="A1645" i="9"/>
  <c r="M1644" i="9"/>
  <c r="L1644" i="9"/>
  <c r="K1644" i="9"/>
  <c r="J1644" i="9"/>
  <c r="I1644" i="9"/>
  <c r="H1644" i="9"/>
  <c r="G1644" i="9"/>
  <c r="F1644" i="9"/>
  <c r="E1644" i="9"/>
  <c r="D1644" i="9"/>
  <c r="C1644" i="9"/>
  <c r="B1644" i="9"/>
  <c r="A1644" i="9"/>
  <c r="M1643" i="9"/>
  <c r="L1643" i="9"/>
  <c r="K1643" i="9"/>
  <c r="J1643" i="9"/>
  <c r="I1643" i="9"/>
  <c r="H1643" i="9"/>
  <c r="G1643" i="9"/>
  <c r="F1643" i="9"/>
  <c r="E1643" i="9"/>
  <c r="D1643" i="9"/>
  <c r="C1643" i="9"/>
  <c r="B1643" i="9"/>
  <c r="A1643" i="9"/>
  <c r="M1642" i="9"/>
  <c r="L1642" i="9"/>
  <c r="K1642" i="9"/>
  <c r="J1642" i="9"/>
  <c r="I1642" i="9"/>
  <c r="H1642" i="9"/>
  <c r="G1642" i="9"/>
  <c r="F1642" i="9"/>
  <c r="E1642" i="9"/>
  <c r="D1642" i="9"/>
  <c r="C1642" i="9"/>
  <c r="B1642" i="9"/>
  <c r="A1642" i="9"/>
  <c r="M1641" i="9"/>
  <c r="L1641" i="9"/>
  <c r="K1641" i="9"/>
  <c r="J1641" i="9"/>
  <c r="I1641" i="9"/>
  <c r="H1641" i="9"/>
  <c r="G1641" i="9"/>
  <c r="F1641" i="9"/>
  <c r="E1641" i="9"/>
  <c r="D1641" i="9"/>
  <c r="C1641" i="9"/>
  <c r="B1641" i="9"/>
  <c r="A1641" i="9"/>
  <c r="M1640" i="9"/>
  <c r="L1640" i="9"/>
  <c r="K1640" i="9"/>
  <c r="J1640" i="9"/>
  <c r="I1640" i="9"/>
  <c r="H1640" i="9"/>
  <c r="G1640" i="9"/>
  <c r="F1640" i="9"/>
  <c r="E1640" i="9"/>
  <c r="D1640" i="9"/>
  <c r="C1640" i="9"/>
  <c r="B1640" i="9"/>
  <c r="A1640" i="9"/>
  <c r="M1639" i="9"/>
  <c r="L1639" i="9"/>
  <c r="K1639" i="9"/>
  <c r="J1639" i="9"/>
  <c r="I1639" i="9"/>
  <c r="H1639" i="9"/>
  <c r="G1639" i="9"/>
  <c r="F1639" i="9"/>
  <c r="E1639" i="9"/>
  <c r="D1639" i="9"/>
  <c r="C1639" i="9"/>
  <c r="B1639" i="9"/>
  <c r="A1639" i="9"/>
  <c r="M1638" i="9"/>
  <c r="L1638" i="9"/>
  <c r="K1638" i="9"/>
  <c r="J1638" i="9"/>
  <c r="I1638" i="9"/>
  <c r="H1638" i="9"/>
  <c r="G1638" i="9"/>
  <c r="F1638" i="9"/>
  <c r="E1638" i="9"/>
  <c r="D1638" i="9"/>
  <c r="C1638" i="9"/>
  <c r="B1638" i="9"/>
  <c r="A1638" i="9"/>
  <c r="M1637" i="9"/>
  <c r="L1637" i="9"/>
  <c r="K1637" i="9"/>
  <c r="J1637" i="9"/>
  <c r="I1637" i="9"/>
  <c r="H1637" i="9"/>
  <c r="G1637" i="9"/>
  <c r="F1637" i="9"/>
  <c r="E1637" i="9"/>
  <c r="D1637" i="9"/>
  <c r="C1637" i="9"/>
  <c r="B1637" i="9"/>
  <c r="A1637" i="9"/>
  <c r="M1636" i="9"/>
  <c r="L1636" i="9"/>
  <c r="K1636" i="9"/>
  <c r="J1636" i="9"/>
  <c r="I1636" i="9"/>
  <c r="H1636" i="9"/>
  <c r="G1636" i="9"/>
  <c r="F1636" i="9"/>
  <c r="E1636" i="9"/>
  <c r="D1636" i="9"/>
  <c r="C1636" i="9"/>
  <c r="B1636" i="9"/>
  <c r="A1636" i="9"/>
  <c r="M1635" i="9"/>
  <c r="L1635" i="9"/>
  <c r="K1635" i="9"/>
  <c r="J1635" i="9"/>
  <c r="I1635" i="9"/>
  <c r="H1635" i="9"/>
  <c r="G1635" i="9"/>
  <c r="F1635" i="9"/>
  <c r="E1635" i="9"/>
  <c r="D1635" i="9"/>
  <c r="C1635" i="9"/>
  <c r="B1635" i="9"/>
  <c r="A1635" i="9"/>
  <c r="M1634" i="9"/>
  <c r="L1634" i="9"/>
  <c r="K1634" i="9"/>
  <c r="J1634" i="9"/>
  <c r="I1634" i="9"/>
  <c r="H1634" i="9"/>
  <c r="G1634" i="9"/>
  <c r="F1634" i="9"/>
  <c r="E1634" i="9"/>
  <c r="D1634" i="9"/>
  <c r="C1634" i="9"/>
  <c r="B1634" i="9"/>
  <c r="A1634" i="9"/>
  <c r="M1633" i="9"/>
  <c r="L1633" i="9"/>
  <c r="K1633" i="9"/>
  <c r="J1633" i="9"/>
  <c r="I1633" i="9"/>
  <c r="H1633" i="9"/>
  <c r="G1633" i="9"/>
  <c r="F1633" i="9"/>
  <c r="E1633" i="9"/>
  <c r="D1633" i="9"/>
  <c r="C1633" i="9"/>
  <c r="B1633" i="9"/>
  <c r="A1633" i="9"/>
  <c r="M1632" i="9"/>
  <c r="L1632" i="9"/>
  <c r="K1632" i="9"/>
  <c r="J1632" i="9"/>
  <c r="I1632" i="9"/>
  <c r="H1632" i="9"/>
  <c r="G1632" i="9"/>
  <c r="F1632" i="9"/>
  <c r="E1632" i="9"/>
  <c r="D1632" i="9"/>
  <c r="C1632" i="9"/>
  <c r="B1632" i="9"/>
  <c r="A1632" i="9"/>
  <c r="M1631" i="9"/>
  <c r="L1631" i="9"/>
  <c r="K1631" i="9"/>
  <c r="J1631" i="9"/>
  <c r="I1631" i="9"/>
  <c r="H1631" i="9"/>
  <c r="G1631" i="9"/>
  <c r="F1631" i="9"/>
  <c r="E1631" i="9"/>
  <c r="D1631" i="9"/>
  <c r="C1631" i="9"/>
  <c r="B1631" i="9"/>
  <c r="A1631" i="9"/>
  <c r="M1630" i="9"/>
  <c r="L1630" i="9"/>
  <c r="K1630" i="9"/>
  <c r="J1630" i="9"/>
  <c r="I1630" i="9"/>
  <c r="H1630" i="9"/>
  <c r="G1630" i="9"/>
  <c r="F1630" i="9"/>
  <c r="E1630" i="9"/>
  <c r="D1630" i="9"/>
  <c r="C1630" i="9"/>
  <c r="B1630" i="9"/>
  <c r="A1630" i="9"/>
  <c r="M1629" i="9"/>
  <c r="L1629" i="9"/>
  <c r="K1629" i="9"/>
  <c r="J1629" i="9"/>
  <c r="I1629" i="9"/>
  <c r="H1629" i="9"/>
  <c r="G1629" i="9"/>
  <c r="F1629" i="9"/>
  <c r="E1629" i="9"/>
  <c r="D1629" i="9"/>
  <c r="C1629" i="9"/>
  <c r="B1629" i="9"/>
  <c r="A1629" i="9"/>
  <c r="M1628" i="9"/>
  <c r="L1628" i="9"/>
  <c r="K1628" i="9"/>
  <c r="J1628" i="9"/>
  <c r="I1628" i="9"/>
  <c r="H1628" i="9"/>
  <c r="G1628" i="9"/>
  <c r="F1628" i="9"/>
  <c r="E1628" i="9"/>
  <c r="D1628" i="9"/>
  <c r="C1628" i="9"/>
  <c r="B1628" i="9"/>
  <c r="A1628" i="9"/>
  <c r="M1627" i="9"/>
  <c r="L1627" i="9"/>
  <c r="K1627" i="9"/>
  <c r="J1627" i="9"/>
  <c r="I1627" i="9"/>
  <c r="H1627" i="9"/>
  <c r="G1627" i="9"/>
  <c r="F1627" i="9"/>
  <c r="E1627" i="9"/>
  <c r="D1627" i="9"/>
  <c r="C1627" i="9"/>
  <c r="B1627" i="9"/>
  <c r="A1627" i="9"/>
  <c r="M1626" i="9"/>
  <c r="L1626" i="9"/>
  <c r="K1626" i="9"/>
  <c r="J1626" i="9"/>
  <c r="I1626" i="9"/>
  <c r="H1626" i="9"/>
  <c r="G1626" i="9"/>
  <c r="F1626" i="9"/>
  <c r="E1626" i="9"/>
  <c r="D1626" i="9"/>
  <c r="C1626" i="9"/>
  <c r="B1626" i="9"/>
  <c r="A1626" i="9"/>
  <c r="M1625" i="9"/>
  <c r="L1625" i="9"/>
  <c r="K1625" i="9"/>
  <c r="J1625" i="9"/>
  <c r="I1625" i="9"/>
  <c r="H1625" i="9"/>
  <c r="G1625" i="9"/>
  <c r="F1625" i="9"/>
  <c r="E1625" i="9"/>
  <c r="D1625" i="9"/>
  <c r="C1625" i="9"/>
  <c r="B1625" i="9"/>
  <c r="A1625" i="9"/>
  <c r="M1624" i="9"/>
  <c r="L1624" i="9"/>
  <c r="K1624" i="9"/>
  <c r="J1624" i="9"/>
  <c r="I1624" i="9"/>
  <c r="H1624" i="9"/>
  <c r="G1624" i="9"/>
  <c r="F1624" i="9"/>
  <c r="E1624" i="9"/>
  <c r="D1624" i="9"/>
  <c r="C1624" i="9"/>
  <c r="B1624" i="9"/>
  <c r="A1624" i="9"/>
  <c r="M1623" i="9"/>
  <c r="L1623" i="9"/>
  <c r="K1623" i="9"/>
  <c r="J1623" i="9"/>
  <c r="I1623" i="9"/>
  <c r="H1623" i="9"/>
  <c r="G1623" i="9"/>
  <c r="F1623" i="9"/>
  <c r="E1623" i="9"/>
  <c r="D1623" i="9"/>
  <c r="C1623" i="9"/>
  <c r="B1623" i="9"/>
  <c r="A1623" i="9"/>
  <c r="M1622" i="9"/>
  <c r="L1622" i="9"/>
  <c r="K1622" i="9"/>
  <c r="J1622" i="9"/>
  <c r="I1622" i="9"/>
  <c r="H1622" i="9"/>
  <c r="G1622" i="9"/>
  <c r="F1622" i="9"/>
  <c r="E1622" i="9"/>
  <c r="D1622" i="9"/>
  <c r="C1622" i="9"/>
  <c r="B1622" i="9"/>
  <c r="A1622" i="9"/>
  <c r="M1621" i="9"/>
  <c r="L1621" i="9"/>
  <c r="K1621" i="9"/>
  <c r="J1621" i="9"/>
  <c r="I1621" i="9"/>
  <c r="H1621" i="9"/>
  <c r="G1621" i="9"/>
  <c r="F1621" i="9"/>
  <c r="E1621" i="9"/>
  <c r="D1621" i="9"/>
  <c r="C1621" i="9"/>
  <c r="B1621" i="9"/>
  <c r="A1621" i="9"/>
  <c r="M1620" i="9"/>
  <c r="L1620" i="9"/>
  <c r="K1620" i="9"/>
  <c r="J1620" i="9"/>
  <c r="I1620" i="9"/>
  <c r="H1620" i="9"/>
  <c r="G1620" i="9"/>
  <c r="F1620" i="9"/>
  <c r="E1620" i="9"/>
  <c r="D1620" i="9"/>
  <c r="C1620" i="9"/>
  <c r="B1620" i="9"/>
  <c r="A1620" i="9"/>
  <c r="M1619" i="9"/>
  <c r="L1619" i="9"/>
  <c r="K1619" i="9"/>
  <c r="J1619" i="9"/>
  <c r="I1619" i="9"/>
  <c r="H1619" i="9"/>
  <c r="G1619" i="9"/>
  <c r="F1619" i="9"/>
  <c r="E1619" i="9"/>
  <c r="D1619" i="9"/>
  <c r="C1619" i="9"/>
  <c r="B1619" i="9"/>
  <c r="A1619" i="9"/>
  <c r="M1618" i="9"/>
  <c r="L1618" i="9"/>
  <c r="K1618" i="9"/>
  <c r="J1618" i="9"/>
  <c r="I1618" i="9"/>
  <c r="H1618" i="9"/>
  <c r="G1618" i="9"/>
  <c r="F1618" i="9"/>
  <c r="E1618" i="9"/>
  <c r="D1618" i="9"/>
  <c r="C1618" i="9"/>
  <c r="B1618" i="9"/>
  <c r="A1618" i="9"/>
  <c r="M1617" i="9"/>
  <c r="L1617" i="9"/>
  <c r="K1617" i="9"/>
  <c r="J1617" i="9"/>
  <c r="I1617" i="9"/>
  <c r="H1617" i="9"/>
  <c r="G1617" i="9"/>
  <c r="F1617" i="9"/>
  <c r="E1617" i="9"/>
  <c r="D1617" i="9"/>
  <c r="C1617" i="9"/>
  <c r="B1617" i="9"/>
  <c r="A1617" i="9"/>
  <c r="M1616" i="9"/>
  <c r="L1616" i="9"/>
  <c r="K1616" i="9"/>
  <c r="J1616" i="9"/>
  <c r="I1616" i="9"/>
  <c r="H1616" i="9"/>
  <c r="G1616" i="9"/>
  <c r="F1616" i="9"/>
  <c r="E1616" i="9"/>
  <c r="D1616" i="9"/>
  <c r="C1616" i="9"/>
  <c r="B1616" i="9"/>
  <c r="A1616" i="9"/>
  <c r="M1615" i="9"/>
  <c r="L1615" i="9"/>
  <c r="K1615" i="9"/>
  <c r="J1615" i="9"/>
  <c r="I1615" i="9"/>
  <c r="H1615" i="9"/>
  <c r="G1615" i="9"/>
  <c r="F1615" i="9"/>
  <c r="E1615" i="9"/>
  <c r="D1615" i="9"/>
  <c r="C1615" i="9"/>
  <c r="B1615" i="9"/>
  <c r="A1615" i="9"/>
  <c r="M1614" i="9"/>
  <c r="L1614" i="9"/>
  <c r="K1614" i="9"/>
  <c r="J1614" i="9"/>
  <c r="I1614" i="9"/>
  <c r="H1614" i="9"/>
  <c r="G1614" i="9"/>
  <c r="F1614" i="9"/>
  <c r="E1614" i="9"/>
  <c r="D1614" i="9"/>
  <c r="C1614" i="9"/>
  <c r="B1614" i="9"/>
  <c r="A1614" i="9"/>
  <c r="M1613" i="9"/>
  <c r="L1613" i="9"/>
  <c r="K1613" i="9"/>
  <c r="J1613" i="9"/>
  <c r="I1613" i="9"/>
  <c r="H1613" i="9"/>
  <c r="G1613" i="9"/>
  <c r="F1613" i="9"/>
  <c r="E1613" i="9"/>
  <c r="D1613" i="9"/>
  <c r="C1613" i="9"/>
  <c r="B1613" i="9"/>
  <c r="A1613" i="9"/>
  <c r="M1612" i="9"/>
  <c r="L1612" i="9"/>
  <c r="K1612" i="9"/>
  <c r="J1612" i="9"/>
  <c r="I1612" i="9"/>
  <c r="H1612" i="9"/>
  <c r="G1612" i="9"/>
  <c r="F1612" i="9"/>
  <c r="E1612" i="9"/>
  <c r="D1612" i="9"/>
  <c r="C1612" i="9"/>
  <c r="B1612" i="9"/>
  <c r="A1612" i="9"/>
  <c r="M1611" i="9"/>
  <c r="L1611" i="9"/>
  <c r="K1611" i="9"/>
  <c r="J1611" i="9"/>
  <c r="I1611" i="9"/>
  <c r="H1611" i="9"/>
  <c r="G1611" i="9"/>
  <c r="F1611" i="9"/>
  <c r="E1611" i="9"/>
  <c r="D1611" i="9"/>
  <c r="C1611" i="9"/>
  <c r="B1611" i="9"/>
  <c r="A1611" i="9"/>
  <c r="M1610" i="9"/>
  <c r="L1610" i="9"/>
  <c r="K1610" i="9"/>
  <c r="J1610" i="9"/>
  <c r="I1610" i="9"/>
  <c r="H1610" i="9"/>
  <c r="G1610" i="9"/>
  <c r="F1610" i="9"/>
  <c r="E1610" i="9"/>
  <c r="D1610" i="9"/>
  <c r="C1610" i="9"/>
  <c r="B1610" i="9"/>
  <c r="A1610" i="9"/>
  <c r="M1609" i="9"/>
  <c r="L1609" i="9"/>
  <c r="K1609" i="9"/>
  <c r="J1609" i="9"/>
  <c r="I1609" i="9"/>
  <c r="H1609" i="9"/>
  <c r="G1609" i="9"/>
  <c r="F1609" i="9"/>
  <c r="E1609" i="9"/>
  <c r="D1609" i="9"/>
  <c r="C1609" i="9"/>
  <c r="B1609" i="9"/>
  <c r="A1609" i="9"/>
  <c r="M1608" i="9"/>
  <c r="L1608" i="9"/>
  <c r="K1608" i="9"/>
  <c r="J1608" i="9"/>
  <c r="I1608" i="9"/>
  <c r="H1608" i="9"/>
  <c r="G1608" i="9"/>
  <c r="F1608" i="9"/>
  <c r="E1608" i="9"/>
  <c r="D1608" i="9"/>
  <c r="C1608" i="9"/>
  <c r="B1608" i="9"/>
  <c r="A1608" i="9"/>
  <c r="M1607" i="9"/>
  <c r="L1607" i="9"/>
  <c r="K1607" i="9"/>
  <c r="J1607" i="9"/>
  <c r="I1607" i="9"/>
  <c r="H1607" i="9"/>
  <c r="G1607" i="9"/>
  <c r="F1607" i="9"/>
  <c r="E1607" i="9"/>
  <c r="D1607" i="9"/>
  <c r="C1607" i="9"/>
  <c r="B1607" i="9"/>
  <c r="A1607" i="9"/>
  <c r="M1606" i="9"/>
  <c r="L1606" i="9"/>
  <c r="K1606" i="9"/>
  <c r="J1606" i="9"/>
  <c r="I1606" i="9"/>
  <c r="H1606" i="9"/>
  <c r="G1606" i="9"/>
  <c r="F1606" i="9"/>
  <c r="E1606" i="9"/>
  <c r="D1606" i="9"/>
  <c r="C1606" i="9"/>
  <c r="B1606" i="9"/>
  <c r="A1606" i="9"/>
  <c r="M1605" i="9"/>
  <c r="L1605" i="9"/>
  <c r="K1605" i="9"/>
  <c r="J1605" i="9"/>
  <c r="I1605" i="9"/>
  <c r="H1605" i="9"/>
  <c r="G1605" i="9"/>
  <c r="F1605" i="9"/>
  <c r="E1605" i="9"/>
  <c r="D1605" i="9"/>
  <c r="C1605" i="9"/>
  <c r="B1605" i="9"/>
  <c r="A1605" i="9"/>
  <c r="M1604" i="9"/>
  <c r="L1604" i="9"/>
  <c r="K1604" i="9"/>
  <c r="J1604" i="9"/>
  <c r="I1604" i="9"/>
  <c r="H1604" i="9"/>
  <c r="G1604" i="9"/>
  <c r="F1604" i="9"/>
  <c r="E1604" i="9"/>
  <c r="D1604" i="9"/>
  <c r="C1604" i="9"/>
  <c r="B1604" i="9"/>
  <c r="A1604" i="9"/>
  <c r="M1603" i="9"/>
  <c r="L1603" i="9"/>
  <c r="K1603" i="9"/>
  <c r="J1603" i="9"/>
  <c r="I1603" i="9"/>
  <c r="H1603" i="9"/>
  <c r="G1603" i="9"/>
  <c r="F1603" i="9"/>
  <c r="E1603" i="9"/>
  <c r="D1603" i="9"/>
  <c r="C1603" i="9"/>
  <c r="B1603" i="9"/>
  <c r="A1603" i="9"/>
  <c r="M1602" i="9"/>
  <c r="L1602" i="9"/>
  <c r="K1602" i="9"/>
  <c r="J1602" i="9"/>
  <c r="I1602" i="9"/>
  <c r="H1602" i="9"/>
  <c r="G1602" i="9"/>
  <c r="F1602" i="9"/>
  <c r="E1602" i="9"/>
  <c r="D1602" i="9"/>
  <c r="C1602" i="9"/>
  <c r="B1602" i="9"/>
  <c r="A1602" i="9"/>
  <c r="M1601" i="9"/>
  <c r="L1601" i="9"/>
  <c r="K1601" i="9"/>
  <c r="J1601" i="9"/>
  <c r="I1601" i="9"/>
  <c r="H1601" i="9"/>
  <c r="G1601" i="9"/>
  <c r="F1601" i="9"/>
  <c r="E1601" i="9"/>
  <c r="D1601" i="9"/>
  <c r="C1601" i="9"/>
  <c r="B1601" i="9"/>
  <c r="A1601" i="9"/>
  <c r="M1600" i="9"/>
  <c r="L1600" i="9"/>
  <c r="K1600" i="9"/>
  <c r="J1600" i="9"/>
  <c r="I1600" i="9"/>
  <c r="H1600" i="9"/>
  <c r="G1600" i="9"/>
  <c r="F1600" i="9"/>
  <c r="E1600" i="9"/>
  <c r="D1600" i="9"/>
  <c r="C1600" i="9"/>
  <c r="B1600" i="9"/>
  <c r="A1600" i="9"/>
  <c r="M1599" i="9"/>
  <c r="L1599" i="9"/>
  <c r="K1599" i="9"/>
  <c r="J1599" i="9"/>
  <c r="I1599" i="9"/>
  <c r="H1599" i="9"/>
  <c r="G1599" i="9"/>
  <c r="F1599" i="9"/>
  <c r="E1599" i="9"/>
  <c r="D1599" i="9"/>
  <c r="C1599" i="9"/>
  <c r="B1599" i="9"/>
  <c r="A1599" i="9"/>
  <c r="M1598" i="9"/>
  <c r="L1598" i="9"/>
  <c r="K1598" i="9"/>
  <c r="J1598" i="9"/>
  <c r="I1598" i="9"/>
  <c r="H1598" i="9"/>
  <c r="G1598" i="9"/>
  <c r="F1598" i="9"/>
  <c r="E1598" i="9"/>
  <c r="D1598" i="9"/>
  <c r="C1598" i="9"/>
  <c r="B1598" i="9"/>
  <c r="A1598" i="9"/>
  <c r="M1597" i="9"/>
  <c r="L1597" i="9"/>
  <c r="K1597" i="9"/>
  <c r="J1597" i="9"/>
  <c r="I1597" i="9"/>
  <c r="H1597" i="9"/>
  <c r="G1597" i="9"/>
  <c r="F1597" i="9"/>
  <c r="E1597" i="9"/>
  <c r="D1597" i="9"/>
  <c r="C1597" i="9"/>
  <c r="B1597" i="9"/>
  <c r="A1597" i="9"/>
  <c r="M1596" i="9"/>
  <c r="L1596" i="9"/>
  <c r="K1596" i="9"/>
  <c r="J1596" i="9"/>
  <c r="I1596" i="9"/>
  <c r="H1596" i="9"/>
  <c r="G1596" i="9"/>
  <c r="F1596" i="9"/>
  <c r="E1596" i="9"/>
  <c r="D1596" i="9"/>
  <c r="C1596" i="9"/>
  <c r="B1596" i="9"/>
  <c r="A1596" i="9"/>
  <c r="M1595" i="9"/>
  <c r="L1595" i="9"/>
  <c r="K1595" i="9"/>
  <c r="J1595" i="9"/>
  <c r="I1595" i="9"/>
  <c r="H1595" i="9"/>
  <c r="G1595" i="9"/>
  <c r="F1595" i="9"/>
  <c r="E1595" i="9"/>
  <c r="D1595" i="9"/>
  <c r="C1595" i="9"/>
  <c r="B1595" i="9"/>
  <c r="A1595" i="9"/>
  <c r="M1594" i="9"/>
  <c r="L1594" i="9"/>
  <c r="K1594" i="9"/>
  <c r="J1594" i="9"/>
  <c r="I1594" i="9"/>
  <c r="H1594" i="9"/>
  <c r="G1594" i="9"/>
  <c r="F1594" i="9"/>
  <c r="E1594" i="9"/>
  <c r="D1594" i="9"/>
  <c r="C1594" i="9"/>
  <c r="B1594" i="9"/>
  <c r="A1594" i="9"/>
  <c r="M1593" i="9"/>
  <c r="L1593" i="9"/>
  <c r="K1593" i="9"/>
  <c r="J1593" i="9"/>
  <c r="I1593" i="9"/>
  <c r="H1593" i="9"/>
  <c r="G1593" i="9"/>
  <c r="F1593" i="9"/>
  <c r="E1593" i="9"/>
  <c r="D1593" i="9"/>
  <c r="C1593" i="9"/>
  <c r="B1593" i="9"/>
  <c r="A1593" i="9"/>
  <c r="M1592" i="9"/>
  <c r="L1592" i="9"/>
  <c r="K1592" i="9"/>
  <c r="J1592" i="9"/>
  <c r="I1592" i="9"/>
  <c r="H1592" i="9"/>
  <c r="G1592" i="9"/>
  <c r="F1592" i="9"/>
  <c r="E1592" i="9"/>
  <c r="D1592" i="9"/>
  <c r="C1592" i="9"/>
  <c r="B1592" i="9"/>
  <c r="A1592" i="9"/>
  <c r="M1591" i="9"/>
  <c r="L1591" i="9"/>
  <c r="K1591" i="9"/>
  <c r="J1591" i="9"/>
  <c r="I1591" i="9"/>
  <c r="H1591" i="9"/>
  <c r="G1591" i="9"/>
  <c r="F1591" i="9"/>
  <c r="E1591" i="9"/>
  <c r="D1591" i="9"/>
  <c r="C1591" i="9"/>
  <c r="B1591" i="9"/>
  <c r="A1591" i="9"/>
  <c r="M1590" i="9"/>
  <c r="L1590" i="9"/>
  <c r="K1590" i="9"/>
  <c r="J1590" i="9"/>
  <c r="I1590" i="9"/>
  <c r="H1590" i="9"/>
  <c r="G1590" i="9"/>
  <c r="F1590" i="9"/>
  <c r="E1590" i="9"/>
  <c r="D1590" i="9"/>
  <c r="C1590" i="9"/>
  <c r="B1590" i="9"/>
  <c r="A1590" i="9"/>
  <c r="M1589" i="9"/>
  <c r="L1589" i="9"/>
  <c r="K1589" i="9"/>
  <c r="J1589" i="9"/>
  <c r="I1589" i="9"/>
  <c r="H1589" i="9"/>
  <c r="G1589" i="9"/>
  <c r="F1589" i="9"/>
  <c r="E1589" i="9"/>
  <c r="D1589" i="9"/>
  <c r="C1589" i="9"/>
  <c r="B1589" i="9"/>
  <c r="A1589" i="9"/>
  <c r="M1588" i="9"/>
  <c r="L1588" i="9"/>
  <c r="K1588" i="9"/>
  <c r="J1588" i="9"/>
  <c r="I1588" i="9"/>
  <c r="H1588" i="9"/>
  <c r="G1588" i="9"/>
  <c r="F1588" i="9"/>
  <c r="E1588" i="9"/>
  <c r="D1588" i="9"/>
  <c r="C1588" i="9"/>
  <c r="B1588" i="9"/>
  <c r="A1588" i="9"/>
  <c r="M1587" i="9"/>
  <c r="L1587" i="9"/>
  <c r="K1587" i="9"/>
  <c r="J1587" i="9"/>
  <c r="I1587" i="9"/>
  <c r="H1587" i="9"/>
  <c r="G1587" i="9"/>
  <c r="F1587" i="9"/>
  <c r="E1587" i="9"/>
  <c r="D1587" i="9"/>
  <c r="C1587" i="9"/>
  <c r="B1587" i="9"/>
  <c r="A1587" i="9"/>
  <c r="M1586" i="9"/>
  <c r="L1586" i="9"/>
  <c r="K1586" i="9"/>
  <c r="J1586" i="9"/>
  <c r="I1586" i="9"/>
  <c r="H1586" i="9"/>
  <c r="G1586" i="9"/>
  <c r="F1586" i="9"/>
  <c r="E1586" i="9"/>
  <c r="D1586" i="9"/>
  <c r="C1586" i="9"/>
  <c r="B1586" i="9"/>
  <c r="A1586" i="9"/>
  <c r="M1585" i="9"/>
  <c r="L1585" i="9"/>
  <c r="K1585" i="9"/>
  <c r="J1585" i="9"/>
  <c r="I1585" i="9"/>
  <c r="H1585" i="9"/>
  <c r="G1585" i="9"/>
  <c r="F1585" i="9"/>
  <c r="E1585" i="9"/>
  <c r="D1585" i="9"/>
  <c r="C1585" i="9"/>
  <c r="B1585" i="9"/>
  <c r="A1585" i="9"/>
  <c r="M1584" i="9"/>
  <c r="L1584" i="9"/>
  <c r="K1584" i="9"/>
  <c r="J1584" i="9"/>
  <c r="I1584" i="9"/>
  <c r="H1584" i="9"/>
  <c r="G1584" i="9"/>
  <c r="F1584" i="9"/>
  <c r="E1584" i="9"/>
  <c r="D1584" i="9"/>
  <c r="C1584" i="9"/>
  <c r="B1584" i="9"/>
  <c r="A1584" i="9"/>
  <c r="M1583" i="9"/>
  <c r="L1583" i="9"/>
  <c r="K1583" i="9"/>
  <c r="J1583" i="9"/>
  <c r="I1583" i="9"/>
  <c r="H1583" i="9"/>
  <c r="G1583" i="9"/>
  <c r="F1583" i="9"/>
  <c r="E1583" i="9"/>
  <c r="D1583" i="9"/>
  <c r="C1583" i="9"/>
  <c r="B1583" i="9"/>
  <c r="A1583" i="9"/>
  <c r="M1582" i="9"/>
  <c r="L1582" i="9"/>
  <c r="K1582" i="9"/>
  <c r="J1582" i="9"/>
  <c r="I1582" i="9"/>
  <c r="H1582" i="9"/>
  <c r="G1582" i="9"/>
  <c r="F1582" i="9"/>
  <c r="E1582" i="9"/>
  <c r="D1582" i="9"/>
  <c r="C1582" i="9"/>
  <c r="B1582" i="9"/>
  <c r="A1582" i="9"/>
  <c r="M1581" i="9"/>
  <c r="L1581" i="9"/>
  <c r="K1581" i="9"/>
  <c r="J1581" i="9"/>
  <c r="I1581" i="9"/>
  <c r="H1581" i="9"/>
  <c r="G1581" i="9"/>
  <c r="F1581" i="9"/>
  <c r="E1581" i="9"/>
  <c r="D1581" i="9"/>
  <c r="C1581" i="9"/>
  <c r="B1581" i="9"/>
  <c r="A1581" i="9"/>
  <c r="M1580" i="9"/>
  <c r="L1580" i="9"/>
  <c r="K1580" i="9"/>
  <c r="J1580" i="9"/>
  <c r="I1580" i="9"/>
  <c r="H1580" i="9"/>
  <c r="G1580" i="9"/>
  <c r="F1580" i="9"/>
  <c r="E1580" i="9"/>
  <c r="D1580" i="9"/>
  <c r="C1580" i="9"/>
  <c r="B1580" i="9"/>
  <c r="A1580" i="9"/>
  <c r="M1579" i="9"/>
  <c r="L1579" i="9"/>
  <c r="K1579" i="9"/>
  <c r="J1579" i="9"/>
  <c r="I1579" i="9"/>
  <c r="H1579" i="9"/>
  <c r="G1579" i="9"/>
  <c r="F1579" i="9"/>
  <c r="E1579" i="9"/>
  <c r="D1579" i="9"/>
  <c r="C1579" i="9"/>
  <c r="B1579" i="9"/>
  <c r="A1579" i="9"/>
  <c r="M1578" i="9"/>
  <c r="L1578" i="9"/>
  <c r="K1578" i="9"/>
  <c r="J1578" i="9"/>
  <c r="I1578" i="9"/>
  <c r="H1578" i="9"/>
  <c r="G1578" i="9"/>
  <c r="F1578" i="9"/>
  <c r="E1578" i="9"/>
  <c r="D1578" i="9"/>
  <c r="C1578" i="9"/>
  <c r="B1578" i="9"/>
  <c r="A1578" i="9"/>
  <c r="M1577" i="9"/>
  <c r="L1577" i="9"/>
  <c r="K1577" i="9"/>
  <c r="J1577" i="9"/>
  <c r="I1577" i="9"/>
  <c r="H1577" i="9"/>
  <c r="G1577" i="9"/>
  <c r="F1577" i="9"/>
  <c r="E1577" i="9"/>
  <c r="D1577" i="9"/>
  <c r="C1577" i="9"/>
  <c r="B1577" i="9"/>
  <c r="A1577" i="9"/>
  <c r="M1576" i="9"/>
  <c r="L1576" i="9"/>
  <c r="K1576" i="9"/>
  <c r="J1576" i="9"/>
  <c r="I1576" i="9"/>
  <c r="H1576" i="9"/>
  <c r="G1576" i="9"/>
  <c r="F1576" i="9"/>
  <c r="E1576" i="9"/>
  <c r="D1576" i="9"/>
  <c r="C1576" i="9"/>
  <c r="B1576" i="9"/>
  <c r="A1576" i="9"/>
  <c r="M1575" i="9"/>
  <c r="L1575" i="9"/>
  <c r="K1575" i="9"/>
  <c r="J1575" i="9"/>
  <c r="I1575" i="9"/>
  <c r="H1575" i="9"/>
  <c r="G1575" i="9"/>
  <c r="F1575" i="9"/>
  <c r="E1575" i="9"/>
  <c r="D1575" i="9"/>
  <c r="C1575" i="9"/>
  <c r="B1575" i="9"/>
  <c r="A1575" i="9"/>
  <c r="M1574" i="9"/>
  <c r="L1574" i="9"/>
  <c r="K1574" i="9"/>
  <c r="J1574" i="9"/>
  <c r="I1574" i="9"/>
  <c r="H1574" i="9"/>
  <c r="G1574" i="9"/>
  <c r="F1574" i="9"/>
  <c r="E1574" i="9"/>
  <c r="D1574" i="9"/>
  <c r="C1574" i="9"/>
  <c r="B1574" i="9"/>
  <c r="A1574" i="9"/>
  <c r="M1573" i="9"/>
  <c r="L1573" i="9"/>
  <c r="K1573" i="9"/>
  <c r="J1573" i="9"/>
  <c r="I1573" i="9"/>
  <c r="H1573" i="9"/>
  <c r="G1573" i="9"/>
  <c r="F1573" i="9"/>
  <c r="E1573" i="9"/>
  <c r="D1573" i="9"/>
  <c r="C1573" i="9"/>
  <c r="B1573" i="9"/>
  <c r="A1573" i="9"/>
  <c r="M1572" i="9"/>
  <c r="L1572" i="9"/>
  <c r="K1572" i="9"/>
  <c r="J1572" i="9"/>
  <c r="I1572" i="9"/>
  <c r="H1572" i="9"/>
  <c r="G1572" i="9"/>
  <c r="F1572" i="9"/>
  <c r="E1572" i="9"/>
  <c r="D1572" i="9"/>
  <c r="C1572" i="9"/>
  <c r="B1572" i="9"/>
  <c r="A1572" i="9"/>
  <c r="M1571" i="9"/>
  <c r="L1571" i="9"/>
  <c r="K1571" i="9"/>
  <c r="J1571" i="9"/>
  <c r="I1571" i="9"/>
  <c r="H1571" i="9"/>
  <c r="G1571" i="9"/>
  <c r="F1571" i="9"/>
  <c r="E1571" i="9"/>
  <c r="D1571" i="9"/>
  <c r="C1571" i="9"/>
  <c r="B1571" i="9"/>
  <c r="A1571" i="9"/>
  <c r="M1570" i="9"/>
  <c r="L1570" i="9"/>
  <c r="K1570" i="9"/>
  <c r="J1570" i="9"/>
  <c r="I1570" i="9"/>
  <c r="H1570" i="9"/>
  <c r="G1570" i="9"/>
  <c r="F1570" i="9"/>
  <c r="E1570" i="9"/>
  <c r="D1570" i="9"/>
  <c r="C1570" i="9"/>
  <c r="B1570" i="9"/>
  <c r="A1570" i="9"/>
  <c r="M1569" i="9"/>
  <c r="L1569" i="9"/>
  <c r="K1569" i="9"/>
  <c r="J1569" i="9"/>
  <c r="I1569" i="9"/>
  <c r="H1569" i="9"/>
  <c r="G1569" i="9"/>
  <c r="F1569" i="9"/>
  <c r="E1569" i="9"/>
  <c r="D1569" i="9"/>
  <c r="C1569" i="9"/>
  <c r="B1569" i="9"/>
  <c r="A1569" i="9"/>
  <c r="M1568" i="9"/>
  <c r="L1568" i="9"/>
  <c r="K1568" i="9"/>
  <c r="J1568" i="9"/>
  <c r="I1568" i="9"/>
  <c r="H1568" i="9"/>
  <c r="G1568" i="9"/>
  <c r="F1568" i="9"/>
  <c r="E1568" i="9"/>
  <c r="D1568" i="9"/>
  <c r="C1568" i="9"/>
  <c r="B1568" i="9"/>
  <c r="A1568" i="9"/>
  <c r="M1567" i="9"/>
  <c r="L1567" i="9"/>
  <c r="K1567" i="9"/>
  <c r="J1567" i="9"/>
  <c r="I1567" i="9"/>
  <c r="H1567" i="9"/>
  <c r="G1567" i="9"/>
  <c r="F1567" i="9"/>
  <c r="E1567" i="9"/>
  <c r="D1567" i="9"/>
  <c r="C1567" i="9"/>
  <c r="B1567" i="9"/>
  <c r="A1567" i="9"/>
  <c r="M1566" i="9"/>
  <c r="L1566" i="9"/>
  <c r="K1566" i="9"/>
  <c r="J1566" i="9"/>
  <c r="I1566" i="9"/>
  <c r="H1566" i="9"/>
  <c r="G1566" i="9"/>
  <c r="F1566" i="9"/>
  <c r="E1566" i="9"/>
  <c r="D1566" i="9"/>
  <c r="C1566" i="9"/>
  <c r="B1566" i="9"/>
  <c r="A1566" i="9"/>
  <c r="M1565" i="9"/>
  <c r="L1565" i="9"/>
  <c r="K1565" i="9"/>
  <c r="J1565" i="9"/>
  <c r="I1565" i="9"/>
  <c r="H1565" i="9"/>
  <c r="G1565" i="9"/>
  <c r="F1565" i="9"/>
  <c r="E1565" i="9"/>
  <c r="D1565" i="9"/>
  <c r="C1565" i="9"/>
  <c r="B1565" i="9"/>
  <c r="A1565" i="9"/>
  <c r="M1564" i="9"/>
  <c r="L1564" i="9"/>
  <c r="K1564" i="9"/>
  <c r="J1564" i="9"/>
  <c r="I1564" i="9"/>
  <c r="H1564" i="9"/>
  <c r="G1564" i="9"/>
  <c r="F1564" i="9"/>
  <c r="E1564" i="9"/>
  <c r="D1564" i="9"/>
  <c r="C1564" i="9"/>
  <c r="B1564" i="9"/>
  <c r="A1564" i="9"/>
  <c r="M1563" i="9"/>
  <c r="L1563" i="9"/>
  <c r="K1563" i="9"/>
  <c r="J1563" i="9"/>
  <c r="I1563" i="9"/>
  <c r="H1563" i="9"/>
  <c r="G1563" i="9"/>
  <c r="F1563" i="9"/>
  <c r="E1563" i="9"/>
  <c r="D1563" i="9"/>
  <c r="C1563" i="9"/>
  <c r="B1563" i="9"/>
  <c r="A1563" i="9"/>
  <c r="M1562" i="9"/>
  <c r="L1562" i="9"/>
  <c r="K1562" i="9"/>
  <c r="J1562" i="9"/>
  <c r="I1562" i="9"/>
  <c r="H1562" i="9"/>
  <c r="G1562" i="9"/>
  <c r="F1562" i="9"/>
  <c r="E1562" i="9"/>
  <c r="D1562" i="9"/>
  <c r="C1562" i="9"/>
  <c r="B1562" i="9"/>
  <c r="A1562" i="9"/>
  <c r="M1561" i="9"/>
  <c r="L1561" i="9"/>
  <c r="K1561" i="9"/>
  <c r="J1561" i="9"/>
  <c r="I1561" i="9"/>
  <c r="H1561" i="9"/>
  <c r="G1561" i="9"/>
  <c r="F1561" i="9"/>
  <c r="E1561" i="9"/>
  <c r="D1561" i="9"/>
  <c r="C1561" i="9"/>
  <c r="B1561" i="9"/>
  <c r="A1561" i="9"/>
  <c r="M1560" i="9"/>
  <c r="L1560" i="9"/>
  <c r="K1560" i="9"/>
  <c r="J1560" i="9"/>
  <c r="I1560" i="9"/>
  <c r="H1560" i="9"/>
  <c r="G1560" i="9"/>
  <c r="F1560" i="9"/>
  <c r="E1560" i="9"/>
  <c r="D1560" i="9"/>
  <c r="C1560" i="9"/>
  <c r="B1560" i="9"/>
  <c r="A1560" i="9"/>
  <c r="M1559" i="9"/>
  <c r="L1559" i="9"/>
  <c r="K1559" i="9"/>
  <c r="J1559" i="9"/>
  <c r="I1559" i="9"/>
  <c r="H1559" i="9"/>
  <c r="G1559" i="9"/>
  <c r="F1559" i="9"/>
  <c r="E1559" i="9"/>
  <c r="D1559" i="9"/>
  <c r="C1559" i="9"/>
  <c r="B1559" i="9"/>
  <c r="A1559" i="9"/>
  <c r="M1558" i="9"/>
  <c r="L1558" i="9"/>
  <c r="K1558" i="9"/>
  <c r="J1558" i="9"/>
  <c r="I1558" i="9"/>
  <c r="H1558" i="9"/>
  <c r="G1558" i="9"/>
  <c r="F1558" i="9"/>
  <c r="E1558" i="9"/>
  <c r="D1558" i="9"/>
  <c r="C1558" i="9"/>
  <c r="B1558" i="9"/>
  <c r="A1558" i="9"/>
  <c r="M1557" i="9"/>
  <c r="L1557" i="9"/>
  <c r="K1557" i="9"/>
  <c r="J1557" i="9"/>
  <c r="I1557" i="9"/>
  <c r="H1557" i="9"/>
  <c r="G1557" i="9"/>
  <c r="F1557" i="9"/>
  <c r="E1557" i="9"/>
  <c r="D1557" i="9"/>
  <c r="C1557" i="9"/>
  <c r="B1557" i="9"/>
  <c r="A1557" i="9"/>
  <c r="M1556" i="9"/>
  <c r="L1556" i="9"/>
  <c r="K1556" i="9"/>
  <c r="J1556" i="9"/>
  <c r="I1556" i="9"/>
  <c r="H1556" i="9"/>
  <c r="G1556" i="9"/>
  <c r="F1556" i="9"/>
  <c r="E1556" i="9"/>
  <c r="D1556" i="9"/>
  <c r="C1556" i="9"/>
  <c r="B1556" i="9"/>
  <c r="A1556" i="9"/>
  <c r="M1555" i="9"/>
  <c r="L1555" i="9"/>
  <c r="K1555" i="9"/>
  <c r="J1555" i="9"/>
  <c r="I1555" i="9"/>
  <c r="H1555" i="9"/>
  <c r="G1555" i="9"/>
  <c r="F1555" i="9"/>
  <c r="E1555" i="9"/>
  <c r="D1555" i="9"/>
  <c r="C1555" i="9"/>
  <c r="B1555" i="9"/>
  <c r="A1555" i="9"/>
  <c r="M1554" i="9"/>
  <c r="L1554" i="9"/>
  <c r="K1554" i="9"/>
  <c r="J1554" i="9"/>
  <c r="I1554" i="9"/>
  <c r="H1554" i="9"/>
  <c r="G1554" i="9"/>
  <c r="F1554" i="9"/>
  <c r="E1554" i="9"/>
  <c r="D1554" i="9"/>
  <c r="C1554" i="9"/>
  <c r="B1554" i="9"/>
  <c r="A1554" i="9"/>
  <c r="M1553" i="9"/>
  <c r="L1553" i="9"/>
  <c r="K1553" i="9"/>
  <c r="J1553" i="9"/>
  <c r="I1553" i="9"/>
  <c r="H1553" i="9"/>
  <c r="G1553" i="9"/>
  <c r="F1553" i="9"/>
  <c r="E1553" i="9"/>
  <c r="D1553" i="9"/>
  <c r="C1553" i="9"/>
  <c r="B1553" i="9"/>
  <c r="A1553" i="9"/>
  <c r="M1552" i="9"/>
  <c r="L1552" i="9"/>
  <c r="K1552" i="9"/>
  <c r="J1552" i="9"/>
  <c r="I1552" i="9"/>
  <c r="H1552" i="9"/>
  <c r="G1552" i="9"/>
  <c r="F1552" i="9"/>
  <c r="E1552" i="9"/>
  <c r="D1552" i="9"/>
  <c r="C1552" i="9"/>
  <c r="B1552" i="9"/>
  <c r="A1552" i="9"/>
  <c r="M1551" i="9"/>
  <c r="L1551" i="9"/>
  <c r="K1551" i="9"/>
  <c r="J1551" i="9"/>
  <c r="I1551" i="9"/>
  <c r="H1551" i="9"/>
  <c r="G1551" i="9"/>
  <c r="F1551" i="9"/>
  <c r="E1551" i="9"/>
  <c r="D1551" i="9"/>
  <c r="C1551" i="9"/>
  <c r="B1551" i="9"/>
  <c r="A1551" i="9"/>
  <c r="M1550" i="9"/>
  <c r="L1550" i="9"/>
  <c r="K1550" i="9"/>
  <c r="J1550" i="9"/>
  <c r="I1550" i="9"/>
  <c r="H1550" i="9"/>
  <c r="G1550" i="9"/>
  <c r="F1550" i="9"/>
  <c r="E1550" i="9"/>
  <c r="D1550" i="9"/>
  <c r="C1550" i="9"/>
  <c r="B1550" i="9"/>
  <c r="A1550" i="9"/>
  <c r="M1549" i="9"/>
  <c r="L1549" i="9"/>
  <c r="K1549" i="9"/>
  <c r="J1549" i="9"/>
  <c r="I1549" i="9"/>
  <c r="H1549" i="9"/>
  <c r="G1549" i="9"/>
  <c r="F1549" i="9"/>
  <c r="E1549" i="9"/>
  <c r="D1549" i="9"/>
  <c r="C1549" i="9"/>
  <c r="B1549" i="9"/>
  <c r="A1549" i="9"/>
  <c r="M1548" i="9"/>
  <c r="L1548" i="9"/>
  <c r="K1548" i="9"/>
  <c r="J1548" i="9"/>
  <c r="I1548" i="9"/>
  <c r="H1548" i="9"/>
  <c r="G1548" i="9"/>
  <c r="F1548" i="9"/>
  <c r="E1548" i="9"/>
  <c r="D1548" i="9"/>
  <c r="C1548" i="9"/>
  <c r="B1548" i="9"/>
  <c r="A1548" i="9"/>
  <c r="M1547" i="9"/>
  <c r="L1547" i="9"/>
  <c r="K1547" i="9"/>
  <c r="J1547" i="9"/>
  <c r="I1547" i="9"/>
  <c r="H1547" i="9"/>
  <c r="G1547" i="9"/>
  <c r="F1547" i="9"/>
  <c r="E1547" i="9"/>
  <c r="D1547" i="9"/>
  <c r="C1547" i="9"/>
  <c r="B1547" i="9"/>
  <c r="A1547" i="9"/>
  <c r="M1546" i="9"/>
  <c r="L1546" i="9"/>
  <c r="K1546" i="9"/>
  <c r="J1546" i="9"/>
  <c r="I1546" i="9"/>
  <c r="H1546" i="9"/>
  <c r="G1546" i="9"/>
  <c r="F1546" i="9"/>
  <c r="E1546" i="9"/>
  <c r="D1546" i="9"/>
  <c r="C1546" i="9"/>
  <c r="B1546" i="9"/>
  <c r="A1546" i="9"/>
  <c r="M1545" i="9"/>
  <c r="L1545" i="9"/>
  <c r="K1545" i="9"/>
  <c r="J1545" i="9"/>
  <c r="I1545" i="9"/>
  <c r="H1545" i="9"/>
  <c r="G1545" i="9"/>
  <c r="F1545" i="9"/>
  <c r="E1545" i="9"/>
  <c r="D1545" i="9"/>
  <c r="C1545" i="9"/>
  <c r="B1545" i="9"/>
  <c r="A1545" i="9"/>
  <c r="M1544" i="9"/>
  <c r="L1544" i="9"/>
  <c r="K1544" i="9"/>
  <c r="J1544" i="9"/>
  <c r="I1544" i="9"/>
  <c r="H1544" i="9"/>
  <c r="G1544" i="9"/>
  <c r="F1544" i="9"/>
  <c r="E1544" i="9"/>
  <c r="D1544" i="9"/>
  <c r="C1544" i="9"/>
  <c r="B1544" i="9"/>
  <c r="A1544" i="9"/>
  <c r="M1543" i="9"/>
  <c r="L1543" i="9"/>
  <c r="K1543" i="9"/>
  <c r="J1543" i="9"/>
  <c r="I1543" i="9"/>
  <c r="H1543" i="9"/>
  <c r="G1543" i="9"/>
  <c r="F1543" i="9"/>
  <c r="E1543" i="9"/>
  <c r="D1543" i="9"/>
  <c r="C1543" i="9"/>
  <c r="B1543" i="9"/>
  <c r="A1543" i="9"/>
  <c r="M1542" i="9"/>
  <c r="L1542" i="9"/>
  <c r="K1542" i="9"/>
  <c r="J1542" i="9"/>
  <c r="I1542" i="9"/>
  <c r="H1542" i="9"/>
  <c r="G1542" i="9"/>
  <c r="F1542" i="9"/>
  <c r="E1542" i="9"/>
  <c r="D1542" i="9"/>
  <c r="C1542" i="9"/>
  <c r="B1542" i="9"/>
  <c r="A1542" i="9"/>
  <c r="M1541" i="9"/>
  <c r="L1541" i="9"/>
  <c r="K1541" i="9"/>
  <c r="J1541" i="9"/>
  <c r="I1541" i="9"/>
  <c r="H1541" i="9"/>
  <c r="G1541" i="9"/>
  <c r="F1541" i="9"/>
  <c r="E1541" i="9"/>
  <c r="D1541" i="9"/>
  <c r="C1541" i="9"/>
  <c r="B1541" i="9"/>
  <c r="A1541" i="9"/>
  <c r="M1540" i="9"/>
  <c r="L1540" i="9"/>
  <c r="K1540" i="9"/>
  <c r="J1540" i="9"/>
  <c r="I1540" i="9"/>
  <c r="H1540" i="9"/>
  <c r="G1540" i="9"/>
  <c r="F1540" i="9"/>
  <c r="E1540" i="9"/>
  <c r="D1540" i="9"/>
  <c r="C1540" i="9"/>
  <c r="B1540" i="9"/>
  <c r="A1540" i="9"/>
  <c r="M1539" i="9"/>
  <c r="L1539" i="9"/>
  <c r="K1539" i="9"/>
  <c r="J1539" i="9"/>
  <c r="I1539" i="9"/>
  <c r="H1539" i="9"/>
  <c r="G1539" i="9"/>
  <c r="F1539" i="9"/>
  <c r="E1539" i="9"/>
  <c r="D1539" i="9"/>
  <c r="C1539" i="9"/>
  <c r="B1539" i="9"/>
  <c r="A1539" i="9"/>
  <c r="M1538" i="9"/>
  <c r="L1538" i="9"/>
  <c r="K1538" i="9"/>
  <c r="J1538" i="9"/>
  <c r="I1538" i="9"/>
  <c r="H1538" i="9"/>
  <c r="G1538" i="9"/>
  <c r="F1538" i="9"/>
  <c r="E1538" i="9"/>
  <c r="D1538" i="9"/>
  <c r="C1538" i="9"/>
  <c r="B1538" i="9"/>
  <c r="A1538" i="9"/>
  <c r="M1537" i="9"/>
  <c r="L1537" i="9"/>
  <c r="K1537" i="9"/>
  <c r="J1537" i="9"/>
  <c r="I1537" i="9"/>
  <c r="H1537" i="9"/>
  <c r="G1537" i="9"/>
  <c r="F1537" i="9"/>
  <c r="E1537" i="9"/>
  <c r="D1537" i="9"/>
  <c r="C1537" i="9"/>
  <c r="B1537" i="9"/>
  <c r="A1537" i="9"/>
  <c r="M1536" i="9"/>
  <c r="L1536" i="9"/>
  <c r="K1536" i="9"/>
  <c r="J1536" i="9"/>
  <c r="I1536" i="9"/>
  <c r="H1536" i="9"/>
  <c r="G1536" i="9"/>
  <c r="F1536" i="9"/>
  <c r="E1536" i="9"/>
  <c r="D1536" i="9"/>
  <c r="C1536" i="9"/>
  <c r="B1536" i="9"/>
  <c r="A1536" i="9"/>
  <c r="M1535" i="9"/>
  <c r="L1535" i="9"/>
  <c r="K1535" i="9"/>
  <c r="J1535" i="9"/>
  <c r="I1535" i="9"/>
  <c r="H1535" i="9"/>
  <c r="G1535" i="9"/>
  <c r="F1535" i="9"/>
  <c r="E1535" i="9"/>
  <c r="D1535" i="9"/>
  <c r="C1535" i="9"/>
  <c r="B1535" i="9"/>
  <c r="A1535" i="9"/>
  <c r="M1534" i="9"/>
  <c r="L1534" i="9"/>
  <c r="K1534" i="9"/>
  <c r="J1534" i="9"/>
  <c r="I1534" i="9"/>
  <c r="H1534" i="9"/>
  <c r="G1534" i="9"/>
  <c r="F1534" i="9"/>
  <c r="E1534" i="9"/>
  <c r="D1534" i="9"/>
  <c r="C1534" i="9"/>
  <c r="B1534" i="9"/>
  <c r="A1534" i="9"/>
  <c r="M1533" i="9"/>
  <c r="L1533" i="9"/>
  <c r="K1533" i="9"/>
  <c r="J1533" i="9"/>
  <c r="I1533" i="9"/>
  <c r="H1533" i="9"/>
  <c r="G1533" i="9"/>
  <c r="F1533" i="9"/>
  <c r="E1533" i="9"/>
  <c r="D1533" i="9"/>
  <c r="C1533" i="9"/>
  <c r="B1533" i="9"/>
  <c r="A1533" i="9"/>
  <c r="M1532" i="9"/>
  <c r="L1532" i="9"/>
  <c r="K1532" i="9"/>
  <c r="J1532" i="9"/>
  <c r="I1532" i="9"/>
  <c r="H1532" i="9"/>
  <c r="G1532" i="9"/>
  <c r="F1532" i="9"/>
  <c r="E1532" i="9"/>
  <c r="D1532" i="9"/>
  <c r="C1532" i="9"/>
  <c r="B1532" i="9"/>
  <c r="A1532" i="9"/>
  <c r="M1531" i="9"/>
  <c r="L1531" i="9"/>
  <c r="K1531" i="9"/>
  <c r="J1531" i="9"/>
  <c r="I1531" i="9"/>
  <c r="H1531" i="9"/>
  <c r="G1531" i="9"/>
  <c r="F1531" i="9"/>
  <c r="E1531" i="9"/>
  <c r="D1531" i="9"/>
  <c r="C1531" i="9"/>
  <c r="B1531" i="9"/>
  <c r="A1531" i="9"/>
  <c r="M1530" i="9"/>
  <c r="L1530" i="9"/>
  <c r="K1530" i="9"/>
  <c r="J1530" i="9"/>
  <c r="I1530" i="9"/>
  <c r="H1530" i="9"/>
  <c r="G1530" i="9"/>
  <c r="F1530" i="9"/>
  <c r="E1530" i="9"/>
  <c r="D1530" i="9"/>
  <c r="C1530" i="9"/>
  <c r="B1530" i="9"/>
  <c r="A1530" i="9"/>
  <c r="M1529" i="9"/>
  <c r="L1529" i="9"/>
  <c r="K1529" i="9"/>
  <c r="J1529" i="9"/>
  <c r="I1529" i="9"/>
  <c r="H1529" i="9"/>
  <c r="G1529" i="9"/>
  <c r="F1529" i="9"/>
  <c r="E1529" i="9"/>
  <c r="D1529" i="9"/>
  <c r="C1529" i="9"/>
  <c r="B1529" i="9"/>
  <c r="A1529" i="9"/>
  <c r="M1528" i="9"/>
  <c r="L1528" i="9"/>
  <c r="K1528" i="9"/>
  <c r="J1528" i="9"/>
  <c r="I1528" i="9"/>
  <c r="H1528" i="9"/>
  <c r="G1528" i="9"/>
  <c r="F1528" i="9"/>
  <c r="E1528" i="9"/>
  <c r="D1528" i="9"/>
  <c r="C1528" i="9"/>
  <c r="B1528" i="9"/>
  <c r="A1528" i="9"/>
  <c r="M1527" i="9"/>
  <c r="L1527" i="9"/>
  <c r="K1527" i="9"/>
  <c r="J1527" i="9"/>
  <c r="I1527" i="9"/>
  <c r="H1527" i="9"/>
  <c r="G1527" i="9"/>
  <c r="F1527" i="9"/>
  <c r="E1527" i="9"/>
  <c r="D1527" i="9"/>
  <c r="C1527" i="9"/>
  <c r="B1527" i="9"/>
  <c r="A1527" i="9"/>
  <c r="M1526" i="9"/>
  <c r="L1526" i="9"/>
  <c r="K1526" i="9"/>
  <c r="J1526" i="9"/>
  <c r="I1526" i="9"/>
  <c r="H1526" i="9"/>
  <c r="G1526" i="9"/>
  <c r="F1526" i="9"/>
  <c r="E1526" i="9"/>
  <c r="D1526" i="9"/>
  <c r="C1526" i="9"/>
  <c r="B1526" i="9"/>
  <c r="A1526" i="9"/>
  <c r="M1525" i="9"/>
  <c r="L1525" i="9"/>
  <c r="K1525" i="9"/>
  <c r="J1525" i="9"/>
  <c r="I1525" i="9"/>
  <c r="H1525" i="9"/>
  <c r="G1525" i="9"/>
  <c r="F1525" i="9"/>
  <c r="E1525" i="9"/>
  <c r="D1525" i="9"/>
  <c r="C1525" i="9"/>
  <c r="B1525" i="9"/>
  <c r="A1525" i="9"/>
  <c r="M1524" i="9"/>
  <c r="L1524" i="9"/>
  <c r="K1524" i="9"/>
  <c r="J1524" i="9"/>
  <c r="I1524" i="9"/>
  <c r="H1524" i="9"/>
  <c r="G1524" i="9"/>
  <c r="F1524" i="9"/>
  <c r="E1524" i="9"/>
  <c r="D1524" i="9"/>
  <c r="C1524" i="9"/>
  <c r="B1524" i="9"/>
  <c r="A1524" i="9"/>
  <c r="M1523" i="9"/>
  <c r="L1523" i="9"/>
  <c r="K1523" i="9"/>
  <c r="J1523" i="9"/>
  <c r="I1523" i="9"/>
  <c r="H1523" i="9"/>
  <c r="G1523" i="9"/>
  <c r="F1523" i="9"/>
  <c r="E1523" i="9"/>
  <c r="D1523" i="9"/>
  <c r="C1523" i="9"/>
  <c r="B1523" i="9"/>
  <c r="A1523" i="9"/>
  <c r="M1522" i="9"/>
  <c r="L1522" i="9"/>
  <c r="K1522" i="9"/>
  <c r="J1522" i="9"/>
  <c r="I1522" i="9"/>
  <c r="H1522" i="9"/>
  <c r="G1522" i="9"/>
  <c r="F1522" i="9"/>
  <c r="E1522" i="9"/>
  <c r="D1522" i="9"/>
  <c r="C1522" i="9"/>
  <c r="B1522" i="9"/>
  <c r="A1522" i="9"/>
  <c r="M1521" i="9"/>
  <c r="L1521" i="9"/>
  <c r="K1521" i="9"/>
  <c r="J1521" i="9"/>
  <c r="I1521" i="9"/>
  <c r="H1521" i="9"/>
  <c r="G1521" i="9"/>
  <c r="F1521" i="9"/>
  <c r="E1521" i="9"/>
  <c r="D1521" i="9"/>
  <c r="C1521" i="9"/>
  <c r="B1521" i="9"/>
  <c r="A1521" i="9"/>
  <c r="M1520" i="9"/>
  <c r="L1520" i="9"/>
  <c r="K1520" i="9"/>
  <c r="J1520" i="9"/>
  <c r="I1520" i="9"/>
  <c r="H1520" i="9"/>
  <c r="G1520" i="9"/>
  <c r="F1520" i="9"/>
  <c r="E1520" i="9"/>
  <c r="D1520" i="9"/>
  <c r="C1520" i="9"/>
  <c r="B1520" i="9"/>
  <c r="A1520" i="9"/>
  <c r="M1519" i="9"/>
  <c r="L1519" i="9"/>
  <c r="K1519" i="9"/>
  <c r="J1519" i="9"/>
  <c r="I1519" i="9"/>
  <c r="H1519" i="9"/>
  <c r="G1519" i="9"/>
  <c r="F1519" i="9"/>
  <c r="E1519" i="9"/>
  <c r="D1519" i="9"/>
  <c r="C1519" i="9"/>
  <c r="B1519" i="9"/>
  <c r="A1519" i="9"/>
  <c r="M1518" i="9"/>
  <c r="L1518" i="9"/>
  <c r="K1518" i="9"/>
  <c r="J1518" i="9"/>
  <c r="I1518" i="9"/>
  <c r="H1518" i="9"/>
  <c r="G1518" i="9"/>
  <c r="F1518" i="9"/>
  <c r="E1518" i="9"/>
  <c r="D1518" i="9"/>
  <c r="C1518" i="9"/>
  <c r="B1518" i="9"/>
  <c r="A1518" i="9"/>
  <c r="M1517" i="9"/>
  <c r="L1517" i="9"/>
  <c r="K1517" i="9"/>
  <c r="J1517" i="9"/>
  <c r="I1517" i="9"/>
  <c r="H1517" i="9"/>
  <c r="G1517" i="9"/>
  <c r="F1517" i="9"/>
  <c r="E1517" i="9"/>
  <c r="D1517" i="9"/>
  <c r="C1517" i="9"/>
  <c r="B1517" i="9"/>
  <c r="A1517" i="9"/>
  <c r="M1516" i="9"/>
  <c r="L1516" i="9"/>
  <c r="K1516" i="9"/>
  <c r="J1516" i="9"/>
  <c r="I1516" i="9"/>
  <c r="H1516" i="9"/>
  <c r="G1516" i="9"/>
  <c r="F1516" i="9"/>
  <c r="E1516" i="9"/>
  <c r="D1516" i="9"/>
  <c r="C1516" i="9"/>
  <c r="B1516" i="9"/>
  <c r="A1516" i="9"/>
  <c r="M1515" i="9"/>
  <c r="L1515" i="9"/>
  <c r="K1515" i="9"/>
  <c r="J1515" i="9"/>
  <c r="I1515" i="9"/>
  <c r="H1515" i="9"/>
  <c r="G1515" i="9"/>
  <c r="F1515" i="9"/>
  <c r="E1515" i="9"/>
  <c r="D1515" i="9"/>
  <c r="C1515" i="9"/>
  <c r="B1515" i="9"/>
  <c r="A1515" i="9"/>
  <c r="M1514" i="9"/>
  <c r="L1514" i="9"/>
  <c r="K1514" i="9"/>
  <c r="J1514" i="9"/>
  <c r="I1514" i="9"/>
  <c r="H1514" i="9"/>
  <c r="G1514" i="9"/>
  <c r="F1514" i="9"/>
  <c r="E1514" i="9"/>
  <c r="D1514" i="9"/>
  <c r="C1514" i="9"/>
  <c r="B1514" i="9"/>
  <c r="A1514" i="9"/>
  <c r="M1513" i="9"/>
  <c r="L1513" i="9"/>
  <c r="K1513" i="9"/>
  <c r="J1513" i="9"/>
  <c r="I1513" i="9"/>
  <c r="H1513" i="9"/>
  <c r="G1513" i="9"/>
  <c r="F1513" i="9"/>
  <c r="E1513" i="9"/>
  <c r="D1513" i="9"/>
  <c r="C1513" i="9"/>
  <c r="B1513" i="9"/>
  <c r="A1513" i="9"/>
  <c r="M1512" i="9"/>
  <c r="L1512" i="9"/>
  <c r="K1512" i="9"/>
  <c r="J1512" i="9"/>
  <c r="I1512" i="9"/>
  <c r="H1512" i="9"/>
  <c r="G1512" i="9"/>
  <c r="F1512" i="9"/>
  <c r="E1512" i="9"/>
  <c r="D1512" i="9"/>
  <c r="C1512" i="9"/>
  <c r="B1512" i="9"/>
  <c r="A1512" i="9"/>
  <c r="M1511" i="9"/>
  <c r="L1511" i="9"/>
  <c r="K1511" i="9"/>
  <c r="J1511" i="9"/>
  <c r="I1511" i="9"/>
  <c r="H1511" i="9"/>
  <c r="G1511" i="9"/>
  <c r="F1511" i="9"/>
  <c r="E1511" i="9"/>
  <c r="D1511" i="9"/>
  <c r="C1511" i="9"/>
  <c r="B1511" i="9"/>
  <c r="A1511" i="9"/>
  <c r="M1510" i="9"/>
  <c r="L1510" i="9"/>
  <c r="K1510" i="9"/>
  <c r="J1510" i="9"/>
  <c r="I1510" i="9"/>
  <c r="H1510" i="9"/>
  <c r="G1510" i="9"/>
  <c r="F1510" i="9"/>
  <c r="E1510" i="9"/>
  <c r="D1510" i="9"/>
  <c r="C1510" i="9"/>
  <c r="B1510" i="9"/>
  <c r="A1510" i="9"/>
  <c r="M1509" i="9"/>
  <c r="L1509" i="9"/>
  <c r="K1509" i="9"/>
  <c r="J1509" i="9"/>
  <c r="I1509" i="9"/>
  <c r="H1509" i="9"/>
  <c r="G1509" i="9"/>
  <c r="F1509" i="9"/>
  <c r="E1509" i="9"/>
  <c r="D1509" i="9"/>
  <c r="C1509" i="9"/>
  <c r="B1509" i="9"/>
  <c r="A1509" i="9"/>
  <c r="M1508" i="9"/>
  <c r="L1508" i="9"/>
  <c r="K1508" i="9"/>
  <c r="J1508" i="9"/>
  <c r="I1508" i="9"/>
  <c r="H1508" i="9"/>
  <c r="G1508" i="9"/>
  <c r="F1508" i="9"/>
  <c r="E1508" i="9"/>
  <c r="D1508" i="9"/>
  <c r="C1508" i="9"/>
  <c r="B1508" i="9"/>
  <c r="A1508" i="9"/>
  <c r="M1507" i="9"/>
  <c r="L1507" i="9"/>
  <c r="K1507" i="9"/>
  <c r="J1507" i="9"/>
  <c r="I1507" i="9"/>
  <c r="H1507" i="9"/>
  <c r="G1507" i="9"/>
  <c r="F1507" i="9"/>
  <c r="E1507" i="9"/>
  <c r="D1507" i="9"/>
  <c r="C1507" i="9"/>
  <c r="B1507" i="9"/>
  <c r="A1507" i="9"/>
  <c r="M1506" i="9"/>
  <c r="L1506" i="9"/>
  <c r="K1506" i="9"/>
  <c r="J1506" i="9"/>
  <c r="I1506" i="9"/>
  <c r="H1506" i="9"/>
  <c r="G1506" i="9"/>
  <c r="F1506" i="9"/>
  <c r="E1506" i="9"/>
  <c r="D1506" i="9"/>
  <c r="C1506" i="9"/>
  <c r="B1506" i="9"/>
  <c r="A1506" i="9"/>
  <c r="M1505" i="9"/>
  <c r="L1505" i="9"/>
  <c r="K1505" i="9"/>
  <c r="J1505" i="9"/>
  <c r="I1505" i="9"/>
  <c r="H1505" i="9"/>
  <c r="G1505" i="9"/>
  <c r="F1505" i="9"/>
  <c r="E1505" i="9"/>
  <c r="D1505" i="9"/>
  <c r="C1505" i="9"/>
  <c r="B1505" i="9"/>
  <c r="A1505" i="9"/>
  <c r="M1504" i="9"/>
  <c r="L1504" i="9"/>
  <c r="K1504" i="9"/>
  <c r="J1504" i="9"/>
  <c r="I1504" i="9"/>
  <c r="H1504" i="9"/>
  <c r="G1504" i="9"/>
  <c r="F1504" i="9"/>
  <c r="E1504" i="9"/>
  <c r="D1504" i="9"/>
  <c r="C1504" i="9"/>
  <c r="B1504" i="9"/>
  <c r="A1504" i="9"/>
  <c r="M1503" i="9"/>
  <c r="L1503" i="9"/>
  <c r="K1503" i="9"/>
  <c r="J1503" i="9"/>
  <c r="I1503" i="9"/>
  <c r="H1503" i="9"/>
  <c r="G1503" i="9"/>
  <c r="F1503" i="9"/>
  <c r="E1503" i="9"/>
  <c r="D1503" i="9"/>
  <c r="C1503" i="9"/>
  <c r="B1503" i="9"/>
  <c r="A1503" i="9"/>
  <c r="M1502" i="9"/>
  <c r="L1502" i="9"/>
  <c r="K1502" i="9"/>
  <c r="J1502" i="9"/>
  <c r="I1502" i="9"/>
  <c r="H1502" i="9"/>
  <c r="G1502" i="9"/>
  <c r="F1502" i="9"/>
  <c r="E1502" i="9"/>
  <c r="D1502" i="9"/>
  <c r="C1502" i="9"/>
  <c r="B1502" i="9"/>
  <c r="A1502" i="9"/>
  <c r="M1501" i="9"/>
  <c r="L1501" i="9"/>
  <c r="K1501" i="9"/>
  <c r="J1501" i="9"/>
  <c r="I1501" i="9"/>
  <c r="H1501" i="9"/>
  <c r="G1501" i="9"/>
  <c r="F1501" i="9"/>
  <c r="E1501" i="9"/>
  <c r="D1501" i="9"/>
  <c r="C1501" i="9"/>
  <c r="B1501" i="9"/>
  <c r="A1501" i="9"/>
  <c r="M1500" i="9"/>
  <c r="L1500" i="9"/>
  <c r="K1500" i="9"/>
  <c r="J1500" i="9"/>
  <c r="I1500" i="9"/>
  <c r="H1500" i="9"/>
  <c r="G1500" i="9"/>
  <c r="F1500" i="9"/>
  <c r="E1500" i="9"/>
  <c r="D1500" i="9"/>
  <c r="C1500" i="9"/>
  <c r="B1500" i="9"/>
  <c r="A1500" i="9"/>
  <c r="M1499" i="9"/>
  <c r="L1499" i="9"/>
  <c r="K1499" i="9"/>
  <c r="J1499" i="9"/>
  <c r="I1499" i="9"/>
  <c r="H1499" i="9"/>
  <c r="G1499" i="9"/>
  <c r="F1499" i="9"/>
  <c r="E1499" i="9"/>
  <c r="D1499" i="9"/>
  <c r="C1499" i="9"/>
  <c r="B1499" i="9"/>
  <c r="A1499" i="9"/>
  <c r="M1498" i="9"/>
  <c r="L1498" i="9"/>
  <c r="K1498" i="9"/>
  <c r="J1498" i="9"/>
  <c r="I1498" i="9"/>
  <c r="H1498" i="9"/>
  <c r="G1498" i="9"/>
  <c r="F1498" i="9"/>
  <c r="E1498" i="9"/>
  <c r="D1498" i="9"/>
  <c r="C1498" i="9"/>
  <c r="B1498" i="9"/>
  <c r="A1498" i="9"/>
  <c r="M1497" i="9"/>
  <c r="L1497" i="9"/>
  <c r="K1497" i="9"/>
  <c r="J1497" i="9"/>
  <c r="I1497" i="9"/>
  <c r="H1497" i="9"/>
  <c r="G1497" i="9"/>
  <c r="F1497" i="9"/>
  <c r="E1497" i="9"/>
  <c r="D1497" i="9"/>
  <c r="C1497" i="9"/>
  <c r="B1497" i="9"/>
  <c r="A1497" i="9"/>
  <c r="M1496" i="9"/>
  <c r="L1496" i="9"/>
  <c r="K1496" i="9"/>
  <c r="J1496" i="9"/>
  <c r="I1496" i="9"/>
  <c r="H1496" i="9"/>
  <c r="G1496" i="9"/>
  <c r="F1496" i="9"/>
  <c r="E1496" i="9"/>
  <c r="D1496" i="9"/>
  <c r="C1496" i="9"/>
  <c r="B1496" i="9"/>
  <c r="A1496" i="9"/>
  <c r="M1495" i="9"/>
  <c r="L1495" i="9"/>
  <c r="K1495" i="9"/>
  <c r="J1495" i="9"/>
  <c r="I1495" i="9"/>
  <c r="H1495" i="9"/>
  <c r="G1495" i="9"/>
  <c r="F1495" i="9"/>
  <c r="E1495" i="9"/>
  <c r="D1495" i="9"/>
  <c r="C1495" i="9"/>
  <c r="B1495" i="9"/>
  <c r="A1495" i="9"/>
  <c r="M1494" i="9"/>
  <c r="L1494" i="9"/>
  <c r="K1494" i="9"/>
  <c r="J1494" i="9"/>
  <c r="I1494" i="9"/>
  <c r="H1494" i="9"/>
  <c r="G1494" i="9"/>
  <c r="F1494" i="9"/>
  <c r="E1494" i="9"/>
  <c r="D1494" i="9"/>
  <c r="C1494" i="9"/>
  <c r="B1494" i="9"/>
  <c r="A1494" i="9"/>
  <c r="M1493" i="9"/>
  <c r="L1493" i="9"/>
  <c r="K1493" i="9"/>
  <c r="J1493" i="9"/>
  <c r="I1493" i="9"/>
  <c r="H1493" i="9"/>
  <c r="G1493" i="9"/>
  <c r="F1493" i="9"/>
  <c r="E1493" i="9"/>
  <c r="D1493" i="9"/>
  <c r="C1493" i="9"/>
  <c r="B1493" i="9"/>
  <c r="A1493" i="9"/>
  <c r="M1492" i="9"/>
  <c r="L1492" i="9"/>
  <c r="K1492" i="9"/>
  <c r="J1492" i="9"/>
  <c r="I1492" i="9"/>
  <c r="H1492" i="9"/>
  <c r="G1492" i="9"/>
  <c r="F1492" i="9"/>
  <c r="E1492" i="9"/>
  <c r="D1492" i="9"/>
  <c r="C1492" i="9"/>
  <c r="B1492" i="9"/>
  <c r="A1492" i="9"/>
  <c r="M1491" i="9"/>
  <c r="L1491" i="9"/>
  <c r="K1491" i="9"/>
  <c r="J1491" i="9"/>
  <c r="I1491" i="9"/>
  <c r="H1491" i="9"/>
  <c r="G1491" i="9"/>
  <c r="F1491" i="9"/>
  <c r="E1491" i="9"/>
  <c r="D1491" i="9"/>
  <c r="C1491" i="9"/>
  <c r="B1491" i="9"/>
  <c r="A1491" i="9"/>
  <c r="M1490" i="9"/>
  <c r="L1490" i="9"/>
  <c r="K1490" i="9"/>
  <c r="J1490" i="9"/>
  <c r="I1490" i="9"/>
  <c r="H1490" i="9"/>
  <c r="G1490" i="9"/>
  <c r="F1490" i="9"/>
  <c r="E1490" i="9"/>
  <c r="D1490" i="9"/>
  <c r="C1490" i="9"/>
  <c r="B1490" i="9"/>
  <c r="A1490" i="9"/>
  <c r="M1489" i="9"/>
  <c r="L1489" i="9"/>
  <c r="K1489" i="9"/>
  <c r="J1489" i="9"/>
  <c r="I1489" i="9"/>
  <c r="H1489" i="9"/>
  <c r="G1489" i="9"/>
  <c r="F1489" i="9"/>
  <c r="E1489" i="9"/>
  <c r="D1489" i="9"/>
  <c r="C1489" i="9"/>
  <c r="B1489" i="9"/>
  <c r="A1489" i="9"/>
  <c r="M1488" i="9"/>
  <c r="L1488" i="9"/>
  <c r="K1488" i="9"/>
  <c r="J1488" i="9"/>
  <c r="I1488" i="9"/>
  <c r="H1488" i="9"/>
  <c r="G1488" i="9"/>
  <c r="F1488" i="9"/>
  <c r="E1488" i="9"/>
  <c r="D1488" i="9"/>
  <c r="C1488" i="9"/>
  <c r="B1488" i="9"/>
  <c r="A1488" i="9"/>
  <c r="M1487" i="9"/>
  <c r="L1487" i="9"/>
  <c r="K1487" i="9"/>
  <c r="J1487" i="9"/>
  <c r="I1487" i="9"/>
  <c r="H1487" i="9"/>
  <c r="G1487" i="9"/>
  <c r="F1487" i="9"/>
  <c r="E1487" i="9"/>
  <c r="D1487" i="9"/>
  <c r="C1487" i="9"/>
  <c r="B1487" i="9"/>
  <c r="A1487" i="9"/>
  <c r="M1486" i="9"/>
  <c r="L1486" i="9"/>
  <c r="K1486" i="9"/>
  <c r="J1486" i="9"/>
  <c r="I1486" i="9"/>
  <c r="H1486" i="9"/>
  <c r="G1486" i="9"/>
  <c r="F1486" i="9"/>
  <c r="E1486" i="9"/>
  <c r="D1486" i="9"/>
  <c r="C1486" i="9"/>
  <c r="B1486" i="9"/>
  <c r="A1486" i="9"/>
  <c r="M1485" i="9"/>
  <c r="L1485" i="9"/>
  <c r="K1485" i="9"/>
  <c r="J1485" i="9"/>
  <c r="I1485" i="9"/>
  <c r="H1485" i="9"/>
  <c r="G1485" i="9"/>
  <c r="F1485" i="9"/>
  <c r="E1485" i="9"/>
  <c r="D1485" i="9"/>
  <c r="C1485" i="9"/>
  <c r="B1485" i="9"/>
  <c r="A1485" i="9"/>
  <c r="M1484" i="9"/>
  <c r="L1484" i="9"/>
  <c r="K1484" i="9"/>
  <c r="J1484" i="9"/>
  <c r="I1484" i="9"/>
  <c r="H1484" i="9"/>
  <c r="G1484" i="9"/>
  <c r="F1484" i="9"/>
  <c r="E1484" i="9"/>
  <c r="D1484" i="9"/>
  <c r="C1484" i="9"/>
  <c r="B1484" i="9"/>
  <c r="A1484" i="9"/>
  <c r="M1483" i="9"/>
  <c r="L1483" i="9"/>
  <c r="K1483" i="9"/>
  <c r="J1483" i="9"/>
  <c r="I1483" i="9"/>
  <c r="H1483" i="9"/>
  <c r="G1483" i="9"/>
  <c r="F1483" i="9"/>
  <c r="E1483" i="9"/>
  <c r="D1483" i="9"/>
  <c r="C1483" i="9"/>
  <c r="B1483" i="9"/>
  <c r="A1483" i="9"/>
  <c r="M1482" i="9"/>
  <c r="L1482" i="9"/>
  <c r="K1482" i="9"/>
  <c r="J1482" i="9"/>
  <c r="I1482" i="9"/>
  <c r="H1482" i="9"/>
  <c r="G1482" i="9"/>
  <c r="F1482" i="9"/>
  <c r="E1482" i="9"/>
  <c r="D1482" i="9"/>
  <c r="C1482" i="9"/>
  <c r="B1482" i="9"/>
  <c r="A1482" i="9"/>
  <c r="M1481" i="9"/>
  <c r="L1481" i="9"/>
  <c r="K1481" i="9"/>
  <c r="J1481" i="9"/>
  <c r="I1481" i="9"/>
  <c r="H1481" i="9"/>
  <c r="G1481" i="9"/>
  <c r="F1481" i="9"/>
  <c r="E1481" i="9"/>
  <c r="D1481" i="9"/>
  <c r="C1481" i="9"/>
  <c r="B1481" i="9"/>
  <c r="A1481" i="9"/>
  <c r="M1480" i="9"/>
  <c r="L1480" i="9"/>
  <c r="K1480" i="9"/>
  <c r="J1480" i="9"/>
  <c r="I1480" i="9"/>
  <c r="H1480" i="9"/>
  <c r="G1480" i="9"/>
  <c r="F1480" i="9"/>
  <c r="E1480" i="9"/>
  <c r="D1480" i="9"/>
  <c r="C1480" i="9"/>
  <c r="B1480" i="9"/>
  <c r="A1480" i="9"/>
  <c r="M1479" i="9"/>
  <c r="L1479" i="9"/>
  <c r="K1479" i="9"/>
  <c r="J1479" i="9"/>
  <c r="I1479" i="9"/>
  <c r="H1479" i="9"/>
  <c r="G1479" i="9"/>
  <c r="F1479" i="9"/>
  <c r="E1479" i="9"/>
  <c r="D1479" i="9"/>
  <c r="C1479" i="9"/>
  <c r="B1479" i="9"/>
  <c r="A1479" i="9"/>
  <c r="M1478" i="9"/>
  <c r="L1478" i="9"/>
  <c r="K1478" i="9"/>
  <c r="J1478" i="9"/>
  <c r="I1478" i="9"/>
  <c r="H1478" i="9"/>
  <c r="G1478" i="9"/>
  <c r="F1478" i="9"/>
  <c r="E1478" i="9"/>
  <c r="D1478" i="9"/>
  <c r="C1478" i="9"/>
  <c r="B1478" i="9"/>
  <c r="A1478" i="9"/>
  <c r="M1477" i="9"/>
  <c r="L1477" i="9"/>
  <c r="K1477" i="9"/>
  <c r="J1477" i="9"/>
  <c r="I1477" i="9"/>
  <c r="H1477" i="9"/>
  <c r="G1477" i="9"/>
  <c r="F1477" i="9"/>
  <c r="E1477" i="9"/>
  <c r="D1477" i="9"/>
  <c r="C1477" i="9"/>
  <c r="B1477" i="9"/>
  <c r="A1477" i="9"/>
  <c r="M1476" i="9"/>
  <c r="L1476" i="9"/>
  <c r="K1476" i="9"/>
  <c r="J1476" i="9"/>
  <c r="I1476" i="9"/>
  <c r="H1476" i="9"/>
  <c r="G1476" i="9"/>
  <c r="F1476" i="9"/>
  <c r="E1476" i="9"/>
  <c r="D1476" i="9"/>
  <c r="C1476" i="9"/>
  <c r="B1476" i="9"/>
  <c r="A1476" i="9"/>
  <c r="M1475" i="9"/>
  <c r="L1475" i="9"/>
  <c r="K1475" i="9"/>
  <c r="J1475" i="9"/>
  <c r="I1475" i="9"/>
  <c r="H1475" i="9"/>
  <c r="G1475" i="9"/>
  <c r="F1475" i="9"/>
  <c r="E1475" i="9"/>
  <c r="D1475" i="9"/>
  <c r="C1475" i="9"/>
  <c r="B1475" i="9"/>
  <c r="A1475" i="9"/>
  <c r="M1474" i="9"/>
  <c r="L1474" i="9"/>
  <c r="K1474" i="9"/>
  <c r="J1474" i="9"/>
  <c r="I1474" i="9"/>
  <c r="H1474" i="9"/>
  <c r="G1474" i="9"/>
  <c r="F1474" i="9"/>
  <c r="E1474" i="9"/>
  <c r="D1474" i="9"/>
  <c r="C1474" i="9"/>
  <c r="B1474" i="9"/>
  <c r="A1474" i="9"/>
  <c r="M1473" i="9"/>
  <c r="L1473" i="9"/>
  <c r="K1473" i="9"/>
  <c r="J1473" i="9"/>
  <c r="I1473" i="9"/>
  <c r="H1473" i="9"/>
  <c r="G1473" i="9"/>
  <c r="F1473" i="9"/>
  <c r="E1473" i="9"/>
  <c r="D1473" i="9"/>
  <c r="C1473" i="9"/>
  <c r="B1473" i="9"/>
  <c r="A1473" i="9"/>
  <c r="M1472" i="9"/>
  <c r="L1472" i="9"/>
  <c r="K1472" i="9"/>
  <c r="J1472" i="9"/>
  <c r="I1472" i="9"/>
  <c r="H1472" i="9"/>
  <c r="G1472" i="9"/>
  <c r="F1472" i="9"/>
  <c r="E1472" i="9"/>
  <c r="D1472" i="9"/>
  <c r="C1472" i="9"/>
  <c r="B1472" i="9"/>
  <c r="A1472" i="9"/>
  <c r="M1471" i="9"/>
  <c r="L1471" i="9"/>
  <c r="K1471" i="9"/>
  <c r="J1471" i="9"/>
  <c r="I1471" i="9"/>
  <c r="H1471" i="9"/>
  <c r="G1471" i="9"/>
  <c r="F1471" i="9"/>
  <c r="E1471" i="9"/>
  <c r="D1471" i="9"/>
  <c r="C1471" i="9"/>
  <c r="B1471" i="9"/>
  <c r="A1471" i="9"/>
  <c r="M1470" i="9"/>
  <c r="L1470" i="9"/>
  <c r="K1470" i="9"/>
  <c r="J1470" i="9"/>
  <c r="I1470" i="9"/>
  <c r="H1470" i="9"/>
  <c r="G1470" i="9"/>
  <c r="F1470" i="9"/>
  <c r="E1470" i="9"/>
  <c r="D1470" i="9"/>
  <c r="C1470" i="9"/>
  <c r="B1470" i="9"/>
  <c r="A1470" i="9"/>
  <c r="M1469" i="9"/>
  <c r="L1469" i="9"/>
  <c r="K1469" i="9"/>
  <c r="J1469" i="9"/>
  <c r="I1469" i="9"/>
  <c r="H1469" i="9"/>
  <c r="G1469" i="9"/>
  <c r="F1469" i="9"/>
  <c r="E1469" i="9"/>
  <c r="D1469" i="9"/>
  <c r="C1469" i="9"/>
  <c r="B1469" i="9"/>
  <c r="A1469" i="9"/>
  <c r="M1468" i="9"/>
  <c r="L1468" i="9"/>
  <c r="K1468" i="9"/>
  <c r="J1468" i="9"/>
  <c r="I1468" i="9"/>
  <c r="H1468" i="9"/>
  <c r="G1468" i="9"/>
  <c r="F1468" i="9"/>
  <c r="E1468" i="9"/>
  <c r="D1468" i="9"/>
  <c r="C1468" i="9"/>
  <c r="B1468" i="9"/>
  <c r="A1468" i="9"/>
  <c r="M1467" i="9"/>
  <c r="L1467" i="9"/>
  <c r="K1467" i="9"/>
  <c r="J1467" i="9"/>
  <c r="I1467" i="9"/>
  <c r="H1467" i="9"/>
  <c r="G1467" i="9"/>
  <c r="F1467" i="9"/>
  <c r="E1467" i="9"/>
  <c r="D1467" i="9"/>
  <c r="C1467" i="9"/>
  <c r="B1467" i="9"/>
  <c r="A1467" i="9"/>
  <c r="M1466" i="9"/>
  <c r="L1466" i="9"/>
  <c r="K1466" i="9"/>
  <c r="J1466" i="9"/>
  <c r="I1466" i="9"/>
  <c r="H1466" i="9"/>
  <c r="G1466" i="9"/>
  <c r="F1466" i="9"/>
  <c r="E1466" i="9"/>
  <c r="D1466" i="9"/>
  <c r="C1466" i="9"/>
  <c r="B1466" i="9"/>
  <c r="A1466" i="9"/>
  <c r="M1465" i="9"/>
  <c r="L1465" i="9"/>
  <c r="K1465" i="9"/>
  <c r="J1465" i="9"/>
  <c r="I1465" i="9"/>
  <c r="H1465" i="9"/>
  <c r="G1465" i="9"/>
  <c r="F1465" i="9"/>
  <c r="E1465" i="9"/>
  <c r="D1465" i="9"/>
  <c r="C1465" i="9"/>
  <c r="B1465" i="9"/>
  <c r="A1465" i="9"/>
  <c r="M1464" i="9"/>
  <c r="L1464" i="9"/>
  <c r="K1464" i="9"/>
  <c r="J1464" i="9"/>
  <c r="I1464" i="9"/>
  <c r="H1464" i="9"/>
  <c r="G1464" i="9"/>
  <c r="F1464" i="9"/>
  <c r="E1464" i="9"/>
  <c r="D1464" i="9"/>
  <c r="C1464" i="9"/>
  <c r="B1464" i="9"/>
  <c r="A1464" i="9"/>
  <c r="M1463" i="9"/>
  <c r="L1463" i="9"/>
  <c r="K1463" i="9"/>
  <c r="J1463" i="9"/>
  <c r="I1463" i="9"/>
  <c r="H1463" i="9"/>
  <c r="G1463" i="9"/>
  <c r="F1463" i="9"/>
  <c r="E1463" i="9"/>
  <c r="D1463" i="9"/>
  <c r="C1463" i="9"/>
  <c r="B1463" i="9"/>
  <c r="A1463" i="9"/>
  <c r="M1462" i="9"/>
  <c r="L1462" i="9"/>
  <c r="K1462" i="9"/>
  <c r="J1462" i="9"/>
  <c r="I1462" i="9"/>
  <c r="H1462" i="9"/>
  <c r="G1462" i="9"/>
  <c r="F1462" i="9"/>
  <c r="E1462" i="9"/>
  <c r="D1462" i="9"/>
  <c r="C1462" i="9"/>
  <c r="B1462" i="9"/>
  <c r="A1462" i="9"/>
  <c r="M1461" i="9"/>
  <c r="L1461" i="9"/>
  <c r="K1461" i="9"/>
  <c r="J1461" i="9"/>
  <c r="I1461" i="9"/>
  <c r="H1461" i="9"/>
  <c r="G1461" i="9"/>
  <c r="F1461" i="9"/>
  <c r="E1461" i="9"/>
  <c r="D1461" i="9"/>
  <c r="C1461" i="9"/>
  <c r="B1461" i="9"/>
  <c r="A1461" i="9"/>
  <c r="M1460" i="9"/>
  <c r="L1460" i="9"/>
  <c r="K1460" i="9"/>
  <c r="J1460" i="9"/>
  <c r="I1460" i="9"/>
  <c r="H1460" i="9"/>
  <c r="G1460" i="9"/>
  <c r="F1460" i="9"/>
  <c r="E1460" i="9"/>
  <c r="D1460" i="9"/>
  <c r="C1460" i="9"/>
  <c r="B1460" i="9"/>
  <c r="A1460" i="9"/>
  <c r="M1459" i="9"/>
  <c r="L1459" i="9"/>
  <c r="K1459" i="9"/>
  <c r="J1459" i="9"/>
  <c r="I1459" i="9"/>
  <c r="H1459" i="9"/>
  <c r="G1459" i="9"/>
  <c r="F1459" i="9"/>
  <c r="E1459" i="9"/>
  <c r="D1459" i="9"/>
  <c r="C1459" i="9"/>
  <c r="B1459" i="9"/>
  <c r="A1459" i="9"/>
  <c r="M1458" i="9"/>
  <c r="L1458" i="9"/>
  <c r="K1458" i="9"/>
  <c r="J1458" i="9"/>
  <c r="I1458" i="9"/>
  <c r="H1458" i="9"/>
  <c r="G1458" i="9"/>
  <c r="F1458" i="9"/>
  <c r="E1458" i="9"/>
  <c r="D1458" i="9"/>
  <c r="C1458" i="9"/>
  <c r="B1458" i="9"/>
  <c r="A1458" i="9"/>
  <c r="M1457" i="9"/>
  <c r="L1457" i="9"/>
  <c r="K1457" i="9"/>
  <c r="J1457" i="9"/>
  <c r="I1457" i="9"/>
  <c r="H1457" i="9"/>
  <c r="G1457" i="9"/>
  <c r="F1457" i="9"/>
  <c r="E1457" i="9"/>
  <c r="D1457" i="9"/>
  <c r="C1457" i="9"/>
  <c r="B1457" i="9"/>
  <c r="A1457" i="9"/>
  <c r="M1456" i="9"/>
  <c r="L1456" i="9"/>
  <c r="K1456" i="9"/>
  <c r="J1456" i="9"/>
  <c r="I1456" i="9"/>
  <c r="H1456" i="9"/>
  <c r="G1456" i="9"/>
  <c r="F1456" i="9"/>
  <c r="E1456" i="9"/>
  <c r="D1456" i="9"/>
  <c r="C1456" i="9"/>
  <c r="B1456" i="9"/>
  <c r="A1456" i="9"/>
  <c r="M1455" i="9"/>
  <c r="L1455" i="9"/>
  <c r="K1455" i="9"/>
  <c r="J1455" i="9"/>
  <c r="I1455" i="9"/>
  <c r="H1455" i="9"/>
  <c r="G1455" i="9"/>
  <c r="F1455" i="9"/>
  <c r="E1455" i="9"/>
  <c r="D1455" i="9"/>
  <c r="C1455" i="9"/>
  <c r="B1455" i="9"/>
  <c r="A1455" i="9"/>
  <c r="M1454" i="9"/>
  <c r="L1454" i="9"/>
  <c r="K1454" i="9"/>
  <c r="J1454" i="9"/>
  <c r="I1454" i="9"/>
  <c r="H1454" i="9"/>
  <c r="G1454" i="9"/>
  <c r="F1454" i="9"/>
  <c r="E1454" i="9"/>
  <c r="D1454" i="9"/>
  <c r="C1454" i="9"/>
  <c r="B1454" i="9"/>
  <c r="A1454" i="9"/>
  <c r="M1453" i="9"/>
  <c r="L1453" i="9"/>
  <c r="K1453" i="9"/>
  <c r="J1453" i="9"/>
  <c r="I1453" i="9"/>
  <c r="H1453" i="9"/>
  <c r="G1453" i="9"/>
  <c r="F1453" i="9"/>
  <c r="E1453" i="9"/>
  <c r="D1453" i="9"/>
  <c r="C1453" i="9"/>
  <c r="B1453" i="9"/>
  <c r="A1453" i="9"/>
  <c r="M1452" i="9"/>
  <c r="L1452" i="9"/>
  <c r="K1452" i="9"/>
  <c r="J1452" i="9"/>
  <c r="I1452" i="9"/>
  <c r="H1452" i="9"/>
  <c r="G1452" i="9"/>
  <c r="F1452" i="9"/>
  <c r="E1452" i="9"/>
  <c r="D1452" i="9"/>
  <c r="C1452" i="9"/>
  <c r="B1452" i="9"/>
  <c r="A1452" i="9"/>
  <c r="M1451" i="9"/>
  <c r="L1451" i="9"/>
  <c r="K1451" i="9"/>
  <c r="J1451" i="9"/>
  <c r="I1451" i="9"/>
  <c r="H1451" i="9"/>
  <c r="G1451" i="9"/>
  <c r="F1451" i="9"/>
  <c r="E1451" i="9"/>
  <c r="D1451" i="9"/>
  <c r="C1451" i="9"/>
  <c r="B1451" i="9"/>
  <c r="A1451" i="9"/>
  <c r="M1450" i="9"/>
  <c r="L1450" i="9"/>
  <c r="K1450" i="9"/>
  <c r="J1450" i="9"/>
  <c r="I1450" i="9"/>
  <c r="H1450" i="9"/>
  <c r="G1450" i="9"/>
  <c r="F1450" i="9"/>
  <c r="E1450" i="9"/>
  <c r="D1450" i="9"/>
  <c r="C1450" i="9"/>
  <c r="B1450" i="9"/>
  <c r="A1450" i="9"/>
  <c r="M1449" i="9"/>
  <c r="L1449" i="9"/>
  <c r="K1449" i="9"/>
  <c r="J1449" i="9"/>
  <c r="I1449" i="9"/>
  <c r="H1449" i="9"/>
  <c r="G1449" i="9"/>
  <c r="F1449" i="9"/>
  <c r="E1449" i="9"/>
  <c r="D1449" i="9"/>
  <c r="C1449" i="9"/>
  <c r="B1449" i="9"/>
  <c r="A1449" i="9"/>
  <c r="M1448" i="9"/>
  <c r="L1448" i="9"/>
  <c r="K1448" i="9"/>
  <c r="J1448" i="9"/>
  <c r="I1448" i="9"/>
  <c r="H1448" i="9"/>
  <c r="G1448" i="9"/>
  <c r="F1448" i="9"/>
  <c r="E1448" i="9"/>
  <c r="D1448" i="9"/>
  <c r="C1448" i="9"/>
  <c r="B1448" i="9"/>
  <c r="A1448" i="9"/>
  <c r="M1447" i="9"/>
  <c r="L1447" i="9"/>
  <c r="K1447" i="9"/>
  <c r="J1447" i="9"/>
  <c r="I1447" i="9"/>
  <c r="H1447" i="9"/>
  <c r="G1447" i="9"/>
  <c r="F1447" i="9"/>
  <c r="E1447" i="9"/>
  <c r="D1447" i="9"/>
  <c r="C1447" i="9"/>
  <c r="B1447" i="9"/>
  <c r="A1447" i="9"/>
  <c r="M1446" i="9"/>
  <c r="L1446" i="9"/>
  <c r="K1446" i="9"/>
  <c r="J1446" i="9"/>
  <c r="I1446" i="9"/>
  <c r="H1446" i="9"/>
  <c r="G1446" i="9"/>
  <c r="F1446" i="9"/>
  <c r="E1446" i="9"/>
  <c r="D1446" i="9"/>
  <c r="C1446" i="9"/>
  <c r="B1446" i="9"/>
  <c r="A1446" i="9"/>
  <c r="M1445" i="9"/>
  <c r="L1445" i="9"/>
  <c r="K1445" i="9"/>
  <c r="J1445" i="9"/>
  <c r="I1445" i="9"/>
  <c r="H1445" i="9"/>
  <c r="G1445" i="9"/>
  <c r="F1445" i="9"/>
  <c r="E1445" i="9"/>
  <c r="D1445" i="9"/>
  <c r="C1445" i="9"/>
  <c r="B1445" i="9"/>
  <c r="A1445" i="9"/>
  <c r="M1444" i="9"/>
  <c r="L1444" i="9"/>
  <c r="K1444" i="9"/>
  <c r="J1444" i="9"/>
  <c r="I1444" i="9"/>
  <c r="H1444" i="9"/>
  <c r="G1444" i="9"/>
  <c r="F1444" i="9"/>
  <c r="E1444" i="9"/>
  <c r="D1444" i="9"/>
  <c r="C1444" i="9"/>
  <c r="B1444" i="9"/>
  <c r="A1444" i="9"/>
  <c r="M1443" i="9"/>
  <c r="L1443" i="9"/>
  <c r="K1443" i="9"/>
  <c r="J1443" i="9"/>
  <c r="I1443" i="9"/>
  <c r="H1443" i="9"/>
  <c r="G1443" i="9"/>
  <c r="F1443" i="9"/>
  <c r="E1443" i="9"/>
  <c r="D1443" i="9"/>
  <c r="C1443" i="9"/>
  <c r="B1443" i="9"/>
  <c r="A1443" i="9"/>
  <c r="M1442" i="9"/>
  <c r="L1442" i="9"/>
  <c r="K1442" i="9"/>
  <c r="J1442" i="9"/>
  <c r="I1442" i="9"/>
  <c r="H1442" i="9"/>
  <c r="G1442" i="9"/>
  <c r="F1442" i="9"/>
  <c r="E1442" i="9"/>
  <c r="D1442" i="9"/>
  <c r="C1442" i="9"/>
  <c r="B1442" i="9"/>
  <c r="A1442" i="9"/>
  <c r="M1441" i="9"/>
  <c r="L1441" i="9"/>
  <c r="K1441" i="9"/>
  <c r="J1441" i="9"/>
  <c r="I1441" i="9"/>
  <c r="H1441" i="9"/>
  <c r="G1441" i="9"/>
  <c r="F1441" i="9"/>
  <c r="E1441" i="9"/>
  <c r="D1441" i="9"/>
  <c r="C1441" i="9"/>
  <c r="B1441" i="9"/>
  <c r="A1441" i="9"/>
  <c r="M1440" i="9"/>
  <c r="L1440" i="9"/>
  <c r="K1440" i="9"/>
  <c r="J1440" i="9"/>
  <c r="I1440" i="9"/>
  <c r="H1440" i="9"/>
  <c r="G1440" i="9"/>
  <c r="F1440" i="9"/>
  <c r="E1440" i="9"/>
  <c r="D1440" i="9"/>
  <c r="C1440" i="9"/>
  <c r="B1440" i="9"/>
  <c r="A1440" i="9"/>
  <c r="M1439" i="9"/>
  <c r="L1439" i="9"/>
  <c r="K1439" i="9"/>
  <c r="J1439" i="9"/>
  <c r="I1439" i="9"/>
  <c r="H1439" i="9"/>
  <c r="G1439" i="9"/>
  <c r="F1439" i="9"/>
  <c r="E1439" i="9"/>
  <c r="D1439" i="9"/>
  <c r="C1439" i="9"/>
  <c r="B1439" i="9"/>
  <c r="A1439" i="9"/>
  <c r="M1438" i="9"/>
  <c r="L1438" i="9"/>
  <c r="K1438" i="9"/>
  <c r="J1438" i="9"/>
  <c r="I1438" i="9"/>
  <c r="H1438" i="9"/>
  <c r="G1438" i="9"/>
  <c r="F1438" i="9"/>
  <c r="E1438" i="9"/>
  <c r="D1438" i="9"/>
  <c r="C1438" i="9"/>
  <c r="B1438" i="9"/>
  <c r="A1438" i="9"/>
  <c r="M1437" i="9"/>
  <c r="L1437" i="9"/>
  <c r="K1437" i="9"/>
  <c r="J1437" i="9"/>
  <c r="I1437" i="9"/>
  <c r="H1437" i="9"/>
  <c r="G1437" i="9"/>
  <c r="F1437" i="9"/>
  <c r="E1437" i="9"/>
  <c r="D1437" i="9"/>
  <c r="C1437" i="9"/>
  <c r="B1437" i="9"/>
  <c r="A1437" i="9"/>
  <c r="M1436" i="9"/>
  <c r="L1436" i="9"/>
  <c r="K1436" i="9"/>
  <c r="J1436" i="9"/>
  <c r="I1436" i="9"/>
  <c r="H1436" i="9"/>
  <c r="G1436" i="9"/>
  <c r="F1436" i="9"/>
  <c r="E1436" i="9"/>
  <c r="D1436" i="9"/>
  <c r="C1436" i="9"/>
  <c r="B1436" i="9"/>
  <c r="A1436" i="9"/>
  <c r="M1435" i="9"/>
  <c r="L1435" i="9"/>
  <c r="K1435" i="9"/>
  <c r="J1435" i="9"/>
  <c r="I1435" i="9"/>
  <c r="H1435" i="9"/>
  <c r="G1435" i="9"/>
  <c r="F1435" i="9"/>
  <c r="E1435" i="9"/>
  <c r="D1435" i="9"/>
  <c r="C1435" i="9"/>
  <c r="B1435" i="9"/>
  <c r="A1435" i="9"/>
  <c r="M1434" i="9"/>
  <c r="L1434" i="9"/>
  <c r="K1434" i="9"/>
  <c r="J1434" i="9"/>
  <c r="I1434" i="9"/>
  <c r="H1434" i="9"/>
  <c r="G1434" i="9"/>
  <c r="F1434" i="9"/>
  <c r="E1434" i="9"/>
  <c r="D1434" i="9"/>
  <c r="C1434" i="9"/>
  <c r="B1434" i="9"/>
  <c r="A1434" i="9"/>
  <c r="M1433" i="9"/>
  <c r="L1433" i="9"/>
  <c r="K1433" i="9"/>
  <c r="J1433" i="9"/>
  <c r="I1433" i="9"/>
  <c r="H1433" i="9"/>
  <c r="G1433" i="9"/>
  <c r="F1433" i="9"/>
  <c r="E1433" i="9"/>
  <c r="D1433" i="9"/>
  <c r="C1433" i="9"/>
  <c r="B1433" i="9"/>
  <c r="A1433" i="9"/>
  <c r="M1432" i="9"/>
  <c r="L1432" i="9"/>
  <c r="K1432" i="9"/>
  <c r="J1432" i="9"/>
  <c r="I1432" i="9"/>
  <c r="H1432" i="9"/>
  <c r="G1432" i="9"/>
  <c r="F1432" i="9"/>
  <c r="E1432" i="9"/>
  <c r="D1432" i="9"/>
  <c r="C1432" i="9"/>
  <c r="B1432" i="9"/>
  <c r="A1432" i="9"/>
  <c r="M1431" i="9"/>
  <c r="L1431" i="9"/>
  <c r="K1431" i="9"/>
  <c r="J1431" i="9"/>
  <c r="I1431" i="9"/>
  <c r="H1431" i="9"/>
  <c r="G1431" i="9"/>
  <c r="F1431" i="9"/>
  <c r="E1431" i="9"/>
  <c r="D1431" i="9"/>
  <c r="C1431" i="9"/>
  <c r="B1431" i="9"/>
  <c r="A1431" i="9"/>
  <c r="M1430" i="9"/>
  <c r="L1430" i="9"/>
  <c r="K1430" i="9"/>
  <c r="J1430" i="9"/>
  <c r="I1430" i="9"/>
  <c r="H1430" i="9"/>
  <c r="G1430" i="9"/>
  <c r="F1430" i="9"/>
  <c r="E1430" i="9"/>
  <c r="D1430" i="9"/>
  <c r="C1430" i="9"/>
  <c r="B1430" i="9"/>
  <c r="A1430" i="9"/>
  <c r="M1429" i="9"/>
  <c r="L1429" i="9"/>
  <c r="K1429" i="9"/>
  <c r="J1429" i="9"/>
  <c r="I1429" i="9"/>
  <c r="H1429" i="9"/>
  <c r="G1429" i="9"/>
  <c r="F1429" i="9"/>
  <c r="E1429" i="9"/>
  <c r="D1429" i="9"/>
  <c r="C1429" i="9"/>
  <c r="B1429" i="9"/>
  <c r="A1429" i="9"/>
  <c r="M1428" i="9"/>
  <c r="L1428" i="9"/>
  <c r="K1428" i="9"/>
  <c r="J1428" i="9"/>
  <c r="I1428" i="9"/>
  <c r="H1428" i="9"/>
  <c r="G1428" i="9"/>
  <c r="F1428" i="9"/>
  <c r="E1428" i="9"/>
  <c r="D1428" i="9"/>
  <c r="C1428" i="9"/>
  <c r="B1428" i="9"/>
  <c r="A1428" i="9"/>
  <c r="M1427" i="9"/>
  <c r="L1427" i="9"/>
  <c r="K1427" i="9"/>
  <c r="J1427" i="9"/>
  <c r="I1427" i="9"/>
  <c r="H1427" i="9"/>
  <c r="G1427" i="9"/>
  <c r="F1427" i="9"/>
  <c r="E1427" i="9"/>
  <c r="D1427" i="9"/>
  <c r="C1427" i="9"/>
  <c r="B1427" i="9"/>
  <c r="A1427" i="9"/>
  <c r="M1426" i="9"/>
  <c r="L1426" i="9"/>
  <c r="K1426" i="9"/>
  <c r="J1426" i="9"/>
  <c r="I1426" i="9"/>
  <c r="H1426" i="9"/>
  <c r="G1426" i="9"/>
  <c r="F1426" i="9"/>
  <c r="E1426" i="9"/>
  <c r="D1426" i="9"/>
  <c r="C1426" i="9"/>
  <c r="B1426" i="9"/>
  <c r="A1426" i="9"/>
  <c r="M1425" i="9"/>
  <c r="L1425" i="9"/>
  <c r="K1425" i="9"/>
  <c r="J1425" i="9"/>
  <c r="I1425" i="9"/>
  <c r="H1425" i="9"/>
  <c r="G1425" i="9"/>
  <c r="F1425" i="9"/>
  <c r="E1425" i="9"/>
  <c r="D1425" i="9"/>
  <c r="C1425" i="9"/>
  <c r="B1425" i="9"/>
  <c r="A1425" i="9"/>
  <c r="M1424" i="9"/>
  <c r="L1424" i="9"/>
  <c r="K1424" i="9"/>
  <c r="J1424" i="9"/>
  <c r="I1424" i="9"/>
  <c r="H1424" i="9"/>
  <c r="G1424" i="9"/>
  <c r="F1424" i="9"/>
  <c r="E1424" i="9"/>
  <c r="D1424" i="9"/>
  <c r="C1424" i="9"/>
  <c r="B1424" i="9"/>
  <c r="A1424" i="9"/>
  <c r="M1423" i="9"/>
  <c r="L1423" i="9"/>
  <c r="K1423" i="9"/>
  <c r="J1423" i="9"/>
  <c r="I1423" i="9"/>
  <c r="H1423" i="9"/>
  <c r="G1423" i="9"/>
  <c r="F1423" i="9"/>
  <c r="E1423" i="9"/>
  <c r="D1423" i="9"/>
  <c r="C1423" i="9"/>
  <c r="B1423" i="9"/>
  <c r="A1423" i="9"/>
  <c r="M1422" i="9"/>
  <c r="L1422" i="9"/>
  <c r="K1422" i="9"/>
  <c r="J1422" i="9"/>
  <c r="I1422" i="9"/>
  <c r="H1422" i="9"/>
  <c r="G1422" i="9"/>
  <c r="F1422" i="9"/>
  <c r="E1422" i="9"/>
  <c r="D1422" i="9"/>
  <c r="C1422" i="9"/>
  <c r="B1422" i="9"/>
  <c r="A1422" i="9"/>
  <c r="M1421" i="9"/>
  <c r="L1421" i="9"/>
  <c r="K1421" i="9"/>
  <c r="J1421" i="9"/>
  <c r="I1421" i="9"/>
  <c r="H1421" i="9"/>
  <c r="G1421" i="9"/>
  <c r="F1421" i="9"/>
  <c r="E1421" i="9"/>
  <c r="D1421" i="9"/>
  <c r="C1421" i="9"/>
  <c r="B1421" i="9"/>
  <c r="A1421" i="9"/>
  <c r="M1420" i="9"/>
  <c r="L1420" i="9"/>
  <c r="K1420" i="9"/>
  <c r="J1420" i="9"/>
  <c r="I1420" i="9"/>
  <c r="H1420" i="9"/>
  <c r="G1420" i="9"/>
  <c r="F1420" i="9"/>
  <c r="E1420" i="9"/>
  <c r="D1420" i="9"/>
  <c r="C1420" i="9"/>
  <c r="B1420" i="9"/>
  <c r="A1420" i="9"/>
  <c r="M1419" i="9"/>
  <c r="L1419" i="9"/>
  <c r="K1419" i="9"/>
  <c r="J1419" i="9"/>
  <c r="I1419" i="9"/>
  <c r="H1419" i="9"/>
  <c r="G1419" i="9"/>
  <c r="F1419" i="9"/>
  <c r="E1419" i="9"/>
  <c r="D1419" i="9"/>
  <c r="C1419" i="9"/>
  <c r="B1419" i="9"/>
  <c r="A1419" i="9"/>
  <c r="M1418" i="9"/>
  <c r="L1418" i="9"/>
  <c r="K1418" i="9"/>
  <c r="J1418" i="9"/>
  <c r="I1418" i="9"/>
  <c r="H1418" i="9"/>
  <c r="G1418" i="9"/>
  <c r="F1418" i="9"/>
  <c r="E1418" i="9"/>
  <c r="D1418" i="9"/>
  <c r="C1418" i="9"/>
  <c r="B1418" i="9"/>
  <c r="A1418" i="9"/>
  <c r="M1417" i="9"/>
  <c r="L1417" i="9"/>
  <c r="K1417" i="9"/>
  <c r="J1417" i="9"/>
  <c r="I1417" i="9"/>
  <c r="H1417" i="9"/>
  <c r="G1417" i="9"/>
  <c r="F1417" i="9"/>
  <c r="E1417" i="9"/>
  <c r="D1417" i="9"/>
  <c r="C1417" i="9"/>
  <c r="B1417" i="9"/>
  <c r="A1417" i="9"/>
  <c r="M1416" i="9"/>
  <c r="L1416" i="9"/>
  <c r="K1416" i="9"/>
  <c r="J1416" i="9"/>
  <c r="I1416" i="9"/>
  <c r="H1416" i="9"/>
  <c r="G1416" i="9"/>
  <c r="F1416" i="9"/>
  <c r="E1416" i="9"/>
  <c r="D1416" i="9"/>
  <c r="C1416" i="9"/>
  <c r="B1416" i="9"/>
  <c r="A1416" i="9"/>
  <c r="M1415" i="9"/>
  <c r="L1415" i="9"/>
  <c r="K1415" i="9"/>
  <c r="J1415" i="9"/>
  <c r="I1415" i="9"/>
  <c r="H1415" i="9"/>
  <c r="G1415" i="9"/>
  <c r="F1415" i="9"/>
  <c r="E1415" i="9"/>
  <c r="D1415" i="9"/>
  <c r="C1415" i="9"/>
  <c r="B1415" i="9"/>
  <c r="A1415" i="9"/>
  <c r="M1414" i="9"/>
  <c r="L1414" i="9"/>
  <c r="K1414" i="9"/>
  <c r="J1414" i="9"/>
  <c r="I1414" i="9"/>
  <c r="H1414" i="9"/>
  <c r="G1414" i="9"/>
  <c r="F1414" i="9"/>
  <c r="E1414" i="9"/>
  <c r="D1414" i="9"/>
  <c r="C1414" i="9"/>
  <c r="B1414" i="9"/>
  <c r="A1414" i="9"/>
  <c r="M1413" i="9"/>
  <c r="L1413" i="9"/>
  <c r="K1413" i="9"/>
  <c r="J1413" i="9"/>
  <c r="I1413" i="9"/>
  <c r="H1413" i="9"/>
  <c r="G1413" i="9"/>
  <c r="F1413" i="9"/>
  <c r="E1413" i="9"/>
  <c r="D1413" i="9"/>
  <c r="C1413" i="9"/>
  <c r="B1413" i="9"/>
  <c r="A1413" i="9"/>
  <c r="M1412" i="9"/>
  <c r="L1412" i="9"/>
  <c r="K1412" i="9"/>
  <c r="J1412" i="9"/>
  <c r="I1412" i="9"/>
  <c r="H1412" i="9"/>
  <c r="G1412" i="9"/>
  <c r="F1412" i="9"/>
  <c r="E1412" i="9"/>
  <c r="D1412" i="9"/>
  <c r="C1412" i="9"/>
  <c r="B1412" i="9"/>
  <c r="A1412" i="9"/>
  <c r="M1411" i="9"/>
  <c r="L1411" i="9"/>
  <c r="K1411" i="9"/>
  <c r="J1411" i="9"/>
  <c r="I1411" i="9"/>
  <c r="H1411" i="9"/>
  <c r="G1411" i="9"/>
  <c r="F1411" i="9"/>
  <c r="E1411" i="9"/>
  <c r="D1411" i="9"/>
  <c r="C1411" i="9"/>
  <c r="B1411" i="9"/>
  <c r="A1411" i="9"/>
  <c r="M1410" i="9"/>
  <c r="L1410" i="9"/>
  <c r="K1410" i="9"/>
  <c r="J1410" i="9"/>
  <c r="I1410" i="9"/>
  <c r="H1410" i="9"/>
  <c r="G1410" i="9"/>
  <c r="F1410" i="9"/>
  <c r="E1410" i="9"/>
  <c r="D1410" i="9"/>
  <c r="C1410" i="9"/>
  <c r="B1410" i="9"/>
  <c r="A1410" i="9"/>
  <c r="M1409" i="9"/>
  <c r="L1409" i="9"/>
  <c r="K1409" i="9"/>
  <c r="J1409" i="9"/>
  <c r="I1409" i="9"/>
  <c r="H1409" i="9"/>
  <c r="G1409" i="9"/>
  <c r="F1409" i="9"/>
  <c r="E1409" i="9"/>
  <c r="D1409" i="9"/>
  <c r="C1409" i="9"/>
  <c r="B1409" i="9"/>
  <c r="A1409" i="9"/>
  <c r="M1408" i="9"/>
  <c r="L1408" i="9"/>
  <c r="K1408" i="9"/>
  <c r="J1408" i="9"/>
  <c r="I1408" i="9"/>
  <c r="H1408" i="9"/>
  <c r="G1408" i="9"/>
  <c r="F1408" i="9"/>
  <c r="E1408" i="9"/>
  <c r="D1408" i="9"/>
  <c r="C1408" i="9"/>
  <c r="B1408" i="9"/>
  <c r="A1408" i="9"/>
  <c r="M1407" i="9"/>
  <c r="L1407" i="9"/>
  <c r="K1407" i="9"/>
  <c r="J1407" i="9"/>
  <c r="I1407" i="9"/>
  <c r="H1407" i="9"/>
  <c r="G1407" i="9"/>
  <c r="F1407" i="9"/>
  <c r="E1407" i="9"/>
  <c r="D1407" i="9"/>
  <c r="C1407" i="9"/>
  <c r="B1407" i="9"/>
  <c r="A1407" i="9"/>
  <c r="M1406" i="9"/>
  <c r="L1406" i="9"/>
  <c r="K1406" i="9"/>
  <c r="J1406" i="9"/>
  <c r="I1406" i="9"/>
  <c r="H1406" i="9"/>
  <c r="G1406" i="9"/>
  <c r="F1406" i="9"/>
  <c r="E1406" i="9"/>
  <c r="D1406" i="9"/>
  <c r="C1406" i="9"/>
  <c r="B1406" i="9"/>
  <c r="A1406" i="9"/>
  <c r="M1405" i="9"/>
  <c r="L1405" i="9"/>
  <c r="K1405" i="9"/>
  <c r="J1405" i="9"/>
  <c r="I1405" i="9"/>
  <c r="H1405" i="9"/>
  <c r="G1405" i="9"/>
  <c r="F1405" i="9"/>
  <c r="E1405" i="9"/>
  <c r="D1405" i="9"/>
  <c r="C1405" i="9"/>
  <c r="B1405" i="9"/>
  <c r="A1405" i="9"/>
  <c r="M1404" i="9"/>
  <c r="L1404" i="9"/>
  <c r="K1404" i="9"/>
  <c r="J1404" i="9"/>
  <c r="I1404" i="9"/>
  <c r="H1404" i="9"/>
  <c r="G1404" i="9"/>
  <c r="F1404" i="9"/>
  <c r="E1404" i="9"/>
  <c r="D1404" i="9"/>
  <c r="C1404" i="9"/>
  <c r="B1404" i="9"/>
  <c r="A1404" i="9"/>
  <c r="M1403" i="9"/>
  <c r="L1403" i="9"/>
  <c r="K1403" i="9"/>
  <c r="J1403" i="9"/>
  <c r="I1403" i="9"/>
  <c r="H1403" i="9"/>
  <c r="G1403" i="9"/>
  <c r="F1403" i="9"/>
  <c r="E1403" i="9"/>
  <c r="D1403" i="9"/>
  <c r="C1403" i="9"/>
  <c r="B1403" i="9"/>
  <c r="A1403" i="9"/>
  <c r="M1402" i="9"/>
  <c r="L1402" i="9"/>
  <c r="K1402" i="9"/>
  <c r="J1402" i="9"/>
  <c r="I1402" i="9"/>
  <c r="H1402" i="9"/>
  <c r="G1402" i="9"/>
  <c r="F1402" i="9"/>
  <c r="E1402" i="9"/>
  <c r="D1402" i="9"/>
  <c r="C1402" i="9"/>
  <c r="B1402" i="9"/>
  <c r="A1402" i="9"/>
  <c r="M1401" i="9"/>
  <c r="L1401" i="9"/>
  <c r="K1401" i="9"/>
  <c r="J1401" i="9"/>
  <c r="I1401" i="9"/>
  <c r="H1401" i="9"/>
  <c r="G1401" i="9"/>
  <c r="F1401" i="9"/>
  <c r="E1401" i="9"/>
  <c r="D1401" i="9"/>
  <c r="C1401" i="9"/>
  <c r="B1401" i="9"/>
  <c r="A1401" i="9"/>
  <c r="M1400" i="9"/>
  <c r="L1400" i="9"/>
  <c r="K1400" i="9"/>
  <c r="J1400" i="9"/>
  <c r="I1400" i="9"/>
  <c r="H1400" i="9"/>
  <c r="G1400" i="9"/>
  <c r="F1400" i="9"/>
  <c r="E1400" i="9"/>
  <c r="D1400" i="9"/>
  <c r="C1400" i="9"/>
  <c r="B1400" i="9"/>
  <c r="A1400" i="9"/>
  <c r="M1399" i="9"/>
  <c r="L1399" i="9"/>
  <c r="K1399" i="9"/>
  <c r="J1399" i="9"/>
  <c r="I1399" i="9"/>
  <c r="H1399" i="9"/>
  <c r="G1399" i="9"/>
  <c r="F1399" i="9"/>
  <c r="E1399" i="9"/>
  <c r="D1399" i="9"/>
  <c r="C1399" i="9"/>
  <c r="B1399" i="9"/>
  <c r="A1399" i="9"/>
  <c r="M1398" i="9"/>
  <c r="L1398" i="9"/>
  <c r="K1398" i="9"/>
  <c r="J1398" i="9"/>
  <c r="I1398" i="9"/>
  <c r="H1398" i="9"/>
  <c r="G1398" i="9"/>
  <c r="F1398" i="9"/>
  <c r="E1398" i="9"/>
  <c r="D1398" i="9"/>
  <c r="C1398" i="9"/>
  <c r="B1398" i="9"/>
  <c r="A1398" i="9"/>
  <c r="M1397" i="9"/>
  <c r="L1397" i="9"/>
  <c r="K1397" i="9"/>
  <c r="J1397" i="9"/>
  <c r="I1397" i="9"/>
  <c r="H1397" i="9"/>
  <c r="G1397" i="9"/>
  <c r="F1397" i="9"/>
  <c r="E1397" i="9"/>
  <c r="D1397" i="9"/>
  <c r="C1397" i="9"/>
  <c r="B1397" i="9"/>
  <c r="A1397" i="9"/>
  <c r="M1396" i="9"/>
  <c r="L1396" i="9"/>
  <c r="K1396" i="9"/>
  <c r="J1396" i="9"/>
  <c r="I1396" i="9"/>
  <c r="H1396" i="9"/>
  <c r="G1396" i="9"/>
  <c r="F1396" i="9"/>
  <c r="E1396" i="9"/>
  <c r="D1396" i="9"/>
  <c r="C1396" i="9"/>
  <c r="B1396" i="9"/>
  <c r="A1396" i="9"/>
  <c r="M1395" i="9"/>
  <c r="L1395" i="9"/>
  <c r="K1395" i="9"/>
  <c r="J1395" i="9"/>
  <c r="I1395" i="9"/>
  <c r="H1395" i="9"/>
  <c r="G1395" i="9"/>
  <c r="F1395" i="9"/>
  <c r="E1395" i="9"/>
  <c r="D1395" i="9"/>
  <c r="C1395" i="9"/>
  <c r="B1395" i="9"/>
  <c r="A1395" i="9"/>
  <c r="M1394" i="9"/>
  <c r="L1394" i="9"/>
  <c r="K1394" i="9"/>
  <c r="J1394" i="9"/>
  <c r="I1394" i="9"/>
  <c r="H1394" i="9"/>
  <c r="G1394" i="9"/>
  <c r="F1394" i="9"/>
  <c r="E1394" i="9"/>
  <c r="D1394" i="9"/>
  <c r="C1394" i="9"/>
  <c r="B1394" i="9"/>
  <c r="A1394" i="9"/>
  <c r="M1393" i="9"/>
  <c r="L1393" i="9"/>
  <c r="K1393" i="9"/>
  <c r="J1393" i="9"/>
  <c r="I1393" i="9"/>
  <c r="H1393" i="9"/>
  <c r="G1393" i="9"/>
  <c r="F1393" i="9"/>
  <c r="E1393" i="9"/>
  <c r="D1393" i="9"/>
  <c r="C1393" i="9"/>
  <c r="B1393" i="9"/>
  <c r="A1393" i="9"/>
  <c r="M1392" i="9"/>
  <c r="L1392" i="9"/>
  <c r="K1392" i="9"/>
  <c r="J1392" i="9"/>
  <c r="I1392" i="9"/>
  <c r="H1392" i="9"/>
  <c r="G1392" i="9"/>
  <c r="F1392" i="9"/>
  <c r="E1392" i="9"/>
  <c r="D1392" i="9"/>
  <c r="C1392" i="9"/>
  <c r="B1392" i="9"/>
  <c r="A1392" i="9"/>
  <c r="M1391" i="9"/>
  <c r="L1391" i="9"/>
  <c r="K1391" i="9"/>
  <c r="J1391" i="9"/>
  <c r="I1391" i="9"/>
  <c r="H1391" i="9"/>
  <c r="G1391" i="9"/>
  <c r="F1391" i="9"/>
  <c r="E1391" i="9"/>
  <c r="D1391" i="9"/>
  <c r="C1391" i="9"/>
  <c r="B1391" i="9"/>
  <c r="A1391" i="9"/>
  <c r="M1390" i="9"/>
  <c r="L1390" i="9"/>
  <c r="K1390" i="9"/>
  <c r="J1390" i="9"/>
  <c r="I1390" i="9"/>
  <c r="H1390" i="9"/>
  <c r="G1390" i="9"/>
  <c r="F1390" i="9"/>
  <c r="E1390" i="9"/>
  <c r="D1390" i="9"/>
  <c r="C1390" i="9"/>
  <c r="B1390" i="9"/>
  <c r="A1390" i="9"/>
  <c r="M1389" i="9"/>
  <c r="L1389" i="9"/>
  <c r="K1389" i="9"/>
  <c r="J1389" i="9"/>
  <c r="I1389" i="9"/>
  <c r="H1389" i="9"/>
  <c r="G1389" i="9"/>
  <c r="F1389" i="9"/>
  <c r="E1389" i="9"/>
  <c r="D1389" i="9"/>
  <c r="C1389" i="9"/>
  <c r="B1389" i="9"/>
  <c r="A1389" i="9"/>
  <c r="M1388" i="9"/>
  <c r="L1388" i="9"/>
  <c r="K1388" i="9"/>
  <c r="J1388" i="9"/>
  <c r="I1388" i="9"/>
  <c r="H1388" i="9"/>
  <c r="G1388" i="9"/>
  <c r="F1388" i="9"/>
  <c r="E1388" i="9"/>
  <c r="D1388" i="9"/>
  <c r="C1388" i="9"/>
  <c r="B1388" i="9"/>
  <c r="A1388" i="9"/>
  <c r="M1387" i="9"/>
  <c r="L1387" i="9"/>
  <c r="K1387" i="9"/>
  <c r="J1387" i="9"/>
  <c r="I1387" i="9"/>
  <c r="H1387" i="9"/>
  <c r="G1387" i="9"/>
  <c r="F1387" i="9"/>
  <c r="E1387" i="9"/>
  <c r="D1387" i="9"/>
  <c r="C1387" i="9"/>
  <c r="B1387" i="9"/>
  <c r="A1387" i="9"/>
  <c r="M1386" i="9"/>
  <c r="L1386" i="9"/>
  <c r="K1386" i="9"/>
  <c r="J1386" i="9"/>
  <c r="I1386" i="9"/>
  <c r="H1386" i="9"/>
  <c r="G1386" i="9"/>
  <c r="F1386" i="9"/>
  <c r="E1386" i="9"/>
  <c r="D1386" i="9"/>
  <c r="C1386" i="9"/>
  <c r="B1386" i="9"/>
  <c r="A1386" i="9"/>
  <c r="M1385" i="9"/>
  <c r="L1385" i="9"/>
  <c r="K1385" i="9"/>
  <c r="J1385" i="9"/>
  <c r="I1385" i="9"/>
  <c r="H1385" i="9"/>
  <c r="G1385" i="9"/>
  <c r="F1385" i="9"/>
  <c r="E1385" i="9"/>
  <c r="D1385" i="9"/>
  <c r="C1385" i="9"/>
  <c r="B1385" i="9"/>
  <c r="A1385" i="9"/>
  <c r="M1384" i="9"/>
  <c r="L1384" i="9"/>
  <c r="K1384" i="9"/>
  <c r="J1384" i="9"/>
  <c r="I1384" i="9"/>
  <c r="H1384" i="9"/>
  <c r="G1384" i="9"/>
  <c r="F1384" i="9"/>
  <c r="E1384" i="9"/>
  <c r="D1384" i="9"/>
  <c r="C1384" i="9"/>
  <c r="B1384" i="9"/>
  <c r="A1384" i="9"/>
  <c r="M1383" i="9"/>
  <c r="L1383" i="9"/>
  <c r="K1383" i="9"/>
  <c r="J1383" i="9"/>
  <c r="I1383" i="9"/>
  <c r="H1383" i="9"/>
  <c r="G1383" i="9"/>
  <c r="F1383" i="9"/>
  <c r="E1383" i="9"/>
  <c r="D1383" i="9"/>
  <c r="C1383" i="9"/>
  <c r="B1383" i="9"/>
  <c r="A1383" i="9"/>
  <c r="M1382" i="9"/>
  <c r="L1382" i="9"/>
  <c r="K1382" i="9"/>
  <c r="J1382" i="9"/>
  <c r="I1382" i="9"/>
  <c r="H1382" i="9"/>
  <c r="G1382" i="9"/>
  <c r="F1382" i="9"/>
  <c r="E1382" i="9"/>
  <c r="D1382" i="9"/>
  <c r="C1382" i="9"/>
  <c r="B1382" i="9"/>
  <c r="A1382" i="9"/>
  <c r="M1381" i="9"/>
  <c r="L1381" i="9"/>
  <c r="K1381" i="9"/>
  <c r="J1381" i="9"/>
  <c r="I1381" i="9"/>
  <c r="H1381" i="9"/>
  <c r="G1381" i="9"/>
  <c r="F1381" i="9"/>
  <c r="E1381" i="9"/>
  <c r="D1381" i="9"/>
  <c r="C1381" i="9"/>
  <c r="B1381" i="9"/>
  <c r="A1381" i="9"/>
  <c r="M1380" i="9"/>
  <c r="L1380" i="9"/>
  <c r="K1380" i="9"/>
  <c r="J1380" i="9"/>
  <c r="I1380" i="9"/>
  <c r="H1380" i="9"/>
  <c r="G1380" i="9"/>
  <c r="F1380" i="9"/>
  <c r="E1380" i="9"/>
  <c r="D1380" i="9"/>
  <c r="C1380" i="9"/>
  <c r="B1380" i="9"/>
  <c r="A1380" i="9"/>
  <c r="M1379" i="9"/>
  <c r="L1379" i="9"/>
  <c r="K1379" i="9"/>
  <c r="J1379" i="9"/>
  <c r="I1379" i="9"/>
  <c r="H1379" i="9"/>
  <c r="G1379" i="9"/>
  <c r="F1379" i="9"/>
  <c r="E1379" i="9"/>
  <c r="D1379" i="9"/>
  <c r="C1379" i="9"/>
  <c r="B1379" i="9"/>
  <c r="A1379" i="9"/>
  <c r="M1378" i="9"/>
  <c r="L1378" i="9"/>
  <c r="K1378" i="9"/>
  <c r="J1378" i="9"/>
  <c r="I1378" i="9"/>
  <c r="H1378" i="9"/>
  <c r="G1378" i="9"/>
  <c r="F1378" i="9"/>
  <c r="E1378" i="9"/>
  <c r="D1378" i="9"/>
  <c r="C1378" i="9"/>
  <c r="B1378" i="9"/>
  <c r="A1378" i="9"/>
  <c r="M1377" i="9"/>
  <c r="L1377" i="9"/>
  <c r="K1377" i="9"/>
  <c r="J1377" i="9"/>
  <c r="I1377" i="9"/>
  <c r="H1377" i="9"/>
  <c r="G1377" i="9"/>
  <c r="F1377" i="9"/>
  <c r="E1377" i="9"/>
  <c r="D1377" i="9"/>
  <c r="C1377" i="9"/>
  <c r="B1377" i="9"/>
  <c r="A1377" i="9"/>
  <c r="M1376" i="9"/>
  <c r="L1376" i="9"/>
  <c r="K1376" i="9"/>
  <c r="J1376" i="9"/>
  <c r="I1376" i="9"/>
  <c r="H1376" i="9"/>
  <c r="G1376" i="9"/>
  <c r="F1376" i="9"/>
  <c r="E1376" i="9"/>
  <c r="D1376" i="9"/>
  <c r="C1376" i="9"/>
  <c r="B1376" i="9"/>
  <c r="A1376" i="9"/>
  <c r="M1375" i="9"/>
  <c r="L1375" i="9"/>
  <c r="K1375" i="9"/>
  <c r="J1375" i="9"/>
  <c r="I1375" i="9"/>
  <c r="H1375" i="9"/>
  <c r="G1375" i="9"/>
  <c r="F1375" i="9"/>
  <c r="E1375" i="9"/>
  <c r="D1375" i="9"/>
  <c r="C1375" i="9"/>
  <c r="B1375" i="9"/>
  <c r="A1375" i="9"/>
  <c r="M1374" i="9"/>
  <c r="L1374" i="9"/>
  <c r="K1374" i="9"/>
  <c r="J1374" i="9"/>
  <c r="I1374" i="9"/>
  <c r="H1374" i="9"/>
  <c r="G1374" i="9"/>
  <c r="F1374" i="9"/>
  <c r="E1374" i="9"/>
  <c r="D1374" i="9"/>
  <c r="C1374" i="9"/>
  <c r="B1374" i="9"/>
  <c r="A1374" i="9"/>
  <c r="M1373" i="9"/>
  <c r="L1373" i="9"/>
  <c r="K1373" i="9"/>
  <c r="J1373" i="9"/>
  <c r="I1373" i="9"/>
  <c r="H1373" i="9"/>
  <c r="G1373" i="9"/>
  <c r="F1373" i="9"/>
  <c r="E1373" i="9"/>
  <c r="D1373" i="9"/>
  <c r="C1373" i="9"/>
  <c r="B1373" i="9"/>
  <c r="A1373" i="9"/>
  <c r="M1372" i="9"/>
  <c r="L1372" i="9"/>
  <c r="K1372" i="9"/>
  <c r="J1372" i="9"/>
  <c r="I1372" i="9"/>
  <c r="H1372" i="9"/>
  <c r="G1372" i="9"/>
  <c r="F1372" i="9"/>
  <c r="E1372" i="9"/>
  <c r="D1372" i="9"/>
  <c r="C1372" i="9"/>
  <c r="B1372" i="9"/>
  <c r="A1372" i="9"/>
  <c r="M1371" i="9"/>
  <c r="L1371" i="9"/>
  <c r="K1371" i="9"/>
  <c r="J1371" i="9"/>
  <c r="I1371" i="9"/>
  <c r="H1371" i="9"/>
  <c r="G1371" i="9"/>
  <c r="F1371" i="9"/>
  <c r="E1371" i="9"/>
  <c r="D1371" i="9"/>
  <c r="C1371" i="9"/>
  <c r="B1371" i="9"/>
  <c r="A1371" i="9"/>
  <c r="M1370" i="9"/>
  <c r="L1370" i="9"/>
  <c r="K1370" i="9"/>
  <c r="J1370" i="9"/>
  <c r="I1370" i="9"/>
  <c r="H1370" i="9"/>
  <c r="G1370" i="9"/>
  <c r="F1370" i="9"/>
  <c r="E1370" i="9"/>
  <c r="D1370" i="9"/>
  <c r="C1370" i="9"/>
  <c r="B1370" i="9"/>
  <c r="A1370" i="9"/>
  <c r="M1369" i="9"/>
  <c r="L1369" i="9"/>
  <c r="K1369" i="9"/>
  <c r="J1369" i="9"/>
  <c r="I1369" i="9"/>
  <c r="H1369" i="9"/>
  <c r="G1369" i="9"/>
  <c r="F1369" i="9"/>
  <c r="E1369" i="9"/>
  <c r="D1369" i="9"/>
  <c r="C1369" i="9"/>
  <c r="B1369" i="9"/>
  <c r="A1369" i="9"/>
  <c r="M1368" i="9"/>
  <c r="L1368" i="9"/>
  <c r="K1368" i="9"/>
  <c r="J1368" i="9"/>
  <c r="I1368" i="9"/>
  <c r="H1368" i="9"/>
  <c r="G1368" i="9"/>
  <c r="F1368" i="9"/>
  <c r="E1368" i="9"/>
  <c r="D1368" i="9"/>
  <c r="C1368" i="9"/>
  <c r="B1368" i="9"/>
  <c r="A1368" i="9"/>
  <c r="M1367" i="9"/>
  <c r="L1367" i="9"/>
  <c r="K1367" i="9"/>
  <c r="J1367" i="9"/>
  <c r="I1367" i="9"/>
  <c r="H1367" i="9"/>
  <c r="G1367" i="9"/>
  <c r="F1367" i="9"/>
  <c r="E1367" i="9"/>
  <c r="D1367" i="9"/>
  <c r="C1367" i="9"/>
  <c r="B1367" i="9"/>
  <c r="A1367" i="9"/>
  <c r="M1366" i="9"/>
  <c r="L1366" i="9"/>
  <c r="K1366" i="9"/>
  <c r="J1366" i="9"/>
  <c r="I1366" i="9"/>
  <c r="H1366" i="9"/>
  <c r="G1366" i="9"/>
  <c r="F1366" i="9"/>
  <c r="E1366" i="9"/>
  <c r="D1366" i="9"/>
  <c r="C1366" i="9"/>
  <c r="B1366" i="9"/>
  <c r="A1366" i="9"/>
  <c r="M1365" i="9"/>
  <c r="L1365" i="9"/>
  <c r="K1365" i="9"/>
  <c r="J1365" i="9"/>
  <c r="I1365" i="9"/>
  <c r="H1365" i="9"/>
  <c r="G1365" i="9"/>
  <c r="F1365" i="9"/>
  <c r="E1365" i="9"/>
  <c r="D1365" i="9"/>
  <c r="C1365" i="9"/>
  <c r="B1365" i="9"/>
  <c r="A1365" i="9"/>
  <c r="M1364" i="9"/>
  <c r="L1364" i="9"/>
  <c r="K1364" i="9"/>
  <c r="J1364" i="9"/>
  <c r="I1364" i="9"/>
  <c r="H1364" i="9"/>
  <c r="G1364" i="9"/>
  <c r="F1364" i="9"/>
  <c r="E1364" i="9"/>
  <c r="D1364" i="9"/>
  <c r="C1364" i="9"/>
  <c r="B1364" i="9"/>
  <c r="A1364" i="9"/>
  <c r="M1363" i="9"/>
  <c r="L1363" i="9"/>
  <c r="K1363" i="9"/>
  <c r="J1363" i="9"/>
  <c r="I1363" i="9"/>
  <c r="H1363" i="9"/>
  <c r="G1363" i="9"/>
  <c r="F1363" i="9"/>
  <c r="E1363" i="9"/>
  <c r="D1363" i="9"/>
  <c r="C1363" i="9"/>
  <c r="B1363" i="9"/>
  <c r="A1363" i="9"/>
  <c r="M1362" i="9"/>
  <c r="L1362" i="9"/>
  <c r="K1362" i="9"/>
  <c r="J1362" i="9"/>
  <c r="I1362" i="9"/>
  <c r="H1362" i="9"/>
  <c r="G1362" i="9"/>
  <c r="F1362" i="9"/>
  <c r="E1362" i="9"/>
  <c r="D1362" i="9"/>
  <c r="C1362" i="9"/>
  <c r="B1362" i="9"/>
  <c r="A1362" i="9"/>
  <c r="M1361" i="9"/>
  <c r="L1361" i="9"/>
  <c r="K1361" i="9"/>
  <c r="J1361" i="9"/>
  <c r="I1361" i="9"/>
  <c r="H1361" i="9"/>
  <c r="G1361" i="9"/>
  <c r="F1361" i="9"/>
  <c r="E1361" i="9"/>
  <c r="D1361" i="9"/>
  <c r="C1361" i="9"/>
  <c r="B1361" i="9"/>
  <c r="A1361" i="9"/>
  <c r="M1360" i="9"/>
  <c r="L1360" i="9"/>
  <c r="K1360" i="9"/>
  <c r="J1360" i="9"/>
  <c r="I1360" i="9"/>
  <c r="H1360" i="9"/>
  <c r="G1360" i="9"/>
  <c r="F1360" i="9"/>
  <c r="E1360" i="9"/>
  <c r="D1360" i="9"/>
  <c r="C1360" i="9"/>
  <c r="B1360" i="9"/>
  <c r="A1360" i="9"/>
  <c r="M1359" i="9"/>
  <c r="L1359" i="9"/>
  <c r="K1359" i="9"/>
  <c r="J1359" i="9"/>
  <c r="I1359" i="9"/>
  <c r="H1359" i="9"/>
  <c r="G1359" i="9"/>
  <c r="F1359" i="9"/>
  <c r="E1359" i="9"/>
  <c r="D1359" i="9"/>
  <c r="C1359" i="9"/>
  <c r="B1359" i="9"/>
  <c r="A1359" i="9"/>
  <c r="M1358" i="9"/>
  <c r="L1358" i="9"/>
  <c r="K1358" i="9"/>
  <c r="J1358" i="9"/>
  <c r="I1358" i="9"/>
  <c r="H1358" i="9"/>
  <c r="G1358" i="9"/>
  <c r="F1358" i="9"/>
  <c r="E1358" i="9"/>
  <c r="D1358" i="9"/>
  <c r="C1358" i="9"/>
  <c r="B1358" i="9"/>
  <c r="A1358" i="9"/>
  <c r="M1357" i="9"/>
  <c r="L1357" i="9"/>
  <c r="K1357" i="9"/>
  <c r="J1357" i="9"/>
  <c r="I1357" i="9"/>
  <c r="H1357" i="9"/>
  <c r="G1357" i="9"/>
  <c r="F1357" i="9"/>
  <c r="E1357" i="9"/>
  <c r="D1357" i="9"/>
  <c r="C1357" i="9"/>
  <c r="B1357" i="9"/>
  <c r="A1357" i="9"/>
  <c r="M1356" i="9"/>
  <c r="L1356" i="9"/>
  <c r="K1356" i="9"/>
  <c r="J1356" i="9"/>
  <c r="I1356" i="9"/>
  <c r="H1356" i="9"/>
  <c r="G1356" i="9"/>
  <c r="F1356" i="9"/>
  <c r="E1356" i="9"/>
  <c r="D1356" i="9"/>
  <c r="C1356" i="9"/>
  <c r="B1356" i="9"/>
  <c r="A1356" i="9"/>
  <c r="M1355" i="9"/>
  <c r="L1355" i="9"/>
  <c r="K1355" i="9"/>
  <c r="J1355" i="9"/>
  <c r="I1355" i="9"/>
  <c r="H1355" i="9"/>
  <c r="G1355" i="9"/>
  <c r="F1355" i="9"/>
  <c r="E1355" i="9"/>
  <c r="D1355" i="9"/>
  <c r="C1355" i="9"/>
  <c r="B1355" i="9"/>
  <c r="A1355" i="9"/>
  <c r="M1354" i="9"/>
  <c r="L1354" i="9"/>
  <c r="K1354" i="9"/>
  <c r="J1354" i="9"/>
  <c r="I1354" i="9"/>
  <c r="H1354" i="9"/>
  <c r="G1354" i="9"/>
  <c r="F1354" i="9"/>
  <c r="E1354" i="9"/>
  <c r="D1354" i="9"/>
  <c r="C1354" i="9"/>
  <c r="B1354" i="9"/>
  <c r="A1354" i="9"/>
  <c r="M1353" i="9"/>
  <c r="L1353" i="9"/>
  <c r="K1353" i="9"/>
  <c r="J1353" i="9"/>
  <c r="I1353" i="9"/>
  <c r="H1353" i="9"/>
  <c r="G1353" i="9"/>
  <c r="F1353" i="9"/>
  <c r="E1353" i="9"/>
  <c r="D1353" i="9"/>
  <c r="C1353" i="9"/>
  <c r="B1353" i="9"/>
  <c r="A1353" i="9"/>
  <c r="M1352" i="9"/>
  <c r="L1352" i="9"/>
  <c r="K1352" i="9"/>
  <c r="J1352" i="9"/>
  <c r="I1352" i="9"/>
  <c r="H1352" i="9"/>
  <c r="G1352" i="9"/>
  <c r="F1352" i="9"/>
  <c r="E1352" i="9"/>
  <c r="D1352" i="9"/>
  <c r="C1352" i="9"/>
  <c r="B1352" i="9"/>
  <c r="A1352" i="9"/>
  <c r="M1351" i="9"/>
  <c r="L1351" i="9"/>
  <c r="K1351" i="9"/>
  <c r="J1351" i="9"/>
  <c r="I1351" i="9"/>
  <c r="H1351" i="9"/>
  <c r="G1351" i="9"/>
  <c r="F1351" i="9"/>
  <c r="E1351" i="9"/>
  <c r="D1351" i="9"/>
  <c r="C1351" i="9"/>
  <c r="B1351" i="9"/>
  <c r="A1351" i="9"/>
  <c r="M1350" i="9"/>
  <c r="L1350" i="9"/>
  <c r="K1350" i="9"/>
  <c r="J1350" i="9"/>
  <c r="I1350" i="9"/>
  <c r="H1350" i="9"/>
  <c r="G1350" i="9"/>
  <c r="F1350" i="9"/>
  <c r="E1350" i="9"/>
  <c r="D1350" i="9"/>
  <c r="C1350" i="9"/>
  <c r="B1350" i="9"/>
  <c r="A1350" i="9"/>
  <c r="M1349" i="9"/>
  <c r="L1349" i="9"/>
  <c r="K1349" i="9"/>
  <c r="J1349" i="9"/>
  <c r="I1349" i="9"/>
  <c r="H1349" i="9"/>
  <c r="G1349" i="9"/>
  <c r="F1349" i="9"/>
  <c r="E1349" i="9"/>
  <c r="D1349" i="9"/>
  <c r="C1349" i="9"/>
  <c r="B1349" i="9"/>
  <c r="A1349" i="9"/>
  <c r="M1348" i="9"/>
  <c r="L1348" i="9"/>
  <c r="K1348" i="9"/>
  <c r="J1348" i="9"/>
  <c r="I1348" i="9"/>
  <c r="H1348" i="9"/>
  <c r="G1348" i="9"/>
  <c r="F1348" i="9"/>
  <c r="E1348" i="9"/>
  <c r="D1348" i="9"/>
  <c r="C1348" i="9"/>
  <c r="B1348" i="9"/>
  <c r="A1348" i="9"/>
  <c r="M1347" i="9"/>
  <c r="L1347" i="9"/>
  <c r="K1347" i="9"/>
  <c r="J1347" i="9"/>
  <c r="I1347" i="9"/>
  <c r="H1347" i="9"/>
  <c r="G1347" i="9"/>
  <c r="F1347" i="9"/>
  <c r="E1347" i="9"/>
  <c r="D1347" i="9"/>
  <c r="C1347" i="9"/>
  <c r="B1347" i="9"/>
  <c r="A1347" i="9"/>
  <c r="M1346" i="9"/>
  <c r="L1346" i="9"/>
  <c r="K1346" i="9"/>
  <c r="J1346" i="9"/>
  <c r="I1346" i="9"/>
  <c r="H1346" i="9"/>
  <c r="G1346" i="9"/>
  <c r="F1346" i="9"/>
  <c r="E1346" i="9"/>
  <c r="D1346" i="9"/>
  <c r="C1346" i="9"/>
  <c r="B1346" i="9"/>
  <c r="A1346" i="9"/>
  <c r="M1345" i="9"/>
  <c r="L1345" i="9"/>
  <c r="K1345" i="9"/>
  <c r="J1345" i="9"/>
  <c r="I1345" i="9"/>
  <c r="H1345" i="9"/>
  <c r="G1345" i="9"/>
  <c r="F1345" i="9"/>
  <c r="E1345" i="9"/>
  <c r="D1345" i="9"/>
  <c r="C1345" i="9"/>
  <c r="B1345" i="9"/>
  <c r="A1345" i="9"/>
  <c r="M1344" i="9"/>
  <c r="L1344" i="9"/>
  <c r="K1344" i="9"/>
  <c r="J1344" i="9"/>
  <c r="I1344" i="9"/>
  <c r="H1344" i="9"/>
  <c r="G1344" i="9"/>
  <c r="F1344" i="9"/>
  <c r="E1344" i="9"/>
  <c r="D1344" i="9"/>
  <c r="C1344" i="9"/>
  <c r="B1344" i="9"/>
  <c r="A1344" i="9"/>
  <c r="M1343" i="9"/>
  <c r="L1343" i="9"/>
  <c r="K1343" i="9"/>
  <c r="J1343" i="9"/>
  <c r="I1343" i="9"/>
  <c r="H1343" i="9"/>
  <c r="G1343" i="9"/>
  <c r="F1343" i="9"/>
  <c r="E1343" i="9"/>
  <c r="D1343" i="9"/>
  <c r="C1343" i="9"/>
  <c r="B1343" i="9"/>
  <c r="A1343" i="9"/>
  <c r="M1342" i="9"/>
  <c r="L1342" i="9"/>
  <c r="K1342" i="9"/>
  <c r="J1342" i="9"/>
  <c r="I1342" i="9"/>
  <c r="H1342" i="9"/>
  <c r="G1342" i="9"/>
  <c r="F1342" i="9"/>
  <c r="E1342" i="9"/>
  <c r="D1342" i="9"/>
  <c r="C1342" i="9"/>
  <c r="B1342" i="9"/>
  <c r="A1342" i="9"/>
  <c r="M1341" i="9"/>
  <c r="L1341" i="9"/>
  <c r="K1341" i="9"/>
  <c r="J1341" i="9"/>
  <c r="I1341" i="9"/>
  <c r="H1341" i="9"/>
  <c r="G1341" i="9"/>
  <c r="F1341" i="9"/>
  <c r="E1341" i="9"/>
  <c r="D1341" i="9"/>
  <c r="C1341" i="9"/>
  <c r="B1341" i="9"/>
  <c r="A1341" i="9"/>
  <c r="M1340" i="9"/>
  <c r="L1340" i="9"/>
  <c r="K1340" i="9"/>
  <c r="J1340" i="9"/>
  <c r="I1340" i="9"/>
  <c r="H1340" i="9"/>
  <c r="G1340" i="9"/>
  <c r="F1340" i="9"/>
  <c r="E1340" i="9"/>
  <c r="D1340" i="9"/>
  <c r="C1340" i="9"/>
  <c r="B1340" i="9"/>
  <c r="A1340" i="9"/>
  <c r="M1339" i="9"/>
  <c r="L1339" i="9"/>
  <c r="K1339" i="9"/>
  <c r="J1339" i="9"/>
  <c r="I1339" i="9"/>
  <c r="H1339" i="9"/>
  <c r="G1339" i="9"/>
  <c r="F1339" i="9"/>
  <c r="E1339" i="9"/>
  <c r="D1339" i="9"/>
  <c r="C1339" i="9"/>
  <c r="B1339" i="9"/>
  <c r="A1339" i="9"/>
  <c r="M1338" i="9"/>
  <c r="L1338" i="9"/>
  <c r="K1338" i="9"/>
  <c r="J1338" i="9"/>
  <c r="I1338" i="9"/>
  <c r="H1338" i="9"/>
  <c r="G1338" i="9"/>
  <c r="F1338" i="9"/>
  <c r="E1338" i="9"/>
  <c r="D1338" i="9"/>
  <c r="C1338" i="9"/>
  <c r="B1338" i="9"/>
  <c r="A1338" i="9"/>
  <c r="M1337" i="9"/>
  <c r="L1337" i="9"/>
  <c r="K1337" i="9"/>
  <c r="J1337" i="9"/>
  <c r="I1337" i="9"/>
  <c r="H1337" i="9"/>
  <c r="G1337" i="9"/>
  <c r="F1337" i="9"/>
  <c r="E1337" i="9"/>
  <c r="D1337" i="9"/>
  <c r="C1337" i="9"/>
  <c r="B1337" i="9"/>
  <c r="A1337" i="9"/>
  <c r="M1336" i="9"/>
  <c r="L1336" i="9"/>
  <c r="K1336" i="9"/>
  <c r="J1336" i="9"/>
  <c r="I1336" i="9"/>
  <c r="H1336" i="9"/>
  <c r="G1336" i="9"/>
  <c r="F1336" i="9"/>
  <c r="E1336" i="9"/>
  <c r="D1336" i="9"/>
  <c r="C1336" i="9"/>
  <c r="B1336" i="9"/>
  <c r="A1336" i="9"/>
  <c r="M1335" i="9"/>
  <c r="L1335" i="9"/>
  <c r="K1335" i="9"/>
  <c r="J1335" i="9"/>
  <c r="I1335" i="9"/>
  <c r="H1335" i="9"/>
  <c r="G1335" i="9"/>
  <c r="F1335" i="9"/>
  <c r="E1335" i="9"/>
  <c r="D1335" i="9"/>
  <c r="C1335" i="9"/>
  <c r="B1335" i="9"/>
  <c r="A1335" i="9"/>
  <c r="M1334" i="9"/>
  <c r="L1334" i="9"/>
  <c r="K1334" i="9"/>
  <c r="J1334" i="9"/>
  <c r="I1334" i="9"/>
  <c r="H1334" i="9"/>
  <c r="G1334" i="9"/>
  <c r="F1334" i="9"/>
  <c r="E1334" i="9"/>
  <c r="D1334" i="9"/>
  <c r="C1334" i="9"/>
  <c r="B1334" i="9"/>
  <c r="A1334" i="9"/>
  <c r="M1333" i="9"/>
  <c r="L1333" i="9"/>
  <c r="K1333" i="9"/>
  <c r="J1333" i="9"/>
  <c r="I1333" i="9"/>
  <c r="H1333" i="9"/>
  <c r="G1333" i="9"/>
  <c r="F1333" i="9"/>
  <c r="E1333" i="9"/>
  <c r="D1333" i="9"/>
  <c r="C1333" i="9"/>
  <c r="B1333" i="9"/>
  <c r="A1333" i="9"/>
  <c r="M1332" i="9"/>
  <c r="L1332" i="9"/>
  <c r="K1332" i="9"/>
  <c r="J1332" i="9"/>
  <c r="I1332" i="9"/>
  <c r="H1332" i="9"/>
  <c r="G1332" i="9"/>
  <c r="F1332" i="9"/>
  <c r="E1332" i="9"/>
  <c r="D1332" i="9"/>
  <c r="C1332" i="9"/>
  <c r="B1332" i="9"/>
  <c r="A1332" i="9"/>
  <c r="M1331" i="9"/>
  <c r="L1331" i="9"/>
  <c r="K1331" i="9"/>
  <c r="J1331" i="9"/>
  <c r="I1331" i="9"/>
  <c r="H1331" i="9"/>
  <c r="G1331" i="9"/>
  <c r="F1331" i="9"/>
  <c r="E1331" i="9"/>
  <c r="D1331" i="9"/>
  <c r="C1331" i="9"/>
  <c r="B1331" i="9"/>
  <c r="A1331" i="9"/>
  <c r="M1330" i="9"/>
  <c r="L1330" i="9"/>
  <c r="K1330" i="9"/>
  <c r="J1330" i="9"/>
  <c r="I1330" i="9"/>
  <c r="H1330" i="9"/>
  <c r="G1330" i="9"/>
  <c r="F1330" i="9"/>
  <c r="E1330" i="9"/>
  <c r="D1330" i="9"/>
  <c r="C1330" i="9"/>
  <c r="B1330" i="9"/>
  <c r="A1330" i="9"/>
  <c r="M1329" i="9"/>
  <c r="L1329" i="9"/>
  <c r="K1329" i="9"/>
  <c r="J1329" i="9"/>
  <c r="I1329" i="9"/>
  <c r="H1329" i="9"/>
  <c r="G1329" i="9"/>
  <c r="F1329" i="9"/>
  <c r="E1329" i="9"/>
  <c r="D1329" i="9"/>
  <c r="C1329" i="9"/>
  <c r="B1329" i="9"/>
  <c r="A1329" i="9"/>
  <c r="M1328" i="9"/>
  <c r="L1328" i="9"/>
  <c r="K1328" i="9"/>
  <c r="J1328" i="9"/>
  <c r="I1328" i="9"/>
  <c r="H1328" i="9"/>
  <c r="G1328" i="9"/>
  <c r="F1328" i="9"/>
  <c r="E1328" i="9"/>
  <c r="D1328" i="9"/>
  <c r="C1328" i="9"/>
  <c r="B1328" i="9"/>
  <c r="A1328" i="9"/>
  <c r="M1327" i="9"/>
  <c r="L1327" i="9"/>
  <c r="K1327" i="9"/>
  <c r="J1327" i="9"/>
  <c r="I1327" i="9"/>
  <c r="H1327" i="9"/>
  <c r="G1327" i="9"/>
  <c r="F1327" i="9"/>
  <c r="E1327" i="9"/>
  <c r="D1327" i="9"/>
  <c r="C1327" i="9"/>
  <c r="B1327" i="9"/>
  <c r="A1327" i="9"/>
  <c r="M1326" i="9"/>
  <c r="L1326" i="9"/>
  <c r="K1326" i="9"/>
  <c r="J1326" i="9"/>
  <c r="I1326" i="9"/>
  <c r="H1326" i="9"/>
  <c r="G1326" i="9"/>
  <c r="F1326" i="9"/>
  <c r="E1326" i="9"/>
  <c r="D1326" i="9"/>
  <c r="C1326" i="9"/>
  <c r="B1326" i="9"/>
  <c r="A1326" i="9"/>
  <c r="M1325" i="9"/>
  <c r="L1325" i="9"/>
  <c r="K1325" i="9"/>
  <c r="J1325" i="9"/>
  <c r="I1325" i="9"/>
  <c r="H1325" i="9"/>
  <c r="G1325" i="9"/>
  <c r="F1325" i="9"/>
  <c r="E1325" i="9"/>
  <c r="D1325" i="9"/>
  <c r="C1325" i="9"/>
  <c r="B1325" i="9"/>
  <c r="A1325" i="9"/>
  <c r="M1324" i="9"/>
  <c r="L1324" i="9"/>
  <c r="K1324" i="9"/>
  <c r="J1324" i="9"/>
  <c r="I1324" i="9"/>
  <c r="H1324" i="9"/>
  <c r="G1324" i="9"/>
  <c r="F1324" i="9"/>
  <c r="E1324" i="9"/>
  <c r="D1324" i="9"/>
  <c r="C1324" i="9"/>
  <c r="B1324" i="9"/>
  <c r="A1324" i="9"/>
  <c r="M1323" i="9"/>
  <c r="L1323" i="9"/>
  <c r="K1323" i="9"/>
  <c r="J1323" i="9"/>
  <c r="I1323" i="9"/>
  <c r="H1323" i="9"/>
  <c r="G1323" i="9"/>
  <c r="F1323" i="9"/>
  <c r="E1323" i="9"/>
  <c r="D1323" i="9"/>
  <c r="C1323" i="9"/>
  <c r="B1323" i="9"/>
  <c r="A1323" i="9"/>
  <c r="M1322" i="9"/>
  <c r="L1322" i="9"/>
  <c r="K1322" i="9"/>
  <c r="J1322" i="9"/>
  <c r="I1322" i="9"/>
  <c r="H1322" i="9"/>
  <c r="G1322" i="9"/>
  <c r="F1322" i="9"/>
  <c r="E1322" i="9"/>
  <c r="D1322" i="9"/>
  <c r="C1322" i="9"/>
  <c r="B1322" i="9"/>
  <c r="A1322" i="9"/>
  <c r="M1321" i="9"/>
  <c r="L1321" i="9"/>
  <c r="K1321" i="9"/>
  <c r="J1321" i="9"/>
  <c r="I1321" i="9"/>
  <c r="H1321" i="9"/>
  <c r="G1321" i="9"/>
  <c r="F1321" i="9"/>
  <c r="E1321" i="9"/>
  <c r="D1321" i="9"/>
  <c r="C1321" i="9"/>
  <c r="B1321" i="9"/>
  <c r="A1321" i="9"/>
  <c r="M1320" i="9"/>
  <c r="L1320" i="9"/>
  <c r="K1320" i="9"/>
  <c r="J1320" i="9"/>
  <c r="I1320" i="9"/>
  <c r="H1320" i="9"/>
  <c r="G1320" i="9"/>
  <c r="F1320" i="9"/>
  <c r="E1320" i="9"/>
  <c r="D1320" i="9"/>
  <c r="C1320" i="9"/>
  <c r="B1320" i="9"/>
  <c r="A1320" i="9"/>
  <c r="M1319" i="9"/>
  <c r="L1319" i="9"/>
  <c r="K1319" i="9"/>
  <c r="J1319" i="9"/>
  <c r="I1319" i="9"/>
  <c r="H1319" i="9"/>
  <c r="G1319" i="9"/>
  <c r="F1319" i="9"/>
  <c r="E1319" i="9"/>
  <c r="D1319" i="9"/>
  <c r="C1319" i="9"/>
  <c r="B1319" i="9"/>
  <c r="A1319" i="9"/>
  <c r="M1318" i="9"/>
  <c r="L1318" i="9"/>
  <c r="K1318" i="9"/>
  <c r="J1318" i="9"/>
  <c r="I1318" i="9"/>
  <c r="H1318" i="9"/>
  <c r="G1318" i="9"/>
  <c r="F1318" i="9"/>
  <c r="E1318" i="9"/>
  <c r="D1318" i="9"/>
  <c r="C1318" i="9"/>
  <c r="B1318" i="9"/>
  <c r="A1318" i="9"/>
  <c r="M1317" i="9"/>
  <c r="L1317" i="9"/>
  <c r="K1317" i="9"/>
  <c r="J1317" i="9"/>
  <c r="I1317" i="9"/>
  <c r="H1317" i="9"/>
  <c r="G1317" i="9"/>
  <c r="F1317" i="9"/>
  <c r="E1317" i="9"/>
  <c r="D1317" i="9"/>
  <c r="C1317" i="9"/>
  <c r="B1317" i="9"/>
  <c r="A1317" i="9"/>
  <c r="M1316" i="9"/>
  <c r="L1316" i="9"/>
  <c r="K1316" i="9"/>
  <c r="J1316" i="9"/>
  <c r="I1316" i="9"/>
  <c r="H1316" i="9"/>
  <c r="G1316" i="9"/>
  <c r="F1316" i="9"/>
  <c r="E1316" i="9"/>
  <c r="D1316" i="9"/>
  <c r="C1316" i="9"/>
  <c r="B1316" i="9"/>
  <c r="A1316" i="9"/>
  <c r="M1315" i="9"/>
  <c r="L1315" i="9"/>
  <c r="K1315" i="9"/>
  <c r="J1315" i="9"/>
  <c r="I1315" i="9"/>
  <c r="H1315" i="9"/>
  <c r="G1315" i="9"/>
  <c r="F1315" i="9"/>
  <c r="E1315" i="9"/>
  <c r="D1315" i="9"/>
  <c r="C1315" i="9"/>
  <c r="B1315" i="9"/>
  <c r="A1315" i="9"/>
  <c r="M1314" i="9"/>
  <c r="L1314" i="9"/>
  <c r="K1314" i="9"/>
  <c r="J1314" i="9"/>
  <c r="I1314" i="9"/>
  <c r="H1314" i="9"/>
  <c r="G1314" i="9"/>
  <c r="F1314" i="9"/>
  <c r="E1314" i="9"/>
  <c r="D1314" i="9"/>
  <c r="C1314" i="9"/>
  <c r="B1314" i="9"/>
  <c r="A1314" i="9"/>
  <c r="M1313" i="9"/>
  <c r="L1313" i="9"/>
  <c r="K1313" i="9"/>
  <c r="J1313" i="9"/>
  <c r="I1313" i="9"/>
  <c r="H1313" i="9"/>
  <c r="G1313" i="9"/>
  <c r="F1313" i="9"/>
  <c r="E1313" i="9"/>
  <c r="D1313" i="9"/>
  <c r="C1313" i="9"/>
  <c r="B1313" i="9"/>
  <c r="A1313" i="9"/>
  <c r="M1312" i="9"/>
  <c r="L1312" i="9"/>
  <c r="K1312" i="9"/>
  <c r="J1312" i="9"/>
  <c r="I1312" i="9"/>
  <c r="H1312" i="9"/>
  <c r="G1312" i="9"/>
  <c r="F1312" i="9"/>
  <c r="E1312" i="9"/>
  <c r="D1312" i="9"/>
  <c r="C1312" i="9"/>
  <c r="B1312" i="9"/>
  <c r="A1312" i="9"/>
  <c r="M1311" i="9"/>
  <c r="L1311" i="9"/>
  <c r="K1311" i="9"/>
  <c r="J1311" i="9"/>
  <c r="I1311" i="9"/>
  <c r="H1311" i="9"/>
  <c r="G1311" i="9"/>
  <c r="F1311" i="9"/>
  <c r="E1311" i="9"/>
  <c r="D1311" i="9"/>
  <c r="C1311" i="9"/>
  <c r="B1311" i="9"/>
  <c r="A1311" i="9"/>
  <c r="M1310" i="9"/>
  <c r="L1310" i="9"/>
  <c r="K1310" i="9"/>
  <c r="J1310" i="9"/>
  <c r="I1310" i="9"/>
  <c r="H1310" i="9"/>
  <c r="G1310" i="9"/>
  <c r="F1310" i="9"/>
  <c r="E1310" i="9"/>
  <c r="D1310" i="9"/>
  <c r="C1310" i="9"/>
  <c r="B1310" i="9"/>
  <c r="A1310" i="9"/>
  <c r="M1309" i="9"/>
  <c r="L1309" i="9"/>
  <c r="K1309" i="9"/>
  <c r="J1309" i="9"/>
  <c r="I1309" i="9"/>
  <c r="H1309" i="9"/>
  <c r="G1309" i="9"/>
  <c r="F1309" i="9"/>
  <c r="E1309" i="9"/>
  <c r="D1309" i="9"/>
  <c r="C1309" i="9"/>
  <c r="B1309" i="9"/>
  <c r="A1309" i="9"/>
  <c r="M1308" i="9"/>
  <c r="L1308" i="9"/>
  <c r="K1308" i="9"/>
  <c r="J1308" i="9"/>
  <c r="I1308" i="9"/>
  <c r="H1308" i="9"/>
  <c r="G1308" i="9"/>
  <c r="F1308" i="9"/>
  <c r="E1308" i="9"/>
  <c r="D1308" i="9"/>
  <c r="C1308" i="9"/>
  <c r="B1308" i="9"/>
  <c r="A1308" i="9"/>
  <c r="M1307" i="9"/>
  <c r="L1307" i="9"/>
  <c r="K1307" i="9"/>
  <c r="J1307" i="9"/>
  <c r="I1307" i="9"/>
  <c r="H1307" i="9"/>
  <c r="G1307" i="9"/>
  <c r="F1307" i="9"/>
  <c r="E1307" i="9"/>
  <c r="D1307" i="9"/>
  <c r="C1307" i="9"/>
  <c r="B1307" i="9"/>
  <c r="A1307" i="9"/>
  <c r="M1306" i="9"/>
  <c r="L1306" i="9"/>
  <c r="K1306" i="9"/>
  <c r="J1306" i="9"/>
  <c r="I1306" i="9"/>
  <c r="H1306" i="9"/>
  <c r="G1306" i="9"/>
  <c r="F1306" i="9"/>
  <c r="E1306" i="9"/>
  <c r="D1306" i="9"/>
  <c r="C1306" i="9"/>
  <c r="B1306" i="9"/>
  <c r="A1306" i="9"/>
  <c r="M1305" i="9"/>
  <c r="L1305" i="9"/>
  <c r="K1305" i="9"/>
  <c r="J1305" i="9"/>
  <c r="I1305" i="9"/>
  <c r="H1305" i="9"/>
  <c r="G1305" i="9"/>
  <c r="F1305" i="9"/>
  <c r="E1305" i="9"/>
  <c r="D1305" i="9"/>
  <c r="C1305" i="9"/>
  <c r="B1305" i="9"/>
  <c r="A1305" i="9"/>
  <c r="M1304" i="9"/>
  <c r="L1304" i="9"/>
  <c r="K1304" i="9"/>
  <c r="J1304" i="9"/>
  <c r="I1304" i="9"/>
  <c r="H1304" i="9"/>
  <c r="G1304" i="9"/>
  <c r="F1304" i="9"/>
  <c r="E1304" i="9"/>
  <c r="D1304" i="9"/>
  <c r="C1304" i="9"/>
  <c r="B1304" i="9"/>
  <c r="A1304" i="9"/>
  <c r="M1303" i="9"/>
  <c r="L1303" i="9"/>
  <c r="K1303" i="9"/>
  <c r="J1303" i="9"/>
  <c r="I1303" i="9"/>
  <c r="H1303" i="9"/>
  <c r="G1303" i="9"/>
  <c r="F1303" i="9"/>
  <c r="E1303" i="9"/>
  <c r="D1303" i="9"/>
  <c r="C1303" i="9"/>
  <c r="B1303" i="9"/>
  <c r="A1303" i="9"/>
  <c r="M1302" i="9"/>
  <c r="L1302" i="9"/>
  <c r="K1302" i="9"/>
  <c r="J1302" i="9"/>
  <c r="I1302" i="9"/>
  <c r="H1302" i="9"/>
  <c r="G1302" i="9"/>
  <c r="F1302" i="9"/>
  <c r="E1302" i="9"/>
  <c r="D1302" i="9"/>
  <c r="C1302" i="9"/>
  <c r="B1302" i="9"/>
  <c r="A1302" i="9"/>
  <c r="M1301" i="9"/>
  <c r="L1301" i="9"/>
  <c r="K1301" i="9"/>
  <c r="J1301" i="9"/>
  <c r="I1301" i="9"/>
  <c r="H1301" i="9"/>
  <c r="G1301" i="9"/>
  <c r="F1301" i="9"/>
  <c r="E1301" i="9"/>
  <c r="D1301" i="9"/>
  <c r="C1301" i="9"/>
  <c r="B1301" i="9"/>
  <c r="A1301" i="9"/>
  <c r="M1300" i="9"/>
  <c r="L1300" i="9"/>
  <c r="K1300" i="9"/>
  <c r="J1300" i="9"/>
  <c r="I1300" i="9"/>
  <c r="H1300" i="9"/>
  <c r="G1300" i="9"/>
  <c r="F1300" i="9"/>
  <c r="E1300" i="9"/>
  <c r="D1300" i="9"/>
  <c r="C1300" i="9"/>
  <c r="B1300" i="9"/>
  <c r="A1300" i="9"/>
  <c r="M1299" i="9"/>
  <c r="L1299" i="9"/>
  <c r="K1299" i="9"/>
  <c r="J1299" i="9"/>
  <c r="I1299" i="9"/>
  <c r="H1299" i="9"/>
  <c r="G1299" i="9"/>
  <c r="F1299" i="9"/>
  <c r="E1299" i="9"/>
  <c r="D1299" i="9"/>
  <c r="C1299" i="9"/>
  <c r="B1299" i="9"/>
  <c r="A1299" i="9"/>
  <c r="M1298" i="9"/>
  <c r="L1298" i="9"/>
  <c r="K1298" i="9"/>
  <c r="J1298" i="9"/>
  <c r="I1298" i="9"/>
  <c r="H1298" i="9"/>
  <c r="G1298" i="9"/>
  <c r="F1298" i="9"/>
  <c r="E1298" i="9"/>
  <c r="D1298" i="9"/>
  <c r="C1298" i="9"/>
  <c r="B1298" i="9"/>
  <c r="A1298" i="9"/>
  <c r="M1297" i="9"/>
  <c r="L1297" i="9"/>
  <c r="K1297" i="9"/>
  <c r="J1297" i="9"/>
  <c r="I1297" i="9"/>
  <c r="H1297" i="9"/>
  <c r="G1297" i="9"/>
  <c r="F1297" i="9"/>
  <c r="E1297" i="9"/>
  <c r="D1297" i="9"/>
  <c r="C1297" i="9"/>
  <c r="B1297" i="9"/>
  <c r="A1297" i="9"/>
  <c r="M1296" i="9"/>
  <c r="L1296" i="9"/>
  <c r="K1296" i="9"/>
  <c r="J1296" i="9"/>
  <c r="I1296" i="9"/>
  <c r="H1296" i="9"/>
  <c r="G1296" i="9"/>
  <c r="F1296" i="9"/>
  <c r="E1296" i="9"/>
  <c r="D1296" i="9"/>
  <c r="C1296" i="9"/>
  <c r="B1296" i="9"/>
  <c r="A1296" i="9"/>
  <c r="M1295" i="9"/>
  <c r="L1295" i="9"/>
  <c r="K1295" i="9"/>
  <c r="J1295" i="9"/>
  <c r="I1295" i="9"/>
  <c r="H1295" i="9"/>
  <c r="G1295" i="9"/>
  <c r="F1295" i="9"/>
  <c r="E1295" i="9"/>
  <c r="D1295" i="9"/>
  <c r="C1295" i="9"/>
  <c r="B1295" i="9"/>
  <c r="A1295" i="9"/>
  <c r="M1294" i="9"/>
  <c r="L1294" i="9"/>
  <c r="K1294" i="9"/>
  <c r="J1294" i="9"/>
  <c r="I1294" i="9"/>
  <c r="H1294" i="9"/>
  <c r="G1294" i="9"/>
  <c r="F1294" i="9"/>
  <c r="E1294" i="9"/>
  <c r="D1294" i="9"/>
  <c r="C1294" i="9"/>
  <c r="B1294" i="9"/>
  <c r="A1294" i="9"/>
  <c r="M1293" i="9"/>
  <c r="L1293" i="9"/>
  <c r="K1293" i="9"/>
  <c r="J1293" i="9"/>
  <c r="I1293" i="9"/>
  <c r="H1293" i="9"/>
  <c r="G1293" i="9"/>
  <c r="F1293" i="9"/>
  <c r="E1293" i="9"/>
  <c r="D1293" i="9"/>
  <c r="C1293" i="9"/>
  <c r="B1293" i="9"/>
  <c r="A1293" i="9"/>
  <c r="M1292" i="9"/>
  <c r="L1292" i="9"/>
  <c r="K1292" i="9"/>
  <c r="J1292" i="9"/>
  <c r="I1292" i="9"/>
  <c r="H1292" i="9"/>
  <c r="G1292" i="9"/>
  <c r="F1292" i="9"/>
  <c r="E1292" i="9"/>
  <c r="D1292" i="9"/>
  <c r="C1292" i="9"/>
  <c r="B1292" i="9"/>
  <c r="A1292" i="9"/>
  <c r="M1291" i="9"/>
  <c r="L1291" i="9"/>
  <c r="K1291" i="9"/>
  <c r="J1291" i="9"/>
  <c r="I1291" i="9"/>
  <c r="H1291" i="9"/>
  <c r="G1291" i="9"/>
  <c r="F1291" i="9"/>
  <c r="E1291" i="9"/>
  <c r="D1291" i="9"/>
  <c r="C1291" i="9"/>
  <c r="B1291" i="9"/>
  <c r="A1291" i="9"/>
  <c r="M1290" i="9"/>
  <c r="L1290" i="9"/>
  <c r="K1290" i="9"/>
  <c r="J1290" i="9"/>
  <c r="I1290" i="9"/>
  <c r="H1290" i="9"/>
  <c r="G1290" i="9"/>
  <c r="F1290" i="9"/>
  <c r="E1290" i="9"/>
  <c r="D1290" i="9"/>
  <c r="C1290" i="9"/>
  <c r="B1290" i="9"/>
  <c r="A1290" i="9"/>
  <c r="M1289" i="9"/>
  <c r="L1289" i="9"/>
  <c r="K1289" i="9"/>
  <c r="J1289" i="9"/>
  <c r="I1289" i="9"/>
  <c r="H1289" i="9"/>
  <c r="G1289" i="9"/>
  <c r="F1289" i="9"/>
  <c r="E1289" i="9"/>
  <c r="D1289" i="9"/>
  <c r="C1289" i="9"/>
  <c r="B1289" i="9"/>
  <c r="A1289" i="9"/>
  <c r="M1288" i="9"/>
  <c r="L1288" i="9"/>
  <c r="K1288" i="9"/>
  <c r="J1288" i="9"/>
  <c r="I1288" i="9"/>
  <c r="H1288" i="9"/>
  <c r="G1288" i="9"/>
  <c r="F1288" i="9"/>
  <c r="E1288" i="9"/>
  <c r="D1288" i="9"/>
  <c r="C1288" i="9"/>
  <c r="B1288" i="9"/>
  <c r="A1288" i="9"/>
  <c r="M1287" i="9"/>
  <c r="L1287" i="9"/>
  <c r="K1287" i="9"/>
  <c r="J1287" i="9"/>
  <c r="I1287" i="9"/>
  <c r="H1287" i="9"/>
  <c r="G1287" i="9"/>
  <c r="F1287" i="9"/>
  <c r="E1287" i="9"/>
  <c r="D1287" i="9"/>
  <c r="C1287" i="9"/>
  <c r="B1287" i="9"/>
  <c r="A1287" i="9"/>
  <c r="M1286" i="9"/>
  <c r="L1286" i="9"/>
  <c r="K1286" i="9"/>
  <c r="J1286" i="9"/>
  <c r="I1286" i="9"/>
  <c r="H1286" i="9"/>
  <c r="G1286" i="9"/>
  <c r="F1286" i="9"/>
  <c r="E1286" i="9"/>
  <c r="D1286" i="9"/>
  <c r="C1286" i="9"/>
  <c r="B1286" i="9"/>
  <c r="A1286" i="9"/>
  <c r="M1285" i="9"/>
  <c r="L1285" i="9"/>
  <c r="K1285" i="9"/>
  <c r="J1285" i="9"/>
  <c r="I1285" i="9"/>
  <c r="H1285" i="9"/>
  <c r="G1285" i="9"/>
  <c r="F1285" i="9"/>
  <c r="E1285" i="9"/>
  <c r="D1285" i="9"/>
  <c r="C1285" i="9"/>
  <c r="B1285" i="9"/>
  <c r="A1285" i="9"/>
  <c r="M1284" i="9"/>
  <c r="L1284" i="9"/>
  <c r="K1284" i="9"/>
  <c r="J1284" i="9"/>
  <c r="I1284" i="9"/>
  <c r="H1284" i="9"/>
  <c r="G1284" i="9"/>
  <c r="F1284" i="9"/>
  <c r="E1284" i="9"/>
  <c r="D1284" i="9"/>
  <c r="C1284" i="9"/>
  <c r="B1284" i="9"/>
  <c r="A1284" i="9"/>
  <c r="M1283" i="9"/>
  <c r="L1283" i="9"/>
  <c r="K1283" i="9"/>
  <c r="J1283" i="9"/>
  <c r="I1283" i="9"/>
  <c r="H1283" i="9"/>
  <c r="G1283" i="9"/>
  <c r="F1283" i="9"/>
  <c r="E1283" i="9"/>
  <c r="D1283" i="9"/>
  <c r="C1283" i="9"/>
  <c r="B1283" i="9"/>
  <c r="A1283" i="9"/>
  <c r="M1282" i="9"/>
  <c r="L1282" i="9"/>
  <c r="K1282" i="9"/>
  <c r="J1282" i="9"/>
  <c r="I1282" i="9"/>
  <c r="H1282" i="9"/>
  <c r="G1282" i="9"/>
  <c r="F1282" i="9"/>
  <c r="E1282" i="9"/>
  <c r="D1282" i="9"/>
  <c r="C1282" i="9"/>
  <c r="B1282" i="9"/>
  <c r="A1282" i="9"/>
  <c r="M1281" i="9"/>
  <c r="L1281" i="9"/>
  <c r="K1281" i="9"/>
  <c r="J1281" i="9"/>
  <c r="I1281" i="9"/>
  <c r="H1281" i="9"/>
  <c r="G1281" i="9"/>
  <c r="F1281" i="9"/>
  <c r="E1281" i="9"/>
  <c r="D1281" i="9"/>
  <c r="C1281" i="9"/>
  <c r="B1281" i="9"/>
  <c r="A1281" i="9"/>
  <c r="M1280" i="9"/>
  <c r="L1280" i="9"/>
  <c r="K1280" i="9"/>
  <c r="J1280" i="9"/>
  <c r="I1280" i="9"/>
  <c r="H1280" i="9"/>
  <c r="G1280" i="9"/>
  <c r="F1280" i="9"/>
  <c r="E1280" i="9"/>
  <c r="D1280" i="9"/>
  <c r="C1280" i="9"/>
  <c r="B1280" i="9"/>
  <c r="A1280" i="9"/>
  <c r="M1279" i="9"/>
  <c r="L1279" i="9"/>
  <c r="K1279" i="9"/>
  <c r="J1279" i="9"/>
  <c r="I1279" i="9"/>
  <c r="H1279" i="9"/>
  <c r="G1279" i="9"/>
  <c r="F1279" i="9"/>
  <c r="E1279" i="9"/>
  <c r="D1279" i="9"/>
  <c r="C1279" i="9"/>
  <c r="B1279" i="9"/>
  <c r="A1279" i="9"/>
  <c r="M1278" i="9"/>
  <c r="L1278" i="9"/>
  <c r="K1278" i="9"/>
  <c r="J1278" i="9"/>
  <c r="I1278" i="9"/>
  <c r="H1278" i="9"/>
  <c r="G1278" i="9"/>
  <c r="F1278" i="9"/>
  <c r="E1278" i="9"/>
  <c r="D1278" i="9"/>
  <c r="C1278" i="9"/>
  <c r="B1278" i="9"/>
  <c r="A1278" i="9"/>
  <c r="M1277" i="9"/>
  <c r="L1277" i="9"/>
  <c r="K1277" i="9"/>
  <c r="J1277" i="9"/>
  <c r="I1277" i="9"/>
  <c r="H1277" i="9"/>
  <c r="G1277" i="9"/>
  <c r="F1277" i="9"/>
  <c r="E1277" i="9"/>
  <c r="D1277" i="9"/>
  <c r="C1277" i="9"/>
  <c r="B1277" i="9"/>
  <c r="A1277" i="9"/>
  <c r="M1276" i="9"/>
  <c r="L1276" i="9"/>
  <c r="K1276" i="9"/>
  <c r="J1276" i="9"/>
  <c r="I1276" i="9"/>
  <c r="H1276" i="9"/>
  <c r="G1276" i="9"/>
  <c r="F1276" i="9"/>
  <c r="E1276" i="9"/>
  <c r="D1276" i="9"/>
  <c r="C1276" i="9"/>
  <c r="B1276" i="9"/>
  <c r="A1276" i="9"/>
  <c r="M1275" i="9"/>
  <c r="L1275" i="9"/>
  <c r="K1275" i="9"/>
  <c r="J1275" i="9"/>
  <c r="I1275" i="9"/>
  <c r="H1275" i="9"/>
  <c r="G1275" i="9"/>
  <c r="F1275" i="9"/>
  <c r="E1275" i="9"/>
  <c r="D1275" i="9"/>
  <c r="C1275" i="9"/>
  <c r="B1275" i="9"/>
  <c r="A1275" i="9"/>
  <c r="M1274" i="9"/>
  <c r="L1274" i="9"/>
  <c r="K1274" i="9"/>
  <c r="J1274" i="9"/>
  <c r="I1274" i="9"/>
  <c r="H1274" i="9"/>
  <c r="G1274" i="9"/>
  <c r="F1274" i="9"/>
  <c r="E1274" i="9"/>
  <c r="D1274" i="9"/>
  <c r="C1274" i="9"/>
  <c r="B1274" i="9"/>
  <c r="A1274" i="9"/>
  <c r="M1273" i="9"/>
  <c r="L1273" i="9"/>
  <c r="K1273" i="9"/>
  <c r="J1273" i="9"/>
  <c r="I1273" i="9"/>
  <c r="H1273" i="9"/>
  <c r="G1273" i="9"/>
  <c r="F1273" i="9"/>
  <c r="E1273" i="9"/>
  <c r="D1273" i="9"/>
  <c r="C1273" i="9"/>
  <c r="B1273" i="9"/>
  <c r="A1273" i="9"/>
  <c r="M1272" i="9"/>
  <c r="L1272" i="9"/>
  <c r="K1272" i="9"/>
  <c r="J1272" i="9"/>
  <c r="I1272" i="9"/>
  <c r="H1272" i="9"/>
  <c r="G1272" i="9"/>
  <c r="F1272" i="9"/>
  <c r="E1272" i="9"/>
  <c r="D1272" i="9"/>
  <c r="C1272" i="9"/>
  <c r="B1272" i="9"/>
  <c r="A1272" i="9"/>
  <c r="M1271" i="9"/>
  <c r="L1271" i="9"/>
  <c r="K1271" i="9"/>
  <c r="J1271" i="9"/>
  <c r="I1271" i="9"/>
  <c r="H1271" i="9"/>
  <c r="G1271" i="9"/>
  <c r="F1271" i="9"/>
  <c r="E1271" i="9"/>
  <c r="D1271" i="9"/>
  <c r="C1271" i="9"/>
  <c r="B1271" i="9"/>
  <c r="A1271" i="9"/>
  <c r="M1270" i="9"/>
  <c r="L1270" i="9"/>
  <c r="K1270" i="9"/>
  <c r="J1270" i="9"/>
  <c r="I1270" i="9"/>
  <c r="H1270" i="9"/>
  <c r="G1270" i="9"/>
  <c r="F1270" i="9"/>
  <c r="E1270" i="9"/>
  <c r="D1270" i="9"/>
  <c r="C1270" i="9"/>
  <c r="B1270" i="9"/>
  <c r="A1270" i="9"/>
  <c r="M1269" i="9"/>
  <c r="L1269" i="9"/>
  <c r="K1269" i="9"/>
  <c r="J1269" i="9"/>
  <c r="I1269" i="9"/>
  <c r="H1269" i="9"/>
  <c r="G1269" i="9"/>
  <c r="F1269" i="9"/>
  <c r="E1269" i="9"/>
  <c r="D1269" i="9"/>
  <c r="C1269" i="9"/>
  <c r="B1269" i="9"/>
  <c r="A1269" i="9"/>
  <c r="M1268" i="9"/>
  <c r="L1268" i="9"/>
  <c r="K1268" i="9"/>
  <c r="J1268" i="9"/>
  <c r="I1268" i="9"/>
  <c r="H1268" i="9"/>
  <c r="G1268" i="9"/>
  <c r="F1268" i="9"/>
  <c r="E1268" i="9"/>
  <c r="D1268" i="9"/>
  <c r="C1268" i="9"/>
  <c r="B1268" i="9"/>
  <c r="A1268" i="9"/>
  <c r="M1267" i="9"/>
  <c r="L1267" i="9"/>
  <c r="K1267" i="9"/>
  <c r="J1267" i="9"/>
  <c r="I1267" i="9"/>
  <c r="H1267" i="9"/>
  <c r="G1267" i="9"/>
  <c r="F1267" i="9"/>
  <c r="E1267" i="9"/>
  <c r="D1267" i="9"/>
  <c r="C1267" i="9"/>
  <c r="B1267" i="9"/>
  <c r="A1267" i="9"/>
  <c r="M1266" i="9"/>
  <c r="L1266" i="9"/>
  <c r="K1266" i="9"/>
  <c r="J1266" i="9"/>
  <c r="I1266" i="9"/>
  <c r="H1266" i="9"/>
  <c r="G1266" i="9"/>
  <c r="F1266" i="9"/>
  <c r="E1266" i="9"/>
  <c r="D1266" i="9"/>
  <c r="C1266" i="9"/>
  <c r="B1266" i="9"/>
  <c r="A1266" i="9"/>
  <c r="M1265" i="9"/>
  <c r="L1265" i="9"/>
  <c r="K1265" i="9"/>
  <c r="J1265" i="9"/>
  <c r="I1265" i="9"/>
  <c r="H1265" i="9"/>
  <c r="G1265" i="9"/>
  <c r="F1265" i="9"/>
  <c r="E1265" i="9"/>
  <c r="D1265" i="9"/>
  <c r="C1265" i="9"/>
  <c r="B1265" i="9"/>
  <c r="A1265" i="9"/>
  <c r="M1264" i="9"/>
  <c r="L1264" i="9"/>
  <c r="K1264" i="9"/>
  <c r="J1264" i="9"/>
  <c r="I1264" i="9"/>
  <c r="H1264" i="9"/>
  <c r="G1264" i="9"/>
  <c r="F1264" i="9"/>
  <c r="E1264" i="9"/>
  <c r="D1264" i="9"/>
  <c r="C1264" i="9"/>
  <c r="B1264" i="9"/>
  <c r="A1264" i="9"/>
  <c r="M1263" i="9"/>
  <c r="L1263" i="9"/>
  <c r="K1263" i="9"/>
  <c r="J1263" i="9"/>
  <c r="I1263" i="9"/>
  <c r="H1263" i="9"/>
  <c r="G1263" i="9"/>
  <c r="F1263" i="9"/>
  <c r="E1263" i="9"/>
  <c r="D1263" i="9"/>
  <c r="C1263" i="9"/>
  <c r="B1263" i="9"/>
  <c r="A1263" i="9"/>
  <c r="M1262" i="9"/>
  <c r="L1262" i="9"/>
  <c r="K1262" i="9"/>
  <c r="J1262" i="9"/>
  <c r="I1262" i="9"/>
  <c r="H1262" i="9"/>
  <c r="G1262" i="9"/>
  <c r="F1262" i="9"/>
  <c r="E1262" i="9"/>
  <c r="D1262" i="9"/>
  <c r="C1262" i="9"/>
  <c r="B1262" i="9"/>
  <c r="A1262" i="9"/>
  <c r="M1261" i="9"/>
  <c r="L1261" i="9"/>
  <c r="K1261" i="9"/>
  <c r="J1261" i="9"/>
  <c r="I1261" i="9"/>
  <c r="H1261" i="9"/>
  <c r="G1261" i="9"/>
  <c r="F1261" i="9"/>
  <c r="E1261" i="9"/>
  <c r="D1261" i="9"/>
  <c r="C1261" i="9"/>
  <c r="B1261" i="9"/>
  <c r="A1261" i="9"/>
  <c r="M1260" i="9"/>
  <c r="L1260" i="9"/>
  <c r="K1260" i="9"/>
  <c r="J1260" i="9"/>
  <c r="I1260" i="9"/>
  <c r="H1260" i="9"/>
  <c r="G1260" i="9"/>
  <c r="F1260" i="9"/>
  <c r="E1260" i="9"/>
  <c r="D1260" i="9"/>
  <c r="C1260" i="9"/>
  <c r="B1260" i="9"/>
  <c r="A1260" i="9"/>
  <c r="M1259" i="9"/>
  <c r="L1259" i="9"/>
  <c r="K1259" i="9"/>
  <c r="J1259" i="9"/>
  <c r="I1259" i="9"/>
  <c r="H1259" i="9"/>
  <c r="G1259" i="9"/>
  <c r="F1259" i="9"/>
  <c r="E1259" i="9"/>
  <c r="D1259" i="9"/>
  <c r="C1259" i="9"/>
  <c r="B1259" i="9"/>
  <c r="A1259" i="9"/>
  <c r="M1258" i="9"/>
  <c r="L1258" i="9"/>
  <c r="K1258" i="9"/>
  <c r="J1258" i="9"/>
  <c r="I1258" i="9"/>
  <c r="H1258" i="9"/>
  <c r="G1258" i="9"/>
  <c r="F1258" i="9"/>
  <c r="E1258" i="9"/>
  <c r="D1258" i="9"/>
  <c r="C1258" i="9"/>
  <c r="B1258" i="9"/>
  <c r="A1258" i="9"/>
  <c r="M1257" i="9"/>
  <c r="L1257" i="9"/>
  <c r="K1257" i="9"/>
  <c r="J1257" i="9"/>
  <c r="I1257" i="9"/>
  <c r="H1257" i="9"/>
  <c r="G1257" i="9"/>
  <c r="F1257" i="9"/>
  <c r="E1257" i="9"/>
  <c r="D1257" i="9"/>
  <c r="C1257" i="9"/>
  <c r="B1257" i="9"/>
  <c r="A1257" i="9"/>
  <c r="M1256" i="9"/>
  <c r="L1256" i="9"/>
  <c r="K1256" i="9"/>
  <c r="J1256" i="9"/>
  <c r="I1256" i="9"/>
  <c r="H1256" i="9"/>
  <c r="G1256" i="9"/>
  <c r="F1256" i="9"/>
  <c r="E1256" i="9"/>
  <c r="D1256" i="9"/>
  <c r="C1256" i="9"/>
  <c r="B1256" i="9"/>
  <c r="A1256" i="9"/>
  <c r="M1255" i="9"/>
  <c r="L1255" i="9"/>
  <c r="K1255" i="9"/>
  <c r="J1255" i="9"/>
  <c r="I1255" i="9"/>
  <c r="H1255" i="9"/>
  <c r="G1255" i="9"/>
  <c r="F1255" i="9"/>
  <c r="E1255" i="9"/>
  <c r="D1255" i="9"/>
  <c r="C1255" i="9"/>
  <c r="B1255" i="9"/>
  <c r="A1255" i="9"/>
  <c r="M1254" i="9"/>
  <c r="L1254" i="9"/>
  <c r="K1254" i="9"/>
  <c r="J1254" i="9"/>
  <c r="I1254" i="9"/>
  <c r="H1254" i="9"/>
  <c r="G1254" i="9"/>
  <c r="F1254" i="9"/>
  <c r="E1254" i="9"/>
  <c r="D1254" i="9"/>
  <c r="C1254" i="9"/>
  <c r="B1254" i="9"/>
  <c r="A1254" i="9"/>
  <c r="M1253" i="9"/>
  <c r="L1253" i="9"/>
  <c r="K1253" i="9"/>
  <c r="J1253" i="9"/>
  <c r="I1253" i="9"/>
  <c r="H1253" i="9"/>
  <c r="G1253" i="9"/>
  <c r="F1253" i="9"/>
  <c r="E1253" i="9"/>
  <c r="D1253" i="9"/>
  <c r="C1253" i="9"/>
  <c r="B1253" i="9"/>
  <c r="A1253" i="9"/>
  <c r="M1252" i="9"/>
  <c r="L1252" i="9"/>
  <c r="K1252" i="9"/>
  <c r="J1252" i="9"/>
  <c r="I1252" i="9"/>
  <c r="H1252" i="9"/>
  <c r="G1252" i="9"/>
  <c r="F1252" i="9"/>
  <c r="E1252" i="9"/>
  <c r="D1252" i="9"/>
  <c r="C1252" i="9"/>
  <c r="B1252" i="9"/>
  <c r="A1252" i="9"/>
  <c r="M1251" i="9"/>
  <c r="L1251" i="9"/>
  <c r="K1251" i="9"/>
  <c r="J1251" i="9"/>
  <c r="I1251" i="9"/>
  <c r="H1251" i="9"/>
  <c r="G1251" i="9"/>
  <c r="F1251" i="9"/>
  <c r="E1251" i="9"/>
  <c r="D1251" i="9"/>
  <c r="C1251" i="9"/>
  <c r="B1251" i="9"/>
  <c r="A1251" i="9"/>
  <c r="M1250" i="9"/>
  <c r="L1250" i="9"/>
  <c r="K1250" i="9"/>
  <c r="J1250" i="9"/>
  <c r="I1250" i="9"/>
  <c r="H1250" i="9"/>
  <c r="G1250" i="9"/>
  <c r="F1250" i="9"/>
  <c r="E1250" i="9"/>
  <c r="D1250" i="9"/>
  <c r="C1250" i="9"/>
  <c r="B1250" i="9"/>
  <c r="A1250" i="9"/>
  <c r="M1249" i="9"/>
  <c r="L1249" i="9"/>
  <c r="K1249" i="9"/>
  <c r="J1249" i="9"/>
  <c r="I1249" i="9"/>
  <c r="H1249" i="9"/>
  <c r="G1249" i="9"/>
  <c r="F1249" i="9"/>
  <c r="E1249" i="9"/>
  <c r="D1249" i="9"/>
  <c r="C1249" i="9"/>
  <c r="B1249" i="9"/>
  <c r="A1249" i="9"/>
  <c r="M1248" i="9"/>
  <c r="L1248" i="9"/>
  <c r="K1248" i="9"/>
  <c r="J1248" i="9"/>
  <c r="I1248" i="9"/>
  <c r="H1248" i="9"/>
  <c r="G1248" i="9"/>
  <c r="F1248" i="9"/>
  <c r="E1248" i="9"/>
  <c r="D1248" i="9"/>
  <c r="C1248" i="9"/>
  <c r="B1248" i="9"/>
  <c r="A1248" i="9"/>
  <c r="M1247" i="9"/>
  <c r="L1247" i="9"/>
  <c r="K1247" i="9"/>
  <c r="J1247" i="9"/>
  <c r="I1247" i="9"/>
  <c r="H1247" i="9"/>
  <c r="G1247" i="9"/>
  <c r="F1247" i="9"/>
  <c r="E1247" i="9"/>
  <c r="D1247" i="9"/>
  <c r="C1247" i="9"/>
  <c r="B1247" i="9"/>
  <c r="A1247" i="9"/>
  <c r="M1246" i="9"/>
  <c r="L1246" i="9"/>
  <c r="K1246" i="9"/>
  <c r="J1246" i="9"/>
  <c r="I1246" i="9"/>
  <c r="H1246" i="9"/>
  <c r="G1246" i="9"/>
  <c r="F1246" i="9"/>
  <c r="E1246" i="9"/>
  <c r="D1246" i="9"/>
  <c r="C1246" i="9"/>
  <c r="B1246" i="9"/>
  <c r="A1246" i="9"/>
  <c r="M1245" i="9"/>
  <c r="L1245" i="9"/>
  <c r="K1245" i="9"/>
  <c r="J1245" i="9"/>
  <c r="I1245" i="9"/>
  <c r="H1245" i="9"/>
  <c r="G1245" i="9"/>
  <c r="F1245" i="9"/>
  <c r="E1245" i="9"/>
  <c r="D1245" i="9"/>
  <c r="C1245" i="9"/>
  <c r="B1245" i="9"/>
  <c r="A1245" i="9"/>
  <c r="M1244" i="9"/>
  <c r="L1244" i="9"/>
  <c r="K1244" i="9"/>
  <c r="J1244" i="9"/>
  <c r="I1244" i="9"/>
  <c r="H1244" i="9"/>
  <c r="G1244" i="9"/>
  <c r="F1244" i="9"/>
  <c r="E1244" i="9"/>
  <c r="D1244" i="9"/>
  <c r="C1244" i="9"/>
  <c r="B1244" i="9"/>
  <c r="A1244" i="9"/>
  <c r="M1243" i="9"/>
  <c r="L1243" i="9"/>
  <c r="K1243" i="9"/>
  <c r="J1243" i="9"/>
  <c r="I1243" i="9"/>
  <c r="H1243" i="9"/>
  <c r="G1243" i="9"/>
  <c r="F1243" i="9"/>
  <c r="E1243" i="9"/>
  <c r="D1243" i="9"/>
  <c r="C1243" i="9"/>
  <c r="B1243" i="9"/>
  <c r="A1243" i="9"/>
  <c r="M1242" i="9"/>
  <c r="L1242" i="9"/>
  <c r="K1242" i="9"/>
  <c r="J1242" i="9"/>
  <c r="I1242" i="9"/>
  <c r="H1242" i="9"/>
  <c r="G1242" i="9"/>
  <c r="F1242" i="9"/>
  <c r="E1242" i="9"/>
  <c r="D1242" i="9"/>
  <c r="C1242" i="9"/>
  <c r="B1242" i="9"/>
  <c r="A1242" i="9"/>
  <c r="M1241" i="9"/>
  <c r="L1241" i="9"/>
  <c r="K1241" i="9"/>
  <c r="J1241" i="9"/>
  <c r="I1241" i="9"/>
  <c r="H1241" i="9"/>
  <c r="G1241" i="9"/>
  <c r="F1241" i="9"/>
  <c r="E1241" i="9"/>
  <c r="D1241" i="9"/>
  <c r="C1241" i="9"/>
  <c r="B1241" i="9"/>
  <c r="A1241" i="9"/>
  <c r="M1240" i="9"/>
  <c r="L1240" i="9"/>
  <c r="K1240" i="9"/>
  <c r="J1240" i="9"/>
  <c r="I1240" i="9"/>
  <c r="H1240" i="9"/>
  <c r="G1240" i="9"/>
  <c r="F1240" i="9"/>
  <c r="E1240" i="9"/>
  <c r="D1240" i="9"/>
  <c r="C1240" i="9"/>
  <c r="B1240" i="9"/>
  <c r="A1240" i="9"/>
  <c r="M1239" i="9"/>
  <c r="L1239" i="9"/>
  <c r="K1239" i="9"/>
  <c r="J1239" i="9"/>
  <c r="I1239" i="9"/>
  <c r="H1239" i="9"/>
  <c r="G1239" i="9"/>
  <c r="F1239" i="9"/>
  <c r="E1239" i="9"/>
  <c r="D1239" i="9"/>
  <c r="C1239" i="9"/>
  <c r="B1239" i="9"/>
  <c r="A1239" i="9"/>
  <c r="M1238" i="9"/>
  <c r="L1238" i="9"/>
  <c r="K1238" i="9"/>
  <c r="J1238" i="9"/>
  <c r="I1238" i="9"/>
  <c r="H1238" i="9"/>
  <c r="G1238" i="9"/>
  <c r="F1238" i="9"/>
  <c r="E1238" i="9"/>
  <c r="D1238" i="9"/>
  <c r="C1238" i="9"/>
  <c r="B1238" i="9"/>
  <c r="A1238" i="9"/>
  <c r="M1237" i="9"/>
  <c r="L1237" i="9"/>
  <c r="K1237" i="9"/>
  <c r="J1237" i="9"/>
  <c r="I1237" i="9"/>
  <c r="H1237" i="9"/>
  <c r="G1237" i="9"/>
  <c r="F1237" i="9"/>
  <c r="E1237" i="9"/>
  <c r="D1237" i="9"/>
  <c r="C1237" i="9"/>
  <c r="B1237" i="9"/>
  <c r="A1237" i="9"/>
  <c r="M1236" i="9"/>
  <c r="L1236" i="9"/>
  <c r="K1236" i="9"/>
  <c r="J1236" i="9"/>
  <c r="I1236" i="9"/>
  <c r="H1236" i="9"/>
  <c r="G1236" i="9"/>
  <c r="F1236" i="9"/>
  <c r="E1236" i="9"/>
  <c r="D1236" i="9"/>
  <c r="C1236" i="9"/>
  <c r="B1236" i="9"/>
  <c r="A1236" i="9"/>
  <c r="M1235" i="9"/>
  <c r="L1235" i="9"/>
  <c r="K1235" i="9"/>
  <c r="J1235" i="9"/>
  <c r="I1235" i="9"/>
  <c r="H1235" i="9"/>
  <c r="G1235" i="9"/>
  <c r="F1235" i="9"/>
  <c r="E1235" i="9"/>
  <c r="D1235" i="9"/>
  <c r="C1235" i="9"/>
  <c r="B1235" i="9"/>
  <c r="A1235" i="9"/>
  <c r="M1234" i="9"/>
  <c r="L1234" i="9"/>
  <c r="K1234" i="9"/>
  <c r="J1234" i="9"/>
  <c r="I1234" i="9"/>
  <c r="H1234" i="9"/>
  <c r="G1234" i="9"/>
  <c r="F1234" i="9"/>
  <c r="E1234" i="9"/>
  <c r="D1234" i="9"/>
  <c r="C1234" i="9"/>
  <c r="B1234" i="9"/>
  <c r="A1234" i="9"/>
  <c r="M1233" i="9"/>
  <c r="L1233" i="9"/>
  <c r="K1233" i="9"/>
  <c r="J1233" i="9"/>
  <c r="I1233" i="9"/>
  <c r="H1233" i="9"/>
  <c r="G1233" i="9"/>
  <c r="F1233" i="9"/>
  <c r="E1233" i="9"/>
  <c r="D1233" i="9"/>
  <c r="C1233" i="9"/>
  <c r="B1233" i="9"/>
  <c r="A1233" i="9"/>
  <c r="M1232" i="9"/>
  <c r="L1232" i="9"/>
  <c r="K1232" i="9"/>
  <c r="J1232" i="9"/>
  <c r="I1232" i="9"/>
  <c r="H1232" i="9"/>
  <c r="G1232" i="9"/>
  <c r="F1232" i="9"/>
  <c r="E1232" i="9"/>
  <c r="D1232" i="9"/>
  <c r="C1232" i="9"/>
  <c r="B1232" i="9"/>
  <c r="A1232" i="9"/>
  <c r="M1231" i="9"/>
  <c r="L1231" i="9"/>
  <c r="K1231" i="9"/>
  <c r="J1231" i="9"/>
  <c r="I1231" i="9"/>
  <c r="H1231" i="9"/>
  <c r="G1231" i="9"/>
  <c r="F1231" i="9"/>
  <c r="E1231" i="9"/>
  <c r="D1231" i="9"/>
  <c r="C1231" i="9"/>
  <c r="B1231" i="9"/>
  <c r="A1231" i="9"/>
  <c r="M1230" i="9"/>
  <c r="L1230" i="9"/>
  <c r="K1230" i="9"/>
  <c r="J1230" i="9"/>
  <c r="I1230" i="9"/>
  <c r="H1230" i="9"/>
  <c r="G1230" i="9"/>
  <c r="F1230" i="9"/>
  <c r="E1230" i="9"/>
  <c r="D1230" i="9"/>
  <c r="C1230" i="9"/>
  <c r="B1230" i="9"/>
  <c r="A1230" i="9"/>
  <c r="M1229" i="9"/>
  <c r="L1229" i="9"/>
  <c r="K1229" i="9"/>
  <c r="J1229" i="9"/>
  <c r="I1229" i="9"/>
  <c r="H1229" i="9"/>
  <c r="G1229" i="9"/>
  <c r="F1229" i="9"/>
  <c r="E1229" i="9"/>
  <c r="D1229" i="9"/>
  <c r="C1229" i="9"/>
  <c r="B1229" i="9"/>
  <c r="A1229" i="9"/>
  <c r="M1228" i="9"/>
  <c r="L1228" i="9"/>
  <c r="K1228" i="9"/>
  <c r="J1228" i="9"/>
  <c r="I1228" i="9"/>
  <c r="H1228" i="9"/>
  <c r="G1228" i="9"/>
  <c r="F1228" i="9"/>
  <c r="E1228" i="9"/>
  <c r="D1228" i="9"/>
  <c r="C1228" i="9"/>
  <c r="B1228" i="9"/>
  <c r="A1228" i="9"/>
  <c r="M1227" i="9"/>
  <c r="L1227" i="9"/>
  <c r="K1227" i="9"/>
  <c r="J1227" i="9"/>
  <c r="I1227" i="9"/>
  <c r="H1227" i="9"/>
  <c r="G1227" i="9"/>
  <c r="F1227" i="9"/>
  <c r="E1227" i="9"/>
  <c r="D1227" i="9"/>
  <c r="C1227" i="9"/>
  <c r="B1227" i="9"/>
  <c r="A1227" i="9"/>
  <c r="M1226" i="9"/>
  <c r="L1226" i="9"/>
  <c r="K1226" i="9"/>
  <c r="J1226" i="9"/>
  <c r="I1226" i="9"/>
  <c r="H1226" i="9"/>
  <c r="G1226" i="9"/>
  <c r="F1226" i="9"/>
  <c r="E1226" i="9"/>
  <c r="D1226" i="9"/>
  <c r="C1226" i="9"/>
  <c r="B1226" i="9"/>
  <c r="A1226" i="9"/>
  <c r="M1225" i="9"/>
  <c r="L1225" i="9"/>
  <c r="K1225" i="9"/>
  <c r="J1225" i="9"/>
  <c r="I1225" i="9"/>
  <c r="H1225" i="9"/>
  <c r="G1225" i="9"/>
  <c r="F1225" i="9"/>
  <c r="E1225" i="9"/>
  <c r="D1225" i="9"/>
  <c r="C1225" i="9"/>
  <c r="B1225" i="9"/>
  <c r="A1225" i="9"/>
  <c r="M1224" i="9"/>
  <c r="L1224" i="9"/>
  <c r="K1224" i="9"/>
  <c r="J1224" i="9"/>
  <c r="I1224" i="9"/>
  <c r="H1224" i="9"/>
  <c r="G1224" i="9"/>
  <c r="F1224" i="9"/>
  <c r="E1224" i="9"/>
  <c r="D1224" i="9"/>
  <c r="C1224" i="9"/>
  <c r="B1224" i="9"/>
  <c r="A1224" i="9"/>
  <c r="M1223" i="9"/>
  <c r="L1223" i="9"/>
  <c r="K1223" i="9"/>
  <c r="J1223" i="9"/>
  <c r="I1223" i="9"/>
  <c r="H1223" i="9"/>
  <c r="G1223" i="9"/>
  <c r="F1223" i="9"/>
  <c r="E1223" i="9"/>
  <c r="D1223" i="9"/>
  <c r="C1223" i="9"/>
  <c r="B1223" i="9"/>
  <c r="A1223" i="9"/>
  <c r="M1222" i="9"/>
  <c r="L1222" i="9"/>
  <c r="K1222" i="9"/>
  <c r="J1222" i="9"/>
  <c r="I1222" i="9"/>
  <c r="H1222" i="9"/>
  <c r="G1222" i="9"/>
  <c r="F1222" i="9"/>
  <c r="E1222" i="9"/>
  <c r="D1222" i="9"/>
  <c r="C1222" i="9"/>
  <c r="B1222" i="9"/>
  <c r="A1222" i="9"/>
  <c r="M1221" i="9"/>
  <c r="L1221" i="9"/>
  <c r="K1221" i="9"/>
  <c r="J1221" i="9"/>
  <c r="I1221" i="9"/>
  <c r="H1221" i="9"/>
  <c r="G1221" i="9"/>
  <c r="F1221" i="9"/>
  <c r="E1221" i="9"/>
  <c r="D1221" i="9"/>
  <c r="C1221" i="9"/>
  <c r="B1221" i="9"/>
  <c r="A1221" i="9"/>
  <c r="M1220" i="9"/>
  <c r="L1220" i="9"/>
  <c r="K1220" i="9"/>
  <c r="J1220" i="9"/>
  <c r="I1220" i="9"/>
  <c r="H1220" i="9"/>
  <c r="G1220" i="9"/>
  <c r="F1220" i="9"/>
  <c r="E1220" i="9"/>
  <c r="D1220" i="9"/>
  <c r="C1220" i="9"/>
  <c r="B1220" i="9"/>
  <c r="A1220" i="9"/>
  <c r="M1219" i="9"/>
  <c r="L1219" i="9"/>
  <c r="K1219" i="9"/>
  <c r="J1219" i="9"/>
  <c r="I1219" i="9"/>
  <c r="H1219" i="9"/>
  <c r="G1219" i="9"/>
  <c r="F1219" i="9"/>
  <c r="E1219" i="9"/>
  <c r="D1219" i="9"/>
  <c r="C1219" i="9"/>
  <c r="B1219" i="9"/>
  <c r="A1219" i="9"/>
  <c r="M1218" i="9"/>
  <c r="L1218" i="9"/>
  <c r="K1218" i="9"/>
  <c r="J1218" i="9"/>
  <c r="I1218" i="9"/>
  <c r="H1218" i="9"/>
  <c r="G1218" i="9"/>
  <c r="F1218" i="9"/>
  <c r="E1218" i="9"/>
  <c r="D1218" i="9"/>
  <c r="C1218" i="9"/>
  <c r="B1218" i="9"/>
  <c r="A1218" i="9"/>
  <c r="M1217" i="9"/>
  <c r="L1217" i="9"/>
  <c r="K1217" i="9"/>
  <c r="J1217" i="9"/>
  <c r="I1217" i="9"/>
  <c r="H1217" i="9"/>
  <c r="G1217" i="9"/>
  <c r="F1217" i="9"/>
  <c r="E1217" i="9"/>
  <c r="D1217" i="9"/>
  <c r="C1217" i="9"/>
  <c r="B1217" i="9"/>
  <c r="A1217" i="9"/>
  <c r="M1216" i="9"/>
  <c r="L1216" i="9"/>
  <c r="K1216" i="9"/>
  <c r="J1216" i="9"/>
  <c r="I1216" i="9"/>
  <c r="H1216" i="9"/>
  <c r="G1216" i="9"/>
  <c r="F1216" i="9"/>
  <c r="E1216" i="9"/>
  <c r="D1216" i="9"/>
  <c r="C1216" i="9"/>
  <c r="B1216" i="9"/>
  <c r="A1216" i="9"/>
  <c r="M1215" i="9"/>
  <c r="L1215" i="9"/>
  <c r="K1215" i="9"/>
  <c r="J1215" i="9"/>
  <c r="I1215" i="9"/>
  <c r="H1215" i="9"/>
  <c r="G1215" i="9"/>
  <c r="F1215" i="9"/>
  <c r="E1215" i="9"/>
  <c r="D1215" i="9"/>
  <c r="C1215" i="9"/>
  <c r="B1215" i="9"/>
  <c r="A1215" i="9"/>
  <c r="M1214" i="9"/>
  <c r="L1214" i="9"/>
  <c r="K1214" i="9"/>
  <c r="J1214" i="9"/>
  <c r="I1214" i="9"/>
  <c r="H1214" i="9"/>
  <c r="G1214" i="9"/>
  <c r="F1214" i="9"/>
  <c r="E1214" i="9"/>
  <c r="D1214" i="9"/>
  <c r="C1214" i="9"/>
  <c r="B1214" i="9"/>
  <c r="A1214" i="9"/>
  <c r="M1213" i="9"/>
  <c r="L1213" i="9"/>
  <c r="K1213" i="9"/>
  <c r="J1213" i="9"/>
  <c r="I1213" i="9"/>
  <c r="H1213" i="9"/>
  <c r="G1213" i="9"/>
  <c r="F1213" i="9"/>
  <c r="E1213" i="9"/>
  <c r="D1213" i="9"/>
  <c r="C1213" i="9"/>
  <c r="B1213" i="9"/>
  <c r="A1213" i="9"/>
  <c r="M1212" i="9"/>
  <c r="L1212" i="9"/>
  <c r="K1212" i="9"/>
  <c r="J1212" i="9"/>
  <c r="I1212" i="9"/>
  <c r="H1212" i="9"/>
  <c r="G1212" i="9"/>
  <c r="F1212" i="9"/>
  <c r="E1212" i="9"/>
  <c r="D1212" i="9"/>
  <c r="C1212" i="9"/>
  <c r="B1212" i="9"/>
  <c r="A1212" i="9"/>
  <c r="M1211" i="9"/>
  <c r="L1211" i="9"/>
  <c r="K1211" i="9"/>
  <c r="J1211" i="9"/>
  <c r="I1211" i="9"/>
  <c r="H1211" i="9"/>
  <c r="G1211" i="9"/>
  <c r="F1211" i="9"/>
  <c r="E1211" i="9"/>
  <c r="D1211" i="9"/>
  <c r="C1211" i="9"/>
  <c r="B1211" i="9"/>
  <c r="A1211" i="9"/>
  <c r="M1210" i="9"/>
  <c r="L1210" i="9"/>
  <c r="K1210" i="9"/>
  <c r="J1210" i="9"/>
  <c r="I1210" i="9"/>
  <c r="H1210" i="9"/>
  <c r="G1210" i="9"/>
  <c r="F1210" i="9"/>
  <c r="E1210" i="9"/>
  <c r="D1210" i="9"/>
  <c r="C1210" i="9"/>
  <c r="B1210" i="9"/>
  <c r="A1210" i="9"/>
  <c r="M1209" i="9"/>
  <c r="L1209" i="9"/>
  <c r="K1209" i="9"/>
  <c r="J1209" i="9"/>
  <c r="I1209" i="9"/>
  <c r="H1209" i="9"/>
  <c r="G1209" i="9"/>
  <c r="F1209" i="9"/>
  <c r="E1209" i="9"/>
  <c r="D1209" i="9"/>
  <c r="C1209" i="9"/>
  <c r="B1209" i="9"/>
  <c r="A1209" i="9"/>
  <c r="M1208" i="9"/>
  <c r="L1208" i="9"/>
  <c r="K1208" i="9"/>
  <c r="J1208" i="9"/>
  <c r="I1208" i="9"/>
  <c r="H1208" i="9"/>
  <c r="G1208" i="9"/>
  <c r="F1208" i="9"/>
  <c r="E1208" i="9"/>
  <c r="D1208" i="9"/>
  <c r="C1208" i="9"/>
  <c r="B1208" i="9"/>
  <c r="A1208" i="9"/>
  <c r="M1207" i="9"/>
  <c r="L1207" i="9"/>
  <c r="K1207" i="9"/>
  <c r="J1207" i="9"/>
  <c r="I1207" i="9"/>
  <c r="H1207" i="9"/>
  <c r="G1207" i="9"/>
  <c r="F1207" i="9"/>
  <c r="E1207" i="9"/>
  <c r="D1207" i="9"/>
  <c r="C1207" i="9"/>
  <c r="B1207" i="9"/>
  <c r="A1207" i="9"/>
  <c r="M1206" i="9"/>
  <c r="L1206" i="9"/>
  <c r="K1206" i="9"/>
  <c r="J1206" i="9"/>
  <c r="I1206" i="9"/>
  <c r="H1206" i="9"/>
  <c r="G1206" i="9"/>
  <c r="F1206" i="9"/>
  <c r="E1206" i="9"/>
  <c r="D1206" i="9"/>
  <c r="C1206" i="9"/>
  <c r="B1206" i="9"/>
  <c r="A1206" i="9"/>
  <c r="M1205" i="9"/>
  <c r="L1205" i="9"/>
  <c r="K1205" i="9"/>
  <c r="J1205" i="9"/>
  <c r="I1205" i="9"/>
  <c r="H1205" i="9"/>
  <c r="G1205" i="9"/>
  <c r="F1205" i="9"/>
  <c r="E1205" i="9"/>
  <c r="D1205" i="9"/>
  <c r="C1205" i="9"/>
  <c r="B1205" i="9"/>
  <c r="A1205" i="9"/>
  <c r="M1204" i="9"/>
  <c r="L1204" i="9"/>
  <c r="K1204" i="9"/>
  <c r="J1204" i="9"/>
  <c r="I1204" i="9"/>
  <c r="H1204" i="9"/>
  <c r="G1204" i="9"/>
  <c r="F1204" i="9"/>
  <c r="E1204" i="9"/>
  <c r="D1204" i="9"/>
  <c r="C1204" i="9"/>
  <c r="B1204" i="9"/>
  <c r="A1204" i="9"/>
  <c r="M1203" i="9"/>
  <c r="L1203" i="9"/>
  <c r="K1203" i="9"/>
  <c r="J1203" i="9"/>
  <c r="I1203" i="9"/>
  <c r="H1203" i="9"/>
  <c r="G1203" i="9"/>
  <c r="F1203" i="9"/>
  <c r="E1203" i="9"/>
  <c r="D1203" i="9"/>
  <c r="C1203" i="9"/>
  <c r="B1203" i="9"/>
  <c r="A1203" i="9"/>
  <c r="M1202" i="9"/>
  <c r="L1202" i="9"/>
  <c r="K1202" i="9"/>
  <c r="J1202" i="9"/>
  <c r="I1202" i="9"/>
  <c r="H1202" i="9"/>
  <c r="G1202" i="9"/>
  <c r="F1202" i="9"/>
  <c r="E1202" i="9"/>
  <c r="D1202" i="9"/>
  <c r="C1202" i="9"/>
  <c r="B1202" i="9"/>
  <c r="A1202" i="9"/>
  <c r="M1201" i="9"/>
  <c r="L1201" i="9"/>
  <c r="K1201" i="9"/>
  <c r="J1201" i="9"/>
  <c r="I1201" i="9"/>
  <c r="H1201" i="9"/>
  <c r="G1201" i="9"/>
  <c r="F1201" i="9"/>
  <c r="E1201" i="9"/>
  <c r="D1201" i="9"/>
  <c r="C1201" i="9"/>
  <c r="B1201" i="9"/>
  <c r="A1201" i="9"/>
  <c r="M1200" i="9"/>
  <c r="L1200" i="9"/>
  <c r="K1200" i="9"/>
  <c r="J1200" i="9"/>
  <c r="I1200" i="9"/>
  <c r="H1200" i="9"/>
  <c r="G1200" i="9"/>
  <c r="F1200" i="9"/>
  <c r="E1200" i="9"/>
  <c r="D1200" i="9"/>
  <c r="C1200" i="9"/>
  <c r="B1200" i="9"/>
  <c r="A1200" i="9"/>
  <c r="M1199" i="9"/>
  <c r="L1199" i="9"/>
  <c r="K1199" i="9"/>
  <c r="J1199" i="9"/>
  <c r="I1199" i="9"/>
  <c r="H1199" i="9"/>
  <c r="G1199" i="9"/>
  <c r="F1199" i="9"/>
  <c r="E1199" i="9"/>
  <c r="D1199" i="9"/>
  <c r="C1199" i="9"/>
  <c r="B1199" i="9"/>
  <c r="A1199" i="9"/>
  <c r="M1198" i="9"/>
  <c r="L1198" i="9"/>
  <c r="K1198" i="9"/>
  <c r="J1198" i="9"/>
  <c r="I1198" i="9"/>
  <c r="H1198" i="9"/>
  <c r="G1198" i="9"/>
  <c r="F1198" i="9"/>
  <c r="E1198" i="9"/>
  <c r="D1198" i="9"/>
  <c r="C1198" i="9"/>
  <c r="B1198" i="9"/>
  <c r="A1198" i="9"/>
  <c r="M1197" i="9"/>
  <c r="L1197" i="9"/>
  <c r="K1197" i="9"/>
  <c r="J1197" i="9"/>
  <c r="I1197" i="9"/>
  <c r="H1197" i="9"/>
  <c r="G1197" i="9"/>
  <c r="F1197" i="9"/>
  <c r="E1197" i="9"/>
  <c r="D1197" i="9"/>
  <c r="C1197" i="9"/>
  <c r="B1197" i="9"/>
  <c r="A1197" i="9"/>
  <c r="M1196" i="9"/>
  <c r="L1196" i="9"/>
  <c r="K1196" i="9"/>
  <c r="J1196" i="9"/>
  <c r="I1196" i="9"/>
  <c r="H1196" i="9"/>
  <c r="G1196" i="9"/>
  <c r="F1196" i="9"/>
  <c r="E1196" i="9"/>
  <c r="D1196" i="9"/>
  <c r="C1196" i="9"/>
  <c r="B1196" i="9"/>
  <c r="A1196" i="9"/>
  <c r="M1195" i="9"/>
  <c r="L1195" i="9"/>
  <c r="K1195" i="9"/>
  <c r="J1195" i="9"/>
  <c r="I1195" i="9"/>
  <c r="H1195" i="9"/>
  <c r="G1195" i="9"/>
  <c r="F1195" i="9"/>
  <c r="E1195" i="9"/>
  <c r="D1195" i="9"/>
  <c r="C1195" i="9"/>
  <c r="B1195" i="9"/>
  <c r="A1195" i="9"/>
  <c r="M1194" i="9"/>
  <c r="L1194" i="9"/>
  <c r="K1194" i="9"/>
  <c r="J1194" i="9"/>
  <c r="I1194" i="9"/>
  <c r="H1194" i="9"/>
  <c r="G1194" i="9"/>
  <c r="F1194" i="9"/>
  <c r="E1194" i="9"/>
  <c r="D1194" i="9"/>
  <c r="C1194" i="9"/>
  <c r="B1194" i="9"/>
  <c r="A1194" i="9"/>
  <c r="M1193" i="9"/>
  <c r="L1193" i="9"/>
  <c r="K1193" i="9"/>
  <c r="J1193" i="9"/>
  <c r="I1193" i="9"/>
  <c r="H1193" i="9"/>
  <c r="G1193" i="9"/>
  <c r="F1193" i="9"/>
  <c r="E1193" i="9"/>
  <c r="D1193" i="9"/>
  <c r="C1193" i="9"/>
  <c r="B1193" i="9"/>
  <c r="A1193" i="9"/>
  <c r="M1192" i="9"/>
  <c r="L1192" i="9"/>
  <c r="K1192" i="9"/>
  <c r="J1192" i="9"/>
  <c r="I1192" i="9"/>
  <c r="H1192" i="9"/>
  <c r="G1192" i="9"/>
  <c r="F1192" i="9"/>
  <c r="E1192" i="9"/>
  <c r="D1192" i="9"/>
  <c r="C1192" i="9"/>
  <c r="B1192" i="9"/>
  <c r="A1192" i="9"/>
  <c r="M1191" i="9"/>
  <c r="L1191" i="9"/>
  <c r="K1191" i="9"/>
  <c r="J1191" i="9"/>
  <c r="I1191" i="9"/>
  <c r="H1191" i="9"/>
  <c r="G1191" i="9"/>
  <c r="F1191" i="9"/>
  <c r="E1191" i="9"/>
  <c r="D1191" i="9"/>
  <c r="C1191" i="9"/>
  <c r="B1191" i="9"/>
  <c r="A1191" i="9"/>
  <c r="M1190" i="9"/>
  <c r="L1190" i="9"/>
  <c r="K1190" i="9"/>
  <c r="J1190" i="9"/>
  <c r="I1190" i="9"/>
  <c r="H1190" i="9"/>
  <c r="G1190" i="9"/>
  <c r="F1190" i="9"/>
  <c r="E1190" i="9"/>
  <c r="D1190" i="9"/>
  <c r="C1190" i="9"/>
  <c r="B1190" i="9"/>
  <c r="A1190" i="9"/>
  <c r="M1189" i="9"/>
  <c r="L1189" i="9"/>
  <c r="K1189" i="9"/>
  <c r="J1189" i="9"/>
  <c r="I1189" i="9"/>
  <c r="H1189" i="9"/>
  <c r="G1189" i="9"/>
  <c r="F1189" i="9"/>
  <c r="E1189" i="9"/>
  <c r="D1189" i="9"/>
  <c r="C1189" i="9"/>
  <c r="B1189" i="9"/>
  <c r="A1189" i="9"/>
  <c r="M1188" i="9"/>
  <c r="L1188" i="9"/>
  <c r="K1188" i="9"/>
  <c r="J1188" i="9"/>
  <c r="I1188" i="9"/>
  <c r="H1188" i="9"/>
  <c r="G1188" i="9"/>
  <c r="F1188" i="9"/>
  <c r="E1188" i="9"/>
  <c r="D1188" i="9"/>
  <c r="C1188" i="9"/>
  <c r="B1188" i="9"/>
  <c r="A1188" i="9"/>
  <c r="M1187" i="9"/>
  <c r="L1187" i="9"/>
  <c r="K1187" i="9"/>
  <c r="J1187" i="9"/>
  <c r="I1187" i="9"/>
  <c r="H1187" i="9"/>
  <c r="G1187" i="9"/>
  <c r="F1187" i="9"/>
  <c r="E1187" i="9"/>
  <c r="D1187" i="9"/>
  <c r="C1187" i="9"/>
  <c r="B1187" i="9"/>
  <c r="A1187" i="9"/>
  <c r="M1186" i="9"/>
  <c r="L1186" i="9"/>
  <c r="K1186" i="9"/>
  <c r="J1186" i="9"/>
  <c r="I1186" i="9"/>
  <c r="H1186" i="9"/>
  <c r="G1186" i="9"/>
  <c r="F1186" i="9"/>
  <c r="E1186" i="9"/>
  <c r="D1186" i="9"/>
  <c r="C1186" i="9"/>
  <c r="B1186" i="9"/>
  <c r="A1186" i="9"/>
  <c r="M1185" i="9"/>
  <c r="L1185" i="9"/>
  <c r="K1185" i="9"/>
  <c r="J1185" i="9"/>
  <c r="I1185" i="9"/>
  <c r="H1185" i="9"/>
  <c r="G1185" i="9"/>
  <c r="F1185" i="9"/>
  <c r="E1185" i="9"/>
  <c r="D1185" i="9"/>
  <c r="C1185" i="9"/>
  <c r="B1185" i="9"/>
  <c r="A1185" i="9"/>
  <c r="M1184" i="9"/>
  <c r="L1184" i="9"/>
  <c r="K1184" i="9"/>
  <c r="J1184" i="9"/>
  <c r="I1184" i="9"/>
  <c r="H1184" i="9"/>
  <c r="G1184" i="9"/>
  <c r="F1184" i="9"/>
  <c r="E1184" i="9"/>
  <c r="D1184" i="9"/>
  <c r="C1184" i="9"/>
  <c r="B1184" i="9"/>
  <c r="A1184" i="9"/>
  <c r="M1183" i="9"/>
  <c r="L1183" i="9"/>
  <c r="K1183" i="9"/>
  <c r="J1183" i="9"/>
  <c r="I1183" i="9"/>
  <c r="H1183" i="9"/>
  <c r="G1183" i="9"/>
  <c r="F1183" i="9"/>
  <c r="E1183" i="9"/>
  <c r="D1183" i="9"/>
  <c r="C1183" i="9"/>
  <c r="B1183" i="9"/>
  <c r="A1183" i="9"/>
  <c r="M1182" i="9"/>
  <c r="L1182" i="9"/>
  <c r="K1182" i="9"/>
  <c r="J1182" i="9"/>
  <c r="I1182" i="9"/>
  <c r="H1182" i="9"/>
  <c r="G1182" i="9"/>
  <c r="F1182" i="9"/>
  <c r="E1182" i="9"/>
  <c r="D1182" i="9"/>
  <c r="C1182" i="9"/>
  <c r="B1182" i="9"/>
  <c r="A1182" i="9"/>
  <c r="M1181" i="9"/>
  <c r="L1181" i="9"/>
  <c r="K1181" i="9"/>
  <c r="J1181" i="9"/>
  <c r="I1181" i="9"/>
  <c r="H1181" i="9"/>
  <c r="G1181" i="9"/>
  <c r="F1181" i="9"/>
  <c r="E1181" i="9"/>
  <c r="D1181" i="9"/>
  <c r="C1181" i="9"/>
  <c r="B1181" i="9"/>
  <c r="A1181" i="9"/>
  <c r="M1180" i="9"/>
  <c r="L1180" i="9"/>
  <c r="K1180" i="9"/>
  <c r="J1180" i="9"/>
  <c r="I1180" i="9"/>
  <c r="H1180" i="9"/>
  <c r="G1180" i="9"/>
  <c r="F1180" i="9"/>
  <c r="E1180" i="9"/>
  <c r="D1180" i="9"/>
  <c r="C1180" i="9"/>
  <c r="B1180" i="9"/>
  <c r="A1180" i="9"/>
  <c r="M1179" i="9"/>
  <c r="L1179" i="9"/>
  <c r="K1179" i="9"/>
  <c r="J1179" i="9"/>
  <c r="I1179" i="9"/>
  <c r="H1179" i="9"/>
  <c r="G1179" i="9"/>
  <c r="F1179" i="9"/>
  <c r="E1179" i="9"/>
  <c r="D1179" i="9"/>
  <c r="C1179" i="9"/>
  <c r="B1179" i="9"/>
  <c r="A1179" i="9"/>
  <c r="M1178" i="9"/>
  <c r="L1178" i="9"/>
  <c r="K1178" i="9"/>
  <c r="J1178" i="9"/>
  <c r="I1178" i="9"/>
  <c r="H1178" i="9"/>
  <c r="G1178" i="9"/>
  <c r="F1178" i="9"/>
  <c r="E1178" i="9"/>
  <c r="D1178" i="9"/>
  <c r="C1178" i="9"/>
  <c r="B1178" i="9"/>
  <c r="A1178" i="9"/>
  <c r="M1177" i="9"/>
  <c r="L1177" i="9"/>
  <c r="K1177" i="9"/>
  <c r="J1177" i="9"/>
  <c r="I1177" i="9"/>
  <c r="H1177" i="9"/>
  <c r="G1177" i="9"/>
  <c r="F1177" i="9"/>
  <c r="E1177" i="9"/>
  <c r="D1177" i="9"/>
  <c r="C1177" i="9"/>
  <c r="B1177" i="9"/>
  <c r="A1177" i="9"/>
  <c r="M1176" i="9"/>
  <c r="L1176" i="9"/>
  <c r="K1176" i="9"/>
  <c r="J1176" i="9"/>
  <c r="I1176" i="9"/>
  <c r="H1176" i="9"/>
  <c r="G1176" i="9"/>
  <c r="F1176" i="9"/>
  <c r="E1176" i="9"/>
  <c r="D1176" i="9"/>
  <c r="C1176" i="9"/>
  <c r="B1176" i="9"/>
  <c r="A1176" i="9"/>
  <c r="M1175" i="9"/>
  <c r="L1175" i="9"/>
  <c r="K1175" i="9"/>
  <c r="J1175" i="9"/>
  <c r="I1175" i="9"/>
  <c r="H1175" i="9"/>
  <c r="G1175" i="9"/>
  <c r="F1175" i="9"/>
  <c r="E1175" i="9"/>
  <c r="D1175" i="9"/>
  <c r="C1175" i="9"/>
  <c r="B1175" i="9"/>
  <c r="A1175" i="9"/>
  <c r="M1174" i="9"/>
  <c r="L1174" i="9"/>
  <c r="K1174" i="9"/>
  <c r="J1174" i="9"/>
  <c r="I1174" i="9"/>
  <c r="H1174" i="9"/>
  <c r="G1174" i="9"/>
  <c r="F1174" i="9"/>
  <c r="E1174" i="9"/>
  <c r="D1174" i="9"/>
  <c r="C1174" i="9"/>
  <c r="B1174" i="9"/>
  <c r="A1174" i="9"/>
  <c r="M1173" i="9"/>
  <c r="L1173" i="9"/>
  <c r="K1173" i="9"/>
  <c r="J1173" i="9"/>
  <c r="I1173" i="9"/>
  <c r="H1173" i="9"/>
  <c r="G1173" i="9"/>
  <c r="F1173" i="9"/>
  <c r="E1173" i="9"/>
  <c r="D1173" i="9"/>
  <c r="C1173" i="9"/>
  <c r="B1173" i="9"/>
  <c r="A1173" i="9"/>
  <c r="M1172" i="9"/>
  <c r="L1172" i="9"/>
  <c r="K1172" i="9"/>
  <c r="J1172" i="9"/>
  <c r="I1172" i="9"/>
  <c r="H1172" i="9"/>
  <c r="G1172" i="9"/>
  <c r="F1172" i="9"/>
  <c r="E1172" i="9"/>
  <c r="D1172" i="9"/>
  <c r="C1172" i="9"/>
  <c r="B1172" i="9"/>
  <c r="A1172" i="9"/>
  <c r="M1171" i="9"/>
  <c r="L1171" i="9"/>
  <c r="K1171" i="9"/>
  <c r="J1171" i="9"/>
  <c r="I1171" i="9"/>
  <c r="H1171" i="9"/>
  <c r="G1171" i="9"/>
  <c r="F1171" i="9"/>
  <c r="E1171" i="9"/>
  <c r="D1171" i="9"/>
  <c r="C1171" i="9"/>
  <c r="B1171" i="9"/>
  <c r="A1171" i="9"/>
  <c r="M1170" i="9"/>
  <c r="L1170" i="9"/>
  <c r="K1170" i="9"/>
  <c r="J1170" i="9"/>
  <c r="I1170" i="9"/>
  <c r="H1170" i="9"/>
  <c r="G1170" i="9"/>
  <c r="F1170" i="9"/>
  <c r="E1170" i="9"/>
  <c r="D1170" i="9"/>
  <c r="C1170" i="9"/>
  <c r="B1170" i="9"/>
  <c r="A1170" i="9"/>
  <c r="M1169" i="9"/>
  <c r="L1169" i="9"/>
  <c r="K1169" i="9"/>
  <c r="J1169" i="9"/>
  <c r="I1169" i="9"/>
  <c r="H1169" i="9"/>
  <c r="G1169" i="9"/>
  <c r="F1169" i="9"/>
  <c r="E1169" i="9"/>
  <c r="D1169" i="9"/>
  <c r="C1169" i="9"/>
  <c r="B1169" i="9"/>
  <c r="A1169" i="9"/>
  <c r="M1168" i="9"/>
  <c r="L1168" i="9"/>
  <c r="K1168" i="9"/>
  <c r="J1168" i="9"/>
  <c r="I1168" i="9"/>
  <c r="H1168" i="9"/>
  <c r="G1168" i="9"/>
  <c r="F1168" i="9"/>
  <c r="E1168" i="9"/>
  <c r="D1168" i="9"/>
  <c r="C1168" i="9"/>
  <c r="B1168" i="9"/>
  <c r="A1168" i="9"/>
  <c r="M1167" i="9"/>
  <c r="L1167" i="9"/>
  <c r="K1167" i="9"/>
  <c r="J1167" i="9"/>
  <c r="I1167" i="9"/>
  <c r="H1167" i="9"/>
  <c r="G1167" i="9"/>
  <c r="F1167" i="9"/>
  <c r="E1167" i="9"/>
  <c r="D1167" i="9"/>
  <c r="C1167" i="9"/>
  <c r="B1167" i="9"/>
  <c r="A1167" i="9"/>
  <c r="M1166" i="9"/>
  <c r="L1166" i="9"/>
  <c r="K1166" i="9"/>
  <c r="J1166" i="9"/>
  <c r="I1166" i="9"/>
  <c r="H1166" i="9"/>
  <c r="G1166" i="9"/>
  <c r="F1166" i="9"/>
  <c r="E1166" i="9"/>
  <c r="D1166" i="9"/>
  <c r="C1166" i="9"/>
  <c r="B1166" i="9"/>
  <c r="A1166" i="9"/>
  <c r="M1165" i="9"/>
  <c r="L1165" i="9"/>
  <c r="K1165" i="9"/>
  <c r="J1165" i="9"/>
  <c r="I1165" i="9"/>
  <c r="H1165" i="9"/>
  <c r="G1165" i="9"/>
  <c r="F1165" i="9"/>
  <c r="E1165" i="9"/>
  <c r="D1165" i="9"/>
  <c r="C1165" i="9"/>
  <c r="B1165" i="9"/>
  <c r="A1165" i="9"/>
  <c r="M1164" i="9"/>
  <c r="L1164" i="9"/>
  <c r="K1164" i="9"/>
  <c r="J1164" i="9"/>
  <c r="I1164" i="9"/>
  <c r="H1164" i="9"/>
  <c r="G1164" i="9"/>
  <c r="F1164" i="9"/>
  <c r="E1164" i="9"/>
  <c r="D1164" i="9"/>
  <c r="C1164" i="9"/>
  <c r="B1164" i="9"/>
  <c r="A1164" i="9"/>
  <c r="M1163" i="9"/>
  <c r="L1163" i="9"/>
  <c r="K1163" i="9"/>
  <c r="J1163" i="9"/>
  <c r="I1163" i="9"/>
  <c r="H1163" i="9"/>
  <c r="G1163" i="9"/>
  <c r="F1163" i="9"/>
  <c r="E1163" i="9"/>
  <c r="D1163" i="9"/>
  <c r="C1163" i="9"/>
  <c r="B1163" i="9"/>
  <c r="A1163" i="9"/>
  <c r="M1162" i="9"/>
  <c r="L1162" i="9"/>
  <c r="K1162" i="9"/>
  <c r="J1162" i="9"/>
  <c r="I1162" i="9"/>
  <c r="H1162" i="9"/>
  <c r="G1162" i="9"/>
  <c r="F1162" i="9"/>
  <c r="E1162" i="9"/>
  <c r="D1162" i="9"/>
  <c r="C1162" i="9"/>
  <c r="B1162" i="9"/>
  <c r="A1162" i="9"/>
  <c r="M1161" i="9"/>
  <c r="L1161" i="9"/>
  <c r="K1161" i="9"/>
  <c r="J1161" i="9"/>
  <c r="I1161" i="9"/>
  <c r="H1161" i="9"/>
  <c r="G1161" i="9"/>
  <c r="F1161" i="9"/>
  <c r="E1161" i="9"/>
  <c r="D1161" i="9"/>
  <c r="C1161" i="9"/>
  <c r="B1161" i="9"/>
  <c r="A1161" i="9"/>
  <c r="M1160" i="9"/>
  <c r="L1160" i="9"/>
  <c r="K1160" i="9"/>
  <c r="J1160" i="9"/>
  <c r="I1160" i="9"/>
  <c r="H1160" i="9"/>
  <c r="G1160" i="9"/>
  <c r="F1160" i="9"/>
  <c r="E1160" i="9"/>
  <c r="D1160" i="9"/>
  <c r="C1160" i="9"/>
  <c r="B1160" i="9"/>
  <c r="A1160" i="9"/>
  <c r="M1159" i="9"/>
  <c r="L1159" i="9"/>
  <c r="K1159" i="9"/>
  <c r="J1159" i="9"/>
  <c r="I1159" i="9"/>
  <c r="H1159" i="9"/>
  <c r="G1159" i="9"/>
  <c r="F1159" i="9"/>
  <c r="E1159" i="9"/>
  <c r="D1159" i="9"/>
  <c r="C1159" i="9"/>
  <c r="B1159" i="9"/>
  <c r="A1159" i="9"/>
  <c r="M1158" i="9"/>
  <c r="L1158" i="9"/>
  <c r="K1158" i="9"/>
  <c r="J1158" i="9"/>
  <c r="I1158" i="9"/>
  <c r="H1158" i="9"/>
  <c r="G1158" i="9"/>
  <c r="F1158" i="9"/>
  <c r="E1158" i="9"/>
  <c r="D1158" i="9"/>
  <c r="C1158" i="9"/>
  <c r="B1158" i="9"/>
  <c r="A1158" i="9"/>
  <c r="M1157" i="9"/>
  <c r="L1157" i="9"/>
  <c r="K1157" i="9"/>
  <c r="J1157" i="9"/>
  <c r="I1157" i="9"/>
  <c r="H1157" i="9"/>
  <c r="G1157" i="9"/>
  <c r="F1157" i="9"/>
  <c r="E1157" i="9"/>
  <c r="D1157" i="9"/>
  <c r="C1157" i="9"/>
  <c r="B1157" i="9"/>
  <c r="A1157" i="9"/>
  <c r="M1156" i="9"/>
  <c r="L1156" i="9"/>
  <c r="K1156" i="9"/>
  <c r="J1156" i="9"/>
  <c r="I1156" i="9"/>
  <c r="H1156" i="9"/>
  <c r="G1156" i="9"/>
  <c r="F1156" i="9"/>
  <c r="E1156" i="9"/>
  <c r="D1156" i="9"/>
  <c r="C1156" i="9"/>
  <c r="B1156" i="9"/>
  <c r="A1156" i="9"/>
  <c r="M1155" i="9"/>
  <c r="L1155" i="9"/>
  <c r="K1155" i="9"/>
  <c r="J1155" i="9"/>
  <c r="I1155" i="9"/>
  <c r="H1155" i="9"/>
  <c r="G1155" i="9"/>
  <c r="F1155" i="9"/>
  <c r="E1155" i="9"/>
  <c r="D1155" i="9"/>
  <c r="C1155" i="9"/>
  <c r="B1155" i="9"/>
  <c r="A1155" i="9"/>
  <c r="M1154" i="9"/>
  <c r="L1154" i="9"/>
  <c r="K1154" i="9"/>
  <c r="J1154" i="9"/>
  <c r="I1154" i="9"/>
  <c r="H1154" i="9"/>
  <c r="G1154" i="9"/>
  <c r="F1154" i="9"/>
  <c r="E1154" i="9"/>
  <c r="D1154" i="9"/>
  <c r="C1154" i="9"/>
  <c r="B1154" i="9"/>
  <c r="A1154" i="9"/>
  <c r="M1153" i="9"/>
  <c r="L1153" i="9"/>
  <c r="K1153" i="9"/>
  <c r="J1153" i="9"/>
  <c r="I1153" i="9"/>
  <c r="H1153" i="9"/>
  <c r="G1153" i="9"/>
  <c r="F1153" i="9"/>
  <c r="E1153" i="9"/>
  <c r="D1153" i="9"/>
  <c r="C1153" i="9"/>
  <c r="B1153" i="9"/>
  <c r="A1153" i="9"/>
  <c r="M1152" i="9"/>
  <c r="L1152" i="9"/>
  <c r="K1152" i="9"/>
  <c r="J1152" i="9"/>
  <c r="I1152" i="9"/>
  <c r="H1152" i="9"/>
  <c r="G1152" i="9"/>
  <c r="F1152" i="9"/>
  <c r="E1152" i="9"/>
  <c r="D1152" i="9"/>
  <c r="C1152" i="9"/>
  <c r="B1152" i="9"/>
  <c r="A1152" i="9"/>
  <c r="M1151" i="9"/>
  <c r="L1151" i="9"/>
  <c r="K1151" i="9"/>
  <c r="J1151" i="9"/>
  <c r="I1151" i="9"/>
  <c r="H1151" i="9"/>
  <c r="G1151" i="9"/>
  <c r="F1151" i="9"/>
  <c r="E1151" i="9"/>
  <c r="D1151" i="9"/>
  <c r="C1151" i="9"/>
  <c r="B1151" i="9"/>
  <c r="A1151" i="9"/>
  <c r="M1150" i="9"/>
  <c r="L1150" i="9"/>
  <c r="K1150" i="9"/>
  <c r="J1150" i="9"/>
  <c r="I1150" i="9"/>
  <c r="H1150" i="9"/>
  <c r="G1150" i="9"/>
  <c r="F1150" i="9"/>
  <c r="E1150" i="9"/>
  <c r="D1150" i="9"/>
  <c r="C1150" i="9"/>
  <c r="B1150" i="9"/>
  <c r="A1150" i="9"/>
  <c r="M1149" i="9"/>
  <c r="L1149" i="9"/>
  <c r="K1149" i="9"/>
  <c r="J1149" i="9"/>
  <c r="I1149" i="9"/>
  <c r="H1149" i="9"/>
  <c r="G1149" i="9"/>
  <c r="F1149" i="9"/>
  <c r="E1149" i="9"/>
  <c r="D1149" i="9"/>
  <c r="C1149" i="9"/>
  <c r="B1149" i="9"/>
  <c r="A1149" i="9"/>
  <c r="M1148" i="9"/>
  <c r="L1148" i="9"/>
  <c r="K1148" i="9"/>
  <c r="J1148" i="9"/>
  <c r="I1148" i="9"/>
  <c r="H1148" i="9"/>
  <c r="G1148" i="9"/>
  <c r="F1148" i="9"/>
  <c r="E1148" i="9"/>
  <c r="D1148" i="9"/>
  <c r="C1148" i="9"/>
  <c r="B1148" i="9"/>
  <c r="A1148" i="9"/>
  <c r="M1147" i="9"/>
  <c r="L1147" i="9"/>
  <c r="K1147" i="9"/>
  <c r="J1147" i="9"/>
  <c r="I1147" i="9"/>
  <c r="H1147" i="9"/>
  <c r="G1147" i="9"/>
  <c r="F1147" i="9"/>
  <c r="E1147" i="9"/>
  <c r="D1147" i="9"/>
  <c r="C1147" i="9"/>
  <c r="B1147" i="9"/>
  <c r="A1147" i="9"/>
  <c r="M1146" i="9"/>
  <c r="L1146" i="9"/>
  <c r="K1146" i="9"/>
  <c r="J1146" i="9"/>
  <c r="I1146" i="9"/>
  <c r="H1146" i="9"/>
  <c r="G1146" i="9"/>
  <c r="F1146" i="9"/>
  <c r="E1146" i="9"/>
  <c r="D1146" i="9"/>
  <c r="C1146" i="9"/>
  <c r="B1146" i="9"/>
  <c r="A1146" i="9"/>
  <c r="M1145" i="9"/>
  <c r="L1145" i="9"/>
  <c r="K1145" i="9"/>
  <c r="J1145" i="9"/>
  <c r="I1145" i="9"/>
  <c r="H1145" i="9"/>
  <c r="G1145" i="9"/>
  <c r="F1145" i="9"/>
  <c r="E1145" i="9"/>
  <c r="D1145" i="9"/>
  <c r="C1145" i="9"/>
  <c r="B1145" i="9"/>
  <c r="A1145" i="9"/>
  <c r="M1144" i="9"/>
  <c r="L1144" i="9"/>
  <c r="K1144" i="9"/>
  <c r="J1144" i="9"/>
  <c r="I1144" i="9"/>
  <c r="H1144" i="9"/>
  <c r="G1144" i="9"/>
  <c r="F1144" i="9"/>
  <c r="E1144" i="9"/>
  <c r="D1144" i="9"/>
  <c r="C1144" i="9"/>
  <c r="B1144" i="9"/>
  <c r="A1144" i="9"/>
  <c r="M1143" i="9"/>
  <c r="L1143" i="9"/>
  <c r="K1143" i="9"/>
  <c r="J1143" i="9"/>
  <c r="I1143" i="9"/>
  <c r="H1143" i="9"/>
  <c r="G1143" i="9"/>
  <c r="F1143" i="9"/>
  <c r="E1143" i="9"/>
  <c r="D1143" i="9"/>
  <c r="C1143" i="9"/>
  <c r="B1143" i="9"/>
  <c r="A1143" i="9"/>
  <c r="M1142" i="9"/>
  <c r="L1142" i="9"/>
  <c r="K1142" i="9"/>
  <c r="J1142" i="9"/>
  <c r="I1142" i="9"/>
  <c r="H1142" i="9"/>
  <c r="G1142" i="9"/>
  <c r="F1142" i="9"/>
  <c r="E1142" i="9"/>
  <c r="D1142" i="9"/>
  <c r="C1142" i="9"/>
  <c r="B1142" i="9"/>
  <c r="A1142" i="9"/>
  <c r="M1141" i="9"/>
  <c r="L1141" i="9"/>
  <c r="K1141" i="9"/>
  <c r="J1141" i="9"/>
  <c r="I1141" i="9"/>
  <c r="H1141" i="9"/>
  <c r="G1141" i="9"/>
  <c r="F1141" i="9"/>
  <c r="E1141" i="9"/>
  <c r="D1141" i="9"/>
  <c r="C1141" i="9"/>
  <c r="B1141" i="9"/>
  <c r="A1141" i="9"/>
  <c r="M1140" i="9"/>
  <c r="L1140" i="9"/>
  <c r="K1140" i="9"/>
  <c r="J1140" i="9"/>
  <c r="I1140" i="9"/>
  <c r="H1140" i="9"/>
  <c r="G1140" i="9"/>
  <c r="F1140" i="9"/>
  <c r="E1140" i="9"/>
  <c r="D1140" i="9"/>
  <c r="C1140" i="9"/>
  <c r="B1140" i="9"/>
  <c r="A1140" i="9"/>
  <c r="M1139" i="9"/>
  <c r="L1139" i="9"/>
  <c r="K1139" i="9"/>
  <c r="J1139" i="9"/>
  <c r="I1139" i="9"/>
  <c r="H1139" i="9"/>
  <c r="G1139" i="9"/>
  <c r="F1139" i="9"/>
  <c r="E1139" i="9"/>
  <c r="D1139" i="9"/>
  <c r="C1139" i="9"/>
  <c r="B1139" i="9"/>
  <c r="A1139" i="9"/>
  <c r="M1138" i="9"/>
  <c r="L1138" i="9"/>
  <c r="K1138" i="9"/>
  <c r="J1138" i="9"/>
  <c r="I1138" i="9"/>
  <c r="H1138" i="9"/>
  <c r="G1138" i="9"/>
  <c r="F1138" i="9"/>
  <c r="E1138" i="9"/>
  <c r="D1138" i="9"/>
  <c r="C1138" i="9"/>
  <c r="B1138" i="9"/>
  <c r="A1138" i="9"/>
  <c r="M1137" i="9"/>
  <c r="L1137" i="9"/>
  <c r="K1137" i="9"/>
  <c r="J1137" i="9"/>
  <c r="I1137" i="9"/>
  <c r="H1137" i="9"/>
  <c r="G1137" i="9"/>
  <c r="F1137" i="9"/>
  <c r="E1137" i="9"/>
  <c r="D1137" i="9"/>
  <c r="C1137" i="9"/>
  <c r="B1137" i="9"/>
  <c r="A1137" i="9"/>
  <c r="M1136" i="9"/>
  <c r="L1136" i="9"/>
  <c r="K1136" i="9"/>
  <c r="J1136" i="9"/>
  <c r="I1136" i="9"/>
  <c r="H1136" i="9"/>
  <c r="G1136" i="9"/>
  <c r="F1136" i="9"/>
  <c r="E1136" i="9"/>
  <c r="D1136" i="9"/>
  <c r="C1136" i="9"/>
  <c r="B1136" i="9"/>
  <c r="A1136" i="9"/>
  <c r="M1135" i="9"/>
  <c r="L1135" i="9"/>
  <c r="K1135" i="9"/>
  <c r="J1135" i="9"/>
  <c r="I1135" i="9"/>
  <c r="H1135" i="9"/>
  <c r="G1135" i="9"/>
  <c r="F1135" i="9"/>
  <c r="E1135" i="9"/>
  <c r="D1135" i="9"/>
  <c r="C1135" i="9"/>
  <c r="B1135" i="9"/>
  <c r="A1135" i="9"/>
  <c r="M1134" i="9"/>
  <c r="L1134" i="9"/>
  <c r="K1134" i="9"/>
  <c r="J1134" i="9"/>
  <c r="I1134" i="9"/>
  <c r="H1134" i="9"/>
  <c r="G1134" i="9"/>
  <c r="F1134" i="9"/>
  <c r="E1134" i="9"/>
  <c r="D1134" i="9"/>
  <c r="C1134" i="9"/>
  <c r="B1134" i="9"/>
  <c r="A1134" i="9"/>
  <c r="M1133" i="9"/>
  <c r="L1133" i="9"/>
  <c r="K1133" i="9"/>
  <c r="J1133" i="9"/>
  <c r="I1133" i="9"/>
  <c r="H1133" i="9"/>
  <c r="G1133" i="9"/>
  <c r="F1133" i="9"/>
  <c r="E1133" i="9"/>
  <c r="D1133" i="9"/>
  <c r="C1133" i="9"/>
  <c r="B1133" i="9"/>
  <c r="A1133" i="9"/>
  <c r="M1132" i="9"/>
  <c r="L1132" i="9"/>
  <c r="K1132" i="9"/>
  <c r="J1132" i="9"/>
  <c r="I1132" i="9"/>
  <c r="H1132" i="9"/>
  <c r="G1132" i="9"/>
  <c r="F1132" i="9"/>
  <c r="E1132" i="9"/>
  <c r="D1132" i="9"/>
  <c r="C1132" i="9"/>
  <c r="B1132" i="9"/>
  <c r="A1132" i="9"/>
  <c r="M1131" i="9"/>
  <c r="L1131" i="9"/>
  <c r="K1131" i="9"/>
  <c r="J1131" i="9"/>
  <c r="I1131" i="9"/>
  <c r="H1131" i="9"/>
  <c r="G1131" i="9"/>
  <c r="F1131" i="9"/>
  <c r="E1131" i="9"/>
  <c r="D1131" i="9"/>
  <c r="C1131" i="9"/>
  <c r="B1131" i="9"/>
  <c r="A1131" i="9"/>
  <c r="M1130" i="9"/>
  <c r="L1130" i="9"/>
  <c r="K1130" i="9"/>
  <c r="J1130" i="9"/>
  <c r="I1130" i="9"/>
  <c r="H1130" i="9"/>
  <c r="G1130" i="9"/>
  <c r="F1130" i="9"/>
  <c r="E1130" i="9"/>
  <c r="D1130" i="9"/>
  <c r="C1130" i="9"/>
  <c r="B1130" i="9"/>
  <c r="A1130" i="9"/>
  <c r="M1129" i="9"/>
  <c r="L1129" i="9"/>
  <c r="K1129" i="9"/>
  <c r="J1129" i="9"/>
  <c r="I1129" i="9"/>
  <c r="H1129" i="9"/>
  <c r="G1129" i="9"/>
  <c r="F1129" i="9"/>
  <c r="E1129" i="9"/>
  <c r="D1129" i="9"/>
  <c r="C1129" i="9"/>
  <c r="B1129" i="9"/>
  <c r="A1129" i="9"/>
  <c r="M1128" i="9"/>
  <c r="L1128" i="9"/>
  <c r="K1128" i="9"/>
  <c r="J1128" i="9"/>
  <c r="I1128" i="9"/>
  <c r="H1128" i="9"/>
  <c r="G1128" i="9"/>
  <c r="F1128" i="9"/>
  <c r="E1128" i="9"/>
  <c r="D1128" i="9"/>
  <c r="C1128" i="9"/>
  <c r="B1128" i="9"/>
  <c r="A1128" i="9"/>
  <c r="M1127" i="9"/>
  <c r="L1127" i="9"/>
  <c r="K1127" i="9"/>
  <c r="J1127" i="9"/>
  <c r="I1127" i="9"/>
  <c r="H1127" i="9"/>
  <c r="G1127" i="9"/>
  <c r="F1127" i="9"/>
  <c r="E1127" i="9"/>
  <c r="D1127" i="9"/>
  <c r="C1127" i="9"/>
  <c r="B1127" i="9"/>
  <c r="A1127" i="9"/>
  <c r="M1126" i="9"/>
  <c r="L1126" i="9"/>
  <c r="K1126" i="9"/>
  <c r="J1126" i="9"/>
  <c r="I1126" i="9"/>
  <c r="H1126" i="9"/>
  <c r="G1126" i="9"/>
  <c r="F1126" i="9"/>
  <c r="E1126" i="9"/>
  <c r="D1126" i="9"/>
  <c r="C1126" i="9"/>
  <c r="B1126" i="9"/>
  <c r="A1126" i="9"/>
  <c r="M1125" i="9"/>
  <c r="L1125" i="9"/>
  <c r="K1125" i="9"/>
  <c r="J1125" i="9"/>
  <c r="I1125" i="9"/>
  <c r="H1125" i="9"/>
  <c r="G1125" i="9"/>
  <c r="F1125" i="9"/>
  <c r="E1125" i="9"/>
  <c r="D1125" i="9"/>
  <c r="C1125" i="9"/>
  <c r="B1125" i="9"/>
  <c r="A1125" i="9"/>
  <c r="M1124" i="9"/>
  <c r="L1124" i="9"/>
  <c r="K1124" i="9"/>
  <c r="J1124" i="9"/>
  <c r="I1124" i="9"/>
  <c r="H1124" i="9"/>
  <c r="G1124" i="9"/>
  <c r="F1124" i="9"/>
  <c r="E1124" i="9"/>
  <c r="D1124" i="9"/>
  <c r="C1124" i="9"/>
  <c r="B1124" i="9"/>
  <c r="A1124" i="9"/>
  <c r="M1123" i="9"/>
  <c r="L1123" i="9"/>
  <c r="K1123" i="9"/>
  <c r="J1123" i="9"/>
  <c r="I1123" i="9"/>
  <c r="H1123" i="9"/>
  <c r="G1123" i="9"/>
  <c r="F1123" i="9"/>
  <c r="E1123" i="9"/>
  <c r="D1123" i="9"/>
  <c r="C1123" i="9"/>
  <c r="B1123" i="9"/>
  <c r="A1123" i="9"/>
  <c r="M1122" i="9"/>
  <c r="L1122" i="9"/>
  <c r="K1122" i="9"/>
  <c r="J1122" i="9"/>
  <c r="I1122" i="9"/>
  <c r="H1122" i="9"/>
  <c r="G1122" i="9"/>
  <c r="F1122" i="9"/>
  <c r="E1122" i="9"/>
  <c r="D1122" i="9"/>
  <c r="C1122" i="9"/>
  <c r="B1122" i="9"/>
  <c r="A1122" i="9"/>
  <c r="M1121" i="9"/>
  <c r="L1121" i="9"/>
  <c r="K1121" i="9"/>
  <c r="J1121" i="9"/>
  <c r="I1121" i="9"/>
  <c r="H1121" i="9"/>
  <c r="G1121" i="9"/>
  <c r="F1121" i="9"/>
  <c r="E1121" i="9"/>
  <c r="D1121" i="9"/>
  <c r="C1121" i="9"/>
  <c r="B1121" i="9"/>
  <c r="A1121" i="9"/>
  <c r="M1120" i="9"/>
  <c r="L1120" i="9"/>
  <c r="K1120" i="9"/>
  <c r="J1120" i="9"/>
  <c r="I1120" i="9"/>
  <c r="H1120" i="9"/>
  <c r="G1120" i="9"/>
  <c r="F1120" i="9"/>
  <c r="E1120" i="9"/>
  <c r="D1120" i="9"/>
  <c r="C1120" i="9"/>
  <c r="B1120" i="9"/>
  <c r="A1120" i="9"/>
  <c r="M1119" i="9"/>
  <c r="L1119" i="9"/>
  <c r="K1119" i="9"/>
  <c r="J1119" i="9"/>
  <c r="I1119" i="9"/>
  <c r="H1119" i="9"/>
  <c r="G1119" i="9"/>
  <c r="F1119" i="9"/>
  <c r="E1119" i="9"/>
  <c r="D1119" i="9"/>
  <c r="C1119" i="9"/>
  <c r="B1119" i="9"/>
  <c r="A1119" i="9"/>
  <c r="M1118" i="9"/>
  <c r="L1118" i="9"/>
  <c r="K1118" i="9"/>
  <c r="J1118" i="9"/>
  <c r="I1118" i="9"/>
  <c r="H1118" i="9"/>
  <c r="G1118" i="9"/>
  <c r="F1118" i="9"/>
  <c r="E1118" i="9"/>
  <c r="D1118" i="9"/>
  <c r="C1118" i="9"/>
  <c r="B1118" i="9"/>
  <c r="A1118" i="9"/>
  <c r="M1117" i="9"/>
  <c r="L1117" i="9"/>
  <c r="K1117" i="9"/>
  <c r="J1117" i="9"/>
  <c r="I1117" i="9"/>
  <c r="H1117" i="9"/>
  <c r="G1117" i="9"/>
  <c r="F1117" i="9"/>
  <c r="E1117" i="9"/>
  <c r="D1117" i="9"/>
  <c r="C1117" i="9"/>
  <c r="B1117" i="9"/>
  <c r="A1117" i="9"/>
  <c r="M1116" i="9"/>
  <c r="L1116" i="9"/>
  <c r="K1116" i="9"/>
  <c r="J1116" i="9"/>
  <c r="I1116" i="9"/>
  <c r="H1116" i="9"/>
  <c r="G1116" i="9"/>
  <c r="F1116" i="9"/>
  <c r="E1116" i="9"/>
  <c r="D1116" i="9"/>
  <c r="C1116" i="9"/>
  <c r="B1116" i="9"/>
  <c r="A1116" i="9"/>
  <c r="M1115" i="9"/>
  <c r="L1115" i="9"/>
  <c r="K1115" i="9"/>
  <c r="J1115" i="9"/>
  <c r="I1115" i="9"/>
  <c r="H1115" i="9"/>
  <c r="G1115" i="9"/>
  <c r="F1115" i="9"/>
  <c r="E1115" i="9"/>
  <c r="D1115" i="9"/>
  <c r="C1115" i="9"/>
  <c r="B1115" i="9"/>
  <c r="A1115" i="9"/>
  <c r="M1114" i="9"/>
  <c r="L1114" i="9"/>
  <c r="K1114" i="9"/>
  <c r="J1114" i="9"/>
  <c r="I1114" i="9"/>
  <c r="H1114" i="9"/>
  <c r="G1114" i="9"/>
  <c r="F1114" i="9"/>
  <c r="E1114" i="9"/>
  <c r="D1114" i="9"/>
  <c r="C1114" i="9"/>
  <c r="B1114" i="9"/>
  <c r="A1114" i="9"/>
  <c r="M1113" i="9"/>
  <c r="L1113" i="9"/>
  <c r="K1113" i="9"/>
  <c r="J1113" i="9"/>
  <c r="I1113" i="9"/>
  <c r="H1113" i="9"/>
  <c r="G1113" i="9"/>
  <c r="F1113" i="9"/>
  <c r="E1113" i="9"/>
  <c r="D1113" i="9"/>
  <c r="C1113" i="9"/>
  <c r="B1113" i="9"/>
  <c r="A1113" i="9"/>
  <c r="M1112" i="9"/>
  <c r="L1112" i="9"/>
  <c r="K1112" i="9"/>
  <c r="J1112" i="9"/>
  <c r="I1112" i="9"/>
  <c r="H1112" i="9"/>
  <c r="G1112" i="9"/>
  <c r="F1112" i="9"/>
  <c r="E1112" i="9"/>
  <c r="D1112" i="9"/>
  <c r="C1112" i="9"/>
  <c r="B1112" i="9"/>
  <c r="A1112" i="9"/>
  <c r="M1111" i="9"/>
  <c r="L1111" i="9"/>
  <c r="K1111" i="9"/>
  <c r="J1111" i="9"/>
  <c r="I1111" i="9"/>
  <c r="H1111" i="9"/>
  <c r="G1111" i="9"/>
  <c r="F1111" i="9"/>
  <c r="E1111" i="9"/>
  <c r="D1111" i="9"/>
  <c r="C1111" i="9"/>
  <c r="B1111" i="9"/>
  <c r="A1111" i="9"/>
  <c r="M1110" i="9"/>
  <c r="L1110" i="9"/>
  <c r="K1110" i="9"/>
  <c r="J1110" i="9"/>
  <c r="I1110" i="9"/>
  <c r="H1110" i="9"/>
  <c r="G1110" i="9"/>
  <c r="F1110" i="9"/>
  <c r="E1110" i="9"/>
  <c r="D1110" i="9"/>
  <c r="C1110" i="9"/>
  <c r="B1110" i="9"/>
  <c r="A1110" i="9"/>
  <c r="M1109" i="9"/>
  <c r="L1109" i="9"/>
  <c r="K1109" i="9"/>
  <c r="J1109" i="9"/>
  <c r="I1109" i="9"/>
  <c r="H1109" i="9"/>
  <c r="G1109" i="9"/>
  <c r="F1109" i="9"/>
  <c r="E1109" i="9"/>
  <c r="D1109" i="9"/>
  <c r="C1109" i="9"/>
  <c r="B1109" i="9"/>
  <c r="A1109" i="9"/>
  <c r="M1108" i="9"/>
  <c r="L1108" i="9"/>
  <c r="K1108" i="9"/>
  <c r="J1108" i="9"/>
  <c r="I1108" i="9"/>
  <c r="H1108" i="9"/>
  <c r="G1108" i="9"/>
  <c r="F1108" i="9"/>
  <c r="E1108" i="9"/>
  <c r="D1108" i="9"/>
  <c r="C1108" i="9"/>
  <c r="B1108" i="9"/>
  <c r="A1108" i="9"/>
  <c r="M1107" i="9"/>
  <c r="L1107" i="9"/>
  <c r="K1107" i="9"/>
  <c r="J1107" i="9"/>
  <c r="I1107" i="9"/>
  <c r="H1107" i="9"/>
  <c r="G1107" i="9"/>
  <c r="F1107" i="9"/>
  <c r="E1107" i="9"/>
  <c r="D1107" i="9"/>
  <c r="C1107" i="9"/>
  <c r="B1107" i="9"/>
  <c r="A1107" i="9"/>
  <c r="M1106" i="9"/>
  <c r="L1106" i="9"/>
  <c r="K1106" i="9"/>
  <c r="J1106" i="9"/>
  <c r="I1106" i="9"/>
  <c r="H1106" i="9"/>
  <c r="G1106" i="9"/>
  <c r="F1106" i="9"/>
  <c r="E1106" i="9"/>
  <c r="D1106" i="9"/>
  <c r="C1106" i="9"/>
  <c r="B1106" i="9"/>
  <c r="A1106" i="9"/>
  <c r="M1105" i="9"/>
  <c r="L1105" i="9"/>
  <c r="K1105" i="9"/>
  <c r="J1105" i="9"/>
  <c r="I1105" i="9"/>
  <c r="H1105" i="9"/>
  <c r="G1105" i="9"/>
  <c r="F1105" i="9"/>
  <c r="E1105" i="9"/>
  <c r="D1105" i="9"/>
  <c r="C1105" i="9"/>
  <c r="B1105" i="9"/>
  <c r="A1105" i="9"/>
  <c r="M1104" i="9"/>
  <c r="L1104" i="9"/>
  <c r="K1104" i="9"/>
  <c r="J1104" i="9"/>
  <c r="I1104" i="9"/>
  <c r="H1104" i="9"/>
  <c r="G1104" i="9"/>
  <c r="F1104" i="9"/>
  <c r="E1104" i="9"/>
  <c r="D1104" i="9"/>
  <c r="C1104" i="9"/>
  <c r="B1104" i="9"/>
  <c r="A1104" i="9"/>
  <c r="M1103" i="9"/>
  <c r="L1103" i="9"/>
  <c r="K1103" i="9"/>
  <c r="J1103" i="9"/>
  <c r="I1103" i="9"/>
  <c r="H1103" i="9"/>
  <c r="G1103" i="9"/>
  <c r="F1103" i="9"/>
  <c r="E1103" i="9"/>
  <c r="D1103" i="9"/>
  <c r="C1103" i="9"/>
  <c r="B1103" i="9"/>
  <c r="A1103" i="9"/>
  <c r="M1102" i="9"/>
  <c r="L1102" i="9"/>
  <c r="K1102" i="9"/>
  <c r="J1102" i="9"/>
  <c r="I1102" i="9"/>
  <c r="H1102" i="9"/>
  <c r="G1102" i="9"/>
  <c r="F1102" i="9"/>
  <c r="E1102" i="9"/>
  <c r="D1102" i="9"/>
  <c r="C1102" i="9"/>
  <c r="B1102" i="9"/>
  <c r="A1102" i="9"/>
  <c r="M1101" i="9"/>
  <c r="L1101" i="9"/>
  <c r="K1101" i="9"/>
  <c r="J1101" i="9"/>
  <c r="I1101" i="9"/>
  <c r="H1101" i="9"/>
  <c r="G1101" i="9"/>
  <c r="F1101" i="9"/>
  <c r="E1101" i="9"/>
  <c r="D1101" i="9"/>
  <c r="C1101" i="9"/>
  <c r="B1101" i="9"/>
  <c r="A1101" i="9"/>
  <c r="M1100" i="9"/>
  <c r="L1100" i="9"/>
  <c r="K1100" i="9"/>
  <c r="J1100" i="9"/>
  <c r="I1100" i="9"/>
  <c r="H1100" i="9"/>
  <c r="G1100" i="9"/>
  <c r="F1100" i="9"/>
  <c r="E1100" i="9"/>
  <c r="D1100" i="9"/>
  <c r="C1100" i="9"/>
  <c r="B1100" i="9"/>
  <c r="A1100" i="9"/>
  <c r="M1099" i="9"/>
  <c r="L1099" i="9"/>
  <c r="K1099" i="9"/>
  <c r="J1099" i="9"/>
  <c r="I1099" i="9"/>
  <c r="H1099" i="9"/>
  <c r="G1099" i="9"/>
  <c r="F1099" i="9"/>
  <c r="E1099" i="9"/>
  <c r="D1099" i="9"/>
  <c r="C1099" i="9"/>
  <c r="B1099" i="9"/>
  <c r="A1099" i="9"/>
  <c r="M1098" i="9"/>
  <c r="L1098" i="9"/>
  <c r="K1098" i="9"/>
  <c r="J1098" i="9"/>
  <c r="I1098" i="9"/>
  <c r="H1098" i="9"/>
  <c r="G1098" i="9"/>
  <c r="F1098" i="9"/>
  <c r="E1098" i="9"/>
  <c r="D1098" i="9"/>
  <c r="C1098" i="9"/>
  <c r="B1098" i="9"/>
  <c r="A1098" i="9"/>
  <c r="M1097" i="9"/>
  <c r="L1097" i="9"/>
  <c r="K1097" i="9"/>
  <c r="J1097" i="9"/>
  <c r="I1097" i="9"/>
  <c r="H1097" i="9"/>
  <c r="G1097" i="9"/>
  <c r="F1097" i="9"/>
  <c r="E1097" i="9"/>
  <c r="D1097" i="9"/>
  <c r="C1097" i="9"/>
  <c r="B1097" i="9"/>
  <c r="A1097" i="9"/>
  <c r="M1096" i="9"/>
  <c r="L1096" i="9"/>
  <c r="K1096" i="9"/>
  <c r="J1096" i="9"/>
  <c r="I1096" i="9"/>
  <c r="H1096" i="9"/>
  <c r="G1096" i="9"/>
  <c r="F1096" i="9"/>
  <c r="E1096" i="9"/>
  <c r="D1096" i="9"/>
  <c r="C1096" i="9"/>
  <c r="B1096" i="9"/>
  <c r="A1096" i="9"/>
  <c r="M1095" i="9"/>
  <c r="L1095" i="9"/>
  <c r="K1095" i="9"/>
  <c r="J1095" i="9"/>
  <c r="I1095" i="9"/>
  <c r="H1095" i="9"/>
  <c r="G1095" i="9"/>
  <c r="F1095" i="9"/>
  <c r="E1095" i="9"/>
  <c r="D1095" i="9"/>
  <c r="C1095" i="9"/>
  <c r="B1095" i="9"/>
  <c r="A1095" i="9"/>
  <c r="M1094" i="9"/>
  <c r="L1094" i="9"/>
  <c r="K1094" i="9"/>
  <c r="J1094" i="9"/>
  <c r="I1094" i="9"/>
  <c r="H1094" i="9"/>
  <c r="G1094" i="9"/>
  <c r="F1094" i="9"/>
  <c r="E1094" i="9"/>
  <c r="D1094" i="9"/>
  <c r="C1094" i="9"/>
  <c r="B1094" i="9"/>
  <c r="A1094" i="9"/>
  <c r="M1093" i="9"/>
  <c r="L1093" i="9"/>
  <c r="K1093" i="9"/>
  <c r="J1093" i="9"/>
  <c r="I1093" i="9"/>
  <c r="H1093" i="9"/>
  <c r="G1093" i="9"/>
  <c r="F1093" i="9"/>
  <c r="E1093" i="9"/>
  <c r="D1093" i="9"/>
  <c r="C1093" i="9"/>
  <c r="B1093" i="9"/>
  <c r="A1093" i="9"/>
  <c r="M1092" i="9"/>
  <c r="L1092" i="9"/>
  <c r="K1092" i="9"/>
  <c r="J1092" i="9"/>
  <c r="I1092" i="9"/>
  <c r="H1092" i="9"/>
  <c r="G1092" i="9"/>
  <c r="F1092" i="9"/>
  <c r="E1092" i="9"/>
  <c r="D1092" i="9"/>
  <c r="C1092" i="9"/>
  <c r="B1092" i="9"/>
  <c r="A1092" i="9"/>
  <c r="M1091" i="9"/>
  <c r="L1091" i="9"/>
  <c r="K1091" i="9"/>
  <c r="J1091" i="9"/>
  <c r="I1091" i="9"/>
  <c r="H1091" i="9"/>
  <c r="G1091" i="9"/>
  <c r="F1091" i="9"/>
  <c r="E1091" i="9"/>
  <c r="D1091" i="9"/>
  <c r="C1091" i="9"/>
  <c r="B1091" i="9"/>
  <c r="A1091" i="9"/>
  <c r="M1090" i="9"/>
  <c r="L1090" i="9"/>
  <c r="K1090" i="9"/>
  <c r="J1090" i="9"/>
  <c r="I1090" i="9"/>
  <c r="H1090" i="9"/>
  <c r="G1090" i="9"/>
  <c r="F1090" i="9"/>
  <c r="E1090" i="9"/>
  <c r="D1090" i="9"/>
  <c r="C1090" i="9"/>
  <c r="B1090" i="9"/>
  <c r="A1090" i="9"/>
  <c r="M1089" i="9"/>
  <c r="L1089" i="9"/>
  <c r="K1089" i="9"/>
  <c r="J1089" i="9"/>
  <c r="I1089" i="9"/>
  <c r="H1089" i="9"/>
  <c r="G1089" i="9"/>
  <c r="F1089" i="9"/>
  <c r="E1089" i="9"/>
  <c r="D1089" i="9"/>
  <c r="C1089" i="9"/>
  <c r="B1089" i="9"/>
  <c r="A1089" i="9"/>
  <c r="M1088" i="9"/>
  <c r="L1088" i="9"/>
  <c r="K1088" i="9"/>
  <c r="J1088" i="9"/>
  <c r="I1088" i="9"/>
  <c r="H1088" i="9"/>
  <c r="G1088" i="9"/>
  <c r="F1088" i="9"/>
  <c r="E1088" i="9"/>
  <c r="D1088" i="9"/>
  <c r="C1088" i="9"/>
  <c r="B1088" i="9"/>
  <c r="A1088" i="9"/>
  <c r="M1087" i="9"/>
  <c r="L1087" i="9"/>
  <c r="K1087" i="9"/>
  <c r="J1087" i="9"/>
  <c r="I1087" i="9"/>
  <c r="H1087" i="9"/>
  <c r="G1087" i="9"/>
  <c r="F1087" i="9"/>
  <c r="E1087" i="9"/>
  <c r="D1087" i="9"/>
  <c r="C1087" i="9"/>
  <c r="B1087" i="9"/>
  <c r="A1087" i="9"/>
  <c r="M1086" i="9"/>
  <c r="L1086" i="9"/>
  <c r="K1086" i="9"/>
  <c r="J1086" i="9"/>
  <c r="I1086" i="9"/>
  <c r="H1086" i="9"/>
  <c r="G1086" i="9"/>
  <c r="F1086" i="9"/>
  <c r="E1086" i="9"/>
  <c r="D1086" i="9"/>
  <c r="C1086" i="9"/>
  <c r="B1086" i="9"/>
  <c r="A1086" i="9"/>
  <c r="M1085" i="9"/>
  <c r="L1085" i="9"/>
  <c r="K1085" i="9"/>
  <c r="J1085" i="9"/>
  <c r="I1085" i="9"/>
  <c r="H1085" i="9"/>
  <c r="G1085" i="9"/>
  <c r="F1085" i="9"/>
  <c r="E1085" i="9"/>
  <c r="D1085" i="9"/>
  <c r="C1085" i="9"/>
  <c r="B1085" i="9"/>
  <c r="A1085" i="9"/>
  <c r="M1084" i="9"/>
  <c r="L1084" i="9"/>
  <c r="K1084" i="9"/>
  <c r="J1084" i="9"/>
  <c r="I1084" i="9"/>
  <c r="H1084" i="9"/>
  <c r="G1084" i="9"/>
  <c r="F1084" i="9"/>
  <c r="E1084" i="9"/>
  <c r="D1084" i="9"/>
  <c r="C1084" i="9"/>
  <c r="B1084" i="9"/>
  <c r="A1084" i="9"/>
  <c r="M1083" i="9"/>
  <c r="L1083" i="9"/>
  <c r="K1083" i="9"/>
  <c r="J1083" i="9"/>
  <c r="I1083" i="9"/>
  <c r="H1083" i="9"/>
  <c r="G1083" i="9"/>
  <c r="F1083" i="9"/>
  <c r="E1083" i="9"/>
  <c r="D1083" i="9"/>
  <c r="C1083" i="9"/>
  <c r="B1083" i="9"/>
  <c r="A1083" i="9"/>
  <c r="M1082" i="9"/>
  <c r="L1082" i="9"/>
  <c r="K1082" i="9"/>
  <c r="J1082" i="9"/>
  <c r="I1082" i="9"/>
  <c r="H1082" i="9"/>
  <c r="G1082" i="9"/>
  <c r="F1082" i="9"/>
  <c r="E1082" i="9"/>
  <c r="D1082" i="9"/>
  <c r="C1082" i="9"/>
  <c r="B1082" i="9"/>
  <c r="A1082" i="9"/>
  <c r="M1081" i="9"/>
  <c r="L1081" i="9"/>
  <c r="K1081" i="9"/>
  <c r="J1081" i="9"/>
  <c r="I1081" i="9"/>
  <c r="H1081" i="9"/>
  <c r="G1081" i="9"/>
  <c r="F1081" i="9"/>
  <c r="E1081" i="9"/>
  <c r="D1081" i="9"/>
  <c r="C1081" i="9"/>
  <c r="B1081" i="9"/>
  <c r="A1081" i="9"/>
  <c r="M1080" i="9"/>
  <c r="L1080" i="9"/>
  <c r="K1080" i="9"/>
  <c r="J1080" i="9"/>
  <c r="I1080" i="9"/>
  <c r="H1080" i="9"/>
  <c r="G1080" i="9"/>
  <c r="F1080" i="9"/>
  <c r="E1080" i="9"/>
  <c r="D1080" i="9"/>
  <c r="C1080" i="9"/>
  <c r="B1080" i="9"/>
  <c r="A1080" i="9"/>
  <c r="M1079" i="9"/>
  <c r="L1079" i="9"/>
  <c r="K1079" i="9"/>
  <c r="J1079" i="9"/>
  <c r="I1079" i="9"/>
  <c r="H1079" i="9"/>
  <c r="G1079" i="9"/>
  <c r="F1079" i="9"/>
  <c r="E1079" i="9"/>
  <c r="D1079" i="9"/>
  <c r="C1079" i="9"/>
  <c r="B1079" i="9"/>
  <c r="A1079" i="9"/>
  <c r="M1078" i="9"/>
  <c r="L1078" i="9"/>
  <c r="K1078" i="9"/>
  <c r="J1078" i="9"/>
  <c r="I1078" i="9"/>
  <c r="H1078" i="9"/>
  <c r="G1078" i="9"/>
  <c r="F1078" i="9"/>
  <c r="E1078" i="9"/>
  <c r="D1078" i="9"/>
  <c r="C1078" i="9"/>
  <c r="B1078" i="9"/>
  <c r="A1078" i="9"/>
  <c r="M1077" i="9"/>
  <c r="L1077" i="9"/>
  <c r="K1077" i="9"/>
  <c r="J1077" i="9"/>
  <c r="I1077" i="9"/>
  <c r="H1077" i="9"/>
  <c r="G1077" i="9"/>
  <c r="F1077" i="9"/>
  <c r="E1077" i="9"/>
  <c r="D1077" i="9"/>
  <c r="C1077" i="9"/>
  <c r="B1077" i="9"/>
  <c r="A1077" i="9"/>
  <c r="M1076" i="9"/>
  <c r="L1076" i="9"/>
  <c r="K1076" i="9"/>
  <c r="J1076" i="9"/>
  <c r="I1076" i="9"/>
  <c r="H1076" i="9"/>
  <c r="G1076" i="9"/>
  <c r="F1076" i="9"/>
  <c r="E1076" i="9"/>
  <c r="D1076" i="9"/>
  <c r="C1076" i="9"/>
  <c r="B1076" i="9"/>
  <c r="A1076" i="9"/>
  <c r="M1075" i="9"/>
  <c r="L1075" i="9"/>
  <c r="K1075" i="9"/>
  <c r="J1075" i="9"/>
  <c r="I1075" i="9"/>
  <c r="H1075" i="9"/>
  <c r="G1075" i="9"/>
  <c r="F1075" i="9"/>
  <c r="E1075" i="9"/>
  <c r="D1075" i="9"/>
  <c r="C1075" i="9"/>
  <c r="B1075" i="9"/>
  <c r="A1075" i="9"/>
  <c r="M1074" i="9"/>
  <c r="L1074" i="9"/>
  <c r="K1074" i="9"/>
  <c r="J1074" i="9"/>
  <c r="I1074" i="9"/>
  <c r="H1074" i="9"/>
  <c r="G1074" i="9"/>
  <c r="F1074" i="9"/>
  <c r="E1074" i="9"/>
  <c r="D1074" i="9"/>
  <c r="C1074" i="9"/>
  <c r="B1074" i="9"/>
  <c r="A1074" i="9"/>
  <c r="M1073" i="9"/>
  <c r="L1073" i="9"/>
  <c r="K1073" i="9"/>
  <c r="J1073" i="9"/>
  <c r="I1073" i="9"/>
  <c r="H1073" i="9"/>
  <c r="G1073" i="9"/>
  <c r="F1073" i="9"/>
  <c r="E1073" i="9"/>
  <c r="D1073" i="9"/>
  <c r="C1073" i="9"/>
  <c r="B1073" i="9"/>
  <c r="A1073" i="9"/>
  <c r="M1072" i="9"/>
  <c r="L1072" i="9"/>
  <c r="K1072" i="9"/>
  <c r="J1072" i="9"/>
  <c r="I1072" i="9"/>
  <c r="H1072" i="9"/>
  <c r="G1072" i="9"/>
  <c r="F1072" i="9"/>
  <c r="E1072" i="9"/>
  <c r="D1072" i="9"/>
  <c r="C1072" i="9"/>
  <c r="B1072" i="9"/>
  <c r="A1072" i="9"/>
  <c r="M1071" i="9"/>
  <c r="L1071" i="9"/>
  <c r="K1071" i="9"/>
  <c r="J1071" i="9"/>
  <c r="I1071" i="9"/>
  <c r="H1071" i="9"/>
  <c r="G1071" i="9"/>
  <c r="F1071" i="9"/>
  <c r="E1071" i="9"/>
  <c r="D1071" i="9"/>
  <c r="C1071" i="9"/>
  <c r="B1071" i="9"/>
  <c r="A1071" i="9"/>
  <c r="M1070" i="9"/>
  <c r="L1070" i="9"/>
  <c r="K1070" i="9"/>
  <c r="J1070" i="9"/>
  <c r="I1070" i="9"/>
  <c r="H1070" i="9"/>
  <c r="G1070" i="9"/>
  <c r="F1070" i="9"/>
  <c r="E1070" i="9"/>
  <c r="D1070" i="9"/>
  <c r="C1070" i="9"/>
  <c r="B1070" i="9"/>
  <c r="A1070" i="9"/>
  <c r="M1069" i="9"/>
  <c r="L1069" i="9"/>
  <c r="K1069" i="9"/>
  <c r="J1069" i="9"/>
  <c r="I1069" i="9"/>
  <c r="H1069" i="9"/>
  <c r="G1069" i="9"/>
  <c r="F1069" i="9"/>
  <c r="E1069" i="9"/>
  <c r="D1069" i="9"/>
  <c r="C1069" i="9"/>
  <c r="B1069" i="9"/>
  <c r="A1069" i="9"/>
  <c r="M1068" i="9"/>
  <c r="L1068" i="9"/>
  <c r="K1068" i="9"/>
  <c r="J1068" i="9"/>
  <c r="I1068" i="9"/>
  <c r="H1068" i="9"/>
  <c r="G1068" i="9"/>
  <c r="F1068" i="9"/>
  <c r="E1068" i="9"/>
  <c r="D1068" i="9"/>
  <c r="C1068" i="9"/>
  <c r="B1068" i="9"/>
  <c r="A1068" i="9"/>
  <c r="M1067" i="9"/>
  <c r="L1067" i="9"/>
  <c r="K1067" i="9"/>
  <c r="J1067" i="9"/>
  <c r="I1067" i="9"/>
  <c r="H1067" i="9"/>
  <c r="G1067" i="9"/>
  <c r="F1067" i="9"/>
  <c r="E1067" i="9"/>
  <c r="D1067" i="9"/>
  <c r="C1067" i="9"/>
  <c r="B1067" i="9"/>
  <c r="A1067" i="9"/>
  <c r="M1066" i="9"/>
  <c r="L1066" i="9"/>
  <c r="K1066" i="9"/>
  <c r="J1066" i="9"/>
  <c r="I1066" i="9"/>
  <c r="H1066" i="9"/>
  <c r="G1066" i="9"/>
  <c r="F1066" i="9"/>
  <c r="E1066" i="9"/>
  <c r="D1066" i="9"/>
  <c r="C1066" i="9"/>
  <c r="B1066" i="9"/>
  <c r="A1066" i="9"/>
  <c r="M1065" i="9"/>
  <c r="L1065" i="9"/>
  <c r="K1065" i="9"/>
  <c r="J1065" i="9"/>
  <c r="I1065" i="9"/>
  <c r="H1065" i="9"/>
  <c r="G1065" i="9"/>
  <c r="F1065" i="9"/>
  <c r="E1065" i="9"/>
  <c r="D1065" i="9"/>
  <c r="C1065" i="9"/>
  <c r="B1065" i="9"/>
  <c r="A1065" i="9"/>
  <c r="M1064" i="9"/>
  <c r="L1064" i="9"/>
  <c r="K1064" i="9"/>
  <c r="J1064" i="9"/>
  <c r="I1064" i="9"/>
  <c r="H1064" i="9"/>
  <c r="G1064" i="9"/>
  <c r="F1064" i="9"/>
  <c r="E1064" i="9"/>
  <c r="D1064" i="9"/>
  <c r="C1064" i="9"/>
  <c r="B1064" i="9"/>
  <c r="A1064" i="9"/>
  <c r="M1063" i="9"/>
  <c r="L1063" i="9"/>
  <c r="K1063" i="9"/>
  <c r="J1063" i="9"/>
  <c r="I1063" i="9"/>
  <c r="H1063" i="9"/>
  <c r="G1063" i="9"/>
  <c r="F1063" i="9"/>
  <c r="E1063" i="9"/>
  <c r="D1063" i="9"/>
  <c r="C1063" i="9"/>
  <c r="B1063" i="9"/>
  <c r="A1063" i="9"/>
  <c r="M1062" i="9"/>
  <c r="L1062" i="9"/>
  <c r="K1062" i="9"/>
  <c r="J1062" i="9"/>
  <c r="I1062" i="9"/>
  <c r="H1062" i="9"/>
  <c r="G1062" i="9"/>
  <c r="F1062" i="9"/>
  <c r="E1062" i="9"/>
  <c r="D1062" i="9"/>
  <c r="C1062" i="9"/>
  <c r="B1062" i="9"/>
  <c r="A1062" i="9"/>
  <c r="M1061" i="9"/>
  <c r="L1061" i="9"/>
  <c r="K1061" i="9"/>
  <c r="J1061" i="9"/>
  <c r="I1061" i="9"/>
  <c r="H1061" i="9"/>
  <c r="G1061" i="9"/>
  <c r="F1061" i="9"/>
  <c r="E1061" i="9"/>
  <c r="D1061" i="9"/>
  <c r="C1061" i="9"/>
  <c r="B1061" i="9"/>
  <c r="A1061" i="9"/>
  <c r="M1060" i="9"/>
  <c r="L1060" i="9"/>
  <c r="K1060" i="9"/>
  <c r="J1060" i="9"/>
  <c r="I1060" i="9"/>
  <c r="H1060" i="9"/>
  <c r="G1060" i="9"/>
  <c r="F1060" i="9"/>
  <c r="E1060" i="9"/>
  <c r="D1060" i="9"/>
  <c r="C1060" i="9"/>
  <c r="B1060" i="9"/>
  <c r="A1060" i="9"/>
  <c r="M1059" i="9"/>
  <c r="L1059" i="9"/>
  <c r="K1059" i="9"/>
  <c r="J1059" i="9"/>
  <c r="I1059" i="9"/>
  <c r="H1059" i="9"/>
  <c r="G1059" i="9"/>
  <c r="F1059" i="9"/>
  <c r="E1059" i="9"/>
  <c r="D1059" i="9"/>
  <c r="C1059" i="9"/>
  <c r="B1059" i="9"/>
  <c r="A1059" i="9"/>
  <c r="M1058" i="9"/>
  <c r="L1058" i="9"/>
  <c r="K1058" i="9"/>
  <c r="J1058" i="9"/>
  <c r="I1058" i="9"/>
  <c r="H1058" i="9"/>
  <c r="G1058" i="9"/>
  <c r="F1058" i="9"/>
  <c r="E1058" i="9"/>
  <c r="D1058" i="9"/>
  <c r="C1058" i="9"/>
  <c r="B1058" i="9"/>
  <c r="A1058" i="9"/>
  <c r="M1057" i="9"/>
  <c r="L1057" i="9"/>
  <c r="K1057" i="9"/>
  <c r="J1057" i="9"/>
  <c r="I1057" i="9"/>
  <c r="H1057" i="9"/>
  <c r="G1057" i="9"/>
  <c r="F1057" i="9"/>
  <c r="E1057" i="9"/>
  <c r="D1057" i="9"/>
  <c r="C1057" i="9"/>
  <c r="B1057" i="9"/>
  <c r="A1057" i="9"/>
  <c r="M1056" i="9"/>
  <c r="L1056" i="9"/>
  <c r="K1056" i="9"/>
  <c r="J1056" i="9"/>
  <c r="I1056" i="9"/>
  <c r="H1056" i="9"/>
  <c r="G1056" i="9"/>
  <c r="F1056" i="9"/>
  <c r="E1056" i="9"/>
  <c r="D1056" i="9"/>
  <c r="C1056" i="9"/>
  <c r="B1056" i="9"/>
  <c r="A1056" i="9"/>
  <c r="M1055" i="9"/>
  <c r="L1055" i="9"/>
  <c r="K1055" i="9"/>
  <c r="J1055" i="9"/>
  <c r="I1055" i="9"/>
  <c r="H1055" i="9"/>
  <c r="G1055" i="9"/>
  <c r="F1055" i="9"/>
  <c r="E1055" i="9"/>
  <c r="D1055" i="9"/>
  <c r="C1055" i="9"/>
  <c r="B1055" i="9"/>
  <c r="A1055" i="9"/>
  <c r="M1054" i="9"/>
  <c r="L1054" i="9"/>
  <c r="K1054" i="9"/>
  <c r="J1054" i="9"/>
  <c r="I1054" i="9"/>
  <c r="H1054" i="9"/>
  <c r="G1054" i="9"/>
  <c r="F1054" i="9"/>
  <c r="E1054" i="9"/>
  <c r="D1054" i="9"/>
  <c r="C1054" i="9"/>
  <c r="B1054" i="9"/>
  <c r="A1054" i="9"/>
  <c r="M1053" i="9"/>
  <c r="L1053" i="9"/>
  <c r="K1053" i="9"/>
  <c r="J1053" i="9"/>
  <c r="I1053" i="9"/>
  <c r="H1053" i="9"/>
  <c r="G1053" i="9"/>
  <c r="F1053" i="9"/>
  <c r="E1053" i="9"/>
  <c r="D1053" i="9"/>
  <c r="C1053" i="9"/>
  <c r="B1053" i="9"/>
  <c r="A1053" i="9"/>
  <c r="M1052" i="9"/>
  <c r="L1052" i="9"/>
  <c r="K1052" i="9"/>
  <c r="J1052" i="9"/>
  <c r="I1052" i="9"/>
  <c r="H1052" i="9"/>
  <c r="G1052" i="9"/>
  <c r="F1052" i="9"/>
  <c r="E1052" i="9"/>
  <c r="D1052" i="9"/>
  <c r="C1052" i="9"/>
  <c r="B1052" i="9"/>
  <c r="A1052" i="9"/>
  <c r="M1051" i="9"/>
  <c r="L1051" i="9"/>
  <c r="K1051" i="9"/>
  <c r="J1051" i="9"/>
  <c r="I1051" i="9"/>
  <c r="H1051" i="9"/>
  <c r="G1051" i="9"/>
  <c r="F1051" i="9"/>
  <c r="E1051" i="9"/>
  <c r="D1051" i="9"/>
  <c r="C1051" i="9"/>
  <c r="B1051" i="9"/>
  <c r="A1051" i="9"/>
  <c r="M1050" i="9"/>
  <c r="L1050" i="9"/>
  <c r="K1050" i="9"/>
  <c r="J1050" i="9"/>
  <c r="I1050" i="9"/>
  <c r="H1050" i="9"/>
  <c r="G1050" i="9"/>
  <c r="F1050" i="9"/>
  <c r="E1050" i="9"/>
  <c r="D1050" i="9"/>
  <c r="C1050" i="9"/>
  <c r="B1050" i="9"/>
  <c r="A1050" i="9"/>
  <c r="M1049" i="9"/>
  <c r="L1049" i="9"/>
  <c r="K1049" i="9"/>
  <c r="J1049" i="9"/>
  <c r="I1049" i="9"/>
  <c r="H1049" i="9"/>
  <c r="G1049" i="9"/>
  <c r="F1049" i="9"/>
  <c r="E1049" i="9"/>
  <c r="D1049" i="9"/>
  <c r="C1049" i="9"/>
  <c r="B1049" i="9"/>
  <c r="A1049" i="9"/>
  <c r="M1048" i="9"/>
  <c r="L1048" i="9"/>
  <c r="K1048" i="9"/>
  <c r="J1048" i="9"/>
  <c r="I1048" i="9"/>
  <c r="H1048" i="9"/>
  <c r="G1048" i="9"/>
  <c r="F1048" i="9"/>
  <c r="E1048" i="9"/>
  <c r="D1048" i="9"/>
  <c r="C1048" i="9"/>
  <c r="B1048" i="9"/>
  <c r="A1048" i="9"/>
  <c r="M1047" i="9"/>
  <c r="L1047" i="9"/>
  <c r="K1047" i="9"/>
  <c r="J1047" i="9"/>
  <c r="I1047" i="9"/>
  <c r="H1047" i="9"/>
  <c r="G1047" i="9"/>
  <c r="F1047" i="9"/>
  <c r="E1047" i="9"/>
  <c r="D1047" i="9"/>
  <c r="C1047" i="9"/>
  <c r="B1047" i="9"/>
  <c r="A1047" i="9"/>
  <c r="M1046" i="9"/>
  <c r="L1046" i="9"/>
  <c r="K1046" i="9"/>
  <c r="J1046" i="9"/>
  <c r="I1046" i="9"/>
  <c r="H1046" i="9"/>
  <c r="G1046" i="9"/>
  <c r="F1046" i="9"/>
  <c r="E1046" i="9"/>
  <c r="D1046" i="9"/>
  <c r="C1046" i="9"/>
  <c r="B1046" i="9"/>
  <c r="A1046" i="9"/>
  <c r="M1045" i="9"/>
  <c r="L1045" i="9"/>
  <c r="K1045" i="9"/>
  <c r="J1045" i="9"/>
  <c r="I1045" i="9"/>
  <c r="H1045" i="9"/>
  <c r="G1045" i="9"/>
  <c r="F1045" i="9"/>
  <c r="E1045" i="9"/>
  <c r="D1045" i="9"/>
  <c r="C1045" i="9"/>
  <c r="B1045" i="9"/>
  <c r="A1045" i="9"/>
  <c r="M1044" i="9"/>
  <c r="L1044" i="9"/>
  <c r="K1044" i="9"/>
  <c r="J1044" i="9"/>
  <c r="I1044" i="9"/>
  <c r="H1044" i="9"/>
  <c r="G1044" i="9"/>
  <c r="F1044" i="9"/>
  <c r="E1044" i="9"/>
  <c r="D1044" i="9"/>
  <c r="C1044" i="9"/>
  <c r="B1044" i="9"/>
  <c r="A1044" i="9"/>
  <c r="M1043" i="9"/>
  <c r="L1043" i="9"/>
  <c r="K1043" i="9"/>
  <c r="J1043" i="9"/>
  <c r="I1043" i="9"/>
  <c r="H1043" i="9"/>
  <c r="G1043" i="9"/>
  <c r="F1043" i="9"/>
  <c r="E1043" i="9"/>
  <c r="D1043" i="9"/>
  <c r="C1043" i="9"/>
  <c r="B1043" i="9"/>
  <c r="A1043" i="9"/>
  <c r="M1042" i="9"/>
  <c r="L1042" i="9"/>
  <c r="K1042" i="9"/>
  <c r="J1042" i="9"/>
  <c r="I1042" i="9"/>
  <c r="H1042" i="9"/>
  <c r="G1042" i="9"/>
  <c r="F1042" i="9"/>
  <c r="E1042" i="9"/>
  <c r="D1042" i="9"/>
  <c r="C1042" i="9"/>
  <c r="B1042" i="9"/>
  <c r="A1042" i="9"/>
  <c r="M1041" i="9"/>
  <c r="L1041" i="9"/>
  <c r="K1041" i="9"/>
  <c r="J1041" i="9"/>
  <c r="I1041" i="9"/>
  <c r="H1041" i="9"/>
  <c r="G1041" i="9"/>
  <c r="F1041" i="9"/>
  <c r="E1041" i="9"/>
  <c r="D1041" i="9"/>
  <c r="C1041" i="9"/>
  <c r="B1041" i="9"/>
  <c r="A1041" i="9"/>
  <c r="M1040" i="9"/>
  <c r="L1040" i="9"/>
  <c r="K1040" i="9"/>
  <c r="J1040" i="9"/>
  <c r="I1040" i="9"/>
  <c r="H1040" i="9"/>
  <c r="G1040" i="9"/>
  <c r="F1040" i="9"/>
  <c r="E1040" i="9"/>
  <c r="D1040" i="9"/>
  <c r="C1040" i="9"/>
  <c r="B1040" i="9"/>
  <c r="A1040" i="9"/>
  <c r="M1039" i="9"/>
  <c r="L1039" i="9"/>
  <c r="K1039" i="9"/>
  <c r="J1039" i="9"/>
  <c r="I1039" i="9"/>
  <c r="H1039" i="9"/>
  <c r="G1039" i="9"/>
  <c r="F1039" i="9"/>
  <c r="E1039" i="9"/>
  <c r="D1039" i="9"/>
  <c r="C1039" i="9"/>
  <c r="B1039" i="9"/>
  <c r="A1039" i="9"/>
  <c r="M1038" i="9"/>
  <c r="L1038" i="9"/>
  <c r="K1038" i="9"/>
  <c r="J1038" i="9"/>
  <c r="I1038" i="9"/>
  <c r="H1038" i="9"/>
  <c r="G1038" i="9"/>
  <c r="F1038" i="9"/>
  <c r="E1038" i="9"/>
  <c r="D1038" i="9"/>
  <c r="C1038" i="9"/>
  <c r="B1038" i="9"/>
  <c r="A1038" i="9"/>
  <c r="M1037" i="9"/>
  <c r="L1037" i="9"/>
  <c r="K1037" i="9"/>
  <c r="J1037" i="9"/>
  <c r="I1037" i="9"/>
  <c r="H1037" i="9"/>
  <c r="G1037" i="9"/>
  <c r="F1037" i="9"/>
  <c r="E1037" i="9"/>
  <c r="D1037" i="9"/>
  <c r="C1037" i="9"/>
  <c r="B1037" i="9"/>
  <c r="A1037" i="9"/>
  <c r="M1036" i="9"/>
  <c r="L1036" i="9"/>
  <c r="K1036" i="9"/>
  <c r="J1036" i="9"/>
  <c r="I1036" i="9"/>
  <c r="H1036" i="9"/>
  <c r="G1036" i="9"/>
  <c r="F1036" i="9"/>
  <c r="E1036" i="9"/>
  <c r="D1036" i="9"/>
  <c r="C1036" i="9"/>
  <c r="B1036" i="9"/>
  <c r="A1036" i="9"/>
  <c r="M1035" i="9"/>
  <c r="L1035" i="9"/>
  <c r="K1035" i="9"/>
  <c r="J1035" i="9"/>
  <c r="I1035" i="9"/>
  <c r="H1035" i="9"/>
  <c r="G1035" i="9"/>
  <c r="F1035" i="9"/>
  <c r="E1035" i="9"/>
  <c r="D1035" i="9"/>
  <c r="C1035" i="9"/>
  <c r="B1035" i="9"/>
  <c r="A1035" i="9"/>
  <c r="M1034" i="9"/>
  <c r="L1034" i="9"/>
  <c r="K1034" i="9"/>
  <c r="J1034" i="9"/>
  <c r="I1034" i="9"/>
  <c r="H1034" i="9"/>
  <c r="G1034" i="9"/>
  <c r="F1034" i="9"/>
  <c r="E1034" i="9"/>
  <c r="D1034" i="9"/>
  <c r="C1034" i="9"/>
  <c r="B1034" i="9"/>
  <c r="A1034" i="9"/>
  <c r="M1033" i="9"/>
  <c r="L1033" i="9"/>
  <c r="K1033" i="9"/>
  <c r="J1033" i="9"/>
  <c r="I1033" i="9"/>
  <c r="H1033" i="9"/>
  <c r="G1033" i="9"/>
  <c r="F1033" i="9"/>
  <c r="E1033" i="9"/>
  <c r="D1033" i="9"/>
  <c r="C1033" i="9"/>
  <c r="B1033" i="9"/>
  <c r="A1033" i="9"/>
  <c r="M1032" i="9"/>
  <c r="L1032" i="9"/>
  <c r="K1032" i="9"/>
  <c r="J1032" i="9"/>
  <c r="I1032" i="9"/>
  <c r="H1032" i="9"/>
  <c r="G1032" i="9"/>
  <c r="F1032" i="9"/>
  <c r="E1032" i="9"/>
  <c r="D1032" i="9"/>
  <c r="C1032" i="9"/>
  <c r="B1032" i="9"/>
  <c r="A1032" i="9"/>
  <c r="M1031" i="9"/>
  <c r="L1031" i="9"/>
  <c r="K1031" i="9"/>
  <c r="J1031" i="9"/>
  <c r="I1031" i="9"/>
  <c r="H1031" i="9"/>
  <c r="G1031" i="9"/>
  <c r="F1031" i="9"/>
  <c r="E1031" i="9"/>
  <c r="D1031" i="9"/>
  <c r="C1031" i="9"/>
  <c r="B1031" i="9"/>
  <c r="A1031" i="9"/>
  <c r="M1030" i="9"/>
  <c r="L1030" i="9"/>
  <c r="K1030" i="9"/>
  <c r="J1030" i="9"/>
  <c r="I1030" i="9"/>
  <c r="H1030" i="9"/>
  <c r="G1030" i="9"/>
  <c r="F1030" i="9"/>
  <c r="E1030" i="9"/>
  <c r="D1030" i="9"/>
  <c r="C1030" i="9"/>
  <c r="B1030" i="9"/>
  <c r="A1030" i="9"/>
  <c r="M1029" i="9"/>
  <c r="L1029" i="9"/>
  <c r="K1029" i="9"/>
  <c r="J1029" i="9"/>
  <c r="I1029" i="9"/>
  <c r="H1029" i="9"/>
  <c r="G1029" i="9"/>
  <c r="F1029" i="9"/>
  <c r="E1029" i="9"/>
  <c r="D1029" i="9"/>
  <c r="C1029" i="9"/>
  <c r="B1029" i="9"/>
  <c r="A1029" i="9"/>
  <c r="M1028" i="9"/>
  <c r="L1028" i="9"/>
  <c r="K1028" i="9"/>
  <c r="J1028" i="9"/>
  <c r="I1028" i="9"/>
  <c r="H1028" i="9"/>
  <c r="G1028" i="9"/>
  <c r="F1028" i="9"/>
  <c r="E1028" i="9"/>
  <c r="D1028" i="9"/>
  <c r="C1028" i="9"/>
  <c r="B1028" i="9"/>
  <c r="A1028" i="9"/>
  <c r="M1027" i="9"/>
  <c r="L1027" i="9"/>
  <c r="K1027" i="9"/>
  <c r="J1027" i="9"/>
  <c r="I1027" i="9"/>
  <c r="H1027" i="9"/>
  <c r="G1027" i="9"/>
  <c r="F1027" i="9"/>
  <c r="E1027" i="9"/>
  <c r="D1027" i="9"/>
  <c r="C1027" i="9"/>
  <c r="B1027" i="9"/>
  <c r="A1027" i="9"/>
  <c r="M1026" i="9"/>
  <c r="L1026" i="9"/>
  <c r="K1026" i="9"/>
  <c r="J1026" i="9"/>
  <c r="I1026" i="9"/>
  <c r="H1026" i="9"/>
  <c r="G1026" i="9"/>
  <c r="F1026" i="9"/>
  <c r="E1026" i="9"/>
  <c r="D1026" i="9"/>
  <c r="C1026" i="9"/>
  <c r="B1026" i="9"/>
  <c r="A1026" i="9"/>
  <c r="M1025" i="9"/>
  <c r="L1025" i="9"/>
  <c r="K1025" i="9"/>
  <c r="J1025" i="9"/>
  <c r="I1025" i="9"/>
  <c r="H1025" i="9"/>
  <c r="G1025" i="9"/>
  <c r="F1025" i="9"/>
  <c r="E1025" i="9"/>
  <c r="D1025" i="9"/>
  <c r="C1025" i="9"/>
  <c r="B1025" i="9"/>
  <c r="A1025" i="9"/>
  <c r="M1024" i="9"/>
  <c r="L1024" i="9"/>
  <c r="K1024" i="9"/>
  <c r="J1024" i="9"/>
  <c r="I1024" i="9"/>
  <c r="H1024" i="9"/>
  <c r="G1024" i="9"/>
  <c r="F1024" i="9"/>
  <c r="E1024" i="9"/>
  <c r="D1024" i="9"/>
  <c r="C1024" i="9"/>
  <c r="B1024" i="9"/>
  <c r="A1024" i="9"/>
  <c r="M1023" i="9"/>
  <c r="L1023" i="9"/>
  <c r="K1023" i="9"/>
  <c r="J1023" i="9"/>
  <c r="I1023" i="9"/>
  <c r="H1023" i="9"/>
  <c r="G1023" i="9"/>
  <c r="F1023" i="9"/>
  <c r="E1023" i="9"/>
  <c r="D1023" i="9"/>
  <c r="C1023" i="9"/>
  <c r="B1023" i="9"/>
  <c r="A1023" i="9"/>
  <c r="M1022" i="9"/>
  <c r="L1022" i="9"/>
  <c r="K1022" i="9"/>
  <c r="J1022" i="9"/>
  <c r="I1022" i="9"/>
  <c r="H1022" i="9"/>
  <c r="G1022" i="9"/>
  <c r="F1022" i="9"/>
  <c r="E1022" i="9"/>
  <c r="D1022" i="9"/>
  <c r="C1022" i="9"/>
  <c r="B1022" i="9"/>
  <c r="A1022" i="9"/>
  <c r="M1021" i="9"/>
  <c r="L1021" i="9"/>
  <c r="K1021" i="9"/>
  <c r="J1021" i="9"/>
  <c r="I1021" i="9"/>
  <c r="H1021" i="9"/>
  <c r="G1021" i="9"/>
  <c r="F1021" i="9"/>
  <c r="E1021" i="9"/>
  <c r="D1021" i="9"/>
  <c r="C1021" i="9"/>
  <c r="B1021" i="9"/>
  <c r="A1021" i="9"/>
  <c r="M1020" i="9"/>
  <c r="L1020" i="9"/>
  <c r="K1020" i="9"/>
  <c r="J1020" i="9"/>
  <c r="I1020" i="9"/>
  <c r="H1020" i="9"/>
  <c r="G1020" i="9"/>
  <c r="F1020" i="9"/>
  <c r="E1020" i="9"/>
  <c r="D1020" i="9"/>
  <c r="C1020" i="9"/>
  <c r="B1020" i="9"/>
  <c r="A1020" i="9"/>
  <c r="M1019" i="9"/>
  <c r="L1019" i="9"/>
  <c r="K1019" i="9"/>
  <c r="J1019" i="9"/>
  <c r="I1019" i="9"/>
  <c r="H1019" i="9"/>
  <c r="G1019" i="9"/>
  <c r="F1019" i="9"/>
  <c r="E1019" i="9"/>
  <c r="D1019" i="9"/>
  <c r="C1019" i="9"/>
  <c r="B1019" i="9"/>
  <c r="A1019" i="9"/>
  <c r="M1018" i="9"/>
  <c r="L1018" i="9"/>
  <c r="K1018" i="9"/>
  <c r="J1018" i="9"/>
  <c r="I1018" i="9"/>
  <c r="H1018" i="9"/>
  <c r="G1018" i="9"/>
  <c r="F1018" i="9"/>
  <c r="E1018" i="9"/>
  <c r="D1018" i="9"/>
  <c r="C1018" i="9"/>
  <c r="B1018" i="9"/>
  <c r="A1018" i="9"/>
  <c r="M1017" i="9"/>
  <c r="L1017" i="9"/>
  <c r="K1017" i="9"/>
  <c r="J1017" i="9"/>
  <c r="I1017" i="9"/>
  <c r="H1017" i="9"/>
  <c r="G1017" i="9"/>
  <c r="F1017" i="9"/>
  <c r="E1017" i="9"/>
  <c r="D1017" i="9"/>
  <c r="C1017" i="9"/>
  <c r="B1017" i="9"/>
  <c r="A1017" i="9"/>
  <c r="M1016" i="9"/>
  <c r="L1016" i="9"/>
  <c r="K1016" i="9"/>
  <c r="J1016" i="9"/>
  <c r="I1016" i="9"/>
  <c r="H1016" i="9"/>
  <c r="G1016" i="9"/>
  <c r="F1016" i="9"/>
  <c r="E1016" i="9"/>
  <c r="D1016" i="9"/>
  <c r="C1016" i="9"/>
  <c r="B1016" i="9"/>
  <c r="A1016" i="9"/>
  <c r="M1015" i="9"/>
  <c r="L1015" i="9"/>
  <c r="K1015" i="9"/>
  <c r="J1015" i="9"/>
  <c r="I1015" i="9"/>
  <c r="H1015" i="9"/>
  <c r="G1015" i="9"/>
  <c r="F1015" i="9"/>
  <c r="E1015" i="9"/>
  <c r="D1015" i="9"/>
  <c r="C1015" i="9"/>
  <c r="B1015" i="9"/>
  <c r="A1015" i="9"/>
  <c r="M1014" i="9"/>
  <c r="L1014" i="9"/>
  <c r="K1014" i="9"/>
  <c r="J1014" i="9"/>
  <c r="I1014" i="9"/>
  <c r="H1014" i="9"/>
  <c r="G1014" i="9"/>
  <c r="F1014" i="9"/>
  <c r="E1014" i="9"/>
  <c r="D1014" i="9"/>
  <c r="C1014" i="9"/>
  <c r="B1014" i="9"/>
  <c r="A1014" i="9"/>
  <c r="M1013" i="9"/>
  <c r="L1013" i="9"/>
  <c r="K1013" i="9"/>
  <c r="J1013" i="9"/>
  <c r="I1013" i="9"/>
  <c r="H1013" i="9"/>
  <c r="G1013" i="9"/>
  <c r="F1013" i="9"/>
  <c r="E1013" i="9"/>
  <c r="D1013" i="9"/>
  <c r="C1013" i="9"/>
  <c r="B1013" i="9"/>
  <c r="A1013" i="9"/>
  <c r="M1012" i="9"/>
  <c r="L1012" i="9"/>
  <c r="K1012" i="9"/>
  <c r="J1012" i="9"/>
  <c r="I1012" i="9"/>
  <c r="H1012" i="9"/>
  <c r="G1012" i="9"/>
  <c r="F1012" i="9"/>
  <c r="E1012" i="9"/>
  <c r="D1012" i="9"/>
  <c r="C1012" i="9"/>
  <c r="B1012" i="9"/>
  <c r="A1012" i="9"/>
  <c r="M1011" i="9"/>
  <c r="L1011" i="9"/>
  <c r="K1011" i="9"/>
  <c r="J1011" i="9"/>
  <c r="I1011" i="9"/>
  <c r="H1011" i="9"/>
  <c r="G1011" i="9"/>
  <c r="F1011" i="9"/>
  <c r="E1011" i="9"/>
  <c r="D1011" i="9"/>
  <c r="C1011" i="9"/>
  <c r="B1011" i="9"/>
  <c r="A1011" i="9"/>
  <c r="M1010" i="9"/>
  <c r="L1010" i="9"/>
  <c r="K1010" i="9"/>
  <c r="J1010" i="9"/>
  <c r="I1010" i="9"/>
  <c r="H1010" i="9"/>
  <c r="G1010" i="9"/>
  <c r="F1010" i="9"/>
  <c r="E1010" i="9"/>
  <c r="D1010" i="9"/>
  <c r="C1010" i="9"/>
  <c r="B1010" i="9"/>
  <c r="A1010" i="9"/>
  <c r="M1009" i="9"/>
  <c r="L1009" i="9"/>
  <c r="K1009" i="9"/>
  <c r="J1009" i="9"/>
  <c r="I1009" i="9"/>
  <c r="H1009" i="9"/>
  <c r="G1009" i="9"/>
  <c r="F1009" i="9"/>
  <c r="E1009" i="9"/>
  <c r="D1009" i="9"/>
  <c r="C1009" i="9"/>
  <c r="B1009" i="9"/>
  <c r="A1009" i="9"/>
  <c r="M1008" i="9"/>
  <c r="L1008" i="9"/>
  <c r="K1008" i="9"/>
  <c r="J1008" i="9"/>
  <c r="I1008" i="9"/>
  <c r="H1008" i="9"/>
  <c r="G1008" i="9"/>
  <c r="F1008" i="9"/>
  <c r="E1008" i="9"/>
  <c r="D1008" i="9"/>
  <c r="C1008" i="9"/>
  <c r="B1008" i="9"/>
  <c r="A1008" i="9"/>
  <c r="M1007" i="9"/>
  <c r="L1007" i="9"/>
  <c r="K1007" i="9"/>
  <c r="J1007" i="9"/>
  <c r="I1007" i="9"/>
  <c r="H1007" i="9"/>
  <c r="G1007" i="9"/>
  <c r="F1007" i="9"/>
  <c r="E1007" i="9"/>
  <c r="D1007" i="9"/>
  <c r="C1007" i="9"/>
  <c r="B1007" i="9"/>
  <c r="A1007" i="9"/>
  <c r="M1006" i="9"/>
  <c r="L1006" i="9"/>
  <c r="K1006" i="9"/>
  <c r="J1006" i="9"/>
  <c r="I1006" i="9"/>
  <c r="H1006" i="9"/>
  <c r="G1006" i="9"/>
  <c r="F1006" i="9"/>
  <c r="E1006" i="9"/>
  <c r="D1006" i="9"/>
  <c r="C1006" i="9"/>
  <c r="B1006" i="9"/>
  <c r="A1006" i="9"/>
  <c r="M1005" i="9"/>
  <c r="L1005" i="9"/>
  <c r="K1005" i="9"/>
  <c r="J1005" i="9"/>
  <c r="I1005" i="9"/>
  <c r="H1005" i="9"/>
  <c r="G1005" i="9"/>
  <c r="F1005" i="9"/>
  <c r="E1005" i="9"/>
  <c r="D1005" i="9"/>
  <c r="C1005" i="9"/>
  <c r="B1005" i="9"/>
  <c r="A1005" i="9"/>
  <c r="M1004" i="9"/>
  <c r="L1004" i="9"/>
  <c r="K1004" i="9"/>
  <c r="J1004" i="9"/>
  <c r="I1004" i="9"/>
  <c r="H1004" i="9"/>
  <c r="G1004" i="9"/>
  <c r="F1004" i="9"/>
  <c r="E1004" i="9"/>
  <c r="D1004" i="9"/>
  <c r="C1004" i="9"/>
  <c r="B1004" i="9"/>
  <c r="A1004" i="9"/>
  <c r="M1003" i="9"/>
  <c r="L1003" i="9"/>
  <c r="K1003" i="9"/>
  <c r="J1003" i="9"/>
  <c r="I1003" i="9"/>
  <c r="H1003" i="9"/>
  <c r="G1003" i="9"/>
  <c r="F1003" i="9"/>
  <c r="E1003" i="9"/>
  <c r="D1003" i="9"/>
  <c r="C1003" i="9"/>
  <c r="B1003" i="9"/>
  <c r="A1003" i="9"/>
  <c r="M1002" i="9"/>
  <c r="L1002" i="9"/>
  <c r="K1002" i="9"/>
  <c r="J1002" i="9"/>
  <c r="I1002" i="9"/>
  <c r="H1002" i="9"/>
  <c r="G1002" i="9"/>
  <c r="F1002" i="9"/>
  <c r="E1002" i="9"/>
  <c r="D1002" i="9"/>
  <c r="C1002" i="9"/>
  <c r="B1002" i="9"/>
  <c r="A1002" i="9"/>
  <c r="M1001" i="9"/>
  <c r="L1001" i="9"/>
  <c r="K1001" i="9"/>
  <c r="J1001" i="9"/>
  <c r="I1001" i="9"/>
  <c r="H1001" i="9"/>
  <c r="G1001" i="9"/>
  <c r="F1001" i="9"/>
  <c r="E1001" i="9"/>
  <c r="D1001" i="9"/>
  <c r="C1001" i="9"/>
  <c r="B1001" i="9"/>
  <c r="A1001" i="9"/>
  <c r="M1000" i="9"/>
  <c r="L1000" i="9"/>
  <c r="K1000" i="9"/>
  <c r="J1000" i="9"/>
  <c r="I1000" i="9"/>
  <c r="H1000" i="9"/>
  <c r="G1000" i="9"/>
  <c r="F1000" i="9"/>
  <c r="E1000" i="9"/>
  <c r="D1000" i="9"/>
  <c r="C1000" i="9"/>
  <c r="B1000" i="9"/>
  <c r="A1000" i="9"/>
  <c r="M999" i="9"/>
  <c r="L999" i="9"/>
  <c r="K999" i="9"/>
  <c r="J999" i="9"/>
  <c r="I999" i="9"/>
  <c r="H999" i="9"/>
  <c r="G999" i="9"/>
  <c r="F999" i="9"/>
  <c r="E999" i="9"/>
  <c r="D999" i="9"/>
  <c r="C999" i="9"/>
  <c r="B999" i="9"/>
  <c r="A999" i="9"/>
  <c r="M998" i="9"/>
  <c r="L998" i="9"/>
  <c r="K998" i="9"/>
  <c r="J998" i="9"/>
  <c r="I998" i="9"/>
  <c r="H998" i="9"/>
  <c r="G998" i="9"/>
  <c r="F998" i="9"/>
  <c r="E998" i="9"/>
  <c r="D998" i="9"/>
  <c r="C998" i="9"/>
  <c r="B998" i="9"/>
  <c r="A998" i="9"/>
  <c r="M997" i="9"/>
  <c r="L997" i="9"/>
  <c r="K997" i="9"/>
  <c r="J997" i="9"/>
  <c r="I997" i="9"/>
  <c r="H997" i="9"/>
  <c r="G997" i="9"/>
  <c r="F997" i="9"/>
  <c r="E997" i="9"/>
  <c r="D997" i="9"/>
  <c r="C997" i="9"/>
  <c r="B997" i="9"/>
  <c r="A997" i="9"/>
  <c r="M996" i="9"/>
  <c r="L996" i="9"/>
  <c r="K996" i="9"/>
  <c r="J996" i="9"/>
  <c r="I996" i="9"/>
  <c r="H996" i="9"/>
  <c r="G996" i="9"/>
  <c r="F996" i="9"/>
  <c r="E996" i="9"/>
  <c r="D996" i="9"/>
  <c r="C996" i="9"/>
  <c r="B996" i="9"/>
  <c r="A996" i="9"/>
  <c r="M995" i="9"/>
  <c r="L995" i="9"/>
  <c r="K995" i="9"/>
  <c r="J995" i="9"/>
  <c r="I995" i="9"/>
  <c r="H995" i="9"/>
  <c r="G995" i="9"/>
  <c r="F995" i="9"/>
  <c r="E995" i="9"/>
  <c r="D995" i="9"/>
  <c r="C995" i="9"/>
  <c r="B995" i="9"/>
  <c r="A995" i="9"/>
  <c r="M994" i="9"/>
  <c r="L994" i="9"/>
  <c r="K994" i="9"/>
  <c r="J994" i="9"/>
  <c r="I994" i="9"/>
  <c r="H994" i="9"/>
  <c r="G994" i="9"/>
  <c r="F994" i="9"/>
  <c r="E994" i="9"/>
  <c r="D994" i="9"/>
  <c r="C994" i="9"/>
  <c r="B994" i="9"/>
  <c r="A994" i="9"/>
  <c r="M993" i="9"/>
  <c r="L993" i="9"/>
  <c r="K993" i="9"/>
  <c r="J993" i="9"/>
  <c r="I993" i="9"/>
  <c r="H993" i="9"/>
  <c r="G993" i="9"/>
  <c r="F993" i="9"/>
  <c r="E993" i="9"/>
  <c r="D993" i="9"/>
  <c r="C993" i="9"/>
  <c r="B993" i="9"/>
  <c r="A993" i="9"/>
  <c r="M992" i="9"/>
  <c r="L992" i="9"/>
  <c r="K992" i="9"/>
  <c r="J992" i="9"/>
  <c r="I992" i="9"/>
  <c r="H992" i="9"/>
  <c r="G992" i="9"/>
  <c r="F992" i="9"/>
  <c r="E992" i="9"/>
  <c r="D992" i="9"/>
  <c r="C992" i="9"/>
  <c r="B992" i="9"/>
  <c r="A992" i="9"/>
  <c r="M991" i="9"/>
  <c r="L991" i="9"/>
  <c r="K991" i="9"/>
  <c r="J991" i="9"/>
  <c r="I991" i="9"/>
  <c r="H991" i="9"/>
  <c r="G991" i="9"/>
  <c r="F991" i="9"/>
  <c r="E991" i="9"/>
  <c r="D991" i="9"/>
  <c r="C991" i="9"/>
  <c r="B991" i="9"/>
  <c r="A991" i="9"/>
  <c r="M990" i="9"/>
  <c r="L990" i="9"/>
  <c r="K990" i="9"/>
  <c r="J990" i="9"/>
  <c r="I990" i="9"/>
  <c r="H990" i="9"/>
  <c r="G990" i="9"/>
  <c r="F990" i="9"/>
  <c r="E990" i="9"/>
  <c r="D990" i="9"/>
  <c r="C990" i="9"/>
  <c r="B990" i="9"/>
  <c r="A990" i="9"/>
  <c r="M989" i="9"/>
  <c r="L989" i="9"/>
  <c r="K989" i="9"/>
  <c r="J989" i="9"/>
  <c r="I989" i="9"/>
  <c r="H989" i="9"/>
  <c r="G989" i="9"/>
  <c r="F989" i="9"/>
  <c r="E989" i="9"/>
  <c r="D989" i="9"/>
  <c r="C989" i="9"/>
  <c r="B989" i="9"/>
  <c r="A989" i="9"/>
  <c r="M988" i="9"/>
  <c r="L988" i="9"/>
  <c r="K988" i="9"/>
  <c r="J988" i="9"/>
  <c r="I988" i="9"/>
  <c r="H988" i="9"/>
  <c r="G988" i="9"/>
  <c r="F988" i="9"/>
  <c r="E988" i="9"/>
  <c r="D988" i="9"/>
  <c r="C988" i="9"/>
  <c r="B988" i="9"/>
  <c r="A988" i="9"/>
  <c r="M987" i="9"/>
  <c r="L987" i="9"/>
  <c r="K987" i="9"/>
  <c r="J987" i="9"/>
  <c r="I987" i="9"/>
  <c r="H987" i="9"/>
  <c r="G987" i="9"/>
  <c r="F987" i="9"/>
  <c r="E987" i="9"/>
  <c r="D987" i="9"/>
  <c r="C987" i="9"/>
  <c r="B987" i="9"/>
  <c r="A987" i="9"/>
  <c r="M986" i="9"/>
  <c r="L986" i="9"/>
  <c r="K986" i="9"/>
  <c r="J986" i="9"/>
  <c r="I986" i="9"/>
  <c r="H986" i="9"/>
  <c r="G986" i="9"/>
  <c r="F986" i="9"/>
  <c r="E986" i="9"/>
  <c r="D986" i="9"/>
  <c r="C986" i="9"/>
  <c r="B986" i="9"/>
  <c r="A986" i="9"/>
  <c r="M985" i="9"/>
  <c r="L985" i="9"/>
  <c r="K985" i="9"/>
  <c r="J985" i="9"/>
  <c r="I985" i="9"/>
  <c r="H985" i="9"/>
  <c r="G985" i="9"/>
  <c r="F985" i="9"/>
  <c r="E985" i="9"/>
  <c r="D985" i="9"/>
  <c r="C985" i="9"/>
  <c r="B985" i="9"/>
  <c r="A985" i="9"/>
  <c r="M984" i="9"/>
  <c r="L984" i="9"/>
  <c r="K984" i="9"/>
  <c r="J984" i="9"/>
  <c r="I984" i="9"/>
  <c r="H984" i="9"/>
  <c r="G984" i="9"/>
  <c r="F984" i="9"/>
  <c r="E984" i="9"/>
  <c r="D984" i="9"/>
  <c r="C984" i="9"/>
  <c r="B984" i="9"/>
  <c r="A984" i="9"/>
  <c r="M983" i="9"/>
  <c r="L983" i="9"/>
  <c r="K983" i="9"/>
  <c r="J983" i="9"/>
  <c r="I983" i="9"/>
  <c r="H983" i="9"/>
  <c r="G983" i="9"/>
  <c r="F983" i="9"/>
  <c r="E983" i="9"/>
  <c r="D983" i="9"/>
  <c r="C983" i="9"/>
  <c r="B983" i="9"/>
  <c r="A983" i="9"/>
  <c r="M982" i="9"/>
  <c r="L982" i="9"/>
  <c r="K982" i="9"/>
  <c r="J982" i="9"/>
  <c r="I982" i="9"/>
  <c r="H982" i="9"/>
  <c r="G982" i="9"/>
  <c r="F982" i="9"/>
  <c r="E982" i="9"/>
  <c r="D982" i="9"/>
  <c r="C982" i="9"/>
  <c r="B982" i="9"/>
  <c r="A982" i="9"/>
  <c r="M981" i="9"/>
  <c r="L981" i="9"/>
  <c r="K981" i="9"/>
  <c r="J981" i="9"/>
  <c r="I981" i="9"/>
  <c r="H981" i="9"/>
  <c r="G981" i="9"/>
  <c r="F981" i="9"/>
  <c r="E981" i="9"/>
  <c r="D981" i="9"/>
  <c r="C981" i="9"/>
  <c r="B981" i="9"/>
  <c r="A981" i="9"/>
  <c r="M980" i="9"/>
  <c r="L980" i="9"/>
  <c r="K980" i="9"/>
  <c r="J980" i="9"/>
  <c r="I980" i="9"/>
  <c r="H980" i="9"/>
  <c r="G980" i="9"/>
  <c r="F980" i="9"/>
  <c r="E980" i="9"/>
  <c r="D980" i="9"/>
  <c r="C980" i="9"/>
  <c r="B980" i="9"/>
  <c r="A980" i="9"/>
  <c r="M979" i="9"/>
  <c r="L979" i="9"/>
  <c r="K979" i="9"/>
  <c r="J979" i="9"/>
  <c r="I979" i="9"/>
  <c r="H979" i="9"/>
  <c r="G979" i="9"/>
  <c r="F979" i="9"/>
  <c r="E979" i="9"/>
  <c r="D979" i="9"/>
  <c r="C979" i="9"/>
  <c r="B979" i="9"/>
  <c r="A979" i="9"/>
  <c r="M978" i="9"/>
  <c r="L978" i="9"/>
  <c r="K978" i="9"/>
  <c r="J978" i="9"/>
  <c r="I978" i="9"/>
  <c r="H978" i="9"/>
  <c r="G978" i="9"/>
  <c r="F978" i="9"/>
  <c r="E978" i="9"/>
  <c r="D978" i="9"/>
  <c r="C978" i="9"/>
  <c r="B978" i="9"/>
  <c r="A978" i="9"/>
  <c r="M977" i="9"/>
  <c r="L977" i="9"/>
  <c r="K977" i="9"/>
  <c r="J977" i="9"/>
  <c r="I977" i="9"/>
  <c r="H977" i="9"/>
  <c r="G977" i="9"/>
  <c r="F977" i="9"/>
  <c r="E977" i="9"/>
  <c r="D977" i="9"/>
  <c r="C977" i="9"/>
  <c r="B977" i="9"/>
  <c r="A977" i="9"/>
  <c r="M976" i="9"/>
  <c r="L976" i="9"/>
  <c r="K976" i="9"/>
  <c r="J976" i="9"/>
  <c r="I976" i="9"/>
  <c r="H976" i="9"/>
  <c r="G976" i="9"/>
  <c r="F976" i="9"/>
  <c r="E976" i="9"/>
  <c r="D976" i="9"/>
  <c r="C976" i="9"/>
  <c r="B976" i="9"/>
  <c r="A976" i="9"/>
  <c r="M975" i="9"/>
  <c r="L975" i="9"/>
  <c r="K975" i="9"/>
  <c r="J975" i="9"/>
  <c r="I975" i="9"/>
  <c r="H975" i="9"/>
  <c r="G975" i="9"/>
  <c r="F975" i="9"/>
  <c r="E975" i="9"/>
  <c r="D975" i="9"/>
  <c r="C975" i="9"/>
  <c r="B975" i="9"/>
  <c r="A975" i="9"/>
  <c r="M974" i="9"/>
  <c r="L974" i="9"/>
  <c r="K974" i="9"/>
  <c r="J974" i="9"/>
  <c r="I974" i="9"/>
  <c r="H974" i="9"/>
  <c r="G974" i="9"/>
  <c r="F974" i="9"/>
  <c r="E974" i="9"/>
  <c r="D974" i="9"/>
  <c r="C974" i="9"/>
  <c r="B974" i="9"/>
  <c r="A974" i="9"/>
  <c r="M973" i="9"/>
  <c r="L973" i="9"/>
  <c r="K973" i="9"/>
  <c r="J973" i="9"/>
  <c r="I973" i="9"/>
  <c r="H973" i="9"/>
  <c r="G973" i="9"/>
  <c r="F973" i="9"/>
  <c r="E973" i="9"/>
  <c r="D973" i="9"/>
  <c r="C973" i="9"/>
  <c r="B973" i="9"/>
  <c r="A973" i="9"/>
  <c r="M972" i="9"/>
  <c r="L972" i="9"/>
  <c r="K972" i="9"/>
  <c r="J972" i="9"/>
  <c r="I972" i="9"/>
  <c r="H972" i="9"/>
  <c r="G972" i="9"/>
  <c r="F972" i="9"/>
  <c r="E972" i="9"/>
  <c r="D972" i="9"/>
  <c r="C972" i="9"/>
  <c r="B972" i="9"/>
  <c r="A972" i="9"/>
  <c r="M971" i="9"/>
  <c r="L971" i="9"/>
  <c r="K971" i="9"/>
  <c r="J971" i="9"/>
  <c r="I971" i="9"/>
  <c r="H971" i="9"/>
  <c r="G971" i="9"/>
  <c r="F971" i="9"/>
  <c r="E971" i="9"/>
  <c r="D971" i="9"/>
  <c r="C971" i="9"/>
  <c r="B971" i="9"/>
  <c r="A971" i="9"/>
  <c r="M970" i="9"/>
  <c r="L970" i="9"/>
  <c r="K970" i="9"/>
  <c r="J970" i="9"/>
  <c r="I970" i="9"/>
  <c r="H970" i="9"/>
  <c r="G970" i="9"/>
  <c r="F970" i="9"/>
  <c r="E970" i="9"/>
  <c r="D970" i="9"/>
  <c r="C970" i="9"/>
  <c r="B970" i="9"/>
  <c r="A970" i="9"/>
  <c r="M969" i="9"/>
  <c r="L969" i="9"/>
  <c r="K969" i="9"/>
  <c r="J969" i="9"/>
  <c r="I969" i="9"/>
  <c r="H969" i="9"/>
  <c r="G969" i="9"/>
  <c r="F969" i="9"/>
  <c r="E969" i="9"/>
  <c r="D969" i="9"/>
  <c r="C969" i="9"/>
  <c r="B969" i="9"/>
  <c r="A969" i="9"/>
  <c r="M968" i="9"/>
  <c r="L968" i="9"/>
  <c r="K968" i="9"/>
  <c r="J968" i="9"/>
  <c r="I968" i="9"/>
  <c r="H968" i="9"/>
  <c r="G968" i="9"/>
  <c r="F968" i="9"/>
  <c r="E968" i="9"/>
  <c r="D968" i="9"/>
  <c r="C968" i="9"/>
  <c r="B968" i="9"/>
  <c r="A968" i="9"/>
  <c r="M967" i="9"/>
  <c r="L967" i="9"/>
  <c r="K967" i="9"/>
  <c r="J967" i="9"/>
  <c r="I967" i="9"/>
  <c r="H967" i="9"/>
  <c r="G967" i="9"/>
  <c r="F967" i="9"/>
  <c r="E967" i="9"/>
  <c r="D967" i="9"/>
  <c r="C967" i="9"/>
  <c r="B967" i="9"/>
  <c r="A967" i="9"/>
  <c r="M966" i="9"/>
  <c r="L966" i="9"/>
  <c r="K966" i="9"/>
  <c r="J966" i="9"/>
  <c r="I966" i="9"/>
  <c r="H966" i="9"/>
  <c r="G966" i="9"/>
  <c r="F966" i="9"/>
  <c r="E966" i="9"/>
  <c r="D966" i="9"/>
  <c r="C966" i="9"/>
  <c r="B966" i="9"/>
  <c r="A966" i="9"/>
  <c r="M965" i="9"/>
  <c r="L965" i="9"/>
  <c r="K965" i="9"/>
  <c r="J965" i="9"/>
  <c r="I965" i="9"/>
  <c r="H965" i="9"/>
  <c r="G965" i="9"/>
  <c r="F965" i="9"/>
  <c r="E965" i="9"/>
  <c r="D965" i="9"/>
  <c r="C965" i="9"/>
  <c r="B965" i="9"/>
  <c r="A965" i="9"/>
  <c r="M964" i="9"/>
  <c r="L964" i="9"/>
  <c r="K964" i="9"/>
  <c r="J964" i="9"/>
  <c r="I964" i="9"/>
  <c r="H964" i="9"/>
  <c r="G964" i="9"/>
  <c r="F964" i="9"/>
  <c r="E964" i="9"/>
  <c r="D964" i="9"/>
  <c r="C964" i="9"/>
  <c r="B964" i="9"/>
  <c r="A964" i="9"/>
  <c r="M963" i="9"/>
  <c r="L963" i="9"/>
  <c r="K963" i="9"/>
  <c r="J963" i="9"/>
  <c r="I963" i="9"/>
  <c r="H963" i="9"/>
  <c r="G963" i="9"/>
  <c r="F963" i="9"/>
  <c r="E963" i="9"/>
  <c r="D963" i="9"/>
  <c r="C963" i="9"/>
  <c r="B963" i="9"/>
  <c r="A963" i="9"/>
  <c r="M962" i="9"/>
  <c r="L962" i="9"/>
  <c r="K962" i="9"/>
  <c r="J962" i="9"/>
  <c r="I962" i="9"/>
  <c r="H962" i="9"/>
  <c r="G962" i="9"/>
  <c r="F962" i="9"/>
  <c r="E962" i="9"/>
  <c r="D962" i="9"/>
  <c r="C962" i="9"/>
  <c r="B962" i="9"/>
  <c r="A962" i="9"/>
  <c r="M961" i="9"/>
  <c r="L961" i="9"/>
  <c r="K961" i="9"/>
  <c r="J961" i="9"/>
  <c r="I961" i="9"/>
  <c r="H961" i="9"/>
  <c r="G961" i="9"/>
  <c r="F961" i="9"/>
  <c r="E961" i="9"/>
  <c r="D961" i="9"/>
  <c r="C961" i="9"/>
  <c r="B961" i="9"/>
  <c r="A961" i="9"/>
  <c r="M960" i="9"/>
  <c r="L960" i="9"/>
  <c r="K960" i="9"/>
  <c r="J960" i="9"/>
  <c r="I960" i="9"/>
  <c r="H960" i="9"/>
  <c r="G960" i="9"/>
  <c r="F960" i="9"/>
  <c r="E960" i="9"/>
  <c r="D960" i="9"/>
  <c r="C960" i="9"/>
  <c r="B960" i="9"/>
  <c r="A960" i="9"/>
  <c r="M959" i="9"/>
  <c r="L959" i="9"/>
  <c r="K959" i="9"/>
  <c r="J959" i="9"/>
  <c r="I959" i="9"/>
  <c r="H959" i="9"/>
  <c r="G959" i="9"/>
  <c r="F959" i="9"/>
  <c r="E959" i="9"/>
  <c r="D959" i="9"/>
  <c r="C959" i="9"/>
  <c r="B959" i="9"/>
  <c r="A959" i="9"/>
  <c r="M958" i="9"/>
  <c r="L958" i="9"/>
  <c r="K958" i="9"/>
  <c r="J958" i="9"/>
  <c r="I958" i="9"/>
  <c r="H958" i="9"/>
  <c r="G958" i="9"/>
  <c r="F958" i="9"/>
  <c r="E958" i="9"/>
  <c r="D958" i="9"/>
  <c r="C958" i="9"/>
  <c r="B958" i="9"/>
  <c r="A958" i="9"/>
  <c r="M957" i="9"/>
  <c r="L957" i="9"/>
  <c r="K957" i="9"/>
  <c r="J957" i="9"/>
  <c r="I957" i="9"/>
  <c r="H957" i="9"/>
  <c r="G957" i="9"/>
  <c r="F957" i="9"/>
  <c r="E957" i="9"/>
  <c r="D957" i="9"/>
  <c r="C957" i="9"/>
  <c r="B957" i="9"/>
  <c r="A957" i="9"/>
  <c r="M956" i="9"/>
  <c r="L956" i="9"/>
  <c r="K956" i="9"/>
  <c r="J956" i="9"/>
  <c r="I956" i="9"/>
  <c r="H956" i="9"/>
  <c r="G956" i="9"/>
  <c r="F956" i="9"/>
  <c r="E956" i="9"/>
  <c r="D956" i="9"/>
  <c r="C956" i="9"/>
  <c r="B956" i="9"/>
  <c r="A956" i="9"/>
  <c r="M955" i="9"/>
  <c r="L955" i="9"/>
  <c r="K955" i="9"/>
  <c r="J955" i="9"/>
  <c r="I955" i="9"/>
  <c r="H955" i="9"/>
  <c r="G955" i="9"/>
  <c r="F955" i="9"/>
  <c r="E955" i="9"/>
  <c r="D955" i="9"/>
  <c r="C955" i="9"/>
  <c r="B955" i="9"/>
  <c r="A955" i="9"/>
  <c r="M954" i="9"/>
  <c r="L954" i="9"/>
  <c r="K954" i="9"/>
  <c r="J954" i="9"/>
  <c r="I954" i="9"/>
  <c r="H954" i="9"/>
  <c r="G954" i="9"/>
  <c r="F954" i="9"/>
  <c r="E954" i="9"/>
  <c r="D954" i="9"/>
  <c r="C954" i="9"/>
  <c r="B954" i="9"/>
  <c r="A954" i="9"/>
  <c r="M953" i="9"/>
  <c r="L953" i="9"/>
  <c r="K953" i="9"/>
  <c r="J953" i="9"/>
  <c r="I953" i="9"/>
  <c r="H953" i="9"/>
  <c r="G953" i="9"/>
  <c r="F953" i="9"/>
  <c r="E953" i="9"/>
  <c r="D953" i="9"/>
  <c r="C953" i="9"/>
  <c r="B953" i="9"/>
  <c r="A953" i="9"/>
  <c r="M952" i="9"/>
  <c r="L952" i="9"/>
  <c r="K952" i="9"/>
  <c r="J952" i="9"/>
  <c r="I952" i="9"/>
  <c r="H952" i="9"/>
  <c r="G952" i="9"/>
  <c r="F952" i="9"/>
  <c r="E952" i="9"/>
  <c r="D952" i="9"/>
  <c r="C952" i="9"/>
  <c r="B952" i="9"/>
  <c r="A952" i="9"/>
  <c r="M951" i="9"/>
  <c r="L951" i="9"/>
  <c r="K951" i="9"/>
  <c r="J951" i="9"/>
  <c r="I951" i="9"/>
  <c r="H951" i="9"/>
  <c r="G951" i="9"/>
  <c r="F951" i="9"/>
  <c r="E951" i="9"/>
  <c r="D951" i="9"/>
  <c r="C951" i="9"/>
  <c r="B951" i="9"/>
  <c r="A951" i="9"/>
  <c r="M950" i="9"/>
  <c r="L950" i="9"/>
  <c r="K950" i="9"/>
  <c r="J950" i="9"/>
  <c r="I950" i="9"/>
  <c r="H950" i="9"/>
  <c r="G950" i="9"/>
  <c r="F950" i="9"/>
  <c r="E950" i="9"/>
  <c r="D950" i="9"/>
  <c r="C950" i="9"/>
  <c r="B950" i="9"/>
  <c r="A950" i="9"/>
  <c r="M949" i="9"/>
  <c r="L949" i="9"/>
  <c r="K949" i="9"/>
  <c r="J949" i="9"/>
  <c r="I949" i="9"/>
  <c r="H949" i="9"/>
  <c r="G949" i="9"/>
  <c r="F949" i="9"/>
  <c r="E949" i="9"/>
  <c r="D949" i="9"/>
  <c r="C949" i="9"/>
  <c r="B949" i="9"/>
  <c r="A949" i="9"/>
  <c r="M948" i="9"/>
  <c r="L948" i="9"/>
  <c r="K948" i="9"/>
  <c r="J948" i="9"/>
  <c r="I948" i="9"/>
  <c r="H948" i="9"/>
  <c r="G948" i="9"/>
  <c r="F948" i="9"/>
  <c r="E948" i="9"/>
  <c r="D948" i="9"/>
  <c r="C948" i="9"/>
  <c r="B948" i="9"/>
  <c r="A948" i="9"/>
  <c r="M947" i="9"/>
  <c r="L947" i="9"/>
  <c r="K947" i="9"/>
  <c r="J947" i="9"/>
  <c r="I947" i="9"/>
  <c r="H947" i="9"/>
  <c r="G947" i="9"/>
  <c r="F947" i="9"/>
  <c r="E947" i="9"/>
  <c r="D947" i="9"/>
  <c r="C947" i="9"/>
  <c r="B947" i="9"/>
  <c r="A947" i="9"/>
  <c r="M946" i="9"/>
  <c r="L946" i="9"/>
  <c r="K946" i="9"/>
  <c r="J946" i="9"/>
  <c r="I946" i="9"/>
  <c r="H946" i="9"/>
  <c r="G946" i="9"/>
  <c r="F946" i="9"/>
  <c r="E946" i="9"/>
  <c r="D946" i="9"/>
  <c r="C946" i="9"/>
  <c r="B946" i="9"/>
  <c r="A946" i="9"/>
  <c r="M945" i="9"/>
  <c r="L945" i="9"/>
  <c r="K945" i="9"/>
  <c r="J945" i="9"/>
  <c r="I945" i="9"/>
  <c r="H945" i="9"/>
  <c r="G945" i="9"/>
  <c r="F945" i="9"/>
  <c r="E945" i="9"/>
  <c r="D945" i="9"/>
  <c r="C945" i="9"/>
  <c r="B945" i="9"/>
  <c r="A945" i="9"/>
  <c r="M944" i="9"/>
  <c r="L944" i="9"/>
  <c r="K944" i="9"/>
  <c r="J944" i="9"/>
  <c r="I944" i="9"/>
  <c r="H944" i="9"/>
  <c r="G944" i="9"/>
  <c r="F944" i="9"/>
  <c r="E944" i="9"/>
  <c r="D944" i="9"/>
  <c r="C944" i="9"/>
  <c r="B944" i="9"/>
  <c r="A944" i="9"/>
  <c r="M943" i="9"/>
  <c r="L943" i="9"/>
  <c r="K943" i="9"/>
  <c r="J943" i="9"/>
  <c r="I943" i="9"/>
  <c r="H943" i="9"/>
  <c r="G943" i="9"/>
  <c r="F943" i="9"/>
  <c r="E943" i="9"/>
  <c r="D943" i="9"/>
  <c r="C943" i="9"/>
  <c r="B943" i="9"/>
  <c r="A943" i="9"/>
  <c r="M942" i="9"/>
  <c r="L942" i="9"/>
  <c r="K942" i="9"/>
  <c r="J942" i="9"/>
  <c r="I942" i="9"/>
  <c r="H942" i="9"/>
  <c r="G942" i="9"/>
  <c r="F942" i="9"/>
  <c r="E942" i="9"/>
  <c r="D942" i="9"/>
  <c r="C942" i="9"/>
  <c r="B942" i="9"/>
  <c r="A942" i="9"/>
  <c r="M941" i="9"/>
  <c r="L941" i="9"/>
  <c r="K941" i="9"/>
  <c r="J941" i="9"/>
  <c r="I941" i="9"/>
  <c r="H941" i="9"/>
  <c r="G941" i="9"/>
  <c r="F941" i="9"/>
  <c r="E941" i="9"/>
  <c r="D941" i="9"/>
  <c r="C941" i="9"/>
  <c r="B941" i="9"/>
  <c r="A941" i="9"/>
  <c r="M940" i="9"/>
  <c r="L940" i="9"/>
  <c r="K940" i="9"/>
  <c r="J940" i="9"/>
  <c r="I940" i="9"/>
  <c r="H940" i="9"/>
  <c r="G940" i="9"/>
  <c r="F940" i="9"/>
  <c r="E940" i="9"/>
  <c r="D940" i="9"/>
  <c r="C940" i="9"/>
  <c r="B940" i="9"/>
  <c r="A940" i="9"/>
  <c r="M939" i="9"/>
  <c r="L939" i="9"/>
  <c r="K939" i="9"/>
  <c r="J939" i="9"/>
  <c r="I939" i="9"/>
  <c r="H939" i="9"/>
  <c r="G939" i="9"/>
  <c r="F939" i="9"/>
  <c r="E939" i="9"/>
  <c r="D939" i="9"/>
  <c r="C939" i="9"/>
  <c r="B939" i="9"/>
  <c r="A939" i="9"/>
  <c r="M938" i="9"/>
  <c r="L938" i="9"/>
  <c r="K938" i="9"/>
  <c r="J938" i="9"/>
  <c r="I938" i="9"/>
  <c r="H938" i="9"/>
  <c r="G938" i="9"/>
  <c r="F938" i="9"/>
  <c r="E938" i="9"/>
  <c r="D938" i="9"/>
  <c r="C938" i="9"/>
  <c r="B938" i="9"/>
  <c r="A938" i="9"/>
  <c r="M937" i="9"/>
  <c r="L937" i="9"/>
  <c r="K937" i="9"/>
  <c r="J937" i="9"/>
  <c r="I937" i="9"/>
  <c r="H937" i="9"/>
  <c r="G937" i="9"/>
  <c r="F937" i="9"/>
  <c r="E937" i="9"/>
  <c r="D937" i="9"/>
  <c r="C937" i="9"/>
  <c r="B937" i="9"/>
  <c r="A937" i="9"/>
  <c r="M936" i="9"/>
  <c r="L936" i="9"/>
  <c r="K936" i="9"/>
  <c r="J936" i="9"/>
  <c r="I936" i="9"/>
  <c r="H936" i="9"/>
  <c r="G936" i="9"/>
  <c r="F936" i="9"/>
  <c r="E936" i="9"/>
  <c r="D936" i="9"/>
  <c r="C936" i="9"/>
  <c r="B936" i="9"/>
  <c r="A936" i="9"/>
  <c r="M935" i="9"/>
  <c r="L935" i="9"/>
  <c r="K935" i="9"/>
  <c r="J935" i="9"/>
  <c r="I935" i="9"/>
  <c r="H935" i="9"/>
  <c r="G935" i="9"/>
  <c r="F935" i="9"/>
  <c r="E935" i="9"/>
  <c r="D935" i="9"/>
  <c r="C935" i="9"/>
  <c r="B935" i="9"/>
  <c r="A935" i="9"/>
  <c r="M934" i="9"/>
  <c r="L934" i="9"/>
  <c r="K934" i="9"/>
  <c r="J934" i="9"/>
  <c r="I934" i="9"/>
  <c r="H934" i="9"/>
  <c r="G934" i="9"/>
  <c r="F934" i="9"/>
  <c r="E934" i="9"/>
  <c r="D934" i="9"/>
  <c r="C934" i="9"/>
  <c r="B934" i="9"/>
  <c r="A934" i="9"/>
  <c r="M933" i="9"/>
  <c r="L933" i="9"/>
  <c r="K933" i="9"/>
  <c r="J933" i="9"/>
  <c r="I933" i="9"/>
  <c r="H933" i="9"/>
  <c r="G933" i="9"/>
  <c r="F933" i="9"/>
  <c r="E933" i="9"/>
  <c r="D933" i="9"/>
  <c r="C933" i="9"/>
  <c r="B933" i="9"/>
  <c r="A933" i="9"/>
  <c r="M932" i="9"/>
  <c r="L932" i="9"/>
  <c r="K932" i="9"/>
  <c r="J932" i="9"/>
  <c r="I932" i="9"/>
  <c r="H932" i="9"/>
  <c r="G932" i="9"/>
  <c r="F932" i="9"/>
  <c r="E932" i="9"/>
  <c r="D932" i="9"/>
  <c r="C932" i="9"/>
  <c r="B932" i="9"/>
  <c r="A932" i="9"/>
  <c r="M931" i="9"/>
  <c r="L931" i="9"/>
  <c r="K931" i="9"/>
  <c r="J931" i="9"/>
  <c r="I931" i="9"/>
  <c r="H931" i="9"/>
  <c r="G931" i="9"/>
  <c r="F931" i="9"/>
  <c r="E931" i="9"/>
  <c r="D931" i="9"/>
  <c r="C931" i="9"/>
  <c r="B931" i="9"/>
  <c r="A931" i="9"/>
  <c r="M930" i="9"/>
  <c r="L930" i="9"/>
  <c r="K930" i="9"/>
  <c r="J930" i="9"/>
  <c r="I930" i="9"/>
  <c r="H930" i="9"/>
  <c r="G930" i="9"/>
  <c r="F930" i="9"/>
  <c r="E930" i="9"/>
  <c r="D930" i="9"/>
  <c r="C930" i="9"/>
  <c r="B930" i="9"/>
  <c r="A930" i="9"/>
  <c r="M929" i="9"/>
  <c r="L929" i="9"/>
  <c r="K929" i="9"/>
  <c r="J929" i="9"/>
  <c r="I929" i="9"/>
  <c r="H929" i="9"/>
  <c r="G929" i="9"/>
  <c r="F929" i="9"/>
  <c r="E929" i="9"/>
  <c r="D929" i="9"/>
  <c r="C929" i="9"/>
  <c r="B929" i="9"/>
  <c r="A929" i="9"/>
  <c r="M928" i="9"/>
  <c r="L928" i="9"/>
  <c r="K928" i="9"/>
  <c r="J928" i="9"/>
  <c r="I928" i="9"/>
  <c r="H928" i="9"/>
  <c r="G928" i="9"/>
  <c r="F928" i="9"/>
  <c r="E928" i="9"/>
  <c r="D928" i="9"/>
  <c r="C928" i="9"/>
  <c r="B928" i="9"/>
  <c r="A928" i="9"/>
  <c r="M927" i="9"/>
  <c r="L927" i="9"/>
  <c r="K927" i="9"/>
  <c r="J927" i="9"/>
  <c r="I927" i="9"/>
  <c r="H927" i="9"/>
  <c r="G927" i="9"/>
  <c r="F927" i="9"/>
  <c r="E927" i="9"/>
  <c r="D927" i="9"/>
  <c r="C927" i="9"/>
  <c r="B927" i="9"/>
  <c r="A927" i="9"/>
  <c r="M926" i="9"/>
  <c r="L926" i="9"/>
  <c r="K926" i="9"/>
  <c r="J926" i="9"/>
  <c r="I926" i="9"/>
  <c r="H926" i="9"/>
  <c r="G926" i="9"/>
  <c r="F926" i="9"/>
  <c r="E926" i="9"/>
  <c r="D926" i="9"/>
  <c r="C926" i="9"/>
  <c r="B926" i="9"/>
  <c r="A926" i="9"/>
  <c r="M925" i="9"/>
  <c r="L925" i="9"/>
  <c r="K925" i="9"/>
  <c r="J925" i="9"/>
  <c r="I925" i="9"/>
  <c r="H925" i="9"/>
  <c r="G925" i="9"/>
  <c r="F925" i="9"/>
  <c r="E925" i="9"/>
  <c r="D925" i="9"/>
  <c r="C925" i="9"/>
  <c r="B925" i="9"/>
  <c r="A925" i="9"/>
  <c r="M924" i="9"/>
  <c r="L924" i="9"/>
  <c r="K924" i="9"/>
  <c r="J924" i="9"/>
  <c r="I924" i="9"/>
  <c r="H924" i="9"/>
  <c r="G924" i="9"/>
  <c r="F924" i="9"/>
  <c r="E924" i="9"/>
  <c r="D924" i="9"/>
  <c r="C924" i="9"/>
  <c r="B924" i="9"/>
  <c r="A924" i="9"/>
  <c r="M923" i="9"/>
  <c r="L923" i="9"/>
  <c r="K923" i="9"/>
  <c r="J923" i="9"/>
  <c r="I923" i="9"/>
  <c r="H923" i="9"/>
  <c r="G923" i="9"/>
  <c r="F923" i="9"/>
  <c r="E923" i="9"/>
  <c r="D923" i="9"/>
  <c r="C923" i="9"/>
  <c r="B923" i="9"/>
  <c r="A923" i="9"/>
  <c r="M922" i="9"/>
  <c r="L922" i="9"/>
  <c r="K922" i="9"/>
  <c r="J922" i="9"/>
  <c r="I922" i="9"/>
  <c r="H922" i="9"/>
  <c r="G922" i="9"/>
  <c r="F922" i="9"/>
  <c r="E922" i="9"/>
  <c r="D922" i="9"/>
  <c r="C922" i="9"/>
  <c r="B922" i="9"/>
  <c r="A922" i="9"/>
  <c r="M921" i="9"/>
  <c r="L921" i="9"/>
  <c r="K921" i="9"/>
  <c r="J921" i="9"/>
  <c r="I921" i="9"/>
  <c r="H921" i="9"/>
  <c r="G921" i="9"/>
  <c r="F921" i="9"/>
  <c r="E921" i="9"/>
  <c r="D921" i="9"/>
  <c r="C921" i="9"/>
  <c r="B921" i="9"/>
  <c r="A921" i="9"/>
  <c r="M920" i="9"/>
  <c r="L920" i="9"/>
  <c r="K920" i="9"/>
  <c r="J920" i="9"/>
  <c r="I920" i="9"/>
  <c r="H920" i="9"/>
  <c r="G920" i="9"/>
  <c r="F920" i="9"/>
  <c r="E920" i="9"/>
  <c r="D920" i="9"/>
  <c r="C920" i="9"/>
  <c r="B920" i="9"/>
  <c r="A920" i="9"/>
  <c r="M919" i="9"/>
  <c r="L919" i="9"/>
  <c r="K919" i="9"/>
  <c r="J919" i="9"/>
  <c r="I919" i="9"/>
  <c r="H919" i="9"/>
  <c r="G919" i="9"/>
  <c r="F919" i="9"/>
  <c r="E919" i="9"/>
  <c r="D919" i="9"/>
  <c r="C919" i="9"/>
  <c r="B919" i="9"/>
  <c r="A919" i="9"/>
  <c r="M918" i="9"/>
  <c r="L918" i="9"/>
  <c r="K918" i="9"/>
  <c r="J918" i="9"/>
  <c r="I918" i="9"/>
  <c r="H918" i="9"/>
  <c r="G918" i="9"/>
  <c r="F918" i="9"/>
  <c r="E918" i="9"/>
  <c r="D918" i="9"/>
  <c r="C918" i="9"/>
  <c r="B918" i="9"/>
  <c r="A918" i="9"/>
  <c r="M917" i="9"/>
  <c r="L917" i="9"/>
  <c r="K917" i="9"/>
  <c r="J917" i="9"/>
  <c r="I917" i="9"/>
  <c r="H917" i="9"/>
  <c r="G917" i="9"/>
  <c r="F917" i="9"/>
  <c r="E917" i="9"/>
  <c r="D917" i="9"/>
  <c r="C917" i="9"/>
  <c r="B917" i="9"/>
  <c r="A917" i="9"/>
  <c r="M916" i="9"/>
  <c r="L916" i="9"/>
  <c r="K916" i="9"/>
  <c r="J916" i="9"/>
  <c r="I916" i="9"/>
  <c r="H916" i="9"/>
  <c r="G916" i="9"/>
  <c r="F916" i="9"/>
  <c r="E916" i="9"/>
  <c r="D916" i="9"/>
  <c r="C916" i="9"/>
  <c r="B916" i="9"/>
  <c r="A916" i="9"/>
  <c r="M915" i="9"/>
  <c r="L915" i="9"/>
  <c r="K915" i="9"/>
  <c r="J915" i="9"/>
  <c r="I915" i="9"/>
  <c r="H915" i="9"/>
  <c r="G915" i="9"/>
  <c r="F915" i="9"/>
  <c r="E915" i="9"/>
  <c r="D915" i="9"/>
  <c r="C915" i="9"/>
  <c r="B915" i="9"/>
  <c r="A915" i="9"/>
  <c r="M914" i="9"/>
  <c r="L914" i="9"/>
  <c r="K914" i="9"/>
  <c r="J914" i="9"/>
  <c r="I914" i="9"/>
  <c r="H914" i="9"/>
  <c r="G914" i="9"/>
  <c r="F914" i="9"/>
  <c r="E914" i="9"/>
  <c r="D914" i="9"/>
  <c r="C914" i="9"/>
  <c r="B914" i="9"/>
  <c r="A914" i="9"/>
  <c r="M913" i="9"/>
  <c r="L913" i="9"/>
  <c r="K913" i="9"/>
  <c r="J913" i="9"/>
  <c r="I913" i="9"/>
  <c r="H913" i="9"/>
  <c r="G913" i="9"/>
  <c r="F913" i="9"/>
  <c r="E913" i="9"/>
  <c r="D913" i="9"/>
  <c r="C913" i="9"/>
  <c r="B913" i="9"/>
  <c r="A913" i="9"/>
  <c r="M912" i="9"/>
  <c r="L912" i="9"/>
  <c r="K912" i="9"/>
  <c r="J912" i="9"/>
  <c r="I912" i="9"/>
  <c r="H912" i="9"/>
  <c r="G912" i="9"/>
  <c r="F912" i="9"/>
  <c r="E912" i="9"/>
  <c r="D912" i="9"/>
  <c r="C912" i="9"/>
  <c r="B912" i="9"/>
  <c r="A912" i="9"/>
  <c r="M911" i="9"/>
  <c r="L911" i="9"/>
  <c r="K911" i="9"/>
  <c r="J911" i="9"/>
  <c r="I911" i="9"/>
  <c r="H911" i="9"/>
  <c r="G911" i="9"/>
  <c r="F911" i="9"/>
  <c r="E911" i="9"/>
  <c r="D911" i="9"/>
  <c r="C911" i="9"/>
  <c r="B911" i="9"/>
  <c r="A911" i="9"/>
  <c r="M910" i="9"/>
  <c r="L910" i="9"/>
  <c r="K910" i="9"/>
  <c r="J910" i="9"/>
  <c r="I910" i="9"/>
  <c r="H910" i="9"/>
  <c r="G910" i="9"/>
  <c r="F910" i="9"/>
  <c r="E910" i="9"/>
  <c r="D910" i="9"/>
  <c r="C910" i="9"/>
  <c r="B910" i="9"/>
  <c r="A910" i="9"/>
  <c r="M909" i="9"/>
  <c r="L909" i="9"/>
  <c r="K909" i="9"/>
  <c r="J909" i="9"/>
  <c r="I909" i="9"/>
  <c r="H909" i="9"/>
  <c r="G909" i="9"/>
  <c r="F909" i="9"/>
  <c r="E909" i="9"/>
  <c r="D909" i="9"/>
  <c r="C909" i="9"/>
  <c r="B909" i="9"/>
  <c r="A909" i="9"/>
  <c r="M908" i="9"/>
  <c r="L908" i="9"/>
  <c r="K908" i="9"/>
  <c r="J908" i="9"/>
  <c r="I908" i="9"/>
  <c r="H908" i="9"/>
  <c r="G908" i="9"/>
  <c r="F908" i="9"/>
  <c r="E908" i="9"/>
  <c r="D908" i="9"/>
  <c r="C908" i="9"/>
  <c r="B908" i="9"/>
  <c r="A908" i="9"/>
  <c r="M907" i="9"/>
  <c r="L907" i="9"/>
  <c r="K907" i="9"/>
  <c r="J907" i="9"/>
  <c r="I907" i="9"/>
  <c r="H907" i="9"/>
  <c r="G907" i="9"/>
  <c r="F907" i="9"/>
  <c r="E907" i="9"/>
  <c r="D907" i="9"/>
  <c r="C907" i="9"/>
  <c r="B907" i="9"/>
  <c r="A907" i="9"/>
  <c r="M906" i="9"/>
  <c r="L906" i="9"/>
  <c r="K906" i="9"/>
  <c r="J906" i="9"/>
  <c r="I906" i="9"/>
  <c r="H906" i="9"/>
  <c r="G906" i="9"/>
  <c r="F906" i="9"/>
  <c r="E906" i="9"/>
  <c r="D906" i="9"/>
  <c r="C906" i="9"/>
  <c r="B906" i="9"/>
  <c r="A906" i="9"/>
  <c r="M905" i="9"/>
  <c r="L905" i="9"/>
  <c r="K905" i="9"/>
  <c r="J905" i="9"/>
  <c r="I905" i="9"/>
  <c r="H905" i="9"/>
  <c r="G905" i="9"/>
  <c r="F905" i="9"/>
  <c r="E905" i="9"/>
  <c r="D905" i="9"/>
  <c r="C905" i="9"/>
  <c r="B905" i="9"/>
  <c r="A905" i="9"/>
  <c r="M904" i="9"/>
  <c r="L904" i="9"/>
  <c r="K904" i="9"/>
  <c r="J904" i="9"/>
  <c r="I904" i="9"/>
  <c r="H904" i="9"/>
  <c r="G904" i="9"/>
  <c r="F904" i="9"/>
  <c r="E904" i="9"/>
  <c r="D904" i="9"/>
  <c r="C904" i="9"/>
  <c r="B904" i="9"/>
  <c r="A904" i="9"/>
  <c r="M903" i="9"/>
  <c r="L903" i="9"/>
  <c r="K903" i="9"/>
  <c r="J903" i="9"/>
  <c r="I903" i="9"/>
  <c r="H903" i="9"/>
  <c r="G903" i="9"/>
  <c r="F903" i="9"/>
  <c r="E903" i="9"/>
  <c r="D903" i="9"/>
  <c r="C903" i="9"/>
  <c r="B903" i="9"/>
  <c r="A903" i="9"/>
  <c r="M902" i="9"/>
  <c r="L902" i="9"/>
  <c r="K902" i="9"/>
  <c r="J902" i="9"/>
  <c r="I902" i="9"/>
  <c r="H902" i="9"/>
  <c r="G902" i="9"/>
  <c r="F902" i="9"/>
  <c r="E902" i="9"/>
  <c r="D902" i="9"/>
  <c r="C902" i="9"/>
  <c r="B902" i="9"/>
  <c r="A902" i="9"/>
  <c r="M901" i="9"/>
  <c r="L901" i="9"/>
  <c r="K901" i="9"/>
  <c r="J901" i="9"/>
  <c r="I901" i="9"/>
  <c r="H901" i="9"/>
  <c r="G901" i="9"/>
  <c r="F901" i="9"/>
  <c r="E901" i="9"/>
  <c r="D901" i="9"/>
  <c r="C901" i="9"/>
  <c r="B901" i="9"/>
  <c r="A901" i="9"/>
  <c r="M900" i="9"/>
  <c r="L900" i="9"/>
  <c r="K900" i="9"/>
  <c r="J900" i="9"/>
  <c r="I900" i="9"/>
  <c r="H900" i="9"/>
  <c r="G900" i="9"/>
  <c r="F900" i="9"/>
  <c r="E900" i="9"/>
  <c r="D900" i="9"/>
  <c r="C900" i="9"/>
  <c r="B900" i="9"/>
  <c r="A900" i="9"/>
  <c r="M899" i="9"/>
  <c r="L899" i="9"/>
  <c r="K899" i="9"/>
  <c r="J899" i="9"/>
  <c r="I899" i="9"/>
  <c r="H899" i="9"/>
  <c r="G899" i="9"/>
  <c r="F899" i="9"/>
  <c r="E899" i="9"/>
  <c r="D899" i="9"/>
  <c r="C899" i="9"/>
  <c r="B899" i="9"/>
  <c r="A899" i="9"/>
  <c r="M898" i="9"/>
  <c r="L898" i="9"/>
  <c r="K898" i="9"/>
  <c r="J898" i="9"/>
  <c r="I898" i="9"/>
  <c r="H898" i="9"/>
  <c r="G898" i="9"/>
  <c r="F898" i="9"/>
  <c r="E898" i="9"/>
  <c r="D898" i="9"/>
  <c r="C898" i="9"/>
  <c r="B898" i="9"/>
  <c r="A898" i="9"/>
  <c r="M897" i="9"/>
  <c r="L897" i="9"/>
  <c r="K897" i="9"/>
  <c r="J897" i="9"/>
  <c r="I897" i="9"/>
  <c r="H897" i="9"/>
  <c r="G897" i="9"/>
  <c r="F897" i="9"/>
  <c r="E897" i="9"/>
  <c r="D897" i="9"/>
  <c r="C897" i="9"/>
  <c r="B897" i="9"/>
  <c r="A897" i="9"/>
  <c r="M896" i="9"/>
  <c r="L896" i="9"/>
  <c r="K896" i="9"/>
  <c r="J896" i="9"/>
  <c r="I896" i="9"/>
  <c r="H896" i="9"/>
  <c r="G896" i="9"/>
  <c r="F896" i="9"/>
  <c r="E896" i="9"/>
  <c r="D896" i="9"/>
  <c r="C896" i="9"/>
  <c r="B896" i="9"/>
  <c r="A896" i="9"/>
  <c r="M895" i="9"/>
  <c r="L895" i="9"/>
  <c r="K895" i="9"/>
  <c r="J895" i="9"/>
  <c r="I895" i="9"/>
  <c r="H895" i="9"/>
  <c r="G895" i="9"/>
  <c r="F895" i="9"/>
  <c r="E895" i="9"/>
  <c r="D895" i="9"/>
  <c r="C895" i="9"/>
  <c r="B895" i="9"/>
  <c r="A895" i="9"/>
  <c r="M894" i="9"/>
  <c r="L894" i="9"/>
  <c r="K894" i="9"/>
  <c r="J894" i="9"/>
  <c r="I894" i="9"/>
  <c r="H894" i="9"/>
  <c r="G894" i="9"/>
  <c r="F894" i="9"/>
  <c r="E894" i="9"/>
  <c r="D894" i="9"/>
  <c r="C894" i="9"/>
  <c r="B894" i="9"/>
  <c r="A894" i="9"/>
  <c r="M893" i="9"/>
  <c r="L893" i="9"/>
  <c r="K893" i="9"/>
  <c r="J893" i="9"/>
  <c r="I893" i="9"/>
  <c r="H893" i="9"/>
  <c r="G893" i="9"/>
  <c r="F893" i="9"/>
  <c r="E893" i="9"/>
  <c r="D893" i="9"/>
  <c r="C893" i="9"/>
  <c r="B893" i="9"/>
  <c r="A893" i="9"/>
  <c r="M892" i="9"/>
  <c r="L892" i="9"/>
  <c r="K892" i="9"/>
  <c r="J892" i="9"/>
  <c r="I892" i="9"/>
  <c r="H892" i="9"/>
  <c r="G892" i="9"/>
  <c r="F892" i="9"/>
  <c r="E892" i="9"/>
  <c r="D892" i="9"/>
  <c r="C892" i="9"/>
  <c r="B892" i="9"/>
  <c r="A892" i="9"/>
  <c r="M891" i="9"/>
  <c r="L891" i="9"/>
  <c r="K891" i="9"/>
  <c r="J891" i="9"/>
  <c r="I891" i="9"/>
  <c r="H891" i="9"/>
  <c r="G891" i="9"/>
  <c r="F891" i="9"/>
  <c r="E891" i="9"/>
  <c r="D891" i="9"/>
  <c r="C891" i="9"/>
  <c r="B891" i="9"/>
  <c r="A891" i="9"/>
  <c r="M890" i="9"/>
  <c r="L890" i="9"/>
  <c r="K890" i="9"/>
  <c r="J890" i="9"/>
  <c r="I890" i="9"/>
  <c r="H890" i="9"/>
  <c r="G890" i="9"/>
  <c r="F890" i="9"/>
  <c r="E890" i="9"/>
  <c r="D890" i="9"/>
  <c r="C890" i="9"/>
  <c r="B890" i="9"/>
  <c r="A890" i="9"/>
  <c r="M889" i="9"/>
  <c r="L889" i="9"/>
  <c r="K889" i="9"/>
  <c r="J889" i="9"/>
  <c r="I889" i="9"/>
  <c r="H889" i="9"/>
  <c r="G889" i="9"/>
  <c r="F889" i="9"/>
  <c r="E889" i="9"/>
  <c r="D889" i="9"/>
  <c r="C889" i="9"/>
  <c r="B889" i="9"/>
  <c r="A889" i="9"/>
  <c r="M888" i="9"/>
  <c r="L888" i="9"/>
  <c r="K888" i="9"/>
  <c r="J888" i="9"/>
  <c r="I888" i="9"/>
  <c r="H888" i="9"/>
  <c r="G888" i="9"/>
  <c r="F888" i="9"/>
  <c r="E888" i="9"/>
  <c r="D888" i="9"/>
  <c r="C888" i="9"/>
  <c r="B888" i="9"/>
  <c r="A888" i="9"/>
  <c r="M887" i="9"/>
  <c r="L887" i="9"/>
  <c r="K887" i="9"/>
  <c r="J887" i="9"/>
  <c r="I887" i="9"/>
  <c r="H887" i="9"/>
  <c r="G887" i="9"/>
  <c r="F887" i="9"/>
  <c r="E887" i="9"/>
  <c r="D887" i="9"/>
  <c r="C887" i="9"/>
  <c r="B887" i="9"/>
  <c r="A887" i="9"/>
  <c r="M886" i="9"/>
  <c r="L886" i="9"/>
  <c r="K886" i="9"/>
  <c r="J886" i="9"/>
  <c r="I886" i="9"/>
  <c r="H886" i="9"/>
  <c r="G886" i="9"/>
  <c r="F886" i="9"/>
  <c r="E886" i="9"/>
  <c r="D886" i="9"/>
  <c r="C886" i="9"/>
  <c r="B886" i="9"/>
  <c r="A886" i="9"/>
  <c r="M885" i="9"/>
  <c r="L885" i="9"/>
  <c r="K885" i="9"/>
  <c r="J885" i="9"/>
  <c r="I885" i="9"/>
  <c r="H885" i="9"/>
  <c r="G885" i="9"/>
  <c r="F885" i="9"/>
  <c r="E885" i="9"/>
  <c r="D885" i="9"/>
  <c r="C885" i="9"/>
  <c r="B885" i="9"/>
  <c r="A885" i="9"/>
  <c r="M884" i="9"/>
  <c r="L884" i="9"/>
  <c r="K884" i="9"/>
  <c r="J884" i="9"/>
  <c r="I884" i="9"/>
  <c r="H884" i="9"/>
  <c r="G884" i="9"/>
  <c r="F884" i="9"/>
  <c r="E884" i="9"/>
  <c r="D884" i="9"/>
  <c r="C884" i="9"/>
  <c r="B884" i="9"/>
  <c r="A884" i="9"/>
  <c r="M883" i="9"/>
  <c r="L883" i="9"/>
  <c r="K883" i="9"/>
  <c r="J883" i="9"/>
  <c r="I883" i="9"/>
  <c r="H883" i="9"/>
  <c r="G883" i="9"/>
  <c r="F883" i="9"/>
  <c r="E883" i="9"/>
  <c r="D883" i="9"/>
  <c r="C883" i="9"/>
  <c r="B883" i="9"/>
  <c r="A883" i="9"/>
  <c r="M882" i="9"/>
  <c r="L882" i="9"/>
  <c r="K882" i="9"/>
  <c r="J882" i="9"/>
  <c r="I882" i="9"/>
  <c r="H882" i="9"/>
  <c r="G882" i="9"/>
  <c r="F882" i="9"/>
  <c r="E882" i="9"/>
  <c r="D882" i="9"/>
  <c r="C882" i="9"/>
  <c r="B882" i="9"/>
  <c r="A882" i="9"/>
  <c r="M881" i="9"/>
  <c r="L881" i="9"/>
  <c r="K881" i="9"/>
  <c r="J881" i="9"/>
  <c r="I881" i="9"/>
  <c r="H881" i="9"/>
  <c r="G881" i="9"/>
  <c r="F881" i="9"/>
  <c r="E881" i="9"/>
  <c r="D881" i="9"/>
  <c r="C881" i="9"/>
  <c r="B881" i="9"/>
  <c r="A881" i="9"/>
  <c r="M880" i="9"/>
  <c r="L880" i="9"/>
  <c r="K880" i="9"/>
  <c r="J880" i="9"/>
  <c r="I880" i="9"/>
  <c r="H880" i="9"/>
  <c r="G880" i="9"/>
  <c r="F880" i="9"/>
  <c r="E880" i="9"/>
  <c r="D880" i="9"/>
  <c r="C880" i="9"/>
  <c r="B880" i="9"/>
  <c r="A880" i="9"/>
  <c r="M879" i="9"/>
  <c r="L879" i="9"/>
  <c r="K879" i="9"/>
  <c r="J879" i="9"/>
  <c r="I879" i="9"/>
  <c r="H879" i="9"/>
  <c r="G879" i="9"/>
  <c r="F879" i="9"/>
  <c r="E879" i="9"/>
  <c r="D879" i="9"/>
  <c r="C879" i="9"/>
  <c r="B879" i="9"/>
  <c r="A879" i="9"/>
  <c r="M878" i="9"/>
  <c r="L878" i="9"/>
  <c r="K878" i="9"/>
  <c r="J878" i="9"/>
  <c r="I878" i="9"/>
  <c r="H878" i="9"/>
  <c r="G878" i="9"/>
  <c r="F878" i="9"/>
  <c r="E878" i="9"/>
  <c r="D878" i="9"/>
  <c r="C878" i="9"/>
  <c r="B878" i="9"/>
  <c r="A878" i="9"/>
  <c r="M877" i="9"/>
  <c r="L877" i="9"/>
  <c r="K877" i="9"/>
  <c r="J877" i="9"/>
  <c r="I877" i="9"/>
  <c r="H877" i="9"/>
  <c r="G877" i="9"/>
  <c r="F877" i="9"/>
  <c r="E877" i="9"/>
  <c r="D877" i="9"/>
  <c r="C877" i="9"/>
  <c r="B877" i="9"/>
  <c r="A877" i="9"/>
  <c r="M876" i="9"/>
  <c r="L876" i="9"/>
  <c r="K876" i="9"/>
  <c r="J876" i="9"/>
  <c r="I876" i="9"/>
  <c r="H876" i="9"/>
  <c r="G876" i="9"/>
  <c r="F876" i="9"/>
  <c r="E876" i="9"/>
  <c r="D876" i="9"/>
  <c r="C876" i="9"/>
  <c r="B876" i="9"/>
  <c r="A876" i="9"/>
  <c r="M875" i="9"/>
  <c r="L875" i="9"/>
  <c r="K875" i="9"/>
  <c r="J875" i="9"/>
  <c r="I875" i="9"/>
  <c r="H875" i="9"/>
  <c r="G875" i="9"/>
  <c r="F875" i="9"/>
  <c r="E875" i="9"/>
  <c r="D875" i="9"/>
  <c r="C875" i="9"/>
  <c r="B875" i="9"/>
  <c r="A875" i="9"/>
  <c r="M874" i="9"/>
  <c r="L874" i="9"/>
  <c r="K874" i="9"/>
  <c r="J874" i="9"/>
  <c r="I874" i="9"/>
  <c r="H874" i="9"/>
  <c r="G874" i="9"/>
  <c r="F874" i="9"/>
  <c r="E874" i="9"/>
  <c r="D874" i="9"/>
  <c r="C874" i="9"/>
  <c r="B874" i="9"/>
  <c r="A874" i="9"/>
  <c r="M873" i="9"/>
  <c r="L873" i="9"/>
  <c r="K873" i="9"/>
  <c r="J873" i="9"/>
  <c r="I873" i="9"/>
  <c r="H873" i="9"/>
  <c r="G873" i="9"/>
  <c r="F873" i="9"/>
  <c r="E873" i="9"/>
  <c r="D873" i="9"/>
  <c r="C873" i="9"/>
  <c r="B873" i="9"/>
  <c r="A873" i="9"/>
  <c r="M872" i="9"/>
  <c r="L872" i="9"/>
  <c r="K872" i="9"/>
  <c r="J872" i="9"/>
  <c r="I872" i="9"/>
  <c r="H872" i="9"/>
  <c r="G872" i="9"/>
  <c r="F872" i="9"/>
  <c r="E872" i="9"/>
  <c r="D872" i="9"/>
  <c r="C872" i="9"/>
  <c r="B872" i="9"/>
  <c r="A872" i="9"/>
  <c r="M871" i="9"/>
  <c r="L871" i="9"/>
  <c r="K871" i="9"/>
  <c r="J871" i="9"/>
  <c r="I871" i="9"/>
  <c r="H871" i="9"/>
  <c r="G871" i="9"/>
  <c r="F871" i="9"/>
  <c r="E871" i="9"/>
  <c r="D871" i="9"/>
  <c r="C871" i="9"/>
  <c r="B871" i="9"/>
  <c r="A871" i="9"/>
  <c r="M870" i="9"/>
  <c r="L870" i="9"/>
  <c r="K870" i="9"/>
  <c r="J870" i="9"/>
  <c r="I870" i="9"/>
  <c r="H870" i="9"/>
  <c r="G870" i="9"/>
  <c r="F870" i="9"/>
  <c r="E870" i="9"/>
  <c r="D870" i="9"/>
  <c r="C870" i="9"/>
  <c r="B870" i="9"/>
  <c r="A870" i="9"/>
  <c r="M869" i="9"/>
  <c r="L869" i="9"/>
  <c r="K869" i="9"/>
  <c r="J869" i="9"/>
  <c r="I869" i="9"/>
  <c r="H869" i="9"/>
  <c r="G869" i="9"/>
  <c r="F869" i="9"/>
  <c r="E869" i="9"/>
  <c r="D869" i="9"/>
  <c r="C869" i="9"/>
  <c r="B869" i="9"/>
  <c r="A869" i="9"/>
  <c r="M868" i="9"/>
  <c r="L868" i="9"/>
  <c r="K868" i="9"/>
  <c r="J868" i="9"/>
  <c r="I868" i="9"/>
  <c r="H868" i="9"/>
  <c r="G868" i="9"/>
  <c r="F868" i="9"/>
  <c r="E868" i="9"/>
  <c r="D868" i="9"/>
  <c r="C868" i="9"/>
  <c r="B868" i="9"/>
  <c r="A868" i="9"/>
  <c r="M867" i="9"/>
  <c r="L867" i="9"/>
  <c r="K867" i="9"/>
  <c r="J867" i="9"/>
  <c r="I867" i="9"/>
  <c r="H867" i="9"/>
  <c r="G867" i="9"/>
  <c r="F867" i="9"/>
  <c r="E867" i="9"/>
  <c r="D867" i="9"/>
  <c r="C867" i="9"/>
  <c r="B867" i="9"/>
  <c r="A867" i="9"/>
  <c r="M866" i="9"/>
  <c r="L866" i="9"/>
  <c r="K866" i="9"/>
  <c r="J866" i="9"/>
  <c r="I866" i="9"/>
  <c r="H866" i="9"/>
  <c r="G866" i="9"/>
  <c r="F866" i="9"/>
  <c r="E866" i="9"/>
  <c r="D866" i="9"/>
  <c r="C866" i="9"/>
  <c r="B866" i="9"/>
  <c r="A866" i="9"/>
  <c r="M865" i="9"/>
  <c r="L865" i="9"/>
  <c r="K865" i="9"/>
  <c r="J865" i="9"/>
  <c r="I865" i="9"/>
  <c r="H865" i="9"/>
  <c r="G865" i="9"/>
  <c r="F865" i="9"/>
  <c r="E865" i="9"/>
  <c r="D865" i="9"/>
  <c r="C865" i="9"/>
  <c r="B865" i="9"/>
  <c r="A865" i="9"/>
  <c r="M864" i="9"/>
  <c r="L864" i="9"/>
  <c r="K864" i="9"/>
  <c r="J864" i="9"/>
  <c r="I864" i="9"/>
  <c r="H864" i="9"/>
  <c r="G864" i="9"/>
  <c r="F864" i="9"/>
  <c r="E864" i="9"/>
  <c r="D864" i="9"/>
  <c r="C864" i="9"/>
  <c r="B864" i="9"/>
  <c r="A864" i="9"/>
  <c r="M863" i="9"/>
  <c r="L863" i="9"/>
  <c r="K863" i="9"/>
  <c r="J863" i="9"/>
  <c r="I863" i="9"/>
  <c r="H863" i="9"/>
  <c r="G863" i="9"/>
  <c r="F863" i="9"/>
  <c r="E863" i="9"/>
  <c r="D863" i="9"/>
  <c r="C863" i="9"/>
  <c r="B863" i="9"/>
  <c r="A863" i="9"/>
  <c r="M862" i="9"/>
  <c r="L862" i="9"/>
  <c r="K862" i="9"/>
  <c r="J862" i="9"/>
  <c r="I862" i="9"/>
  <c r="H862" i="9"/>
  <c r="G862" i="9"/>
  <c r="F862" i="9"/>
  <c r="E862" i="9"/>
  <c r="D862" i="9"/>
  <c r="C862" i="9"/>
  <c r="B862" i="9"/>
  <c r="A862" i="9"/>
  <c r="M861" i="9"/>
  <c r="L861" i="9"/>
  <c r="K861" i="9"/>
  <c r="J861" i="9"/>
  <c r="I861" i="9"/>
  <c r="H861" i="9"/>
  <c r="G861" i="9"/>
  <c r="F861" i="9"/>
  <c r="E861" i="9"/>
  <c r="D861" i="9"/>
  <c r="C861" i="9"/>
  <c r="B861" i="9"/>
  <c r="A861" i="9"/>
  <c r="M860" i="9"/>
  <c r="L860" i="9"/>
  <c r="K860" i="9"/>
  <c r="J860" i="9"/>
  <c r="I860" i="9"/>
  <c r="H860" i="9"/>
  <c r="G860" i="9"/>
  <c r="F860" i="9"/>
  <c r="E860" i="9"/>
  <c r="D860" i="9"/>
  <c r="C860" i="9"/>
  <c r="B860" i="9"/>
  <c r="A860" i="9"/>
  <c r="M859" i="9"/>
  <c r="L859" i="9"/>
  <c r="K859" i="9"/>
  <c r="J859" i="9"/>
  <c r="I859" i="9"/>
  <c r="H859" i="9"/>
  <c r="G859" i="9"/>
  <c r="F859" i="9"/>
  <c r="E859" i="9"/>
  <c r="D859" i="9"/>
  <c r="C859" i="9"/>
  <c r="B859" i="9"/>
  <c r="A859" i="9"/>
  <c r="M858" i="9"/>
  <c r="L858" i="9"/>
  <c r="K858" i="9"/>
  <c r="J858" i="9"/>
  <c r="I858" i="9"/>
  <c r="H858" i="9"/>
  <c r="G858" i="9"/>
  <c r="F858" i="9"/>
  <c r="E858" i="9"/>
  <c r="D858" i="9"/>
  <c r="C858" i="9"/>
  <c r="B858" i="9"/>
  <c r="A858" i="9"/>
  <c r="M857" i="9"/>
  <c r="L857" i="9"/>
  <c r="K857" i="9"/>
  <c r="J857" i="9"/>
  <c r="I857" i="9"/>
  <c r="H857" i="9"/>
  <c r="G857" i="9"/>
  <c r="F857" i="9"/>
  <c r="E857" i="9"/>
  <c r="D857" i="9"/>
  <c r="C857" i="9"/>
  <c r="B857" i="9"/>
  <c r="A857" i="9"/>
  <c r="M856" i="9"/>
  <c r="L856" i="9"/>
  <c r="K856" i="9"/>
  <c r="J856" i="9"/>
  <c r="I856" i="9"/>
  <c r="H856" i="9"/>
  <c r="G856" i="9"/>
  <c r="F856" i="9"/>
  <c r="E856" i="9"/>
  <c r="D856" i="9"/>
  <c r="C856" i="9"/>
  <c r="B856" i="9"/>
  <c r="A856" i="9"/>
  <c r="M855" i="9"/>
  <c r="L855" i="9"/>
  <c r="K855" i="9"/>
  <c r="J855" i="9"/>
  <c r="I855" i="9"/>
  <c r="H855" i="9"/>
  <c r="G855" i="9"/>
  <c r="F855" i="9"/>
  <c r="E855" i="9"/>
  <c r="D855" i="9"/>
  <c r="C855" i="9"/>
  <c r="B855" i="9"/>
  <c r="A855" i="9"/>
  <c r="M854" i="9"/>
  <c r="L854" i="9"/>
  <c r="K854" i="9"/>
  <c r="J854" i="9"/>
  <c r="I854" i="9"/>
  <c r="H854" i="9"/>
  <c r="G854" i="9"/>
  <c r="F854" i="9"/>
  <c r="E854" i="9"/>
  <c r="D854" i="9"/>
  <c r="C854" i="9"/>
  <c r="B854" i="9"/>
  <c r="A854" i="9"/>
  <c r="M853" i="9"/>
  <c r="L853" i="9"/>
  <c r="K853" i="9"/>
  <c r="J853" i="9"/>
  <c r="I853" i="9"/>
  <c r="H853" i="9"/>
  <c r="G853" i="9"/>
  <c r="F853" i="9"/>
  <c r="E853" i="9"/>
  <c r="D853" i="9"/>
  <c r="C853" i="9"/>
  <c r="B853" i="9"/>
  <c r="A853" i="9"/>
  <c r="M852" i="9"/>
  <c r="L852" i="9"/>
  <c r="K852" i="9"/>
  <c r="J852" i="9"/>
  <c r="I852" i="9"/>
  <c r="H852" i="9"/>
  <c r="G852" i="9"/>
  <c r="F852" i="9"/>
  <c r="E852" i="9"/>
  <c r="D852" i="9"/>
  <c r="C852" i="9"/>
  <c r="B852" i="9"/>
  <c r="A852" i="9"/>
  <c r="M851" i="9"/>
  <c r="L851" i="9"/>
  <c r="K851" i="9"/>
  <c r="J851" i="9"/>
  <c r="I851" i="9"/>
  <c r="H851" i="9"/>
  <c r="G851" i="9"/>
  <c r="F851" i="9"/>
  <c r="E851" i="9"/>
  <c r="D851" i="9"/>
  <c r="C851" i="9"/>
  <c r="B851" i="9"/>
  <c r="A851" i="9"/>
  <c r="M850" i="9"/>
  <c r="L850" i="9"/>
  <c r="K850" i="9"/>
  <c r="J850" i="9"/>
  <c r="I850" i="9"/>
  <c r="H850" i="9"/>
  <c r="G850" i="9"/>
  <c r="F850" i="9"/>
  <c r="E850" i="9"/>
  <c r="D850" i="9"/>
  <c r="C850" i="9"/>
  <c r="B850" i="9"/>
  <c r="A850" i="9"/>
  <c r="M849" i="9"/>
  <c r="L849" i="9"/>
  <c r="K849" i="9"/>
  <c r="J849" i="9"/>
  <c r="I849" i="9"/>
  <c r="H849" i="9"/>
  <c r="G849" i="9"/>
  <c r="F849" i="9"/>
  <c r="E849" i="9"/>
  <c r="D849" i="9"/>
  <c r="C849" i="9"/>
  <c r="B849" i="9"/>
  <c r="A849" i="9"/>
  <c r="M848" i="9"/>
  <c r="L848" i="9"/>
  <c r="K848" i="9"/>
  <c r="J848" i="9"/>
  <c r="I848" i="9"/>
  <c r="H848" i="9"/>
  <c r="G848" i="9"/>
  <c r="F848" i="9"/>
  <c r="E848" i="9"/>
  <c r="D848" i="9"/>
  <c r="C848" i="9"/>
  <c r="B848" i="9"/>
  <c r="A848" i="9"/>
  <c r="M847" i="9"/>
  <c r="L847" i="9"/>
  <c r="K847" i="9"/>
  <c r="J847" i="9"/>
  <c r="I847" i="9"/>
  <c r="H847" i="9"/>
  <c r="G847" i="9"/>
  <c r="F847" i="9"/>
  <c r="E847" i="9"/>
  <c r="D847" i="9"/>
  <c r="C847" i="9"/>
  <c r="B847" i="9"/>
  <c r="A847" i="9"/>
  <c r="M846" i="9"/>
  <c r="L846" i="9"/>
  <c r="K846" i="9"/>
  <c r="J846" i="9"/>
  <c r="I846" i="9"/>
  <c r="H846" i="9"/>
  <c r="G846" i="9"/>
  <c r="F846" i="9"/>
  <c r="E846" i="9"/>
  <c r="D846" i="9"/>
  <c r="C846" i="9"/>
  <c r="B846" i="9"/>
  <c r="A846" i="9"/>
  <c r="M845" i="9"/>
  <c r="L845" i="9"/>
  <c r="K845" i="9"/>
  <c r="J845" i="9"/>
  <c r="I845" i="9"/>
  <c r="H845" i="9"/>
  <c r="G845" i="9"/>
  <c r="F845" i="9"/>
  <c r="E845" i="9"/>
  <c r="D845" i="9"/>
  <c r="C845" i="9"/>
  <c r="B845" i="9"/>
  <c r="A845" i="9"/>
  <c r="M844" i="9"/>
  <c r="L844" i="9"/>
  <c r="K844" i="9"/>
  <c r="J844" i="9"/>
  <c r="I844" i="9"/>
  <c r="H844" i="9"/>
  <c r="G844" i="9"/>
  <c r="F844" i="9"/>
  <c r="E844" i="9"/>
  <c r="D844" i="9"/>
  <c r="C844" i="9"/>
  <c r="B844" i="9"/>
  <c r="A844" i="9"/>
  <c r="M843" i="9"/>
  <c r="L843" i="9"/>
  <c r="K843" i="9"/>
  <c r="J843" i="9"/>
  <c r="I843" i="9"/>
  <c r="H843" i="9"/>
  <c r="G843" i="9"/>
  <c r="F843" i="9"/>
  <c r="E843" i="9"/>
  <c r="D843" i="9"/>
  <c r="C843" i="9"/>
  <c r="B843" i="9"/>
  <c r="A843" i="9"/>
  <c r="M842" i="9"/>
  <c r="L842" i="9"/>
  <c r="K842" i="9"/>
  <c r="J842" i="9"/>
  <c r="I842" i="9"/>
  <c r="H842" i="9"/>
  <c r="G842" i="9"/>
  <c r="F842" i="9"/>
  <c r="E842" i="9"/>
  <c r="D842" i="9"/>
  <c r="C842" i="9"/>
  <c r="B842" i="9"/>
  <c r="A842" i="9"/>
  <c r="M841" i="9"/>
  <c r="L841" i="9"/>
  <c r="K841" i="9"/>
  <c r="J841" i="9"/>
  <c r="I841" i="9"/>
  <c r="H841" i="9"/>
  <c r="G841" i="9"/>
  <c r="F841" i="9"/>
  <c r="E841" i="9"/>
  <c r="D841" i="9"/>
  <c r="C841" i="9"/>
  <c r="B841" i="9"/>
  <c r="A841" i="9"/>
  <c r="M840" i="9"/>
  <c r="L840" i="9"/>
  <c r="K840" i="9"/>
  <c r="J840" i="9"/>
  <c r="I840" i="9"/>
  <c r="H840" i="9"/>
  <c r="G840" i="9"/>
  <c r="F840" i="9"/>
  <c r="E840" i="9"/>
  <c r="D840" i="9"/>
  <c r="C840" i="9"/>
  <c r="B840" i="9"/>
  <c r="A840" i="9"/>
  <c r="M839" i="9"/>
  <c r="L839" i="9"/>
  <c r="K839" i="9"/>
  <c r="J839" i="9"/>
  <c r="I839" i="9"/>
  <c r="H839" i="9"/>
  <c r="G839" i="9"/>
  <c r="F839" i="9"/>
  <c r="E839" i="9"/>
  <c r="D839" i="9"/>
  <c r="C839" i="9"/>
  <c r="B839" i="9"/>
  <c r="A839" i="9"/>
  <c r="M838" i="9"/>
  <c r="L838" i="9"/>
  <c r="K838" i="9"/>
  <c r="J838" i="9"/>
  <c r="I838" i="9"/>
  <c r="H838" i="9"/>
  <c r="G838" i="9"/>
  <c r="F838" i="9"/>
  <c r="E838" i="9"/>
  <c r="D838" i="9"/>
  <c r="C838" i="9"/>
  <c r="B838" i="9"/>
  <c r="A838" i="9"/>
  <c r="M837" i="9"/>
  <c r="L837" i="9"/>
  <c r="K837" i="9"/>
  <c r="J837" i="9"/>
  <c r="I837" i="9"/>
  <c r="H837" i="9"/>
  <c r="G837" i="9"/>
  <c r="F837" i="9"/>
  <c r="E837" i="9"/>
  <c r="D837" i="9"/>
  <c r="C837" i="9"/>
  <c r="B837" i="9"/>
  <c r="A837" i="9"/>
  <c r="M836" i="9"/>
  <c r="L836" i="9"/>
  <c r="K836" i="9"/>
  <c r="J836" i="9"/>
  <c r="I836" i="9"/>
  <c r="H836" i="9"/>
  <c r="G836" i="9"/>
  <c r="F836" i="9"/>
  <c r="E836" i="9"/>
  <c r="D836" i="9"/>
  <c r="C836" i="9"/>
  <c r="B836" i="9"/>
  <c r="A836" i="9"/>
  <c r="M835" i="9"/>
  <c r="L835" i="9"/>
  <c r="K835" i="9"/>
  <c r="J835" i="9"/>
  <c r="I835" i="9"/>
  <c r="H835" i="9"/>
  <c r="G835" i="9"/>
  <c r="F835" i="9"/>
  <c r="E835" i="9"/>
  <c r="D835" i="9"/>
  <c r="C835" i="9"/>
  <c r="B835" i="9"/>
  <c r="A835" i="9"/>
  <c r="M834" i="9"/>
  <c r="L834" i="9"/>
  <c r="K834" i="9"/>
  <c r="J834" i="9"/>
  <c r="I834" i="9"/>
  <c r="H834" i="9"/>
  <c r="G834" i="9"/>
  <c r="F834" i="9"/>
  <c r="E834" i="9"/>
  <c r="D834" i="9"/>
  <c r="C834" i="9"/>
  <c r="B834" i="9"/>
  <c r="A834" i="9"/>
  <c r="M833" i="9"/>
  <c r="L833" i="9"/>
  <c r="K833" i="9"/>
  <c r="J833" i="9"/>
  <c r="I833" i="9"/>
  <c r="H833" i="9"/>
  <c r="G833" i="9"/>
  <c r="F833" i="9"/>
  <c r="E833" i="9"/>
  <c r="D833" i="9"/>
  <c r="C833" i="9"/>
  <c r="B833" i="9"/>
  <c r="A833" i="9"/>
  <c r="M832" i="9"/>
  <c r="L832" i="9"/>
  <c r="K832" i="9"/>
  <c r="J832" i="9"/>
  <c r="I832" i="9"/>
  <c r="H832" i="9"/>
  <c r="G832" i="9"/>
  <c r="F832" i="9"/>
  <c r="E832" i="9"/>
  <c r="D832" i="9"/>
  <c r="C832" i="9"/>
  <c r="B832" i="9"/>
  <c r="A832" i="9"/>
  <c r="M831" i="9"/>
  <c r="L831" i="9"/>
  <c r="K831" i="9"/>
  <c r="J831" i="9"/>
  <c r="I831" i="9"/>
  <c r="H831" i="9"/>
  <c r="G831" i="9"/>
  <c r="F831" i="9"/>
  <c r="E831" i="9"/>
  <c r="D831" i="9"/>
  <c r="C831" i="9"/>
  <c r="B831" i="9"/>
  <c r="A831" i="9"/>
  <c r="M830" i="9"/>
  <c r="L830" i="9"/>
  <c r="K830" i="9"/>
  <c r="J830" i="9"/>
  <c r="I830" i="9"/>
  <c r="H830" i="9"/>
  <c r="G830" i="9"/>
  <c r="F830" i="9"/>
  <c r="E830" i="9"/>
  <c r="D830" i="9"/>
  <c r="C830" i="9"/>
  <c r="B830" i="9"/>
  <c r="A830" i="9"/>
  <c r="M829" i="9"/>
  <c r="L829" i="9"/>
  <c r="K829" i="9"/>
  <c r="J829" i="9"/>
  <c r="I829" i="9"/>
  <c r="H829" i="9"/>
  <c r="G829" i="9"/>
  <c r="F829" i="9"/>
  <c r="E829" i="9"/>
  <c r="D829" i="9"/>
  <c r="C829" i="9"/>
  <c r="B829" i="9"/>
  <c r="A829" i="9"/>
  <c r="M828" i="9"/>
  <c r="L828" i="9"/>
  <c r="K828" i="9"/>
  <c r="J828" i="9"/>
  <c r="I828" i="9"/>
  <c r="H828" i="9"/>
  <c r="G828" i="9"/>
  <c r="F828" i="9"/>
  <c r="E828" i="9"/>
  <c r="D828" i="9"/>
  <c r="C828" i="9"/>
  <c r="B828" i="9"/>
  <c r="A828" i="9"/>
  <c r="M827" i="9"/>
  <c r="L827" i="9"/>
  <c r="K827" i="9"/>
  <c r="J827" i="9"/>
  <c r="I827" i="9"/>
  <c r="H827" i="9"/>
  <c r="G827" i="9"/>
  <c r="F827" i="9"/>
  <c r="E827" i="9"/>
  <c r="D827" i="9"/>
  <c r="C827" i="9"/>
  <c r="B827" i="9"/>
  <c r="A827" i="9"/>
  <c r="M826" i="9"/>
  <c r="L826" i="9"/>
  <c r="K826" i="9"/>
  <c r="J826" i="9"/>
  <c r="I826" i="9"/>
  <c r="H826" i="9"/>
  <c r="G826" i="9"/>
  <c r="F826" i="9"/>
  <c r="E826" i="9"/>
  <c r="D826" i="9"/>
  <c r="C826" i="9"/>
  <c r="B826" i="9"/>
  <c r="A826" i="9"/>
  <c r="M825" i="9"/>
  <c r="L825" i="9"/>
  <c r="K825" i="9"/>
  <c r="J825" i="9"/>
  <c r="I825" i="9"/>
  <c r="H825" i="9"/>
  <c r="G825" i="9"/>
  <c r="F825" i="9"/>
  <c r="E825" i="9"/>
  <c r="D825" i="9"/>
  <c r="C825" i="9"/>
  <c r="B825" i="9"/>
  <c r="A825" i="9"/>
  <c r="M824" i="9"/>
  <c r="L824" i="9"/>
  <c r="K824" i="9"/>
  <c r="J824" i="9"/>
  <c r="I824" i="9"/>
  <c r="H824" i="9"/>
  <c r="G824" i="9"/>
  <c r="F824" i="9"/>
  <c r="E824" i="9"/>
  <c r="D824" i="9"/>
  <c r="C824" i="9"/>
  <c r="B824" i="9"/>
  <c r="A824" i="9"/>
  <c r="M823" i="9"/>
  <c r="L823" i="9"/>
  <c r="K823" i="9"/>
  <c r="J823" i="9"/>
  <c r="I823" i="9"/>
  <c r="H823" i="9"/>
  <c r="G823" i="9"/>
  <c r="F823" i="9"/>
  <c r="E823" i="9"/>
  <c r="D823" i="9"/>
  <c r="C823" i="9"/>
  <c r="B823" i="9"/>
  <c r="A823" i="9"/>
  <c r="M822" i="9"/>
  <c r="L822" i="9"/>
  <c r="K822" i="9"/>
  <c r="J822" i="9"/>
  <c r="I822" i="9"/>
  <c r="H822" i="9"/>
  <c r="G822" i="9"/>
  <c r="F822" i="9"/>
  <c r="E822" i="9"/>
  <c r="D822" i="9"/>
  <c r="C822" i="9"/>
  <c r="B822" i="9"/>
  <c r="A822" i="9"/>
  <c r="M821" i="9"/>
  <c r="L821" i="9"/>
  <c r="K821" i="9"/>
  <c r="J821" i="9"/>
  <c r="I821" i="9"/>
  <c r="H821" i="9"/>
  <c r="G821" i="9"/>
  <c r="F821" i="9"/>
  <c r="E821" i="9"/>
  <c r="D821" i="9"/>
  <c r="C821" i="9"/>
  <c r="B821" i="9"/>
  <c r="A821" i="9"/>
  <c r="M820" i="9"/>
  <c r="L820" i="9"/>
  <c r="K820" i="9"/>
  <c r="J820" i="9"/>
  <c r="I820" i="9"/>
  <c r="H820" i="9"/>
  <c r="G820" i="9"/>
  <c r="F820" i="9"/>
  <c r="E820" i="9"/>
  <c r="D820" i="9"/>
  <c r="C820" i="9"/>
  <c r="B820" i="9"/>
  <c r="A820" i="9"/>
  <c r="M819" i="9"/>
  <c r="L819" i="9"/>
  <c r="K819" i="9"/>
  <c r="J819" i="9"/>
  <c r="I819" i="9"/>
  <c r="H819" i="9"/>
  <c r="G819" i="9"/>
  <c r="F819" i="9"/>
  <c r="E819" i="9"/>
  <c r="D819" i="9"/>
  <c r="C819" i="9"/>
  <c r="B819" i="9"/>
  <c r="A819" i="9"/>
  <c r="M818" i="9"/>
  <c r="L818" i="9"/>
  <c r="K818" i="9"/>
  <c r="J818" i="9"/>
  <c r="I818" i="9"/>
  <c r="H818" i="9"/>
  <c r="G818" i="9"/>
  <c r="F818" i="9"/>
  <c r="E818" i="9"/>
  <c r="D818" i="9"/>
  <c r="C818" i="9"/>
  <c r="B818" i="9"/>
  <c r="A818" i="9"/>
  <c r="M817" i="9"/>
  <c r="L817" i="9"/>
  <c r="K817" i="9"/>
  <c r="J817" i="9"/>
  <c r="I817" i="9"/>
  <c r="H817" i="9"/>
  <c r="G817" i="9"/>
  <c r="F817" i="9"/>
  <c r="E817" i="9"/>
  <c r="D817" i="9"/>
  <c r="C817" i="9"/>
  <c r="B817" i="9"/>
  <c r="A817" i="9"/>
  <c r="M816" i="9"/>
  <c r="L816" i="9"/>
  <c r="K816" i="9"/>
  <c r="J816" i="9"/>
  <c r="I816" i="9"/>
  <c r="H816" i="9"/>
  <c r="G816" i="9"/>
  <c r="F816" i="9"/>
  <c r="E816" i="9"/>
  <c r="D816" i="9"/>
  <c r="C816" i="9"/>
  <c r="B816" i="9"/>
  <c r="A816" i="9"/>
  <c r="M815" i="9"/>
  <c r="L815" i="9"/>
  <c r="K815" i="9"/>
  <c r="J815" i="9"/>
  <c r="I815" i="9"/>
  <c r="H815" i="9"/>
  <c r="G815" i="9"/>
  <c r="F815" i="9"/>
  <c r="E815" i="9"/>
  <c r="D815" i="9"/>
  <c r="C815" i="9"/>
  <c r="B815" i="9"/>
  <c r="A815" i="9"/>
  <c r="M814" i="9"/>
  <c r="L814" i="9"/>
  <c r="K814" i="9"/>
  <c r="J814" i="9"/>
  <c r="I814" i="9"/>
  <c r="H814" i="9"/>
  <c r="G814" i="9"/>
  <c r="F814" i="9"/>
  <c r="E814" i="9"/>
  <c r="D814" i="9"/>
  <c r="C814" i="9"/>
  <c r="B814" i="9"/>
  <c r="A814" i="9"/>
  <c r="M813" i="9"/>
  <c r="L813" i="9"/>
  <c r="K813" i="9"/>
  <c r="J813" i="9"/>
  <c r="I813" i="9"/>
  <c r="H813" i="9"/>
  <c r="G813" i="9"/>
  <c r="F813" i="9"/>
  <c r="E813" i="9"/>
  <c r="D813" i="9"/>
  <c r="C813" i="9"/>
  <c r="B813" i="9"/>
  <c r="A813" i="9"/>
  <c r="M812" i="9"/>
  <c r="L812" i="9"/>
  <c r="K812" i="9"/>
  <c r="J812" i="9"/>
  <c r="I812" i="9"/>
  <c r="H812" i="9"/>
  <c r="G812" i="9"/>
  <c r="F812" i="9"/>
  <c r="E812" i="9"/>
  <c r="D812" i="9"/>
  <c r="C812" i="9"/>
  <c r="B812" i="9"/>
  <c r="A812" i="9"/>
  <c r="M811" i="9"/>
  <c r="L811" i="9"/>
  <c r="K811" i="9"/>
  <c r="J811" i="9"/>
  <c r="I811" i="9"/>
  <c r="H811" i="9"/>
  <c r="G811" i="9"/>
  <c r="F811" i="9"/>
  <c r="E811" i="9"/>
  <c r="D811" i="9"/>
  <c r="C811" i="9"/>
  <c r="B811" i="9"/>
  <c r="A811" i="9"/>
  <c r="M810" i="9"/>
  <c r="L810" i="9"/>
  <c r="K810" i="9"/>
  <c r="J810" i="9"/>
  <c r="I810" i="9"/>
  <c r="H810" i="9"/>
  <c r="G810" i="9"/>
  <c r="F810" i="9"/>
  <c r="E810" i="9"/>
  <c r="D810" i="9"/>
  <c r="C810" i="9"/>
  <c r="B810" i="9"/>
  <c r="A810" i="9"/>
  <c r="M809" i="9"/>
  <c r="L809" i="9"/>
  <c r="K809" i="9"/>
  <c r="J809" i="9"/>
  <c r="I809" i="9"/>
  <c r="H809" i="9"/>
  <c r="G809" i="9"/>
  <c r="F809" i="9"/>
  <c r="E809" i="9"/>
  <c r="D809" i="9"/>
  <c r="C809" i="9"/>
  <c r="B809" i="9"/>
  <c r="A809" i="9"/>
  <c r="M808" i="9"/>
  <c r="L808" i="9"/>
  <c r="K808" i="9"/>
  <c r="J808" i="9"/>
  <c r="I808" i="9"/>
  <c r="H808" i="9"/>
  <c r="G808" i="9"/>
  <c r="F808" i="9"/>
  <c r="E808" i="9"/>
  <c r="D808" i="9"/>
  <c r="C808" i="9"/>
  <c r="B808" i="9"/>
  <c r="A808" i="9"/>
  <c r="M807" i="9"/>
  <c r="L807" i="9"/>
  <c r="K807" i="9"/>
  <c r="J807" i="9"/>
  <c r="I807" i="9"/>
  <c r="H807" i="9"/>
  <c r="G807" i="9"/>
  <c r="F807" i="9"/>
  <c r="E807" i="9"/>
  <c r="D807" i="9"/>
  <c r="C807" i="9"/>
  <c r="B807" i="9"/>
  <c r="A807" i="9"/>
  <c r="M806" i="9"/>
  <c r="L806" i="9"/>
  <c r="K806" i="9"/>
  <c r="J806" i="9"/>
  <c r="I806" i="9"/>
  <c r="H806" i="9"/>
  <c r="G806" i="9"/>
  <c r="F806" i="9"/>
  <c r="E806" i="9"/>
  <c r="D806" i="9"/>
  <c r="C806" i="9"/>
  <c r="B806" i="9"/>
  <c r="A806" i="9"/>
  <c r="M805" i="9"/>
  <c r="L805" i="9"/>
  <c r="K805" i="9"/>
  <c r="J805" i="9"/>
  <c r="I805" i="9"/>
  <c r="H805" i="9"/>
  <c r="G805" i="9"/>
  <c r="F805" i="9"/>
  <c r="E805" i="9"/>
  <c r="D805" i="9"/>
  <c r="C805" i="9"/>
  <c r="B805" i="9"/>
  <c r="A805" i="9"/>
  <c r="M804" i="9"/>
  <c r="L804" i="9"/>
  <c r="K804" i="9"/>
  <c r="J804" i="9"/>
  <c r="I804" i="9"/>
  <c r="H804" i="9"/>
  <c r="G804" i="9"/>
  <c r="F804" i="9"/>
  <c r="E804" i="9"/>
  <c r="D804" i="9"/>
  <c r="C804" i="9"/>
  <c r="B804" i="9"/>
  <c r="A804" i="9"/>
  <c r="M803" i="9"/>
  <c r="L803" i="9"/>
  <c r="K803" i="9"/>
  <c r="J803" i="9"/>
  <c r="I803" i="9"/>
  <c r="H803" i="9"/>
  <c r="G803" i="9"/>
  <c r="F803" i="9"/>
  <c r="E803" i="9"/>
  <c r="D803" i="9"/>
  <c r="C803" i="9"/>
  <c r="B803" i="9"/>
  <c r="A803" i="9"/>
  <c r="M802" i="9"/>
  <c r="L802" i="9"/>
  <c r="K802" i="9"/>
  <c r="J802" i="9"/>
  <c r="I802" i="9"/>
  <c r="H802" i="9"/>
  <c r="G802" i="9"/>
  <c r="F802" i="9"/>
  <c r="E802" i="9"/>
  <c r="D802" i="9"/>
  <c r="C802" i="9"/>
  <c r="B802" i="9"/>
  <c r="A802" i="9"/>
  <c r="M801" i="9"/>
  <c r="L801" i="9"/>
  <c r="K801" i="9"/>
  <c r="J801" i="9"/>
  <c r="I801" i="9"/>
  <c r="H801" i="9"/>
  <c r="G801" i="9"/>
  <c r="F801" i="9"/>
  <c r="E801" i="9"/>
  <c r="D801" i="9"/>
  <c r="C801" i="9"/>
  <c r="B801" i="9"/>
  <c r="A801" i="9"/>
  <c r="M800" i="9"/>
  <c r="L800" i="9"/>
  <c r="K800" i="9"/>
  <c r="J800" i="9"/>
  <c r="I800" i="9"/>
  <c r="H800" i="9"/>
  <c r="G800" i="9"/>
  <c r="F800" i="9"/>
  <c r="E800" i="9"/>
  <c r="D800" i="9"/>
  <c r="C800" i="9"/>
  <c r="B800" i="9"/>
  <c r="A800" i="9"/>
  <c r="M799" i="9"/>
  <c r="L799" i="9"/>
  <c r="K799" i="9"/>
  <c r="J799" i="9"/>
  <c r="I799" i="9"/>
  <c r="H799" i="9"/>
  <c r="G799" i="9"/>
  <c r="F799" i="9"/>
  <c r="E799" i="9"/>
  <c r="D799" i="9"/>
  <c r="C799" i="9"/>
  <c r="B799" i="9"/>
  <c r="A799" i="9"/>
  <c r="M798" i="9"/>
  <c r="L798" i="9"/>
  <c r="K798" i="9"/>
  <c r="J798" i="9"/>
  <c r="I798" i="9"/>
  <c r="H798" i="9"/>
  <c r="G798" i="9"/>
  <c r="F798" i="9"/>
  <c r="E798" i="9"/>
  <c r="D798" i="9"/>
  <c r="C798" i="9"/>
  <c r="B798" i="9"/>
  <c r="A798" i="9"/>
  <c r="M797" i="9"/>
  <c r="L797" i="9"/>
  <c r="K797" i="9"/>
  <c r="J797" i="9"/>
  <c r="I797" i="9"/>
  <c r="H797" i="9"/>
  <c r="G797" i="9"/>
  <c r="F797" i="9"/>
  <c r="E797" i="9"/>
  <c r="D797" i="9"/>
  <c r="C797" i="9"/>
  <c r="B797" i="9"/>
  <c r="A797" i="9"/>
  <c r="M796" i="9"/>
  <c r="L796" i="9"/>
  <c r="K796" i="9"/>
  <c r="J796" i="9"/>
  <c r="I796" i="9"/>
  <c r="H796" i="9"/>
  <c r="G796" i="9"/>
  <c r="F796" i="9"/>
  <c r="E796" i="9"/>
  <c r="D796" i="9"/>
  <c r="C796" i="9"/>
  <c r="B796" i="9"/>
  <c r="A796" i="9"/>
  <c r="M795" i="9"/>
  <c r="L795" i="9"/>
  <c r="K795" i="9"/>
  <c r="J795" i="9"/>
  <c r="I795" i="9"/>
  <c r="H795" i="9"/>
  <c r="G795" i="9"/>
  <c r="F795" i="9"/>
  <c r="E795" i="9"/>
  <c r="D795" i="9"/>
  <c r="C795" i="9"/>
  <c r="B795" i="9"/>
  <c r="A795" i="9"/>
  <c r="M794" i="9"/>
  <c r="L794" i="9"/>
  <c r="K794" i="9"/>
  <c r="J794" i="9"/>
  <c r="I794" i="9"/>
  <c r="H794" i="9"/>
  <c r="G794" i="9"/>
  <c r="F794" i="9"/>
  <c r="E794" i="9"/>
  <c r="D794" i="9"/>
  <c r="C794" i="9"/>
  <c r="B794" i="9"/>
  <c r="A794" i="9"/>
  <c r="M793" i="9"/>
  <c r="L793" i="9"/>
  <c r="K793" i="9"/>
  <c r="J793" i="9"/>
  <c r="I793" i="9"/>
  <c r="H793" i="9"/>
  <c r="G793" i="9"/>
  <c r="F793" i="9"/>
  <c r="E793" i="9"/>
  <c r="D793" i="9"/>
  <c r="C793" i="9"/>
  <c r="B793" i="9"/>
  <c r="A793" i="9"/>
  <c r="M792" i="9"/>
  <c r="L792" i="9"/>
  <c r="K792" i="9"/>
  <c r="J792" i="9"/>
  <c r="I792" i="9"/>
  <c r="H792" i="9"/>
  <c r="G792" i="9"/>
  <c r="F792" i="9"/>
  <c r="E792" i="9"/>
  <c r="D792" i="9"/>
  <c r="C792" i="9"/>
  <c r="B792" i="9"/>
  <c r="A792" i="9"/>
  <c r="M791" i="9"/>
  <c r="L791" i="9"/>
  <c r="K791" i="9"/>
  <c r="J791" i="9"/>
  <c r="I791" i="9"/>
  <c r="H791" i="9"/>
  <c r="G791" i="9"/>
  <c r="F791" i="9"/>
  <c r="E791" i="9"/>
  <c r="D791" i="9"/>
  <c r="C791" i="9"/>
  <c r="B791" i="9"/>
  <c r="A791" i="9"/>
  <c r="M790" i="9"/>
  <c r="L790" i="9"/>
  <c r="K790" i="9"/>
  <c r="J790" i="9"/>
  <c r="I790" i="9"/>
  <c r="H790" i="9"/>
  <c r="G790" i="9"/>
  <c r="F790" i="9"/>
  <c r="E790" i="9"/>
  <c r="D790" i="9"/>
  <c r="C790" i="9"/>
  <c r="B790" i="9"/>
  <c r="A790" i="9"/>
  <c r="M789" i="9"/>
  <c r="L789" i="9"/>
  <c r="K789" i="9"/>
  <c r="J789" i="9"/>
  <c r="I789" i="9"/>
  <c r="H789" i="9"/>
  <c r="G789" i="9"/>
  <c r="F789" i="9"/>
  <c r="E789" i="9"/>
  <c r="D789" i="9"/>
  <c r="C789" i="9"/>
  <c r="B789" i="9"/>
  <c r="A789" i="9"/>
  <c r="M788" i="9"/>
  <c r="L788" i="9"/>
  <c r="K788" i="9"/>
  <c r="J788" i="9"/>
  <c r="I788" i="9"/>
  <c r="H788" i="9"/>
  <c r="G788" i="9"/>
  <c r="F788" i="9"/>
  <c r="E788" i="9"/>
  <c r="D788" i="9"/>
  <c r="C788" i="9"/>
  <c r="B788" i="9"/>
  <c r="A788" i="9"/>
  <c r="M787" i="9"/>
  <c r="L787" i="9"/>
  <c r="K787" i="9"/>
  <c r="J787" i="9"/>
  <c r="I787" i="9"/>
  <c r="H787" i="9"/>
  <c r="G787" i="9"/>
  <c r="F787" i="9"/>
  <c r="E787" i="9"/>
  <c r="D787" i="9"/>
  <c r="C787" i="9"/>
  <c r="B787" i="9"/>
  <c r="A787" i="9"/>
  <c r="M786" i="9"/>
  <c r="L786" i="9"/>
  <c r="K786" i="9"/>
  <c r="J786" i="9"/>
  <c r="I786" i="9"/>
  <c r="H786" i="9"/>
  <c r="G786" i="9"/>
  <c r="F786" i="9"/>
  <c r="E786" i="9"/>
  <c r="D786" i="9"/>
  <c r="C786" i="9"/>
  <c r="B786" i="9"/>
  <c r="A786" i="9"/>
  <c r="M785" i="9"/>
  <c r="L785" i="9"/>
  <c r="K785" i="9"/>
  <c r="J785" i="9"/>
  <c r="I785" i="9"/>
  <c r="H785" i="9"/>
  <c r="G785" i="9"/>
  <c r="F785" i="9"/>
  <c r="E785" i="9"/>
  <c r="D785" i="9"/>
  <c r="C785" i="9"/>
  <c r="B785" i="9"/>
  <c r="A785" i="9"/>
  <c r="M784" i="9"/>
  <c r="L784" i="9"/>
  <c r="K784" i="9"/>
  <c r="J784" i="9"/>
  <c r="I784" i="9"/>
  <c r="H784" i="9"/>
  <c r="G784" i="9"/>
  <c r="F784" i="9"/>
  <c r="E784" i="9"/>
  <c r="D784" i="9"/>
  <c r="C784" i="9"/>
  <c r="B784" i="9"/>
  <c r="A784" i="9"/>
  <c r="M783" i="9"/>
  <c r="L783" i="9"/>
  <c r="K783" i="9"/>
  <c r="J783" i="9"/>
  <c r="I783" i="9"/>
  <c r="H783" i="9"/>
  <c r="G783" i="9"/>
  <c r="F783" i="9"/>
  <c r="E783" i="9"/>
  <c r="D783" i="9"/>
  <c r="C783" i="9"/>
  <c r="B783" i="9"/>
  <c r="A783" i="9"/>
  <c r="M782" i="9"/>
  <c r="L782" i="9"/>
  <c r="K782" i="9"/>
  <c r="J782" i="9"/>
  <c r="I782" i="9"/>
  <c r="H782" i="9"/>
  <c r="G782" i="9"/>
  <c r="F782" i="9"/>
  <c r="E782" i="9"/>
  <c r="D782" i="9"/>
  <c r="C782" i="9"/>
  <c r="B782" i="9"/>
  <c r="A782" i="9"/>
  <c r="M781" i="9"/>
  <c r="L781" i="9"/>
  <c r="K781" i="9"/>
  <c r="J781" i="9"/>
  <c r="I781" i="9"/>
  <c r="H781" i="9"/>
  <c r="G781" i="9"/>
  <c r="F781" i="9"/>
  <c r="E781" i="9"/>
  <c r="D781" i="9"/>
  <c r="C781" i="9"/>
  <c r="B781" i="9"/>
  <c r="A781" i="9"/>
  <c r="M780" i="9"/>
  <c r="L780" i="9"/>
  <c r="K780" i="9"/>
  <c r="J780" i="9"/>
  <c r="I780" i="9"/>
  <c r="H780" i="9"/>
  <c r="G780" i="9"/>
  <c r="F780" i="9"/>
  <c r="E780" i="9"/>
  <c r="D780" i="9"/>
  <c r="C780" i="9"/>
  <c r="B780" i="9"/>
  <c r="A780" i="9"/>
  <c r="M779" i="9"/>
  <c r="L779" i="9"/>
  <c r="K779" i="9"/>
  <c r="J779" i="9"/>
  <c r="I779" i="9"/>
  <c r="H779" i="9"/>
  <c r="G779" i="9"/>
  <c r="F779" i="9"/>
  <c r="E779" i="9"/>
  <c r="D779" i="9"/>
  <c r="C779" i="9"/>
  <c r="B779" i="9"/>
  <c r="A779" i="9"/>
  <c r="M778" i="9"/>
  <c r="L778" i="9"/>
  <c r="K778" i="9"/>
  <c r="J778" i="9"/>
  <c r="I778" i="9"/>
  <c r="H778" i="9"/>
  <c r="G778" i="9"/>
  <c r="F778" i="9"/>
  <c r="E778" i="9"/>
  <c r="D778" i="9"/>
  <c r="C778" i="9"/>
  <c r="B778" i="9"/>
  <c r="A778" i="9"/>
  <c r="M777" i="9"/>
  <c r="L777" i="9"/>
  <c r="K777" i="9"/>
  <c r="J777" i="9"/>
  <c r="I777" i="9"/>
  <c r="H777" i="9"/>
  <c r="G777" i="9"/>
  <c r="F777" i="9"/>
  <c r="E777" i="9"/>
  <c r="D777" i="9"/>
  <c r="C777" i="9"/>
  <c r="B777" i="9"/>
  <c r="A777" i="9"/>
  <c r="M776" i="9"/>
  <c r="L776" i="9"/>
  <c r="K776" i="9"/>
  <c r="J776" i="9"/>
  <c r="I776" i="9"/>
  <c r="H776" i="9"/>
  <c r="G776" i="9"/>
  <c r="F776" i="9"/>
  <c r="E776" i="9"/>
  <c r="D776" i="9"/>
  <c r="C776" i="9"/>
  <c r="B776" i="9"/>
  <c r="A776" i="9"/>
  <c r="M775" i="9"/>
  <c r="L775" i="9"/>
  <c r="K775" i="9"/>
  <c r="J775" i="9"/>
  <c r="I775" i="9"/>
  <c r="H775" i="9"/>
  <c r="G775" i="9"/>
  <c r="F775" i="9"/>
  <c r="E775" i="9"/>
  <c r="D775" i="9"/>
  <c r="C775" i="9"/>
  <c r="B775" i="9"/>
  <c r="A775" i="9"/>
  <c r="M774" i="9"/>
  <c r="L774" i="9"/>
  <c r="K774" i="9"/>
  <c r="J774" i="9"/>
  <c r="I774" i="9"/>
  <c r="H774" i="9"/>
  <c r="G774" i="9"/>
  <c r="F774" i="9"/>
  <c r="E774" i="9"/>
  <c r="D774" i="9"/>
  <c r="C774" i="9"/>
  <c r="B774" i="9"/>
  <c r="A774" i="9"/>
  <c r="M773" i="9"/>
  <c r="L773" i="9"/>
  <c r="K773" i="9"/>
  <c r="J773" i="9"/>
  <c r="I773" i="9"/>
  <c r="H773" i="9"/>
  <c r="G773" i="9"/>
  <c r="F773" i="9"/>
  <c r="E773" i="9"/>
  <c r="D773" i="9"/>
  <c r="C773" i="9"/>
  <c r="B773" i="9"/>
  <c r="A773" i="9"/>
  <c r="M772" i="9"/>
  <c r="L772" i="9"/>
  <c r="K772" i="9"/>
  <c r="J772" i="9"/>
  <c r="I772" i="9"/>
  <c r="H772" i="9"/>
  <c r="G772" i="9"/>
  <c r="F772" i="9"/>
  <c r="E772" i="9"/>
  <c r="D772" i="9"/>
  <c r="C772" i="9"/>
  <c r="B772" i="9"/>
  <c r="A772" i="9"/>
  <c r="M771" i="9"/>
  <c r="L771" i="9"/>
  <c r="K771" i="9"/>
  <c r="J771" i="9"/>
  <c r="I771" i="9"/>
  <c r="H771" i="9"/>
  <c r="G771" i="9"/>
  <c r="F771" i="9"/>
  <c r="E771" i="9"/>
  <c r="D771" i="9"/>
  <c r="C771" i="9"/>
  <c r="B771" i="9"/>
  <c r="A771" i="9"/>
  <c r="M770" i="9"/>
  <c r="L770" i="9"/>
  <c r="K770" i="9"/>
  <c r="J770" i="9"/>
  <c r="I770" i="9"/>
  <c r="H770" i="9"/>
  <c r="G770" i="9"/>
  <c r="F770" i="9"/>
  <c r="E770" i="9"/>
  <c r="D770" i="9"/>
  <c r="C770" i="9"/>
  <c r="B770" i="9"/>
  <c r="A770" i="9"/>
  <c r="M769" i="9"/>
  <c r="L769" i="9"/>
  <c r="K769" i="9"/>
  <c r="J769" i="9"/>
  <c r="I769" i="9"/>
  <c r="H769" i="9"/>
  <c r="G769" i="9"/>
  <c r="F769" i="9"/>
  <c r="E769" i="9"/>
  <c r="D769" i="9"/>
  <c r="C769" i="9"/>
  <c r="B769" i="9"/>
  <c r="A769" i="9"/>
  <c r="M768" i="9"/>
  <c r="L768" i="9"/>
  <c r="K768" i="9"/>
  <c r="J768" i="9"/>
  <c r="I768" i="9"/>
  <c r="H768" i="9"/>
  <c r="G768" i="9"/>
  <c r="F768" i="9"/>
  <c r="E768" i="9"/>
  <c r="D768" i="9"/>
  <c r="C768" i="9"/>
  <c r="B768" i="9"/>
  <c r="A768" i="9"/>
  <c r="M767" i="9"/>
  <c r="L767" i="9"/>
  <c r="K767" i="9"/>
  <c r="J767" i="9"/>
  <c r="I767" i="9"/>
  <c r="H767" i="9"/>
  <c r="G767" i="9"/>
  <c r="F767" i="9"/>
  <c r="E767" i="9"/>
  <c r="D767" i="9"/>
  <c r="C767" i="9"/>
  <c r="B767" i="9"/>
  <c r="A767" i="9"/>
  <c r="M766" i="9"/>
  <c r="L766" i="9"/>
  <c r="K766" i="9"/>
  <c r="J766" i="9"/>
  <c r="I766" i="9"/>
  <c r="H766" i="9"/>
  <c r="G766" i="9"/>
  <c r="F766" i="9"/>
  <c r="E766" i="9"/>
  <c r="D766" i="9"/>
  <c r="C766" i="9"/>
  <c r="B766" i="9"/>
  <c r="A766" i="9"/>
  <c r="M765" i="9"/>
  <c r="L765" i="9"/>
  <c r="K765" i="9"/>
  <c r="J765" i="9"/>
  <c r="I765" i="9"/>
  <c r="H765" i="9"/>
  <c r="G765" i="9"/>
  <c r="F765" i="9"/>
  <c r="E765" i="9"/>
  <c r="D765" i="9"/>
  <c r="C765" i="9"/>
  <c r="B765" i="9"/>
  <c r="A765" i="9"/>
  <c r="M764" i="9"/>
  <c r="L764" i="9"/>
  <c r="K764" i="9"/>
  <c r="J764" i="9"/>
  <c r="I764" i="9"/>
  <c r="H764" i="9"/>
  <c r="G764" i="9"/>
  <c r="F764" i="9"/>
  <c r="E764" i="9"/>
  <c r="D764" i="9"/>
  <c r="C764" i="9"/>
  <c r="B764" i="9"/>
  <c r="A764" i="9"/>
  <c r="M763" i="9"/>
  <c r="L763" i="9"/>
  <c r="K763" i="9"/>
  <c r="J763" i="9"/>
  <c r="I763" i="9"/>
  <c r="H763" i="9"/>
  <c r="G763" i="9"/>
  <c r="F763" i="9"/>
  <c r="E763" i="9"/>
  <c r="D763" i="9"/>
  <c r="C763" i="9"/>
  <c r="B763" i="9"/>
  <c r="A763" i="9"/>
  <c r="M762" i="9"/>
  <c r="L762" i="9"/>
  <c r="K762" i="9"/>
  <c r="J762" i="9"/>
  <c r="I762" i="9"/>
  <c r="H762" i="9"/>
  <c r="G762" i="9"/>
  <c r="F762" i="9"/>
  <c r="E762" i="9"/>
  <c r="D762" i="9"/>
  <c r="C762" i="9"/>
  <c r="B762" i="9"/>
  <c r="A762" i="9"/>
  <c r="M761" i="9"/>
  <c r="L761" i="9"/>
  <c r="K761" i="9"/>
  <c r="J761" i="9"/>
  <c r="I761" i="9"/>
  <c r="H761" i="9"/>
  <c r="G761" i="9"/>
  <c r="F761" i="9"/>
  <c r="E761" i="9"/>
  <c r="D761" i="9"/>
  <c r="C761" i="9"/>
  <c r="B761" i="9"/>
  <c r="A761" i="9"/>
  <c r="M760" i="9"/>
  <c r="L760" i="9"/>
  <c r="K760" i="9"/>
  <c r="J760" i="9"/>
  <c r="I760" i="9"/>
  <c r="H760" i="9"/>
  <c r="G760" i="9"/>
  <c r="F760" i="9"/>
  <c r="E760" i="9"/>
  <c r="D760" i="9"/>
  <c r="C760" i="9"/>
  <c r="B760" i="9"/>
  <c r="A760" i="9"/>
  <c r="M759" i="9"/>
  <c r="L759" i="9"/>
  <c r="K759" i="9"/>
  <c r="J759" i="9"/>
  <c r="I759" i="9"/>
  <c r="H759" i="9"/>
  <c r="G759" i="9"/>
  <c r="F759" i="9"/>
  <c r="E759" i="9"/>
  <c r="D759" i="9"/>
  <c r="C759" i="9"/>
  <c r="B759" i="9"/>
  <c r="A759" i="9"/>
  <c r="M758" i="9"/>
  <c r="L758" i="9"/>
  <c r="K758" i="9"/>
  <c r="J758" i="9"/>
  <c r="I758" i="9"/>
  <c r="H758" i="9"/>
  <c r="G758" i="9"/>
  <c r="F758" i="9"/>
  <c r="E758" i="9"/>
  <c r="D758" i="9"/>
  <c r="C758" i="9"/>
  <c r="B758" i="9"/>
  <c r="A758" i="9"/>
  <c r="M757" i="9"/>
  <c r="L757" i="9"/>
  <c r="K757" i="9"/>
  <c r="J757" i="9"/>
  <c r="I757" i="9"/>
  <c r="H757" i="9"/>
  <c r="G757" i="9"/>
  <c r="F757" i="9"/>
  <c r="E757" i="9"/>
  <c r="D757" i="9"/>
  <c r="C757" i="9"/>
  <c r="B757" i="9"/>
  <c r="A757" i="9"/>
  <c r="M756" i="9"/>
  <c r="L756" i="9"/>
  <c r="K756" i="9"/>
  <c r="J756" i="9"/>
  <c r="I756" i="9"/>
  <c r="H756" i="9"/>
  <c r="G756" i="9"/>
  <c r="F756" i="9"/>
  <c r="E756" i="9"/>
  <c r="D756" i="9"/>
  <c r="C756" i="9"/>
  <c r="B756" i="9"/>
  <c r="A756" i="9"/>
  <c r="M755" i="9"/>
  <c r="L755" i="9"/>
  <c r="K755" i="9"/>
  <c r="J755" i="9"/>
  <c r="I755" i="9"/>
  <c r="H755" i="9"/>
  <c r="G755" i="9"/>
  <c r="F755" i="9"/>
  <c r="E755" i="9"/>
  <c r="D755" i="9"/>
  <c r="C755" i="9"/>
  <c r="B755" i="9"/>
  <c r="A755" i="9"/>
  <c r="M754" i="9"/>
  <c r="L754" i="9"/>
  <c r="K754" i="9"/>
  <c r="J754" i="9"/>
  <c r="I754" i="9"/>
  <c r="H754" i="9"/>
  <c r="G754" i="9"/>
  <c r="F754" i="9"/>
  <c r="E754" i="9"/>
  <c r="D754" i="9"/>
  <c r="C754" i="9"/>
  <c r="B754" i="9"/>
  <c r="A754" i="9"/>
  <c r="M753" i="9"/>
  <c r="L753" i="9"/>
  <c r="K753" i="9"/>
  <c r="J753" i="9"/>
  <c r="I753" i="9"/>
  <c r="H753" i="9"/>
  <c r="G753" i="9"/>
  <c r="F753" i="9"/>
  <c r="E753" i="9"/>
  <c r="D753" i="9"/>
  <c r="C753" i="9"/>
  <c r="B753" i="9"/>
  <c r="A753" i="9"/>
  <c r="M752" i="9"/>
  <c r="L752" i="9"/>
  <c r="K752" i="9"/>
  <c r="J752" i="9"/>
  <c r="I752" i="9"/>
  <c r="H752" i="9"/>
  <c r="G752" i="9"/>
  <c r="F752" i="9"/>
  <c r="E752" i="9"/>
  <c r="D752" i="9"/>
  <c r="C752" i="9"/>
  <c r="B752" i="9"/>
  <c r="A752" i="9"/>
  <c r="M751" i="9"/>
  <c r="L751" i="9"/>
  <c r="K751" i="9"/>
  <c r="J751" i="9"/>
  <c r="I751" i="9"/>
  <c r="H751" i="9"/>
  <c r="G751" i="9"/>
  <c r="F751" i="9"/>
  <c r="E751" i="9"/>
  <c r="D751" i="9"/>
  <c r="C751" i="9"/>
  <c r="B751" i="9"/>
  <c r="A751" i="9"/>
  <c r="M750" i="9"/>
  <c r="L750" i="9"/>
  <c r="K750" i="9"/>
  <c r="J750" i="9"/>
  <c r="I750" i="9"/>
  <c r="H750" i="9"/>
  <c r="G750" i="9"/>
  <c r="F750" i="9"/>
  <c r="E750" i="9"/>
  <c r="D750" i="9"/>
  <c r="C750" i="9"/>
  <c r="B750" i="9"/>
  <c r="A750" i="9"/>
  <c r="M749" i="9"/>
  <c r="L749" i="9"/>
  <c r="K749" i="9"/>
  <c r="J749" i="9"/>
  <c r="I749" i="9"/>
  <c r="H749" i="9"/>
  <c r="G749" i="9"/>
  <c r="F749" i="9"/>
  <c r="E749" i="9"/>
  <c r="D749" i="9"/>
  <c r="C749" i="9"/>
  <c r="B749" i="9"/>
  <c r="A749" i="9"/>
  <c r="M748" i="9"/>
  <c r="L748" i="9"/>
  <c r="K748" i="9"/>
  <c r="J748" i="9"/>
  <c r="I748" i="9"/>
  <c r="H748" i="9"/>
  <c r="G748" i="9"/>
  <c r="F748" i="9"/>
  <c r="E748" i="9"/>
  <c r="D748" i="9"/>
  <c r="C748" i="9"/>
  <c r="B748" i="9"/>
  <c r="A748" i="9"/>
  <c r="M747" i="9"/>
  <c r="L747" i="9"/>
  <c r="K747" i="9"/>
  <c r="J747" i="9"/>
  <c r="I747" i="9"/>
  <c r="H747" i="9"/>
  <c r="G747" i="9"/>
  <c r="F747" i="9"/>
  <c r="E747" i="9"/>
  <c r="D747" i="9"/>
  <c r="C747" i="9"/>
  <c r="B747" i="9"/>
  <c r="A747" i="9"/>
  <c r="M746" i="9"/>
  <c r="L746" i="9"/>
  <c r="K746" i="9"/>
  <c r="J746" i="9"/>
  <c r="I746" i="9"/>
  <c r="H746" i="9"/>
  <c r="G746" i="9"/>
  <c r="F746" i="9"/>
  <c r="E746" i="9"/>
  <c r="D746" i="9"/>
  <c r="C746" i="9"/>
  <c r="B746" i="9"/>
  <c r="A746" i="9"/>
  <c r="M745" i="9"/>
  <c r="L745" i="9"/>
  <c r="K745" i="9"/>
  <c r="J745" i="9"/>
  <c r="I745" i="9"/>
  <c r="H745" i="9"/>
  <c r="G745" i="9"/>
  <c r="F745" i="9"/>
  <c r="E745" i="9"/>
  <c r="D745" i="9"/>
  <c r="C745" i="9"/>
  <c r="B745" i="9"/>
  <c r="A745" i="9"/>
  <c r="M744" i="9"/>
  <c r="L744" i="9"/>
  <c r="K744" i="9"/>
  <c r="J744" i="9"/>
  <c r="I744" i="9"/>
  <c r="H744" i="9"/>
  <c r="G744" i="9"/>
  <c r="F744" i="9"/>
  <c r="E744" i="9"/>
  <c r="D744" i="9"/>
  <c r="C744" i="9"/>
  <c r="B744" i="9"/>
  <c r="A744" i="9"/>
  <c r="M743" i="9"/>
  <c r="L743" i="9"/>
  <c r="K743" i="9"/>
  <c r="J743" i="9"/>
  <c r="I743" i="9"/>
  <c r="H743" i="9"/>
  <c r="G743" i="9"/>
  <c r="F743" i="9"/>
  <c r="E743" i="9"/>
  <c r="D743" i="9"/>
  <c r="C743" i="9"/>
  <c r="B743" i="9"/>
  <c r="A743" i="9"/>
  <c r="M742" i="9"/>
  <c r="L742" i="9"/>
  <c r="K742" i="9"/>
  <c r="J742" i="9"/>
  <c r="I742" i="9"/>
  <c r="H742" i="9"/>
  <c r="G742" i="9"/>
  <c r="F742" i="9"/>
  <c r="E742" i="9"/>
  <c r="D742" i="9"/>
  <c r="C742" i="9"/>
  <c r="B742" i="9"/>
  <c r="A742" i="9"/>
  <c r="M741" i="9"/>
  <c r="L741" i="9"/>
  <c r="K741" i="9"/>
  <c r="J741" i="9"/>
  <c r="I741" i="9"/>
  <c r="H741" i="9"/>
  <c r="G741" i="9"/>
  <c r="F741" i="9"/>
  <c r="E741" i="9"/>
  <c r="D741" i="9"/>
  <c r="C741" i="9"/>
  <c r="B741" i="9"/>
  <c r="A741" i="9"/>
  <c r="M740" i="9"/>
  <c r="L740" i="9"/>
  <c r="K740" i="9"/>
  <c r="J740" i="9"/>
  <c r="I740" i="9"/>
  <c r="H740" i="9"/>
  <c r="G740" i="9"/>
  <c r="F740" i="9"/>
  <c r="E740" i="9"/>
  <c r="D740" i="9"/>
  <c r="C740" i="9"/>
  <c r="B740" i="9"/>
  <c r="A740" i="9"/>
  <c r="M739" i="9"/>
  <c r="L739" i="9"/>
  <c r="K739" i="9"/>
  <c r="J739" i="9"/>
  <c r="I739" i="9"/>
  <c r="H739" i="9"/>
  <c r="G739" i="9"/>
  <c r="F739" i="9"/>
  <c r="E739" i="9"/>
  <c r="D739" i="9"/>
  <c r="C739" i="9"/>
  <c r="B739" i="9"/>
  <c r="A739" i="9"/>
  <c r="M738" i="9"/>
  <c r="L738" i="9"/>
  <c r="K738" i="9"/>
  <c r="J738" i="9"/>
  <c r="I738" i="9"/>
  <c r="H738" i="9"/>
  <c r="G738" i="9"/>
  <c r="F738" i="9"/>
  <c r="E738" i="9"/>
  <c r="D738" i="9"/>
  <c r="C738" i="9"/>
  <c r="B738" i="9"/>
  <c r="A738" i="9"/>
  <c r="M737" i="9"/>
  <c r="L737" i="9"/>
  <c r="K737" i="9"/>
  <c r="J737" i="9"/>
  <c r="I737" i="9"/>
  <c r="H737" i="9"/>
  <c r="G737" i="9"/>
  <c r="F737" i="9"/>
  <c r="E737" i="9"/>
  <c r="D737" i="9"/>
  <c r="C737" i="9"/>
  <c r="B737" i="9"/>
  <c r="A737" i="9"/>
  <c r="M736" i="9"/>
  <c r="L736" i="9"/>
  <c r="K736" i="9"/>
  <c r="J736" i="9"/>
  <c r="I736" i="9"/>
  <c r="H736" i="9"/>
  <c r="G736" i="9"/>
  <c r="F736" i="9"/>
  <c r="E736" i="9"/>
  <c r="D736" i="9"/>
  <c r="C736" i="9"/>
  <c r="B736" i="9"/>
  <c r="A736" i="9"/>
  <c r="M735" i="9"/>
  <c r="L735" i="9"/>
  <c r="K735" i="9"/>
  <c r="J735" i="9"/>
  <c r="I735" i="9"/>
  <c r="H735" i="9"/>
  <c r="G735" i="9"/>
  <c r="F735" i="9"/>
  <c r="E735" i="9"/>
  <c r="D735" i="9"/>
  <c r="C735" i="9"/>
  <c r="B735" i="9"/>
  <c r="A735" i="9"/>
  <c r="M734" i="9"/>
  <c r="L734" i="9"/>
  <c r="K734" i="9"/>
  <c r="J734" i="9"/>
  <c r="I734" i="9"/>
  <c r="H734" i="9"/>
  <c r="G734" i="9"/>
  <c r="F734" i="9"/>
  <c r="E734" i="9"/>
  <c r="D734" i="9"/>
  <c r="C734" i="9"/>
  <c r="B734" i="9"/>
  <c r="A734" i="9"/>
  <c r="M733" i="9"/>
  <c r="L733" i="9"/>
  <c r="K733" i="9"/>
  <c r="J733" i="9"/>
  <c r="I733" i="9"/>
  <c r="H733" i="9"/>
  <c r="G733" i="9"/>
  <c r="F733" i="9"/>
  <c r="E733" i="9"/>
  <c r="D733" i="9"/>
  <c r="C733" i="9"/>
  <c r="B733" i="9"/>
  <c r="A733" i="9"/>
  <c r="M732" i="9"/>
  <c r="L732" i="9"/>
  <c r="K732" i="9"/>
  <c r="J732" i="9"/>
  <c r="I732" i="9"/>
  <c r="H732" i="9"/>
  <c r="G732" i="9"/>
  <c r="F732" i="9"/>
  <c r="E732" i="9"/>
  <c r="D732" i="9"/>
  <c r="C732" i="9"/>
  <c r="B732" i="9"/>
  <c r="A732" i="9"/>
  <c r="M731" i="9"/>
  <c r="L731" i="9"/>
  <c r="K731" i="9"/>
  <c r="J731" i="9"/>
  <c r="I731" i="9"/>
  <c r="H731" i="9"/>
  <c r="G731" i="9"/>
  <c r="F731" i="9"/>
  <c r="E731" i="9"/>
  <c r="D731" i="9"/>
  <c r="C731" i="9"/>
  <c r="B731" i="9"/>
  <c r="A731" i="9"/>
  <c r="M730" i="9"/>
  <c r="L730" i="9"/>
  <c r="K730" i="9"/>
  <c r="J730" i="9"/>
  <c r="I730" i="9"/>
  <c r="H730" i="9"/>
  <c r="G730" i="9"/>
  <c r="F730" i="9"/>
  <c r="E730" i="9"/>
  <c r="D730" i="9"/>
  <c r="C730" i="9"/>
  <c r="B730" i="9"/>
  <c r="A730" i="9"/>
  <c r="M729" i="9"/>
  <c r="L729" i="9"/>
  <c r="K729" i="9"/>
  <c r="J729" i="9"/>
  <c r="I729" i="9"/>
  <c r="H729" i="9"/>
  <c r="G729" i="9"/>
  <c r="F729" i="9"/>
  <c r="E729" i="9"/>
  <c r="D729" i="9"/>
  <c r="C729" i="9"/>
  <c r="B729" i="9"/>
  <c r="A729" i="9"/>
  <c r="M728" i="9"/>
  <c r="L728" i="9"/>
  <c r="K728" i="9"/>
  <c r="J728" i="9"/>
  <c r="I728" i="9"/>
  <c r="H728" i="9"/>
  <c r="G728" i="9"/>
  <c r="F728" i="9"/>
  <c r="E728" i="9"/>
  <c r="D728" i="9"/>
  <c r="C728" i="9"/>
  <c r="B728" i="9"/>
  <c r="A728" i="9"/>
  <c r="M727" i="9"/>
  <c r="L727" i="9"/>
  <c r="K727" i="9"/>
  <c r="J727" i="9"/>
  <c r="I727" i="9"/>
  <c r="H727" i="9"/>
  <c r="G727" i="9"/>
  <c r="F727" i="9"/>
  <c r="E727" i="9"/>
  <c r="D727" i="9"/>
  <c r="C727" i="9"/>
  <c r="B727" i="9"/>
  <c r="A727" i="9"/>
  <c r="M726" i="9"/>
  <c r="L726" i="9"/>
  <c r="K726" i="9"/>
  <c r="J726" i="9"/>
  <c r="I726" i="9"/>
  <c r="H726" i="9"/>
  <c r="G726" i="9"/>
  <c r="F726" i="9"/>
  <c r="E726" i="9"/>
  <c r="D726" i="9"/>
  <c r="C726" i="9"/>
  <c r="B726" i="9"/>
  <c r="A726" i="9"/>
  <c r="M725" i="9"/>
  <c r="L725" i="9"/>
  <c r="K725" i="9"/>
  <c r="J725" i="9"/>
  <c r="I725" i="9"/>
  <c r="H725" i="9"/>
  <c r="G725" i="9"/>
  <c r="F725" i="9"/>
  <c r="E725" i="9"/>
  <c r="D725" i="9"/>
  <c r="C725" i="9"/>
  <c r="B725" i="9"/>
  <c r="A725" i="9"/>
  <c r="M724" i="9"/>
  <c r="L724" i="9"/>
  <c r="K724" i="9"/>
  <c r="J724" i="9"/>
  <c r="I724" i="9"/>
  <c r="H724" i="9"/>
  <c r="G724" i="9"/>
  <c r="F724" i="9"/>
  <c r="E724" i="9"/>
  <c r="D724" i="9"/>
  <c r="C724" i="9"/>
  <c r="B724" i="9"/>
  <c r="A724" i="9"/>
  <c r="M723" i="9"/>
  <c r="L723" i="9"/>
  <c r="K723" i="9"/>
  <c r="J723" i="9"/>
  <c r="I723" i="9"/>
  <c r="H723" i="9"/>
  <c r="G723" i="9"/>
  <c r="F723" i="9"/>
  <c r="E723" i="9"/>
  <c r="D723" i="9"/>
  <c r="C723" i="9"/>
  <c r="B723" i="9"/>
  <c r="A723" i="9"/>
  <c r="M722" i="9"/>
  <c r="L722" i="9"/>
  <c r="K722" i="9"/>
  <c r="J722" i="9"/>
  <c r="I722" i="9"/>
  <c r="H722" i="9"/>
  <c r="G722" i="9"/>
  <c r="F722" i="9"/>
  <c r="E722" i="9"/>
  <c r="D722" i="9"/>
  <c r="C722" i="9"/>
  <c r="B722" i="9"/>
  <c r="A722" i="9"/>
  <c r="M721" i="9"/>
  <c r="L721" i="9"/>
  <c r="K721" i="9"/>
  <c r="J721" i="9"/>
  <c r="I721" i="9"/>
  <c r="H721" i="9"/>
  <c r="G721" i="9"/>
  <c r="F721" i="9"/>
  <c r="E721" i="9"/>
  <c r="D721" i="9"/>
  <c r="C721" i="9"/>
  <c r="B721" i="9"/>
  <c r="A721" i="9"/>
  <c r="M720" i="9"/>
  <c r="L720" i="9"/>
  <c r="K720" i="9"/>
  <c r="J720" i="9"/>
  <c r="I720" i="9"/>
  <c r="H720" i="9"/>
  <c r="G720" i="9"/>
  <c r="F720" i="9"/>
  <c r="E720" i="9"/>
  <c r="D720" i="9"/>
  <c r="C720" i="9"/>
  <c r="B720" i="9"/>
  <c r="A720" i="9"/>
  <c r="M719" i="9"/>
  <c r="L719" i="9"/>
  <c r="K719" i="9"/>
  <c r="J719" i="9"/>
  <c r="I719" i="9"/>
  <c r="H719" i="9"/>
  <c r="G719" i="9"/>
  <c r="F719" i="9"/>
  <c r="E719" i="9"/>
  <c r="D719" i="9"/>
  <c r="C719" i="9"/>
  <c r="B719" i="9"/>
  <c r="A719" i="9"/>
  <c r="M718" i="9"/>
  <c r="L718" i="9"/>
  <c r="K718" i="9"/>
  <c r="J718" i="9"/>
  <c r="I718" i="9"/>
  <c r="H718" i="9"/>
  <c r="G718" i="9"/>
  <c r="F718" i="9"/>
  <c r="E718" i="9"/>
  <c r="D718" i="9"/>
  <c r="C718" i="9"/>
  <c r="B718" i="9"/>
  <c r="A718" i="9"/>
  <c r="M717" i="9"/>
  <c r="L717" i="9"/>
  <c r="K717" i="9"/>
  <c r="J717" i="9"/>
  <c r="I717" i="9"/>
  <c r="H717" i="9"/>
  <c r="G717" i="9"/>
  <c r="F717" i="9"/>
  <c r="E717" i="9"/>
  <c r="D717" i="9"/>
  <c r="C717" i="9"/>
  <c r="B717" i="9"/>
  <c r="A717" i="9"/>
  <c r="M716" i="9"/>
  <c r="L716" i="9"/>
  <c r="K716" i="9"/>
  <c r="J716" i="9"/>
  <c r="I716" i="9"/>
  <c r="H716" i="9"/>
  <c r="G716" i="9"/>
  <c r="F716" i="9"/>
  <c r="E716" i="9"/>
  <c r="D716" i="9"/>
  <c r="C716" i="9"/>
  <c r="B716" i="9"/>
  <c r="A716" i="9"/>
  <c r="M715" i="9"/>
  <c r="L715" i="9"/>
  <c r="K715" i="9"/>
  <c r="J715" i="9"/>
  <c r="I715" i="9"/>
  <c r="H715" i="9"/>
  <c r="G715" i="9"/>
  <c r="F715" i="9"/>
  <c r="E715" i="9"/>
  <c r="D715" i="9"/>
  <c r="C715" i="9"/>
  <c r="B715" i="9"/>
  <c r="A715" i="9"/>
  <c r="M714" i="9"/>
  <c r="L714" i="9"/>
  <c r="K714" i="9"/>
  <c r="J714" i="9"/>
  <c r="I714" i="9"/>
  <c r="H714" i="9"/>
  <c r="G714" i="9"/>
  <c r="F714" i="9"/>
  <c r="E714" i="9"/>
  <c r="D714" i="9"/>
  <c r="C714" i="9"/>
  <c r="B714" i="9"/>
  <c r="A714" i="9"/>
  <c r="M713" i="9"/>
  <c r="L713" i="9"/>
  <c r="K713" i="9"/>
  <c r="J713" i="9"/>
  <c r="I713" i="9"/>
  <c r="H713" i="9"/>
  <c r="G713" i="9"/>
  <c r="F713" i="9"/>
  <c r="E713" i="9"/>
  <c r="D713" i="9"/>
  <c r="C713" i="9"/>
  <c r="B713" i="9"/>
  <c r="A713" i="9"/>
  <c r="M712" i="9"/>
  <c r="L712" i="9"/>
  <c r="K712" i="9"/>
  <c r="J712" i="9"/>
  <c r="I712" i="9"/>
  <c r="H712" i="9"/>
  <c r="G712" i="9"/>
  <c r="F712" i="9"/>
  <c r="E712" i="9"/>
  <c r="D712" i="9"/>
  <c r="C712" i="9"/>
  <c r="B712" i="9"/>
  <c r="A712" i="9"/>
  <c r="M711" i="9"/>
  <c r="L711" i="9"/>
  <c r="K711" i="9"/>
  <c r="J711" i="9"/>
  <c r="I711" i="9"/>
  <c r="H711" i="9"/>
  <c r="G711" i="9"/>
  <c r="F711" i="9"/>
  <c r="E711" i="9"/>
  <c r="D711" i="9"/>
  <c r="C711" i="9"/>
  <c r="B711" i="9"/>
  <c r="A711" i="9"/>
  <c r="M710" i="9"/>
  <c r="L710" i="9"/>
  <c r="K710" i="9"/>
  <c r="J710" i="9"/>
  <c r="I710" i="9"/>
  <c r="H710" i="9"/>
  <c r="G710" i="9"/>
  <c r="F710" i="9"/>
  <c r="E710" i="9"/>
  <c r="D710" i="9"/>
  <c r="C710" i="9"/>
  <c r="B710" i="9"/>
  <c r="A710" i="9"/>
  <c r="M709" i="9"/>
  <c r="L709" i="9"/>
  <c r="K709" i="9"/>
  <c r="J709" i="9"/>
  <c r="I709" i="9"/>
  <c r="H709" i="9"/>
  <c r="G709" i="9"/>
  <c r="F709" i="9"/>
  <c r="E709" i="9"/>
  <c r="D709" i="9"/>
  <c r="C709" i="9"/>
  <c r="B709" i="9"/>
  <c r="A709" i="9"/>
  <c r="M708" i="9"/>
  <c r="L708" i="9"/>
  <c r="K708" i="9"/>
  <c r="J708" i="9"/>
  <c r="I708" i="9"/>
  <c r="H708" i="9"/>
  <c r="G708" i="9"/>
  <c r="F708" i="9"/>
  <c r="E708" i="9"/>
  <c r="D708" i="9"/>
  <c r="C708" i="9"/>
  <c r="B708" i="9"/>
  <c r="A708" i="9"/>
  <c r="M707" i="9"/>
  <c r="L707" i="9"/>
  <c r="K707" i="9"/>
  <c r="J707" i="9"/>
  <c r="I707" i="9"/>
  <c r="H707" i="9"/>
  <c r="G707" i="9"/>
  <c r="F707" i="9"/>
  <c r="E707" i="9"/>
  <c r="D707" i="9"/>
  <c r="C707" i="9"/>
  <c r="B707" i="9"/>
  <c r="A707" i="9"/>
  <c r="M706" i="9"/>
  <c r="L706" i="9"/>
  <c r="K706" i="9"/>
  <c r="J706" i="9"/>
  <c r="I706" i="9"/>
  <c r="H706" i="9"/>
  <c r="G706" i="9"/>
  <c r="F706" i="9"/>
  <c r="E706" i="9"/>
  <c r="D706" i="9"/>
  <c r="C706" i="9"/>
  <c r="B706" i="9"/>
  <c r="A706" i="9"/>
  <c r="M705" i="9"/>
  <c r="L705" i="9"/>
  <c r="K705" i="9"/>
  <c r="J705" i="9"/>
  <c r="I705" i="9"/>
  <c r="H705" i="9"/>
  <c r="G705" i="9"/>
  <c r="F705" i="9"/>
  <c r="E705" i="9"/>
  <c r="D705" i="9"/>
  <c r="C705" i="9"/>
  <c r="B705" i="9"/>
  <c r="A705" i="9"/>
  <c r="M704" i="9"/>
  <c r="L704" i="9"/>
  <c r="K704" i="9"/>
  <c r="J704" i="9"/>
  <c r="I704" i="9"/>
  <c r="H704" i="9"/>
  <c r="G704" i="9"/>
  <c r="F704" i="9"/>
  <c r="E704" i="9"/>
  <c r="D704" i="9"/>
  <c r="C704" i="9"/>
  <c r="B704" i="9"/>
  <c r="A704" i="9"/>
  <c r="M703" i="9"/>
  <c r="L703" i="9"/>
  <c r="K703" i="9"/>
  <c r="J703" i="9"/>
  <c r="I703" i="9"/>
  <c r="H703" i="9"/>
  <c r="G703" i="9"/>
  <c r="F703" i="9"/>
  <c r="E703" i="9"/>
  <c r="D703" i="9"/>
  <c r="C703" i="9"/>
  <c r="B703" i="9"/>
  <c r="A703" i="9"/>
  <c r="M702" i="9"/>
  <c r="L702" i="9"/>
  <c r="K702" i="9"/>
  <c r="J702" i="9"/>
  <c r="I702" i="9"/>
  <c r="H702" i="9"/>
  <c r="G702" i="9"/>
  <c r="F702" i="9"/>
  <c r="E702" i="9"/>
  <c r="D702" i="9"/>
  <c r="C702" i="9"/>
  <c r="B702" i="9"/>
  <c r="A702" i="9"/>
  <c r="M701" i="9"/>
  <c r="L701" i="9"/>
  <c r="K701" i="9"/>
  <c r="J701" i="9"/>
  <c r="I701" i="9"/>
  <c r="H701" i="9"/>
  <c r="G701" i="9"/>
  <c r="F701" i="9"/>
  <c r="E701" i="9"/>
  <c r="D701" i="9"/>
  <c r="C701" i="9"/>
  <c r="B701" i="9"/>
  <c r="A701" i="9"/>
  <c r="M700" i="9"/>
  <c r="L700" i="9"/>
  <c r="K700" i="9"/>
  <c r="J700" i="9"/>
  <c r="I700" i="9"/>
  <c r="H700" i="9"/>
  <c r="G700" i="9"/>
  <c r="F700" i="9"/>
  <c r="E700" i="9"/>
  <c r="D700" i="9"/>
  <c r="C700" i="9"/>
  <c r="B700" i="9"/>
  <c r="A700" i="9"/>
  <c r="M699" i="9"/>
  <c r="L699" i="9"/>
  <c r="K699" i="9"/>
  <c r="J699" i="9"/>
  <c r="I699" i="9"/>
  <c r="H699" i="9"/>
  <c r="G699" i="9"/>
  <c r="F699" i="9"/>
  <c r="E699" i="9"/>
  <c r="D699" i="9"/>
  <c r="C699" i="9"/>
  <c r="B699" i="9"/>
  <c r="A699" i="9"/>
  <c r="M698" i="9"/>
  <c r="L698" i="9"/>
  <c r="K698" i="9"/>
  <c r="J698" i="9"/>
  <c r="I698" i="9"/>
  <c r="H698" i="9"/>
  <c r="G698" i="9"/>
  <c r="F698" i="9"/>
  <c r="E698" i="9"/>
  <c r="D698" i="9"/>
  <c r="C698" i="9"/>
  <c r="B698" i="9"/>
  <c r="A698" i="9"/>
  <c r="M697" i="9"/>
  <c r="L697" i="9"/>
  <c r="K697" i="9"/>
  <c r="J697" i="9"/>
  <c r="I697" i="9"/>
  <c r="H697" i="9"/>
  <c r="G697" i="9"/>
  <c r="F697" i="9"/>
  <c r="E697" i="9"/>
  <c r="D697" i="9"/>
  <c r="C697" i="9"/>
  <c r="B697" i="9"/>
  <c r="A697" i="9"/>
  <c r="M696" i="9"/>
  <c r="L696" i="9"/>
  <c r="K696" i="9"/>
  <c r="J696" i="9"/>
  <c r="I696" i="9"/>
  <c r="H696" i="9"/>
  <c r="G696" i="9"/>
  <c r="F696" i="9"/>
  <c r="E696" i="9"/>
  <c r="D696" i="9"/>
  <c r="C696" i="9"/>
  <c r="B696" i="9"/>
  <c r="A696" i="9"/>
  <c r="M695" i="9"/>
  <c r="L695" i="9"/>
  <c r="K695" i="9"/>
  <c r="J695" i="9"/>
  <c r="I695" i="9"/>
  <c r="H695" i="9"/>
  <c r="G695" i="9"/>
  <c r="F695" i="9"/>
  <c r="E695" i="9"/>
  <c r="D695" i="9"/>
  <c r="C695" i="9"/>
  <c r="B695" i="9"/>
  <c r="A695" i="9"/>
  <c r="M694" i="9"/>
  <c r="L694" i="9"/>
  <c r="K694" i="9"/>
  <c r="J694" i="9"/>
  <c r="I694" i="9"/>
  <c r="H694" i="9"/>
  <c r="G694" i="9"/>
  <c r="F694" i="9"/>
  <c r="E694" i="9"/>
  <c r="D694" i="9"/>
  <c r="C694" i="9"/>
  <c r="B694" i="9"/>
  <c r="A694" i="9"/>
  <c r="M693" i="9"/>
  <c r="L693" i="9"/>
  <c r="K693" i="9"/>
  <c r="J693" i="9"/>
  <c r="I693" i="9"/>
  <c r="H693" i="9"/>
  <c r="G693" i="9"/>
  <c r="F693" i="9"/>
  <c r="E693" i="9"/>
  <c r="D693" i="9"/>
  <c r="C693" i="9"/>
  <c r="B693" i="9"/>
  <c r="A693" i="9"/>
  <c r="M692" i="9"/>
  <c r="L692" i="9"/>
  <c r="K692" i="9"/>
  <c r="J692" i="9"/>
  <c r="I692" i="9"/>
  <c r="H692" i="9"/>
  <c r="G692" i="9"/>
  <c r="F692" i="9"/>
  <c r="E692" i="9"/>
  <c r="D692" i="9"/>
  <c r="C692" i="9"/>
  <c r="B692" i="9"/>
  <c r="A692" i="9"/>
  <c r="M691" i="9"/>
  <c r="L691" i="9"/>
  <c r="K691" i="9"/>
  <c r="J691" i="9"/>
  <c r="I691" i="9"/>
  <c r="H691" i="9"/>
  <c r="G691" i="9"/>
  <c r="F691" i="9"/>
  <c r="E691" i="9"/>
  <c r="D691" i="9"/>
  <c r="C691" i="9"/>
  <c r="B691" i="9"/>
  <c r="A691" i="9"/>
  <c r="M690" i="9"/>
  <c r="L690" i="9"/>
  <c r="K690" i="9"/>
  <c r="J690" i="9"/>
  <c r="I690" i="9"/>
  <c r="H690" i="9"/>
  <c r="G690" i="9"/>
  <c r="F690" i="9"/>
  <c r="E690" i="9"/>
  <c r="D690" i="9"/>
  <c r="C690" i="9"/>
  <c r="B690" i="9"/>
  <c r="A690" i="9"/>
  <c r="M689" i="9"/>
  <c r="L689" i="9"/>
  <c r="K689" i="9"/>
  <c r="J689" i="9"/>
  <c r="I689" i="9"/>
  <c r="H689" i="9"/>
  <c r="G689" i="9"/>
  <c r="F689" i="9"/>
  <c r="E689" i="9"/>
  <c r="D689" i="9"/>
  <c r="C689" i="9"/>
  <c r="B689" i="9"/>
  <c r="A689" i="9"/>
  <c r="M688" i="9"/>
  <c r="L688" i="9"/>
  <c r="K688" i="9"/>
  <c r="J688" i="9"/>
  <c r="I688" i="9"/>
  <c r="H688" i="9"/>
  <c r="G688" i="9"/>
  <c r="F688" i="9"/>
  <c r="E688" i="9"/>
  <c r="D688" i="9"/>
  <c r="C688" i="9"/>
  <c r="B688" i="9"/>
  <c r="A688" i="9"/>
  <c r="M687" i="9"/>
  <c r="L687" i="9"/>
  <c r="K687" i="9"/>
  <c r="J687" i="9"/>
  <c r="I687" i="9"/>
  <c r="H687" i="9"/>
  <c r="G687" i="9"/>
  <c r="F687" i="9"/>
  <c r="E687" i="9"/>
  <c r="D687" i="9"/>
  <c r="C687" i="9"/>
  <c r="B687" i="9"/>
  <c r="A687" i="9"/>
  <c r="M686" i="9"/>
  <c r="L686" i="9"/>
  <c r="K686" i="9"/>
  <c r="J686" i="9"/>
  <c r="I686" i="9"/>
  <c r="H686" i="9"/>
  <c r="G686" i="9"/>
  <c r="F686" i="9"/>
  <c r="E686" i="9"/>
  <c r="D686" i="9"/>
  <c r="C686" i="9"/>
  <c r="B686" i="9"/>
  <c r="A686" i="9"/>
  <c r="M685" i="9"/>
  <c r="L685" i="9"/>
  <c r="K685" i="9"/>
  <c r="J685" i="9"/>
  <c r="I685" i="9"/>
  <c r="H685" i="9"/>
  <c r="G685" i="9"/>
  <c r="F685" i="9"/>
  <c r="E685" i="9"/>
  <c r="D685" i="9"/>
  <c r="C685" i="9"/>
  <c r="B685" i="9"/>
  <c r="A685" i="9"/>
  <c r="M684" i="9"/>
  <c r="L684" i="9"/>
  <c r="K684" i="9"/>
  <c r="J684" i="9"/>
  <c r="I684" i="9"/>
  <c r="H684" i="9"/>
  <c r="G684" i="9"/>
  <c r="F684" i="9"/>
  <c r="E684" i="9"/>
  <c r="D684" i="9"/>
  <c r="C684" i="9"/>
  <c r="B684" i="9"/>
  <c r="A684" i="9"/>
  <c r="M683" i="9"/>
  <c r="L683" i="9"/>
  <c r="K683" i="9"/>
  <c r="J683" i="9"/>
  <c r="I683" i="9"/>
  <c r="H683" i="9"/>
  <c r="G683" i="9"/>
  <c r="F683" i="9"/>
  <c r="E683" i="9"/>
  <c r="D683" i="9"/>
  <c r="C683" i="9"/>
  <c r="B683" i="9"/>
  <c r="A683" i="9"/>
  <c r="M682" i="9"/>
  <c r="L682" i="9"/>
  <c r="K682" i="9"/>
  <c r="J682" i="9"/>
  <c r="I682" i="9"/>
  <c r="H682" i="9"/>
  <c r="G682" i="9"/>
  <c r="F682" i="9"/>
  <c r="E682" i="9"/>
  <c r="D682" i="9"/>
  <c r="C682" i="9"/>
  <c r="B682" i="9"/>
  <c r="A682" i="9"/>
  <c r="M681" i="9"/>
  <c r="L681" i="9"/>
  <c r="K681" i="9"/>
  <c r="J681" i="9"/>
  <c r="I681" i="9"/>
  <c r="H681" i="9"/>
  <c r="G681" i="9"/>
  <c r="F681" i="9"/>
  <c r="E681" i="9"/>
  <c r="D681" i="9"/>
  <c r="C681" i="9"/>
  <c r="B681" i="9"/>
  <c r="A681" i="9"/>
  <c r="M680" i="9"/>
  <c r="L680" i="9"/>
  <c r="K680" i="9"/>
  <c r="J680" i="9"/>
  <c r="I680" i="9"/>
  <c r="H680" i="9"/>
  <c r="G680" i="9"/>
  <c r="F680" i="9"/>
  <c r="E680" i="9"/>
  <c r="D680" i="9"/>
  <c r="C680" i="9"/>
  <c r="B680" i="9"/>
  <c r="A680" i="9"/>
  <c r="M679" i="9"/>
  <c r="L679" i="9"/>
  <c r="K679" i="9"/>
  <c r="J679" i="9"/>
  <c r="I679" i="9"/>
  <c r="H679" i="9"/>
  <c r="G679" i="9"/>
  <c r="F679" i="9"/>
  <c r="E679" i="9"/>
  <c r="D679" i="9"/>
  <c r="C679" i="9"/>
  <c r="B679" i="9"/>
  <c r="A679" i="9"/>
  <c r="M678" i="9"/>
  <c r="L678" i="9"/>
  <c r="K678" i="9"/>
  <c r="J678" i="9"/>
  <c r="I678" i="9"/>
  <c r="H678" i="9"/>
  <c r="G678" i="9"/>
  <c r="F678" i="9"/>
  <c r="E678" i="9"/>
  <c r="D678" i="9"/>
  <c r="C678" i="9"/>
  <c r="B678" i="9"/>
  <c r="A678" i="9"/>
  <c r="M677" i="9"/>
  <c r="L677" i="9"/>
  <c r="K677" i="9"/>
  <c r="J677" i="9"/>
  <c r="I677" i="9"/>
  <c r="H677" i="9"/>
  <c r="G677" i="9"/>
  <c r="F677" i="9"/>
  <c r="E677" i="9"/>
  <c r="D677" i="9"/>
  <c r="C677" i="9"/>
  <c r="B677" i="9"/>
  <c r="A677" i="9"/>
  <c r="M676" i="9"/>
  <c r="L676" i="9"/>
  <c r="K676" i="9"/>
  <c r="J676" i="9"/>
  <c r="I676" i="9"/>
  <c r="H676" i="9"/>
  <c r="G676" i="9"/>
  <c r="F676" i="9"/>
  <c r="E676" i="9"/>
  <c r="D676" i="9"/>
  <c r="C676" i="9"/>
  <c r="B676" i="9"/>
  <c r="A676" i="9"/>
  <c r="M675" i="9"/>
  <c r="L675" i="9"/>
  <c r="K675" i="9"/>
  <c r="J675" i="9"/>
  <c r="I675" i="9"/>
  <c r="H675" i="9"/>
  <c r="G675" i="9"/>
  <c r="F675" i="9"/>
  <c r="E675" i="9"/>
  <c r="D675" i="9"/>
  <c r="C675" i="9"/>
  <c r="B675" i="9"/>
  <c r="A675" i="9"/>
  <c r="M674" i="9"/>
  <c r="L674" i="9"/>
  <c r="K674" i="9"/>
  <c r="J674" i="9"/>
  <c r="I674" i="9"/>
  <c r="H674" i="9"/>
  <c r="G674" i="9"/>
  <c r="F674" i="9"/>
  <c r="E674" i="9"/>
  <c r="D674" i="9"/>
  <c r="C674" i="9"/>
  <c r="B674" i="9"/>
  <c r="A674" i="9"/>
  <c r="M673" i="9"/>
  <c r="L673" i="9"/>
  <c r="K673" i="9"/>
  <c r="J673" i="9"/>
  <c r="I673" i="9"/>
  <c r="H673" i="9"/>
  <c r="G673" i="9"/>
  <c r="F673" i="9"/>
  <c r="E673" i="9"/>
  <c r="D673" i="9"/>
  <c r="C673" i="9"/>
  <c r="B673" i="9"/>
  <c r="A673" i="9"/>
  <c r="M672" i="9"/>
  <c r="L672" i="9"/>
  <c r="K672" i="9"/>
  <c r="J672" i="9"/>
  <c r="I672" i="9"/>
  <c r="H672" i="9"/>
  <c r="G672" i="9"/>
  <c r="F672" i="9"/>
  <c r="E672" i="9"/>
  <c r="D672" i="9"/>
  <c r="C672" i="9"/>
  <c r="B672" i="9"/>
  <c r="A672" i="9"/>
  <c r="M671" i="9"/>
  <c r="L671" i="9"/>
  <c r="K671" i="9"/>
  <c r="J671" i="9"/>
  <c r="I671" i="9"/>
  <c r="H671" i="9"/>
  <c r="G671" i="9"/>
  <c r="F671" i="9"/>
  <c r="E671" i="9"/>
  <c r="D671" i="9"/>
  <c r="C671" i="9"/>
  <c r="B671" i="9"/>
  <c r="A671" i="9"/>
  <c r="M670" i="9"/>
  <c r="L670" i="9"/>
  <c r="K670" i="9"/>
  <c r="J670" i="9"/>
  <c r="I670" i="9"/>
  <c r="H670" i="9"/>
  <c r="G670" i="9"/>
  <c r="F670" i="9"/>
  <c r="E670" i="9"/>
  <c r="D670" i="9"/>
  <c r="C670" i="9"/>
  <c r="B670" i="9"/>
  <c r="A670" i="9"/>
  <c r="M669" i="9"/>
  <c r="L669" i="9"/>
  <c r="K669" i="9"/>
  <c r="J669" i="9"/>
  <c r="I669" i="9"/>
  <c r="H669" i="9"/>
  <c r="G669" i="9"/>
  <c r="F669" i="9"/>
  <c r="E669" i="9"/>
  <c r="D669" i="9"/>
  <c r="C669" i="9"/>
  <c r="B669" i="9"/>
  <c r="A669" i="9"/>
  <c r="M668" i="9"/>
  <c r="L668" i="9"/>
  <c r="K668" i="9"/>
  <c r="J668" i="9"/>
  <c r="I668" i="9"/>
  <c r="H668" i="9"/>
  <c r="G668" i="9"/>
  <c r="F668" i="9"/>
  <c r="E668" i="9"/>
  <c r="D668" i="9"/>
  <c r="C668" i="9"/>
  <c r="B668" i="9"/>
  <c r="A668" i="9"/>
  <c r="M667" i="9"/>
  <c r="L667" i="9"/>
  <c r="K667" i="9"/>
  <c r="J667" i="9"/>
  <c r="I667" i="9"/>
  <c r="H667" i="9"/>
  <c r="G667" i="9"/>
  <c r="F667" i="9"/>
  <c r="E667" i="9"/>
  <c r="D667" i="9"/>
  <c r="C667" i="9"/>
  <c r="B667" i="9"/>
  <c r="A667" i="9"/>
  <c r="M666" i="9"/>
  <c r="L666" i="9"/>
  <c r="K666" i="9"/>
  <c r="J666" i="9"/>
  <c r="I666" i="9"/>
  <c r="H666" i="9"/>
  <c r="G666" i="9"/>
  <c r="F666" i="9"/>
  <c r="E666" i="9"/>
  <c r="D666" i="9"/>
  <c r="C666" i="9"/>
  <c r="B666" i="9"/>
  <c r="A666" i="9"/>
  <c r="M665" i="9"/>
  <c r="L665" i="9"/>
  <c r="K665" i="9"/>
  <c r="J665" i="9"/>
  <c r="I665" i="9"/>
  <c r="H665" i="9"/>
  <c r="G665" i="9"/>
  <c r="F665" i="9"/>
  <c r="E665" i="9"/>
  <c r="D665" i="9"/>
  <c r="C665" i="9"/>
  <c r="B665" i="9"/>
  <c r="A665" i="9"/>
  <c r="M664" i="9"/>
  <c r="L664" i="9"/>
  <c r="K664" i="9"/>
  <c r="J664" i="9"/>
  <c r="I664" i="9"/>
  <c r="H664" i="9"/>
  <c r="G664" i="9"/>
  <c r="F664" i="9"/>
  <c r="E664" i="9"/>
  <c r="D664" i="9"/>
  <c r="C664" i="9"/>
  <c r="B664" i="9"/>
  <c r="A664" i="9"/>
  <c r="M663" i="9"/>
  <c r="L663" i="9"/>
  <c r="K663" i="9"/>
  <c r="J663" i="9"/>
  <c r="I663" i="9"/>
  <c r="H663" i="9"/>
  <c r="G663" i="9"/>
  <c r="F663" i="9"/>
  <c r="E663" i="9"/>
  <c r="D663" i="9"/>
  <c r="C663" i="9"/>
  <c r="B663" i="9"/>
  <c r="A663" i="9"/>
  <c r="M662" i="9"/>
  <c r="L662" i="9"/>
  <c r="K662" i="9"/>
  <c r="J662" i="9"/>
  <c r="I662" i="9"/>
  <c r="H662" i="9"/>
  <c r="G662" i="9"/>
  <c r="F662" i="9"/>
  <c r="E662" i="9"/>
  <c r="D662" i="9"/>
  <c r="C662" i="9"/>
  <c r="B662" i="9"/>
  <c r="A662" i="9"/>
  <c r="M661" i="9"/>
  <c r="L661" i="9"/>
  <c r="K661" i="9"/>
  <c r="J661" i="9"/>
  <c r="I661" i="9"/>
  <c r="H661" i="9"/>
  <c r="G661" i="9"/>
  <c r="F661" i="9"/>
  <c r="E661" i="9"/>
  <c r="D661" i="9"/>
  <c r="C661" i="9"/>
  <c r="B661" i="9"/>
  <c r="A661" i="9"/>
  <c r="M660" i="9"/>
  <c r="L660" i="9"/>
  <c r="K660" i="9"/>
  <c r="J660" i="9"/>
  <c r="I660" i="9"/>
  <c r="H660" i="9"/>
  <c r="G660" i="9"/>
  <c r="F660" i="9"/>
  <c r="E660" i="9"/>
  <c r="D660" i="9"/>
  <c r="C660" i="9"/>
  <c r="B660" i="9"/>
  <c r="A660" i="9"/>
  <c r="M659" i="9"/>
  <c r="L659" i="9"/>
  <c r="K659" i="9"/>
  <c r="J659" i="9"/>
  <c r="I659" i="9"/>
  <c r="H659" i="9"/>
  <c r="G659" i="9"/>
  <c r="F659" i="9"/>
  <c r="E659" i="9"/>
  <c r="D659" i="9"/>
  <c r="C659" i="9"/>
  <c r="B659" i="9"/>
  <c r="A659" i="9"/>
  <c r="M658" i="9"/>
  <c r="L658" i="9"/>
  <c r="K658" i="9"/>
  <c r="J658" i="9"/>
  <c r="I658" i="9"/>
  <c r="H658" i="9"/>
  <c r="G658" i="9"/>
  <c r="F658" i="9"/>
  <c r="E658" i="9"/>
  <c r="D658" i="9"/>
  <c r="C658" i="9"/>
  <c r="B658" i="9"/>
  <c r="A658" i="9"/>
  <c r="M657" i="9"/>
  <c r="L657" i="9"/>
  <c r="K657" i="9"/>
  <c r="J657" i="9"/>
  <c r="I657" i="9"/>
  <c r="H657" i="9"/>
  <c r="G657" i="9"/>
  <c r="F657" i="9"/>
  <c r="E657" i="9"/>
  <c r="D657" i="9"/>
  <c r="C657" i="9"/>
  <c r="B657" i="9"/>
  <c r="A657" i="9"/>
  <c r="M656" i="9"/>
  <c r="L656" i="9"/>
  <c r="K656" i="9"/>
  <c r="J656" i="9"/>
  <c r="I656" i="9"/>
  <c r="H656" i="9"/>
  <c r="G656" i="9"/>
  <c r="F656" i="9"/>
  <c r="E656" i="9"/>
  <c r="D656" i="9"/>
  <c r="C656" i="9"/>
  <c r="B656" i="9"/>
  <c r="A656" i="9"/>
  <c r="M655" i="9"/>
  <c r="L655" i="9"/>
  <c r="K655" i="9"/>
  <c r="J655" i="9"/>
  <c r="I655" i="9"/>
  <c r="H655" i="9"/>
  <c r="G655" i="9"/>
  <c r="F655" i="9"/>
  <c r="E655" i="9"/>
  <c r="D655" i="9"/>
  <c r="C655" i="9"/>
  <c r="B655" i="9"/>
  <c r="A655" i="9"/>
  <c r="M654" i="9"/>
  <c r="L654" i="9"/>
  <c r="K654" i="9"/>
  <c r="J654" i="9"/>
  <c r="I654" i="9"/>
  <c r="H654" i="9"/>
  <c r="G654" i="9"/>
  <c r="F654" i="9"/>
  <c r="E654" i="9"/>
  <c r="D654" i="9"/>
  <c r="C654" i="9"/>
  <c r="B654" i="9"/>
  <c r="A654" i="9"/>
  <c r="M653" i="9"/>
  <c r="L653" i="9"/>
  <c r="K653" i="9"/>
  <c r="J653" i="9"/>
  <c r="I653" i="9"/>
  <c r="H653" i="9"/>
  <c r="G653" i="9"/>
  <c r="F653" i="9"/>
  <c r="E653" i="9"/>
  <c r="D653" i="9"/>
  <c r="C653" i="9"/>
  <c r="B653" i="9"/>
  <c r="A653" i="9"/>
  <c r="M652" i="9"/>
  <c r="L652" i="9"/>
  <c r="K652" i="9"/>
  <c r="J652" i="9"/>
  <c r="I652" i="9"/>
  <c r="H652" i="9"/>
  <c r="G652" i="9"/>
  <c r="F652" i="9"/>
  <c r="E652" i="9"/>
  <c r="D652" i="9"/>
  <c r="C652" i="9"/>
  <c r="B652" i="9"/>
  <c r="A652" i="9"/>
  <c r="M651" i="9"/>
  <c r="L651" i="9"/>
  <c r="K651" i="9"/>
  <c r="J651" i="9"/>
  <c r="I651" i="9"/>
  <c r="H651" i="9"/>
  <c r="G651" i="9"/>
  <c r="F651" i="9"/>
  <c r="E651" i="9"/>
  <c r="D651" i="9"/>
  <c r="C651" i="9"/>
  <c r="B651" i="9"/>
  <c r="A651" i="9"/>
  <c r="M650" i="9"/>
  <c r="L650" i="9"/>
  <c r="K650" i="9"/>
  <c r="J650" i="9"/>
  <c r="I650" i="9"/>
  <c r="H650" i="9"/>
  <c r="G650" i="9"/>
  <c r="F650" i="9"/>
  <c r="E650" i="9"/>
  <c r="D650" i="9"/>
  <c r="C650" i="9"/>
  <c r="B650" i="9"/>
  <c r="A650" i="9"/>
  <c r="M649" i="9"/>
  <c r="L649" i="9"/>
  <c r="K649" i="9"/>
  <c r="J649" i="9"/>
  <c r="I649" i="9"/>
  <c r="H649" i="9"/>
  <c r="G649" i="9"/>
  <c r="F649" i="9"/>
  <c r="E649" i="9"/>
  <c r="D649" i="9"/>
  <c r="C649" i="9"/>
  <c r="B649" i="9"/>
  <c r="A649" i="9"/>
  <c r="M648" i="9"/>
  <c r="L648" i="9"/>
  <c r="K648" i="9"/>
  <c r="J648" i="9"/>
  <c r="I648" i="9"/>
  <c r="H648" i="9"/>
  <c r="G648" i="9"/>
  <c r="F648" i="9"/>
  <c r="E648" i="9"/>
  <c r="D648" i="9"/>
  <c r="C648" i="9"/>
  <c r="B648" i="9"/>
  <c r="A648" i="9"/>
  <c r="M647" i="9"/>
  <c r="L647" i="9"/>
  <c r="K647" i="9"/>
  <c r="J647" i="9"/>
  <c r="I647" i="9"/>
  <c r="H647" i="9"/>
  <c r="G647" i="9"/>
  <c r="F647" i="9"/>
  <c r="E647" i="9"/>
  <c r="D647" i="9"/>
  <c r="C647" i="9"/>
  <c r="B647" i="9"/>
  <c r="A647" i="9"/>
  <c r="M646" i="9"/>
  <c r="L646" i="9"/>
  <c r="K646" i="9"/>
  <c r="J646" i="9"/>
  <c r="I646" i="9"/>
  <c r="H646" i="9"/>
  <c r="G646" i="9"/>
  <c r="F646" i="9"/>
  <c r="E646" i="9"/>
  <c r="D646" i="9"/>
  <c r="C646" i="9"/>
  <c r="B646" i="9"/>
  <c r="A646" i="9"/>
  <c r="M645" i="9"/>
  <c r="L645" i="9"/>
  <c r="K645" i="9"/>
  <c r="J645" i="9"/>
  <c r="I645" i="9"/>
  <c r="H645" i="9"/>
  <c r="G645" i="9"/>
  <c r="F645" i="9"/>
  <c r="E645" i="9"/>
  <c r="D645" i="9"/>
  <c r="C645" i="9"/>
  <c r="B645" i="9"/>
  <c r="A645" i="9"/>
  <c r="M644" i="9"/>
  <c r="L644" i="9"/>
  <c r="K644" i="9"/>
  <c r="J644" i="9"/>
  <c r="I644" i="9"/>
  <c r="H644" i="9"/>
  <c r="G644" i="9"/>
  <c r="F644" i="9"/>
  <c r="E644" i="9"/>
  <c r="D644" i="9"/>
  <c r="C644" i="9"/>
  <c r="B644" i="9"/>
  <c r="A644" i="9"/>
  <c r="M643" i="9"/>
  <c r="L643" i="9"/>
  <c r="K643" i="9"/>
  <c r="J643" i="9"/>
  <c r="I643" i="9"/>
  <c r="H643" i="9"/>
  <c r="G643" i="9"/>
  <c r="F643" i="9"/>
  <c r="E643" i="9"/>
  <c r="D643" i="9"/>
  <c r="C643" i="9"/>
  <c r="B643" i="9"/>
  <c r="A643" i="9"/>
  <c r="M642" i="9"/>
  <c r="L642" i="9"/>
  <c r="K642" i="9"/>
  <c r="J642" i="9"/>
  <c r="I642" i="9"/>
  <c r="H642" i="9"/>
  <c r="G642" i="9"/>
  <c r="F642" i="9"/>
  <c r="E642" i="9"/>
  <c r="D642" i="9"/>
  <c r="C642" i="9"/>
  <c r="B642" i="9"/>
  <c r="A642" i="9"/>
  <c r="M641" i="9"/>
  <c r="L641" i="9"/>
  <c r="K641" i="9"/>
  <c r="J641" i="9"/>
  <c r="I641" i="9"/>
  <c r="H641" i="9"/>
  <c r="G641" i="9"/>
  <c r="F641" i="9"/>
  <c r="E641" i="9"/>
  <c r="D641" i="9"/>
  <c r="C641" i="9"/>
  <c r="B641" i="9"/>
  <c r="A641" i="9"/>
  <c r="M640" i="9"/>
  <c r="L640" i="9"/>
  <c r="K640" i="9"/>
  <c r="J640" i="9"/>
  <c r="I640" i="9"/>
  <c r="H640" i="9"/>
  <c r="G640" i="9"/>
  <c r="F640" i="9"/>
  <c r="E640" i="9"/>
  <c r="D640" i="9"/>
  <c r="C640" i="9"/>
  <c r="B640" i="9"/>
  <c r="A640" i="9"/>
  <c r="M639" i="9"/>
  <c r="L639" i="9"/>
  <c r="K639" i="9"/>
  <c r="J639" i="9"/>
  <c r="I639" i="9"/>
  <c r="H639" i="9"/>
  <c r="G639" i="9"/>
  <c r="F639" i="9"/>
  <c r="E639" i="9"/>
  <c r="D639" i="9"/>
  <c r="C639" i="9"/>
  <c r="B639" i="9"/>
  <c r="A639" i="9"/>
  <c r="M638" i="9"/>
  <c r="L638" i="9"/>
  <c r="K638" i="9"/>
  <c r="J638" i="9"/>
  <c r="I638" i="9"/>
  <c r="H638" i="9"/>
  <c r="G638" i="9"/>
  <c r="F638" i="9"/>
  <c r="E638" i="9"/>
  <c r="D638" i="9"/>
  <c r="C638" i="9"/>
  <c r="B638" i="9"/>
  <c r="A638" i="9"/>
  <c r="M637" i="9"/>
  <c r="L637" i="9"/>
  <c r="K637" i="9"/>
  <c r="J637" i="9"/>
  <c r="I637" i="9"/>
  <c r="H637" i="9"/>
  <c r="G637" i="9"/>
  <c r="F637" i="9"/>
  <c r="E637" i="9"/>
  <c r="D637" i="9"/>
  <c r="C637" i="9"/>
  <c r="B637" i="9"/>
  <c r="A637" i="9"/>
  <c r="M636" i="9"/>
  <c r="L636" i="9"/>
  <c r="K636" i="9"/>
  <c r="J636" i="9"/>
  <c r="I636" i="9"/>
  <c r="H636" i="9"/>
  <c r="G636" i="9"/>
  <c r="F636" i="9"/>
  <c r="E636" i="9"/>
  <c r="D636" i="9"/>
  <c r="C636" i="9"/>
  <c r="B636" i="9"/>
  <c r="A636" i="9"/>
  <c r="M635" i="9"/>
  <c r="L635" i="9"/>
  <c r="K635" i="9"/>
  <c r="J635" i="9"/>
  <c r="I635" i="9"/>
  <c r="H635" i="9"/>
  <c r="G635" i="9"/>
  <c r="F635" i="9"/>
  <c r="E635" i="9"/>
  <c r="D635" i="9"/>
  <c r="C635" i="9"/>
  <c r="B635" i="9"/>
  <c r="A635" i="9"/>
  <c r="M634" i="9"/>
  <c r="L634" i="9"/>
  <c r="K634" i="9"/>
  <c r="J634" i="9"/>
  <c r="I634" i="9"/>
  <c r="H634" i="9"/>
  <c r="G634" i="9"/>
  <c r="F634" i="9"/>
  <c r="E634" i="9"/>
  <c r="D634" i="9"/>
  <c r="C634" i="9"/>
  <c r="B634" i="9"/>
  <c r="A634" i="9"/>
  <c r="M633" i="9"/>
  <c r="L633" i="9"/>
  <c r="K633" i="9"/>
  <c r="J633" i="9"/>
  <c r="I633" i="9"/>
  <c r="H633" i="9"/>
  <c r="G633" i="9"/>
  <c r="F633" i="9"/>
  <c r="E633" i="9"/>
  <c r="D633" i="9"/>
  <c r="C633" i="9"/>
  <c r="B633" i="9"/>
  <c r="A633" i="9"/>
  <c r="M632" i="9"/>
  <c r="L632" i="9"/>
  <c r="K632" i="9"/>
  <c r="J632" i="9"/>
  <c r="I632" i="9"/>
  <c r="H632" i="9"/>
  <c r="G632" i="9"/>
  <c r="F632" i="9"/>
  <c r="E632" i="9"/>
  <c r="D632" i="9"/>
  <c r="C632" i="9"/>
  <c r="B632" i="9"/>
  <c r="A632" i="9"/>
  <c r="M631" i="9"/>
  <c r="L631" i="9"/>
  <c r="K631" i="9"/>
  <c r="J631" i="9"/>
  <c r="I631" i="9"/>
  <c r="H631" i="9"/>
  <c r="G631" i="9"/>
  <c r="F631" i="9"/>
  <c r="E631" i="9"/>
  <c r="D631" i="9"/>
  <c r="C631" i="9"/>
  <c r="B631" i="9"/>
  <c r="A631" i="9"/>
  <c r="M630" i="9"/>
  <c r="L630" i="9"/>
  <c r="K630" i="9"/>
  <c r="J630" i="9"/>
  <c r="I630" i="9"/>
  <c r="H630" i="9"/>
  <c r="G630" i="9"/>
  <c r="F630" i="9"/>
  <c r="E630" i="9"/>
  <c r="D630" i="9"/>
  <c r="C630" i="9"/>
  <c r="B630" i="9"/>
  <c r="A630" i="9"/>
  <c r="M629" i="9"/>
  <c r="L629" i="9"/>
  <c r="K629" i="9"/>
  <c r="J629" i="9"/>
  <c r="I629" i="9"/>
  <c r="H629" i="9"/>
  <c r="G629" i="9"/>
  <c r="F629" i="9"/>
  <c r="E629" i="9"/>
  <c r="D629" i="9"/>
  <c r="C629" i="9"/>
  <c r="B629" i="9"/>
  <c r="A629" i="9"/>
  <c r="M628" i="9"/>
  <c r="L628" i="9"/>
  <c r="K628" i="9"/>
  <c r="J628" i="9"/>
  <c r="I628" i="9"/>
  <c r="H628" i="9"/>
  <c r="G628" i="9"/>
  <c r="F628" i="9"/>
  <c r="E628" i="9"/>
  <c r="D628" i="9"/>
  <c r="C628" i="9"/>
  <c r="B628" i="9"/>
  <c r="A628" i="9"/>
  <c r="M627" i="9"/>
  <c r="L627" i="9"/>
  <c r="K627" i="9"/>
  <c r="J627" i="9"/>
  <c r="I627" i="9"/>
  <c r="H627" i="9"/>
  <c r="G627" i="9"/>
  <c r="F627" i="9"/>
  <c r="E627" i="9"/>
  <c r="D627" i="9"/>
  <c r="C627" i="9"/>
  <c r="B627" i="9"/>
  <c r="A627" i="9"/>
  <c r="M626" i="9"/>
  <c r="L626" i="9"/>
  <c r="K626" i="9"/>
  <c r="J626" i="9"/>
  <c r="I626" i="9"/>
  <c r="H626" i="9"/>
  <c r="G626" i="9"/>
  <c r="F626" i="9"/>
  <c r="E626" i="9"/>
  <c r="D626" i="9"/>
  <c r="C626" i="9"/>
  <c r="B626" i="9"/>
  <c r="A626" i="9"/>
  <c r="M625" i="9"/>
  <c r="L625" i="9"/>
  <c r="K625" i="9"/>
  <c r="J625" i="9"/>
  <c r="I625" i="9"/>
  <c r="H625" i="9"/>
  <c r="G625" i="9"/>
  <c r="F625" i="9"/>
  <c r="E625" i="9"/>
  <c r="D625" i="9"/>
  <c r="C625" i="9"/>
  <c r="B625" i="9"/>
  <c r="A625" i="9"/>
  <c r="M624" i="9"/>
  <c r="L624" i="9"/>
  <c r="K624" i="9"/>
  <c r="J624" i="9"/>
  <c r="I624" i="9"/>
  <c r="H624" i="9"/>
  <c r="G624" i="9"/>
  <c r="F624" i="9"/>
  <c r="E624" i="9"/>
  <c r="D624" i="9"/>
  <c r="C624" i="9"/>
  <c r="B624" i="9"/>
  <c r="A624" i="9"/>
  <c r="M623" i="9"/>
  <c r="L623" i="9"/>
  <c r="K623" i="9"/>
  <c r="J623" i="9"/>
  <c r="I623" i="9"/>
  <c r="H623" i="9"/>
  <c r="G623" i="9"/>
  <c r="F623" i="9"/>
  <c r="E623" i="9"/>
  <c r="D623" i="9"/>
  <c r="C623" i="9"/>
  <c r="B623" i="9"/>
  <c r="A623" i="9"/>
  <c r="M622" i="9"/>
  <c r="L622" i="9"/>
  <c r="K622" i="9"/>
  <c r="J622" i="9"/>
  <c r="I622" i="9"/>
  <c r="H622" i="9"/>
  <c r="G622" i="9"/>
  <c r="F622" i="9"/>
  <c r="E622" i="9"/>
  <c r="D622" i="9"/>
  <c r="C622" i="9"/>
  <c r="B622" i="9"/>
  <c r="A622" i="9"/>
  <c r="M621" i="9"/>
  <c r="L621" i="9"/>
  <c r="K621" i="9"/>
  <c r="J621" i="9"/>
  <c r="I621" i="9"/>
  <c r="H621" i="9"/>
  <c r="G621" i="9"/>
  <c r="F621" i="9"/>
  <c r="E621" i="9"/>
  <c r="D621" i="9"/>
  <c r="C621" i="9"/>
  <c r="B621" i="9"/>
  <c r="A621" i="9"/>
  <c r="M620" i="9"/>
  <c r="L620" i="9"/>
  <c r="K620" i="9"/>
  <c r="J620" i="9"/>
  <c r="I620" i="9"/>
  <c r="H620" i="9"/>
  <c r="G620" i="9"/>
  <c r="F620" i="9"/>
  <c r="E620" i="9"/>
  <c r="D620" i="9"/>
  <c r="C620" i="9"/>
  <c r="B620" i="9"/>
  <c r="A620" i="9"/>
  <c r="M619" i="9"/>
  <c r="L619" i="9"/>
  <c r="K619" i="9"/>
  <c r="J619" i="9"/>
  <c r="I619" i="9"/>
  <c r="H619" i="9"/>
  <c r="G619" i="9"/>
  <c r="F619" i="9"/>
  <c r="E619" i="9"/>
  <c r="D619" i="9"/>
  <c r="C619" i="9"/>
  <c r="B619" i="9"/>
  <c r="A619" i="9"/>
  <c r="M618" i="9"/>
  <c r="L618" i="9"/>
  <c r="K618" i="9"/>
  <c r="J618" i="9"/>
  <c r="I618" i="9"/>
  <c r="H618" i="9"/>
  <c r="G618" i="9"/>
  <c r="F618" i="9"/>
  <c r="E618" i="9"/>
  <c r="D618" i="9"/>
  <c r="C618" i="9"/>
  <c r="B618" i="9"/>
  <c r="A618" i="9"/>
  <c r="M617" i="9"/>
  <c r="L617" i="9"/>
  <c r="K617" i="9"/>
  <c r="J617" i="9"/>
  <c r="I617" i="9"/>
  <c r="H617" i="9"/>
  <c r="G617" i="9"/>
  <c r="F617" i="9"/>
  <c r="E617" i="9"/>
  <c r="D617" i="9"/>
  <c r="C617" i="9"/>
  <c r="B617" i="9"/>
  <c r="A617" i="9"/>
  <c r="M616" i="9"/>
  <c r="L616" i="9"/>
  <c r="K616" i="9"/>
  <c r="J616" i="9"/>
  <c r="I616" i="9"/>
  <c r="H616" i="9"/>
  <c r="G616" i="9"/>
  <c r="F616" i="9"/>
  <c r="E616" i="9"/>
  <c r="D616" i="9"/>
  <c r="C616" i="9"/>
  <c r="B616" i="9"/>
  <c r="A616" i="9"/>
  <c r="M615" i="9"/>
  <c r="L615" i="9"/>
  <c r="K615" i="9"/>
  <c r="J615" i="9"/>
  <c r="I615" i="9"/>
  <c r="H615" i="9"/>
  <c r="G615" i="9"/>
  <c r="F615" i="9"/>
  <c r="E615" i="9"/>
  <c r="D615" i="9"/>
  <c r="C615" i="9"/>
  <c r="B615" i="9"/>
  <c r="A615" i="9"/>
  <c r="M614" i="9"/>
  <c r="L614" i="9"/>
  <c r="K614" i="9"/>
  <c r="J614" i="9"/>
  <c r="I614" i="9"/>
  <c r="H614" i="9"/>
  <c r="G614" i="9"/>
  <c r="F614" i="9"/>
  <c r="E614" i="9"/>
  <c r="D614" i="9"/>
  <c r="C614" i="9"/>
  <c r="B614" i="9"/>
  <c r="A614" i="9"/>
  <c r="M613" i="9"/>
  <c r="L613" i="9"/>
  <c r="K613" i="9"/>
  <c r="J613" i="9"/>
  <c r="I613" i="9"/>
  <c r="H613" i="9"/>
  <c r="G613" i="9"/>
  <c r="F613" i="9"/>
  <c r="E613" i="9"/>
  <c r="D613" i="9"/>
  <c r="C613" i="9"/>
  <c r="B613" i="9"/>
  <c r="A613" i="9"/>
  <c r="M612" i="9"/>
  <c r="L612" i="9"/>
  <c r="K612" i="9"/>
  <c r="J612" i="9"/>
  <c r="I612" i="9"/>
  <c r="H612" i="9"/>
  <c r="G612" i="9"/>
  <c r="F612" i="9"/>
  <c r="E612" i="9"/>
  <c r="D612" i="9"/>
  <c r="C612" i="9"/>
  <c r="B612" i="9"/>
  <c r="A612" i="9"/>
  <c r="M611" i="9"/>
  <c r="L611" i="9"/>
  <c r="K611" i="9"/>
  <c r="J611" i="9"/>
  <c r="I611" i="9"/>
  <c r="H611" i="9"/>
  <c r="G611" i="9"/>
  <c r="F611" i="9"/>
  <c r="E611" i="9"/>
  <c r="D611" i="9"/>
  <c r="C611" i="9"/>
  <c r="B611" i="9"/>
  <c r="A611" i="9"/>
  <c r="M610" i="9"/>
  <c r="L610" i="9"/>
  <c r="K610" i="9"/>
  <c r="J610" i="9"/>
  <c r="I610" i="9"/>
  <c r="H610" i="9"/>
  <c r="G610" i="9"/>
  <c r="F610" i="9"/>
  <c r="E610" i="9"/>
  <c r="D610" i="9"/>
  <c r="C610" i="9"/>
  <c r="B610" i="9"/>
  <c r="A610" i="9"/>
  <c r="M609" i="9"/>
  <c r="L609" i="9"/>
  <c r="K609" i="9"/>
  <c r="J609" i="9"/>
  <c r="I609" i="9"/>
  <c r="H609" i="9"/>
  <c r="G609" i="9"/>
  <c r="F609" i="9"/>
  <c r="E609" i="9"/>
  <c r="D609" i="9"/>
  <c r="C609" i="9"/>
  <c r="B609" i="9"/>
  <c r="A609" i="9"/>
  <c r="M608" i="9"/>
  <c r="L608" i="9"/>
  <c r="K608" i="9"/>
  <c r="J608" i="9"/>
  <c r="I608" i="9"/>
  <c r="H608" i="9"/>
  <c r="G608" i="9"/>
  <c r="F608" i="9"/>
  <c r="E608" i="9"/>
  <c r="D608" i="9"/>
  <c r="C608" i="9"/>
  <c r="B608" i="9"/>
  <c r="A608" i="9"/>
  <c r="M607" i="9"/>
  <c r="L607" i="9"/>
  <c r="K607" i="9"/>
  <c r="J607" i="9"/>
  <c r="I607" i="9"/>
  <c r="H607" i="9"/>
  <c r="G607" i="9"/>
  <c r="F607" i="9"/>
  <c r="E607" i="9"/>
  <c r="D607" i="9"/>
  <c r="C607" i="9"/>
  <c r="B607" i="9"/>
  <c r="A607" i="9"/>
  <c r="M606" i="9"/>
  <c r="L606" i="9"/>
  <c r="K606" i="9"/>
  <c r="J606" i="9"/>
  <c r="I606" i="9"/>
  <c r="H606" i="9"/>
  <c r="G606" i="9"/>
  <c r="F606" i="9"/>
  <c r="E606" i="9"/>
  <c r="D606" i="9"/>
  <c r="C606" i="9"/>
  <c r="B606" i="9"/>
  <c r="A606" i="9"/>
  <c r="M605" i="9"/>
  <c r="L605" i="9"/>
  <c r="K605" i="9"/>
  <c r="J605" i="9"/>
  <c r="I605" i="9"/>
  <c r="H605" i="9"/>
  <c r="G605" i="9"/>
  <c r="F605" i="9"/>
  <c r="E605" i="9"/>
  <c r="D605" i="9"/>
  <c r="C605" i="9"/>
  <c r="B605" i="9"/>
  <c r="A605" i="9"/>
  <c r="M604" i="9"/>
  <c r="L604" i="9"/>
  <c r="K604" i="9"/>
  <c r="J604" i="9"/>
  <c r="I604" i="9"/>
  <c r="H604" i="9"/>
  <c r="G604" i="9"/>
  <c r="F604" i="9"/>
  <c r="E604" i="9"/>
  <c r="D604" i="9"/>
  <c r="C604" i="9"/>
  <c r="B604" i="9"/>
  <c r="A604" i="9"/>
  <c r="M603" i="9"/>
  <c r="L603" i="9"/>
  <c r="K603" i="9"/>
  <c r="J603" i="9"/>
  <c r="I603" i="9"/>
  <c r="H603" i="9"/>
  <c r="G603" i="9"/>
  <c r="F603" i="9"/>
  <c r="E603" i="9"/>
  <c r="D603" i="9"/>
  <c r="C603" i="9"/>
  <c r="B603" i="9"/>
  <c r="A603" i="9"/>
  <c r="M602" i="9"/>
  <c r="L602" i="9"/>
  <c r="K602" i="9"/>
  <c r="J602" i="9"/>
  <c r="I602" i="9"/>
  <c r="H602" i="9"/>
  <c r="G602" i="9"/>
  <c r="F602" i="9"/>
  <c r="E602" i="9"/>
  <c r="D602" i="9"/>
  <c r="C602" i="9"/>
  <c r="B602" i="9"/>
  <c r="A602" i="9"/>
  <c r="M601" i="9"/>
  <c r="L601" i="9"/>
  <c r="K601" i="9"/>
  <c r="J601" i="9"/>
  <c r="I601" i="9"/>
  <c r="H601" i="9"/>
  <c r="G601" i="9"/>
  <c r="F601" i="9"/>
  <c r="E601" i="9"/>
  <c r="D601" i="9"/>
  <c r="C601" i="9"/>
  <c r="B601" i="9"/>
  <c r="A601" i="9"/>
  <c r="M600" i="9"/>
  <c r="L600" i="9"/>
  <c r="K600" i="9"/>
  <c r="J600" i="9"/>
  <c r="I600" i="9"/>
  <c r="H600" i="9"/>
  <c r="G600" i="9"/>
  <c r="F600" i="9"/>
  <c r="E600" i="9"/>
  <c r="D600" i="9"/>
  <c r="C600" i="9"/>
  <c r="B600" i="9"/>
  <c r="A600" i="9"/>
  <c r="M599" i="9"/>
  <c r="L599" i="9"/>
  <c r="K599" i="9"/>
  <c r="J599" i="9"/>
  <c r="I599" i="9"/>
  <c r="H599" i="9"/>
  <c r="G599" i="9"/>
  <c r="F599" i="9"/>
  <c r="E599" i="9"/>
  <c r="D599" i="9"/>
  <c r="C599" i="9"/>
  <c r="B599" i="9"/>
  <c r="A599" i="9"/>
  <c r="M598" i="9"/>
  <c r="L598" i="9"/>
  <c r="K598" i="9"/>
  <c r="J598" i="9"/>
  <c r="I598" i="9"/>
  <c r="H598" i="9"/>
  <c r="G598" i="9"/>
  <c r="F598" i="9"/>
  <c r="E598" i="9"/>
  <c r="D598" i="9"/>
  <c r="C598" i="9"/>
  <c r="B598" i="9"/>
  <c r="A598" i="9"/>
  <c r="M597" i="9"/>
  <c r="L597" i="9"/>
  <c r="K597" i="9"/>
  <c r="J597" i="9"/>
  <c r="I597" i="9"/>
  <c r="H597" i="9"/>
  <c r="G597" i="9"/>
  <c r="F597" i="9"/>
  <c r="E597" i="9"/>
  <c r="D597" i="9"/>
  <c r="C597" i="9"/>
  <c r="B597" i="9"/>
  <c r="A597" i="9"/>
  <c r="M596" i="9"/>
  <c r="L596" i="9"/>
  <c r="K596" i="9"/>
  <c r="J596" i="9"/>
  <c r="I596" i="9"/>
  <c r="H596" i="9"/>
  <c r="G596" i="9"/>
  <c r="F596" i="9"/>
  <c r="E596" i="9"/>
  <c r="D596" i="9"/>
  <c r="C596" i="9"/>
  <c r="B596" i="9"/>
  <c r="A596" i="9"/>
  <c r="M595" i="9"/>
  <c r="L595" i="9"/>
  <c r="K595" i="9"/>
  <c r="J595" i="9"/>
  <c r="I595" i="9"/>
  <c r="H595" i="9"/>
  <c r="G595" i="9"/>
  <c r="F595" i="9"/>
  <c r="E595" i="9"/>
  <c r="D595" i="9"/>
  <c r="C595" i="9"/>
  <c r="B595" i="9"/>
  <c r="A595" i="9"/>
  <c r="M594" i="9"/>
  <c r="L594" i="9"/>
  <c r="K594" i="9"/>
  <c r="J594" i="9"/>
  <c r="I594" i="9"/>
  <c r="H594" i="9"/>
  <c r="G594" i="9"/>
  <c r="F594" i="9"/>
  <c r="E594" i="9"/>
  <c r="D594" i="9"/>
  <c r="C594" i="9"/>
  <c r="B594" i="9"/>
  <c r="A594" i="9"/>
  <c r="M593" i="9"/>
  <c r="L593" i="9"/>
  <c r="K593" i="9"/>
  <c r="J593" i="9"/>
  <c r="I593" i="9"/>
  <c r="H593" i="9"/>
  <c r="G593" i="9"/>
  <c r="F593" i="9"/>
  <c r="E593" i="9"/>
  <c r="D593" i="9"/>
  <c r="C593" i="9"/>
  <c r="B593" i="9"/>
  <c r="A593" i="9"/>
  <c r="M592" i="9"/>
  <c r="L592" i="9"/>
  <c r="K592" i="9"/>
  <c r="J592" i="9"/>
  <c r="I592" i="9"/>
  <c r="H592" i="9"/>
  <c r="G592" i="9"/>
  <c r="F592" i="9"/>
  <c r="E592" i="9"/>
  <c r="D592" i="9"/>
  <c r="C592" i="9"/>
  <c r="B592" i="9"/>
  <c r="A592" i="9"/>
  <c r="M591" i="9"/>
  <c r="L591" i="9"/>
  <c r="K591" i="9"/>
  <c r="J591" i="9"/>
  <c r="I591" i="9"/>
  <c r="H591" i="9"/>
  <c r="G591" i="9"/>
  <c r="F591" i="9"/>
  <c r="E591" i="9"/>
  <c r="D591" i="9"/>
  <c r="C591" i="9"/>
  <c r="B591" i="9"/>
  <c r="A591" i="9"/>
  <c r="M590" i="9"/>
  <c r="L590" i="9"/>
  <c r="K590" i="9"/>
  <c r="J590" i="9"/>
  <c r="I590" i="9"/>
  <c r="H590" i="9"/>
  <c r="G590" i="9"/>
  <c r="F590" i="9"/>
  <c r="E590" i="9"/>
  <c r="D590" i="9"/>
  <c r="C590" i="9"/>
  <c r="B590" i="9"/>
  <c r="A590" i="9"/>
  <c r="M589" i="9"/>
  <c r="L589" i="9"/>
  <c r="K589" i="9"/>
  <c r="J589" i="9"/>
  <c r="I589" i="9"/>
  <c r="H589" i="9"/>
  <c r="G589" i="9"/>
  <c r="F589" i="9"/>
  <c r="E589" i="9"/>
  <c r="D589" i="9"/>
  <c r="C589" i="9"/>
  <c r="B589" i="9"/>
  <c r="A589" i="9"/>
  <c r="M588" i="9"/>
  <c r="L588" i="9"/>
  <c r="K588" i="9"/>
  <c r="J588" i="9"/>
  <c r="I588" i="9"/>
  <c r="H588" i="9"/>
  <c r="G588" i="9"/>
  <c r="F588" i="9"/>
  <c r="E588" i="9"/>
  <c r="D588" i="9"/>
  <c r="C588" i="9"/>
  <c r="B588" i="9"/>
  <c r="A588" i="9"/>
  <c r="M587" i="9"/>
  <c r="L587" i="9"/>
  <c r="K587" i="9"/>
  <c r="J587" i="9"/>
  <c r="I587" i="9"/>
  <c r="H587" i="9"/>
  <c r="G587" i="9"/>
  <c r="F587" i="9"/>
  <c r="E587" i="9"/>
  <c r="D587" i="9"/>
  <c r="C587" i="9"/>
  <c r="B587" i="9"/>
  <c r="A587" i="9"/>
  <c r="M586" i="9"/>
  <c r="L586" i="9"/>
  <c r="K586" i="9"/>
  <c r="J586" i="9"/>
  <c r="I586" i="9"/>
  <c r="H586" i="9"/>
  <c r="G586" i="9"/>
  <c r="F586" i="9"/>
  <c r="E586" i="9"/>
  <c r="D586" i="9"/>
  <c r="C586" i="9"/>
  <c r="B586" i="9"/>
  <c r="A586" i="9"/>
  <c r="M585" i="9"/>
  <c r="L585" i="9"/>
  <c r="K585" i="9"/>
  <c r="J585" i="9"/>
  <c r="I585" i="9"/>
  <c r="H585" i="9"/>
  <c r="G585" i="9"/>
  <c r="F585" i="9"/>
  <c r="E585" i="9"/>
  <c r="D585" i="9"/>
  <c r="C585" i="9"/>
  <c r="B585" i="9"/>
  <c r="A585" i="9"/>
  <c r="M584" i="9"/>
  <c r="L584" i="9"/>
  <c r="K584" i="9"/>
  <c r="J584" i="9"/>
  <c r="I584" i="9"/>
  <c r="H584" i="9"/>
  <c r="G584" i="9"/>
  <c r="F584" i="9"/>
  <c r="E584" i="9"/>
  <c r="D584" i="9"/>
  <c r="C584" i="9"/>
  <c r="B584" i="9"/>
  <c r="A584" i="9"/>
  <c r="M583" i="9"/>
  <c r="L583" i="9"/>
  <c r="K583" i="9"/>
  <c r="J583" i="9"/>
  <c r="I583" i="9"/>
  <c r="H583" i="9"/>
  <c r="G583" i="9"/>
  <c r="F583" i="9"/>
  <c r="E583" i="9"/>
  <c r="D583" i="9"/>
  <c r="C583" i="9"/>
  <c r="B583" i="9"/>
  <c r="A583" i="9"/>
  <c r="M582" i="9"/>
  <c r="L582" i="9"/>
  <c r="K582" i="9"/>
  <c r="J582" i="9"/>
  <c r="I582" i="9"/>
  <c r="H582" i="9"/>
  <c r="G582" i="9"/>
  <c r="F582" i="9"/>
  <c r="E582" i="9"/>
  <c r="D582" i="9"/>
  <c r="C582" i="9"/>
  <c r="B582" i="9"/>
  <c r="A582" i="9"/>
  <c r="M581" i="9"/>
  <c r="L581" i="9"/>
  <c r="K581" i="9"/>
  <c r="J581" i="9"/>
  <c r="I581" i="9"/>
  <c r="H581" i="9"/>
  <c r="G581" i="9"/>
  <c r="F581" i="9"/>
  <c r="E581" i="9"/>
  <c r="D581" i="9"/>
  <c r="C581" i="9"/>
  <c r="B581" i="9"/>
  <c r="A581" i="9"/>
  <c r="M580" i="9"/>
  <c r="L580" i="9"/>
  <c r="K580" i="9"/>
  <c r="J580" i="9"/>
  <c r="I580" i="9"/>
  <c r="H580" i="9"/>
  <c r="G580" i="9"/>
  <c r="F580" i="9"/>
  <c r="E580" i="9"/>
  <c r="D580" i="9"/>
  <c r="C580" i="9"/>
  <c r="B580" i="9"/>
  <c r="A580" i="9"/>
  <c r="M579" i="9"/>
  <c r="L579" i="9"/>
  <c r="K579" i="9"/>
  <c r="J579" i="9"/>
  <c r="I579" i="9"/>
  <c r="H579" i="9"/>
  <c r="G579" i="9"/>
  <c r="F579" i="9"/>
  <c r="E579" i="9"/>
  <c r="D579" i="9"/>
  <c r="C579" i="9"/>
  <c r="B579" i="9"/>
  <c r="A579" i="9"/>
  <c r="M578" i="9"/>
  <c r="L578" i="9"/>
  <c r="K578" i="9"/>
  <c r="J578" i="9"/>
  <c r="I578" i="9"/>
  <c r="H578" i="9"/>
  <c r="G578" i="9"/>
  <c r="F578" i="9"/>
  <c r="E578" i="9"/>
  <c r="D578" i="9"/>
  <c r="C578" i="9"/>
  <c r="B578" i="9"/>
  <c r="A578" i="9"/>
  <c r="M577" i="9"/>
  <c r="L577" i="9"/>
  <c r="K577" i="9"/>
  <c r="J577" i="9"/>
  <c r="I577" i="9"/>
  <c r="H577" i="9"/>
  <c r="G577" i="9"/>
  <c r="F577" i="9"/>
  <c r="E577" i="9"/>
  <c r="D577" i="9"/>
  <c r="C577" i="9"/>
  <c r="B577" i="9"/>
  <c r="A577" i="9"/>
  <c r="M576" i="9"/>
  <c r="L576" i="9"/>
  <c r="K576" i="9"/>
  <c r="J576" i="9"/>
  <c r="I576" i="9"/>
  <c r="H576" i="9"/>
  <c r="G576" i="9"/>
  <c r="F576" i="9"/>
  <c r="E576" i="9"/>
  <c r="D576" i="9"/>
  <c r="C576" i="9"/>
  <c r="B576" i="9"/>
  <c r="A576" i="9"/>
  <c r="M575" i="9"/>
  <c r="L575" i="9"/>
  <c r="K575" i="9"/>
  <c r="J575" i="9"/>
  <c r="I575" i="9"/>
  <c r="H575" i="9"/>
  <c r="G575" i="9"/>
  <c r="F575" i="9"/>
  <c r="E575" i="9"/>
  <c r="D575" i="9"/>
  <c r="C575" i="9"/>
  <c r="B575" i="9"/>
  <c r="A575" i="9"/>
  <c r="M574" i="9"/>
  <c r="L574" i="9"/>
  <c r="K574" i="9"/>
  <c r="J574" i="9"/>
  <c r="I574" i="9"/>
  <c r="H574" i="9"/>
  <c r="G574" i="9"/>
  <c r="F574" i="9"/>
  <c r="E574" i="9"/>
  <c r="D574" i="9"/>
  <c r="C574" i="9"/>
  <c r="B574" i="9"/>
  <c r="A574" i="9"/>
  <c r="M573" i="9"/>
  <c r="L573" i="9"/>
  <c r="K573" i="9"/>
  <c r="J573" i="9"/>
  <c r="I573" i="9"/>
  <c r="H573" i="9"/>
  <c r="G573" i="9"/>
  <c r="F573" i="9"/>
  <c r="E573" i="9"/>
  <c r="D573" i="9"/>
  <c r="C573" i="9"/>
  <c r="B573" i="9"/>
  <c r="A573" i="9"/>
  <c r="M572" i="9"/>
  <c r="L572" i="9"/>
  <c r="K572" i="9"/>
  <c r="J572" i="9"/>
  <c r="I572" i="9"/>
  <c r="H572" i="9"/>
  <c r="G572" i="9"/>
  <c r="F572" i="9"/>
  <c r="E572" i="9"/>
  <c r="D572" i="9"/>
  <c r="C572" i="9"/>
  <c r="B572" i="9"/>
  <c r="A572" i="9"/>
  <c r="M571" i="9"/>
  <c r="L571" i="9"/>
  <c r="K571" i="9"/>
  <c r="J571" i="9"/>
  <c r="I571" i="9"/>
  <c r="H571" i="9"/>
  <c r="G571" i="9"/>
  <c r="F571" i="9"/>
  <c r="E571" i="9"/>
  <c r="D571" i="9"/>
  <c r="C571" i="9"/>
  <c r="B571" i="9"/>
  <c r="A571" i="9"/>
  <c r="M570" i="9"/>
  <c r="L570" i="9"/>
  <c r="K570" i="9"/>
  <c r="J570" i="9"/>
  <c r="I570" i="9"/>
  <c r="H570" i="9"/>
  <c r="G570" i="9"/>
  <c r="F570" i="9"/>
  <c r="E570" i="9"/>
  <c r="D570" i="9"/>
  <c r="C570" i="9"/>
  <c r="B570" i="9"/>
  <c r="A570" i="9"/>
  <c r="M569" i="9"/>
  <c r="L569" i="9"/>
  <c r="K569" i="9"/>
  <c r="J569" i="9"/>
  <c r="I569" i="9"/>
  <c r="H569" i="9"/>
  <c r="G569" i="9"/>
  <c r="F569" i="9"/>
  <c r="E569" i="9"/>
  <c r="D569" i="9"/>
  <c r="C569" i="9"/>
  <c r="B569" i="9"/>
  <c r="A569" i="9"/>
  <c r="M568" i="9"/>
  <c r="L568" i="9"/>
  <c r="K568" i="9"/>
  <c r="J568" i="9"/>
  <c r="I568" i="9"/>
  <c r="H568" i="9"/>
  <c r="G568" i="9"/>
  <c r="F568" i="9"/>
  <c r="E568" i="9"/>
  <c r="D568" i="9"/>
  <c r="C568" i="9"/>
  <c r="B568" i="9"/>
  <c r="A568" i="9"/>
  <c r="M567" i="9"/>
  <c r="L567" i="9"/>
  <c r="K567" i="9"/>
  <c r="J567" i="9"/>
  <c r="I567" i="9"/>
  <c r="H567" i="9"/>
  <c r="G567" i="9"/>
  <c r="F567" i="9"/>
  <c r="E567" i="9"/>
  <c r="D567" i="9"/>
  <c r="C567" i="9"/>
  <c r="B567" i="9"/>
  <c r="A567" i="9"/>
  <c r="M566" i="9"/>
  <c r="L566" i="9"/>
  <c r="K566" i="9"/>
  <c r="J566" i="9"/>
  <c r="I566" i="9"/>
  <c r="H566" i="9"/>
  <c r="G566" i="9"/>
  <c r="F566" i="9"/>
  <c r="E566" i="9"/>
  <c r="D566" i="9"/>
  <c r="C566" i="9"/>
  <c r="B566" i="9"/>
  <c r="A566" i="9"/>
  <c r="M565" i="9"/>
  <c r="L565" i="9"/>
  <c r="K565" i="9"/>
  <c r="J565" i="9"/>
  <c r="I565" i="9"/>
  <c r="H565" i="9"/>
  <c r="G565" i="9"/>
  <c r="F565" i="9"/>
  <c r="E565" i="9"/>
  <c r="D565" i="9"/>
  <c r="C565" i="9"/>
  <c r="B565" i="9"/>
  <c r="A565" i="9"/>
  <c r="M564" i="9"/>
  <c r="L564" i="9"/>
  <c r="K564" i="9"/>
  <c r="J564" i="9"/>
  <c r="I564" i="9"/>
  <c r="H564" i="9"/>
  <c r="G564" i="9"/>
  <c r="F564" i="9"/>
  <c r="E564" i="9"/>
  <c r="D564" i="9"/>
  <c r="C564" i="9"/>
  <c r="B564" i="9"/>
  <c r="A564" i="9"/>
  <c r="M563" i="9"/>
  <c r="L563" i="9"/>
  <c r="K563" i="9"/>
  <c r="J563" i="9"/>
  <c r="I563" i="9"/>
  <c r="H563" i="9"/>
  <c r="G563" i="9"/>
  <c r="F563" i="9"/>
  <c r="E563" i="9"/>
  <c r="D563" i="9"/>
  <c r="C563" i="9"/>
  <c r="B563" i="9"/>
  <c r="A563" i="9"/>
  <c r="M562" i="9"/>
  <c r="L562" i="9"/>
  <c r="K562" i="9"/>
  <c r="J562" i="9"/>
  <c r="I562" i="9"/>
  <c r="H562" i="9"/>
  <c r="G562" i="9"/>
  <c r="F562" i="9"/>
  <c r="E562" i="9"/>
  <c r="D562" i="9"/>
  <c r="C562" i="9"/>
  <c r="B562" i="9"/>
  <c r="A562" i="9"/>
  <c r="M561" i="9"/>
  <c r="L561" i="9"/>
  <c r="K561" i="9"/>
  <c r="J561" i="9"/>
  <c r="I561" i="9"/>
  <c r="H561" i="9"/>
  <c r="G561" i="9"/>
  <c r="F561" i="9"/>
  <c r="E561" i="9"/>
  <c r="D561" i="9"/>
  <c r="C561" i="9"/>
  <c r="B561" i="9"/>
  <c r="A561" i="9"/>
  <c r="M560" i="9"/>
  <c r="L560" i="9"/>
  <c r="K560" i="9"/>
  <c r="J560" i="9"/>
  <c r="I560" i="9"/>
  <c r="H560" i="9"/>
  <c r="G560" i="9"/>
  <c r="F560" i="9"/>
  <c r="E560" i="9"/>
  <c r="D560" i="9"/>
  <c r="C560" i="9"/>
  <c r="B560" i="9"/>
  <c r="A560" i="9"/>
  <c r="M559" i="9"/>
  <c r="L559" i="9"/>
  <c r="K559" i="9"/>
  <c r="J559" i="9"/>
  <c r="I559" i="9"/>
  <c r="H559" i="9"/>
  <c r="G559" i="9"/>
  <c r="F559" i="9"/>
  <c r="E559" i="9"/>
  <c r="D559" i="9"/>
  <c r="C559" i="9"/>
  <c r="B559" i="9"/>
  <c r="A559" i="9"/>
  <c r="M558" i="9"/>
  <c r="L558" i="9"/>
  <c r="K558" i="9"/>
  <c r="J558" i="9"/>
  <c r="I558" i="9"/>
  <c r="H558" i="9"/>
  <c r="G558" i="9"/>
  <c r="F558" i="9"/>
  <c r="E558" i="9"/>
  <c r="D558" i="9"/>
  <c r="C558" i="9"/>
  <c r="B558" i="9"/>
  <c r="A558" i="9"/>
  <c r="M557" i="9"/>
  <c r="L557" i="9"/>
  <c r="K557" i="9"/>
  <c r="J557" i="9"/>
  <c r="I557" i="9"/>
  <c r="H557" i="9"/>
  <c r="G557" i="9"/>
  <c r="F557" i="9"/>
  <c r="E557" i="9"/>
  <c r="D557" i="9"/>
  <c r="C557" i="9"/>
  <c r="B557" i="9"/>
  <c r="A557" i="9"/>
  <c r="M556" i="9"/>
  <c r="L556" i="9"/>
  <c r="K556" i="9"/>
  <c r="J556" i="9"/>
  <c r="I556" i="9"/>
  <c r="H556" i="9"/>
  <c r="G556" i="9"/>
  <c r="F556" i="9"/>
  <c r="E556" i="9"/>
  <c r="D556" i="9"/>
  <c r="C556" i="9"/>
  <c r="B556" i="9"/>
  <c r="A556" i="9"/>
  <c r="M555" i="9"/>
  <c r="L555" i="9"/>
  <c r="K555" i="9"/>
  <c r="J555" i="9"/>
  <c r="I555" i="9"/>
  <c r="H555" i="9"/>
  <c r="G555" i="9"/>
  <c r="F555" i="9"/>
  <c r="E555" i="9"/>
  <c r="D555" i="9"/>
  <c r="C555" i="9"/>
  <c r="B555" i="9"/>
  <c r="A555" i="9"/>
  <c r="M554" i="9"/>
  <c r="L554" i="9"/>
  <c r="K554" i="9"/>
  <c r="J554" i="9"/>
  <c r="I554" i="9"/>
  <c r="H554" i="9"/>
  <c r="G554" i="9"/>
  <c r="F554" i="9"/>
  <c r="E554" i="9"/>
  <c r="D554" i="9"/>
  <c r="C554" i="9"/>
  <c r="B554" i="9"/>
  <c r="A554" i="9"/>
  <c r="M553" i="9"/>
  <c r="L553" i="9"/>
  <c r="K553" i="9"/>
  <c r="J553" i="9"/>
  <c r="I553" i="9"/>
  <c r="H553" i="9"/>
  <c r="G553" i="9"/>
  <c r="F553" i="9"/>
  <c r="E553" i="9"/>
  <c r="D553" i="9"/>
  <c r="C553" i="9"/>
  <c r="B553" i="9"/>
  <c r="A553" i="9"/>
  <c r="M552" i="9"/>
  <c r="L552" i="9"/>
  <c r="K552" i="9"/>
  <c r="J552" i="9"/>
  <c r="I552" i="9"/>
  <c r="H552" i="9"/>
  <c r="G552" i="9"/>
  <c r="F552" i="9"/>
  <c r="E552" i="9"/>
  <c r="D552" i="9"/>
  <c r="C552" i="9"/>
  <c r="B552" i="9"/>
  <c r="A552" i="9"/>
  <c r="M551" i="9"/>
  <c r="L551" i="9"/>
  <c r="K551" i="9"/>
  <c r="J551" i="9"/>
  <c r="I551" i="9"/>
  <c r="H551" i="9"/>
  <c r="G551" i="9"/>
  <c r="F551" i="9"/>
  <c r="E551" i="9"/>
  <c r="D551" i="9"/>
  <c r="C551" i="9"/>
  <c r="B551" i="9"/>
  <c r="A551" i="9"/>
  <c r="M550" i="9"/>
  <c r="L550" i="9"/>
  <c r="K550" i="9"/>
  <c r="J550" i="9"/>
  <c r="I550" i="9"/>
  <c r="H550" i="9"/>
  <c r="G550" i="9"/>
  <c r="F550" i="9"/>
  <c r="E550" i="9"/>
  <c r="D550" i="9"/>
  <c r="C550" i="9"/>
  <c r="B550" i="9"/>
  <c r="A550" i="9"/>
  <c r="M549" i="9"/>
  <c r="L549" i="9"/>
  <c r="K549" i="9"/>
  <c r="J549" i="9"/>
  <c r="I549" i="9"/>
  <c r="H549" i="9"/>
  <c r="G549" i="9"/>
  <c r="F549" i="9"/>
  <c r="E549" i="9"/>
  <c r="D549" i="9"/>
  <c r="C549" i="9"/>
  <c r="B549" i="9"/>
  <c r="A549" i="9"/>
  <c r="M548" i="9"/>
  <c r="L548" i="9"/>
  <c r="K548" i="9"/>
  <c r="J548" i="9"/>
  <c r="I548" i="9"/>
  <c r="H548" i="9"/>
  <c r="G548" i="9"/>
  <c r="F548" i="9"/>
  <c r="E548" i="9"/>
  <c r="D548" i="9"/>
  <c r="C548" i="9"/>
  <c r="B548" i="9"/>
  <c r="A548" i="9"/>
  <c r="M547" i="9"/>
  <c r="L547" i="9"/>
  <c r="K547" i="9"/>
  <c r="J547" i="9"/>
  <c r="I547" i="9"/>
  <c r="H547" i="9"/>
  <c r="G547" i="9"/>
  <c r="F547" i="9"/>
  <c r="E547" i="9"/>
  <c r="D547" i="9"/>
  <c r="C547" i="9"/>
  <c r="B547" i="9"/>
  <c r="A547" i="9"/>
  <c r="M546" i="9"/>
  <c r="L546" i="9"/>
  <c r="K546" i="9"/>
  <c r="J546" i="9"/>
  <c r="I546" i="9"/>
  <c r="H546" i="9"/>
  <c r="G546" i="9"/>
  <c r="F546" i="9"/>
  <c r="E546" i="9"/>
  <c r="D546" i="9"/>
  <c r="C546" i="9"/>
  <c r="B546" i="9"/>
  <c r="A546" i="9"/>
  <c r="M545" i="9"/>
  <c r="L545" i="9"/>
  <c r="K545" i="9"/>
  <c r="J545" i="9"/>
  <c r="I545" i="9"/>
  <c r="H545" i="9"/>
  <c r="G545" i="9"/>
  <c r="F545" i="9"/>
  <c r="E545" i="9"/>
  <c r="D545" i="9"/>
  <c r="C545" i="9"/>
  <c r="B545" i="9"/>
  <c r="A545" i="9"/>
  <c r="M544" i="9"/>
  <c r="L544" i="9"/>
  <c r="K544" i="9"/>
  <c r="J544" i="9"/>
  <c r="I544" i="9"/>
  <c r="H544" i="9"/>
  <c r="G544" i="9"/>
  <c r="F544" i="9"/>
  <c r="E544" i="9"/>
  <c r="D544" i="9"/>
  <c r="C544" i="9"/>
  <c r="B544" i="9"/>
  <c r="A544" i="9"/>
  <c r="M543" i="9"/>
  <c r="L543" i="9"/>
  <c r="K543" i="9"/>
  <c r="J543" i="9"/>
  <c r="I543" i="9"/>
  <c r="H543" i="9"/>
  <c r="G543" i="9"/>
  <c r="F543" i="9"/>
  <c r="E543" i="9"/>
  <c r="D543" i="9"/>
  <c r="C543" i="9"/>
  <c r="B543" i="9"/>
  <c r="A543" i="9"/>
  <c r="M542" i="9"/>
  <c r="L542" i="9"/>
  <c r="K542" i="9"/>
  <c r="J542" i="9"/>
  <c r="I542" i="9"/>
  <c r="H542" i="9"/>
  <c r="G542" i="9"/>
  <c r="F542" i="9"/>
  <c r="E542" i="9"/>
  <c r="D542" i="9"/>
  <c r="C542" i="9"/>
  <c r="B542" i="9"/>
  <c r="A542" i="9"/>
  <c r="M541" i="9"/>
  <c r="L541" i="9"/>
  <c r="K541" i="9"/>
  <c r="J541" i="9"/>
  <c r="I541" i="9"/>
  <c r="H541" i="9"/>
  <c r="G541" i="9"/>
  <c r="F541" i="9"/>
  <c r="E541" i="9"/>
  <c r="D541" i="9"/>
  <c r="C541" i="9"/>
  <c r="B541" i="9"/>
  <c r="A541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A540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A539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A538" i="9"/>
  <c r="M537" i="9"/>
  <c r="L537" i="9"/>
  <c r="K537" i="9"/>
  <c r="J537" i="9"/>
  <c r="I537" i="9"/>
  <c r="H537" i="9"/>
  <c r="G537" i="9"/>
  <c r="F537" i="9"/>
  <c r="E537" i="9"/>
  <c r="D537" i="9"/>
  <c r="C537" i="9"/>
  <c r="B537" i="9"/>
  <c r="A537" i="9"/>
  <c r="M536" i="9"/>
  <c r="L536" i="9"/>
  <c r="K536" i="9"/>
  <c r="J536" i="9"/>
  <c r="I536" i="9"/>
  <c r="H536" i="9"/>
  <c r="G536" i="9"/>
  <c r="F536" i="9"/>
  <c r="E536" i="9"/>
  <c r="D536" i="9"/>
  <c r="C536" i="9"/>
  <c r="B536" i="9"/>
  <c r="A536" i="9"/>
  <c r="M535" i="9"/>
  <c r="L535" i="9"/>
  <c r="K535" i="9"/>
  <c r="J535" i="9"/>
  <c r="I535" i="9"/>
  <c r="H535" i="9"/>
  <c r="G535" i="9"/>
  <c r="F535" i="9"/>
  <c r="E535" i="9"/>
  <c r="D535" i="9"/>
  <c r="C535" i="9"/>
  <c r="B535" i="9"/>
  <c r="A535" i="9"/>
  <c r="M534" i="9"/>
  <c r="L534" i="9"/>
  <c r="K534" i="9"/>
  <c r="J534" i="9"/>
  <c r="I534" i="9"/>
  <c r="H534" i="9"/>
  <c r="G534" i="9"/>
  <c r="F534" i="9"/>
  <c r="E534" i="9"/>
  <c r="D534" i="9"/>
  <c r="C534" i="9"/>
  <c r="B534" i="9"/>
  <c r="A534" i="9"/>
  <c r="M533" i="9"/>
  <c r="L533" i="9"/>
  <c r="K533" i="9"/>
  <c r="J533" i="9"/>
  <c r="I533" i="9"/>
  <c r="H533" i="9"/>
  <c r="G533" i="9"/>
  <c r="F533" i="9"/>
  <c r="E533" i="9"/>
  <c r="D533" i="9"/>
  <c r="C533" i="9"/>
  <c r="B533" i="9"/>
  <c r="A533" i="9"/>
  <c r="M532" i="9"/>
  <c r="L532" i="9"/>
  <c r="K532" i="9"/>
  <c r="J532" i="9"/>
  <c r="I532" i="9"/>
  <c r="H532" i="9"/>
  <c r="G532" i="9"/>
  <c r="F532" i="9"/>
  <c r="E532" i="9"/>
  <c r="D532" i="9"/>
  <c r="C532" i="9"/>
  <c r="B532" i="9"/>
  <c r="A532" i="9"/>
  <c r="M531" i="9"/>
  <c r="L531" i="9"/>
  <c r="K531" i="9"/>
  <c r="J531" i="9"/>
  <c r="I531" i="9"/>
  <c r="H531" i="9"/>
  <c r="G531" i="9"/>
  <c r="F531" i="9"/>
  <c r="E531" i="9"/>
  <c r="D531" i="9"/>
  <c r="C531" i="9"/>
  <c r="B531" i="9"/>
  <c r="A531" i="9"/>
  <c r="M530" i="9"/>
  <c r="L530" i="9"/>
  <c r="K530" i="9"/>
  <c r="J530" i="9"/>
  <c r="I530" i="9"/>
  <c r="H530" i="9"/>
  <c r="G530" i="9"/>
  <c r="F530" i="9"/>
  <c r="E530" i="9"/>
  <c r="D530" i="9"/>
  <c r="C530" i="9"/>
  <c r="B530" i="9"/>
  <c r="A530" i="9"/>
  <c r="M529" i="9"/>
  <c r="L529" i="9"/>
  <c r="K529" i="9"/>
  <c r="J529" i="9"/>
  <c r="I529" i="9"/>
  <c r="H529" i="9"/>
  <c r="G529" i="9"/>
  <c r="F529" i="9"/>
  <c r="E529" i="9"/>
  <c r="D529" i="9"/>
  <c r="C529" i="9"/>
  <c r="B529" i="9"/>
  <c r="A529" i="9"/>
  <c r="M528" i="9"/>
  <c r="L528" i="9"/>
  <c r="K528" i="9"/>
  <c r="J528" i="9"/>
  <c r="I528" i="9"/>
  <c r="H528" i="9"/>
  <c r="G528" i="9"/>
  <c r="F528" i="9"/>
  <c r="E528" i="9"/>
  <c r="D528" i="9"/>
  <c r="C528" i="9"/>
  <c r="B528" i="9"/>
  <c r="A528" i="9"/>
  <c r="M527" i="9"/>
  <c r="L527" i="9"/>
  <c r="K527" i="9"/>
  <c r="J527" i="9"/>
  <c r="I527" i="9"/>
  <c r="H527" i="9"/>
  <c r="G527" i="9"/>
  <c r="F527" i="9"/>
  <c r="E527" i="9"/>
  <c r="D527" i="9"/>
  <c r="C527" i="9"/>
  <c r="B527" i="9"/>
  <c r="A527" i="9"/>
  <c r="M526" i="9"/>
  <c r="L526" i="9"/>
  <c r="K526" i="9"/>
  <c r="J526" i="9"/>
  <c r="I526" i="9"/>
  <c r="H526" i="9"/>
  <c r="G526" i="9"/>
  <c r="F526" i="9"/>
  <c r="E526" i="9"/>
  <c r="D526" i="9"/>
  <c r="C526" i="9"/>
  <c r="B526" i="9"/>
  <c r="A526" i="9"/>
  <c r="M525" i="9"/>
  <c r="L525" i="9"/>
  <c r="K525" i="9"/>
  <c r="J525" i="9"/>
  <c r="I525" i="9"/>
  <c r="H525" i="9"/>
  <c r="G525" i="9"/>
  <c r="F525" i="9"/>
  <c r="E525" i="9"/>
  <c r="D525" i="9"/>
  <c r="C525" i="9"/>
  <c r="B525" i="9"/>
  <c r="A525" i="9"/>
  <c r="M524" i="9"/>
  <c r="L524" i="9"/>
  <c r="K524" i="9"/>
  <c r="J524" i="9"/>
  <c r="I524" i="9"/>
  <c r="H524" i="9"/>
  <c r="G524" i="9"/>
  <c r="F524" i="9"/>
  <c r="E524" i="9"/>
  <c r="D524" i="9"/>
  <c r="C524" i="9"/>
  <c r="B524" i="9"/>
  <c r="A524" i="9"/>
  <c r="M523" i="9"/>
  <c r="L523" i="9"/>
  <c r="K523" i="9"/>
  <c r="J523" i="9"/>
  <c r="I523" i="9"/>
  <c r="H523" i="9"/>
  <c r="G523" i="9"/>
  <c r="F523" i="9"/>
  <c r="E523" i="9"/>
  <c r="D523" i="9"/>
  <c r="C523" i="9"/>
  <c r="B523" i="9"/>
  <c r="A523" i="9"/>
  <c r="M522" i="9"/>
  <c r="L522" i="9"/>
  <c r="K522" i="9"/>
  <c r="J522" i="9"/>
  <c r="I522" i="9"/>
  <c r="H522" i="9"/>
  <c r="G522" i="9"/>
  <c r="F522" i="9"/>
  <c r="E522" i="9"/>
  <c r="D522" i="9"/>
  <c r="C522" i="9"/>
  <c r="B522" i="9"/>
  <c r="A522" i="9"/>
  <c r="M521" i="9"/>
  <c r="L521" i="9"/>
  <c r="K521" i="9"/>
  <c r="J521" i="9"/>
  <c r="I521" i="9"/>
  <c r="H521" i="9"/>
  <c r="G521" i="9"/>
  <c r="F521" i="9"/>
  <c r="E521" i="9"/>
  <c r="D521" i="9"/>
  <c r="C521" i="9"/>
  <c r="B521" i="9"/>
  <c r="A521" i="9"/>
  <c r="M520" i="9"/>
  <c r="L520" i="9"/>
  <c r="K520" i="9"/>
  <c r="J520" i="9"/>
  <c r="I520" i="9"/>
  <c r="H520" i="9"/>
  <c r="G520" i="9"/>
  <c r="F520" i="9"/>
  <c r="E520" i="9"/>
  <c r="D520" i="9"/>
  <c r="C520" i="9"/>
  <c r="B520" i="9"/>
  <c r="A520" i="9"/>
  <c r="M519" i="9"/>
  <c r="L519" i="9"/>
  <c r="K519" i="9"/>
  <c r="J519" i="9"/>
  <c r="I519" i="9"/>
  <c r="H519" i="9"/>
  <c r="G519" i="9"/>
  <c r="F519" i="9"/>
  <c r="E519" i="9"/>
  <c r="D519" i="9"/>
  <c r="C519" i="9"/>
  <c r="B519" i="9"/>
  <c r="A519" i="9"/>
  <c r="M518" i="9"/>
  <c r="L518" i="9"/>
  <c r="K518" i="9"/>
  <c r="J518" i="9"/>
  <c r="I518" i="9"/>
  <c r="H518" i="9"/>
  <c r="G518" i="9"/>
  <c r="F518" i="9"/>
  <c r="E518" i="9"/>
  <c r="D518" i="9"/>
  <c r="C518" i="9"/>
  <c r="B518" i="9"/>
  <c r="A518" i="9"/>
  <c r="M517" i="9"/>
  <c r="L517" i="9"/>
  <c r="K517" i="9"/>
  <c r="J517" i="9"/>
  <c r="I517" i="9"/>
  <c r="H517" i="9"/>
  <c r="G517" i="9"/>
  <c r="F517" i="9"/>
  <c r="E517" i="9"/>
  <c r="D517" i="9"/>
  <c r="C517" i="9"/>
  <c r="B517" i="9"/>
  <c r="A517" i="9"/>
  <c r="M516" i="9"/>
  <c r="L516" i="9"/>
  <c r="K516" i="9"/>
  <c r="J516" i="9"/>
  <c r="I516" i="9"/>
  <c r="H516" i="9"/>
  <c r="G516" i="9"/>
  <c r="F516" i="9"/>
  <c r="E516" i="9"/>
  <c r="D516" i="9"/>
  <c r="C516" i="9"/>
  <c r="B516" i="9"/>
  <c r="A516" i="9"/>
  <c r="M515" i="9"/>
  <c r="L515" i="9"/>
  <c r="K515" i="9"/>
  <c r="J515" i="9"/>
  <c r="I515" i="9"/>
  <c r="H515" i="9"/>
  <c r="G515" i="9"/>
  <c r="F515" i="9"/>
  <c r="E515" i="9"/>
  <c r="D515" i="9"/>
  <c r="C515" i="9"/>
  <c r="B515" i="9"/>
  <c r="A515" i="9"/>
  <c r="M514" i="9"/>
  <c r="L514" i="9"/>
  <c r="K514" i="9"/>
  <c r="J514" i="9"/>
  <c r="I514" i="9"/>
  <c r="H514" i="9"/>
  <c r="G514" i="9"/>
  <c r="F514" i="9"/>
  <c r="E514" i="9"/>
  <c r="D514" i="9"/>
  <c r="C514" i="9"/>
  <c r="B514" i="9"/>
  <c r="A514" i="9"/>
  <c r="M513" i="9"/>
  <c r="L513" i="9"/>
  <c r="K513" i="9"/>
  <c r="J513" i="9"/>
  <c r="I513" i="9"/>
  <c r="H513" i="9"/>
  <c r="G513" i="9"/>
  <c r="F513" i="9"/>
  <c r="E513" i="9"/>
  <c r="D513" i="9"/>
  <c r="C513" i="9"/>
  <c r="B513" i="9"/>
  <c r="A513" i="9"/>
  <c r="M512" i="9"/>
  <c r="L512" i="9"/>
  <c r="K512" i="9"/>
  <c r="J512" i="9"/>
  <c r="I512" i="9"/>
  <c r="H512" i="9"/>
  <c r="G512" i="9"/>
  <c r="F512" i="9"/>
  <c r="E512" i="9"/>
  <c r="D512" i="9"/>
  <c r="C512" i="9"/>
  <c r="B512" i="9"/>
  <c r="A512" i="9"/>
  <c r="M511" i="9"/>
  <c r="L511" i="9"/>
  <c r="K511" i="9"/>
  <c r="J511" i="9"/>
  <c r="I511" i="9"/>
  <c r="H511" i="9"/>
  <c r="G511" i="9"/>
  <c r="F511" i="9"/>
  <c r="E511" i="9"/>
  <c r="D511" i="9"/>
  <c r="C511" i="9"/>
  <c r="B511" i="9"/>
  <c r="A511" i="9"/>
  <c r="M510" i="9"/>
  <c r="L510" i="9"/>
  <c r="K510" i="9"/>
  <c r="J510" i="9"/>
  <c r="I510" i="9"/>
  <c r="H510" i="9"/>
  <c r="G510" i="9"/>
  <c r="F510" i="9"/>
  <c r="E510" i="9"/>
  <c r="D510" i="9"/>
  <c r="C510" i="9"/>
  <c r="B510" i="9"/>
  <c r="A510" i="9"/>
  <c r="M509" i="9"/>
  <c r="L509" i="9"/>
  <c r="K509" i="9"/>
  <c r="J509" i="9"/>
  <c r="I509" i="9"/>
  <c r="H509" i="9"/>
  <c r="G509" i="9"/>
  <c r="F509" i="9"/>
  <c r="E509" i="9"/>
  <c r="D509" i="9"/>
  <c r="C509" i="9"/>
  <c r="B509" i="9"/>
  <c r="A509" i="9"/>
  <c r="M508" i="9"/>
  <c r="L508" i="9"/>
  <c r="K508" i="9"/>
  <c r="J508" i="9"/>
  <c r="I508" i="9"/>
  <c r="H508" i="9"/>
  <c r="G508" i="9"/>
  <c r="F508" i="9"/>
  <c r="E508" i="9"/>
  <c r="D508" i="9"/>
  <c r="C508" i="9"/>
  <c r="B508" i="9"/>
  <c r="A508" i="9"/>
  <c r="M507" i="9"/>
  <c r="L507" i="9"/>
  <c r="K507" i="9"/>
  <c r="J507" i="9"/>
  <c r="I507" i="9"/>
  <c r="H507" i="9"/>
  <c r="G507" i="9"/>
  <c r="F507" i="9"/>
  <c r="E507" i="9"/>
  <c r="D507" i="9"/>
  <c r="C507" i="9"/>
  <c r="B507" i="9"/>
  <c r="A507" i="9"/>
  <c r="M506" i="9"/>
  <c r="L506" i="9"/>
  <c r="K506" i="9"/>
  <c r="J506" i="9"/>
  <c r="I506" i="9"/>
  <c r="H506" i="9"/>
  <c r="G506" i="9"/>
  <c r="F506" i="9"/>
  <c r="E506" i="9"/>
  <c r="D506" i="9"/>
  <c r="C506" i="9"/>
  <c r="B506" i="9"/>
  <c r="A506" i="9"/>
  <c r="M505" i="9"/>
  <c r="L505" i="9"/>
  <c r="K505" i="9"/>
  <c r="J505" i="9"/>
  <c r="I505" i="9"/>
  <c r="H505" i="9"/>
  <c r="G505" i="9"/>
  <c r="F505" i="9"/>
  <c r="E505" i="9"/>
  <c r="D505" i="9"/>
  <c r="C505" i="9"/>
  <c r="B505" i="9"/>
  <c r="A505" i="9"/>
  <c r="M504" i="9"/>
  <c r="L504" i="9"/>
  <c r="K504" i="9"/>
  <c r="J504" i="9"/>
  <c r="I504" i="9"/>
  <c r="H504" i="9"/>
  <c r="G504" i="9"/>
  <c r="F504" i="9"/>
  <c r="E504" i="9"/>
  <c r="D504" i="9"/>
  <c r="C504" i="9"/>
  <c r="B504" i="9"/>
  <c r="A504" i="9"/>
  <c r="M503" i="9"/>
  <c r="L503" i="9"/>
  <c r="K503" i="9"/>
  <c r="J503" i="9"/>
  <c r="I503" i="9"/>
  <c r="H503" i="9"/>
  <c r="G503" i="9"/>
  <c r="F503" i="9"/>
  <c r="E503" i="9"/>
  <c r="D503" i="9"/>
  <c r="C503" i="9"/>
  <c r="B503" i="9"/>
  <c r="A503" i="9"/>
  <c r="M502" i="9"/>
  <c r="L502" i="9"/>
  <c r="K502" i="9"/>
  <c r="J502" i="9"/>
  <c r="I502" i="9"/>
  <c r="H502" i="9"/>
  <c r="G502" i="9"/>
  <c r="F502" i="9"/>
  <c r="E502" i="9"/>
  <c r="D502" i="9"/>
  <c r="C502" i="9"/>
  <c r="B502" i="9"/>
  <c r="A502" i="9"/>
  <c r="M501" i="9"/>
  <c r="L501" i="9"/>
  <c r="K501" i="9"/>
  <c r="J501" i="9"/>
  <c r="I501" i="9"/>
  <c r="H501" i="9"/>
  <c r="G501" i="9"/>
  <c r="F501" i="9"/>
  <c r="E501" i="9"/>
  <c r="D501" i="9"/>
  <c r="C501" i="9"/>
  <c r="B501" i="9"/>
  <c r="A501" i="9"/>
  <c r="M500" i="9"/>
  <c r="L500" i="9"/>
  <c r="K500" i="9"/>
  <c r="J500" i="9"/>
  <c r="I500" i="9"/>
  <c r="H500" i="9"/>
  <c r="G500" i="9"/>
  <c r="F500" i="9"/>
  <c r="E500" i="9"/>
  <c r="D500" i="9"/>
  <c r="C500" i="9"/>
  <c r="B500" i="9"/>
  <c r="A500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A499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A498" i="9"/>
  <c r="M497" i="9"/>
  <c r="L497" i="9"/>
  <c r="K497" i="9"/>
  <c r="J497" i="9"/>
  <c r="I497" i="9"/>
  <c r="H497" i="9"/>
  <c r="G497" i="9"/>
  <c r="F497" i="9"/>
  <c r="E497" i="9"/>
  <c r="D497" i="9"/>
  <c r="C497" i="9"/>
  <c r="B497" i="9"/>
  <c r="A497" i="9"/>
  <c r="M496" i="9"/>
  <c r="L496" i="9"/>
  <c r="K496" i="9"/>
  <c r="J496" i="9"/>
  <c r="I496" i="9"/>
  <c r="H496" i="9"/>
  <c r="G496" i="9"/>
  <c r="F496" i="9"/>
  <c r="E496" i="9"/>
  <c r="D496" i="9"/>
  <c r="C496" i="9"/>
  <c r="B496" i="9"/>
  <c r="A496" i="9"/>
  <c r="M495" i="9"/>
  <c r="L495" i="9"/>
  <c r="K495" i="9"/>
  <c r="J495" i="9"/>
  <c r="I495" i="9"/>
  <c r="H495" i="9"/>
  <c r="G495" i="9"/>
  <c r="F495" i="9"/>
  <c r="E495" i="9"/>
  <c r="D495" i="9"/>
  <c r="C495" i="9"/>
  <c r="B495" i="9"/>
  <c r="A495" i="9"/>
  <c r="M494" i="9"/>
  <c r="L494" i="9"/>
  <c r="K494" i="9"/>
  <c r="J494" i="9"/>
  <c r="I494" i="9"/>
  <c r="H494" i="9"/>
  <c r="G494" i="9"/>
  <c r="F494" i="9"/>
  <c r="E494" i="9"/>
  <c r="D494" i="9"/>
  <c r="C494" i="9"/>
  <c r="B494" i="9"/>
  <c r="A494" i="9"/>
  <c r="M493" i="9"/>
  <c r="L493" i="9"/>
  <c r="K493" i="9"/>
  <c r="J493" i="9"/>
  <c r="I493" i="9"/>
  <c r="H493" i="9"/>
  <c r="G493" i="9"/>
  <c r="F493" i="9"/>
  <c r="E493" i="9"/>
  <c r="D493" i="9"/>
  <c r="C493" i="9"/>
  <c r="B493" i="9"/>
  <c r="A493" i="9"/>
  <c r="M492" i="9"/>
  <c r="L492" i="9"/>
  <c r="K492" i="9"/>
  <c r="J492" i="9"/>
  <c r="I492" i="9"/>
  <c r="H492" i="9"/>
  <c r="G492" i="9"/>
  <c r="F492" i="9"/>
  <c r="E492" i="9"/>
  <c r="D492" i="9"/>
  <c r="C492" i="9"/>
  <c r="B492" i="9"/>
  <c r="A492" i="9"/>
  <c r="M491" i="9"/>
  <c r="L491" i="9"/>
  <c r="K491" i="9"/>
  <c r="J491" i="9"/>
  <c r="I491" i="9"/>
  <c r="H491" i="9"/>
  <c r="G491" i="9"/>
  <c r="F491" i="9"/>
  <c r="E491" i="9"/>
  <c r="D491" i="9"/>
  <c r="C491" i="9"/>
  <c r="B491" i="9"/>
  <c r="A491" i="9"/>
  <c r="M490" i="9"/>
  <c r="L490" i="9"/>
  <c r="K490" i="9"/>
  <c r="J490" i="9"/>
  <c r="I490" i="9"/>
  <c r="H490" i="9"/>
  <c r="G490" i="9"/>
  <c r="F490" i="9"/>
  <c r="E490" i="9"/>
  <c r="D490" i="9"/>
  <c r="C490" i="9"/>
  <c r="B490" i="9"/>
  <c r="A490" i="9"/>
  <c r="M489" i="9"/>
  <c r="L489" i="9"/>
  <c r="K489" i="9"/>
  <c r="J489" i="9"/>
  <c r="I489" i="9"/>
  <c r="H489" i="9"/>
  <c r="G489" i="9"/>
  <c r="F489" i="9"/>
  <c r="E489" i="9"/>
  <c r="D489" i="9"/>
  <c r="C489" i="9"/>
  <c r="B489" i="9"/>
  <c r="A489" i="9"/>
  <c r="M488" i="9"/>
  <c r="L488" i="9"/>
  <c r="K488" i="9"/>
  <c r="J488" i="9"/>
  <c r="I488" i="9"/>
  <c r="H488" i="9"/>
  <c r="G488" i="9"/>
  <c r="F488" i="9"/>
  <c r="E488" i="9"/>
  <c r="D488" i="9"/>
  <c r="C488" i="9"/>
  <c r="B488" i="9"/>
  <c r="A488" i="9"/>
  <c r="M487" i="9"/>
  <c r="L487" i="9"/>
  <c r="K487" i="9"/>
  <c r="J487" i="9"/>
  <c r="I487" i="9"/>
  <c r="H487" i="9"/>
  <c r="G487" i="9"/>
  <c r="F487" i="9"/>
  <c r="E487" i="9"/>
  <c r="D487" i="9"/>
  <c r="C487" i="9"/>
  <c r="B487" i="9"/>
  <c r="A487" i="9"/>
  <c r="M486" i="9"/>
  <c r="L486" i="9"/>
  <c r="K486" i="9"/>
  <c r="J486" i="9"/>
  <c r="I486" i="9"/>
  <c r="H486" i="9"/>
  <c r="G486" i="9"/>
  <c r="F486" i="9"/>
  <c r="E486" i="9"/>
  <c r="D486" i="9"/>
  <c r="C486" i="9"/>
  <c r="B486" i="9"/>
  <c r="A486" i="9"/>
  <c r="M485" i="9"/>
  <c r="L485" i="9"/>
  <c r="K485" i="9"/>
  <c r="J485" i="9"/>
  <c r="I485" i="9"/>
  <c r="H485" i="9"/>
  <c r="G485" i="9"/>
  <c r="F485" i="9"/>
  <c r="E485" i="9"/>
  <c r="D485" i="9"/>
  <c r="C485" i="9"/>
  <c r="B485" i="9"/>
  <c r="A485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A484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A483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A482" i="9"/>
  <c r="M481" i="9"/>
  <c r="L481" i="9"/>
  <c r="K481" i="9"/>
  <c r="J481" i="9"/>
  <c r="I481" i="9"/>
  <c r="H481" i="9"/>
  <c r="G481" i="9"/>
  <c r="F481" i="9"/>
  <c r="E481" i="9"/>
  <c r="D481" i="9"/>
  <c r="C481" i="9"/>
  <c r="B481" i="9"/>
  <c r="A481" i="9"/>
  <c r="M480" i="9"/>
  <c r="L480" i="9"/>
  <c r="K480" i="9"/>
  <c r="J480" i="9"/>
  <c r="I480" i="9"/>
  <c r="H480" i="9"/>
  <c r="G480" i="9"/>
  <c r="F480" i="9"/>
  <c r="E480" i="9"/>
  <c r="D480" i="9"/>
  <c r="C480" i="9"/>
  <c r="B480" i="9"/>
  <c r="A480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A479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A478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A477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A476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A475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A474" i="9"/>
  <c r="M473" i="9"/>
  <c r="L473" i="9"/>
  <c r="K473" i="9"/>
  <c r="J473" i="9"/>
  <c r="I473" i="9"/>
  <c r="H473" i="9"/>
  <c r="G473" i="9"/>
  <c r="F473" i="9"/>
  <c r="E473" i="9"/>
  <c r="D473" i="9"/>
  <c r="C473" i="9"/>
  <c r="B473" i="9"/>
  <c r="A473" i="9"/>
  <c r="M472" i="9"/>
  <c r="L472" i="9"/>
  <c r="K472" i="9"/>
  <c r="J472" i="9"/>
  <c r="I472" i="9"/>
  <c r="H472" i="9"/>
  <c r="G472" i="9"/>
  <c r="F472" i="9"/>
  <c r="E472" i="9"/>
  <c r="D472" i="9"/>
  <c r="C472" i="9"/>
  <c r="B472" i="9"/>
  <c r="A472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A471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A470" i="9"/>
  <c r="M469" i="9"/>
  <c r="L469" i="9"/>
  <c r="K469" i="9"/>
  <c r="J469" i="9"/>
  <c r="I469" i="9"/>
  <c r="H469" i="9"/>
  <c r="G469" i="9"/>
  <c r="F469" i="9"/>
  <c r="E469" i="9"/>
  <c r="D469" i="9"/>
  <c r="C469" i="9"/>
  <c r="B469" i="9"/>
  <c r="A469" i="9"/>
  <c r="M468" i="9"/>
  <c r="L468" i="9"/>
  <c r="K468" i="9"/>
  <c r="J468" i="9"/>
  <c r="I468" i="9"/>
  <c r="H468" i="9"/>
  <c r="G468" i="9"/>
  <c r="F468" i="9"/>
  <c r="E468" i="9"/>
  <c r="D468" i="9"/>
  <c r="C468" i="9"/>
  <c r="B468" i="9"/>
  <c r="A468" i="9"/>
  <c r="M467" i="9"/>
  <c r="L467" i="9"/>
  <c r="K467" i="9"/>
  <c r="J467" i="9"/>
  <c r="I467" i="9"/>
  <c r="H467" i="9"/>
  <c r="G467" i="9"/>
  <c r="F467" i="9"/>
  <c r="E467" i="9"/>
  <c r="D467" i="9"/>
  <c r="C467" i="9"/>
  <c r="B467" i="9"/>
  <c r="A467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A466" i="9"/>
  <c r="M465" i="9"/>
  <c r="L465" i="9"/>
  <c r="K465" i="9"/>
  <c r="J465" i="9"/>
  <c r="I465" i="9"/>
  <c r="H465" i="9"/>
  <c r="G465" i="9"/>
  <c r="F465" i="9"/>
  <c r="E465" i="9"/>
  <c r="D465" i="9"/>
  <c r="C465" i="9"/>
  <c r="B465" i="9"/>
  <c r="A465" i="9"/>
  <c r="M464" i="9"/>
  <c r="L464" i="9"/>
  <c r="K464" i="9"/>
  <c r="J464" i="9"/>
  <c r="I464" i="9"/>
  <c r="H464" i="9"/>
  <c r="G464" i="9"/>
  <c r="F464" i="9"/>
  <c r="E464" i="9"/>
  <c r="D464" i="9"/>
  <c r="C464" i="9"/>
  <c r="B464" i="9"/>
  <c r="A464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A463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A462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A461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A460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A459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A458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A457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A456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A455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A454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A453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A452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A451" i="9"/>
  <c r="M450" i="9"/>
  <c r="L450" i="9"/>
  <c r="K450" i="9"/>
  <c r="J450" i="9"/>
  <c r="I450" i="9"/>
  <c r="H450" i="9"/>
  <c r="G450" i="9"/>
  <c r="F450" i="9"/>
  <c r="E450" i="9"/>
  <c r="D450" i="9"/>
  <c r="C450" i="9"/>
  <c r="B450" i="9"/>
  <c r="A450" i="9"/>
  <c r="M449" i="9"/>
  <c r="L449" i="9"/>
  <c r="K449" i="9"/>
  <c r="J449" i="9"/>
  <c r="I449" i="9"/>
  <c r="H449" i="9"/>
  <c r="G449" i="9"/>
  <c r="F449" i="9"/>
  <c r="E449" i="9"/>
  <c r="D449" i="9"/>
  <c r="C449" i="9"/>
  <c r="B449" i="9"/>
  <c r="A449" i="9"/>
  <c r="M448" i="9"/>
  <c r="L448" i="9"/>
  <c r="K448" i="9"/>
  <c r="J448" i="9"/>
  <c r="I448" i="9"/>
  <c r="H448" i="9"/>
  <c r="G448" i="9"/>
  <c r="F448" i="9"/>
  <c r="E448" i="9"/>
  <c r="D448" i="9"/>
  <c r="C448" i="9"/>
  <c r="B448" i="9"/>
  <c r="A448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A447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A446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A445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A444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A443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A442" i="9"/>
  <c r="M441" i="9"/>
  <c r="L441" i="9"/>
  <c r="K441" i="9"/>
  <c r="J441" i="9"/>
  <c r="I441" i="9"/>
  <c r="H441" i="9"/>
  <c r="G441" i="9"/>
  <c r="F441" i="9"/>
  <c r="E441" i="9"/>
  <c r="D441" i="9"/>
  <c r="C441" i="9"/>
  <c r="B441" i="9"/>
  <c r="A441" i="9"/>
  <c r="M440" i="9"/>
  <c r="L440" i="9"/>
  <c r="K440" i="9"/>
  <c r="J440" i="9"/>
  <c r="I440" i="9"/>
  <c r="H440" i="9"/>
  <c r="G440" i="9"/>
  <c r="F440" i="9"/>
  <c r="E440" i="9"/>
  <c r="D440" i="9"/>
  <c r="C440" i="9"/>
  <c r="B440" i="9"/>
  <c r="A440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A439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A438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A437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A436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A435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A434" i="9"/>
  <c r="M433" i="9"/>
  <c r="L433" i="9"/>
  <c r="K433" i="9"/>
  <c r="J433" i="9"/>
  <c r="I433" i="9"/>
  <c r="H433" i="9"/>
  <c r="G433" i="9"/>
  <c r="F433" i="9"/>
  <c r="E433" i="9"/>
  <c r="D433" i="9"/>
  <c r="C433" i="9"/>
  <c r="B433" i="9"/>
  <c r="A433" i="9"/>
  <c r="M432" i="9"/>
  <c r="L432" i="9"/>
  <c r="K432" i="9"/>
  <c r="J432" i="9"/>
  <c r="I432" i="9"/>
  <c r="H432" i="9"/>
  <c r="G432" i="9"/>
  <c r="F432" i="9"/>
  <c r="E432" i="9"/>
  <c r="D432" i="9"/>
  <c r="C432" i="9"/>
  <c r="B432" i="9"/>
  <c r="A432" i="9"/>
  <c r="M431" i="9"/>
  <c r="L431" i="9"/>
  <c r="K431" i="9"/>
  <c r="J431" i="9"/>
  <c r="I431" i="9"/>
  <c r="H431" i="9"/>
  <c r="G431" i="9"/>
  <c r="F431" i="9"/>
  <c r="E431" i="9"/>
  <c r="D431" i="9"/>
  <c r="C431" i="9"/>
  <c r="B431" i="9"/>
  <c r="A431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A430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A429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A428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A427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A426" i="9"/>
  <c r="M425" i="9"/>
  <c r="L425" i="9"/>
  <c r="K425" i="9"/>
  <c r="J425" i="9"/>
  <c r="I425" i="9"/>
  <c r="H425" i="9"/>
  <c r="G425" i="9"/>
  <c r="F425" i="9"/>
  <c r="E425" i="9"/>
  <c r="D425" i="9"/>
  <c r="C425" i="9"/>
  <c r="B425" i="9"/>
  <c r="A425" i="9"/>
  <c r="M424" i="9"/>
  <c r="L424" i="9"/>
  <c r="K424" i="9"/>
  <c r="J424" i="9"/>
  <c r="I424" i="9"/>
  <c r="H424" i="9"/>
  <c r="G424" i="9"/>
  <c r="F424" i="9"/>
  <c r="E424" i="9"/>
  <c r="D424" i="9"/>
  <c r="C424" i="9"/>
  <c r="B424" i="9"/>
  <c r="A424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A423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A422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A421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A420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A419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A418" i="9"/>
  <c r="M417" i="9"/>
  <c r="L417" i="9"/>
  <c r="K417" i="9"/>
  <c r="J417" i="9"/>
  <c r="I417" i="9"/>
  <c r="H417" i="9"/>
  <c r="G417" i="9"/>
  <c r="F417" i="9"/>
  <c r="E417" i="9"/>
  <c r="D417" i="9"/>
  <c r="C417" i="9"/>
  <c r="B417" i="9"/>
  <c r="A417" i="9"/>
  <c r="M416" i="9"/>
  <c r="L416" i="9"/>
  <c r="K416" i="9"/>
  <c r="J416" i="9"/>
  <c r="I416" i="9"/>
  <c r="H416" i="9"/>
  <c r="G416" i="9"/>
  <c r="F416" i="9"/>
  <c r="E416" i="9"/>
  <c r="D416" i="9"/>
  <c r="C416" i="9"/>
  <c r="B416" i="9"/>
  <c r="A416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A415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A414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A413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A412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A411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A410" i="9"/>
  <c r="M409" i="9"/>
  <c r="L409" i="9"/>
  <c r="K409" i="9"/>
  <c r="J409" i="9"/>
  <c r="I409" i="9"/>
  <c r="H409" i="9"/>
  <c r="G409" i="9"/>
  <c r="F409" i="9"/>
  <c r="E409" i="9"/>
  <c r="D409" i="9"/>
  <c r="C409" i="9"/>
  <c r="B409" i="9"/>
  <c r="A409" i="9"/>
  <c r="M408" i="9"/>
  <c r="L408" i="9"/>
  <c r="K408" i="9"/>
  <c r="J408" i="9"/>
  <c r="I408" i="9"/>
  <c r="H408" i="9"/>
  <c r="G408" i="9"/>
  <c r="F408" i="9"/>
  <c r="E408" i="9"/>
  <c r="D408" i="9"/>
  <c r="C408" i="9"/>
  <c r="B408" i="9"/>
  <c r="A408" i="9"/>
  <c r="M407" i="9"/>
  <c r="L407" i="9"/>
  <c r="K407" i="9"/>
  <c r="J407" i="9"/>
  <c r="I407" i="9"/>
  <c r="H407" i="9"/>
  <c r="G407" i="9"/>
  <c r="F407" i="9"/>
  <c r="E407" i="9"/>
  <c r="D407" i="9"/>
  <c r="C407" i="9"/>
  <c r="B407" i="9"/>
  <c r="A407" i="9"/>
  <c r="M406" i="9"/>
  <c r="L406" i="9"/>
  <c r="K406" i="9"/>
  <c r="J406" i="9"/>
  <c r="I406" i="9"/>
  <c r="H406" i="9"/>
  <c r="G406" i="9"/>
  <c r="F406" i="9"/>
  <c r="E406" i="9"/>
  <c r="D406" i="9"/>
  <c r="C406" i="9"/>
  <c r="B406" i="9"/>
  <c r="A406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A405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A404" i="9"/>
  <c r="M403" i="9"/>
  <c r="L403" i="9"/>
  <c r="K403" i="9"/>
  <c r="J403" i="9"/>
  <c r="I403" i="9"/>
  <c r="H403" i="9"/>
  <c r="G403" i="9"/>
  <c r="F403" i="9"/>
  <c r="E403" i="9"/>
  <c r="D403" i="9"/>
  <c r="C403" i="9"/>
  <c r="B403" i="9"/>
  <c r="A403" i="9"/>
  <c r="M402" i="9"/>
  <c r="L402" i="9"/>
  <c r="K402" i="9"/>
  <c r="J402" i="9"/>
  <c r="I402" i="9"/>
  <c r="H402" i="9"/>
  <c r="G402" i="9"/>
  <c r="F402" i="9"/>
  <c r="E402" i="9"/>
  <c r="D402" i="9"/>
  <c r="C402" i="9"/>
  <c r="B402" i="9"/>
  <c r="A402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A401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A400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A399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A398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A397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A396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A395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A394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A393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A392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A391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A390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A389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A388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A387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A386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A385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A384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A383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A382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A381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A380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A379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A378" i="9"/>
  <c r="M377" i="9"/>
  <c r="L377" i="9"/>
  <c r="K377" i="9"/>
  <c r="J377" i="9"/>
  <c r="I377" i="9"/>
  <c r="H377" i="9"/>
  <c r="G377" i="9"/>
  <c r="F377" i="9"/>
  <c r="E377" i="9"/>
  <c r="D377" i="9"/>
  <c r="C377" i="9"/>
  <c r="B377" i="9"/>
  <c r="A377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A376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A375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A374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A373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A372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A371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A370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A369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A368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A367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A366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A365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A364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A363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A362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A361" i="9"/>
  <c r="M360" i="9"/>
  <c r="L360" i="9"/>
  <c r="K360" i="9"/>
  <c r="J360" i="9"/>
  <c r="I360" i="9"/>
  <c r="H360" i="9"/>
  <c r="G360" i="9"/>
  <c r="F360" i="9"/>
  <c r="E360" i="9"/>
  <c r="D360" i="9"/>
  <c r="C360" i="9"/>
  <c r="B360" i="9"/>
  <c r="A360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A359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A358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A357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A356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A355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A354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A353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A352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A351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A350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A349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A348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A347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A346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A345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A344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A343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A342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A341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A340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A339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A338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A337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A336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A335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A334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A333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A332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A331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A330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A329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A328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A327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A326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A325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A324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A323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A322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A321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A320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A319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A318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A317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A316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A315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A314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A313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A312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A311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A310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A309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A308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A307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A306" i="9"/>
  <c r="M305" i="9"/>
  <c r="L305" i="9"/>
  <c r="K305" i="9"/>
  <c r="J305" i="9"/>
  <c r="I305" i="9"/>
  <c r="H305" i="9"/>
  <c r="G305" i="9"/>
  <c r="F305" i="9"/>
  <c r="E305" i="9"/>
  <c r="D305" i="9"/>
  <c r="C305" i="9"/>
  <c r="B305" i="9"/>
  <c r="A305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A304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A303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A302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A301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A300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A299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A298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A296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A295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A294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A291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A290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A289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A288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A287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A286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A285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A284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A283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A282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A281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A280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A279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A278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A277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A276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A275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274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273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272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271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A270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269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268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267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A266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A265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264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263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A262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261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A259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A258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A257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A256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A255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A254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A253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A252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A251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A250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A249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A248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A247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A246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A245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244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A243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A242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A241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A240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239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A234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A233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A232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A231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A230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A229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A228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A227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A226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A225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A224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A223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A222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A221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220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219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A218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A217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216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215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A214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A213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A212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A211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A210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209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A208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A207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A206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A205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A204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A203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A202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A201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A200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A199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A198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A197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A196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A195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A194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A193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A192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A191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A190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A189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A188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A187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A186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A185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A184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A183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182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A181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A180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A179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A178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177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A176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A175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A174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173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A172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A171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A170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A169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168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167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A166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A165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164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A163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A162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A161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160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A159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158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157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156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155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154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153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152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151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150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149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148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147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146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145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144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143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142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141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140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139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138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137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136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135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134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133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132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131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130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129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128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127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126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125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124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123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122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121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120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119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118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117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116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115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114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113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111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110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109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107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106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M51" i="9"/>
  <c r="L51" i="9"/>
  <c r="K51" i="9"/>
  <c r="J51" i="9"/>
  <c r="I51" i="9"/>
  <c r="H51" i="9"/>
  <c r="G51" i="9"/>
  <c r="F51" i="9"/>
  <c r="E51" i="9"/>
  <c r="D51" i="9"/>
  <c r="C51" i="9"/>
  <c r="B51" i="9"/>
  <c r="A51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M9" i="9"/>
  <c r="L9" i="9"/>
  <c r="K9" i="9"/>
  <c r="J9" i="9"/>
  <c r="I9" i="9"/>
  <c r="H9" i="9"/>
  <c r="G9" i="9"/>
  <c r="F9" i="9"/>
  <c r="E9" i="9"/>
  <c r="D9" i="9"/>
  <c r="C9" i="9"/>
  <c r="B9" i="9"/>
  <c r="A9" i="9"/>
  <c r="M8" i="9"/>
  <c r="L8" i="9"/>
  <c r="K8" i="9"/>
  <c r="J8" i="9"/>
  <c r="I8" i="9"/>
  <c r="H8" i="9"/>
  <c r="G8" i="9"/>
  <c r="F8" i="9"/>
  <c r="E8" i="9"/>
  <c r="D8" i="9"/>
  <c r="C8" i="9"/>
  <c r="B8" i="9"/>
  <c r="A8" i="9"/>
  <c r="M7" i="9"/>
  <c r="L7" i="9"/>
  <c r="K7" i="9"/>
  <c r="J7" i="9"/>
  <c r="I7" i="9"/>
  <c r="H7" i="9"/>
  <c r="G7" i="9"/>
  <c r="F7" i="9"/>
  <c r="E7" i="9"/>
  <c r="D7" i="9"/>
  <c r="C7" i="9"/>
  <c r="B7" i="9"/>
  <c r="A7" i="9"/>
  <c r="M6" i="9"/>
  <c r="L6" i="9"/>
  <c r="K6" i="9"/>
  <c r="J6" i="9"/>
  <c r="I6" i="9"/>
  <c r="H6" i="9"/>
  <c r="G6" i="9"/>
  <c r="F6" i="9"/>
  <c r="E6" i="9"/>
  <c r="D6" i="9"/>
  <c r="C6" i="9"/>
  <c r="B6" i="9"/>
  <c r="A6" i="9"/>
  <c r="M5" i="9"/>
  <c r="L5" i="9"/>
  <c r="K5" i="9"/>
  <c r="J5" i="9"/>
  <c r="I5" i="9"/>
  <c r="H5" i="9"/>
  <c r="G5" i="9"/>
  <c r="F5" i="9"/>
  <c r="E5" i="9"/>
  <c r="D5" i="9"/>
  <c r="C5" i="9"/>
  <c r="B5" i="9"/>
  <c r="A5" i="9"/>
  <c r="L4" i="9"/>
  <c r="K4" i="9"/>
  <c r="J4" i="9"/>
  <c r="I4" i="9"/>
  <c r="H4" i="9"/>
  <c r="G4" i="9"/>
  <c r="F4" i="9"/>
  <c r="E4" i="9"/>
  <c r="C4" i="9"/>
  <c r="B4" i="9"/>
  <c r="A4" i="9"/>
  <c r="M2003" i="8"/>
  <c r="K2003" i="8"/>
  <c r="J2003" i="8"/>
  <c r="I2003" i="8"/>
  <c r="H2003" i="8"/>
  <c r="G2003" i="8"/>
  <c r="L2003" i="8" s="1"/>
  <c r="F2003" i="8"/>
  <c r="E2003" i="8"/>
  <c r="D2003" i="8"/>
  <c r="C2003" i="8"/>
  <c r="B2003" i="8"/>
  <c r="A2003" i="8"/>
  <c r="M2002" i="8"/>
  <c r="L2002" i="8"/>
  <c r="K2002" i="8"/>
  <c r="J2002" i="8"/>
  <c r="I2002" i="8"/>
  <c r="H2002" i="8"/>
  <c r="G2002" i="8"/>
  <c r="F2002" i="8"/>
  <c r="E2002" i="8"/>
  <c r="D2002" i="8"/>
  <c r="C2002" i="8"/>
  <c r="B2002" i="8"/>
  <c r="A2002" i="8"/>
  <c r="M2001" i="8"/>
  <c r="K2001" i="8"/>
  <c r="J2001" i="8"/>
  <c r="I2001" i="8"/>
  <c r="H2001" i="8"/>
  <c r="G2001" i="8"/>
  <c r="L2001" i="8" s="1"/>
  <c r="F2001" i="8"/>
  <c r="E2001" i="8"/>
  <c r="D2001" i="8"/>
  <c r="C2001" i="8"/>
  <c r="B2001" i="8"/>
  <c r="A2001" i="8"/>
  <c r="M2000" i="8"/>
  <c r="K2000" i="8"/>
  <c r="J2000" i="8"/>
  <c r="I2000" i="8"/>
  <c r="H2000" i="8"/>
  <c r="G2000" i="8"/>
  <c r="L2000" i="8" s="1"/>
  <c r="F2000" i="8"/>
  <c r="E2000" i="8"/>
  <c r="D2000" i="8"/>
  <c r="C2000" i="8"/>
  <c r="B2000" i="8"/>
  <c r="A2000" i="8"/>
  <c r="M1999" i="8"/>
  <c r="K1999" i="8"/>
  <c r="J1999" i="8"/>
  <c r="I1999" i="8"/>
  <c r="H1999" i="8"/>
  <c r="G1999" i="8"/>
  <c r="L1999" i="8" s="1"/>
  <c r="F1999" i="8"/>
  <c r="E1999" i="8"/>
  <c r="D1999" i="8"/>
  <c r="C1999" i="8"/>
  <c r="B1999" i="8"/>
  <c r="A1999" i="8"/>
  <c r="M1998" i="8"/>
  <c r="L1998" i="8"/>
  <c r="K1998" i="8"/>
  <c r="J1998" i="8"/>
  <c r="I1998" i="8"/>
  <c r="H1998" i="8"/>
  <c r="G1998" i="8"/>
  <c r="F1998" i="8"/>
  <c r="E1998" i="8"/>
  <c r="D1998" i="8"/>
  <c r="C1998" i="8"/>
  <c r="B1998" i="8"/>
  <c r="A1998" i="8"/>
  <c r="M1997" i="8"/>
  <c r="L1997" i="8"/>
  <c r="K1997" i="8"/>
  <c r="J1997" i="8"/>
  <c r="I1997" i="8"/>
  <c r="H1997" i="8"/>
  <c r="G1997" i="8"/>
  <c r="F1997" i="8"/>
  <c r="E1997" i="8"/>
  <c r="D1997" i="8"/>
  <c r="C1997" i="8"/>
  <c r="B1997" i="8"/>
  <c r="A1997" i="8"/>
  <c r="M1996" i="8"/>
  <c r="K1996" i="8"/>
  <c r="J1996" i="8"/>
  <c r="I1996" i="8"/>
  <c r="H1996" i="8"/>
  <c r="G1996" i="8"/>
  <c r="L1996" i="8" s="1"/>
  <c r="F1996" i="8"/>
  <c r="E1996" i="8"/>
  <c r="D1996" i="8"/>
  <c r="C1996" i="8"/>
  <c r="B1996" i="8"/>
  <c r="A1996" i="8"/>
  <c r="M1995" i="8"/>
  <c r="K1995" i="8"/>
  <c r="J1995" i="8"/>
  <c r="I1995" i="8"/>
  <c r="H1995" i="8"/>
  <c r="G1995" i="8"/>
  <c r="L1995" i="8" s="1"/>
  <c r="F1995" i="8"/>
  <c r="E1995" i="8"/>
  <c r="D1995" i="8"/>
  <c r="C1995" i="8"/>
  <c r="B1995" i="8"/>
  <c r="A1995" i="8"/>
  <c r="M1994" i="8"/>
  <c r="L1994" i="8"/>
  <c r="K1994" i="8"/>
  <c r="J1994" i="8"/>
  <c r="I1994" i="8"/>
  <c r="H1994" i="8"/>
  <c r="G1994" i="8"/>
  <c r="F1994" i="8"/>
  <c r="E1994" i="8"/>
  <c r="D1994" i="8"/>
  <c r="C1994" i="8"/>
  <c r="B1994" i="8"/>
  <c r="A1994" i="8"/>
  <c r="M1993" i="8"/>
  <c r="K1993" i="8"/>
  <c r="J1993" i="8"/>
  <c r="I1993" i="8"/>
  <c r="H1993" i="8"/>
  <c r="G1993" i="8"/>
  <c r="L1993" i="8" s="1"/>
  <c r="F1993" i="8"/>
  <c r="E1993" i="8"/>
  <c r="D1993" i="8"/>
  <c r="C1993" i="8"/>
  <c r="B1993" i="8"/>
  <c r="A1993" i="8"/>
  <c r="M1992" i="8"/>
  <c r="K1992" i="8"/>
  <c r="J1992" i="8"/>
  <c r="I1992" i="8"/>
  <c r="H1992" i="8"/>
  <c r="G1992" i="8"/>
  <c r="L1992" i="8" s="1"/>
  <c r="F1992" i="8"/>
  <c r="E1992" i="8"/>
  <c r="D1992" i="8"/>
  <c r="C1992" i="8"/>
  <c r="B1992" i="8"/>
  <c r="A1992" i="8"/>
  <c r="M1991" i="8"/>
  <c r="K1991" i="8"/>
  <c r="J1991" i="8"/>
  <c r="I1991" i="8"/>
  <c r="H1991" i="8"/>
  <c r="G1991" i="8"/>
  <c r="L1991" i="8" s="1"/>
  <c r="F1991" i="8"/>
  <c r="E1991" i="8"/>
  <c r="D1991" i="8"/>
  <c r="C1991" i="8"/>
  <c r="B1991" i="8"/>
  <c r="A1991" i="8"/>
  <c r="M1990" i="8"/>
  <c r="L1990" i="8"/>
  <c r="K1990" i="8"/>
  <c r="J1990" i="8"/>
  <c r="I1990" i="8"/>
  <c r="H1990" i="8"/>
  <c r="G1990" i="8"/>
  <c r="F1990" i="8"/>
  <c r="E1990" i="8"/>
  <c r="D1990" i="8"/>
  <c r="C1990" i="8"/>
  <c r="B1990" i="8"/>
  <c r="A1990" i="8"/>
  <c r="M1989" i="8"/>
  <c r="L1989" i="8"/>
  <c r="K1989" i="8"/>
  <c r="J1989" i="8"/>
  <c r="I1989" i="8"/>
  <c r="H1989" i="8"/>
  <c r="G1989" i="8"/>
  <c r="F1989" i="8"/>
  <c r="E1989" i="8"/>
  <c r="D1989" i="8"/>
  <c r="C1989" i="8"/>
  <c r="B1989" i="8"/>
  <c r="A1989" i="8"/>
  <c r="M1988" i="8"/>
  <c r="K1988" i="8"/>
  <c r="J1988" i="8"/>
  <c r="I1988" i="8"/>
  <c r="H1988" i="8"/>
  <c r="G1988" i="8"/>
  <c r="L1988" i="8" s="1"/>
  <c r="F1988" i="8"/>
  <c r="E1988" i="8"/>
  <c r="D1988" i="8"/>
  <c r="C1988" i="8"/>
  <c r="B1988" i="8"/>
  <c r="A1988" i="8"/>
  <c r="M1987" i="8"/>
  <c r="K1987" i="8"/>
  <c r="J1987" i="8"/>
  <c r="I1987" i="8"/>
  <c r="H1987" i="8"/>
  <c r="G1987" i="8"/>
  <c r="L1987" i="8" s="1"/>
  <c r="F1987" i="8"/>
  <c r="E1987" i="8"/>
  <c r="D1987" i="8"/>
  <c r="C1987" i="8"/>
  <c r="B1987" i="8"/>
  <c r="A1987" i="8"/>
  <c r="M1986" i="8"/>
  <c r="L1986" i="8"/>
  <c r="K1986" i="8"/>
  <c r="J1986" i="8"/>
  <c r="I1986" i="8"/>
  <c r="H1986" i="8"/>
  <c r="G1986" i="8"/>
  <c r="F1986" i="8"/>
  <c r="E1986" i="8"/>
  <c r="D1986" i="8"/>
  <c r="C1986" i="8"/>
  <c r="B1986" i="8"/>
  <c r="A1986" i="8"/>
  <c r="M1985" i="8"/>
  <c r="K1985" i="8"/>
  <c r="J1985" i="8"/>
  <c r="I1985" i="8"/>
  <c r="H1985" i="8"/>
  <c r="G1985" i="8"/>
  <c r="L1985" i="8" s="1"/>
  <c r="F1985" i="8"/>
  <c r="E1985" i="8"/>
  <c r="D1985" i="8"/>
  <c r="C1985" i="8"/>
  <c r="B1985" i="8"/>
  <c r="A1985" i="8"/>
  <c r="M1984" i="8"/>
  <c r="K1984" i="8"/>
  <c r="J1984" i="8"/>
  <c r="I1984" i="8"/>
  <c r="H1984" i="8"/>
  <c r="G1984" i="8"/>
  <c r="L1984" i="8" s="1"/>
  <c r="F1984" i="8"/>
  <c r="E1984" i="8"/>
  <c r="D1984" i="8"/>
  <c r="C1984" i="8"/>
  <c r="B1984" i="8"/>
  <c r="A1984" i="8"/>
  <c r="M1983" i="8"/>
  <c r="K1983" i="8"/>
  <c r="J1983" i="8"/>
  <c r="I1983" i="8"/>
  <c r="H1983" i="8"/>
  <c r="G1983" i="8"/>
  <c r="L1983" i="8" s="1"/>
  <c r="F1983" i="8"/>
  <c r="E1983" i="8"/>
  <c r="D1983" i="8"/>
  <c r="C1983" i="8"/>
  <c r="B1983" i="8"/>
  <c r="A1983" i="8"/>
  <c r="M1982" i="8"/>
  <c r="L1982" i="8"/>
  <c r="K1982" i="8"/>
  <c r="J1982" i="8"/>
  <c r="I1982" i="8"/>
  <c r="H1982" i="8"/>
  <c r="G1982" i="8"/>
  <c r="F1982" i="8"/>
  <c r="E1982" i="8"/>
  <c r="D1982" i="8"/>
  <c r="C1982" i="8"/>
  <c r="B1982" i="8"/>
  <c r="A1982" i="8"/>
  <c r="M1981" i="8"/>
  <c r="L1981" i="8"/>
  <c r="K1981" i="8"/>
  <c r="J1981" i="8"/>
  <c r="I1981" i="8"/>
  <c r="H1981" i="8"/>
  <c r="G1981" i="8"/>
  <c r="F1981" i="8"/>
  <c r="E1981" i="8"/>
  <c r="D1981" i="8"/>
  <c r="C1981" i="8"/>
  <c r="B1981" i="8"/>
  <c r="A1981" i="8"/>
  <c r="M1980" i="8"/>
  <c r="K1980" i="8"/>
  <c r="J1980" i="8"/>
  <c r="I1980" i="8"/>
  <c r="H1980" i="8"/>
  <c r="G1980" i="8"/>
  <c r="L1980" i="8" s="1"/>
  <c r="F1980" i="8"/>
  <c r="E1980" i="8"/>
  <c r="D1980" i="8"/>
  <c r="C1980" i="8"/>
  <c r="B1980" i="8"/>
  <c r="A1980" i="8"/>
  <c r="M1979" i="8"/>
  <c r="K1979" i="8"/>
  <c r="J1979" i="8"/>
  <c r="I1979" i="8"/>
  <c r="H1979" i="8"/>
  <c r="G1979" i="8"/>
  <c r="L1979" i="8" s="1"/>
  <c r="F1979" i="8"/>
  <c r="E1979" i="8"/>
  <c r="D1979" i="8"/>
  <c r="C1979" i="8"/>
  <c r="B1979" i="8"/>
  <c r="A1979" i="8"/>
  <c r="M1978" i="8"/>
  <c r="L1978" i="8"/>
  <c r="K1978" i="8"/>
  <c r="J1978" i="8"/>
  <c r="I1978" i="8"/>
  <c r="H1978" i="8"/>
  <c r="G1978" i="8"/>
  <c r="F1978" i="8"/>
  <c r="E1978" i="8"/>
  <c r="D1978" i="8"/>
  <c r="C1978" i="8"/>
  <c r="B1978" i="8"/>
  <c r="A1978" i="8"/>
  <c r="M1977" i="8"/>
  <c r="K1977" i="8"/>
  <c r="J1977" i="8"/>
  <c r="I1977" i="8"/>
  <c r="H1977" i="8"/>
  <c r="G1977" i="8"/>
  <c r="L1977" i="8" s="1"/>
  <c r="F1977" i="8"/>
  <c r="E1977" i="8"/>
  <c r="D1977" i="8"/>
  <c r="C1977" i="8"/>
  <c r="B1977" i="8"/>
  <c r="A1977" i="8"/>
  <c r="M1976" i="8"/>
  <c r="K1976" i="8"/>
  <c r="J1976" i="8"/>
  <c r="I1976" i="8"/>
  <c r="H1976" i="8"/>
  <c r="G1976" i="8"/>
  <c r="L1976" i="8" s="1"/>
  <c r="F1976" i="8"/>
  <c r="E1976" i="8"/>
  <c r="D1976" i="8"/>
  <c r="C1976" i="8"/>
  <c r="B1976" i="8"/>
  <c r="A1976" i="8"/>
  <c r="M1975" i="8"/>
  <c r="K1975" i="8"/>
  <c r="J1975" i="8"/>
  <c r="I1975" i="8"/>
  <c r="H1975" i="8"/>
  <c r="G1975" i="8"/>
  <c r="L1975" i="8" s="1"/>
  <c r="F1975" i="8"/>
  <c r="E1975" i="8"/>
  <c r="D1975" i="8"/>
  <c r="C1975" i="8"/>
  <c r="B1975" i="8"/>
  <c r="A1975" i="8"/>
  <c r="M1974" i="8"/>
  <c r="L1974" i="8"/>
  <c r="K1974" i="8"/>
  <c r="J1974" i="8"/>
  <c r="I1974" i="8"/>
  <c r="H1974" i="8"/>
  <c r="G1974" i="8"/>
  <c r="F1974" i="8"/>
  <c r="E1974" i="8"/>
  <c r="D1974" i="8"/>
  <c r="C1974" i="8"/>
  <c r="B1974" i="8"/>
  <c r="A1974" i="8"/>
  <c r="M1973" i="8"/>
  <c r="L1973" i="8"/>
  <c r="K1973" i="8"/>
  <c r="J1973" i="8"/>
  <c r="I1973" i="8"/>
  <c r="H1973" i="8"/>
  <c r="G1973" i="8"/>
  <c r="F1973" i="8"/>
  <c r="E1973" i="8"/>
  <c r="D1973" i="8"/>
  <c r="C1973" i="8"/>
  <c r="B1973" i="8"/>
  <c r="A1973" i="8"/>
  <c r="M1972" i="8"/>
  <c r="K1972" i="8"/>
  <c r="J1972" i="8"/>
  <c r="I1972" i="8"/>
  <c r="H1972" i="8"/>
  <c r="G1972" i="8"/>
  <c r="L1972" i="8" s="1"/>
  <c r="F1972" i="8"/>
  <c r="E1972" i="8"/>
  <c r="D1972" i="8"/>
  <c r="C1972" i="8"/>
  <c r="B1972" i="8"/>
  <c r="A1972" i="8"/>
  <c r="M1971" i="8"/>
  <c r="K1971" i="8"/>
  <c r="J1971" i="8"/>
  <c r="I1971" i="8"/>
  <c r="H1971" i="8"/>
  <c r="G1971" i="8"/>
  <c r="L1971" i="8" s="1"/>
  <c r="F1971" i="8"/>
  <c r="E1971" i="8"/>
  <c r="D1971" i="8"/>
  <c r="C1971" i="8"/>
  <c r="B1971" i="8"/>
  <c r="A1971" i="8"/>
  <c r="M1970" i="8"/>
  <c r="L1970" i="8"/>
  <c r="K1970" i="8"/>
  <c r="J1970" i="8"/>
  <c r="I1970" i="8"/>
  <c r="H1970" i="8"/>
  <c r="G1970" i="8"/>
  <c r="F1970" i="8"/>
  <c r="E1970" i="8"/>
  <c r="D1970" i="8"/>
  <c r="C1970" i="8"/>
  <c r="B1970" i="8"/>
  <c r="A1970" i="8"/>
  <c r="M1969" i="8"/>
  <c r="K1969" i="8"/>
  <c r="J1969" i="8"/>
  <c r="I1969" i="8"/>
  <c r="H1969" i="8"/>
  <c r="G1969" i="8"/>
  <c r="L1969" i="8" s="1"/>
  <c r="F1969" i="8"/>
  <c r="E1969" i="8"/>
  <c r="D1969" i="8"/>
  <c r="C1969" i="8"/>
  <c r="B1969" i="8"/>
  <c r="A1969" i="8"/>
  <c r="M1968" i="8"/>
  <c r="K1968" i="8"/>
  <c r="J1968" i="8"/>
  <c r="I1968" i="8"/>
  <c r="H1968" i="8"/>
  <c r="G1968" i="8"/>
  <c r="L1968" i="8" s="1"/>
  <c r="F1968" i="8"/>
  <c r="E1968" i="8"/>
  <c r="D1968" i="8"/>
  <c r="C1968" i="8"/>
  <c r="B1968" i="8"/>
  <c r="A1968" i="8"/>
  <c r="M1967" i="8"/>
  <c r="K1967" i="8"/>
  <c r="J1967" i="8"/>
  <c r="I1967" i="8"/>
  <c r="H1967" i="8"/>
  <c r="G1967" i="8"/>
  <c r="L1967" i="8" s="1"/>
  <c r="F1967" i="8"/>
  <c r="E1967" i="8"/>
  <c r="D1967" i="8"/>
  <c r="C1967" i="8"/>
  <c r="B1967" i="8"/>
  <c r="A1967" i="8"/>
  <c r="M1966" i="8"/>
  <c r="L1966" i="8"/>
  <c r="K1966" i="8"/>
  <c r="J1966" i="8"/>
  <c r="I1966" i="8"/>
  <c r="H1966" i="8"/>
  <c r="G1966" i="8"/>
  <c r="F1966" i="8"/>
  <c r="E1966" i="8"/>
  <c r="D1966" i="8"/>
  <c r="C1966" i="8"/>
  <c r="B1966" i="8"/>
  <c r="A1966" i="8"/>
  <c r="M1965" i="8"/>
  <c r="L1965" i="8"/>
  <c r="K1965" i="8"/>
  <c r="J1965" i="8"/>
  <c r="I1965" i="8"/>
  <c r="H1965" i="8"/>
  <c r="G1965" i="8"/>
  <c r="F1965" i="8"/>
  <c r="E1965" i="8"/>
  <c r="D1965" i="8"/>
  <c r="C1965" i="8"/>
  <c r="B1965" i="8"/>
  <c r="A1965" i="8"/>
  <c r="M1964" i="8"/>
  <c r="K1964" i="8"/>
  <c r="J1964" i="8"/>
  <c r="I1964" i="8"/>
  <c r="H1964" i="8"/>
  <c r="G1964" i="8"/>
  <c r="L1964" i="8" s="1"/>
  <c r="F1964" i="8"/>
  <c r="E1964" i="8"/>
  <c r="D1964" i="8"/>
  <c r="C1964" i="8"/>
  <c r="B1964" i="8"/>
  <c r="A1964" i="8"/>
  <c r="M1963" i="8"/>
  <c r="K1963" i="8"/>
  <c r="J1963" i="8"/>
  <c r="I1963" i="8"/>
  <c r="H1963" i="8"/>
  <c r="G1963" i="8"/>
  <c r="L1963" i="8" s="1"/>
  <c r="F1963" i="8"/>
  <c r="E1963" i="8"/>
  <c r="D1963" i="8"/>
  <c r="C1963" i="8"/>
  <c r="B1963" i="8"/>
  <c r="A1963" i="8"/>
  <c r="M1962" i="8"/>
  <c r="L1962" i="8"/>
  <c r="K1962" i="8"/>
  <c r="J1962" i="8"/>
  <c r="I1962" i="8"/>
  <c r="H1962" i="8"/>
  <c r="G1962" i="8"/>
  <c r="F1962" i="8"/>
  <c r="E1962" i="8"/>
  <c r="D1962" i="8"/>
  <c r="C1962" i="8"/>
  <c r="B1962" i="8"/>
  <c r="A1962" i="8"/>
  <c r="M1961" i="8"/>
  <c r="K1961" i="8"/>
  <c r="J1961" i="8"/>
  <c r="I1961" i="8"/>
  <c r="H1961" i="8"/>
  <c r="G1961" i="8"/>
  <c r="L1961" i="8" s="1"/>
  <c r="F1961" i="8"/>
  <c r="E1961" i="8"/>
  <c r="D1961" i="8"/>
  <c r="C1961" i="8"/>
  <c r="B1961" i="8"/>
  <c r="A1961" i="8"/>
  <c r="M1960" i="8"/>
  <c r="K1960" i="8"/>
  <c r="J1960" i="8"/>
  <c r="I1960" i="8"/>
  <c r="H1960" i="8"/>
  <c r="G1960" i="8"/>
  <c r="L1960" i="8" s="1"/>
  <c r="F1960" i="8"/>
  <c r="E1960" i="8"/>
  <c r="D1960" i="8"/>
  <c r="C1960" i="8"/>
  <c r="B1960" i="8"/>
  <c r="A1960" i="8"/>
  <c r="M1959" i="8"/>
  <c r="K1959" i="8"/>
  <c r="J1959" i="8"/>
  <c r="I1959" i="8"/>
  <c r="H1959" i="8"/>
  <c r="G1959" i="8"/>
  <c r="L1959" i="8" s="1"/>
  <c r="F1959" i="8"/>
  <c r="E1959" i="8"/>
  <c r="D1959" i="8"/>
  <c r="C1959" i="8"/>
  <c r="B1959" i="8"/>
  <c r="A1959" i="8"/>
  <c r="M1958" i="8"/>
  <c r="L1958" i="8"/>
  <c r="K1958" i="8"/>
  <c r="J1958" i="8"/>
  <c r="I1958" i="8"/>
  <c r="H1958" i="8"/>
  <c r="G1958" i="8"/>
  <c r="F1958" i="8"/>
  <c r="E1958" i="8"/>
  <c r="D1958" i="8"/>
  <c r="C1958" i="8"/>
  <c r="B1958" i="8"/>
  <c r="A1958" i="8"/>
  <c r="M1957" i="8"/>
  <c r="L1957" i="8"/>
  <c r="K1957" i="8"/>
  <c r="J1957" i="8"/>
  <c r="I1957" i="8"/>
  <c r="H1957" i="8"/>
  <c r="G1957" i="8"/>
  <c r="F1957" i="8"/>
  <c r="E1957" i="8"/>
  <c r="D1957" i="8"/>
  <c r="C1957" i="8"/>
  <c r="B1957" i="8"/>
  <c r="A1957" i="8"/>
  <c r="M1956" i="8"/>
  <c r="K1956" i="8"/>
  <c r="J1956" i="8"/>
  <c r="I1956" i="8"/>
  <c r="H1956" i="8"/>
  <c r="G1956" i="8"/>
  <c r="L1956" i="8" s="1"/>
  <c r="F1956" i="8"/>
  <c r="E1956" i="8"/>
  <c r="D1956" i="8"/>
  <c r="C1956" i="8"/>
  <c r="B1956" i="8"/>
  <c r="A1956" i="8"/>
  <c r="M1955" i="8"/>
  <c r="K1955" i="8"/>
  <c r="J1955" i="8"/>
  <c r="I1955" i="8"/>
  <c r="H1955" i="8"/>
  <c r="G1955" i="8"/>
  <c r="L1955" i="8" s="1"/>
  <c r="F1955" i="8"/>
  <c r="E1955" i="8"/>
  <c r="D1955" i="8"/>
  <c r="C1955" i="8"/>
  <c r="B1955" i="8"/>
  <c r="A1955" i="8"/>
  <c r="M1954" i="8"/>
  <c r="L1954" i="8"/>
  <c r="K1954" i="8"/>
  <c r="J1954" i="8"/>
  <c r="I1954" i="8"/>
  <c r="H1954" i="8"/>
  <c r="G1954" i="8"/>
  <c r="F1954" i="8"/>
  <c r="E1954" i="8"/>
  <c r="D1954" i="8"/>
  <c r="C1954" i="8"/>
  <c r="B1954" i="8"/>
  <c r="A1954" i="8"/>
  <c r="M1953" i="8"/>
  <c r="K1953" i="8"/>
  <c r="J1953" i="8"/>
  <c r="I1953" i="8"/>
  <c r="H1953" i="8"/>
  <c r="G1953" i="8"/>
  <c r="L1953" i="8" s="1"/>
  <c r="F1953" i="8"/>
  <c r="E1953" i="8"/>
  <c r="D1953" i="8"/>
  <c r="C1953" i="8"/>
  <c r="B1953" i="8"/>
  <c r="A1953" i="8"/>
  <c r="M1952" i="8"/>
  <c r="K1952" i="8"/>
  <c r="J1952" i="8"/>
  <c r="I1952" i="8"/>
  <c r="H1952" i="8"/>
  <c r="G1952" i="8"/>
  <c r="L1952" i="8" s="1"/>
  <c r="F1952" i="8"/>
  <c r="E1952" i="8"/>
  <c r="D1952" i="8"/>
  <c r="C1952" i="8"/>
  <c r="B1952" i="8"/>
  <c r="A1952" i="8"/>
  <c r="M1951" i="8"/>
  <c r="K1951" i="8"/>
  <c r="J1951" i="8"/>
  <c r="I1951" i="8"/>
  <c r="H1951" i="8"/>
  <c r="G1951" i="8"/>
  <c r="L1951" i="8" s="1"/>
  <c r="F1951" i="8"/>
  <c r="E1951" i="8"/>
  <c r="D1951" i="8"/>
  <c r="C1951" i="8"/>
  <c r="B1951" i="8"/>
  <c r="A1951" i="8"/>
  <c r="M1950" i="8"/>
  <c r="L1950" i="8"/>
  <c r="K1950" i="8"/>
  <c r="J1950" i="8"/>
  <c r="I1950" i="8"/>
  <c r="H1950" i="8"/>
  <c r="G1950" i="8"/>
  <c r="F1950" i="8"/>
  <c r="E1950" i="8"/>
  <c r="D1950" i="8"/>
  <c r="C1950" i="8"/>
  <c r="B1950" i="8"/>
  <c r="A1950" i="8"/>
  <c r="M1949" i="8"/>
  <c r="L1949" i="8"/>
  <c r="K1949" i="8"/>
  <c r="J1949" i="8"/>
  <c r="I1949" i="8"/>
  <c r="H1949" i="8"/>
  <c r="G1949" i="8"/>
  <c r="F1949" i="8"/>
  <c r="E1949" i="8"/>
  <c r="D1949" i="8"/>
  <c r="C1949" i="8"/>
  <c r="B1949" i="8"/>
  <c r="A1949" i="8"/>
  <c r="M1948" i="8"/>
  <c r="K1948" i="8"/>
  <c r="J1948" i="8"/>
  <c r="I1948" i="8"/>
  <c r="H1948" i="8"/>
  <c r="G1948" i="8"/>
  <c r="L1948" i="8" s="1"/>
  <c r="F1948" i="8"/>
  <c r="E1948" i="8"/>
  <c r="D1948" i="8"/>
  <c r="C1948" i="8"/>
  <c r="B1948" i="8"/>
  <c r="A1948" i="8"/>
  <c r="M1947" i="8"/>
  <c r="K1947" i="8"/>
  <c r="J1947" i="8"/>
  <c r="I1947" i="8"/>
  <c r="H1947" i="8"/>
  <c r="G1947" i="8"/>
  <c r="L1947" i="8" s="1"/>
  <c r="F1947" i="8"/>
  <c r="E1947" i="8"/>
  <c r="D1947" i="8"/>
  <c r="C1947" i="8"/>
  <c r="B1947" i="8"/>
  <c r="A1947" i="8"/>
  <c r="M1946" i="8"/>
  <c r="L1946" i="8"/>
  <c r="K1946" i="8"/>
  <c r="J1946" i="8"/>
  <c r="I1946" i="8"/>
  <c r="H1946" i="8"/>
  <c r="G1946" i="8"/>
  <c r="F1946" i="8"/>
  <c r="E1946" i="8"/>
  <c r="D1946" i="8"/>
  <c r="C1946" i="8"/>
  <c r="B1946" i="8"/>
  <c r="A1946" i="8"/>
  <c r="M1945" i="8"/>
  <c r="K1945" i="8"/>
  <c r="J1945" i="8"/>
  <c r="I1945" i="8"/>
  <c r="H1945" i="8"/>
  <c r="G1945" i="8"/>
  <c r="L1945" i="8" s="1"/>
  <c r="F1945" i="8"/>
  <c r="E1945" i="8"/>
  <c r="D1945" i="8"/>
  <c r="C1945" i="8"/>
  <c r="B1945" i="8"/>
  <c r="A1945" i="8"/>
  <c r="M1944" i="8"/>
  <c r="K1944" i="8"/>
  <c r="J1944" i="8"/>
  <c r="I1944" i="8"/>
  <c r="H1944" i="8"/>
  <c r="G1944" i="8"/>
  <c r="L1944" i="8" s="1"/>
  <c r="F1944" i="8"/>
  <c r="E1944" i="8"/>
  <c r="D1944" i="8"/>
  <c r="C1944" i="8"/>
  <c r="B1944" i="8"/>
  <c r="A1944" i="8"/>
  <c r="M1943" i="8"/>
  <c r="K1943" i="8"/>
  <c r="J1943" i="8"/>
  <c r="I1943" i="8"/>
  <c r="H1943" i="8"/>
  <c r="G1943" i="8"/>
  <c r="L1943" i="8" s="1"/>
  <c r="F1943" i="8"/>
  <c r="E1943" i="8"/>
  <c r="D1943" i="8"/>
  <c r="C1943" i="8"/>
  <c r="B1943" i="8"/>
  <c r="A1943" i="8"/>
  <c r="M1942" i="8"/>
  <c r="L1942" i="8"/>
  <c r="K1942" i="8"/>
  <c r="J1942" i="8"/>
  <c r="I1942" i="8"/>
  <c r="H1942" i="8"/>
  <c r="G1942" i="8"/>
  <c r="F1942" i="8"/>
  <c r="E1942" i="8"/>
  <c r="D1942" i="8"/>
  <c r="C1942" i="8"/>
  <c r="B1942" i="8"/>
  <c r="A1942" i="8"/>
  <c r="M1941" i="8"/>
  <c r="L1941" i="8"/>
  <c r="K1941" i="8"/>
  <c r="J1941" i="8"/>
  <c r="I1941" i="8"/>
  <c r="H1941" i="8"/>
  <c r="G1941" i="8"/>
  <c r="F1941" i="8"/>
  <c r="E1941" i="8"/>
  <c r="D1941" i="8"/>
  <c r="C1941" i="8"/>
  <c r="B1941" i="8"/>
  <c r="A1941" i="8"/>
  <c r="M1940" i="8"/>
  <c r="K1940" i="8"/>
  <c r="J1940" i="8"/>
  <c r="I1940" i="8"/>
  <c r="H1940" i="8"/>
  <c r="G1940" i="8"/>
  <c r="L1940" i="8" s="1"/>
  <c r="F1940" i="8"/>
  <c r="E1940" i="8"/>
  <c r="D1940" i="8"/>
  <c r="C1940" i="8"/>
  <c r="B1940" i="8"/>
  <c r="A1940" i="8"/>
  <c r="M1939" i="8"/>
  <c r="K1939" i="8"/>
  <c r="J1939" i="8"/>
  <c r="I1939" i="8"/>
  <c r="H1939" i="8"/>
  <c r="G1939" i="8"/>
  <c r="L1939" i="8" s="1"/>
  <c r="F1939" i="8"/>
  <c r="E1939" i="8"/>
  <c r="D1939" i="8"/>
  <c r="C1939" i="8"/>
  <c r="B1939" i="8"/>
  <c r="A1939" i="8"/>
  <c r="M1938" i="8"/>
  <c r="L1938" i="8"/>
  <c r="K1938" i="8"/>
  <c r="J1938" i="8"/>
  <c r="I1938" i="8"/>
  <c r="H1938" i="8"/>
  <c r="G1938" i="8"/>
  <c r="F1938" i="8"/>
  <c r="E1938" i="8"/>
  <c r="D1938" i="8"/>
  <c r="C1938" i="8"/>
  <c r="B1938" i="8"/>
  <c r="A1938" i="8"/>
  <c r="M1937" i="8"/>
  <c r="K1937" i="8"/>
  <c r="J1937" i="8"/>
  <c r="I1937" i="8"/>
  <c r="H1937" i="8"/>
  <c r="G1937" i="8"/>
  <c r="L1937" i="8" s="1"/>
  <c r="F1937" i="8"/>
  <c r="E1937" i="8"/>
  <c r="D1937" i="8"/>
  <c r="C1937" i="8"/>
  <c r="B1937" i="8"/>
  <c r="A1937" i="8"/>
  <c r="M1936" i="8"/>
  <c r="K1936" i="8"/>
  <c r="J1936" i="8"/>
  <c r="I1936" i="8"/>
  <c r="H1936" i="8"/>
  <c r="G1936" i="8"/>
  <c r="L1936" i="8" s="1"/>
  <c r="F1936" i="8"/>
  <c r="E1936" i="8"/>
  <c r="D1936" i="8"/>
  <c r="C1936" i="8"/>
  <c r="B1936" i="8"/>
  <c r="A1936" i="8"/>
  <c r="M1935" i="8"/>
  <c r="K1935" i="8"/>
  <c r="J1935" i="8"/>
  <c r="I1935" i="8"/>
  <c r="H1935" i="8"/>
  <c r="G1935" i="8"/>
  <c r="L1935" i="8" s="1"/>
  <c r="F1935" i="8"/>
  <c r="E1935" i="8"/>
  <c r="D1935" i="8"/>
  <c r="C1935" i="8"/>
  <c r="B1935" i="8"/>
  <c r="A1935" i="8"/>
  <c r="M1934" i="8"/>
  <c r="L1934" i="8"/>
  <c r="K1934" i="8"/>
  <c r="J1934" i="8"/>
  <c r="I1934" i="8"/>
  <c r="H1934" i="8"/>
  <c r="G1934" i="8"/>
  <c r="F1934" i="8"/>
  <c r="E1934" i="8"/>
  <c r="D1934" i="8"/>
  <c r="C1934" i="8"/>
  <c r="B1934" i="8"/>
  <c r="A1934" i="8"/>
  <c r="M1933" i="8"/>
  <c r="L1933" i="8"/>
  <c r="K1933" i="8"/>
  <c r="J1933" i="8"/>
  <c r="I1933" i="8"/>
  <c r="H1933" i="8"/>
  <c r="G1933" i="8"/>
  <c r="F1933" i="8"/>
  <c r="E1933" i="8"/>
  <c r="D1933" i="8"/>
  <c r="C1933" i="8"/>
  <c r="B1933" i="8"/>
  <c r="A1933" i="8"/>
  <c r="M1932" i="8"/>
  <c r="K1932" i="8"/>
  <c r="J1932" i="8"/>
  <c r="I1932" i="8"/>
  <c r="H1932" i="8"/>
  <c r="G1932" i="8"/>
  <c r="L1932" i="8" s="1"/>
  <c r="F1932" i="8"/>
  <c r="E1932" i="8"/>
  <c r="D1932" i="8"/>
  <c r="C1932" i="8"/>
  <c r="B1932" i="8"/>
  <c r="A1932" i="8"/>
  <c r="M1931" i="8"/>
  <c r="K1931" i="8"/>
  <c r="J1931" i="8"/>
  <c r="I1931" i="8"/>
  <c r="H1931" i="8"/>
  <c r="G1931" i="8"/>
  <c r="L1931" i="8" s="1"/>
  <c r="F1931" i="8"/>
  <c r="E1931" i="8"/>
  <c r="D1931" i="8"/>
  <c r="C1931" i="8"/>
  <c r="B1931" i="8"/>
  <c r="A1931" i="8"/>
  <c r="M1930" i="8"/>
  <c r="L1930" i="8"/>
  <c r="K1930" i="8"/>
  <c r="J1930" i="8"/>
  <c r="I1930" i="8"/>
  <c r="H1930" i="8"/>
  <c r="G1930" i="8"/>
  <c r="F1930" i="8"/>
  <c r="E1930" i="8"/>
  <c r="D1930" i="8"/>
  <c r="C1930" i="8"/>
  <c r="B1930" i="8"/>
  <c r="A1930" i="8"/>
  <c r="M1929" i="8"/>
  <c r="K1929" i="8"/>
  <c r="J1929" i="8"/>
  <c r="I1929" i="8"/>
  <c r="H1929" i="8"/>
  <c r="G1929" i="8"/>
  <c r="L1929" i="8" s="1"/>
  <c r="F1929" i="8"/>
  <c r="E1929" i="8"/>
  <c r="D1929" i="8"/>
  <c r="C1929" i="8"/>
  <c r="B1929" i="8"/>
  <c r="A1929" i="8"/>
  <c r="M1928" i="8"/>
  <c r="K1928" i="8"/>
  <c r="J1928" i="8"/>
  <c r="I1928" i="8"/>
  <c r="H1928" i="8"/>
  <c r="G1928" i="8"/>
  <c r="L1928" i="8" s="1"/>
  <c r="F1928" i="8"/>
  <c r="E1928" i="8"/>
  <c r="D1928" i="8"/>
  <c r="C1928" i="8"/>
  <c r="B1928" i="8"/>
  <c r="A1928" i="8"/>
  <c r="M1927" i="8"/>
  <c r="K1927" i="8"/>
  <c r="J1927" i="8"/>
  <c r="I1927" i="8"/>
  <c r="H1927" i="8"/>
  <c r="G1927" i="8"/>
  <c r="L1927" i="8" s="1"/>
  <c r="F1927" i="8"/>
  <c r="E1927" i="8"/>
  <c r="D1927" i="8"/>
  <c r="C1927" i="8"/>
  <c r="B1927" i="8"/>
  <c r="A1927" i="8"/>
  <c r="M1926" i="8"/>
  <c r="L1926" i="8"/>
  <c r="K1926" i="8"/>
  <c r="J1926" i="8"/>
  <c r="I1926" i="8"/>
  <c r="H1926" i="8"/>
  <c r="G1926" i="8"/>
  <c r="F1926" i="8"/>
  <c r="E1926" i="8"/>
  <c r="D1926" i="8"/>
  <c r="C1926" i="8"/>
  <c r="B1926" i="8"/>
  <c r="A1926" i="8"/>
  <c r="M1925" i="8"/>
  <c r="L1925" i="8"/>
  <c r="K1925" i="8"/>
  <c r="J1925" i="8"/>
  <c r="I1925" i="8"/>
  <c r="H1925" i="8"/>
  <c r="G1925" i="8"/>
  <c r="F1925" i="8"/>
  <c r="E1925" i="8"/>
  <c r="D1925" i="8"/>
  <c r="C1925" i="8"/>
  <c r="B1925" i="8"/>
  <c r="A1925" i="8"/>
  <c r="M1924" i="8"/>
  <c r="K1924" i="8"/>
  <c r="J1924" i="8"/>
  <c r="I1924" i="8"/>
  <c r="H1924" i="8"/>
  <c r="G1924" i="8"/>
  <c r="L1924" i="8" s="1"/>
  <c r="F1924" i="8"/>
  <c r="E1924" i="8"/>
  <c r="D1924" i="8"/>
  <c r="C1924" i="8"/>
  <c r="B1924" i="8"/>
  <c r="A1924" i="8"/>
  <c r="M1923" i="8"/>
  <c r="K1923" i="8"/>
  <c r="J1923" i="8"/>
  <c r="I1923" i="8"/>
  <c r="H1923" i="8"/>
  <c r="G1923" i="8"/>
  <c r="L1923" i="8" s="1"/>
  <c r="F1923" i="8"/>
  <c r="E1923" i="8"/>
  <c r="D1923" i="8"/>
  <c r="C1923" i="8"/>
  <c r="B1923" i="8"/>
  <c r="A1923" i="8"/>
  <c r="M1922" i="8"/>
  <c r="L1922" i="8"/>
  <c r="K1922" i="8"/>
  <c r="J1922" i="8"/>
  <c r="I1922" i="8"/>
  <c r="H1922" i="8"/>
  <c r="G1922" i="8"/>
  <c r="F1922" i="8"/>
  <c r="E1922" i="8"/>
  <c r="D1922" i="8"/>
  <c r="C1922" i="8"/>
  <c r="B1922" i="8"/>
  <c r="A1922" i="8"/>
  <c r="M1921" i="8"/>
  <c r="K1921" i="8"/>
  <c r="J1921" i="8"/>
  <c r="I1921" i="8"/>
  <c r="H1921" i="8"/>
  <c r="G1921" i="8"/>
  <c r="L1921" i="8" s="1"/>
  <c r="F1921" i="8"/>
  <c r="E1921" i="8"/>
  <c r="D1921" i="8"/>
  <c r="C1921" i="8"/>
  <c r="B1921" i="8"/>
  <c r="A1921" i="8"/>
  <c r="M1920" i="8"/>
  <c r="K1920" i="8"/>
  <c r="J1920" i="8"/>
  <c r="I1920" i="8"/>
  <c r="H1920" i="8"/>
  <c r="G1920" i="8"/>
  <c r="L1920" i="8" s="1"/>
  <c r="F1920" i="8"/>
  <c r="E1920" i="8"/>
  <c r="D1920" i="8"/>
  <c r="C1920" i="8"/>
  <c r="B1920" i="8"/>
  <c r="A1920" i="8"/>
  <c r="M1919" i="8"/>
  <c r="K1919" i="8"/>
  <c r="J1919" i="8"/>
  <c r="I1919" i="8"/>
  <c r="H1919" i="8"/>
  <c r="G1919" i="8"/>
  <c r="L1919" i="8" s="1"/>
  <c r="F1919" i="8"/>
  <c r="E1919" i="8"/>
  <c r="D1919" i="8"/>
  <c r="C1919" i="8"/>
  <c r="B1919" i="8"/>
  <c r="A1919" i="8"/>
  <c r="M1918" i="8"/>
  <c r="L1918" i="8"/>
  <c r="K1918" i="8"/>
  <c r="J1918" i="8"/>
  <c r="I1918" i="8"/>
  <c r="H1918" i="8"/>
  <c r="G1918" i="8"/>
  <c r="F1918" i="8"/>
  <c r="E1918" i="8"/>
  <c r="D1918" i="8"/>
  <c r="C1918" i="8"/>
  <c r="B1918" i="8"/>
  <c r="A1918" i="8"/>
  <c r="M1917" i="8"/>
  <c r="L1917" i="8"/>
  <c r="K1917" i="8"/>
  <c r="J1917" i="8"/>
  <c r="I1917" i="8"/>
  <c r="H1917" i="8"/>
  <c r="G1917" i="8"/>
  <c r="F1917" i="8"/>
  <c r="E1917" i="8"/>
  <c r="D1917" i="8"/>
  <c r="C1917" i="8"/>
  <c r="B1917" i="8"/>
  <c r="A1917" i="8"/>
  <c r="M1916" i="8"/>
  <c r="L1916" i="8"/>
  <c r="K1916" i="8"/>
  <c r="J1916" i="8"/>
  <c r="I1916" i="8"/>
  <c r="H1916" i="8"/>
  <c r="G1916" i="8"/>
  <c r="F1916" i="8"/>
  <c r="E1916" i="8"/>
  <c r="D1916" i="8"/>
  <c r="C1916" i="8"/>
  <c r="B1916" i="8"/>
  <c r="A1916" i="8"/>
  <c r="M1915" i="8"/>
  <c r="K1915" i="8"/>
  <c r="J1915" i="8"/>
  <c r="I1915" i="8"/>
  <c r="H1915" i="8"/>
  <c r="G1915" i="8"/>
  <c r="L1915" i="8" s="1"/>
  <c r="F1915" i="8"/>
  <c r="E1915" i="8"/>
  <c r="D1915" i="8"/>
  <c r="C1915" i="8"/>
  <c r="B1915" i="8"/>
  <c r="A1915" i="8"/>
  <c r="M1914" i="8"/>
  <c r="L1914" i="8"/>
  <c r="K1914" i="8"/>
  <c r="J1914" i="8"/>
  <c r="I1914" i="8"/>
  <c r="H1914" i="8"/>
  <c r="G1914" i="8"/>
  <c r="F1914" i="8"/>
  <c r="E1914" i="8"/>
  <c r="D1914" i="8"/>
  <c r="C1914" i="8"/>
  <c r="B1914" i="8"/>
  <c r="A1914" i="8"/>
  <c r="M1913" i="8"/>
  <c r="K1913" i="8"/>
  <c r="J1913" i="8"/>
  <c r="I1913" i="8"/>
  <c r="H1913" i="8"/>
  <c r="G1913" i="8"/>
  <c r="L1913" i="8" s="1"/>
  <c r="F1913" i="8"/>
  <c r="E1913" i="8"/>
  <c r="D1913" i="8"/>
  <c r="C1913" i="8"/>
  <c r="B1913" i="8"/>
  <c r="A1913" i="8"/>
  <c r="M1912" i="8"/>
  <c r="K1912" i="8"/>
  <c r="J1912" i="8"/>
  <c r="I1912" i="8"/>
  <c r="H1912" i="8"/>
  <c r="G1912" i="8"/>
  <c r="L1912" i="8" s="1"/>
  <c r="F1912" i="8"/>
  <c r="E1912" i="8"/>
  <c r="D1912" i="8"/>
  <c r="C1912" i="8"/>
  <c r="B1912" i="8"/>
  <c r="A1912" i="8"/>
  <c r="M1911" i="8"/>
  <c r="K1911" i="8"/>
  <c r="J1911" i="8"/>
  <c r="I1911" i="8"/>
  <c r="H1911" i="8"/>
  <c r="G1911" i="8"/>
  <c r="L1911" i="8" s="1"/>
  <c r="F1911" i="8"/>
  <c r="E1911" i="8"/>
  <c r="D1911" i="8"/>
  <c r="C1911" i="8"/>
  <c r="B1911" i="8"/>
  <c r="A1911" i="8"/>
  <c r="M1910" i="8"/>
  <c r="L1910" i="8"/>
  <c r="K1910" i="8"/>
  <c r="J1910" i="8"/>
  <c r="I1910" i="8"/>
  <c r="H1910" i="8"/>
  <c r="G1910" i="8"/>
  <c r="F1910" i="8"/>
  <c r="E1910" i="8"/>
  <c r="D1910" i="8"/>
  <c r="C1910" i="8"/>
  <c r="B1910" i="8"/>
  <c r="A1910" i="8"/>
  <c r="M1909" i="8"/>
  <c r="L1909" i="8"/>
  <c r="K1909" i="8"/>
  <c r="J1909" i="8"/>
  <c r="I1909" i="8"/>
  <c r="H1909" i="8"/>
  <c r="G1909" i="8"/>
  <c r="F1909" i="8"/>
  <c r="E1909" i="8"/>
  <c r="D1909" i="8"/>
  <c r="C1909" i="8"/>
  <c r="B1909" i="8"/>
  <c r="A1909" i="8"/>
  <c r="M1908" i="8"/>
  <c r="L1908" i="8"/>
  <c r="K1908" i="8"/>
  <c r="J1908" i="8"/>
  <c r="I1908" i="8"/>
  <c r="H1908" i="8"/>
  <c r="G1908" i="8"/>
  <c r="F1908" i="8"/>
  <c r="E1908" i="8"/>
  <c r="D1908" i="8"/>
  <c r="C1908" i="8"/>
  <c r="B1908" i="8"/>
  <c r="A1908" i="8"/>
  <c r="M1907" i="8"/>
  <c r="K1907" i="8"/>
  <c r="J1907" i="8"/>
  <c r="I1907" i="8"/>
  <c r="H1907" i="8"/>
  <c r="G1907" i="8"/>
  <c r="L1907" i="8" s="1"/>
  <c r="F1907" i="8"/>
  <c r="E1907" i="8"/>
  <c r="D1907" i="8"/>
  <c r="C1907" i="8"/>
  <c r="B1907" i="8"/>
  <c r="A1907" i="8"/>
  <c r="M1906" i="8"/>
  <c r="L1906" i="8"/>
  <c r="K1906" i="8"/>
  <c r="J1906" i="8"/>
  <c r="I1906" i="8"/>
  <c r="H1906" i="8"/>
  <c r="G1906" i="8"/>
  <c r="F1906" i="8"/>
  <c r="E1906" i="8"/>
  <c r="D1906" i="8"/>
  <c r="C1906" i="8"/>
  <c r="B1906" i="8"/>
  <c r="A1906" i="8"/>
  <c r="M1905" i="8"/>
  <c r="K1905" i="8"/>
  <c r="J1905" i="8"/>
  <c r="I1905" i="8"/>
  <c r="H1905" i="8"/>
  <c r="G1905" i="8"/>
  <c r="L1905" i="8" s="1"/>
  <c r="F1905" i="8"/>
  <c r="E1905" i="8"/>
  <c r="D1905" i="8"/>
  <c r="C1905" i="8"/>
  <c r="B1905" i="8"/>
  <c r="A1905" i="8"/>
  <c r="M1904" i="8"/>
  <c r="K1904" i="8"/>
  <c r="J1904" i="8"/>
  <c r="I1904" i="8"/>
  <c r="H1904" i="8"/>
  <c r="G1904" i="8"/>
  <c r="L1904" i="8" s="1"/>
  <c r="F1904" i="8"/>
  <c r="E1904" i="8"/>
  <c r="D1904" i="8"/>
  <c r="C1904" i="8"/>
  <c r="B1904" i="8"/>
  <c r="A1904" i="8"/>
  <c r="M1903" i="8"/>
  <c r="K1903" i="8"/>
  <c r="J1903" i="8"/>
  <c r="I1903" i="8"/>
  <c r="H1903" i="8"/>
  <c r="G1903" i="8"/>
  <c r="L1903" i="8" s="1"/>
  <c r="F1903" i="8"/>
  <c r="E1903" i="8"/>
  <c r="D1903" i="8"/>
  <c r="C1903" i="8"/>
  <c r="B1903" i="8"/>
  <c r="A1903" i="8"/>
  <c r="M1902" i="8"/>
  <c r="L1902" i="8"/>
  <c r="K1902" i="8"/>
  <c r="J1902" i="8"/>
  <c r="I1902" i="8"/>
  <c r="H1902" i="8"/>
  <c r="G1902" i="8"/>
  <c r="F1902" i="8"/>
  <c r="E1902" i="8"/>
  <c r="D1902" i="8"/>
  <c r="C1902" i="8"/>
  <c r="B1902" i="8"/>
  <c r="A1902" i="8"/>
  <c r="M1901" i="8"/>
  <c r="L1901" i="8"/>
  <c r="K1901" i="8"/>
  <c r="J1901" i="8"/>
  <c r="I1901" i="8"/>
  <c r="H1901" i="8"/>
  <c r="G1901" i="8"/>
  <c r="F1901" i="8"/>
  <c r="E1901" i="8"/>
  <c r="D1901" i="8"/>
  <c r="C1901" i="8"/>
  <c r="B1901" i="8"/>
  <c r="A1901" i="8"/>
  <c r="M1900" i="8"/>
  <c r="L1900" i="8"/>
  <c r="K1900" i="8"/>
  <c r="J1900" i="8"/>
  <c r="I1900" i="8"/>
  <c r="H1900" i="8"/>
  <c r="G1900" i="8"/>
  <c r="F1900" i="8"/>
  <c r="E1900" i="8"/>
  <c r="D1900" i="8"/>
  <c r="C1900" i="8"/>
  <c r="B1900" i="8"/>
  <c r="A1900" i="8"/>
  <c r="M1899" i="8"/>
  <c r="K1899" i="8"/>
  <c r="J1899" i="8"/>
  <c r="I1899" i="8"/>
  <c r="H1899" i="8"/>
  <c r="G1899" i="8"/>
  <c r="L1899" i="8" s="1"/>
  <c r="F1899" i="8"/>
  <c r="E1899" i="8"/>
  <c r="D1899" i="8"/>
  <c r="C1899" i="8"/>
  <c r="B1899" i="8"/>
  <c r="A1899" i="8"/>
  <c r="M1898" i="8"/>
  <c r="L1898" i="8"/>
  <c r="K1898" i="8"/>
  <c r="J1898" i="8"/>
  <c r="I1898" i="8"/>
  <c r="H1898" i="8"/>
  <c r="G1898" i="8"/>
  <c r="F1898" i="8"/>
  <c r="E1898" i="8"/>
  <c r="D1898" i="8"/>
  <c r="C1898" i="8"/>
  <c r="B1898" i="8"/>
  <c r="A1898" i="8"/>
  <c r="M1897" i="8"/>
  <c r="K1897" i="8"/>
  <c r="J1897" i="8"/>
  <c r="I1897" i="8"/>
  <c r="H1897" i="8"/>
  <c r="G1897" i="8"/>
  <c r="L1897" i="8" s="1"/>
  <c r="F1897" i="8"/>
  <c r="E1897" i="8"/>
  <c r="D1897" i="8"/>
  <c r="C1897" i="8"/>
  <c r="B1897" i="8"/>
  <c r="A1897" i="8"/>
  <c r="M1896" i="8"/>
  <c r="K1896" i="8"/>
  <c r="J1896" i="8"/>
  <c r="I1896" i="8"/>
  <c r="H1896" i="8"/>
  <c r="G1896" i="8"/>
  <c r="L1896" i="8" s="1"/>
  <c r="F1896" i="8"/>
  <c r="E1896" i="8"/>
  <c r="D1896" i="8"/>
  <c r="C1896" i="8"/>
  <c r="B1896" i="8"/>
  <c r="A1896" i="8"/>
  <c r="M1895" i="8"/>
  <c r="K1895" i="8"/>
  <c r="J1895" i="8"/>
  <c r="I1895" i="8"/>
  <c r="H1895" i="8"/>
  <c r="G1895" i="8"/>
  <c r="L1895" i="8" s="1"/>
  <c r="F1895" i="8"/>
  <c r="E1895" i="8"/>
  <c r="D1895" i="8"/>
  <c r="C1895" i="8"/>
  <c r="B1895" i="8"/>
  <c r="A1895" i="8"/>
  <c r="M1894" i="8"/>
  <c r="L1894" i="8"/>
  <c r="K1894" i="8"/>
  <c r="J1894" i="8"/>
  <c r="I1894" i="8"/>
  <c r="H1894" i="8"/>
  <c r="G1894" i="8"/>
  <c r="F1894" i="8"/>
  <c r="E1894" i="8"/>
  <c r="D1894" i="8"/>
  <c r="C1894" i="8"/>
  <c r="B1894" i="8"/>
  <c r="A1894" i="8"/>
  <c r="M1893" i="8"/>
  <c r="L1893" i="8"/>
  <c r="K1893" i="8"/>
  <c r="J1893" i="8"/>
  <c r="I1893" i="8"/>
  <c r="H1893" i="8"/>
  <c r="G1893" i="8"/>
  <c r="F1893" i="8"/>
  <c r="E1893" i="8"/>
  <c r="D1893" i="8"/>
  <c r="C1893" i="8"/>
  <c r="B1893" i="8"/>
  <c r="A1893" i="8"/>
  <c r="M1892" i="8"/>
  <c r="L1892" i="8"/>
  <c r="K1892" i="8"/>
  <c r="J1892" i="8"/>
  <c r="I1892" i="8"/>
  <c r="H1892" i="8"/>
  <c r="G1892" i="8"/>
  <c r="F1892" i="8"/>
  <c r="E1892" i="8"/>
  <c r="D1892" i="8"/>
  <c r="C1892" i="8"/>
  <c r="B1892" i="8"/>
  <c r="A1892" i="8"/>
  <c r="M1891" i="8"/>
  <c r="K1891" i="8"/>
  <c r="J1891" i="8"/>
  <c r="I1891" i="8"/>
  <c r="H1891" i="8"/>
  <c r="G1891" i="8"/>
  <c r="L1891" i="8" s="1"/>
  <c r="F1891" i="8"/>
  <c r="E1891" i="8"/>
  <c r="D1891" i="8"/>
  <c r="C1891" i="8"/>
  <c r="B1891" i="8"/>
  <c r="A1891" i="8"/>
  <c r="M1890" i="8"/>
  <c r="L1890" i="8"/>
  <c r="K1890" i="8"/>
  <c r="J1890" i="8"/>
  <c r="I1890" i="8"/>
  <c r="H1890" i="8"/>
  <c r="G1890" i="8"/>
  <c r="F1890" i="8"/>
  <c r="E1890" i="8"/>
  <c r="D1890" i="8"/>
  <c r="C1890" i="8"/>
  <c r="B1890" i="8"/>
  <c r="A1890" i="8"/>
  <c r="M1889" i="8"/>
  <c r="K1889" i="8"/>
  <c r="J1889" i="8"/>
  <c r="I1889" i="8"/>
  <c r="H1889" i="8"/>
  <c r="G1889" i="8"/>
  <c r="L1889" i="8" s="1"/>
  <c r="F1889" i="8"/>
  <c r="E1889" i="8"/>
  <c r="D1889" i="8"/>
  <c r="C1889" i="8"/>
  <c r="B1889" i="8"/>
  <c r="A1889" i="8"/>
  <c r="M1888" i="8"/>
  <c r="K1888" i="8"/>
  <c r="J1888" i="8"/>
  <c r="I1888" i="8"/>
  <c r="H1888" i="8"/>
  <c r="G1888" i="8"/>
  <c r="L1888" i="8" s="1"/>
  <c r="F1888" i="8"/>
  <c r="E1888" i="8"/>
  <c r="D1888" i="8"/>
  <c r="C1888" i="8"/>
  <c r="B1888" i="8"/>
  <c r="A1888" i="8"/>
  <c r="M1887" i="8"/>
  <c r="K1887" i="8"/>
  <c r="J1887" i="8"/>
  <c r="I1887" i="8"/>
  <c r="H1887" i="8"/>
  <c r="G1887" i="8"/>
  <c r="L1887" i="8" s="1"/>
  <c r="F1887" i="8"/>
  <c r="E1887" i="8"/>
  <c r="D1887" i="8"/>
  <c r="C1887" i="8"/>
  <c r="B1887" i="8"/>
  <c r="A1887" i="8"/>
  <c r="M1886" i="8"/>
  <c r="L1886" i="8"/>
  <c r="K1886" i="8"/>
  <c r="J1886" i="8"/>
  <c r="I1886" i="8"/>
  <c r="H1886" i="8"/>
  <c r="G1886" i="8"/>
  <c r="F1886" i="8"/>
  <c r="E1886" i="8"/>
  <c r="D1886" i="8"/>
  <c r="C1886" i="8"/>
  <c r="B1886" i="8"/>
  <c r="A1886" i="8"/>
  <c r="M1885" i="8"/>
  <c r="K1885" i="8"/>
  <c r="J1885" i="8"/>
  <c r="I1885" i="8"/>
  <c r="H1885" i="8"/>
  <c r="G1885" i="8"/>
  <c r="L1885" i="8" s="1"/>
  <c r="F1885" i="8"/>
  <c r="E1885" i="8"/>
  <c r="D1885" i="8"/>
  <c r="C1885" i="8"/>
  <c r="B1885" i="8"/>
  <c r="A1885" i="8"/>
  <c r="M1884" i="8"/>
  <c r="K1884" i="8"/>
  <c r="J1884" i="8"/>
  <c r="I1884" i="8"/>
  <c r="H1884" i="8"/>
  <c r="G1884" i="8"/>
  <c r="L1884" i="8" s="1"/>
  <c r="F1884" i="8"/>
  <c r="E1884" i="8"/>
  <c r="D1884" i="8"/>
  <c r="C1884" i="8"/>
  <c r="B1884" i="8"/>
  <c r="A1884" i="8"/>
  <c r="M1883" i="8"/>
  <c r="K1883" i="8"/>
  <c r="J1883" i="8"/>
  <c r="I1883" i="8"/>
  <c r="H1883" i="8"/>
  <c r="G1883" i="8"/>
  <c r="L1883" i="8" s="1"/>
  <c r="F1883" i="8"/>
  <c r="E1883" i="8"/>
  <c r="D1883" i="8"/>
  <c r="C1883" i="8"/>
  <c r="B1883" i="8"/>
  <c r="A1883" i="8"/>
  <c r="M1882" i="8"/>
  <c r="L1882" i="8"/>
  <c r="K1882" i="8"/>
  <c r="J1882" i="8"/>
  <c r="I1882" i="8"/>
  <c r="H1882" i="8"/>
  <c r="G1882" i="8"/>
  <c r="F1882" i="8"/>
  <c r="E1882" i="8"/>
  <c r="D1882" i="8"/>
  <c r="C1882" i="8"/>
  <c r="B1882" i="8"/>
  <c r="A1882" i="8"/>
  <c r="M1881" i="8"/>
  <c r="K1881" i="8"/>
  <c r="J1881" i="8"/>
  <c r="I1881" i="8"/>
  <c r="H1881" i="8"/>
  <c r="G1881" i="8"/>
  <c r="L1881" i="8" s="1"/>
  <c r="F1881" i="8"/>
  <c r="E1881" i="8"/>
  <c r="D1881" i="8"/>
  <c r="C1881" i="8"/>
  <c r="B1881" i="8"/>
  <c r="A1881" i="8"/>
  <c r="M1880" i="8"/>
  <c r="K1880" i="8"/>
  <c r="J1880" i="8"/>
  <c r="I1880" i="8"/>
  <c r="H1880" i="8"/>
  <c r="G1880" i="8"/>
  <c r="L1880" i="8" s="1"/>
  <c r="F1880" i="8"/>
  <c r="E1880" i="8"/>
  <c r="D1880" i="8"/>
  <c r="C1880" i="8"/>
  <c r="B1880" i="8"/>
  <c r="A1880" i="8"/>
  <c r="M1879" i="8"/>
  <c r="K1879" i="8"/>
  <c r="J1879" i="8"/>
  <c r="I1879" i="8"/>
  <c r="H1879" i="8"/>
  <c r="G1879" i="8"/>
  <c r="L1879" i="8" s="1"/>
  <c r="F1879" i="8"/>
  <c r="E1879" i="8"/>
  <c r="D1879" i="8"/>
  <c r="C1879" i="8"/>
  <c r="B1879" i="8"/>
  <c r="A1879" i="8"/>
  <c r="M1878" i="8"/>
  <c r="L1878" i="8"/>
  <c r="K1878" i="8"/>
  <c r="J1878" i="8"/>
  <c r="I1878" i="8"/>
  <c r="H1878" i="8"/>
  <c r="G1878" i="8"/>
  <c r="F1878" i="8"/>
  <c r="E1878" i="8"/>
  <c r="D1878" i="8"/>
  <c r="C1878" i="8"/>
  <c r="B1878" i="8"/>
  <c r="A1878" i="8"/>
  <c r="M1877" i="8"/>
  <c r="L1877" i="8"/>
  <c r="K1877" i="8"/>
  <c r="J1877" i="8"/>
  <c r="I1877" i="8"/>
  <c r="H1877" i="8"/>
  <c r="G1877" i="8"/>
  <c r="F1877" i="8"/>
  <c r="E1877" i="8"/>
  <c r="D1877" i="8"/>
  <c r="C1877" i="8"/>
  <c r="B1877" i="8"/>
  <c r="A1877" i="8"/>
  <c r="M1876" i="8"/>
  <c r="K1876" i="8"/>
  <c r="J1876" i="8"/>
  <c r="I1876" i="8"/>
  <c r="H1876" i="8"/>
  <c r="G1876" i="8"/>
  <c r="L1876" i="8" s="1"/>
  <c r="F1876" i="8"/>
  <c r="E1876" i="8"/>
  <c r="D1876" i="8"/>
  <c r="C1876" i="8"/>
  <c r="B1876" i="8"/>
  <c r="A1876" i="8"/>
  <c r="M1875" i="8"/>
  <c r="K1875" i="8"/>
  <c r="J1875" i="8"/>
  <c r="I1875" i="8"/>
  <c r="H1875" i="8"/>
  <c r="G1875" i="8"/>
  <c r="L1875" i="8" s="1"/>
  <c r="F1875" i="8"/>
  <c r="E1875" i="8"/>
  <c r="D1875" i="8"/>
  <c r="C1875" i="8"/>
  <c r="B1875" i="8"/>
  <c r="A1875" i="8"/>
  <c r="M1874" i="8"/>
  <c r="L1874" i="8"/>
  <c r="K1874" i="8"/>
  <c r="J1874" i="8"/>
  <c r="I1874" i="8"/>
  <c r="H1874" i="8"/>
  <c r="G1874" i="8"/>
  <c r="F1874" i="8"/>
  <c r="E1874" i="8"/>
  <c r="D1874" i="8"/>
  <c r="C1874" i="8"/>
  <c r="B1874" i="8"/>
  <c r="A1874" i="8"/>
  <c r="M1873" i="8"/>
  <c r="L1873" i="8"/>
  <c r="K1873" i="8"/>
  <c r="J1873" i="8"/>
  <c r="I1873" i="8"/>
  <c r="H1873" i="8"/>
  <c r="G1873" i="8"/>
  <c r="F1873" i="8"/>
  <c r="E1873" i="8"/>
  <c r="D1873" i="8"/>
  <c r="C1873" i="8"/>
  <c r="B1873" i="8"/>
  <c r="A1873" i="8"/>
  <c r="M1872" i="8"/>
  <c r="K1872" i="8"/>
  <c r="J1872" i="8"/>
  <c r="I1872" i="8"/>
  <c r="H1872" i="8"/>
  <c r="G1872" i="8"/>
  <c r="L1872" i="8" s="1"/>
  <c r="F1872" i="8"/>
  <c r="E1872" i="8"/>
  <c r="D1872" i="8"/>
  <c r="C1872" i="8"/>
  <c r="B1872" i="8"/>
  <c r="A1872" i="8"/>
  <c r="M1871" i="8"/>
  <c r="K1871" i="8"/>
  <c r="J1871" i="8"/>
  <c r="I1871" i="8"/>
  <c r="H1871" i="8"/>
  <c r="G1871" i="8"/>
  <c r="L1871" i="8" s="1"/>
  <c r="F1871" i="8"/>
  <c r="E1871" i="8"/>
  <c r="D1871" i="8"/>
  <c r="C1871" i="8"/>
  <c r="B1871" i="8"/>
  <c r="A1871" i="8"/>
  <c r="M1870" i="8"/>
  <c r="L1870" i="8"/>
  <c r="K1870" i="8"/>
  <c r="J1870" i="8"/>
  <c r="I1870" i="8"/>
  <c r="H1870" i="8"/>
  <c r="G1870" i="8"/>
  <c r="F1870" i="8"/>
  <c r="E1870" i="8"/>
  <c r="D1870" i="8"/>
  <c r="C1870" i="8"/>
  <c r="B1870" i="8"/>
  <c r="A1870" i="8"/>
  <c r="M1869" i="8"/>
  <c r="L1869" i="8"/>
  <c r="K1869" i="8"/>
  <c r="J1869" i="8"/>
  <c r="I1869" i="8"/>
  <c r="H1869" i="8"/>
  <c r="G1869" i="8"/>
  <c r="F1869" i="8"/>
  <c r="E1869" i="8"/>
  <c r="D1869" i="8"/>
  <c r="C1869" i="8"/>
  <c r="B1869" i="8"/>
  <c r="A1869" i="8"/>
  <c r="M1868" i="8"/>
  <c r="K1868" i="8"/>
  <c r="J1868" i="8"/>
  <c r="I1868" i="8"/>
  <c r="H1868" i="8"/>
  <c r="G1868" i="8"/>
  <c r="L1868" i="8" s="1"/>
  <c r="F1868" i="8"/>
  <c r="E1868" i="8"/>
  <c r="D1868" i="8"/>
  <c r="C1868" i="8"/>
  <c r="B1868" i="8"/>
  <c r="A1868" i="8"/>
  <c r="M1867" i="8"/>
  <c r="K1867" i="8"/>
  <c r="J1867" i="8"/>
  <c r="I1867" i="8"/>
  <c r="H1867" i="8"/>
  <c r="G1867" i="8"/>
  <c r="L1867" i="8" s="1"/>
  <c r="F1867" i="8"/>
  <c r="E1867" i="8"/>
  <c r="D1867" i="8"/>
  <c r="C1867" i="8"/>
  <c r="B1867" i="8"/>
  <c r="A1867" i="8"/>
  <c r="M1866" i="8"/>
  <c r="L1866" i="8"/>
  <c r="K1866" i="8"/>
  <c r="J1866" i="8"/>
  <c r="I1866" i="8"/>
  <c r="H1866" i="8"/>
  <c r="G1866" i="8"/>
  <c r="F1866" i="8"/>
  <c r="E1866" i="8"/>
  <c r="D1866" i="8"/>
  <c r="C1866" i="8"/>
  <c r="B1866" i="8"/>
  <c r="A1866" i="8"/>
  <c r="M1865" i="8"/>
  <c r="L1865" i="8"/>
  <c r="K1865" i="8"/>
  <c r="J1865" i="8"/>
  <c r="I1865" i="8"/>
  <c r="H1865" i="8"/>
  <c r="G1865" i="8"/>
  <c r="F1865" i="8"/>
  <c r="E1865" i="8"/>
  <c r="D1865" i="8"/>
  <c r="C1865" i="8"/>
  <c r="B1865" i="8"/>
  <c r="A1865" i="8"/>
  <c r="M1864" i="8"/>
  <c r="K1864" i="8"/>
  <c r="J1864" i="8"/>
  <c r="I1864" i="8"/>
  <c r="H1864" i="8"/>
  <c r="G1864" i="8"/>
  <c r="L1864" i="8" s="1"/>
  <c r="F1864" i="8"/>
  <c r="E1864" i="8"/>
  <c r="D1864" i="8"/>
  <c r="C1864" i="8"/>
  <c r="B1864" i="8"/>
  <c r="A1864" i="8"/>
  <c r="M1863" i="8"/>
  <c r="K1863" i="8"/>
  <c r="J1863" i="8"/>
  <c r="I1863" i="8"/>
  <c r="H1863" i="8"/>
  <c r="G1863" i="8"/>
  <c r="L1863" i="8" s="1"/>
  <c r="F1863" i="8"/>
  <c r="E1863" i="8"/>
  <c r="D1863" i="8"/>
  <c r="C1863" i="8"/>
  <c r="B1863" i="8"/>
  <c r="A1863" i="8"/>
  <c r="M1862" i="8"/>
  <c r="L1862" i="8"/>
  <c r="K1862" i="8"/>
  <c r="J1862" i="8"/>
  <c r="I1862" i="8"/>
  <c r="H1862" i="8"/>
  <c r="G1862" i="8"/>
  <c r="F1862" i="8"/>
  <c r="E1862" i="8"/>
  <c r="D1862" i="8"/>
  <c r="C1862" i="8"/>
  <c r="B1862" i="8"/>
  <c r="A1862" i="8"/>
  <c r="M1861" i="8"/>
  <c r="L1861" i="8"/>
  <c r="K1861" i="8"/>
  <c r="J1861" i="8"/>
  <c r="I1861" i="8"/>
  <c r="H1861" i="8"/>
  <c r="G1861" i="8"/>
  <c r="F1861" i="8"/>
  <c r="E1861" i="8"/>
  <c r="D1861" i="8"/>
  <c r="C1861" i="8"/>
  <c r="B1861" i="8"/>
  <c r="A1861" i="8"/>
  <c r="M1860" i="8"/>
  <c r="K1860" i="8"/>
  <c r="J1860" i="8"/>
  <c r="I1860" i="8"/>
  <c r="H1860" i="8"/>
  <c r="G1860" i="8"/>
  <c r="L1860" i="8" s="1"/>
  <c r="F1860" i="8"/>
  <c r="E1860" i="8"/>
  <c r="D1860" i="8"/>
  <c r="C1860" i="8"/>
  <c r="B1860" i="8"/>
  <c r="A1860" i="8"/>
  <c r="M1859" i="8"/>
  <c r="K1859" i="8"/>
  <c r="J1859" i="8"/>
  <c r="I1859" i="8"/>
  <c r="H1859" i="8"/>
  <c r="G1859" i="8"/>
  <c r="L1859" i="8" s="1"/>
  <c r="F1859" i="8"/>
  <c r="E1859" i="8"/>
  <c r="D1859" i="8"/>
  <c r="C1859" i="8"/>
  <c r="B1859" i="8"/>
  <c r="A1859" i="8"/>
  <c r="M1858" i="8"/>
  <c r="L1858" i="8"/>
  <c r="K1858" i="8"/>
  <c r="J1858" i="8"/>
  <c r="I1858" i="8"/>
  <c r="H1858" i="8"/>
  <c r="G1858" i="8"/>
  <c r="F1858" i="8"/>
  <c r="E1858" i="8"/>
  <c r="D1858" i="8"/>
  <c r="C1858" i="8"/>
  <c r="B1858" i="8"/>
  <c r="A1858" i="8"/>
  <c r="M1857" i="8"/>
  <c r="L1857" i="8"/>
  <c r="K1857" i="8"/>
  <c r="J1857" i="8"/>
  <c r="I1857" i="8"/>
  <c r="H1857" i="8"/>
  <c r="G1857" i="8"/>
  <c r="F1857" i="8"/>
  <c r="E1857" i="8"/>
  <c r="D1857" i="8"/>
  <c r="C1857" i="8"/>
  <c r="B1857" i="8"/>
  <c r="A1857" i="8"/>
  <c r="M1856" i="8"/>
  <c r="K1856" i="8"/>
  <c r="J1856" i="8"/>
  <c r="I1856" i="8"/>
  <c r="H1856" i="8"/>
  <c r="G1856" i="8"/>
  <c r="L1856" i="8" s="1"/>
  <c r="F1856" i="8"/>
  <c r="E1856" i="8"/>
  <c r="D1856" i="8"/>
  <c r="C1856" i="8"/>
  <c r="B1856" i="8"/>
  <c r="A1856" i="8"/>
  <c r="M1855" i="8"/>
  <c r="K1855" i="8"/>
  <c r="J1855" i="8"/>
  <c r="I1855" i="8"/>
  <c r="H1855" i="8"/>
  <c r="G1855" i="8"/>
  <c r="L1855" i="8" s="1"/>
  <c r="F1855" i="8"/>
  <c r="E1855" i="8"/>
  <c r="D1855" i="8"/>
  <c r="C1855" i="8"/>
  <c r="B1855" i="8"/>
  <c r="A1855" i="8"/>
  <c r="M1854" i="8"/>
  <c r="L1854" i="8"/>
  <c r="K1854" i="8"/>
  <c r="J1854" i="8"/>
  <c r="I1854" i="8"/>
  <c r="H1854" i="8"/>
  <c r="G1854" i="8"/>
  <c r="F1854" i="8"/>
  <c r="E1854" i="8"/>
  <c r="D1854" i="8"/>
  <c r="C1854" i="8"/>
  <c r="B1854" i="8"/>
  <c r="A1854" i="8"/>
  <c r="M1853" i="8"/>
  <c r="L1853" i="8"/>
  <c r="K1853" i="8"/>
  <c r="J1853" i="8"/>
  <c r="I1853" i="8"/>
  <c r="H1853" i="8"/>
  <c r="G1853" i="8"/>
  <c r="F1853" i="8"/>
  <c r="E1853" i="8"/>
  <c r="D1853" i="8"/>
  <c r="C1853" i="8"/>
  <c r="B1853" i="8"/>
  <c r="A1853" i="8"/>
  <c r="M1852" i="8"/>
  <c r="K1852" i="8"/>
  <c r="J1852" i="8"/>
  <c r="I1852" i="8"/>
  <c r="H1852" i="8"/>
  <c r="G1852" i="8"/>
  <c r="L1852" i="8" s="1"/>
  <c r="F1852" i="8"/>
  <c r="E1852" i="8"/>
  <c r="D1852" i="8"/>
  <c r="C1852" i="8"/>
  <c r="B1852" i="8"/>
  <c r="A1852" i="8"/>
  <c r="M1851" i="8"/>
  <c r="K1851" i="8"/>
  <c r="J1851" i="8"/>
  <c r="I1851" i="8"/>
  <c r="H1851" i="8"/>
  <c r="G1851" i="8"/>
  <c r="L1851" i="8" s="1"/>
  <c r="F1851" i="8"/>
  <c r="E1851" i="8"/>
  <c r="D1851" i="8"/>
  <c r="C1851" i="8"/>
  <c r="B1851" i="8"/>
  <c r="A1851" i="8"/>
  <c r="M1850" i="8"/>
  <c r="L1850" i="8"/>
  <c r="K1850" i="8"/>
  <c r="J1850" i="8"/>
  <c r="I1850" i="8"/>
  <c r="H1850" i="8"/>
  <c r="G1850" i="8"/>
  <c r="F1850" i="8"/>
  <c r="E1850" i="8"/>
  <c r="D1850" i="8"/>
  <c r="C1850" i="8"/>
  <c r="B1850" i="8"/>
  <c r="A1850" i="8"/>
  <c r="M1849" i="8"/>
  <c r="L1849" i="8"/>
  <c r="K1849" i="8"/>
  <c r="J1849" i="8"/>
  <c r="I1849" i="8"/>
  <c r="H1849" i="8"/>
  <c r="G1849" i="8"/>
  <c r="F1849" i="8"/>
  <c r="E1849" i="8"/>
  <c r="D1849" i="8"/>
  <c r="C1849" i="8"/>
  <c r="B1849" i="8"/>
  <c r="A1849" i="8"/>
  <c r="M1848" i="8"/>
  <c r="K1848" i="8"/>
  <c r="J1848" i="8"/>
  <c r="I1848" i="8"/>
  <c r="H1848" i="8"/>
  <c r="G1848" i="8"/>
  <c r="L1848" i="8" s="1"/>
  <c r="F1848" i="8"/>
  <c r="E1848" i="8"/>
  <c r="D1848" i="8"/>
  <c r="C1848" i="8"/>
  <c r="B1848" i="8"/>
  <c r="A1848" i="8"/>
  <c r="M1847" i="8"/>
  <c r="K1847" i="8"/>
  <c r="J1847" i="8"/>
  <c r="I1847" i="8"/>
  <c r="H1847" i="8"/>
  <c r="G1847" i="8"/>
  <c r="L1847" i="8" s="1"/>
  <c r="F1847" i="8"/>
  <c r="E1847" i="8"/>
  <c r="D1847" i="8"/>
  <c r="C1847" i="8"/>
  <c r="B1847" i="8"/>
  <c r="A1847" i="8"/>
  <c r="M1846" i="8"/>
  <c r="L1846" i="8"/>
  <c r="K1846" i="8"/>
  <c r="J1846" i="8"/>
  <c r="I1846" i="8"/>
  <c r="H1846" i="8"/>
  <c r="G1846" i="8"/>
  <c r="F1846" i="8"/>
  <c r="E1846" i="8"/>
  <c r="D1846" i="8"/>
  <c r="C1846" i="8"/>
  <c r="B1846" i="8"/>
  <c r="A1846" i="8"/>
  <c r="M1845" i="8"/>
  <c r="L1845" i="8"/>
  <c r="K1845" i="8"/>
  <c r="J1845" i="8"/>
  <c r="I1845" i="8"/>
  <c r="H1845" i="8"/>
  <c r="G1845" i="8"/>
  <c r="F1845" i="8"/>
  <c r="E1845" i="8"/>
  <c r="D1845" i="8"/>
  <c r="C1845" i="8"/>
  <c r="B1845" i="8"/>
  <c r="A1845" i="8"/>
  <c r="M1844" i="8"/>
  <c r="K1844" i="8"/>
  <c r="J1844" i="8"/>
  <c r="I1844" i="8"/>
  <c r="H1844" i="8"/>
  <c r="G1844" i="8"/>
  <c r="L1844" i="8" s="1"/>
  <c r="F1844" i="8"/>
  <c r="E1844" i="8"/>
  <c r="D1844" i="8"/>
  <c r="C1844" i="8"/>
  <c r="B1844" i="8"/>
  <c r="A1844" i="8"/>
  <c r="M1843" i="8"/>
  <c r="K1843" i="8"/>
  <c r="J1843" i="8"/>
  <c r="I1843" i="8"/>
  <c r="H1843" i="8"/>
  <c r="G1843" i="8"/>
  <c r="L1843" i="8" s="1"/>
  <c r="F1843" i="8"/>
  <c r="E1843" i="8"/>
  <c r="D1843" i="8"/>
  <c r="C1843" i="8"/>
  <c r="B1843" i="8"/>
  <c r="A1843" i="8"/>
  <c r="M1842" i="8"/>
  <c r="L1842" i="8"/>
  <c r="K1842" i="8"/>
  <c r="J1842" i="8"/>
  <c r="I1842" i="8"/>
  <c r="H1842" i="8"/>
  <c r="G1842" i="8"/>
  <c r="F1842" i="8"/>
  <c r="E1842" i="8"/>
  <c r="D1842" i="8"/>
  <c r="C1842" i="8"/>
  <c r="B1842" i="8"/>
  <c r="A1842" i="8"/>
  <c r="M1841" i="8"/>
  <c r="L1841" i="8"/>
  <c r="K1841" i="8"/>
  <c r="J1841" i="8"/>
  <c r="I1841" i="8"/>
  <c r="H1841" i="8"/>
  <c r="G1841" i="8"/>
  <c r="F1841" i="8"/>
  <c r="E1841" i="8"/>
  <c r="D1841" i="8"/>
  <c r="C1841" i="8"/>
  <c r="B1841" i="8"/>
  <c r="A1841" i="8"/>
  <c r="M1840" i="8"/>
  <c r="K1840" i="8"/>
  <c r="J1840" i="8"/>
  <c r="I1840" i="8"/>
  <c r="H1840" i="8"/>
  <c r="G1840" i="8"/>
  <c r="L1840" i="8" s="1"/>
  <c r="F1840" i="8"/>
  <c r="E1840" i="8"/>
  <c r="D1840" i="8"/>
  <c r="C1840" i="8"/>
  <c r="B1840" i="8"/>
  <c r="A1840" i="8"/>
  <c r="M1839" i="8"/>
  <c r="K1839" i="8"/>
  <c r="J1839" i="8"/>
  <c r="I1839" i="8"/>
  <c r="H1839" i="8"/>
  <c r="G1839" i="8"/>
  <c r="L1839" i="8" s="1"/>
  <c r="F1839" i="8"/>
  <c r="E1839" i="8"/>
  <c r="D1839" i="8"/>
  <c r="C1839" i="8"/>
  <c r="B1839" i="8"/>
  <c r="A1839" i="8"/>
  <c r="M1838" i="8"/>
  <c r="L1838" i="8"/>
  <c r="K1838" i="8"/>
  <c r="J1838" i="8"/>
  <c r="I1838" i="8"/>
  <c r="H1838" i="8"/>
  <c r="G1838" i="8"/>
  <c r="F1838" i="8"/>
  <c r="E1838" i="8"/>
  <c r="D1838" i="8"/>
  <c r="C1838" i="8"/>
  <c r="B1838" i="8"/>
  <c r="A1838" i="8"/>
  <c r="M1837" i="8"/>
  <c r="L1837" i="8"/>
  <c r="K1837" i="8"/>
  <c r="J1837" i="8"/>
  <c r="I1837" i="8"/>
  <c r="H1837" i="8"/>
  <c r="G1837" i="8"/>
  <c r="F1837" i="8"/>
  <c r="E1837" i="8"/>
  <c r="D1837" i="8"/>
  <c r="C1837" i="8"/>
  <c r="B1837" i="8"/>
  <c r="A1837" i="8"/>
  <c r="M1836" i="8"/>
  <c r="K1836" i="8"/>
  <c r="J1836" i="8"/>
  <c r="I1836" i="8"/>
  <c r="H1836" i="8"/>
  <c r="G1836" i="8"/>
  <c r="L1836" i="8" s="1"/>
  <c r="F1836" i="8"/>
  <c r="E1836" i="8"/>
  <c r="D1836" i="8"/>
  <c r="C1836" i="8"/>
  <c r="B1836" i="8"/>
  <c r="A1836" i="8"/>
  <c r="M1835" i="8"/>
  <c r="K1835" i="8"/>
  <c r="J1835" i="8"/>
  <c r="I1835" i="8"/>
  <c r="H1835" i="8"/>
  <c r="G1835" i="8"/>
  <c r="L1835" i="8" s="1"/>
  <c r="F1835" i="8"/>
  <c r="E1835" i="8"/>
  <c r="D1835" i="8"/>
  <c r="C1835" i="8"/>
  <c r="B1835" i="8"/>
  <c r="A1835" i="8"/>
  <c r="M1834" i="8"/>
  <c r="L1834" i="8"/>
  <c r="K1834" i="8"/>
  <c r="J1834" i="8"/>
  <c r="I1834" i="8"/>
  <c r="H1834" i="8"/>
  <c r="G1834" i="8"/>
  <c r="F1834" i="8"/>
  <c r="E1834" i="8"/>
  <c r="D1834" i="8"/>
  <c r="C1834" i="8"/>
  <c r="B1834" i="8"/>
  <c r="A1834" i="8"/>
  <c r="M1833" i="8"/>
  <c r="L1833" i="8"/>
  <c r="K1833" i="8"/>
  <c r="J1833" i="8"/>
  <c r="I1833" i="8"/>
  <c r="H1833" i="8"/>
  <c r="G1833" i="8"/>
  <c r="F1833" i="8"/>
  <c r="E1833" i="8"/>
  <c r="D1833" i="8"/>
  <c r="C1833" i="8"/>
  <c r="B1833" i="8"/>
  <c r="A1833" i="8"/>
  <c r="M1832" i="8"/>
  <c r="K1832" i="8"/>
  <c r="J1832" i="8"/>
  <c r="I1832" i="8"/>
  <c r="H1832" i="8"/>
  <c r="G1832" i="8"/>
  <c r="L1832" i="8" s="1"/>
  <c r="F1832" i="8"/>
  <c r="E1832" i="8"/>
  <c r="D1832" i="8"/>
  <c r="C1832" i="8"/>
  <c r="B1832" i="8"/>
  <c r="A1832" i="8"/>
  <c r="M1831" i="8"/>
  <c r="K1831" i="8"/>
  <c r="J1831" i="8"/>
  <c r="I1831" i="8"/>
  <c r="H1831" i="8"/>
  <c r="G1831" i="8"/>
  <c r="L1831" i="8" s="1"/>
  <c r="F1831" i="8"/>
  <c r="E1831" i="8"/>
  <c r="D1831" i="8"/>
  <c r="C1831" i="8"/>
  <c r="B1831" i="8"/>
  <c r="A1831" i="8"/>
  <c r="M1830" i="8"/>
  <c r="L1830" i="8"/>
  <c r="K1830" i="8"/>
  <c r="J1830" i="8"/>
  <c r="I1830" i="8"/>
  <c r="H1830" i="8"/>
  <c r="G1830" i="8"/>
  <c r="F1830" i="8"/>
  <c r="E1830" i="8"/>
  <c r="D1830" i="8"/>
  <c r="C1830" i="8"/>
  <c r="B1830" i="8"/>
  <c r="A1830" i="8"/>
  <c r="M1829" i="8"/>
  <c r="L1829" i="8"/>
  <c r="K1829" i="8"/>
  <c r="J1829" i="8"/>
  <c r="I1829" i="8"/>
  <c r="H1829" i="8"/>
  <c r="G1829" i="8"/>
  <c r="F1829" i="8"/>
  <c r="E1829" i="8"/>
  <c r="D1829" i="8"/>
  <c r="C1829" i="8"/>
  <c r="B1829" i="8"/>
  <c r="A1829" i="8"/>
  <c r="M1828" i="8"/>
  <c r="L1828" i="8"/>
  <c r="K1828" i="8"/>
  <c r="J1828" i="8"/>
  <c r="I1828" i="8"/>
  <c r="H1828" i="8"/>
  <c r="G1828" i="8"/>
  <c r="F1828" i="8"/>
  <c r="E1828" i="8"/>
  <c r="D1828" i="8"/>
  <c r="C1828" i="8"/>
  <c r="B1828" i="8"/>
  <c r="A1828" i="8"/>
  <c r="M1827" i="8"/>
  <c r="K1827" i="8"/>
  <c r="J1827" i="8"/>
  <c r="I1827" i="8"/>
  <c r="H1827" i="8"/>
  <c r="G1827" i="8"/>
  <c r="L1827" i="8" s="1"/>
  <c r="F1827" i="8"/>
  <c r="E1827" i="8"/>
  <c r="D1827" i="8"/>
  <c r="C1827" i="8"/>
  <c r="B1827" i="8"/>
  <c r="A1827" i="8"/>
  <c r="M1826" i="8"/>
  <c r="L1826" i="8"/>
  <c r="K1826" i="8"/>
  <c r="J1826" i="8"/>
  <c r="I1826" i="8"/>
  <c r="H1826" i="8"/>
  <c r="G1826" i="8"/>
  <c r="F1826" i="8"/>
  <c r="E1826" i="8"/>
  <c r="D1826" i="8"/>
  <c r="C1826" i="8"/>
  <c r="B1826" i="8"/>
  <c r="A1826" i="8"/>
  <c r="M1825" i="8"/>
  <c r="L1825" i="8"/>
  <c r="K1825" i="8"/>
  <c r="J1825" i="8"/>
  <c r="I1825" i="8"/>
  <c r="H1825" i="8"/>
  <c r="G1825" i="8"/>
  <c r="F1825" i="8"/>
  <c r="E1825" i="8"/>
  <c r="D1825" i="8"/>
  <c r="C1825" i="8"/>
  <c r="B1825" i="8"/>
  <c r="A1825" i="8"/>
  <c r="M1824" i="8"/>
  <c r="K1824" i="8"/>
  <c r="J1824" i="8"/>
  <c r="I1824" i="8"/>
  <c r="H1824" i="8"/>
  <c r="G1824" i="8"/>
  <c r="L1824" i="8" s="1"/>
  <c r="F1824" i="8"/>
  <c r="E1824" i="8"/>
  <c r="D1824" i="8"/>
  <c r="C1824" i="8"/>
  <c r="B1824" i="8"/>
  <c r="A1824" i="8"/>
  <c r="M1823" i="8"/>
  <c r="K1823" i="8"/>
  <c r="J1823" i="8"/>
  <c r="I1823" i="8"/>
  <c r="H1823" i="8"/>
  <c r="G1823" i="8"/>
  <c r="L1823" i="8" s="1"/>
  <c r="F1823" i="8"/>
  <c r="E1823" i="8"/>
  <c r="D1823" i="8"/>
  <c r="C1823" i="8"/>
  <c r="B1823" i="8"/>
  <c r="A1823" i="8"/>
  <c r="M1822" i="8"/>
  <c r="L1822" i="8"/>
  <c r="K1822" i="8"/>
  <c r="J1822" i="8"/>
  <c r="I1822" i="8"/>
  <c r="H1822" i="8"/>
  <c r="G1822" i="8"/>
  <c r="F1822" i="8"/>
  <c r="E1822" i="8"/>
  <c r="D1822" i="8"/>
  <c r="C1822" i="8"/>
  <c r="B1822" i="8"/>
  <c r="A1822" i="8"/>
  <c r="M1821" i="8"/>
  <c r="L1821" i="8"/>
  <c r="K1821" i="8"/>
  <c r="J1821" i="8"/>
  <c r="I1821" i="8"/>
  <c r="H1821" i="8"/>
  <c r="G1821" i="8"/>
  <c r="F1821" i="8"/>
  <c r="E1821" i="8"/>
  <c r="D1821" i="8"/>
  <c r="C1821" i="8"/>
  <c r="B1821" i="8"/>
  <c r="A1821" i="8"/>
  <c r="M1820" i="8"/>
  <c r="L1820" i="8"/>
  <c r="K1820" i="8"/>
  <c r="J1820" i="8"/>
  <c r="I1820" i="8"/>
  <c r="H1820" i="8"/>
  <c r="G1820" i="8"/>
  <c r="F1820" i="8"/>
  <c r="E1820" i="8"/>
  <c r="D1820" i="8"/>
  <c r="C1820" i="8"/>
  <c r="B1820" i="8"/>
  <c r="A1820" i="8"/>
  <c r="M1819" i="8"/>
  <c r="K1819" i="8"/>
  <c r="J1819" i="8"/>
  <c r="I1819" i="8"/>
  <c r="H1819" i="8"/>
  <c r="G1819" i="8"/>
  <c r="L1819" i="8" s="1"/>
  <c r="F1819" i="8"/>
  <c r="E1819" i="8"/>
  <c r="D1819" i="8"/>
  <c r="C1819" i="8"/>
  <c r="B1819" i="8"/>
  <c r="A1819" i="8"/>
  <c r="M1818" i="8"/>
  <c r="L1818" i="8"/>
  <c r="K1818" i="8"/>
  <c r="J1818" i="8"/>
  <c r="I1818" i="8"/>
  <c r="H1818" i="8"/>
  <c r="G1818" i="8"/>
  <c r="F1818" i="8"/>
  <c r="E1818" i="8"/>
  <c r="D1818" i="8"/>
  <c r="C1818" i="8"/>
  <c r="B1818" i="8"/>
  <c r="A1818" i="8"/>
  <c r="M1817" i="8"/>
  <c r="L1817" i="8"/>
  <c r="K1817" i="8"/>
  <c r="J1817" i="8"/>
  <c r="I1817" i="8"/>
  <c r="H1817" i="8"/>
  <c r="G1817" i="8"/>
  <c r="F1817" i="8"/>
  <c r="E1817" i="8"/>
  <c r="D1817" i="8"/>
  <c r="C1817" i="8"/>
  <c r="B1817" i="8"/>
  <c r="A1817" i="8"/>
  <c r="M1816" i="8"/>
  <c r="K1816" i="8"/>
  <c r="J1816" i="8"/>
  <c r="I1816" i="8"/>
  <c r="H1816" i="8"/>
  <c r="G1816" i="8"/>
  <c r="L1816" i="8" s="1"/>
  <c r="F1816" i="8"/>
  <c r="E1816" i="8"/>
  <c r="D1816" i="8"/>
  <c r="C1816" i="8"/>
  <c r="B1816" i="8"/>
  <c r="A1816" i="8"/>
  <c r="M1815" i="8"/>
  <c r="K1815" i="8"/>
  <c r="J1815" i="8"/>
  <c r="I1815" i="8"/>
  <c r="H1815" i="8"/>
  <c r="G1815" i="8"/>
  <c r="L1815" i="8" s="1"/>
  <c r="F1815" i="8"/>
  <c r="E1815" i="8"/>
  <c r="D1815" i="8"/>
  <c r="C1815" i="8"/>
  <c r="B1815" i="8"/>
  <c r="A1815" i="8"/>
  <c r="M1814" i="8"/>
  <c r="L1814" i="8"/>
  <c r="K1814" i="8"/>
  <c r="J1814" i="8"/>
  <c r="I1814" i="8"/>
  <c r="H1814" i="8"/>
  <c r="G1814" i="8"/>
  <c r="F1814" i="8"/>
  <c r="E1814" i="8"/>
  <c r="D1814" i="8"/>
  <c r="C1814" i="8"/>
  <c r="B1814" i="8"/>
  <c r="A1814" i="8"/>
  <c r="M1813" i="8"/>
  <c r="L1813" i="8"/>
  <c r="K1813" i="8"/>
  <c r="J1813" i="8"/>
  <c r="I1813" i="8"/>
  <c r="H1813" i="8"/>
  <c r="G1813" i="8"/>
  <c r="F1813" i="8"/>
  <c r="E1813" i="8"/>
  <c r="D1813" i="8"/>
  <c r="C1813" i="8"/>
  <c r="B1813" i="8"/>
  <c r="A1813" i="8"/>
  <c r="M1812" i="8"/>
  <c r="L1812" i="8"/>
  <c r="K1812" i="8"/>
  <c r="J1812" i="8"/>
  <c r="I1812" i="8"/>
  <c r="H1812" i="8"/>
  <c r="G1812" i="8"/>
  <c r="F1812" i="8"/>
  <c r="E1812" i="8"/>
  <c r="D1812" i="8"/>
  <c r="C1812" i="8"/>
  <c r="B1812" i="8"/>
  <c r="A1812" i="8"/>
  <c r="M1811" i="8"/>
  <c r="K1811" i="8"/>
  <c r="J1811" i="8"/>
  <c r="I1811" i="8"/>
  <c r="H1811" i="8"/>
  <c r="G1811" i="8"/>
  <c r="L1811" i="8" s="1"/>
  <c r="F1811" i="8"/>
  <c r="E1811" i="8"/>
  <c r="D1811" i="8"/>
  <c r="C1811" i="8"/>
  <c r="B1811" i="8"/>
  <c r="A1811" i="8"/>
  <c r="M1810" i="8"/>
  <c r="L1810" i="8"/>
  <c r="K1810" i="8"/>
  <c r="J1810" i="8"/>
  <c r="I1810" i="8"/>
  <c r="H1810" i="8"/>
  <c r="G1810" i="8"/>
  <c r="F1810" i="8"/>
  <c r="E1810" i="8"/>
  <c r="D1810" i="8"/>
  <c r="C1810" i="8"/>
  <c r="B1810" i="8"/>
  <c r="A1810" i="8"/>
  <c r="M1809" i="8"/>
  <c r="L1809" i="8"/>
  <c r="K1809" i="8"/>
  <c r="J1809" i="8"/>
  <c r="I1809" i="8"/>
  <c r="H1809" i="8"/>
  <c r="G1809" i="8"/>
  <c r="F1809" i="8"/>
  <c r="E1809" i="8"/>
  <c r="D1809" i="8"/>
  <c r="C1809" i="8"/>
  <c r="B1809" i="8"/>
  <c r="A1809" i="8"/>
  <c r="M1808" i="8"/>
  <c r="K1808" i="8"/>
  <c r="J1808" i="8"/>
  <c r="I1808" i="8"/>
  <c r="H1808" i="8"/>
  <c r="G1808" i="8"/>
  <c r="L1808" i="8" s="1"/>
  <c r="F1808" i="8"/>
  <c r="E1808" i="8"/>
  <c r="D1808" i="8"/>
  <c r="C1808" i="8"/>
  <c r="B1808" i="8"/>
  <c r="A1808" i="8"/>
  <c r="M1807" i="8"/>
  <c r="K1807" i="8"/>
  <c r="J1807" i="8"/>
  <c r="I1807" i="8"/>
  <c r="H1807" i="8"/>
  <c r="G1807" i="8"/>
  <c r="L1807" i="8" s="1"/>
  <c r="F1807" i="8"/>
  <c r="E1807" i="8"/>
  <c r="D1807" i="8"/>
  <c r="C1807" i="8"/>
  <c r="B1807" i="8"/>
  <c r="A1807" i="8"/>
  <c r="M1806" i="8"/>
  <c r="L1806" i="8"/>
  <c r="K1806" i="8"/>
  <c r="J1806" i="8"/>
  <c r="I1806" i="8"/>
  <c r="H1806" i="8"/>
  <c r="G1806" i="8"/>
  <c r="F1806" i="8"/>
  <c r="E1806" i="8"/>
  <c r="D1806" i="8"/>
  <c r="C1806" i="8"/>
  <c r="B1806" i="8"/>
  <c r="A1806" i="8"/>
  <c r="M1805" i="8"/>
  <c r="L1805" i="8"/>
  <c r="K1805" i="8"/>
  <c r="J1805" i="8"/>
  <c r="I1805" i="8"/>
  <c r="H1805" i="8"/>
  <c r="G1805" i="8"/>
  <c r="F1805" i="8"/>
  <c r="E1805" i="8"/>
  <c r="D1805" i="8"/>
  <c r="C1805" i="8"/>
  <c r="B1805" i="8"/>
  <c r="A1805" i="8"/>
  <c r="M1804" i="8"/>
  <c r="L1804" i="8"/>
  <c r="K1804" i="8"/>
  <c r="J1804" i="8"/>
  <c r="I1804" i="8"/>
  <c r="H1804" i="8"/>
  <c r="G1804" i="8"/>
  <c r="F1804" i="8"/>
  <c r="E1804" i="8"/>
  <c r="D1804" i="8"/>
  <c r="C1804" i="8"/>
  <c r="B1804" i="8"/>
  <c r="A1804" i="8"/>
  <c r="M1803" i="8"/>
  <c r="K1803" i="8"/>
  <c r="J1803" i="8"/>
  <c r="I1803" i="8"/>
  <c r="H1803" i="8"/>
  <c r="G1803" i="8"/>
  <c r="L1803" i="8" s="1"/>
  <c r="F1803" i="8"/>
  <c r="E1803" i="8"/>
  <c r="D1803" i="8"/>
  <c r="C1803" i="8"/>
  <c r="B1803" i="8"/>
  <c r="A1803" i="8"/>
  <c r="M1802" i="8"/>
  <c r="L1802" i="8"/>
  <c r="K1802" i="8"/>
  <c r="J1802" i="8"/>
  <c r="I1802" i="8"/>
  <c r="H1802" i="8"/>
  <c r="G1802" i="8"/>
  <c r="F1802" i="8"/>
  <c r="E1802" i="8"/>
  <c r="D1802" i="8"/>
  <c r="C1802" i="8"/>
  <c r="B1802" i="8"/>
  <c r="A1802" i="8"/>
  <c r="M1801" i="8"/>
  <c r="L1801" i="8"/>
  <c r="K1801" i="8"/>
  <c r="J1801" i="8"/>
  <c r="I1801" i="8"/>
  <c r="H1801" i="8"/>
  <c r="G1801" i="8"/>
  <c r="F1801" i="8"/>
  <c r="E1801" i="8"/>
  <c r="D1801" i="8"/>
  <c r="C1801" i="8"/>
  <c r="B1801" i="8"/>
  <c r="A1801" i="8"/>
  <c r="M1800" i="8"/>
  <c r="K1800" i="8"/>
  <c r="J1800" i="8"/>
  <c r="I1800" i="8"/>
  <c r="H1800" i="8"/>
  <c r="G1800" i="8"/>
  <c r="L1800" i="8" s="1"/>
  <c r="F1800" i="8"/>
  <c r="E1800" i="8"/>
  <c r="D1800" i="8"/>
  <c r="C1800" i="8"/>
  <c r="B1800" i="8"/>
  <c r="A1800" i="8"/>
  <c r="M1799" i="8"/>
  <c r="K1799" i="8"/>
  <c r="J1799" i="8"/>
  <c r="I1799" i="8"/>
  <c r="H1799" i="8"/>
  <c r="G1799" i="8"/>
  <c r="L1799" i="8" s="1"/>
  <c r="F1799" i="8"/>
  <c r="E1799" i="8"/>
  <c r="D1799" i="8"/>
  <c r="C1799" i="8"/>
  <c r="B1799" i="8"/>
  <c r="A1799" i="8"/>
  <c r="M1798" i="8"/>
  <c r="L1798" i="8"/>
  <c r="K1798" i="8"/>
  <c r="J1798" i="8"/>
  <c r="I1798" i="8"/>
  <c r="H1798" i="8"/>
  <c r="G1798" i="8"/>
  <c r="F1798" i="8"/>
  <c r="E1798" i="8"/>
  <c r="D1798" i="8"/>
  <c r="C1798" i="8"/>
  <c r="B1798" i="8"/>
  <c r="A1798" i="8"/>
  <c r="M1797" i="8"/>
  <c r="L1797" i="8"/>
  <c r="K1797" i="8"/>
  <c r="J1797" i="8"/>
  <c r="I1797" i="8"/>
  <c r="H1797" i="8"/>
  <c r="G1797" i="8"/>
  <c r="F1797" i="8"/>
  <c r="E1797" i="8"/>
  <c r="D1797" i="8"/>
  <c r="C1797" i="8"/>
  <c r="B1797" i="8"/>
  <c r="A1797" i="8"/>
  <c r="M1796" i="8"/>
  <c r="L1796" i="8"/>
  <c r="K1796" i="8"/>
  <c r="J1796" i="8"/>
  <c r="I1796" i="8"/>
  <c r="H1796" i="8"/>
  <c r="G1796" i="8"/>
  <c r="F1796" i="8"/>
  <c r="E1796" i="8"/>
  <c r="D1796" i="8"/>
  <c r="C1796" i="8"/>
  <c r="B1796" i="8"/>
  <c r="A1796" i="8"/>
  <c r="M1795" i="8"/>
  <c r="K1795" i="8"/>
  <c r="J1795" i="8"/>
  <c r="I1795" i="8"/>
  <c r="H1795" i="8"/>
  <c r="G1795" i="8"/>
  <c r="L1795" i="8" s="1"/>
  <c r="F1795" i="8"/>
  <c r="E1795" i="8"/>
  <c r="D1795" i="8"/>
  <c r="C1795" i="8"/>
  <c r="B1795" i="8"/>
  <c r="A1795" i="8"/>
  <c r="M1794" i="8"/>
  <c r="L1794" i="8"/>
  <c r="K1794" i="8"/>
  <c r="J1794" i="8"/>
  <c r="I1794" i="8"/>
  <c r="H1794" i="8"/>
  <c r="G1794" i="8"/>
  <c r="F1794" i="8"/>
  <c r="E1794" i="8"/>
  <c r="D1794" i="8"/>
  <c r="C1794" i="8"/>
  <c r="B1794" i="8"/>
  <c r="A1794" i="8"/>
  <c r="M1793" i="8"/>
  <c r="L1793" i="8"/>
  <c r="K1793" i="8"/>
  <c r="J1793" i="8"/>
  <c r="I1793" i="8"/>
  <c r="H1793" i="8"/>
  <c r="G1793" i="8"/>
  <c r="F1793" i="8"/>
  <c r="E1793" i="8"/>
  <c r="D1793" i="8"/>
  <c r="C1793" i="8"/>
  <c r="B1793" i="8"/>
  <c r="A1793" i="8"/>
  <c r="M1792" i="8"/>
  <c r="K1792" i="8"/>
  <c r="J1792" i="8"/>
  <c r="I1792" i="8"/>
  <c r="H1792" i="8"/>
  <c r="G1792" i="8"/>
  <c r="L1792" i="8" s="1"/>
  <c r="F1792" i="8"/>
  <c r="E1792" i="8"/>
  <c r="D1792" i="8"/>
  <c r="C1792" i="8"/>
  <c r="B1792" i="8"/>
  <c r="A1792" i="8"/>
  <c r="M1791" i="8"/>
  <c r="K1791" i="8"/>
  <c r="J1791" i="8"/>
  <c r="I1791" i="8"/>
  <c r="H1791" i="8"/>
  <c r="G1791" i="8"/>
  <c r="L1791" i="8" s="1"/>
  <c r="F1791" i="8"/>
  <c r="E1791" i="8"/>
  <c r="D1791" i="8"/>
  <c r="C1791" i="8"/>
  <c r="B1791" i="8"/>
  <c r="A1791" i="8"/>
  <c r="M1790" i="8"/>
  <c r="L1790" i="8"/>
  <c r="K1790" i="8"/>
  <c r="J1790" i="8"/>
  <c r="I1790" i="8"/>
  <c r="H1790" i="8"/>
  <c r="G1790" i="8"/>
  <c r="F1790" i="8"/>
  <c r="E1790" i="8"/>
  <c r="D1790" i="8"/>
  <c r="C1790" i="8"/>
  <c r="B1790" i="8"/>
  <c r="A1790" i="8"/>
  <c r="M1789" i="8"/>
  <c r="L1789" i="8"/>
  <c r="K1789" i="8"/>
  <c r="J1789" i="8"/>
  <c r="I1789" i="8"/>
  <c r="H1789" i="8"/>
  <c r="G1789" i="8"/>
  <c r="F1789" i="8"/>
  <c r="E1789" i="8"/>
  <c r="D1789" i="8"/>
  <c r="C1789" i="8"/>
  <c r="B1789" i="8"/>
  <c r="A1789" i="8"/>
  <c r="M1788" i="8"/>
  <c r="L1788" i="8"/>
  <c r="K1788" i="8"/>
  <c r="J1788" i="8"/>
  <c r="I1788" i="8"/>
  <c r="H1788" i="8"/>
  <c r="G1788" i="8"/>
  <c r="F1788" i="8"/>
  <c r="E1788" i="8"/>
  <c r="D1788" i="8"/>
  <c r="C1788" i="8"/>
  <c r="B1788" i="8"/>
  <c r="A1788" i="8"/>
  <c r="M1787" i="8"/>
  <c r="K1787" i="8"/>
  <c r="J1787" i="8"/>
  <c r="I1787" i="8"/>
  <c r="H1787" i="8"/>
  <c r="G1787" i="8"/>
  <c r="L1787" i="8" s="1"/>
  <c r="F1787" i="8"/>
  <c r="E1787" i="8"/>
  <c r="D1787" i="8"/>
  <c r="C1787" i="8"/>
  <c r="B1787" i="8"/>
  <c r="A1787" i="8"/>
  <c r="M1786" i="8"/>
  <c r="L1786" i="8"/>
  <c r="K1786" i="8"/>
  <c r="J1786" i="8"/>
  <c r="I1786" i="8"/>
  <c r="H1786" i="8"/>
  <c r="G1786" i="8"/>
  <c r="F1786" i="8"/>
  <c r="E1786" i="8"/>
  <c r="D1786" i="8"/>
  <c r="C1786" i="8"/>
  <c r="B1786" i="8"/>
  <c r="A1786" i="8"/>
  <c r="M1785" i="8"/>
  <c r="L1785" i="8"/>
  <c r="K1785" i="8"/>
  <c r="J1785" i="8"/>
  <c r="I1785" i="8"/>
  <c r="H1785" i="8"/>
  <c r="G1785" i="8"/>
  <c r="F1785" i="8"/>
  <c r="E1785" i="8"/>
  <c r="D1785" i="8"/>
  <c r="C1785" i="8"/>
  <c r="B1785" i="8"/>
  <c r="A1785" i="8"/>
  <c r="M1784" i="8"/>
  <c r="K1784" i="8"/>
  <c r="J1784" i="8"/>
  <c r="I1784" i="8"/>
  <c r="H1784" i="8"/>
  <c r="G1784" i="8"/>
  <c r="L1784" i="8" s="1"/>
  <c r="F1784" i="8"/>
  <c r="E1784" i="8"/>
  <c r="D1784" i="8"/>
  <c r="C1784" i="8"/>
  <c r="B1784" i="8"/>
  <c r="A1784" i="8"/>
  <c r="M1783" i="8"/>
  <c r="K1783" i="8"/>
  <c r="J1783" i="8"/>
  <c r="I1783" i="8"/>
  <c r="H1783" i="8"/>
  <c r="G1783" i="8"/>
  <c r="L1783" i="8" s="1"/>
  <c r="F1783" i="8"/>
  <c r="E1783" i="8"/>
  <c r="D1783" i="8"/>
  <c r="C1783" i="8"/>
  <c r="B1783" i="8"/>
  <c r="A1783" i="8"/>
  <c r="M1782" i="8"/>
  <c r="L1782" i="8"/>
  <c r="K1782" i="8"/>
  <c r="J1782" i="8"/>
  <c r="I1782" i="8"/>
  <c r="H1782" i="8"/>
  <c r="G1782" i="8"/>
  <c r="F1782" i="8"/>
  <c r="E1782" i="8"/>
  <c r="D1782" i="8"/>
  <c r="C1782" i="8"/>
  <c r="B1782" i="8"/>
  <c r="A1782" i="8"/>
  <c r="M1781" i="8"/>
  <c r="L1781" i="8"/>
  <c r="K1781" i="8"/>
  <c r="J1781" i="8"/>
  <c r="I1781" i="8"/>
  <c r="H1781" i="8"/>
  <c r="G1781" i="8"/>
  <c r="F1781" i="8"/>
  <c r="E1781" i="8"/>
  <c r="D1781" i="8"/>
  <c r="C1781" i="8"/>
  <c r="B1781" i="8"/>
  <c r="A1781" i="8"/>
  <c r="M1780" i="8"/>
  <c r="L1780" i="8"/>
  <c r="K1780" i="8"/>
  <c r="J1780" i="8"/>
  <c r="I1780" i="8"/>
  <c r="H1780" i="8"/>
  <c r="G1780" i="8"/>
  <c r="F1780" i="8"/>
  <c r="E1780" i="8"/>
  <c r="D1780" i="8"/>
  <c r="C1780" i="8"/>
  <c r="B1780" i="8"/>
  <c r="A1780" i="8"/>
  <c r="M1779" i="8"/>
  <c r="K1779" i="8"/>
  <c r="J1779" i="8"/>
  <c r="I1779" i="8"/>
  <c r="H1779" i="8"/>
  <c r="G1779" i="8"/>
  <c r="L1779" i="8" s="1"/>
  <c r="F1779" i="8"/>
  <c r="E1779" i="8"/>
  <c r="D1779" i="8"/>
  <c r="C1779" i="8"/>
  <c r="B1779" i="8"/>
  <c r="A1779" i="8"/>
  <c r="M1778" i="8"/>
  <c r="L1778" i="8"/>
  <c r="K1778" i="8"/>
  <c r="J1778" i="8"/>
  <c r="I1778" i="8"/>
  <c r="H1778" i="8"/>
  <c r="G1778" i="8"/>
  <c r="F1778" i="8"/>
  <c r="E1778" i="8"/>
  <c r="D1778" i="8"/>
  <c r="C1778" i="8"/>
  <c r="B1778" i="8"/>
  <c r="A1778" i="8"/>
  <c r="M1777" i="8"/>
  <c r="L1777" i="8"/>
  <c r="K1777" i="8"/>
  <c r="J1777" i="8"/>
  <c r="I1777" i="8"/>
  <c r="H1777" i="8"/>
  <c r="G1777" i="8"/>
  <c r="F1777" i="8"/>
  <c r="E1777" i="8"/>
  <c r="D1777" i="8"/>
  <c r="C1777" i="8"/>
  <c r="B1777" i="8"/>
  <c r="A1777" i="8"/>
  <c r="M1776" i="8"/>
  <c r="K1776" i="8"/>
  <c r="J1776" i="8"/>
  <c r="I1776" i="8"/>
  <c r="H1776" i="8"/>
  <c r="G1776" i="8"/>
  <c r="L1776" i="8" s="1"/>
  <c r="F1776" i="8"/>
  <c r="E1776" i="8"/>
  <c r="D1776" i="8"/>
  <c r="C1776" i="8"/>
  <c r="B1776" i="8"/>
  <c r="A1776" i="8"/>
  <c r="M1775" i="8"/>
  <c r="K1775" i="8"/>
  <c r="J1775" i="8"/>
  <c r="I1775" i="8"/>
  <c r="H1775" i="8"/>
  <c r="G1775" i="8"/>
  <c r="L1775" i="8" s="1"/>
  <c r="F1775" i="8"/>
  <c r="E1775" i="8"/>
  <c r="D1775" i="8"/>
  <c r="C1775" i="8"/>
  <c r="B1775" i="8"/>
  <c r="A1775" i="8"/>
  <c r="M1774" i="8"/>
  <c r="L1774" i="8"/>
  <c r="K1774" i="8"/>
  <c r="J1774" i="8"/>
  <c r="I1774" i="8"/>
  <c r="H1774" i="8"/>
  <c r="G1774" i="8"/>
  <c r="F1774" i="8"/>
  <c r="E1774" i="8"/>
  <c r="D1774" i="8"/>
  <c r="C1774" i="8"/>
  <c r="B1774" i="8"/>
  <c r="A1774" i="8"/>
  <c r="M1773" i="8"/>
  <c r="L1773" i="8"/>
  <c r="K1773" i="8"/>
  <c r="J1773" i="8"/>
  <c r="I1773" i="8"/>
  <c r="H1773" i="8"/>
  <c r="G1773" i="8"/>
  <c r="F1773" i="8"/>
  <c r="E1773" i="8"/>
  <c r="D1773" i="8"/>
  <c r="C1773" i="8"/>
  <c r="B1773" i="8"/>
  <c r="A1773" i="8"/>
  <c r="M1772" i="8"/>
  <c r="L1772" i="8"/>
  <c r="K1772" i="8"/>
  <c r="J1772" i="8"/>
  <c r="I1772" i="8"/>
  <c r="H1772" i="8"/>
  <c r="G1772" i="8"/>
  <c r="F1772" i="8"/>
  <c r="E1772" i="8"/>
  <c r="D1772" i="8"/>
  <c r="C1772" i="8"/>
  <c r="B1772" i="8"/>
  <c r="A1772" i="8"/>
  <c r="M1771" i="8"/>
  <c r="K1771" i="8"/>
  <c r="J1771" i="8"/>
  <c r="I1771" i="8"/>
  <c r="H1771" i="8"/>
  <c r="G1771" i="8"/>
  <c r="L1771" i="8" s="1"/>
  <c r="F1771" i="8"/>
  <c r="E1771" i="8"/>
  <c r="D1771" i="8"/>
  <c r="C1771" i="8"/>
  <c r="B1771" i="8"/>
  <c r="A1771" i="8"/>
  <c r="M1770" i="8"/>
  <c r="L1770" i="8"/>
  <c r="K1770" i="8"/>
  <c r="J1770" i="8"/>
  <c r="I1770" i="8"/>
  <c r="H1770" i="8"/>
  <c r="G1770" i="8"/>
  <c r="F1770" i="8"/>
  <c r="E1770" i="8"/>
  <c r="D1770" i="8"/>
  <c r="C1770" i="8"/>
  <c r="B1770" i="8"/>
  <c r="A1770" i="8"/>
  <c r="M1769" i="8"/>
  <c r="L1769" i="8"/>
  <c r="K1769" i="8"/>
  <c r="J1769" i="8"/>
  <c r="I1769" i="8"/>
  <c r="H1769" i="8"/>
  <c r="G1769" i="8"/>
  <c r="F1769" i="8"/>
  <c r="E1769" i="8"/>
  <c r="D1769" i="8"/>
  <c r="C1769" i="8"/>
  <c r="B1769" i="8"/>
  <c r="A1769" i="8"/>
  <c r="M1768" i="8"/>
  <c r="K1768" i="8"/>
  <c r="J1768" i="8"/>
  <c r="I1768" i="8"/>
  <c r="H1768" i="8"/>
  <c r="G1768" i="8"/>
  <c r="L1768" i="8" s="1"/>
  <c r="F1768" i="8"/>
  <c r="E1768" i="8"/>
  <c r="D1768" i="8"/>
  <c r="C1768" i="8"/>
  <c r="B1768" i="8"/>
  <c r="A1768" i="8"/>
  <c r="M1767" i="8"/>
  <c r="K1767" i="8"/>
  <c r="J1767" i="8"/>
  <c r="I1767" i="8"/>
  <c r="H1767" i="8"/>
  <c r="G1767" i="8"/>
  <c r="L1767" i="8" s="1"/>
  <c r="F1767" i="8"/>
  <c r="E1767" i="8"/>
  <c r="D1767" i="8"/>
  <c r="C1767" i="8"/>
  <c r="B1767" i="8"/>
  <c r="A1767" i="8"/>
  <c r="M1766" i="8"/>
  <c r="L1766" i="8"/>
  <c r="K1766" i="8"/>
  <c r="J1766" i="8"/>
  <c r="I1766" i="8"/>
  <c r="H1766" i="8"/>
  <c r="G1766" i="8"/>
  <c r="F1766" i="8"/>
  <c r="E1766" i="8"/>
  <c r="D1766" i="8"/>
  <c r="C1766" i="8"/>
  <c r="B1766" i="8"/>
  <c r="A1766" i="8"/>
  <c r="M1765" i="8"/>
  <c r="L1765" i="8"/>
  <c r="K1765" i="8"/>
  <c r="J1765" i="8"/>
  <c r="I1765" i="8"/>
  <c r="H1765" i="8"/>
  <c r="G1765" i="8"/>
  <c r="F1765" i="8"/>
  <c r="E1765" i="8"/>
  <c r="D1765" i="8"/>
  <c r="C1765" i="8"/>
  <c r="B1765" i="8"/>
  <c r="A1765" i="8"/>
  <c r="M1764" i="8"/>
  <c r="L1764" i="8"/>
  <c r="K1764" i="8"/>
  <c r="J1764" i="8"/>
  <c r="I1764" i="8"/>
  <c r="H1764" i="8"/>
  <c r="G1764" i="8"/>
  <c r="F1764" i="8"/>
  <c r="E1764" i="8"/>
  <c r="D1764" i="8"/>
  <c r="C1764" i="8"/>
  <c r="B1764" i="8"/>
  <c r="A1764" i="8"/>
  <c r="M1763" i="8"/>
  <c r="K1763" i="8"/>
  <c r="J1763" i="8"/>
  <c r="I1763" i="8"/>
  <c r="H1763" i="8"/>
  <c r="G1763" i="8"/>
  <c r="L1763" i="8" s="1"/>
  <c r="F1763" i="8"/>
  <c r="E1763" i="8"/>
  <c r="D1763" i="8"/>
  <c r="C1763" i="8"/>
  <c r="B1763" i="8"/>
  <c r="A1763" i="8"/>
  <c r="M1762" i="8"/>
  <c r="L1762" i="8"/>
  <c r="K1762" i="8"/>
  <c r="J1762" i="8"/>
  <c r="I1762" i="8"/>
  <c r="H1762" i="8"/>
  <c r="G1762" i="8"/>
  <c r="F1762" i="8"/>
  <c r="E1762" i="8"/>
  <c r="D1762" i="8"/>
  <c r="C1762" i="8"/>
  <c r="B1762" i="8"/>
  <c r="A1762" i="8"/>
  <c r="M1761" i="8"/>
  <c r="L1761" i="8"/>
  <c r="K1761" i="8"/>
  <c r="J1761" i="8"/>
  <c r="I1761" i="8"/>
  <c r="H1761" i="8"/>
  <c r="G1761" i="8"/>
  <c r="F1761" i="8"/>
  <c r="E1761" i="8"/>
  <c r="D1761" i="8"/>
  <c r="C1761" i="8"/>
  <c r="B1761" i="8"/>
  <c r="A1761" i="8"/>
  <c r="M1760" i="8"/>
  <c r="K1760" i="8"/>
  <c r="J1760" i="8"/>
  <c r="I1760" i="8"/>
  <c r="H1760" i="8"/>
  <c r="G1760" i="8"/>
  <c r="L1760" i="8" s="1"/>
  <c r="F1760" i="8"/>
  <c r="E1760" i="8"/>
  <c r="D1760" i="8"/>
  <c r="C1760" i="8"/>
  <c r="B1760" i="8"/>
  <c r="A1760" i="8"/>
  <c r="M1759" i="8"/>
  <c r="K1759" i="8"/>
  <c r="J1759" i="8"/>
  <c r="I1759" i="8"/>
  <c r="H1759" i="8"/>
  <c r="G1759" i="8"/>
  <c r="L1759" i="8" s="1"/>
  <c r="F1759" i="8"/>
  <c r="E1759" i="8"/>
  <c r="D1759" i="8"/>
  <c r="C1759" i="8"/>
  <c r="B1759" i="8"/>
  <c r="A1759" i="8"/>
  <c r="M1758" i="8"/>
  <c r="L1758" i="8"/>
  <c r="K1758" i="8"/>
  <c r="J1758" i="8"/>
  <c r="I1758" i="8"/>
  <c r="H1758" i="8"/>
  <c r="G1758" i="8"/>
  <c r="F1758" i="8"/>
  <c r="E1758" i="8"/>
  <c r="D1758" i="8"/>
  <c r="C1758" i="8"/>
  <c r="B1758" i="8"/>
  <c r="A1758" i="8"/>
  <c r="M1757" i="8"/>
  <c r="L1757" i="8"/>
  <c r="K1757" i="8"/>
  <c r="J1757" i="8"/>
  <c r="I1757" i="8"/>
  <c r="H1757" i="8"/>
  <c r="G1757" i="8"/>
  <c r="F1757" i="8"/>
  <c r="E1757" i="8"/>
  <c r="D1757" i="8"/>
  <c r="C1757" i="8"/>
  <c r="B1757" i="8"/>
  <c r="A1757" i="8"/>
  <c r="M1756" i="8"/>
  <c r="L1756" i="8"/>
  <c r="K1756" i="8"/>
  <c r="J1756" i="8"/>
  <c r="I1756" i="8"/>
  <c r="H1756" i="8"/>
  <c r="G1756" i="8"/>
  <c r="F1756" i="8"/>
  <c r="E1756" i="8"/>
  <c r="D1756" i="8"/>
  <c r="C1756" i="8"/>
  <c r="B1756" i="8"/>
  <c r="A1756" i="8"/>
  <c r="M1755" i="8"/>
  <c r="K1755" i="8"/>
  <c r="J1755" i="8"/>
  <c r="I1755" i="8"/>
  <c r="H1755" i="8"/>
  <c r="G1755" i="8"/>
  <c r="L1755" i="8" s="1"/>
  <c r="F1755" i="8"/>
  <c r="E1755" i="8"/>
  <c r="D1755" i="8"/>
  <c r="C1755" i="8"/>
  <c r="B1755" i="8"/>
  <c r="A1755" i="8"/>
  <c r="M1754" i="8"/>
  <c r="L1754" i="8"/>
  <c r="K1754" i="8"/>
  <c r="J1754" i="8"/>
  <c r="I1754" i="8"/>
  <c r="H1754" i="8"/>
  <c r="G1754" i="8"/>
  <c r="F1754" i="8"/>
  <c r="E1754" i="8"/>
  <c r="D1754" i="8"/>
  <c r="C1754" i="8"/>
  <c r="B1754" i="8"/>
  <c r="A1754" i="8"/>
  <c r="M1753" i="8"/>
  <c r="K1753" i="8"/>
  <c r="J1753" i="8"/>
  <c r="I1753" i="8"/>
  <c r="H1753" i="8"/>
  <c r="G1753" i="8"/>
  <c r="L1753" i="8" s="1"/>
  <c r="F1753" i="8"/>
  <c r="E1753" i="8"/>
  <c r="D1753" i="8"/>
  <c r="C1753" i="8"/>
  <c r="B1753" i="8"/>
  <c r="A1753" i="8"/>
  <c r="M1752" i="8"/>
  <c r="K1752" i="8"/>
  <c r="J1752" i="8"/>
  <c r="I1752" i="8"/>
  <c r="H1752" i="8"/>
  <c r="G1752" i="8"/>
  <c r="L1752" i="8" s="1"/>
  <c r="F1752" i="8"/>
  <c r="E1752" i="8"/>
  <c r="D1752" i="8"/>
  <c r="C1752" i="8"/>
  <c r="B1752" i="8"/>
  <c r="A1752" i="8"/>
  <c r="M1751" i="8"/>
  <c r="K1751" i="8"/>
  <c r="J1751" i="8"/>
  <c r="I1751" i="8"/>
  <c r="H1751" i="8"/>
  <c r="G1751" i="8"/>
  <c r="L1751" i="8" s="1"/>
  <c r="F1751" i="8"/>
  <c r="E1751" i="8"/>
  <c r="D1751" i="8"/>
  <c r="C1751" i="8"/>
  <c r="B1751" i="8"/>
  <c r="A1751" i="8"/>
  <c r="M1750" i="8"/>
  <c r="L1750" i="8"/>
  <c r="K1750" i="8"/>
  <c r="J1750" i="8"/>
  <c r="I1750" i="8"/>
  <c r="H1750" i="8"/>
  <c r="G1750" i="8"/>
  <c r="F1750" i="8"/>
  <c r="E1750" i="8"/>
  <c r="D1750" i="8"/>
  <c r="C1750" i="8"/>
  <c r="B1750" i="8"/>
  <c r="A1750" i="8"/>
  <c r="M1749" i="8"/>
  <c r="L1749" i="8"/>
  <c r="K1749" i="8"/>
  <c r="J1749" i="8"/>
  <c r="I1749" i="8"/>
  <c r="H1749" i="8"/>
  <c r="G1749" i="8"/>
  <c r="F1749" i="8"/>
  <c r="E1749" i="8"/>
  <c r="D1749" i="8"/>
  <c r="C1749" i="8"/>
  <c r="B1749" i="8"/>
  <c r="A1749" i="8"/>
  <c r="M1748" i="8"/>
  <c r="L1748" i="8"/>
  <c r="K1748" i="8"/>
  <c r="J1748" i="8"/>
  <c r="I1748" i="8"/>
  <c r="H1748" i="8"/>
  <c r="G1748" i="8"/>
  <c r="F1748" i="8"/>
  <c r="E1748" i="8"/>
  <c r="D1748" i="8"/>
  <c r="C1748" i="8"/>
  <c r="B1748" i="8"/>
  <c r="A1748" i="8"/>
  <c r="M1747" i="8"/>
  <c r="K1747" i="8"/>
  <c r="J1747" i="8"/>
  <c r="I1747" i="8"/>
  <c r="H1747" i="8"/>
  <c r="G1747" i="8"/>
  <c r="L1747" i="8" s="1"/>
  <c r="F1747" i="8"/>
  <c r="E1747" i="8"/>
  <c r="D1747" i="8"/>
  <c r="C1747" i="8"/>
  <c r="B1747" i="8"/>
  <c r="A1747" i="8"/>
  <c r="M1746" i="8"/>
  <c r="L1746" i="8"/>
  <c r="K1746" i="8"/>
  <c r="J1746" i="8"/>
  <c r="I1746" i="8"/>
  <c r="H1746" i="8"/>
  <c r="G1746" i="8"/>
  <c r="F1746" i="8"/>
  <c r="E1746" i="8"/>
  <c r="D1746" i="8"/>
  <c r="C1746" i="8"/>
  <c r="B1746" i="8"/>
  <c r="A1746" i="8"/>
  <c r="M1745" i="8"/>
  <c r="K1745" i="8"/>
  <c r="J1745" i="8"/>
  <c r="I1745" i="8"/>
  <c r="H1745" i="8"/>
  <c r="G1745" i="8"/>
  <c r="L1745" i="8" s="1"/>
  <c r="F1745" i="8"/>
  <c r="E1745" i="8"/>
  <c r="D1745" i="8"/>
  <c r="C1745" i="8"/>
  <c r="B1745" i="8"/>
  <c r="A1745" i="8"/>
  <c r="M1744" i="8"/>
  <c r="K1744" i="8"/>
  <c r="J1744" i="8"/>
  <c r="I1744" i="8"/>
  <c r="H1744" i="8"/>
  <c r="G1744" i="8"/>
  <c r="L1744" i="8" s="1"/>
  <c r="F1744" i="8"/>
  <c r="E1744" i="8"/>
  <c r="D1744" i="8"/>
  <c r="C1744" i="8"/>
  <c r="B1744" i="8"/>
  <c r="A1744" i="8"/>
  <c r="M1743" i="8"/>
  <c r="K1743" i="8"/>
  <c r="J1743" i="8"/>
  <c r="I1743" i="8"/>
  <c r="H1743" i="8"/>
  <c r="G1743" i="8"/>
  <c r="L1743" i="8" s="1"/>
  <c r="F1743" i="8"/>
  <c r="E1743" i="8"/>
  <c r="D1743" i="8"/>
  <c r="C1743" i="8"/>
  <c r="B1743" i="8"/>
  <c r="A1743" i="8"/>
  <c r="M1742" i="8"/>
  <c r="L1742" i="8"/>
  <c r="K1742" i="8"/>
  <c r="J1742" i="8"/>
  <c r="I1742" i="8"/>
  <c r="H1742" i="8"/>
  <c r="G1742" i="8"/>
  <c r="F1742" i="8"/>
  <c r="E1742" i="8"/>
  <c r="D1742" i="8"/>
  <c r="C1742" i="8"/>
  <c r="B1742" i="8"/>
  <c r="A1742" i="8"/>
  <c r="M1741" i="8"/>
  <c r="L1741" i="8"/>
  <c r="K1741" i="8"/>
  <c r="J1741" i="8"/>
  <c r="I1741" i="8"/>
  <c r="H1741" i="8"/>
  <c r="G1741" i="8"/>
  <c r="F1741" i="8"/>
  <c r="E1741" i="8"/>
  <c r="D1741" i="8"/>
  <c r="C1741" i="8"/>
  <c r="B1741" i="8"/>
  <c r="A1741" i="8"/>
  <c r="M1740" i="8"/>
  <c r="K1740" i="8"/>
  <c r="J1740" i="8"/>
  <c r="I1740" i="8"/>
  <c r="H1740" i="8"/>
  <c r="G1740" i="8"/>
  <c r="L1740" i="8" s="1"/>
  <c r="F1740" i="8"/>
  <c r="E1740" i="8"/>
  <c r="D1740" i="8"/>
  <c r="C1740" i="8"/>
  <c r="B1740" i="8"/>
  <c r="A1740" i="8"/>
  <c r="M1739" i="8"/>
  <c r="K1739" i="8"/>
  <c r="J1739" i="8"/>
  <c r="I1739" i="8"/>
  <c r="H1739" i="8"/>
  <c r="G1739" i="8"/>
  <c r="L1739" i="8" s="1"/>
  <c r="F1739" i="8"/>
  <c r="E1739" i="8"/>
  <c r="D1739" i="8"/>
  <c r="C1739" i="8"/>
  <c r="B1739" i="8"/>
  <c r="A1739" i="8"/>
  <c r="M1738" i="8"/>
  <c r="L1738" i="8"/>
  <c r="K1738" i="8"/>
  <c r="J1738" i="8"/>
  <c r="I1738" i="8"/>
  <c r="H1738" i="8"/>
  <c r="G1738" i="8"/>
  <c r="F1738" i="8"/>
  <c r="E1738" i="8"/>
  <c r="D1738" i="8"/>
  <c r="C1738" i="8"/>
  <c r="B1738" i="8"/>
  <c r="A1738" i="8"/>
  <c r="M1737" i="8"/>
  <c r="K1737" i="8"/>
  <c r="J1737" i="8"/>
  <c r="I1737" i="8"/>
  <c r="H1737" i="8"/>
  <c r="G1737" i="8"/>
  <c r="L1737" i="8" s="1"/>
  <c r="F1737" i="8"/>
  <c r="E1737" i="8"/>
  <c r="D1737" i="8"/>
  <c r="C1737" i="8"/>
  <c r="B1737" i="8"/>
  <c r="A1737" i="8"/>
  <c r="M1736" i="8"/>
  <c r="K1736" i="8"/>
  <c r="J1736" i="8"/>
  <c r="I1736" i="8"/>
  <c r="H1736" i="8"/>
  <c r="G1736" i="8"/>
  <c r="L1736" i="8" s="1"/>
  <c r="F1736" i="8"/>
  <c r="E1736" i="8"/>
  <c r="D1736" i="8"/>
  <c r="C1736" i="8"/>
  <c r="B1736" i="8"/>
  <c r="A1736" i="8"/>
  <c r="M1735" i="8"/>
  <c r="K1735" i="8"/>
  <c r="J1735" i="8"/>
  <c r="I1735" i="8"/>
  <c r="H1735" i="8"/>
  <c r="G1735" i="8"/>
  <c r="L1735" i="8" s="1"/>
  <c r="F1735" i="8"/>
  <c r="E1735" i="8"/>
  <c r="D1735" i="8"/>
  <c r="C1735" i="8"/>
  <c r="B1735" i="8"/>
  <c r="A1735" i="8"/>
  <c r="M1734" i="8"/>
  <c r="L1734" i="8"/>
  <c r="K1734" i="8"/>
  <c r="J1734" i="8"/>
  <c r="I1734" i="8"/>
  <c r="H1734" i="8"/>
  <c r="G1734" i="8"/>
  <c r="F1734" i="8"/>
  <c r="E1734" i="8"/>
  <c r="D1734" i="8"/>
  <c r="C1734" i="8"/>
  <c r="B1734" i="8"/>
  <c r="A1734" i="8"/>
  <c r="M1733" i="8"/>
  <c r="L1733" i="8"/>
  <c r="K1733" i="8"/>
  <c r="J1733" i="8"/>
  <c r="I1733" i="8"/>
  <c r="H1733" i="8"/>
  <c r="G1733" i="8"/>
  <c r="F1733" i="8"/>
  <c r="E1733" i="8"/>
  <c r="D1733" i="8"/>
  <c r="C1733" i="8"/>
  <c r="B1733" i="8"/>
  <c r="A1733" i="8"/>
  <c r="M1732" i="8"/>
  <c r="K1732" i="8"/>
  <c r="J1732" i="8"/>
  <c r="I1732" i="8"/>
  <c r="H1732" i="8"/>
  <c r="G1732" i="8"/>
  <c r="L1732" i="8" s="1"/>
  <c r="F1732" i="8"/>
  <c r="E1732" i="8"/>
  <c r="D1732" i="8"/>
  <c r="C1732" i="8"/>
  <c r="B1732" i="8"/>
  <c r="A1732" i="8"/>
  <c r="M1731" i="8"/>
  <c r="K1731" i="8"/>
  <c r="J1731" i="8"/>
  <c r="I1731" i="8"/>
  <c r="H1731" i="8"/>
  <c r="G1731" i="8"/>
  <c r="L1731" i="8" s="1"/>
  <c r="F1731" i="8"/>
  <c r="E1731" i="8"/>
  <c r="D1731" i="8"/>
  <c r="C1731" i="8"/>
  <c r="B1731" i="8"/>
  <c r="A1731" i="8"/>
  <c r="M1730" i="8"/>
  <c r="L1730" i="8"/>
  <c r="K1730" i="8"/>
  <c r="J1730" i="8"/>
  <c r="I1730" i="8"/>
  <c r="H1730" i="8"/>
  <c r="G1730" i="8"/>
  <c r="F1730" i="8"/>
  <c r="E1730" i="8"/>
  <c r="D1730" i="8"/>
  <c r="C1730" i="8"/>
  <c r="B1730" i="8"/>
  <c r="A1730" i="8"/>
  <c r="M1729" i="8"/>
  <c r="K1729" i="8"/>
  <c r="J1729" i="8"/>
  <c r="I1729" i="8"/>
  <c r="H1729" i="8"/>
  <c r="G1729" i="8"/>
  <c r="L1729" i="8" s="1"/>
  <c r="F1729" i="8"/>
  <c r="E1729" i="8"/>
  <c r="D1729" i="8"/>
  <c r="C1729" i="8"/>
  <c r="B1729" i="8"/>
  <c r="A1729" i="8"/>
  <c r="M1728" i="8"/>
  <c r="K1728" i="8"/>
  <c r="J1728" i="8"/>
  <c r="I1728" i="8"/>
  <c r="H1728" i="8"/>
  <c r="G1728" i="8"/>
  <c r="L1728" i="8" s="1"/>
  <c r="F1728" i="8"/>
  <c r="E1728" i="8"/>
  <c r="D1728" i="8"/>
  <c r="C1728" i="8"/>
  <c r="B1728" i="8"/>
  <c r="A1728" i="8"/>
  <c r="M1727" i="8"/>
  <c r="K1727" i="8"/>
  <c r="J1727" i="8"/>
  <c r="I1727" i="8"/>
  <c r="H1727" i="8"/>
  <c r="G1727" i="8"/>
  <c r="L1727" i="8" s="1"/>
  <c r="F1727" i="8"/>
  <c r="E1727" i="8"/>
  <c r="D1727" i="8"/>
  <c r="C1727" i="8"/>
  <c r="B1727" i="8"/>
  <c r="A1727" i="8"/>
  <c r="M1726" i="8"/>
  <c r="L1726" i="8"/>
  <c r="K1726" i="8"/>
  <c r="J1726" i="8"/>
  <c r="I1726" i="8"/>
  <c r="H1726" i="8"/>
  <c r="G1726" i="8"/>
  <c r="F1726" i="8"/>
  <c r="E1726" i="8"/>
  <c r="D1726" i="8"/>
  <c r="C1726" i="8"/>
  <c r="B1726" i="8"/>
  <c r="A1726" i="8"/>
  <c r="M1725" i="8"/>
  <c r="L1725" i="8"/>
  <c r="K1725" i="8"/>
  <c r="J1725" i="8"/>
  <c r="I1725" i="8"/>
  <c r="H1725" i="8"/>
  <c r="G1725" i="8"/>
  <c r="F1725" i="8"/>
  <c r="E1725" i="8"/>
  <c r="D1725" i="8"/>
  <c r="C1725" i="8"/>
  <c r="B1725" i="8"/>
  <c r="A1725" i="8"/>
  <c r="M1724" i="8"/>
  <c r="L1724" i="8"/>
  <c r="K1724" i="8"/>
  <c r="J1724" i="8"/>
  <c r="I1724" i="8"/>
  <c r="H1724" i="8"/>
  <c r="G1724" i="8"/>
  <c r="F1724" i="8"/>
  <c r="E1724" i="8"/>
  <c r="D1724" i="8"/>
  <c r="C1724" i="8"/>
  <c r="B1724" i="8"/>
  <c r="A1724" i="8"/>
  <c r="M1723" i="8"/>
  <c r="K1723" i="8"/>
  <c r="J1723" i="8"/>
  <c r="I1723" i="8"/>
  <c r="H1723" i="8"/>
  <c r="G1723" i="8"/>
  <c r="L1723" i="8" s="1"/>
  <c r="F1723" i="8"/>
  <c r="E1723" i="8"/>
  <c r="D1723" i="8"/>
  <c r="C1723" i="8"/>
  <c r="B1723" i="8"/>
  <c r="A1723" i="8"/>
  <c r="M1722" i="8"/>
  <c r="L1722" i="8"/>
  <c r="K1722" i="8"/>
  <c r="J1722" i="8"/>
  <c r="I1722" i="8"/>
  <c r="H1722" i="8"/>
  <c r="G1722" i="8"/>
  <c r="F1722" i="8"/>
  <c r="E1722" i="8"/>
  <c r="D1722" i="8"/>
  <c r="C1722" i="8"/>
  <c r="B1722" i="8"/>
  <c r="A1722" i="8"/>
  <c r="M1721" i="8"/>
  <c r="K1721" i="8"/>
  <c r="J1721" i="8"/>
  <c r="I1721" i="8"/>
  <c r="H1721" i="8"/>
  <c r="G1721" i="8"/>
  <c r="L1721" i="8" s="1"/>
  <c r="F1721" i="8"/>
  <c r="E1721" i="8"/>
  <c r="D1721" i="8"/>
  <c r="C1721" i="8"/>
  <c r="B1721" i="8"/>
  <c r="A1721" i="8"/>
  <c r="M1720" i="8"/>
  <c r="K1720" i="8"/>
  <c r="J1720" i="8"/>
  <c r="I1720" i="8"/>
  <c r="H1720" i="8"/>
  <c r="G1720" i="8"/>
  <c r="L1720" i="8" s="1"/>
  <c r="F1720" i="8"/>
  <c r="E1720" i="8"/>
  <c r="D1720" i="8"/>
  <c r="C1720" i="8"/>
  <c r="B1720" i="8"/>
  <c r="A1720" i="8"/>
  <c r="M1719" i="8"/>
  <c r="K1719" i="8"/>
  <c r="J1719" i="8"/>
  <c r="I1719" i="8"/>
  <c r="H1719" i="8"/>
  <c r="G1719" i="8"/>
  <c r="L1719" i="8" s="1"/>
  <c r="F1719" i="8"/>
  <c r="E1719" i="8"/>
  <c r="D1719" i="8"/>
  <c r="C1719" i="8"/>
  <c r="B1719" i="8"/>
  <c r="A1719" i="8"/>
  <c r="M1718" i="8"/>
  <c r="L1718" i="8"/>
  <c r="K1718" i="8"/>
  <c r="J1718" i="8"/>
  <c r="I1718" i="8"/>
  <c r="H1718" i="8"/>
  <c r="G1718" i="8"/>
  <c r="F1718" i="8"/>
  <c r="E1718" i="8"/>
  <c r="D1718" i="8"/>
  <c r="C1718" i="8"/>
  <c r="B1718" i="8"/>
  <c r="A1718" i="8"/>
  <c r="M1717" i="8"/>
  <c r="L1717" i="8"/>
  <c r="K1717" i="8"/>
  <c r="J1717" i="8"/>
  <c r="I1717" i="8"/>
  <c r="H1717" i="8"/>
  <c r="G1717" i="8"/>
  <c r="F1717" i="8"/>
  <c r="E1717" i="8"/>
  <c r="D1717" i="8"/>
  <c r="C1717" i="8"/>
  <c r="B1717" i="8"/>
  <c r="A1717" i="8"/>
  <c r="M1716" i="8"/>
  <c r="L1716" i="8"/>
  <c r="K1716" i="8"/>
  <c r="J1716" i="8"/>
  <c r="I1716" i="8"/>
  <c r="H1716" i="8"/>
  <c r="G1716" i="8"/>
  <c r="F1716" i="8"/>
  <c r="E1716" i="8"/>
  <c r="D1716" i="8"/>
  <c r="C1716" i="8"/>
  <c r="B1716" i="8"/>
  <c r="A1716" i="8"/>
  <c r="M1715" i="8"/>
  <c r="K1715" i="8"/>
  <c r="J1715" i="8"/>
  <c r="I1715" i="8"/>
  <c r="H1715" i="8"/>
  <c r="G1715" i="8"/>
  <c r="L1715" i="8" s="1"/>
  <c r="F1715" i="8"/>
  <c r="E1715" i="8"/>
  <c r="D1715" i="8"/>
  <c r="C1715" i="8"/>
  <c r="B1715" i="8"/>
  <c r="A1715" i="8"/>
  <c r="M1714" i="8"/>
  <c r="L1714" i="8"/>
  <c r="K1714" i="8"/>
  <c r="J1714" i="8"/>
  <c r="I1714" i="8"/>
  <c r="H1714" i="8"/>
  <c r="G1714" i="8"/>
  <c r="F1714" i="8"/>
  <c r="E1714" i="8"/>
  <c r="D1714" i="8"/>
  <c r="C1714" i="8"/>
  <c r="B1714" i="8"/>
  <c r="A1714" i="8"/>
  <c r="M1713" i="8"/>
  <c r="K1713" i="8"/>
  <c r="J1713" i="8"/>
  <c r="I1713" i="8"/>
  <c r="H1713" i="8"/>
  <c r="G1713" i="8"/>
  <c r="L1713" i="8" s="1"/>
  <c r="F1713" i="8"/>
  <c r="E1713" i="8"/>
  <c r="D1713" i="8"/>
  <c r="C1713" i="8"/>
  <c r="B1713" i="8"/>
  <c r="A1713" i="8"/>
  <c r="M1712" i="8"/>
  <c r="K1712" i="8"/>
  <c r="J1712" i="8"/>
  <c r="I1712" i="8"/>
  <c r="H1712" i="8"/>
  <c r="G1712" i="8"/>
  <c r="L1712" i="8" s="1"/>
  <c r="F1712" i="8"/>
  <c r="E1712" i="8"/>
  <c r="D1712" i="8"/>
  <c r="C1712" i="8"/>
  <c r="B1712" i="8"/>
  <c r="A1712" i="8"/>
  <c r="M1711" i="8"/>
  <c r="K1711" i="8"/>
  <c r="J1711" i="8"/>
  <c r="I1711" i="8"/>
  <c r="H1711" i="8"/>
  <c r="G1711" i="8"/>
  <c r="L1711" i="8" s="1"/>
  <c r="F1711" i="8"/>
  <c r="E1711" i="8"/>
  <c r="D1711" i="8"/>
  <c r="C1711" i="8"/>
  <c r="B1711" i="8"/>
  <c r="A1711" i="8"/>
  <c r="M1710" i="8"/>
  <c r="L1710" i="8"/>
  <c r="K1710" i="8"/>
  <c r="J1710" i="8"/>
  <c r="I1710" i="8"/>
  <c r="H1710" i="8"/>
  <c r="G1710" i="8"/>
  <c r="F1710" i="8"/>
  <c r="E1710" i="8"/>
  <c r="D1710" i="8"/>
  <c r="C1710" i="8"/>
  <c r="B1710" i="8"/>
  <c r="A1710" i="8"/>
  <c r="M1709" i="8"/>
  <c r="L1709" i="8"/>
  <c r="K1709" i="8"/>
  <c r="J1709" i="8"/>
  <c r="I1709" i="8"/>
  <c r="H1709" i="8"/>
  <c r="G1709" i="8"/>
  <c r="F1709" i="8"/>
  <c r="E1709" i="8"/>
  <c r="D1709" i="8"/>
  <c r="C1709" i="8"/>
  <c r="B1709" i="8"/>
  <c r="A1709" i="8"/>
  <c r="M1708" i="8"/>
  <c r="K1708" i="8"/>
  <c r="J1708" i="8"/>
  <c r="I1708" i="8"/>
  <c r="H1708" i="8"/>
  <c r="G1708" i="8"/>
  <c r="L1708" i="8" s="1"/>
  <c r="F1708" i="8"/>
  <c r="E1708" i="8"/>
  <c r="D1708" i="8"/>
  <c r="C1708" i="8"/>
  <c r="B1708" i="8"/>
  <c r="A1708" i="8"/>
  <c r="M1707" i="8"/>
  <c r="K1707" i="8"/>
  <c r="J1707" i="8"/>
  <c r="I1707" i="8"/>
  <c r="H1707" i="8"/>
  <c r="G1707" i="8"/>
  <c r="L1707" i="8" s="1"/>
  <c r="F1707" i="8"/>
  <c r="E1707" i="8"/>
  <c r="D1707" i="8"/>
  <c r="C1707" i="8"/>
  <c r="B1707" i="8"/>
  <c r="A1707" i="8"/>
  <c r="M1706" i="8"/>
  <c r="L1706" i="8"/>
  <c r="K1706" i="8"/>
  <c r="J1706" i="8"/>
  <c r="I1706" i="8"/>
  <c r="H1706" i="8"/>
  <c r="G1706" i="8"/>
  <c r="F1706" i="8"/>
  <c r="E1706" i="8"/>
  <c r="D1706" i="8"/>
  <c r="C1706" i="8"/>
  <c r="B1706" i="8"/>
  <c r="A1706" i="8"/>
  <c r="M1705" i="8"/>
  <c r="K1705" i="8"/>
  <c r="J1705" i="8"/>
  <c r="I1705" i="8"/>
  <c r="H1705" i="8"/>
  <c r="G1705" i="8"/>
  <c r="L1705" i="8" s="1"/>
  <c r="F1705" i="8"/>
  <c r="E1705" i="8"/>
  <c r="D1705" i="8"/>
  <c r="C1705" i="8"/>
  <c r="B1705" i="8"/>
  <c r="A1705" i="8"/>
  <c r="M1704" i="8"/>
  <c r="K1704" i="8"/>
  <c r="J1704" i="8"/>
  <c r="I1704" i="8"/>
  <c r="H1704" i="8"/>
  <c r="G1704" i="8"/>
  <c r="L1704" i="8" s="1"/>
  <c r="F1704" i="8"/>
  <c r="E1704" i="8"/>
  <c r="D1704" i="8"/>
  <c r="C1704" i="8"/>
  <c r="B1704" i="8"/>
  <c r="A1704" i="8"/>
  <c r="M1703" i="8"/>
  <c r="K1703" i="8"/>
  <c r="J1703" i="8"/>
  <c r="I1703" i="8"/>
  <c r="H1703" i="8"/>
  <c r="G1703" i="8"/>
  <c r="L1703" i="8" s="1"/>
  <c r="F1703" i="8"/>
  <c r="E1703" i="8"/>
  <c r="D1703" i="8"/>
  <c r="C1703" i="8"/>
  <c r="B1703" i="8"/>
  <c r="A1703" i="8"/>
  <c r="M1702" i="8"/>
  <c r="L1702" i="8"/>
  <c r="K1702" i="8"/>
  <c r="J1702" i="8"/>
  <c r="I1702" i="8"/>
  <c r="H1702" i="8"/>
  <c r="G1702" i="8"/>
  <c r="F1702" i="8"/>
  <c r="E1702" i="8"/>
  <c r="D1702" i="8"/>
  <c r="C1702" i="8"/>
  <c r="B1702" i="8"/>
  <c r="A1702" i="8"/>
  <c r="M1701" i="8"/>
  <c r="L1701" i="8"/>
  <c r="K1701" i="8"/>
  <c r="J1701" i="8"/>
  <c r="I1701" i="8"/>
  <c r="H1701" i="8"/>
  <c r="G1701" i="8"/>
  <c r="F1701" i="8"/>
  <c r="E1701" i="8"/>
  <c r="D1701" i="8"/>
  <c r="C1701" i="8"/>
  <c r="B1701" i="8"/>
  <c r="A1701" i="8"/>
  <c r="M1700" i="8"/>
  <c r="K1700" i="8"/>
  <c r="J1700" i="8"/>
  <c r="I1700" i="8"/>
  <c r="H1700" i="8"/>
  <c r="G1700" i="8"/>
  <c r="L1700" i="8" s="1"/>
  <c r="F1700" i="8"/>
  <c r="E1700" i="8"/>
  <c r="D1700" i="8"/>
  <c r="C1700" i="8"/>
  <c r="B1700" i="8"/>
  <c r="A1700" i="8"/>
  <c r="M1699" i="8"/>
  <c r="K1699" i="8"/>
  <c r="J1699" i="8"/>
  <c r="I1699" i="8"/>
  <c r="H1699" i="8"/>
  <c r="G1699" i="8"/>
  <c r="L1699" i="8" s="1"/>
  <c r="F1699" i="8"/>
  <c r="E1699" i="8"/>
  <c r="D1699" i="8"/>
  <c r="C1699" i="8"/>
  <c r="B1699" i="8"/>
  <c r="A1699" i="8"/>
  <c r="M1698" i="8"/>
  <c r="L1698" i="8"/>
  <c r="K1698" i="8"/>
  <c r="J1698" i="8"/>
  <c r="I1698" i="8"/>
  <c r="H1698" i="8"/>
  <c r="G1698" i="8"/>
  <c r="F1698" i="8"/>
  <c r="E1698" i="8"/>
  <c r="D1698" i="8"/>
  <c r="C1698" i="8"/>
  <c r="B1698" i="8"/>
  <c r="A1698" i="8"/>
  <c r="M1697" i="8"/>
  <c r="K1697" i="8"/>
  <c r="J1697" i="8"/>
  <c r="I1697" i="8"/>
  <c r="H1697" i="8"/>
  <c r="G1697" i="8"/>
  <c r="L1697" i="8" s="1"/>
  <c r="F1697" i="8"/>
  <c r="E1697" i="8"/>
  <c r="D1697" i="8"/>
  <c r="C1697" i="8"/>
  <c r="B1697" i="8"/>
  <c r="A1697" i="8"/>
  <c r="M1696" i="8"/>
  <c r="K1696" i="8"/>
  <c r="J1696" i="8"/>
  <c r="I1696" i="8"/>
  <c r="H1696" i="8"/>
  <c r="G1696" i="8"/>
  <c r="L1696" i="8" s="1"/>
  <c r="F1696" i="8"/>
  <c r="E1696" i="8"/>
  <c r="D1696" i="8"/>
  <c r="C1696" i="8"/>
  <c r="B1696" i="8"/>
  <c r="A1696" i="8"/>
  <c r="M1695" i="8"/>
  <c r="K1695" i="8"/>
  <c r="J1695" i="8"/>
  <c r="I1695" i="8"/>
  <c r="H1695" i="8"/>
  <c r="G1695" i="8"/>
  <c r="L1695" i="8" s="1"/>
  <c r="F1695" i="8"/>
  <c r="E1695" i="8"/>
  <c r="D1695" i="8"/>
  <c r="C1695" i="8"/>
  <c r="B1695" i="8"/>
  <c r="A1695" i="8"/>
  <c r="M1694" i="8"/>
  <c r="L1694" i="8"/>
  <c r="K1694" i="8"/>
  <c r="J1694" i="8"/>
  <c r="I1694" i="8"/>
  <c r="H1694" i="8"/>
  <c r="G1694" i="8"/>
  <c r="F1694" i="8"/>
  <c r="E1694" i="8"/>
  <c r="D1694" i="8"/>
  <c r="C1694" i="8"/>
  <c r="B1694" i="8"/>
  <c r="A1694" i="8"/>
  <c r="M1693" i="8"/>
  <c r="L1693" i="8"/>
  <c r="K1693" i="8"/>
  <c r="J1693" i="8"/>
  <c r="I1693" i="8"/>
  <c r="H1693" i="8"/>
  <c r="G1693" i="8"/>
  <c r="F1693" i="8"/>
  <c r="E1693" i="8"/>
  <c r="D1693" i="8"/>
  <c r="C1693" i="8"/>
  <c r="B1693" i="8"/>
  <c r="A1693" i="8"/>
  <c r="M1692" i="8"/>
  <c r="K1692" i="8"/>
  <c r="J1692" i="8"/>
  <c r="I1692" i="8"/>
  <c r="H1692" i="8"/>
  <c r="G1692" i="8"/>
  <c r="L1692" i="8" s="1"/>
  <c r="F1692" i="8"/>
  <c r="E1692" i="8"/>
  <c r="D1692" i="8"/>
  <c r="C1692" i="8"/>
  <c r="B1692" i="8"/>
  <c r="A1692" i="8"/>
  <c r="M1691" i="8"/>
  <c r="K1691" i="8"/>
  <c r="J1691" i="8"/>
  <c r="I1691" i="8"/>
  <c r="H1691" i="8"/>
  <c r="G1691" i="8"/>
  <c r="L1691" i="8" s="1"/>
  <c r="F1691" i="8"/>
  <c r="E1691" i="8"/>
  <c r="D1691" i="8"/>
  <c r="C1691" i="8"/>
  <c r="B1691" i="8"/>
  <c r="A1691" i="8"/>
  <c r="M1690" i="8"/>
  <c r="L1690" i="8"/>
  <c r="K1690" i="8"/>
  <c r="J1690" i="8"/>
  <c r="I1690" i="8"/>
  <c r="H1690" i="8"/>
  <c r="G1690" i="8"/>
  <c r="F1690" i="8"/>
  <c r="E1690" i="8"/>
  <c r="D1690" i="8"/>
  <c r="C1690" i="8"/>
  <c r="B1690" i="8"/>
  <c r="A1690" i="8"/>
  <c r="M1689" i="8"/>
  <c r="K1689" i="8"/>
  <c r="J1689" i="8"/>
  <c r="I1689" i="8"/>
  <c r="H1689" i="8"/>
  <c r="G1689" i="8"/>
  <c r="L1689" i="8" s="1"/>
  <c r="F1689" i="8"/>
  <c r="E1689" i="8"/>
  <c r="D1689" i="8"/>
  <c r="C1689" i="8"/>
  <c r="B1689" i="8"/>
  <c r="A1689" i="8"/>
  <c r="M1688" i="8"/>
  <c r="K1688" i="8"/>
  <c r="J1688" i="8"/>
  <c r="I1688" i="8"/>
  <c r="H1688" i="8"/>
  <c r="G1688" i="8"/>
  <c r="L1688" i="8" s="1"/>
  <c r="F1688" i="8"/>
  <c r="E1688" i="8"/>
  <c r="D1688" i="8"/>
  <c r="C1688" i="8"/>
  <c r="B1688" i="8"/>
  <c r="A1688" i="8"/>
  <c r="M1687" i="8"/>
  <c r="K1687" i="8"/>
  <c r="J1687" i="8"/>
  <c r="I1687" i="8"/>
  <c r="H1687" i="8"/>
  <c r="G1687" i="8"/>
  <c r="L1687" i="8" s="1"/>
  <c r="F1687" i="8"/>
  <c r="E1687" i="8"/>
  <c r="D1687" i="8"/>
  <c r="C1687" i="8"/>
  <c r="B1687" i="8"/>
  <c r="A1687" i="8"/>
  <c r="M1686" i="8"/>
  <c r="L1686" i="8"/>
  <c r="K1686" i="8"/>
  <c r="J1686" i="8"/>
  <c r="I1686" i="8"/>
  <c r="H1686" i="8"/>
  <c r="G1686" i="8"/>
  <c r="F1686" i="8"/>
  <c r="E1686" i="8"/>
  <c r="D1686" i="8"/>
  <c r="C1686" i="8"/>
  <c r="B1686" i="8"/>
  <c r="A1686" i="8"/>
  <c r="M1685" i="8"/>
  <c r="L1685" i="8"/>
  <c r="K1685" i="8"/>
  <c r="J1685" i="8"/>
  <c r="I1685" i="8"/>
  <c r="H1685" i="8"/>
  <c r="G1685" i="8"/>
  <c r="F1685" i="8"/>
  <c r="E1685" i="8"/>
  <c r="D1685" i="8"/>
  <c r="C1685" i="8"/>
  <c r="B1685" i="8"/>
  <c r="A1685" i="8"/>
  <c r="M1684" i="8"/>
  <c r="K1684" i="8"/>
  <c r="J1684" i="8"/>
  <c r="I1684" i="8"/>
  <c r="H1684" i="8"/>
  <c r="G1684" i="8"/>
  <c r="L1684" i="8" s="1"/>
  <c r="F1684" i="8"/>
  <c r="E1684" i="8"/>
  <c r="D1684" i="8"/>
  <c r="C1684" i="8"/>
  <c r="B1684" i="8"/>
  <c r="A1684" i="8"/>
  <c r="M1683" i="8"/>
  <c r="K1683" i="8"/>
  <c r="J1683" i="8"/>
  <c r="I1683" i="8"/>
  <c r="H1683" i="8"/>
  <c r="G1683" i="8"/>
  <c r="L1683" i="8" s="1"/>
  <c r="F1683" i="8"/>
  <c r="E1683" i="8"/>
  <c r="D1683" i="8"/>
  <c r="C1683" i="8"/>
  <c r="B1683" i="8"/>
  <c r="A1683" i="8"/>
  <c r="M1682" i="8"/>
  <c r="L1682" i="8"/>
  <c r="K1682" i="8"/>
  <c r="J1682" i="8"/>
  <c r="I1682" i="8"/>
  <c r="H1682" i="8"/>
  <c r="G1682" i="8"/>
  <c r="F1682" i="8"/>
  <c r="E1682" i="8"/>
  <c r="D1682" i="8"/>
  <c r="C1682" i="8"/>
  <c r="B1682" i="8"/>
  <c r="A1682" i="8"/>
  <c r="M1681" i="8"/>
  <c r="K1681" i="8"/>
  <c r="J1681" i="8"/>
  <c r="I1681" i="8"/>
  <c r="H1681" i="8"/>
  <c r="G1681" i="8"/>
  <c r="L1681" i="8" s="1"/>
  <c r="F1681" i="8"/>
  <c r="E1681" i="8"/>
  <c r="D1681" i="8"/>
  <c r="C1681" i="8"/>
  <c r="B1681" i="8"/>
  <c r="A1681" i="8"/>
  <c r="M1680" i="8"/>
  <c r="K1680" i="8"/>
  <c r="J1680" i="8"/>
  <c r="I1680" i="8"/>
  <c r="H1680" i="8"/>
  <c r="G1680" i="8"/>
  <c r="L1680" i="8" s="1"/>
  <c r="F1680" i="8"/>
  <c r="E1680" i="8"/>
  <c r="D1680" i="8"/>
  <c r="C1680" i="8"/>
  <c r="B1680" i="8"/>
  <c r="A1680" i="8"/>
  <c r="M1679" i="8"/>
  <c r="K1679" i="8"/>
  <c r="J1679" i="8"/>
  <c r="I1679" i="8"/>
  <c r="H1679" i="8"/>
  <c r="G1679" i="8"/>
  <c r="L1679" i="8" s="1"/>
  <c r="F1679" i="8"/>
  <c r="E1679" i="8"/>
  <c r="D1679" i="8"/>
  <c r="C1679" i="8"/>
  <c r="B1679" i="8"/>
  <c r="A1679" i="8"/>
  <c r="M1678" i="8"/>
  <c r="L1678" i="8"/>
  <c r="K1678" i="8"/>
  <c r="J1678" i="8"/>
  <c r="I1678" i="8"/>
  <c r="H1678" i="8"/>
  <c r="G1678" i="8"/>
  <c r="F1678" i="8"/>
  <c r="E1678" i="8"/>
  <c r="D1678" i="8"/>
  <c r="C1678" i="8"/>
  <c r="B1678" i="8"/>
  <c r="A1678" i="8"/>
  <c r="M1677" i="8"/>
  <c r="K1677" i="8"/>
  <c r="J1677" i="8"/>
  <c r="I1677" i="8"/>
  <c r="H1677" i="8"/>
  <c r="G1677" i="8"/>
  <c r="L1677" i="8" s="1"/>
  <c r="F1677" i="8"/>
  <c r="E1677" i="8"/>
  <c r="D1677" i="8"/>
  <c r="C1677" i="8"/>
  <c r="B1677" i="8"/>
  <c r="A1677" i="8"/>
  <c r="M1676" i="8"/>
  <c r="K1676" i="8"/>
  <c r="J1676" i="8"/>
  <c r="I1676" i="8"/>
  <c r="H1676" i="8"/>
  <c r="G1676" i="8"/>
  <c r="L1676" i="8" s="1"/>
  <c r="F1676" i="8"/>
  <c r="E1676" i="8"/>
  <c r="D1676" i="8"/>
  <c r="C1676" i="8"/>
  <c r="B1676" i="8"/>
  <c r="A1676" i="8"/>
  <c r="M1675" i="8"/>
  <c r="K1675" i="8"/>
  <c r="J1675" i="8"/>
  <c r="I1675" i="8"/>
  <c r="H1675" i="8"/>
  <c r="G1675" i="8"/>
  <c r="L1675" i="8" s="1"/>
  <c r="F1675" i="8"/>
  <c r="E1675" i="8"/>
  <c r="D1675" i="8"/>
  <c r="C1675" i="8"/>
  <c r="B1675" i="8"/>
  <c r="A1675" i="8"/>
  <c r="M1674" i="8"/>
  <c r="L1674" i="8"/>
  <c r="K1674" i="8"/>
  <c r="J1674" i="8"/>
  <c r="I1674" i="8"/>
  <c r="H1674" i="8"/>
  <c r="G1674" i="8"/>
  <c r="F1674" i="8"/>
  <c r="E1674" i="8"/>
  <c r="D1674" i="8"/>
  <c r="C1674" i="8"/>
  <c r="B1674" i="8"/>
  <c r="A1674" i="8"/>
  <c r="M1673" i="8"/>
  <c r="K1673" i="8"/>
  <c r="J1673" i="8"/>
  <c r="I1673" i="8"/>
  <c r="H1673" i="8"/>
  <c r="G1673" i="8"/>
  <c r="L1673" i="8" s="1"/>
  <c r="F1673" i="8"/>
  <c r="E1673" i="8"/>
  <c r="D1673" i="8"/>
  <c r="C1673" i="8"/>
  <c r="B1673" i="8"/>
  <c r="A1673" i="8"/>
  <c r="M1672" i="8"/>
  <c r="K1672" i="8"/>
  <c r="J1672" i="8"/>
  <c r="I1672" i="8"/>
  <c r="H1672" i="8"/>
  <c r="G1672" i="8"/>
  <c r="L1672" i="8" s="1"/>
  <c r="F1672" i="8"/>
  <c r="E1672" i="8"/>
  <c r="D1672" i="8"/>
  <c r="C1672" i="8"/>
  <c r="B1672" i="8"/>
  <c r="A1672" i="8"/>
  <c r="M1671" i="8"/>
  <c r="K1671" i="8"/>
  <c r="J1671" i="8"/>
  <c r="I1671" i="8"/>
  <c r="H1671" i="8"/>
  <c r="G1671" i="8"/>
  <c r="L1671" i="8" s="1"/>
  <c r="F1671" i="8"/>
  <c r="E1671" i="8"/>
  <c r="D1671" i="8"/>
  <c r="C1671" i="8"/>
  <c r="B1671" i="8"/>
  <c r="A1671" i="8"/>
  <c r="M1670" i="8"/>
  <c r="L1670" i="8"/>
  <c r="K1670" i="8"/>
  <c r="J1670" i="8"/>
  <c r="I1670" i="8"/>
  <c r="H1670" i="8"/>
  <c r="G1670" i="8"/>
  <c r="F1670" i="8"/>
  <c r="E1670" i="8"/>
  <c r="D1670" i="8"/>
  <c r="C1670" i="8"/>
  <c r="B1670" i="8"/>
  <c r="A1670" i="8"/>
  <c r="M1669" i="8"/>
  <c r="K1669" i="8"/>
  <c r="J1669" i="8"/>
  <c r="I1669" i="8"/>
  <c r="H1669" i="8"/>
  <c r="G1669" i="8"/>
  <c r="L1669" i="8" s="1"/>
  <c r="F1669" i="8"/>
  <c r="E1669" i="8"/>
  <c r="D1669" i="8"/>
  <c r="C1669" i="8"/>
  <c r="B1669" i="8"/>
  <c r="A1669" i="8"/>
  <c r="M1668" i="8"/>
  <c r="K1668" i="8"/>
  <c r="J1668" i="8"/>
  <c r="I1668" i="8"/>
  <c r="H1668" i="8"/>
  <c r="G1668" i="8"/>
  <c r="L1668" i="8" s="1"/>
  <c r="F1668" i="8"/>
  <c r="E1668" i="8"/>
  <c r="D1668" i="8"/>
  <c r="C1668" i="8"/>
  <c r="B1668" i="8"/>
  <c r="A1668" i="8"/>
  <c r="M1667" i="8"/>
  <c r="K1667" i="8"/>
  <c r="J1667" i="8"/>
  <c r="I1667" i="8"/>
  <c r="H1667" i="8"/>
  <c r="G1667" i="8"/>
  <c r="L1667" i="8" s="1"/>
  <c r="F1667" i="8"/>
  <c r="E1667" i="8"/>
  <c r="D1667" i="8"/>
  <c r="C1667" i="8"/>
  <c r="B1667" i="8"/>
  <c r="A1667" i="8"/>
  <c r="M1666" i="8"/>
  <c r="L1666" i="8"/>
  <c r="K1666" i="8"/>
  <c r="J1666" i="8"/>
  <c r="I1666" i="8"/>
  <c r="H1666" i="8"/>
  <c r="G1666" i="8"/>
  <c r="F1666" i="8"/>
  <c r="E1666" i="8"/>
  <c r="D1666" i="8"/>
  <c r="C1666" i="8"/>
  <c r="B1666" i="8"/>
  <c r="A1666" i="8"/>
  <c r="M1665" i="8"/>
  <c r="K1665" i="8"/>
  <c r="J1665" i="8"/>
  <c r="I1665" i="8"/>
  <c r="H1665" i="8"/>
  <c r="G1665" i="8"/>
  <c r="L1665" i="8" s="1"/>
  <c r="F1665" i="8"/>
  <c r="E1665" i="8"/>
  <c r="D1665" i="8"/>
  <c r="C1665" i="8"/>
  <c r="B1665" i="8"/>
  <c r="A1665" i="8"/>
  <c r="M1664" i="8"/>
  <c r="K1664" i="8"/>
  <c r="J1664" i="8"/>
  <c r="I1664" i="8"/>
  <c r="H1664" i="8"/>
  <c r="G1664" i="8"/>
  <c r="L1664" i="8" s="1"/>
  <c r="F1664" i="8"/>
  <c r="E1664" i="8"/>
  <c r="D1664" i="8"/>
  <c r="C1664" i="8"/>
  <c r="B1664" i="8"/>
  <c r="A1664" i="8"/>
  <c r="M1663" i="8"/>
  <c r="K1663" i="8"/>
  <c r="J1663" i="8"/>
  <c r="I1663" i="8"/>
  <c r="H1663" i="8"/>
  <c r="G1663" i="8"/>
  <c r="L1663" i="8" s="1"/>
  <c r="F1663" i="8"/>
  <c r="E1663" i="8"/>
  <c r="D1663" i="8"/>
  <c r="C1663" i="8"/>
  <c r="B1663" i="8"/>
  <c r="A1663" i="8"/>
  <c r="M1662" i="8"/>
  <c r="L1662" i="8"/>
  <c r="K1662" i="8"/>
  <c r="J1662" i="8"/>
  <c r="I1662" i="8"/>
  <c r="H1662" i="8"/>
  <c r="G1662" i="8"/>
  <c r="F1662" i="8"/>
  <c r="E1662" i="8"/>
  <c r="D1662" i="8"/>
  <c r="C1662" i="8"/>
  <c r="B1662" i="8"/>
  <c r="A1662" i="8"/>
  <c r="M1661" i="8"/>
  <c r="K1661" i="8"/>
  <c r="J1661" i="8"/>
  <c r="I1661" i="8"/>
  <c r="H1661" i="8"/>
  <c r="G1661" i="8"/>
  <c r="L1661" i="8" s="1"/>
  <c r="F1661" i="8"/>
  <c r="E1661" i="8"/>
  <c r="D1661" i="8"/>
  <c r="C1661" i="8"/>
  <c r="B1661" i="8"/>
  <c r="A1661" i="8"/>
  <c r="M1660" i="8"/>
  <c r="K1660" i="8"/>
  <c r="J1660" i="8"/>
  <c r="I1660" i="8"/>
  <c r="H1660" i="8"/>
  <c r="G1660" i="8"/>
  <c r="L1660" i="8" s="1"/>
  <c r="F1660" i="8"/>
  <c r="E1660" i="8"/>
  <c r="D1660" i="8"/>
  <c r="C1660" i="8"/>
  <c r="B1660" i="8"/>
  <c r="A1660" i="8"/>
  <c r="M1659" i="8"/>
  <c r="K1659" i="8"/>
  <c r="J1659" i="8"/>
  <c r="I1659" i="8"/>
  <c r="H1659" i="8"/>
  <c r="G1659" i="8"/>
  <c r="L1659" i="8" s="1"/>
  <c r="F1659" i="8"/>
  <c r="E1659" i="8"/>
  <c r="D1659" i="8"/>
  <c r="C1659" i="8"/>
  <c r="B1659" i="8"/>
  <c r="A1659" i="8"/>
  <c r="M1658" i="8"/>
  <c r="L1658" i="8"/>
  <c r="K1658" i="8"/>
  <c r="J1658" i="8"/>
  <c r="I1658" i="8"/>
  <c r="H1658" i="8"/>
  <c r="G1658" i="8"/>
  <c r="F1658" i="8"/>
  <c r="E1658" i="8"/>
  <c r="D1658" i="8"/>
  <c r="C1658" i="8"/>
  <c r="B1658" i="8"/>
  <c r="A1658" i="8"/>
  <c r="M1657" i="8"/>
  <c r="K1657" i="8"/>
  <c r="J1657" i="8"/>
  <c r="I1657" i="8"/>
  <c r="H1657" i="8"/>
  <c r="G1657" i="8"/>
  <c r="L1657" i="8" s="1"/>
  <c r="F1657" i="8"/>
  <c r="E1657" i="8"/>
  <c r="D1657" i="8"/>
  <c r="C1657" i="8"/>
  <c r="B1657" i="8"/>
  <c r="A1657" i="8"/>
  <c r="M1656" i="8"/>
  <c r="K1656" i="8"/>
  <c r="J1656" i="8"/>
  <c r="I1656" i="8"/>
  <c r="H1656" i="8"/>
  <c r="G1656" i="8"/>
  <c r="L1656" i="8" s="1"/>
  <c r="F1656" i="8"/>
  <c r="E1656" i="8"/>
  <c r="D1656" i="8"/>
  <c r="C1656" i="8"/>
  <c r="B1656" i="8"/>
  <c r="A1656" i="8"/>
  <c r="M1655" i="8"/>
  <c r="K1655" i="8"/>
  <c r="J1655" i="8"/>
  <c r="I1655" i="8"/>
  <c r="H1655" i="8"/>
  <c r="G1655" i="8"/>
  <c r="L1655" i="8" s="1"/>
  <c r="F1655" i="8"/>
  <c r="E1655" i="8"/>
  <c r="D1655" i="8"/>
  <c r="C1655" i="8"/>
  <c r="B1655" i="8"/>
  <c r="A1655" i="8"/>
  <c r="M1654" i="8"/>
  <c r="L1654" i="8"/>
  <c r="K1654" i="8"/>
  <c r="J1654" i="8"/>
  <c r="I1654" i="8"/>
  <c r="H1654" i="8"/>
  <c r="G1654" i="8"/>
  <c r="F1654" i="8"/>
  <c r="E1654" i="8"/>
  <c r="D1654" i="8"/>
  <c r="C1654" i="8"/>
  <c r="B1654" i="8"/>
  <c r="A1654" i="8"/>
  <c r="M1653" i="8"/>
  <c r="K1653" i="8"/>
  <c r="J1653" i="8"/>
  <c r="I1653" i="8"/>
  <c r="H1653" i="8"/>
  <c r="G1653" i="8"/>
  <c r="L1653" i="8" s="1"/>
  <c r="F1653" i="8"/>
  <c r="E1653" i="8"/>
  <c r="D1653" i="8"/>
  <c r="C1653" i="8"/>
  <c r="B1653" i="8"/>
  <c r="A1653" i="8"/>
  <c r="M1652" i="8"/>
  <c r="K1652" i="8"/>
  <c r="J1652" i="8"/>
  <c r="I1652" i="8"/>
  <c r="H1652" i="8"/>
  <c r="G1652" i="8"/>
  <c r="L1652" i="8" s="1"/>
  <c r="F1652" i="8"/>
  <c r="E1652" i="8"/>
  <c r="D1652" i="8"/>
  <c r="C1652" i="8"/>
  <c r="B1652" i="8"/>
  <c r="A1652" i="8"/>
  <c r="M1651" i="8"/>
  <c r="K1651" i="8"/>
  <c r="J1651" i="8"/>
  <c r="I1651" i="8"/>
  <c r="H1651" i="8"/>
  <c r="G1651" i="8"/>
  <c r="L1651" i="8" s="1"/>
  <c r="F1651" i="8"/>
  <c r="E1651" i="8"/>
  <c r="D1651" i="8"/>
  <c r="C1651" i="8"/>
  <c r="B1651" i="8"/>
  <c r="A1651" i="8"/>
  <c r="M1650" i="8"/>
  <c r="L1650" i="8"/>
  <c r="K1650" i="8"/>
  <c r="J1650" i="8"/>
  <c r="I1650" i="8"/>
  <c r="H1650" i="8"/>
  <c r="G1650" i="8"/>
  <c r="F1650" i="8"/>
  <c r="E1650" i="8"/>
  <c r="D1650" i="8"/>
  <c r="C1650" i="8"/>
  <c r="B1650" i="8"/>
  <c r="A1650" i="8"/>
  <c r="M1649" i="8"/>
  <c r="K1649" i="8"/>
  <c r="J1649" i="8"/>
  <c r="I1649" i="8"/>
  <c r="H1649" i="8"/>
  <c r="G1649" i="8"/>
  <c r="L1649" i="8" s="1"/>
  <c r="F1649" i="8"/>
  <c r="E1649" i="8"/>
  <c r="D1649" i="8"/>
  <c r="C1649" i="8"/>
  <c r="B1649" i="8"/>
  <c r="A1649" i="8"/>
  <c r="M1648" i="8"/>
  <c r="K1648" i="8"/>
  <c r="J1648" i="8"/>
  <c r="I1648" i="8"/>
  <c r="H1648" i="8"/>
  <c r="G1648" i="8"/>
  <c r="L1648" i="8" s="1"/>
  <c r="F1648" i="8"/>
  <c r="E1648" i="8"/>
  <c r="D1648" i="8"/>
  <c r="C1648" i="8"/>
  <c r="B1648" i="8"/>
  <c r="A1648" i="8"/>
  <c r="M1647" i="8"/>
  <c r="K1647" i="8"/>
  <c r="J1647" i="8"/>
  <c r="I1647" i="8"/>
  <c r="H1647" i="8"/>
  <c r="G1647" i="8"/>
  <c r="L1647" i="8" s="1"/>
  <c r="F1647" i="8"/>
  <c r="E1647" i="8"/>
  <c r="D1647" i="8"/>
  <c r="C1647" i="8"/>
  <c r="B1647" i="8"/>
  <c r="A1647" i="8"/>
  <c r="M1646" i="8"/>
  <c r="L1646" i="8"/>
  <c r="K1646" i="8"/>
  <c r="J1646" i="8"/>
  <c r="I1646" i="8"/>
  <c r="H1646" i="8"/>
  <c r="G1646" i="8"/>
  <c r="F1646" i="8"/>
  <c r="E1646" i="8"/>
  <c r="D1646" i="8"/>
  <c r="C1646" i="8"/>
  <c r="B1646" i="8"/>
  <c r="A1646" i="8"/>
  <c r="M1645" i="8"/>
  <c r="K1645" i="8"/>
  <c r="J1645" i="8"/>
  <c r="I1645" i="8"/>
  <c r="H1645" i="8"/>
  <c r="G1645" i="8"/>
  <c r="L1645" i="8" s="1"/>
  <c r="F1645" i="8"/>
  <c r="E1645" i="8"/>
  <c r="D1645" i="8"/>
  <c r="C1645" i="8"/>
  <c r="B1645" i="8"/>
  <c r="A1645" i="8"/>
  <c r="M1644" i="8"/>
  <c r="K1644" i="8"/>
  <c r="J1644" i="8"/>
  <c r="I1644" i="8"/>
  <c r="H1644" i="8"/>
  <c r="G1644" i="8"/>
  <c r="L1644" i="8" s="1"/>
  <c r="F1644" i="8"/>
  <c r="E1644" i="8"/>
  <c r="D1644" i="8"/>
  <c r="C1644" i="8"/>
  <c r="B1644" i="8"/>
  <c r="A1644" i="8"/>
  <c r="M1643" i="8"/>
  <c r="K1643" i="8"/>
  <c r="J1643" i="8"/>
  <c r="I1643" i="8"/>
  <c r="H1643" i="8"/>
  <c r="G1643" i="8"/>
  <c r="L1643" i="8" s="1"/>
  <c r="F1643" i="8"/>
  <c r="E1643" i="8"/>
  <c r="D1643" i="8"/>
  <c r="C1643" i="8"/>
  <c r="B1643" i="8"/>
  <c r="A1643" i="8"/>
  <c r="M1642" i="8"/>
  <c r="L1642" i="8"/>
  <c r="K1642" i="8"/>
  <c r="J1642" i="8"/>
  <c r="I1642" i="8"/>
  <c r="H1642" i="8"/>
  <c r="G1642" i="8"/>
  <c r="F1642" i="8"/>
  <c r="E1642" i="8"/>
  <c r="D1642" i="8"/>
  <c r="C1642" i="8"/>
  <c r="B1642" i="8"/>
  <c r="A1642" i="8"/>
  <c r="M1641" i="8"/>
  <c r="K1641" i="8"/>
  <c r="J1641" i="8"/>
  <c r="I1641" i="8"/>
  <c r="H1641" i="8"/>
  <c r="G1641" i="8"/>
  <c r="L1641" i="8" s="1"/>
  <c r="F1641" i="8"/>
  <c r="E1641" i="8"/>
  <c r="D1641" i="8"/>
  <c r="C1641" i="8"/>
  <c r="B1641" i="8"/>
  <c r="A1641" i="8"/>
  <c r="M1640" i="8"/>
  <c r="K1640" i="8"/>
  <c r="J1640" i="8"/>
  <c r="I1640" i="8"/>
  <c r="H1640" i="8"/>
  <c r="G1640" i="8"/>
  <c r="L1640" i="8" s="1"/>
  <c r="F1640" i="8"/>
  <c r="E1640" i="8"/>
  <c r="D1640" i="8"/>
  <c r="C1640" i="8"/>
  <c r="B1640" i="8"/>
  <c r="A1640" i="8"/>
  <c r="M1639" i="8"/>
  <c r="K1639" i="8"/>
  <c r="J1639" i="8"/>
  <c r="I1639" i="8"/>
  <c r="H1639" i="8"/>
  <c r="G1639" i="8"/>
  <c r="L1639" i="8" s="1"/>
  <c r="F1639" i="8"/>
  <c r="E1639" i="8"/>
  <c r="D1639" i="8"/>
  <c r="C1639" i="8"/>
  <c r="B1639" i="8"/>
  <c r="A1639" i="8"/>
  <c r="M1638" i="8"/>
  <c r="L1638" i="8"/>
  <c r="K1638" i="8"/>
  <c r="J1638" i="8"/>
  <c r="I1638" i="8"/>
  <c r="H1638" i="8"/>
  <c r="G1638" i="8"/>
  <c r="F1638" i="8"/>
  <c r="E1638" i="8"/>
  <c r="D1638" i="8"/>
  <c r="C1638" i="8"/>
  <c r="B1638" i="8"/>
  <c r="A1638" i="8"/>
  <c r="M1637" i="8"/>
  <c r="K1637" i="8"/>
  <c r="J1637" i="8"/>
  <c r="I1637" i="8"/>
  <c r="H1637" i="8"/>
  <c r="G1637" i="8"/>
  <c r="L1637" i="8" s="1"/>
  <c r="F1637" i="8"/>
  <c r="E1637" i="8"/>
  <c r="D1637" i="8"/>
  <c r="C1637" i="8"/>
  <c r="B1637" i="8"/>
  <c r="A1637" i="8"/>
  <c r="M1636" i="8"/>
  <c r="K1636" i="8"/>
  <c r="J1636" i="8"/>
  <c r="I1636" i="8"/>
  <c r="H1636" i="8"/>
  <c r="G1636" i="8"/>
  <c r="L1636" i="8" s="1"/>
  <c r="F1636" i="8"/>
  <c r="E1636" i="8"/>
  <c r="D1636" i="8"/>
  <c r="C1636" i="8"/>
  <c r="B1636" i="8"/>
  <c r="A1636" i="8"/>
  <c r="M1635" i="8"/>
  <c r="K1635" i="8"/>
  <c r="J1635" i="8"/>
  <c r="I1635" i="8"/>
  <c r="H1635" i="8"/>
  <c r="G1635" i="8"/>
  <c r="L1635" i="8" s="1"/>
  <c r="F1635" i="8"/>
  <c r="E1635" i="8"/>
  <c r="D1635" i="8"/>
  <c r="C1635" i="8"/>
  <c r="B1635" i="8"/>
  <c r="A1635" i="8"/>
  <c r="M1634" i="8"/>
  <c r="L1634" i="8"/>
  <c r="K1634" i="8"/>
  <c r="J1634" i="8"/>
  <c r="I1634" i="8"/>
  <c r="H1634" i="8"/>
  <c r="G1634" i="8"/>
  <c r="F1634" i="8"/>
  <c r="E1634" i="8"/>
  <c r="D1634" i="8"/>
  <c r="C1634" i="8"/>
  <c r="B1634" i="8"/>
  <c r="A1634" i="8"/>
  <c r="M1633" i="8"/>
  <c r="K1633" i="8"/>
  <c r="J1633" i="8"/>
  <c r="I1633" i="8"/>
  <c r="H1633" i="8"/>
  <c r="G1633" i="8"/>
  <c r="L1633" i="8" s="1"/>
  <c r="F1633" i="8"/>
  <c r="E1633" i="8"/>
  <c r="D1633" i="8"/>
  <c r="C1633" i="8"/>
  <c r="B1633" i="8"/>
  <c r="A1633" i="8"/>
  <c r="M1632" i="8"/>
  <c r="L1632" i="8"/>
  <c r="K1632" i="8"/>
  <c r="J1632" i="8"/>
  <c r="I1632" i="8"/>
  <c r="H1632" i="8"/>
  <c r="G1632" i="8"/>
  <c r="F1632" i="8"/>
  <c r="E1632" i="8"/>
  <c r="D1632" i="8"/>
  <c r="C1632" i="8"/>
  <c r="B1632" i="8"/>
  <c r="A1632" i="8"/>
  <c r="M1631" i="8"/>
  <c r="K1631" i="8"/>
  <c r="J1631" i="8"/>
  <c r="I1631" i="8"/>
  <c r="H1631" i="8"/>
  <c r="G1631" i="8"/>
  <c r="L1631" i="8" s="1"/>
  <c r="F1631" i="8"/>
  <c r="E1631" i="8"/>
  <c r="D1631" i="8"/>
  <c r="C1631" i="8"/>
  <c r="B1631" i="8"/>
  <c r="A1631" i="8"/>
  <c r="M1630" i="8"/>
  <c r="L1630" i="8"/>
  <c r="K1630" i="8"/>
  <c r="J1630" i="8"/>
  <c r="I1630" i="8"/>
  <c r="H1630" i="8"/>
  <c r="G1630" i="8"/>
  <c r="F1630" i="8"/>
  <c r="E1630" i="8"/>
  <c r="D1630" i="8"/>
  <c r="C1630" i="8"/>
  <c r="B1630" i="8"/>
  <c r="A1630" i="8"/>
  <c r="M1629" i="8"/>
  <c r="K1629" i="8"/>
  <c r="J1629" i="8"/>
  <c r="I1629" i="8"/>
  <c r="H1629" i="8"/>
  <c r="G1629" i="8"/>
  <c r="L1629" i="8" s="1"/>
  <c r="F1629" i="8"/>
  <c r="E1629" i="8"/>
  <c r="D1629" i="8"/>
  <c r="C1629" i="8"/>
  <c r="B1629" i="8"/>
  <c r="A1629" i="8"/>
  <c r="M1628" i="8"/>
  <c r="K1628" i="8"/>
  <c r="J1628" i="8"/>
  <c r="I1628" i="8"/>
  <c r="H1628" i="8"/>
  <c r="G1628" i="8"/>
  <c r="L1628" i="8" s="1"/>
  <c r="F1628" i="8"/>
  <c r="E1628" i="8"/>
  <c r="D1628" i="8"/>
  <c r="C1628" i="8"/>
  <c r="B1628" i="8"/>
  <c r="A1628" i="8"/>
  <c r="M1627" i="8"/>
  <c r="K1627" i="8"/>
  <c r="J1627" i="8"/>
  <c r="I1627" i="8"/>
  <c r="H1627" i="8"/>
  <c r="G1627" i="8"/>
  <c r="L1627" i="8" s="1"/>
  <c r="F1627" i="8"/>
  <c r="E1627" i="8"/>
  <c r="D1627" i="8"/>
  <c r="C1627" i="8"/>
  <c r="B1627" i="8"/>
  <c r="A1627" i="8"/>
  <c r="M1626" i="8"/>
  <c r="L1626" i="8"/>
  <c r="K1626" i="8"/>
  <c r="J1626" i="8"/>
  <c r="I1626" i="8"/>
  <c r="H1626" i="8"/>
  <c r="G1626" i="8"/>
  <c r="F1626" i="8"/>
  <c r="E1626" i="8"/>
  <c r="D1626" i="8"/>
  <c r="C1626" i="8"/>
  <c r="B1626" i="8"/>
  <c r="A1626" i="8"/>
  <c r="M1625" i="8"/>
  <c r="K1625" i="8"/>
  <c r="J1625" i="8"/>
  <c r="I1625" i="8"/>
  <c r="H1625" i="8"/>
  <c r="G1625" i="8"/>
  <c r="L1625" i="8" s="1"/>
  <c r="F1625" i="8"/>
  <c r="E1625" i="8"/>
  <c r="D1625" i="8"/>
  <c r="C1625" i="8"/>
  <c r="B1625" i="8"/>
  <c r="A1625" i="8"/>
  <c r="M1624" i="8"/>
  <c r="L1624" i="8"/>
  <c r="K1624" i="8"/>
  <c r="J1624" i="8"/>
  <c r="I1624" i="8"/>
  <c r="H1624" i="8"/>
  <c r="G1624" i="8"/>
  <c r="F1624" i="8"/>
  <c r="E1624" i="8"/>
  <c r="D1624" i="8"/>
  <c r="C1624" i="8"/>
  <c r="B1624" i="8"/>
  <c r="A1624" i="8"/>
  <c r="M1623" i="8"/>
  <c r="K1623" i="8"/>
  <c r="J1623" i="8"/>
  <c r="I1623" i="8"/>
  <c r="H1623" i="8"/>
  <c r="G1623" i="8"/>
  <c r="L1623" i="8" s="1"/>
  <c r="F1623" i="8"/>
  <c r="E1623" i="8"/>
  <c r="D1623" i="8"/>
  <c r="C1623" i="8"/>
  <c r="B1623" i="8"/>
  <c r="A1623" i="8"/>
  <c r="M1622" i="8"/>
  <c r="L1622" i="8"/>
  <c r="K1622" i="8"/>
  <c r="J1622" i="8"/>
  <c r="I1622" i="8"/>
  <c r="H1622" i="8"/>
  <c r="G1622" i="8"/>
  <c r="F1622" i="8"/>
  <c r="E1622" i="8"/>
  <c r="D1622" i="8"/>
  <c r="C1622" i="8"/>
  <c r="B1622" i="8"/>
  <c r="A1622" i="8"/>
  <c r="M1621" i="8"/>
  <c r="K1621" i="8"/>
  <c r="J1621" i="8"/>
  <c r="I1621" i="8"/>
  <c r="H1621" i="8"/>
  <c r="G1621" i="8"/>
  <c r="L1621" i="8" s="1"/>
  <c r="F1621" i="8"/>
  <c r="E1621" i="8"/>
  <c r="D1621" i="8"/>
  <c r="C1621" i="8"/>
  <c r="B1621" i="8"/>
  <c r="A1621" i="8"/>
  <c r="M1620" i="8"/>
  <c r="K1620" i="8"/>
  <c r="J1620" i="8"/>
  <c r="I1620" i="8"/>
  <c r="H1620" i="8"/>
  <c r="G1620" i="8"/>
  <c r="L1620" i="8" s="1"/>
  <c r="F1620" i="8"/>
  <c r="E1620" i="8"/>
  <c r="D1620" i="8"/>
  <c r="C1620" i="8"/>
  <c r="B1620" i="8"/>
  <c r="A1620" i="8"/>
  <c r="M1619" i="8"/>
  <c r="K1619" i="8"/>
  <c r="J1619" i="8"/>
  <c r="I1619" i="8"/>
  <c r="H1619" i="8"/>
  <c r="G1619" i="8"/>
  <c r="L1619" i="8" s="1"/>
  <c r="F1619" i="8"/>
  <c r="E1619" i="8"/>
  <c r="D1619" i="8"/>
  <c r="C1619" i="8"/>
  <c r="B1619" i="8"/>
  <c r="A1619" i="8"/>
  <c r="M1618" i="8"/>
  <c r="L1618" i="8"/>
  <c r="K1618" i="8"/>
  <c r="J1618" i="8"/>
  <c r="I1618" i="8"/>
  <c r="H1618" i="8"/>
  <c r="G1618" i="8"/>
  <c r="F1618" i="8"/>
  <c r="E1618" i="8"/>
  <c r="D1618" i="8"/>
  <c r="C1618" i="8"/>
  <c r="B1618" i="8"/>
  <c r="A1618" i="8"/>
  <c r="M1617" i="8"/>
  <c r="K1617" i="8"/>
  <c r="J1617" i="8"/>
  <c r="I1617" i="8"/>
  <c r="H1617" i="8"/>
  <c r="G1617" i="8"/>
  <c r="L1617" i="8" s="1"/>
  <c r="F1617" i="8"/>
  <c r="E1617" i="8"/>
  <c r="D1617" i="8"/>
  <c r="C1617" i="8"/>
  <c r="B1617" i="8"/>
  <c r="A1617" i="8"/>
  <c r="M1616" i="8"/>
  <c r="L1616" i="8"/>
  <c r="K1616" i="8"/>
  <c r="J1616" i="8"/>
  <c r="I1616" i="8"/>
  <c r="H1616" i="8"/>
  <c r="G1616" i="8"/>
  <c r="F1616" i="8"/>
  <c r="E1616" i="8"/>
  <c r="D1616" i="8"/>
  <c r="C1616" i="8"/>
  <c r="B1616" i="8"/>
  <c r="A1616" i="8"/>
  <c r="M1615" i="8"/>
  <c r="K1615" i="8"/>
  <c r="J1615" i="8"/>
  <c r="I1615" i="8"/>
  <c r="H1615" i="8"/>
  <c r="G1615" i="8"/>
  <c r="L1615" i="8" s="1"/>
  <c r="F1615" i="8"/>
  <c r="E1615" i="8"/>
  <c r="D1615" i="8"/>
  <c r="C1615" i="8"/>
  <c r="B1615" i="8"/>
  <c r="A1615" i="8"/>
  <c r="M1614" i="8"/>
  <c r="L1614" i="8"/>
  <c r="K1614" i="8"/>
  <c r="J1614" i="8"/>
  <c r="I1614" i="8"/>
  <c r="H1614" i="8"/>
  <c r="G1614" i="8"/>
  <c r="F1614" i="8"/>
  <c r="E1614" i="8"/>
  <c r="D1614" i="8"/>
  <c r="C1614" i="8"/>
  <c r="B1614" i="8"/>
  <c r="A1614" i="8"/>
  <c r="M1613" i="8"/>
  <c r="K1613" i="8"/>
  <c r="J1613" i="8"/>
  <c r="I1613" i="8"/>
  <c r="H1613" i="8"/>
  <c r="G1613" i="8"/>
  <c r="L1613" i="8" s="1"/>
  <c r="F1613" i="8"/>
  <c r="E1613" i="8"/>
  <c r="D1613" i="8"/>
  <c r="C1613" i="8"/>
  <c r="B1613" i="8"/>
  <c r="A1613" i="8"/>
  <c r="M1612" i="8"/>
  <c r="K1612" i="8"/>
  <c r="J1612" i="8"/>
  <c r="I1612" i="8"/>
  <c r="H1612" i="8"/>
  <c r="G1612" i="8"/>
  <c r="L1612" i="8" s="1"/>
  <c r="F1612" i="8"/>
  <c r="E1612" i="8"/>
  <c r="D1612" i="8"/>
  <c r="C1612" i="8"/>
  <c r="B1612" i="8"/>
  <c r="A1612" i="8"/>
  <c r="M1611" i="8"/>
  <c r="K1611" i="8"/>
  <c r="J1611" i="8"/>
  <c r="I1611" i="8"/>
  <c r="H1611" i="8"/>
  <c r="G1611" i="8"/>
  <c r="L1611" i="8" s="1"/>
  <c r="F1611" i="8"/>
  <c r="E1611" i="8"/>
  <c r="D1611" i="8"/>
  <c r="C1611" i="8"/>
  <c r="B1611" i="8"/>
  <c r="A1611" i="8"/>
  <c r="M1610" i="8"/>
  <c r="L1610" i="8"/>
  <c r="K1610" i="8"/>
  <c r="J1610" i="8"/>
  <c r="I1610" i="8"/>
  <c r="H1610" i="8"/>
  <c r="G1610" i="8"/>
  <c r="F1610" i="8"/>
  <c r="E1610" i="8"/>
  <c r="D1610" i="8"/>
  <c r="C1610" i="8"/>
  <c r="B1610" i="8"/>
  <c r="A1610" i="8"/>
  <c r="M1609" i="8"/>
  <c r="K1609" i="8"/>
  <c r="J1609" i="8"/>
  <c r="I1609" i="8"/>
  <c r="H1609" i="8"/>
  <c r="G1609" i="8"/>
  <c r="L1609" i="8" s="1"/>
  <c r="F1609" i="8"/>
  <c r="E1609" i="8"/>
  <c r="D1609" i="8"/>
  <c r="C1609" i="8"/>
  <c r="B1609" i="8"/>
  <c r="A1609" i="8"/>
  <c r="M1608" i="8"/>
  <c r="K1608" i="8"/>
  <c r="J1608" i="8"/>
  <c r="I1608" i="8"/>
  <c r="H1608" i="8"/>
  <c r="G1608" i="8"/>
  <c r="L1608" i="8" s="1"/>
  <c r="F1608" i="8"/>
  <c r="E1608" i="8"/>
  <c r="D1608" i="8"/>
  <c r="C1608" i="8"/>
  <c r="B1608" i="8"/>
  <c r="A1608" i="8"/>
  <c r="M1607" i="8"/>
  <c r="K1607" i="8"/>
  <c r="J1607" i="8"/>
  <c r="I1607" i="8"/>
  <c r="H1607" i="8"/>
  <c r="G1607" i="8"/>
  <c r="L1607" i="8" s="1"/>
  <c r="F1607" i="8"/>
  <c r="E1607" i="8"/>
  <c r="D1607" i="8"/>
  <c r="C1607" i="8"/>
  <c r="B1607" i="8"/>
  <c r="A1607" i="8"/>
  <c r="M1606" i="8"/>
  <c r="L1606" i="8"/>
  <c r="K1606" i="8"/>
  <c r="J1606" i="8"/>
  <c r="I1606" i="8"/>
  <c r="H1606" i="8"/>
  <c r="G1606" i="8"/>
  <c r="F1606" i="8"/>
  <c r="E1606" i="8"/>
  <c r="D1606" i="8"/>
  <c r="C1606" i="8"/>
  <c r="B1606" i="8"/>
  <c r="A1606" i="8"/>
  <c r="M1605" i="8"/>
  <c r="K1605" i="8"/>
  <c r="J1605" i="8"/>
  <c r="I1605" i="8"/>
  <c r="H1605" i="8"/>
  <c r="G1605" i="8"/>
  <c r="L1605" i="8" s="1"/>
  <c r="F1605" i="8"/>
  <c r="E1605" i="8"/>
  <c r="D1605" i="8"/>
  <c r="C1605" i="8"/>
  <c r="B1605" i="8"/>
  <c r="A1605" i="8"/>
  <c r="M1604" i="8"/>
  <c r="K1604" i="8"/>
  <c r="J1604" i="8"/>
  <c r="I1604" i="8"/>
  <c r="H1604" i="8"/>
  <c r="G1604" i="8"/>
  <c r="L1604" i="8" s="1"/>
  <c r="F1604" i="8"/>
  <c r="E1604" i="8"/>
  <c r="D1604" i="8"/>
  <c r="C1604" i="8"/>
  <c r="B1604" i="8"/>
  <c r="A1604" i="8"/>
  <c r="M1603" i="8"/>
  <c r="K1603" i="8"/>
  <c r="J1603" i="8"/>
  <c r="I1603" i="8"/>
  <c r="H1603" i="8"/>
  <c r="G1603" i="8"/>
  <c r="L1603" i="8" s="1"/>
  <c r="F1603" i="8"/>
  <c r="E1603" i="8"/>
  <c r="D1603" i="8"/>
  <c r="C1603" i="8"/>
  <c r="B1603" i="8"/>
  <c r="A1603" i="8"/>
  <c r="M1602" i="8"/>
  <c r="L1602" i="8"/>
  <c r="K1602" i="8"/>
  <c r="J1602" i="8"/>
  <c r="I1602" i="8"/>
  <c r="H1602" i="8"/>
  <c r="G1602" i="8"/>
  <c r="F1602" i="8"/>
  <c r="E1602" i="8"/>
  <c r="D1602" i="8"/>
  <c r="C1602" i="8"/>
  <c r="B1602" i="8"/>
  <c r="A1602" i="8"/>
  <c r="M1601" i="8"/>
  <c r="K1601" i="8"/>
  <c r="J1601" i="8"/>
  <c r="I1601" i="8"/>
  <c r="H1601" i="8"/>
  <c r="G1601" i="8"/>
  <c r="L1601" i="8" s="1"/>
  <c r="F1601" i="8"/>
  <c r="E1601" i="8"/>
  <c r="D1601" i="8"/>
  <c r="C1601" i="8"/>
  <c r="B1601" i="8"/>
  <c r="A1601" i="8"/>
  <c r="M1600" i="8"/>
  <c r="K1600" i="8"/>
  <c r="J1600" i="8"/>
  <c r="I1600" i="8"/>
  <c r="H1600" i="8"/>
  <c r="G1600" i="8"/>
  <c r="L1600" i="8" s="1"/>
  <c r="F1600" i="8"/>
  <c r="E1600" i="8"/>
  <c r="D1600" i="8"/>
  <c r="C1600" i="8"/>
  <c r="B1600" i="8"/>
  <c r="A1600" i="8"/>
  <c r="M1599" i="8"/>
  <c r="K1599" i="8"/>
  <c r="J1599" i="8"/>
  <c r="I1599" i="8"/>
  <c r="H1599" i="8"/>
  <c r="G1599" i="8"/>
  <c r="L1599" i="8" s="1"/>
  <c r="F1599" i="8"/>
  <c r="E1599" i="8"/>
  <c r="D1599" i="8"/>
  <c r="C1599" i="8"/>
  <c r="B1599" i="8"/>
  <c r="A1599" i="8"/>
  <c r="M1598" i="8"/>
  <c r="L1598" i="8"/>
  <c r="K1598" i="8"/>
  <c r="J1598" i="8"/>
  <c r="I1598" i="8"/>
  <c r="H1598" i="8"/>
  <c r="G1598" i="8"/>
  <c r="F1598" i="8"/>
  <c r="E1598" i="8"/>
  <c r="D1598" i="8"/>
  <c r="C1598" i="8"/>
  <c r="B1598" i="8"/>
  <c r="A1598" i="8"/>
  <c r="M1597" i="8"/>
  <c r="L1597" i="8"/>
  <c r="K1597" i="8"/>
  <c r="J1597" i="8"/>
  <c r="I1597" i="8"/>
  <c r="H1597" i="8"/>
  <c r="G1597" i="8"/>
  <c r="F1597" i="8"/>
  <c r="E1597" i="8"/>
  <c r="D1597" i="8"/>
  <c r="C1597" i="8"/>
  <c r="B1597" i="8"/>
  <c r="A1597" i="8"/>
  <c r="M1596" i="8"/>
  <c r="K1596" i="8"/>
  <c r="J1596" i="8"/>
  <c r="I1596" i="8"/>
  <c r="H1596" i="8"/>
  <c r="G1596" i="8"/>
  <c r="L1596" i="8" s="1"/>
  <c r="F1596" i="8"/>
  <c r="E1596" i="8"/>
  <c r="D1596" i="8"/>
  <c r="C1596" i="8"/>
  <c r="B1596" i="8"/>
  <c r="A1596" i="8"/>
  <c r="M1595" i="8"/>
  <c r="K1595" i="8"/>
  <c r="J1595" i="8"/>
  <c r="I1595" i="8"/>
  <c r="H1595" i="8"/>
  <c r="G1595" i="8"/>
  <c r="L1595" i="8" s="1"/>
  <c r="F1595" i="8"/>
  <c r="E1595" i="8"/>
  <c r="D1595" i="8"/>
  <c r="C1595" i="8"/>
  <c r="B1595" i="8"/>
  <c r="A1595" i="8"/>
  <c r="M1594" i="8"/>
  <c r="L1594" i="8"/>
  <c r="K1594" i="8"/>
  <c r="J1594" i="8"/>
  <c r="I1594" i="8"/>
  <c r="H1594" i="8"/>
  <c r="G1594" i="8"/>
  <c r="F1594" i="8"/>
  <c r="E1594" i="8"/>
  <c r="D1594" i="8"/>
  <c r="C1594" i="8"/>
  <c r="B1594" i="8"/>
  <c r="A1594" i="8"/>
  <c r="M1593" i="8"/>
  <c r="L1593" i="8"/>
  <c r="K1593" i="8"/>
  <c r="J1593" i="8"/>
  <c r="I1593" i="8"/>
  <c r="H1593" i="8"/>
  <c r="G1593" i="8"/>
  <c r="F1593" i="8"/>
  <c r="E1593" i="8"/>
  <c r="D1593" i="8"/>
  <c r="C1593" i="8"/>
  <c r="B1593" i="8"/>
  <c r="A1593" i="8"/>
  <c r="M1592" i="8"/>
  <c r="K1592" i="8"/>
  <c r="J1592" i="8"/>
  <c r="I1592" i="8"/>
  <c r="H1592" i="8"/>
  <c r="G1592" i="8"/>
  <c r="L1592" i="8" s="1"/>
  <c r="F1592" i="8"/>
  <c r="E1592" i="8"/>
  <c r="D1592" i="8"/>
  <c r="C1592" i="8"/>
  <c r="B1592" i="8"/>
  <c r="A1592" i="8"/>
  <c r="M1591" i="8"/>
  <c r="K1591" i="8"/>
  <c r="J1591" i="8"/>
  <c r="I1591" i="8"/>
  <c r="H1591" i="8"/>
  <c r="G1591" i="8"/>
  <c r="L1591" i="8" s="1"/>
  <c r="F1591" i="8"/>
  <c r="E1591" i="8"/>
  <c r="D1591" i="8"/>
  <c r="C1591" i="8"/>
  <c r="B1591" i="8"/>
  <c r="A1591" i="8"/>
  <c r="M1590" i="8"/>
  <c r="L1590" i="8"/>
  <c r="K1590" i="8"/>
  <c r="J1590" i="8"/>
  <c r="I1590" i="8"/>
  <c r="H1590" i="8"/>
  <c r="G1590" i="8"/>
  <c r="F1590" i="8"/>
  <c r="E1590" i="8"/>
  <c r="D1590" i="8"/>
  <c r="C1590" i="8"/>
  <c r="B1590" i="8"/>
  <c r="A1590" i="8"/>
  <c r="M1589" i="8"/>
  <c r="K1589" i="8"/>
  <c r="J1589" i="8"/>
  <c r="I1589" i="8"/>
  <c r="H1589" i="8"/>
  <c r="G1589" i="8"/>
  <c r="L1589" i="8" s="1"/>
  <c r="F1589" i="8"/>
  <c r="E1589" i="8"/>
  <c r="D1589" i="8"/>
  <c r="C1589" i="8"/>
  <c r="B1589" i="8"/>
  <c r="A1589" i="8"/>
  <c r="M1588" i="8"/>
  <c r="K1588" i="8"/>
  <c r="J1588" i="8"/>
  <c r="I1588" i="8"/>
  <c r="H1588" i="8"/>
  <c r="G1588" i="8"/>
  <c r="L1588" i="8" s="1"/>
  <c r="F1588" i="8"/>
  <c r="E1588" i="8"/>
  <c r="D1588" i="8"/>
  <c r="C1588" i="8"/>
  <c r="B1588" i="8"/>
  <c r="A1588" i="8"/>
  <c r="M1587" i="8"/>
  <c r="K1587" i="8"/>
  <c r="J1587" i="8"/>
  <c r="I1587" i="8"/>
  <c r="H1587" i="8"/>
  <c r="G1587" i="8"/>
  <c r="L1587" i="8" s="1"/>
  <c r="F1587" i="8"/>
  <c r="E1587" i="8"/>
  <c r="D1587" i="8"/>
  <c r="C1587" i="8"/>
  <c r="B1587" i="8"/>
  <c r="A1587" i="8"/>
  <c r="M1586" i="8"/>
  <c r="L1586" i="8"/>
  <c r="K1586" i="8"/>
  <c r="J1586" i="8"/>
  <c r="I1586" i="8"/>
  <c r="H1586" i="8"/>
  <c r="G1586" i="8"/>
  <c r="F1586" i="8"/>
  <c r="E1586" i="8"/>
  <c r="D1586" i="8"/>
  <c r="C1586" i="8"/>
  <c r="B1586" i="8"/>
  <c r="A1586" i="8"/>
  <c r="M1585" i="8"/>
  <c r="K1585" i="8"/>
  <c r="J1585" i="8"/>
  <c r="I1585" i="8"/>
  <c r="H1585" i="8"/>
  <c r="G1585" i="8"/>
  <c r="L1585" i="8" s="1"/>
  <c r="F1585" i="8"/>
  <c r="E1585" i="8"/>
  <c r="D1585" i="8"/>
  <c r="C1585" i="8"/>
  <c r="B1585" i="8"/>
  <c r="A1585" i="8"/>
  <c r="M1584" i="8"/>
  <c r="K1584" i="8"/>
  <c r="J1584" i="8"/>
  <c r="I1584" i="8"/>
  <c r="H1584" i="8"/>
  <c r="G1584" i="8"/>
  <c r="L1584" i="8" s="1"/>
  <c r="F1584" i="8"/>
  <c r="E1584" i="8"/>
  <c r="D1584" i="8"/>
  <c r="C1584" i="8"/>
  <c r="B1584" i="8"/>
  <c r="A1584" i="8"/>
  <c r="M1583" i="8"/>
  <c r="K1583" i="8"/>
  <c r="J1583" i="8"/>
  <c r="I1583" i="8"/>
  <c r="H1583" i="8"/>
  <c r="G1583" i="8"/>
  <c r="L1583" i="8" s="1"/>
  <c r="F1583" i="8"/>
  <c r="E1583" i="8"/>
  <c r="D1583" i="8"/>
  <c r="C1583" i="8"/>
  <c r="B1583" i="8"/>
  <c r="A1583" i="8"/>
  <c r="M1582" i="8"/>
  <c r="L1582" i="8"/>
  <c r="K1582" i="8"/>
  <c r="J1582" i="8"/>
  <c r="I1582" i="8"/>
  <c r="H1582" i="8"/>
  <c r="G1582" i="8"/>
  <c r="F1582" i="8"/>
  <c r="E1582" i="8"/>
  <c r="D1582" i="8"/>
  <c r="C1582" i="8"/>
  <c r="B1582" i="8"/>
  <c r="A1582" i="8"/>
  <c r="M1581" i="8"/>
  <c r="K1581" i="8"/>
  <c r="J1581" i="8"/>
  <c r="I1581" i="8"/>
  <c r="H1581" i="8"/>
  <c r="G1581" i="8"/>
  <c r="L1581" i="8" s="1"/>
  <c r="F1581" i="8"/>
  <c r="E1581" i="8"/>
  <c r="D1581" i="8"/>
  <c r="C1581" i="8"/>
  <c r="B1581" i="8"/>
  <c r="A1581" i="8"/>
  <c r="M1580" i="8"/>
  <c r="K1580" i="8"/>
  <c r="J1580" i="8"/>
  <c r="I1580" i="8"/>
  <c r="H1580" i="8"/>
  <c r="G1580" i="8"/>
  <c r="L1580" i="8" s="1"/>
  <c r="F1580" i="8"/>
  <c r="E1580" i="8"/>
  <c r="D1580" i="8"/>
  <c r="C1580" i="8"/>
  <c r="B1580" i="8"/>
  <c r="A1580" i="8"/>
  <c r="M1579" i="8"/>
  <c r="K1579" i="8"/>
  <c r="J1579" i="8"/>
  <c r="I1579" i="8"/>
  <c r="H1579" i="8"/>
  <c r="G1579" i="8"/>
  <c r="L1579" i="8" s="1"/>
  <c r="F1579" i="8"/>
  <c r="E1579" i="8"/>
  <c r="D1579" i="8"/>
  <c r="C1579" i="8"/>
  <c r="B1579" i="8"/>
  <c r="A1579" i="8"/>
  <c r="M1578" i="8"/>
  <c r="L1578" i="8"/>
  <c r="K1578" i="8"/>
  <c r="J1578" i="8"/>
  <c r="I1578" i="8"/>
  <c r="H1578" i="8"/>
  <c r="G1578" i="8"/>
  <c r="F1578" i="8"/>
  <c r="E1578" i="8"/>
  <c r="D1578" i="8"/>
  <c r="C1578" i="8"/>
  <c r="B1578" i="8"/>
  <c r="A1578" i="8"/>
  <c r="M1577" i="8"/>
  <c r="K1577" i="8"/>
  <c r="J1577" i="8"/>
  <c r="I1577" i="8"/>
  <c r="H1577" i="8"/>
  <c r="G1577" i="8"/>
  <c r="L1577" i="8" s="1"/>
  <c r="F1577" i="8"/>
  <c r="E1577" i="8"/>
  <c r="D1577" i="8"/>
  <c r="C1577" i="8"/>
  <c r="B1577" i="8"/>
  <c r="A1577" i="8"/>
  <c r="M1576" i="8"/>
  <c r="K1576" i="8"/>
  <c r="J1576" i="8"/>
  <c r="I1576" i="8"/>
  <c r="H1576" i="8"/>
  <c r="G1576" i="8"/>
  <c r="L1576" i="8" s="1"/>
  <c r="F1576" i="8"/>
  <c r="E1576" i="8"/>
  <c r="D1576" i="8"/>
  <c r="C1576" i="8"/>
  <c r="B1576" i="8"/>
  <c r="A1576" i="8"/>
  <c r="M1575" i="8"/>
  <c r="K1575" i="8"/>
  <c r="J1575" i="8"/>
  <c r="I1575" i="8"/>
  <c r="H1575" i="8"/>
  <c r="G1575" i="8"/>
  <c r="L1575" i="8" s="1"/>
  <c r="F1575" i="8"/>
  <c r="E1575" i="8"/>
  <c r="D1575" i="8"/>
  <c r="C1575" i="8"/>
  <c r="B1575" i="8"/>
  <c r="A1575" i="8"/>
  <c r="M1574" i="8"/>
  <c r="L1574" i="8"/>
  <c r="K1574" i="8"/>
  <c r="J1574" i="8"/>
  <c r="I1574" i="8"/>
  <c r="H1574" i="8"/>
  <c r="G1574" i="8"/>
  <c r="F1574" i="8"/>
  <c r="E1574" i="8"/>
  <c r="D1574" i="8"/>
  <c r="C1574" i="8"/>
  <c r="B1574" i="8"/>
  <c r="A1574" i="8"/>
  <c r="M1573" i="8"/>
  <c r="K1573" i="8"/>
  <c r="J1573" i="8"/>
  <c r="I1573" i="8"/>
  <c r="H1573" i="8"/>
  <c r="G1573" i="8"/>
  <c r="L1573" i="8" s="1"/>
  <c r="F1573" i="8"/>
  <c r="E1573" i="8"/>
  <c r="D1573" i="8"/>
  <c r="C1573" i="8"/>
  <c r="B1573" i="8"/>
  <c r="A1573" i="8"/>
  <c r="M1572" i="8"/>
  <c r="K1572" i="8"/>
  <c r="J1572" i="8"/>
  <c r="I1572" i="8"/>
  <c r="H1572" i="8"/>
  <c r="G1572" i="8"/>
  <c r="L1572" i="8" s="1"/>
  <c r="F1572" i="8"/>
  <c r="E1572" i="8"/>
  <c r="D1572" i="8"/>
  <c r="C1572" i="8"/>
  <c r="B1572" i="8"/>
  <c r="A1572" i="8"/>
  <c r="M1571" i="8"/>
  <c r="K1571" i="8"/>
  <c r="J1571" i="8"/>
  <c r="I1571" i="8"/>
  <c r="H1571" i="8"/>
  <c r="G1571" i="8"/>
  <c r="L1571" i="8" s="1"/>
  <c r="F1571" i="8"/>
  <c r="E1571" i="8"/>
  <c r="D1571" i="8"/>
  <c r="C1571" i="8"/>
  <c r="B1571" i="8"/>
  <c r="A1571" i="8"/>
  <c r="M1570" i="8"/>
  <c r="L1570" i="8"/>
  <c r="K1570" i="8"/>
  <c r="J1570" i="8"/>
  <c r="I1570" i="8"/>
  <c r="H1570" i="8"/>
  <c r="G1570" i="8"/>
  <c r="F1570" i="8"/>
  <c r="E1570" i="8"/>
  <c r="D1570" i="8"/>
  <c r="C1570" i="8"/>
  <c r="B1570" i="8"/>
  <c r="A1570" i="8"/>
  <c r="M1569" i="8"/>
  <c r="K1569" i="8"/>
  <c r="J1569" i="8"/>
  <c r="I1569" i="8"/>
  <c r="H1569" i="8"/>
  <c r="G1569" i="8"/>
  <c r="L1569" i="8" s="1"/>
  <c r="F1569" i="8"/>
  <c r="E1569" i="8"/>
  <c r="D1569" i="8"/>
  <c r="C1569" i="8"/>
  <c r="B1569" i="8"/>
  <c r="A1569" i="8"/>
  <c r="M1568" i="8"/>
  <c r="K1568" i="8"/>
  <c r="J1568" i="8"/>
  <c r="I1568" i="8"/>
  <c r="H1568" i="8"/>
  <c r="G1568" i="8"/>
  <c r="L1568" i="8" s="1"/>
  <c r="F1568" i="8"/>
  <c r="E1568" i="8"/>
  <c r="D1568" i="8"/>
  <c r="C1568" i="8"/>
  <c r="B1568" i="8"/>
  <c r="A1568" i="8"/>
  <c r="M1567" i="8"/>
  <c r="K1567" i="8"/>
  <c r="J1567" i="8"/>
  <c r="I1567" i="8"/>
  <c r="H1567" i="8"/>
  <c r="G1567" i="8"/>
  <c r="L1567" i="8" s="1"/>
  <c r="F1567" i="8"/>
  <c r="E1567" i="8"/>
  <c r="D1567" i="8"/>
  <c r="C1567" i="8"/>
  <c r="B1567" i="8"/>
  <c r="A1567" i="8"/>
  <c r="M1566" i="8"/>
  <c r="L1566" i="8"/>
  <c r="K1566" i="8"/>
  <c r="J1566" i="8"/>
  <c r="I1566" i="8"/>
  <c r="H1566" i="8"/>
  <c r="G1566" i="8"/>
  <c r="F1566" i="8"/>
  <c r="E1566" i="8"/>
  <c r="D1566" i="8"/>
  <c r="C1566" i="8"/>
  <c r="B1566" i="8"/>
  <c r="A1566" i="8"/>
  <c r="M1565" i="8"/>
  <c r="K1565" i="8"/>
  <c r="J1565" i="8"/>
  <c r="I1565" i="8"/>
  <c r="H1565" i="8"/>
  <c r="G1565" i="8"/>
  <c r="L1565" i="8" s="1"/>
  <c r="F1565" i="8"/>
  <c r="E1565" i="8"/>
  <c r="D1565" i="8"/>
  <c r="C1565" i="8"/>
  <c r="B1565" i="8"/>
  <c r="A1565" i="8"/>
  <c r="M1564" i="8"/>
  <c r="K1564" i="8"/>
  <c r="J1564" i="8"/>
  <c r="I1564" i="8"/>
  <c r="H1564" i="8"/>
  <c r="G1564" i="8"/>
  <c r="L1564" i="8" s="1"/>
  <c r="F1564" i="8"/>
  <c r="E1564" i="8"/>
  <c r="D1564" i="8"/>
  <c r="C1564" i="8"/>
  <c r="B1564" i="8"/>
  <c r="A1564" i="8"/>
  <c r="M1563" i="8"/>
  <c r="K1563" i="8"/>
  <c r="J1563" i="8"/>
  <c r="I1563" i="8"/>
  <c r="H1563" i="8"/>
  <c r="G1563" i="8"/>
  <c r="L1563" i="8" s="1"/>
  <c r="F1563" i="8"/>
  <c r="E1563" i="8"/>
  <c r="D1563" i="8"/>
  <c r="C1563" i="8"/>
  <c r="B1563" i="8"/>
  <c r="A1563" i="8"/>
  <c r="M1562" i="8"/>
  <c r="L1562" i="8"/>
  <c r="K1562" i="8"/>
  <c r="J1562" i="8"/>
  <c r="I1562" i="8"/>
  <c r="H1562" i="8"/>
  <c r="G1562" i="8"/>
  <c r="F1562" i="8"/>
  <c r="E1562" i="8"/>
  <c r="D1562" i="8"/>
  <c r="C1562" i="8"/>
  <c r="B1562" i="8"/>
  <c r="A1562" i="8"/>
  <c r="M1561" i="8"/>
  <c r="K1561" i="8"/>
  <c r="J1561" i="8"/>
  <c r="I1561" i="8"/>
  <c r="H1561" i="8"/>
  <c r="G1561" i="8"/>
  <c r="L1561" i="8" s="1"/>
  <c r="F1561" i="8"/>
  <c r="E1561" i="8"/>
  <c r="D1561" i="8"/>
  <c r="C1561" i="8"/>
  <c r="B1561" i="8"/>
  <c r="A1561" i="8"/>
  <c r="M1560" i="8"/>
  <c r="K1560" i="8"/>
  <c r="J1560" i="8"/>
  <c r="I1560" i="8"/>
  <c r="H1560" i="8"/>
  <c r="G1560" i="8"/>
  <c r="L1560" i="8" s="1"/>
  <c r="F1560" i="8"/>
  <c r="E1560" i="8"/>
  <c r="D1560" i="8"/>
  <c r="C1560" i="8"/>
  <c r="B1560" i="8"/>
  <c r="A1560" i="8"/>
  <c r="M1559" i="8"/>
  <c r="K1559" i="8"/>
  <c r="J1559" i="8"/>
  <c r="I1559" i="8"/>
  <c r="H1559" i="8"/>
  <c r="G1559" i="8"/>
  <c r="L1559" i="8" s="1"/>
  <c r="F1559" i="8"/>
  <c r="E1559" i="8"/>
  <c r="D1559" i="8"/>
  <c r="C1559" i="8"/>
  <c r="B1559" i="8"/>
  <c r="A1559" i="8"/>
  <c r="M1558" i="8"/>
  <c r="L1558" i="8"/>
  <c r="K1558" i="8"/>
  <c r="J1558" i="8"/>
  <c r="I1558" i="8"/>
  <c r="H1558" i="8"/>
  <c r="G1558" i="8"/>
  <c r="F1558" i="8"/>
  <c r="E1558" i="8"/>
  <c r="D1558" i="8"/>
  <c r="C1558" i="8"/>
  <c r="B1558" i="8"/>
  <c r="A1558" i="8"/>
  <c r="M1557" i="8"/>
  <c r="K1557" i="8"/>
  <c r="J1557" i="8"/>
  <c r="I1557" i="8"/>
  <c r="H1557" i="8"/>
  <c r="G1557" i="8"/>
  <c r="L1557" i="8" s="1"/>
  <c r="F1557" i="8"/>
  <c r="E1557" i="8"/>
  <c r="D1557" i="8"/>
  <c r="C1557" i="8"/>
  <c r="B1557" i="8"/>
  <c r="A1557" i="8"/>
  <c r="M1556" i="8"/>
  <c r="K1556" i="8"/>
  <c r="J1556" i="8"/>
  <c r="I1556" i="8"/>
  <c r="H1556" i="8"/>
  <c r="G1556" i="8"/>
  <c r="L1556" i="8" s="1"/>
  <c r="F1556" i="8"/>
  <c r="E1556" i="8"/>
  <c r="D1556" i="8"/>
  <c r="C1556" i="8"/>
  <c r="B1556" i="8"/>
  <c r="A1556" i="8"/>
  <c r="M1555" i="8"/>
  <c r="K1555" i="8"/>
  <c r="J1555" i="8"/>
  <c r="I1555" i="8"/>
  <c r="H1555" i="8"/>
  <c r="G1555" i="8"/>
  <c r="L1555" i="8" s="1"/>
  <c r="F1555" i="8"/>
  <c r="E1555" i="8"/>
  <c r="D1555" i="8"/>
  <c r="C1555" i="8"/>
  <c r="B1555" i="8"/>
  <c r="A1555" i="8"/>
  <c r="M1554" i="8"/>
  <c r="L1554" i="8"/>
  <c r="K1554" i="8"/>
  <c r="J1554" i="8"/>
  <c r="I1554" i="8"/>
  <c r="H1554" i="8"/>
  <c r="G1554" i="8"/>
  <c r="F1554" i="8"/>
  <c r="E1554" i="8"/>
  <c r="D1554" i="8"/>
  <c r="C1554" i="8"/>
  <c r="B1554" i="8"/>
  <c r="A1554" i="8"/>
  <c r="M1553" i="8"/>
  <c r="K1553" i="8"/>
  <c r="J1553" i="8"/>
  <c r="I1553" i="8"/>
  <c r="H1553" i="8"/>
  <c r="G1553" i="8"/>
  <c r="L1553" i="8" s="1"/>
  <c r="F1553" i="8"/>
  <c r="E1553" i="8"/>
  <c r="D1553" i="8"/>
  <c r="C1553" i="8"/>
  <c r="B1553" i="8"/>
  <c r="A1553" i="8"/>
  <c r="M1552" i="8"/>
  <c r="K1552" i="8"/>
  <c r="J1552" i="8"/>
  <c r="I1552" i="8"/>
  <c r="H1552" i="8"/>
  <c r="G1552" i="8"/>
  <c r="L1552" i="8" s="1"/>
  <c r="F1552" i="8"/>
  <c r="E1552" i="8"/>
  <c r="D1552" i="8"/>
  <c r="C1552" i="8"/>
  <c r="B1552" i="8"/>
  <c r="A1552" i="8"/>
  <c r="M1551" i="8"/>
  <c r="K1551" i="8"/>
  <c r="J1551" i="8"/>
  <c r="I1551" i="8"/>
  <c r="H1551" i="8"/>
  <c r="G1551" i="8"/>
  <c r="L1551" i="8" s="1"/>
  <c r="F1551" i="8"/>
  <c r="E1551" i="8"/>
  <c r="D1551" i="8"/>
  <c r="C1551" i="8"/>
  <c r="B1551" i="8"/>
  <c r="A1551" i="8"/>
  <c r="M1550" i="8"/>
  <c r="L1550" i="8"/>
  <c r="K1550" i="8"/>
  <c r="J1550" i="8"/>
  <c r="I1550" i="8"/>
  <c r="H1550" i="8"/>
  <c r="G1550" i="8"/>
  <c r="F1550" i="8"/>
  <c r="E1550" i="8"/>
  <c r="D1550" i="8"/>
  <c r="C1550" i="8"/>
  <c r="B1550" i="8"/>
  <c r="A1550" i="8"/>
  <c r="M1549" i="8"/>
  <c r="K1549" i="8"/>
  <c r="J1549" i="8"/>
  <c r="I1549" i="8"/>
  <c r="H1549" i="8"/>
  <c r="G1549" i="8"/>
  <c r="L1549" i="8" s="1"/>
  <c r="F1549" i="8"/>
  <c r="E1549" i="8"/>
  <c r="D1549" i="8"/>
  <c r="C1549" i="8"/>
  <c r="B1549" i="8"/>
  <c r="A1549" i="8"/>
  <c r="M1548" i="8"/>
  <c r="K1548" i="8"/>
  <c r="J1548" i="8"/>
  <c r="I1548" i="8"/>
  <c r="H1548" i="8"/>
  <c r="G1548" i="8"/>
  <c r="L1548" i="8" s="1"/>
  <c r="F1548" i="8"/>
  <c r="E1548" i="8"/>
  <c r="D1548" i="8"/>
  <c r="C1548" i="8"/>
  <c r="B1548" i="8"/>
  <c r="A1548" i="8"/>
  <c r="M1547" i="8"/>
  <c r="K1547" i="8"/>
  <c r="J1547" i="8"/>
  <c r="I1547" i="8"/>
  <c r="H1547" i="8"/>
  <c r="G1547" i="8"/>
  <c r="L1547" i="8" s="1"/>
  <c r="F1547" i="8"/>
  <c r="E1547" i="8"/>
  <c r="D1547" i="8"/>
  <c r="C1547" i="8"/>
  <c r="B1547" i="8"/>
  <c r="A1547" i="8"/>
  <c r="M1546" i="8"/>
  <c r="L1546" i="8"/>
  <c r="K1546" i="8"/>
  <c r="J1546" i="8"/>
  <c r="I1546" i="8"/>
  <c r="H1546" i="8"/>
  <c r="G1546" i="8"/>
  <c r="F1546" i="8"/>
  <c r="E1546" i="8"/>
  <c r="D1546" i="8"/>
  <c r="C1546" i="8"/>
  <c r="B1546" i="8"/>
  <c r="A1546" i="8"/>
  <c r="M1545" i="8"/>
  <c r="K1545" i="8"/>
  <c r="J1545" i="8"/>
  <c r="I1545" i="8"/>
  <c r="H1545" i="8"/>
  <c r="G1545" i="8"/>
  <c r="L1545" i="8" s="1"/>
  <c r="F1545" i="8"/>
  <c r="E1545" i="8"/>
  <c r="D1545" i="8"/>
  <c r="C1545" i="8"/>
  <c r="B1545" i="8"/>
  <c r="A1545" i="8"/>
  <c r="M1544" i="8"/>
  <c r="K1544" i="8"/>
  <c r="J1544" i="8"/>
  <c r="I1544" i="8"/>
  <c r="H1544" i="8"/>
  <c r="G1544" i="8"/>
  <c r="L1544" i="8" s="1"/>
  <c r="F1544" i="8"/>
  <c r="E1544" i="8"/>
  <c r="D1544" i="8"/>
  <c r="C1544" i="8"/>
  <c r="B1544" i="8"/>
  <c r="A1544" i="8"/>
  <c r="M1543" i="8"/>
  <c r="K1543" i="8"/>
  <c r="J1543" i="8"/>
  <c r="I1543" i="8"/>
  <c r="H1543" i="8"/>
  <c r="G1543" i="8"/>
  <c r="L1543" i="8" s="1"/>
  <c r="F1543" i="8"/>
  <c r="E1543" i="8"/>
  <c r="D1543" i="8"/>
  <c r="C1543" i="8"/>
  <c r="B1543" i="8"/>
  <c r="A1543" i="8"/>
  <c r="M1542" i="8"/>
  <c r="L1542" i="8"/>
  <c r="K1542" i="8"/>
  <c r="J1542" i="8"/>
  <c r="I1542" i="8"/>
  <c r="H1542" i="8"/>
  <c r="G1542" i="8"/>
  <c r="F1542" i="8"/>
  <c r="E1542" i="8"/>
  <c r="D1542" i="8"/>
  <c r="C1542" i="8"/>
  <c r="B1542" i="8"/>
  <c r="A1542" i="8"/>
  <c r="M1541" i="8"/>
  <c r="K1541" i="8"/>
  <c r="J1541" i="8"/>
  <c r="I1541" i="8"/>
  <c r="H1541" i="8"/>
  <c r="G1541" i="8"/>
  <c r="L1541" i="8" s="1"/>
  <c r="F1541" i="8"/>
  <c r="E1541" i="8"/>
  <c r="D1541" i="8"/>
  <c r="C1541" i="8"/>
  <c r="B1541" i="8"/>
  <c r="A1541" i="8"/>
  <c r="M1540" i="8"/>
  <c r="K1540" i="8"/>
  <c r="J1540" i="8"/>
  <c r="I1540" i="8"/>
  <c r="H1540" i="8"/>
  <c r="G1540" i="8"/>
  <c r="L1540" i="8" s="1"/>
  <c r="F1540" i="8"/>
  <c r="E1540" i="8"/>
  <c r="D1540" i="8"/>
  <c r="C1540" i="8"/>
  <c r="B1540" i="8"/>
  <c r="A1540" i="8"/>
  <c r="M1539" i="8"/>
  <c r="K1539" i="8"/>
  <c r="J1539" i="8"/>
  <c r="I1539" i="8"/>
  <c r="H1539" i="8"/>
  <c r="G1539" i="8"/>
  <c r="L1539" i="8" s="1"/>
  <c r="F1539" i="8"/>
  <c r="E1539" i="8"/>
  <c r="D1539" i="8"/>
  <c r="C1539" i="8"/>
  <c r="B1539" i="8"/>
  <c r="A1539" i="8"/>
  <c r="M1538" i="8"/>
  <c r="L1538" i="8"/>
  <c r="K1538" i="8"/>
  <c r="J1538" i="8"/>
  <c r="I1538" i="8"/>
  <c r="H1538" i="8"/>
  <c r="G1538" i="8"/>
  <c r="F1538" i="8"/>
  <c r="E1538" i="8"/>
  <c r="D1538" i="8"/>
  <c r="C1538" i="8"/>
  <c r="B1538" i="8"/>
  <c r="A1538" i="8"/>
  <c r="M1537" i="8"/>
  <c r="K1537" i="8"/>
  <c r="J1537" i="8"/>
  <c r="I1537" i="8"/>
  <c r="H1537" i="8"/>
  <c r="G1537" i="8"/>
  <c r="L1537" i="8" s="1"/>
  <c r="F1537" i="8"/>
  <c r="E1537" i="8"/>
  <c r="D1537" i="8"/>
  <c r="C1537" i="8"/>
  <c r="B1537" i="8"/>
  <c r="A1537" i="8"/>
  <c r="M1536" i="8"/>
  <c r="L1536" i="8"/>
  <c r="K1536" i="8"/>
  <c r="J1536" i="8"/>
  <c r="I1536" i="8"/>
  <c r="H1536" i="8"/>
  <c r="G1536" i="8"/>
  <c r="F1536" i="8"/>
  <c r="E1536" i="8"/>
  <c r="D1536" i="8"/>
  <c r="C1536" i="8"/>
  <c r="B1536" i="8"/>
  <c r="A1536" i="8"/>
  <c r="M1535" i="8"/>
  <c r="K1535" i="8"/>
  <c r="J1535" i="8"/>
  <c r="I1535" i="8"/>
  <c r="H1535" i="8"/>
  <c r="G1535" i="8"/>
  <c r="L1535" i="8" s="1"/>
  <c r="F1535" i="8"/>
  <c r="E1535" i="8"/>
  <c r="D1535" i="8"/>
  <c r="C1535" i="8"/>
  <c r="B1535" i="8"/>
  <c r="A1535" i="8"/>
  <c r="M1534" i="8"/>
  <c r="L1534" i="8"/>
  <c r="K1534" i="8"/>
  <c r="J1534" i="8"/>
  <c r="I1534" i="8"/>
  <c r="H1534" i="8"/>
  <c r="G1534" i="8"/>
  <c r="F1534" i="8"/>
  <c r="E1534" i="8"/>
  <c r="D1534" i="8"/>
  <c r="C1534" i="8"/>
  <c r="B1534" i="8"/>
  <c r="A1534" i="8"/>
  <c r="M1533" i="8"/>
  <c r="L1533" i="8"/>
  <c r="K1533" i="8"/>
  <c r="J1533" i="8"/>
  <c r="I1533" i="8"/>
  <c r="H1533" i="8"/>
  <c r="G1533" i="8"/>
  <c r="F1533" i="8"/>
  <c r="E1533" i="8"/>
  <c r="D1533" i="8"/>
  <c r="C1533" i="8"/>
  <c r="B1533" i="8"/>
  <c r="A1533" i="8"/>
  <c r="M1532" i="8"/>
  <c r="K1532" i="8"/>
  <c r="J1532" i="8"/>
  <c r="I1532" i="8"/>
  <c r="H1532" i="8"/>
  <c r="G1532" i="8"/>
  <c r="L1532" i="8" s="1"/>
  <c r="F1532" i="8"/>
  <c r="E1532" i="8"/>
  <c r="D1532" i="8"/>
  <c r="C1532" i="8"/>
  <c r="B1532" i="8"/>
  <c r="A1532" i="8"/>
  <c r="M1531" i="8"/>
  <c r="K1531" i="8"/>
  <c r="J1531" i="8"/>
  <c r="I1531" i="8"/>
  <c r="H1531" i="8"/>
  <c r="G1531" i="8"/>
  <c r="L1531" i="8" s="1"/>
  <c r="F1531" i="8"/>
  <c r="E1531" i="8"/>
  <c r="D1531" i="8"/>
  <c r="C1531" i="8"/>
  <c r="B1531" i="8"/>
  <c r="A1531" i="8"/>
  <c r="M1530" i="8"/>
  <c r="L1530" i="8"/>
  <c r="K1530" i="8"/>
  <c r="J1530" i="8"/>
  <c r="I1530" i="8"/>
  <c r="H1530" i="8"/>
  <c r="G1530" i="8"/>
  <c r="F1530" i="8"/>
  <c r="E1530" i="8"/>
  <c r="D1530" i="8"/>
  <c r="C1530" i="8"/>
  <c r="B1530" i="8"/>
  <c r="A1530" i="8"/>
  <c r="M1529" i="8"/>
  <c r="L1529" i="8"/>
  <c r="K1529" i="8"/>
  <c r="J1529" i="8"/>
  <c r="I1529" i="8"/>
  <c r="H1529" i="8"/>
  <c r="G1529" i="8"/>
  <c r="F1529" i="8"/>
  <c r="E1529" i="8"/>
  <c r="D1529" i="8"/>
  <c r="C1529" i="8"/>
  <c r="B1529" i="8"/>
  <c r="A1529" i="8"/>
  <c r="M1528" i="8"/>
  <c r="K1528" i="8"/>
  <c r="J1528" i="8"/>
  <c r="I1528" i="8"/>
  <c r="H1528" i="8"/>
  <c r="G1528" i="8"/>
  <c r="L1528" i="8" s="1"/>
  <c r="F1528" i="8"/>
  <c r="E1528" i="8"/>
  <c r="D1528" i="8"/>
  <c r="C1528" i="8"/>
  <c r="B1528" i="8"/>
  <c r="A1528" i="8"/>
  <c r="M1527" i="8"/>
  <c r="K1527" i="8"/>
  <c r="J1527" i="8"/>
  <c r="I1527" i="8"/>
  <c r="H1527" i="8"/>
  <c r="G1527" i="8"/>
  <c r="L1527" i="8" s="1"/>
  <c r="F1527" i="8"/>
  <c r="E1527" i="8"/>
  <c r="D1527" i="8"/>
  <c r="C1527" i="8"/>
  <c r="B1527" i="8"/>
  <c r="A1527" i="8"/>
  <c r="M1526" i="8"/>
  <c r="L1526" i="8"/>
  <c r="K1526" i="8"/>
  <c r="J1526" i="8"/>
  <c r="I1526" i="8"/>
  <c r="H1526" i="8"/>
  <c r="G1526" i="8"/>
  <c r="F1526" i="8"/>
  <c r="E1526" i="8"/>
  <c r="D1526" i="8"/>
  <c r="C1526" i="8"/>
  <c r="B1526" i="8"/>
  <c r="A1526" i="8"/>
  <c r="M1525" i="8"/>
  <c r="L1525" i="8"/>
  <c r="K1525" i="8"/>
  <c r="J1525" i="8"/>
  <c r="I1525" i="8"/>
  <c r="H1525" i="8"/>
  <c r="G1525" i="8"/>
  <c r="F1525" i="8"/>
  <c r="E1525" i="8"/>
  <c r="D1525" i="8"/>
  <c r="C1525" i="8"/>
  <c r="B1525" i="8"/>
  <c r="A1525" i="8"/>
  <c r="M1524" i="8"/>
  <c r="K1524" i="8"/>
  <c r="J1524" i="8"/>
  <c r="I1524" i="8"/>
  <c r="H1524" i="8"/>
  <c r="G1524" i="8"/>
  <c r="L1524" i="8" s="1"/>
  <c r="F1524" i="8"/>
  <c r="E1524" i="8"/>
  <c r="D1524" i="8"/>
  <c r="C1524" i="8"/>
  <c r="B1524" i="8"/>
  <c r="A1524" i="8"/>
  <c r="M1523" i="8"/>
  <c r="K1523" i="8"/>
  <c r="J1523" i="8"/>
  <c r="I1523" i="8"/>
  <c r="H1523" i="8"/>
  <c r="G1523" i="8"/>
  <c r="L1523" i="8" s="1"/>
  <c r="F1523" i="8"/>
  <c r="E1523" i="8"/>
  <c r="D1523" i="8"/>
  <c r="C1523" i="8"/>
  <c r="B1523" i="8"/>
  <c r="A1523" i="8"/>
  <c r="M1522" i="8"/>
  <c r="L1522" i="8"/>
  <c r="K1522" i="8"/>
  <c r="J1522" i="8"/>
  <c r="I1522" i="8"/>
  <c r="H1522" i="8"/>
  <c r="G1522" i="8"/>
  <c r="F1522" i="8"/>
  <c r="E1522" i="8"/>
  <c r="D1522" i="8"/>
  <c r="C1522" i="8"/>
  <c r="B1522" i="8"/>
  <c r="A1522" i="8"/>
  <c r="M1521" i="8"/>
  <c r="L1521" i="8"/>
  <c r="K1521" i="8"/>
  <c r="J1521" i="8"/>
  <c r="I1521" i="8"/>
  <c r="H1521" i="8"/>
  <c r="G1521" i="8"/>
  <c r="F1521" i="8"/>
  <c r="E1521" i="8"/>
  <c r="D1521" i="8"/>
  <c r="C1521" i="8"/>
  <c r="B1521" i="8"/>
  <c r="A1521" i="8"/>
  <c r="M1520" i="8"/>
  <c r="K1520" i="8"/>
  <c r="J1520" i="8"/>
  <c r="I1520" i="8"/>
  <c r="H1520" i="8"/>
  <c r="G1520" i="8"/>
  <c r="L1520" i="8" s="1"/>
  <c r="F1520" i="8"/>
  <c r="E1520" i="8"/>
  <c r="D1520" i="8"/>
  <c r="C1520" i="8"/>
  <c r="B1520" i="8"/>
  <c r="A1520" i="8"/>
  <c r="M1519" i="8"/>
  <c r="K1519" i="8"/>
  <c r="J1519" i="8"/>
  <c r="I1519" i="8"/>
  <c r="H1519" i="8"/>
  <c r="G1519" i="8"/>
  <c r="L1519" i="8" s="1"/>
  <c r="F1519" i="8"/>
  <c r="E1519" i="8"/>
  <c r="D1519" i="8"/>
  <c r="C1519" i="8"/>
  <c r="B1519" i="8"/>
  <c r="A1519" i="8"/>
  <c r="M1518" i="8"/>
  <c r="L1518" i="8"/>
  <c r="K1518" i="8"/>
  <c r="J1518" i="8"/>
  <c r="I1518" i="8"/>
  <c r="H1518" i="8"/>
  <c r="G1518" i="8"/>
  <c r="F1518" i="8"/>
  <c r="E1518" i="8"/>
  <c r="D1518" i="8"/>
  <c r="C1518" i="8"/>
  <c r="B1518" i="8"/>
  <c r="A1518" i="8"/>
  <c r="M1517" i="8"/>
  <c r="L1517" i="8"/>
  <c r="K1517" i="8"/>
  <c r="J1517" i="8"/>
  <c r="I1517" i="8"/>
  <c r="H1517" i="8"/>
  <c r="G1517" i="8"/>
  <c r="F1517" i="8"/>
  <c r="E1517" i="8"/>
  <c r="D1517" i="8"/>
  <c r="C1517" i="8"/>
  <c r="B1517" i="8"/>
  <c r="A1517" i="8"/>
  <c r="M1516" i="8"/>
  <c r="L1516" i="8"/>
  <c r="K1516" i="8"/>
  <c r="J1516" i="8"/>
  <c r="I1516" i="8"/>
  <c r="H1516" i="8"/>
  <c r="G1516" i="8"/>
  <c r="F1516" i="8"/>
  <c r="E1516" i="8"/>
  <c r="D1516" i="8"/>
  <c r="C1516" i="8"/>
  <c r="B1516" i="8"/>
  <c r="A1516" i="8"/>
  <c r="M1515" i="8"/>
  <c r="K1515" i="8"/>
  <c r="J1515" i="8"/>
  <c r="I1515" i="8"/>
  <c r="H1515" i="8"/>
  <c r="G1515" i="8"/>
  <c r="L1515" i="8" s="1"/>
  <c r="F1515" i="8"/>
  <c r="E1515" i="8"/>
  <c r="D1515" i="8"/>
  <c r="C1515" i="8"/>
  <c r="B1515" i="8"/>
  <c r="A1515" i="8"/>
  <c r="M1514" i="8"/>
  <c r="L1514" i="8"/>
  <c r="K1514" i="8"/>
  <c r="J1514" i="8"/>
  <c r="I1514" i="8"/>
  <c r="H1514" i="8"/>
  <c r="G1514" i="8"/>
  <c r="F1514" i="8"/>
  <c r="E1514" i="8"/>
  <c r="D1514" i="8"/>
  <c r="C1514" i="8"/>
  <c r="B1514" i="8"/>
  <c r="A1514" i="8"/>
  <c r="M1513" i="8"/>
  <c r="L1513" i="8"/>
  <c r="K1513" i="8"/>
  <c r="J1513" i="8"/>
  <c r="I1513" i="8"/>
  <c r="H1513" i="8"/>
  <c r="G1513" i="8"/>
  <c r="F1513" i="8"/>
  <c r="E1513" i="8"/>
  <c r="D1513" i="8"/>
  <c r="C1513" i="8"/>
  <c r="B1513" i="8"/>
  <c r="A1513" i="8"/>
  <c r="M1512" i="8"/>
  <c r="K1512" i="8"/>
  <c r="J1512" i="8"/>
  <c r="I1512" i="8"/>
  <c r="H1512" i="8"/>
  <c r="G1512" i="8"/>
  <c r="L1512" i="8" s="1"/>
  <c r="F1512" i="8"/>
  <c r="E1512" i="8"/>
  <c r="D1512" i="8"/>
  <c r="C1512" i="8"/>
  <c r="B1512" i="8"/>
  <c r="A1512" i="8"/>
  <c r="M1511" i="8"/>
  <c r="K1511" i="8"/>
  <c r="J1511" i="8"/>
  <c r="I1511" i="8"/>
  <c r="H1511" i="8"/>
  <c r="G1511" i="8"/>
  <c r="L1511" i="8" s="1"/>
  <c r="F1511" i="8"/>
  <c r="E1511" i="8"/>
  <c r="D1511" i="8"/>
  <c r="C1511" i="8"/>
  <c r="B1511" i="8"/>
  <c r="A1511" i="8"/>
  <c r="M1510" i="8"/>
  <c r="L1510" i="8"/>
  <c r="K1510" i="8"/>
  <c r="J1510" i="8"/>
  <c r="I1510" i="8"/>
  <c r="H1510" i="8"/>
  <c r="G1510" i="8"/>
  <c r="F1510" i="8"/>
  <c r="E1510" i="8"/>
  <c r="D1510" i="8"/>
  <c r="C1510" i="8"/>
  <c r="B1510" i="8"/>
  <c r="A1510" i="8"/>
  <c r="M1509" i="8"/>
  <c r="L1509" i="8"/>
  <c r="K1509" i="8"/>
  <c r="J1509" i="8"/>
  <c r="I1509" i="8"/>
  <c r="H1509" i="8"/>
  <c r="G1509" i="8"/>
  <c r="F1509" i="8"/>
  <c r="E1509" i="8"/>
  <c r="D1509" i="8"/>
  <c r="C1509" i="8"/>
  <c r="B1509" i="8"/>
  <c r="A1509" i="8"/>
  <c r="M1508" i="8"/>
  <c r="K1508" i="8"/>
  <c r="J1508" i="8"/>
  <c r="I1508" i="8"/>
  <c r="H1508" i="8"/>
  <c r="G1508" i="8"/>
  <c r="L1508" i="8" s="1"/>
  <c r="F1508" i="8"/>
  <c r="E1508" i="8"/>
  <c r="D1508" i="8"/>
  <c r="C1508" i="8"/>
  <c r="B1508" i="8"/>
  <c r="A1508" i="8"/>
  <c r="M1507" i="8"/>
  <c r="K1507" i="8"/>
  <c r="J1507" i="8"/>
  <c r="I1507" i="8"/>
  <c r="H1507" i="8"/>
  <c r="G1507" i="8"/>
  <c r="L1507" i="8" s="1"/>
  <c r="F1507" i="8"/>
  <c r="E1507" i="8"/>
  <c r="D1507" i="8"/>
  <c r="C1507" i="8"/>
  <c r="B1507" i="8"/>
  <c r="A1507" i="8"/>
  <c r="M1506" i="8"/>
  <c r="L1506" i="8"/>
  <c r="K1506" i="8"/>
  <c r="J1506" i="8"/>
  <c r="I1506" i="8"/>
  <c r="H1506" i="8"/>
  <c r="G1506" i="8"/>
  <c r="F1506" i="8"/>
  <c r="E1506" i="8"/>
  <c r="D1506" i="8"/>
  <c r="C1506" i="8"/>
  <c r="B1506" i="8"/>
  <c r="A1506" i="8"/>
  <c r="M1505" i="8"/>
  <c r="L1505" i="8"/>
  <c r="K1505" i="8"/>
  <c r="J1505" i="8"/>
  <c r="I1505" i="8"/>
  <c r="H1505" i="8"/>
  <c r="G1505" i="8"/>
  <c r="F1505" i="8"/>
  <c r="E1505" i="8"/>
  <c r="D1505" i="8"/>
  <c r="C1505" i="8"/>
  <c r="B1505" i="8"/>
  <c r="A1505" i="8"/>
  <c r="M1504" i="8"/>
  <c r="K1504" i="8"/>
  <c r="J1504" i="8"/>
  <c r="I1504" i="8"/>
  <c r="H1504" i="8"/>
  <c r="G1504" i="8"/>
  <c r="L1504" i="8" s="1"/>
  <c r="F1504" i="8"/>
  <c r="E1504" i="8"/>
  <c r="D1504" i="8"/>
  <c r="C1504" i="8"/>
  <c r="B1504" i="8"/>
  <c r="A1504" i="8"/>
  <c r="M1503" i="8"/>
  <c r="K1503" i="8"/>
  <c r="J1503" i="8"/>
  <c r="I1503" i="8"/>
  <c r="H1503" i="8"/>
  <c r="G1503" i="8"/>
  <c r="L1503" i="8" s="1"/>
  <c r="F1503" i="8"/>
  <c r="E1503" i="8"/>
  <c r="D1503" i="8"/>
  <c r="C1503" i="8"/>
  <c r="B1503" i="8"/>
  <c r="A1503" i="8"/>
  <c r="M1502" i="8"/>
  <c r="L1502" i="8"/>
  <c r="K1502" i="8"/>
  <c r="J1502" i="8"/>
  <c r="I1502" i="8"/>
  <c r="H1502" i="8"/>
  <c r="G1502" i="8"/>
  <c r="F1502" i="8"/>
  <c r="E1502" i="8"/>
  <c r="D1502" i="8"/>
  <c r="C1502" i="8"/>
  <c r="B1502" i="8"/>
  <c r="A1502" i="8"/>
  <c r="M1501" i="8"/>
  <c r="K1501" i="8"/>
  <c r="J1501" i="8"/>
  <c r="I1501" i="8"/>
  <c r="H1501" i="8"/>
  <c r="G1501" i="8"/>
  <c r="L1501" i="8" s="1"/>
  <c r="F1501" i="8"/>
  <c r="E1501" i="8"/>
  <c r="D1501" i="8"/>
  <c r="C1501" i="8"/>
  <c r="B1501" i="8"/>
  <c r="A1501" i="8"/>
  <c r="M1500" i="8"/>
  <c r="K1500" i="8"/>
  <c r="J1500" i="8"/>
  <c r="I1500" i="8"/>
  <c r="H1500" i="8"/>
  <c r="G1500" i="8"/>
  <c r="L1500" i="8" s="1"/>
  <c r="F1500" i="8"/>
  <c r="E1500" i="8"/>
  <c r="D1500" i="8"/>
  <c r="C1500" i="8"/>
  <c r="B1500" i="8"/>
  <c r="A1500" i="8"/>
  <c r="M1499" i="8"/>
  <c r="K1499" i="8"/>
  <c r="J1499" i="8"/>
  <c r="I1499" i="8"/>
  <c r="H1499" i="8"/>
  <c r="G1499" i="8"/>
  <c r="L1499" i="8" s="1"/>
  <c r="F1499" i="8"/>
  <c r="E1499" i="8"/>
  <c r="D1499" i="8"/>
  <c r="C1499" i="8"/>
  <c r="B1499" i="8"/>
  <c r="A1499" i="8"/>
  <c r="M1498" i="8"/>
  <c r="L1498" i="8"/>
  <c r="K1498" i="8"/>
  <c r="J1498" i="8"/>
  <c r="I1498" i="8"/>
  <c r="H1498" i="8"/>
  <c r="G1498" i="8"/>
  <c r="F1498" i="8"/>
  <c r="E1498" i="8"/>
  <c r="D1498" i="8"/>
  <c r="C1498" i="8"/>
  <c r="B1498" i="8"/>
  <c r="A1498" i="8"/>
  <c r="M1497" i="8"/>
  <c r="K1497" i="8"/>
  <c r="J1497" i="8"/>
  <c r="I1497" i="8"/>
  <c r="H1497" i="8"/>
  <c r="G1497" i="8"/>
  <c r="L1497" i="8" s="1"/>
  <c r="F1497" i="8"/>
  <c r="E1497" i="8"/>
  <c r="D1497" i="8"/>
  <c r="C1497" i="8"/>
  <c r="B1497" i="8"/>
  <c r="A1497" i="8"/>
  <c r="M1496" i="8"/>
  <c r="L1496" i="8"/>
  <c r="K1496" i="8"/>
  <c r="J1496" i="8"/>
  <c r="I1496" i="8"/>
  <c r="H1496" i="8"/>
  <c r="G1496" i="8"/>
  <c r="F1496" i="8"/>
  <c r="E1496" i="8"/>
  <c r="D1496" i="8"/>
  <c r="C1496" i="8"/>
  <c r="B1496" i="8"/>
  <c r="A1496" i="8"/>
  <c r="M1495" i="8"/>
  <c r="K1495" i="8"/>
  <c r="J1495" i="8"/>
  <c r="I1495" i="8"/>
  <c r="H1495" i="8"/>
  <c r="G1495" i="8"/>
  <c r="L1495" i="8" s="1"/>
  <c r="F1495" i="8"/>
  <c r="E1495" i="8"/>
  <c r="D1495" i="8"/>
  <c r="C1495" i="8"/>
  <c r="B1495" i="8"/>
  <c r="A1495" i="8"/>
  <c r="M1494" i="8"/>
  <c r="L1494" i="8"/>
  <c r="K1494" i="8"/>
  <c r="J1494" i="8"/>
  <c r="I1494" i="8"/>
  <c r="H1494" i="8"/>
  <c r="G1494" i="8"/>
  <c r="F1494" i="8"/>
  <c r="E1494" i="8"/>
  <c r="D1494" i="8"/>
  <c r="C1494" i="8"/>
  <c r="B1494" i="8"/>
  <c r="A1494" i="8"/>
  <c r="M1493" i="8"/>
  <c r="K1493" i="8"/>
  <c r="J1493" i="8"/>
  <c r="I1493" i="8"/>
  <c r="H1493" i="8"/>
  <c r="G1493" i="8"/>
  <c r="L1493" i="8" s="1"/>
  <c r="F1493" i="8"/>
  <c r="E1493" i="8"/>
  <c r="D1493" i="8"/>
  <c r="C1493" i="8"/>
  <c r="B1493" i="8"/>
  <c r="A1493" i="8"/>
  <c r="M1492" i="8"/>
  <c r="K1492" i="8"/>
  <c r="J1492" i="8"/>
  <c r="I1492" i="8"/>
  <c r="H1492" i="8"/>
  <c r="G1492" i="8"/>
  <c r="L1492" i="8" s="1"/>
  <c r="F1492" i="8"/>
  <c r="E1492" i="8"/>
  <c r="D1492" i="8"/>
  <c r="C1492" i="8"/>
  <c r="B1492" i="8"/>
  <c r="A1492" i="8"/>
  <c r="M1491" i="8"/>
  <c r="K1491" i="8"/>
  <c r="J1491" i="8"/>
  <c r="I1491" i="8"/>
  <c r="H1491" i="8"/>
  <c r="G1491" i="8"/>
  <c r="L1491" i="8" s="1"/>
  <c r="F1491" i="8"/>
  <c r="E1491" i="8"/>
  <c r="D1491" i="8"/>
  <c r="C1491" i="8"/>
  <c r="B1491" i="8"/>
  <c r="A1491" i="8"/>
  <c r="M1490" i="8"/>
  <c r="L1490" i="8"/>
  <c r="K1490" i="8"/>
  <c r="J1490" i="8"/>
  <c r="I1490" i="8"/>
  <c r="H1490" i="8"/>
  <c r="G1490" i="8"/>
  <c r="F1490" i="8"/>
  <c r="E1490" i="8"/>
  <c r="D1490" i="8"/>
  <c r="C1490" i="8"/>
  <c r="B1490" i="8"/>
  <c r="A1490" i="8"/>
  <c r="M1489" i="8"/>
  <c r="K1489" i="8"/>
  <c r="J1489" i="8"/>
  <c r="I1489" i="8"/>
  <c r="H1489" i="8"/>
  <c r="G1489" i="8"/>
  <c r="L1489" i="8" s="1"/>
  <c r="F1489" i="8"/>
  <c r="E1489" i="8"/>
  <c r="D1489" i="8"/>
  <c r="C1489" i="8"/>
  <c r="B1489" i="8"/>
  <c r="A1489" i="8"/>
  <c r="M1488" i="8"/>
  <c r="L1488" i="8"/>
  <c r="K1488" i="8"/>
  <c r="J1488" i="8"/>
  <c r="I1488" i="8"/>
  <c r="H1488" i="8"/>
  <c r="G1488" i="8"/>
  <c r="F1488" i="8"/>
  <c r="E1488" i="8"/>
  <c r="D1488" i="8"/>
  <c r="C1488" i="8"/>
  <c r="B1488" i="8"/>
  <c r="A1488" i="8"/>
  <c r="M1487" i="8"/>
  <c r="K1487" i="8"/>
  <c r="J1487" i="8"/>
  <c r="I1487" i="8"/>
  <c r="H1487" i="8"/>
  <c r="G1487" i="8"/>
  <c r="L1487" i="8" s="1"/>
  <c r="F1487" i="8"/>
  <c r="E1487" i="8"/>
  <c r="D1487" i="8"/>
  <c r="C1487" i="8"/>
  <c r="B1487" i="8"/>
  <c r="A1487" i="8"/>
  <c r="M1486" i="8"/>
  <c r="L1486" i="8"/>
  <c r="K1486" i="8"/>
  <c r="J1486" i="8"/>
  <c r="I1486" i="8"/>
  <c r="H1486" i="8"/>
  <c r="G1486" i="8"/>
  <c r="F1486" i="8"/>
  <c r="E1486" i="8"/>
  <c r="D1486" i="8"/>
  <c r="C1486" i="8"/>
  <c r="B1486" i="8"/>
  <c r="A1486" i="8"/>
  <c r="M1485" i="8"/>
  <c r="K1485" i="8"/>
  <c r="J1485" i="8"/>
  <c r="I1485" i="8"/>
  <c r="H1485" i="8"/>
  <c r="G1485" i="8"/>
  <c r="L1485" i="8" s="1"/>
  <c r="F1485" i="8"/>
  <c r="E1485" i="8"/>
  <c r="D1485" i="8"/>
  <c r="C1485" i="8"/>
  <c r="B1485" i="8"/>
  <c r="A1485" i="8"/>
  <c r="M1484" i="8"/>
  <c r="K1484" i="8"/>
  <c r="J1484" i="8"/>
  <c r="I1484" i="8"/>
  <c r="H1484" i="8"/>
  <c r="G1484" i="8"/>
  <c r="L1484" i="8" s="1"/>
  <c r="F1484" i="8"/>
  <c r="E1484" i="8"/>
  <c r="D1484" i="8"/>
  <c r="C1484" i="8"/>
  <c r="B1484" i="8"/>
  <c r="A1484" i="8"/>
  <c r="M1483" i="8"/>
  <c r="K1483" i="8"/>
  <c r="J1483" i="8"/>
  <c r="I1483" i="8"/>
  <c r="H1483" i="8"/>
  <c r="G1483" i="8"/>
  <c r="L1483" i="8" s="1"/>
  <c r="F1483" i="8"/>
  <c r="E1483" i="8"/>
  <c r="D1483" i="8"/>
  <c r="C1483" i="8"/>
  <c r="B1483" i="8"/>
  <c r="A1483" i="8"/>
  <c r="M1482" i="8"/>
  <c r="L1482" i="8"/>
  <c r="K1482" i="8"/>
  <c r="J1482" i="8"/>
  <c r="I1482" i="8"/>
  <c r="H1482" i="8"/>
  <c r="G1482" i="8"/>
  <c r="F1482" i="8"/>
  <c r="E1482" i="8"/>
  <c r="D1482" i="8"/>
  <c r="C1482" i="8"/>
  <c r="B1482" i="8"/>
  <c r="A1482" i="8"/>
  <c r="M1481" i="8"/>
  <c r="K1481" i="8"/>
  <c r="J1481" i="8"/>
  <c r="I1481" i="8"/>
  <c r="H1481" i="8"/>
  <c r="G1481" i="8"/>
  <c r="L1481" i="8" s="1"/>
  <c r="F1481" i="8"/>
  <c r="E1481" i="8"/>
  <c r="D1481" i="8"/>
  <c r="C1481" i="8"/>
  <c r="B1481" i="8"/>
  <c r="A1481" i="8"/>
  <c r="M1480" i="8"/>
  <c r="L1480" i="8"/>
  <c r="K1480" i="8"/>
  <c r="J1480" i="8"/>
  <c r="I1480" i="8"/>
  <c r="H1480" i="8"/>
  <c r="G1480" i="8"/>
  <c r="F1480" i="8"/>
  <c r="E1480" i="8"/>
  <c r="D1480" i="8"/>
  <c r="C1480" i="8"/>
  <c r="B1480" i="8"/>
  <c r="A1480" i="8"/>
  <c r="M1479" i="8"/>
  <c r="K1479" i="8"/>
  <c r="J1479" i="8"/>
  <c r="I1479" i="8"/>
  <c r="H1479" i="8"/>
  <c r="G1479" i="8"/>
  <c r="L1479" i="8" s="1"/>
  <c r="F1479" i="8"/>
  <c r="E1479" i="8"/>
  <c r="D1479" i="8"/>
  <c r="C1479" i="8"/>
  <c r="B1479" i="8"/>
  <c r="A1479" i="8"/>
  <c r="M1478" i="8"/>
  <c r="L1478" i="8"/>
  <c r="K1478" i="8"/>
  <c r="J1478" i="8"/>
  <c r="I1478" i="8"/>
  <c r="H1478" i="8"/>
  <c r="G1478" i="8"/>
  <c r="F1478" i="8"/>
  <c r="E1478" i="8"/>
  <c r="D1478" i="8"/>
  <c r="C1478" i="8"/>
  <c r="B1478" i="8"/>
  <c r="A1478" i="8"/>
  <c r="M1477" i="8"/>
  <c r="K1477" i="8"/>
  <c r="J1477" i="8"/>
  <c r="I1477" i="8"/>
  <c r="H1477" i="8"/>
  <c r="G1477" i="8"/>
  <c r="L1477" i="8" s="1"/>
  <c r="F1477" i="8"/>
  <c r="E1477" i="8"/>
  <c r="D1477" i="8"/>
  <c r="C1477" i="8"/>
  <c r="B1477" i="8"/>
  <c r="A1477" i="8"/>
  <c r="M1476" i="8"/>
  <c r="K1476" i="8"/>
  <c r="J1476" i="8"/>
  <c r="I1476" i="8"/>
  <c r="H1476" i="8"/>
  <c r="G1476" i="8"/>
  <c r="L1476" i="8" s="1"/>
  <c r="F1476" i="8"/>
  <c r="E1476" i="8"/>
  <c r="D1476" i="8"/>
  <c r="C1476" i="8"/>
  <c r="B1476" i="8"/>
  <c r="A1476" i="8"/>
  <c r="M1475" i="8"/>
  <c r="K1475" i="8"/>
  <c r="J1475" i="8"/>
  <c r="I1475" i="8"/>
  <c r="H1475" i="8"/>
  <c r="G1475" i="8"/>
  <c r="L1475" i="8" s="1"/>
  <c r="F1475" i="8"/>
  <c r="E1475" i="8"/>
  <c r="D1475" i="8"/>
  <c r="C1475" i="8"/>
  <c r="B1475" i="8"/>
  <c r="A1475" i="8"/>
  <c r="M1474" i="8"/>
  <c r="L1474" i="8"/>
  <c r="K1474" i="8"/>
  <c r="J1474" i="8"/>
  <c r="I1474" i="8"/>
  <c r="H1474" i="8"/>
  <c r="G1474" i="8"/>
  <c r="F1474" i="8"/>
  <c r="E1474" i="8"/>
  <c r="D1474" i="8"/>
  <c r="C1474" i="8"/>
  <c r="B1474" i="8"/>
  <c r="A1474" i="8"/>
  <c r="M1473" i="8"/>
  <c r="K1473" i="8"/>
  <c r="J1473" i="8"/>
  <c r="I1473" i="8"/>
  <c r="H1473" i="8"/>
  <c r="G1473" i="8"/>
  <c r="L1473" i="8" s="1"/>
  <c r="F1473" i="8"/>
  <c r="E1473" i="8"/>
  <c r="D1473" i="8"/>
  <c r="C1473" i="8"/>
  <c r="B1473" i="8"/>
  <c r="A1473" i="8"/>
  <c r="M1472" i="8"/>
  <c r="L1472" i="8"/>
  <c r="K1472" i="8"/>
  <c r="J1472" i="8"/>
  <c r="I1472" i="8"/>
  <c r="H1472" i="8"/>
  <c r="G1472" i="8"/>
  <c r="F1472" i="8"/>
  <c r="E1472" i="8"/>
  <c r="D1472" i="8"/>
  <c r="C1472" i="8"/>
  <c r="B1472" i="8"/>
  <c r="A1472" i="8"/>
  <c r="M1471" i="8"/>
  <c r="K1471" i="8"/>
  <c r="J1471" i="8"/>
  <c r="I1471" i="8"/>
  <c r="H1471" i="8"/>
  <c r="G1471" i="8"/>
  <c r="L1471" i="8" s="1"/>
  <c r="F1471" i="8"/>
  <c r="E1471" i="8"/>
  <c r="D1471" i="8"/>
  <c r="C1471" i="8"/>
  <c r="B1471" i="8"/>
  <c r="A1471" i="8"/>
  <c r="M1470" i="8"/>
  <c r="L1470" i="8"/>
  <c r="K1470" i="8"/>
  <c r="J1470" i="8"/>
  <c r="I1470" i="8"/>
  <c r="H1470" i="8"/>
  <c r="G1470" i="8"/>
  <c r="F1470" i="8"/>
  <c r="E1470" i="8"/>
  <c r="D1470" i="8"/>
  <c r="C1470" i="8"/>
  <c r="B1470" i="8"/>
  <c r="A1470" i="8"/>
  <c r="M1469" i="8"/>
  <c r="K1469" i="8"/>
  <c r="J1469" i="8"/>
  <c r="I1469" i="8"/>
  <c r="H1469" i="8"/>
  <c r="G1469" i="8"/>
  <c r="L1469" i="8" s="1"/>
  <c r="F1469" i="8"/>
  <c r="E1469" i="8"/>
  <c r="D1469" i="8"/>
  <c r="C1469" i="8"/>
  <c r="B1469" i="8"/>
  <c r="A1469" i="8"/>
  <c r="M1468" i="8"/>
  <c r="K1468" i="8"/>
  <c r="J1468" i="8"/>
  <c r="I1468" i="8"/>
  <c r="H1468" i="8"/>
  <c r="G1468" i="8"/>
  <c r="L1468" i="8" s="1"/>
  <c r="F1468" i="8"/>
  <c r="E1468" i="8"/>
  <c r="D1468" i="8"/>
  <c r="C1468" i="8"/>
  <c r="B1468" i="8"/>
  <c r="A1468" i="8"/>
  <c r="M1467" i="8"/>
  <c r="K1467" i="8"/>
  <c r="J1467" i="8"/>
  <c r="I1467" i="8"/>
  <c r="H1467" i="8"/>
  <c r="G1467" i="8"/>
  <c r="L1467" i="8" s="1"/>
  <c r="F1467" i="8"/>
  <c r="E1467" i="8"/>
  <c r="D1467" i="8"/>
  <c r="C1467" i="8"/>
  <c r="B1467" i="8"/>
  <c r="A1467" i="8"/>
  <c r="M1466" i="8"/>
  <c r="L1466" i="8"/>
  <c r="K1466" i="8"/>
  <c r="J1466" i="8"/>
  <c r="I1466" i="8"/>
  <c r="H1466" i="8"/>
  <c r="G1466" i="8"/>
  <c r="F1466" i="8"/>
  <c r="E1466" i="8"/>
  <c r="D1466" i="8"/>
  <c r="C1466" i="8"/>
  <c r="B1466" i="8"/>
  <c r="A1466" i="8"/>
  <c r="M1465" i="8"/>
  <c r="K1465" i="8"/>
  <c r="J1465" i="8"/>
  <c r="I1465" i="8"/>
  <c r="H1465" i="8"/>
  <c r="G1465" i="8"/>
  <c r="L1465" i="8" s="1"/>
  <c r="F1465" i="8"/>
  <c r="E1465" i="8"/>
  <c r="D1465" i="8"/>
  <c r="C1465" i="8"/>
  <c r="B1465" i="8"/>
  <c r="A1465" i="8"/>
  <c r="M1464" i="8"/>
  <c r="L1464" i="8"/>
  <c r="K1464" i="8"/>
  <c r="J1464" i="8"/>
  <c r="I1464" i="8"/>
  <c r="H1464" i="8"/>
  <c r="G1464" i="8"/>
  <c r="F1464" i="8"/>
  <c r="E1464" i="8"/>
  <c r="D1464" i="8"/>
  <c r="C1464" i="8"/>
  <c r="B1464" i="8"/>
  <c r="A1464" i="8"/>
  <c r="M1463" i="8"/>
  <c r="K1463" i="8"/>
  <c r="J1463" i="8"/>
  <c r="I1463" i="8"/>
  <c r="H1463" i="8"/>
  <c r="G1463" i="8"/>
  <c r="L1463" i="8" s="1"/>
  <c r="F1463" i="8"/>
  <c r="E1463" i="8"/>
  <c r="D1463" i="8"/>
  <c r="C1463" i="8"/>
  <c r="B1463" i="8"/>
  <c r="A1463" i="8"/>
  <c r="M1462" i="8"/>
  <c r="L1462" i="8"/>
  <c r="K1462" i="8"/>
  <c r="J1462" i="8"/>
  <c r="I1462" i="8"/>
  <c r="H1462" i="8"/>
  <c r="G1462" i="8"/>
  <c r="F1462" i="8"/>
  <c r="E1462" i="8"/>
  <c r="D1462" i="8"/>
  <c r="C1462" i="8"/>
  <c r="B1462" i="8"/>
  <c r="A1462" i="8"/>
  <c r="M1461" i="8"/>
  <c r="K1461" i="8"/>
  <c r="J1461" i="8"/>
  <c r="I1461" i="8"/>
  <c r="H1461" i="8"/>
  <c r="G1461" i="8"/>
  <c r="L1461" i="8" s="1"/>
  <c r="F1461" i="8"/>
  <c r="E1461" i="8"/>
  <c r="D1461" i="8"/>
  <c r="C1461" i="8"/>
  <c r="B1461" i="8"/>
  <c r="A1461" i="8"/>
  <c r="M1460" i="8"/>
  <c r="K1460" i="8"/>
  <c r="J1460" i="8"/>
  <c r="I1460" i="8"/>
  <c r="H1460" i="8"/>
  <c r="G1460" i="8"/>
  <c r="L1460" i="8" s="1"/>
  <c r="F1460" i="8"/>
  <c r="E1460" i="8"/>
  <c r="D1460" i="8"/>
  <c r="C1460" i="8"/>
  <c r="B1460" i="8"/>
  <c r="A1460" i="8"/>
  <c r="M1459" i="8"/>
  <c r="K1459" i="8"/>
  <c r="J1459" i="8"/>
  <c r="I1459" i="8"/>
  <c r="H1459" i="8"/>
  <c r="G1459" i="8"/>
  <c r="L1459" i="8" s="1"/>
  <c r="F1459" i="8"/>
  <c r="E1459" i="8"/>
  <c r="D1459" i="8"/>
  <c r="C1459" i="8"/>
  <c r="B1459" i="8"/>
  <c r="A1459" i="8"/>
  <c r="M1458" i="8"/>
  <c r="L1458" i="8"/>
  <c r="K1458" i="8"/>
  <c r="J1458" i="8"/>
  <c r="I1458" i="8"/>
  <c r="H1458" i="8"/>
  <c r="G1458" i="8"/>
  <c r="F1458" i="8"/>
  <c r="E1458" i="8"/>
  <c r="D1458" i="8"/>
  <c r="C1458" i="8"/>
  <c r="B1458" i="8"/>
  <c r="A1458" i="8"/>
  <c r="M1457" i="8"/>
  <c r="K1457" i="8"/>
  <c r="J1457" i="8"/>
  <c r="I1457" i="8"/>
  <c r="H1457" i="8"/>
  <c r="G1457" i="8"/>
  <c r="L1457" i="8" s="1"/>
  <c r="F1457" i="8"/>
  <c r="E1457" i="8"/>
  <c r="D1457" i="8"/>
  <c r="C1457" i="8"/>
  <c r="B1457" i="8"/>
  <c r="A1457" i="8"/>
  <c r="M1456" i="8"/>
  <c r="L1456" i="8"/>
  <c r="K1456" i="8"/>
  <c r="J1456" i="8"/>
  <c r="I1456" i="8"/>
  <c r="H1456" i="8"/>
  <c r="G1456" i="8"/>
  <c r="F1456" i="8"/>
  <c r="E1456" i="8"/>
  <c r="D1456" i="8"/>
  <c r="C1456" i="8"/>
  <c r="B1456" i="8"/>
  <c r="A1456" i="8"/>
  <c r="M1455" i="8"/>
  <c r="K1455" i="8"/>
  <c r="J1455" i="8"/>
  <c r="I1455" i="8"/>
  <c r="H1455" i="8"/>
  <c r="G1455" i="8"/>
  <c r="L1455" i="8" s="1"/>
  <c r="F1455" i="8"/>
  <c r="E1455" i="8"/>
  <c r="D1455" i="8"/>
  <c r="C1455" i="8"/>
  <c r="B1455" i="8"/>
  <c r="A1455" i="8"/>
  <c r="M1454" i="8"/>
  <c r="L1454" i="8"/>
  <c r="K1454" i="8"/>
  <c r="J1454" i="8"/>
  <c r="I1454" i="8"/>
  <c r="H1454" i="8"/>
  <c r="G1454" i="8"/>
  <c r="F1454" i="8"/>
  <c r="E1454" i="8"/>
  <c r="D1454" i="8"/>
  <c r="C1454" i="8"/>
  <c r="B1454" i="8"/>
  <c r="A1454" i="8"/>
  <c r="M1453" i="8"/>
  <c r="K1453" i="8"/>
  <c r="J1453" i="8"/>
  <c r="I1453" i="8"/>
  <c r="H1453" i="8"/>
  <c r="G1453" i="8"/>
  <c r="L1453" i="8" s="1"/>
  <c r="F1453" i="8"/>
  <c r="E1453" i="8"/>
  <c r="D1453" i="8"/>
  <c r="C1453" i="8"/>
  <c r="B1453" i="8"/>
  <c r="A1453" i="8"/>
  <c r="M1452" i="8"/>
  <c r="K1452" i="8"/>
  <c r="J1452" i="8"/>
  <c r="I1452" i="8"/>
  <c r="H1452" i="8"/>
  <c r="G1452" i="8"/>
  <c r="L1452" i="8" s="1"/>
  <c r="F1452" i="8"/>
  <c r="E1452" i="8"/>
  <c r="D1452" i="8"/>
  <c r="C1452" i="8"/>
  <c r="B1452" i="8"/>
  <c r="A1452" i="8"/>
  <c r="M1451" i="8"/>
  <c r="K1451" i="8"/>
  <c r="J1451" i="8"/>
  <c r="I1451" i="8"/>
  <c r="H1451" i="8"/>
  <c r="G1451" i="8"/>
  <c r="L1451" i="8" s="1"/>
  <c r="F1451" i="8"/>
  <c r="E1451" i="8"/>
  <c r="D1451" i="8"/>
  <c r="C1451" i="8"/>
  <c r="B1451" i="8"/>
  <c r="A1451" i="8"/>
  <c r="M1450" i="8"/>
  <c r="L1450" i="8"/>
  <c r="K1450" i="8"/>
  <c r="J1450" i="8"/>
  <c r="I1450" i="8"/>
  <c r="H1450" i="8"/>
  <c r="G1450" i="8"/>
  <c r="F1450" i="8"/>
  <c r="E1450" i="8"/>
  <c r="D1450" i="8"/>
  <c r="C1450" i="8"/>
  <c r="B1450" i="8"/>
  <c r="A1450" i="8"/>
  <c r="M1449" i="8"/>
  <c r="K1449" i="8"/>
  <c r="J1449" i="8"/>
  <c r="I1449" i="8"/>
  <c r="H1449" i="8"/>
  <c r="G1449" i="8"/>
  <c r="L1449" i="8" s="1"/>
  <c r="F1449" i="8"/>
  <c r="E1449" i="8"/>
  <c r="D1449" i="8"/>
  <c r="C1449" i="8"/>
  <c r="B1449" i="8"/>
  <c r="A1449" i="8"/>
  <c r="M1448" i="8"/>
  <c r="K1448" i="8"/>
  <c r="J1448" i="8"/>
  <c r="I1448" i="8"/>
  <c r="H1448" i="8"/>
  <c r="G1448" i="8"/>
  <c r="L1448" i="8" s="1"/>
  <c r="F1448" i="8"/>
  <c r="E1448" i="8"/>
  <c r="D1448" i="8"/>
  <c r="C1448" i="8"/>
  <c r="B1448" i="8"/>
  <c r="A1448" i="8"/>
  <c r="M1447" i="8"/>
  <c r="K1447" i="8"/>
  <c r="J1447" i="8"/>
  <c r="I1447" i="8"/>
  <c r="H1447" i="8"/>
  <c r="G1447" i="8"/>
  <c r="L1447" i="8" s="1"/>
  <c r="F1447" i="8"/>
  <c r="E1447" i="8"/>
  <c r="D1447" i="8"/>
  <c r="C1447" i="8"/>
  <c r="B1447" i="8"/>
  <c r="A1447" i="8"/>
  <c r="M1446" i="8"/>
  <c r="L1446" i="8"/>
  <c r="K1446" i="8"/>
  <c r="J1446" i="8"/>
  <c r="I1446" i="8"/>
  <c r="H1446" i="8"/>
  <c r="G1446" i="8"/>
  <c r="F1446" i="8"/>
  <c r="E1446" i="8"/>
  <c r="D1446" i="8"/>
  <c r="C1446" i="8"/>
  <c r="B1446" i="8"/>
  <c r="A1446" i="8"/>
  <c r="M1445" i="8"/>
  <c r="K1445" i="8"/>
  <c r="J1445" i="8"/>
  <c r="I1445" i="8"/>
  <c r="H1445" i="8"/>
  <c r="G1445" i="8"/>
  <c r="L1445" i="8" s="1"/>
  <c r="F1445" i="8"/>
  <c r="E1445" i="8"/>
  <c r="D1445" i="8"/>
  <c r="C1445" i="8"/>
  <c r="B1445" i="8"/>
  <c r="A1445" i="8"/>
  <c r="M1444" i="8"/>
  <c r="K1444" i="8"/>
  <c r="J1444" i="8"/>
  <c r="I1444" i="8"/>
  <c r="H1444" i="8"/>
  <c r="G1444" i="8"/>
  <c r="L1444" i="8" s="1"/>
  <c r="F1444" i="8"/>
  <c r="E1444" i="8"/>
  <c r="D1444" i="8"/>
  <c r="C1444" i="8"/>
  <c r="B1444" i="8"/>
  <c r="A1444" i="8"/>
  <c r="M1443" i="8"/>
  <c r="K1443" i="8"/>
  <c r="J1443" i="8"/>
  <c r="I1443" i="8"/>
  <c r="H1443" i="8"/>
  <c r="G1443" i="8"/>
  <c r="L1443" i="8" s="1"/>
  <c r="F1443" i="8"/>
  <c r="E1443" i="8"/>
  <c r="D1443" i="8"/>
  <c r="C1443" i="8"/>
  <c r="B1443" i="8"/>
  <c r="A1443" i="8"/>
  <c r="M1442" i="8"/>
  <c r="L1442" i="8"/>
  <c r="K1442" i="8"/>
  <c r="J1442" i="8"/>
  <c r="I1442" i="8"/>
  <c r="H1442" i="8"/>
  <c r="G1442" i="8"/>
  <c r="F1442" i="8"/>
  <c r="E1442" i="8"/>
  <c r="D1442" i="8"/>
  <c r="C1442" i="8"/>
  <c r="B1442" i="8"/>
  <c r="A1442" i="8"/>
  <c r="M1441" i="8"/>
  <c r="K1441" i="8"/>
  <c r="J1441" i="8"/>
  <c r="I1441" i="8"/>
  <c r="H1441" i="8"/>
  <c r="G1441" i="8"/>
  <c r="L1441" i="8" s="1"/>
  <c r="F1441" i="8"/>
  <c r="E1441" i="8"/>
  <c r="D1441" i="8"/>
  <c r="C1441" i="8"/>
  <c r="B1441" i="8"/>
  <c r="A1441" i="8"/>
  <c r="M1440" i="8"/>
  <c r="K1440" i="8"/>
  <c r="J1440" i="8"/>
  <c r="I1440" i="8"/>
  <c r="H1440" i="8"/>
  <c r="G1440" i="8"/>
  <c r="L1440" i="8" s="1"/>
  <c r="F1440" i="8"/>
  <c r="E1440" i="8"/>
  <c r="D1440" i="8"/>
  <c r="C1440" i="8"/>
  <c r="B1440" i="8"/>
  <c r="A1440" i="8"/>
  <c r="M1439" i="8"/>
  <c r="K1439" i="8"/>
  <c r="J1439" i="8"/>
  <c r="I1439" i="8"/>
  <c r="H1439" i="8"/>
  <c r="G1439" i="8"/>
  <c r="L1439" i="8" s="1"/>
  <c r="F1439" i="8"/>
  <c r="E1439" i="8"/>
  <c r="D1439" i="8"/>
  <c r="C1439" i="8"/>
  <c r="B1439" i="8"/>
  <c r="A1439" i="8"/>
  <c r="M1438" i="8"/>
  <c r="L1438" i="8"/>
  <c r="K1438" i="8"/>
  <c r="J1438" i="8"/>
  <c r="I1438" i="8"/>
  <c r="H1438" i="8"/>
  <c r="G1438" i="8"/>
  <c r="F1438" i="8"/>
  <c r="E1438" i="8"/>
  <c r="D1438" i="8"/>
  <c r="C1438" i="8"/>
  <c r="B1438" i="8"/>
  <c r="A1438" i="8"/>
  <c r="M1437" i="8"/>
  <c r="K1437" i="8"/>
  <c r="J1437" i="8"/>
  <c r="I1437" i="8"/>
  <c r="H1437" i="8"/>
  <c r="G1437" i="8"/>
  <c r="L1437" i="8" s="1"/>
  <c r="F1437" i="8"/>
  <c r="E1437" i="8"/>
  <c r="D1437" i="8"/>
  <c r="C1437" i="8"/>
  <c r="B1437" i="8"/>
  <c r="A1437" i="8"/>
  <c r="M1436" i="8"/>
  <c r="K1436" i="8"/>
  <c r="J1436" i="8"/>
  <c r="I1436" i="8"/>
  <c r="H1436" i="8"/>
  <c r="G1436" i="8"/>
  <c r="L1436" i="8" s="1"/>
  <c r="F1436" i="8"/>
  <c r="E1436" i="8"/>
  <c r="D1436" i="8"/>
  <c r="C1436" i="8"/>
  <c r="B1436" i="8"/>
  <c r="A1436" i="8"/>
  <c r="M1435" i="8"/>
  <c r="K1435" i="8"/>
  <c r="J1435" i="8"/>
  <c r="I1435" i="8"/>
  <c r="H1435" i="8"/>
  <c r="G1435" i="8"/>
  <c r="L1435" i="8" s="1"/>
  <c r="F1435" i="8"/>
  <c r="E1435" i="8"/>
  <c r="D1435" i="8"/>
  <c r="C1435" i="8"/>
  <c r="B1435" i="8"/>
  <c r="A1435" i="8"/>
  <c r="M1434" i="8"/>
  <c r="L1434" i="8"/>
  <c r="K1434" i="8"/>
  <c r="J1434" i="8"/>
  <c r="I1434" i="8"/>
  <c r="H1434" i="8"/>
  <c r="G1434" i="8"/>
  <c r="F1434" i="8"/>
  <c r="E1434" i="8"/>
  <c r="D1434" i="8"/>
  <c r="C1434" i="8"/>
  <c r="B1434" i="8"/>
  <c r="A1434" i="8"/>
  <c r="M1433" i="8"/>
  <c r="K1433" i="8"/>
  <c r="J1433" i="8"/>
  <c r="I1433" i="8"/>
  <c r="H1433" i="8"/>
  <c r="G1433" i="8"/>
  <c r="L1433" i="8" s="1"/>
  <c r="F1433" i="8"/>
  <c r="E1433" i="8"/>
  <c r="D1433" i="8"/>
  <c r="C1433" i="8"/>
  <c r="B1433" i="8"/>
  <c r="A1433" i="8"/>
  <c r="M1432" i="8"/>
  <c r="K1432" i="8"/>
  <c r="J1432" i="8"/>
  <c r="I1432" i="8"/>
  <c r="H1432" i="8"/>
  <c r="G1432" i="8"/>
  <c r="L1432" i="8" s="1"/>
  <c r="F1432" i="8"/>
  <c r="E1432" i="8"/>
  <c r="D1432" i="8"/>
  <c r="C1432" i="8"/>
  <c r="B1432" i="8"/>
  <c r="A1432" i="8"/>
  <c r="M1431" i="8"/>
  <c r="K1431" i="8"/>
  <c r="J1431" i="8"/>
  <c r="I1431" i="8"/>
  <c r="H1431" i="8"/>
  <c r="G1431" i="8"/>
  <c r="L1431" i="8" s="1"/>
  <c r="F1431" i="8"/>
  <c r="E1431" i="8"/>
  <c r="D1431" i="8"/>
  <c r="C1431" i="8"/>
  <c r="B1431" i="8"/>
  <c r="A1431" i="8"/>
  <c r="M1430" i="8"/>
  <c r="L1430" i="8"/>
  <c r="K1430" i="8"/>
  <c r="J1430" i="8"/>
  <c r="I1430" i="8"/>
  <c r="H1430" i="8"/>
  <c r="G1430" i="8"/>
  <c r="F1430" i="8"/>
  <c r="E1430" i="8"/>
  <c r="D1430" i="8"/>
  <c r="C1430" i="8"/>
  <c r="B1430" i="8"/>
  <c r="A1430" i="8"/>
  <c r="M1429" i="8"/>
  <c r="K1429" i="8"/>
  <c r="J1429" i="8"/>
  <c r="I1429" i="8"/>
  <c r="H1429" i="8"/>
  <c r="G1429" i="8"/>
  <c r="L1429" i="8" s="1"/>
  <c r="F1429" i="8"/>
  <c r="E1429" i="8"/>
  <c r="D1429" i="8"/>
  <c r="C1429" i="8"/>
  <c r="B1429" i="8"/>
  <c r="A1429" i="8"/>
  <c r="M1428" i="8"/>
  <c r="K1428" i="8"/>
  <c r="J1428" i="8"/>
  <c r="I1428" i="8"/>
  <c r="H1428" i="8"/>
  <c r="G1428" i="8"/>
  <c r="L1428" i="8" s="1"/>
  <c r="F1428" i="8"/>
  <c r="E1428" i="8"/>
  <c r="D1428" i="8"/>
  <c r="C1428" i="8"/>
  <c r="B1428" i="8"/>
  <c r="A1428" i="8"/>
  <c r="M1427" i="8"/>
  <c r="K1427" i="8"/>
  <c r="J1427" i="8"/>
  <c r="I1427" i="8"/>
  <c r="H1427" i="8"/>
  <c r="G1427" i="8"/>
  <c r="L1427" i="8" s="1"/>
  <c r="F1427" i="8"/>
  <c r="E1427" i="8"/>
  <c r="D1427" i="8"/>
  <c r="C1427" i="8"/>
  <c r="B1427" i="8"/>
  <c r="A1427" i="8"/>
  <c r="M1426" i="8"/>
  <c r="L1426" i="8"/>
  <c r="K1426" i="8"/>
  <c r="J1426" i="8"/>
  <c r="I1426" i="8"/>
  <c r="H1426" i="8"/>
  <c r="G1426" i="8"/>
  <c r="F1426" i="8"/>
  <c r="E1426" i="8"/>
  <c r="D1426" i="8"/>
  <c r="C1426" i="8"/>
  <c r="B1426" i="8"/>
  <c r="A1426" i="8"/>
  <c r="M1425" i="8"/>
  <c r="K1425" i="8"/>
  <c r="J1425" i="8"/>
  <c r="I1425" i="8"/>
  <c r="H1425" i="8"/>
  <c r="G1425" i="8"/>
  <c r="L1425" i="8" s="1"/>
  <c r="F1425" i="8"/>
  <c r="E1425" i="8"/>
  <c r="D1425" i="8"/>
  <c r="C1425" i="8"/>
  <c r="B1425" i="8"/>
  <c r="A1425" i="8"/>
  <c r="M1424" i="8"/>
  <c r="K1424" i="8"/>
  <c r="J1424" i="8"/>
  <c r="I1424" i="8"/>
  <c r="H1424" i="8"/>
  <c r="G1424" i="8"/>
  <c r="L1424" i="8" s="1"/>
  <c r="F1424" i="8"/>
  <c r="E1424" i="8"/>
  <c r="D1424" i="8"/>
  <c r="C1424" i="8"/>
  <c r="B1424" i="8"/>
  <c r="A1424" i="8"/>
  <c r="M1423" i="8"/>
  <c r="K1423" i="8"/>
  <c r="J1423" i="8"/>
  <c r="I1423" i="8"/>
  <c r="H1423" i="8"/>
  <c r="G1423" i="8"/>
  <c r="L1423" i="8" s="1"/>
  <c r="F1423" i="8"/>
  <c r="E1423" i="8"/>
  <c r="D1423" i="8"/>
  <c r="C1423" i="8"/>
  <c r="B1423" i="8"/>
  <c r="A1423" i="8"/>
  <c r="M1422" i="8"/>
  <c r="L1422" i="8"/>
  <c r="K1422" i="8"/>
  <c r="J1422" i="8"/>
  <c r="I1422" i="8"/>
  <c r="H1422" i="8"/>
  <c r="G1422" i="8"/>
  <c r="F1422" i="8"/>
  <c r="E1422" i="8"/>
  <c r="D1422" i="8"/>
  <c r="C1422" i="8"/>
  <c r="B1422" i="8"/>
  <c r="A1422" i="8"/>
  <c r="M1421" i="8"/>
  <c r="K1421" i="8"/>
  <c r="J1421" i="8"/>
  <c r="I1421" i="8"/>
  <c r="H1421" i="8"/>
  <c r="G1421" i="8"/>
  <c r="L1421" i="8" s="1"/>
  <c r="F1421" i="8"/>
  <c r="E1421" i="8"/>
  <c r="D1421" i="8"/>
  <c r="C1421" i="8"/>
  <c r="B1421" i="8"/>
  <c r="A1421" i="8"/>
  <c r="M1420" i="8"/>
  <c r="K1420" i="8"/>
  <c r="J1420" i="8"/>
  <c r="I1420" i="8"/>
  <c r="H1420" i="8"/>
  <c r="G1420" i="8"/>
  <c r="L1420" i="8" s="1"/>
  <c r="F1420" i="8"/>
  <c r="E1420" i="8"/>
  <c r="D1420" i="8"/>
  <c r="C1420" i="8"/>
  <c r="B1420" i="8"/>
  <c r="A1420" i="8"/>
  <c r="M1419" i="8"/>
  <c r="K1419" i="8"/>
  <c r="J1419" i="8"/>
  <c r="I1419" i="8"/>
  <c r="H1419" i="8"/>
  <c r="G1419" i="8"/>
  <c r="L1419" i="8" s="1"/>
  <c r="F1419" i="8"/>
  <c r="E1419" i="8"/>
  <c r="D1419" i="8"/>
  <c r="C1419" i="8"/>
  <c r="B1419" i="8"/>
  <c r="A1419" i="8"/>
  <c r="M1418" i="8"/>
  <c r="L1418" i="8"/>
  <c r="K1418" i="8"/>
  <c r="J1418" i="8"/>
  <c r="I1418" i="8"/>
  <c r="H1418" i="8"/>
  <c r="G1418" i="8"/>
  <c r="F1418" i="8"/>
  <c r="E1418" i="8"/>
  <c r="D1418" i="8"/>
  <c r="C1418" i="8"/>
  <c r="B1418" i="8"/>
  <c r="A1418" i="8"/>
  <c r="M1417" i="8"/>
  <c r="K1417" i="8"/>
  <c r="J1417" i="8"/>
  <c r="I1417" i="8"/>
  <c r="H1417" i="8"/>
  <c r="G1417" i="8"/>
  <c r="L1417" i="8" s="1"/>
  <c r="F1417" i="8"/>
  <c r="E1417" i="8"/>
  <c r="D1417" i="8"/>
  <c r="C1417" i="8"/>
  <c r="B1417" i="8"/>
  <c r="A1417" i="8"/>
  <c r="M1416" i="8"/>
  <c r="K1416" i="8"/>
  <c r="J1416" i="8"/>
  <c r="I1416" i="8"/>
  <c r="H1416" i="8"/>
  <c r="G1416" i="8"/>
  <c r="L1416" i="8" s="1"/>
  <c r="F1416" i="8"/>
  <c r="E1416" i="8"/>
  <c r="D1416" i="8"/>
  <c r="C1416" i="8"/>
  <c r="B1416" i="8"/>
  <c r="A1416" i="8"/>
  <c r="M1415" i="8"/>
  <c r="K1415" i="8"/>
  <c r="J1415" i="8"/>
  <c r="I1415" i="8"/>
  <c r="H1415" i="8"/>
  <c r="G1415" i="8"/>
  <c r="L1415" i="8" s="1"/>
  <c r="F1415" i="8"/>
  <c r="E1415" i="8"/>
  <c r="D1415" i="8"/>
  <c r="C1415" i="8"/>
  <c r="B1415" i="8"/>
  <c r="A1415" i="8"/>
  <c r="M1414" i="8"/>
  <c r="L1414" i="8"/>
  <c r="K1414" i="8"/>
  <c r="J1414" i="8"/>
  <c r="I1414" i="8"/>
  <c r="H1414" i="8"/>
  <c r="G1414" i="8"/>
  <c r="F1414" i="8"/>
  <c r="E1414" i="8"/>
  <c r="D1414" i="8"/>
  <c r="C1414" i="8"/>
  <c r="B1414" i="8"/>
  <c r="A1414" i="8"/>
  <c r="M1413" i="8"/>
  <c r="K1413" i="8"/>
  <c r="J1413" i="8"/>
  <c r="I1413" i="8"/>
  <c r="H1413" i="8"/>
  <c r="G1413" i="8"/>
  <c r="L1413" i="8" s="1"/>
  <c r="F1413" i="8"/>
  <c r="E1413" i="8"/>
  <c r="D1413" i="8"/>
  <c r="C1413" i="8"/>
  <c r="B1413" i="8"/>
  <c r="A1413" i="8"/>
  <c r="M1412" i="8"/>
  <c r="K1412" i="8"/>
  <c r="J1412" i="8"/>
  <c r="I1412" i="8"/>
  <c r="H1412" i="8"/>
  <c r="G1412" i="8"/>
  <c r="L1412" i="8" s="1"/>
  <c r="F1412" i="8"/>
  <c r="E1412" i="8"/>
  <c r="D1412" i="8"/>
  <c r="C1412" i="8"/>
  <c r="B1412" i="8"/>
  <c r="A1412" i="8"/>
  <c r="M1411" i="8"/>
  <c r="K1411" i="8"/>
  <c r="J1411" i="8"/>
  <c r="I1411" i="8"/>
  <c r="H1411" i="8"/>
  <c r="G1411" i="8"/>
  <c r="L1411" i="8" s="1"/>
  <c r="F1411" i="8"/>
  <c r="E1411" i="8"/>
  <c r="D1411" i="8"/>
  <c r="C1411" i="8"/>
  <c r="B1411" i="8"/>
  <c r="A1411" i="8"/>
  <c r="M1410" i="8"/>
  <c r="L1410" i="8"/>
  <c r="K1410" i="8"/>
  <c r="J1410" i="8"/>
  <c r="I1410" i="8"/>
  <c r="H1410" i="8"/>
  <c r="G1410" i="8"/>
  <c r="F1410" i="8"/>
  <c r="E1410" i="8"/>
  <c r="D1410" i="8"/>
  <c r="C1410" i="8"/>
  <c r="B1410" i="8"/>
  <c r="A1410" i="8"/>
  <c r="M1409" i="8"/>
  <c r="K1409" i="8"/>
  <c r="J1409" i="8"/>
  <c r="I1409" i="8"/>
  <c r="H1409" i="8"/>
  <c r="G1409" i="8"/>
  <c r="L1409" i="8" s="1"/>
  <c r="F1409" i="8"/>
  <c r="E1409" i="8"/>
  <c r="D1409" i="8"/>
  <c r="C1409" i="8"/>
  <c r="B1409" i="8"/>
  <c r="A1409" i="8"/>
  <c r="M1408" i="8"/>
  <c r="K1408" i="8"/>
  <c r="J1408" i="8"/>
  <c r="I1408" i="8"/>
  <c r="H1408" i="8"/>
  <c r="G1408" i="8"/>
  <c r="L1408" i="8" s="1"/>
  <c r="F1408" i="8"/>
  <c r="E1408" i="8"/>
  <c r="D1408" i="8"/>
  <c r="C1408" i="8"/>
  <c r="B1408" i="8"/>
  <c r="A1408" i="8"/>
  <c r="M1407" i="8"/>
  <c r="K1407" i="8"/>
  <c r="J1407" i="8"/>
  <c r="I1407" i="8"/>
  <c r="H1407" i="8"/>
  <c r="G1407" i="8"/>
  <c r="L1407" i="8" s="1"/>
  <c r="F1407" i="8"/>
  <c r="E1407" i="8"/>
  <c r="D1407" i="8"/>
  <c r="C1407" i="8"/>
  <c r="B1407" i="8"/>
  <c r="A1407" i="8"/>
  <c r="M1406" i="8"/>
  <c r="L1406" i="8"/>
  <c r="K1406" i="8"/>
  <c r="J1406" i="8"/>
  <c r="I1406" i="8"/>
  <c r="H1406" i="8"/>
  <c r="G1406" i="8"/>
  <c r="F1406" i="8"/>
  <c r="E1406" i="8"/>
  <c r="D1406" i="8"/>
  <c r="C1406" i="8"/>
  <c r="B1406" i="8"/>
  <c r="A1406" i="8"/>
  <c r="M1405" i="8"/>
  <c r="K1405" i="8"/>
  <c r="J1405" i="8"/>
  <c r="I1405" i="8"/>
  <c r="H1405" i="8"/>
  <c r="G1405" i="8"/>
  <c r="L1405" i="8" s="1"/>
  <c r="F1405" i="8"/>
  <c r="E1405" i="8"/>
  <c r="D1405" i="8"/>
  <c r="C1405" i="8"/>
  <c r="B1405" i="8"/>
  <c r="A1405" i="8"/>
  <c r="M1404" i="8"/>
  <c r="K1404" i="8"/>
  <c r="J1404" i="8"/>
  <c r="I1404" i="8"/>
  <c r="H1404" i="8"/>
  <c r="G1404" i="8"/>
  <c r="L1404" i="8" s="1"/>
  <c r="F1404" i="8"/>
  <c r="E1404" i="8"/>
  <c r="D1404" i="8"/>
  <c r="C1404" i="8"/>
  <c r="B1404" i="8"/>
  <c r="A1404" i="8"/>
  <c r="M1403" i="8"/>
  <c r="K1403" i="8"/>
  <c r="J1403" i="8"/>
  <c r="I1403" i="8"/>
  <c r="H1403" i="8"/>
  <c r="G1403" i="8"/>
  <c r="L1403" i="8" s="1"/>
  <c r="F1403" i="8"/>
  <c r="E1403" i="8"/>
  <c r="D1403" i="8"/>
  <c r="C1403" i="8"/>
  <c r="B1403" i="8"/>
  <c r="A1403" i="8"/>
  <c r="M1402" i="8"/>
  <c r="L1402" i="8"/>
  <c r="K1402" i="8"/>
  <c r="J1402" i="8"/>
  <c r="I1402" i="8"/>
  <c r="H1402" i="8"/>
  <c r="G1402" i="8"/>
  <c r="F1402" i="8"/>
  <c r="E1402" i="8"/>
  <c r="D1402" i="8"/>
  <c r="C1402" i="8"/>
  <c r="B1402" i="8"/>
  <c r="A1402" i="8"/>
  <c r="M1401" i="8"/>
  <c r="K1401" i="8"/>
  <c r="J1401" i="8"/>
  <c r="I1401" i="8"/>
  <c r="H1401" i="8"/>
  <c r="G1401" i="8"/>
  <c r="L1401" i="8" s="1"/>
  <c r="F1401" i="8"/>
  <c r="E1401" i="8"/>
  <c r="D1401" i="8"/>
  <c r="C1401" i="8"/>
  <c r="B1401" i="8"/>
  <c r="A1401" i="8"/>
  <c r="M1400" i="8"/>
  <c r="K1400" i="8"/>
  <c r="J1400" i="8"/>
  <c r="I1400" i="8"/>
  <c r="H1400" i="8"/>
  <c r="G1400" i="8"/>
  <c r="L1400" i="8" s="1"/>
  <c r="F1400" i="8"/>
  <c r="E1400" i="8"/>
  <c r="D1400" i="8"/>
  <c r="C1400" i="8"/>
  <c r="B1400" i="8"/>
  <c r="A1400" i="8"/>
  <c r="M1399" i="8"/>
  <c r="K1399" i="8"/>
  <c r="J1399" i="8"/>
  <c r="I1399" i="8"/>
  <c r="H1399" i="8"/>
  <c r="G1399" i="8"/>
  <c r="L1399" i="8" s="1"/>
  <c r="F1399" i="8"/>
  <c r="E1399" i="8"/>
  <c r="D1399" i="8"/>
  <c r="C1399" i="8"/>
  <c r="B1399" i="8"/>
  <c r="A1399" i="8"/>
  <c r="M1398" i="8"/>
  <c r="L1398" i="8"/>
  <c r="K1398" i="8"/>
  <c r="J1398" i="8"/>
  <c r="I1398" i="8"/>
  <c r="H1398" i="8"/>
  <c r="G1398" i="8"/>
  <c r="F1398" i="8"/>
  <c r="E1398" i="8"/>
  <c r="D1398" i="8"/>
  <c r="C1398" i="8"/>
  <c r="B1398" i="8"/>
  <c r="A1398" i="8"/>
  <c r="M1397" i="8"/>
  <c r="K1397" i="8"/>
  <c r="J1397" i="8"/>
  <c r="I1397" i="8"/>
  <c r="H1397" i="8"/>
  <c r="G1397" i="8"/>
  <c r="L1397" i="8" s="1"/>
  <c r="F1397" i="8"/>
  <c r="E1397" i="8"/>
  <c r="D1397" i="8"/>
  <c r="C1397" i="8"/>
  <c r="B1397" i="8"/>
  <c r="A1397" i="8"/>
  <c r="M1396" i="8"/>
  <c r="K1396" i="8"/>
  <c r="J1396" i="8"/>
  <c r="I1396" i="8"/>
  <c r="H1396" i="8"/>
  <c r="G1396" i="8"/>
  <c r="L1396" i="8" s="1"/>
  <c r="F1396" i="8"/>
  <c r="E1396" i="8"/>
  <c r="D1396" i="8"/>
  <c r="C1396" i="8"/>
  <c r="B1396" i="8"/>
  <c r="A1396" i="8"/>
  <c r="M1395" i="8"/>
  <c r="K1395" i="8"/>
  <c r="J1395" i="8"/>
  <c r="I1395" i="8"/>
  <c r="H1395" i="8"/>
  <c r="G1395" i="8"/>
  <c r="L1395" i="8" s="1"/>
  <c r="F1395" i="8"/>
  <c r="E1395" i="8"/>
  <c r="D1395" i="8"/>
  <c r="C1395" i="8"/>
  <c r="B1395" i="8"/>
  <c r="A1395" i="8"/>
  <c r="M1394" i="8"/>
  <c r="L1394" i="8"/>
  <c r="K1394" i="8"/>
  <c r="J1394" i="8"/>
  <c r="I1394" i="8"/>
  <c r="H1394" i="8"/>
  <c r="G1394" i="8"/>
  <c r="F1394" i="8"/>
  <c r="E1394" i="8"/>
  <c r="D1394" i="8"/>
  <c r="C1394" i="8"/>
  <c r="B1394" i="8"/>
  <c r="A1394" i="8"/>
  <c r="M1393" i="8"/>
  <c r="K1393" i="8"/>
  <c r="J1393" i="8"/>
  <c r="I1393" i="8"/>
  <c r="H1393" i="8"/>
  <c r="G1393" i="8"/>
  <c r="L1393" i="8" s="1"/>
  <c r="F1393" i="8"/>
  <c r="E1393" i="8"/>
  <c r="D1393" i="8"/>
  <c r="C1393" i="8"/>
  <c r="B1393" i="8"/>
  <c r="A1393" i="8"/>
  <c r="M1392" i="8"/>
  <c r="K1392" i="8"/>
  <c r="J1392" i="8"/>
  <c r="I1392" i="8"/>
  <c r="H1392" i="8"/>
  <c r="G1392" i="8"/>
  <c r="L1392" i="8" s="1"/>
  <c r="F1392" i="8"/>
  <c r="E1392" i="8"/>
  <c r="D1392" i="8"/>
  <c r="C1392" i="8"/>
  <c r="B1392" i="8"/>
  <c r="A1392" i="8"/>
  <c r="M1391" i="8"/>
  <c r="K1391" i="8"/>
  <c r="J1391" i="8"/>
  <c r="I1391" i="8"/>
  <c r="H1391" i="8"/>
  <c r="G1391" i="8"/>
  <c r="L1391" i="8" s="1"/>
  <c r="F1391" i="8"/>
  <c r="E1391" i="8"/>
  <c r="D1391" i="8"/>
  <c r="C1391" i="8"/>
  <c r="B1391" i="8"/>
  <c r="A1391" i="8"/>
  <c r="M1390" i="8"/>
  <c r="L1390" i="8"/>
  <c r="K1390" i="8"/>
  <c r="J1390" i="8"/>
  <c r="I1390" i="8"/>
  <c r="H1390" i="8"/>
  <c r="G1390" i="8"/>
  <c r="F1390" i="8"/>
  <c r="E1390" i="8"/>
  <c r="D1390" i="8"/>
  <c r="C1390" i="8"/>
  <c r="B1390" i="8"/>
  <c r="A1390" i="8"/>
  <c r="M1389" i="8"/>
  <c r="K1389" i="8"/>
  <c r="J1389" i="8"/>
  <c r="I1389" i="8"/>
  <c r="H1389" i="8"/>
  <c r="G1389" i="8"/>
  <c r="L1389" i="8" s="1"/>
  <c r="F1389" i="8"/>
  <c r="E1389" i="8"/>
  <c r="D1389" i="8"/>
  <c r="C1389" i="8"/>
  <c r="B1389" i="8"/>
  <c r="A1389" i="8"/>
  <c r="M1388" i="8"/>
  <c r="K1388" i="8"/>
  <c r="J1388" i="8"/>
  <c r="I1388" i="8"/>
  <c r="H1388" i="8"/>
  <c r="G1388" i="8"/>
  <c r="L1388" i="8" s="1"/>
  <c r="F1388" i="8"/>
  <c r="E1388" i="8"/>
  <c r="D1388" i="8"/>
  <c r="C1388" i="8"/>
  <c r="B1388" i="8"/>
  <c r="A1388" i="8"/>
  <c r="M1387" i="8"/>
  <c r="K1387" i="8"/>
  <c r="J1387" i="8"/>
  <c r="I1387" i="8"/>
  <c r="H1387" i="8"/>
  <c r="G1387" i="8"/>
  <c r="L1387" i="8" s="1"/>
  <c r="F1387" i="8"/>
  <c r="E1387" i="8"/>
  <c r="D1387" i="8"/>
  <c r="C1387" i="8"/>
  <c r="B1387" i="8"/>
  <c r="A1387" i="8"/>
  <c r="M1386" i="8"/>
  <c r="L1386" i="8"/>
  <c r="K1386" i="8"/>
  <c r="J1386" i="8"/>
  <c r="I1386" i="8"/>
  <c r="H1386" i="8"/>
  <c r="G1386" i="8"/>
  <c r="F1386" i="8"/>
  <c r="E1386" i="8"/>
  <c r="D1386" i="8"/>
  <c r="C1386" i="8"/>
  <c r="B1386" i="8"/>
  <c r="A1386" i="8"/>
  <c r="M1385" i="8"/>
  <c r="K1385" i="8"/>
  <c r="J1385" i="8"/>
  <c r="I1385" i="8"/>
  <c r="H1385" i="8"/>
  <c r="G1385" i="8"/>
  <c r="L1385" i="8" s="1"/>
  <c r="F1385" i="8"/>
  <c r="E1385" i="8"/>
  <c r="D1385" i="8"/>
  <c r="C1385" i="8"/>
  <c r="B1385" i="8"/>
  <c r="A1385" i="8"/>
  <c r="M1384" i="8"/>
  <c r="L1384" i="8"/>
  <c r="K1384" i="8"/>
  <c r="J1384" i="8"/>
  <c r="I1384" i="8"/>
  <c r="H1384" i="8"/>
  <c r="G1384" i="8"/>
  <c r="F1384" i="8"/>
  <c r="E1384" i="8"/>
  <c r="D1384" i="8"/>
  <c r="C1384" i="8"/>
  <c r="B1384" i="8"/>
  <c r="A1384" i="8"/>
  <c r="M1383" i="8"/>
  <c r="K1383" i="8"/>
  <c r="J1383" i="8"/>
  <c r="I1383" i="8"/>
  <c r="H1383" i="8"/>
  <c r="G1383" i="8"/>
  <c r="L1383" i="8" s="1"/>
  <c r="F1383" i="8"/>
  <c r="E1383" i="8"/>
  <c r="D1383" i="8"/>
  <c r="C1383" i="8"/>
  <c r="B1383" i="8"/>
  <c r="A1383" i="8"/>
  <c r="M1382" i="8"/>
  <c r="L1382" i="8"/>
  <c r="K1382" i="8"/>
  <c r="J1382" i="8"/>
  <c r="I1382" i="8"/>
  <c r="H1382" i="8"/>
  <c r="G1382" i="8"/>
  <c r="F1382" i="8"/>
  <c r="E1382" i="8"/>
  <c r="D1382" i="8"/>
  <c r="C1382" i="8"/>
  <c r="B1382" i="8"/>
  <c r="A1382" i="8"/>
  <c r="M1381" i="8"/>
  <c r="K1381" i="8"/>
  <c r="J1381" i="8"/>
  <c r="I1381" i="8"/>
  <c r="H1381" i="8"/>
  <c r="G1381" i="8"/>
  <c r="L1381" i="8" s="1"/>
  <c r="F1381" i="8"/>
  <c r="E1381" i="8"/>
  <c r="D1381" i="8"/>
  <c r="C1381" i="8"/>
  <c r="B1381" i="8"/>
  <c r="A1381" i="8"/>
  <c r="M1380" i="8"/>
  <c r="K1380" i="8"/>
  <c r="J1380" i="8"/>
  <c r="I1380" i="8"/>
  <c r="H1380" i="8"/>
  <c r="G1380" i="8"/>
  <c r="L1380" i="8" s="1"/>
  <c r="F1380" i="8"/>
  <c r="E1380" i="8"/>
  <c r="D1380" i="8"/>
  <c r="C1380" i="8"/>
  <c r="B1380" i="8"/>
  <c r="A1380" i="8"/>
  <c r="M1379" i="8"/>
  <c r="K1379" i="8"/>
  <c r="J1379" i="8"/>
  <c r="I1379" i="8"/>
  <c r="H1379" i="8"/>
  <c r="G1379" i="8"/>
  <c r="L1379" i="8" s="1"/>
  <c r="F1379" i="8"/>
  <c r="E1379" i="8"/>
  <c r="D1379" i="8"/>
  <c r="C1379" i="8"/>
  <c r="B1379" i="8"/>
  <c r="A1379" i="8"/>
  <c r="M1378" i="8"/>
  <c r="L1378" i="8"/>
  <c r="K1378" i="8"/>
  <c r="J1378" i="8"/>
  <c r="I1378" i="8"/>
  <c r="H1378" i="8"/>
  <c r="G1378" i="8"/>
  <c r="F1378" i="8"/>
  <c r="E1378" i="8"/>
  <c r="D1378" i="8"/>
  <c r="C1378" i="8"/>
  <c r="B1378" i="8"/>
  <c r="A1378" i="8"/>
  <c r="M1377" i="8"/>
  <c r="K1377" i="8"/>
  <c r="J1377" i="8"/>
  <c r="I1377" i="8"/>
  <c r="H1377" i="8"/>
  <c r="G1377" i="8"/>
  <c r="L1377" i="8" s="1"/>
  <c r="F1377" i="8"/>
  <c r="E1377" i="8"/>
  <c r="D1377" i="8"/>
  <c r="C1377" i="8"/>
  <c r="B1377" i="8"/>
  <c r="A1377" i="8"/>
  <c r="M1376" i="8"/>
  <c r="K1376" i="8"/>
  <c r="J1376" i="8"/>
  <c r="I1376" i="8"/>
  <c r="H1376" i="8"/>
  <c r="G1376" i="8"/>
  <c r="L1376" i="8" s="1"/>
  <c r="F1376" i="8"/>
  <c r="E1376" i="8"/>
  <c r="D1376" i="8"/>
  <c r="C1376" i="8"/>
  <c r="B1376" i="8"/>
  <c r="A1376" i="8"/>
  <c r="M1375" i="8"/>
  <c r="K1375" i="8"/>
  <c r="J1375" i="8"/>
  <c r="I1375" i="8"/>
  <c r="H1375" i="8"/>
  <c r="G1375" i="8"/>
  <c r="L1375" i="8" s="1"/>
  <c r="F1375" i="8"/>
  <c r="E1375" i="8"/>
  <c r="D1375" i="8"/>
  <c r="C1375" i="8"/>
  <c r="B1375" i="8"/>
  <c r="A1375" i="8"/>
  <c r="M1374" i="8"/>
  <c r="L1374" i="8"/>
  <c r="K1374" i="8"/>
  <c r="J1374" i="8"/>
  <c r="I1374" i="8"/>
  <c r="H1374" i="8"/>
  <c r="G1374" i="8"/>
  <c r="F1374" i="8"/>
  <c r="E1374" i="8"/>
  <c r="D1374" i="8"/>
  <c r="C1374" i="8"/>
  <c r="B1374" i="8"/>
  <c r="A1374" i="8"/>
  <c r="M1373" i="8"/>
  <c r="K1373" i="8"/>
  <c r="J1373" i="8"/>
  <c r="I1373" i="8"/>
  <c r="H1373" i="8"/>
  <c r="G1373" i="8"/>
  <c r="L1373" i="8" s="1"/>
  <c r="F1373" i="8"/>
  <c r="E1373" i="8"/>
  <c r="D1373" i="8"/>
  <c r="C1373" i="8"/>
  <c r="B1373" i="8"/>
  <c r="A1373" i="8"/>
  <c r="M1372" i="8"/>
  <c r="K1372" i="8"/>
  <c r="J1372" i="8"/>
  <c r="I1372" i="8"/>
  <c r="H1372" i="8"/>
  <c r="G1372" i="8"/>
  <c r="L1372" i="8" s="1"/>
  <c r="F1372" i="8"/>
  <c r="E1372" i="8"/>
  <c r="D1372" i="8"/>
  <c r="C1372" i="8"/>
  <c r="B1372" i="8"/>
  <c r="A1372" i="8"/>
  <c r="M1371" i="8"/>
  <c r="K1371" i="8"/>
  <c r="J1371" i="8"/>
  <c r="I1371" i="8"/>
  <c r="H1371" i="8"/>
  <c r="G1371" i="8"/>
  <c r="L1371" i="8" s="1"/>
  <c r="F1371" i="8"/>
  <c r="E1371" i="8"/>
  <c r="D1371" i="8"/>
  <c r="C1371" i="8"/>
  <c r="B1371" i="8"/>
  <c r="A1371" i="8"/>
  <c r="M1370" i="8"/>
  <c r="L1370" i="8"/>
  <c r="K1370" i="8"/>
  <c r="J1370" i="8"/>
  <c r="I1370" i="8"/>
  <c r="H1370" i="8"/>
  <c r="G1370" i="8"/>
  <c r="F1370" i="8"/>
  <c r="E1370" i="8"/>
  <c r="D1370" i="8"/>
  <c r="C1370" i="8"/>
  <c r="B1370" i="8"/>
  <c r="A1370" i="8"/>
  <c r="M1369" i="8"/>
  <c r="K1369" i="8"/>
  <c r="J1369" i="8"/>
  <c r="I1369" i="8"/>
  <c r="H1369" i="8"/>
  <c r="G1369" i="8"/>
  <c r="L1369" i="8" s="1"/>
  <c r="F1369" i="8"/>
  <c r="E1369" i="8"/>
  <c r="D1369" i="8"/>
  <c r="C1369" i="8"/>
  <c r="B1369" i="8"/>
  <c r="A1369" i="8"/>
  <c r="M1368" i="8"/>
  <c r="K1368" i="8"/>
  <c r="J1368" i="8"/>
  <c r="I1368" i="8"/>
  <c r="H1368" i="8"/>
  <c r="G1368" i="8"/>
  <c r="L1368" i="8" s="1"/>
  <c r="F1368" i="8"/>
  <c r="E1368" i="8"/>
  <c r="D1368" i="8"/>
  <c r="C1368" i="8"/>
  <c r="B1368" i="8"/>
  <c r="A1368" i="8"/>
  <c r="M1367" i="8"/>
  <c r="K1367" i="8"/>
  <c r="J1367" i="8"/>
  <c r="I1367" i="8"/>
  <c r="H1367" i="8"/>
  <c r="G1367" i="8"/>
  <c r="L1367" i="8" s="1"/>
  <c r="F1367" i="8"/>
  <c r="E1367" i="8"/>
  <c r="D1367" i="8"/>
  <c r="C1367" i="8"/>
  <c r="B1367" i="8"/>
  <c r="A1367" i="8"/>
  <c r="M1366" i="8"/>
  <c r="L1366" i="8"/>
  <c r="K1366" i="8"/>
  <c r="J1366" i="8"/>
  <c r="I1366" i="8"/>
  <c r="H1366" i="8"/>
  <c r="G1366" i="8"/>
  <c r="F1366" i="8"/>
  <c r="E1366" i="8"/>
  <c r="D1366" i="8"/>
  <c r="C1366" i="8"/>
  <c r="B1366" i="8"/>
  <c r="A1366" i="8"/>
  <c r="M1365" i="8"/>
  <c r="K1365" i="8"/>
  <c r="J1365" i="8"/>
  <c r="I1365" i="8"/>
  <c r="H1365" i="8"/>
  <c r="G1365" i="8"/>
  <c r="L1365" i="8" s="1"/>
  <c r="F1365" i="8"/>
  <c r="E1365" i="8"/>
  <c r="D1365" i="8"/>
  <c r="C1365" i="8"/>
  <c r="B1365" i="8"/>
  <c r="A1365" i="8"/>
  <c r="M1364" i="8"/>
  <c r="K1364" i="8"/>
  <c r="J1364" i="8"/>
  <c r="I1364" i="8"/>
  <c r="H1364" i="8"/>
  <c r="G1364" i="8"/>
  <c r="L1364" i="8" s="1"/>
  <c r="F1364" i="8"/>
  <c r="E1364" i="8"/>
  <c r="D1364" i="8"/>
  <c r="C1364" i="8"/>
  <c r="B1364" i="8"/>
  <c r="A1364" i="8"/>
  <c r="M1363" i="8"/>
  <c r="K1363" i="8"/>
  <c r="J1363" i="8"/>
  <c r="I1363" i="8"/>
  <c r="H1363" i="8"/>
  <c r="G1363" i="8"/>
  <c r="L1363" i="8" s="1"/>
  <c r="F1363" i="8"/>
  <c r="E1363" i="8"/>
  <c r="D1363" i="8"/>
  <c r="C1363" i="8"/>
  <c r="B1363" i="8"/>
  <c r="A1363" i="8"/>
  <c r="M1362" i="8"/>
  <c r="L1362" i="8"/>
  <c r="K1362" i="8"/>
  <c r="J1362" i="8"/>
  <c r="I1362" i="8"/>
  <c r="H1362" i="8"/>
  <c r="G1362" i="8"/>
  <c r="F1362" i="8"/>
  <c r="E1362" i="8"/>
  <c r="D1362" i="8"/>
  <c r="C1362" i="8"/>
  <c r="B1362" i="8"/>
  <c r="A1362" i="8"/>
  <c r="M1361" i="8"/>
  <c r="K1361" i="8"/>
  <c r="J1361" i="8"/>
  <c r="I1361" i="8"/>
  <c r="H1361" i="8"/>
  <c r="G1361" i="8"/>
  <c r="L1361" i="8" s="1"/>
  <c r="F1361" i="8"/>
  <c r="E1361" i="8"/>
  <c r="D1361" i="8"/>
  <c r="C1361" i="8"/>
  <c r="B1361" i="8"/>
  <c r="A1361" i="8"/>
  <c r="M1360" i="8"/>
  <c r="K1360" i="8"/>
  <c r="J1360" i="8"/>
  <c r="I1360" i="8"/>
  <c r="H1360" i="8"/>
  <c r="G1360" i="8"/>
  <c r="L1360" i="8" s="1"/>
  <c r="F1360" i="8"/>
  <c r="E1360" i="8"/>
  <c r="D1360" i="8"/>
  <c r="C1360" i="8"/>
  <c r="B1360" i="8"/>
  <c r="A1360" i="8"/>
  <c r="M1359" i="8"/>
  <c r="K1359" i="8"/>
  <c r="J1359" i="8"/>
  <c r="I1359" i="8"/>
  <c r="H1359" i="8"/>
  <c r="G1359" i="8"/>
  <c r="L1359" i="8" s="1"/>
  <c r="F1359" i="8"/>
  <c r="E1359" i="8"/>
  <c r="D1359" i="8"/>
  <c r="C1359" i="8"/>
  <c r="B1359" i="8"/>
  <c r="A1359" i="8"/>
  <c r="M1358" i="8"/>
  <c r="L1358" i="8"/>
  <c r="K1358" i="8"/>
  <c r="J1358" i="8"/>
  <c r="I1358" i="8"/>
  <c r="H1358" i="8"/>
  <c r="G1358" i="8"/>
  <c r="F1358" i="8"/>
  <c r="E1358" i="8"/>
  <c r="D1358" i="8"/>
  <c r="C1358" i="8"/>
  <c r="B1358" i="8"/>
  <c r="A1358" i="8"/>
  <c r="M1357" i="8"/>
  <c r="L1357" i="8"/>
  <c r="K1357" i="8"/>
  <c r="J1357" i="8"/>
  <c r="I1357" i="8"/>
  <c r="H1357" i="8"/>
  <c r="G1357" i="8"/>
  <c r="F1357" i="8"/>
  <c r="E1357" i="8"/>
  <c r="D1357" i="8"/>
  <c r="C1357" i="8"/>
  <c r="B1357" i="8"/>
  <c r="A1357" i="8"/>
  <c r="M1356" i="8"/>
  <c r="K1356" i="8"/>
  <c r="J1356" i="8"/>
  <c r="I1356" i="8"/>
  <c r="H1356" i="8"/>
  <c r="G1356" i="8"/>
  <c r="L1356" i="8" s="1"/>
  <c r="F1356" i="8"/>
  <c r="E1356" i="8"/>
  <c r="D1356" i="8"/>
  <c r="C1356" i="8"/>
  <c r="B1356" i="8"/>
  <c r="A1356" i="8"/>
  <c r="M1355" i="8"/>
  <c r="K1355" i="8"/>
  <c r="J1355" i="8"/>
  <c r="I1355" i="8"/>
  <c r="H1355" i="8"/>
  <c r="G1355" i="8"/>
  <c r="L1355" i="8" s="1"/>
  <c r="F1355" i="8"/>
  <c r="E1355" i="8"/>
  <c r="D1355" i="8"/>
  <c r="C1355" i="8"/>
  <c r="B1355" i="8"/>
  <c r="A1355" i="8"/>
  <c r="M1354" i="8"/>
  <c r="L1354" i="8"/>
  <c r="K1354" i="8"/>
  <c r="J1354" i="8"/>
  <c r="I1354" i="8"/>
  <c r="H1354" i="8"/>
  <c r="G1354" i="8"/>
  <c r="F1354" i="8"/>
  <c r="E1354" i="8"/>
  <c r="D1354" i="8"/>
  <c r="C1354" i="8"/>
  <c r="B1354" i="8"/>
  <c r="A1354" i="8"/>
  <c r="M1353" i="8"/>
  <c r="K1353" i="8"/>
  <c r="J1353" i="8"/>
  <c r="I1353" i="8"/>
  <c r="H1353" i="8"/>
  <c r="G1353" i="8"/>
  <c r="L1353" i="8" s="1"/>
  <c r="F1353" i="8"/>
  <c r="E1353" i="8"/>
  <c r="D1353" i="8"/>
  <c r="C1353" i="8"/>
  <c r="B1353" i="8"/>
  <c r="A1353" i="8"/>
  <c r="M1352" i="8"/>
  <c r="K1352" i="8"/>
  <c r="J1352" i="8"/>
  <c r="I1352" i="8"/>
  <c r="H1352" i="8"/>
  <c r="G1352" i="8"/>
  <c r="L1352" i="8" s="1"/>
  <c r="F1352" i="8"/>
  <c r="E1352" i="8"/>
  <c r="D1352" i="8"/>
  <c r="C1352" i="8"/>
  <c r="B1352" i="8"/>
  <c r="A1352" i="8"/>
  <c r="M1351" i="8"/>
  <c r="K1351" i="8"/>
  <c r="J1351" i="8"/>
  <c r="I1351" i="8"/>
  <c r="H1351" i="8"/>
  <c r="G1351" i="8"/>
  <c r="L1351" i="8" s="1"/>
  <c r="F1351" i="8"/>
  <c r="E1351" i="8"/>
  <c r="D1351" i="8"/>
  <c r="C1351" i="8"/>
  <c r="B1351" i="8"/>
  <c r="A1351" i="8"/>
  <c r="M1350" i="8"/>
  <c r="L1350" i="8"/>
  <c r="K1350" i="8"/>
  <c r="J1350" i="8"/>
  <c r="I1350" i="8"/>
  <c r="H1350" i="8"/>
  <c r="G1350" i="8"/>
  <c r="F1350" i="8"/>
  <c r="E1350" i="8"/>
  <c r="D1350" i="8"/>
  <c r="C1350" i="8"/>
  <c r="B1350" i="8"/>
  <c r="A1350" i="8"/>
  <c r="M1349" i="8"/>
  <c r="K1349" i="8"/>
  <c r="J1349" i="8"/>
  <c r="I1349" i="8"/>
  <c r="H1349" i="8"/>
  <c r="G1349" i="8"/>
  <c r="L1349" i="8" s="1"/>
  <c r="F1349" i="8"/>
  <c r="E1349" i="8"/>
  <c r="D1349" i="8"/>
  <c r="C1349" i="8"/>
  <c r="B1349" i="8"/>
  <c r="A1349" i="8"/>
  <c r="M1348" i="8"/>
  <c r="K1348" i="8"/>
  <c r="J1348" i="8"/>
  <c r="I1348" i="8"/>
  <c r="H1348" i="8"/>
  <c r="G1348" i="8"/>
  <c r="L1348" i="8" s="1"/>
  <c r="F1348" i="8"/>
  <c r="E1348" i="8"/>
  <c r="D1348" i="8"/>
  <c r="C1348" i="8"/>
  <c r="B1348" i="8"/>
  <c r="A1348" i="8"/>
  <c r="M1347" i="8"/>
  <c r="K1347" i="8"/>
  <c r="J1347" i="8"/>
  <c r="I1347" i="8"/>
  <c r="H1347" i="8"/>
  <c r="G1347" i="8"/>
  <c r="L1347" i="8" s="1"/>
  <c r="F1347" i="8"/>
  <c r="E1347" i="8"/>
  <c r="D1347" i="8"/>
  <c r="C1347" i="8"/>
  <c r="B1347" i="8"/>
  <c r="A1347" i="8"/>
  <c r="M1346" i="8"/>
  <c r="L1346" i="8"/>
  <c r="K1346" i="8"/>
  <c r="J1346" i="8"/>
  <c r="I1346" i="8"/>
  <c r="H1346" i="8"/>
  <c r="G1346" i="8"/>
  <c r="F1346" i="8"/>
  <c r="E1346" i="8"/>
  <c r="D1346" i="8"/>
  <c r="C1346" i="8"/>
  <c r="B1346" i="8"/>
  <c r="A1346" i="8"/>
  <c r="M1345" i="8"/>
  <c r="K1345" i="8"/>
  <c r="J1345" i="8"/>
  <c r="I1345" i="8"/>
  <c r="H1345" i="8"/>
  <c r="G1345" i="8"/>
  <c r="L1345" i="8" s="1"/>
  <c r="F1345" i="8"/>
  <c r="E1345" i="8"/>
  <c r="D1345" i="8"/>
  <c r="C1345" i="8"/>
  <c r="B1345" i="8"/>
  <c r="A1345" i="8"/>
  <c r="M1344" i="8"/>
  <c r="K1344" i="8"/>
  <c r="J1344" i="8"/>
  <c r="I1344" i="8"/>
  <c r="H1344" i="8"/>
  <c r="G1344" i="8"/>
  <c r="L1344" i="8" s="1"/>
  <c r="F1344" i="8"/>
  <c r="E1344" i="8"/>
  <c r="D1344" i="8"/>
  <c r="C1344" i="8"/>
  <c r="B1344" i="8"/>
  <c r="A1344" i="8"/>
  <c r="M1343" i="8"/>
  <c r="K1343" i="8"/>
  <c r="J1343" i="8"/>
  <c r="I1343" i="8"/>
  <c r="H1343" i="8"/>
  <c r="G1343" i="8"/>
  <c r="L1343" i="8" s="1"/>
  <c r="F1343" i="8"/>
  <c r="E1343" i="8"/>
  <c r="D1343" i="8"/>
  <c r="C1343" i="8"/>
  <c r="B1343" i="8"/>
  <c r="A1343" i="8"/>
  <c r="M1342" i="8"/>
  <c r="L1342" i="8"/>
  <c r="K1342" i="8"/>
  <c r="J1342" i="8"/>
  <c r="I1342" i="8"/>
  <c r="H1342" i="8"/>
  <c r="G1342" i="8"/>
  <c r="F1342" i="8"/>
  <c r="E1342" i="8"/>
  <c r="D1342" i="8"/>
  <c r="C1342" i="8"/>
  <c r="B1342" i="8"/>
  <c r="A1342" i="8"/>
  <c r="M1341" i="8"/>
  <c r="K1341" i="8"/>
  <c r="J1341" i="8"/>
  <c r="I1341" i="8"/>
  <c r="H1341" i="8"/>
  <c r="G1341" i="8"/>
  <c r="L1341" i="8" s="1"/>
  <c r="F1341" i="8"/>
  <c r="E1341" i="8"/>
  <c r="D1341" i="8"/>
  <c r="C1341" i="8"/>
  <c r="B1341" i="8"/>
  <c r="A1341" i="8"/>
  <c r="M1340" i="8"/>
  <c r="K1340" i="8"/>
  <c r="J1340" i="8"/>
  <c r="I1340" i="8"/>
  <c r="H1340" i="8"/>
  <c r="G1340" i="8"/>
  <c r="L1340" i="8" s="1"/>
  <c r="F1340" i="8"/>
  <c r="E1340" i="8"/>
  <c r="D1340" i="8"/>
  <c r="C1340" i="8"/>
  <c r="B1340" i="8"/>
  <c r="A1340" i="8"/>
  <c r="M1339" i="8"/>
  <c r="K1339" i="8"/>
  <c r="J1339" i="8"/>
  <c r="I1339" i="8"/>
  <c r="H1339" i="8"/>
  <c r="G1339" i="8"/>
  <c r="L1339" i="8" s="1"/>
  <c r="F1339" i="8"/>
  <c r="E1339" i="8"/>
  <c r="D1339" i="8"/>
  <c r="C1339" i="8"/>
  <c r="B1339" i="8"/>
  <c r="A1339" i="8"/>
  <c r="M1338" i="8"/>
  <c r="L1338" i="8"/>
  <c r="K1338" i="8"/>
  <c r="J1338" i="8"/>
  <c r="I1338" i="8"/>
  <c r="H1338" i="8"/>
  <c r="G1338" i="8"/>
  <c r="F1338" i="8"/>
  <c r="E1338" i="8"/>
  <c r="D1338" i="8"/>
  <c r="C1338" i="8"/>
  <c r="B1338" i="8"/>
  <c r="A1338" i="8"/>
  <c r="M1337" i="8"/>
  <c r="K1337" i="8"/>
  <c r="J1337" i="8"/>
  <c r="I1337" i="8"/>
  <c r="H1337" i="8"/>
  <c r="G1337" i="8"/>
  <c r="L1337" i="8" s="1"/>
  <c r="F1337" i="8"/>
  <c r="E1337" i="8"/>
  <c r="D1337" i="8"/>
  <c r="C1337" i="8"/>
  <c r="B1337" i="8"/>
  <c r="A1337" i="8"/>
  <c r="M1336" i="8"/>
  <c r="K1336" i="8"/>
  <c r="J1336" i="8"/>
  <c r="I1336" i="8"/>
  <c r="H1336" i="8"/>
  <c r="G1336" i="8"/>
  <c r="L1336" i="8" s="1"/>
  <c r="F1336" i="8"/>
  <c r="E1336" i="8"/>
  <c r="D1336" i="8"/>
  <c r="C1336" i="8"/>
  <c r="B1336" i="8"/>
  <c r="A1336" i="8"/>
  <c r="M1335" i="8"/>
  <c r="K1335" i="8"/>
  <c r="J1335" i="8"/>
  <c r="I1335" i="8"/>
  <c r="H1335" i="8"/>
  <c r="G1335" i="8"/>
  <c r="L1335" i="8" s="1"/>
  <c r="F1335" i="8"/>
  <c r="E1335" i="8"/>
  <c r="D1335" i="8"/>
  <c r="C1335" i="8"/>
  <c r="B1335" i="8"/>
  <c r="A1335" i="8"/>
  <c r="M1334" i="8"/>
  <c r="L1334" i="8"/>
  <c r="K1334" i="8"/>
  <c r="J1334" i="8"/>
  <c r="I1334" i="8"/>
  <c r="H1334" i="8"/>
  <c r="G1334" i="8"/>
  <c r="F1334" i="8"/>
  <c r="E1334" i="8"/>
  <c r="D1334" i="8"/>
  <c r="C1334" i="8"/>
  <c r="B1334" i="8"/>
  <c r="A1334" i="8"/>
  <c r="M1333" i="8"/>
  <c r="K1333" i="8"/>
  <c r="J1333" i="8"/>
  <c r="I1333" i="8"/>
  <c r="H1333" i="8"/>
  <c r="G1333" i="8"/>
  <c r="L1333" i="8" s="1"/>
  <c r="F1333" i="8"/>
  <c r="E1333" i="8"/>
  <c r="D1333" i="8"/>
  <c r="C1333" i="8"/>
  <c r="B1333" i="8"/>
  <c r="A1333" i="8"/>
  <c r="M1332" i="8"/>
  <c r="K1332" i="8"/>
  <c r="J1332" i="8"/>
  <c r="I1332" i="8"/>
  <c r="H1332" i="8"/>
  <c r="G1332" i="8"/>
  <c r="L1332" i="8" s="1"/>
  <c r="F1332" i="8"/>
  <c r="E1332" i="8"/>
  <c r="D1332" i="8"/>
  <c r="C1332" i="8"/>
  <c r="B1332" i="8"/>
  <c r="A1332" i="8"/>
  <c r="M1331" i="8"/>
  <c r="K1331" i="8"/>
  <c r="J1331" i="8"/>
  <c r="I1331" i="8"/>
  <c r="H1331" i="8"/>
  <c r="G1331" i="8"/>
  <c r="L1331" i="8" s="1"/>
  <c r="F1331" i="8"/>
  <c r="E1331" i="8"/>
  <c r="D1331" i="8"/>
  <c r="C1331" i="8"/>
  <c r="B1331" i="8"/>
  <c r="A1331" i="8"/>
  <c r="M1330" i="8"/>
  <c r="L1330" i="8"/>
  <c r="K1330" i="8"/>
  <c r="J1330" i="8"/>
  <c r="I1330" i="8"/>
  <c r="H1330" i="8"/>
  <c r="G1330" i="8"/>
  <c r="F1330" i="8"/>
  <c r="E1330" i="8"/>
  <c r="D1330" i="8"/>
  <c r="C1330" i="8"/>
  <c r="B1330" i="8"/>
  <c r="A1330" i="8"/>
  <c r="M1329" i="8"/>
  <c r="K1329" i="8"/>
  <c r="J1329" i="8"/>
  <c r="I1329" i="8"/>
  <c r="H1329" i="8"/>
  <c r="G1329" i="8"/>
  <c r="L1329" i="8" s="1"/>
  <c r="F1329" i="8"/>
  <c r="E1329" i="8"/>
  <c r="D1329" i="8"/>
  <c r="C1329" i="8"/>
  <c r="B1329" i="8"/>
  <c r="A1329" i="8"/>
  <c r="M1328" i="8"/>
  <c r="K1328" i="8"/>
  <c r="J1328" i="8"/>
  <c r="I1328" i="8"/>
  <c r="H1328" i="8"/>
  <c r="G1328" i="8"/>
  <c r="L1328" i="8" s="1"/>
  <c r="F1328" i="8"/>
  <c r="E1328" i="8"/>
  <c r="D1328" i="8"/>
  <c r="C1328" i="8"/>
  <c r="B1328" i="8"/>
  <c r="A1328" i="8"/>
  <c r="M1327" i="8"/>
  <c r="K1327" i="8"/>
  <c r="J1327" i="8"/>
  <c r="I1327" i="8"/>
  <c r="H1327" i="8"/>
  <c r="G1327" i="8"/>
  <c r="L1327" i="8" s="1"/>
  <c r="F1327" i="8"/>
  <c r="E1327" i="8"/>
  <c r="D1327" i="8"/>
  <c r="C1327" i="8"/>
  <c r="B1327" i="8"/>
  <c r="A1327" i="8"/>
  <c r="M1326" i="8"/>
  <c r="L1326" i="8"/>
  <c r="K1326" i="8"/>
  <c r="J1326" i="8"/>
  <c r="I1326" i="8"/>
  <c r="H1326" i="8"/>
  <c r="G1326" i="8"/>
  <c r="F1326" i="8"/>
  <c r="E1326" i="8"/>
  <c r="D1326" i="8"/>
  <c r="C1326" i="8"/>
  <c r="B1326" i="8"/>
  <c r="A1326" i="8"/>
  <c r="M1325" i="8"/>
  <c r="K1325" i="8"/>
  <c r="J1325" i="8"/>
  <c r="I1325" i="8"/>
  <c r="H1325" i="8"/>
  <c r="G1325" i="8"/>
  <c r="L1325" i="8" s="1"/>
  <c r="F1325" i="8"/>
  <c r="E1325" i="8"/>
  <c r="D1325" i="8"/>
  <c r="C1325" i="8"/>
  <c r="B1325" i="8"/>
  <c r="A1325" i="8"/>
  <c r="M1324" i="8"/>
  <c r="K1324" i="8"/>
  <c r="J1324" i="8"/>
  <c r="I1324" i="8"/>
  <c r="H1324" i="8"/>
  <c r="G1324" i="8"/>
  <c r="L1324" i="8" s="1"/>
  <c r="F1324" i="8"/>
  <c r="E1324" i="8"/>
  <c r="D1324" i="8"/>
  <c r="C1324" i="8"/>
  <c r="B1324" i="8"/>
  <c r="A1324" i="8"/>
  <c r="M1323" i="8"/>
  <c r="K1323" i="8"/>
  <c r="J1323" i="8"/>
  <c r="I1323" i="8"/>
  <c r="H1323" i="8"/>
  <c r="G1323" i="8"/>
  <c r="L1323" i="8" s="1"/>
  <c r="F1323" i="8"/>
  <c r="E1323" i="8"/>
  <c r="D1323" i="8"/>
  <c r="C1323" i="8"/>
  <c r="B1323" i="8"/>
  <c r="A1323" i="8"/>
  <c r="M1322" i="8"/>
  <c r="L1322" i="8"/>
  <c r="K1322" i="8"/>
  <c r="J1322" i="8"/>
  <c r="I1322" i="8"/>
  <c r="H1322" i="8"/>
  <c r="G1322" i="8"/>
  <c r="F1322" i="8"/>
  <c r="E1322" i="8"/>
  <c r="D1322" i="8"/>
  <c r="C1322" i="8"/>
  <c r="B1322" i="8"/>
  <c r="A1322" i="8"/>
  <c r="M1321" i="8"/>
  <c r="K1321" i="8"/>
  <c r="J1321" i="8"/>
  <c r="I1321" i="8"/>
  <c r="H1321" i="8"/>
  <c r="G1321" i="8"/>
  <c r="L1321" i="8" s="1"/>
  <c r="F1321" i="8"/>
  <c r="E1321" i="8"/>
  <c r="D1321" i="8"/>
  <c r="C1321" i="8"/>
  <c r="B1321" i="8"/>
  <c r="A1321" i="8"/>
  <c r="M1320" i="8"/>
  <c r="K1320" i="8"/>
  <c r="J1320" i="8"/>
  <c r="I1320" i="8"/>
  <c r="H1320" i="8"/>
  <c r="G1320" i="8"/>
  <c r="L1320" i="8" s="1"/>
  <c r="F1320" i="8"/>
  <c r="E1320" i="8"/>
  <c r="D1320" i="8"/>
  <c r="C1320" i="8"/>
  <c r="B1320" i="8"/>
  <c r="A1320" i="8"/>
  <c r="M1319" i="8"/>
  <c r="K1319" i="8"/>
  <c r="J1319" i="8"/>
  <c r="I1319" i="8"/>
  <c r="H1319" i="8"/>
  <c r="G1319" i="8"/>
  <c r="L1319" i="8" s="1"/>
  <c r="F1319" i="8"/>
  <c r="E1319" i="8"/>
  <c r="D1319" i="8"/>
  <c r="C1319" i="8"/>
  <c r="B1319" i="8"/>
  <c r="A1319" i="8"/>
  <c r="M1318" i="8"/>
  <c r="L1318" i="8"/>
  <c r="K1318" i="8"/>
  <c r="J1318" i="8"/>
  <c r="I1318" i="8"/>
  <c r="H1318" i="8"/>
  <c r="G1318" i="8"/>
  <c r="F1318" i="8"/>
  <c r="E1318" i="8"/>
  <c r="D1318" i="8"/>
  <c r="C1318" i="8"/>
  <c r="B1318" i="8"/>
  <c r="A1318" i="8"/>
  <c r="M1317" i="8"/>
  <c r="K1317" i="8"/>
  <c r="J1317" i="8"/>
  <c r="I1317" i="8"/>
  <c r="H1317" i="8"/>
  <c r="G1317" i="8"/>
  <c r="L1317" i="8" s="1"/>
  <c r="F1317" i="8"/>
  <c r="E1317" i="8"/>
  <c r="D1317" i="8"/>
  <c r="C1317" i="8"/>
  <c r="B1317" i="8"/>
  <c r="A1317" i="8"/>
  <c r="M1316" i="8"/>
  <c r="K1316" i="8"/>
  <c r="J1316" i="8"/>
  <c r="I1316" i="8"/>
  <c r="H1316" i="8"/>
  <c r="G1316" i="8"/>
  <c r="L1316" i="8" s="1"/>
  <c r="F1316" i="8"/>
  <c r="E1316" i="8"/>
  <c r="D1316" i="8"/>
  <c r="C1316" i="8"/>
  <c r="B1316" i="8"/>
  <c r="A1316" i="8"/>
  <c r="M1315" i="8"/>
  <c r="K1315" i="8"/>
  <c r="J1315" i="8"/>
  <c r="I1315" i="8"/>
  <c r="H1315" i="8"/>
  <c r="G1315" i="8"/>
  <c r="L1315" i="8" s="1"/>
  <c r="F1315" i="8"/>
  <c r="E1315" i="8"/>
  <c r="D1315" i="8"/>
  <c r="C1315" i="8"/>
  <c r="B1315" i="8"/>
  <c r="A1315" i="8"/>
  <c r="M1314" i="8"/>
  <c r="L1314" i="8"/>
  <c r="K1314" i="8"/>
  <c r="J1314" i="8"/>
  <c r="I1314" i="8"/>
  <c r="H1314" i="8"/>
  <c r="G1314" i="8"/>
  <c r="F1314" i="8"/>
  <c r="E1314" i="8"/>
  <c r="D1314" i="8"/>
  <c r="C1314" i="8"/>
  <c r="B1314" i="8"/>
  <c r="A1314" i="8"/>
  <c r="M1313" i="8"/>
  <c r="K1313" i="8"/>
  <c r="J1313" i="8"/>
  <c r="I1313" i="8"/>
  <c r="H1313" i="8"/>
  <c r="G1313" i="8"/>
  <c r="L1313" i="8" s="1"/>
  <c r="F1313" i="8"/>
  <c r="E1313" i="8"/>
  <c r="D1313" i="8"/>
  <c r="C1313" i="8"/>
  <c r="B1313" i="8"/>
  <c r="A1313" i="8"/>
  <c r="M1312" i="8"/>
  <c r="L1312" i="8"/>
  <c r="K1312" i="8"/>
  <c r="J1312" i="8"/>
  <c r="I1312" i="8"/>
  <c r="H1312" i="8"/>
  <c r="G1312" i="8"/>
  <c r="F1312" i="8"/>
  <c r="E1312" i="8"/>
  <c r="D1312" i="8"/>
  <c r="C1312" i="8"/>
  <c r="B1312" i="8"/>
  <c r="A1312" i="8"/>
  <c r="M1311" i="8"/>
  <c r="K1311" i="8"/>
  <c r="J1311" i="8"/>
  <c r="I1311" i="8"/>
  <c r="H1311" i="8"/>
  <c r="G1311" i="8"/>
  <c r="L1311" i="8" s="1"/>
  <c r="F1311" i="8"/>
  <c r="E1311" i="8"/>
  <c r="D1311" i="8"/>
  <c r="C1311" i="8"/>
  <c r="B1311" i="8"/>
  <c r="A1311" i="8"/>
  <c r="M1310" i="8"/>
  <c r="L1310" i="8"/>
  <c r="K1310" i="8"/>
  <c r="J1310" i="8"/>
  <c r="I1310" i="8"/>
  <c r="H1310" i="8"/>
  <c r="G1310" i="8"/>
  <c r="F1310" i="8"/>
  <c r="E1310" i="8"/>
  <c r="D1310" i="8"/>
  <c r="C1310" i="8"/>
  <c r="B1310" i="8"/>
  <c r="A1310" i="8"/>
  <c r="M1309" i="8"/>
  <c r="K1309" i="8"/>
  <c r="J1309" i="8"/>
  <c r="I1309" i="8"/>
  <c r="H1309" i="8"/>
  <c r="G1309" i="8"/>
  <c r="L1309" i="8" s="1"/>
  <c r="F1309" i="8"/>
  <c r="E1309" i="8"/>
  <c r="D1309" i="8"/>
  <c r="C1309" i="8"/>
  <c r="B1309" i="8"/>
  <c r="A1309" i="8"/>
  <c r="M1308" i="8"/>
  <c r="K1308" i="8"/>
  <c r="J1308" i="8"/>
  <c r="I1308" i="8"/>
  <c r="H1308" i="8"/>
  <c r="G1308" i="8"/>
  <c r="L1308" i="8" s="1"/>
  <c r="F1308" i="8"/>
  <c r="E1308" i="8"/>
  <c r="D1308" i="8"/>
  <c r="C1308" i="8"/>
  <c r="B1308" i="8"/>
  <c r="A1308" i="8"/>
  <c r="M1307" i="8"/>
  <c r="K1307" i="8"/>
  <c r="J1307" i="8"/>
  <c r="I1307" i="8"/>
  <c r="H1307" i="8"/>
  <c r="G1307" i="8"/>
  <c r="L1307" i="8" s="1"/>
  <c r="F1307" i="8"/>
  <c r="E1307" i="8"/>
  <c r="D1307" i="8"/>
  <c r="C1307" i="8"/>
  <c r="B1307" i="8"/>
  <c r="A1307" i="8"/>
  <c r="M1306" i="8"/>
  <c r="L1306" i="8"/>
  <c r="K1306" i="8"/>
  <c r="J1306" i="8"/>
  <c r="I1306" i="8"/>
  <c r="H1306" i="8"/>
  <c r="G1306" i="8"/>
  <c r="F1306" i="8"/>
  <c r="E1306" i="8"/>
  <c r="D1306" i="8"/>
  <c r="C1306" i="8"/>
  <c r="B1306" i="8"/>
  <c r="A1306" i="8"/>
  <c r="M1305" i="8"/>
  <c r="K1305" i="8"/>
  <c r="J1305" i="8"/>
  <c r="I1305" i="8"/>
  <c r="H1305" i="8"/>
  <c r="G1305" i="8"/>
  <c r="L1305" i="8" s="1"/>
  <c r="F1305" i="8"/>
  <c r="E1305" i="8"/>
  <c r="D1305" i="8"/>
  <c r="C1305" i="8"/>
  <c r="B1305" i="8"/>
  <c r="A1305" i="8"/>
  <c r="M1304" i="8"/>
  <c r="L1304" i="8"/>
  <c r="K1304" i="8"/>
  <c r="J1304" i="8"/>
  <c r="I1304" i="8"/>
  <c r="H1304" i="8"/>
  <c r="G1304" i="8"/>
  <c r="F1304" i="8"/>
  <c r="E1304" i="8"/>
  <c r="D1304" i="8"/>
  <c r="C1304" i="8"/>
  <c r="B1304" i="8"/>
  <c r="A1304" i="8"/>
  <c r="M1303" i="8"/>
  <c r="K1303" i="8"/>
  <c r="J1303" i="8"/>
  <c r="I1303" i="8"/>
  <c r="H1303" i="8"/>
  <c r="G1303" i="8"/>
  <c r="L1303" i="8" s="1"/>
  <c r="F1303" i="8"/>
  <c r="E1303" i="8"/>
  <c r="D1303" i="8"/>
  <c r="C1303" i="8"/>
  <c r="B1303" i="8"/>
  <c r="A1303" i="8"/>
  <c r="M1302" i="8"/>
  <c r="L1302" i="8"/>
  <c r="K1302" i="8"/>
  <c r="J1302" i="8"/>
  <c r="I1302" i="8"/>
  <c r="H1302" i="8"/>
  <c r="G1302" i="8"/>
  <c r="F1302" i="8"/>
  <c r="E1302" i="8"/>
  <c r="D1302" i="8"/>
  <c r="C1302" i="8"/>
  <c r="B1302" i="8"/>
  <c r="A1302" i="8"/>
  <c r="M1301" i="8"/>
  <c r="K1301" i="8"/>
  <c r="J1301" i="8"/>
  <c r="I1301" i="8"/>
  <c r="H1301" i="8"/>
  <c r="G1301" i="8"/>
  <c r="L1301" i="8" s="1"/>
  <c r="F1301" i="8"/>
  <c r="E1301" i="8"/>
  <c r="D1301" i="8"/>
  <c r="C1301" i="8"/>
  <c r="B1301" i="8"/>
  <c r="A1301" i="8"/>
  <c r="M1300" i="8"/>
  <c r="L1300" i="8"/>
  <c r="K1300" i="8"/>
  <c r="J1300" i="8"/>
  <c r="I1300" i="8"/>
  <c r="H1300" i="8"/>
  <c r="G1300" i="8"/>
  <c r="F1300" i="8"/>
  <c r="E1300" i="8"/>
  <c r="D1300" i="8"/>
  <c r="C1300" i="8"/>
  <c r="B1300" i="8"/>
  <c r="A1300" i="8"/>
  <c r="M1299" i="8"/>
  <c r="K1299" i="8"/>
  <c r="J1299" i="8"/>
  <c r="I1299" i="8"/>
  <c r="H1299" i="8"/>
  <c r="G1299" i="8"/>
  <c r="L1299" i="8" s="1"/>
  <c r="F1299" i="8"/>
  <c r="E1299" i="8"/>
  <c r="D1299" i="8"/>
  <c r="C1299" i="8"/>
  <c r="B1299" i="8"/>
  <c r="A1299" i="8"/>
  <c r="M1298" i="8"/>
  <c r="L1298" i="8"/>
  <c r="K1298" i="8"/>
  <c r="J1298" i="8"/>
  <c r="I1298" i="8"/>
  <c r="H1298" i="8"/>
  <c r="G1298" i="8"/>
  <c r="F1298" i="8"/>
  <c r="E1298" i="8"/>
  <c r="D1298" i="8"/>
  <c r="C1298" i="8"/>
  <c r="B1298" i="8"/>
  <c r="A1298" i="8"/>
  <c r="M1297" i="8"/>
  <c r="K1297" i="8"/>
  <c r="J1297" i="8"/>
  <c r="I1297" i="8"/>
  <c r="H1297" i="8"/>
  <c r="G1297" i="8"/>
  <c r="L1297" i="8" s="1"/>
  <c r="F1297" i="8"/>
  <c r="E1297" i="8"/>
  <c r="D1297" i="8"/>
  <c r="C1297" i="8"/>
  <c r="B1297" i="8"/>
  <c r="A1297" i="8"/>
  <c r="M1296" i="8"/>
  <c r="K1296" i="8"/>
  <c r="J1296" i="8"/>
  <c r="I1296" i="8"/>
  <c r="H1296" i="8"/>
  <c r="G1296" i="8"/>
  <c r="L1296" i="8" s="1"/>
  <c r="F1296" i="8"/>
  <c r="E1296" i="8"/>
  <c r="D1296" i="8"/>
  <c r="C1296" i="8"/>
  <c r="B1296" i="8"/>
  <c r="A1296" i="8"/>
  <c r="M1295" i="8"/>
  <c r="K1295" i="8"/>
  <c r="J1295" i="8"/>
  <c r="I1295" i="8"/>
  <c r="H1295" i="8"/>
  <c r="G1295" i="8"/>
  <c r="L1295" i="8" s="1"/>
  <c r="F1295" i="8"/>
  <c r="E1295" i="8"/>
  <c r="D1295" i="8"/>
  <c r="C1295" i="8"/>
  <c r="B1295" i="8"/>
  <c r="A1295" i="8"/>
  <c r="M1294" i="8"/>
  <c r="L1294" i="8"/>
  <c r="K1294" i="8"/>
  <c r="J1294" i="8"/>
  <c r="I1294" i="8"/>
  <c r="H1294" i="8"/>
  <c r="G1294" i="8"/>
  <c r="F1294" i="8"/>
  <c r="E1294" i="8"/>
  <c r="D1294" i="8"/>
  <c r="C1294" i="8"/>
  <c r="B1294" i="8"/>
  <c r="A1294" i="8"/>
  <c r="M1293" i="8"/>
  <c r="K1293" i="8"/>
  <c r="J1293" i="8"/>
  <c r="I1293" i="8"/>
  <c r="H1293" i="8"/>
  <c r="G1293" i="8"/>
  <c r="L1293" i="8" s="1"/>
  <c r="F1293" i="8"/>
  <c r="E1293" i="8"/>
  <c r="D1293" i="8"/>
  <c r="C1293" i="8"/>
  <c r="B1293" i="8"/>
  <c r="A1293" i="8"/>
  <c r="M1292" i="8"/>
  <c r="L1292" i="8"/>
  <c r="K1292" i="8"/>
  <c r="J1292" i="8"/>
  <c r="I1292" i="8"/>
  <c r="H1292" i="8"/>
  <c r="G1292" i="8"/>
  <c r="F1292" i="8"/>
  <c r="E1292" i="8"/>
  <c r="D1292" i="8"/>
  <c r="C1292" i="8"/>
  <c r="B1292" i="8"/>
  <c r="A1292" i="8"/>
  <c r="M1291" i="8"/>
  <c r="K1291" i="8"/>
  <c r="J1291" i="8"/>
  <c r="I1291" i="8"/>
  <c r="H1291" i="8"/>
  <c r="G1291" i="8"/>
  <c r="L1291" i="8" s="1"/>
  <c r="F1291" i="8"/>
  <c r="E1291" i="8"/>
  <c r="D1291" i="8"/>
  <c r="C1291" i="8"/>
  <c r="B1291" i="8"/>
  <c r="A1291" i="8"/>
  <c r="M1290" i="8"/>
  <c r="L1290" i="8"/>
  <c r="K1290" i="8"/>
  <c r="J1290" i="8"/>
  <c r="I1290" i="8"/>
  <c r="H1290" i="8"/>
  <c r="G1290" i="8"/>
  <c r="F1290" i="8"/>
  <c r="E1290" i="8"/>
  <c r="D1290" i="8"/>
  <c r="C1290" i="8"/>
  <c r="B1290" i="8"/>
  <c r="A1290" i="8"/>
  <c r="M1289" i="8"/>
  <c r="K1289" i="8"/>
  <c r="J1289" i="8"/>
  <c r="I1289" i="8"/>
  <c r="H1289" i="8"/>
  <c r="G1289" i="8"/>
  <c r="L1289" i="8" s="1"/>
  <c r="F1289" i="8"/>
  <c r="E1289" i="8"/>
  <c r="D1289" i="8"/>
  <c r="C1289" i="8"/>
  <c r="B1289" i="8"/>
  <c r="A1289" i="8"/>
  <c r="M1288" i="8"/>
  <c r="K1288" i="8"/>
  <c r="J1288" i="8"/>
  <c r="I1288" i="8"/>
  <c r="H1288" i="8"/>
  <c r="G1288" i="8"/>
  <c r="L1288" i="8" s="1"/>
  <c r="F1288" i="8"/>
  <c r="E1288" i="8"/>
  <c r="D1288" i="8"/>
  <c r="C1288" i="8"/>
  <c r="B1288" i="8"/>
  <c r="A1288" i="8"/>
  <c r="M1287" i="8"/>
  <c r="K1287" i="8"/>
  <c r="J1287" i="8"/>
  <c r="I1287" i="8"/>
  <c r="H1287" i="8"/>
  <c r="G1287" i="8"/>
  <c r="L1287" i="8" s="1"/>
  <c r="F1287" i="8"/>
  <c r="E1287" i="8"/>
  <c r="D1287" i="8"/>
  <c r="C1287" i="8"/>
  <c r="B1287" i="8"/>
  <c r="A1287" i="8"/>
  <c r="M1286" i="8"/>
  <c r="L1286" i="8"/>
  <c r="K1286" i="8"/>
  <c r="J1286" i="8"/>
  <c r="I1286" i="8"/>
  <c r="H1286" i="8"/>
  <c r="G1286" i="8"/>
  <c r="F1286" i="8"/>
  <c r="E1286" i="8"/>
  <c r="D1286" i="8"/>
  <c r="C1286" i="8"/>
  <c r="B1286" i="8"/>
  <c r="A1286" i="8"/>
  <c r="M1285" i="8"/>
  <c r="L1285" i="8"/>
  <c r="K1285" i="8"/>
  <c r="J1285" i="8"/>
  <c r="I1285" i="8"/>
  <c r="H1285" i="8"/>
  <c r="G1285" i="8"/>
  <c r="F1285" i="8"/>
  <c r="E1285" i="8"/>
  <c r="D1285" i="8"/>
  <c r="C1285" i="8"/>
  <c r="B1285" i="8"/>
  <c r="A1285" i="8"/>
  <c r="M1284" i="8"/>
  <c r="K1284" i="8"/>
  <c r="J1284" i="8"/>
  <c r="I1284" i="8"/>
  <c r="H1284" i="8"/>
  <c r="G1284" i="8"/>
  <c r="L1284" i="8" s="1"/>
  <c r="F1284" i="8"/>
  <c r="E1284" i="8"/>
  <c r="D1284" i="8"/>
  <c r="C1284" i="8"/>
  <c r="B1284" i="8"/>
  <c r="A1284" i="8"/>
  <c r="M1283" i="8"/>
  <c r="K1283" i="8"/>
  <c r="J1283" i="8"/>
  <c r="I1283" i="8"/>
  <c r="H1283" i="8"/>
  <c r="G1283" i="8"/>
  <c r="L1283" i="8" s="1"/>
  <c r="F1283" i="8"/>
  <c r="E1283" i="8"/>
  <c r="D1283" i="8"/>
  <c r="C1283" i="8"/>
  <c r="B1283" i="8"/>
  <c r="A1283" i="8"/>
  <c r="M1282" i="8"/>
  <c r="L1282" i="8"/>
  <c r="K1282" i="8"/>
  <c r="J1282" i="8"/>
  <c r="I1282" i="8"/>
  <c r="H1282" i="8"/>
  <c r="G1282" i="8"/>
  <c r="F1282" i="8"/>
  <c r="E1282" i="8"/>
  <c r="D1282" i="8"/>
  <c r="C1282" i="8"/>
  <c r="B1282" i="8"/>
  <c r="A1282" i="8"/>
  <c r="M1281" i="8"/>
  <c r="K1281" i="8"/>
  <c r="J1281" i="8"/>
  <c r="I1281" i="8"/>
  <c r="H1281" i="8"/>
  <c r="G1281" i="8"/>
  <c r="L1281" i="8" s="1"/>
  <c r="F1281" i="8"/>
  <c r="E1281" i="8"/>
  <c r="D1281" i="8"/>
  <c r="C1281" i="8"/>
  <c r="B1281" i="8"/>
  <c r="A1281" i="8"/>
  <c r="M1280" i="8"/>
  <c r="K1280" i="8"/>
  <c r="J1280" i="8"/>
  <c r="I1280" i="8"/>
  <c r="H1280" i="8"/>
  <c r="G1280" i="8"/>
  <c r="L1280" i="8" s="1"/>
  <c r="F1280" i="8"/>
  <c r="E1280" i="8"/>
  <c r="D1280" i="8"/>
  <c r="C1280" i="8"/>
  <c r="B1280" i="8"/>
  <c r="A1280" i="8"/>
  <c r="M1279" i="8"/>
  <c r="K1279" i="8"/>
  <c r="J1279" i="8"/>
  <c r="I1279" i="8"/>
  <c r="H1279" i="8"/>
  <c r="G1279" i="8"/>
  <c r="L1279" i="8" s="1"/>
  <c r="F1279" i="8"/>
  <c r="E1279" i="8"/>
  <c r="D1279" i="8"/>
  <c r="C1279" i="8"/>
  <c r="B1279" i="8"/>
  <c r="A1279" i="8"/>
  <c r="M1278" i="8"/>
  <c r="L1278" i="8"/>
  <c r="K1278" i="8"/>
  <c r="J1278" i="8"/>
  <c r="I1278" i="8"/>
  <c r="H1278" i="8"/>
  <c r="G1278" i="8"/>
  <c r="F1278" i="8"/>
  <c r="E1278" i="8"/>
  <c r="D1278" i="8"/>
  <c r="C1278" i="8"/>
  <c r="B1278" i="8"/>
  <c r="A1278" i="8"/>
  <c r="M1277" i="8"/>
  <c r="K1277" i="8"/>
  <c r="J1277" i="8"/>
  <c r="I1277" i="8"/>
  <c r="H1277" i="8"/>
  <c r="G1277" i="8"/>
  <c r="L1277" i="8" s="1"/>
  <c r="F1277" i="8"/>
  <c r="E1277" i="8"/>
  <c r="D1277" i="8"/>
  <c r="C1277" i="8"/>
  <c r="B1277" i="8"/>
  <c r="A1277" i="8"/>
  <c r="M1276" i="8"/>
  <c r="L1276" i="8"/>
  <c r="K1276" i="8"/>
  <c r="J1276" i="8"/>
  <c r="I1276" i="8"/>
  <c r="H1276" i="8"/>
  <c r="G1276" i="8"/>
  <c r="F1276" i="8"/>
  <c r="E1276" i="8"/>
  <c r="D1276" i="8"/>
  <c r="C1276" i="8"/>
  <c r="B1276" i="8"/>
  <c r="A1276" i="8"/>
  <c r="M1275" i="8"/>
  <c r="K1275" i="8"/>
  <c r="J1275" i="8"/>
  <c r="I1275" i="8"/>
  <c r="H1275" i="8"/>
  <c r="G1275" i="8"/>
  <c r="L1275" i="8" s="1"/>
  <c r="F1275" i="8"/>
  <c r="E1275" i="8"/>
  <c r="D1275" i="8"/>
  <c r="C1275" i="8"/>
  <c r="B1275" i="8"/>
  <c r="A1275" i="8"/>
  <c r="M1274" i="8"/>
  <c r="L1274" i="8"/>
  <c r="K1274" i="8"/>
  <c r="J1274" i="8"/>
  <c r="I1274" i="8"/>
  <c r="H1274" i="8"/>
  <c r="G1274" i="8"/>
  <c r="F1274" i="8"/>
  <c r="E1274" i="8"/>
  <c r="D1274" i="8"/>
  <c r="C1274" i="8"/>
  <c r="B1274" i="8"/>
  <c r="A1274" i="8"/>
  <c r="M1273" i="8"/>
  <c r="K1273" i="8"/>
  <c r="J1273" i="8"/>
  <c r="I1273" i="8"/>
  <c r="H1273" i="8"/>
  <c r="G1273" i="8"/>
  <c r="L1273" i="8" s="1"/>
  <c r="F1273" i="8"/>
  <c r="E1273" i="8"/>
  <c r="D1273" i="8"/>
  <c r="C1273" i="8"/>
  <c r="B1273" i="8"/>
  <c r="A1273" i="8"/>
  <c r="M1272" i="8"/>
  <c r="K1272" i="8"/>
  <c r="J1272" i="8"/>
  <c r="I1272" i="8"/>
  <c r="H1272" i="8"/>
  <c r="G1272" i="8"/>
  <c r="L1272" i="8" s="1"/>
  <c r="F1272" i="8"/>
  <c r="E1272" i="8"/>
  <c r="D1272" i="8"/>
  <c r="C1272" i="8"/>
  <c r="B1272" i="8"/>
  <c r="A1272" i="8"/>
  <c r="M1271" i="8"/>
  <c r="K1271" i="8"/>
  <c r="J1271" i="8"/>
  <c r="I1271" i="8"/>
  <c r="H1271" i="8"/>
  <c r="G1271" i="8"/>
  <c r="L1271" i="8" s="1"/>
  <c r="F1271" i="8"/>
  <c r="E1271" i="8"/>
  <c r="D1271" i="8"/>
  <c r="C1271" i="8"/>
  <c r="B1271" i="8"/>
  <c r="A1271" i="8"/>
  <c r="M1270" i="8"/>
  <c r="L1270" i="8"/>
  <c r="K1270" i="8"/>
  <c r="J1270" i="8"/>
  <c r="I1270" i="8"/>
  <c r="H1270" i="8"/>
  <c r="G1270" i="8"/>
  <c r="F1270" i="8"/>
  <c r="E1270" i="8"/>
  <c r="D1270" i="8"/>
  <c r="C1270" i="8"/>
  <c r="B1270" i="8"/>
  <c r="A1270" i="8"/>
  <c r="M1269" i="8"/>
  <c r="K1269" i="8"/>
  <c r="J1269" i="8"/>
  <c r="I1269" i="8"/>
  <c r="H1269" i="8"/>
  <c r="G1269" i="8"/>
  <c r="L1269" i="8" s="1"/>
  <c r="F1269" i="8"/>
  <c r="E1269" i="8"/>
  <c r="D1269" i="8"/>
  <c r="C1269" i="8"/>
  <c r="B1269" i="8"/>
  <c r="A1269" i="8"/>
  <c r="M1268" i="8"/>
  <c r="L1268" i="8"/>
  <c r="K1268" i="8"/>
  <c r="J1268" i="8"/>
  <c r="I1268" i="8"/>
  <c r="H1268" i="8"/>
  <c r="G1268" i="8"/>
  <c r="F1268" i="8"/>
  <c r="E1268" i="8"/>
  <c r="D1268" i="8"/>
  <c r="C1268" i="8"/>
  <c r="B1268" i="8"/>
  <c r="A1268" i="8"/>
  <c r="M1267" i="8"/>
  <c r="K1267" i="8"/>
  <c r="J1267" i="8"/>
  <c r="I1267" i="8"/>
  <c r="H1267" i="8"/>
  <c r="G1267" i="8"/>
  <c r="L1267" i="8" s="1"/>
  <c r="F1267" i="8"/>
  <c r="E1267" i="8"/>
  <c r="D1267" i="8"/>
  <c r="C1267" i="8"/>
  <c r="B1267" i="8"/>
  <c r="A1267" i="8"/>
  <c r="M1266" i="8"/>
  <c r="L1266" i="8"/>
  <c r="K1266" i="8"/>
  <c r="J1266" i="8"/>
  <c r="I1266" i="8"/>
  <c r="H1266" i="8"/>
  <c r="G1266" i="8"/>
  <c r="F1266" i="8"/>
  <c r="E1266" i="8"/>
  <c r="D1266" i="8"/>
  <c r="C1266" i="8"/>
  <c r="B1266" i="8"/>
  <c r="A1266" i="8"/>
  <c r="M1265" i="8"/>
  <c r="K1265" i="8"/>
  <c r="J1265" i="8"/>
  <c r="I1265" i="8"/>
  <c r="H1265" i="8"/>
  <c r="G1265" i="8"/>
  <c r="L1265" i="8" s="1"/>
  <c r="F1265" i="8"/>
  <c r="E1265" i="8"/>
  <c r="D1265" i="8"/>
  <c r="C1265" i="8"/>
  <c r="B1265" i="8"/>
  <c r="A1265" i="8"/>
  <c r="M1264" i="8"/>
  <c r="K1264" i="8"/>
  <c r="J1264" i="8"/>
  <c r="I1264" i="8"/>
  <c r="H1264" i="8"/>
  <c r="G1264" i="8"/>
  <c r="L1264" i="8" s="1"/>
  <c r="F1264" i="8"/>
  <c r="E1264" i="8"/>
  <c r="D1264" i="8"/>
  <c r="C1264" i="8"/>
  <c r="B1264" i="8"/>
  <c r="A1264" i="8"/>
  <c r="M1263" i="8"/>
  <c r="K1263" i="8"/>
  <c r="J1263" i="8"/>
  <c r="I1263" i="8"/>
  <c r="H1263" i="8"/>
  <c r="G1263" i="8"/>
  <c r="L1263" i="8" s="1"/>
  <c r="F1263" i="8"/>
  <c r="E1263" i="8"/>
  <c r="D1263" i="8"/>
  <c r="C1263" i="8"/>
  <c r="B1263" i="8"/>
  <c r="A1263" i="8"/>
  <c r="M1262" i="8"/>
  <c r="L1262" i="8"/>
  <c r="K1262" i="8"/>
  <c r="J1262" i="8"/>
  <c r="I1262" i="8"/>
  <c r="H1262" i="8"/>
  <c r="G1262" i="8"/>
  <c r="F1262" i="8"/>
  <c r="E1262" i="8"/>
  <c r="D1262" i="8"/>
  <c r="C1262" i="8"/>
  <c r="B1262" i="8"/>
  <c r="A1262" i="8"/>
  <c r="M1261" i="8"/>
  <c r="K1261" i="8"/>
  <c r="J1261" i="8"/>
  <c r="I1261" i="8"/>
  <c r="H1261" i="8"/>
  <c r="G1261" i="8"/>
  <c r="L1261" i="8" s="1"/>
  <c r="F1261" i="8"/>
  <c r="E1261" i="8"/>
  <c r="D1261" i="8"/>
  <c r="C1261" i="8"/>
  <c r="B1261" i="8"/>
  <c r="A1261" i="8"/>
  <c r="M1260" i="8"/>
  <c r="L1260" i="8"/>
  <c r="K1260" i="8"/>
  <c r="J1260" i="8"/>
  <c r="I1260" i="8"/>
  <c r="H1260" i="8"/>
  <c r="G1260" i="8"/>
  <c r="F1260" i="8"/>
  <c r="E1260" i="8"/>
  <c r="D1260" i="8"/>
  <c r="C1260" i="8"/>
  <c r="B1260" i="8"/>
  <c r="A1260" i="8"/>
  <c r="M1259" i="8"/>
  <c r="K1259" i="8"/>
  <c r="J1259" i="8"/>
  <c r="I1259" i="8"/>
  <c r="H1259" i="8"/>
  <c r="G1259" i="8"/>
  <c r="L1259" i="8" s="1"/>
  <c r="F1259" i="8"/>
  <c r="E1259" i="8"/>
  <c r="D1259" i="8"/>
  <c r="C1259" i="8"/>
  <c r="B1259" i="8"/>
  <c r="A1259" i="8"/>
  <c r="M1258" i="8"/>
  <c r="L1258" i="8"/>
  <c r="K1258" i="8"/>
  <c r="J1258" i="8"/>
  <c r="I1258" i="8"/>
  <c r="H1258" i="8"/>
  <c r="G1258" i="8"/>
  <c r="F1258" i="8"/>
  <c r="E1258" i="8"/>
  <c r="D1258" i="8"/>
  <c r="C1258" i="8"/>
  <c r="B1258" i="8"/>
  <c r="A1258" i="8"/>
  <c r="M1257" i="8"/>
  <c r="K1257" i="8"/>
  <c r="J1257" i="8"/>
  <c r="I1257" i="8"/>
  <c r="H1257" i="8"/>
  <c r="G1257" i="8"/>
  <c r="L1257" i="8" s="1"/>
  <c r="F1257" i="8"/>
  <c r="E1257" i="8"/>
  <c r="D1257" i="8"/>
  <c r="C1257" i="8"/>
  <c r="B1257" i="8"/>
  <c r="A1257" i="8"/>
  <c r="M1256" i="8"/>
  <c r="K1256" i="8"/>
  <c r="J1256" i="8"/>
  <c r="I1256" i="8"/>
  <c r="H1256" i="8"/>
  <c r="G1256" i="8"/>
  <c r="L1256" i="8" s="1"/>
  <c r="F1256" i="8"/>
  <c r="E1256" i="8"/>
  <c r="D1256" i="8"/>
  <c r="C1256" i="8"/>
  <c r="B1256" i="8"/>
  <c r="A1256" i="8"/>
  <c r="M1255" i="8"/>
  <c r="K1255" i="8"/>
  <c r="J1255" i="8"/>
  <c r="I1255" i="8"/>
  <c r="H1255" i="8"/>
  <c r="G1255" i="8"/>
  <c r="L1255" i="8" s="1"/>
  <c r="F1255" i="8"/>
  <c r="E1255" i="8"/>
  <c r="D1255" i="8"/>
  <c r="C1255" i="8"/>
  <c r="B1255" i="8"/>
  <c r="A1255" i="8"/>
  <c r="M1254" i="8"/>
  <c r="L1254" i="8"/>
  <c r="K1254" i="8"/>
  <c r="J1254" i="8"/>
  <c r="I1254" i="8"/>
  <c r="H1254" i="8"/>
  <c r="G1254" i="8"/>
  <c r="F1254" i="8"/>
  <c r="E1254" i="8"/>
  <c r="D1254" i="8"/>
  <c r="C1254" i="8"/>
  <c r="B1254" i="8"/>
  <c r="A1254" i="8"/>
  <c r="M1253" i="8"/>
  <c r="K1253" i="8"/>
  <c r="J1253" i="8"/>
  <c r="I1253" i="8"/>
  <c r="H1253" i="8"/>
  <c r="G1253" i="8"/>
  <c r="L1253" i="8" s="1"/>
  <c r="F1253" i="8"/>
  <c r="E1253" i="8"/>
  <c r="D1253" i="8"/>
  <c r="C1253" i="8"/>
  <c r="B1253" i="8"/>
  <c r="A1253" i="8"/>
  <c r="M1252" i="8"/>
  <c r="L1252" i="8"/>
  <c r="K1252" i="8"/>
  <c r="J1252" i="8"/>
  <c r="I1252" i="8"/>
  <c r="H1252" i="8"/>
  <c r="G1252" i="8"/>
  <c r="F1252" i="8"/>
  <c r="E1252" i="8"/>
  <c r="D1252" i="8"/>
  <c r="C1252" i="8"/>
  <c r="B1252" i="8"/>
  <c r="A1252" i="8"/>
  <c r="M1251" i="8"/>
  <c r="K1251" i="8"/>
  <c r="J1251" i="8"/>
  <c r="I1251" i="8"/>
  <c r="H1251" i="8"/>
  <c r="G1251" i="8"/>
  <c r="L1251" i="8" s="1"/>
  <c r="F1251" i="8"/>
  <c r="E1251" i="8"/>
  <c r="D1251" i="8"/>
  <c r="C1251" i="8"/>
  <c r="B1251" i="8"/>
  <c r="A1251" i="8"/>
  <c r="M1250" i="8"/>
  <c r="L1250" i="8"/>
  <c r="K1250" i="8"/>
  <c r="J1250" i="8"/>
  <c r="I1250" i="8"/>
  <c r="H1250" i="8"/>
  <c r="G1250" i="8"/>
  <c r="F1250" i="8"/>
  <c r="E1250" i="8"/>
  <c r="D1250" i="8"/>
  <c r="C1250" i="8"/>
  <c r="B1250" i="8"/>
  <c r="A1250" i="8"/>
  <c r="M1249" i="8"/>
  <c r="K1249" i="8"/>
  <c r="J1249" i="8"/>
  <c r="I1249" i="8"/>
  <c r="H1249" i="8"/>
  <c r="G1249" i="8"/>
  <c r="L1249" i="8" s="1"/>
  <c r="F1249" i="8"/>
  <c r="E1249" i="8"/>
  <c r="D1249" i="8"/>
  <c r="C1249" i="8"/>
  <c r="B1249" i="8"/>
  <c r="A1249" i="8"/>
  <c r="M1248" i="8"/>
  <c r="K1248" i="8"/>
  <c r="J1248" i="8"/>
  <c r="I1248" i="8"/>
  <c r="H1248" i="8"/>
  <c r="G1248" i="8"/>
  <c r="L1248" i="8" s="1"/>
  <c r="F1248" i="8"/>
  <c r="E1248" i="8"/>
  <c r="D1248" i="8"/>
  <c r="C1248" i="8"/>
  <c r="B1248" i="8"/>
  <c r="A1248" i="8"/>
  <c r="M1247" i="8"/>
  <c r="K1247" i="8"/>
  <c r="J1247" i="8"/>
  <c r="I1247" i="8"/>
  <c r="H1247" i="8"/>
  <c r="G1247" i="8"/>
  <c r="L1247" i="8" s="1"/>
  <c r="F1247" i="8"/>
  <c r="E1247" i="8"/>
  <c r="D1247" i="8"/>
  <c r="C1247" i="8"/>
  <c r="B1247" i="8"/>
  <c r="A1247" i="8"/>
  <c r="M1246" i="8"/>
  <c r="L1246" i="8"/>
  <c r="K1246" i="8"/>
  <c r="J1246" i="8"/>
  <c r="I1246" i="8"/>
  <c r="H1246" i="8"/>
  <c r="G1246" i="8"/>
  <c r="F1246" i="8"/>
  <c r="E1246" i="8"/>
  <c r="D1246" i="8"/>
  <c r="C1246" i="8"/>
  <c r="B1246" i="8"/>
  <c r="A1246" i="8"/>
  <c r="M1245" i="8"/>
  <c r="L1245" i="8"/>
  <c r="K1245" i="8"/>
  <c r="J1245" i="8"/>
  <c r="I1245" i="8"/>
  <c r="H1245" i="8"/>
  <c r="G1245" i="8"/>
  <c r="F1245" i="8"/>
  <c r="E1245" i="8"/>
  <c r="D1245" i="8"/>
  <c r="C1245" i="8"/>
  <c r="B1245" i="8"/>
  <c r="A1245" i="8"/>
  <c r="M1244" i="8"/>
  <c r="L1244" i="8"/>
  <c r="K1244" i="8"/>
  <c r="J1244" i="8"/>
  <c r="I1244" i="8"/>
  <c r="H1244" i="8"/>
  <c r="G1244" i="8"/>
  <c r="F1244" i="8"/>
  <c r="E1244" i="8"/>
  <c r="D1244" i="8"/>
  <c r="C1244" i="8"/>
  <c r="B1244" i="8"/>
  <c r="A1244" i="8"/>
  <c r="M1243" i="8"/>
  <c r="K1243" i="8"/>
  <c r="J1243" i="8"/>
  <c r="I1243" i="8"/>
  <c r="H1243" i="8"/>
  <c r="G1243" i="8"/>
  <c r="L1243" i="8" s="1"/>
  <c r="F1243" i="8"/>
  <c r="E1243" i="8"/>
  <c r="D1243" i="8"/>
  <c r="C1243" i="8"/>
  <c r="B1243" i="8"/>
  <c r="A1243" i="8"/>
  <c r="M1242" i="8"/>
  <c r="L1242" i="8"/>
  <c r="K1242" i="8"/>
  <c r="J1242" i="8"/>
  <c r="I1242" i="8"/>
  <c r="H1242" i="8"/>
  <c r="G1242" i="8"/>
  <c r="F1242" i="8"/>
  <c r="E1242" i="8"/>
  <c r="D1242" i="8"/>
  <c r="C1242" i="8"/>
  <c r="B1242" i="8"/>
  <c r="A1242" i="8"/>
  <c r="M1241" i="8"/>
  <c r="K1241" i="8"/>
  <c r="J1241" i="8"/>
  <c r="I1241" i="8"/>
  <c r="H1241" i="8"/>
  <c r="G1241" i="8"/>
  <c r="L1241" i="8" s="1"/>
  <c r="F1241" i="8"/>
  <c r="E1241" i="8"/>
  <c r="D1241" i="8"/>
  <c r="C1241" i="8"/>
  <c r="B1241" i="8"/>
  <c r="A1241" i="8"/>
  <c r="M1240" i="8"/>
  <c r="K1240" i="8"/>
  <c r="J1240" i="8"/>
  <c r="I1240" i="8"/>
  <c r="H1240" i="8"/>
  <c r="G1240" i="8"/>
  <c r="L1240" i="8" s="1"/>
  <c r="F1240" i="8"/>
  <c r="E1240" i="8"/>
  <c r="D1240" i="8"/>
  <c r="C1240" i="8"/>
  <c r="B1240" i="8"/>
  <c r="A1240" i="8"/>
  <c r="M1239" i="8"/>
  <c r="K1239" i="8"/>
  <c r="J1239" i="8"/>
  <c r="I1239" i="8"/>
  <c r="H1239" i="8"/>
  <c r="G1239" i="8"/>
  <c r="L1239" i="8" s="1"/>
  <c r="F1239" i="8"/>
  <c r="E1239" i="8"/>
  <c r="D1239" i="8"/>
  <c r="C1239" i="8"/>
  <c r="B1239" i="8"/>
  <c r="A1239" i="8"/>
  <c r="M1238" i="8"/>
  <c r="L1238" i="8"/>
  <c r="K1238" i="8"/>
  <c r="J1238" i="8"/>
  <c r="I1238" i="8"/>
  <c r="H1238" i="8"/>
  <c r="G1238" i="8"/>
  <c r="F1238" i="8"/>
  <c r="E1238" i="8"/>
  <c r="D1238" i="8"/>
  <c r="C1238" i="8"/>
  <c r="B1238" i="8"/>
  <c r="A1238" i="8"/>
  <c r="M1237" i="8"/>
  <c r="K1237" i="8"/>
  <c r="J1237" i="8"/>
  <c r="I1237" i="8"/>
  <c r="H1237" i="8"/>
  <c r="G1237" i="8"/>
  <c r="L1237" i="8" s="1"/>
  <c r="F1237" i="8"/>
  <c r="E1237" i="8"/>
  <c r="D1237" i="8"/>
  <c r="C1237" i="8"/>
  <c r="B1237" i="8"/>
  <c r="A1237" i="8"/>
  <c r="M1236" i="8"/>
  <c r="L1236" i="8"/>
  <c r="K1236" i="8"/>
  <c r="J1236" i="8"/>
  <c r="I1236" i="8"/>
  <c r="H1236" i="8"/>
  <c r="G1236" i="8"/>
  <c r="F1236" i="8"/>
  <c r="E1236" i="8"/>
  <c r="D1236" i="8"/>
  <c r="C1236" i="8"/>
  <c r="B1236" i="8"/>
  <c r="A1236" i="8"/>
  <c r="M1235" i="8"/>
  <c r="K1235" i="8"/>
  <c r="J1235" i="8"/>
  <c r="I1235" i="8"/>
  <c r="H1235" i="8"/>
  <c r="G1235" i="8"/>
  <c r="L1235" i="8" s="1"/>
  <c r="F1235" i="8"/>
  <c r="E1235" i="8"/>
  <c r="D1235" i="8"/>
  <c r="C1235" i="8"/>
  <c r="B1235" i="8"/>
  <c r="A1235" i="8"/>
  <c r="M1234" i="8"/>
  <c r="L1234" i="8"/>
  <c r="K1234" i="8"/>
  <c r="J1234" i="8"/>
  <c r="I1234" i="8"/>
  <c r="H1234" i="8"/>
  <c r="G1234" i="8"/>
  <c r="F1234" i="8"/>
  <c r="E1234" i="8"/>
  <c r="D1234" i="8"/>
  <c r="C1234" i="8"/>
  <c r="B1234" i="8"/>
  <c r="A1234" i="8"/>
  <c r="M1233" i="8"/>
  <c r="K1233" i="8"/>
  <c r="J1233" i="8"/>
  <c r="I1233" i="8"/>
  <c r="H1233" i="8"/>
  <c r="G1233" i="8"/>
  <c r="L1233" i="8" s="1"/>
  <c r="F1233" i="8"/>
  <c r="E1233" i="8"/>
  <c r="D1233" i="8"/>
  <c r="C1233" i="8"/>
  <c r="B1233" i="8"/>
  <c r="A1233" i="8"/>
  <c r="M1232" i="8"/>
  <c r="K1232" i="8"/>
  <c r="J1232" i="8"/>
  <c r="I1232" i="8"/>
  <c r="H1232" i="8"/>
  <c r="G1232" i="8"/>
  <c r="L1232" i="8" s="1"/>
  <c r="F1232" i="8"/>
  <c r="E1232" i="8"/>
  <c r="D1232" i="8"/>
  <c r="C1232" i="8"/>
  <c r="B1232" i="8"/>
  <c r="A1232" i="8"/>
  <c r="M1231" i="8"/>
  <c r="K1231" i="8"/>
  <c r="J1231" i="8"/>
  <c r="I1231" i="8"/>
  <c r="H1231" i="8"/>
  <c r="G1231" i="8"/>
  <c r="L1231" i="8" s="1"/>
  <c r="F1231" i="8"/>
  <c r="E1231" i="8"/>
  <c r="D1231" i="8"/>
  <c r="C1231" i="8"/>
  <c r="B1231" i="8"/>
  <c r="A1231" i="8"/>
  <c r="M1230" i="8"/>
  <c r="L1230" i="8"/>
  <c r="K1230" i="8"/>
  <c r="J1230" i="8"/>
  <c r="I1230" i="8"/>
  <c r="H1230" i="8"/>
  <c r="G1230" i="8"/>
  <c r="F1230" i="8"/>
  <c r="E1230" i="8"/>
  <c r="D1230" i="8"/>
  <c r="C1230" i="8"/>
  <c r="B1230" i="8"/>
  <c r="A1230" i="8"/>
  <c r="M1229" i="8"/>
  <c r="K1229" i="8"/>
  <c r="J1229" i="8"/>
  <c r="I1229" i="8"/>
  <c r="H1229" i="8"/>
  <c r="G1229" i="8"/>
  <c r="L1229" i="8" s="1"/>
  <c r="F1229" i="8"/>
  <c r="E1229" i="8"/>
  <c r="D1229" i="8"/>
  <c r="C1229" i="8"/>
  <c r="B1229" i="8"/>
  <c r="A1229" i="8"/>
  <c r="M1228" i="8"/>
  <c r="L1228" i="8"/>
  <c r="K1228" i="8"/>
  <c r="J1228" i="8"/>
  <c r="I1228" i="8"/>
  <c r="H1228" i="8"/>
  <c r="G1228" i="8"/>
  <c r="F1228" i="8"/>
  <c r="E1228" i="8"/>
  <c r="D1228" i="8"/>
  <c r="C1228" i="8"/>
  <c r="B1228" i="8"/>
  <c r="A1228" i="8"/>
  <c r="M1227" i="8"/>
  <c r="K1227" i="8"/>
  <c r="J1227" i="8"/>
  <c r="I1227" i="8"/>
  <c r="H1227" i="8"/>
  <c r="G1227" i="8"/>
  <c r="L1227" i="8" s="1"/>
  <c r="F1227" i="8"/>
  <c r="E1227" i="8"/>
  <c r="D1227" i="8"/>
  <c r="C1227" i="8"/>
  <c r="B1227" i="8"/>
  <c r="A1227" i="8"/>
  <c r="M1226" i="8"/>
  <c r="L1226" i="8"/>
  <c r="K1226" i="8"/>
  <c r="J1226" i="8"/>
  <c r="I1226" i="8"/>
  <c r="H1226" i="8"/>
  <c r="G1226" i="8"/>
  <c r="F1226" i="8"/>
  <c r="E1226" i="8"/>
  <c r="D1226" i="8"/>
  <c r="C1226" i="8"/>
  <c r="B1226" i="8"/>
  <c r="A1226" i="8"/>
  <c r="M1225" i="8"/>
  <c r="K1225" i="8"/>
  <c r="J1225" i="8"/>
  <c r="I1225" i="8"/>
  <c r="H1225" i="8"/>
  <c r="G1225" i="8"/>
  <c r="L1225" i="8" s="1"/>
  <c r="F1225" i="8"/>
  <c r="E1225" i="8"/>
  <c r="D1225" i="8"/>
  <c r="C1225" i="8"/>
  <c r="B1225" i="8"/>
  <c r="A1225" i="8"/>
  <c r="M1224" i="8"/>
  <c r="K1224" i="8"/>
  <c r="J1224" i="8"/>
  <c r="I1224" i="8"/>
  <c r="H1224" i="8"/>
  <c r="G1224" i="8"/>
  <c r="L1224" i="8" s="1"/>
  <c r="F1224" i="8"/>
  <c r="E1224" i="8"/>
  <c r="D1224" i="8"/>
  <c r="C1224" i="8"/>
  <c r="B1224" i="8"/>
  <c r="A1224" i="8"/>
  <c r="M1223" i="8"/>
  <c r="K1223" i="8"/>
  <c r="J1223" i="8"/>
  <c r="I1223" i="8"/>
  <c r="H1223" i="8"/>
  <c r="G1223" i="8"/>
  <c r="L1223" i="8" s="1"/>
  <c r="F1223" i="8"/>
  <c r="E1223" i="8"/>
  <c r="D1223" i="8"/>
  <c r="C1223" i="8"/>
  <c r="B1223" i="8"/>
  <c r="A1223" i="8"/>
  <c r="M1222" i="8"/>
  <c r="L1222" i="8"/>
  <c r="K1222" i="8"/>
  <c r="J1222" i="8"/>
  <c r="I1222" i="8"/>
  <c r="H1222" i="8"/>
  <c r="G1222" i="8"/>
  <c r="F1222" i="8"/>
  <c r="E1222" i="8"/>
  <c r="D1222" i="8"/>
  <c r="C1222" i="8"/>
  <c r="B1222" i="8"/>
  <c r="A1222" i="8"/>
  <c r="M1221" i="8"/>
  <c r="K1221" i="8"/>
  <c r="J1221" i="8"/>
  <c r="I1221" i="8"/>
  <c r="H1221" i="8"/>
  <c r="G1221" i="8"/>
  <c r="L1221" i="8" s="1"/>
  <c r="F1221" i="8"/>
  <c r="E1221" i="8"/>
  <c r="D1221" i="8"/>
  <c r="C1221" i="8"/>
  <c r="B1221" i="8"/>
  <c r="A1221" i="8"/>
  <c r="M1220" i="8"/>
  <c r="L1220" i="8"/>
  <c r="K1220" i="8"/>
  <c r="J1220" i="8"/>
  <c r="I1220" i="8"/>
  <c r="H1220" i="8"/>
  <c r="G1220" i="8"/>
  <c r="F1220" i="8"/>
  <c r="E1220" i="8"/>
  <c r="D1220" i="8"/>
  <c r="C1220" i="8"/>
  <c r="B1220" i="8"/>
  <c r="A1220" i="8"/>
  <c r="M1219" i="8"/>
  <c r="K1219" i="8"/>
  <c r="J1219" i="8"/>
  <c r="I1219" i="8"/>
  <c r="H1219" i="8"/>
  <c r="G1219" i="8"/>
  <c r="L1219" i="8" s="1"/>
  <c r="F1219" i="8"/>
  <c r="E1219" i="8"/>
  <c r="D1219" i="8"/>
  <c r="C1219" i="8"/>
  <c r="B1219" i="8"/>
  <c r="A1219" i="8"/>
  <c r="M1218" i="8"/>
  <c r="L1218" i="8"/>
  <c r="K1218" i="8"/>
  <c r="J1218" i="8"/>
  <c r="I1218" i="8"/>
  <c r="H1218" i="8"/>
  <c r="G1218" i="8"/>
  <c r="F1218" i="8"/>
  <c r="E1218" i="8"/>
  <c r="D1218" i="8"/>
  <c r="C1218" i="8"/>
  <c r="B1218" i="8"/>
  <c r="A1218" i="8"/>
  <c r="M1217" i="8"/>
  <c r="K1217" i="8"/>
  <c r="J1217" i="8"/>
  <c r="I1217" i="8"/>
  <c r="H1217" i="8"/>
  <c r="G1217" i="8"/>
  <c r="L1217" i="8" s="1"/>
  <c r="F1217" i="8"/>
  <c r="E1217" i="8"/>
  <c r="D1217" i="8"/>
  <c r="C1217" i="8"/>
  <c r="B1217" i="8"/>
  <c r="A1217" i="8"/>
  <c r="M1216" i="8"/>
  <c r="L1216" i="8"/>
  <c r="K1216" i="8"/>
  <c r="J1216" i="8"/>
  <c r="I1216" i="8"/>
  <c r="H1216" i="8"/>
  <c r="G1216" i="8"/>
  <c r="F1216" i="8"/>
  <c r="E1216" i="8"/>
  <c r="D1216" i="8"/>
  <c r="C1216" i="8"/>
  <c r="B1216" i="8"/>
  <c r="A1216" i="8"/>
  <c r="M1215" i="8"/>
  <c r="K1215" i="8"/>
  <c r="J1215" i="8"/>
  <c r="I1215" i="8"/>
  <c r="H1215" i="8"/>
  <c r="G1215" i="8"/>
  <c r="L1215" i="8" s="1"/>
  <c r="F1215" i="8"/>
  <c r="E1215" i="8"/>
  <c r="D1215" i="8"/>
  <c r="C1215" i="8"/>
  <c r="B1215" i="8"/>
  <c r="A1215" i="8"/>
  <c r="M1214" i="8"/>
  <c r="L1214" i="8"/>
  <c r="K1214" i="8"/>
  <c r="J1214" i="8"/>
  <c r="I1214" i="8"/>
  <c r="H1214" i="8"/>
  <c r="G1214" i="8"/>
  <c r="F1214" i="8"/>
  <c r="E1214" i="8"/>
  <c r="D1214" i="8"/>
  <c r="C1214" i="8"/>
  <c r="B1214" i="8"/>
  <c r="A1214" i="8"/>
  <c r="M1213" i="8"/>
  <c r="K1213" i="8"/>
  <c r="J1213" i="8"/>
  <c r="I1213" i="8"/>
  <c r="H1213" i="8"/>
  <c r="G1213" i="8"/>
  <c r="L1213" i="8" s="1"/>
  <c r="F1213" i="8"/>
  <c r="E1213" i="8"/>
  <c r="D1213" i="8"/>
  <c r="C1213" i="8"/>
  <c r="B1213" i="8"/>
  <c r="A1213" i="8"/>
  <c r="M1212" i="8"/>
  <c r="L1212" i="8"/>
  <c r="K1212" i="8"/>
  <c r="J1212" i="8"/>
  <c r="I1212" i="8"/>
  <c r="H1212" i="8"/>
  <c r="G1212" i="8"/>
  <c r="F1212" i="8"/>
  <c r="E1212" i="8"/>
  <c r="D1212" i="8"/>
  <c r="C1212" i="8"/>
  <c r="B1212" i="8"/>
  <c r="A1212" i="8"/>
  <c r="M1211" i="8"/>
  <c r="K1211" i="8"/>
  <c r="J1211" i="8"/>
  <c r="I1211" i="8"/>
  <c r="H1211" i="8"/>
  <c r="G1211" i="8"/>
  <c r="L1211" i="8" s="1"/>
  <c r="F1211" i="8"/>
  <c r="E1211" i="8"/>
  <c r="D1211" i="8"/>
  <c r="C1211" i="8"/>
  <c r="B1211" i="8"/>
  <c r="A1211" i="8"/>
  <c r="M1210" i="8"/>
  <c r="L1210" i="8"/>
  <c r="K1210" i="8"/>
  <c r="J1210" i="8"/>
  <c r="I1210" i="8"/>
  <c r="H1210" i="8"/>
  <c r="G1210" i="8"/>
  <c r="F1210" i="8"/>
  <c r="E1210" i="8"/>
  <c r="D1210" i="8"/>
  <c r="C1210" i="8"/>
  <c r="B1210" i="8"/>
  <c r="A1210" i="8"/>
  <c r="M1209" i="8"/>
  <c r="K1209" i="8"/>
  <c r="J1209" i="8"/>
  <c r="I1209" i="8"/>
  <c r="H1209" i="8"/>
  <c r="G1209" i="8"/>
  <c r="L1209" i="8" s="1"/>
  <c r="F1209" i="8"/>
  <c r="E1209" i="8"/>
  <c r="D1209" i="8"/>
  <c r="C1209" i="8"/>
  <c r="B1209" i="8"/>
  <c r="A1209" i="8"/>
  <c r="M1208" i="8"/>
  <c r="L1208" i="8"/>
  <c r="K1208" i="8"/>
  <c r="J1208" i="8"/>
  <c r="I1208" i="8"/>
  <c r="H1208" i="8"/>
  <c r="G1208" i="8"/>
  <c r="F1208" i="8"/>
  <c r="E1208" i="8"/>
  <c r="D1208" i="8"/>
  <c r="C1208" i="8"/>
  <c r="B1208" i="8"/>
  <c r="A1208" i="8"/>
  <c r="M1207" i="8"/>
  <c r="K1207" i="8"/>
  <c r="J1207" i="8"/>
  <c r="I1207" i="8"/>
  <c r="H1207" i="8"/>
  <c r="G1207" i="8"/>
  <c r="L1207" i="8" s="1"/>
  <c r="F1207" i="8"/>
  <c r="E1207" i="8"/>
  <c r="D1207" i="8"/>
  <c r="C1207" i="8"/>
  <c r="B1207" i="8"/>
  <c r="A1207" i="8"/>
  <c r="M1206" i="8"/>
  <c r="L1206" i="8"/>
  <c r="K1206" i="8"/>
  <c r="J1206" i="8"/>
  <c r="I1206" i="8"/>
  <c r="H1206" i="8"/>
  <c r="G1206" i="8"/>
  <c r="F1206" i="8"/>
  <c r="E1206" i="8"/>
  <c r="D1206" i="8"/>
  <c r="C1206" i="8"/>
  <c r="B1206" i="8"/>
  <c r="A1206" i="8"/>
  <c r="M1205" i="8"/>
  <c r="K1205" i="8"/>
  <c r="J1205" i="8"/>
  <c r="I1205" i="8"/>
  <c r="H1205" i="8"/>
  <c r="G1205" i="8"/>
  <c r="L1205" i="8" s="1"/>
  <c r="F1205" i="8"/>
  <c r="E1205" i="8"/>
  <c r="D1205" i="8"/>
  <c r="C1205" i="8"/>
  <c r="B1205" i="8"/>
  <c r="A1205" i="8"/>
  <c r="M1204" i="8"/>
  <c r="L1204" i="8"/>
  <c r="K1204" i="8"/>
  <c r="J1204" i="8"/>
  <c r="I1204" i="8"/>
  <c r="H1204" i="8"/>
  <c r="G1204" i="8"/>
  <c r="F1204" i="8"/>
  <c r="E1204" i="8"/>
  <c r="D1204" i="8"/>
  <c r="C1204" i="8"/>
  <c r="B1204" i="8"/>
  <c r="A1204" i="8"/>
  <c r="M1203" i="8"/>
  <c r="K1203" i="8"/>
  <c r="J1203" i="8"/>
  <c r="I1203" i="8"/>
  <c r="H1203" i="8"/>
  <c r="G1203" i="8"/>
  <c r="L1203" i="8" s="1"/>
  <c r="F1203" i="8"/>
  <c r="E1203" i="8"/>
  <c r="D1203" i="8"/>
  <c r="C1203" i="8"/>
  <c r="B1203" i="8"/>
  <c r="A1203" i="8"/>
  <c r="M1202" i="8"/>
  <c r="L1202" i="8"/>
  <c r="K1202" i="8"/>
  <c r="J1202" i="8"/>
  <c r="I1202" i="8"/>
  <c r="H1202" i="8"/>
  <c r="G1202" i="8"/>
  <c r="F1202" i="8"/>
  <c r="E1202" i="8"/>
  <c r="D1202" i="8"/>
  <c r="C1202" i="8"/>
  <c r="B1202" i="8"/>
  <c r="A1202" i="8"/>
  <c r="M1201" i="8"/>
  <c r="K1201" i="8"/>
  <c r="J1201" i="8"/>
  <c r="I1201" i="8"/>
  <c r="H1201" i="8"/>
  <c r="G1201" i="8"/>
  <c r="L1201" i="8" s="1"/>
  <c r="F1201" i="8"/>
  <c r="E1201" i="8"/>
  <c r="D1201" i="8"/>
  <c r="C1201" i="8"/>
  <c r="B1201" i="8"/>
  <c r="A1201" i="8"/>
  <c r="M1200" i="8"/>
  <c r="L1200" i="8"/>
  <c r="K1200" i="8"/>
  <c r="J1200" i="8"/>
  <c r="I1200" i="8"/>
  <c r="H1200" i="8"/>
  <c r="G1200" i="8"/>
  <c r="F1200" i="8"/>
  <c r="E1200" i="8"/>
  <c r="D1200" i="8"/>
  <c r="C1200" i="8"/>
  <c r="B1200" i="8"/>
  <c r="A1200" i="8"/>
  <c r="M1199" i="8"/>
  <c r="K1199" i="8"/>
  <c r="J1199" i="8"/>
  <c r="I1199" i="8"/>
  <c r="H1199" i="8"/>
  <c r="G1199" i="8"/>
  <c r="L1199" i="8" s="1"/>
  <c r="F1199" i="8"/>
  <c r="E1199" i="8"/>
  <c r="D1199" i="8"/>
  <c r="C1199" i="8"/>
  <c r="B1199" i="8"/>
  <c r="A1199" i="8"/>
  <c r="M1198" i="8"/>
  <c r="L1198" i="8"/>
  <c r="K1198" i="8"/>
  <c r="J1198" i="8"/>
  <c r="I1198" i="8"/>
  <c r="H1198" i="8"/>
  <c r="G1198" i="8"/>
  <c r="F1198" i="8"/>
  <c r="E1198" i="8"/>
  <c r="D1198" i="8"/>
  <c r="C1198" i="8"/>
  <c r="B1198" i="8"/>
  <c r="A1198" i="8"/>
  <c r="M1197" i="8"/>
  <c r="K1197" i="8"/>
  <c r="J1197" i="8"/>
  <c r="I1197" i="8"/>
  <c r="H1197" i="8"/>
  <c r="G1197" i="8"/>
  <c r="L1197" i="8" s="1"/>
  <c r="F1197" i="8"/>
  <c r="E1197" i="8"/>
  <c r="D1197" i="8"/>
  <c r="C1197" i="8"/>
  <c r="B1197" i="8"/>
  <c r="A1197" i="8"/>
  <c r="M1196" i="8"/>
  <c r="L1196" i="8"/>
  <c r="K1196" i="8"/>
  <c r="J1196" i="8"/>
  <c r="I1196" i="8"/>
  <c r="H1196" i="8"/>
  <c r="G1196" i="8"/>
  <c r="F1196" i="8"/>
  <c r="E1196" i="8"/>
  <c r="D1196" i="8"/>
  <c r="C1196" i="8"/>
  <c r="B1196" i="8"/>
  <c r="A1196" i="8"/>
  <c r="M1195" i="8"/>
  <c r="K1195" i="8"/>
  <c r="J1195" i="8"/>
  <c r="I1195" i="8"/>
  <c r="H1195" i="8"/>
  <c r="G1195" i="8"/>
  <c r="L1195" i="8" s="1"/>
  <c r="F1195" i="8"/>
  <c r="E1195" i="8"/>
  <c r="D1195" i="8"/>
  <c r="C1195" i="8"/>
  <c r="B1195" i="8"/>
  <c r="A1195" i="8"/>
  <c r="M1194" i="8"/>
  <c r="L1194" i="8"/>
  <c r="K1194" i="8"/>
  <c r="J1194" i="8"/>
  <c r="I1194" i="8"/>
  <c r="H1194" i="8"/>
  <c r="G1194" i="8"/>
  <c r="F1194" i="8"/>
  <c r="E1194" i="8"/>
  <c r="D1194" i="8"/>
  <c r="C1194" i="8"/>
  <c r="B1194" i="8"/>
  <c r="A1194" i="8"/>
  <c r="M1193" i="8"/>
  <c r="K1193" i="8"/>
  <c r="J1193" i="8"/>
  <c r="I1193" i="8"/>
  <c r="H1193" i="8"/>
  <c r="G1193" i="8"/>
  <c r="L1193" i="8" s="1"/>
  <c r="F1193" i="8"/>
  <c r="E1193" i="8"/>
  <c r="D1193" i="8"/>
  <c r="C1193" i="8"/>
  <c r="B1193" i="8"/>
  <c r="A1193" i="8"/>
  <c r="M1192" i="8"/>
  <c r="L1192" i="8"/>
  <c r="K1192" i="8"/>
  <c r="J1192" i="8"/>
  <c r="I1192" i="8"/>
  <c r="H1192" i="8"/>
  <c r="G1192" i="8"/>
  <c r="F1192" i="8"/>
  <c r="E1192" i="8"/>
  <c r="D1192" i="8"/>
  <c r="C1192" i="8"/>
  <c r="B1192" i="8"/>
  <c r="A1192" i="8"/>
  <c r="M1191" i="8"/>
  <c r="K1191" i="8"/>
  <c r="J1191" i="8"/>
  <c r="I1191" i="8"/>
  <c r="H1191" i="8"/>
  <c r="G1191" i="8"/>
  <c r="L1191" i="8" s="1"/>
  <c r="F1191" i="8"/>
  <c r="E1191" i="8"/>
  <c r="D1191" i="8"/>
  <c r="C1191" i="8"/>
  <c r="B1191" i="8"/>
  <c r="A1191" i="8"/>
  <c r="M1190" i="8"/>
  <c r="L1190" i="8"/>
  <c r="K1190" i="8"/>
  <c r="J1190" i="8"/>
  <c r="I1190" i="8"/>
  <c r="H1190" i="8"/>
  <c r="G1190" i="8"/>
  <c r="F1190" i="8"/>
  <c r="E1190" i="8"/>
  <c r="D1190" i="8"/>
  <c r="C1190" i="8"/>
  <c r="B1190" i="8"/>
  <c r="A1190" i="8"/>
  <c r="M1189" i="8"/>
  <c r="K1189" i="8"/>
  <c r="J1189" i="8"/>
  <c r="I1189" i="8"/>
  <c r="H1189" i="8"/>
  <c r="G1189" i="8"/>
  <c r="L1189" i="8" s="1"/>
  <c r="F1189" i="8"/>
  <c r="E1189" i="8"/>
  <c r="D1189" i="8"/>
  <c r="C1189" i="8"/>
  <c r="B1189" i="8"/>
  <c r="A1189" i="8"/>
  <c r="M1188" i="8"/>
  <c r="L1188" i="8"/>
  <c r="K1188" i="8"/>
  <c r="J1188" i="8"/>
  <c r="I1188" i="8"/>
  <c r="H1188" i="8"/>
  <c r="G1188" i="8"/>
  <c r="F1188" i="8"/>
  <c r="E1188" i="8"/>
  <c r="D1188" i="8"/>
  <c r="C1188" i="8"/>
  <c r="B1188" i="8"/>
  <c r="A1188" i="8"/>
  <c r="M1187" i="8"/>
  <c r="K1187" i="8"/>
  <c r="J1187" i="8"/>
  <c r="I1187" i="8"/>
  <c r="H1187" i="8"/>
  <c r="G1187" i="8"/>
  <c r="L1187" i="8" s="1"/>
  <c r="F1187" i="8"/>
  <c r="E1187" i="8"/>
  <c r="D1187" i="8"/>
  <c r="C1187" i="8"/>
  <c r="B1187" i="8"/>
  <c r="A1187" i="8"/>
  <c r="M1186" i="8"/>
  <c r="L1186" i="8"/>
  <c r="K1186" i="8"/>
  <c r="J1186" i="8"/>
  <c r="I1186" i="8"/>
  <c r="H1186" i="8"/>
  <c r="G1186" i="8"/>
  <c r="F1186" i="8"/>
  <c r="E1186" i="8"/>
  <c r="D1186" i="8"/>
  <c r="C1186" i="8"/>
  <c r="B1186" i="8"/>
  <c r="A1186" i="8"/>
  <c r="M1185" i="8"/>
  <c r="K1185" i="8"/>
  <c r="J1185" i="8"/>
  <c r="I1185" i="8"/>
  <c r="H1185" i="8"/>
  <c r="G1185" i="8"/>
  <c r="L1185" i="8" s="1"/>
  <c r="F1185" i="8"/>
  <c r="E1185" i="8"/>
  <c r="D1185" i="8"/>
  <c r="C1185" i="8"/>
  <c r="B1185" i="8"/>
  <c r="A1185" i="8"/>
  <c r="M1184" i="8"/>
  <c r="L1184" i="8"/>
  <c r="K1184" i="8"/>
  <c r="J1184" i="8"/>
  <c r="I1184" i="8"/>
  <c r="H1184" i="8"/>
  <c r="G1184" i="8"/>
  <c r="F1184" i="8"/>
  <c r="E1184" i="8"/>
  <c r="D1184" i="8"/>
  <c r="C1184" i="8"/>
  <c r="B1184" i="8"/>
  <c r="A1184" i="8"/>
  <c r="M1183" i="8"/>
  <c r="K1183" i="8"/>
  <c r="J1183" i="8"/>
  <c r="I1183" i="8"/>
  <c r="H1183" i="8"/>
  <c r="G1183" i="8"/>
  <c r="L1183" i="8" s="1"/>
  <c r="F1183" i="8"/>
  <c r="E1183" i="8"/>
  <c r="D1183" i="8"/>
  <c r="C1183" i="8"/>
  <c r="B1183" i="8"/>
  <c r="A1183" i="8"/>
  <c r="M1182" i="8"/>
  <c r="L1182" i="8"/>
  <c r="K1182" i="8"/>
  <c r="J1182" i="8"/>
  <c r="I1182" i="8"/>
  <c r="H1182" i="8"/>
  <c r="G1182" i="8"/>
  <c r="F1182" i="8"/>
  <c r="E1182" i="8"/>
  <c r="D1182" i="8"/>
  <c r="C1182" i="8"/>
  <c r="B1182" i="8"/>
  <c r="A1182" i="8"/>
  <c r="M1181" i="8"/>
  <c r="L1181" i="8"/>
  <c r="K1181" i="8"/>
  <c r="J1181" i="8"/>
  <c r="I1181" i="8"/>
  <c r="H1181" i="8"/>
  <c r="G1181" i="8"/>
  <c r="F1181" i="8"/>
  <c r="E1181" i="8"/>
  <c r="D1181" i="8"/>
  <c r="C1181" i="8"/>
  <c r="B1181" i="8"/>
  <c r="A1181" i="8"/>
  <c r="M1180" i="8"/>
  <c r="L1180" i="8"/>
  <c r="K1180" i="8"/>
  <c r="J1180" i="8"/>
  <c r="I1180" i="8"/>
  <c r="H1180" i="8"/>
  <c r="G1180" i="8"/>
  <c r="F1180" i="8"/>
  <c r="E1180" i="8"/>
  <c r="D1180" i="8"/>
  <c r="C1180" i="8"/>
  <c r="B1180" i="8"/>
  <c r="A1180" i="8"/>
  <c r="M1179" i="8"/>
  <c r="K1179" i="8"/>
  <c r="J1179" i="8"/>
  <c r="I1179" i="8"/>
  <c r="H1179" i="8"/>
  <c r="G1179" i="8"/>
  <c r="L1179" i="8" s="1"/>
  <c r="F1179" i="8"/>
  <c r="E1179" i="8"/>
  <c r="D1179" i="8"/>
  <c r="C1179" i="8"/>
  <c r="B1179" i="8"/>
  <c r="A1179" i="8"/>
  <c r="M1178" i="8"/>
  <c r="L1178" i="8"/>
  <c r="K1178" i="8"/>
  <c r="J1178" i="8"/>
  <c r="I1178" i="8"/>
  <c r="H1178" i="8"/>
  <c r="G1178" i="8"/>
  <c r="F1178" i="8"/>
  <c r="E1178" i="8"/>
  <c r="D1178" i="8"/>
  <c r="C1178" i="8"/>
  <c r="B1178" i="8"/>
  <c r="A1178" i="8"/>
  <c r="M1177" i="8"/>
  <c r="K1177" i="8"/>
  <c r="J1177" i="8"/>
  <c r="I1177" i="8"/>
  <c r="H1177" i="8"/>
  <c r="G1177" i="8"/>
  <c r="L1177" i="8" s="1"/>
  <c r="F1177" i="8"/>
  <c r="E1177" i="8"/>
  <c r="D1177" i="8"/>
  <c r="C1177" i="8"/>
  <c r="B1177" i="8"/>
  <c r="A1177" i="8"/>
  <c r="M1176" i="8"/>
  <c r="K1176" i="8"/>
  <c r="J1176" i="8"/>
  <c r="I1176" i="8"/>
  <c r="H1176" i="8"/>
  <c r="G1176" i="8"/>
  <c r="L1176" i="8" s="1"/>
  <c r="F1176" i="8"/>
  <c r="E1176" i="8"/>
  <c r="D1176" i="8"/>
  <c r="C1176" i="8"/>
  <c r="B1176" i="8"/>
  <c r="A1176" i="8"/>
  <c r="M1175" i="8"/>
  <c r="K1175" i="8"/>
  <c r="J1175" i="8"/>
  <c r="I1175" i="8"/>
  <c r="H1175" i="8"/>
  <c r="G1175" i="8"/>
  <c r="L1175" i="8" s="1"/>
  <c r="F1175" i="8"/>
  <c r="E1175" i="8"/>
  <c r="D1175" i="8"/>
  <c r="C1175" i="8"/>
  <c r="B1175" i="8"/>
  <c r="A1175" i="8"/>
  <c r="M1174" i="8"/>
  <c r="L1174" i="8"/>
  <c r="K1174" i="8"/>
  <c r="J1174" i="8"/>
  <c r="I1174" i="8"/>
  <c r="H1174" i="8"/>
  <c r="G1174" i="8"/>
  <c r="F1174" i="8"/>
  <c r="E1174" i="8"/>
  <c r="D1174" i="8"/>
  <c r="C1174" i="8"/>
  <c r="B1174" i="8"/>
  <c r="A1174" i="8"/>
  <c r="M1173" i="8"/>
  <c r="L1173" i="8"/>
  <c r="K1173" i="8"/>
  <c r="J1173" i="8"/>
  <c r="I1173" i="8"/>
  <c r="H1173" i="8"/>
  <c r="G1173" i="8"/>
  <c r="F1173" i="8"/>
  <c r="E1173" i="8"/>
  <c r="D1173" i="8"/>
  <c r="C1173" i="8"/>
  <c r="B1173" i="8"/>
  <c r="A1173" i="8"/>
  <c r="M1172" i="8"/>
  <c r="K1172" i="8"/>
  <c r="J1172" i="8"/>
  <c r="I1172" i="8"/>
  <c r="H1172" i="8"/>
  <c r="G1172" i="8"/>
  <c r="L1172" i="8" s="1"/>
  <c r="F1172" i="8"/>
  <c r="E1172" i="8"/>
  <c r="D1172" i="8"/>
  <c r="C1172" i="8"/>
  <c r="B1172" i="8"/>
  <c r="A1172" i="8"/>
  <c r="M1171" i="8"/>
  <c r="K1171" i="8"/>
  <c r="J1171" i="8"/>
  <c r="I1171" i="8"/>
  <c r="H1171" i="8"/>
  <c r="G1171" i="8"/>
  <c r="L1171" i="8" s="1"/>
  <c r="F1171" i="8"/>
  <c r="E1171" i="8"/>
  <c r="D1171" i="8"/>
  <c r="C1171" i="8"/>
  <c r="B1171" i="8"/>
  <c r="A1171" i="8"/>
  <c r="M1170" i="8"/>
  <c r="L1170" i="8"/>
  <c r="K1170" i="8"/>
  <c r="J1170" i="8"/>
  <c r="I1170" i="8"/>
  <c r="H1170" i="8"/>
  <c r="G1170" i="8"/>
  <c r="F1170" i="8"/>
  <c r="E1170" i="8"/>
  <c r="D1170" i="8"/>
  <c r="C1170" i="8"/>
  <c r="B1170" i="8"/>
  <c r="A1170" i="8"/>
  <c r="M1169" i="8"/>
  <c r="K1169" i="8"/>
  <c r="J1169" i="8"/>
  <c r="I1169" i="8"/>
  <c r="H1169" i="8"/>
  <c r="G1169" i="8"/>
  <c r="L1169" i="8" s="1"/>
  <c r="F1169" i="8"/>
  <c r="E1169" i="8"/>
  <c r="D1169" i="8"/>
  <c r="C1169" i="8"/>
  <c r="B1169" i="8"/>
  <c r="A1169" i="8"/>
  <c r="M1168" i="8"/>
  <c r="L1168" i="8"/>
  <c r="K1168" i="8"/>
  <c r="J1168" i="8"/>
  <c r="I1168" i="8"/>
  <c r="H1168" i="8"/>
  <c r="G1168" i="8"/>
  <c r="F1168" i="8"/>
  <c r="E1168" i="8"/>
  <c r="D1168" i="8"/>
  <c r="C1168" i="8"/>
  <c r="B1168" i="8"/>
  <c r="A1168" i="8"/>
  <c r="M1167" i="8"/>
  <c r="K1167" i="8"/>
  <c r="J1167" i="8"/>
  <c r="I1167" i="8"/>
  <c r="H1167" i="8"/>
  <c r="G1167" i="8"/>
  <c r="L1167" i="8" s="1"/>
  <c r="F1167" i="8"/>
  <c r="E1167" i="8"/>
  <c r="D1167" i="8"/>
  <c r="C1167" i="8"/>
  <c r="B1167" i="8"/>
  <c r="A1167" i="8"/>
  <c r="M1166" i="8"/>
  <c r="L1166" i="8"/>
  <c r="K1166" i="8"/>
  <c r="J1166" i="8"/>
  <c r="I1166" i="8"/>
  <c r="H1166" i="8"/>
  <c r="G1166" i="8"/>
  <c r="F1166" i="8"/>
  <c r="E1166" i="8"/>
  <c r="D1166" i="8"/>
  <c r="C1166" i="8"/>
  <c r="B1166" i="8"/>
  <c r="A1166" i="8"/>
  <c r="M1165" i="8"/>
  <c r="L1165" i="8"/>
  <c r="K1165" i="8"/>
  <c r="J1165" i="8"/>
  <c r="I1165" i="8"/>
  <c r="H1165" i="8"/>
  <c r="G1165" i="8"/>
  <c r="F1165" i="8"/>
  <c r="E1165" i="8"/>
  <c r="D1165" i="8"/>
  <c r="C1165" i="8"/>
  <c r="B1165" i="8"/>
  <c r="A1165" i="8"/>
  <c r="M1164" i="8"/>
  <c r="K1164" i="8"/>
  <c r="J1164" i="8"/>
  <c r="I1164" i="8"/>
  <c r="H1164" i="8"/>
  <c r="G1164" i="8"/>
  <c r="L1164" i="8" s="1"/>
  <c r="F1164" i="8"/>
  <c r="E1164" i="8"/>
  <c r="D1164" i="8"/>
  <c r="C1164" i="8"/>
  <c r="B1164" i="8"/>
  <c r="A1164" i="8"/>
  <c r="M1163" i="8"/>
  <c r="K1163" i="8"/>
  <c r="J1163" i="8"/>
  <c r="I1163" i="8"/>
  <c r="H1163" i="8"/>
  <c r="G1163" i="8"/>
  <c r="L1163" i="8" s="1"/>
  <c r="F1163" i="8"/>
  <c r="E1163" i="8"/>
  <c r="D1163" i="8"/>
  <c r="C1163" i="8"/>
  <c r="B1163" i="8"/>
  <c r="A1163" i="8"/>
  <c r="M1162" i="8"/>
  <c r="L1162" i="8"/>
  <c r="K1162" i="8"/>
  <c r="J1162" i="8"/>
  <c r="I1162" i="8"/>
  <c r="H1162" i="8"/>
  <c r="G1162" i="8"/>
  <c r="F1162" i="8"/>
  <c r="E1162" i="8"/>
  <c r="D1162" i="8"/>
  <c r="C1162" i="8"/>
  <c r="B1162" i="8"/>
  <c r="A1162" i="8"/>
  <c r="M1161" i="8"/>
  <c r="K1161" i="8"/>
  <c r="J1161" i="8"/>
  <c r="I1161" i="8"/>
  <c r="H1161" i="8"/>
  <c r="G1161" i="8"/>
  <c r="L1161" i="8" s="1"/>
  <c r="F1161" i="8"/>
  <c r="E1161" i="8"/>
  <c r="D1161" i="8"/>
  <c r="C1161" i="8"/>
  <c r="B1161" i="8"/>
  <c r="A1161" i="8"/>
  <c r="M1160" i="8"/>
  <c r="K1160" i="8"/>
  <c r="J1160" i="8"/>
  <c r="I1160" i="8"/>
  <c r="H1160" i="8"/>
  <c r="G1160" i="8"/>
  <c r="L1160" i="8" s="1"/>
  <c r="F1160" i="8"/>
  <c r="E1160" i="8"/>
  <c r="D1160" i="8"/>
  <c r="C1160" i="8"/>
  <c r="B1160" i="8"/>
  <c r="A1160" i="8"/>
  <c r="M1159" i="8"/>
  <c r="K1159" i="8"/>
  <c r="J1159" i="8"/>
  <c r="I1159" i="8"/>
  <c r="H1159" i="8"/>
  <c r="G1159" i="8"/>
  <c r="L1159" i="8" s="1"/>
  <c r="F1159" i="8"/>
  <c r="E1159" i="8"/>
  <c r="D1159" i="8"/>
  <c r="C1159" i="8"/>
  <c r="B1159" i="8"/>
  <c r="A1159" i="8"/>
  <c r="M1158" i="8"/>
  <c r="L1158" i="8"/>
  <c r="K1158" i="8"/>
  <c r="J1158" i="8"/>
  <c r="I1158" i="8"/>
  <c r="H1158" i="8"/>
  <c r="G1158" i="8"/>
  <c r="F1158" i="8"/>
  <c r="E1158" i="8"/>
  <c r="D1158" i="8"/>
  <c r="C1158" i="8"/>
  <c r="B1158" i="8"/>
  <c r="A1158" i="8"/>
  <c r="M1157" i="8"/>
  <c r="K1157" i="8"/>
  <c r="J1157" i="8"/>
  <c r="I1157" i="8"/>
  <c r="H1157" i="8"/>
  <c r="G1157" i="8"/>
  <c r="L1157" i="8" s="1"/>
  <c r="F1157" i="8"/>
  <c r="E1157" i="8"/>
  <c r="D1157" i="8"/>
  <c r="C1157" i="8"/>
  <c r="B1157" i="8"/>
  <c r="A1157" i="8"/>
  <c r="M1156" i="8"/>
  <c r="K1156" i="8"/>
  <c r="J1156" i="8"/>
  <c r="I1156" i="8"/>
  <c r="H1156" i="8"/>
  <c r="G1156" i="8"/>
  <c r="L1156" i="8" s="1"/>
  <c r="F1156" i="8"/>
  <c r="E1156" i="8"/>
  <c r="D1156" i="8"/>
  <c r="C1156" i="8"/>
  <c r="B1156" i="8"/>
  <c r="A1156" i="8"/>
  <c r="M1155" i="8"/>
  <c r="K1155" i="8"/>
  <c r="J1155" i="8"/>
  <c r="I1155" i="8"/>
  <c r="H1155" i="8"/>
  <c r="G1155" i="8"/>
  <c r="L1155" i="8" s="1"/>
  <c r="F1155" i="8"/>
  <c r="E1155" i="8"/>
  <c r="D1155" i="8"/>
  <c r="C1155" i="8"/>
  <c r="B1155" i="8"/>
  <c r="A1155" i="8"/>
  <c r="M1154" i="8"/>
  <c r="L1154" i="8"/>
  <c r="K1154" i="8"/>
  <c r="J1154" i="8"/>
  <c r="I1154" i="8"/>
  <c r="H1154" i="8"/>
  <c r="G1154" i="8"/>
  <c r="F1154" i="8"/>
  <c r="E1154" i="8"/>
  <c r="D1154" i="8"/>
  <c r="C1154" i="8"/>
  <c r="B1154" i="8"/>
  <c r="A1154" i="8"/>
  <c r="M1153" i="8"/>
  <c r="K1153" i="8"/>
  <c r="J1153" i="8"/>
  <c r="I1153" i="8"/>
  <c r="H1153" i="8"/>
  <c r="G1153" i="8"/>
  <c r="L1153" i="8" s="1"/>
  <c r="F1153" i="8"/>
  <c r="E1153" i="8"/>
  <c r="D1153" i="8"/>
  <c r="C1153" i="8"/>
  <c r="B1153" i="8"/>
  <c r="A1153" i="8"/>
  <c r="M1152" i="8"/>
  <c r="K1152" i="8"/>
  <c r="J1152" i="8"/>
  <c r="I1152" i="8"/>
  <c r="H1152" i="8"/>
  <c r="G1152" i="8"/>
  <c r="L1152" i="8" s="1"/>
  <c r="F1152" i="8"/>
  <c r="E1152" i="8"/>
  <c r="D1152" i="8"/>
  <c r="C1152" i="8"/>
  <c r="B1152" i="8"/>
  <c r="A1152" i="8"/>
  <c r="M1151" i="8"/>
  <c r="K1151" i="8"/>
  <c r="J1151" i="8"/>
  <c r="I1151" i="8"/>
  <c r="H1151" i="8"/>
  <c r="G1151" i="8"/>
  <c r="L1151" i="8" s="1"/>
  <c r="F1151" i="8"/>
  <c r="E1151" i="8"/>
  <c r="D1151" i="8"/>
  <c r="C1151" i="8"/>
  <c r="B1151" i="8"/>
  <c r="A1151" i="8"/>
  <c r="M1150" i="8"/>
  <c r="L1150" i="8"/>
  <c r="K1150" i="8"/>
  <c r="J1150" i="8"/>
  <c r="I1150" i="8"/>
  <c r="H1150" i="8"/>
  <c r="G1150" i="8"/>
  <c r="F1150" i="8"/>
  <c r="E1150" i="8"/>
  <c r="D1150" i="8"/>
  <c r="C1150" i="8"/>
  <c r="B1150" i="8"/>
  <c r="A1150" i="8"/>
  <c r="M1149" i="8"/>
  <c r="K1149" i="8"/>
  <c r="J1149" i="8"/>
  <c r="I1149" i="8"/>
  <c r="H1149" i="8"/>
  <c r="G1149" i="8"/>
  <c r="L1149" i="8" s="1"/>
  <c r="F1149" i="8"/>
  <c r="E1149" i="8"/>
  <c r="D1149" i="8"/>
  <c r="C1149" i="8"/>
  <c r="B1149" i="8"/>
  <c r="A1149" i="8"/>
  <c r="M1148" i="8"/>
  <c r="K1148" i="8"/>
  <c r="J1148" i="8"/>
  <c r="I1148" i="8"/>
  <c r="H1148" i="8"/>
  <c r="G1148" i="8"/>
  <c r="L1148" i="8" s="1"/>
  <c r="F1148" i="8"/>
  <c r="E1148" i="8"/>
  <c r="D1148" i="8"/>
  <c r="C1148" i="8"/>
  <c r="B1148" i="8"/>
  <c r="A1148" i="8"/>
  <c r="M1147" i="8"/>
  <c r="K1147" i="8"/>
  <c r="J1147" i="8"/>
  <c r="I1147" i="8"/>
  <c r="H1147" i="8"/>
  <c r="G1147" i="8"/>
  <c r="L1147" i="8" s="1"/>
  <c r="F1147" i="8"/>
  <c r="E1147" i="8"/>
  <c r="D1147" i="8"/>
  <c r="C1147" i="8"/>
  <c r="B1147" i="8"/>
  <c r="A1147" i="8"/>
  <c r="M1146" i="8"/>
  <c r="L1146" i="8"/>
  <c r="K1146" i="8"/>
  <c r="J1146" i="8"/>
  <c r="I1146" i="8"/>
  <c r="H1146" i="8"/>
  <c r="G1146" i="8"/>
  <c r="F1146" i="8"/>
  <c r="E1146" i="8"/>
  <c r="D1146" i="8"/>
  <c r="C1146" i="8"/>
  <c r="B1146" i="8"/>
  <c r="A1146" i="8"/>
  <c r="M1145" i="8"/>
  <c r="K1145" i="8"/>
  <c r="J1145" i="8"/>
  <c r="I1145" i="8"/>
  <c r="H1145" i="8"/>
  <c r="G1145" i="8"/>
  <c r="L1145" i="8" s="1"/>
  <c r="F1145" i="8"/>
  <c r="E1145" i="8"/>
  <c r="D1145" i="8"/>
  <c r="C1145" i="8"/>
  <c r="B1145" i="8"/>
  <c r="A1145" i="8"/>
  <c r="M1144" i="8"/>
  <c r="K1144" i="8"/>
  <c r="J1144" i="8"/>
  <c r="I1144" i="8"/>
  <c r="H1144" i="8"/>
  <c r="G1144" i="8"/>
  <c r="L1144" i="8" s="1"/>
  <c r="F1144" i="8"/>
  <c r="E1144" i="8"/>
  <c r="D1144" i="8"/>
  <c r="C1144" i="8"/>
  <c r="B1144" i="8"/>
  <c r="A1144" i="8"/>
  <c r="M1143" i="8"/>
  <c r="K1143" i="8"/>
  <c r="J1143" i="8"/>
  <c r="I1143" i="8"/>
  <c r="H1143" i="8"/>
  <c r="G1143" i="8"/>
  <c r="L1143" i="8" s="1"/>
  <c r="F1143" i="8"/>
  <c r="E1143" i="8"/>
  <c r="D1143" i="8"/>
  <c r="C1143" i="8"/>
  <c r="B1143" i="8"/>
  <c r="A1143" i="8"/>
  <c r="M1142" i="8"/>
  <c r="L1142" i="8"/>
  <c r="K1142" i="8"/>
  <c r="J1142" i="8"/>
  <c r="I1142" i="8"/>
  <c r="H1142" i="8"/>
  <c r="G1142" i="8"/>
  <c r="F1142" i="8"/>
  <c r="E1142" i="8"/>
  <c r="D1142" i="8"/>
  <c r="C1142" i="8"/>
  <c r="B1142" i="8"/>
  <c r="A1142" i="8"/>
  <c r="M1141" i="8"/>
  <c r="K1141" i="8"/>
  <c r="J1141" i="8"/>
  <c r="I1141" i="8"/>
  <c r="H1141" i="8"/>
  <c r="G1141" i="8"/>
  <c r="L1141" i="8" s="1"/>
  <c r="F1141" i="8"/>
  <c r="E1141" i="8"/>
  <c r="D1141" i="8"/>
  <c r="C1141" i="8"/>
  <c r="B1141" i="8"/>
  <c r="A1141" i="8"/>
  <c r="M1140" i="8"/>
  <c r="K1140" i="8"/>
  <c r="J1140" i="8"/>
  <c r="I1140" i="8"/>
  <c r="H1140" i="8"/>
  <c r="G1140" i="8"/>
  <c r="L1140" i="8" s="1"/>
  <c r="F1140" i="8"/>
  <c r="E1140" i="8"/>
  <c r="D1140" i="8"/>
  <c r="C1140" i="8"/>
  <c r="B1140" i="8"/>
  <c r="A1140" i="8"/>
  <c r="M1139" i="8"/>
  <c r="K1139" i="8"/>
  <c r="J1139" i="8"/>
  <c r="I1139" i="8"/>
  <c r="H1139" i="8"/>
  <c r="G1139" i="8"/>
  <c r="L1139" i="8" s="1"/>
  <c r="F1139" i="8"/>
  <c r="E1139" i="8"/>
  <c r="D1139" i="8"/>
  <c r="C1139" i="8"/>
  <c r="B1139" i="8"/>
  <c r="A1139" i="8"/>
  <c r="M1138" i="8"/>
  <c r="L1138" i="8"/>
  <c r="K1138" i="8"/>
  <c r="J1138" i="8"/>
  <c r="I1138" i="8"/>
  <c r="H1138" i="8"/>
  <c r="G1138" i="8"/>
  <c r="F1138" i="8"/>
  <c r="E1138" i="8"/>
  <c r="D1138" i="8"/>
  <c r="C1138" i="8"/>
  <c r="B1138" i="8"/>
  <c r="A1138" i="8"/>
  <c r="M1137" i="8"/>
  <c r="K1137" i="8"/>
  <c r="J1137" i="8"/>
  <c r="I1137" i="8"/>
  <c r="H1137" i="8"/>
  <c r="G1137" i="8"/>
  <c r="L1137" i="8" s="1"/>
  <c r="F1137" i="8"/>
  <c r="E1137" i="8"/>
  <c r="D1137" i="8"/>
  <c r="C1137" i="8"/>
  <c r="B1137" i="8"/>
  <c r="A1137" i="8"/>
  <c r="M1136" i="8"/>
  <c r="L1136" i="8"/>
  <c r="K1136" i="8"/>
  <c r="J1136" i="8"/>
  <c r="I1136" i="8"/>
  <c r="H1136" i="8"/>
  <c r="G1136" i="8"/>
  <c r="F1136" i="8"/>
  <c r="E1136" i="8"/>
  <c r="D1136" i="8"/>
  <c r="C1136" i="8"/>
  <c r="B1136" i="8"/>
  <c r="A1136" i="8"/>
  <c r="M1135" i="8"/>
  <c r="K1135" i="8"/>
  <c r="J1135" i="8"/>
  <c r="I1135" i="8"/>
  <c r="H1135" i="8"/>
  <c r="G1135" i="8"/>
  <c r="L1135" i="8" s="1"/>
  <c r="F1135" i="8"/>
  <c r="E1135" i="8"/>
  <c r="D1135" i="8"/>
  <c r="C1135" i="8"/>
  <c r="B1135" i="8"/>
  <c r="A1135" i="8"/>
  <c r="M1134" i="8"/>
  <c r="L1134" i="8"/>
  <c r="K1134" i="8"/>
  <c r="J1134" i="8"/>
  <c r="I1134" i="8"/>
  <c r="H1134" i="8"/>
  <c r="G1134" i="8"/>
  <c r="F1134" i="8"/>
  <c r="E1134" i="8"/>
  <c r="D1134" i="8"/>
  <c r="C1134" i="8"/>
  <c r="B1134" i="8"/>
  <c r="A1134" i="8"/>
  <c r="M1133" i="8"/>
  <c r="K1133" i="8"/>
  <c r="J1133" i="8"/>
  <c r="I1133" i="8"/>
  <c r="H1133" i="8"/>
  <c r="G1133" i="8"/>
  <c r="L1133" i="8" s="1"/>
  <c r="F1133" i="8"/>
  <c r="E1133" i="8"/>
  <c r="D1133" i="8"/>
  <c r="C1133" i="8"/>
  <c r="B1133" i="8"/>
  <c r="A1133" i="8"/>
  <c r="M1132" i="8"/>
  <c r="L1132" i="8"/>
  <c r="K1132" i="8"/>
  <c r="J1132" i="8"/>
  <c r="I1132" i="8"/>
  <c r="H1132" i="8"/>
  <c r="G1132" i="8"/>
  <c r="F1132" i="8"/>
  <c r="E1132" i="8"/>
  <c r="D1132" i="8"/>
  <c r="C1132" i="8"/>
  <c r="B1132" i="8"/>
  <c r="A1132" i="8"/>
  <c r="M1131" i="8"/>
  <c r="K1131" i="8"/>
  <c r="J1131" i="8"/>
  <c r="I1131" i="8"/>
  <c r="H1131" i="8"/>
  <c r="G1131" i="8"/>
  <c r="L1131" i="8" s="1"/>
  <c r="F1131" i="8"/>
  <c r="E1131" i="8"/>
  <c r="D1131" i="8"/>
  <c r="C1131" i="8"/>
  <c r="B1131" i="8"/>
  <c r="A1131" i="8"/>
  <c r="M1130" i="8"/>
  <c r="L1130" i="8"/>
  <c r="K1130" i="8"/>
  <c r="J1130" i="8"/>
  <c r="I1130" i="8"/>
  <c r="H1130" i="8"/>
  <c r="G1130" i="8"/>
  <c r="F1130" i="8"/>
  <c r="E1130" i="8"/>
  <c r="D1130" i="8"/>
  <c r="C1130" i="8"/>
  <c r="B1130" i="8"/>
  <c r="A1130" i="8"/>
  <c r="M1129" i="8"/>
  <c r="K1129" i="8"/>
  <c r="J1129" i="8"/>
  <c r="I1129" i="8"/>
  <c r="H1129" i="8"/>
  <c r="G1129" i="8"/>
  <c r="L1129" i="8" s="1"/>
  <c r="F1129" i="8"/>
  <c r="E1129" i="8"/>
  <c r="D1129" i="8"/>
  <c r="C1129" i="8"/>
  <c r="B1129" i="8"/>
  <c r="A1129" i="8"/>
  <c r="M1128" i="8"/>
  <c r="L1128" i="8"/>
  <c r="K1128" i="8"/>
  <c r="J1128" i="8"/>
  <c r="I1128" i="8"/>
  <c r="H1128" i="8"/>
  <c r="G1128" i="8"/>
  <c r="F1128" i="8"/>
  <c r="E1128" i="8"/>
  <c r="D1128" i="8"/>
  <c r="C1128" i="8"/>
  <c r="B1128" i="8"/>
  <c r="A1128" i="8"/>
  <c r="M1127" i="8"/>
  <c r="K1127" i="8"/>
  <c r="J1127" i="8"/>
  <c r="I1127" i="8"/>
  <c r="H1127" i="8"/>
  <c r="G1127" i="8"/>
  <c r="L1127" i="8" s="1"/>
  <c r="F1127" i="8"/>
  <c r="E1127" i="8"/>
  <c r="D1127" i="8"/>
  <c r="C1127" i="8"/>
  <c r="B1127" i="8"/>
  <c r="A1127" i="8"/>
  <c r="M1126" i="8"/>
  <c r="K1126" i="8"/>
  <c r="J1126" i="8"/>
  <c r="I1126" i="8"/>
  <c r="H1126" i="8"/>
  <c r="G1126" i="8"/>
  <c r="L1126" i="8" s="1"/>
  <c r="F1126" i="8"/>
  <c r="E1126" i="8"/>
  <c r="D1126" i="8"/>
  <c r="C1126" i="8"/>
  <c r="B1126" i="8"/>
  <c r="A1126" i="8"/>
  <c r="M1125" i="8"/>
  <c r="L1125" i="8"/>
  <c r="K1125" i="8"/>
  <c r="J1125" i="8"/>
  <c r="I1125" i="8"/>
  <c r="H1125" i="8"/>
  <c r="G1125" i="8"/>
  <c r="F1125" i="8"/>
  <c r="E1125" i="8"/>
  <c r="D1125" i="8"/>
  <c r="C1125" i="8"/>
  <c r="B1125" i="8"/>
  <c r="A1125" i="8"/>
  <c r="M1124" i="8"/>
  <c r="K1124" i="8"/>
  <c r="J1124" i="8"/>
  <c r="I1124" i="8"/>
  <c r="H1124" i="8"/>
  <c r="G1124" i="8"/>
  <c r="L1124" i="8" s="1"/>
  <c r="F1124" i="8"/>
  <c r="E1124" i="8"/>
  <c r="D1124" i="8"/>
  <c r="C1124" i="8"/>
  <c r="B1124" i="8"/>
  <c r="A1124" i="8"/>
  <c r="M1123" i="8"/>
  <c r="K1123" i="8"/>
  <c r="J1123" i="8"/>
  <c r="I1123" i="8"/>
  <c r="H1123" i="8"/>
  <c r="G1123" i="8"/>
  <c r="L1123" i="8" s="1"/>
  <c r="F1123" i="8"/>
  <c r="E1123" i="8"/>
  <c r="D1123" i="8"/>
  <c r="C1123" i="8"/>
  <c r="B1123" i="8"/>
  <c r="A1123" i="8"/>
  <c r="M1122" i="8"/>
  <c r="K1122" i="8"/>
  <c r="J1122" i="8"/>
  <c r="I1122" i="8"/>
  <c r="H1122" i="8"/>
  <c r="G1122" i="8"/>
  <c r="L1122" i="8" s="1"/>
  <c r="F1122" i="8"/>
  <c r="E1122" i="8"/>
  <c r="D1122" i="8"/>
  <c r="C1122" i="8"/>
  <c r="B1122" i="8"/>
  <c r="A1122" i="8"/>
  <c r="M1121" i="8"/>
  <c r="L1121" i="8"/>
  <c r="K1121" i="8"/>
  <c r="J1121" i="8"/>
  <c r="I1121" i="8"/>
  <c r="H1121" i="8"/>
  <c r="G1121" i="8"/>
  <c r="F1121" i="8"/>
  <c r="E1121" i="8"/>
  <c r="D1121" i="8"/>
  <c r="C1121" i="8"/>
  <c r="B1121" i="8"/>
  <c r="A1121" i="8"/>
  <c r="M1120" i="8"/>
  <c r="K1120" i="8"/>
  <c r="J1120" i="8"/>
  <c r="I1120" i="8"/>
  <c r="H1120" i="8"/>
  <c r="G1120" i="8"/>
  <c r="L1120" i="8" s="1"/>
  <c r="F1120" i="8"/>
  <c r="E1120" i="8"/>
  <c r="D1120" i="8"/>
  <c r="C1120" i="8"/>
  <c r="B1120" i="8"/>
  <c r="A1120" i="8"/>
  <c r="M1119" i="8"/>
  <c r="K1119" i="8"/>
  <c r="J1119" i="8"/>
  <c r="I1119" i="8"/>
  <c r="H1119" i="8"/>
  <c r="G1119" i="8"/>
  <c r="L1119" i="8" s="1"/>
  <c r="F1119" i="8"/>
  <c r="E1119" i="8"/>
  <c r="D1119" i="8"/>
  <c r="C1119" i="8"/>
  <c r="B1119" i="8"/>
  <c r="A1119" i="8"/>
  <c r="M1118" i="8"/>
  <c r="K1118" i="8"/>
  <c r="J1118" i="8"/>
  <c r="I1118" i="8"/>
  <c r="H1118" i="8"/>
  <c r="G1118" i="8"/>
  <c r="L1118" i="8" s="1"/>
  <c r="F1118" i="8"/>
  <c r="E1118" i="8"/>
  <c r="D1118" i="8"/>
  <c r="C1118" i="8"/>
  <c r="B1118" i="8"/>
  <c r="A1118" i="8"/>
  <c r="M1117" i="8"/>
  <c r="L1117" i="8"/>
  <c r="K1117" i="8"/>
  <c r="J1117" i="8"/>
  <c r="I1117" i="8"/>
  <c r="H1117" i="8"/>
  <c r="G1117" i="8"/>
  <c r="F1117" i="8"/>
  <c r="E1117" i="8"/>
  <c r="D1117" i="8"/>
  <c r="C1117" i="8"/>
  <c r="B1117" i="8"/>
  <c r="A1117" i="8"/>
  <c r="M1116" i="8"/>
  <c r="K1116" i="8"/>
  <c r="J1116" i="8"/>
  <c r="I1116" i="8"/>
  <c r="H1116" i="8"/>
  <c r="G1116" i="8"/>
  <c r="L1116" i="8" s="1"/>
  <c r="F1116" i="8"/>
  <c r="E1116" i="8"/>
  <c r="D1116" i="8"/>
  <c r="C1116" i="8"/>
  <c r="B1116" i="8"/>
  <c r="A1116" i="8"/>
  <c r="M1115" i="8"/>
  <c r="K1115" i="8"/>
  <c r="J1115" i="8"/>
  <c r="I1115" i="8"/>
  <c r="H1115" i="8"/>
  <c r="G1115" i="8"/>
  <c r="L1115" i="8" s="1"/>
  <c r="F1115" i="8"/>
  <c r="E1115" i="8"/>
  <c r="D1115" i="8"/>
  <c r="C1115" i="8"/>
  <c r="B1115" i="8"/>
  <c r="A1115" i="8"/>
  <c r="M1114" i="8"/>
  <c r="K1114" i="8"/>
  <c r="J1114" i="8"/>
  <c r="I1114" i="8"/>
  <c r="H1114" i="8"/>
  <c r="G1114" i="8"/>
  <c r="L1114" i="8" s="1"/>
  <c r="F1114" i="8"/>
  <c r="E1114" i="8"/>
  <c r="D1114" i="8"/>
  <c r="C1114" i="8"/>
  <c r="B1114" i="8"/>
  <c r="A1114" i="8"/>
  <c r="M1113" i="8"/>
  <c r="L1113" i="8"/>
  <c r="K1113" i="8"/>
  <c r="J1113" i="8"/>
  <c r="I1113" i="8"/>
  <c r="H1113" i="8"/>
  <c r="G1113" i="8"/>
  <c r="F1113" i="8"/>
  <c r="E1113" i="8"/>
  <c r="D1113" i="8"/>
  <c r="C1113" i="8"/>
  <c r="B1113" i="8"/>
  <c r="A1113" i="8"/>
  <c r="M1112" i="8"/>
  <c r="K1112" i="8"/>
  <c r="J1112" i="8"/>
  <c r="I1112" i="8"/>
  <c r="H1112" i="8"/>
  <c r="G1112" i="8"/>
  <c r="L1112" i="8" s="1"/>
  <c r="F1112" i="8"/>
  <c r="E1112" i="8"/>
  <c r="D1112" i="8"/>
  <c r="C1112" i="8"/>
  <c r="B1112" i="8"/>
  <c r="A1112" i="8"/>
  <c r="M1111" i="8"/>
  <c r="K1111" i="8"/>
  <c r="J1111" i="8"/>
  <c r="I1111" i="8"/>
  <c r="H1111" i="8"/>
  <c r="G1111" i="8"/>
  <c r="L1111" i="8" s="1"/>
  <c r="F1111" i="8"/>
  <c r="E1111" i="8"/>
  <c r="D1111" i="8"/>
  <c r="C1111" i="8"/>
  <c r="B1111" i="8"/>
  <c r="A1111" i="8"/>
  <c r="M1110" i="8"/>
  <c r="K1110" i="8"/>
  <c r="J1110" i="8"/>
  <c r="I1110" i="8"/>
  <c r="H1110" i="8"/>
  <c r="G1110" i="8"/>
  <c r="L1110" i="8" s="1"/>
  <c r="F1110" i="8"/>
  <c r="E1110" i="8"/>
  <c r="D1110" i="8"/>
  <c r="C1110" i="8"/>
  <c r="B1110" i="8"/>
  <c r="A1110" i="8"/>
  <c r="M1109" i="8"/>
  <c r="L1109" i="8"/>
  <c r="K1109" i="8"/>
  <c r="J1109" i="8"/>
  <c r="I1109" i="8"/>
  <c r="H1109" i="8"/>
  <c r="G1109" i="8"/>
  <c r="F1109" i="8"/>
  <c r="E1109" i="8"/>
  <c r="D1109" i="8"/>
  <c r="C1109" i="8"/>
  <c r="B1109" i="8"/>
  <c r="A1109" i="8"/>
  <c r="M1108" i="8"/>
  <c r="K1108" i="8"/>
  <c r="J1108" i="8"/>
  <c r="I1108" i="8"/>
  <c r="H1108" i="8"/>
  <c r="G1108" i="8"/>
  <c r="L1108" i="8" s="1"/>
  <c r="F1108" i="8"/>
  <c r="E1108" i="8"/>
  <c r="D1108" i="8"/>
  <c r="C1108" i="8"/>
  <c r="B1108" i="8"/>
  <c r="A1108" i="8"/>
  <c r="M1107" i="8"/>
  <c r="K1107" i="8"/>
  <c r="J1107" i="8"/>
  <c r="I1107" i="8"/>
  <c r="H1107" i="8"/>
  <c r="G1107" i="8"/>
  <c r="L1107" i="8" s="1"/>
  <c r="F1107" i="8"/>
  <c r="E1107" i="8"/>
  <c r="D1107" i="8"/>
  <c r="C1107" i="8"/>
  <c r="B1107" i="8"/>
  <c r="A1107" i="8"/>
  <c r="M1106" i="8"/>
  <c r="K1106" i="8"/>
  <c r="J1106" i="8"/>
  <c r="I1106" i="8"/>
  <c r="H1106" i="8"/>
  <c r="G1106" i="8"/>
  <c r="L1106" i="8" s="1"/>
  <c r="F1106" i="8"/>
  <c r="E1106" i="8"/>
  <c r="D1106" i="8"/>
  <c r="C1106" i="8"/>
  <c r="B1106" i="8"/>
  <c r="A1106" i="8"/>
  <c r="M1105" i="8"/>
  <c r="L1105" i="8"/>
  <c r="K1105" i="8"/>
  <c r="J1105" i="8"/>
  <c r="I1105" i="8"/>
  <c r="H1105" i="8"/>
  <c r="G1105" i="8"/>
  <c r="F1105" i="8"/>
  <c r="E1105" i="8"/>
  <c r="D1105" i="8"/>
  <c r="C1105" i="8"/>
  <c r="B1105" i="8"/>
  <c r="A1105" i="8"/>
  <c r="M1104" i="8"/>
  <c r="K1104" i="8"/>
  <c r="J1104" i="8"/>
  <c r="I1104" i="8"/>
  <c r="H1104" i="8"/>
  <c r="G1104" i="8"/>
  <c r="L1104" i="8" s="1"/>
  <c r="F1104" i="8"/>
  <c r="E1104" i="8"/>
  <c r="D1104" i="8"/>
  <c r="C1104" i="8"/>
  <c r="B1104" i="8"/>
  <c r="A1104" i="8"/>
  <c r="M1103" i="8"/>
  <c r="K1103" i="8"/>
  <c r="J1103" i="8"/>
  <c r="I1103" i="8"/>
  <c r="H1103" i="8"/>
  <c r="G1103" i="8"/>
  <c r="L1103" i="8" s="1"/>
  <c r="F1103" i="8"/>
  <c r="E1103" i="8"/>
  <c r="D1103" i="8"/>
  <c r="C1103" i="8"/>
  <c r="B1103" i="8"/>
  <c r="A1103" i="8"/>
  <c r="M1102" i="8"/>
  <c r="K1102" i="8"/>
  <c r="J1102" i="8"/>
  <c r="I1102" i="8"/>
  <c r="H1102" i="8"/>
  <c r="G1102" i="8"/>
  <c r="L1102" i="8" s="1"/>
  <c r="F1102" i="8"/>
  <c r="E1102" i="8"/>
  <c r="D1102" i="8"/>
  <c r="C1102" i="8"/>
  <c r="B1102" i="8"/>
  <c r="A1102" i="8"/>
  <c r="M1101" i="8"/>
  <c r="L1101" i="8"/>
  <c r="K1101" i="8"/>
  <c r="J1101" i="8"/>
  <c r="I1101" i="8"/>
  <c r="H1101" i="8"/>
  <c r="G1101" i="8"/>
  <c r="F1101" i="8"/>
  <c r="E1101" i="8"/>
  <c r="D1101" i="8"/>
  <c r="C1101" i="8"/>
  <c r="B1101" i="8"/>
  <c r="A1101" i="8"/>
  <c r="M1100" i="8"/>
  <c r="K1100" i="8"/>
  <c r="J1100" i="8"/>
  <c r="I1100" i="8"/>
  <c r="H1100" i="8"/>
  <c r="G1100" i="8"/>
  <c r="L1100" i="8" s="1"/>
  <c r="F1100" i="8"/>
  <c r="E1100" i="8"/>
  <c r="D1100" i="8"/>
  <c r="C1100" i="8"/>
  <c r="B1100" i="8"/>
  <c r="A1100" i="8"/>
  <c r="M1099" i="8"/>
  <c r="K1099" i="8"/>
  <c r="J1099" i="8"/>
  <c r="I1099" i="8"/>
  <c r="H1099" i="8"/>
  <c r="G1099" i="8"/>
  <c r="L1099" i="8" s="1"/>
  <c r="F1099" i="8"/>
  <c r="E1099" i="8"/>
  <c r="D1099" i="8"/>
  <c r="C1099" i="8"/>
  <c r="B1099" i="8"/>
  <c r="A1099" i="8"/>
  <c r="M1098" i="8"/>
  <c r="K1098" i="8"/>
  <c r="J1098" i="8"/>
  <c r="I1098" i="8"/>
  <c r="H1098" i="8"/>
  <c r="G1098" i="8"/>
  <c r="L1098" i="8" s="1"/>
  <c r="F1098" i="8"/>
  <c r="E1098" i="8"/>
  <c r="D1098" i="8"/>
  <c r="C1098" i="8"/>
  <c r="B1098" i="8"/>
  <c r="A1098" i="8"/>
  <c r="M1097" i="8"/>
  <c r="L1097" i="8"/>
  <c r="K1097" i="8"/>
  <c r="J1097" i="8"/>
  <c r="I1097" i="8"/>
  <c r="H1097" i="8"/>
  <c r="G1097" i="8"/>
  <c r="F1097" i="8"/>
  <c r="E1097" i="8"/>
  <c r="D1097" i="8"/>
  <c r="C1097" i="8"/>
  <c r="B1097" i="8"/>
  <c r="A1097" i="8"/>
  <c r="M1096" i="8"/>
  <c r="K1096" i="8"/>
  <c r="J1096" i="8"/>
  <c r="I1096" i="8"/>
  <c r="H1096" i="8"/>
  <c r="G1096" i="8"/>
  <c r="L1096" i="8" s="1"/>
  <c r="F1096" i="8"/>
  <c r="E1096" i="8"/>
  <c r="D1096" i="8"/>
  <c r="C1096" i="8"/>
  <c r="B1096" i="8"/>
  <c r="A1096" i="8"/>
  <c r="M1095" i="8"/>
  <c r="K1095" i="8"/>
  <c r="J1095" i="8"/>
  <c r="I1095" i="8"/>
  <c r="H1095" i="8"/>
  <c r="G1095" i="8"/>
  <c r="L1095" i="8" s="1"/>
  <c r="F1095" i="8"/>
  <c r="E1095" i="8"/>
  <c r="D1095" i="8"/>
  <c r="C1095" i="8"/>
  <c r="B1095" i="8"/>
  <c r="A1095" i="8"/>
  <c r="M1094" i="8"/>
  <c r="K1094" i="8"/>
  <c r="J1094" i="8"/>
  <c r="I1094" i="8"/>
  <c r="H1094" i="8"/>
  <c r="G1094" i="8"/>
  <c r="L1094" i="8" s="1"/>
  <c r="F1094" i="8"/>
  <c r="E1094" i="8"/>
  <c r="D1094" i="8"/>
  <c r="C1094" i="8"/>
  <c r="B1094" i="8"/>
  <c r="A1094" i="8"/>
  <c r="M1093" i="8"/>
  <c r="L1093" i="8"/>
  <c r="K1093" i="8"/>
  <c r="J1093" i="8"/>
  <c r="I1093" i="8"/>
  <c r="H1093" i="8"/>
  <c r="G1093" i="8"/>
  <c r="F1093" i="8"/>
  <c r="E1093" i="8"/>
  <c r="D1093" i="8"/>
  <c r="C1093" i="8"/>
  <c r="B1093" i="8"/>
  <c r="A1093" i="8"/>
  <c r="M1092" i="8"/>
  <c r="K1092" i="8"/>
  <c r="J1092" i="8"/>
  <c r="I1092" i="8"/>
  <c r="H1092" i="8"/>
  <c r="G1092" i="8"/>
  <c r="L1092" i="8" s="1"/>
  <c r="F1092" i="8"/>
  <c r="E1092" i="8"/>
  <c r="D1092" i="8"/>
  <c r="C1092" i="8"/>
  <c r="B1092" i="8"/>
  <c r="A1092" i="8"/>
  <c r="M1091" i="8"/>
  <c r="K1091" i="8"/>
  <c r="J1091" i="8"/>
  <c r="I1091" i="8"/>
  <c r="H1091" i="8"/>
  <c r="G1091" i="8"/>
  <c r="L1091" i="8" s="1"/>
  <c r="F1091" i="8"/>
  <c r="E1091" i="8"/>
  <c r="D1091" i="8"/>
  <c r="C1091" i="8"/>
  <c r="B1091" i="8"/>
  <c r="A1091" i="8"/>
  <c r="M1090" i="8"/>
  <c r="K1090" i="8"/>
  <c r="J1090" i="8"/>
  <c r="I1090" i="8"/>
  <c r="H1090" i="8"/>
  <c r="G1090" i="8"/>
  <c r="L1090" i="8" s="1"/>
  <c r="F1090" i="8"/>
  <c r="E1090" i="8"/>
  <c r="D1090" i="8"/>
  <c r="C1090" i="8"/>
  <c r="B1090" i="8"/>
  <c r="A1090" i="8"/>
  <c r="M1089" i="8"/>
  <c r="L1089" i="8"/>
  <c r="K1089" i="8"/>
  <c r="J1089" i="8"/>
  <c r="I1089" i="8"/>
  <c r="H1089" i="8"/>
  <c r="G1089" i="8"/>
  <c r="F1089" i="8"/>
  <c r="E1089" i="8"/>
  <c r="D1089" i="8"/>
  <c r="C1089" i="8"/>
  <c r="B1089" i="8"/>
  <c r="A1089" i="8"/>
  <c r="M1088" i="8"/>
  <c r="K1088" i="8"/>
  <c r="J1088" i="8"/>
  <c r="I1088" i="8"/>
  <c r="H1088" i="8"/>
  <c r="G1088" i="8"/>
  <c r="L1088" i="8" s="1"/>
  <c r="F1088" i="8"/>
  <c r="E1088" i="8"/>
  <c r="D1088" i="8"/>
  <c r="C1088" i="8"/>
  <c r="B1088" i="8"/>
  <c r="A1088" i="8"/>
  <c r="M1087" i="8"/>
  <c r="K1087" i="8"/>
  <c r="J1087" i="8"/>
  <c r="I1087" i="8"/>
  <c r="H1087" i="8"/>
  <c r="G1087" i="8"/>
  <c r="L1087" i="8" s="1"/>
  <c r="F1087" i="8"/>
  <c r="E1087" i="8"/>
  <c r="D1087" i="8"/>
  <c r="C1087" i="8"/>
  <c r="B1087" i="8"/>
  <c r="A1087" i="8"/>
  <c r="M1086" i="8"/>
  <c r="K1086" i="8"/>
  <c r="J1086" i="8"/>
  <c r="I1086" i="8"/>
  <c r="H1086" i="8"/>
  <c r="G1086" i="8"/>
  <c r="L1086" i="8" s="1"/>
  <c r="F1086" i="8"/>
  <c r="E1086" i="8"/>
  <c r="D1086" i="8"/>
  <c r="C1086" i="8"/>
  <c r="B1086" i="8"/>
  <c r="A1086" i="8"/>
  <c r="M1085" i="8"/>
  <c r="L1085" i="8"/>
  <c r="K1085" i="8"/>
  <c r="J1085" i="8"/>
  <c r="I1085" i="8"/>
  <c r="H1085" i="8"/>
  <c r="G1085" i="8"/>
  <c r="F1085" i="8"/>
  <c r="E1085" i="8"/>
  <c r="D1085" i="8"/>
  <c r="C1085" i="8"/>
  <c r="B1085" i="8"/>
  <c r="A1085" i="8"/>
  <c r="M1084" i="8"/>
  <c r="K1084" i="8"/>
  <c r="J1084" i="8"/>
  <c r="I1084" i="8"/>
  <c r="H1084" i="8"/>
  <c r="G1084" i="8"/>
  <c r="L1084" i="8" s="1"/>
  <c r="F1084" i="8"/>
  <c r="E1084" i="8"/>
  <c r="D1084" i="8"/>
  <c r="C1084" i="8"/>
  <c r="B1084" i="8"/>
  <c r="A1084" i="8"/>
  <c r="M1083" i="8"/>
  <c r="K1083" i="8"/>
  <c r="J1083" i="8"/>
  <c r="I1083" i="8"/>
  <c r="H1083" i="8"/>
  <c r="G1083" i="8"/>
  <c r="L1083" i="8" s="1"/>
  <c r="F1083" i="8"/>
  <c r="E1083" i="8"/>
  <c r="D1083" i="8"/>
  <c r="C1083" i="8"/>
  <c r="B1083" i="8"/>
  <c r="A1083" i="8"/>
  <c r="M1082" i="8"/>
  <c r="K1082" i="8"/>
  <c r="J1082" i="8"/>
  <c r="I1082" i="8"/>
  <c r="H1082" i="8"/>
  <c r="G1082" i="8"/>
  <c r="L1082" i="8" s="1"/>
  <c r="F1082" i="8"/>
  <c r="E1082" i="8"/>
  <c r="D1082" i="8"/>
  <c r="C1082" i="8"/>
  <c r="B1082" i="8"/>
  <c r="A1082" i="8"/>
  <c r="M1081" i="8"/>
  <c r="L1081" i="8"/>
  <c r="K1081" i="8"/>
  <c r="J1081" i="8"/>
  <c r="I1081" i="8"/>
  <c r="H1081" i="8"/>
  <c r="G1081" i="8"/>
  <c r="F1081" i="8"/>
  <c r="E1081" i="8"/>
  <c r="D1081" i="8"/>
  <c r="C1081" i="8"/>
  <c r="B1081" i="8"/>
  <c r="A1081" i="8"/>
  <c r="M1080" i="8"/>
  <c r="K1080" i="8"/>
  <c r="J1080" i="8"/>
  <c r="I1080" i="8"/>
  <c r="H1080" i="8"/>
  <c r="G1080" i="8"/>
  <c r="L1080" i="8" s="1"/>
  <c r="F1080" i="8"/>
  <c r="E1080" i="8"/>
  <c r="D1080" i="8"/>
  <c r="C1080" i="8"/>
  <c r="B1080" i="8"/>
  <c r="A1080" i="8"/>
  <c r="M1079" i="8"/>
  <c r="K1079" i="8"/>
  <c r="J1079" i="8"/>
  <c r="I1079" i="8"/>
  <c r="H1079" i="8"/>
  <c r="G1079" i="8"/>
  <c r="L1079" i="8" s="1"/>
  <c r="F1079" i="8"/>
  <c r="E1079" i="8"/>
  <c r="D1079" i="8"/>
  <c r="C1079" i="8"/>
  <c r="B1079" i="8"/>
  <c r="A1079" i="8"/>
  <c r="M1078" i="8"/>
  <c r="K1078" i="8"/>
  <c r="J1078" i="8"/>
  <c r="I1078" i="8"/>
  <c r="H1078" i="8"/>
  <c r="G1078" i="8"/>
  <c r="L1078" i="8" s="1"/>
  <c r="F1078" i="8"/>
  <c r="E1078" i="8"/>
  <c r="D1078" i="8"/>
  <c r="C1078" i="8"/>
  <c r="B1078" i="8"/>
  <c r="A1078" i="8"/>
  <c r="M1077" i="8"/>
  <c r="L1077" i="8"/>
  <c r="K1077" i="8"/>
  <c r="J1077" i="8"/>
  <c r="I1077" i="8"/>
  <c r="H1077" i="8"/>
  <c r="G1077" i="8"/>
  <c r="F1077" i="8"/>
  <c r="E1077" i="8"/>
  <c r="D1077" i="8"/>
  <c r="C1077" i="8"/>
  <c r="B1077" i="8"/>
  <c r="A1077" i="8"/>
  <c r="M1076" i="8"/>
  <c r="K1076" i="8"/>
  <c r="J1076" i="8"/>
  <c r="I1076" i="8"/>
  <c r="H1076" i="8"/>
  <c r="G1076" i="8"/>
  <c r="L1076" i="8" s="1"/>
  <c r="F1076" i="8"/>
  <c r="E1076" i="8"/>
  <c r="D1076" i="8"/>
  <c r="C1076" i="8"/>
  <c r="B1076" i="8"/>
  <c r="A1076" i="8"/>
  <c r="M1075" i="8"/>
  <c r="K1075" i="8"/>
  <c r="J1075" i="8"/>
  <c r="I1075" i="8"/>
  <c r="H1075" i="8"/>
  <c r="G1075" i="8"/>
  <c r="L1075" i="8" s="1"/>
  <c r="F1075" i="8"/>
  <c r="E1075" i="8"/>
  <c r="D1075" i="8"/>
  <c r="C1075" i="8"/>
  <c r="B1075" i="8"/>
  <c r="A1075" i="8"/>
  <c r="M1074" i="8"/>
  <c r="K1074" i="8"/>
  <c r="J1074" i="8"/>
  <c r="I1074" i="8"/>
  <c r="H1074" i="8"/>
  <c r="G1074" i="8"/>
  <c r="L1074" i="8" s="1"/>
  <c r="F1074" i="8"/>
  <c r="E1074" i="8"/>
  <c r="D1074" i="8"/>
  <c r="C1074" i="8"/>
  <c r="B1074" i="8"/>
  <c r="A1074" i="8"/>
  <c r="M1073" i="8"/>
  <c r="L1073" i="8"/>
  <c r="K1073" i="8"/>
  <c r="J1073" i="8"/>
  <c r="I1073" i="8"/>
  <c r="H1073" i="8"/>
  <c r="G1073" i="8"/>
  <c r="F1073" i="8"/>
  <c r="E1073" i="8"/>
  <c r="D1073" i="8"/>
  <c r="C1073" i="8"/>
  <c r="B1073" i="8"/>
  <c r="A1073" i="8"/>
  <c r="M1072" i="8"/>
  <c r="K1072" i="8"/>
  <c r="J1072" i="8"/>
  <c r="I1072" i="8"/>
  <c r="H1072" i="8"/>
  <c r="G1072" i="8"/>
  <c r="L1072" i="8" s="1"/>
  <c r="F1072" i="8"/>
  <c r="E1072" i="8"/>
  <c r="D1072" i="8"/>
  <c r="C1072" i="8"/>
  <c r="B1072" i="8"/>
  <c r="A1072" i="8"/>
  <c r="M1071" i="8"/>
  <c r="K1071" i="8"/>
  <c r="J1071" i="8"/>
  <c r="I1071" i="8"/>
  <c r="H1071" i="8"/>
  <c r="G1071" i="8"/>
  <c r="L1071" i="8" s="1"/>
  <c r="F1071" i="8"/>
  <c r="E1071" i="8"/>
  <c r="D1071" i="8"/>
  <c r="C1071" i="8"/>
  <c r="B1071" i="8"/>
  <c r="A1071" i="8"/>
  <c r="M1070" i="8"/>
  <c r="K1070" i="8"/>
  <c r="J1070" i="8"/>
  <c r="I1070" i="8"/>
  <c r="H1070" i="8"/>
  <c r="G1070" i="8"/>
  <c r="L1070" i="8" s="1"/>
  <c r="F1070" i="8"/>
  <c r="E1070" i="8"/>
  <c r="D1070" i="8"/>
  <c r="C1070" i="8"/>
  <c r="B1070" i="8"/>
  <c r="A1070" i="8"/>
  <c r="M1069" i="8"/>
  <c r="L1069" i="8"/>
  <c r="K1069" i="8"/>
  <c r="J1069" i="8"/>
  <c r="I1069" i="8"/>
  <c r="H1069" i="8"/>
  <c r="G1069" i="8"/>
  <c r="F1069" i="8"/>
  <c r="E1069" i="8"/>
  <c r="D1069" i="8"/>
  <c r="C1069" i="8"/>
  <c r="B1069" i="8"/>
  <c r="A1069" i="8"/>
  <c r="M1068" i="8"/>
  <c r="K1068" i="8"/>
  <c r="J1068" i="8"/>
  <c r="I1068" i="8"/>
  <c r="H1068" i="8"/>
  <c r="G1068" i="8"/>
  <c r="L1068" i="8" s="1"/>
  <c r="F1068" i="8"/>
  <c r="E1068" i="8"/>
  <c r="D1068" i="8"/>
  <c r="C1068" i="8"/>
  <c r="B1068" i="8"/>
  <c r="A1068" i="8"/>
  <c r="M1067" i="8"/>
  <c r="K1067" i="8"/>
  <c r="J1067" i="8"/>
  <c r="I1067" i="8"/>
  <c r="H1067" i="8"/>
  <c r="G1067" i="8"/>
  <c r="L1067" i="8" s="1"/>
  <c r="F1067" i="8"/>
  <c r="E1067" i="8"/>
  <c r="D1067" i="8"/>
  <c r="C1067" i="8"/>
  <c r="B1067" i="8"/>
  <c r="A1067" i="8"/>
  <c r="M1066" i="8"/>
  <c r="K1066" i="8"/>
  <c r="J1066" i="8"/>
  <c r="I1066" i="8"/>
  <c r="H1066" i="8"/>
  <c r="G1066" i="8"/>
  <c r="L1066" i="8" s="1"/>
  <c r="F1066" i="8"/>
  <c r="E1066" i="8"/>
  <c r="D1066" i="8"/>
  <c r="C1066" i="8"/>
  <c r="B1066" i="8"/>
  <c r="A1066" i="8"/>
  <c r="M1065" i="8"/>
  <c r="L1065" i="8"/>
  <c r="K1065" i="8"/>
  <c r="J1065" i="8"/>
  <c r="I1065" i="8"/>
  <c r="H1065" i="8"/>
  <c r="G1065" i="8"/>
  <c r="F1065" i="8"/>
  <c r="E1065" i="8"/>
  <c r="D1065" i="8"/>
  <c r="C1065" i="8"/>
  <c r="B1065" i="8"/>
  <c r="A1065" i="8"/>
  <c r="M1064" i="8"/>
  <c r="K1064" i="8"/>
  <c r="J1064" i="8"/>
  <c r="I1064" i="8"/>
  <c r="H1064" i="8"/>
  <c r="G1064" i="8"/>
  <c r="L1064" i="8" s="1"/>
  <c r="F1064" i="8"/>
  <c r="E1064" i="8"/>
  <c r="D1064" i="8"/>
  <c r="C1064" i="8"/>
  <c r="B1064" i="8"/>
  <c r="A1064" i="8"/>
  <c r="M1063" i="8"/>
  <c r="K1063" i="8"/>
  <c r="J1063" i="8"/>
  <c r="I1063" i="8"/>
  <c r="H1063" i="8"/>
  <c r="G1063" i="8"/>
  <c r="L1063" i="8" s="1"/>
  <c r="F1063" i="8"/>
  <c r="E1063" i="8"/>
  <c r="D1063" i="8"/>
  <c r="C1063" i="8"/>
  <c r="B1063" i="8"/>
  <c r="A1063" i="8"/>
  <c r="M1062" i="8"/>
  <c r="K1062" i="8"/>
  <c r="J1062" i="8"/>
  <c r="I1062" i="8"/>
  <c r="H1062" i="8"/>
  <c r="G1062" i="8"/>
  <c r="L1062" i="8" s="1"/>
  <c r="F1062" i="8"/>
  <c r="E1062" i="8"/>
  <c r="D1062" i="8"/>
  <c r="C1062" i="8"/>
  <c r="B1062" i="8"/>
  <c r="A1062" i="8"/>
  <c r="M1061" i="8"/>
  <c r="L1061" i="8"/>
  <c r="K1061" i="8"/>
  <c r="J1061" i="8"/>
  <c r="I1061" i="8"/>
  <c r="H1061" i="8"/>
  <c r="G1061" i="8"/>
  <c r="F1061" i="8"/>
  <c r="E1061" i="8"/>
  <c r="D1061" i="8"/>
  <c r="C1061" i="8"/>
  <c r="B1061" i="8"/>
  <c r="A1061" i="8"/>
  <c r="M1060" i="8"/>
  <c r="K1060" i="8"/>
  <c r="J1060" i="8"/>
  <c r="I1060" i="8"/>
  <c r="H1060" i="8"/>
  <c r="G1060" i="8"/>
  <c r="L1060" i="8" s="1"/>
  <c r="F1060" i="8"/>
  <c r="E1060" i="8"/>
  <c r="D1060" i="8"/>
  <c r="C1060" i="8"/>
  <c r="B1060" i="8"/>
  <c r="A1060" i="8"/>
  <c r="M1059" i="8"/>
  <c r="K1059" i="8"/>
  <c r="J1059" i="8"/>
  <c r="I1059" i="8"/>
  <c r="H1059" i="8"/>
  <c r="G1059" i="8"/>
  <c r="L1059" i="8" s="1"/>
  <c r="F1059" i="8"/>
  <c r="E1059" i="8"/>
  <c r="D1059" i="8"/>
  <c r="C1059" i="8"/>
  <c r="B1059" i="8"/>
  <c r="A1059" i="8"/>
  <c r="M1058" i="8"/>
  <c r="K1058" i="8"/>
  <c r="J1058" i="8"/>
  <c r="I1058" i="8"/>
  <c r="H1058" i="8"/>
  <c r="G1058" i="8"/>
  <c r="L1058" i="8" s="1"/>
  <c r="F1058" i="8"/>
  <c r="E1058" i="8"/>
  <c r="D1058" i="8"/>
  <c r="C1058" i="8"/>
  <c r="B1058" i="8"/>
  <c r="A1058" i="8"/>
  <c r="M1057" i="8"/>
  <c r="L1057" i="8"/>
  <c r="K1057" i="8"/>
  <c r="J1057" i="8"/>
  <c r="I1057" i="8"/>
  <c r="H1057" i="8"/>
  <c r="G1057" i="8"/>
  <c r="F1057" i="8"/>
  <c r="E1057" i="8"/>
  <c r="D1057" i="8"/>
  <c r="C1057" i="8"/>
  <c r="B1057" i="8"/>
  <c r="A1057" i="8"/>
  <c r="M1056" i="8"/>
  <c r="K1056" i="8"/>
  <c r="J1056" i="8"/>
  <c r="I1056" i="8"/>
  <c r="H1056" i="8"/>
  <c r="G1056" i="8"/>
  <c r="L1056" i="8" s="1"/>
  <c r="F1056" i="8"/>
  <c r="E1056" i="8"/>
  <c r="D1056" i="8"/>
  <c r="C1056" i="8"/>
  <c r="B1056" i="8"/>
  <c r="A1056" i="8"/>
  <c r="M1055" i="8"/>
  <c r="K1055" i="8"/>
  <c r="J1055" i="8"/>
  <c r="I1055" i="8"/>
  <c r="H1055" i="8"/>
  <c r="G1055" i="8"/>
  <c r="L1055" i="8" s="1"/>
  <c r="F1055" i="8"/>
  <c r="E1055" i="8"/>
  <c r="D1055" i="8"/>
  <c r="C1055" i="8"/>
  <c r="B1055" i="8"/>
  <c r="A1055" i="8"/>
  <c r="M1054" i="8"/>
  <c r="K1054" i="8"/>
  <c r="J1054" i="8"/>
  <c r="I1054" i="8"/>
  <c r="H1054" i="8"/>
  <c r="G1054" i="8"/>
  <c r="L1054" i="8" s="1"/>
  <c r="F1054" i="8"/>
  <c r="E1054" i="8"/>
  <c r="D1054" i="8"/>
  <c r="C1054" i="8"/>
  <c r="B1054" i="8"/>
  <c r="A1054" i="8"/>
  <c r="M1053" i="8"/>
  <c r="L1053" i="8"/>
  <c r="K1053" i="8"/>
  <c r="J1053" i="8"/>
  <c r="I1053" i="8"/>
  <c r="H1053" i="8"/>
  <c r="G1053" i="8"/>
  <c r="F1053" i="8"/>
  <c r="E1053" i="8"/>
  <c r="D1053" i="8"/>
  <c r="C1053" i="8"/>
  <c r="B1053" i="8"/>
  <c r="A1053" i="8"/>
  <c r="M1052" i="8"/>
  <c r="K1052" i="8"/>
  <c r="J1052" i="8"/>
  <c r="I1052" i="8"/>
  <c r="H1052" i="8"/>
  <c r="G1052" i="8"/>
  <c r="L1052" i="8" s="1"/>
  <c r="F1052" i="8"/>
  <c r="E1052" i="8"/>
  <c r="D1052" i="8"/>
  <c r="C1052" i="8"/>
  <c r="B1052" i="8"/>
  <c r="A1052" i="8"/>
  <c r="M1051" i="8"/>
  <c r="K1051" i="8"/>
  <c r="J1051" i="8"/>
  <c r="I1051" i="8"/>
  <c r="H1051" i="8"/>
  <c r="G1051" i="8"/>
  <c r="L1051" i="8" s="1"/>
  <c r="F1051" i="8"/>
  <c r="E1051" i="8"/>
  <c r="D1051" i="8"/>
  <c r="C1051" i="8"/>
  <c r="B1051" i="8"/>
  <c r="A1051" i="8"/>
  <c r="M1050" i="8"/>
  <c r="K1050" i="8"/>
  <c r="J1050" i="8"/>
  <c r="I1050" i="8"/>
  <c r="H1050" i="8"/>
  <c r="G1050" i="8"/>
  <c r="L1050" i="8" s="1"/>
  <c r="F1050" i="8"/>
  <c r="E1050" i="8"/>
  <c r="D1050" i="8"/>
  <c r="C1050" i="8"/>
  <c r="B1050" i="8"/>
  <c r="A1050" i="8"/>
  <c r="M1049" i="8"/>
  <c r="L1049" i="8"/>
  <c r="K1049" i="8"/>
  <c r="J1049" i="8"/>
  <c r="I1049" i="8"/>
  <c r="H1049" i="8"/>
  <c r="G1049" i="8"/>
  <c r="F1049" i="8"/>
  <c r="E1049" i="8"/>
  <c r="D1049" i="8"/>
  <c r="C1049" i="8"/>
  <c r="B1049" i="8"/>
  <c r="A1049" i="8"/>
  <c r="M1048" i="8"/>
  <c r="K1048" i="8"/>
  <c r="J1048" i="8"/>
  <c r="I1048" i="8"/>
  <c r="H1048" i="8"/>
  <c r="G1048" i="8"/>
  <c r="L1048" i="8" s="1"/>
  <c r="F1048" i="8"/>
  <c r="E1048" i="8"/>
  <c r="D1048" i="8"/>
  <c r="C1048" i="8"/>
  <c r="B1048" i="8"/>
  <c r="A1048" i="8"/>
  <c r="M1047" i="8"/>
  <c r="K1047" i="8"/>
  <c r="J1047" i="8"/>
  <c r="I1047" i="8"/>
  <c r="H1047" i="8"/>
  <c r="G1047" i="8"/>
  <c r="L1047" i="8" s="1"/>
  <c r="F1047" i="8"/>
  <c r="E1047" i="8"/>
  <c r="D1047" i="8"/>
  <c r="C1047" i="8"/>
  <c r="B1047" i="8"/>
  <c r="A1047" i="8"/>
  <c r="M1046" i="8"/>
  <c r="K1046" i="8"/>
  <c r="J1046" i="8"/>
  <c r="I1046" i="8"/>
  <c r="H1046" i="8"/>
  <c r="G1046" i="8"/>
  <c r="L1046" i="8" s="1"/>
  <c r="F1046" i="8"/>
  <c r="E1046" i="8"/>
  <c r="D1046" i="8"/>
  <c r="C1046" i="8"/>
  <c r="B1046" i="8"/>
  <c r="A1046" i="8"/>
  <c r="M1045" i="8"/>
  <c r="L1045" i="8"/>
  <c r="K1045" i="8"/>
  <c r="J1045" i="8"/>
  <c r="I1045" i="8"/>
  <c r="H1045" i="8"/>
  <c r="G1045" i="8"/>
  <c r="F1045" i="8"/>
  <c r="E1045" i="8"/>
  <c r="D1045" i="8"/>
  <c r="C1045" i="8"/>
  <c r="B1045" i="8"/>
  <c r="A1045" i="8"/>
  <c r="M1044" i="8"/>
  <c r="K1044" i="8"/>
  <c r="J1044" i="8"/>
  <c r="I1044" i="8"/>
  <c r="H1044" i="8"/>
  <c r="G1044" i="8"/>
  <c r="L1044" i="8" s="1"/>
  <c r="F1044" i="8"/>
  <c r="E1044" i="8"/>
  <c r="D1044" i="8"/>
  <c r="C1044" i="8"/>
  <c r="B1044" i="8"/>
  <c r="A1044" i="8"/>
  <c r="M1043" i="8"/>
  <c r="K1043" i="8"/>
  <c r="J1043" i="8"/>
  <c r="I1043" i="8"/>
  <c r="H1043" i="8"/>
  <c r="G1043" i="8"/>
  <c r="L1043" i="8" s="1"/>
  <c r="F1043" i="8"/>
  <c r="E1043" i="8"/>
  <c r="D1043" i="8"/>
  <c r="C1043" i="8"/>
  <c r="B1043" i="8"/>
  <c r="A1043" i="8"/>
  <c r="M1042" i="8"/>
  <c r="K1042" i="8"/>
  <c r="J1042" i="8"/>
  <c r="I1042" i="8"/>
  <c r="H1042" i="8"/>
  <c r="G1042" i="8"/>
  <c r="L1042" i="8" s="1"/>
  <c r="F1042" i="8"/>
  <c r="E1042" i="8"/>
  <c r="D1042" i="8"/>
  <c r="C1042" i="8"/>
  <c r="B1042" i="8"/>
  <c r="A1042" i="8"/>
  <c r="M1041" i="8"/>
  <c r="L1041" i="8"/>
  <c r="K1041" i="8"/>
  <c r="J1041" i="8"/>
  <c r="I1041" i="8"/>
  <c r="H1041" i="8"/>
  <c r="G1041" i="8"/>
  <c r="F1041" i="8"/>
  <c r="E1041" i="8"/>
  <c r="D1041" i="8"/>
  <c r="C1041" i="8"/>
  <c r="B1041" i="8"/>
  <c r="A1041" i="8"/>
  <c r="M1040" i="8"/>
  <c r="K1040" i="8"/>
  <c r="J1040" i="8"/>
  <c r="I1040" i="8"/>
  <c r="H1040" i="8"/>
  <c r="G1040" i="8"/>
  <c r="L1040" i="8" s="1"/>
  <c r="F1040" i="8"/>
  <c r="E1040" i="8"/>
  <c r="D1040" i="8"/>
  <c r="C1040" i="8"/>
  <c r="B1040" i="8"/>
  <c r="A1040" i="8"/>
  <c r="M1039" i="8"/>
  <c r="K1039" i="8"/>
  <c r="J1039" i="8"/>
  <c r="I1039" i="8"/>
  <c r="H1039" i="8"/>
  <c r="G1039" i="8"/>
  <c r="L1039" i="8" s="1"/>
  <c r="F1039" i="8"/>
  <c r="E1039" i="8"/>
  <c r="D1039" i="8"/>
  <c r="C1039" i="8"/>
  <c r="B1039" i="8"/>
  <c r="A1039" i="8"/>
  <c r="M1038" i="8"/>
  <c r="K1038" i="8"/>
  <c r="J1038" i="8"/>
  <c r="I1038" i="8"/>
  <c r="H1038" i="8"/>
  <c r="G1038" i="8"/>
  <c r="L1038" i="8" s="1"/>
  <c r="F1038" i="8"/>
  <c r="E1038" i="8"/>
  <c r="D1038" i="8"/>
  <c r="C1038" i="8"/>
  <c r="B1038" i="8"/>
  <c r="A1038" i="8"/>
  <c r="M1037" i="8"/>
  <c r="L1037" i="8"/>
  <c r="K1037" i="8"/>
  <c r="J1037" i="8"/>
  <c r="I1037" i="8"/>
  <c r="H1037" i="8"/>
  <c r="G1037" i="8"/>
  <c r="F1037" i="8"/>
  <c r="E1037" i="8"/>
  <c r="D1037" i="8"/>
  <c r="C1037" i="8"/>
  <c r="B1037" i="8"/>
  <c r="A1037" i="8"/>
  <c r="M1036" i="8"/>
  <c r="K1036" i="8"/>
  <c r="J1036" i="8"/>
  <c r="I1036" i="8"/>
  <c r="H1036" i="8"/>
  <c r="G1036" i="8"/>
  <c r="L1036" i="8" s="1"/>
  <c r="F1036" i="8"/>
  <c r="E1036" i="8"/>
  <c r="D1036" i="8"/>
  <c r="C1036" i="8"/>
  <c r="B1036" i="8"/>
  <c r="A1036" i="8"/>
  <c r="M1035" i="8"/>
  <c r="K1035" i="8"/>
  <c r="J1035" i="8"/>
  <c r="I1035" i="8"/>
  <c r="H1035" i="8"/>
  <c r="G1035" i="8"/>
  <c r="L1035" i="8" s="1"/>
  <c r="F1035" i="8"/>
  <c r="E1035" i="8"/>
  <c r="D1035" i="8"/>
  <c r="C1035" i="8"/>
  <c r="B1035" i="8"/>
  <c r="A1035" i="8"/>
  <c r="M1034" i="8"/>
  <c r="K1034" i="8"/>
  <c r="J1034" i="8"/>
  <c r="I1034" i="8"/>
  <c r="H1034" i="8"/>
  <c r="G1034" i="8"/>
  <c r="L1034" i="8" s="1"/>
  <c r="F1034" i="8"/>
  <c r="E1034" i="8"/>
  <c r="D1034" i="8"/>
  <c r="C1034" i="8"/>
  <c r="B1034" i="8"/>
  <c r="A1034" i="8"/>
  <c r="M1033" i="8"/>
  <c r="L1033" i="8"/>
  <c r="K1033" i="8"/>
  <c r="J1033" i="8"/>
  <c r="I1033" i="8"/>
  <c r="H1033" i="8"/>
  <c r="G1033" i="8"/>
  <c r="F1033" i="8"/>
  <c r="E1033" i="8"/>
  <c r="D1033" i="8"/>
  <c r="C1033" i="8"/>
  <c r="B1033" i="8"/>
  <c r="A1033" i="8"/>
  <c r="M1032" i="8"/>
  <c r="K1032" i="8"/>
  <c r="J1032" i="8"/>
  <c r="I1032" i="8"/>
  <c r="H1032" i="8"/>
  <c r="G1032" i="8"/>
  <c r="L1032" i="8" s="1"/>
  <c r="F1032" i="8"/>
  <c r="E1032" i="8"/>
  <c r="D1032" i="8"/>
  <c r="C1032" i="8"/>
  <c r="B1032" i="8"/>
  <c r="A1032" i="8"/>
  <c r="M1031" i="8"/>
  <c r="K1031" i="8"/>
  <c r="J1031" i="8"/>
  <c r="I1031" i="8"/>
  <c r="H1031" i="8"/>
  <c r="G1031" i="8"/>
  <c r="L1031" i="8" s="1"/>
  <c r="F1031" i="8"/>
  <c r="E1031" i="8"/>
  <c r="D1031" i="8"/>
  <c r="C1031" i="8"/>
  <c r="B1031" i="8"/>
  <c r="A1031" i="8"/>
  <c r="M1030" i="8"/>
  <c r="K1030" i="8"/>
  <c r="J1030" i="8"/>
  <c r="I1030" i="8"/>
  <c r="H1030" i="8"/>
  <c r="G1030" i="8"/>
  <c r="L1030" i="8" s="1"/>
  <c r="F1030" i="8"/>
  <c r="E1030" i="8"/>
  <c r="D1030" i="8"/>
  <c r="C1030" i="8"/>
  <c r="B1030" i="8"/>
  <c r="A1030" i="8"/>
  <c r="M1029" i="8"/>
  <c r="L1029" i="8"/>
  <c r="K1029" i="8"/>
  <c r="J1029" i="8"/>
  <c r="I1029" i="8"/>
  <c r="H1029" i="8"/>
  <c r="G1029" i="8"/>
  <c r="F1029" i="8"/>
  <c r="E1029" i="8"/>
  <c r="D1029" i="8"/>
  <c r="C1029" i="8"/>
  <c r="B1029" i="8"/>
  <c r="A1029" i="8"/>
  <c r="M1028" i="8"/>
  <c r="K1028" i="8"/>
  <c r="J1028" i="8"/>
  <c r="I1028" i="8"/>
  <c r="H1028" i="8"/>
  <c r="G1028" i="8"/>
  <c r="L1028" i="8" s="1"/>
  <c r="F1028" i="8"/>
  <c r="E1028" i="8"/>
  <c r="D1028" i="8"/>
  <c r="C1028" i="8"/>
  <c r="B1028" i="8"/>
  <c r="A1028" i="8"/>
  <c r="M1027" i="8"/>
  <c r="K1027" i="8"/>
  <c r="J1027" i="8"/>
  <c r="I1027" i="8"/>
  <c r="H1027" i="8"/>
  <c r="G1027" i="8"/>
  <c r="L1027" i="8" s="1"/>
  <c r="F1027" i="8"/>
  <c r="E1027" i="8"/>
  <c r="D1027" i="8"/>
  <c r="C1027" i="8"/>
  <c r="B1027" i="8"/>
  <c r="A1027" i="8"/>
  <c r="M1026" i="8"/>
  <c r="K1026" i="8"/>
  <c r="J1026" i="8"/>
  <c r="I1026" i="8"/>
  <c r="H1026" i="8"/>
  <c r="G1026" i="8"/>
  <c r="L1026" i="8" s="1"/>
  <c r="F1026" i="8"/>
  <c r="E1026" i="8"/>
  <c r="D1026" i="8"/>
  <c r="C1026" i="8"/>
  <c r="B1026" i="8"/>
  <c r="A1026" i="8"/>
  <c r="M1025" i="8"/>
  <c r="L1025" i="8"/>
  <c r="K1025" i="8"/>
  <c r="J1025" i="8"/>
  <c r="I1025" i="8"/>
  <c r="H1025" i="8"/>
  <c r="G1025" i="8"/>
  <c r="F1025" i="8"/>
  <c r="E1025" i="8"/>
  <c r="D1025" i="8"/>
  <c r="C1025" i="8"/>
  <c r="B1025" i="8"/>
  <c r="A1025" i="8"/>
  <c r="M1024" i="8"/>
  <c r="K1024" i="8"/>
  <c r="J1024" i="8"/>
  <c r="I1024" i="8"/>
  <c r="H1024" i="8"/>
  <c r="G1024" i="8"/>
  <c r="L1024" i="8" s="1"/>
  <c r="F1024" i="8"/>
  <c r="E1024" i="8"/>
  <c r="D1024" i="8"/>
  <c r="C1024" i="8"/>
  <c r="B1024" i="8"/>
  <c r="A1024" i="8"/>
  <c r="M1023" i="8"/>
  <c r="K1023" i="8"/>
  <c r="J1023" i="8"/>
  <c r="I1023" i="8"/>
  <c r="H1023" i="8"/>
  <c r="G1023" i="8"/>
  <c r="L1023" i="8" s="1"/>
  <c r="F1023" i="8"/>
  <c r="E1023" i="8"/>
  <c r="D1023" i="8"/>
  <c r="C1023" i="8"/>
  <c r="B1023" i="8"/>
  <c r="A1023" i="8"/>
  <c r="M1022" i="8"/>
  <c r="K1022" i="8"/>
  <c r="J1022" i="8"/>
  <c r="I1022" i="8"/>
  <c r="H1022" i="8"/>
  <c r="G1022" i="8"/>
  <c r="L1022" i="8" s="1"/>
  <c r="F1022" i="8"/>
  <c r="E1022" i="8"/>
  <c r="D1022" i="8"/>
  <c r="C1022" i="8"/>
  <c r="B1022" i="8"/>
  <c r="A1022" i="8"/>
  <c r="M1021" i="8"/>
  <c r="L1021" i="8"/>
  <c r="K1021" i="8"/>
  <c r="J1021" i="8"/>
  <c r="I1021" i="8"/>
  <c r="H1021" i="8"/>
  <c r="G1021" i="8"/>
  <c r="F1021" i="8"/>
  <c r="E1021" i="8"/>
  <c r="D1021" i="8"/>
  <c r="C1021" i="8"/>
  <c r="B1021" i="8"/>
  <c r="A1021" i="8"/>
  <c r="M1020" i="8"/>
  <c r="K1020" i="8"/>
  <c r="J1020" i="8"/>
  <c r="I1020" i="8"/>
  <c r="H1020" i="8"/>
  <c r="G1020" i="8"/>
  <c r="L1020" i="8" s="1"/>
  <c r="F1020" i="8"/>
  <c r="E1020" i="8"/>
  <c r="D1020" i="8"/>
  <c r="C1020" i="8"/>
  <c r="B1020" i="8"/>
  <c r="A1020" i="8"/>
  <c r="M1019" i="8"/>
  <c r="K1019" i="8"/>
  <c r="J1019" i="8"/>
  <c r="I1019" i="8"/>
  <c r="H1019" i="8"/>
  <c r="G1019" i="8"/>
  <c r="L1019" i="8" s="1"/>
  <c r="F1019" i="8"/>
  <c r="E1019" i="8"/>
  <c r="D1019" i="8"/>
  <c r="C1019" i="8"/>
  <c r="B1019" i="8"/>
  <c r="A1019" i="8"/>
  <c r="M1018" i="8"/>
  <c r="K1018" i="8"/>
  <c r="J1018" i="8"/>
  <c r="I1018" i="8"/>
  <c r="H1018" i="8"/>
  <c r="G1018" i="8"/>
  <c r="L1018" i="8" s="1"/>
  <c r="F1018" i="8"/>
  <c r="E1018" i="8"/>
  <c r="D1018" i="8"/>
  <c r="C1018" i="8"/>
  <c r="B1018" i="8"/>
  <c r="A1018" i="8"/>
  <c r="M1017" i="8"/>
  <c r="L1017" i="8"/>
  <c r="K1017" i="8"/>
  <c r="J1017" i="8"/>
  <c r="I1017" i="8"/>
  <c r="H1017" i="8"/>
  <c r="G1017" i="8"/>
  <c r="F1017" i="8"/>
  <c r="E1017" i="8"/>
  <c r="D1017" i="8"/>
  <c r="C1017" i="8"/>
  <c r="B1017" i="8"/>
  <c r="A1017" i="8"/>
  <c r="M1016" i="8"/>
  <c r="K1016" i="8"/>
  <c r="J1016" i="8"/>
  <c r="I1016" i="8"/>
  <c r="H1016" i="8"/>
  <c r="G1016" i="8"/>
  <c r="L1016" i="8" s="1"/>
  <c r="F1016" i="8"/>
  <c r="E1016" i="8"/>
  <c r="D1016" i="8"/>
  <c r="C1016" i="8"/>
  <c r="B1016" i="8"/>
  <c r="A1016" i="8"/>
  <c r="M1015" i="8"/>
  <c r="K1015" i="8"/>
  <c r="J1015" i="8"/>
  <c r="I1015" i="8"/>
  <c r="H1015" i="8"/>
  <c r="G1015" i="8"/>
  <c r="L1015" i="8" s="1"/>
  <c r="F1015" i="8"/>
  <c r="E1015" i="8"/>
  <c r="D1015" i="8"/>
  <c r="C1015" i="8"/>
  <c r="B1015" i="8"/>
  <c r="A1015" i="8"/>
  <c r="M1014" i="8"/>
  <c r="K1014" i="8"/>
  <c r="J1014" i="8"/>
  <c r="I1014" i="8"/>
  <c r="H1014" i="8"/>
  <c r="G1014" i="8"/>
  <c r="L1014" i="8" s="1"/>
  <c r="F1014" i="8"/>
  <c r="E1014" i="8"/>
  <c r="D1014" i="8"/>
  <c r="C1014" i="8"/>
  <c r="B1014" i="8"/>
  <c r="A1014" i="8"/>
  <c r="M1013" i="8"/>
  <c r="L1013" i="8"/>
  <c r="K1013" i="8"/>
  <c r="J1013" i="8"/>
  <c r="I1013" i="8"/>
  <c r="H1013" i="8"/>
  <c r="G1013" i="8"/>
  <c r="F1013" i="8"/>
  <c r="E1013" i="8"/>
  <c r="D1013" i="8"/>
  <c r="C1013" i="8"/>
  <c r="B1013" i="8"/>
  <c r="A1013" i="8"/>
  <c r="M1012" i="8"/>
  <c r="K1012" i="8"/>
  <c r="J1012" i="8"/>
  <c r="I1012" i="8"/>
  <c r="H1012" i="8"/>
  <c r="G1012" i="8"/>
  <c r="L1012" i="8" s="1"/>
  <c r="F1012" i="8"/>
  <c r="E1012" i="8"/>
  <c r="D1012" i="8"/>
  <c r="C1012" i="8"/>
  <c r="B1012" i="8"/>
  <c r="A1012" i="8"/>
  <c r="M1011" i="8"/>
  <c r="K1011" i="8"/>
  <c r="J1011" i="8"/>
  <c r="I1011" i="8"/>
  <c r="H1011" i="8"/>
  <c r="G1011" i="8"/>
  <c r="L1011" i="8" s="1"/>
  <c r="F1011" i="8"/>
  <c r="E1011" i="8"/>
  <c r="D1011" i="8"/>
  <c r="C1011" i="8"/>
  <c r="B1011" i="8"/>
  <c r="A1011" i="8"/>
  <c r="M1010" i="8"/>
  <c r="K1010" i="8"/>
  <c r="J1010" i="8"/>
  <c r="I1010" i="8"/>
  <c r="H1010" i="8"/>
  <c r="G1010" i="8"/>
  <c r="L1010" i="8" s="1"/>
  <c r="F1010" i="8"/>
  <c r="E1010" i="8"/>
  <c r="D1010" i="8"/>
  <c r="C1010" i="8"/>
  <c r="B1010" i="8"/>
  <c r="A1010" i="8"/>
  <c r="M1009" i="8"/>
  <c r="L1009" i="8"/>
  <c r="K1009" i="8"/>
  <c r="J1009" i="8"/>
  <c r="I1009" i="8"/>
  <c r="H1009" i="8"/>
  <c r="G1009" i="8"/>
  <c r="F1009" i="8"/>
  <c r="E1009" i="8"/>
  <c r="D1009" i="8"/>
  <c r="C1009" i="8"/>
  <c r="B1009" i="8"/>
  <c r="A1009" i="8"/>
  <c r="M1008" i="8"/>
  <c r="K1008" i="8"/>
  <c r="J1008" i="8"/>
  <c r="I1008" i="8"/>
  <c r="H1008" i="8"/>
  <c r="G1008" i="8"/>
  <c r="L1008" i="8" s="1"/>
  <c r="F1008" i="8"/>
  <c r="E1008" i="8"/>
  <c r="D1008" i="8"/>
  <c r="C1008" i="8"/>
  <c r="B1008" i="8"/>
  <c r="A1008" i="8"/>
  <c r="M1007" i="8"/>
  <c r="K1007" i="8"/>
  <c r="J1007" i="8"/>
  <c r="I1007" i="8"/>
  <c r="H1007" i="8"/>
  <c r="G1007" i="8"/>
  <c r="L1007" i="8" s="1"/>
  <c r="F1007" i="8"/>
  <c r="E1007" i="8"/>
  <c r="D1007" i="8"/>
  <c r="C1007" i="8"/>
  <c r="B1007" i="8"/>
  <c r="A1007" i="8"/>
  <c r="M1006" i="8"/>
  <c r="K1006" i="8"/>
  <c r="J1006" i="8"/>
  <c r="I1006" i="8"/>
  <c r="H1006" i="8"/>
  <c r="G1006" i="8"/>
  <c r="L1006" i="8" s="1"/>
  <c r="F1006" i="8"/>
  <c r="E1006" i="8"/>
  <c r="D1006" i="8"/>
  <c r="C1006" i="8"/>
  <c r="B1006" i="8"/>
  <c r="A1006" i="8"/>
  <c r="M1005" i="8"/>
  <c r="L1005" i="8"/>
  <c r="K1005" i="8"/>
  <c r="J1005" i="8"/>
  <c r="I1005" i="8"/>
  <c r="H1005" i="8"/>
  <c r="G1005" i="8"/>
  <c r="F1005" i="8"/>
  <c r="E1005" i="8"/>
  <c r="D1005" i="8"/>
  <c r="C1005" i="8"/>
  <c r="B1005" i="8"/>
  <c r="A1005" i="8"/>
  <c r="M1004" i="8"/>
  <c r="K1004" i="8"/>
  <c r="J1004" i="8"/>
  <c r="I1004" i="8"/>
  <c r="H1004" i="8"/>
  <c r="G1004" i="8"/>
  <c r="L1004" i="8" s="1"/>
  <c r="F1004" i="8"/>
  <c r="E1004" i="8"/>
  <c r="D1004" i="8"/>
  <c r="C1004" i="8"/>
  <c r="B1004" i="8"/>
  <c r="A1004" i="8"/>
  <c r="M1003" i="8"/>
  <c r="K1003" i="8"/>
  <c r="J1003" i="8"/>
  <c r="I1003" i="8"/>
  <c r="H1003" i="8"/>
  <c r="G1003" i="8"/>
  <c r="L1003" i="8" s="1"/>
  <c r="F1003" i="8"/>
  <c r="E1003" i="8"/>
  <c r="D1003" i="8"/>
  <c r="C1003" i="8"/>
  <c r="B1003" i="8"/>
  <c r="A1003" i="8"/>
  <c r="M1002" i="8"/>
  <c r="K1002" i="8"/>
  <c r="J1002" i="8"/>
  <c r="I1002" i="8"/>
  <c r="H1002" i="8"/>
  <c r="G1002" i="8"/>
  <c r="L1002" i="8" s="1"/>
  <c r="F1002" i="8"/>
  <c r="E1002" i="8"/>
  <c r="D1002" i="8"/>
  <c r="C1002" i="8"/>
  <c r="B1002" i="8"/>
  <c r="A1002" i="8"/>
  <c r="M1001" i="8"/>
  <c r="L1001" i="8"/>
  <c r="K1001" i="8"/>
  <c r="J1001" i="8"/>
  <c r="I1001" i="8"/>
  <c r="H1001" i="8"/>
  <c r="G1001" i="8"/>
  <c r="F1001" i="8"/>
  <c r="E1001" i="8"/>
  <c r="D1001" i="8"/>
  <c r="C1001" i="8"/>
  <c r="B1001" i="8"/>
  <c r="A1001" i="8"/>
  <c r="M1000" i="8"/>
  <c r="K1000" i="8"/>
  <c r="J1000" i="8"/>
  <c r="I1000" i="8"/>
  <c r="H1000" i="8"/>
  <c r="G1000" i="8"/>
  <c r="L1000" i="8" s="1"/>
  <c r="F1000" i="8"/>
  <c r="E1000" i="8"/>
  <c r="D1000" i="8"/>
  <c r="C1000" i="8"/>
  <c r="B1000" i="8"/>
  <c r="A1000" i="8"/>
  <c r="M999" i="8"/>
  <c r="K999" i="8"/>
  <c r="J999" i="8"/>
  <c r="I999" i="8"/>
  <c r="H999" i="8"/>
  <c r="G999" i="8"/>
  <c r="L999" i="8" s="1"/>
  <c r="F999" i="8"/>
  <c r="E999" i="8"/>
  <c r="D999" i="8"/>
  <c r="C999" i="8"/>
  <c r="B999" i="8"/>
  <c r="A999" i="8"/>
  <c r="M998" i="8"/>
  <c r="K998" i="8"/>
  <c r="J998" i="8"/>
  <c r="I998" i="8"/>
  <c r="H998" i="8"/>
  <c r="G998" i="8"/>
  <c r="L998" i="8" s="1"/>
  <c r="F998" i="8"/>
  <c r="E998" i="8"/>
  <c r="D998" i="8"/>
  <c r="C998" i="8"/>
  <c r="B998" i="8"/>
  <c r="A998" i="8"/>
  <c r="M997" i="8"/>
  <c r="L997" i="8"/>
  <c r="K997" i="8"/>
  <c r="J997" i="8"/>
  <c r="I997" i="8"/>
  <c r="H997" i="8"/>
  <c r="G997" i="8"/>
  <c r="F997" i="8"/>
  <c r="E997" i="8"/>
  <c r="D997" i="8"/>
  <c r="C997" i="8"/>
  <c r="B997" i="8"/>
  <c r="A997" i="8"/>
  <c r="M996" i="8"/>
  <c r="K996" i="8"/>
  <c r="J996" i="8"/>
  <c r="I996" i="8"/>
  <c r="H996" i="8"/>
  <c r="G996" i="8"/>
  <c r="L996" i="8" s="1"/>
  <c r="F996" i="8"/>
  <c r="E996" i="8"/>
  <c r="D996" i="8"/>
  <c r="C996" i="8"/>
  <c r="B996" i="8"/>
  <c r="A996" i="8"/>
  <c r="M995" i="8"/>
  <c r="K995" i="8"/>
  <c r="J995" i="8"/>
  <c r="I995" i="8"/>
  <c r="H995" i="8"/>
  <c r="G995" i="8"/>
  <c r="L995" i="8" s="1"/>
  <c r="F995" i="8"/>
  <c r="E995" i="8"/>
  <c r="D995" i="8"/>
  <c r="C995" i="8"/>
  <c r="B995" i="8"/>
  <c r="A995" i="8"/>
  <c r="M994" i="8"/>
  <c r="K994" i="8"/>
  <c r="J994" i="8"/>
  <c r="I994" i="8"/>
  <c r="H994" i="8"/>
  <c r="G994" i="8"/>
  <c r="L994" i="8" s="1"/>
  <c r="F994" i="8"/>
  <c r="E994" i="8"/>
  <c r="D994" i="8"/>
  <c r="C994" i="8"/>
  <c r="B994" i="8"/>
  <c r="A994" i="8"/>
  <c r="M993" i="8"/>
  <c r="L993" i="8"/>
  <c r="K993" i="8"/>
  <c r="J993" i="8"/>
  <c r="I993" i="8"/>
  <c r="H993" i="8"/>
  <c r="G993" i="8"/>
  <c r="F993" i="8"/>
  <c r="E993" i="8"/>
  <c r="D993" i="8"/>
  <c r="C993" i="8"/>
  <c r="B993" i="8"/>
  <c r="A993" i="8"/>
  <c r="M992" i="8"/>
  <c r="K992" i="8"/>
  <c r="J992" i="8"/>
  <c r="I992" i="8"/>
  <c r="H992" i="8"/>
  <c r="G992" i="8"/>
  <c r="L992" i="8" s="1"/>
  <c r="F992" i="8"/>
  <c r="E992" i="8"/>
  <c r="D992" i="8"/>
  <c r="C992" i="8"/>
  <c r="B992" i="8"/>
  <c r="A992" i="8"/>
  <c r="M991" i="8"/>
  <c r="K991" i="8"/>
  <c r="J991" i="8"/>
  <c r="I991" i="8"/>
  <c r="H991" i="8"/>
  <c r="G991" i="8"/>
  <c r="L991" i="8" s="1"/>
  <c r="F991" i="8"/>
  <c r="E991" i="8"/>
  <c r="D991" i="8"/>
  <c r="C991" i="8"/>
  <c r="B991" i="8"/>
  <c r="A991" i="8"/>
  <c r="M990" i="8"/>
  <c r="K990" i="8"/>
  <c r="J990" i="8"/>
  <c r="I990" i="8"/>
  <c r="H990" i="8"/>
  <c r="G990" i="8"/>
  <c r="L990" i="8" s="1"/>
  <c r="F990" i="8"/>
  <c r="E990" i="8"/>
  <c r="D990" i="8"/>
  <c r="C990" i="8"/>
  <c r="B990" i="8"/>
  <c r="A990" i="8"/>
  <c r="M989" i="8"/>
  <c r="L989" i="8"/>
  <c r="K989" i="8"/>
  <c r="J989" i="8"/>
  <c r="I989" i="8"/>
  <c r="H989" i="8"/>
  <c r="G989" i="8"/>
  <c r="F989" i="8"/>
  <c r="E989" i="8"/>
  <c r="D989" i="8"/>
  <c r="C989" i="8"/>
  <c r="B989" i="8"/>
  <c r="A989" i="8"/>
  <c r="M988" i="8"/>
  <c r="K988" i="8"/>
  <c r="J988" i="8"/>
  <c r="I988" i="8"/>
  <c r="H988" i="8"/>
  <c r="G988" i="8"/>
  <c r="L988" i="8" s="1"/>
  <c r="F988" i="8"/>
  <c r="E988" i="8"/>
  <c r="D988" i="8"/>
  <c r="C988" i="8"/>
  <c r="B988" i="8"/>
  <c r="A988" i="8"/>
  <c r="M987" i="8"/>
  <c r="K987" i="8"/>
  <c r="J987" i="8"/>
  <c r="I987" i="8"/>
  <c r="H987" i="8"/>
  <c r="G987" i="8"/>
  <c r="L987" i="8" s="1"/>
  <c r="F987" i="8"/>
  <c r="E987" i="8"/>
  <c r="D987" i="8"/>
  <c r="C987" i="8"/>
  <c r="B987" i="8"/>
  <c r="A987" i="8"/>
  <c r="M986" i="8"/>
  <c r="K986" i="8"/>
  <c r="J986" i="8"/>
  <c r="I986" i="8"/>
  <c r="H986" i="8"/>
  <c r="G986" i="8"/>
  <c r="L986" i="8" s="1"/>
  <c r="F986" i="8"/>
  <c r="E986" i="8"/>
  <c r="D986" i="8"/>
  <c r="C986" i="8"/>
  <c r="B986" i="8"/>
  <c r="A986" i="8"/>
  <c r="M985" i="8"/>
  <c r="L985" i="8"/>
  <c r="K985" i="8"/>
  <c r="J985" i="8"/>
  <c r="I985" i="8"/>
  <c r="H985" i="8"/>
  <c r="G985" i="8"/>
  <c r="F985" i="8"/>
  <c r="E985" i="8"/>
  <c r="D985" i="8"/>
  <c r="C985" i="8"/>
  <c r="B985" i="8"/>
  <c r="A985" i="8"/>
  <c r="M984" i="8"/>
  <c r="K984" i="8"/>
  <c r="J984" i="8"/>
  <c r="I984" i="8"/>
  <c r="H984" i="8"/>
  <c r="G984" i="8"/>
  <c r="L984" i="8" s="1"/>
  <c r="F984" i="8"/>
  <c r="E984" i="8"/>
  <c r="D984" i="8"/>
  <c r="C984" i="8"/>
  <c r="B984" i="8"/>
  <c r="A984" i="8"/>
  <c r="M983" i="8"/>
  <c r="K983" i="8"/>
  <c r="J983" i="8"/>
  <c r="I983" i="8"/>
  <c r="H983" i="8"/>
  <c r="G983" i="8"/>
  <c r="L983" i="8" s="1"/>
  <c r="F983" i="8"/>
  <c r="E983" i="8"/>
  <c r="D983" i="8"/>
  <c r="C983" i="8"/>
  <c r="B983" i="8"/>
  <c r="A983" i="8"/>
  <c r="M982" i="8"/>
  <c r="K982" i="8"/>
  <c r="J982" i="8"/>
  <c r="I982" i="8"/>
  <c r="H982" i="8"/>
  <c r="G982" i="8"/>
  <c r="L982" i="8" s="1"/>
  <c r="F982" i="8"/>
  <c r="E982" i="8"/>
  <c r="D982" i="8"/>
  <c r="C982" i="8"/>
  <c r="B982" i="8"/>
  <c r="A982" i="8"/>
  <c r="M981" i="8"/>
  <c r="L981" i="8"/>
  <c r="K981" i="8"/>
  <c r="J981" i="8"/>
  <c r="I981" i="8"/>
  <c r="H981" i="8"/>
  <c r="G981" i="8"/>
  <c r="F981" i="8"/>
  <c r="E981" i="8"/>
  <c r="D981" i="8"/>
  <c r="C981" i="8"/>
  <c r="B981" i="8"/>
  <c r="A981" i="8"/>
  <c r="M980" i="8"/>
  <c r="K980" i="8"/>
  <c r="J980" i="8"/>
  <c r="I980" i="8"/>
  <c r="H980" i="8"/>
  <c r="G980" i="8"/>
  <c r="L980" i="8" s="1"/>
  <c r="F980" i="8"/>
  <c r="E980" i="8"/>
  <c r="D980" i="8"/>
  <c r="C980" i="8"/>
  <c r="B980" i="8"/>
  <c r="A980" i="8"/>
  <c r="M979" i="8"/>
  <c r="K979" i="8"/>
  <c r="J979" i="8"/>
  <c r="I979" i="8"/>
  <c r="H979" i="8"/>
  <c r="G979" i="8"/>
  <c r="L979" i="8" s="1"/>
  <c r="F979" i="8"/>
  <c r="E979" i="8"/>
  <c r="D979" i="8"/>
  <c r="C979" i="8"/>
  <c r="B979" i="8"/>
  <c r="A979" i="8"/>
  <c r="M978" i="8"/>
  <c r="K978" i="8"/>
  <c r="J978" i="8"/>
  <c r="I978" i="8"/>
  <c r="H978" i="8"/>
  <c r="G978" i="8"/>
  <c r="L978" i="8" s="1"/>
  <c r="F978" i="8"/>
  <c r="E978" i="8"/>
  <c r="D978" i="8"/>
  <c r="C978" i="8"/>
  <c r="B978" i="8"/>
  <c r="A978" i="8"/>
  <c r="M977" i="8"/>
  <c r="L977" i="8"/>
  <c r="K977" i="8"/>
  <c r="J977" i="8"/>
  <c r="I977" i="8"/>
  <c r="H977" i="8"/>
  <c r="G977" i="8"/>
  <c r="F977" i="8"/>
  <c r="E977" i="8"/>
  <c r="D977" i="8"/>
  <c r="C977" i="8"/>
  <c r="B977" i="8"/>
  <c r="A977" i="8"/>
  <c r="M976" i="8"/>
  <c r="K976" i="8"/>
  <c r="J976" i="8"/>
  <c r="I976" i="8"/>
  <c r="H976" i="8"/>
  <c r="G976" i="8"/>
  <c r="L976" i="8" s="1"/>
  <c r="F976" i="8"/>
  <c r="E976" i="8"/>
  <c r="D976" i="8"/>
  <c r="C976" i="8"/>
  <c r="B976" i="8"/>
  <c r="A976" i="8"/>
  <c r="M975" i="8"/>
  <c r="K975" i="8"/>
  <c r="J975" i="8"/>
  <c r="I975" i="8"/>
  <c r="H975" i="8"/>
  <c r="G975" i="8"/>
  <c r="L975" i="8" s="1"/>
  <c r="F975" i="8"/>
  <c r="E975" i="8"/>
  <c r="D975" i="8"/>
  <c r="C975" i="8"/>
  <c r="B975" i="8"/>
  <c r="A975" i="8"/>
  <c r="M974" i="8"/>
  <c r="K974" i="8"/>
  <c r="J974" i="8"/>
  <c r="I974" i="8"/>
  <c r="H974" i="8"/>
  <c r="G974" i="8"/>
  <c r="L974" i="8" s="1"/>
  <c r="F974" i="8"/>
  <c r="E974" i="8"/>
  <c r="D974" i="8"/>
  <c r="C974" i="8"/>
  <c r="B974" i="8"/>
  <c r="A974" i="8"/>
  <c r="M973" i="8"/>
  <c r="L973" i="8"/>
  <c r="K973" i="8"/>
  <c r="J973" i="8"/>
  <c r="I973" i="8"/>
  <c r="H973" i="8"/>
  <c r="G973" i="8"/>
  <c r="F973" i="8"/>
  <c r="E973" i="8"/>
  <c r="D973" i="8"/>
  <c r="C973" i="8"/>
  <c r="B973" i="8"/>
  <c r="A973" i="8"/>
  <c r="M972" i="8"/>
  <c r="K972" i="8"/>
  <c r="J972" i="8"/>
  <c r="I972" i="8"/>
  <c r="H972" i="8"/>
  <c r="G972" i="8"/>
  <c r="L972" i="8" s="1"/>
  <c r="F972" i="8"/>
  <c r="E972" i="8"/>
  <c r="D972" i="8"/>
  <c r="C972" i="8"/>
  <c r="B972" i="8"/>
  <c r="A972" i="8"/>
  <c r="M971" i="8"/>
  <c r="K971" i="8"/>
  <c r="J971" i="8"/>
  <c r="I971" i="8"/>
  <c r="H971" i="8"/>
  <c r="G971" i="8"/>
  <c r="L971" i="8" s="1"/>
  <c r="F971" i="8"/>
  <c r="E971" i="8"/>
  <c r="D971" i="8"/>
  <c r="C971" i="8"/>
  <c r="B971" i="8"/>
  <c r="A971" i="8"/>
  <c r="M970" i="8"/>
  <c r="K970" i="8"/>
  <c r="J970" i="8"/>
  <c r="I970" i="8"/>
  <c r="H970" i="8"/>
  <c r="G970" i="8"/>
  <c r="L970" i="8" s="1"/>
  <c r="F970" i="8"/>
  <c r="E970" i="8"/>
  <c r="D970" i="8"/>
  <c r="C970" i="8"/>
  <c r="B970" i="8"/>
  <c r="A970" i="8"/>
  <c r="M969" i="8"/>
  <c r="L969" i="8"/>
  <c r="K969" i="8"/>
  <c r="J969" i="8"/>
  <c r="I969" i="8"/>
  <c r="H969" i="8"/>
  <c r="G969" i="8"/>
  <c r="F969" i="8"/>
  <c r="E969" i="8"/>
  <c r="D969" i="8"/>
  <c r="C969" i="8"/>
  <c r="B969" i="8"/>
  <c r="A969" i="8"/>
  <c r="M968" i="8"/>
  <c r="K968" i="8"/>
  <c r="J968" i="8"/>
  <c r="I968" i="8"/>
  <c r="H968" i="8"/>
  <c r="G968" i="8"/>
  <c r="L968" i="8" s="1"/>
  <c r="F968" i="8"/>
  <c r="E968" i="8"/>
  <c r="D968" i="8"/>
  <c r="C968" i="8"/>
  <c r="B968" i="8"/>
  <c r="A968" i="8"/>
  <c r="M967" i="8"/>
  <c r="K967" i="8"/>
  <c r="J967" i="8"/>
  <c r="I967" i="8"/>
  <c r="H967" i="8"/>
  <c r="G967" i="8"/>
  <c r="L967" i="8" s="1"/>
  <c r="F967" i="8"/>
  <c r="E967" i="8"/>
  <c r="D967" i="8"/>
  <c r="C967" i="8"/>
  <c r="B967" i="8"/>
  <c r="A967" i="8"/>
  <c r="M966" i="8"/>
  <c r="K966" i="8"/>
  <c r="J966" i="8"/>
  <c r="I966" i="8"/>
  <c r="H966" i="8"/>
  <c r="G966" i="8"/>
  <c r="L966" i="8" s="1"/>
  <c r="F966" i="8"/>
  <c r="E966" i="8"/>
  <c r="D966" i="8"/>
  <c r="C966" i="8"/>
  <c r="B966" i="8"/>
  <c r="A966" i="8"/>
  <c r="M965" i="8"/>
  <c r="L965" i="8"/>
  <c r="K965" i="8"/>
  <c r="J965" i="8"/>
  <c r="I965" i="8"/>
  <c r="H965" i="8"/>
  <c r="G965" i="8"/>
  <c r="F965" i="8"/>
  <c r="E965" i="8"/>
  <c r="D965" i="8"/>
  <c r="C965" i="8"/>
  <c r="B965" i="8"/>
  <c r="A965" i="8"/>
  <c r="M964" i="8"/>
  <c r="K964" i="8"/>
  <c r="J964" i="8"/>
  <c r="I964" i="8"/>
  <c r="H964" i="8"/>
  <c r="G964" i="8"/>
  <c r="L964" i="8" s="1"/>
  <c r="F964" i="8"/>
  <c r="E964" i="8"/>
  <c r="D964" i="8"/>
  <c r="C964" i="8"/>
  <c r="B964" i="8"/>
  <c r="A964" i="8"/>
  <c r="M963" i="8"/>
  <c r="K963" i="8"/>
  <c r="J963" i="8"/>
  <c r="I963" i="8"/>
  <c r="H963" i="8"/>
  <c r="G963" i="8"/>
  <c r="L963" i="8" s="1"/>
  <c r="F963" i="8"/>
  <c r="E963" i="8"/>
  <c r="D963" i="8"/>
  <c r="C963" i="8"/>
  <c r="B963" i="8"/>
  <c r="A963" i="8"/>
  <c r="M962" i="8"/>
  <c r="K962" i="8"/>
  <c r="J962" i="8"/>
  <c r="I962" i="8"/>
  <c r="H962" i="8"/>
  <c r="G962" i="8"/>
  <c r="L962" i="8" s="1"/>
  <c r="F962" i="8"/>
  <c r="E962" i="8"/>
  <c r="D962" i="8"/>
  <c r="C962" i="8"/>
  <c r="B962" i="8"/>
  <c r="A962" i="8"/>
  <c r="M961" i="8"/>
  <c r="L961" i="8"/>
  <c r="K961" i="8"/>
  <c r="J961" i="8"/>
  <c r="I961" i="8"/>
  <c r="H961" i="8"/>
  <c r="G961" i="8"/>
  <c r="F961" i="8"/>
  <c r="E961" i="8"/>
  <c r="D961" i="8"/>
  <c r="C961" i="8"/>
  <c r="B961" i="8"/>
  <c r="A961" i="8"/>
  <c r="M960" i="8"/>
  <c r="K960" i="8"/>
  <c r="J960" i="8"/>
  <c r="I960" i="8"/>
  <c r="H960" i="8"/>
  <c r="G960" i="8"/>
  <c r="L960" i="8" s="1"/>
  <c r="F960" i="8"/>
  <c r="E960" i="8"/>
  <c r="D960" i="8"/>
  <c r="C960" i="8"/>
  <c r="B960" i="8"/>
  <c r="A960" i="8"/>
  <c r="M959" i="8"/>
  <c r="K959" i="8"/>
  <c r="J959" i="8"/>
  <c r="I959" i="8"/>
  <c r="H959" i="8"/>
  <c r="G959" i="8"/>
  <c r="L959" i="8" s="1"/>
  <c r="F959" i="8"/>
  <c r="E959" i="8"/>
  <c r="D959" i="8"/>
  <c r="C959" i="8"/>
  <c r="B959" i="8"/>
  <c r="A959" i="8"/>
  <c r="M958" i="8"/>
  <c r="K958" i="8"/>
  <c r="J958" i="8"/>
  <c r="I958" i="8"/>
  <c r="H958" i="8"/>
  <c r="G958" i="8"/>
  <c r="L958" i="8" s="1"/>
  <c r="F958" i="8"/>
  <c r="E958" i="8"/>
  <c r="D958" i="8"/>
  <c r="C958" i="8"/>
  <c r="B958" i="8"/>
  <c r="A958" i="8"/>
  <c r="M957" i="8"/>
  <c r="L957" i="8"/>
  <c r="K957" i="8"/>
  <c r="J957" i="8"/>
  <c r="I957" i="8"/>
  <c r="H957" i="8"/>
  <c r="G957" i="8"/>
  <c r="F957" i="8"/>
  <c r="E957" i="8"/>
  <c r="D957" i="8"/>
  <c r="C957" i="8"/>
  <c r="B957" i="8"/>
  <c r="A957" i="8"/>
  <c r="M956" i="8"/>
  <c r="K956" i="8"/>
  <c r="J956" i="8"/>
  <c r="I956" i="8"/>
  <c r="H956" i="8"/>
  <c r="G956" i="8"/>
  <c r="L956" i="8" s="1"/>
  <c r="F956" i="8"/>
  <c r="E956" i="8"/>
  <c r="D956" i="8"/>
  <c r="C956" i="8"/>
  <c r="B956" i="8"/>
  <c r="A956" i="8"/>
  <c r="M955" i="8"/>
  <c r="K955" i="8"/>
  <c r="J955" i="8"/>
  <c r="I955" i="8"/>
  <c r="H955" i="8"/>
  <c r="G955" i="8"/>
  <c r="L955" i="8" s="1"/>
  <c r="F955" i="8"/>
  <c r="E955" i="8"/>
  <c r="D955" i="8"/>
  <c r="C955" i="8"/>
  <c r="B955" i="8"/>
  <c r="A955" i="8"/>
  <c r="M954" i="8"/>
  <c r="K954" i="8"/>
  <c r="J954" i="8"/>
  <c r="I954" i="8"/>
  <c r="H954" i="8"/>
  <c r="G954" i="8"/>
  <c r="L954" i="8" s="1"/>
  <c r="F954" i="8"/>
  <c r="E954" i="8"/>
  <c r="D954" i="8"/>
  <c r="C954" i="8"/>
  <c r="B954" i="8"/>
  <c r="A954" i="8"/>
  <c r="M953" i="8"/>
  <c r="L953" i="8"/>
  <c r="K953" i="8"/>
  <c r="J953" i="8"/>
  <c r="I953" i="8"/>
  <c r="H953" i="8"/>
  <c r="G953" i="8"/>
  <c r="F953" i="8"/>
  <c r="E953" i="8"/>
  <c r="D953" i="8"/>
  <c r="C953" i="8"/>
  <c r="B953" i="8"/>
  <c r="A953" i="8"/>
  <c r="M952" i="8"/>
  <c r="K952" i="8"/>
  <c r="J952" i="8"/>
  <c r="I952" i="8"/>
  <c r="H952" i="8"/>
  <c r="G952" i="8"/>
  <c r="L952" i="8" s="1"/>
  <c r="F952" i="8"/>
  <c r="E952" i="8"/>
  <c r="D952" i="8"/>
  <c r="C952" i="8"/>
  <c r="B952" i="8"/>
  <c r="A952" i="8"/>
  <c r="M951" i="8"/>
  <c r="K951" i="8"/>
  <c r="J951" i="8"/>
  <c r="I951" i="8"/>
  <c r="H951" i="8"/>
  <c r="G951" i="8"/>
  <c r="L951" i="8" s="1"/>
  <c r="F951" i="8"/>
  <c r="E951" i="8"/>
  <c r="D951" i="8"/>
  <c r="C951" i="8"/>
  <c r="B951" i="8"/>
  <c r="A951" i="8"/>
  <c r="M950" i="8"/>
  <c r="K950" i="8"/>
  <c r="J950" i="8"/>
  <c r="I950" i="8"/>
  <c r="H950" i="8"/>
  <c r="G950" i="8"/>
  <c r="L950" i="8" s="1"/>
  <c r="F950" i="8"/>
  <c r="E950" i="8"/>
  <c r="D950" i="8"/>
  <c r="C950" i="8"/>
  <c r="B950" i="8"/>
  <c r="A950" i="8"/>
  <c r="M949" i="8"/>
  <c r="L949" i="8"/>
  <c r="K949" i="8"/>
  <c r="J949" i="8"/>
  <c r="I949" i="8"/>
  <c r="H949" i="8"/>
  <c r="G949" i="8"/>
  <c r="F949" i="8"/>
  <c r="E949" i="8"/>
  <c r="D949" i="8"/>
  <c r="C949" i="8"/>
  <c r="B949" i="8"/>
  <c r="A949" i="8"/>
  <c r="M948" i="8"/>
  <c r="K948" i="8"/>
  <c r="J948" i="8"/>
  <c r="I948" i="8"/>
  <c r="H948" i="8"/>
  <c r="G948" i="8"/>
  <c r="L948" i="8" s="1"/>
  <c r="F948" i="8"/>
  <c r="E948" i="8"/>
  <c r="D948" i="8"/>
  <c r="C948" i="8"/>
  <c r="B948" i="8"/>
  <c r="A948" i="8"/>
  <c r="M947" i="8"/>
  <c r="K947" i="8"/>
  <c r="J947" i="8"/>
  <c r="I947" i="8"/>
  <c r="H947" i="8"/>
  <c r="G947" i="8"/>
  <c r="L947" i="8" s="1"/>
  <c r="F947" i="8"/>
  <c r="E947" i="8"/>
  <c r="D947" i="8"/>
  <c r="C947" i="8"/>
  <c r="B947" i="8"/>
  <c r="A947" i="8"/>
  <c r="M946" i="8"/>
  <c r="K946" i="8"/>
  <c r="J946" i="8"/>
  <c r="I946" i="8"/>
  <c r="H946" i="8"/>
  <c r="G946" i="8"/>
  <c r="L946" i="8" s="1"/>
  <c r="F946" i="8"/>
  <c r="E946" i="8"/>
  <c r="D946" i="8"/>
  <c r="C946" i="8"/>
  <c r="B946" i="8"/>
  <c r="A946" i="8"/>
  <c r="M945" i="8"/>
  <c r="L945" i="8"/>
  <c r="K945" i="8"/>
  <c r="J945" i="8"/>
  <c r="I945" i="8"/>
  <c r="H945" i="8"/>
  <c r="G945" i="8"/>
  <c r="F945" i="8"/>
  <c r="E945" i="8"/>
  <c r="D945" i="8"/>
  <c r="C945" i="8"/>
  <c r="B945" i="8"/>
  <c r="A945" i="8"/>
  <c r="M944" i="8"/>
  <c r="K944" i="8"/>
  <c r="J944" i="8"/>
  <c r="I944" i="8"/>
  <c r="H944" i="8"/>
  <c r="G944" i="8"/>
  <c r="L944" i="8" s="1"/>
  <c r="F944" i="8"/>
  <c r="E944" i="8"/>
  <c r="D944" i="8"/>
  <c r="C944" i="8"/>
  <c r="B944" i="8"/>
  <c r="A944" i="8"/>
  <c r="M943" i="8"/>
  <c r="K943" i="8"/>
  <c r="J943" i="8"/>
  <c r="I943" i="8"/>
  <c r="H943" i="8"/>
  <c r="G943" i="8"/>
  <c r="L943" i="8" s="1"/>
  <c r="F943" i="8"/>
  <c r="E943" i="8"/>
  <c r="D943" i="8"/>
  <c r="C943" i="8"/>
  <c r="B943" i="8"/>
  <c r="A943" i="8"/>
  <c r="M942" i="8"/>
  <c r="K942" i="8"/>
  <c r="J942" i="8"/>
  <c r="I942" i="8"/>
  <c r="H942" i="8"/>
  <c r="G942" i="8"/>
  <c r="L942" i="8" s="1"/>
  <c r="F942" i="8"/>
  <c r="E942" i="8"/>
  <c r="D942" i="8"/>
  <c r="C942" i="8"/>
  <c r="B942" i="8"/>
  <c r="A942" i="8"/>
  <c r="M941" i="8"/>
  <c r="L941" i="8"/>
  <c r="K941" i="8"/>
  <c r="J941" i="8"/>
  <c r="I941" i="8"/>
  <c r="H941" i="8"/>
  <c r="G941" i="8"/>
  <c r="F941" i="8"/>
  <c r="E941" i="8"/>
  <c r="D941" i="8"/>
  <c r="C941" i="8"/>
  <c r="B941" i="8"/>
  <c r="A941" i="8"/>
  <c r="M940" i="8"/>
  <c r="K940" i="8"/>
  <c r="J940" i="8"/>
  <c r="I940" i="8"/>
  <c r="H940" i="8"/>
  <c r="G940" i="8"/>
  <c r="L940" i="8" s="1"/>
  <c r="F940" i="8"/>
  <c r="E940" i="8"/>
  <c r="D940" i="8"/>
  <c r="C940" i="8"/>
  <c r="B940" i="8"/>
  <c r="A940" i="8"/>
  <c r="M939" i="8"/>
  <c r="K939" i="8"/>
  <c r="J939" i="8"/>
  <c r="I939" i="8"/>
  <c r="H939" i="8"/>
  <c r="G939" i="8"/>
  <c r="L939" i="8" s="1"/>
  <c r="F939" i="8"/>
  <c r="E939" i="8"/>
  <c r="D939" i="8"/>
  <c r="C939" i="8"/>
  <c r="B939" i="8"/>
  <c r="A939" i="8"/>
  <c r="M938" i="8"/>
  <c r="K938" i="8"/>
  <c r="J938" i="8"/>
  <c r="I938" i="8"/>
  <c r="H938" i="8"/>
  <c r="G938" i="8"/>
  <c r="L938" i="8" s="1"/>
  <c r="F938" i="8"/>
  <c r="E938" i="8"/>
  <c r="D938" i="8"/>
  <c r="C938" i="8"/>
  <c r="B938" i="8"/>
  <c r="A938" i="8"/>
  <c r="M937" i="8"/>
  <c r="L937" i="8"/>
  <c r="K937" i="8"/>
  <c r="J937" i="8"/>
  <c r="I937" i="8"/>
  <c r="H937" i="8"/>
  <c r="G937" i="8"/>
  <c r="F937" i="8"/>
  <c r="E937" i="8"/>
  <c r="D937" i="8"/>
  <c r="C937" i="8"/>
  <c r="B937" i="8"/>
  <c r="A937" i="8"/>
  <c r="M936" i="8"/>
  <c r="K936" i="8"/>
  <c r="J936" i="8"/>
  <c r="I936" i="8"/>
  <c r="H936" i="8"/>
  <c r="G936" i="8"/>
  <c r="L936" i="8" s="1"/>
  <c r="F936" i="8"/>
  <c r="E936" i="8"/>
  <c r="D936" i="8"/>
  <c r="C936" i="8"/>
  <c r="B936" i="8"/>
  <c r="A936" i="8"/>
  <c r="M935" i="8"/>
  <c r="K935" i="8"/>
  <c r="J935" i="8"/>
  <c r="I935" i="8"/>
  <c r="H935" i="8"/>
  <c r="G935" i="8"/>
  <c r="L935" i="8" s="1"/>
  <c r="F935" i="8"/>
  <c r="E935" i="8"/>
  <c r="D935" i="8"/>
  <c r="C935" i="8"/>
  <c r="B935" i="8"/>
  <c r="A935" i="8"/>
  <c r="M934" i="8"/>
  <c r="K934" i="8"/>
  <c r="J934" i="8"/>
  <c r="I934" i="8"/>
  <c r="H934" i="8"/>
  <c r="G934" i="8"/>
  <c r="L934" i="8" s="1"/>
  <c r="F934" i="8"/>
  <c r="E934" i="8"/>
  <c r="D934" i="8"/>
  <c r="C934" i="8"/>
  <c r="B934" i="8"/>
  <c r="A934" i="8"/>
  <c r="M933" i="8"/>
  <c r="L933" i="8"/>
  <c r="K933" i="8"/>
  <c r="J933" i="8"/>
  <c r="I933" i="8"/>
  <c r="H933" i="8"/>
  <c r="G933" i="8"/>
  <c r="F933" i="8"/>
  <c r="E933" i="8"/>
  <c r="D933" i="8"/>
  <c r="C933" i="8"/>
  <c r="B933" i="8"/>
  <c r="A933" i="8"/>
  <c r="M932" i="8"/>
  <c r="K932" i="8"/>
  <c r="J932" i="8"/>
  <c r="I932" i="8"/>
  <c r="H932" i="8"/>
  <c r="G932" i="8"/>
  <c r="L932" i="8" s="1"/>
  <c r="F932" i="8"/>
  <c r="E932" i="8"/>
  <c r="D932" i="8"/>
  <c r="C932" i="8"/>
  <c r="B932" i="8"/>
  <c r="A932" i="8"/>
  <c r="M931" i="8"/>
  <c r="K931" i="8"/>
  <c r="J931" i="8"/>
  <c r="I931" i="8"/>
  <c r="H931" i="8"/>
  <c r="G931" i="8"/>
  <c r="L931" i="8" s="1"/>
  <c r="F931" i="8"/>
  <c r="E931" i="8"/>
  <c r="D931" i="8"/>
  <c r="C931" i="8"/>
  <c r="B931" i="8"/>
  <c r="A931" i="8"/>
  <c r="M930" i="8"/>
  <c r="K930" i="8"/>
  <c r="J930" i="8"/>
  <c r="I930" i="8"/>
  <c r="H930" i="8"/>
  <c r="G930" i="8"/>
  <c r="L930" i="8" s="1"/>
  <c r="F930" i="8"/>
  <c r="E930" i="8"/>
  <c r="D930" i="8"/>
  <c r="C930" i="8"/>
  <c r="B930" i="8"/>
  <c r="A930" i="8"/>
  <c r="M929" i="8"/>
  <c r="L929" i="8"/>
  <c r="K929" i="8"/>
  <c r="J929" i="8"/>
  <c r="I929" i="8"/>
  <c r="H929" i="8"/>
  <c r="G929" i="8"/>
  <c r="F929" i="8"/>
  <c r="E929" i="8"/>
  <c r="D929" i="8"/>
  <c r="C929" i="8"/>
  <c r="B929" i="8"/>
  <c r="A929" i="8"/>
  <c r="M928" i="8"/>
  <c r="K928" i="8"/>
  <c r="J928" i="8"/>
  <c r="I928" i="8"/>
  <c r="H928" i="8"/>
  <c r="G928" i="8"/>
  <c r="L928" i="8" s="1"/>
  <c r="F928" i="8"/>
  <c r="E928" i="8"/>
  <c r="D928" i="8"/>
  <c r="C928" i="8"/>
  <c r="B928" i="8"/>
  <c r="A928" i="8"/>
  <c r="M927" i="8"/>
  <c r="K927" i="8"/>
  <c r="J927" i="8"/>
  <c r="I927" i="8"/>
  <c r="H927" i="8"/>
  <c r="G927" i="8"/>
  <c r="L927" i="8" s="1"/>
  <c r="F927" i="8"/>
  <c r="E927" i="8"/>
  <c r="D927" i="8"/>
  <c r="C927" i="8"/>
  <c r="B927" i="8"/>
  <c r="A927" i="8"/>
  <c r="M926" i="8"/>
  <c r="K926" i="8"/>
  <c r="J926" i="8"/>
  <c r="I926" i="8"/>
  <c r="H926" i="8"/>
  <c r="G926" i="8"/>
  <c r="L926" i="8" s="1"/>
  <c r="F926" i="8"/>
  <c r="E926" i="8"/>
  <c r="D926" i="8"/>
  <c r="C926" i="8"/>
  <c r="B926" i="8"/>
  <c r="A926" i="8"/>
  <c r="M925" i="8"/>
  <c r="L925" i="8"/>
  <c r="K925" i="8"/>
  <c r="J925" i="8"/>
  <c r="I925" i="8"/>
  <c r="H925" i="8"/>
  <c r="G925" i="8"/>
  <c r="F925" i="8"/>
  <c r="E925" i="8"/>
  <c r="D925" i="8"/>
  <c r="C925" i="8"/>
  <c r="B925" i="8"/>
  <c r="A925" i="8"/>
  <c r="M924" i="8"/>
  <c r="K924" i="8"/>
  <c r="J924" i="8"/>
  <c r="I924" i="8"/>
  <c r="H924" i="8"/>
  <c r="G924" i="8"/>
  <c r="L924" i="8" s="1"/>
  <c r="F924" i="8"/>
  <c r="E924" i="8"/>
  <c r="D924" i="8"/>
  <c r="C924" i="8"/>
  <c r="B924" i="8"/>
  <c r="A924" i="8"/>
  <c r="M923" i="8"/>
  <c r="K923" i="8"/>
  <c r="J923" i="8"/>
  <c r="I923" i="8"/>
  <c r="H923" i="8"/>
  <c r="G923" i="8"/>
  <c r="L923" i="8" s="1"/>
  <c r="F923" i="8"/>
  <c r="E923" i="8"/>
  <c r="D923" i="8"/>
  <c r="C923" i="8"/>
  <c r="B923" i="8"/>
  <c r="A923" i="8"/>
  <c r="M922" i="8"/>
  <c r="K922" i="8"/>
  <c r="J922" i="8"/>
  <c r="I922" i="8"/>
  <c r="H922" i="8"/>
  <c r="G922" i="8"/>
  <c r="L922" i="8" s="1"/>
  <c r="F922" i="8"/>
  <c r="E922" i="8"/>
  <c r="D922" i="8"/>
  <c r="C922" i="8"/>
  <c r="B922" i="8"/>
  <c r="A922" i="8"/>
  <c r="M921" i="8"/>
  <c r="L921" i="8"/>
  <c r="K921" i="8"/>
  <c r="J921" i="8"/>
  <c r="I921" i="8"/>
  <c r="H921" i="8"/>
  <c r="G921" i="8"/>
  <c r="F921" i="8"/>
  <c r="E921" i="8"/>
  <c r="D921" i="8"/>
  <c r="C921" i="8"/>
  <c r="B921" i="8"/>
  <c r="A921" i="8"/>
  <c r="M920" i="8"/>
  <c r="K920" i="8"/>
  <c r="J920" i="8"/>
  <c r="I920" i="8"/>
  <c r="H920" i="8"/>
  <c r="G920" i="8"/>
  <c r="L920" i="8" s="1"/>
  <c r="F920" i="8"/>
  <c r="E920" i="8"/>
  <c r="D920" i="8"/>
  <c r="C920" i="8"/>
  <c r="B920" i="8"/>
  <c r="A920" i="8"/>
  <c r="M919" i="8"/>
  <c r="K919" i="8"/>
  <c r="J919" i="8"/>
  <c r="I919" i="8"/>
  <c r="H919" i="8"/>
  <c r="G919" i="8"/>
  <c r="L919" i="8" s="1"/>
  <c r="F919" i="8"/>
  <c r="E919" i="8"/>
  <c r="D919" i="8"/>
  <c r="C919" i="8"/>
  <c r="B919" i="8"/>
  <c r="A919" i="8"/>
  <c r="M918" i="8"/>
  <c r="K918" i="8"/>
  <c r="J918" i="8"/>
  <c r="I918" i="8"/>
  <c r="H918" i="8"/>
  <c r="G918" i="8"/>
  <c r="L918" i="8" s="1"/>
  <c r="F918" i="8"/>
  <c r="E918" i="8"/>
  <c r="D918" i="8"/>
  <c r="C918" i="8"/>
  <c r="B918" i="8"/>
  <c r="A918" i="8"/>
  <c r="M917" i="8"/>
  <c r="L917" i="8"/>
  <c r="K917" i="8"/>
  <c r="J917" i="8"/>
  <c r="I917" i="8"/>
  <c r="H917" i="8"/>
  <c r="G917" i="8"/>
  <c r="F917" i="8"/>
  <c r="E917" i="8"/>
  <c r="D917" i="8"/>
  <c r="C917" i="8"/>
  <c r="B917" i="8"/>
  <c r="A917" i="8"/>
  <c r="M916" i="8"/>
  <c r="K916" i="8"/>
  <c r="J916" i="8"/>
  <c r="I916" i="8"/>
  <c r="H916" i="8"/>
  <c r="G916" i="8"/>
  <c r="L916" i="8" s="1"/>
  <c r="F916" i="8"/>
  <c r="E916" i="8"/>
  <c r="D916" i="8"/>
  <c r="C916" i="8"/>
  <c r="B916" i="8"/>
  <c r="A916" i="8"/>
  <c r="M915" i="8"/>
  <c r="K915" i="8"/>
  <c r="J915" i="8"/>
  <c r="I915" i="8"/>
  <c r="H915" i="8"/>
  <c r="G915" i="8"/>
  <c r="L915" i="8" s="1"/>
  <c r="F915" i="8"/>
  <c r="E915" i="8"/>
  <c r="D915" i="8"/>
  <c r="C915" i="8"/>
  <c r="B915" i="8"/>
  <c r="A915" i="8"/>
  <c r="M914" i="8"/>
  <c r="K914" i="8"/>
  <c r="J914" i="8"/>
  <c r="I914" i="8"/>
  <c r="H914" i="8"/>
  <c r="G914" i="8"/>
  <c r="L914" i="8" s="1"/>
  <c r="F914" i="8"/>
  <c r="E914" i="8"/>
  <c r="D914" i="8"/>
  <c r="C914" i="8"/>
  <c r="B914" i="8"/>
  <c r="A914" i="8"/>
  <c r="M913" i="8"/>
  <c r="L913" i="8"/>
  <c r="K913" i="8"/>
  <c r="J913" i="8"/>
  <c r="I913" i="8"/>
  <c r="H913" i="8"/>
  <c r="G913" i="8"/>
  <c r="F913" i="8"/>
  <c r="E913" i="8"/>
  <c r="D913" i="8"/>
  <c r="C913" i="8"/>
  <c r="B913" i="8"/>
  <c r="A913" i="8"/>
  <c r="M912" i="8"/>
  <c r="K912" i="8"/>
  <c r="J912" i="8"/>
  <c r="I912" i="8"/>
  <c r="H912" i="8"/>
  <c r="G912" i="8"/>
  <c r="L912" i="8" s="1"/>
  <c r="F912" i="8"/>
  <c r="E912" i="8"/>
  <c r="D912" i="8"/>
  <c r="C912" i="8"/>
  <c r="B912" i="8"/>
  <c r="A912" i="8"/>
  <c r="M911" i="8"/>
  <c r="K911" i="8"/>
  <c r="J911" i="8"/>
  <c r="I911" i="8"/>
  <c r="H911" i="8"/>
  <c r="G911" i="8"/>
  <c r="L911" i="8" s="1"/>
  <c r="F911" i="8"/>
  <c r="E911" i="8"/>
  <c r="D911" i="8"/>
  <c r="C911" i="8"/>
  <c r="B911" i="8"/>
  <c r="A911" i="8"/>
  <c r="M910" i="8"/>
  <c r="K910" i="8"/>
  <c r="J910" i="8"/>
  <c r="I910" i="8"/>
  <c r="H910" i="8"/>
  <c r="G910" i="8"/>
  <c r="L910" i="8" s="1"/>
  <c r="F910" i="8"/>
  <c r="E910" i="8"/>
  <c r="D910" i="8"/>
  <c r="C910" i="8"/>
  <c r="B910" i="8"/>
  <c r="A910" i="8"/>
  <c r="M909" i="8"/>
  <c r="L909" i="8"/>
  <c r="K909" i="8"/>
  <c r="J909" i="8"/>
  <c r="I909" i="8"/>
  <c r="H909" i="8"/>
  <c r="G909" i="8"/>
  <c r="F909" i="8"/>
  <c r="E909" i="8"/>
  <c r="D909" i="8"/>
  <c r="C909" i="8"/>
  <c r="B909" i="8"/>
  <c r="A909" i="8"/>
  <c r="M908" i="8"/>
  <c r="K908" i="8"/>
  <c r="J908" i="8"/>
  <c r="I908" i="8"/>
  <c r="H908" i="8"/>
  <c r="G908" i="8"/>
  <c r="L908" i="8" s="1"/>
  <c r="F908" i="8"/>
  <c r="E908" i="8"/>
  <c r="D908" i="8"/>
  <c r="C908" i="8"/>
  <c r="B908" i="8"/>
  <c r="A908" i="8"/>
  <c r="M907" i="8"/>
  <c r="K907" i="8"/>
  <c r="J907" i="8"/>
  <c r="I907" i="8"/>
  <c r="H907" i="8"/>
  <c r="G907" i="8"/>
  <c r="L907" i="8" s="1"/>
  <c r="F907" i="8"/>
  <c r="E907" i="8"/>
  <c r="D907" i="8"/>
  <c r="C907" i="8"/>
  <c r="B907" i="8"/>
  <c r="A907" i="8"/>
  <c r="M906" i="8"/>
  <c r="K906" i="8"/>
  <c r="J906" i="8"/>
  <c r="I906" i="8"/>
  <c r="H906" i="8"/>
  <c r="G906" i="8"/>
  <c r="L906" i="8" s="1"/>
  <c r="F906" i="8"/>
  <c r="E906" i="8"/>
  <c r="D906" i="8"/>
  <c r="C906" i="8"/>
  <c r="B906" i="8"/>
  <c r="A906" i="8"/>
  <c r="M905" i="8"/>
  <c r="L905" i="8"/>
  <c r="K905" i="8"/>
  <c r="J905" i="8"/>
  <c r="I905" i="8"/>
  <c r="H905" i="8"/>
  <c r="G905" i="8"/>
  <c r="F905" i="8"/>
  <c r="E905" i="8"/>
  <c r="D905" i="8"/>
  <c r="C905" i="8"/>
  <c r="B905" i="8"/>
  <c r="A905" i="8"/>
  <c r="M904" i="8"/>
  <c r="K904" i="8"/>
  <c r="J904" i="8"/>
  <c r="I904" i="8"/>
  <c r="H904" i="8"/>
  <c r="G904" i="8"/>
  <c r="L904" i="8" s="1"/>
  <c r="F904" i="8"/>
  <c r="E904" i="8"/>
  <c r="D904" i="8"/>
  <c r="C904" i="8"/>
  <c r="B904" i="8"/>
  <c r="A904" i="8"/>
  <c r="M903" i="8"/>
  <c r="K903" i="8"/>
  <c r="J903" i="8"/>
  <c r="I903" i="8"/>
  <c r="H903" i="8"/>
  <c r="G903" i="8"/>
  <c r="L903" i="8" s="1"/>
  <c r="F903" i="8"/>
  <c r="E903" i="8"/>
  <c r="D903" i="8"/>
  <c r="C903" i="8"/>
  <c r="B903" i="8"/>
  <c r="A903" i="8"/>
  <c r="M902" i="8"/>
  <c r="K902" i="8"/>
  <c r="J902" i="8"/>
  <c r="I902" i="8"/>
  <c r="H902" i="8"/>
  <c r="G902" i="8"/>
  <c r="L902" i="8" s="1"/>
  <c r="F902" i="8"/>
  <c r="E902" i="8"/>
  <c r="D902" i="8"/>
  <c r="C902" i="8"/>
  <c r="B902" i="8"/>
  <c r="A902" i="8"/>
  <c r="M901" i="8"/>
  <c r="L901" i="8"/>
  <c r="K901" i="8"/>
  <c r="J901" i="8"/>
  <c r="I901" i="8"/>
  <c r="H901" i="8"/>
  <c r="G901" i="8"/>
  <c r="F901" i="8"/>
  <c r="E901" i="8"/>
  <c r="D901" i="8"/>
  <c r="C901" i="8"/>
  <c r="B901" i="8"/>
  <c r="A901" i="8"/>
  <c r="M900" i="8"/>
  <c r="K900" i="8"/>
  <c r="J900" i="8"/>
  <c r="I900" i="8"/>
  <c r="H900" i="8"/>
  <c r="G900" i="8"/>
  <c r="L900" i="8" s="1"/>
  <c r="F900" i="8"/>
  <c r="E900" i="8"/>
  <c r="D900" i="8"/>
  <c r="C900" i="8"/>
  <c r="B900" i="8"/>
  <c r="A900" i="8"/>
  <c r="M899" i="8"/>
  <c r="K899" i="8"/>
  <c r="J899" i="8"/>
  <c r="I899" i="8"/>
  <c r="H899" i="8"/>
  <c r="G899" i="8"/>
  <c r="L899" i="8" s="1"/>
  <c r="F899" i="8"/>
  <c r="E899" i="8"/>
  <c r="D899" i="8"/>
  <c r="C899" i="8"/>
  <c r="B899" i="8"/>
  <c r="A899" i="8"/>
  <c r="M898" i="8"/>
  <c r="K898" i="8"/>
  <c r="J898" i="8"/>
  <c r="I898" i="8"/>
  <c r="H898" i="8"/>
  <c r="G898" i="8"/>
  <c r="L898" i="8" s="1"/>
  <c r="F898" i="8"/>
  <c r="E898" i="8"/>
  <c r="D898" i="8"/>
  <c r="C898" i="8"/>
  <c r="B898" i="8"/>
  <c r="A898" i="8"/>
  <c r="M897" i="8"/>
  <c r="L897" i="8"/>
  <c r="K897" i="8"/>
  <c r="J897" i="8"/>
  <c r="I897" i="8"/>
  <c r="H897" i="8"/>
  <c r="G897" i="8"/>
  <c r="F897" i="8"/>
  <c r="E897" i="8"/>
  <c r="D897" i="8"/>
  <c r="C897" i="8"/>
  <c r="B897" i="8"/>
  <c r="A897" i="8"/>
  <c r="M896" i="8"/>
  <c r="K896" i="8"/>
  <c r="J896" i="8"/>
  <c r="I896" i="8"/>
  <c r="H896" i="8"/>
  <c r="G896" i="8"/>
  <c r="L896" i="8" s="1"/>
  <c r="F896" i="8"/>
  <c r="E896" i="8"/>
  <c r="D896" i="8"/>
  <c r="C896" i="8"/>
  <c r="B896" i="8"/>
  <c r="A896" i="8"/>
  <c r="M895" i="8"/>
  <c r="K895" i="8"/>
  <c r="J895" i="8"/>
  <c r="I895" i="8"/>
  <c r="H895" i="8"/>
  <c r="G895" i="8"/>
  <c r="L895" i="8" s="1"/>
  <c r="F895" i="8"/>
  <c r="E895" i="8"/>
  <c r="D895" i="8"/>
  <c r="C895" i="8"/>
  <c r="B895" i="8"/>
  <c r="A895" i="8"/>
  <c r="M894" i="8"/>
  <c r="K894" i="8"/>
  <c r="J894" i="8"/>
  <c r="I894" i="8"/>
  <c r="H894" i="8"/>
  <c r="G894" i="8"/>
  <c r="L894" i="8" s="1"/>
  <c r="F894" i="8"/>
  <c r="E894" i="8"/>
  <c r="D894" i="8"/>
  <c r="C894" i="8"/>
  <c r="B894" i="8"/>
  <c r="A894" i="8"/>
  <c r="M893" i="8"/>
  <c r="L893" i="8"/>
  <c r="K893" i="8"/>
  <c r="J893" i="8"/>
  <c r="I893" i="8"/>
  <c r="H893" i="8"/>
  <c r="G893" i="8"/>
  <c r="F893" i="8"/>
  <c r="E893" i="8"/>
  <c r="D893" i="8"/>
  <c r="C893" i="8"/>
  <c r="B893" i="8"/>
  <c r="A893" i="8"/>
  <c r="M892" i="8"/>
  <c r="K892" i="8"/>
  <c r="J892" i="8"/>
  <c r="I892" i="8"/>
  <c r="H892" i="8"/>
  <c r="G892" i="8"/>
  <c r="L892" i="8" s="1"/>
  <c r="F892" i="8"/>
  <c r="E892" i="8"/>
  <c r="D892" i="8"/>
  <c r="C892" i="8"/>
  <c r="B892" i="8"/>
  <c r="A892" i="8"/>
  <c r="M891" i="8"/>
  <c r="K891" i="8"/>
  <c r="J891" i="8"/>
  <c r="I891" i="8"/>
  <c r="H891" i="8"/>
  <c r="G891" i="8"/>
  <c r="L891" i="8" s="1"/>
  <c r="F891" i="8"/>
  <c r="E891" i="8"/>
  <c r="D891" i="8"/>
  <c r="C891" i="8"/>
  <c r="B891" i="8"/>
  <c r="A891" i="8"/>
  <c r="M890" i="8"/>
  <c r="K890" i="8"/>
  <c r="J890" i="8"/>
  <c r="I890" i="8"/>
  <c r="H890" i="8"/>
  <c r="G890" i="8"/>
  <c r="L890" i="8" s="1"/>
  <c r="F890" i="8"/>
  <c r="E890" i="8"/>
  <c r="D890" i="8"/>
  <c r="C890" i="8"/>
  <c r="B890" i="8"/>
  <c r="A890" i="8"/>
  <c r="M889" i="8"/>
  <c r="L889" i="8"/>
  <c r="K889" i="8"/>
  <c r="J889" i="8"/>
  <c r="I889" i="8"/>
  <c r="H889" i="8"/>
  <c r="G889" i="8"/>
  <c r="F889" i="8"/>
  <c r="E889" i="8"/>
  <c r="D889" i="8"/>
  <c r="C889" i="8"/>
  <c r="B889" i="8"/>
  <c r="A889" i="8"/>
  <c r="M888" i="8"/>
  <c r="K888" i="8"/>
  <c r="J888" i="8"/>
  <c r="I888" i="8"/>
  <c r="H888" i="8"/>
  <c r="G888" i="8"/>
  <c r="L888" i="8" s="1"/>
  <c r="F888" i="8"/>
  <c r="E888" i="8"/>
  <c r="D888" i="8"/>
  <c r="C888" i="8"/>
  <c r="B888" i="8"/>
  <c r="A888" i="8"/>
  <c r="M887" i="8"/>
  <c r="K887" i="8"/>
  <c r="J887" i="8"/>
  <c r="I887" i="8"/>
  <c r="H887" i="8"/>
  <c r="G887" i="8"/>
  <c r="L887" i="8" s="1"/>
  <c r="F887" i="8"/>
  <c r="E887" i="8"/>
  <c r="D887" i="8"/>
  <c r="C887" i="8"/>
  <c r="B887" i="8"/>
  <c r="A887" i="8"/>
  <c r="M886" i="8"/>
  <c r="K886" i="8"/>
  <c r="J886" i="8"/>
  <c r="I886" i="8"/>
  <c r="H886" i="8"/>
  <c r="G886" i="8"/>
  <c r="L886" i="8" s="1"/>
  <c r="F886" i="8"/>
  <c r="E886" i="8"/>
  <c r="D886" i="8"/>
  <c r="C886" i="8"/>
  <c r="B886" i="8"/>
  <c r="A886" i="8"/>
  <c r="M885" i="8"/>
  <c r="L885" i="8"/>
  <c r="K885" i="8"/>
  <c r="J885" i="8"/>
  <c r="I885" i="8"/>
  <c r="H885" i="8"/>
  <c r="G885" i="8"/>
  <c r="F885" i="8"/>
  <c r="E885" i="8"/>
  <c r="D885" i="8"/>
  <c r="C885" i="8"/>
  <c r="B885" i="8"/>
  <c r="A885" i="8"/>
  <c r="M884" i="8"/>
  <c r="K884" i="8"/>
  <c r="J884" i="8"/>
  <c r="I884" i="8"/>
  <c r="H884" i="8"/>
  <c r="G884" i="8"/>
  <c r="L884" i="8" s="1"/>
  <c r="F884" i="8"/>
  <c r="E884" i="8"/>
  <c r="D884" i="8"/>
  <c r="C884" i="8"/>
  <c r="B884" i="8"/>
  <c r="A884" i="8"/>
  <c r="M883" i="8"/>
  <c r="K883" i="8"/>
  <c r="J883" i="8"/>
  <c r="I883" i="8"/>
  <c r="H883" i="8"/>
  <c r="G883" i="8"/>
  <c r="L883" i="8" s="1"/>
  <c r="F883" i="8"/>
  <c r="E883" i="8"/>
  <c r="D883" i="8"/>
  <c r="C883" i="8"/>
  <c r="B883" i="8"/>
  <c r="A883" i="8"/>
  <c r="M882" i="8"/>
  <c r="K882" i="8"/>
  <c r="J882" i="8"/>
  <c r="I882" i="8"/>
  <c r="H882" i="8"/>
  <c r="G882" i="8"/>
  <c r="L882" i="8" s="1"/>
  <c r="F882" i="8"/>
  <c r="E882" i="8"/>
  <c r="D882" i="8"/>
  <c r="C882" i="8"/>
  <c r="B882" i="8"/>
  <c r="A882" i="8"/>
  <c r="M881" i="8"/>
  <c r="L881" i="8"/>
  <c r="K881" i="8"/>
  <c r="J881" i="8"/>
  <c r="I881" i="8"/>
  <c r="H881" i="8"/>
  <c r="G881" i="8"/>
  <c r="F881" i="8"/>
  <c r="E881" i="8"/>
  <c r="D881" i="8"/>
  <c r="C881" i="8"/>
  <c r="B881" i="8"/>
  <c r="A881" i="8"/>
  <c r="M880" i="8"/>
  <c r="K880" i="8"/>
  <c r="J880" i="8"/>
  <c r="I880" i="8"/>
  <c r="H880" i="8"/>
  <c r="G880" i="8"/>
  <c r="L880" i="8" s="1"/>
  <c r="F880" i="8"/>
  <c r="E880" i="8"/>
  <c r="D880" i="8"/>
  <c r="C880" i="8"/>
  <c r="B880" i="8"/>
  <c r="A880" i="8"/>
  <c r="M879" i="8"/>
  <c r="K879" i="8"/>
  <c r="J879" i="8"/>
  <c r="I879" i="8"/>
  <c r="H879" i="8"/>
  <c r="G879" i="8"/>
  <c r="L879" i="8" s="1"/>
  <c r="F879" i="8"/>
  <c r="E879" i="8"/>
  <c r="D879" i="8"/>
  <c r="C879" i="8"/>
  <c r="B879" i="8"/>
  <c r="A879" i="8"/>
  <c r="M878" i="8"/>
  <c r="K878" i="8"/>
  <c r="J878" i="8"/>
  <c r="I878" i="8"/>
  <c r="H878" i="8"/>
  <c r="G878" i="8"/>
  <c r="L878" i="8" s="1"/>
  <c r="F878" i="8"/>
  <c r="E878" i="8"/>
  <c r="D878" i="8"/>
  <c r="C878" i="8"/>
  <c r="B878" i="8"/>
  <c r="A878" i="8"/>
  <c r="M877" i="8"/>
  <c r="L877" i="8"/>
  <c r="K877" i="8"/>
  <c r="J877" i="8"/>
  <c r="I877" i="8"/>
  <c r="H877" i="8"/>
  <c r="G877" i="8"/>
  <c r="F877" i="8"/>
  <c r="E877" i="8"/>
  <c r="D877" i="8"/>
  <c r="C877" i="8"/>
  <c r="B877" i="8"/>
  <c r="A877" i="8"/>
  <c r="M876" i="8"/>
  <c r="K876" i="8"/>
  <c r="J876" i="8"/>
  <c r="I876" i="8"/>
  <c r="H876" i="8"/>
  <c r="G876" i="8"/>
  <c r="L876" i="8" s="1"/>
  <c r="F876" i="8"/>
  <c r="E876" i="8"/>
  <c r="D876" i="8"/>
  <c r="C876" i="8"/>
  <c r="B876" i="8"/>
  <c r="A876" i="8"/>
  <c r="M875" i="8"/>
  <c r="K875" i="8"/>
  <c r="J875" i="8"/>
  <c r="I875" i="8"/>
  <c r="H875" i="8"/>
  <c r="G875" i="8"/>
  <c r="L875" i="8" s="1"/>
  <c r="F875" i="8"/>
  <c r="E875" i="8"/>
  <c r="D875" i="8"/>
  <c r="C875" i="8"/>
  <c r="B875" i="8"/>
  <c r="A875" i="8"/>
  <c r="M874" i="8"/>
  <c r="K874" i="8"/>
  <c r="J874" i="8"/>
  <c r="I874" i="8"/>
  <c r="H874" i="8"/>
  <c r="G874" i="8"/>
  <c r="L874" i="8" s="1"/>
  <c r="F874" i="8"/>
  <c r="E874" i="8"/>
  <c r="D874" i="8"/>
  <c r="C874" i="8"/>
  <c r="B874" i="8"/>
  <c r="A874" i="8"/>
  <c r="M873" i="8"/>
  <c r="L873" i="8"/>
  <c r="K873" i="8"/>
  <c r="J873" i="8"/>
  <c r="I873" i="8"/>
  <c r="H873" i="8"/>
  <c r="G873" i="8"/>
  <c r="F873" i="8"/>
  <c r="E873" i="8"/>
  <c r="D873" i="8"/>
  <c r="C873" i="8"/>
  <c r="B873" i="8"/>
  <c r="A873" i="8"/>
  <c r="M872" i="8"/>
  <c r="K872" i="8"/>
  <c r="J872" i="8"/>
  <c r="I872" i="8"/>
  <c r="H872" i="8"/>
  <c r="G872" i="8"/>
  <c r="L872" i="8" s="1"/>
  <c r="F872" i="8"/>
  <c r="E872" i="8"/>
  <c r="D872" i="8"/>
  <c r="C872" i="8"/>
  <c r="B872" i="8"/>
  <c r="A872" i="8"/>
  <c r="M871" i="8"/>
  <c r="K871" i="8"/>
  <c r="J871" i="8"/>
  <c r="I871" i="8"/>
  <c r="H871" i="8"/>
  <c r="G871" i="8"/>
  <c r="L871" i="8" s="1"/>
  <c r="F871" i="8"/>
  <c r="E871" i="8"/>
  <c r="D871" i="8"/>
  <c r="C871" i="8"/>
  <c r="B871" i="8"/>
  <c r="A871" i="8"/>
  <c r="M870" i="8"/>
  <c r="K870" i="8"/>
  <c r="J870" i="8"/>
  <c r="I870" i="8"/>
  <c r="H870" i="8"/>
  <c r="G870" i="8"/>
  <c r="L870" i="8" s="1"/>
  <c r="F870" i="8"/>
  <c r="E870" i="8"/>
  <c r="D870" i="8"/>
  <c r="C870" i="8"/>
  <c r="B870" i="8"/>
  <c r="A870" i="8"/>
  <c r="M869" i="8"/>
  <c r="L869" i="8"/>
  <c r="K869" i="8"/>
  <c r="J869" i="8"/>
  <c r="I869" i="8"/>
  <c r="H869" i="8"/>
  <c r="G869" i="8"/>
  <c r="F869" i="8"/>
  <c r="E869" i="8"/>
  <c r="D869" i="8"/>
  <c r="C869" i="8"/>
  <c r="B869" i="8"/>
  <c r="A869" i="8"/>
  <c r="M868" i="8"/>
  <c r="K868" i="8"/>
  <c r="J868" i="8"/>
  <c r="I868" i="8"/>
  <c r="H868" i="8"/>
  <c r="G868" i="8"/>
  <c r="L868" i="8" s="1"/>
  <c r="F868" i="8"/>
  <c r="E868" i="8"/>
  <c r="D868" i="8"/>
  <c r="C868" i="8"/>
  <c r="B868" i="8"/>
  <c r="A868" i="8"/>
  <c r="M867" i="8"/>
  <c r="K867" i="8"/>
  <c r="J867" i="8"/>
  <c r="I867" i="8"/>
  <c r="H867" i="8"/>
  <c r="G867" i="8"/>
  <c r="L867" i="8" s="1"/>
  <c r="F867" i="8"/>
  <c r="E867" i="8"/>
  <c r="D867" i="8"/>
  <c r="C867" i="8"/>
  <c r="B867" i="8"/>
  <c r="A867" i="8"/>
  <c r="M866" i="8"/>
  <c r="K866" i="8"/>
  <c r="J866" i="8"/>
  <c r="I866" i="8"/>
  <c r="H866" i="8"/>
  <c r="G866" i="8"/>
  <c r="L866" i="8" s="1"/>
  <c r="F866" i="8"/>
  <c r="E866" i="8"/>
  <c r="D866" i="8"/>
  <c r="C866" i="8"/>
  <c r="B866" i="8"/>
  <c r="A866" i="8"/>
  <c r="M865" i="8"/>
  <c r="L865" i="8"/>
  <c r="K865" i="8"/>
  <c r="J865" i="8"/>
  <c r="I865" i="8"/>
  <c r="H865" i="8"/>
  <c r="G865" i="8"/>
  <c r="F865" i="8"/>
  <c r="E865" i="8"/>
  <c r="D865" i="8"/>
  <c r="C865" i="8"/>
  <c r="B865" i="8"/>
  <c r="A865" i="8"/>
  <c r="M864" i="8"/>
  <c r="K864" i="8"/>
  <c r="J864" i="8"/>
  <c r="I864" i="8"/>
  <c r="H864" i="8"/>
  <c r="G864" i="8"/>
  <c r="L864" i="8" s="1"/>
  <c r="F864" i="8"/>
  <c r="E864" i="8"/>
  <c r="D864" i="8"/>
  <c r="C864" i="8"/>
  <c r="B864" i="8"/>
  <c r="A864" i="8"/>
  <c r="M863" i="8"/>
  <c r="K863" i="8"/>
  <c r="J863" i="8"/>
  <c r="I863" i="8"/>
  <c r="H863" i="8"/>
  <c r="G863" i="8"/>
  <c r="L863" i="8" s="1"/>
  <c r="F863" i="8"/>
  <c r="E863" i="8"/>
  <c r="D863" i="8"/>
  <c r="C863" i="8"/>
  <c r="B863" i="8"/>
  <c r="A863" i="8"/>
  <c r="M862" i="8"/>
  <c r="K862" i="8"/>
  <c r="J862" i="8"/>
  <c r="I862" i="8"/>
  <c r="H862" i="8"/>
  <c r="G862" i="8"/>
  <c r="L862" i="8" s="1"/>
  <c r="F862" i="8"/>
  <c r="E862" i="8"/>
  <c r="D862" i="8"/>
  <c r="C862" i="8"/>
  <c r="B862" i="8"/>
  <c r="A862" i="8"/>
  <c r="M861" i="8"/>
  <c r="L861" i="8"/>
  <c r="K861" i="8"/>
  <c r="J861" i="8"/>
  <c r="I861" i="8"/>
  <c r="H861" i="8"/>
  <c r="G861" i="8"/>
  <c r="F861" i="8"/>
  <c r="E861" i="8"/>
  <c r="D861" i="8"/>
  <c r="C861" i="8"/>
  <c r="B861" i="8"/>
  <c r="A861" i="8"/>
  <c r="M860" i="8"/>
  <c r="K860" i="8"/>
  <c r="J860" i="8"/>
  <c r="I860" i="8"/>
  <c r="H860" i="8"/>
  <c r="G860" i="8"/>
  <c r="L860" i="8" s="1"/>
  <c r="F860" i="8"/>
  <c r="E860" i="8"/>
  <c r="D860" i="8"/>
  <c r="C860" i="8"/>
  <c r="B860" i="8"/>
  <c r="A860" i="8"/>
  <c r="M859" i="8"/>
  <c r="K859" i="8"/>
  <c r="J859" i="8"/>
  <c r="I859" i="8"/>
  <c r="H859" i="8"/>
  <c r="G859" i="8"/>
  <c r="L859" i="8" s="1"/>
  <c r="F859" i="8"/>
  <c r="E859" i="8"/>
  <c r="D859" i="8"/>
  <c r="C859" i="8"/>
  <c r="B859" i="8"/>
  <c r="A859" i="8"/>
  <c r="M858" i="8"/>
  <c r="K858" i="8"/>
  <c r="J858" i="8"/>
  <c r="I858" i="8"/>
  <c r="H858" i="8"/>
  <c r="G858" i="8"/>
  <c r="L858" i="8" s="1"/>
  <c r="F858" i="8"/>
  <c r="E858" i="8"/>
  <c r="D858" i="8"/>
  <c r="C858" i="8"/>
  <c r="B858" i="8"/>
  <c r="A858" i="8"/>
  <c r="M857" i="8"/>
  <c r="L857" i="8"/>
  <c r="K857" i="8"/>
  <c r="J857" i="8"/>
  <c r="I857" i="8"/>
  <c r="H857" i="8"/>
  <c r="G857" i="8"/>
  <c r="F857" i="8"/>
  <c r="E857" i="8"/>
  <c r="D857" i="8"/>
  <c r="C857" i="8"/>
  <c r="B857" i="8"/>
  <c r="A857" i="8"/>
  <c r="M856" i="8"/>
  <c r="K856" i="8"/>
  <c r="J856" i="8"/>
  <c r="I856" i="8"/>
  <c r="H856" i="8"/>
  <c r="G856" i="8"/>
  <c r="L856" i="8" s="1"/>
  <c r="F856" i="8"/>
  <c r="E856" i="8"/>
  <c r="D856" i="8"/>
  <c r="C856" i="8"/>
  <c r="B856" i="8"/>
  <c r="A856" i="8"/>
  <c r="M855" i="8"/>
  <c r="K855" i="8"/>
  <c r="J855" i="8"/>
  <c r="I855" i="8"/>
  <c r="H855" i="8"/>
  <c r="G855" i="8"/>
  <c r="L855" i="8" s="1"/>
  <c r="F855" i="8"/>
  <c r="E855" i="8"/>
  <c r="D855" i="8"/>
  <c r="C855" i="8"/>
  <c r="B855" i="8"/>
  <c r="A855" i="8"/>
  <c r="M854" i="8"/>
  <c r="K854" i="8"/>
  <c r="J854" i="8"/>
  <c r="I854" i="8"/>
  <c r="H854" i="8"/>
  <c r="G854" i="8"/>
  <c r="L854" i="8" s="1"/>
  <c r="F854" i="8"/>
  <c r="E854" i="8"/>
  <c r="D854" i="8"/>
  <c r="C854" i="8"/>
  <c r="B854" i="8"/>
  <c r="A854" i="8"/>
  <c r="M853" i="8"/>
  <c r="L853" i="8"/>
  <c r="K853" i="8"/>
  <c r="J853" i="8"/>
  <c r="I853" i="8"/>
  <c r="H853" i="8"/>
  <c r="G853" i="8"/>
  <c r="F853" i="8"/>
  <c r="E853" i="8"/>
  <c r="D853" i="8"/>
  <c r="C853" i="8"/>
  <c r="B853" i="8"/>
  <c r="A853" i="8"/>
  <c r="M852" i="8"/>
  <c r="K852" i="8"/>
  <c r="J852" i="8"/>
  <c r="I852" i="8"/>
  <c r="H852" i="8"/>
  <c r="G852" i="8"/>
  <c r="L852" i="8" s="1"/>
  <c r="F852" i="8"/>
  <c r="E852" i="8"/>
  <c r="D852" i="8"/>
  <c r="C852" i="8"/>
  <c r="B852" i="8"/>
  <c r="A852" i="8"/>
  <c r="M851" i="8"/>
  <c r="K851" i="8"/>
  <c r="J851" i="8"/>
  <c r="I851" i="8"/>
  <c r="H851" i="8"/>
  <c r="G851" i="8"/>
  <c r="L851" i="8" s="1"/>
  <c r="F851" i="8"/>
  <c r="E851" i="8"/>
  <c r="D851" i="8"/>
  <c r="C851" i="8"/>
  <c r="B851" i="8"/>
  <c r="A851" i="8"/>
  <c r="M850" i="8"/>
  <c r="K850" i="8"/>
  <c r="J850" i="8"/>
  <c r="I850" i="8"/>
  <c r="H850" i="8"/>
  <c r="G850" i="8"/>
  <c r="L850" i="8" s="1"/>
  <c r="F850" i="8"/>
  <c r="E850" i="8"/>
  <c r="D850" i="8"/>
  <c r="C850" i="8"/>
  <c r="B850" i="8"/>
  <c r="A850" i="8"/>
  <c r="M849" i="8"/>
  <c r="L849" i="8"/>
  <c r="K849" i="8"/>
  <c r="J849" i="8"/>
  <c r="I849" i="8"/>
  <c r="H849" i="8"/>
  <c r="G849" i="8"/>
  <c r="F849" i="8"/>
  <c r="E849" i="8"/>
  <c r="D849" i="8"/>
  <c r="C849" i="8"/>
  <c r="B849" i="8"/>
  <c r="A849" i="8"/>
  <c r="M848" i="8"/>
  <c r="K848" i="8"/>
  <c r="J848" i="8"/>
  <c r="I848" i="8"/>
  <c r="H848" i="8"/>
  <c r="G848" i="8"/>
  <c r="L848" i="8" s="1"/>
  <c r="F848" i="8"/>
  <c r="E848" i="8"/>
  <c r="D848" i="8"/>
  <c r="C848" i="8"/>
  <c r="B848" i="8"/>
  <c r="A848" i="8"/>
  <c r="M847" i="8"/>
  <c r="K847" i="8"/>
  <c r="J847" i="8"/>
  <c r="I847" i="8"/>
  <c r="H847" i="8"/>
  <c r="G847" i="8"/>
  <c r="L847" i="8" s="1"/>
  <c r="F847" i="8"/>
  <c r="E847" i="8"/>
  <c r="D847" i="8"/>
  <c r="C847" i="8"/>
  <c r="B847" i="8"/>
  <c r="A847" i="8"/>
  <c r="M846" i="8"/>
  <c r="K846" i="8"/>
  <c r="J846" i="8"/>
  <c r="I846" i="8"/>
  <c r="H846" i="8"/>
  <c r="G846" i="8"/>
  <c r="L846" i="8" s="1"/>
  <c r="F846" i="8"/>
  <c r="E846" i="8"/>
  <c r="D846" i="8"/>
  <c r="C846" i="8"/>
  <c r="B846" i="8"/>
  <c r="A846" i="8"/>
  <c r="M845" i="8"/>
  <c r="L845" i="8"/>
  <c r="K845" i="8"/>
  <c r="J845" i="8"/>
  <c r="I845" i="8"/>
  <c r="H845" i="8"/>
  <c r="G845" i="8"/>
  <c r="F845" i="8"/>
  <c r="E845" i="8"/>
  <c r="D845" i="8"/>
  <c r="C845" i="8"/>
  <c r="B845" i="8"/>
  <c r="A845" i="8"/>
  <c r="M844" i="8"/>
  <c r="K844" i="8"/>
  <c r="J844" i="8"/>
  <c r="I844" i="8"/>
  <c r="H844" i="8"/>
  <c r="G844" i="8"/>
  <c r="L844" i="8" s="1"/>
  <c r="F844" i="8"/>
  <c r="E844" i="8"/>
  <c r="D844" i="8"/>
  <c r="C844" i="8"/>
  <c r="B844" i="8"/>
  <c r="A844" i="8"/>
  <c r="M843" i="8"/>
  <c r="K843" i="8"/>
  <c r="J843" i="8"/>
  <c r="I843" i="8"/>
  <c r="H843" i="8"/>
  <c r="G843" i="8"/>
  <c r="L843" i="8" s="1"/>
  <c r="F843" i="8"/>
  <c r="E843" i="8"/>
  <c r="D843" i="8"/>
  <c r="C843" i="8"/>
  <c r="B843" i="8"/>
  <c r="A843" i="8"/>
  <c r="M842" i="8"/>
  <c r="K842" i="8"/>
  <c r="J842" i="8"/>
  <c r="I842" i="8"/>
  <c r="H842" i="8"/>
  <c r="G842" i="8"/>
  <c r="L842" i="8" s="1"/>
  <c r="F842" i="8"/>
  <c r="E842" i="8"/>
  <c r="D842" i="8"/>
  <c r="C842" i="8"/>
  <c r="B842" i="8"/>
  <c r="A842" i="8"/>
  <c r="M841" i="8"/>
  <c r="L841" i="8"/>
  <c r="K841" i="8"/>
  <c r="J841" i="8"/>
  <c r="I841" i="8"/>
  <c r="H841" i="8"/>
  <c r="G841" i="8"/>
  <c r="F841" i="8"/>
  <c r="E841" i="8"/>
  <c r="D841" i="8"/>
  <c r="C841" i="8"/>
  <c r="B841" i="8"/>
  <c r="A841" i="8"/>
  <c r="M840" i="8"/>
  <c r="K840" i="8"/>
  <c r="J840" i="8"/>
  <c r="I840" i="8"/>
  <c r="H840" i="8"/>
  <c r="G840" i="8"/>
  <c r="L840" i="8" s="1"/>
  <c r="F840" i="8"/>
  <c r="E840" i="8"/>
  <c r="D840" i="8"/>
  <c r="C840" i="8"/>
  <c r="B840" i="8"/>
  <c r="A840" i="8"/>
  <c r="M839" i="8"/>
  <c r="K839" i="8"/>
  <c r="J839" i="8"/>
  <c r="I839" i="8"/>
  <c r="H839" i="8"/>
  <c r="G839" i="8"/>
  <c r="L839" i="8" s="1"/>
  <c r="F839" i="8"/>
  <c r="E839" i="8"/>
  <c r="D839" i="8"/>
  <c r="C839" i="8"/>
  <c r="B839" i="8"/>
  <c r="A839" i="8"/>
  <c r="M838" i="8"/>
  <c r="K838" i="8"/>
  <c r="J838" i="8"/>
  <c r="I838" i="8"/>
  <c r="H838" i="8"/>
  <c r="G838" i="8"/>
  <c r="L838" i="8" s="1"/>
  <c r="F838" i="8"/>
  <c r="E838" i="8"/>
  <c r="D838" i="8"/>
  <c r="C838" i="8"/>
  <c r="B838" i="8"/>
  <c r="A838" i="8"/>
  <c r="M837" i="8"/>
  <c r="L837" i="8"/>
  <c r="K837" i="8"/>
  <c r="J837" i="8"/>
  <c r="I837" i="8"/>
  <c r="H837" i="8"/>
  <c r="G837" i="8"/>
  <c r="F837" i="8"/>
  <c r="E837" i="8"/>
  <c r="D837" i="8"/>
  <c r="C837" i="8"/>
  <c r="B837" i="8"/>
  <c r="A837" i="8"/>
  <c r="M836" i="8"/>
  <c r="K836" i="8"/>
  <c r="J836" i="8"/>
  <c r="I836" i="8"/>
  <c r="H836" i="8"/>
  <c r="G836" i="8"/>
  <c r="L836" i="8" s="1"/>
  <c r="F836" i="8"/>
  <c r="E836" i="8"/>
  <c r="D836" i="8"/>
  <c r="C836" i="8"/>
  <c r="B836" i="8"/>
  <c r="A836" i="8"/>
  <c r="M835" i="8"/>
  <c r="K835" i="8"/>
  <c r="J835" i="8"/>
  <c r="I835" i="8"/>
  <c r="H835" i="8"/>
  <c r="G835" i="8"/>
  <c r="L835" i="8" s="1"/>
  <c r="F835" i="8"/>
  <c r="E835" i="8"/>
  <c r="D835" i="8"/>
  <c r="C835" i="8"/>
  <c r="B835" i="8"/>
  <c r="A835" i="8"/>
  <c r="M834" i="8"/>
  <c r="K834" i="8"/>
  <c r="J834" i="8"/>
  <c r="I834" i="8"/>
  <c r="H834" i="8"/>
  <c r="G834" i="8"/>
  <c r="L834" i="8" s="1"/>
  <c r="F834" i="8"/>
  <c r="E834" i="8"/>
  <c r="D834" i="8"/>
  <c r="C834" i="8"/>
  <c r="B834" i="8"/>
  <c r="A834" i="8"/>
  <c r="M833" i="8"/>
  <c r="L833" i="8"/>
  <c r="K833" i="8"/>
  <c r="J833" i="8"/>
  <c r="I833" i="8"/>
  <c r="H833" i="8"/>
  <c r="G833" i="8"/>
  <c r="F833" i="8"/>
  <c r="E833" i="8"/>
  <c r="D833" i="8"/>
  <c r="C833" i="8"/>
  <c r="B833" i="8"/>
  <c r="A833" i="8"/>
  <c r="M832" i="8"/>
  <c r="K832" i="8"/>
  <c r="J832" i="8"/>
  <c r="I832" i="8"/>
  <c r="H832" i="8"/>
  <c r="G832" i="8"/>
  <c r="L832" i="8" s="1"/>
  <c r="F832" i="8"/>
  <c r="E832" i="8"/>
  <c r="D832" i="8"/>
  <c r="C832" i="8"/>
  <c r="B832" i="8"/>
  <c r="A832" i="8"/>
  <c r="M831" i="8"/>
  <c r="K831" i="8"/>
  <c r="J831" i="8"/>
  <c r="I831" i="8"/>
  <c r="H831" i="8"/>
  <c r="G831" i="8"/>
  <c r="L831" i="8" s="1"/>
  <c r="F831" i="8"/>
  <c r="E831" i="8"/>
  <c r="D831" i="8"/>
  <c r="C831" i="8"/>
  <c r="B831" i="8"/>
  <c r="A831" i="8"/>
  <c r="M830" i="8"/>
  <c r="K830" i="8"/>
  <c r="J830" i="8"/>
  <c r="I830" i="8"/>
  <c r="H830" i="8"/>
  <c r="G830" i="8"/>
  <c r="L830" i="8" s="1"/>
  <c r="F830" i="8"/>
  <c r="E830" i="8"/>
  <c r="D830" i="8"/>
  <c r="C830" i="8"/>
  <c r="B830" i="8"/>
  <c r="A830" i="8"/>
  <c r="M829" i="8"/>
  <c r="L829" i="8"/>
  <c r="K829" i="8"/>
  <c r="J829" i="8"/>
  <c r="I829" i="8"/>
  <c r="H829" i="8"/>
  <c r="G829" i="8"/>
  <c r="F829" i="8"/>
  <c r="E829" i="8"/>
  <c r="D829" i="8"/>
  <c r="C829" i="8"/>
  <c r="B829" i="8"/>
  <c r="A829" i="8"/>
  <c r="M828" i="8"/>
  <c r="K828" i="8"/>
  <c r="J828" i="8"/>
  <c r="I828" i="8"/>
  <c r="H828" i="8"/>
  <c r="G828" i="8"/>
  <c r="L828" i="8" s="1"/>
  <c r="F828" i="8"/>
  <c r="E828" i="8"/>
  <c r="D828" i="8"/>
  <c r="C828" i="8"/>
  <c r="B828" i="8"/>
  <c r="A828" i="8"/>
  <c r="M827" i="8"/>
  <c r="K827" i="8"/>
  <c r="J827" i="8"/>
  <c r="I827" i="8"/>
  <c r="H827" i="8"/>
  <c r="G827" i="8"/>
  <c r="L827" i="8" s="1"/>
  <c r="F827" i="8"/>
  <c r="E827" i="8"/>
  <c r="D827" i="8"/>
  <c r="C827" i="8"/>
  <c r="B827" i="8"/>
  <c r="A827" i="8"/>
  <c r="M826" i="8"/>
  <c r="K826" i="8"/>
  <c r="J826" i="8"/>
  <c r="I826" i="8"/>
  <c r="H826" i="8"/>
  <c r="G826" i="8"/>
  <c r="L826" i="8" s="1"/>
  <c r="F826" i="8"/>
  <c r="E826" i="8"/>
  <c r="D826" i="8"/>
  <c r="C826" i="8"/>
  <c r="B826" i="8"/>
  <c r="A826" i="8"/>
  <c r="M825" i="8"/>
  <c r="L825" i="8"/>
  <c r="K825" i="8"/>
  <c r="J825" i="8"/>
  <c r="I825" i="8"/>
  <c r="H825" i="8"/>
  <c r="G825" i="8"/>
  <c r="F825" i="8"/>
  <c r="E825" i="8"/>
  <c r="D825" i="8"/>
  <c r="C825" i="8"/>
  <c r="B825" i="8"/>
  <c r="A825" i="8"/>
  <c r="M824" i="8"/>
  <c r="K824" i="8"/>
  <c r="J824" i="8"/>
  <c r="I824" i="8"/>
  <c r="H824" i="8"/>
  <c r="G824" i="8"/>
  <c r="L824" i="8" s="1"/>
  <c r="F824" i="8"/>
  <c r="E824" i="8"/>
  <c r="D824" i="8"/>
  <c r="C824" i="8"/>
  <c r="B824" i="8"/>
  <c r="A824" i="8"/>
  <c r="M823" i="8"/>
  <c r="K823" i="8"/>
  <c r="J823" i="8"/>
  <c r="I823" i="8"/>
  <c r="H823" i="8"/>
  <c r="G823" i="8"/>
  <c r="L823" i="8" s="1"/>
  <c r="F823" i="8"/>
  <c r="E823" i="8"/>
  <c r="D823" i="8"/>
  <c r="C823" i="8"/>
  <c r="B823" i="8"/>
  <c r="A823" i="8"/>
  <c r="M822" i="8"/>
  <c r="K822" i="8"/>
  <c r="J822" i="8"/>
  <c r="I822" i="8"/>
  <c r="H822" i="8"/>
  <c r="G822" i="8"/>
  <c r="L822" i="8" s="1"/>
  <c r="F822" i="8"/>
  <c r="E822" i="8"/>
  <c r="D822" i="8"/>
  <c r="C822" i="8"/>
  <c r="B822" i="8"/>
  <c r="A822" i="8"/>
  <c r="M821" i="8"/>
  <c r="L821" i="8"/>
  <c r="K821" i="8"/>
  <c r="J821" i="8"/>
  <c r="I821" i="8"/>
  <c r="H821" i="8"/>
  <c r="G821" i="8"/>
  <c r="F821" i="8"/>
  <c r="E821" i="8"/>
  <c r="D821" i="8"/>
  <c r="C821" i="8"/>
  <c r="B821" i="8"/>
  <c r="A821" i="8"/>
  <c r="M820" i="8"/>
  <c r="K820" i="8"/>
  <c r="J820" i="8"/>
  <c r="I820" i="8"/>
  <c r="H820" i="8"/>
  <c r="G820" i="8"/>
  <c r="L820" i="8" s="1"/>
  <c r="F820" i="8"/>
  <c r="E820" i="8"/>
  <c r="D820" i="8"/>
  <c r="C820" i="8"/>
  <c r="B820" i="8"/>
  <c r="A820" i="8"/>
  <c r="M819" i="8"/>
  <c r="K819" i="8"/>
  <c r="J819" i="8"/>
  <c r="I819" i="8"/>
  <c r="H819" i="8"/>
  <c r="G819" i="8"/>
  <c r="L819" i="8" s="1"/>
  <c r="F819" i="8"/>
  <c r="E819" i="8"/>
  <c r="D819" i="8"/>
  <c r="C819" i="8"/>
  <c r="B819" i="8"/>
  <c r="A819" i="8"/>
  <c r="M818" i="8"/>
  <c r="K818" i="8"/>
  <c r="J818" i="8"/>
  <c r="I818" i="8"/>
  <c r="H818" i="8"/>
  <c r="G818" i="8"/>
  <c r="L818" i="8" s="1"/>
  <c r="F818" i="8"/>
  <c r="E818" i="8"/>
  <c r="D818" i="8"/>
  <c r="C818" i="8"/>
  <c r="B818" i="8"/>
  <c r="A818" i="8"/>
  <c r="M817" i="8"/>
  <c r="L817" i="8"/>
  <c r="K817" i="8"/>
  <c r="J817" i="8"/>
  <c r="I817" i="8"/>
  <c r="H817" i="8"/>
  <c r="G817" i="8"/>
  <c r="F817" i="8"/>
  <c r="E817" i="8"/>
  <c r="D817" i="8"/>
  <c r="C817" i="8"/>
  <c r="B817" i="8"/>
  <c r="A817" i="8"/>
  <c r="M816" i="8"/>
  <c r="K816" i="8"/>
  <c r="J816" i="8"/>
  <c r="I816" i="8"/>
  <c r="H816" i="8"/>
  <c r="G816" i="8"/>
  <c r="L816" i="8" s="1"/>
  <c r="F816" i="8"/>
  <c r="E816" i="8"/>
  <c r="D816" i="8"/>
  <c r="C816" i="8"/>
  <c r="B816" i="8"/>
  <c r="A816" i="8"/>
  <c r="M815" i="8"/>
  <c r="K815" i="8"/>
  <c r="J815" i="8"/>
  <c r="I815" i="8"/>
  <c r="H815" i="8"/>
  <c r="G815" i="8"/>
  <c r="L815" i="8" s="1"/>
  <c r="F815" i="8"/>
  <c r="E815" i="8"/>
  <c r="D815" i="8"/>
  <c r="C815" i="8"/>
  <c r="B815" i="8"/>
  <c r="A815" i="8"/>
  <c r="M814" i="8"/>
  <c r="K814" i="8"/>
  <c r="J814" i="8"/>
  <c r="I814" i="8"/>
  <c r="H814" i="8"/>
  <c r="G814" i="8"/>
  <c r="L814" i="8" s="1"/>
  <c r="F814" i="8"/>
  <c r="E814" i="8"/>
  <c r="D814" i="8"/>
  <c r="C814" i="8"/>
  <c r="B814" i="8"/>
  <c r="A814" i="8"/>
  <c r="M813" i="8"/>
  <c r="L813" i="8"/>
  <c r="K813" i="8"/>
  <c r="J813" i="8"/>
  <c r="I813" i="8"/>
  <c r="H813" i="8"/>
  <c r="G813" i="8"/>
  <c r="F813" i="8"/>
  <c r="E813" i="8"/>
  <c r="D813" i="8"/>
  <c r="C813" i="8"/>
  <c r="B813" i="8"/>
  <c r="A813" i="8"/>
  <c r="M812" i="8"/>
  <c r="K812" i="8"/>
  <c r="J812" i="8"/>
  <c r="I812" i="8"/>
  <c r="H812" i="8"/>
  <c r="G812" i="8"/>
  <c r="L812" i="8" s="1"/>
  <c r="F812" i="8"/>
  <c r="E812" i="8"/>
  <c r="D812" i="8"/>
  <c r="C812" i="8"/>
  <c r="B812" i="8"/>
  <c r="A812" i="8"/>
  <c r="M811" i="8"/>
  <c r="K811" i="8"/>
  <c r="J811" i="8"/>
  <c r="I811" i="8"/>
  <c r="H811" i="8"/>
  <c r="G811" i="8"/>
  <c r="L811" i="8" s="1"/>
  <c r="F811" i="8"/>
  <c r="E811" i="8"/>
  <c r="D811" i="8"/>
  <c r="C811" i="8"/>
  <c r="B811" i="8"/>
  <c r="A811" i="8"/>
  <c r="M810" i="8"/>
  <c r="K810" i="8"/>
  <c r="J810" i="8"/>
  <c r="I810" i="8"/>
  <c r="H810" i="8"/>
  <c r="G810" i="8"/>
  <c r="L810" i="8" s="1"/>
  <c r="F810" i="8"/>
  <c r="E810" i="8"/>
  <c r="D810" i="8"/>
  <c r="C810" i="8"/>
  <c r="B810" i="8"/>
  <c r="A810" i="8"/>
  <c r="M809" i="8"/>
  <c r="L809" i="8"/>
  <c r="K809" i="8"/>
  <c r="J809" i="8"/>
  <c r="I809" i="8"/>
  <c r="H809" i="8"/>
  <c r="G809" i="8"/>
  <c r="F809" i="8"/>
  <c r="E809" i="8"/>
  <c r="D809" i="8"/>
  <c r="C809" i="8"/>
  <c r="B809" i="8"/>
  <c r="A809" i="8"/>
  <c r="M808" i="8"/>
  <c r="K808" i="8"/>
  <c r="J808" i="8"/>
  <c r="I808" i="8"/>
  <c r="H808" i="8"/>
  <c r="G808" i="8"/>
  <c r="L808" i="8" s="1"/>
  <c r="F808" i="8"/>
  <c r="E808" i="8"/>
  <c r="D808" i="8"/>
  <c r="C808" i="8"/>
  <c r="B808" i="8"/>
  <c r="A808" i="8"/>
  <c r="M807" i="8"/>
  <c r="K807" i="8"/>
  <c r="J807" i="8"/>
  <c r="I807" i="8"/>
  <c r="H807" i="8"/>
  <c r="G807" i="8"/>
  <c r="L807" i="8" s="1"/>
  <c r="F807" i="8"/>
  <c r="E807" i="8"/>
  <c r="D807" i="8"/>
  <c r="C807" i="8"/>
  <c r="B807" i="8"/>
  <c r="A807" i="8"/>
  <c r="M806" i="8"/>
  <c r="K806" i="8"/>
  <c r="J806" i="8"/>
  <c r="I806" i="8"/>
  <c r="H806" i="8"/>
  <c r="G806" i="8"/>
  <c r="L806" i="8" s="1"/>
  <c r="F806" i="8"/>
  <c r="E806" i="8"/>
  <c r="D806" i="8"/>
  <c r="C806" i="8"/>
  <c r="B806" i="8"/>
  <c r="A806" i="8"/>
  <c r="M805" i="8"/>
  <c r="L805" i="8"/>
  <c r="K805" i="8"/>
  <c r="J805" i="8"/>
  <c r="I805" i="8"/>
  <c r="H805" i="8"/>
  <c r="G805" i="8"/>
  <c r="F805" i="8"/>
  <c r="E805" i="8"/>
  <c r="D805" i="8"/>
  <c r="C805" i="8"/>
  <c r="B805" i="8"/>
  <c r="A805" i="8"/>
  <c r="M804" i="8"/>
  <c r="K804" i="8"/>
  <c r="J804" i="8"/>
  <c r="I804" i="8"/>
  <c r="H804" i="8"/>
  <c r="G804" i="8"/>
  <c r="L804" i="8" s="1"/>
  <c r="F804" i="8"/>
  <c r="E804" i="8"/>
  <c r="D804" i="8"/>
  <c r="C804" i="8"/>
  <c r="B804" i="8"/>
  <c r="A804" i="8"/>
  <c r="M803" i="8"/>
  <c r="K803" i="8"/>
  <c r="J803" i="8"/>
  <c r="I803" i="8"/>
  <c r="H803" i="8"/>
  <c r="G803" i="8"/>
  <c r="L803" i="8" s="1"/>
  <c r="F803" i="8"/>
  <c r="E803" i="8"/>
  <c r="D803" i="8"/>
  <c r="C803" i="8"/>
  <c r="B803" i="8"/>
  <c r="A803" i="8"/>
  <c r="M802" i="8"/>
  <c r="K802" i="8"/>
  <c r="J802" i="8"/>
  <c r="I802" i="8"/>
  <c r="H802" i="8"/>
  <c r="G802" i="8"/>
  <c r="L802" i="8" s="1"/>
  <c r="F802" i="8"/>
  <c r="E802" i="8"/>
  <c r="D802" i="8"/>
  <c r="C802" i="8"/>
  <c r="B802" i="8"/>
  <c r="A802" i="8"/>
  <c r="M801" i="8"/>
  <c r="L801" i="8"/>
  <c r="K801" i="8"/>
  <c r="J801" i="8"/>
  <c r="I801" i="8"/>
  <c r="H801" i="8"/>
  <c r="G801" i="8"/>
  <c r="F801" i="8"/>
  <c r="E801" i="8"/>
  <c r="D801" i="8"/>
  <c r="C801" i="8"/>
  <c r="B801" i="8"/>
  <c r="A801" i="8"/>
  <c r="M800" i="8"/>
  <c r="K800" i="8"/>
  <c r="J800" i="8"/>
  <c r="I800" i="8"/>
  <c r="H800" i="8"/>
  <c r="G800" i="8"/>
  <c r="L800" i="8" s="1"/>
  <c r="F800" i="8"/>
  <c r="E800" i="8"/>
  <c r="D800" i="8"/>
  <c r="C800" i="8"/>
  <c r="B800" i="8"/>
  <c r="A800" i="8"/>
  <c r="M799" i="8"/>
  <c r="K799" i="8"/>
  <c r="J799" i="8"/>
  <c r="I799" i="8"/>
  <c r="H799" i="8"/>
  <c r="G799" i="8"/>
  <c r="L799" i="8" s="1"/>
  <c r="F799" i="8"/>
  <c r="E799" i="8"/>
  <c r="D799" i="8"/>
  <c r="C799" i="8"/>
  <c r="B799" i="8"/>
  <c r="A799" i="8"/>
  <c r="M798" i="8"/>
  <c r="K798" i="8"/>
  <c r="J798" i="8"/>
  <c r="I798" i="8"/>
  <c r="H798" i="8"/>
  <c r="G798" i="8"/>
  <c r="L798" i="8" s="1"/>
  <c r="F798" i="8"/>
  <c r="E798" i="8"/>
  <c r="D798" i="8"/>
  <c r="C798" i="8"/>
  <c r="B798" i="8"/>
  <c r="A798" i="8"/>
  <c r="M797" i="8"/>
  <c r="L797" i="8"/>
  <c r="K797" i="8"/>
  <c r="J797" i="8"/>
  <c r="I797" i="8"/>
  <c r="H797" i="8"/>
  <c r="G797" i="8"/>
  <c r="F797" i="8"/>
  <c r="E797" i="8"/>
  <c r="D797" i="8"/>
  <c r="C797" i="8"/>
  <c r="B797" i="8"/>
  <c r="A797" i="8"/>
  <c r="M796" i="8"/>
  <c r="K796" i="8"/>
  <c r="J796" i="8"/>
  <c r="I796" i="8"/>
  <c r="H796" i="8"/>
  <c r="G796" i="8"/>
  <c r="L796" i="8" s="1"/>
  <c r="F796" i="8"/>
  <c r="E796" i="8"/>
  <c r="D796" i="8"/>
  <c r="C796" i="8"/>
  <c r="B796" i="8"/>
  <c r="A796" i="8"/>
  <c r="M795" i="8"/>
  <c r="K795" i="8"/>
  <c r="J795" i="8"/>
  <c r="I795" i="8"/>
  <c r="H795" i="8"/>
  <c r="G795" i="8"/>
  <c r="L795" i="8" s="1"/>
  <c r="F795" i="8"/>
  <c r="E795" i="8"/>
  <c r="D795" i="8"/>
  <c r="C795" i="8"/>
  <c r="B795" i="8"/>
  <c r="A795" i="8"/>
  <c r="M794" i="8"/>
  <c r="K794" i="8"/>
  <c r="J794" i="8"/>
  <c r="I794" i="8"/>
  <c r="H794" i="8"/>
  <c r="G794" i="8"/>
  <c r="L794" i="8" s="1"/>
  <c r="F794" i="8"/>
  <c r="E794" i="8"/>
  <c r="D794" i="8"/>
  <c r="C794" i="8"/>
  <c r="B794" i="8"/>
  <c r="A794" i="8"/>
  <c r="M793" i="8"/>
  <c r="L793" i="8"/>
  <c r="K793" i="8"/>
  <c r="J793" i="8"/>
  <c r="I793" i="8"/>
  <c r="H793" i="8"/>
  <c r="G793" i="8"/>
  <c r="F793" i="8"/>
  <c r="E793" i="8"/>
  <c r="D793" i="8"/>
  <c r="C793" i="8"/>
  <c r="B793" i="8"/>
  <c r="A793" i="8"/>
  <c r="M792" i="8"/>
  <c r="K792" i="8"/>
  <c r="J792" i="8"/>
  <c r="I792" i="8"/>
  <c r="H792" i="8"/>
  <c r="G792" i="8"/>
  <c r="L792" i="8" s="1"/>
  <c r="F792" i="8"/>
  <c r="E792" i="8"/>
  <c r="D792" i="8"/>
  <c r="C792" i="8"/>
  <c r="B792" i="8"/>
  <c r="A792" i="8"/>
  <c r="M791" i="8"/>
  <c r="K791" i="8"/>
  <c r="J791" i="8"/>
  <c r="I791" i="8"/>
  <c r="H791" i="8"/>
  <c r="G791" i="8"/>
  <c r="L791" i="8" s="1"/>
  <c r="F791" i="8"/>
  <c r="E791" i="8"/>
  <c r="D791" i="8"/>
  <c r="C791" i="8"/>
  <c r="B791" i="8"/>
  <c r="A791" i="8"/>
  <c r="M790" i="8"/>
  <c r="K790" i="8"/>
  <c r="J790" i="8"/>
  <c r="I790" i="8"/>
  <c r="H790" i="8"/>
  <c r="G790" i="8"/>
  <c r="L790" i="8" s="1"/>
  <c r="F790" i="8"/>
  <c r="E790" i="8"/>
  <c r="D790" i="8"/>
  <c r="C790" i="8"/>
  <c r="B790" i="8"/>
  <c r="A790" i="8"/>
  <c r="M789" i="8"/>
  <c r="L789" i="8"/>
  <c r="K789" i="8"/>
  <c r="J789" i="8"/>
  <c r="I789" i="8"/>
  <c r="H789" i="8"/>
  <c r="G789" i="8"/>
  <c r="F789" i="8"/>
  <c r="E789" i="8"/>
  <c r="D789" i="8"/>
  <c r="C789" i="8"/>
  <c r="B789" i="8"/>
  <c r="A789" i="8"/>
  <c r="M788" i="8"/>
  <c r="K788" i="8"/>
  <c r="J788" i="8"/>
  <c r="I788" i="8"/>
  <c r="H788" i="8"/>
  <c r="G788" i="8"/>
  <c r="L788" i="8" s="1"/>
  <c r="F788" i="8"/>
  <c r="E788" i="8"/>
  <c r="D788" i="8"/>
  <c r="C788" i="8"/>
  <c r="B788" i="8"/>
  <c r="A788" i="8"/>
  <c r="M787" i="8"/>
  <c r="K787" i="8"/>
  <c r="J787" i="8"/>
  <c r="I787" i="8"/>
  <c r="H787" i="8"/>
  <c r="G787" i="8"/>
  <c r="L787" i="8" s="1"/>
  <c r="F787" i="8"/>
  <c r="E787" i="8"/>
  <c r="D787" i="8"/>
  <c r="C787" i="8"/>
  <c r="B787" i="8"/>
  <c r="A787" i="8"/>
  <c r="M786" i="8"/>
  <c r="K786" i="8"/>
  <c r="J786" i="8"/>
  <c r="I786" i="8"/>
  <c r="H786" i="8"/>
  <c r="G786" i="8"/>
  <c r="L786" i="8" s="1"/>
  <c r="F786" i="8"/>
  <c r="E786" i="8"/>
  <c r="D786" i="8"/>
  <c r="C786" i="8"/>
  <c r="B786" i="8"/>
  <c r="A786" i="8"/>
  <c r="M785" i="8"/>
  <c r="L785" i="8"/>
  <c r="K785" i="8"/>
  <c r="J785" i="8"/>
  <c r="I785" i="8"/>
  <c r="H785" i="8"/>
  <c r="G785" i="8"/>
  <c r="F785" i="8"/>
  <c r="E785" i="8"/>
  <c r="D785" i="8"/>
  <c r="C785" i="8"/>
  <c r="B785" i="8"/>
  <c r="A785" i="8"/>
  <c r="M784" i="8"/>
  <c r="K784" i="8"/>
  <c r="J784" i="8"/>
  <c r="I784" i="8"/>
  <c r="H784" i="8"/>
  <c r="G784" i="8"/>
  <c r="L784" i="8" s="1"/>
  <c r="F784" i="8"/>
  <c r="E784" i="8"/>
  <c r="D784" i="8"/>
  <c r="C784" i="8"/>
  <c r="B784" i="8"/>
  <c r="A784" i="8"/>
  <c r="M783" i="8"/>
  <c r="K783" i="8"/>
  <c r="J783" i="8"/>
  <c r="I783" i="8"/>
  <c r="H783" i="8"/>
  <c r="G783" i="8"/>
  <c r="L783" i="8" s="1"/>
  <c r="F783" i="8"/>
  <c r="E783" i="8"/>
  <c r="D783" i="8"/>
  <c r="C783" i="8"/>
  <c r="B783" i="8"/>
  <c r="A783" i="8"/>
  <c r="M782" i="8"/>
  <c r="K782" i="8"/>
  <c r="J782" i="8"/>
  <c r="I782" i="8"/>
  <c r="H782" i="8"/>
  <c r="G782" i="8"/>
  <c r="L782" i="8" s="1"/>
  <c r="F782" i="8"/>
  <c r="E782" i="8"/>
  <c r="D782" i="8"/>
  <c r="C782" i="8"/>
  <c r="B782" i="8"/>
  <c r="A782" i="8"/>
  <c r="M781" i="8"/>
  <c r="L781" i="8"/>
  <c r="K781" i="8"/>
  <c r="J781" i="8"/>
  <c r="I781" i="8"/>
  <c r="H781" i="8"/>
  <c r="G781" i="8"/>
  <c r="F781" i="8"/>
  <c r="E781" i="8"/>
  <c r="D781" i="8"/>
  <c r="C781" i="8"/>
  <c r="B781" i="8"/>
  <c r="A781" i="8"/>
  <c r="M780" i="8"/>
  <c r="K780" i="8"/>
  <c r="J780" i="8"/>
  <c r="I780" i="8"/>
  <c r="H780" i="8"/>
  <c r="G780" i="8"/>
  <c r="L780" i="8" s="1"/>
  <c r="F780" i="8"/>
  <c r="E780" i="8"/>
  <c r="D780" i="8"/>
  <c r="C780" i="8"/>
  <c r="B780" i="8"/>
  <c r="A780" i="8"/>
  <c r="M779" i="8"/>
  <c r="K779" i="8"/>
  <c r="J779" i="8"/>
  <c r="I779" i="8"/>
  <c r="H779" i="8"/>
  <c r="G779" i="8"/>
  <c r="L779" i="8" s="1"/>
  <c r="F779" i="8"/>
  <c r="E779" i="8"/>
  <c r="D779" i="8"/>
  <c r="C779" i="8"/>
  <c r="B779" i="8"/>
  <c r="A779" i="8"/>
  <c r="M778" i="8"/>
  <c r="K778" i="8"/>
  <c r="J778" i="8"/>
  <c r="I778" i="8"/>
  <c r="H778" i="8"/>
  <c r="G778" i="8"/>
  <c r="L778" i="8" s="1"/>
  <c r="F778" i="8"/>
  <c r="E778" i="8"/>
  <c r="D778" i="8"/>
  <c r="C778" i="8"/>
  <c r="B778" i="8"/>
  <c r="A778" i="8"/>
  <c r="M777" i="8"/>
  <c r="L777" i="8"/>
  <c r="K777" i="8"/>
  <c r="J777" i="8"/>
  <c r="I777" i="8"/>
  <c r="H777" i="8"/>
  <c r="G777" i="8"/>
  <c r="F777" i="8"/>
  <c r="E777" i="8"/>
  <c r="D777" i="8"/>
  <c r="C777" i="8"/>
  <c r="B777" i="8"/>
  <c r="A777" i="8"/>
  <c r="M776" i="8"/>
  <c r="K776" i="8"/>
  <c r="J776" i="8"/>
  <c r="I776" i="8"/>
  <c r="H776" i="8"/>
  <c r="G776" i="8"/>
  <c r="L776" i="8" s="1"/>
  <c r="F776" i="8"/>
  <c r="E776" i="8"/>
  <c r="D776" i="8"/>
  <c r="C776" i="8"/>
  <c r="B776" i="8"/>
  <c r="A776" i="8"/>
  <c r="M775" i="8"/>
  <c r="K775" i="8"/>
  <c r="J775" i="8"/>
  <c r="I775" i="8"/>
  <c r="H775" i="8"/>
  <c r="G775" i="8"/>
  <c r="L775" i="8" s="1"/>
  <c r="F775" i="8"/>
  <c r="E775" i="8"/>
  <c r="D775" i="8"/>
  <c r="C775" i="8"/>
  <c r="B775" i="8"/>
  <c r="A775" i="8"/>
  <c r="M774" i="8"/>
  <c r="K774" i="8"/>
  <c r="J774" i="8"/>
  <c r="I774" i="8"/>
  <c r="H774" i="8"/>
  <c r="G774" i="8"/>
  <c r="L774" i="8" s="1"/>
  <c r="F774" i="8"/>
  <c r="E774" i="8"/>
  <c r="D774" i="8"/>
  <c r="C774" i="8"/>
  <c r="B774" i="8"/>
  <c r="A774" i="8"/>
  <c r="M773" i="8"/>
  <c r="L773" i="8"/>
  <c r="K773" i="8"/>
  <c r="J773" i="8"/>
  <c r="I773" i="8"/>
  <c r="H773" i="8"/>
  <c r="G773" i="8"/>
  <c r="F773" i="8"/>
  <c r="E773" i="8"/>
  <c r="D773" i="8"/>
  <c r="C773" i="8"/>
  <c r="B773" i="8"/>
  <c r="A773" i="8"/>
  <c r="M772" i="8"/>
  <c r="K772" i="8"/>
  <c r="J772" i="8"/>
  <c r="I772" i="8"/>
  <c r="H772" i="8"/>
  <c r="G772" i="8"/>
  <c r="L772" i="8" s="1"/>
  <c r="F772" i="8"/>
  <c r="E772" i="8"/>
  <c r="D772" i="8"/>
  <c r="C772" i="8"/>
  <c r="B772" i="8"/>
  <c r="A772" i="8"/>
  <c r="M771" i="8"/>
  <c r="K771" i="8"/>
  <c r="J771" i="8"/>
  <c r="I771" i="8"/>
  <c r="H771" i="8"/>
  <c r="G771" i="8"/>
  <c r="L771" i="8" s="1"/>
  <c r="F771" i="8"/>
  <c r="E771" i="8"/>
  <c r="D771" i="8"/>
  <c r="C771" i="8"/>
  <c r="B771" i="8"/>
  <c r="A771" i="8"/>
  <c r="M770" i="8"/>
  <c r="K770" i="8"/>
  <c r="J770" i="8"/>
  <c r="I770" i="8"/>
  <c r="H770" i="8"/>
  <c r="G770" i="8"/>
  <c r="L770" i="8" s="1"/>
  <c r="F770" i="8"/>
  <c r="E770" i="8"/>
  <c r="D770" i="8"/>
  <c r="C770" i="8"/>
  <c r="B770" i="8"/>
  <c r="A770" i="8"/>
  <c r="M769" i="8"/>
  <c r="L769" i="8"/>
  <c r="K769" i="8"/>
  <c r="J769" i="8"/>
  <c r="I769" i="8"/>
  <c r="H769" i="8"/>
  <c r="G769" i="8"/>
  <c r="F769" i="8"/>
  <c r="E769" i="8"/>
  <c r="D769" i="8"/>
  <c r="C769" i="8"/>
  <c r="B769" i="8"/>
  <c r="A769" i="8"/>
  <c r="M768" i="8"/>
  <c r="K768" i="8"/>
  <c r="J768" i="8"/>
  <c r="I768" i="8"/>
  <c r="H768" i="8"/>
  <c r="G768" i="8"/>
  <c r="L768" i="8" s="1"/>
  <c r="F768" i="8"/>
  <c r="E768" i="8"/>
  <c r="D768" i="8"/>
  <c r="C768" i="8"/>
  <c r="B768" i="8"/>
  <c r="A768" i="8"/>
  <c r="M767" i="8"/>
  <c r="K767" i="8"/>
  <c r="J767" i="8"/>
  <c r="I767" i="8"/>
  <c r="H767" i="8"/>
  <c r="G767" i="8"/>
  <c r="L767" i="8" s="1"/>
  <c r="F767" i="8"/>
  <c r="E767" i="8"/>
  <c r="D767" i="8"/>
  <c r="C767" i="8"/>
  <c r="B767" i="8"/>
  <c r="A767" i="8"/>
  <c r="M766" i="8"/>
  <c r="K766" i="8"/>
  <c r="J766" i="8"/>
  <c r="I766" i="8"/>
  <c r="H766" i="8"/>
  <c r="G766" i="8"/>
  <c r="L766" i="8" s="1"/>
  <c r="F766" i="8"/>
  <c r="E766" i="8"/>
  <c r="D766" i="8"/>
  <c r="C766" i="8"/>
  <c r="B766" i="8"/>
  <c r="A766" i="8"/>
  <c r="M765" i="8"/>
  <c r="L765" i="8"/>
  <c r="K765" i="8"/>
  <c r="J765" i="8"/>
  <c r="I765" i="8"/>
  <c r="H765" i="8"/>
  <c r="G765" i="8"/>
  <c r="F765" i="8"/>
  <c r="E765" i="8"/>
  <c r="D765" i="8"/>
  <c r="C765" i="8"/>
  <c r="B765" i="8"/>
  <c r="A765" i="8"/>
  <c r="M764" i="8"/>
  <c r="K764" i="8"/>
  <c r="J764" i="8"/>
  <c r="I764" i="8"/>
  <c r="H764" i="8"/>
  <c r="G764" i="8"/>
  <c r="L764" i="8" s="1"/>
  <c r="F764" i="8"/>
  <c r="E764" i="8"/>
  <c r="D764" i="8"/>
  <c r="C764" i="8"/>
  <c r="B764" i="8"/>
  <c r="A764" i="8"/>
  <c r="M763" i="8"/>
  <c r="K763" i="8"/>
  <c r="J763" i="8"/>
  <c r="I763" i="8"/>
  <c r="H763" i="8"/>
  <c r="G763" i="8"/>
  <c r="L763" i="8" s="1"/>
  <c r="F763" i="8"/>
  <c r="E763" i="8"/>
  <c r="D763" i="8"/>
  <c r="C763" i="8"/>
  <c r="B763" i="8"/>
  <c r="A763" i="8"/>
  <c r="M762" i="8"/>
  <c r="K762" i="8"/>
  <c r="J762" i="8"/>
  <c r="I762" i="8"/>
  <c r="H762" i="8"/>
  <c r="G762" i="8"/>
  <c r="L762" i="8" s="1"/>
  <c r="F762" i="8"/>
  <c r="E762" i="8"/>
  <c r="D762" i="8"/>
  <c r="C762" i="8"/>
  <c r="B762" i="8"/>
  <c r="A762" i="8"/>
  <c r="M761" i="8"/>
  <c r="L761" i="8"/>
  <c r="K761" i="8"/>
  <c r="J761" i="8"/>
  <c r="I761" i="8"/>
  <c r="H761" i="8"/>
  <c r="G761" i="8"/>
  <c r="F761" i="8"/>
  <c r="E761" i="8"/>
  <c r="D761" i="8"/>
  <c r="C761" i="8"/>
  <c r="B761" i="8"/>
  <c r="A761" i="8"/>
  <c r="M760" i="8"/>
  <c r="K760" i="8"/>
  <c r="J760" i="8"/>
  <c r="I760" i="8"/>
  <c r="H760" i="8"/>
  <c r="G760" i="8"/>
  <c r="L760" i="8" s="1"/>
  <c r="F760" i="8"/>
  <c r="E760" i="8"/>
  <c r="D760" i="8"/>
  <c r="C760" i="8"/>
  <c r="B760" i="8"/>
  <c r="A760" i="8"/>
  <c r="M759" i="8"/>
  <c r="K759" i="8"/>
  <c r="J759" i="8"/>
  <c r="I759" i="8"/>
  <c r="H759" i="8"/>
  <c r="G759" i="8"/>
  <c r="L759" i="8" s="1"/>
  <c r="F759" i="8"/>
  <c r="E759" i="8"/>
  <c r="D759" i="8"/>
  <c r="C759" i="8"/>
  <c r="B759" i="8"/>
  <c r="A759" i="8"/>
  <c r="M758" i="8"/>
  <c r="K758" i="8"/>
  <c r="J758" i="8"/>
  <c r="I758" i="8"/>
  <c r="H758" i="8"/>
  <c r="G758" i="8"/>
  <c r="L758" i="8" s="1"/>
  <c r="F758" i="8"/>
  <c r="E758" i="8"/>
  <c r="D758" i="8"/>
  <c r="C758" i="8"/>
  <c r="B758" i="8"/>
  <c r="A758" i="8"/>
  <c r="M757" i="8"/>
  <c r="L757" i="8"/>
  <c r="K757" i="8"/>
  <c r="J757" i="8"/>
  <c r="I757" i="8"/>
  <c r="H757" i="8"/>
  <c r="G757" i="8"/>
  <c r="F757" i="8"/>
  <c r="E757" i="8"/>
  <c r="D757" i="8"/>
  <c r="C757" i="8"/>
  <c r="B757" i="8"/>
  <c r="A757" i="8"/>
  <c r="M756" i="8"/>
  <c r="K756" i="8"/>
  <c r="J756" i="8"/>
  <c r="I756" i="8"/>
  <c r="H756" i="8"/>
  <c r="G756" i="8"/>
  <c r="L756" i="8" s="1"/>
  <c r="F756" i="8"/>
  <c r="E756" i="8"/>
  <c r="D756" i="8"/>
  <c r="C756" i="8"/>
  <c r="B756" i="8"/>
  <c r="A756" i="8"/>
  <c r="M755" i="8"/>
  <c r="K755" i="8"/>
  <c r="J755" i="8"/>
  <c r="I755" i="8"/>
  <c r="H755" i="8"/>
  <c r="G755" i="8"/>
  <c r="L755" i="8" s="1"/>
  <c r="F755" i="8"/>
  <c r="E755" i="8"/>
  <c r="D755" i="8"/>
  <c r="C755" i="8"/>
  <c r="B755" i="8"/>
  <c r="A755" i="8"/>
  <c r="M754" i="8"/>
  <c r="K754" i="8"/>
  <c r="J754" i="8"/>
  <c r="I754" i="8"/>
  <c r="H754" i="8"/>
  <c r="G754" i="8"/>
  <c r="L754" i="8" s="1"/>
  <c r="F754" i="8"/>
  <c r="E754" i="8"/>
  <c r="D754" i="8"/>
  <c r="C754" i="8"/>
  <c r="B754" i="8"/>
  <c r="A754" i="8"/>
  <c r="M753" i="8"/>
  <c r="L753" i="8"/>
  <c r="K753" i="8"/>
  <c r="J753" i="8"/>
  <c r="I753" i="8"/>
  <c r="H753" i="8"/>
  <c r="G753" i="8"/>
  <c r="F753" i="8"/>
  <c r="E753" i="8"/>
  <c r="D753" i="8"/>
  <c r="C753" i="8"/>
  <c r="B753" i="8"/>
  <c r="A753" i="8"/>
  <c r="M752" i="8"/>
  <c r="K752" i="8"/>
  <c r="J752" i="8"/>
  <c r="I752" i="8"/>
  <c r="H752" i="8"/>
  <c r="G752" i="8"/>
  <c r="L752" i="8" s="1"/>
  <c r="F752" i="8"/>
  <c r="E752" i="8"/>
  <c r="D752" i="8"/>
  <c r="C752" i="8"/>
  <c r="B752" i="8"/>
  <c r="A752" i="8"/>
  <c r="M751" i="8"/>
  <c r="K751" i="8"/>
  <c r="J751" i="8"/>
  <c r="I751" i="8"/>
  <c r="H751" i="8"/>
  <c r="G751" i="8"/>
  <c r="L751" i="8" s="1"/>
  <c r="F751" i="8"/>
  <c r="E751" i="8"/>
  <c r="D751" i="8"/>
  <c r="C751" i="8"/>
  <c r="B751" i="8"/>
  <c r="A751" i="8"/>
  <c r="M750" i="8"/>
  <c r="K750" i="8"/>
  <c r="J750" i="8"/>
  <c r="I750" i="8"/>
  <c r="H750" i="8"/>
  <c r="G750" i="8"/>
  <c r="L750" i="8" s="1"/>
  <c r="F750" i="8"/>
  <c r="E750" i="8"/>
  <c r="D750" i="8"/>
  <c r="C750" i="8"/>
  <c r="B750" i="8"/>
  <c r="A750" i="8"/>
  <c r="M749" i="8"/>
  <c r="L749" i="8"/>
  <c r="K749" i="8"/>
  <c r="J749" i="8"/>
  <c r="I749" i="8"/>
  <c r="H749" i="8"/>
  <c r="G749" i="8"/>
  <c r="F749" i="8"/>
  <c r="E749" i="8"/>
  <c r="D749" i="8"/>
  <c r="C749" i="8"/>
  <c r="B749" i="8"/>
  <c r="A749" i="8"/>
  <c r="M748" i="8"/>
  <c r="K748" i="8"/>
  <c r="J748" i="8"/>
  <c r="I748" i="8"/>
  <c r="H748" i="8"/>
  <c r="G748" i="8"/>
  <c r="L748" i="8" s="1"/>
  <c r="F748" i="8"/>
  <c r="E748" i="8"/>
  <c r="D748" i="8"/>
  <c r="C748" i="8"/>
  <c r="B748" i="8"/>
  <c r="A748" i="8"/>
  <c r="M747" i="8"/>
  <c r="K747" i="8"/>
  <c r="J747" i="8"/>
  <c r="I747" i="8"/>
  <c r="H747" i="8"/>
  <c r="G747" i="8"/>
  <c r="L747" i="8" s="1"/>
  <c r="F747" i="8"/>
  <c r="E747" i="8"/>
  <c r="D747" i="8"/>
  <c r="C747" i="8"/>
  <c r="B747" i="8"/>
  <c r="A747" i="8"/>
  <c r="M746" i="8"/>
  <c r="K746" i="8"/>
  <c r="J746" i="8"/>
  <c r="I746" i="8"/>
  <c r="H746" i="8"/>
  <c r="G746" i="8"/>
  <c r="L746" i="8" s="1"/>
  <c r="F746" i="8"/>
  <c r="E746" i="8"/>
  <c r="D746" i="8"/>
  <c r="C746" i="8"/>
  <c r="B746" i="8"/>
  <c r="A746" i="8"/>
  <c r="M745" i="8"/>
  <c r="L745" i="8"/>
  <c r="K745" i="8"/>
  <c r="J745" i="8"/>
  <c r="I745" i="8"/>
  <c r="H745" i="8"/>
  <c r="G745" i="8"/>
  <c r="F745" i="8"/>
  <c r="E745" i="8"/>
  <c r="D745" i="8"/>
  <c r="C745" i="8"/>
  <c r="B745" i="8"/>
  <c r="A745" i="8"/>
  <c r="M744" i="8"/>
  <c r="K744" i="8"/>
  <c r="J744" i="8"/>
  <c r="I744" i="8"/>
  <c r="H744" i="8"/>
  <c r="G744" i="8"/>
  <c r="L744" i="8" s="1"/>
  <c r="F744" i="8"/>
  <c r="E744" i="8"/>
  <c r="D744" i="8"/>
  <c r="C744" i="8"/>
  <c r="B744" i="8"/>
  <c r="A744" i="8"/>
  <c r="M743" i="8"/>
  <c r="K743" i="8"/>
  <c r="J743" i="8"/>
  <c r="I743" i="8"/>
  <c r="H743" i="8"/>
  <c r="G743" i="8"/>
  <c r="L743" i="8" s="1"/>
  <c r="F743" i="8"/>
  <c r="E743" i="8"/>
  <c r="D743" i="8"/>
  <c r="C743" i="8"/>
  <c r="B743" i="8"/>
  <c r="A743" i="8"/>
  <c r="M742" i="8"/>
  <c r="K742" i="8"/>
  <c r="J742" i="8"/>
  <c r="I742" i="8"/>
  <c r="H742" i="8"/>
  <c r="G742" i="8"/>
  <c r="L742" i="8" s="1"/>
  <c r="F742" i="8"/>
  <c r="E742" i="8"/>
  <c r="D742" i="8"/>
  <c r="C742" i="8"/>
  <c r="B742" i="8"/>
  <c r="A742" i="8"/>
  <c r="M741" i="8"/>
  <c r="L741" i="8"/>
  <c r="K741" i="8"/>
  <c r="J741" i="8"/>
  <c r="I741" i="8"/>
  <c r="H741" i="8"/>
  <c r="G741" i="8"/>
  <c r="F741" i="8"/>
  <c r="E741" i="8"/>
  <c r="D741" i="8"/>
  <c r="C741" i="8"/>
  <c r="B741" i="8"/>
  <c r="A741" i="8"/>
  <c r="M740" i="8"/>
  <c r="K740" i="8"/>
  <c r="J740" i="8"/>
  <c r="I740" i="8"/>
  <c r="H740" i="8"/>
  <c r="G740" i="8"/>
  <c r="L740" i="8" s="1"/>
  <c r="F740" i="8"/>
  <c r="E740" i="8"/>
  <c r="D740" i="8"/>
  <c r="C740" i="8"/>
  <c r="B740" i="8"/>
  <c r="A740" i="8"/>
  <c r="M739" i="8"/>
  <c r="K739" i="8"/>
  <c r="J739" i="8"/>
  <c r="I739" i="8"/>
  <c r="H739" i="8"/>
  <c r="G739" i="8"/>
  <c r="L739" i="8" s="1"/>
  <c r="F739" i="8"/>
  <c r="E739" i="8"/>
  <c r="D739" i="8"/>
  <c r="C739" i="8"/>
  <c r="B739" i="8"/>
  <c r="A739" i="8"/>
  <c r="M738" i="8"/>
  <c r="K738" i="8"/>
  <c r="J738" i="8"/>
  <c r="I738" i="8"/>
  <c r="H738" i="8"/>
  <c r="G738" i="8"/>
  <c r="L738" i="8" s="1"/>
  <c r="F738" i="8"/>
  <c r="E738" i="8"/>
  <c r="D738" i="8"/>
  <c r="C738" i="8"/>
  <c r="B738" i="8"/>
  <c r="A738" i="8"/>
  <c r="M737" i="8"/>
  <c r="L737" i="8"/>
  <c r="K737" i="8"/>
  <c r="J737" i="8"/>
  <c r="I737" i="8"/>
  <c r="H737" i="8"/>
  <c r="G737" i="8"/>
  <c r="F737" i="8"/>
  <c r="E737" i="8"/>
  <c r="D737" i="8"/>
  <c r="C737" i="8"/>
  <c r="B737" i="8"/>
  <c r="A737" i="8"/>
  <c r="M736" i="8"/>
  <c r="K736" i="8"/>
  <c r="J736" i="8"/>
  <c r="I736" i="8"/>
  <c r="H736" i="8"/>
  <c r="G736" i="8"/>
  <c r="L736" i="8" s="1"/>
  <c r="F736" i="8"/>
  <c r="E736" i="8"/>
  <c r="D736" i="8"/>
  <c r="C736" i="8"/>
  <c r="B736" i="8"/>
  <c r="A736" i="8"/>
  <c r="M735" i="8"/>
  <c r="K735" i="8"/>
  <c r="J735" i="8"/>
  <c r="I735" i="8"/>
  <c r="H735" i="8"/>
  <c r="G735" i="8"/>
  <c r="L735" i="8" s="1"/>
  <c r="F735" i="8"/>
  <c r="E735" i="8"/>
  <c r="D735" i="8"/>
  <c r="C735" i="8"/>
  <c r="B735" i="8"/>
  <c r="A735" i="8"/>
  <c r="M734" i="8"/>
  <c r="K734" i="8"/>
  <c r="J734" i="8"/>
  <c r="I734" i="8"/>
  <c r="H734" i="8"/>
  <c r="G734" i="8"/>
  <c r="L734" i="8" s="1"/>
  <c r="F734" i="8"/>
  <c r="E734" i="8"/>
  <c r="D734" i="8"/>
  <c r="C734" i="8"/>
  <c r="B734" i="8"/>
  <c r="A734" i="8"/>
  <c r="M733" i="8"/>
  <c r="L733" i="8"/>
  <c r="K733" i="8"/>
  <c r="J733" i="8"/>
  <c r="I733" i="8"/>
  <c r="H733" i="8"/>
  <c r="G733" i="8"/>
  <c r="F733" i="8"/>
  <c r="E733" i="8"/>
  <c r="D733" i="8"/>
  <c r="C733" i="8"/>
  <c r="B733" i="8"/>
  <c r="A733" i="8"/>
  <c r="M732" i="8"/>
  <c r="K732" i="8"/>
  <c r="J732" i="8"/>
  <c r="I732" i="8"/>
  <c r="H732" i="8"/>
  <c r="G732" i="8"/>
  <c r="L732" i="8" s="1"/>
  <c r="F732" i="8"/>
  <c r="E732" i="8"/>
  <c r="D732" i="8"/>
  <c r="C732" i="8"/>
  <c r="B732" i="8"/>
  <c r="A732" i="8"/>
  <c r="M731" i="8"/>
  <c r="K731" i="8"/>
  <c r="J731" i="8"/>
  <c r="I731" i="8"/>
  <c r="H731" i="8"/>
  <c r="G731" i="8"/>
  <c r="L731" i="8" s="1"/>
  <c r="F731" i="8"/>
  <c r="E731" i="8"/>
  <c r="D731" i="8"/>
  <c r="C731" i="8"/>
  <c r="B731" i="8"/>
  <c r="A731" i="8"/>
  <c r="M730" i="8"/>
  <c r="K730" i="8"/>
  <c r="J730" i="8"/>
  <c r="I730" i="8"/>
  <c r="H730" i="8"/>
  <c r="G730" i="8"/>
  <c r="L730" i="8" s="1"/>
  <c r="F730" i="8"/>
  <c r="E730" i="8"/>
  <c r="D730" i="8"/>
  <c r="C730" i="8"/>
  <c r="B730" i="8"/>
  <c r="A730" i="8"/>
  <c r="M729" i="8"/>
  <c r="L729" i="8"/>
  <c r="K729" i="8"/>
  <c r="J729" i="8"/>
  <c r="I729" i="8"/>
  <c r="H729" i="8"/>
  <c r="G729" i="8"/>
  <c r="F729" i="8"/>
  <c r="E729" i="8"/>
  <c r="D729" i="8"/>
  <c r="C729" i="8"/>
  <c r="B729" i="8"/>
  <c r="A729" i="8"/>
  <c r="M728" i="8"/>
  <c r="K728" i="8"/>
  <c r="J728" i="8"/>
  <c r="I728" i="8"/>
  <c r="H728" i="8"/>
  <c r="G728" i="8"/>
  <c r="L728" i="8" s="1"/>
  <c r="F728" i="8"/>
  <c r="E728" i="8"/>
  <c r="D728" i="8"/>
  <c r="C728" i="8"/>
  <c r="B728" i="8"/>
  <c r="A728" i="8"/>
  <c r="M727" i="8"/>
  <c r="K727" i="8"/>
  <c r="J727" i="8"/>
  <c r="I727" i="8"/>
  <c r="H727" i="8"/>
  <c r="G727" i="8"/>
  <c r="L727" i="8" s="1"/>
  <c r="F727" i="8"/>
  <c r="E727" i="8"/>
  <c r="D727" i="8"/>
  <c r="C727" i="8"/>
  <c r="B727" i="8"/>
  <c r="A727" i="8"/>
  <c r="M726" i="8"/>
  <c r="K726" i="8"/>
  <c r="J726" i="8"/>
  <c r="I726" i="8"/>
  <c r="H726" i="8"/>
  <c r="G726" i="8"/>
  <c r="L726" i="8" s="1"/>
  <c r="F726" i="8"/>
  <c r="E726" i="8"/>
  <c r="D726" i="8"/>
  <c r="C726" i="8"/>
  <c r="B726" i="8"/>
  <c r="A726" i="8"/>
  <c r="M725" i="8"/>
  <c r="L725" i="8"/>
  <c r="K725" i="8"/>
  <c r="J725" i="8"/>
  <c r="I725" i="8"/>
  <c r="H725" i="8"/>
  <c r="G725" i="8"/>
  <c r="F725" i="8"/>
  <c r="E725" i="8"/>
  <c r="D725" i="8"/>
  <c r="C725" i="8"/>
  <c r="B725" i="8"/>
  <c r="A725" i="8"/>
  <c r="M724" i="8"/>
  <c r="K724" i="8"/>
  <c r="J724" i="8"/>
  <c r="I724" i="8"/>
  <c r="H724" i="8"/>
  <c r="G724" i="8"/>
  <c r="L724" i="8" s="1"/>
  <c r="F724" i="8"/>
  <c r="E724" i="8"/>
  <c r="D724" i="8"/>
  <c r="C724" i="8"/>
  <c r="B724" i="8"/>
  <c r="A724" i="8"/>
  <c r="M723" i="8"/>
  <c r="K723" i="8"/>
  <c r="J723" i="8"/>
  <c r="I723" i="8"/>
  <c r="H723" i="8"/>
  <c r="G723" i="8"/>
  <c r="L723" i="8" s="1"/>
  <c r="F723" i="8"/>
  <c r="E723" i="8"/>
  <c r="D723" i="8"/>
  <c r="C723" i="8"/>
  <c r="B723" i="8"/>
  <c r="A723" i="8"/>
  <c r="M722" i="8"/>
  <c r="K722" i="8"/>
  <c r="J722" i="8"/>
  <c r="I722" i="8"/>
  <c r="H722" i="8"/>
  <c r="G722" i="8"/>
  <c r="L722" i="8" s="1"/>
  <c r="F722" i="8"/>
  <c r="E722" i="8"/>
  <c r="D722" i="8"/>
  <c r="C722" i="8"/>
  <c r="B722" i="8"/>
  <c r="A722" i="8"/>
  <c r="M721" i="8"/>
  <c r="L721" i="8"/>
  <c r="K721" i="8"/>
  <c r="J721" i="8"/>
  <c r="I721" i="8"/>
  <c r="H721" i="8"/>
  <c r="G721" i="8"/>
  <c r="F721" i="8"/>
  <c r="E721" i="8"/>
  <c r="D721" i="8"/>
  <c r="C721" i="8"/>
  <c r="B721" i="8"/>
  <c r="A721" i="8"/>
  <c r="M720" i="8"/>
  <c r="K720" i="8"/>
  <c r="J720" i="8"/>
  <c r="I720" i="8"/>
  <c r="H720" i="8"/>
  <c r="G720" i="8"/>
  <c r="L720" i="8" s="1"/>
  <c r="F720" i="8"/>
  <c r="E720" i="8"/>
  <c r="D720" i="8"/>
  <c r="C720" i="8"/>
  <c r="B720" i="8"/>
  <c r="A720" i="8"/>
  <c r="M719" i="8"/>
  <c r="K719" i="8"/>
  <c r="J719" i="8"/>
  <c r="I719" i="8"/>
  <c r="H719" i="8"/>
  <c r="G719" i="8"/>
  <c r="L719" i="8" s="1"/>
  <c r="F719" i="8"/>
  <c r="E719" i="8"/>
  <c r="D719" i="8"/>
  <c r="C719" i="8"/>
  <c r="B719" i="8"/>
  <c r="A719" i="8"/>
  <c r="M718" i="8"/>
  <c r="K718" i="8"/>
  <c r="J718" i="8"/>
  <c r="I718" i="8"/>
  <c r="H718" i="8"/>
  <c r="G718" i="8"/>
  <c r="L718" i="8" s="1"/>
  <c r="F718" i="8"/>
  <c r="E718" i="8"/>
  <c r="D718" i="8"/>
  <c r="C718" i="8"/>
  <c r="B718" i="8"/>
  <c r="A718" i="8"/>
  <c r="M717" i="8"/>
  <c r="L717" i="8"/>
  <c r="K717" i="8"/>
  <c r="J717" i="8"/>
  <c r="I717" i="8"/>
  <c r="H717" i="8"/>
  <c r="G717" i="8"/>
  <c r="F717" i="8"/>
  <c r="E717" i="8"/>
  <c r="D717" i="8"/>
  <c r="C717" i="8"/>
  <c r="B717" i="8"/>
  <c r="A717" i="8"/>
  <c r="M716" i="8"/>
  <c r="K716" i="8"/>
  <c r="J716" i="8"/>
  <c r="I716" i="8"/>
  <c r="H716" i="8"/>
  <c r="G716" i="8"/>
  <c r="L716" i="8" s="1"/>
  <c r="F716" i="8"/>
  <c r="E716" i="8"/>
  <c r="D716" i="8"/>
  <c r="C716" i="8"/>
  <c r="B716" i="8"/>
  <c r="A716" i="8"/>
  <c r="M715" i="8"/>
  <c r="K715" i="8"/>
  <c r="J715" i="8"/>
  <c r="I715" i="8"/>
  <c r="H715" i="8"/>
  <c r="G715" i="8"/>
  <c r="L715" i="8" s="1"/>
  <c r="F715" i="8"/>
  <c r="E715" i="8"/>
  <c r="D715" i="8"/>
  <c r="C715" i="8"/>
  <c r="B715" i="8"/>
  <c r="A715" i="8"/>
  <c r="M714" i="8"/>
  <c r="K714" i="8"/>
  <c r="J714" i="8"/>
  <c r="I714" i="8"/>
  <c r="H714" i="8"/>
  <c r="G714" i="8"/>
  <c r="L714" i="8" s="1"/>
  <c r="F714" i="8"/>
  <c r="E714" i="8"/>
  <c r="D714" i="8"/>
  <c r="C714" i="8"/>
  <c r="B714" i="8"/>
  <c r="A714" i="8"/>
  <c r="M713" i="8"/>
  <c r="L713" i="8"/>
  <c r="K713" i="8"/>
  <c r="J713" i="8"/>
  <c r="I713" i="8"/>
  <c r="H713" i="8"/>
  <c r="G713" i="8"/>
  <c r="F713" i="8"/>
  <c r="E713" i="8"/>
  <c r="D713" i="8"/>
  <c r="C713" i="8"/>
  <c r="B713" i="8"/>
  <c r="A713" i="8"/>
  <c r="M712" i="8"/>
  <c r="K712" i="8"/>
  <c r="J712" i="8"/>
  <c r="I712" i="8"/>
  <c r="H712" i="8"/>
  <c r="G712" i="8"/>
  <c r="L712" i="8" s="1"/>
  <c r="F712" i="8"/>
  <c r="E712" i="8"/>
  <c r="D712" i="8"/>
  <c r="C712" i="8"/>
  <c r="B712" i="8"/>
  <c r="A712" i="8"/>
  <c r="M711" i="8"/>
  <c r="K711" i="8"/>
  <c r="J711" i="8"/>
  <c r="I711" i="8"/>
  <c r="H711" i="8"/>
  <c r="G711" i="8"/>
  <c r="L711" i="8" s="1"/>
  <c r="F711" i="8"/>
  <c r="E711" i="8"/>
  <c r="D711" i="8"/>
  <c r="C711" i="8"/>
  <c r="B711" i="8"/>
  <c r="A711" i="8"/>
  <c r="M710" i="8"/>
  <c r="K710" i="8"/>
  <c r="J710" i="8"/>
  <c r="I710" i="8"/>
  <c r="H710" i="8"/>
  <c r="G710" i="8"/>
  <c r="L710" i="8" s="1"/>
  <c r="F710" i="8"/>
  <c r="E710" i="8"/>
  <c r="D710" i="8"/>
  <c r="C710" i="8"/>
  <c r="B710" i="8"/>
  <c r="A710" i="8"/>
  <c r="M709" i="8"/>
  <c r="L709" i="8"/>
  <c r="K709" i="8"/>
  <c r="J709" i="8"/>
  <c r="I709" i="8"/>
  <c r="H709" i="8"/>
  <c r="G709" i="8"/>
  <c r="F709" i="8"/>
  <c r="E709" i="8"/>
  <c r="D709" i="8"/>
  <c r="C709" i="8"/>
  <c r="B709" i="8"/>
  <c r="A709" i="8"/>
  <c r="M708" i="8"/>
  <c r="K708" i="8"/>
  <c r="J708" i="8"/>
  <c r="I708" i="8"/>
  <c r="H708" i="8"/>
  <c r="G708" i="8"/>
  <c r="L708" i="8" s="1"/>
  <c r="F708" i="8"/>
  <c r="E708" i="8"/>
  <c r="D708" i="8"/>
  <c r="C708" i="8"/>
  <c r="B708" i="8"/>
  <c r="A708" i="8"/>
  <c r="M707" i="8"/>
  <c r="K707" i="8"/>
  <c r="J707" i="8"/>
  <c r="I707" i="8"/>
  <c r="H707" i="8"/>
  <c r="G707" i="8"/>
  <c r="L707" i="8" s="1"/>
  <c r="F707" i="8"/>
  <c r="E707" i="8"/>
  <c r="D707" i="8"/>
  <c r="C707" i="8"/>
  <c r="B707" i="8"/>
  <c r="A707" i="8"/>
  <c r="M706" i="8"/>
  <c r="K706" i="8"/>
  <c r="J706" i="8"/>
  <c r="I706" i="8"/>
  <c r="H706" i="8"/>
  <c r="G706" i="8"/>
  <c r="L706" i="8" s="1"/>
  <c r="F706" i="8"/>
  <c r="E706" i="8"/>
  <c r="D706" i="8"/>
  <c r="C706" i="8"/>
  <c r="B706" i="8"/>
  <c r="A706" i="8"/>
  <c r="M705" i="8"/>
  <c r="L705" i="8"/>
  <c r="K705" i="8"/>
  <c r="J705" i="8"/>
  <c r="I705" i="8"/>
  <c r="H705" i="8"/>
  <c r="G705" i="8"/>
  <c r="F705" i="8"/>
  <c r="E705" i="8"/>
  <c r="D705" i="8"/>
  <c r="C705" i="8"/>
  <c r="B705" i="8"/>
  <c r="A705" i="8"/>
  <c r="M704" i="8"/>
  <c r="K704" i="8"/>
  <c r="J704" i="8"/>
  <c r="I704" i="8"/>
  <c r="H704" i="8"/>
  <c r="G704" i="8"/>
  <c r="L704" i="8" s="1"/>
  <c r="F704" i="8"/>
  <c r="E704" i="8"/>
  <c r="D704" i="8"/>
  <c r="C704" i="8"/>
  <c r="B704" i="8"/>
  <c r="A704" i="8"/>
  <c r="M703" i="8"/>
  <c r="K703" i="8"/>
  <c r="J703" i="8"/>
  <c r="I703" i="8"/>
  <c r="H703" i="8"/>
  <c r="G703" i="8"/>
  <c r="L703" i="8" s="1"/>
  <c r="F703" i="8"/>
  <c r="E703" i="8"/>
  <c r="D703" i="8"/>
  <c r="C703" i="8"/>
  <c r="B703" i="8"/>
  <c r="A703" i="8"/>
  <c r="M702" i="8"/>
  <c r="K702" i="8"/>
  <c r="J702" i="8"/>
  <c r="I702" i="8"/>
  <c r="H702" i="8"/>
  <c r="G702" i="8"/>
  <c r="L702" i="8" s="1"/>
  <c r="F702" i="8"/>
  <c r="E702" i="8"/>
  <c r="D702" i="8"/>
  <c r="C702" i="8"/>
  <c r="B702" i="8"/>
  <c r="A702" i="8"/>
  <c r="M701" i="8"/>
  <c r="L701" i="8"/>
  <c r="K701" i="8"/>
  <c r="J701" i="8"/>
  <c r="I701" i="8"/>
  <c r="H701" i="8"/>
  <c r="G701" i="8"/>
  <c r="F701" i="8"/>
  <c r="E701" i="8"/>
  <c r="D701" i="8"/>
  <c r="C701" i="8"/>
  <c r="B701" i="8"/>
  <c r="A701" i="8"/>
  <c r="M700" i="8"/>
  <c r="K700" i="8"/>
  <c r="J700" i="8"/>
  <c r="I700" i="8"/>
  <c r="H700" i="8"/>
  <c r="G700" i="8"/>
  <c r="L700" i="8" s="1"/>
  <c r="F700" i="8"/>
  <c r="E700" i="8"/>
  <c r="D700" i="8"/>
  <c r="C700" i="8"/>
  <c r="B700" i="8"/>
  <c r="A700" i="8"/>
  <c r="M699" i="8"/>
  <c r="K699" i="8"/>
  <c r="J699" i="8"/>
  <c r="I699" i="8"/>
  <c r="H699" i="8"/>
  <c r="G699" i="8"/>
  <c r="L699" i="8" s="1"/>
  <c r="F699" i="8"/>
  <c r="E699" i="8"/>
  <c r="D699" i="8"/>
  <c r="C699" i="8"/>
  <c r="B699" i="8"/>
  <c r="A699" i="8"/>
  <c r="M698" i="8"/>
  <c r="K698" i="8"/>
  <c r="J698" i="8"/>
  <c r="I698" i="8"/>
  <c r="H698" i="8"/>
  <c r="G698" i="8"/>
  <c r="L698" i="8" s="1"/>
  <c r="F698" i="8"/>
  <c r="E698" i="8"/>
  <c r="D698" i="8"/>
  <c r="C698" i="8"/>
  <c r="B698" i="8"/>
  <c r="A698" i="8"/>
  <c r="M697" i="8"/>
  <c r="L697" i="8"/>
  <c r="K697" i="8"/>
  <c r="J697" i="8"/>
  <c r="I697" i="8"/>
  <c r="H697" i="8"/>
  <c r="G697" i="8"/>
  <c r="F697" i="8"/>
  <c r="E697" i="8"/>
  <c r="D697" i="8"/>
  <c r="C697" i="8"/>
  <c r="B697" i="8"/>
  <c r="A697" i="8"/>
  <c r="M696" i="8"/>
  <c r="K696" i="8"/>
  <c r="J696" i="8"/>
  <c r="I696" i="8"/>
  <c r="H696" i="8"/>
  <c r="G696" i="8"/>
  <c r="L696" i="8" s="1"/>
  <c r="F696" i="8"/>
  <c r="E696" i="8"/>
  <c r="D696" i="8"/>
  <c r="C696" i="8"/>
  <c r="B696" i="8"/>
  <c r="A696" i="8"/>
  <c r="M695" i="8"/>
  <c r="K695" i="8"/>
  <c r="J695" i="8"/>
  <c r="I695" i="8"/>
  <c r="H695" i="8"/>
  <c r="G695" i="8"/>
  <c r="L695" i="8" s="1"/>
  <c r="F695" i="8"/>
  <c r="E695" i="8"/>
  <c r="D695" i="8"/>
  <c r="C695" i="8"/>
  <c r="B695" i="8"/>
  <c r="A695" i="8"/>
  <c r="M694" i="8"/>
  <c r="K694" i="8"/>
  <c r="J694" i="8"/>
  <c r="I694" i="8"/>
  <c r="H694" i="8"/>
  <c r="G694" i="8"/>
  <c r="L694" i="8" s="1"/>
  <c r="F694" i="8"/>
  <c r="E694" i="8"/>
  <c r="D694" i="8"/>
  <c r="C694" i="8"/>
  <c r="B694" i="8"/>
  <c r="A694" i="8"/>
  <c r="M693" i="8"/>
  <c r="L693" i="8"/>
  <c r="K693" i="8"/>
  <c r="J693" i="8"/>
  <c r="I693" i="8"/>
  <c r="H693" i="8"/>
  <c r="G693" i="8"/>
  <c r="F693" i="8"/>
  <c r="E693" i="8"/>
  <c r="D693" i="8"/>
  <c r="C693" i="8"/>
  <c r="B693" i="8"/>
  <c r="A693" i="8"/>
  <c r="M692" i="8"/>
  <c r="K692" i="8"/>
  <c r="J692" i="8"/>
  <c r="I692" i="8"/>
  <c r="H692" i="8"/>
  <c r="G692" i="8"/>
  <c r="L692" i="8" s="1"/>
  <c r="F692" i="8"/>
  <c r="E692" i="8"/>
  <c r="D692" i="8"/>
  <c r="C692" i="8"/>
  <c r="B692" i="8"/>
  <c r="A692" i="8"/>
  <c r="M691" i="8"/>
  <c r="K691" i="8"/>
  <c r="J691" i="8"/>
  <c r="I691" i="8"/>
  <c r="H691" i="8"/>
  <c r="G691" i="8"/>
  <c r="L691" i="8" s="1"/>
  <c r="F691" i="8"/>
  <c r="E691" i="8"/>
  <c r="D691" i="8"/>
  <c r="C691" i="8"/>
  <c r="B691" i="8"/>
  <c r="A691" i="8"/>
  <c r="M690" i="8"/>
  <c r="K690" i="8"/>
  <c r="J690" i="8"/>
  <c r="I690" i="8"/>
  <c r="H690" i="8"/>
  <c r="G690" i="8"/>
  <c r="L690" i="8" s="1"/>
  <c r="F690" i="8"/>
  <c r="E690" i="8"/>
  <c r="D690" i="8"/>
  <c r="C690" i="8"/>
  <c r="B690" i="8"/>
  <c r="A690" i="8"/>
  <c r="M689" i="8"/>
  <c r="L689" i="8"/>
  <c r="K689" i="8"/>
  <c r="J689" i="8"/>
  <c r="I689" i="8"/>
  <c r="H689" i="8"/>
  <c r="G689" i="8"/>
  <c r="F689" i="8"/>
  <c r="E689" i="8"/>
  <c r="D689" i="8"/>
  <c r="C689" i="8"/>
  <c r="B689" i="8"/>
  <c r="A689" i="8"/>
  <c r="M688" i="8"/>
  <c r="K688" i="8"/>
  <c r="J688" i="8"/>
  <c r="I688" i="8"/>
  <c r="H688" i="8"/>
  <c r="G688" i="8"/>
  <c r="L688" i="8" s="1"/>
  <c r="F688" i="8"/>
  <c r="E688" i="8"/>
  <c r="D688" i="8"/>
  <c r="C688" i="8"/>
  <c r="B688" i="8"/>
  <c r="A688" i="8"/>
  <c r="M687" i="8"/>
  <c r="K687" i="8"/>
  <c r="J687" i="8"/>
  <c r="I687" i="8"/>
  <c r="H687" i="8"/>
  <c r="G687" i="8"/>
  <c r="L687" i="8" s="1"/>
  <c r="F687" i="8"/>
  <c r="E687" i="8"/>
  <c r="D687" i="8"/>
  <c r="C687" i="8"/>
  <c r="B687" i="8"/>
  <c r="A687" i="8"/>
  <c r="M686" i="8"/>
  <c r="K686" i="8"/>
  <c r="J686" i="8"/>
  <c r="I686" i="8"/>
  <c r="H686" i="8"/>
  <c r="G686" i="8"/>
  <c r="L686" i="8" s="1"/>
  <c r="F686" i="8"/>
  <c r="E686" i="8"/>
  <c r="D686" i="8"/>
  <c r="C686" i="8"/>
  <c r="B686" i="8"/>
  <c r="A686" i="8"/>
  <c r="M685" i="8"/>
  <c r="L685" i="8"/>
  <c r="K685" i="8"/>
  <c r="J685" i="8"/>
  <c r="I685" i="8"/>
  <c r="H685" i="8"/>
  <c r="G685" i="8"/>
  <c r="F685" i="8"/>
  <c r="E685" i="8"/>
  <c r="D685" i="8"/>
  <c r="C685" i="8"/>
  <c r="B685" i="8"/>
  <c r="A685" i="8"/>
  <c r="M684" i="8"/>
  <c r="K684" i="8"/>
  <c r="J684" i="8"/>
  <c r="I684" i="8"/>
  <c r="H684" i="8"/>
  <c r="G684" i="8"/>
  <c r="L684" i="8" s="1"/>
  <c r="F684" i="8"/>
  <c r="E684" i="8"/>
  <c r="D684" i="8"/>
  <c r="C684" i="8"/>
  <c r="B684" i="8"/>
  <c r="A684" i="8"/>
  <c r="M683" i="8"/>
  <c r="K683" i="8"/>
  <c r="J683" i="8"/>
  <c r="I683" i="8"/>
  <c r="H683" i="8"/>
  <c r="G683" i="8"/>
  <c r="L683" i="8" s="1"/>
  <c r="F683" i="8"/>
  <c r="E683" i="8"/>
  <c r="D683" i="8"/>
  <c r="C683" i="8"/>
  <c r="B683" i="8"/>
  <c r="A683" i="8"/>
  <c r="M682" i="8"/>
  <c r="K682" i="8"/>
  <c r="J682" i="8"/>
  <c r="I682" i="8"/>
  <c r="H682" i="8"/>
  <c r="G682" i="8"/>
  <c r="L682" i="8" s="1"/>
  <c r="F682" i="8"/>
  <c r="E682" i="8"/>
  <c r="D682" i="8"/>
  <c r="C682" i="8"/>
  <c r="B682" i="8"/>
  <c r="A682" i="8"/>
  <c r="M681" i="8"/>
  <c r="L681" i="8"/>
  <c r="K681" i="8"/>
  <c r="J681" i="8"/>
  <c r="I681" i="8"/>
  <c r="H681" i="8"/>
  <c r="G681" i="8"/>
  <c r="F681" i="8"/>
  <c r="E681" i="8"/>
  <c r="D681" i="8"/>
  <c r="C681" i="8"/>
  <c r="B681" i="8"/>
  <c r="A681" i="8"/>
  <c r="M680" i="8"/>
  <c r="K680" i="8"/>
  <c r="J680" i="8"/>
  <c r="I680" i="8"/>
  <c r="H680" i="8"/>
  <c r="G680" i="8"/>
  <c r="L680" i="8" s="1"/>
  <c r="F680" i="8"/>
  <c r="E680" i="8"/>
  <c r="D680" i="8"/>
  <c r="C680" i="8"/>
  <c r="B680" i="8"/>
  <c r="A680" i="8"/>
  <c r="M679" i="8"/>
  <c r="K679" i="8"/>
  <c r="J679" i="8"/>
  <c r="I679" i="8"/>
  <c r="H679" i="8"/>
  <c r="G679" i="8"/>
  <c r="L679" i="8" s="1"/>
  <c r="F679" i="8"/>
  <c r="E679" i="8"/>
  <c r="D679" i="8"/>
  <c r="C679" i="8"/>
  <c r="B679" i="8"/>
  <c r="A679" i="8"/>
  <c r="M678" i="8"/>
  <c r="K678" i="8"/>
  <c r="J678" i="8"/>
  <c r="I678" i="8"/>
  <c r="H678" i="8"/>
  <c r="G678" i="8"/>
  <c r="L678" i="8" s="1"/>
  <c r="F678" i="8"/>
  <c r="E678" i="8"/>
  <c r="D678" i="8"/>
  <c r="C678" i="8"/>
  <c r="B678" i="8"/>
  <c r="A678" i="8"/>
  <c r="M677" i="8"/>
  <c r="L677" i="8"/>
  <c r="K677" i="8"/>
  <c r="J677" i="8"/>
  <c r="I677" i="8"/>
  <c r="H677" i="8"/>
  <c r="G677" i="8"/>
  <c r="F677" i="8"/>
  <c r="E677" i="8"/>
  <c r="D677" i="8"/>
  <c r="C677" i="8"/>
  <c r="B677" i="8"/>
  <c r="A677" i="8"/>
  <c r="M676" i="8"/>
  <c r="K676" i="8"/>
  <c r="J676" i="8"/>
  <c r="I676" i="8"/>
  <c r="H676" i="8"/>
  <c r="G676" i="8"/>
  <c r="L676" i="8" s="1"/>
  <c r="F676" i="8"/>
  <c r="E676" i="8"/>
  <c r="D676" i="8"/>
  <c r="C676" i="8"/>
  <c r="B676" i="8"/>
  <c r="A676" i="8"/>
  <c r="M675" i="8"/>
  <c r="K675" i="8"/>
  <c r="J675" i="8"/>
  <c r="I675" i="8"/>
  <c r="H675" i="8"/>
  <c r="G675" i="8"/>
  <c r="L675" i="8" s="1"/>
  <c r="F675" i="8"/>
  <c r="E675" i="8"/>
  <c r="D675" i="8"/>
  <c r="C675" i="8"/>
  <c r="B675" i="8"/>
  <c r="A675" i="8"/>
  <c r="M674" i="8"/>
  <c r="K674" i="8"/>
  <c r="J674" i="8"/>
  <c r="I674" i="8"/>
  <c r="H674" i="8"/>
  <c r="G674" i="8"/>
  <c r="L674" i="8" s="1"/>
  <c r="F674" i="8"/>
  <c r="E674" i="8"/>
  <c r="D674" i="8"/>
  <c r="C674" i="8"/>
  <c r="B674" i="8"/>
  <c r="A674" i="8"/>
  <c r="M673" i="8"/>
  <c r="L673" i="8"/>
  <c r="K673" i="8"/>
  <c r="J673" i="8"/>
  <c r="I673" i="8"/>
  <c r="H673" i="8"/>
  <c r="G673" i="8"/>
  <c r="F673" i="8"/>
  <c r="E673" i="8"/>
  <c r="D673" i="8"/>
  <c r="C673" i="8"/>
  <c r="B673" i="8"/>
  <c r="A673" i="8"/>
  <c r="M672" i="8"/>
  <c r="K672" i="8"/>
  <c r="J672" i="8"/>
  <c r="I672" i="8"/>
  <c r="H672" i="8"/>
  <c r="G672" i="8"/>
  <c r="L672" i="8" s="1"/>
  <c r="F672" i="8"/>
  <c r="E672" i="8"/>
  <c r="D672" i="8"/>
  <c r="C672" i="8"/>
  <c r="B672" i="8"/>
  <c r="A672" i="8"/>
  <c r="M671" i="8"/>
  <c r="K671" i="8"/>
  <c r="J671" i="8"/>
  <c r="I671" i="8"/>
  <c r="H671" i="8"/>
  <c r="G671" i="8"/>
  <c r="L671" i="8" s="1"/>
  <c r="F671" i="8"/>
  <c r="E671" i="8"/>
  <c r="D671" i="8"/>
  <c r="C671" i="8"/>
  <c r="B671" i="8"/>
  <c r="A671" i="8"/>
  <c r="M670" i="8"/>
  <c r="K670" i="8"/>
  <c r="J670" i="8"/>
  <c r="I670" i="8"/>
  <c r="H670" i="8"/>
  <c r="G670" i="8"/>
  <c r="L670" i="8" s="1"/>
  <c r="F670" i="8"/>
  <c r="E670" i="8"/>
  <c r="D670" i="8"/>
  <c r="C670" i="8"/>
  <c r="B670" i="8"/>
  <c r="A670" i="8"/>
  <c r="M669" i="8"/>
  <c r="L669" i="8"/>
  <c r="K669" i="8"/>
  <c r="J669" i="8"/>
  <c r="I669" i="8"/>
  <c r="H669" i="8"/>
  <c r="G669" i="8"/>
  <c r="F669" i="8"/>
  <c r="E669" i="8"/>
  <c r="D669" i="8"/>
  <c r="C669" i="8"/>
  <c r="B669" i="8"/>
  <c r="A669" i="8"/>
  <c r="M668" i="8"/>
  <c r="K668" i="8"/>
  <c r="J668" i="8"/>
  <c r="I668" i="8"/>
  <c r="H668" i="8"/>
  <c r="G668" i="8"/>
  <c r="L668" i="8" s="1"/>
  <c r="F668" i="8"/>
  <c r="E668" i="8"/>
  <c r="D668" i="8"/>
  <c r="C668" i="8"/>
  <c r="B668" i="8"/>
  <c r="A668" i="8"/>
  <c r="M667" i="8"/>
  <c r="K667" i="8"/>
  <c r="J667" i="8"/>
  <c r="I667" i="8"/>
  <c r="H667" i="8"/>
  <c r="G667" i="8"/>
  <c r="L667" i="8" s="1"/>
  <c r="F667" i="8"/>
  <c r="E667" i="8"/>
  <c r="D667" i="8"/>
  <c r="C667" i="8"/>
  <c r="B667" i="8"/>
  <c r="A667" i="8"/>
  <c r="M666" i="8"/>
  <c r="K666" i="8"/>
  <c r="J666" i="8"/>
  <c r="I666" i="8"/>
  <c r="H666" i="8"/>
  <c r="G666" i="8"/>
  <c r="L666" i="8" s="1"/>
  <c r="F666" i="8"/>
  <c r="E666" i="8"/>
  <c r="D666" i="8"/>
  <c r="C666" i="8"/>
  <c r="B666" i="8"/>
  <c r="A666" i="8"/>
  <c r="M665" i="8"/>
  <c r="L665" i="8"/>
  <c r="K665" i="8"/>
  <c r="J665" i="8"/>
  <c r="I665" i="8"/>
  <c r="H665" i="8"/>
  <c r="G665" i="8"/>
  <c r="F665" i="8"/>
  <c r="E665" i="8"/>
  <c r="D665" i="8"/>
  <c r="C665" i="8"/>
  <c r="B665" i="8"/>
  <c r="A665" i="8"/>
  <c r="M664" i="8"/>
  <c r="K664" i="8"/>
  <c r="J664" i="8"/>
  <c r="I664" i="8"/>
  <c r="H664" i="8"/>
  <c r="G664" i="8"/>
  <c r="L664" i="8" s="1"/>
  <c r="F664" i="8"/>
  <c r="E664" i="8"/>
  <c r="D664" i="8"/>
  <c r="C664" i="8"/>
  <c r="B664" i="8"/>
  <c r="A664" i="8"/>
  <c r="M663" i="8"/>
  <c r="K663" i="8"/>
  <c r="J663" i="8"/>
  <c r="I663" i="8"/>
  <c r="H663" i="8"/>
  <c r="G663" i="8"/>
  <c r="L663" i="8" s="1"/>
  <c r="F663" i="8"/>
  <c r="E663" i="8"/>
  <c r="D663" i="8"/>
  <c r="C663" i="8"/>
  <c r="B663" i="8"/>
  <c r="A663" i="8"/>
  <c r="M662" i="8"/>
  <c r="K662" i="8"/>
  <c r="J662" i="8"/>
  <c r="I662" i="8"/>
  <c r="H662" i="8"/>
  <c r="G662" i="8"/>
  <c r="L662" i="8" s="1"/>
  <c r="F662" i="8"/>
  <c r="E662" i="8"/>
  <c r="D662" i="8"/>
  <c r="C662" i="8"/>
  <c r="B662" i="8"/>
  <c r="A662" i="8"/>
  <c r="M661" i="8"/>
  <c r="L661" i="8"/>
  <c r="K661" i="8"/>
  <c r="J661" i="8"/>
  <c r="I661" i="8"/>
  <c r="H661" i="8"/>
  <c r="G661" i="8"/>
  <c r="F661" i="8"/>
  <c r="E661" i="8"/>
  <c r="D661" i="8"/>
  <c r="C661" i="8"/>
  <c r="B661" i="8"/>
  <c r="A661" i="8"/>
  <c r="M660" i="8"/>
  <c r="K660" i="8"/>
  <c r="J660" i="8"/>
  <c r="I660" i="8"/>
  <c r="H660" i="8"/>
  <c r="G660" i="8"/>
  <c r="L660" i="8" s="1"/>
  <c r="F660" i="8"/>
  <c r="E660" i="8"/>
  <c r="D660" i="8"/>
  <c r="C660" i="8"/>
  <c r="B660" i="8"/>
  <c r="A660" i="8"/>
  <c r="M659" i="8"/>
  <c r="K659" i="8"/>
  <c r="J659" i="8"/>
  <c r="I659" i="8"/>
  <c r="H659" i="8"/>
  <c r="G659" i="8"/>
  <c r="L659" i="8" s="1"/>
  <c r="F659" i="8"/>
  <c r="E659" i="8"/>
  <c r="D659" i="8"/>
  <c r="C659" i="8"/>
  <c r="B659" i="8"/>
  <c r="A659" i="8"/>
  <c r="M658" i="8"/>
  <c r="K658" i="8"/>
  <c r="J658" i="8"/>
  <c r="I658" i="8"/>
  <c r="H658" i="8"/>
  <c r="G658" i="8"/>
  <c r="L658" i="8" s="1"/>
  <c r="F658" i="8"/>
  <c r="E658" i="8"/>
  <c r="D658" i="8"/>
  <c r="C658" i="8"/>
  <c r="B658" i="8"/>
  <c r="A658" i="8"/>
  <c r="M657" i="8"/>
  <c r="L657" i="8"/>
  <c r="K657" i="8"/>
  <c r="J657" i="8"/>
  <c r="I657" i="8"/>
  <c r="H657" i="8"/>
  <c r="G657" i="8"/>
  <c r="F657" i="8"/>
  <c r="E657" i="8"/>
  <c r="D657" i="8"/>
  <c r="C657" i="8"/>
  <c r="B657" i="8"/>
  <c r="A657" i="8"/>
  <c r="M656" i="8"/>
  <c r="K656" i="8"/>
  <c r="J656" i="8"/>
  <c r="I656" i="8"/>
  <c r="H656" i="8"/>
  <c r="G656" i="8"/>
  <c r="L656" i="8" s="1"/>
  <c r="F656" i="8"/>
  <c r="E656" i="8"/>
  <c r="D656" i="8"/>
  <c r="C656" i="8"/>
  <c r="B656" i="8"/>
  <c r="A656" i="8"/>
  <c r="M655" i="8"/>
  <c r="K655" i="8"/>
  <c r="J655" i="8"/>
  <c r="I655" i="8"/>
  <c r="H655" i="8"/>
  <c r="G655" i="8"/>
  <c r="L655" i="8" s="1"/>
  <c r="F655" i="8"/>
  <c r="E655" i="8"/>
  <c r="D655" i="8"/>
  <c r="C655" i="8"/>
  <c r="B655" i="8"/>
  <c r="A655" i="8"/>
  <c r="M654" i="8"/>
  <c r="K654" i="8"/>
  <c r="J654" i="8"/>
  <c r="I654" i="8"/>
  <c r="H654" i="8"/>
  <c r="G654" i="8"/>
  <c r="L654" i="8" s="1"/>
  <c r="F654" i="8"/>
  <c r="E654" i="8"/>
  <c r="D654" i="8"/>
  <c r="C654" i="8"/>
  <c r="B654" i="8"/>
  <c r="A654" i="8"/>
  <c r="M653" i="8"/>
  <c r="L653" i="8"/>
  <c r="K653" i="8"/>
  <c r="J653" i="8"/>
  <c r="I653" i="8"/>
  <c r="H653" i="8"/>
  <c r="G653" i="8"/>
  <c r="F653" i="8"/>
  <c r="E653" i="8"/>
  <c r="D653" i="8"/>
  <c r="C653" i="8"/>
  <c r="B653" i="8"/>
  <c r="A653" i="8"/>
  <c r="M652" i="8"/>
  <c r="K652" i="8"/>
  <c r="J652" i="8"/>
  <c r="I652" i="8"/>
  <c r="H652" i="8"/>
  <c r="G652" i="8"/>
  <c r="L652" i="8" s="1"/>
  <c r="F652" i="8"/>
  <c r="E652" i="8"/>
  <c r="D652" i="8"/>
  <c r="C652" i="8"/>
  <c r="B652" i="8"/>
  <c r="A652" i="8"/>
  <c r="M651" i="8"/>
  <c r="K651" i="8"/>
  <c r="J651" i="8"/>
  <c r="I651" i="8"/>
  <c r="H651" i="8"/>
  <c r="G651" i="8"/>
  <c r="L651" i="8" s="1"/>
  <c r="F651" i="8"/>
  <c r="E651" i="8"/>
  <c r="D651" i="8"/>
  <c r="C651" i="8"/>
  <c r="B651" i="8"/>
  <c r="A651" i="8"/>
  <c r="M650" i="8"/>
  <c r="K650" i="8"/>
  <c r="J650" i="8"/>
  <c r="I650" i="8"/>
  <c r="H650" i="8"/>
  <c r="G650" i="8"/>
  <c r="L650" i="8" s="1"/>
  <c r="F650" i="8"/>
  <c r="E650" i="8"/>
  <c r="D650" i="8"/>
  <c r="C650" i="8"/>
  <c r="B650" i="8"/>
  <c r="A650" i="8"/>
  <c r="M649" i="8"/>
  <c r="L649" i="8"/>
  <c r="K649" i="8"/>
  <c r="J649" i="8"/>
  <c r="I649" i="8"/>
  <c r="H649" i="8"/>
  <c r="G649" i="8"/>
  <c r="F649" i="8"/>
  <c r="E649" i="8"/>
  <c r="D649" i="8"/>
  <c r="C649" i="8"/>
  <c r="B649" i="8"/>
  <c r="A649" i="8"/>
  <c r="M648" i="8"/>
  <c r="K648" i="8"/>
  <c r="J648" i="8"/>
  <c r="I648" i="8"/>
  <c r="H648" i="8"/>
  <c r="G648" i="8"/>
  <c r="L648" i="8" s="1"/>
  <c r="F648" i="8"/>
  <c r="E648" i="8"/>
  <c r="D648" i="8"/>
  <c r="C648" i="8"/>
  <c r="B648" i="8"/>
  <c r="A648" i="8"/>
  <c r="M647" i="8"/>
  <c r="K647" i="8"/>
  <c r="J647" i="8"/>
  <c r="I647" i="8"/>
  <c r="H647" i="8"/>
  <c r="G647" i="8"/>
  <c r="L647" i="8" s="1"/>
  <c r="F647" i="8"/>
  <c r="E647" i="8"/>
  <c r="D647" i="8"/>
  <c r="C647" i="8"/>
  <c r="B647" i="8"/>
  <c r="A647" i="8"/>
  <c r="M646" i="8"/>
  <c r="K646" i="8"/>
  <c r="J646" i="8"/>
  <c r="I646" i="8"/>
  <c r="H646" i="8"/>
  <c r="G646" i="8"/>
  <c r="L646" i="8" s="1"/>
  <c r="F646" i="8"/>
  <c r="E646" i="8"/>
  <c r="D646" i="8"/>
  <c r="C646" i="8"/>
  <c r="B646" i="8"/>
  <c r="A646" i="8"/>
  <c r="M645" i="8"/>
  <c r="L645" i="8"/>
  <c r="K645" i="8"/>
  <c r="J645" i="8"/>
  <c r="I645" i="8"/>
  <c r="H645" i="8"/>
  <c r="G645" i="8"/>
  <c r="F645" i="8"/>
  <c r="E645" i="8"/>
  <c r="D645" i="8"/>
  <c r="C645" i="8"/>
  <c r="B645" i="8"/>
  <c r="A645" i="8"/>
  <c r="M644" i="8"/>
  <c r="K644" i="8"/>
  <c r="J644" i="8"/>
  <c r="I644" i="8"/>
  <c r="H644" i="8"/>
  <c r="G644" i="8"/>
  <c r="L644" i="8" s="1"/>
  <c r="F644" i="8"/>
  <c r="E644" i="8"/>
  <c r="D644" i="8"/>
  <c r="C644" i="8"/>
  <c r="B644" i="8"/>
  <c r="A644" i="8"/>
  <c r="M643" i="8"/>
  <c r="K643" i="8"/>
  <c r="J643" i="8"/>
  <c r="I643" i="8"/>
  <c r="H643" i="8"/>
  <c r="G643" i="8"/>
  <c r="L643" i="8" s="1"/>
  <c r="F643" i="8"/>
  <c r="E643" i="8"/>
  <c r="D643" i="8"/>
  <c r="C643" i="8"/>
  <c r="B643" i="8"/>
  <c r="A643" i="8"/>
  <c r="M642" i="8"/>
  <c r="K642" i="8"/>
  <c r="J642" i="8"/>
  <c r="I642" i="8"/>
  <c r="H642" i="8"/>
  <c r="G642" i="8"/>
  <c r="L642" i="8" s="1"/>
  <c r="F642" i="8"/>
  <c r="E642" i="8"/>
  <c r="D642" i="8"/>
  <c r="C642" i="8"/>
  <c r="B642" i="8"/>
  <c r="A642" i="8"/>
  <c r="M641" i="8"/>
  <c r="L641" i="8"/>
  <c r="K641" i="8"/>
  <c r="J641" i="8"/>
  <c r="I641" i="8"/>
  <c r="H641" i="8"/>
  <c r="G641" i="8"/>
  <c r="F641" i="8"/>
  <c r="E641" i="8"/>
  <c r="D641" i="8"/>
  <c r="C641" i="8"/>
  <c r="B641" i="8"/>
  <c r="A641" i="8"/>
  <c r="M640" i="8"/>
  <c r="K640" i="8"/>
  <c r="J640" i="8"/>
  <c r="I640" i="8"/>
  <c r="H640" i="8"/>
  <c r="G640" i="8"/>
  <c r="L640" i="8" s="1"/>
  <c r="F640" i="8"/>
  <c r="E640" i="8"/>
  <c r="D640" i="8"/>
  <c r="C640" i="8"/>
  <c r="B640" i="8"/>
  <c r="A640" i="8"/>
  <c r="M639" i="8"/>
  <c r="K639" i="8"/>
  <c r="J639" i="8"/>
  <c r="I639" i="8"/>
  <c r="H639" i="8"/>
  <c r="G639" i="8"/>
  <c r="L639" i="8" s="1"/>
  <c r="F639" i="8"/>
  <c r="E639" i="8"/>
  <c r="D639" i="8"/>
  <c r="C639" i="8"/>
  <c r="B639" i="8"/>
  <c r="A639" i="8"/>
  <c r="M638" i="8"/>
  <c r="K638" i="8"/>
  <c r="J638" i="8"/>
  <c r="I638" i="8"/>
  <c r="H638" i="8"/>
  <c r="G638" i="8"/>
  <c r="L638" i="8" s="1"/>
  <c r="F638" i="8"/>
  <c r="E638" i="8"/>
  <c r="D638" i="8"/>
  <c r="C638" i="8"/>
  <c r="B638" i="8"/>
  <c r="A638" i="8"/>
  <c r="M637" i="8"/>
  <c r="L637" i="8"/>
  <c r="K637" i="8"/>
  <c r="J637" i="8"/>
  <c r="I637" i="8"/>
  <c r="H637" i="8"/>
  <c r="G637" i="8"/>
  <c r="F637" i="8"/>
  <c r="E637" i="8"/>
  <c r="D637" i="8"/>
  <c r="C637" i="8"/>
  <c r="B637" i="8"/>
  <c r="A637" i="8"/>
  <c r="M636" i="8"/>
  <c r="K636" i="8"/>
  <c r="J636" i="8"/>
  <c r="I636" i="8"/>
  <c r="H636" i="8"/>
  <c r="G636" i="8"/>
  <c r="L636" i="8" s="1"/>
  <c r="F636" i="8"/>
  <c r="E636" i="8"/>
  <c r="D636" i="8"/>
  <c r="C636" i="8"/>
  <c r="B636" i="8"/>
  <c r="A636" i="8"/>
  <c r="M635" i="8"/>
  <c r="K635" i="8"/>
  <c r="J635" i="8"/>
  <c r="I635" i="8"/>
  <c r="H635" i="8"/>
  <c r="G635" i="8"/>
  <c r="L635" i="8" s="1"/>
  <c r="F635" i="8"/>
  <c r="E635" i="8"/>
  <c r="D635" i="8"/>
  <c r="C635" i="8"/>
  <c r="B635" i="8"/>
  <c r="A635" i="8"/>
  <c r="M634" i="8"/>
  <c r="K634" i="8"/>
  <c r="J634" i="8"/>
  <c r="I634" i="8"/>
  <c r="H634" i="8"/>
  <c r="G634" i="8"/>
  <c r="L634" i="8" s="1"/>
  <c r="F634" i="8"/>
  <c r="E634" i="8"/>
  <c r="D634" i="8"/>
  <c r="C634" i="8"/>
  <c r="B634" i="8"/>
  <c r="A634" i="8"/>
  <c r="M633" i="8"/>
  <c r="L633" i="8"/>
  <c r="K633" i="8"/>
  <c r="J633" i="8"/>
  <c r="I633" i="8"/>
  <c r="H633" i="8"/>
  <c r="G633" i="8"/>
  <c r="F633" i="8"/>
  <c r="E633" i="8"/>
  <c r="D633" i="8"/>
  <c r="C633" i="8"/>
  <c r="B633" i="8"/>
  <c r="A633" i="8"/>
  <c r="M632" i="8"/>
  <c r="K632" i="8"/>
  <c r="J632" i="8"/>
  <c r="I632" i="8"/>
  <c r="H632" i="8"/>
  <c r="G632" i="8"/>
  <c r="L632" i="8" s="1"/>
  <c r="F632" i="8"/>
  <c r="E632" i="8"/>
  <c r="D632" i="8"/>
  <c r="C632" i="8"/>
  <c r="B632" i="8"/>
  <c r="A632" i="8"/>
  <c r="M631" i="8"/>
  <c r="K631" i="8"/>
  <c r="J631" i="8"/>
  <c r="I631" i="8"/>
  <c r="H631" i="8"/>
  <c r="G631" i="8"/>
  <c r="L631" i="8" s="1"/>
  <c r="F631" i="8"/>
  <c r="E631" i="8"/>
  <c r="D631" i="8"/>
  <c r="C631" i="8"/>
  <c r="B631" i="8"/>
  <c r="A631" i="8"/>
  <c r="M630" i="8"/>
  <c r="K630" i="8"/>
  <c r="J630" i="8"/>
  <c r="I630" i="8"/>
  <c r="H630" i="8"/>
  <c r="G630" i="8"/>
  <c r="L630" i="8" s="1"/>
  <c r="F630" i="8"/>
  <c r="E630" i="8"/>
  <c r="D630" i="8"/>
  <c r="C630" i="8"/>
  <c r="B630" i="8"/>
  <c r="A630" i="8"/>
  <c r="M629" i="8"/>
  <c r="L629" i="8"/>
  <c r="K629" i="8"/>
  <c r="J629" i="8"/>
  <c r="I629" i="8"/>
  <c r="H629" i="8"/>
  <c r="G629" i="8"/>
  <c r="F629" i="8"/>
  <c r="E629" i="8"/>
  <c r="D629" i="8"/>
  <c r="C629" i="8"/>
  <c r="B629" i="8"/>
  <c r="A629" i="8"/>
  <c r="M628" i="8"/>
  <c r="K628" i="8"/>
  <c r="J628" i="8"/>
  <c r="I628" i="8"/>
  <c r="H628" i="8"/>
  <c r="G628" i="8"/>
  <c r="L628" i="8" s="1"/>
  <c r="F628" i="8"/>
  <c r="E628" i="8"/>
  <c r="D628" i="8"/>
  <c r="C628" i="8"/>
  <c r="B628" i="8"/>
  <c r="A628" i="8"/>
  <c r="M627" i="8"/>
  <c r="K627" i="8"/>
  <c r="J627" i="8"/>
  <c r="I627" i="8"/>
  <c r="H627" i="8"/>
  <c r="G627" i="8"/>
  <c r="L627" i="8" s="1"/>
  <c r="F627" i="8"/>
  <c r="E627" i="8"/>
  <c r="D627" i="8"/>
  <c r="C627" i="8"/>
  <c r="B627" i="8"/>
  <c r="A627" i="8"/>
  <c r="M626" i="8"/>
  <c r="K626" i="8"/>
  <c r="J626" i="8"/>
  <c r="I626" i="8"/>
  <c r="H626" i="8"/>
  <c r="G626" i="8"/>
  <c r="L626" i="8" s="1"/>
  <c r="F626" i="8"/>
  <c r="E626" i="8"/>
  <c r="D626" i="8"/>
  <c r="C626" i="8"/>
  <c r="B626" i="8"/>
  <c r="A626" i="8"/>
  <c r="M625" i="8"/>
  <c r="L625" i="8"/>
  <c r="K625" i="8"/>
  <c r="J625" i="8"/>
  <c r="I625" i="8"/>
  <c r="H625" i="8"/>
  <c r="G625" i="8"/>
  <c r="F625" i="8"/>
  <c r="E625" i="8"/>
  <c r="D625" i="8"/>
  <c r="C625" i="8"/>
  <c r="B625" i="8"/>
  <c r="A625" i="8"/>
  <c r="M624" i="8"/>
  <c r="K624" i="8"/>
  <c r="J624" i="8"/>
  <c r="I624" i="8"/>
  <c r="H624" i="8"/>
  <c r="G624" i="8"/>
  <c r="L624" i="8" s="1"/>
  <c r="F624" i="8"/>
  <c r="E624" i="8"/>
  <c r="D624" i="8"/>
  <c r="C624" i="8"/>
  <c r="B624" i="8"/>
  <c r="A624" i="8"/>
  <c r="M623" i="8"/>
  <c r="K623" i="8"/>
  <c r="J623" i="8"/>
  <c r="I623" i="8"/>
  <c r="H623" i="8"/>
  <c r="G623" i="8"/>
  <c r="L623" i="8" s="1"/>
  <c r="F623" i="8"/>
  <c r="E623" i="8"/>
  <c r="D623" i="8"/>
  <c r="C623" i="8"/>
  <c r="B623" i="8"/>
  <c r="A623" i="8"/>
  <c r="M622" i="8"/>
  <c r="K622" i="8"/>
  <c r="J622" i="8"/>
  <c r="I622" i="8"/>
  <c r="H622" i="8"/>
  <c r="G622" i="8"/>
  <c r="L622" i="8" s="1"/>
  <c r="F622" i="8"/>
  <c r="E622" i="8"/>
  <c r="D622" i="8"/>
  <c r="C622" i="8"/>
  <c r="B622" i="8"/>
  <c r="A622" i="8"/>
  <c r="M621" i="8"/>
  <c r="L621" i="8"/>
  <c r="K621" i="8"/>
  <c r="J621" i="8"/>
  <c r="I621" i="8"/>
  <c r="H621" i="8"/>
  <c r="G621" i="8"/>
  <c r="F621" i="8"/>
  <c r="E621" i="8"/>
  <c r="D621" i="8"/>
  <c r="C621" i="8"/>
  <c r="B621" i="8"/>
  <c r="A621" i="8"/>
  <c r="M620" i="8"/>
  <c r="K620" i="8"/>
  <c r="J620" i="8"/>
  <c r="I620" i="8"/>
  <c r="H620" i="8"/>
  <c r="G620" i="8"/>
  <c r="L620" i="8" s="1"/>
  <c r="F620" i="8"/>
  <c r="E620" i="8"/>
  <c r="D620" i="8"/>
  <c r="C620" i="8"/>
  <c r="B620" i="8"/>
  <c r="A620" i="8"/>
  <c r="M619" i="8"/>
  <c r="K619" i="8"/>
  <c r="J619" i="8"/>
  <c r="I619" i="8"/>
  <c r="H619" i="8"/>
  <c r="G619" i="8"/>
  <c r="L619" i="8" s="1"/>
  <c r="F619" i="8"/>
  <c r="E619" i="8"/>
  <c r="D619" i="8"/>
  <c r="C619" i="8"/>
  <c r="B619" i="8"/>
  <c r="A619" i="8"/>
  <c r="M618" i="8"/>
  <c r="K618" i="8"/>
  <c r="J618" i="8"/>
  <c r="I618" i="8"/>
  <c r="H618" i="8"/>
  <c r="G618" i="8"/>
  <c r="L618" i="8" s="1"/>
  <c r="F618" i="8"/>
  <c r="E618" i="8"/>
  <c r="D618" i="8"/>
  <c r="C618" i="8"/>
  <c r="B618" i="8"/>
  <c r="A618" i="8"/>
  <c r="M617" i="8"/>
  <c r="L617" i="8"/>
  <c r="K617" i="8"/>
  <c r="J617" i="8"/>
  <c r="I617" i="8"/>
  <c r="H617" i="8"/>
  <c r="G617" i="8"/>
  <c r="F617" i="8"/>
  <c r="E617" i="8"/>
  <c r="D617" i="8"/>
  <c r="C617" i="8"/>
  <c r="B617" i="8"/>
  <c r="A617" i="8"/>
  <c r="M616" i="8"/>
  <c r="K616" i="8"/>
  <c r="J616" i="8"/>
  <c r="I616" i="8"/>
  <c r="H616" i="8"/>
  <c r="G616" i="8"/>
  <c r="L616" i="8" s="1"/>
  <c r="F616" i="8"/>
  <c r="E616" i="8"/>
  <c r="D616" i="8"/>
  <c r="C616" i="8"/>
  <c r="B616" i="8"/>
  <c r="A616" i="8"/>
  <c r="M615" i="8"/>
  <c r="K615" i="8"/>
  <c r="J615" i="8"/>
  <c r="I615" i="8"/>
  <c r="H615" i="8"/>
  <c r="G615" i="8"/>
  <c r="L615" i="8" s="1"/>
  <c r="F615" i="8"/>
  <c r="E615" i="8"/>
  <c r="D615" i="8"/>
  <c r="C615" i="8"/>
  <c r="B615" i="8"/>
  <c r="A615" i="8"/>
  <c r="M614" i="8"/>
  <c r="K614" i="8"/>
  <c r="J614" i="8"/>
  <c r="I614" i="8"/>
  <c r="H614" i="8"/>
  <c r="G614" i="8"/>
  <c r="L614" i="8" s="1"/>
  <c r="F614" i="8"/>
  <c r="E614" i="8"/>
  <c r="D614" i="8"/>
  <c r="C614" i="8"/>
  <c r="B614" i="8"/>
  <c r="A614" i="8"/>
  <c r="M613" i="8"/>
  <c r="L613" i="8"/>
  <c r="K613" i="8"/>
  <c r="J613" i="8"/>
  <c r="I613" i="8"/>
  <c r="H613" i="8"/>
  <c r="G613" i="8"/>
  <c r="F613" i="8"/>
  <c r="E613" i="8"/>
  <c r="D613" i="8"/>
  <c r="C613" i="8"/>
  <c r="B613" i="8"/>
  <c r="A613" i="8"/>
  <c r="M612" i="8"/>
  <c r="K612" i="8"/>
  <c r="J612" i="8"/>
  <c r="I612" i="8"/>
  <c r="H612" i="8"/>
  <c r="G612" i="8"/>
  <c r="L612" i="8" s="1"/>
  <c r="F612" i="8"/>
  <c r="E612" i="8"/>
  <c r="D612" i="8"/>
  <c r="C612" i="8"/>
  <c r="B612" i="8"/>
  <c r="A612" i="8"/>
  <c r="M611" i="8"/>
  <c r="K611" i="8"/>
  <c r="J611" i="8"/>
  <c r="I611" i="8"/>
  <c r="H611" i="8"/>
  <c r="G611" i="8"/>
  <c r="L611" i="8" s="1"/>
  <c r="F611" i="8"/>
  <c r="E611" i="8"/>
  <c r="D611" i="8"/>
  <c r="C611" i="8"/>
  <c r="B611" i="8"/>
  <c r="A611" i="8"/>
  <c r="M610" i="8"/>
  <c r="K610" i="8"/>
  <c r="J610" i="8"/>
  <c r="I610" i="8"/>
  <c r="H610" i="8"/>
  <c r="G610" i="8"/>
  <c r="L610" i="8" s="1"/>
  <c r="F610" i="8"/>
  <c r="E610" i="8"/>
  <c r="D610" i="8"/>
  <c r="C610" i="8"/>
  <c r="B610" i="8"/>
  <c r="A610" i="8"/>
  <c r="M609" i="8"/>
  <c r="L609" i="8"/>
  <c r="K609" i="8"/>
  <c r="J609" i="8"/>
  <c r="I609" i="8"/>
  <c r="H609" i="8"/>
  <c r="G609" i="8"/>
  <c r="F609" i="8"/>
  <c r="E609" i="8"/>
  <c r="D609" i="8"/>
  <c r="C609" i="8"/>
  <c r="B609" i="8"/>
  <c r="A609" i="8"/>
  <c r="M608" i="8"/>
  <c r="K608" i="8"/>
  <c r="J608" i="8"/>
  <c r="I608" i="8"/>
  <c r="H608" i="8"/>
  <c r="G608" i="8"/>
  <c r="L608" i="8" s="1"/>
  <c r="F608" i="8"/>
  <c r="E608" i="8"/>
  <c r="D608" i="8"/>
  <c r="C608" i="8"/>
  <c r="B608" i="8"/>
  <c r="A608" i="8"/>
  <c r="M607" i="8"/>
  <c r="K607" i="8"/>
  <c r="J607" i="8"/>
  <c r="I607" i="8"/>
  <c r="H607" i="8"/>
  <c r="G607" i="8"/>
  <c r="L607" i="8" s="1"/>
  <c r="F607" i="8"/>
  <c r="E607" i="8"/>
  <c r="D607" i="8"/>
  <c r="C607" i="8"/>
  <c r="B607" i="8"/>
  <c r="A607" i="8"/>
  <c r="M606" i="8"/>
  <c r="K606" i="8"/>
  <c r="J606" i="8"/>
  <c r="I606" i="8"/>
  <c r="H606" i="8"/>
  <c r="G606" i="8"/>
  <c r="L606" i="8" s="1"/>
  <c r="F606" i="8"/>
  <c r="E606" i="8"/>
  <c r="D606" i="8"/>
  <c r="C606" i="8"/>
  <c r="B606" i="8"/>
  <c r="A606" i="8"/>
  <c r="M605" i="8"/>
  <c r="L605" i="8"/>
  <c r="K605" i="8"/>
  <c r="J605" i="8"/>
  <c r="I605" i="8"/>
  <c r="H605" i="8"/>
  <c r="G605" i="8"/>
  <c r="F605" i="8"/>
  <c r="E605" i="8"/>
  <c r="D605" i="8"/>
  <c r="C605" i="8"/>
  <c r="B605" i="8"/>
  <c r="A605" i="8"/>
  <c r="M604" i="8"/>
  <c r="K604" i="8"/>
  <c r="J604" i="8"/>
  <c r="I604" i="8"/>
  <c r="H604" i="8"/>
  <c r="G604" i="8"/>
  <c r="L604" i="8" s="1"/>
  <c r="F604" i="8"/>
  <c r="E604" i="8"/>
  <c r="D604" i="8"/>
  <c r="C604" i="8"/>
  <c r="B604" i="8"/>
  <c r="A604" i="8"/>
  <c r="M603" i="8"/>
  <c r="K603" i="8"/>
  <c r="J603" i="8"/>
  <c r="I603" i="8"/>
  <c r="H603" i="8"/>
  <c r="G603" i="8"/>
  <c r="L603" i="8" s="1"/>
  <c r="F603" i="8"/>
  <c r="E603" i="8"/>
  <c r="D603" i="8"/>
  <c r="C603" i="8"/>
  <c r="B603" i="8"/>
  <c r="A603" i="8"/>
  <c r="M602" i="8"/>
  <c r="K602" i="8"/>
  <c r="J602" i="8"/>
  <c r="I602" i="8"/>
  <c r="H602" i="8"/>
  <c r="G602" i="8"/>
  <c r="L602" i="8" s="1"/>
  <c r="F602" i="8"/>
  <c r="E602" i="8"/>
  <c r="D602" i="8"/>
  <c r="C602" i="8"/>
  <c r="B602" i="8"/>
  <c r="A602" i="8"/>
  <c r="M601" i="8"/>
  <c r="L601" i="8"/>
  <c r="K601" i="8"/>
  <c r="J601" i="8"/>
  <c r="I601" i="8"/>
  <c r="H601" i="8"/>
  <c r="G601" i="8"/>
  <c r="F601" i="8"/>
  <c r="E601" i="8"/>
  <c r="D601" i="8"/>
  <c r="C601" i="8"/>
  <c r="B601" i="8"/>
  <c r="A601" i="8"/>
  <c r="M600" i="8"/>
  <c r="K600" i="8"/>
  <c r="J600" i="8"/>
  <c r="I600" i="8"/>
  <c r="H600" i="8"/>
  <c r="G600" i="8"/>
  <c r="L600" i="8" s="1"/>
  <c r="F600" i="8"/>
  <c r="E600" i="8"/>
  <c r="D600" i="8"/>
  <c r="C600" i="8"/>
  <c r="B600" i="8"/>
  <c r="A600" i="8"/>
  <c r="M599" i="8"/>
  <c r="K599" i="8"/>
  <c r="J599" i="8"/>
  <c r="I599" i="8"/>
  <c r="H599" i="8"/>
  <c r="G599" i="8"/>
  <c r="L599" i="8" s="1"/>
  <c r="F599" i="8"/>
  <c r="E599" i="8"/>
  <c r="D599" i="8"/>
  <c r="C599" i="8"/>
  <c r="B599" i="8"/>
  <c r="A599" i="8"/>
  <c r="M598" i="8"/>
  <c r="K598" i="8"/>
  <c r="J598" i="8"/>
  <c r="I598" i="8"/>
  <c r="H598" i="8"/>
  <c r="G598" i="8"/>
  <c r="L598" i="8" s="1"/>
  <c r="F598" i="8"/>
  <c r="E598" i="8"/>
  <c r="D598" i="8"/>
  <c r="C598" i="8"/>
  <c r="B598" i="8"/>
  <c r="A598" i="8"/>
  <c r="M597" i="8"/>
  <c r="L597" i="8"/>
  <c r="K597" i="8"/>
  <c r="J597" i="8"/>
  <c r="I597" i="8"/>
  <c r="H597" i="8"/>
  <c r="G597" i="8"/>
  <c r="F597" i="8"/>
  <c r="E597" i="8"/>
  <c r="D597" i="8"/>
  <c r="C597" i="8"/>
  <c r="B597" i="8"/>
  <c r="A597" i="8"/>
  <c r="M596" i="8"/>
  <c r="K596" i="8"/>
  <c r="J596" i="8"/>
  <c r="I596" i="8"/>
  <c r="H596" i="8"/>
  <c r="G596" i="8"/>
  <c r="L596" i="8" s="1"/>
  <c r="F596" i="8"/>
  <c r="E596" i="8"/>
  <c r="D596" i="8"/>
  <c r="C596" i="8"/>
  <c r="B596" i="8"/>
  <c r="A596" i="8"/>
  <c r="M595" i="8"/>
  <c r="K595" i="8"/>
  <c r="J595" i="8"/>
  <c r="I595" i="8"/>
  <c r="H595" i="8"/>
  <c r="G595" i="8"/>
  <c r="L595" i="8" s="1"/>
  <c r="F595" i="8"/>
  <c r="E595" i="8"/>
  <c r="D595" i="8"/>
  <c r="C595" i="8"/>
  <c r="B595" i="8"/>
  <c r="A595" i="8"/>
  <c r="M594" i="8"/>
  <c r="K594" i="8"/>
  <c r="J594" i="8"/>
  <c r="I594" i="8"/>
  <c r="H594" i="8"/>
  <c r="G594" i="8"/>
  <c r="L594" i="8" s="1"/>
  <c r="F594" i="8"/>
  <c r="E594" i="8"/>
  <c r="D594" i="8"/>
  <c r="C594" i="8"/>
  <c r="B594" i="8"/>
  <c r="A594" i="8"/>
  <c r="M593" i="8"/>
  <c r="L593" i="8"/>
  <c r="K593" i="8"/>
  <c r="J593" i="8"/>
  <c r="I593" i="8"/>
  <c r="H593" i="8"/>
  <c r="G593" i="8"/>
  <c r="F593" i="8"/>
  <c r="E593" i="8"/>
  <c r="D593" i="8"/>
  <c r="C593" i="8"/>
  <c r="B593" i="8"/>
  <c r="A593" i="8"/>
  <c r="M592" i="8"/>
  <c r="K592" i="8"/>
  <c r="J592" i="8"/>
  <c r="I592" i="8"/>
  <c r="H592" i="8"/>
  <c r="G592" i="8"/>
  <c r="L592" i="8" s="1"/>
  <c r="F592" i="8"/>
  <c r="E592" i="8"/>
  <c r="D592" i="8"/>
  <c r="C592" i="8"/>
  <c r="B592" i="8"/>
  <c r="A592" i="8"/>
  <c r="M591" i="8"/>
  <c r="K591" i="8"/>
  <c r="J591" i="8"/>
  <c r="I591" i="8"/>
  <c r="H591" i="8"/>
  <c r="G591" i="8"/>
  <c r="L591" i="8" s="1"/>
  <c r="F591" i="8"/>
  <c r="E591" i="8"/>
  <c r="D591" i="8"/>
  <c r="C591" i="8"/>
  <c r="B591" i="8"/>
  <c r="A591" i="8"/>
  <c r="M590" i="8"/>
  <c r="K590" i="8"/>
  <c r="J590" i="8"/>
  <c r="I590" i="8"/>
  <c r="H590" i="8"/>
  <c r="G590" i="8"/>
  <c r="L590" i="8" s="1"/>
  <c r="F590" i="8"/>
  <c r="E590" i="8"/>
  <c r="D590" i="8"/>
  <c r="C590" i="8"/>
  <c r="B590" i="8"/>
  <c r="A590" i="8"/>
  <c r="M589" i="8"/>
  <c r="L589" i="8"/>
  <c r="K589" i="8"/>
  <c r="J589" i="8"/>
  <c r="I589" i="8"/>
  <c r="H589" i="8"/>
  <c r="G589" i="8"/>
  <c r="F589" i="8"/>
  <c r="E589" i="8"/>
  <c r="D589" i="8"/>
  <c r="C589" i="8"/>
  <c r="B589" i="8"/>
  <c r="A589" i="8"/>
  <c r="M588" i="8"/>
  <c r="K588" i="8"/>
  <c r="J588" i="8"/>
  <c r="I588" i="8"/>
  <c r="H588" i="8"/>
  <c r="G588" i="8"/>
  <c r="L588" i="8" s="1"/>
  <c r="F588" i="8"/>
  <c r="E588" i="8"/>
  <c r="D588" i="8"/>
  <c r="C588" i="8"/>
  <c r="B588" i="8"/>
  <c r="A588" i="8"/>
  <c r="M587" i="8"/>
  <c r="K587" i="8"/>
  <c r="J587" i="8"/>
  <c r="I587" i="8"/>
  <c r="H587" i="8"/>
  <c r="G587" i="8"/>
  <c r="L587" i="8" s="1"/>
  <c r="F587" i="8"/>
  <c r="E587" i="8"/>
  <c r="D587" i="8"/>
  <c r="C587" i="8"/>
  <c r="B587" i="8"/>
  <c r="A587" i="8"/>
  <c r="M586" i="8"/>
  <c r="K586" i="8"/>
  <c r="J586" i="8"/>
  <c r="I586" i="8"/>
  <c r="H586" i="8"/>
  <c r="G586" i="8"/>
  <c r="L586" i="8" s="1"/>
  <c r="F586" i="8"/>
  <c r="E586" i="8"/>
  <c r="D586" i="8"/>
  <c r="C586" i="8"/>
  <c r="B586" i="8"/>
  <c r="A586" i="8"/>
  <c r="M585" i="8"/>
  <c r="L585" i="8"/>
  <c r="K585" i="8"/>
  <c r="J585" i="8"/>
  <c r="I585" i="8"/>
  <c r="H585" i="8"/>
  <c r="G585" i="8"/>
  <c r="F585" i="8"/>
  <c r="E585" i="8"/>
  <c r="D585" i="8"/>
  <c r="C585" i="8"/>
  <c r="B585" i="8"/>
  <c r="A585" i="8"/>
  <c r="M584" i="8"/>
  <c r="K584" i="8"/>
  <c r="J584" i="8"/>
  <c r="I584" i="8"/>
  <c r="H584" i="8"/>
  <c r="G584" i="8"/>
  <c r="L584" i="8" s="1"/>
  <c r="F584" i="8"/>
  <c r="E584" i="8"/>
  <c r="D584" i="8"/>
  <c r="C584" i="8"/>
  <c r="B584" i="8"/>
  <c r="A584" i="8"/>
  <c r="M583" i="8"/>
  <c r="K583" i="8"/>
  <c r="J583" i="8"/>
  <c r="I583" i="8"/>
  <c r="H583" i="8"/>
  <c r="G583" i="8"/>
  <c r="L583" i="8" s="1"/>
  <c r="F583" i="8"/>
  <c r="E583" i="8"/>
  <c r="D583" i="8"/>
  <c r="C583" i="8"/>
  <c r="B583" i="8"/>
  <c r="A583" i="8"/>
  <c r="M582" i="8"/>
  <c r="K582" i="8"/>
  <c r="J582" i="8"/>
  <c r="I582" i="8"/>
  <c r="H582" i="8"/>
  <c r="G582" i="8"/>
  <c r="L582" i="8" s="1"/>
  <c r="F582" i="8"/>
  <c r="E582" i="8"/>
  <c r="D582" i="8"/>
  <c r="C582" i="8"/>
  <c r="B582" i="8"/>
  <c r="A582" i="8"/>
  <c r="M581" i="8"/>
  <c r="L581" i="8"/>
  <c r="K581" i="8"/>
  <c r="J581" i="8"/>
  <c r="I581" i="8"/>
  <c r="H581" i="8"/>
  <c r="G581" i="8"/>
  <c r="F581" i="8"/>
  <c r="E581" i="8"/>
  <c r="D581" i="8"/>
  <c r="C581" i="8"/>
  <c r="B581" i="8"/>
  <c r="A581" i="8"/>
  <c r="M580" i="8"/>
  <c r="K580" i="8"/>
  <c r="J580" i="8"/>
  <c r="I580" i="8"/>
  <c r="H580" i="8"/>
  <c r="G580" i="8"/>
  <c r="L580" i="8" s="1"/>
  <c r="F580" i="8"/>
  <c r="E580" i="8"/>
  <c r="D580" i="8"/>
  <c r="C580" i="8"/>
  <c r="B580" i="8"/>
  <c r="A580" i="8"/>
  <c r="M579" i="8"/>
  <c r="K579" i="8"/>
  <c r="J579" i="8"/>
  <c r="I579" i="8"/>
  <c r="H579" i="8"/>
  <c r="G579" i="8"/>
  <c r="L579" i="8" s="1"/>
  <c r="F579" i="8"/>
  <c r="E579" i="8"/>
  <c r="D579" i="8"/>
  <c r="C579" i="8"/>
  <c r="B579" i="8"/>
  <c r="A579" i="8"/>
  <c r="M578" i="8"/>
  <c r="K578" i="8"/>
  <c r="J578" i="8"/>
  <c r="I578" i="8"/>
  <c r="H578" i="8"/>
  <c r="G578" i="8"/>
  <c r="L578" i="8" s="1"/>
  <c r="F578" i="8"/>
  <c r="E578" i="8"/>
  <c r="D578" i="8"/>
  <c r="C578" i="8"/>
  <c r="B578" i="8"/>
  <c r="A578" i="8"/>
  <c r="M577" i="8"/>
  <c r="L577" i="8"/>
  <c r="K577" i="8"/>
  <c r="J577" i="8"/>
  <c r="I577" i="8"/>
  <c r="H577" i="8"/>
  <c r="G577" i="8"/>
  <c r="F577" i="8"/>
  <c r="E577" i="8"/>
  <c r="D577" i="8"/>
  <c r="C577" i="8"/>
  <c r="B577" i="8"/>
  <c r="A577" i="8"/>
  <c r="M576" i="8"/>
  <c r="K576" i="8"/>
  <c r="J576" i="8"/>
  <c r="I576" i="8"/>
  <c r="H576" i="8"/>
  <c r="G576" i="8"/>
  <c r="L576" i="8" s="1"/>
  <c r="F576" i="8"/>
  <c r="E576" i="8"/>
  <c r="D576" i="8"/>
  <c r="C576" i="8"/>
  <c r="B576" i="8"/>
  <c r="A576" i="8"/>
  <c r="M575" i="8"/>
  <c r="K575" i="8"/>
  <c r="J575" i="8"/>
  <c r="I575" i="8"/>
  <c r="H575" i="8"/>
  <c r="G575" i="8"/>
  <c r="L575" i="8" s="1"/>
  <c r="F575" i="8"/>
  <c r="E575" i="8"/>
  <c r="D575" i="8"/>
  <c r="C575" i="8"/>
  <c r="B575" i="8"/>
  <c r="A575" i="8"/>
  <c r="M574" i="8"/>
  <c r="K574" i="8"/>
  <c r="J574" i="8"/>
  <c r="I574" i="8"/>
  <c r="H574" i="8"/>
  <c r="G574" i="8"/>
  <c r="L574" i="8" s="1"/>
  <c r="F574" i="8"/>
  <c r="E574" i="8"/>
  <c r="D574" i="8"/>
  <c r="C574" i="8"/>
  <c r="B574" i="8"/>
  <c r="A574" i="8"/>
  <c r="M573" i="8"/>
  <c r="L573" i="8"/>
  <c r="K573" i="8"/>
  <c r="J573" i="8"/>
  <c r="I573" i="8"/>
  <c r="H573" i="8"/>
  <c r="G573" i="8"/>
  <c r="F573" i="8"/>
  <c r="E573" i="8"/>
  <c r="D573" i="8"/>
  <c r="C573" i="8"/>
  <c r="B573" i="8"/>
  <c r="A573" i="8"/>
  <c r="M572" i="8"/>
  <c r="K572" i="8"/>
  <c r="J572" i="8"/>
  <c r="I572" i="8"/>
  <c r="H572" i="8"/>
  <c r="G572" i="8"/>
  <c r="L572" i="8" s="1"/>
  <c r="F572" i="8"/>
  <c r="E572" i="8"/>
  <c r="D572" i="8"/>
  <c r="C572" i="8"/>
  <c r="B572" i="8"/>
  <c r="A572" i="8"/>
  <c r="M571" i="8"/>
  <c r="K571" i="8"/>
  <c r="J571" i="8"/>
  <c r="I571" i="8"/>
  <c r="H571" i="8"/>
  <c r="G571" i="8"/>
  <c r="L571" i="8" s="1"/>
  <c r="F571" i="8"/>
  <c r="E571" i="8"/>
  <c r="D571" i="8"/>
  <c r="C571" i="8"/>
  <c r="B571" i="8"/>
  <c r="A571" i="8"/>
  <c r="M570" i="8"/>
  <c r="K570" i="8"/>
  <c r="J570" i="8"/>
  <c r="I570" i="8"/>
  <c r="H570" i="8"/>
  <c r="G570" i="8"/>
  <c r="L570" i="8" s="1"/>
  <c r="F570" i="8"/>
  <c r="E570" i="8"/>
  <c r="D570" i="8"/>
  <c r="C570" i="8"/>
  <c r="B570" i="8"/>
  <c r="A570" i="8"/>
  <c r="M569" i="8"/>
  <c r="L569" i="8"/>
  <c r="K569" i="8"/>
  <c r="J569" i="8"/>
  <c r="I569" i="8"/>
  <c r="H569" i="8"/>
  <c r="G569" i="8"/>
  <c r="F569" i="8"/>
  <c r="E569" i="8"/>
  <c r="D569" i="8"/>
  <c r="C569" i="8"/>
  <c r="B569" i="8"/>
  <c r="A569" i="8"/>
  <c r="M568" i="8"/>
  <c r="K568" i="8"/>
  <c r="J568" i="8"/>
  <c r="I568" i="8"/>
  <c r="H568" i="8"/>
  <c r="G568" i="8"/>
  <c r="L568" i="8" s="1"/>
  <c r="F568" i="8"/>
  <c r="E568" i="8"/>
  <c r="D568" i="8"/>
  <c r="C568" i="8"/>
  <c r="B568" i="8"/>
  <c r="A568" i="8"/>
  <c r="M567" i="8"/>
  <c r="K567" i="8"/>
  <c r="J567" i="8"/>
  <c r="I567" i="8"/>
  <c r="H567" i="8"/>
  <c r="G567" i="8"/>
  <c r="L567" i="8" s="1"/>
  <c r="F567" i="8"/>
  <c r="E567" i="8"/>
  <c r="D567" i="8"/>
  <c r="C567" i="8"/>
  <c r="B567" i="8"/>
  <c r="A567" i="8"/>
  <c r="M566" i="8"/>
  <c r="K566" i="8"/>
  <c r="J566" i="8"/>
  <c r="I566" i="8"/>
  <c r="H566" i="8"/>
  <c r="G566" i="8"/>
  <c r="L566" i="8" s="1"/>
  <c r="F566" i="8"/>
  <c r="E566" i="8"/>
  <c r="D566" i="8"/>
  <c r="C566" i="8"/>
  <c r="B566" i="8"/>
  <c r="A566" i="8"/>
  <c r="M565" i="8"/>
  <c r="L565" i="8"/>
  <c r="K565" i="8"/>
  <c r="J565" i="8"/>
  <c r="I565" i="8"/>
  <c r="H565" i="8"/>
  <c r="G565" i="8"/>
  <c r="F565" i="8"/>
  <c r="E565" i="8"/>
  <c r="D565" i="8"/>
  <c r="C565" i="8"/>
  <c r="B565" i="8"/>
  <c r="A565" i="8"/>
  <c r="M564" i="8"/>
  <c r="K564" i="8"/>
  <c r="J564" i="8"/>
  <c r="I564" i="8"/>
  <c r="H564" i="8"/>
  <c r="G564" i="8"/>
  <c r="L564" i="8" s="1"/>
  <c r="F564" i="8"/>
  <c r="E564" i="8"/>
  <c r="D564" i="8"/>
  <c r="C564" i="8"/>
  <c r="B564" i="8"/>
  <c r="A564" i="8"/>
  <c r="M563" i="8"/>
  <c r="K563" i="8"/>
  <c r="J563" i="8"/>
  <c r="I563" i="8"/>
  <c r="H563" i="8"/>
  <c r="G563" i="8"/>
  <c r="L563" i="8" s="1"/>
  <c r="F563" i="8"/>
  <c r="E563" i="8"/>
  <c r="D563" i="8"/>
  <c r="C563" i="8"/>
  <c r="B563" i="8"/>
  <c r="A563" i="8"/>
  <c r="M562" i="8"/>
  <c r="K562" i="8"/>
  <c r="J562" i="8"/>
  <c r="I562" i="8"/>
  <c r="H562" i="8"/>
  <c r="G562" i="8"/>
  <c r="L562" i="8" s="1"/>
  <c r="F562" i="8"/>
  <c r="E562" i="8"/>
  <c r="D562" i="8"/>
  <c r="C562" i="8"/>
  <c r="B562" i="8"/>
  <c r="A562" i="8"/>
  <c r="M561" i="8"/>
  <c r="L561" i="8"/>
  <c r="K561" i="8"/>
  <c r="J561" i="8"/>
  <c r="I561" i="8"/>
  <c r="H561" i="8"/>
  <c r="G561" i="8"/>
  <c r="F561" i="8"/>
  <c r="E561" i="8"/>
  <c r="D561" i="8"/>
  <c r="C561" i="8"/>
  <c r="B561" i="8"/>
  <c r="A561" i="8"/>
  <c r="M560" i="8"/>
  <c r="K560" i="8"/>
  <c r="J560" i="8"/>
  <c r="I560" i="8"/>
  <c r="H560" i="8"/>
  <c r="G560" i="8"/>
  <c r="L560" i="8" s="1"/>
  <c r="F560" i="8"/>
  <c r="E560" i="8"/>
  <c r="D560" i="8"/>
  <c r="C560" i="8"/>
  <c r="B560" i="8"/>
  <c r="A560" i="8"/>
  <c r="M559" i="8"/>
  <c r="L559" i="8"/>
  <c r="K559" i="8"/>
  <c r="J559" i="8"/>
  <c r="I559" i="8"/>
  <c r="H559" i="8"/>
  <c r="G559" i="8"/>
  <c r="F559" i="8"/>
  <c r="E559" i="8"/>
  <c r="D559" i="8"/>
  <c r="C559" i="8"/>
  <c r="B559" i="8"/>
  <c r="A559" i="8"/>
  <c r="M558" i="8"/>
  <c r="K558" i="8"/>
  <c r="J558" i="8"/>
  <c r="I558" i="8"/>
  <c r="H558" i="8"/>
  <c r="G558" i="8"/>
  <c r="L558" i="8" s="1"/>
  <c r="F558" i="8"/>
  <c r="E558" i="8"/>
  <c r="D558" i="8"/>
  <c r="C558" i="8"/>
  <c r="B558" i="8"/>
  <c r="A558" i="8"/>
  <c r="M557" i="8"/>
  <c r="L557" i="8"/>
  <c r="K557" i="8"/>
  <c r="J557" i="8"/>
  <c r="I557" i="8"/>
  <c r="H557" i="8"/>
  <c r="G557" i="8"/>
  <c r="F557" i="8"/>
  <c r="E557" i="8"/>
  <c r="D557" i="8"/>
  <c r="C557" i="8"/>
  <c r="B557" i="8"/>
  <c r="A557" i="8"/>
  <c r="M556" i="8"/>
  <c r="K556" i="8"/>
  <c r="J556" i="8"/>
  <c r="I556" i="8"/>
  <c r="H556" i="8"/>
  <c r="G556" i="8"/>
  <c r="L556" i="8" s="1"/>
  <c r="F556" i="8"/>
  <c r="E556" i="8"/>
  <c r="D556" i="8"/>
  <c r="C556" i="8"/>
  <c r="B556" i="8"/>
  <c r="A556" i="8"/>
  <c r="M555" i="8"/>
  <c r="K555" i="8"/>
  <c r="J555" i="8"/>
  <c r="I555" i="8"/>
  <c r="H555" i="8"/>
  <c r="G555" i="8"/>
  <c r="L555" i="8" s="1"/>
  <c r="F555" i="8"/>
  <c r="E555" i="8"/>
  <c r="D555" i="8"/>
  <c r="C555" i="8"/>
  <c r="B555" i="8"/>
  <c r="A555" i="8"/>
  <c r="M554" i="8"/>
  <c r="K554" i="8"/>
  <c r="J554" i="8"/>
  <c r="I554" i="8"/>
  <c r="H554" i="8"/>
  <c r="G554" i="8"/>
  <c r="L554" i="8" s="1"/>
  <c r="F554" i="8"/>
  <c r="E554" i="8"/>
  <c r="D554" i="8"/>
  <c r="C554" i="8"/>
  <c r="B554" i="8"/>
  <c r="A554" i="8"/>
  <c r="M553" i="8"/>
  <c r="L553" i="8"/>
  <c r="K553" i="8"/>
  <c r="J553" i="8"/>
  <c r="I553" i="8"/>
  <c r="H553" i="8"/>
  <c r="G553" i="8"/>
  <c r="F553" i="8"/>
  <c r="E553" i="8"/>
  <c r="D553" i="8"/>
  <c r="C553" i="8"/>
  <c r="B553" i="8"/>
  <c r="A553" i="8"/>
  <c r="M552" i="8"/>
  <c r="K552" i="8"/>
  <c r="J552" i="8"/>
  <c r="I552" i="8"/>
  <c r="H552" i="8"/>
  <c r="G552" i="8"/>
  <c r="L552" i="8" s="1"/>
  <c r="F552" i="8"/>
  <c r="E552" i="8"/>
  <c r="D552" i="8"/>
  <c r="C552" i="8"/>
  <c r="B552" i="8"/>
  <c r="A552" i="8"/>
  <c r="M551" i="8"/>
  <c r="L551" i="8"/>
  <c r="K551" i="8"/>
  <c r="J551" i="8"/>
  <c r="I551" i="8"/>
  <c r="H551" i="8"/>
  <c r="G551" i="8"/>
  <c r="F551" i="8"/>
  <c r="E551" i="8"/>
  <c r="D551" i="8"/>
  <c r="C551" i="8"/>
  <c r="B551" i="8"/>
  <c r="A551" i="8"/>
  <c r="M550" i="8"/>
  <c r="K550" i="8"/>
  <c r="J550" i="8"/>
  <c r="I550" i="8"/>
  <c r="H550" i="8"/>
  <c r="G550" i="8"/>
  <c r="L550" i="8" s="1"/>
  <c r="F550" i="8"/>
  <c r="E550" i="8"/>
  <c r="D550" i="8"/>
  <c r="C550" i="8"/>
  <c r="B550" i="8"/>
  <c r="A550" i="8"/>
  <c r="M549" i="8"/>
  <c r="L549" i="8"/>
  <c r="K549" i="8"/>
  <c r="J549" i="8"/>
  <c r="I549" i="8"/>
  <c r="H549" i="8"/>
  <c r="G549" i="8"/>
  <c r="F549" i="8"/>
  <c r="E549" i="8"/>
  <c r="D549" i="8"/>
  <c r="C549" i="8"/>
  <c r="B549" i="8"/>
  <c r="A549" i="8"/>
  <c r="M548" i="8"/>
  <c r="K548" i="8"/>
  <c r="J548" i="8"/>
  <c r="I548" i="8"/>
  <c r="H548" i="8"/>
  <c r="G548" i="8"/>
  <c r="L548" i="8" s="1"/>
  <c r="F548" i="8"/>
  <c r="E548" i="8"/>
  <c r="D548" i="8"/>
  <c r="C548" i="8"/>
  <c r="B548" i="8"/>
  <c r="A548" i="8"/>
  <c r="M547" i="8"/>
  <c r="K547" i="8"/>
  <c r="J547" i="8"/>
  <c r="I547" i="8"/>
  <c r="H547" i="8"/>
  <c r="G547" i="8"/>
  <c r="L547" i="8" s="1"/>
  <c r="F547" i="8"/>
  <c r="E547" i="8"/>
  <c r="D547" i="8"/>
  <c r="C547" i="8"/>
  <c r="B547" i="8"/>
  <c r="A547" i="8"/>
  <c r="M546" i="8"/>
  <c r="K546" i="8"/>
  <c r="J546" i="8"/>
  <c r="I546" i="8"/>
  <c r="H546" i="8"/>
  <c r="G546" i="8"/>
  <c r="L546" i="8" s="1"/>
  <c r="F546" i="8"/>
  <c r="E546" i="8"/>
  <c r="D546" i="8"/>
  <c r="C546" i="8"/>
  <c r="B546" i="8"/>
  <c r="A546" i="8"/>
  <c r="M545" i="8"/>
  <c r="L545" i="8"/>
  <c r="K545" i="8"/>
  <c r="J545" i="8"/>
  <c r="I545" i="8"/>
  <c r="H545" i="8"/>
  <c r="G545" i="8"/>
  <c r="F545" i="8"/>
  <c r="E545" i="8"/>
  <c r="D545" i="8"/>
  <c r="C545" i="8"/>
  <c r="B545" i="8"/>
  <c r="A545" i="8"/>
  <c r="M544" i="8"/>
  <c r="K544" i="8"/>
  <c r="J544" i="8"/>
  <c r="I544" i="8"/>
  <c r="H544" i="8"/>
  <c r="G544" i="8"/>
  <c r="L544" i="8" s="1"/>
  <c r="F544" i="8"/>
  <c r="E544" i="8"/>
  <c r="D544" i="8"/>
  <c r="C544" i="8"/>
  <c r="B544" i="8"/>
  <c r="A544" i="8"/>
  <c r="M543" i="8"/>
  <c r="L543" i="8"/>
  <c r="K543" i="8"/>
  <c r="J543" i="8"/>
  <c r="I543" i="8"/>
  <c r="H543" i="8"/>
  <c r="G543" i="8"/>
  <c r="F543" i="8"/>
  <c r="E543" i="8"/>
  <c r="D543" i="8"/>
  <c r="C543" i="8"/>
  <c r="B543" i="8"/>
  <c r="A543" i="8"/>
  <c r="M542" i="8"/>
  <c r="K542" i="8"/>
  <c r="J542" i="8"/>
  <c r="I542" i="8"/>
  <c r="H542" i="8"/>
  <c r="G542" i="8"/>
  <c r="L542" i="8" s="1"/>
  <c r="F542" i="8"/>
  <c r="E542" i="8"/>
  <c r="D542" i="8"/>
  <c r="C542" i="8"/>
  <c r="B542" i="8"/>
  <c r="A542" i="8"/>
  <c r="M541" i="8"/>
  <c r="L541" i="8"/>
  <c r="K541" i="8"/>
  <c r="J541" i="8"/>
  <c r="I541" i="8"/>
  <c r="H541" i="8"/>
  <c r="G541" i="8"/>
  <c r="F541" i="8"/>
  <c r="E541" i="8"/>
  <c r="D541" i="8"/>
  <c r="C541" i="8"/>
  <c r="B541" i="8"/>
  <c r="A541" i="8"/>
  <c r="M540" i="8"/>
  <c r="K540" i="8"/>
  <c r="J540" i="8"/>
  <c r="I540" i="8"/>
  <c r="H540" i="8"/>
  <c r="G540" i="8"/>
  <c r="L540" i="8" s="1"/>
  <c r="F540" i="8"/>
  <c r="E540" i="8"/>
  <c r="D540" i="8"/>
  <c r="C540" i="8"/>
  <c r="B540" i="8"/>
  <c r="A540" i="8"/>
  <c r="M539" i="8"/>
  <c r="K539" i="8"/>
  <c r="J539" i="8"/>
  <c r="I539" i="8"/>
  <c r="H539" i="8"/>
  <c r="G539" i="8"/>
  <c r="L539" i="8" s="1"/>
  <c r="F539" i="8"/>
  <c r="E539" i="8"/>
  <c r="D539" i="8"/>
  <c r="C539" i="8"/>
  <c r="B539" i="8"/>
  <c r="A539" i="8"/>
  <c r="M538" i="8"/>
  <c r="K538" i="8"/>
  <c r="J538" i="8"/>
  <c r="I538" i="8"/>
  <c r="H538" i="8"/>
  <c r="G538" i="8"/>
  <c r="L538" i="8" s="1"/>
  <c r="F538" i="8"/>
  <c r="E538" i="8"/>
  <c r="D538" i="8"/>
  <c r="C538" i="8"/>
  <c r="B538" i="8"/>
  <c r="A538" i="8"/>
  <c r="M537" i="8"/>
  <c r="L537" i="8"/>
  <c r="K537" i="8"/>
  <c r="J537" i="8"/>
  <c r="I537" i="8"/>
  <c r="H537" i="8"/>
  <c r="G537" i="8"/>
  <c r="F537" i="8"/>
  <c r="E537" i="8"/>
  <c r="D537" i="8"/>
  <c r="C537" i="8"/>
  <c r="B537" i="8"/>
  <c r="A537" i="8"/>
  <c r="M536" i="8"/>
  <c r="K536" i="8"/>
  <c r="J536" i="8"/>
  <c r="I536" i="8"/>
  <c r="H536" i="8"/>
  <c r="G536" i="8"/>
  <c r="L536" i="8" s="1"/>
  <c r="F536" i="8"/>
  <c r="E536" i="8"/>
  <c r="D536" i="8"/>
  <c r="C536" i="8"/>
  <c r="B536" i="8"/>
  <c r="A536" i="8"/>
  <c r="M535" i="8"/>
  <c r="L535" i="8"/>
  <c r="K535" i="8"/>
  <c r="J535" i="8"/>
  <c r="I535" i="8"/>
  <c r="H535" i="8"/>
  <c r="G535" i="8"/>
  <c r="F535" i="8"/>
  <c r="E535" i="8"/>
  <c r="D535" i="8"/>
  <c r="C535" i="8"/>
  <c r="B535" i="8"/>
  <c r="A535" i="8"/>
  <c r="M534" i="8"/>
  <c r="K534" i="8"/>
  <c r="J534" i="8"/>
  <c r="I534" i="8"/>
  <c r="H534" i="8"/>
  <c r="G534" i="8"/>
  <c r="L534" i="8" s="1"/>
  <c r="F534" i="8"/>
  <c r="E534" i="8"/>
  <c r="D534" i="8"/>
  <c r="C534" i="8"/>
  <c r="B534" i="8"/>
  <c r="A534" i="8"/>
  <c r="M533" i="8"/>
  <c r="L533" i="8"/>
  <c r="K533" i="8"/>
  <c r="J533" i="8"/>
  <c r="I533" i="8"/>
  <c r="H533" i="8"/>
  <c r="G533" i="8"/>
  <c r="F533" i="8"/>
  <c r="E533" i="8"/>
  <c r="D533" i="8"/>
  <c r="C533" i="8"/>
  <c r="B533" i="8"/>
  <c r="A533" i="8"/>
  <c r="M532" i="8"/>
  <c r="K532" i="8"/>
  <c r="J532" i="8"/>
  <c r="I532" i="8"/>
  <c r="H532" i="8"/>
  <c r="G532" i="8"/>
  <c r="L532" i="8" s="1"/>
  <c r="F532" i="8"/>
  <c r="E532" i="8"/>
  <c r="D532" i="8"/>
  <c r="C532" i="8"/>
  <c r="B532" i="8"/>
  <c r="A532" i="8"/>
  <c r="M531" i="8"/>
  <c r="K531" i="8"/>
  <c r="J531" i="8"/>
  <c r="I531" i="8"/>
  <c r="H531" i="8"/>
  <c r="G531" i="8"/>
  <c r="L531" i="8" s="1"/>
  <c r="F531" i="8"/>
  <c r="E531" i="8"/>
  <c r="D531" i="8"/>
  <c r="C531" i="8"/>
  <c r="B531" i="8"/>
  <c r="A531" i="8"/>
  <c r="M530" i="8"/>
  <c r="K530" i="8"/>
  <c r="J530" i="8"/>
  <c r="I530" i="8"/>
  <c r="H530" i="8"/>
  <c r="G530" i="8"/>
  <c r="L530" i="8" s="1"/>
  <c r="F530" i="8"/>
  <c r="E530" i="8"/>
  <c r="D530" i="8"/>
  <c r="C530" i="8"/>
  <c r="B530" i="8"/>
  <c r="A530" i="8"/>
  <c r="M529" i="8"/>
  <c r="L529" i="8"/>
  <c r="K529" i="8"/>
  <c r="J529" i="8"/>
  <c r="I529" i="8"/>
  <c r="H529" i="8"/>
  <c r="G529" i="8"/>
  <c r="F529" i="8"/>
  <c r="E529" i="8"/>
  <c r="D529" i="8"/>
  <c r="C529" i="8"/>
  <c r="B529" i="8"/>
  <c r="A529" i="8"/>
  <c r="M528" i="8"/>
  <c r="K528" i="8"/>
  <c r="J528" i="8"/>
  <c r="I528" i="8"/>
  <c r="H528" i="8"/>
  <c r="G528" i="8"/>
  <c r="L528" i="8" s="1"/>
  <c r="F528" i="8"/>
  <c r="E528" i="8"/>
  <c r="D528" i="8"/>
  <c r="C528" i="8"/>
  <c r="B528" i="8"/>
  <c r="A528" i="8"/>
  <c r="M527" i="8"/>
  <c r="L527" i="8"/>
  <c r="K527" i="8"/>
  <c r="J527" i="8"/>
  <c r="I527" i="8"/>
  <c r="H527" i="8"/>
  <c r="G527" i="8"/>
  <c r="F527" i="8"/>
  <c r="E527" i="8"/>
  <c r="D527" i="8"/>
  <c r="C527" i="8"/>
  <c r="B527" i="8"/>
  <c r="A527" i="8"/>
  <c r="M526" i="8"/>
  <c r="K526" i="8"/>
  <c r="J526" i="8"/>
  <c r="I526" i="8"/>
  <c r="H526" i="8"/>
  <c r="G526" i="8"/>
  <c r="L526" i="8" s="1"/>
  <c r="F526" i="8"/>
  <c r="E526" i="8"/>
  <c r="D526" i="8"/>
  <c r="C526" i="8"/>
  <c r="B526" i="8"/>
  <c r="A526" i="8"/>
  <c r="M525" i="8"/>
  <c r="L525" i="8"/>
  <c r="K525" i="8"/>
  <c r="J525" i="8"/>
  <c r="I525" i="8"/>
  <c r="H525" i="8"/>
  <c r="G525" i="8"/>
  <c r="F525" i="8"/>
  <c r="E525" i="8"/>
  <c r="D525" i="8"/>
  <c r="C525" i="8"/>
  <c r="B525" i="8"/>
  <c r="A525" i="8"/>
  <c r="M524" i="8"/>
  <c r="K524" i="8"/>
  <c r="J524" i="8"/>
  <c r="I524" i="8"/>
  <c r="H524" i="8"/>
  <c r="G524" i="8"/>
  <c r="L524" i="8" s="1"/>
  <c r="F524" i="8"/>
  <c r="E524" i="8"/>
  <c r="D524" i="8"/>
  <c r="C524" i="8"/>
  <c r="B524" i="8"/>
  <c r="A524" i="8"/>
  <c r="M523" i="8"/>
  <c r="K523" i="8"/>
  <c r="J523" i="8"/>
  <c r="I523" i="8"/>
  <c r="H523" i="8"/>
  <c r="G523" i="8"/>
  <c r="L523" i="8" s="1"/>
  <c r="F523" i="8"/>
  <c r="E523" i="8"/>
  <c r="D523" i="8"/>
  <c r="C523" i="8"/>
  <c r="B523" i="8"/>
  <c r="A523" i="8"/>
  <c r="M522" i="8"/>
  <c r="K522" i="8"/>
  <c r="J522" i="8"/>
  <c r="I522" i="8"/>
  <c r="H522" i="8"/>
  <c r="G522" i="8"/>
  <c r="L522" i="8" s="1"/>
  <c r="F522" i="8"/>
  <c r="E522" i="8"/>
  <c r="D522" i="8"/>
  <c r="C522" i="8"/>
  <c r="B522" i="8"/>
  <c r="A522" i="8"/>
  <c r="M521" i="8"/>
  <c r="L521" i="8"/>
  <c r="K521" i="8"/>
  <c r="J521" i="8"/>
  <c r="I521" i="8"/>
  <c r="H521" i="8"/>
  <c r="G521" i="8"/>
  <c r="F521" i="8"/>
  <c r="E521" i="8"/>
  <c r="D521" i="8"/>
  <c r="C521" i="8"/>
  <c r="B521" i="8"/>
  <c r="A521" i="8"/>
  <c r="M520" i="8"/>
  <c r="K520" i="8"/>
  <c r="J520" i="8"/>
  <c r="I520" i="8"/>
  <c r="H520" i="8"/>
  <c r="G520" i="8"/>
  <c r="L520" i="8" s="1"/>
  <c r="F520" i="8"/>
  <c r="E520" i="8"/>
  <c r="D520" i="8"/>
  <c r="C520" i="8"/>
  <c r="B520" i="8"/>
  <c r="A520" i="8"/>
  <c r="M519" i="8"/>
  <c r="L519" i="8"/>
  <c r="K519" i="8"/>
  <c r="J519" i="8"/>
  <c r="I519" i="8"/>
  <c r="H519" i="8"/>
  <c r="G519" i="8"/>
  <c r="F519" i="8"/>
  <c r="E519" i="8"/>
  <c r="D519" i="8"/>
  <c r="C519" i="8"/>
  <c r="B519" i="8"/>
  <c r="A519" i="8"/>
  <c r="M518" i="8"/>
  <c r="K518" i="8"/>
  <c r="J518" i="8"/>
  <c r="I518" i="8"/>
  <c r="H518" i="8"/>
  <c r="G518" i="8"/>
  <c r="L518" i="8" s="1"/>
  <c r="F518" i="8"/>
  <c r="E518" i="8"/>
  <c r="D518" i="8"/>
  <c r="C518" i="8"/>
  <c r="B518" i="8"/>
  <c r="A518" i="8"/>
  <c r="M517" i="8"/>
  <c r="L517" i="8"/>
  <c r="K517" i="8"/>
  <c r="J517" i="8"/>
  <c r="I517" i="8"/>
  <c r="H517" i="8"/>
  <c r="G517" i="8"/>
  <c r="F517" i="8"/>
  <c r="E517" i="8"/>
  <c r="D517" i="8"/>
  <c r="C517" i="8"/>
  <c r="B517" i="8"/>
  <c r="A517" i="8"/>
  <c r="M516" i="8"/>
  <c r="K516" i="8"/>
  <c r="J516" i="8"/>
  <c r="I516" i="8"/>
  <c r="H516" i="8"/>
  <c r="G516" i="8"/>
  <c r="L516" i="8" s="1"/>
  <c r="F516" i="8"/>
  <c r="E516" i="8"/>
  <c r="D516" i="8"/>
  <c r="C516" i="8"/>
  <c r="B516" i="8"/>
  <c r="A516" i="8"/>
  <c r="M515" i="8"/>
  <c r="K515" i="8"/>
  <c r="J515" i="8"/>
  <c r="I515" i="8"/>
  <c r="H515" i="8"/>
  <c r="G515" i="8"/>
  <c r="L515" i="8" s="1"/>
  <c r="F515" i="8"/>
  <c r="E515" i="8"/>
  <c r="D515" i="8"/>
  <c r="C515" i="8"/>
  <c r="B515" i="8"/>
  <c r="A515" i="8"/>
  <c r="M514" i="8"/>
  <c r="K514" i="8"/>
  <c r="J514" i="8"/>
  <c r="I514" i="8"/>
  <c r="H514" i="8"/>
  <c r="G514" i="8"/>
  <c r="L514" i="8" s="1"/>
  <c r="F514" i="8"/>
  <c r="E514" i="8"/>
  <c r="D514" i="8"/>
  <c r="C514" i="8"/>
  <c r="B514" i="8"/>
  <c r="A514" i="8"/>
  <c r="M513" i="8"/>
  <c r="L513" i="8"/>
  <c r="K513" i="8"/>
  <c r="J513" i="8"/>
  <c r="I513" i="8"/>
  <c r="H513" i="8"/>
  <c r="G513" i="8"/>
  <c r="F513" i="8"/>
  <c r="E513" i="8"/>
  <c r="D513" i="8"/>
  <c r="C513" i="8"/>
  <c r="B513" i="8"/>
  <c r="A513" i="8"/>
  <c r="M512" i="8"/>
  <c r="K512" i="8"/>
  <c r="J512" i="8"/>
  <c r="I512" i="8"/>
  <c r="H512" i="8"/>
  <c r="G512" i="8"/>
  <c r="L512" i="8" s="1"/>
  <c r="F512" i="8"/>
  <c r="E512" i="8"/>
  <c r="D512" i="8"/>
  <c r="C512" i="8"/>
  <c r="B512" i="8"/>
  <c r="A512" i="8"/>
  <c r="M511" i="8"/>
  <c r="L511" i="8"/>
  <c r="K511" i="8"/>
  <c r="J511" i="8"/>
  <c r="I511" i="8"/>
  <c r="H511" i="8"/>
  <c r="G511" i="8"/>
  <c r="F511" i="8"/>
  <c r="E511" i="8"/>
  <c r="D511" i="8"/>
  <c r="C511" i="8"/>
  <c r="B511" i="8"/>
  <c r="A511" i="8"/>
  <c r="M510" i="8"/>
  <c r="K510" i="8"/>
  <c r="J510" i="8"/>
  <c r="I510" i="8"/>
  <c r="H510" i="8"/>
  <c r="G510" i="8"/>
  <c r="L510" i="8" s="1"/>
  <c r="F510" i="8"/>
  <c r="E510" i="8"/>
  <c r="D510" i="8"/>
  <c r="C510" i="8"/>
  <c r="B510" i="8"/>
  <c r="A510" i="8"/>
  <c r="M509" i="8"/>
  <c r="L509" i="8"/>
  <c r="K509" i="8"/>
  <c r="J509" i="8"/>
  <c r="I509" i="8"/>
  <c r="H509" i="8"/>
  <c r="G509" i="8"/>
  <c r="F509" i="8"/>
  <c r="E509" i="8"/>
  <c r="D509" i="8"/>
  <c r="C509" i="8"/>
  <c r="B509" i="8"/>
  <c r="A509" i="8"/>
  <c r="M508" i="8"/>
  <c r="K508" i="8"/>
  <c r="J508" i="8"/>
  <c r="I508" i="8"/>
  <c r="H508" i="8"/>
  <c r="G508" i="8"/>
  <c r="L508" i="8" s="1"/>
  <c r="F508" i="8"/>
  <c r="E508" i="8"/>
  <c r="D508" i="8"/>
  <c r="C508" i="8"/>
  <c r="B508" i="8"/>
  <c r="A508" i="8"/>
  <c r="M507" i="8"/>
  <c r="K507" i="8"/>
  <c r="J507" i="8"/>
  <c r="I507" i="8"/>
  <c r="H507" i="8"/>
  <c r="G507" i="8"/>
  <c r="L507" i="8" s="1"/>
  <c r="F507" i="8"/>
  <c r="E507" i="8"/>
  <c r="D507" i="8"/>
  <c r="C507" i="8"/>
  <c r="B507" i="8"/>
  <c r="A507" i="8"/>
  <c r="M506" i="8"/>
  <c r="K506" i="8"/>
  <c r="J506" i="8"/>
  <c r="I506" i="8"/>
  <c r="H506" i="8"/>
  <c r="G506" i="8"/>
  <c r="L506" i="8" s="1"/>
  <c r="F506" i="8"/>
  <c r="E506" i="8"/>
  <c r="D506" i="8"/>
  <c r="C506" i="8"/>
  <c r="B506" i="8"/>
  <c r="A506" i="8"/>
  <c r="M505" i="8"/>
  <c r="L505" i="8"/>
  <c r="K505" i="8"/>
  <c r="J505" i="8"/>
  <c r="I505" i="8"/>
  <c r="H505" i="8"/>
  <c r="G505" i="8"/>
  <c r="F505" i="8"/>
  <c r="E505" i="8"/>
  <c r="D505" i="8"/>
  <c r="C505" i="8"/>
  <c r="B505" i="8"/>
  <c r="A505" i="8"/>
  <c r="M504" i="8"/>
  <c r="K504" i="8"/>
  <c r="J504" i="8"/>
  <c r="I504" i="8"/>
  <c r="H504" i="8"/>
  <c r="G504" i="8"/>
  <c r="L504" i="8" s="1"/>
  <c r="F504" i="8"/>
  <c r="E504" i="8"/>
  <c r="D504" i="8"/>
  <c r="C504" i="8"/>
  <c r="B504" i="8"/>
  <c r="A504" i="8"/>
  <c r="M503" i="8"/>
  <c r="L503" i="8"/>
  <c r="K503" i="8"/>
  <c r="J503" i="8"/>
  <c r="I503" i="8"/>
  <c r="H503" i="8"/>
  <c r="G503" i="8"/>
  <c r="F503" i="8"/>
  <c r="E503" i="8"/>
  <c r="D503" i="8"/>
  <c r="C503" i="8"/>
  <c r="B503" i="8"/>
  <c r="A503" i="8"/>
  <c r="M502" i="8"/>
  <c r="K502" i="8"/>
  <c r="J502" i="8"/>
  <c r="I502" i="8"/>
  <c r="H502" i="8"/>
  <c r="G502" i="8"/>
  <c r="L502" i="8" s="1"/>
  <c r="F502" i="8"/>
  <c r="E502" i="8"/>
  <c r="D502" i="8"/>
  <c r="C502" i="8"/>
  <c r="B502" i="8"/>
  <c r="A502" i="8"/>
  <c r="M501" i="8"/>
  <c r="L501" i="8"/>
  <c r="K501" i="8"/>
  <c r="J501" i="8"/>
  <c r="I501" i="8"/>
  <c r="H501" i="8"/>
  <c r="G501" i="8"/>
  <c r="F501" i="8"/>
  <c r="E501" i="8"/>
  <c r="D501" i="8"/>
  <c r="C501" i="8"/>
  <c r="B501" i="8"/>
  <c r="A501" i="8"/>
  <c r="M500" i="8"/>
  <c r="K500" i="8"/>
  <c r="J500" i="8"/>
  <c r="I500" i="8"/>
  <c r="H500" i="8"/>
  <c r="G500" i="8"/>
  <c r="L500" i="8" s="1"/>
  <c r="F500" i="8"/>
  <c r="E500" i="8"/>
  <c r="D500" i="8"/>
  <c r="C500" i="8"/>
  <c r="B500" i="8"/>
  <c r="A500" i="8"/>
  <c r="M499" i="8"/>
  <c r="K499" i="8"/>
  <c r="J499" i="8"/>
  <c r="I499" i="8"/>
  <c r="H499" i="8"/>
  <c r="G499" i="8"/>
  <c r="L499" i="8" s="1"/>
  <c r="F499" i="8"/>
  <c r="E499" i="8"/>
  <c r="D499" i="8"/>
  <c r="C499" i="8"/>
  <c r="B499" i="8"/>
  <c r="A499" i="8"/>
  <c r="M498" i="8"/>
  <c r="K498" i="8"/>
  <c r="J498" i="8"/>
  <c r="I498" i="8"/>
  <c r="H498" i="8"/>
  <c r="G498" i="8"/>
  <c r="L498" i="8" s="1"/>
  <c r="F498" i="8"/>
  <c r="E498" i="8"/>
  <c r="D498" i="8"/>
  <c r="C498" i="8"/>
  <c r="B498" i="8"/>
  <c r="A498" i="8"/>
  <c r="M497" i="8"/>
  <c r="L497" i="8"/>
  <c r="K497" i="8"/>
  <c r="J497" i="8"/>
  <c r="I497" i="8"/>
  <c r="H497" i="8"/>
  <c r="G497" i="8"/>
  <c r="F497" i="8"/>
  <c r="E497" i="8"/>
  <c r="D497" i="8"/>
  <c r="C497" i="8"/>
  <c r="B497" i="8"/>
  <c r="A497" i="8"/>
  <c r="M496" i="8"/>
  <c r="K496" i="8"/>
  <c r="J496" i="8"/>
  <c r="I496" i="8"/>
  <c r="H496" i="8"/>
  <c r="G496" i="8"/>
  <c r="L496" i="8" s="1"/>
  <c r="F496" i="8"/>
  <c r="E496" i="8"/>
  <c r="D496" i="8"/>
  <c r="C496" i="8"/>
  <c r="B496" i="8"/>
  <c r="A496" i="8"/>
  <c r="M495" i="8"/>
  <c r="L495" i="8"/>
  <c r="K495" i="8"/>
  <c r="J495" i="8"/>
  <c r="I495" i="8"/>
  <c r="H495" i="8"/>
  <c r="G495" i="8"/>
  <c r="F495" i="8"/>
  <c r="E495" i="8"/>
  <c r="D495" i="8"/>
  <c r="C495" i="8"/>
  <c r="B495" i="8"/>
  <c r="A495" i="8"/>
  <c r="M494" i="8"/>
  <c r="K494" i="8"/>
  <c r="J494" i="8"/>
  <c r="I494" i="8"/>
  <c r="H494" i="8"/>
  <c r="G494" i="8"/>
  <c r="L494" i="8" s="1"/>
  <c r="F494" i="8"/>
  <c r="E494" i="8"/>
  <c r="D494" i="8"/>
  <c r="C494" i="8"/>
  <c r="B494" i="8"/>
  <c r="A494" i="8"/>
  <c r="M493" i="8"/>
  <c r="L493" i="8"/>
  <c r="K493" i="8"/>
  <c r="J493" i="8"/>
  <c r="I493" i="8"/>
  <c r="H493" i="8"/>
  <c r="G493" i="8"/>
  <c r="F493" i="8"/>
  <c r="E493" i="8"/>
  <c r="D493" i="8"/>
  <c r="C493" i="8"/>
  <c r="B493" i="8"/>
  <c r="A493" i="8"/>
  <c r="M492" i="8"/>
  <c r="K492" i="8"/>
  <c r="J492" i="8"/>
  <c r="I492" i="8"/>
  <c r="H492" i="8"/>
  <c r="G492" i="8"/>
  <c r="L492" i="8" s="1"/>
  <c r="F492" i="8"/>
  <c r="E492" i="8"/>
  <c r="D492" i="8"/>
  <c r="C492" i="8"/>
  <c r="B492" i="8"/>
  <c r="A492" i="8"/>
  <c r="M491" i="8"/>
  <c r="K491" i="8"/>
  <c r="J491" i="8"/>
  <c r="I491" i="8"/>
  <c r="H491" i="8"/>
  <c r="G491" i="8"/>
  <c r="L491" i="8" s="1"/>
  <c r="F491" i="8"/>
  <c r="E491" i="8"/>
  <c r="D491" i="8"/>
  <c r="C491" i="8"/>
  <c r="B491" i="8"/>
  <c r="A491" i="8"/>
  <c r="M490" i="8"/>
  <c r="K490" i="8"/>
  <c r="J490" i="8"/>
  <c r="I490" i="8"/>
  <c r="H490" i="8"/>
  <c r="G490" i="8"/>
  <c r="L490" i="8" s="1"/>
  <c r="F490" i="8"/>
  <c r="E490" i="8"/>
  <c r="D490" i="8"/>
  <c r="C490" i="8"/>
  <c r="B490" i="8"/>
  <c r="A490" i="8"/>
  <c r="M489" i="8"/>
  <c r="L489" i="8"/>
  <c r="K489" i="8"/>
  <c r="J489" i="8"/>
  <c r="I489" i="8"/>
  <c r="H489" i="8"/>
  <c r="G489" i="8"/>
  <c r="F489" i="8"/>
  <c r="E489" i="8"/>
  <c r="D489" i="8"/>
  <c r="C489" i="8"/>
  <c r="B489" i="8"/>
  <c r="A489" i="8"/>
  <c r="M488" i="8"/>
  <c r="K488" i="8"/>
  <c r="J488" i="8"/>
  <c r="I488" i="8"/>
  <c r="H488" i="8"/>
  <c r="G488" i="8"/>
  <c r="L488" i="8" s="1"/>
  <c r="F488" i="8"/>
  <c r="E488" i="8"/>
  <c r="D488" i="8"/>
  <c r="C488" i="8"/>
  <c r="B488" i="8"/>
  <c r="A488" i="8"/>
  <c r="M487" i="8"/>
  <c r="L487" i="8"/>
  <c r="K487" i="8"/>
  <c r="J487" i="8"/>
  <c r="I487" i="8"/>
  <c r="H487" i="8"/>
  <c r="G487" i="8"/>
  <c r="F487" i="8"/>
  <c r="E487" i="8"/>
  <c r="D487" i="8"/>
  <c r="C487" i="8"/>
  <c r="B487" i="8"/>
  <c r="A487" i="8"/>
  <c r="M486" i="8"/>
  <c r="K486" i="8"/>
  <c r="J486" i="8"/>
  <c r="I486" i="8"/>
  <c r="H486" i="8"/>
  <c r="G486" i="8"/>
  <c r="L486" i="8" s="1"/>
  <c r="F486" i="8"/>
  <c r="E486" i="8"/>
  <c r="D486" i="8"/>
  <c r="C486" i="8"/>
  <c r="B486" i="8"/>
  <c r="A486" i="8"/>
  <c r="M485" i="8"/>
  <c r="L485" i="8"/>
  <c r="K485" i="8"/>
  <c r="J485" i="8"/>
  <c r="I485" i="8"/>
  <c r="H485" i="8"/>
  <c r="G485" i="8"/>
  <c r="F485" i="8"/>
  <c r="E485" i="8"/>
  <c r="D485" i="8"/>
  <c r="C485" i="8"/>
  <c r="B485" i="8"/>
  <c r="A485" i="8"/>
  <c r="M484" i="8"/>
  <c r="K484" i="8"/>
  <c r="J484" i="8"/>
  <c r="I484" i="8"/>
  <c r="H484" i="8"/>
  <c r="G484" i="8"/>
  <c r="L484" i="8" s="1"/>
  <c r="F484" i="8"/>
  <c r="E484" i="8"/>
  <c r="D484" i="8"/>
  <c r="C484" i="8"/>
  <c r="B484" i="8"/>
  <c r="A484" i="8"/>
  <c r="M483" i="8"/>
  <c r="K483" i="8"/>
  <c r="J483" i="8"/>
  <c r="I483" i="8"/>
  <c r="H483" i="8"/>
  <c r="G483" i="8"/>
  <c r="L483" i="8" s="1"/>
  <c r="F483" i="8"/>
  <c r="E483" i="8"/>
  <c r="D483" i="8"/>
  <c r="C483" i="8"/>
  <c r="B483" i="8"/>
  <c r="A483" i="8"/>
  <c r="M482" i="8"/>
  <c r="K482" i="8"/>
  <c r="J482" i="8"/>
  <c r="I482" i="8"/>
  <c r="H482" i="8"/>
  <c r="G482" i="8"/>
  <c r="L482" i="8" s="1"/>
  <c r="F482" i="8"/>
  <c r="E482" i="8"/>
  <c r="D482" i="8"/>
  <c r="C482" i="8"/>
  <c r="B482" i="8"/>
  <c r="A482" i="8"/>
  <c r="M481" i="8"/>
  <c r="L481" i="8"/>
  <c r="K481" i="8"/>
  <c r="J481" i="8"/>
  <c r="I481" i="8"/>
  <c r="H481" i="8"/>
  <c r="G481" i="8"/>
  <c r="F481" i="8"/>
  <c r="E481" i="8"/>
  <c r="D481" i="8"/>
  <c r="C481" i="8"/>
  <c r="B481" i="8"/>
  <c r="A481" i="8"/>
  <c r="M480" i="8"/>
  <c r="K480" i="8"/>
  <c r="J480" i="8"/>
  <c r="I480" i="8"/>
  <c r="H480" i="8"/>
  <c r="G480" i="8"/>
  <c r="L480" i="8" s="1"/>
  <c r="F480" i="8"/>
  <c r="E480" i="8"/>
  <c r="D480" i="8"/>
  <c r="C480" i="8"/>
  <c r="B480" i="8"/>
  <c r="A480" i="8"/>
  <c r="M479" i="8"/>
  <c r="L479" i="8"/>
  <c r="K479" i="8"/>
  <c r="J479" i="8"/>
  <c r="I479" i="8"/>
  <c r="H479" i="8"/>
  <c r="G479" i="8"/>
  <c r="F479" i="8"/>
  <c r="E479" i="8"/>
  <c r="D479" i="8"/>
  <c r="C479" i="8"/>
  <c r="B479" i="8"/>
  <c r="A479" i="8"/>
  <c r="M478" i="8"/>
  <c r="K478" i="8"/>
  <c r="J478" i="8"/>
  <c r="I478" i="8"/>
  <c r="H478" i="8"/>
  <c r="G478" i="8"/>
  <c r="L478" i="8" s="1"/>
  <c r="F478" i="8"/>
  <c r="E478" i="8"/>
  <c r="D478" i="8"/>
  <c r="C478" i="8"/>
  <c r="B478" i="8"/>
  <c r="A478" i="8"/>
  <c r="M477" i="8"/>
  <c r="L477" i="8"/>
  <c r="K477" i="8"/>
  <c r="J477" i="8"/>
  <c r="I477" i="8"/>
  <c r="H477" i="8"/>
  <c r="G477" i="8"/>
  <c r="F477" i="8"/>
  <c r="E477" i="8"/>
  <c r="D477" i="8"/>
  <c r="C477" i="8"/>
  <c r="B477" i="8"/>
  <c r="A477" i="8"/>
  <c r="M476" i="8"/>
  <c r="K476" i="8"/>
  <c r="J476" i="8"/>
  <c r="I476" i="8"/>
  <c r="H476" i="8"/>
  <c r="G476" i="8"/>
  <c r="L476" i="8" s="1"/>
  <c r="F476" i="8"/>
  <c r="E476" i="8"/>
  <c r="D476" i="8"/>
  <c r="C476" i="8"/>
  <c r="B476" i="8"/>
  <c r="A476" i="8"/>
  <c r="M475" i="8"/>
  <c r="K475" i="8"/>
  <c r="J475" i="8"/>
  <c r="I475" i="8"/>
  <c r="H475" i="8"/>
  <c r="G475" i="8"/>
  <c r="L475" i="8" s="1"/>
  <c r="F475" i="8"/>
  <c r="E475" i="8"/>
  <c r="D475" i="8"/>
  <c r="C475" i="8"/>
  <c r="B475" i="8"/>
  <c r="A475" i="8"/>
  <c r="M474" i="8"/>
  <c r="K474" i="8"/>
  <c r="J474" i="8"/>
  <c r="I474" i="8"/>
  <c r="H474" i="8"/>
  <c r="G474" i="8"/>
  <c r="L474" i="8" s="1"/>
  <c r="F474" i="8"/>
  <c r="E474" i="8"/>
  <c r="D474" i="8"/>
  <c r="C474" i="8"/>
  <c r="B474" i="8"/>
  <c r="A474" i="8"/>
  <c r="M473" i="8"/>
  <c r="L473" i="8"/>
  <c r="K473" i="8"/>
  <c r="J473" i="8"/>
  <c r="I473" i="8"/>
  <c r="H473" i="8"/>
  <c r="G473" i="8"/>
  <c r="F473" i="8"/>
  <c r="E473" i="8"/>
  <c r="D473" i="8"/>
  <c r="C473" i="8"/>
  <c r="B473" i="8"/>
  <c r="A473" i="8"/>
  <c r="M472" i="8"/>
  <c r="K472" i="8"/>
  <c r="J472" i="8"/>
  <c r="I472" i="8"/>
  <c r="H472" i="8"/>
  <c r="G472" i="8"/>
  <c r="L472" i="8" s="1"/>
  <c r="F472" i="8"/>
  <c r="E472" i="8"/>
  <c r="D472" i="8"/>
  <c r="C472" i="8"/>
  <c r="B472" i="8"/>
  <c r="A472" i="8"/>
  <c r="M471" i="8"/>
  <c r="L471" i="8"/>
  <c r="K471" i="8"/>
  <c r="J471" i="8"/>
  <c r="I471" i="8"/>
  <c r="H471" i="8"/>
  <c r="G471" i="8"/>
  <c r="F471" i="8"/>
  <c r="E471" i="8"/>
  <c r="D471" i="8"/>
  <c r="C471" i="8"/>
  <c r="B471" i="8"/>
  <c r="A471" i="8"/>
  <c r="M470" i="8"/>
  <c r="K470" i="8"/>
  <c r="J470" i="8"/>
  <c r="I470" i="8"/>
  <c r="H470" i="8"/>
  <c r="G470" i="8"/>
  <c r="L470" i="8" s="1"/>
  <c r="F470" i="8"/>
  <c r="E470" i="8"/>
  <c r="D470" i="8"/>
  <c r="C470" i="8"/>
  <c r="B470" i="8"/>
  <c r="A470" i="8"/>
  <c r="M469" i="8"/>
  <c r="L469" i="8"/>
  <c r="K469" i="8"/>
  <c r="J469" i="8"/>
  <c r="I469" i="8"/>
  <c r="H469" i="8"/>
  <c r="G469" i="8"/>
  <c r="F469" i="8"/>
  <c r="E469" i="8"/>
  <c r="D469" i="8"/>
  <c r="C469" i="8"/>
  <c r="B469" i="8"/>
  <c r="A469" i="8"/>
  <c r="M468" i="8"/>
  <c r="K468" i="8"/>
  <c r="J468" i="8"/>
  <c r="I468" i="8"/>
  <c r="H468" i="8"/>
  <c r="G468" i="8"/>
  <c r="L468" i="8" s="1"/>
  <c r="F468" i="8"/>
  <c r="E468" i="8"/>
  <c r="D468" i="8"/>
  <c r="C468" i="8"/>
  <c r="B468" i="8"/>
  <c r="A468" i="8"/>
  <c r="M467" i="8"/>
  <c r="K467" i="8"/>
  <c r="J467" i="8"/>
  <c r="I467" i="8"/>
  <c r="H467" i="8"/>
  <c r="G467" i="8"/>
  <c r="L467" i="8" s="1"/>
  <c r="F467" i="8"/>
  <c r="E467" i="8"/>
  <c r="D467" i="8"/>
  <c r="C467" i="8"/>
  <c r="B467" i="8"/>
  <c r="A467" i="8"/>
  <c r="M466" i="8"/>
  <c r="K466" i="8"/>
  <c r="J466" i="8"/>
  <c r="I466" i="8"/>
  <c r="H466" i="8"/>
  <c r="G466" i="8"/>
  <c r="L466" i="8" s="1"/>
  <c r="F466" i="8"/>
  <c r="E466" i="8"/>
  <c r="D466" i="8"/>
  <c r="C466" i="8"/>
  <c r="B466" i="8"/>
  <c r="A466" i="8"/>
  <c r="M465" i="8"/>
  <c r="L465" i="8"/>
  <c r="K465" i="8"/>
  <c r="J465" i="8"/>
  <c r="I465" i="8"/>
  <c r="H465" i="8"/>
  <c r="G465" i="8"/>
  <c r="F465" i="8"/>
  <c r="E465" i="8"/>
  <c r="D465" i="8"/>
  <c r="C465" i="8"/>
  <c r="B465" i="8"/>
  <c r="A465" i="8"/>
  <c r="M464" i="8"/>
  <c r="K464" i="8"/>
  <c r="J464" i="8"/>
  <c r="I464" i="8"/>
  <c r="H464" i="8"/>
  <c r="G464" i="8"/>
  <c r="L464" i="8" s="1"/>
  <c r="F464" i="8"/>
  <c r="E464" i="8"/>
  <c r="D464" i="8"/>
  <c r="C464" i="8"/>
  <c r="B464" i="8"/>
  <c r="A464" i="8"/>
  <c r="M463" i="8"/>
  <c r="L463" i="8"/>
  <c r="K463" i="8"/>
  <c r="J463" i="8"/>
  <c r="I463" i="8"/>
  <c r="H463" i="8"/>
  <c r="G463" i="8"/>
  <c r="F463" i="8"/>
  <c r="E463" i="8"/>
  <c r="D463" i="8"/>
  <c r="C463" i="8"/>
  <c r="B463" i="8"/>
  <c r="A463" i="8"/>
  <c r="M462" i="8"/>
  <c r="K462" i="8"/>
  <c r="J462" i="8"/>
  <c r="I462" i="8"/>
  <c r="H462" i="8"/>
  <c r="G462" i="8"/>
  <c r="L462" i="8" s="1"/>
  <c r="F462" i="8"/>
  <c r="E462" i="8"/>
  <c r="D462" i="8"/>
  <c r="C462" i="8"/>
  <c r="B462" i="8"/>
  <c r="A462" i="8"/>
  <c r="M461" i="8"/>
  <c r="L461" i="8"/>
  <c r="K461" i="8"/>
  <c r="J461" i="8"/>
  <c r="I461" i="8"/>
  <c r="H461" i="8"/>
  <c r="G461" i="8"/>
  <c r="F461" i="8"/>
  <c r="E461" i="8"/>
  <c r="D461" i="8"/>
  <c r="C461" i="8"/>
  <c r="B461" i="8"/>
  <c r="A461" i="8"/>
  <c r="M460" i="8"/>
  <c r="K460" i="8"/>
  <c r="J460" i="8"/>
  <c r="I460" i="8"/>
  <c r="H460" i="8"/>
  <c r="G460" i="8"/>
  <c r="L460" i="8" s="1"/>
  <c r="F460" i="8"/>
  <c r="E460" i="8"/>
  <c r="D460" i="8"/>
  <c r="C460" i="8"/>
  <c r="B460" i="8"/>
  <c r="A460" i="8"/>
  <c r="M459" i="8"/>
  <c r="K459" i="8"/>
  <c r="J459" i="8"/>
  <c r="I459" i="8"/>
  <c r="H459" i="8"/>
  <c r="G459" i="8"/>
  <c r="L459" i="8" s="1"/>
  <c r="F459" i="8"/>
  <c r="E459" i="8"/>
  <c r="D459" i="8"/>
  <c r="C459" i="8"/>
  <c r="B459" i="8"/>
  <c r="A459" i="8"/>
  <c r="M458" i="8"/>
  <c r="K458" i="8"/>
  <c r="J458" i="8"/>
  <c r="I458" i="8"/>
  <c r="H458" i="8"/>
  <c r="G458" i="8"/>
  <c r="L458" i="8" s="1"/>
  <c r="F458" i="8"/>
  <c r="E458" i="8"/>
  <c r="D458" i="8"/>
  <c r="C458" i="8"/>
  <c r="B458" i="8"/>
  <c r="A458" i="8"/>
  <c r="M457" i="8"/>
  <c r="L457" i="8"/>
  <c r="K457" i="8"/>
  <c r="J457" i="8"/>
  <c r="I457" i="8"/>
  <c r="H457" i="8"/>
  <c r="G457" i="8"/>
  <c r="F457" i="8"/>
  <c r="E457" i="8"/>
  <c r="D457" i="8"/>
  <c r="C457" i="8"/>
  <c r="B457" i="8"/>
  <c r="A457" i="8"/>
  <c r="M456" i="8"/>
  <c r="K456" i="8"/>
  <c r="J456" i="8"/>
  <c r="I456" i="8"/>
  <c r="H456" i="8"/>
  <c r="G456" i="8"/>
  <c r="L456" i="8" s="1"/>
  <c r="F456" i="8"/>
  <c r="E456" i="8"/>
  <c r="D456" i="8"/>
  <c r="C456" i="8"/>
  <c r="B456" i="8"/>
  <c r="A456" i="8"/>
  <c r="M455" i="8"/>
  <c r="L455" i="8"/>
  <c r="K455" i="8"/>
  <c r="J455" i="8"/>
  <c r="I455" i="8"/>
  <c r="H455" i="8"/>
  <c r="G455" i="8"/>
  <c r="F455" i="8"/>
  <c r="E455" i="8"/>
  <c r="D455" i="8"/>
  <c r="C455" i="8"/>
  <c r="B455" i="8"/>
  <c r="A455" i="8"/>
  <c r="M454" i="8"/>
  <c r="K454" i="8"/>
  <c r="J454" i="8"/>
  <c r="I454" i="8"/>
  <c r="H454" i="8"/>
  <c r="G454" i="8"/>
  <c r="L454" i="8" s="1"/>
  <c r="F454" i="8"/>
  <c r="E454" i="8"/>
  <c r="D454" i="8"/>
  <c r="C454" i="8"/>
  <c r="B454" i="8"/>
  <c r="A454" i="8"/>
  <c r="M453" i="8"/>
  <c r="L453" i="8"/>
  <c r="K453" i="8"/>
  <c r="J453" i="8"/>
  <c r="I453" i="8"/>
  <c r="H453" i="8"/>
  <c r="G453" i="8"/>
  <c r="F453" i="8"/>
  <c r="E453" i="8"/>
  <c r="D453" i="8"/>
  <c r="C453" i="8"/>
  <c r="B453" i="8"/>
  <c r="A453" i="8"/>
  <c r="M452" i="8"/>
  <c r="K452" i="8"/>
  <c r="J452" i="8"/>
  <c r="I452" i="8"/>
  <c r="H452" i="8"/>
  <c r="G452" i="8"/>
  <c r="L452" i="8" s="1"/>
  <c r="F452" i="8"/>
  <c r="E452" i="8"/>
  <c r="D452" i="8"/>
  <c r="C452" i="8"/>
  <c r="B452" i="8"/>
  <c r="A452" i="8"/>
  <c r="M451" i="8"/>
  <c r="K451" i="8"/>
  <c r="J451" i="8"/>
  <c r="I451" i="8"/>
  <c r="H451" i="8"/>
  <c r="G451" i="8"/>
  <c r="L451" i="8" s="1"/>
  <c r="F451" i="8"/>
  <c r="E451" i="8"/>
  <c r="D451" i="8"/>
  <c r="C451" i="8"/>
  <c r="B451" i="8"/>
  <c r="A451" i="8"/>
  <c r="M450" i="8"/>
  <c r="K450" i="8"/>
  <c r="J450" i="8"/>
  <c r="I450" i="8"/>
  <c r="H450" i="8"/>
  <c r="G450" i="8"/>
  <c r="L450" i="8" s="1"/>
  <c r="F450" i="8"/>
  <c r="E450" i="8"/>
  <c r="D450" i="8"/>
  <c r="C450" i="8"/>
  <c r="B450" i="8"/>
  <c r="A450" i="8"/>
  <c r="M449" i="8"/>
  <c r="L449" i="8"/>
  <c r="K449" i="8"/>
  <c r="J449" i="8"/>
  <c r="I449" i="8"/>
  <c r="H449" i="8"/>
  <c r="G449" i="8"/>
  <c r="F449" i="8"/>
  <c r="E449" i="8"/>
  <c r="D449" i="8"/>
  <c r="C449" i="8"/>
  <c r="B449" i="8"/>
  <c r="A449" i="8"/>
  <c r="M448" i="8"/>
  <c r="K448" i="8"/>
  <c r="J448" i="8"/>
  <c r="I448" i="8"/>
  <c r="H448" i="8"/>
  <c r="G448" i="8"/>
  <c r="L448" i="8" s="1"/>
  <c r="F448" i="8"/>
  <c r="E448" i="8"/>
  <c r="D448" i="8"/>
  <c r="C448" i="8"/>
  <c r="B448" i="8"/>
  <c r="A448" i="8"/>
  <c r="M447" i="8"/>
  <c r="L447" i="8"/>
  <c r="K447" i="8"/>
  <c r="J447" i="8"/>
  <c r="I447" i="8"/>
  <c r="H447" i="8"/>
  <c r="G447" i="8"/>
  <c r="F447" i="8"/>
  <c r="E447" i="8"/>
  <c r="D447" i="8"/>
  <c r="C447" i="8"/>
  <c r="B447" i="8"/>
  <c r="A447" i="8"/>
  <c r="M446" i="8"/>
  <c r="K446" i="8"/>
  <c r="J446" i="8"/>
  <c r="I446" i="8"/>
  <c r="H446" i="8"/>
  <c r="G446" i="8"/>
  <c r="L446" i="8" s="1"/>
  <c r="F446" i="8"/>
  <c r="E446" i="8"/>
  <c r="D446" i="8"/>
  <c r="C446" i="8"/>
  <c r="B446" i="8"/>
  <c r="A446" i="8"/>
  <c r="M445" i="8"/>
  <c r="L445" i="8"/>
  <c r="K445" i="8"/>
  <c r="J445" i="8"/>
  <c r="I445" i="8"/>
  <c r="H445" i="8"/>
  <c r="G445" i="8"/>
  <c r="F445" i="8"/>
  <c r="E445" i="8"/>
  <c r="D445" i="8"/>
  <c r="C445" i="8"/>
  <c r="B445" i="8"/>
  <c r="A445" i="8"/>
  <c r="M444" i="8"/>
  <c r="K444" i="8"/>
  <c r="J444" i="8"/>
  <c r="I444" i="8"/>
  <c r="H444" i="8"/>
  <c r="G444" i="8"/>
  <c r="L444" i="8" s="1"/>
  <c r="F444" i="8"/>
  <c r="E444" i="8"/>
  <c r="D444" i="8"/>
  <c r="C444" i="8"/>
  <c r="B444" i="8"/>
  <c r="A444" i="8"/>
  <c r="M443" i="8"/>
  <c r="K443" i="8"/>
  <c r="J443" i="8"/>
  <c r="I443" i="8"/>
  <c r="H443" i="8"/>
  <c r="G443" i="8"/>
  <c r="L443" i="8" s="1"/>
  <c r="F443" i="8"/>
  <c r="E443" i="8"/>
  <c r="D443" i="8"/>
  <c r="C443" i="8"/>
  <c r="B443" i="8"/>
  <c r="A443" i="8"/>
  <c r="M442" i="8"/>
  <c r="K442" i="8"/>
  <c r="J442" i="8"/>
  <c r="I442" i="8"/>
  <c r="H442" i="8"/>
  <c r="G442" i="8"/>
  <c r="L442" i="8" s="1"/>
  <c r="F442" i="8"/>
  <c r="E442" i="8"/>
  <c r="D442" i="8"/>
  <c r="C442" i="8"/>
  <c r="B442" i="8"/>
  <c r="A442" i="8"/>
  <c r="M441" i="8"/>
  <c r="L441" i="8"/>
  <c r="K441" i="8"/>
  <c r="J441" i="8"/>
  <c r="I441" i="8"/>
  <c r="H441" i="8"/>
  <c r="G441" i="8"/>
  <c r="F441" i="8"/>
  <c r="E441" i="8"/>
  <c r="D441" i="8"/>
  <c r="C441" i="8"/>
  <c r="B441" i="8"/>
  <c r="A441" i="8"/>
  <c r="M440" i="8"/>
  <c r="K440" i="8"/>
  <c r="J440" i="8"/>
  <c r="I440" i="8"/>
  <c r="H440" i="8"/>
  <c r="G440" i="8"/>
  <c r="L440" i="8" s="1"/>
  <c r="F440" i="8"/>
  <c r="E440" i="8"/>
  <c r="D440" i="8"/>
  <c r="C440" i="8"/>
  <c r="B440" i="8"/>
  <c r="A440" i="8"/>
  <c r="M439" i="8"/>
  <c r="L439" i="8"/>
  <c r="K439" i="8"/>
  <c r="J439" i="8"/>
  <c r="I439" i="8"/>
  <c r="H439" i="8"/>
  <c r="G439" i="8"/>
  <c r="F439" i="8"/>
  <c r="E439" i="8"/>
  <c r="D439" i="8"/>
  <c r="C439" i="8"/>
  <c r="B439" i="8"/>
  <c r="A439" i="8"/>
  <c r="M438" i="8"/>
  <c r="K438" i="8"/>
  <c r="J438" i="8"/>
  <c r="I438" i="8"/>
  <c r="H438" i="8"/>
  <c r="G438" i="8"/>
  <c r="L438" i="8" s="1"/>
  <c r="F438" i="8"/>
  <c r="E438" i="8"/>
  <c r="D438" i="8"/>
  <c r="C438" i="8"/>
  <c r="B438" i="8"/>
  <c r="A438" i="8"/>
  <c r="M437" i="8"/>
  <c r="L437" i="8"/>
  <c r="K437" i="8"/>
  <c r="J437" i="8"/>
  <c r="I437" i="8"/>
  <c r="H437" i="8"/>
  <c r="G437" i="8"/>
  <c r="F437" i="8"/>
  <c r="E437" i="8"/>
  <c r="D437" i="8"/>
  <c r="C437" i="8"/>
  <c r="B437" i="8"/>
  <c r="A437" i="8"/>
  <c r="M436" i="8"/>
  <c r="K436" i="8"/>
  <c r="J436" i="8"/>
  <c r="I436" i="8"/>
  <c r="H436" i="8"/>
  <c r="G436" i="8"/>
  <c r="L436" i="8" s="1"/>
  <c r="F436" i="8"/>
  <c r="E436" i="8"/>
  <c r="D436" i="8"/>
  <c r="C436" i="8"/>
  <c r="B436" i="8"/>
  <c r="A436" i="8"/>
  <c r="M435" i="8"/>
  <c r="K435" i="8"/>
  <c r="J435" i="8"/>
  <c r="I435" i="8"/>
  <c r="H435" i="8"/>
  <c r="G435" i="8"/>
  <c r="L435" i="8" s="1"/>
  <c r="F435" i="8"/>
  <c r="E435" i="8"/>
  <c r="D435" i="8"/>
  <c r="C435" i="8"/>
  <c r="B435" i="8"/>
  <c r="A435" i="8"/>
  <c r="M434" i="8"/>
  <c r="K434" i="8"/>
  <c r="J434" i="8"/>
  <c r="I434" i="8"/>
  <c r="H434" i="8"/>
  <c r="G434" i="8"/>
  <c r="L434" i="8" s="1"/>
  <c r="F434" i="8"/>
  <c r="E434" i="8"/>
  <c r="D434" i="8"/>
  <c r="C434" i="8"/>
  <c r="B434" i="8"/>
  <c r="A434" i="8"/>
  <c r="M433" i="8"/>
  <c r="L433" i="8"/>
  <c r="K433" i="8"/>
  <c r="J433" i="8"/>
  <c r="I433" i="8"/>
  <c r="H433" i="8"/>
  <c r="G433" i="8"/>
  <c r="F433" i="8"/>
  <c r="E433" i="8"/>
  <c r="D433" i="8"/>
  <c r="C433" i="8"/>
  <c r="B433" i="8"/>
  <c r="A433" i="8"/>
  <c r="M432" i="8"/>
  <c r="K432" i="8"/>
  <c r="J432" i="8"/>
  <c r="I432" i="8"/>
  <c r="H432" i="8"/>
  <c r="G432" i="8"/>
  <c r="L432" i="8" s="1"/>
  <c r="F432" i="8"/>
  <c r="E432" i="8"/>
  <c r="D432" i="8"/>
  <c r="C432" i="8"/>
  <c r="B432" i="8"/>
  <c r="A432" i="8"/>
  <c r="M431" i="8"/>
  <c r="L431" i="8"/>
  <c r="K431" i="8"/>
  <c r="J431" i="8"/>
  <c r="I431" i="8"/>
  <c r="H431" i="8"/>
  <c r="G431" i="8"/>
  <c r="F431" i="8"/>
  <c r="E431" i="8"/>
  <c r="D431" i="8"/>
  <c r="C431" i="8"/>
  <c r="B431" i="8"/>
  <c r="A431" i="8"/>
  <c r="M430" i="8"/>
  <c r="K430" i="8"/>
  <c r="J430" i="8"/>
  <c r="I430" i="8"/>
  <c r="H430" i="8"/>
  <c r="G430" i="8"/>
  <c r="L430" i="8" s="1"/>
  <c r="F430" i="8"/>
  <c r="E430" i="8"/>
  <c r="D430" i="8"/>
  <c r="C430" i="8"/>
  <c r="B430" i="8"/>
  <c r="A430" i="8"/>
  <c r="M429" i="8"/>
  <c r="L429" i="8"/>
  <c r="K429" i="8"/>
  <c r="J429" i="8"/>
  <c r="I429" i="8"/>
  <c r="H429" i="8"/>
  <c r="G429" i="8"/>
  <c r="F429" i="8"/>
  <c r="E429" i="8"/>
  <c r="D429" i="8"/>
  <c r="C429" i="8"/>
  <c r="B429" i="8"/>
  <c r="A429" i="8"/>
  <c r="M428" i="8"/>
  <c r="K428" i="8"/>
  <c r="J428" i="8"/>
  <c r="I428" i="8"/>
  <c r="H428" i="8"/>
  <c r="G428" i="8"/>
  <c r="L428" i="8" s="1"/>
  <c r="F428" i="8"/>
  <c r="E428" i="8"/>
  <c r="D428" i="8"/>
  <c r="C428" i="8"/>
  <c r="B428" i="8"/>
  <c r="A428" i="8"/>
  <c r="M427" i="8"/>
  <c r="K427" i="8"/>
  <c r="J427" i="8"/>
  <c r="I427" i="8"/>
  <c r="H427" i="8"/>
  <c r="G427" i="8"/>
  <c r="L427" i="8" s="1"/>
  <c r="F427" i="8"/>
  <c r="E427" i="8"/>
  <c r="D427" i="8"/>
  <c r="C427" i="8"/>
  <c r="B427" i="8"/>
  <c r="A427" i="8"/>
  <c r="M426" i="8"/>
  <c r="K426" i="8"/>
  <c r="J426" i="8"/>
  <c r="I426" i="8"/>
  <c r="H426" i="8"/>
  <c r="G426" i="8"/>
  <c r="L426" i="8" s="1"/>
  <c r="F426" i="8"/>
  <c r="E426" i="8"/>
  <c r="D426" i="8"/>
  <c r="C426" i="8"/>
  <c r="B426" i="8"/>
  <c r="A426" i="8"/>
  <c r="M425" i="8"/>
  <c r="L425" i="8"/>
  <c r="K425" i="8"/>
  <c r="J425" i="8"/>
  <c r="I425" i="8"/>
  <c r="H425" i="8"/>
  <c r="G425" i="8"/>
  <c r="F425" i="8"/>
  <c r="E425" i="8"/>
  <c r="D425" i="8"/>
  <c r="C425" i="8"/>
  <c r="B425" i="8"/>
  <c r="A425" i="8"/>
  <c r="M424" i="8"/>
  <c r="K424" i="8"/>
  <c r="J424" i="8"/>
  <c r="I424" i="8"/>
  <c r="H424" i="8"/>
  <c r="G424" i="8"/>
  <c r="L424" i="8" s="1"/>
  <c r="F424" i="8"/>
  <c r="E424" i="8"/>
  <c r="D424" i="8"/>
  <c r="C424" i="8"/>
  <c r="B424" i="8"/>
  <c r="A424" i="8"/>
  <c r="M423" i="8"/>
  <c r="L423" i="8"/>
  <c r="K423" i="8"/>
  <c r="J423" i="8"/>
  <c r="I423" i="8"/>
  <c r="H423" i="8"/>
  <c r="G423" i="8"/>
  <c r="F423" i="8"/>
  <c r="E423" i="8"/>
  <c r="D423" i="8"/>
  <c r="C423" i="8"/>
  <c r="B423" i="8"/>
  <c r="A423" i="8"/>
  <c r="M422" i="8"/>
  <c r="K422" i="8"/>
  <c r="J422" i="8"/>
  <c r="I422" i="8"/>
  <c r="H422" i="8"/>
  <c r="G422" i="8"/>
  <c r="L422" i="8" s="1"/>
  <c r="F422" i="8"/>
  <c r="E422" i="8"/>
  <c r="D422" i="8"/>
  <c r="C422" i="8"/>
  <c r="B422" i="8"/>
  <c r="A422" i="8"/>
  <c r="M421" i="8"/>
  <c r="L421" i="8"/>
  <c r="K421" i="8"/>
  <c r="J421" i="8"/>
  <c r="I421" i="8"/>
  <c r="H421" i="8"/>
  <c r="G421" i="8"/>
  <c r="F421" i="8"/>
  <c r="E421" i="8"/>
  <c r="D421" i="8"/>
  <c r="C421" i="8"/>
  <c r="B421" i="8"/>
  <c r="A421" i="8"/>
  <c r="M420" i="8"/>
  <c r="K420" i="8"/>
  <c r="J420" i="8"/>
  <c r="I420" i="8"/>
  <c r="H420" i="8"/>
  <c r="G420" i="8"/>
  <c r="L420" i="8" s="1"/>
  <c r="F420" i="8"/>
  <c r="E420" i="8"/>
  <c r="D420" i="8"/>
  <c r="C420" i="8"/>
  <c r="B420" i="8"/>
  <c r="A420" i="8"/>
  <c r="M419" i="8"/>
  <c r="K419" i="8"/>
  <c r="J419" i="8"/>
  <c r="I419" i="8"/>
  <c r="H419" i="8"/>
  <c r="G419" i="8"/>
  <c r="L419" i="8" s="1"/>
  <c r="F419" i="8"/>
  <c r="E419" i="8"/>
  <c r="D419" i="8"/>
  <c r="C419" i="8"/>
  <c r="B419" i="8"/>
  <c r="A419" i="8"/>
  <c r="M418" i="8"/>
  <c r="K418" i="8"/>
  <c r="J418" i="8"/>
  <c r="I418" i="8"/>
  <c r="H418" i="8"/>
  <c r="G418" i="8"/>
  <c r="L418" i="8" s="1"/>
  <c r="F418" i="8"/>
  <c r="E418" i="8"/>
  <c r="D418" i="8"/>
  <c r="C418" i="8"/>
  <c r="B418" i="8"/>
  <c r="A418" i="8"/>
  <c r="M417" i="8"/>
  <c r="L417" i="8"/>
  <c r="K417" i="8"/>
  <c r="J417" i="8"/>
  <c r="I417" i="8"/>
  <c r="H417" i="8"/>
  <c r="G417" i="8"/>
  <c r="F417" i="8"/>
  <c r="E417" i="8"/>
  <c r="D417" i="8"/>
  <c r="C417" i="8"/>
  <c r="B417" i="8"/>
  <c r="A417" i="8"/>
  <c r="M416" i="8"/>
  <c r="K416" i="8"/>
  <c r="J416" i="8"/>
  <c r="I416" i="8"/>
  <c r="H416" i="8"/>
  <c r="G416" i="8"/>
  <c r="L416" i="8" s="1"/>
  <c r="F416" i="8"/>
  <c r="E416" i="8"/>
  <c r="D416" i="8"/>
  <c r="C416" i="8"/>
  <c r="B416" i="8"/>
  <c r="A416" i="8"/>
  <c r="M415" i="8"/>
  <c r="L415" i="8"/>
  <c r="K415" i="8"/>
  <c r="J415" i="8"/>
  <c r="I415" i="8"/>
  <c r="H415" i="8"/>
  <c r="G415" i="8"/>
  <c r="F415" i="8"/>
  <c r="E415" i="8"/>
  <c r="D415" i="8"/>
  <c r="C415" i="8"/>
  <c r="B415" i="8"/>
  <c r="A415" i="8"/>
  <c r="M414" i="8"/>
  <c r="K414" i="8"/>
  <c r="J414" i="8"/>
  <c r="I414" i="8"/>
  <c r="H414" i="8"/>
  <c r="G414" i="8"/>
  <c r="L414" i="8" s="1"/>
  <c r="F414" i="8"/>
  <c r="E414" i="8"/>
  <c r="D414" i="8"/>
  <c r="C414" i="8"/>
  <c r="B414" i="8"/>
  <c r="A414" i="8"/>
  <c r="M413" i="8"/>
  <c r="L413" i="8"/>
  <c r="K413" i="8"/>
  <c r="J413" i="8"/>
  <c r="I413" i="8"/>
  <c r="H413" i="8"/>
  <c r="G413" i="8"/>
  <c r="F413" i="8"/>
  <c r="E413" i="8"/>
  <c r="D413" i="8"/>
  <c r="C413" i="8"/>
  <c r="B413" i="8"/>
  <c r="A413" i="8"/>
  <c r="M412" i="8"/>
  <c r="K412" i="8"/>
  <c r="J412" i="8"/>
  <c r="I412" i="8"/>
  <c r="H412" i="8"/>
  <c r="G412" i="8"/>
  <c r="L412" i="8" s="1"/>
  <c r="F412" i="8"/>
  <c r="E412" i="8"/>
  <c r="D412" i="8"/>
  <c r="C412" i="8"/>
  <c r="B412" i="8"/>
  <c r="A412" i="8"/>
  <c r="M411" i="8"/>
  <c r="K411" i="8"/>
  <c r="J411" i="8"/>
  <c r="I411" i="8"/>
  <c r="H411" i="8"/>
  <c r="G411" i="8"/>
  <c r="L411" i="8" s="1"/>
  <c r="F411" i="8"/>
  <c r="E411" i="8"/>
  <c r="D411" i="8"/>
  <c r="C411" i="8"/>
  <c r="B411" i="8"/>
  <c r="A411" i="8"/>
  <c r="M410" i="8"/>
  <c r="K410" i="8"/>
  <c r="J410" i="8"/>
  <c r="I410" i="8"/>
  <c r="H410" i="8"/>
  <c r="G410" i="8"/>
  <c r="L410" i="8" s="1"/>
  <c r="F410" i="8"/>
  <c r="E410" i="8"/>
  <c r="D410" i="8"/>
  <c r="C410" i="8"/>
  <c r="B410" i="8"/>
  <c r="A410" i="8"/>
  <c r="M409" i="8"/>
  <c r="L409" i="8"/>
  <c r="K409" i="8"/>
  <c r="J409" i="8"/>
  <c r="I409" i="8"/>
  <c r="H409" i="8"/>
  <c r="G409" i="8"/>
  <c r="F409" i="8"/>
  <c r="E409" i="8"/>
  <c r="D409" i="8"/>
  <c r="C409" i="8"/>
  <c r="B409" i="8"/>
  <c r="A409" i="8"/>
  <c r="M408" i="8"/>
  <c r="K408" i="8"/>
  <c r="J408" i="8"/>
  <c r="I408" i="8"/>
  <c r="H408" i="8"/>
  <c r="G408" i="8"/>
  <c r="L408" i="8" s="1"/>
  <c r="F408" i="8"/>
  <c r="E408" i="8"/>
  <c r="D408" i="8"/>
  <c r="C408" i="8"/>
  <c r="B408" i="8"/>
  <c r="A408" i="8"/>
  <c r="M407" i="8"/>
  <c r="L407" i="8"/>
  <c r="K407" i="8"/>
  <c r="J407" i="8"/>
  <c r="I407" i="8"/>
  <c r="H407" i="8"/>
  <c r="G407" i="8"/>
  <c r="F407" i="8"/>
  <c r="E407" i="8"/>
  <c r="D407" i="8"/>
  <c r="C407" i="8"/>
  <c r="B407" i="8"/>
  <c r="A407" i="8"/>
  <c r="M406" i="8"/>
  <c r="K406" i="8"/>
  <c r="J406" i="8"/>
  <c r="I406" i="8"/>
  <c r="H406" i="8"/>
  <c r="G406" i="8"/>
  <c r="L406" i="8" s="1"/>
  <c r="F406" i="8"/>
  <c r="E406" i="8"/>
  <c r="D406" i="8"/>
  <c r="C406" i="8"/>
  <c r="B406" i="8"/>
  <c r="A406" i="8"/>
  <c r="M405" i="8"/>
  <c r="L405" i="8"/>
  <c r="K405" i="8"/>
  <c r="J405" i="8"/>
  <c r="I405" i="8"/>
  <c r="H405" i="8"/>
  <c r="G405" i="8"/>
  <c r="F405" i="8"/>
  <c r="E405" i="8"/>
  <c r="D405" i="8"/>
  <c r="C405" i="8"/>
  <c r="B405" i="8"/>
  <c r="A405" i="8"/>
  <c r="M404" i="8"/>
  <c r="K404" i="8"/>
  <c r="J404" i="8"/>
  <c r="I404" i="8"/>
  <c r="H404" i="8"/>
  <c r="G404" i="8"/>
  <c r="L404" i="8" s="1"/>
  <c r="F404" i="8"/>
  <c r="E404" i="8"/>
  <c r="D404" i="8"/>
  <c r="C404" i="8"/>
  <c r="B404" i="8"/>
  <c r="A404" i="8"/>
  <c r="M403" i="8"/>
  <c r="K403" i="8"/>
  <c r="J403" i="8"/>
  <c r="I403" i="8"/>
  <c r="H403" i="8"/>
  <c r="G403" i="8"/>
  <c r="L403" i="8" s="1"/>
  <c r="F403" i="8"/>
  <c r="E403" i="8"/>
  <c r="D403" i="8"/>
  <c r="C403" i="8"/>
  <c r="B403" i="8"/>
  <c r="A403" i="8"/>
  <c r="M402" i="8"/>
  <c r="K402" i="8"/>
  <c r="J402" i="8"/>
  <c r="I402" i="8"/>
  <c r="H402" i="8"/>
  <c r="G402" i="8"/>
  <c r="L402" i="8" s="1"/>
  <c r="F402" i="8"/>
  <c r="E402" i="8"/>
  <c r="D402" i="8"/>
  <c r="C402" i="8"/>
  <c r="B402" i="8"/>
  <c r="A402" i="8"/>
  <c r="M401" i="8"/>
  <c r="L401" i="8"/>
  <c r="K401" i="8"/>
  <c r="J401" i="8"/>
  <c r="I401" i="8"/>
  <c r="H401" i="8"/>
  <c r="G401" i="8"/>
  <c r="F401" i="8"/>
  <c r="E401" i="8"/>
  <c r="D401" i="8"/>
  <c r="C401" i="8"/>
  <c r="B401" i="8"/>
  <c r="A401" i="8"/>
  <c r="M400" i="8"/>
  <c r="K400" i="8"/>
  <c r="J400" i="8"/>
  <c r="I400" i="8"/>
  <c r="H400" i="8"/>
  <c r="G400" i="8"/>
  <c r="L400" i="8" s="1"/>
  <c r="F400" i="8"/>
  <c r="E400" i="8"/>
  <c r="D400" i="8"/>
  <c r="C400" i="8"/>
  <c r="B400" i="8"/>
  <c r="A400" i="8"/>
  <c r="M399" i="8"/>
  <c r="L399" i="8"/>
  <c r="K399" i="8"/>
  <c r="J399" i="8"/>
  <c r="I399" i="8"/>
  <c r="H399" i="8"/>
  <c r="G399" i="8"/>
  <c r="F399" i="8"/>
  <c r="E399" i="8"/>
  <c r="D399" i="8"/>
  <c r="C399" i="8"/>
  <c r="B399" i="8"/>
  <c r="A399" i="8"/>
  <c r="M398" i="8"/>
  <c r="K398" i="8"/>
  <c r="J398" i="8"/>
  <c r="I398" i="8"/>
  <c r="H398" i="8"/>
  <c r="G398" i="8"/>
  <c r="L398" i="8" s="1"/>
  <c r="F398" i="8"/>
  <c r="E398" i="8"/>
  <c r="D398" i="8"/>
  <c r="C398" i="8"/>
  <c r="B398" i="8"/>
  <c r="A398" i="8"/>
  <c r="M397" i="8"/>
  <c r="L397" i="8"/>
  <c r="K397" i="8"/>
  <c r="J397" i="8"/>
  <c r="I397" i="8"/>
  <c r="H397" i="8"/>
  <c r="G397" i="8"/>
  <c r="F397" i="8"/>
  <c r="E397" i="8"/>
  <c r="D397" i="8"/>
  <c r="C397" i="8"/>
  <c r="B397" i="8"/>
  <c r="A397" i="8"/>
  <c r="M396" i="8"/>
  <c r="K396" i="8"/>
  <c r="J396" i="8"/>
  <c r="I396" i="8"/>
  <c r="H396" i="8"/>
  <c r="G396" i="8"/>
  <c r="L396" i="8" s="1"/>
  <c r="F396" i="8"/>
  <c r="E396" i="8"/>
  <c r="D396" i="8"/>
  <c r="C396" i="8"/>
  <c r="B396" i="8"/>
  <c r="A396" i="8"/>
  <c r="M395" i="8"/>
  <c r="K395" i="8"/>
  <c r="J395" i="8"/>
  <c r="I395" i="8"/>
  <c r="H395" i="8"/>
  <c r="G395" i="8"/>
  <c r="L395" i="8" s="1"/>
  <c r="F395" i="8"/>
  <c r="E395" i="8"/>
  <c r="D395" i="8"/>
  <c r="C395" i="8"/>
  <c r="B395" i="8"/>
  <c r="A395" i="8"/>
  <c r="M394" i="8"/>
  <c r="K394" i="8"/>
  <c r="J394" i="8"/>
  <c r="I394" i="8"/>
  <c r="H394" i="8"/>
  <c r="G394" i="8"/>
  <c r="L394" i="8" s="1"/>
  <c r="F394" i="8"/>
  <c r="E394" i="8"/>
  <c r="D394" i="8"/>
  <c r="C394" i="8"/>
  <c r="B394" i="8"/>
  <c r="A394" i="8"/>
  <c r="M393" i="8"/>
  <c r="L393" i="8"/>
  <c r="K393" i="8"/>
  <c r="J393" i="8"/>
  <c r="I393" i="8"/>
  <c r="H393" i="8"/>
  <c r="G393" i="8"/>
  <c r="F393" i="8"/>
  <c r="E393" i="8"/>
  <c r="D393" i="8"/>
  <c r="C393" i="8"/>
  <c r="B393" i="8"/>
  <c r="A393" i="8"/>
  <c r="M392" i="8"/>
  <c r="K392" i="8"/>
  <c r="J392" i="8"/>
  <c r="I392" i="8"/>
  <c r="H392" i="8"/>
  <c r="G392" i="8"/>
  <c r="L392" i="8" s="1"/>
  <c r="F392" i="8"/>
  <c r="E392" i="8"/>
  <c r="D392" i="8"/>
  <c r="C392" i="8"/>
  <c r="B392" i="8"/>
  <c r="A392" i="8"/>
  <c r="M391" i="8"/>
  <c r="L391" i="8"/>
  <c r="K391" i="8"/>
  <c r="J391" i="8"/>
  <c r="I391" i="8"/>
  <c r="H391" i="8"/>
  <c r="G391" i="8"/>
  <c r="F391" i="8"/>
  <c r="E391" i="8"/>
  <c r="D391" i="8"/>
  <c r="C391" i="8"/>
  <c r="B391" i="8"/>
  <c r="A391" i="8"/>
  <c r="M390" i="8"/>
  <c r="K390" i="8"/>
  <c r="J390" i="8"/>
  <c r="I390" i="8"/>
  <c r="H390" i="8"/>
  <c r="G390" i="8"/>
  <c r="L390" i="8" s="1"/>
  <c r="F390" i="8"/>
  <c r="E390" i="8"/>
  <c r="D390" i="8"/>
  <c r="C390" i="8"/>
  <c r="B390" i="8"/>
  <c r="A390" i="8"/>
  <c r="M389" i="8"/>
  <c r="L389" i="8"/>
  <c r="K389" i="8"/>
  <c r="J389" i="8"/>
  <c r="I389" i="8"/>
  <c r="H389" i="8"/>
  <c r="G389" i="8"/>
  <c r="F389" i="8"/>
  <c r="E389" i="8"/>
  <c r="D389" i="8"/>
  <c r="C389" i="8"/>
  <c r="B389" i="8"/>
  <c r="A389" i="8"/>
  <c r="M388" i="8"/>
  <c r="K388" i="8"/>
  <c r="J388" i="8"/>
  <c r="I388" i="8"/>
  <c r="H388" i="8"/>
  <c r="G388" i="8"/>
  <c r="L388" i="8" s="1"/>
  <c r="F388" i="8"/>
  <c r="E388" i="8"/>
  <c r="D388" i="8"/>
  <c r="C388" i="8"/>
  <c r="B388" i="8"/>
  <c r="A388" i="8"/>
  <c r="M387" i="8"/>
  <c r="K387" i="8"/>
  <c r="J387" i="8"/>
  <c r="I387" i="8"/>
  <c r="H387" i="8"/>
  <c r="G387" i="8"/>
  <c r="L387" i="8" s="1"/>
  <c r="F387" i="8"/>
  <c r="E387" i="8"/>
  <c r="D387" i="8"/>
  <c r="C387" i="8"/>
  <c r="B387" i="8"/>
  <c r="A387" i="8"/>
  <c r="M386" i="8"/>
  <c r="K386" i="8"/>
  <c r="J386" i="8"/>
  <c r="I386" i="8"/>
  <c r="H386" i="8"/>
  <c r="G386" i="8"/>
  <c r="L386" i="8" s="1"/>
  <c r="F386" i="8"/>
  <c r="E386" i="8"/>
  <c r="D386" i="8"/>
  <c r="C386" i="8"/>
  <c r="B386" i="8"/>
  <c r="A386" i="8"/>
  <c r="M385" i="8"/>
  <c r="L385" i="8"/>
  <c r="K385" i="8"/>
  <c r="J385" i="8"/>
  <c r="I385" i="8"/>
  <c r="H385" i="8"/>
  <c r="G385" i="8"/>
  <c r="F385" i="8"/>
  <c r="E385" i="8"/>
  <c r="D385" i="8"/>
  <c r="C385" i="8"/>
  <c r="B385" i="8"/>
  <c r="A385" i="8"/>
  <c r="M384" i="8"/>
  <c r="K384" i="8"/>
  <c r="J384" i="8"/>
  <c r="I384" i="8"/>
  <c r="H384" i="8"/>
  <c r="G384" i="8"/>
  <c r="L384" i="8" s="1"/>
  <c r="F384" i="8"/>
  <c r="E384" i="8"/>
  <c r="D384" i="8"/>
  <c r="C384" i="8"/>
  <c r="B384" i="8"/>
  <c r="A384" i="8"/>
  <c r="M383" i="8"/>
  <c r="L383" i="8"/>
  <c r="K383" i="8"/>
  <c r="J383" i="8"/>
  <c r="I383" i="8"/>
  <c r="H383" i="8"/>
  <c r="G383" i="8"/>
  <c r="F383" i="8"/>
  <c r="E383" i="8"/>
  <c r="D383" i="8"/>
  <c r="C383" i="8"/>
  <c r="B383" i="8"/>
  <c r="A383" i="8"/>
  <c r="M382" i="8"/>
  <c r="K382" i="8"/>
  <c r="J382" i="8"/>
  <c r="I382" i="8"/>
  <c r="H382" i="8"/>
  <c r="G382" i="8"/>
  <c r="L382" i="8" s="1"/>
  <c r="F382" i="8"/>
  <c r="E382" i="8"/>
  <c r="D382" i="8"/>
  <c r="C382" i="8"/>
  <c r="B382" i="8"/>
  <c r="A382" i="8"/>
  <c r="M381" i="8"/>
  <c r="L381" i="8"/>
  <c r="K381" i="8"/>
  <c r="J381" i="8"/>
  <c r="I381" i="8"/>
  <c r="H381" i="8"/>
  <c r="G381" i="8"/>
  <c r="F381" i="8"/>
  <c r="E381" i="8"/>
  <c r="D381" i="8"/>
  <c r="C381" i="8"/>
  <c r="B381" i="8"/>
  <c r="A381" i="8"/>
  <c r="M380" i="8"/>
  <c r="K380" i="8"/>
  <c r="J380" i="8"/>
  <c r="I380" i="8"/>
  <c r="H380" i="8"/>
  <c r="G380" i="8"/>
  <c r="L380" i="8" s="1"/>
  <c r="F380" i="8"/>
  <c r="E380" i="8"/>
  <c r="D380" i="8"/>
  <c r="C380" i="8"/>
  <c r="B380" i="8"/>
  <c r="A380" i="8"/>
  <c r="M379" i="8"/>
  <c r="K379" i="8"/>
  <c r="J379" i="8"/>
  <c r="I379" i="8"/>
  <c r="H379" i="8"/>
  <c r="G379" i="8"/>
  <c r="L379" i="8" s="1"/>
  <c r="F379" i="8"/>
  <c r="E379" i="8"/>
  <c r="D379" i="8"/>
  <c r="C379" i="8"/>
  <c r="B379" i="8"/>
  <c r="A379" i="8"/>
  <c r="M378" i="8"/>
  <c r="K378" i="8"/>
  <c r="J378" i="8"/>
  <c r="I378" i="8"/>
  <c r="H378" i="8"/>
  <c r="G378" i="8"/>
  <c r="L378" i="8" s="1"/>
  <c r="F378" i="8"/>
  <c r="E378" i="8"/>
  <c r="D378" i="8"/>
  <c r="C378" i="8"/>
  <c r="B378" i="8"/>
  <c r="A378" i="8"/>
  <c r="M377" i="8"/>
  <c r="L377" i="8"/>
  <c r="K377" i="8"/>
  <c r="J377" i="8"/>
  <c r="I377" i="8"/>
  <c r="H377" i="8"/>
  <c r="G377" i="8"/>
  <c r="F377" i="8"/>
  <c r="E377" i="8"/>
  <c r="D377" i="8"/>
  <c r="C377" i="8"/>
  <c r="B377" i="8"/>
  <c r="A377" i="8"/>
  <c r="M376" i="8"/>
  <c r="K376" i="8"/>
  <c r="J376" i="8"/>
  <c r="I376" i="8"/>
  <c r="H376" i="8"/>
  <c r="G376" i="8"/>
  <c r="L376" i="8" s="1"/>
  <c r="F376" i="8"/>
  <c r="E376" i="8"/>
  <c r="D376" i="8"/>
  <c r="C376" i="8"/>
  <c r="B376" i="8"/>
  <c r="A376" i="8"/>
  <c r="M375" i="8"/>
  <c r="L375" i="8"/>
  <c r="K375" i="8"/>
  <c r="J375" i="8"/>
  <c r="I375" i="8"/>
  <c r="H375" i="8"/>
  <c r="G375" i="8"/>
  <c r="F375" i="8"/>
  <c r="E375" i="8"/>
  <c r="D375" i="8"/>
  <c r="C375" i="8"/>
  <c r="B375" i="8"/>
  <c r="A375" i="8"/>
  <c r="M374" i="8"/>
  <c r="K374" i="8"/>
  <c r="J374" i="8"/>
  <c r="I374" i="8"/>
  <c r="H374" i="8"/>
  <c r="G374" i="8"/>
  <c r="L374" i="8" s="1"/>
  <c r="F374" i="8"/>
  <c r="E374" i="8"/>
  <c r="D374" i="8"/>
  <c r="C374" i="8"/>
  <c r="B374" i="8"/>
  <c r="A374" i="8"/>
  <c r="M373" i="8"/>
  <c r="L373" i="8"/>
  <c r="K373" i="8"/>
  <c r="J373" i="8"/>
  <c r="I373" i="8"/>
  <c r="H373" i="8"/>
  <c r="G373" i="8"/>
  <c r="F373" i="8"/>
  <c r="E373" i="8"/>
  <c r="D373" i="8"/>
  <c r="C373" i="8"/>
  <c r="B373" i="8"/>
  <c r="A373" i="8"/>
  <c r="M372" i="8"/>
  <c r="K372" i="8"/>
  <c r="J372" i="8"/>
  <c r="I372" i="8"/>
  <c r="H372" i="8"/>
  <c r="G372" i="8"/>
  <c r="L372" i="8" s="1"/>
  <c r="F372" i="8"/>
  <c r="E372" i="8"/>
  <c r="D372" i="8"/>
  <c r="C372" i="8"/>
  <c r="B372" i="8"/>
  <c r="A372" i="8"/>
  <c r="M371" i="8"/>
  <c r="K371" i="8"/>
  <c r="J371" i="8"/>
  <c r="I371" i="8"/>
  <c r="H371" i="8"/>
  <c r="G371" i="8"/>
  <c r="L371" i="8" s="1"/>
  <c r="F371" i="8"/>
  <c r="E371" i="8"/>
  <c r="D371" i="8"/>
  <c r="C371" i="8"/>
  <c r="B371" i="8"/>
  <c r="A371" i="8"/>
  <c r="M370" i="8"/>
  <c r="K370" i="8"/>
  <c r="J370" i="8"/>
  <c r="I370" i="8"/>
  <c r="H370" i="8"/>
  <c r="G370" i="8"/>
  <c r="L370" i="8" s="1"/>
  <c r="F370" i="8"/>
  <c r="E370" i="8"/>
  <c r="D370" i="8"/>
  <c r="C370" i="8"/>
  <c r="B370" i="8"/>
  <c r="A370" i="8"/>
  <c r="M369" i="8"/>
  <c r="L369" i="8"/>
  <c r="K369" i="8"/>
  <c r="J369" i="8"/>
  <c r="I369" i="8"/>
  <c r="H369" i="8"/>
  <c r="G369" i="8"/>
  <c r="F369" i="8"/>
  <c r="E369" i="8"/>
  <c r="D369" i="8"/>
  <c r="C369" i="8"/>
  <c r="B369" i="8"/>
  <c r="A369" i="8"/>
  <c r="M368" i="8"/>
  <c r="K368" i="8"/>
  <c r="J368" i="8"/>
  <c r="I368" i="8"/>
  <c r="H368" i="8"/>
  <c r="G368" i="8"/>
  <c r="L368" i="8" s="1"/>
  <c r="F368" i="8"/>
  <c r="E368" i="8"/>
  <c r="D368" i="8"/>
  <c r="C368" i="8"/>
  <c r="B368" i="8"/>
  <c r="A368" i="8"/>
  <c r="M367" i="8"/>
  <c r="L367" i="8"/>
  <c r="K367" i="8"/>
  <c r="J367" i="8"/>
  <c r="I367" i="8"/>
  <c r="H367" i="8"/>
  <c r="G367" i="8"/>
  <c r="F367" i="8"/>
  <c r="E367" i="8"/>
  <c r="D367" i="8"/>
  <c r="C367" i="8"/>
  <c r="B367" i="8"/>
  <c r="A367" i="8"/>
  <c r="M366" i="8"/>
  <c r="K366" i="8"/>
  <c r="J366" i="8"/>
  <c r="I366" i="8"/>
  <c r="H366" i="8"/>
  <c r="G366" i="8"/>
  <c r="L366" i="8" s="1"/>
  <c r="F366" i="8"/>
  <c r="E366" i="8"/>
  <c r="D366" i="8"/>
  <c r="C366" i="8"/>
  <c r="B366" i="8"/>
  <c r="A366" i="8"/>
  <c r="M365" i="8"/>
  <c r="L365" i="8"/>
  <c r="K365" i="8"/>
  <c r="J365" i="8"/>
  <c r="I365" i="8"/>
  <c r="H365" i="8"/>
  <c r="G365" i="8"/>
  <c r="F365" i="8"/>
  <c r="E365" i="8"/>
  <c r="D365" i="8"/>
  <c r="C365" i="8"/>
  <c r="B365" i="8"/>
  <c r="A365" i="8"/>
  <c r="M364" i="8"/>
  <c r="K364" i="8"/>
  <c r="J364" i="8"/>
  <c r="I364" i="8"/>
  <c r="H364" i="8"/>
  <c r="G364" i="8"/>
  <c r="L364" i="8" s="1"/>
  <c r="F364" i="8"/>
  <c r="E364" i="8"/>
  <c r="D364" i="8"/>
  <c r="C364" i="8"/>
  <c r="B364" i="8"/>
  <c r="A364" i="8"/>
  <c r="M363" i="8"/>
  <c r="K363" i="8"/>
  <c r="J363" i="8"/>
  <c r="I363" i="8"/>
  <c r="H363" i="8"/>
  <c r="G363" i="8"/>
  <c r="L363" i="8" s="1"/>
  <c r="F363" i="8"/>
  <c r="E363" i="8"/>
  <c r="D363" i="8"/>
  <c r="C363" i="8"/>
  <c r="B363" i="8"/>
  <c r="A363" i="8"/>
  <c r="M362" i="8"/>
  <c r="K362" i="8"/>
  <c r="J362" i="8"/>
  <c r="I362" i="8"/>
  <c r="H362" i="8"/>
  <c r="G362" i="8"/>
  <c r="L362" i="8" s="1"/>
  <c r="F362" i="8"/>
  <c r="E362" i="8"/>
  <c r="D362" i="8"/>
  <c r="C362" i="8"/>
  <c r="B362" i="8"/>
  <c r="A362" i="8"/>
  <c r="M361" i="8"/>
  <c r="L361" i="8"/>
  <c r="K361" i="8"/>
  <c r="J361" i="8"/>
  <c r="I361" i="8"/>
  <c r="H361" i="8"/>
  <c r="G361" i="8"/>
  <c r="F361" i="8"/>
  <c r="E361" i="8"/>
  <c r="D361" i="8"/>
  <c r="C361" i="8"/>
  <c r="B361" i="8"/>
  <c r="A361" i="8"/>
  <c r="M360" i="8"/>
  <c r="K360" i="8"/>
  <c r="J360" i="8"/>
  <c r="I360" i="8"/>
  <c r="H360" i="8"/>
  <c r="G360" i="8"/>
  <c r="L360" i="8" s="1"/>
  <c r="F360" i="8"/>
  <c r="E360" i="8"/>
  <c r="D360" i="8"/>
  <c r="C360" i="8"/>
  <c r="B360" i="8"/>
  <c r="A360" i="8"/>
  <c r="M359" i="8"/>
  <c r="L359" i="8"/>
  <c r="K359" i="8"/>
  <c r="J359" i="8"/>
  <c r="I359" i="8"/>
  <c r="H359" i="8"/>
  <c r="G359" i="8"/>
  <c r="F359" i="8"/>
  <c r="E359" i="8"/>
  <c r="D359" i="8"/>
  <c r="C359" i="8"/>
  <c r="B359" i="8"/>
  <c r="A359" i="8"/>
  <c r="M358" i="8"/>
  <c r="K358" i="8"/>
  <c r="J358" i="8"/>
  <c r="I358" i="8"/>
  <c r="H358" i="8"/>
  <c r="G358" i="8"/>
  <c r="L358" i="8" s="1"/>
  <c r="F358" i="8"/>
  <c r="E358" i="8"/>
  <c r="D358" i="8"/>
  <c r="C358" i="8"/>
  <c r="B358" i="8"/>
  <c r="A358" i="8"/>
  <c r="M357" i="8"/>
  <c r="L357" i="8"/>
  <c r="K357" i="8"/>
  <c r="J357" i="8"/>
  <c r="I357" i="8"/>
  <c r="H357" i="8"/>
  <c r="G357" i="8"/>
  <c r="F357" i="8"/>
  <c r="E357" i="8"/>
  <c r="D357" i="8"/>
  <c r="C357" i="8"/>
  <c r="B357" i="8"/>
  <c r="A357" i="8"/>
  <c r="M356" i="8"/>
  <c r="K356" i="8"/>
  <c r="J356" i="8"/>
  <c r="I356" i="8"/>
  <c r="H356" i="8"/>
  <c r="G356" i="8"/>
  <c r="L356" i="8" s="1"/>
  <c r="F356" i="8"/>
  <c r="E356" i="8"/>
  <c r="D356" i="8"/>
  <c r="C356" i="8"/>
  <c r="B356" i="8"/>
  <c r="A356" i="8"/>
  <c r="M355" i="8"/>
  <c r="K355" i="8"/>
  <c r="J355" i="8"/>
  <c r="I355" i="8"/>
  <c r="H355" i="8"/>
  <c r="G355" i="8"/>
  <c r="L355" i="8" s="1"/>
  <c r="F355" i="8"/>
  <c r="E355" i="8"/>
  <c r="D355" i="8"/>
  <c r="C355" i="8"/>
  <c r="B355" i="8"/>
  <c r="A355" i="8"/>
  <c r="M354" i="8"/>
  <c r="K354" i="8"/>
  <c r="J354" i="8"/>
  <c r="I354" i="8"/>
  <c r="H354" i="8"/>
  <c r="G354" i="8"/>
  <c r="L354" i="8" s="1"/>
  <c r="F354" i="8"/>
  <c r="E354" i="8"/>
  <c r="D354" i="8"/>
  <c r="C354" i="8"/>
  <c r="B354" i="8"/>
  <c r="A354" i="8"/>
  <c r="M353" i="8"/>
  <c r="L353" i="8"/>
  <c r="K353" i="8"/>
  <c r="J353" i="8"/>
  <c r="I353" i="8"/>
  <c r="H353" i="8"/>
  <c r="G353" i="8"/>
  <c r="F353" i="8"/>
  <c r="E353" i="8"/>
  <c r="D353" i="8"/>
  <c r="C353" i="8"/>
  <c r="B353" i="8"/>
  <c r="A353" i="8"/>
  <c r="M352" i="8"/>
  <c r="K352" i="8"/>
  <c r="J352" i="8"/>
  <c r="I352" i="8"/>
  <c r="H352" i="8"/>
  <c r="G352" i="8"/>
  <c r="L352" i="8" s="1"/>
  <c r="F352" i="8"/>
  <c r="E352" i="8"/>
  <c r="D352" i="8"/>
  <c r="C352" i="8"/>
  <c r="B352" i="8"/>
  <c r="A352" i="8"/>
  <c r="M351" i="8"/>
  <c r="L351" i="8"/>
  <c r="K351" i="8"/>
  <c r="J351" i="8"/>
  <c r="I351" i="8"/>
  <c r="H351" i="8"/>
  <c r="G351" i="8"/>
  <c r="F351" i="8"/>
  <c r="E351" i="8"/>
  <c r="D351" i="8"/>
  <c r="C351" i="8"/>
  <c r="B351" i="8"/>
  <c r="A351" i="8"/>
  <c r="M350" i="8"/>
  <c r="K350" i="8"/>
  <c r="J350" i="8"/>
  <c r="I350" i="8"/>
  <c r="H350" i="8"/>
  <c r="G350" i="8"/>
  <c r="L350" i="8" s="1"/>
  <c r="F350" i="8"/>
  <c r="E350" i="8"/>
  <c r="D350" i="8"/>
  <c r="C350" i="8"/>
  <c r="B350" i="8"/>
  <c r="A350" i="8"/>
  <c r="M349" i="8"/>
  <c r="L349" i="8"/>
  <c r="K349" i="8"/>
  <c r="J349" i="8"/>
  <c r="I349" i="8"/>
  <c r="H349" i="8"/>
  <c r="G349" i="8"/>
  <c r="F349" i="8"/>
  <c r="E349" i="8"/>
  <c r="D349" i="8"/>
  <c r="C349" i="8"/>
  <c r="B349" i="8"/>
  <c r="A349" i="8"/>
  <c r="M348" i="8"/>
  <c r="K348" i="8"/>
  <c r="J348" i="8"/>
  <c r="I348" i="8"/>
  <c r="H348" i="8"/>
  <c r="G348" i="8"/>
  <c r="L348" i="8" s="1"/>
  <c r="F348" i="8"/>
  <c r="E348" i="8"/>
  <c r="D348" i="8"/>
  <c r="C348" i="8"/>
  <c r="B348" i="8"/>
  <c r="A348" i="8"/>
  <c r="M347" i="8"/>
  <c r="K347" i="8"/>
  <c r="J347" i="8"/>
  <c r="I347" i="8"/>
  <c r="H347" i="8"/>
  <c r="G347" i="8"/>
  <c r="L347" i="8" s="1"/>
  <c r="F347" i="8"/>
  <c r="E347" i="8"/>
  <c r="D347" i="8"/>
  <c r="C347" i="8"/>
  <c r="B347" i="8"/>
  <c r="A347" i="8"/>
  <c r="M346" i="8"/>
  <c r="K346" i="8"/>
  <c r="J346" i="8"/>
  <c r="I346" i="8"/>
  <c r="H346" i="8"/>
  <c r="G346" i="8"/>
  <c r="L346" i="8" s="1"/>
  <c r="F346" i="8"/>
  <c r="E346" i="8"/>
  <c r="D346" i="8"/>
  <c r="C346" i="8"/>
  <c r="B346" i="8"/>
  <c r="A346" i="8"/>
  <c r="M345" i="8"/>
  <c r="L345" i="8"/>
  <c r="K345" i="8"/>
  <c r="J345" i="8"/>
  <c r="I345" i="8"/>
  <c r="H345" i="8"/>
  <c r="G345" i="8"/>
  <c r="F345" i="8"/>
  <c r="E345" i="8"/>
  <c r="D345" i="8"/>
  <c r="C345" i="8"/>
  <c r="B345" i="8"/>
  <c r="A345" i="8"/>
  <c r="M344" i="8"/>
  <c r="K344" i="8"/>
  <c r="J344" i="8"/>
  <c r="I344" i="8"/>
  <c r="H344" i="8"/>
  <c r="G344" i="8"/>
  <c r="L344" i="8" s="1"/>
  <c r="F344" i="8"/>
  <c r="E344" i="8"/>
  <c r="D344" i="8"/>
  <c r="C344" i="8"/>
  <c r="B344" i="8"/>
  <c r="A344" i="8"/>
  <c r="M343" i="8"/>
  <c r="L343" i="8"/>
  <c r="K343" i="8"/>
  <c r="J343" i="8"/>
  <c r="I343" i="8"/>
  <c r="H343" i="8"/>
  <c r="G343" i="8"/>
  <c r="F343" i="8"/>
  <c r="E343" i="8"/>
  <c r="D343" i="8"/>
  <c r="C343" i="8"/>
  <c r="B343" i="8"/>
  <c r="A343" i="8"/>
  <c r="M342" i="8"/>
  <c r="K342" i="8"/>
  <c r="J342" i="8"/>
  <c r="I342" i="8"/>
  <c r="H342" i="8"/>
  <c r="G342" i="8"/>
  <c r="L342" i="8" s="1"/>
  <c r="F342" i="8"/>
  <c r="E342" i="8"/>
  <c r="D342" i="8"/>
  <c r="C342" i="8"/>
  <c r="B342" i="8"/>
  <c r="A342" i="8"/>
  <c r="M341" i="8"/>
  <c r="L341" i="8"/>
  <c r="K341" i="8"/>
  <c r="J341" i="8"/>
  <c r="I341" i="8"/>
  <c r="H341" i="8"/>
  <c r="G341" i="8"/>
  <c r="F341" i="8"/>
  <c r="E341" i="8"/>
  <c r="D341" i="8"/>
  <c r="C341" i="8"/>
  <c r="B341" i="8"/>
  <c r="A341" i="8"/>
  <c r="M340" i="8"/>
  <c r="K340" i="8"/>
  <c r="J340" i="8"/>
  <c r="I340" i="8"/>
  <c r="H340" i="8"/>
  <c r="G340" i="8"/>
  <c r="L340" i="8" s="1"/>
  <c r="F340" i="8"/>
  <c r="E340" i="8"/>
  <c r="D340" i="8"/>
  <c r="C340" i="8"/>
  <c r="B340" i="8"/>
  <c r="A340" i="8"/>
  <c r="M339" i="8"/>
  <c r="K339" i="8"/>
  <c r="J339" i="8"/>
  <c r="I339" i="8"/>
  <c r="H339" i="8"/>
  <c r="G339" i="8"/>
  <c r="L339" i="8" s="1"/>
  <c r="F339" i="8"/>
  <c r="E339" i="8"/>
  <c r="D339" i="8"/>
  <c r="C339" i="8"/>
  <c r="B339" i="8"/>
  <c r="A339" i="8"/>
  <c r="M338" i="8"/>
  <c r="K338" i="8"/>
  <c r="J338" i="8"/>
  <c r="I338" i="8"/>
  <c r="H338" i="8"/>
  <c r="G338" i="8"/>
  <c r="L338" i="8" s="1"/>
  <c r="F338" i="8"/>
  <c r="E338" i="8"/>
  <c r="D338" i="8"/>
  <c r="C338" i="8"/>
  <c r="B338" i="8"/>
  <c r="A338" i="8"/>
  <c r="M337" i="8"/>
  <c r="L337" i="8"/>
  <c r="K337" i="8"/>
  <c r="J337" i="8"/>
  <c r="I337" i="8"/>
  <c r="H337" i="8"/>
  <c r="G337" i="8"/>
  <c r="F337" i="8"/>
  <c r="E337" i="8"/>
  <c r="D337" i="8"/>
  <c r="C337" i="8"/>
  <c r="B337" i="8"/>
  <c r="A337" i="8"/>
  <c r="M336" i="8"/>
  <c r="K336" i="8"/>
  <c r="J336" i="8"/>
  <c r="I336" i="8"/>
  <c r="H336" i="8"/>
  <c r="G336" i="8"/>
  <c r="L336" i="8" s="1"/>
  <c r="F336" i="8"/>
  <c r="E336" i="8"/>
  <c r="D336" i="8"/>
  <c r="C336" i="8"/>
  <c r="B336" i="8"/>
  <c r="A336" i="8"/>
  <c r="M335" i="8"/>
  <c r="L335" i="8"/>
  <c r="K335" i="8"/>
  <c r="J335" i="8"/>
  <c r="I335" i="8"/>
  <c r="H335" i="8"/>
  <c r="G335" i="8"/>
  <c r="F335" i="8"/>
  <c r="E335" i="8"/>
  <c r="D335" i="8"/>
  <c r="C335" i="8"/>
  <c r="B335" i="8"/>
  <c r="A335" i="8"/>
  <c r="M334" i="8"/>
  <c r="K334" i="8"/>
  <c r="J334" i="8"/>
  <c r="I334" i="8"/>
  <c r="H334" i="8"/>
  <c r="G334" i="8"/>
  <c r="L334" i="8" s="1"/>
  <c r="F334" i="8"/>
  <c r="E334" i="8"/>
  <c r="D334" i="8"/>
  <c r="C334" i="8"/>
  <c r="B334" i="8"/>
  <c r="A334" i="8"/>
  <c r="M333" i="8"/>
  <c r="L333" i="8"/>
  <c r="K333" i="8"/>
  <c r="J333" i="8"/>
  <c r="I333" i="8"/>
  <c r="H333" i="8"/>
  <c r="G333" i="8"/>
  <c r="F333" i="8"/>
  <c r="E333" i="8"/>
  <c r="D333" i="8"/>
  <c r="C333" i="8"/>
  <c r="B333" i="8"/>
  <c r="A333" i="8"/>
  <c r="M332" i="8"/>
  <c r="K332" i="8"/>
  <c r="J332" i="8"/>
  <c r="I332" i="8"/>
  <c r="H332" i="8"/>
  <c r="G332" i="8"/>
  <c r="L332" i="8" s="1"/>
  <c r="F332" i="8"/>
  <c r="E332" i="8"/>
  <c r="D332" i="8"/>
  <c r="C332" i="8"/>
  <c r="B332" i="8"/>
  <c r="A332" i="8"/>
  <c r="M331" i="8"/>
  <c r="K331" i="8"/>
  <c r="J331" i="8"/>
  <c r="I331" i="8"/>
  <c r="H331" i="8"/>
  <c r="G331" i="8"/>
  <c r="L331" i="8" s="1"/>
  <c r="F331" i="8"/>
  <c r="E331" i="8"/>
  <c r="D331" i="8"/>
  <c r="C331" i="8"/>
  <c r="B331" i="8"/>
  <c r="A331" i="8"/>
  <c r="M330" i="8"/>
  <c r="K330" i="8"/>
  <c r="J330" i="8"/>
  <c r="I330" i="8"/>
  <c r="H330" i="8"/>
  <c r="G330" i="8"/>
  <c r="L330" i="8" s="1"/>
  <c r="F330" i="8"/>
  <c r="E330" i="8"/>
  <c r="D330" i="8"/>
  <c r="C330" i="8"/>
  <c r="B330" i="8"/>
  <c r="A330" i="8"/>
  <c r="M329" i="8"/>
  <c r="L329" i="8"/>
  <c r="K329" i="8"/>
  <c r="J329" i="8"/>
  <c r="I329" i="8"/>
  <c r="H329" i="8"/>
  <c r="G329" i="8"/>
  <c r="F329" i="8"/>
  <c r="E329" i="8"/>
  <c r="D329" i="8"/>
  <c r="C329" i="8"/>
  <c r="B329" i="8"/>
  <c r="A329" i="8"/>
  <c r="M328" i="8"/>
  <c r="K328" i="8"/>
  <c r="J328" i="8"/>
  <c r="I328" i="8"/>
  <c r="H328" i="8"/>
  <c r="G328" i="8"/>
  <c r="L328" i="8" s="1"/>
  <c r="F328" i="8"/>
  <c r="E328" i="8"/>
  <c r="D328" i="8"/>
  <c r="C328" i="8"/>
  <c r="B328" i="8"/>
  <c r="A328" i="8"/>
  <c r="M327" i="8"/>
  <c r="L327" i="8"/>
  <c r="K327" i="8"/>
  <c r="J327" i="8"/>
  <c r="I327" i="8"/>
  <c r="H327" i="8"/>
  <c r="G327" i="8"/>
  <c r="F327" i="8"/>
  <c r="E327" i="8"/>
  <c r="D327" i="8"/>
  <c r="C327" i="8"/>
  <c r="B327" i="8"/>
  <c r="A327" i="8"/>
  <c r="M326" i="8"/>
  <c r="K326" i="8"/>
  <c r="J326" i="8"/>
  <c r="I326" i="8"/>
  <c r="H326" i="8"/>
  <c r="G326" i="8"/>
  <c r="L326" i="8" s="1"/>
  <c r="F326" i="8"/>
  <c r="E326" i="8"/>
  <c r="D326" i="8"/>
  <c r="C326" i="8"/>
  <c r="B326" i="8"/>
  <c r="A326" i="8"/>
  <c r="M325" i="8"/>
  <c r="L325" i="8"/>
  <c r="K325" i="8"/>
  <c r="J325" i="8"/>
  <c r="I325" i="8"/>
  <c r="H325" i="8"/>
  <c r="G325" i="8"/>
  <c r="F325" i="8"/>
  <c r="E325" i="8"/>
  <c r="D325" i="8"/>
  <c r="C325" i="8"/>
  <c r="B325" i="8"/>
  <c r="A325" i="8"/>
  <c r="M324" i="8"/>
  <c r="K324" i="8"/>
  <c r="J324" i="8"/>
  <c r="I324" i="8"/>
  <c r="H324" i="8"/>
  <c r="G324" i="8"/>
  <c r="L324" i="8" s="1"/>
  <c r="F324" i="8"/>
  <c r="E324" i="8"/>
  <c r="D324" i="8"/>
  <c r="C324" i="8"/>
  <c r="B324" i="8"/>
  <c r="A324" i="8"/>
  <c r="M323" i="8"/>
  <c r="K323" i="8"/>
  <c r="J323" i="8"/>
  <c r="I323" i="8"/>
  <c r="H323" i="8"/>
  <c r="G323" i="8"/>
  <c r="L323" i="8" s="1"/>
  <c r="F323" i="8"/>
  <c r="E323" i="8"/>
  <c r="D323" i="8"/>
  <c r="C323" i="8"/>
  <c r="B323" i="8"/>
  <c r="A323" i="8"/>
  <c r="M322" i="8"/>
  <c r="K322" i="8"/>
  <c r="J322" i="8"/>
  <c r="I322" i="8"/>
  <c r="H322" i="8"/>
  <c r="G322" i="8"/>
  <c r="L322" i="8" s="1"/>
  <c r="F322" i="8"/>
  <c r="E322" i="8"/>
  <c r="D322" i="8"/>
  <c r="C322" i="8"/>
  <c r="B322" i="8"/>
  <c r="A322" i="8"/>
  <c r="M321" i="8"/>
  <c r="L321" i="8"/>
  <c r="K321" i="8"/>
  <c r="J321" i="8"/>
  <c r="I321" i="8"/>
  <c r="H321" i="8"/>
  <c r="G321" i="8"/>
  <c r="F321" i="8"/>
  <c r="E321" i="8"/>
  <c r="D321" i="8"/>
  <c r="C321" i="8"/>
  <c r="B321" i="8"/>
  <c r="A321" i="8"/>
  <c r="M320" i="8"/>
  <c r="K320" i="8"/>
  <c r="J320" i="8"/>
  <c r="I320" i="8"/>
  <c r="H320" i="8"/>
  <c r="G320" i="8"/>
  <c r="L320" i="8" s="1"/>
  <c r="F320" i="8"/>
  <c r="E320" i="8"/>
  <c r="D320" i="8"/>
  <c r="C320" i="8"/>
  <c r="B320" i="8"/>
  <c r="A320" i="8"/>
  <c r="M319" i="8"/>
  <c r="L319" i="8"/>
  <c r="K319" i="8"/>
  <c r="J319" i="8"/>
  <c r="I319" i="8"/>
  <c r="H319" i="8"/>
  <c r="G319" i="8"/>
  <c r="F319" i="8"/>
  <c r="E319" i="8"/>
  <c r="D319" i="8"/>
  <c r="C319" i="8"/>
  <c r="B319" i="8"/>
  <c r="A319" i="8"/>
  <c r="M318" i="8"/>
  <c r="K318" i="8"/>
  <c r="J318" i="8"/>
  <c r="I318" i="8"/>
  <c r="H318" i="8"/>
  <c r="G318" i="8"/>
  <c r="L318" i="8" s="1"/>
  <c r="F318" i="8"/>
  <c r="E318" i="8"/>
  <c r="D318" i="8"/>
  <c r="C318" i="8"/>
  <c r="B318" i="8"/>
  <c r="A318" i="8"/>
  <c r="M317" i="8"/>
  <c r="L317" i="8"/>
  <c r="K317" i="8"/>
  <c r="J317" i="8"/>
  <c r="I317" i="8"/>
  <c r="H317" i="8"/>
  <c r="G317" i="8"/>
  <c r="F317" i="8"/>
  <c r="E317" i="8"/>
  <c r="D317" i="8"/>
  <c r="C317" i="8"/>
  <c r="B317" i="8"/>
  <c r="A317" i="8"/>
  <c r="M316" i="8"/>
  <c r="K316" i="8"/>
  <c r="J316" i="8"/>
  <c r="I316" i="8"/>
  <c r="H316" i="8"/>
  <c r="G316" i="8"/>
  <c r="L316" i="8" s="1"/>
  <c r="F316" i="8"/>
  <c r="E316" i="8"/>
  <c r="D316" i="8"/>
  <c r="C316" i="8"/>
  <c r="B316" i="8"/>
  <c r="A316" i="8"/>
  <c r="M315" i="8"/>
  <c r="K315" i="8"/>
  <c r="J315" i="8"/>
  <c r="I315" i="8"/>
  <c r="H315" i="8"/>
  <c r="G315" i="8"/>
  <c r="L315" i="8" s="1"/>
  <c r="F315" i="8"/>
  <c r="E315" i="8"/>
  <c r="D315" i="8"/>
  <c r="C315" i="8"/>
  <c r="B315" i="8"/>
  <c r="A315" i="8"/>
  <c r="M314" i="8"/>
  <c r="K314" i="8"/>
  <c r="J314" i="8"/>
  <c r="I314" i="8"/>
  <c r="H314" i="8"/>
  <c r="G314" i="8"/>
  <c r="L314" i="8" s="1"/>
  <c r="F314" i="8"/>
  <c r="E314" i="8"/>
  <c r="D314" i="8"/>
  <c r="C314" i="8"/>
  <c r="B314" i="8"/>
  <c r="A314" i="8"/>
  <c r="M313" i="8"/>
  <c r="L313" i="8"/>
  <c r="K313" i="8"/>
  <c r="J313" i="8"/>
  <c r="I313" i="8"/>
  <c r="H313" i="8"/>
  <c r="G313" i="8"/>
  <c r="F313" i="8"/>
  <c r="E313" i="8"/>
  <c r="D313" i="8"/>
  <c r="C313" i="8"/>
  <c r="B313" i="8"/>
  <c r="A313" i="8"/>
  <c r="M312" i="8"/>
  <c r="K312" i="8"/>
  <c r="J312" i="8"/>
  <c r="I312" i="8"/>
  <c r="H312" i="8"/>
  <c r="G312" i="8"/>
  <c r="L312" i="8" s="1"/>
  <c r="F312" i="8"/>
  <c r="E312" i="8"/>
  <c r="D312" i="8"/>
  <c r="C312" i="8"/>
  <c r="B312" i="8"/>
  <c r="A312" i="8"/>
  <c r="M311" i="8"/>
  <c r="L311" i="8"/>
  <c r="K311" i="8"/>
  <c r="J311" i="8"/>
  <c r="I311" i="8"/>
  <c r="H311" i="8"/>
  <c r="G311" i="8"/>
  <c r="F311" i="8"/>
  <c r="E311" i="8"/>
  <c r="D311" i="8"/>
  <c r="C311" i="8"/>
  <c r="B311" i="8"/>
  <c r="A311" i="8"/>
  <c r="M310" i="8"/>
  <c r="K310" i="8"/>
  <c r="J310" i="8"/>
  <c r="I310" i="8"/>
  <c r="H310" i="8"/>
  <c r="G310" i="8"/>
  <c r="L310" i="8" s="1"/>
  <c r="F310" i="8"/>
  <c r="E310" i="8"/>
  <c r="D310" i="8"/>
  <c r="C310" i="8"/>
  <c r="B310" i="8"/>
  <c r="A310" i="8"/>
  <c r="M309" i="8"/>
  <c r="L309" i="8"/>
  <c r="K309" i="8"/>
  <c r="J309" i="8"/>
  <c r="I309" i="8"/>
  <c r="H309" i="8"/>
  <c r="G309" i="8"/>
  <c r="F309" i="8"/>
  <c r="E309" i="8"/>
  <c r="D309" i="8"/>
  <c r="C309" i="8"/>
  <c r="B309" i="8"/>
  <c r="A309" i="8"/>
  <c r="M308" i="8"/>
  <c r="K308" i="8"/>
  <c r="J308" i="8"/>
  <c r="I308" i="8"/>
  <c r="H308" i="8"/>
  <c r="G308" i="8"/>
  <c r="L308" i="8" s="1"/>
  <c r="F308" i="8"/>
  <c r="E308" i="8"/>
  <c r="D308" i="8"/>
  <c r="C308" i="8"/>
  <c r="B308" i="8"/>
  <c r="A308" i="8"/>
  <c r="M307" i="8"/>
  <c r="K307" i="8"/>
  <c r="J307" i="8"/>
  <c r="I307" i="8"/>
  <c r="H307" i="8"/>
  <c r="G307" i="8"/>
  <c r="L307" i="8" s="1"/>
  <c r="F307" i="8"/>
  <c r="E307" i="8"/>
  <c r="D307" i="8"/>
  <c r="C307" i="8"/>
  <c r="B307" i="8"/>
  <c r="A307" i="8"/>
  <c r="M306" i="8"/>
  <c r="K306" i="8"/>
  <c r="J306" i="8"/>
  <c r="I306" i="8"/>
  <c r="H306" i="8"/>
  <c r="G306" i="8"/>
  <c r="L306" i="8" s="1"/>
  <c r="F306" i="8"/>
  <c r="E306" i="8"/>
  <c r="D306" i="8"/>
  <c r="C306" i="8"/>
  <c r="B306" i="8"/>
  <c r="A306" i="8"/>
  <c r="M305" i="8"/>
  <c r="L305" i="8"/>
  <c r="K305" i="8"/>
  <c r="J305" i="8"/>
  <c r="I305" i="8"/>
  <c r="H305" i="8"/>
  <c r="G305" i="8"/>
  <c r="F305" i="8"/>
  <c r="E305" i="8"/>
  <c r="D305" i="8"/>
  <c r="C305" i="8"/>
  <c r="B305" i="8"/>
  <c r="A305" i="8"/>
  <c r="M304" i="8"/>
  <c r="K304" i="8"/>
  <c r="J304" i="8"/>
  <c r="I304" i="8"/>
  <c r="H304" i="8"/>
  <c r="G304" i="8"/>
  <c r="L304" i="8" s="1"/>
  <c r="F304" i="8"/>
  <c r="E304" i="8"/>
  <c r="D304" i="8"/>
  <c r="C304" i="8"/>
  <c r="B304" i="8"/>
  <c r="A304" i="8"/>
  <c r="M303" i="8"/>
  <c r="L303" i="8"/>
  <c r="K303" i="8"/>
  <c r="J303" i="8"/>
  <c r="I303" i="8"/>
  <c r="H303" i="8"/>
  <c r="G303" i="8"/>
  <c r="F303" i="8"/>
  <c r="E303" i="8"/>
  <c r="D303" i="8"/>
  <c r="C303" i="8"/>
  <c r="B303" i="8"/>
  <c r="A303" i="8"/>
  <c r="M302" i="8"/>
  <c r="K302" i="8"/>
  <c r="J302" i="8"/>
  <c r="I302" i="8"/>
  <c r="H302" i="8"/>
  <c r="G302" i="8"/>
  <c r="L302" i="8" s="1"/>
  <c r="F302" i="8"/>
  <c r="E302" i="8"/>
  <c r="D302" i="8"/>
  <c r="C302" i="8"/>
  <c r="B302" i="8"/>
  <c r="A302" i="8"/>
  <c r="M301" i="8"/>
  <c r="L301" i="8"/>
  <c r="K301" i="8"/>
  <c r="J301" i="8"/>
  <c r="I301" i="8"/>
  <c r="H301" i="8"/>
  <c r="G301" i="8"/>
  <c r="F301" i="8"/>
  <c r="E301" i="8"/>
  <c r="D301" i="8"/>
  <c r="C301" i="8"/>
  <c r="B301" i="8"/>
  <c r="A301" i="8"/>
  <c r="M300" i="8"/>
  <c r="K300" i="8"/>
  <c r="J300" i="8"/>
  <c r="I300" i="8"/>
  <c r="H300" i="8"/>
  <c r="G300" i="8"/>
  <c r="L300" i="8" s="1"/>
  <c r="F300" i="8"/>
  <c r="E300" i="8"/>
  <c r="D300" i="8"/>
  <c r="C300" i="8"/>
  <c r="B300" i="8"/>
  <c r="A300" i="8"/>
  <c r="M299" i="8"/>
  <c r="K299" i="8"/>
  <c r="J299" i="8"/>
  <c r="I299" i="8"/>
  <c r="H299" i="8"/>
  <c r="G299" i="8"/>
  <c r="L299" i="8" s="1"/>
  <c r="F299" i="8"/>
  <c r="E299" i="8"/>
  <c r="D299" i="8"/>
  <c r="C299" i="8"/>
  <c r="B299" i="8"/>
  <c r="A299" i="8"/>
  <c r="M298" i="8"/>
  <c r="K298" i="8"/>
  <c r="J298" i="8"/>
  <c r="I298" i="8"/>
  <c r="H298" i="8"/>
  <c r="G298" i="8"/>
  <c r="L298" i="8" s="1"/>
  <c r="F298" i="8"/>
  <c r="E298" i="8"/>
  <c r="D298" i="8"/>
  <c r="C298" i="8"/>
  <c r="B298" i="8"/>
  <c r="A298" i="8"/>
  <c r="M297" i="8"/>
  <c r="L297" i="8"/>
  <c r="K297" i="8"/>
  <c r="J297" i="8"/>
  <c r="I297" i="8"/>
  <c r="H297" i="8"/>
  <c r="G297" i="8"/>
  <c r="F297" i="8"/>
  <c r="E297" i="8"/>
  <c r="D297" i="8"/>
  <c r="C297" i="8"/>
  <c r="B297" i="8"/>
  <c r="A297" i="8"/>
  <c r="M296" i="8"/>
  <c r="K296" i="8"/>
  <c r="J296" i="8"/>
  <c r="I296" i="8"/>
  <c r="H296" i="8"/>
  <c r="G296" i="8"/>
  <c r="L296" i="8" s="1"/>
  <c r="F296" i="8"/>
  <c r="E296" i="8"/>
  <c r="D296" i="8"/>
  <c r="C296" i="8"/>
  <c r="B296" i="8"/>
  <c r="A296" i="8"/>
  <c r="M295" i="8"/>
  <c r="L295" i="8"/>
  <c r="K295" i="8"/>
  <c r="J295" i="8"/>
  <c r="I295" i="8"/>
  <c r="H295" i="8"/>
  <c r="G295" i="8"/>
  <c r="F295" i="8"/>
  <c r="E295" i="8"/>
  <c r="D295" i="8"/>
  <c r="C295" i="8"/>
  <c r="B295" i="8"/>
  <c r="A295" i="8"/>
  <c r="M294" i="8"/>
  <c r="K294" i="8"/>
  <c r="J294" i="8"/>
  <c r="I294" i="8"/>
  <c r="H294" i="8"/>
  <c r="G294" i="8"/>
  <c r="L294" i="8" s="1"/>
  <c r="F294" i="8"/>
  <c r="E294" i="8"/>
  <c r="D294" i="8"/>
  <c r="C294" i="8"/>
  <c r="B294" i="8"/>
  <c r="A294" i="8"/>
  <c r="M293" i="8"/>
  <c r="L293" i="8"/>
  <c r="K293" i="8"/>
  <c r="J293" i="8"/>
  <c r="I293" i="8"/>
  <c r="H293" i="8"/>
  <c r="G293" i="8"/>
  <c r="F293" i="8"/>
  <c r="E293" i="8"/>
  <c r="D293" i="8"/>
  <c r="C293" i="8"/>
  <c r="B293" i="8"/>
  <c r="A293" i="8"/>
  <c r="M292" i="8"/>
  <c r="K292" i="8"/>
  <c r="J292" i="8"/>
  <c r="I292" i="8"/>
  <c r="H292" i="8"/>
  <c r="G292" i="8"/>
  <c r="L292" i="8" s="1"/>
  <c r="F292" i="8"/>
  <c r="E292" i="8"/>
  <c r="D292" i="8"/>
  <c r="C292" i="8"/>
  <c r="B292" i="8"/>
  <c r="A292" i="8"/>
  <c r="M291" i="8"/>
  <c r="K291" i="8"/>
  <c r="J291" i="8"/>
  <c r="I291" i="8"/>
  <c r="H291" i="8"/>
  <c r="G291" i="8"/>
  <c r="L291" i="8" s="1"/>
  <c r="F291" i="8"/>
  <c r="E291" i="8"/>
  <c r="D291" i="8"/>
  <c r="C291" i="8"/>
  <c r="B291" i="8"/>
  <c r="A291" i="8"/>
  <c r="M290" i="8"/>
  <c r="K290" i="8"/>
  <c r="J290" i="8"/>
  <c r="I290" i="8"/>
  <c r="H290" i="8"/>
  <c r="G290" i="8"/>
  <c r="L290" i="8" s="1"/>
  <c r="F290" i="8"/>
  <c r="E290" i="8"/>
  <c r="D290" i="8"/>
  <c r="C290" i="8"/>
  <c r="B290" i="8"/>
  <c r="A290" i="8"/>
  <c r="M289" i="8"/>
  <c r="L289" i="8"/>
  <c r="K289" i="8"/>
  <c r="J289" i="8"/>
  <c r="I289" i="8"/>
  <c r="H289" i="8"/>
  <c r="G289" i="8"/>
  <c r="F289" i="8"/>
  <c r="E289" i="8"/>
  <c r="D289" i="8"/>
  <c r="C289" i="8"/>
  <c r="B289" i="8"/>
  <c r="A289" i="8"/>
  <c r="M288" i="8"/>
  <c r="K288" i="8"/>
  <c r="J288" i="8"/>
  <c r="I288" i="8"/>
  <c r="H288" i="8"/>
  <c r="G288" i="8"/>
  <c r="L288" i="8" s="1"/>
  <c r="F288" i="8"/>
  <c r="E288" i="8"/>
  <c r="D288" i="8"/>
  <c r="C288" i="8"/>
  <c r="B288" i="8"/>
  <c r="A288" i="8"/>
  <c r="M287" i="8"/>
  <c r="L287" i="8"/>
  <c r="K287" i="8"/>
  <c r="J287" i="8"/>
  <c r="I287" i="8"/>
  <c r="H287" i="8"/>
  <c r="G287" i="8"/>
  <c r="F287" i="8"/>
  <c r="E287" i="8"/>
  <c r="D287" i="8"/>
  <c r="C287" i="8"/>
  <c r="B287" i="8"/>
  <c r="A287" i="8"/>
  <c r="M286" i="8"/>
  <c r="K286" i="8"/>
  <c r="J286" i="8"/>
  <c r="I286" i="8"/>
  <c r="H286" i="8"/>
  <c r="G286" i="8"/>
  <c r="L286" i="8" s="1"/>
  <c r="F286" i="8"/>
  <c r="E286" i="8"/>
  <c r="D286" i="8"/>
  <c r="C286" i="8"/>
  <c r="B286" i="8"/>
  <c r="A286" i="8"/>
  <c r="M285" i="8"/>
  <c r="L285" i="8"/>
  <c r="K285" i="8"/>
  <c r="J285" i="8"/>
  <c r="I285" i="8"/>
  <c r="H285" i="8"/>
  <c r="G285" i="8"/>
  <c r="F285" i="8"/>
  <c r="E285" i="8"/>
  <c r="D285" i="8"/>
  <c r="C285" i="8"/>
  <c r="B285" i="8"/>
  <c r="A285" i="8"/>
  <c r="M284" i="8"/>
  <c r="K284" i="8"/>
  <c r="J284" i="8"/>
  <c r="I284" i="8"/>
  <c r="H284" i="8"/>
  <c r="G284" i="8"/>
  <c r="L284" i="8" s="1"/>
  <c r="F284" i="8"/>
  <c r="E284" i="8"/>
  <c r="D284" i="8"/>
  <c r="C284" i="8"/>
  <c r="B284" i="8"/>
  <c r="A284" i="8"/>
  <c r="M283" i="8"/>
  <c r="K283" i="8"/>
  <c r="J283" i="8"/>
  <c r="I283" i="8"/>
  <c r="H283" i="8"/>
  <c r="G283" i="8"/>
  <c r="L283" i="8" s="1"/>
  <c r="F283" i="8"/>
  <c r="E283" i="8"/>
  <c r="D283" i="8"/>
  <c r="C283" i="8"/>
  <c r="B283" i="8"/>
  <c r="A283" i="8"/>
  <c r="M282" i="8"/>
  <c r="K282" i="8"/>
  <c r="J282" i="8"/>
  <c r="I282" i="8"/>
  <c r="H282" i="8"/>
  <c r="G282" i="8"/>
  <c r="L282" i="8" s="1"/>
  <c r="F282" i="8"/>
  <c r="E282" i="8"/>
  <c r="D282" i="8"/>
  <c r="C282" i="8"/>
  <c r="B282" i="8"/>
  <c r="A282" i="8"/>
  <c r="M281" i="8"/>
  <c r="L281" i="8"/>
  <c r="K281" i="8"/>
  <c r="J281" i="8"/>
  <c r="I281" i="8"/>
  <c r="H281" i="8"/>
  <c r="G281" i="8"/>
  <c r="F281" i="8"/>
  <c r="E281" i="8"/>
  <c r="D281" i="8"/>
  <c r="C281" i="8"/>
  <c r="B281" i="8"/>
  <c r="A281" i="8"/>
  <c r="M280" i="8"/>
  <c r="K280" i="8"/>
  <c r="J280" i="8"/>
  <c r="I280" i="8"/>
  <c r="H280" i="8"/>
  <c r="G280" i="8"/>
  <c r="L280" i="8" s="1"/>
  <c r="F280" i="8"/>
  <c r="E280" i="8"/>
  <c r="D280" i="8"/>
  <c r="C280" i="8"/>
  <c r="B280" i="8"/>
  <c r="A280" i="8"/>
  <c r="M279" i="8"/>
  <c r="L279" i="8"/>
  <c r="K279" i="8"/>
  <c r="J279" i="8"/>
  <c r="I279" i="8"/>
  <c r="H279" i="8"/>
  <c r="G279" i="8"/>
  <c r="F279" i="8"/>
  <c r="E279" i="8"/>
  <c r="D279" i="8"/>
  <c r="C279" i="8"/>
  <c r="B279" i="8"/>
  <c r="A279" i="8"/>
  <c r="M278" i="8"/>
  <c r="K278" i="8"/>
  <c r="J278" i="8"/>
  <c r="I278" i="8"/>
  <c r="H278" i="8"/>
  <c r="G278" i="8"/>
  <c r="L278" i="8" s="1"/>
  <c r="F278" i="8"/>
  <c r="E278" i="8"/>
  <c r="D278" i="8"/>
  <c r="C278" i="8"/>
  <c r="B278" i="8"/>
  <c r="A278" i="8"/>
  <c r="M277" i="8"/>
  <c r="L277" i="8"/>
  <c r="K277" i="8"/>
  <c r="J277" i="8"/>
  <c r="I277" i="8"/>
  <c r="H277" i="8"/>
  <c r="G277" i="8"/>
  <c r="F277" i="8"/>
  <c r="E277" i="8"/>
  <c r="D277" i="8"/>
  <c r="C277" i="8"/>
  <c r="B277" i="8"/>
  <c r="A277" i="8"/>
  <c r="M276" i="8"/>
  <c r="K276" i="8"/>
  <c r="J276" i="8"/>
  <c r="I276" i="8"/>
  <c r="H276" i="8"/>
  <c r="G276" i="8"/>
  <c r="L276" i="8" s="1"/>
  <c r="F276" i="8"/>
  <c r="E276" i="8"/>
  <c r="D276" i="8"/>
  <c r="C276" i="8"/>
  <c r="B276" i="8"/>
  <c r="A276" i="8"/>
  <c r="M275" i="8"/>
  <c r="K275" i="8"/>
  <c r="J275" i="8"/>
  <c r="I275" i="8"/>
  <c r="H275" i="8"/>
  <c r="G275" i="8"/>
  <c r="L275" i="8" s="1"/>
  <c r="F275" i="8"/>
  <c r="E275" i="8"/>
  <c r="D275" i="8"/>
  <c r="C275" i="8"/>
  <c r="B275" i="8"/>
  <c r="A275" i="8"/>
  <c r="M274" i="8"/>
  <c r="K274" i="8"/>
  <c r="J274" i="8"/>
  <c r="I274" i="8"/>
  <c r="H274" i="8"/>
  <c r="G274" i="8"/>
  <c r="L274" i="8" s="1"/>
  <c r="F274" i="8"/>
  <c r="E274" i="8"/>
  <c r="D274" i="8"/>
  <c r="C274" i="8"/>
  <c r="B274" i="8"/>
  <c r="A274" i="8"/>
  <c r="M273" i="8"/>
  <c r="L273" i="8"/>
  <c r="K273" i="8"/>
  <c r="J273" i="8"/>
  <c r="I273" i="8"/>
  <c r="H273" i="8"/>
  <c r="G273" i="8"/>
  <c r="F273" i="8"/>
  <c r="E273" i="8"/>
  <c r="D273" i="8"/>
  <c r="C273" i="8"/>
  <c r="B273" i="8"/>
  <c r="A273" i="8"/>
  <c r="M272" i="8"/>
  <c r="K272" i="8"/>
  <c r="J272" i="8"/>
  <c r="I272" i="8"/>
  <c r="H272" i="8"/>
  <c r="G272" i="8"/>
  <c r="L272" i="8" s="1"/>
  <c r="F272" i="8"/>
  <c r="E272" i="8"/>
  <c r="D272" i="8"/>
  <c r="C272" i="8"/>
  <c r="B272" i="8"/>
  <c r="A272" i="8"/>
  <c r="M271" i="8"/>
  <c r="L271" i="8"/>
  <c r="K271" i="8"/>
  <c r="J271" i="8"/>
  <c r="I271" i="8"/>
  <c r="H271" i="8"/>
  <c r="G271" i="8"/>
  <c r="F271" i="8"/>
  <c r="E271" i="8"/>
  <c r="D271" i="8"/>
  <c r="C271" i="8"/>
  <c r="B271" i="8"/>
  <c r="A271" i="8"/>
  <c r="M270" i="8"/>
  <c r="K270" i="8"/>
  <c r="J270" i="8"/>
  <c r="I270" i="8"/>
  <c r="H270" i="8"/>
  <c r="G270" i="8"/>
  <c r="L270" i="8" s="1"/>
  <c r="F270" i="8"/>
  <c r="E270" i="8"/>
  <c r="D270" i="8"/>
  <c r="C270" i="8"/>
  <c r="B270" i="8"/>
  <c r="A270" i="8"/>
  <c r="M269" i="8"/>
  <c r="L269" i="8"/>
  <c r="K269" i="8"/>
  <c r="J269" i="8"/>
  <c r="I269" i="8"/>
  <c r="H269" i="8"/>
  <c r="G269" i="8"/>
  <c r="F269" i="8"/>
  <c r="E269" i="8"/>
  <c r="D269" i="8"/>
  <c r="C269" i="8"/>
  <c r="B269" i="8"/>
  <c r="A269" i="8"/>
  <c r="M268" i="8"/>
  <c r="K268" i="8"/>
  <c r="J268" i="8"/>
  <c r="I268" i="8"/>
  <c r="H268" i="8"/>
  <c r="G268" i="8"/>
  <c r="L268" i="8" s="1"/>
  <c r="F268" i="8"/>
  <c r="E268" i="8"/>
  <c r="D268" i="8"/>
  <c r="C268" i="8"/>
  <c r="B268" i="8"/>
  <c r="A268" i="8"/>
  <c r="M267" i="8"/>
  <c r="K267" i="8"/>
  <c r="J267" i="8"/>
  <c r="I267" i="8"/>
  <c r="H267" i="8"/>
  <c r="G267" i="8"/>
  <c r="L267" i="8" s="1"/>
  <c r="F267" i="8"/>
  <c r="E267" i="8"/>
  <c r="D267" i="8"/>
  <c r="C267" i="8"/>
  <c r="B267" i="8"/>
  <c r="A267" i="8"/>
  <c r="M266" i="8"/>
  <c r="K266" i="8"/>
  <c r="J266" i="8"/>
  <c r="I266" i="8"/>
  <c r="H266" i="8"/>
  <c r="G266" i="8"/>
  <c r="L266" i="8" s="1"/>
  <c r="F266" i="8"/>
  <c r="E266" i="8"/>
  <c r="D266" i="8"/>
  <c r="C266" i="8"/>
  <c r="B266" i="8"/>
  <c r="A266" i="8"/>
  <c r="M265" i="8"/>
  <c r="L265" i="8"/>
  <c r="K265" i="8"/>
  <c r="J265" i="8"/>
  <c r="I265" i="8"/>
  <c r="H265" i="8"/>
  <c r="G265" i="8"/>
  <c r="F265" i="8"/>
  <c r="E265" i="8"/>
  <c r="D265" i="8"/>
  <c r="C265" i="8"/>
  <c r="B265" i="8"/>
  <c r="A265" i="8"/>
  <c r="M264" i="8"/>
  <c r="K264" i="8"/>
  <c r="J264" i="8"/>
  <c r="I264" i="8"/>
  <c r="H264" i="8"/>
  <c r="G264" i="8"/>
  <c r="L264" i="8" s="1"/>
  <c r="F264" i="8"/>
  <c r="E264" i="8"/>
  <c r="D264" i="8"/>
  <c r="C264" i="8"/>
  <c r="B264" i="8"/>
  <c r="A264" i="8"/>
  <c r="M263" i="8"/>
  <c r="L263" i="8"/>
  <c r="K263" i="8"/>
  <c r="J263" i="8"/>
  <c r="I263" i="8"/>
  <c r="H263" i="8"/>
  <c r="G263" i="8"/>
  <c r="F263" i="8"/>
  <c r="E263" i="8"/>
  <c r="D263" i="8"/>
  <c r="C263" i="8"/>
  <c r="B263" i="8"/>
  <c r="A263" i="8"/>
  <c r="M262" i="8"/>
  <c r="K262" i="8"/>
  <c r="J262" i="8"/>
  <c r="I262" i="8"/>
  <c r="H262" i="8"/>
  <c r="G262" i="8"/>
  <c r="L262" i="8" s="1"/>
  <c r="F262" i="8"/>
  <c r="E262" i="8"/>
  <c r="D262" i="8"/>
  <c r="C262" i="8"/>
  <c r="B262" i="8"/>
  <c r="A262" i="8"/>
  <c r="M261" i="8"/>
  <c r="L261" i="8"/>
  <c r="K261" i="8"/>
  <c r="J261" i="8"/>
  <c r="I261" i="8"/>
  <c r="H261" i="8"/>
  <c r="G261" i="8"/>
  <c r="F261" i="8"/>
  <c r="E261" i="8"/>
  <c r="D261" i="8"/>
  <c r="C261" i="8"/>
  <c r="B261" i="8"/>
  <c r="A261" i="8"/>
  <c r="M260" i="8"/>
  <c r="K260" i="8"/>
  <c r="J260" i="8"/>
  <c r="I260" i="8"/>
  <c r="H260" i="8"/>
  <c r="G260" i="8"/>
  <c r="L260" i="8" s="1"/>
  <c r="F260" i="8"/>
  <c r="E260" i="8"/>
  <c r="D260" i="8"/>
  <c r="C260" i="8"/>
  <c r="B260" i="8"/>
  <c r="A260" i="8"/>
  <c r="M259" i="8"/>
  <c r="K259" i="8"/>
  <c r="J259" i="8"/>
  <c r="I259" i="8"/>
  <c r="H259" i="8"/>
  <c r="G259" i="8"/>
  <c r="L259" i="8" s="1"/>
  <c r="F259" i="8"/>
  <c r="E259" i="8"/>
  <c r="D259" i="8"/>
  <c r="C259" i="8"/>
  <c r="B259" i="8"/>
  <c r="A259" i="8"/>
  <c r="M258" i="8"/>
  <c r="K258" i="8"/>
  <c r="J258" i="8"/>
  <c r="I258" i="8"/>
  <c r="H258" i="8"/>
  <c r="G258" i="8"/>
  <c r="L258" i="8" s="1"/>
  <c r="F258" i="8"/>
  <c r="E258" i="8"/>
  <c r="D258" i="8"/>
  <c r="C258" i="8"/>
  <c r="B258" i="8"/>
  <c r="A258" i="8"/>
  <c r="M257" i="8"/>
  <c r="L257" i="8"/>
  <c r="K257" i="8"/>
  <c r="J257" i="8"/>
  <c r="I257" i="8"/>
  <c r="H257" i="8"/>
  <c r="G257" i="8"/>
  <c r="F257" i="8"/>
  <c r="E257" i="8"/>
  <c r="D257" i="8"/>
  <c r="C257" i="8"/>
  <c r="B257" i="8"/>
  <c r="A257" i="8"/>
  <c r="M256" i="8"/>
  <c r="K256" i="8"/>
  <c r="J256" i="8"/>
  <c r="I256" i="8"/>
  <c r="H256" i="8"/>
  <c r="G256" i="8"/>
  <c r="L256" i="8" s="1"/>
  <c r="F256" i="8"/>
  <c r="E256" i="8"/>
  <c r="D256" i="8"/>
  <c r="C256" i="8"/>
  <c r="B256" i="8"/>
  <c r="A256" i="8"/>
  <c r="M255" i="8"/>
  <c r="L255" i="8"/>
  <c r="K255" i="8"/>
  <c r="J255" i="8"/>
  <c r="I255" i="8"/>
  <c r="H255" i="8"/>
  <c r="G255" i="8"/>
  <c r="F255" i="8"/>
  <c r="E255" i="8"/>
  <c r="D255" i="8"/>
  <c r="C255" i="8"/>
  <c r="B255" i="8"/>
  <c r="A255" i="8"/>
  <c r="M254" i="8"/>
  <c r="K254" i="8"/>
  <c r="J254" i="8"/>
  <c r="I254" i="8"/>
  <c r="H254" i="8"/>
  <c r="G254" i="8"/>
  <c r="L254" i="8" s="1"/>
  <c r="F254" i="8"/>
  <c r="E254" i="8"/>
  <c r="D254" i="8"/>
  <c r="C254" i="8"/>
  <c r="B254" i="8"/>
  <c r="A254" i="8"/>
  <c r="M253" i="8"/>
  <c r="L253" i="8"/>
  <c r="K253" i="8"/>
  <c r="J253" i="8"/>
  <c r="I253" i="8"/>
  <c r="H253" i="8"/>
  <c r="G253" i="8"/>
  <c r="F253" i="8"/>
  <c r="E253" i="8"/>
  <c r="D253" i="8"/>
  <c r="C253" i="8"/>
  <c r="B253" i="8"/>
  <c r="A253" i="8"/>
  <c r="M252" i="8"/>
  <c r="K252" i="8"/>
  <c r="J252" i="8"/>
  <c r="I252" i="8"/>
  <c r="H252" i="8"/>
  <c r="G252" i="8"/>
  <c r="L252" i="8" s="1"/>
  <c r="F252" i="8"/>
  <c r="E252" i="8"/>
  <c r="D252" i="8"/>
  <c r="C252" i="8"/>
  <c r="B252" i="8"/>
  <c r="A252" i="8"/>
  <c r="M251" i="8"/>
  <c r="K251" i="8"/>
  <c r="J251" i="8"/>
  <c r="I251" i="8"/>
  <c r="H251" i="8"/>
  <c r="G251" i="8"/>
  <c r="L251" i="8" s="1"/>
  <c r="F251" i="8"/>
  <c r="E251" i="8"/>
  <c r="D251" i="8"/>
  <c r="C251" i="8"/>
  <c r="B251" i="8"/>
  <c r="A251" i="8"/>
  <c r="M250" i="8"/>
  <c r="K250" i="8"/>
  <c r="J250" i="8"/>
  <c r="I250" i="8"/>
  <c r="H250" i="8"/>
  <c r="G250" i="8"/>
  <c r="L250" i="8" s="1"/>
  <c r="F250" i="8"/>
  <c r="E250" i="8"/>
  <c r="D250" i="8"/>
  <c r="C250" i="8"/>
  <c r="B250" i="8"/>
  <c r="A250" i="8"/>
  <c r="M249" i="8"/>
  <c r="L249" i="8"/>
  <c r="K249" i="8"/>
  <c r="J249" i="8"/>
  <c r="I249" i="8"/>
  <c r="H249" i="8"/>
  <c r="G249" i="8"/>
  <c r="F249" i="8"/>
  <c r="E249" i="8"/>
  <c r="D249" i="8"/>
  <c r="C249" i="8"/>
  <c r="B249" i="8"/>
  <c r="A249" i="8"/>
  <c r="M248" i="8"/>
  <c r="K248" i="8"/>
  <c r="J248" i="8"/>
  <c r="I248" i="8"/>
  <c r="H248" i="8"/>
  <c r="G248" i="8"/>
  <c r="L248" i="8" s="1"/>
  <c r="F248" i="8"/>
  <c r="E248" i="8"/>
  <c r="D248" i="8"/>
  <c r="C248" i="8"/>
  <c r="B248" i="8"/>
  <c r="A248" i="8"/>
  <c r="M247" i="8"/>
  <c r="L247" i="8"/>
  <c r="K247" i="8"/>
  <c r="J247" i="8"/>
  <c r="I247" i="8"/>
  <c r="H247" i="8"/>
  <c r="G247" i="8"/>
  <c r="F247" i="8"/>
  <c r="E247" i="8"/>
  <c r="D247" i="8"/>
  <c r="C247" i="8"/>
  <c r="B247" i="8"/>
  <c r="A247" i="8"/>
  <c r="M246" i="8"/>
  <c r="K246" i="8"/>
  <c r="J246" i="8"/>
  <c r="I246" i="8"/>
  <c r="H246" i="8"/>
  <c r="G246" i="8"/>
  <c r="L246" i="8" s="1"/>
  <c r="F246" i="8"/>
  <c r="E246" i="8"/>
  <c r="D246" i="8"/>
  <c r="C246" i="8"/>
  <c r="B246" i="8"/>
  <c r="A246" i="8"/>
  <c r="M245" i="8"/>
  <c r="L245" i="8"/>
  <c r="K245" i="8"/>
  <c r="J245" i="8"/>
  <c r="I245" i="8"/>
  <c r="H245" i="8"/>
  <c r="G245" i="8"/>
  <c r="F245" i="8"/>
  <c r="E245" i="8"/>
  <c r="D245" i="8"/>
  <c r="C245" i="8"/>
  <c r="B245" i="8"/>
  <c r="A245" i="8"/>
  <c r="M244" i="8"/>
  <c r="K244" i="8"/>
  <c r="J244" i="8"/>
  <c r="I244" i="8"/>
  <c r="H244" i="8"/>
  <c r="G244" i="8"/>
  <c r="L244" i="8" s="1"/>
  <c r="F244" i="8"/>
  <c r="E244" i="8"/>
  <c r="D244" i="8"/>
  <c r="C244" i="8"/>
  <c r="B244" i="8"/>
  <c r="A244" i="8"/>
  <c r="M243" i="8"/>
  <c r="K243" i="8"/>
  <c r="J243" i="8"/>
  <c r="I243" i="8"/>
  <c r="H243" i="8"/>
  <c r="G243" i="8"/>
  <c r="L243" i="8" s="1"/>
  <c r="F243" i="8"/>
  <c r="E243" i="8"/>
  <c r="D243" i="8"/>
  <c r="C243" i="8"/>
  <c r="B243" i="8"/>
  <c r="A243" i="8"/>
  <c r="M242" i="8"/>
  <c r="K242" i="8"/>
  <c r="J242" i="8"/>
  <c r="I242" i="8"/>
  <c r="H242" i="8"/>
  <c r="G242" i="8"/>
  <c r="L242" i="8" s="1"/>
  <c r="F242" i="8"/>
  <c r="E242" i="8"/>
  <c r="D242" i="8"/>
  <c r="C242" i="8"/>
  <c r="B242" i="8"/>
  <c r="A242" i="8"/>
  <c r="M241" i="8"/>
  <c r="L241" i="8"/>
  <c r="K241" i="8"/>
  <c r="J241" i="8"/>
  <c r="I241" i="8"/>
  <c r="H241" i="8"/>
  <c r="G241" i="8"/>
  <c r="F241" i="8"/>
  <c r="E241" i="8"/>
  <c r="D241" i="8"/>
  <c r="C241" i="8"/>
  <c r="B241" i="8"/>
  <c r="A241" i="8"/>
  <c r="M240" i="8"/>
  <c r="K240" i="8"/>
  <c r="J240" i="8"/>
  <c r="I240" i="8"/>
  <c r="H240" i="8"/>
  <c r="G240" i="8"/>
  <c r="L240" i="8" s="1"/>
  <c r="F240" i="8"/>
  <c r="E240" i="8"/>
  <c r="D240" i="8"/>
  <c r="C240" i="8"/>
  <c r="B240" i="8"/>
  <c r="A240" i="8"/>
  <c r="M239" i="8"/>
  <c r="L239" i="8"/>
  <c r="K239" i="8"/>
  <c r="J239" i="8"/>
  <c r="I239" i="8"/>
  <c r="H239" i="8"/>
  <c r="G239" i="8"/>
  <c r="F239" i="8"/>
  <c r="E239" i="8"/>
  <c r="D239" i="8"/>
  <c r="C239" i="8"/>
  <c r="B239" i="8"/>
  <c r="A239" i="8"/>
  <c r="M238" i="8"/>
  <c r="K238" i="8"/>
  <c r="J238" i="8"/>
  <c r="I238" i="8"/>
  <c r="H238" i="8"/>
  <c r="G238" i="8"/>
  <c r="L238" i="8" s="1"/>
  <c r="F238" i="8"/>
  <c r="E238" i="8"/>
  <c r="D238" i="8"/>
  <c r="C238" i="8"/>
  <c r="B238" i="8"/>
  <c r="A238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A237" i="8"/>
  <c r="M236" i="8"/>
  <c r="K236" i="8"/>
  <c r="J236" i="8"/>
  <c r="I236" i="8"/>
  <c r="H236" i="8"/>
  <c r="G236" i="8"/>
  <c r="L236" i="8" s="1"/>
  <c r="F236" i="8"/>
  <c r="E236" i="8"/>
  <c r="D236" i="8"/>
  <c r="C236" i="8"/>
  <c r="B236" i="8"/>
  <c r="A236" i="8"/>
  <c r="M235" i="8"/>
  <c r="K235" i="8"/>
  <c r="J235" i="8"/>
  <c r="I235" i="8"/>
  <c r="H235" i="8"/>
  <c r="G235" i="8"/>
  <c r="L235" i="8" s="1"/>
  <c r="F235" i="8"/>
  <c r="E235" i="8"/>
  <c r="D235" i="8"/>
  <c r="C235" i="8"/>
  <c r="B235" i="8"/>
  <c r="A235" i="8"/>
  <c r="M234" i="8"/>
  <c r="K234" i="8"/>
  <c r="J234" i="8"/>
  <c r="I234" i="8"/>
  <c r="H234" i="8"/>
  <c r="G234" i="8"/>
  <c r="L234" i="8" s="1"/>
  <c r="F234" i="8"/>
  <c r="E234" i="8"/>
  <c r="D234" i="8"/>
  <c r="C234" i="8"/>
  <c r="B234" i="8"/>
  <c r="A234" i="8"/>
  <c r="M233" i="8"/>
  <c r="L233" i="8"/>
  <c r="K233" i="8"/>
  <c r="J233" i="8"/>
  <c r="I233" i="8"/>
  <c r="H233" i="8"/>
  <c r="G233" i="8"/>
  <c r="F233" i="8"/>
  <c r="E233" i="8"/>
  <c r="D233" i="8"/>
  <c r="C233" i="8"/>
  <c r="B233" i="8"/>
  <c r="A233" i="8"/>
  <c r="M232" i="8"/>
  <c r="K232" i="8"/>
  <c r="J232" i="8"/>
  <c r="I232" i="8"/>
  <c r="H232" i="8"/>
  <c r="G232" i="8"/>
  <c r="L232" i="8" s="1"/>
  <c r="F232" i="8"/>
  <c r="E232" i="8"/>
  <c r="D232" i="8"/>
  <c r="C232" i="8"/>
  <c r="B232" i="8"/>
  <c r="A232" i="8"/>
  <c r="M231" i="8"/>
  <c r="L231" i="8"/>
  <c r="K231" i="8"/>
  <c r="J231" i="8"/>
  <c r="I231" i="8"/>
  <c r="H231" i="8"/>
  <c r="G231" i="8"/>
  <c r="F231" i="8"/>
  <c r="E231" i="8"/>
  <c r="D231" i="8"/>
  <c r="C231" i="8"/>
  <c r="B231" i="8"/>
  <c r="A231" i="8"/>
  <c r="M230" i="8"/>
  <c r="K230" i="8"/>
  <c r="J230" i="8"/>
  <c r="I230" i="8"/>
  <c r="H230" i="8"/>
  <c r="G230" i="8"/>
  <c r="L230" i="8" s="1"/>
  <c r="F230" i="8"/>
  <c r="E230" i="8"/>
  <c r="D230" i="8"/>
  <c r="C230" i="8"/>
  <c r="B230" i="8"/>
  <c r="A230" i="8"/>
  <c r="M229" i="8"/>
  <c r="L229" i="8"/>
  <c r="K229" i="8"/>
  <c r="J229" i="8"/>
  <c r="I229" i="8"/>
  <c r="H229" i="8"/>
  <c r="G229" i="8"/>
  <c r="F229" i="8"/>
  <c r="E229" i="8"/>
  <c r="D229" i="8"/>
  <c r="C229" i="8"/>
  <c r="B229" i="8"/>
  <c r="A229" i="8"/>
  <c r="M228" i="8"/>
  <c r="K228" i="8"/>
  <c r="J228" i="8"/>
  <c r="I228" i="8"/>
  <c r="H228" i="8"/>
  <c r="G228" i="8"/>
  <c r="L228" i="8" s="1"/>
  <c r="F228" i="8"/>
  <c r="E228" i="8"/>
  <c r="D228" i="8"/>
  <c r="C228" i="8"/>
  <c r="B228" i="8"/>
  <c r="A228" i="8"/>
  <c r="M227" i="8"/>
  <c r="K227" i="8"/>
  <c r="J227" i="8"/>
  <c r="I227" i="8"/>
  <c r="H227" i="8"/>
  <c r="G227" i="8"/>
  <c r="L227" i="8" s="1"/>
  <c r="F227" i="8"/>
  <c r="E227" i="8"/>
  <c r="D227" i="8"/>
  <c r="C227" i="8"/>
  <c r="B227" i="8"/>
  <c r="A227" i="8"/>
  <c r="M226" i="8"/>
  <c r="K226" i="8"/>
  <c r="J226" i="8"/>
  <c r="I226" i="8"/>
  <c r="H226" i="8"/>
  <c r="G226" i="8"/>
  <c r="L226" i="8" s="1"/>
  <c r="F226" i="8"/>
  <c r="E226" i="8"/>
  <c r="D226" i="8"/>
  <c r="C226" i="8"/>
  <c r="B226" i="8"/>
  <c r="A226" i="8"/>
  <c r="M225" i="8"/>
  <c r="L225" i="8"/>
  <c r="K225" i="8"/>
  <c r="J225" i="8"/>
  <c r="I225" i="8"/>
  <c r="H225" i="8"/>
  <c r="G225" i="8"/>
  <c r="F225" i="8"/>
  <c r="E225" i="8"/>
  <c r="D225" i="8"/>
  <c r="C225" i="8"/>
  <c r="B225" i="8"/>
  <c r="A225" i="8"/>
  <c r="M224" i="8"/>
  <c r="K224" i="8"/>
  <c r="J224" i="8"/>
  <c r="I224" i="8"/>
  <c r="H224" i="8"/>
  <c r="G224" i="8"/>
  <c r="L224" i="8" s="1"/>
  <c r="F224" i="8"/>
  <c r="E224" i="8"/>
  <c r="D224" i="8"/>
  <c r="C224" i="8"/>
  <c r="B224" i="8"/>
  <c r="A224" i="8"/>
  <c r="M223" i="8"/>
  <c r="L223" i="8"/>
  <c r="K223" i="8"/>
  <c r="J223" i="8"/>
  <c r="I223" i="8"/>
  <c r="H223" i="8"/>
  <c r="G223" i="8"/>
  <c r="F223" i="8"/>
  <c r="E223" i="8"/>
  <c r="D223" i="8"/>
  <c r="C223" i="8"/>
  <c r="B223" i="8"/>
  <c r="A223" i="8"/>
  <c r="M222" i="8"/>
  <c r="K222" i="8"/>
  <c r="J222" i="8"/>
  <c r="I222" i="8"/>
  <c r="H222" i="8"/>
  <c r="G222" i="8"/>
  <c r="L222" i="8" s="1"/>
  <c r="F222" i="8"/>
  <c r="E222" i="8"/>
  <c r="D222" i="8"/>
  <c r="C222" i="8"/>
  <c r="B222" i="8"/>
  <c r="A222" i="8"/>
  <c r="M221" i="8"/>
  <c r="L221" i="8"/>
  <c r="K221" i="8"/>
  <c r="J221" i="8"/>
  <c r="I221" i="8"/>
  <c r="H221" i="8"/>
  <c r="G221" i="8"/>
  <c r="F221" i="8"/>
  <c r="E221" i="8"/>
  <c r="D221" i="8"/>
  <c r="C221" i="8"/>
  <c r="B221" i="8"/>
  <c r="A221" i="8"/>
  <c r="M220" i="8"/>
  <c r="K220" i="8"/>
  <c r="J220" i="8"/>
  <c r="I220" i="8"/>
  <c r="H220" i="8"/>
  <c r="G220" i="8"/>
  <c r="L220" i="8" s="1"/>
  <c r="F220" i="8"/>
  <c r="E220" i="8"/>
  <c r="D220" i="8"/>
  <c r="C220" i="8"/>
  <c r="B220" i="8"/>
  <c r="A220" i="8"/>
  <c r="M219" i="8"/>
  <c r="K219" i="8"/>
  <c r="J219" i="8"/>
  <c r="I219" i="8"/>
  <c r="H219" i="8"/>
  <c r="G219" i="8"/>
  <c r="L219" i="8" s="1"/>
  <c r="F219" i="8"/>
  <c r="E219" i="8"/>
  <c r="D219" i="8"/>
  <c r="C219" i="8"/>
  <c r="B219" i="8"/>
  <c r="A219" i="8"/>
  <c r="M218" i="8"/>
  <c r="K218" i="8"/>
  <c r="J218" i="8"/>
  <c r="I218" i="8"/>
  <c r="H218" i="8"/>
  <c r="G218" i="8"/>
  <c r="L218" i="8" s="1"/>
  <c r="F218" i="8"/>
  <c r="E218" i="8"/>
  <c r="D218" i="8"/>
  <c r="C218" i="8"/>
  <c r="B218" i="8"/>
  <c r="A218" i="8"/>
  <c r="M217" i="8"/>
  <c r="L217" i="8"/>
  <c r="K217" i="8"/>
  <c r="J217" i="8"/>
  <c r="I217" i="8"/>
  <c r="H217" i="8"/>
  <c r="G217" i="8"/>
  <c r="F217" i="8"/>
  <c r="E217" i="8"/>
  <c r="D217" i="8"/>
  <c r="C217" i="8"/>
  <c r="B217" i="8"/>
  <c r="A217" i="8"/>
  <c r="M216" i="8"/>
  <c r="K216" i="8"/>
  <c r="J216" i="8"/>
  <c r="I216" i="8"/>
  <c r="H216" i="8"/>
  <c r="G216" i="8"/>
  <c r="L216" i="8" s="1"/>
  <c r="F216" i="8"/>
  <c r="E216" i="8"/>
  <c r="D216" i="8"/>
  <c r="C216" i="8"/>
  <c r="B216" i="8"/>
  <c r="A216" i="8"/>
  <c r="M215" i="8"/>
  <c r="L215" i="8"/>
  <c r="K215" i="8"/>
  <c r="J215" i="8"/>
  <c r="I215" i="8"/>
  <c r="H215" i="8"/>
  <c r="G215" i="8"/>
  <c r="F215" i="8"/>
  <c r="E215" i="8"/>
  <c r="D215" i="8"/>
  <c r="C215" i="8"/>
  <c r="B215" i="8"/>
  <c r="A215" i="8"/>
  <c r="M214" i="8"/>
  <c r="K214" i="8"/>
  <c r="J214" i="8"/>
  <c r="I214" i="8"/>
  <c r="H214" i="8"/>
  <c r="G214" i="8"/>
  <c r="L214" i="8" s="1"/>
  <c r="F214" i="8"/>
  <c r="E214" i="8"/>
  <c r="D214" i="8"/>
  <c r="C214" i="8"/>
  <c r="B214" i="8"/>
  <c r="A214" i="8"/>
  <c r="M213" i="8"/>
  <c r="L213" i="8"/>
  <c r="K213" i="8"/>
  <c r="J213" i="8"/>
  <c r="I213" i="8"/>
  <c r="H213" i="8"/>
  <c r="G213" i="8"/>
  <c r="F213" i="8"/>
  <c r="E213" i="8"/>
  <c r="D213" i="8"/>
  <c r="C213" i="8"/>
  <c r="B213" i="8"/>
  <c r="A213" i="8"/>
  <c r="M212" i="8"/>
  <c r="K212" i="8"/>
  <c r="J212" i="8"/>
  <c r="I212" i="8"/>
  <c r="H212" i="8"/>
  <c r="G212" i="8"/>
  <c r="L212" i="8" s="1"/>
  <c r="F212" i="8"/>
  <c r="E212" i="8"/>
  <c r="D212" i="8"/>
  <c r="C212" i="8"/>
  <c r="B212" i="8"/>
  <c r="A212" i="8"/>
  <c r="M211" i="8"/>
  <c r="K211" i="8"/>
  <c r="J211" i="8"/>
  <c r="I211" i="8"/>
  <c r="H211" i="8"/>
  <c r="G211" i="8"/>
  <c r="L211" i="8" s="1"/>
  <c r="F211" i="8"/>
  <c r="E211" i="8"/>
  <c r="D211" i="8"/>
  <c r="C211" i="8"/>
  <c r="B211" i="8"/>
  <c r="A211" i="8"/>
  <c r="M210" i="8"/>
  <c r="K210" i="8"/>
  <c r="J210" i="8"/>
  <c r="I210" i="8"/>
  <c r="H210" i="8"/>
  <c r="G210" i="8"/>
  <c r="L210" i="8" s="1"/>
  <c r="F210" i="8"/>
  <c r="E210" i="8"/>
  <c r="D210" i="8"/>
  <c r="C210" i="8"/>
  <c r="B210" i="8"/>
  <c r="A210" i="8"/>
  <c r="M209" i="8"/>
  <c r="L209" i="8"/>
  <c r="K209" i="8"/>
  <c r="J209" i="8"/>
  <c r="I209" i="8"/>
  <c r="H209" i="8"/>
  <c r="G209" i="8"/>
  <c r="F209" i="8"/>
  <c r="E209" i="8"/>
  <c r="D209" i="8"/>
  <c r="C209" i="8"/>
  <c r="B209" i="8"/>
  <c r="A209" i="8"/>
  <c r="M208" i="8"/>
  <c r="K208" i="8"/>
  <c r="J208" i="8"/>
  <c r="I208" i="8"/>
  <c r="H208" i="8"/>
  <c r="G208" i="8"/>
  <c r="L208" i="8" s="1"/>
  <c r="F208" i="8"/>
  <c r="E208" i="8"/>
  <c r="D208" i="8"/>
  <c r="C208" i="8"/>
  <c r="B208" i="8"/>
  <c r="A208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M206" i="8"/>
  <c r="K206" i="8"/>
  <c r="J206" i="8"/>
  <c r="I206" i="8"/>
  <c r="H206" i="8"/>
  <c r="G206" i="8"/>
  <c r="L206" i="8" s="1"/>
  <c r="F206" i="8"/>
  <c r="E206" i="8"/>
  <c r="D206" i="8"/>
  <c r="C206" i="8"/>
  <c r="B206" i="8"/>
  <c r="A206" i="8"/>
  <c r="M205" i="8"/>
  <c r="L205" i="8"/>
  <c r="K205" i="8"/>
  <c r="J205" i="8"/>
  <c r="I205" i="8"/>
  <c r="H205" i="8"/>
  <c r="G205" i="8"/>
  <c r="F205" i="8"/>
  <c r="E205" i="8"/>
  <c r="D205" i="8"/>
  <c r="C205" i="8"/>
  <c r="B205" i="8"/>
  <c r="A205" i="8"/>
  <c r="M204" i="8"/>
  <c r="K204" i="8"/>
  <c r="J204" i="8"/>
  <c r="I204" i="8"/>
  <c r="H204" i="8"/>
  <c r="G204" i="8"/>
  <c r="L204" i="8" s="1"/>
  <c r="F204" i="8"/>
  <c r="E204" i="8"/>
  <c r="D204" i="8"/>
  <c r="C204" i="8"/>
  <c r="B204" i="8"/>
  <c r="A204" i="8"/>
  <c r="M203" i="8"/>
  <c r="K203" i="8"/>
  <c r="J203" i="8"/>
  <c r="I203" i="8"/>
  <c r="H203" i="8"/>
  <c r="G203" i="8"/>
  <c r="L203" i="8" s="1"/>
  <c r="F203" i="8"/>
  <c r="E203" i="8"/>
  <c r="D203" i="8"/>
  <c r="C203" i="8"/>
  <c r="B203" i="8"/>
  <c r="A203" i="8"/>
  <c r="M202" i="8"/>
  <c r="K202" i="8"/>
  <c r="J202" i="8"/>
  <c r="I202" i="8"/>
  <c r="H202" i="8"/>
  <c r="G202" i="8"/>
  <c r="L202" i="8" s="1"/>
  <c r="F202" i="8"/>
  <c r="E202" i="8"/>
  <c r="D202" i="8"/>
  <c r="C202" i="8"/>
  <c r="B202" i="8"/>
  <c r="A202" i="8"/>
  <c r="M201" i="8"/>
  <c r="L201" i="8"/>
  <c r="K201" i="8"/>
  <c r="J201" i="8"/>
  <c r="I201" i="8"/>
  <c r="H201" i="8"/>
  <c r="G201" i="8"/>
  <c r="F201" i="8"/>
  <c r="E201" i="8"/>
  <c r="D201" i="8"/>
  <c r="C201" i="8"/>
  <c r="B201" i="8"/>
  <c r="A201" i="8"/>
  <c r="M200" i="8"/>
  <c r="K200" i="8"/>
  <c r="J200" i="8"/>
  <c r="I200" i="8"/>
  <c r="H200" i="8"/>
  <c r="G200" i="8"/>
  <c r="L200" i="8" s="1"/>
  <c r="F200" i="8"/>
  <c r="E200" i="8"/>
  <c r="D200" i="8"/>
  <c r="C200" i="8"/>
  <c r="B200" i="8"/>
  <c r="A200" i="8"/>
  <c r="M199" i="8"/>
  <c r="L199" i="8"/>
  <c r="K199" i="8"/>
  <c r="J199" i="8"/>
  <c r="I199" i="8"/>
  <c r="H199" i="8"/>
  <c r="G199" i="8"/>
  <c r="F199" i="8"/>
  <c r="E199" i="8"/>
  <c r="D199" i="8"/>
  <c r="C199" i="8"/>
  <c r="B199" i="8"/>
  <c r="A199" i="8"/>
  <c r="M198" i="8"/>
  <c r="K198" i="8"/>
  <c r="J198" i="8"/>
  <c r="I198" i="8"/>
  <c r="H198" i="8"/>
  <c r="G198" i="8"/>
  <c r="L198" i="8" s="1"/>
  <c r="F198" i="8"/>
  <c r="E198" i="8"/>
  <c r="D198" i="8"/>
  <c r="C198" i="8"/>
  <c r="B198" i="8"/>
  <c r="A198" i="8"/>
  <c r="M197" i="8"/>
  <c r="L197" i="8"/>
  <c r="K197" i="8"/>
  <c r="J197" i="8"/>
  <c r="I197" i="8"/>
  <c r="H197" i="8"/>
  <c r="G197" i="8"/>
  <c r="F197" i="8"/>
  <c r="E197" i="8"/>
  <c r="D197" i="8"/>
  <c r="C197" i="8"/>
  <c r="B197" i="8"/>
  <c r="A197" i="8"/>
  <c r="M196" i="8"/>
  <c r="K196" i="8"/>
  <c r="J196" i="8"/>
  <c r="I196" i="8"/>
  <c r="H196" i="8"/>
  <c r="G196" i="8"/>
  <c r="L196" i="8" s="1"/>
  <c r="F196" i="8"/>
  <c r="E196" i="8"/>
  <c r="D196" i="8"/>
  <c r="C196" i="8"/>
  <c r="B196" i="8"/>
  <c r="A196" i="8"/>
  <c r="M195" i="8"/>
  <c r="K195" i="8"/>
  <c r="J195" i="8"/>
  <c r="I195" i="8"/>
  <c r="H195" i="8"/>
  <c r="G195" i="8"/>
  <c r="L195" i="8" s="1"/>
  <c r="F195" i="8"/>
  <c r="E195" i="8"/>
  <c r="D195" i="8"/>
  <c r="C195" i="8"/>
  <c r="B195" i="8"/>
  <c r="A195" i="8"/>
  <c r="M194" i="8"/>
  <c r="K194" i="8"/>
  <c r="J194" i="8"/>
  <c r="I194" i="8"/>
  <c r="H194" i="8"/>
  <c r="G194" i="8"/>
  <c r="L194" i="8" s="1"/>
  <c r="F194" i="8"/>
  <c r="E194" i="8"/>
  <c r="D194" i="8"/>
  <c r="C194" i="8"/>
  <c r="B194" i="8"/>
  <c r="A194" i="8"/>
  <c r="M193" i="8"/>
  <c r="L193" i="8"/>
  <c r="K193" i="8"/>
  <c r="J193" i="8"/>
  <c r="I193" i="8"/>
  <c r="H193" i="8"/>
  <c r="G193" i="8"/>
  <c r="F193" i="8"/>
  <c r="E193" i="8"/>
  <c r="D193" i="8"/>
  <c r="C193" i="8"/>
  <c r="B193" i="8"/>
  <c r="A193" i="8"/>
  <c r="M192" i="8"/>
  <c r="K192" i="8"/>
  <c r="J192" i="8"/>
  <c r="I192" i="8"/>
  <c r="H192" i="8"/>
  <c r="G192" i="8"/>
  <c r="L192" i="8" s="1"/>
  <c r="F192" i="8"/>
  <c r="E192" i="8"/>
  <c r="D192" i="8"/>
  <c r="C192" i="8"/>
  <c r="B192" i="8"/>
  <c r="A192" i="8"/>
  <c r="M191" i="8"/>
  <c r="L191" i="8"/>
  <c r="K191" i="8"/>
  <c r="J191" i="8"/>
  <c r="I191" i="8"/>
  <c r="H191" i="8"/>
  <c r="G191" i="8"/>
  <c r="F191" i="8"/>
  <c r="E191" i="8"/>
  <c r="D191" i="8"/>
  <c r="C191" i="8"/>
  <c r="B191" i="8"/>
  <c r="A191" i="8"/>
  <c r="M190" i="8"/>
  <c r="K190" i="8"/>
  <c r="J190" i="8"/>
  <c r="I190" i="8"/>
  <c r="H190" i="8"/>
  <c r="G190" i="8"/>
  <c r="L190" i="8" s="1"/>
  <c r="F190" i="8"/>
  <c r="E190" i="8"/>
  <c r="D190" i="8"/>
  <c r="C190" i="8"/>
  <c r="B190" i="8"/>
  <c r="A190" i="8"/>
  <c r="M189" i="8"/>
  <c r="L189" i="8"/>
  <c r="K189" i="8"/>
  <c r="J189" i="8"/>
  <c r="I189" i="8"/>
  <c r="H189" i="8"/>
  <c r="G189" i="8"/>
  <c r="F189" i="8"/>
  <c r="E189" i="8"/>
  <c r="D189" i="8"/>
  <c r="C189" i="8"/>
  <c r="B189" i="8"/>
  <c r="A189" i="8"/>
  <c r="M188" i="8"/>
  <c r="K188" i="8"/>
  <c r="J188" i="8"/>
  <c r="I188" i="8"/>
  <c r="H188" i="8"/>
  <c r="G188" i="8"/>
  <c r="L188" i="8" s="1"/>
  <c r="F188" i="8"/>
  <c r="E188" i="8"/>
  <c r="D188" i="8"/>
  <c r="C188" i="8"/>
  <c r="B188" i="8"/>
  <c r="A188" i="8"/>
  <c r="M187" i="8"/>
  <c r="K187" i="8"/>
  <c r="J187" i="8"/>
  <c r="I187" i="8"/>
  <c r="H187" i="8"/>
  <c r="G187" i="8"/>
  <c r="L187" i="8" s="1"/>
  <c r="F187" i="8"/>
  <c r="E187" i="8"/>
  <c r="D187" i="8"/>
  <c r="C187" i="8"/>
  <c r="B187" i="8"/>
  <c r="A187" i="8"/>
  <c r="M186" i="8"/>
  <c r="K186" i="8"/>
  <c r="J186" i="8"/>
  <c r="I186" i="8"/>
  <c r="H186" i="8"/>
  <c r="G186" i="8"/>
  <c r="L186" i="8" s="1"/>
  <c r="F186" i="8"/>
  <c r="E186" i="8"/>
  <c r="D186" i="8"/>
  <c r="C186" i="8"/>
  <c r="B186" i="8"/>
  <c r="A186" i="8"/>
  <c r="M185" i="8"/>
  <c r="L185" i="8"/>
  <c r="K185" i="8"/>
  <c r="J185" i="8"/>
  <c r="I185" i="8"/>
  <c r="H185" i="8"/>
  <c r="G185" i="8"/>
  <c r="F185" i="8"/>
  <c r="E185" i="8"/>
  <c r="D185" i="8"/>
  <c r="C185" i="8"/>
  <c r="B185" i="8"/>
  <c r="A185" i="8"/>
  <c r="M184" i="8"/>
  <c r="K184" i="8"/>
  <c r="J184" i="8"/>
  <c r="I184" i="8"/>
  <c r="H184" i="8"/>
  <c r="G184" i="8"/>
  <c r="L184" i="8" s="1"/>
  <c r="F184" i="8"/>
  <c r="E184" i="8"/>
  <c r="D184" i="8"/>
  <c r="C184" i="8"/>
  <c r="B184" i="8"/>
  <c r="A184" i="8"/>
  <c r="M183" i="8"/>
  <c r="L183" i="8"/>
  <c r="K183" i="8"/>
  <c r="J183" i="8"/>
  <c r="I183" i="8"/>
  <c r="H183" i="8"/>
  <c r="G183" i="8"/>
  <c r="F183" i="8"/>
  <c r="E183" i="8"/>
  <c r="D183" i="8"/>
  <c r="C183" i="8"/>
  <c r="B183" i="8"/>
  <c r="A183" i="8"/>
  <c r="M182" i="8"/>
  <c r="K182" i="8"/>
  <c r="J182" i="8"/>
  <c r="I182" i="8"/>
  <c r="H182" i="8"/>
  <c r="G182" i="8"/>
  <c r="L182" i="8" s="1"/>
  <c r="F182" i="8"/>
  <c r="E182" i="8"/>
  <c r="D182" i="8"/>
  <c r="C182" i="8"/>
  <c r="B182" i="8"/>
  <c r="A182" i="8"/>
  <c r="M181" i="8"/>
  <c r="L181" i="8"/>
  <c r="K181" i="8"/>
  <c r="J181" i="8"/>
  <c r="I181" i="8"/>
  <c r="H181" i="8"/>
  <c r="G181" i="8"/>
  <c r="F181" i="8"/>
  <c r="E181" i="8"/>
  <c r="D181" i="8"/>
  <c r="C181" i="8"/>
  <c r="B181" i="8"/>
  <c r="A181" i="8"/>
  <c r="M180" i="8"/>
  <c r="K180" i="8"/>
  <c r="J180" i="8"/>
  <c r="I180" i="8"/>
  <c r="H180" i="8"/>
  <c r="G180" i="8"/>
  <c r="L180" i="8" s="1"/>
  <c r="F180" i="8"/>
  <c r="E180" i="8"/>
  <c r="D180" i="8"/>
  <c r="C180" i="8"/>
  <c r="B180" i="8"/>
  <c r="A180" i="8"/>
  <c r="M179" i="8"/>
  <c r="K179" i="8"/>
  <c r="J179" i="8"/>
  <c r="I179" i="8"/>
  <c r="H179" i="8"/>
  <c r="G179" i="8"/>
  <c r="L179" i="8" s="1"/>
  <c r="F179" i="8"/>
  <c r="E179" i="8"/>
  <c r="D179" i="8"/>
  <c r="C179" i="8"/>
  <c r="B179" i="8"/>
  <c r="A179" i="8"/>
  <c r="M178" i="8"/>
  <c r="K178" i="8"/>
  <c r="J178" i="8"/>
  <c r="I178" i="8"/>
  <c r="H178" i="8"/>
  <c r="G178" i="8"/>
  <c r="L178" i="8" s="1"/>
  <c r="F178" i="8"/>
  <c r="E178" i="8"/>
  <c r="D178" i="8"/>
  <c r="C178" i="8"/>
  <c r="B178" i="8"/>
  <c r="A178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A177" i="8"/>
  <c r="M176" i="8"/>
  <c r="K176" i="8"/>
  <c r="J176" i="8"/>
  <c r="I176" i="8"/>
  <c r="H176" i="8"/>
  <c r="G176" i="8"/>
  <c r="L176" i="8" s="1"/>
  <c r="F176" i="8"/>
  <c r="E176" i="8"/>
  <c r="D176" i="8"/>
  <c r="C176" i="8"/>
  <c r="B176" i="8"/>
  <c r="A176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A175" i="8"/>
  <c r="M174" i="8"/>
  <c r="K174" i="8"/>
  <c r="J174" i="8"/>
  <c r="I174" i="8"/>
  <c r="H174" i="8"/>
  <c r="G174" i="8"/>
  <c r="L174" i="8" s="1"/>
  <c r="F174" i="8"/>
  <c r="E174" i="8"/>
  <c r="D174" i="8"/>
  <c r="C174" i="8"/>
  <c r="B174" i="8"/>
  <c r="A174" i="8"/>
  <c r="M173" i="8"/>
  <c r="L173" i="8"/>
  <c r="K173" i="8"/>
  <c r="J173" i="8"/>
  <c r="I173" i="8"/>
  <c r="H173" i="8"/>
  <c r="G173" i="8"/>
  <c r="F173" i="8"/>
  <c r="E173" i="8"/>
  <c r="D173" i="8"/>
  <c r="C173" i="8"/>
  <c r="B173" i="8"/>
  <c r="A173" i="8"/>
  <c r="M172" i="8"/>
  <c r="K172" i="8"/>
  <c r="J172" i="8"/>
  <c r="I172" i="8"/>
  <c r="H172" i="8"/>
  <c r="G172" i="8"/>
  <c r="L172" i="8" s="1"/>
  <c r="F172" i="8"/>
  <c r="E172" i="8"/>
  <c r="D172" i="8"/>
  <c r="C172" i="8"/>
  <c r="B172" i="8"/>
  <c r="A172" i="8"/>
  <c r="M171" i="8"/>
  <c r="K171" i="8"/>
  <c r="J171" i="8"/>
  <c r="I171" i="8"/>
  <c r="H171" i="8"/>
  <c r="G171" i="8"/>
  <c r="L171" i="8" s="1"/>
  <c r="F171" i="8"/>
  <c r="E171" i="8"/>
  <c r="D171" i="8"/>
  <c r="C171" i="8"/>
  <c r="B171" i="8"/>
  <c r="A171" i="8"/>
  <c r="M170" i="8"/>
  <c r="K170" i="8"/>
  <c r="J170" i="8"/>
  <c r="I170" i="8"/>
  <c r="H170" i="8"/>
  <c r="G170" i="8"/>
  <c r="L170" i="8" s="1"/>
  <c r="F170" i="8"/>
  <c r="E170" i="8"/>
  <c r="D170" i="8"/>
  <c r="C170" i="8"/>
  <c r="B170" i="8"/>
  <c r="A170" i="8"/>
  <c r="M169" i="8"/>
  <c r="L169" i="8"/>
  <c r="K169" i="8"/>
  <c r="J169" i="8"/>
  <c r="I169" i="8"/>
  <c r="H169" i="8"/>
  <c r="G169" i="8"/>
  <c r="F169" i="8"/>
  <c r="E169" i="8"/>
  <c r="D169" i="8"/>
  <c r="C169" i="8"/>
  <c r="B169" i="8"/>
  <c r="A169" i="8"/>
  <c r="M168" i="8"/>
  <c r="K168" i="8"/>
  <c r="J168" i="8"/>
  <c r="I168" i="8"/>
  <c r="H168" i="8"/>
  <c r="G168" i="8"/>
  <c r="L168" i="8" s="1"/>
  <c r="F168" i="8"/>
  <c r="E168" i="8"/>
  <c r="D168" i="8"/>
  <c r="C168" i="8"/>
  <c r="B168" i="8"/>
  <c r="A168" i="8"/>
  <c r="M167" i="8"/>
  <c r="L167" i="8"/>
  <c r="K167" i="8"/>
  <c r="J167" i="8"/>
  <c r="I167" i="8"/>
  <c r="H167" i="8"/>
  <c r="G167" i="8"/>
  <c r="F167" i="8"/>
  <c r="E167" i="8"/>
  <c r="D167" i="8"/>
  <c r="C167" i="8"/>
  <c r="B167" i="8"/>
  <c r="A167" i="8"/>
  <c r="M166" i="8"/>
  <c r="K166" i="8"/>
  <c r="J166" i="8"/>
  <c r="I166" i="8"/>
  <c r="H166" i="8"/>
  <c r="G166" i="8"/>
  <c r="L166" i="8" s="1"/>
  <c r="F166" i="8"/>
  <c r="E166" i="8"/>
  <c r="D166" i="8"/>
  <c r="C166" i="8"/>
  <c r="B166" i="8"/>
  <c r="A166" i="8"/>
  <c r="M165" i="8"/>
  <c r="L165" i="8"/>
  <c r="K165" i="8"/>
  <c r="J165" i="8"/>
  <c r="I165" i="8"/>
  <c r="H165" i="8"/>
  <c r="G165" i="8"/>
  <c r="F165" i="8"/>
  <c r="E165" i="8"/>
  <c r="D165" i="8"/>
  <c r="C165" i="8"/>
  <c r="B165" i="8"/>
  <c r="A165" i="8"/>
  <c r="M164" i="8"/>
  <c r="K164" i="8"/>
  <c r="J164" i="8"/>
  <c r="I164" i="8"/>
  <c r="H164" i="8"/>
  <c r="G164" i="8"/>
  <c r="L164" i="8" s="1"/>
  <c r="F164" i="8"/>
  <c r="E164" i="8"/>
  <c r="D164" i="8"/>
  <c r="C164" i="8"/>
  <c r="B164" i="8"/>
  <c r="A164" i="8"/>
  <c r="M163" i="8"/>
  <c r="K163" i="8"/>
  <c r="J163" i="8"/>
  <c r="I163" i="8"/>
  <c r="H163" i="8"/>
  <c r="G163" i="8"/>
  <c r="L163" i="8" s="1"/>
  <c r="F163" i="8"/>
  <c r="E163" i="8"/>
  <c r="D163" i="8"/>
  <c r="C163" i="8"/>
  <c r="B163" i="8"/>
  <c r="A163" i="8"/>
  <c r="M162" i="8"/>
  <c r="K162" i="8"/>
  <c r="J162" i="8"/>
  <c r="I162" i="8"/>
  <c r="H162" i="8"/>
  <c r="G162" i="8"/>
  <c r="L162" i="8" s="1"/>
  <c r="F162" i="8"/>
  <c r="E162" i="8"/>
  <c r="D162" i="8"/>
  <c r="C162" i="8"/>
  <c r="B162" i="8"/>
  <c r="A162" i="8"/>
  <c r="M161" i="8"/>
  <c r="L161" i="8"/>
  <c r="K161" i="8"/>
  <c r="J161" i="8"/>
  <c r="I161" i="8"/>
  <c r="H161" i="8"/>
  <c r="G161" i="8"/>
  <c r="F161" i="8"/>
  <c r="E161" i="8"/>
  <c r="D161" i="8"/>
  <c r="C161" i="8"/>
  <c r="B161" i="8"/>
  <c r="A161" i="8"/>
  <c r="M160" i="8"/>
  <c r="K160" i="8"/>
  <c r="J160" i="8"/>
  <c r="I160" i="8"/>
  <c r="H160" i="8"/>
  <c r="G160" i="8"/>
  <c r="L160" i="8" s="1"/>
  <c r="F160" i="8"/>
  <c r="E160" i="8"/>
  <c r="D160" i="8"/>
  <c r="C160" i="8"/>
  <c r="B160" i="8"/>
  <c r="A160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A159" i="8"/>
  <c r="M158" i="8"/>
  <c r="K158" i="8"/>
  <c r="J158" i="8"/>
  <c r="I158" i="8"/>
  <c r="H158" i="8"/>
  <c r="G158" i="8"/>
  <c r="L158" i="8" s="1"/>
  <c r="F158" i="8"/>
  <c r="E158" i="8"/>
  <c r="D158" i="8"/>
  <c r="C158" i="8"/>
  <c r="B158" i="8"/>
  <c r="A158" i="8"/>
  <c r="M157" i="8"/>
  <c r="L157" i="8"/>
  <c r="K157" i="8"/>
  <c r="J157" i="8"/>
  <c r="I157" i="8"/>
  <c r="H157" i="8"/>
  <c r="G157" i="8"/>
  <c r="F157" i="8"/>
  <c r="E157" i="8"/>
  <c r="D157" i="8"/>
  <c r="C157" i="8"/>
  <c r="B157" i="8"/>
  <c r="A157" i="8"/>
  <c r="M156" i="8"/>
  <c r="K156" i="8"/>
  <c r="J156" i="8"/>
  <c r="I156" i="8"/>
  <c r="H156" i="8"/>
  <c r="G156" i="8"/>
  <c r="L156" i="8" s="1"/>
  <c r="F156" i="8"/>
  <c r="E156" i="8"/>
  <c r="D156" i="8"/>
  <c r="C156" i="8"/>
  <c r="B156" i="8"/>
  <c r="A156" i="8"/>
  <c r="M155" i="8"/>
  <c r="K155" i="8"/>
  <c r="J155" i="8"/>
  <c r="I155" i="8"/>
  <c r="H155" i="8"/>
  <c r="G155" i="8"/>
  <c r="L155" i="8" s="1"/>
  <c r="F155" i="8"/>
  <c r="E155" i="8"/>
  <c r="D155" i="8"/>
  <c r="C155" i="8"/>
  <c r="B155" i="8"/>
  <c r="A155" i="8"/>
  <c r="M154" i="8"/>
  <c r="K154" i="8"/>
  <c r="J154" i="8"/>
  <c r="I154" i="8"/>
  <c r="H154" i="8"/>
  <c r="G154" i="8"/>
  <c r="L154" i="8" s="1"/>
  <c r="F154" i="8"/>
  <c r="E154" i="8"/>
  <c r="D154" i="8"/>
  <c r="C154" i="8"/>
  <c r="B154" i="8"/>
  <c r="A154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A153" i="8"/>
  <c r="M152" i="8"/>
  <c r="K152" i="8"/>
  <c r="J152" i="8"/>
  <c r="I152" i="8"/>
  <c r="H152" i="8"/>
  <c r="G152" i="8"/>
  <c r="L152" i="8" s="1"/>
  <c r="F152" i="8"/>
  <c r="E152" i="8"/>
  <c r="D152" i="8"/>
  <c r="C152" i="8"/>
  <c r="B152" i="8"/>
  <c r="A152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A151" i="8"/>
  <c r="M150" i="8"/>
  <c r="K150" i="8"/>
  <c r="J150" i="8"/>
  <c r="I150" i="8"/>
  <c r="H150" i="8"/>
  <c r="G150" i="8"/>
  <c r="L150" i="8" s="1"/>
  <c r="F150" i="8"/>
  <c r="E150" i="8"/>
  <c r="D150" i="8"/>
  <c r="C150" i="8"/>
  <c r="B150" i="8"/>
  <c r="A150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A149" i="8"/>
  <c r="M148" i="8"/>
  <c r="K148" i="8"/>
  <c r="J148" i="8"/>
  <c r="I148" i="8"/>
  <c r="H148" i="8"/>
  <c r="G148" i="8"/>
  <c r="L148" i="8" s="1"/>
  <c r="F148" i="8"/>
  <c r="E148" i="8"/>
  <c r="D148" i="8"/>
  <c r="C148" i="8"/>
  <c r="B148" i="8"/>
  <c r="A148" i="8"/>
  <c r="M147" i="8"/>
  <c r="K147" i="8"/>
  <c r="J147" i="8"/>
  <c r="I147" i="8"/>
  <c r="H147" i="8"/>
  <c r="G147" i="8"/>
  <c r="L147" i="8" s="1"/>
  <c r="F147" i="8"/>
  <c r="E147" i="8"/>
  <c r="D147" i="8"/>
  <c r="C147" i="8"/>
  <c r="B147" i="8"/>
  <c r="A147" i="8"/>
  <c r="M146" i="8"/>
  <c r="K146" i="8"/>
  <c r="J146" i="8"/>
  <c r="I146" i="8"/>
  <c r="H146" i="8"/>
  <c r="G146" i="8"/>
  <c r="L146" i="8" s="1"/>
  <c r="F146" i="8"/>
  <c r="E146" i="8"/>
  <c r="D146" i="8"/>
  <c r="C146" i="8"/>
  <c r="B146" i="8"/>
  <c r="A146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A145" i="8"/>
  <c r="M144" i="8"/>
  <c r="K144" i="8"/>
  <c r="J144" i="8"/>
  <c r="I144" i="8"/>
  <c r="H144" i="8"/>
  <c r="G144" i="8"/>
  <c r="L144" i="8" s="1"/>
  <c r="F144" i="8"/>
  <c r="E144" i="8"/>
  <c r="D144" i="8"/>
  <c r="C144" i="8"/>
  <c r="B144" i="8"/>
  <c r="A144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A143" i="8"/>
  <c r="M142" i="8"/>
  <c r="K142" i="8"/>
  <c r="J142" i="8"/>
  <c r="I142" i="8"/>
  <c r="H142" i="8"/>
  <c r="G142" i="8"/>
  <c r="L142" i="8" s="1"/>
  <c r="F142" i="8"/>
  <c r="E142" i="8"/>
  <c r="D142" i="8"/>
  <c r="C142" i="8"/>
  <c r="B142" i="8"/>
  <c r="A142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A141" i="8"/>
  <c r="M140" i="8"/>
  <c r="K140" i="8"/>
  <c r="J140" i="8"/>
  <c r="I140" i="8"/>
  <c r="H140" i="8"/>
  <c r="G140" i="8"/>
  <c r="L140" i="8" s="1"/>
  <c r="F140" i="8"/>
  <c r="E140" i="8"/>
  <c r="D140" i="8"/>
  <c r="C140" i="8"/>
  <c r="B140" i="8"/>
  <c r="A140" i="8"/>
  <c r="M139" i="8"/>
  <c r="K139" i="8"/>
  <c r="J139" i="8"/>
  <c r="I139" i="8"/>
  <c r="H139" i="8"/>
  <c r="G139" i="8"/>
  <c r="L139" i="8" s="1"/>
  <c r="F139" i="8"/>
  <c r="E139" i="8"/>
  <c r="D139" i="8"/>
  <c r="C139" i="8"/>
  <c r="B139" i="8"/>
  <c r="A139" i="8"/>
  <c r="M138" i="8"/>
  <c r="K138" i="8"/>
  <c r="J138" i="8"/>
  <c r="I138" i="8"/>
  <c r="H138" i="8"/>
  <c r="G138" i="8"/>
  <c r="L138" i="8" s="1"/>
  <c r="F138" i="8"/>
  <c r="E138" i="8"/>
  <c r="D138" i="8"/>
  <c r="C138" i="8"/>
  <c r="B138" i="8"/>
  <c r="A138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A137" i="8"/>
  <c r="M136" i="8"/>
  <c r="K136" i="8"/>
  <c r="J136" i="8"/>
  <c r="I136" i="8"/>
  <c r="H136" i="8"/>
  <c r="G136" i="8"/>
  <c r="L136" i="8" s="1"/>
  <c r="F136" i="8"/>
  <c r="E136" i="8"/>
  <c r="D136" i="8"/>
  <c r="C136" i="8"/>
  <c r="B136" i="8"/>
  <c r="A136" i="8"/>
  <c r="M135" i="8"/>
  <c r="K135" i="8"/>
  <c r="J135" i="8"/>
  <c r="I135" i="8"/>
  <c r="H135" i="8"/>
  <c r="G135" i="8"/>
  <c r="L135" i="8" s="1"/>
  <c r="F135" i="8"/>
  <c r="E135" i="8"/>
  <c r="D135" i="8"/>
  <c r="C135" i="8"/>
  <c r="B135" i="8"/>
  <c r="A135" i="8"/>
  <c r="M134" i="8"/>
  <c r="K134" i="8"/>
  <c r="J134" i="8"/>
  <c r="I134" i="8"/>
  <c r="H134" i="8"/>
  <c r="G134" i="8"/>
  <c r="L134" i="8" s="1"/>
  <c r="F134" i="8"/>
  <c r="E134" i="8"/>
  <c r="D134" i="8"/>
  <c r="C134" i="8"/>
  <c r="B134" i="8"/>
  <c r="A134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A133" i="8"/>
  <c r="M132" i="8"/>
  <c r="K132" i="8"/>
  <c r="J132" i="8"/>
  <c r="I132" i="8"/>
  <c r="H132" i="8"/>
  <c r="G132" i="8"/>
  <c r="L132" i="8" s="1"/>
  <c r="F132" i="8"/>
  <c r="E132" i="8"/>
  <c r="D132" i="8"/>
  <c r="C132" i="8"/>
  <c r="B132" i="8"/>
  <c r="A132" i="8"/>
  <c r="M131" i="8"/>
  <c r="K131" i="8"/>
  <c r="J131" i="8"/>
  <c r="I131" i="8"/>
  <c r="H131" i="8"/>
  <c r="G131" i="8"/>
  <c r="L131" i="8" s="1"/>
  <c r="F131" i="8"/>
  <c r="E131" i="8"/>
  <c r="D131" i="8"/>
  <c r="C131" i="8"/>
  <c r="B131" i="8"/>
  <c r="A131" i="8"/>
  <c r="M130" i="8"/>
  <c r="K130" i="8"/>
  <c r="J130" i="8"/>
  <c r="I130" i="8"/>
  <c r="H130" i="8"/>
  <c r="G130" i="8"/>
  <c r="L130" i="8" s="1"/>
  <c r="F130" i="8"/>
  <c r="E130" i="8"/>
  <c r="D130" i="8"/>
  <c r="C130" i="8"/>
  <c r="B130" i="8"/>
  <c r="A130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A129" i="8"/>
  <c r="M128" i="8"/>
  <c r="K128" i="8"/>
  <c r="J128" i="8"/>
  <c r="I128" i="8"/>
  <c r="H128" i="8"/>
  <c r="G128" i="8"/>
  <c r="L128" i="8" s="1"/>
  <c r="F128" i="8"/>
  <c r="E128" i="8"/>
  <c r="D128" i="8"/>
  <c r="C128" i="8"/>
  <c r="B128" i="8"/>
  <c r="A128" i="8"/>
  <c r="M127" i="8"/>
  <c r="K127" i="8"/>
  <c r="J127" i="8"/>
  <c r="I127" i="8"/>
  <c r="H127" i="8"/>
  <c r="G127" i="8"/>
  <c r="L127" i="8" s="1"/>
  <c r="F127" i="8"/>
  <c r="E127" i="8"/>
  <c r="D127" i="8"/>
  <c r="C127" i="8"/>
  <c r="B127" i="8"/>
  <c r="A127" i="8"/>
  <c r="M126" i="8"/>
  <c r="K126" i="8"/>
  <c r="J126" i="8"/>
  <c r="I126" i="8"/>
  <c r="H126" i="8"/>
  <c r="G126" i="8"/>
  <c r="L126" i="8" s="1"/>
  <c r="F126" i="8"/>
  <c r="E126" i="8"/>
  <c r="D126" i="8"/>
  <c r="C126" i="8"/>
  <c r="B126" i="8"/>
  <c r="A126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A125" i="8"/>
  <c r="M124" i="8"/>
  <c r="K124" i="8"/>
  <c r="J124" i="8"/>
  <c r="I124" i="8"/>
  <c r="H124" i="8"/>
  <c r="G124" i="8"/>
  <c r="L124" i="8" s="1"/>
  <c r="F124" i="8"/>
  <c r="E124" i="8"/>
  <c r="D124" i="8"/>
  <c r="C124" i="8"/>
  <c r="B124" i="8"/>
  <c r="A124" i="8"/>
  <c r="M123" i="8"/>
  <c r="K123" i="8"/>
  <c r="J123" i="8"/>
  <c r="I123" i="8"/>
  <c r="H123" i="8"/>
  <c r="G123" i="8"/>
  <c r="L123" i="8" s="1"/>
  <c r="F123" i="8"/>
  <c r="E123" i="8"/>
  <c r="D123" i="8"/>
  <c r="C123" i="8"/>
  <c r="B123" i="8"/>
  <c r="A123" i="8"/>
  <c r="M122" i="8"/>
  <c r="K122" i="8"/>
  <c r="J122" i="8"/>
  <c r="I122" i="8"/>
  <c r="H122" i="8"/>
  <c r="G122" i="8"/>
  <c r="L122" i="8" s="1"/>
  <c r="F122" i="8"/>
  <c r="E122" i="8"/>
  <c r="D122" i="8"/>
  <c r="C122" i="8"/>
  <c r="B122" i="8"/>
  <c r="A122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A121" i="8"/>
  <c r="M120" i="8"/>
  <c r="K120" i="8"/>
  <c r="J120" i="8"/>
  <c r="I120" i="8"/>
  <c r="H120" i="8"/>
  <c r="G120" i="8"/>
  <c r="L120" i="8" s="1"/>
  <c r="F120" i="8"/>
  <c r="E120" i="8"/>
  <c r="D120" i="8"/>
  <c r="C120" i="8"/>
  <c r="B120" i="8"/>
  <c r="A120" i="8"/>
  <c r="M119" i="8"/>
  <c r="K119" i="8"/>
  <c r="J119" i="8"/>
  <c r="I119" i="8"/>
  <c r="H119" i="8"/>
  <c r="G119" i="8"/>
  <c r="L119" i="8" s="1"/>
  <c r="F119" i="8"/>
  <c r="E119" i="8"/>
  <c r="D119" i="8"/>
  <c r="C119" i="8"/>
  <c r="B119" i="8"/>
  <c r="A119" i="8"/>
  <c r="M118" i="8"/>
  <c r="K118" i="8"/>
  <c r="J118" i="8"/>
  <c r="I118" i="8"/>
  <c r="H118" i="8"/>
  <c r="G118" i="8"/>
  <c r="L118" i="8" s="1"/>
  <c r="F118" i="8"/>
  <c r="E118" i="8"/>
  <c r="D118" i="8"/>
  <c r="C118" i="8"/>
  <c r="B118" i="8"/>
  <c r="A118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117" i="8"/>
  <c r="M116" i="8"/>
  <c r="K116" i="8"/>
  <c r="J116" i="8"/>
  <c r="I116" i="8"/>
  <c r="H116" i="8"/>
  <c r="G116" i="8"/>
  <c r="L116" i="8" s="1"/>
  <c r="F116" i="8"/>
  <c r="E116" i="8"/>
  <c r="D116" i="8"/>
  <c r="C116" i="8"/>
  <c r="B116" i="8"/>
  <c r="A116" i="8"/>
  <c r="M115" i="8"/>
  <c r="K115" i="8"/>
  <c r="J115" i="8"/>
  <c r="I115" i="8"/>
  <c r="H115" i="8"/>
  <c r="G115" i="8"/>
  <c r="L115" i="8" s="1"/>
  <c r="F115" i="8"/>
  <c r="E115" i="8"/>
  <c r="D115" i="8"/>
  <c r="C115" i="8"/>
  <c r="B115" i="8"/>
  <c r="A115" i="8"/>
  <c r="M114" i="8"/>
  <c r="K114" i="8"/>
  <c r="J114" i="8"/>
  <c r="I114" i="8"/>
  <c r="H114" i="8"/>
  <c r="G114" i="8"/>
  <c r="L114" i="8" s="1"/>
  <c r="F114" i="8"/>
  <c r="E114" i="8"/>
  <c r="D114" i="8"/>
  <c r="C114" i="8"/>
  <c r="B114" i="8"/>
  <c r="A114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A113" i="8"/>
  <c r="M112" i="8"/>
  <c r="K112" i="8"/>
  <c r="J112" i="8"/>
  <c r="I112" i="8"/>
  <c r="H112" i="8"/>
  <c r="G112" i="8"/>
  <c r="L112" i="8" s="1"/>
  <c r="F112" i="8"/>
  <c r="E112" i="8"/>
  <c r="D112" i="8"/>
  <c r="C112" i="8"/>
  <c r="B112" i="8"/>
  <c r="A112" i="8"/>
  <c r="M111" i="8"/>
  <c r="K111" i="8"/>
  <c r="J111" i="8"/>
  <c r="I111" i="8"/>
  <c r="H111" i="8"/>
  <c r="G111" i="8"/>
  <c r="L111" i="8" s="1"/>
  <c r="F111" i="8"/>
  <c r="E111" i="8"/>
  <c r="D111" i="8"/>
  <c r="C111" i="8"/>
  <c r="B111" i="8"/>
  <c r="A111" i="8"/>
  <c r="M110" i="8"/>
  <c r="K110" i="8"/>
  <c r="J110" i="8"/>
  <c r="I110" i="8"/>
  <c r="H110" i="8"/>
  <c r="G110" i="8"/>
  <c r="L110" i="8" s="1"/>
  <c r="F110" i="8"/>
  <c r="E110" i="8"/>
  <c r="D110" i="8"/>
  <c r="C110" i="8"/>
  <c r="B110" i="8"/>
  <c r="A110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109" i="8"/>
  <c r="M108" i="8"/>
  <c r="K108" i="8"/>
  <c r="J108" i="8"/>
  <c r="I108" i="8"/>
  <c r="H108" i="8"/>
  <c r="G108" i="8"/>
  <c r="L108" i="8" s="1"/>
  <c r="F108" i="8"/>
  <c r="E108" i="8"/>
  <c r="D108" i="8"/>
  <c r="C108" i="8"/>
  <c r="B108" i="8"/>
  <c r="A108" i="8"/>
  <c r="M107" i="8"/>
  <c r="K107" i="8"/>
  <c r="J107" i="8"/>
  <c r="I107" i="8"/>
  <c r="H107" i="8"/>
  <c r="G107" i="8"/>
  <c r="L107" i="8" s="1"/>
  <c r="F107" i="8"/>
  <c r="E107" i="8"/>
  <c r="D107" i="8"/>
  <c r="C107" i="8"/>
  <c r="B107" i="8"/>
  <c r="A107" i="8"/>
  <c r="M106" i="8"/>
  <c r="K106" i="8"/>
  <c r="J106" i="8"/>
  <c r="I106" i="8"/>
  <c r="H106" i="8"/>
  <c r="G106" i="8"/>
  <c r="L106" i="8" s="1"/>
  <c r="F106" i="8"/>
  <c r="E106" i="8"/>
  <c r="D106" i="8"/>
  <c r="C106" i="8"/>
  <c r="B106" i="8"/>
  <c r="A106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105" i="8"/>
  <c r="M104" i="8"/>
  <c r="K104" i="8"/>
  <c r="J104" i="8"/>
  <c r="I104" i="8"/>
  <c r="H104" i="8"/>
  <c r="G104" i="8"/>
  <c r="L104" i="8" s="1"/>
  <c r="F104" i="8"/>
  <c r="E104" i="8"/>
  <c r="D104" i="8"/>
  <c r="C104" i="8"/>
  <c r="B104" i="8"/>
  <c r="A104" i="8"/>
  <c r="M103" i="8"/>
  <c r="K103" i="8"/>
  <c r="J103" i="8"/>
  <c r="I103" i="8"/>
  <c r="H103" i="8"/>
  <c r="G103" i="8"/>
  <c r="L103" i="8" s="1"/>
  <c r="F103" i="8"/>
  <c r="E103" i="8"/>
  <c r="D103" i="8"/>
  <c r="C103" i="8"/>
  <c r="B103" i="8"/>
  <c r="A103" i="8"/>
  <c r="M102" i="8"/>
  <c r="K102" i="8"/>
  <c r="J102" i="8"/>
  <c r="I102" i="8"/>
  <c r="H102" i="8"/>
  <c r="G102" i="8"/>
  <c r="L102" i="8" s="1"/>
  <c r="F102" i="8"/>
  <c r="E102" i="8"/>
  <c r="D102" i="8"/>
  <c r="C102" i="8"/>
  <c r="B102" i="8"/>
  <c r="A102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101" i="8"/>
  <c r="M100" i="8"/>
  <c r="K100" i="8"/>
  <c r="J100" i="8"/>
  <c r="I100" i="8"/>
  <c r="H100" i="8"/>
  <c r="G100" i="8"/>
  <c r="L100" i="8" s="1"/>
  <c r="F100" i="8"/>
  <c r="E100" i="8"/>
  <c r="D100" i="8"/>
  <c r="C100" i="8"/>
  <c r="B100" i="8"/>
  <c r="A100" i="8"/>
  <c r="M99" i="8"/>
  <c r="K99" i="8"/>
  <c r="J99" i="8"/>
  <c r="I99" i="8"/>
  <c r="H99" i="8"/>
  <c r="G99" i="8"/>
  <c r="L99" i="8" s="1"/>
  <c r="F99" i="8"/>
  <c r="E99" i="8"/>
  <c r="D99" i="8"/>
  <c r="C99" i="8"/>
  <c r="B99" i="8"/>
  <c r="A99" i="8"/>
  <c r="M98" i="8"/>
  <c r="K98" i="8"/>
  <c r="J98" i="8"/>
  <c r="I98" i="8"/>
  <c r="H98" i="8"/>
  <c r="G98" i="8"/>
  <c r="L98" i="8" s="1"/>
  <c r="F98" i="8"/>
  <c r="E98" i="8"/>
  <c r="D98" i="8"/>
  <c r="C98" i="8"/>
  <c r="B98" i="8"/>
  <c r="A98" i="8"/>
  <c r="M97" i="8"/>
  <c r="L97" i="8"/>
  <c r="K97" i="8"/>
  <c r="J97" i="8"/>
  <c r="I97" i="8"/>
  <c r="H97" i="8"/>
  <c r="G97" i="8"/>
  <c r="F97" i="8"/>
  <c r="E97" i="8"/>
  <c r="D97" i="8"/>
  <c r="C97" i="8"/>
  <c r="B97" i="8"/>
  <c r="A97" i="8"/>
  <c r="M96" i="8"/>
  <c r="K96" i="8"/>
  <c r="J96" i="8"/>
  <c r="I96" i="8"/>
  <c r="H96" i="8"/>
  <c r="G96" i="8"/>
  <c r="L96" i="8" s="1"/>
  <c r="F96" i="8"/>
  <c r="E96" i="8"/>
  <c r="D96" i="8"/>
  <c r="C96" i="8"/>
  <c r="B96" i="8"/>
  <c r="A96" i="8"/>
  <c r="M95" i="8"/>
  <c r="K95" i="8"/>
  <c r="J95" i="8"/>
  <c r="I95" i="8"/>
  <c r="H95" i="8"/>
  <c r="G95" i="8"/>
  <c r="L95" i="8" s="1"/>
  <c r="F95" i="8"/>
  <c r="E95" i="8"/>
  <c r="D95" i="8"/>
  <c r="C95" i="8"/>
  <c r="B95" i="8"/>
  <c r="A95" i="8"/>
  <c r="M94" i="8"/>
  <c r="K94" i="8"/>
  <c r="J94" i="8"/>
  <c r="I94" i="8"/>
  <c r="H94" i="8"/>
  <c r="G94" i="8"/>
  <c r="L94" i="8" s="1"/>
  <c r="F94" i="8"/>
  <c r="E94" i="8"/>
  <c r="D94" i="8"/>
  <c r="C94" i="8"/>
  <c r="B94" i="8"/>
  <c r="A94" i="8"/>
  <c r="M93" i="8"/>
  <c r="L93" i="8"/>
  <c r="K93" i="8"/>
  <c r="J93" i="8"/>
  <c r="I93" i="8"/>
  <c r="H93" i="8"/>
  <c r="G93" i="8"/>
  <c r="F93" i="8"/>
  <c r="E93" i="8"/>
  <c r="D93" i="8"/>
  <c r="C93" i="8"/>
  <c r="B93" i="8"/>
  <c r="A93" i="8"/>
  <c r="M92" i="8"/>
  <c r="K92" i="8"/>
  <c r="J92" i="8"/>
  <c r="I92" i="8"/>
  <c r="H92" i="8"/>
  <c r="G92" i="8"/>
  <c r="L92" i="8" s="1"/>
  <c r="F92" i="8"/>
  <c r="E92" i="8"/>
  <c r="D92" i="8"/>
  <c r="C92" i="8"/>
  <c r="B92" i="8"/>
  <c r="A92" i="8"/>
  <c r="M91" i="8"/>
  <c r="K91" i="8"/>
  <c r="J91" i="8"/>
  <c r="I91" i="8"/>
  <c r="H91" i="8"/>
  <c r="G91" i="8"/>
  <c r="L91" i="8" s="1"/>
  <c r="F91" i="8"/>
  <c r="E91" i="8"/>
  <c r="D91" i="8"/>
  <c r="C91" i="8"/>
  <c r="B91" i="8"/>
  <c r="A91" i="8"/>
  <c r="M90" i="8"/>
  <c r="K90" i="8"/>
  <c r="J90" i="8"/>
  <c r="I90" i="8"/>
  <c r="H90" i="8"/>
  <c r="G90" i="8"/>
  <c r="L90" i="8" s="1"/>
  <c r="F90" i="8"/>
  <c r="E90" i="8"/>
  <c r="D90" i="8"/>
  <c r="C90" i="8"/>
  <c r="B90" i="8"/>
  <c r="A90" i="8"/>
  <c r="M89" i="8"/>
  <c r="L89" i="8"/>
  <c r="K89" i="8"/>
  <c r="J89" i="8"/>
  <c r="I89" i="8"/>
  <c r="H89" i="8"/>
  <c r="G89" i="8"/>
  <c r="F89" i="8"/>
  <c r="E89" i="8"/>
  <c r="D89" i="8"/>
  <c r="C89" i="8"/>
  <c r="B89" i="8"/>
  <c r="A89" i="8"/>
  <c r="M88" i="8"/>
  <c r="K88" i="8"/>
  <c r="J88" i="8"/>
  <c r="I88" i="8"/>
  <c r="H88" i="8"/>
  <c r="G88" i="8"/>
  <c r="L88" i="8" s="1"/>
  <c r="F88" i="8"/>
  <c r="E88" i="8"/>
  <c r="D88" i="8"/>
  <c r="C88" i="8"/>
  <c r="B88" i="8"/>
  <c r="A88" i="8"/>
  <c r="M87" i="8"/>
  <c r="K87" i="8"/>
  <c r="J87" i="8"/>
  <c r="I87" i="8"/>
  <c r="H87" i="8"/>
  <c r="G87" i="8"/>
  <c r="L87" i="8" s="1"/>
  <c r="F87" i="8"/>
  <c r="E87" i="8"/>
  <c r="D87" i="8"/>
  <c r="C87" i="8"/>
  <c r="B87" i="8"/>
  <c r="A87" i="8"/>
  <c r="M86" i="8"/>
  <c r="K86" i="8"/>
  <c r="J86" i="8"/>
  <c r="I86" i="8"/>
  <c r="H86" i="8"/>
  <c r="G86" i="8"/>
  <c r="L86" i="8" s="1"/>
  <c r="F86" i="8"/>
  <c r="E86" i="8"/>
  <c r="D86" i="8"/>
  <c r="C86" i="8"/>
  <c r="B86" i="8"/>
  <c r="A86" i="8"/>
  <c r="M85" i="8"/>
  <c r="L85" i="8"/>
  <c r="K85" i="8"/>
  <c r="J85" i="8"/>
  <c r="I85" i="8"/>
  <c r="H85" i="8"/>
  <c r="G85" i="8"/>
  <c r="F85" i="8"/>
  <c r="E85" i="8"/>
  <c r="D85" i="8"/>
  <c r="C85" i="8"/>
  <c r="B85" i="8"/>
  <c r="A85" i="8"/>
  <c r="M84" i="8"/>
  <c r="K84" i="8"/>
  <c r="J84" i="8"/>
  <c r="I84" i="8"/>
  <c r="H84" i="8"/>
  <c r="G84" i="8"/>
  <c r="L84" i="8" s="1"/>
  <c r="F84" i="8"/>
  <c r="E84" i="8"/>
  <c r="D84" i="8"/>
  <c r="C84" i="8"/>
  <c r="B84" i="8"/>
  <c r="A84" i="8"/>
  <c r="M83" i="8"/>
  <c r="K83" i="8"/>
  <c r="J83" i="8"/>
  <c r="I83" i="8"/>
  <c r="H83" i="8"/>
  <c r="G83" i="8"/>
  <c r="L83" i="8" s="1"/>
  <c r="F83" i="8"/>
  <c r="E83" i="8"/>
  <c r="D83" i="8"/>
  <c r="C83" i="8"/>
  <c r="B83" i="8"/>
  <c r="A83" i="8"/>
  <c r="M82" i="8"/>
  <c r="K82" i="8"/>
  <c r="J82" i="8"/>
  <c r="I82" i="8"/>
  <c r="H82" i="8"/>
  <c r="G82" i="8"/>
  <c r="L82" i="8" s="1"/>
  <c r="F82" i="8"/>
  <c r="E82" i="8"/>
  <c r="D82" i="8"/>
  <c r="C82" i="8"/>
  <c r="B82" i="8"/>
  <c r="A82" i="8"/>
  <c r="M81" i="8"/>
  <c r="L81" i="8"/>
  <c r="K81" i="8"/>
  <c r="J81" i="8"/>
  <c r="I81" i="8"/>
  <c r="H81" i="8"/>
  <c r="G81" i="8"/>
  <c r="F81" i="8"/>
  <c r="E81" i="8"/>
  <c r="D81" i="8"/>
  <c r="C81" i="8"/>
  <c r="B81" i="8"/>
  <c r="A81" i="8"/>
  <c r="M80" i="8"/>
  <c r="K80" i="8"/>
  <c r="J80" i="8"/>
  <c r="I80" i="8"/>
  <c r="H80" i="8"/>
  <c r="G80" i="8"/>
  <c r="L80" i="8" s="1"/>
  <c r="F80" i="8"/>
  <c r="E80" i="8"/>
  <c r="D80" i="8"/>
  <c r="C80" i="8"/>
  <c r="B80" i="8"/>
  <c r="A80" i="8"/>
  <c r="M79" i="8"/>
  <c r="K79" i="8"/>
  <c r="J79" i="8"/>
  <c r="I79" i="8"/>
  <c r="H79" i="8"/>
  <c r="G79" i="8"/>
  <c r="L79" i="8" s="1"/>
  <c r="F79" i="8"/>
  <c r="E79" i="8"/>
  <c r="D79" i="8"/>
  <c r="C79" i="8"/>
  <c r="B79" i="8"/>
  <c r="A79" i="8"/>
  <c r="M78" i="8"/>
  <c r="K78" i="8"/>
  <c r="J78" i="8"/>
  <c r="I78" i="8"/>
  <c r="H78" i="8"/>
  <c r="G78" i="8"/>
  <c r="L78" i="8" s="1"/>
  <c r="F78" i="8"/>
  <c r="E78" i="8"/>
  <c r="D78" i="8"/>
  <c r="C78" i="8"/>
  <c r="B78" i="8"/>
  <c r="A78" i="8"/>
  <c r="M77" i="8"/>
  <c r="L77" i="8"/>
  <c r="K77" i="8"/>
  <c r="J77" i="8"/>
  <c r="I77" i="8"/>
  <c r="H77" i="8"/>
  <c r="G77" i="8"/>
  <c r="F77" i="8"/>
  <c r="E77" i="8"/>
  <c r="D77" i="8"/>
  <c r="C77" i="8"/>
  <c r="B77" i="8"/>
  <c r="A77" i="8"/>
  <c r="M76" i="8"/>
  <c r="K76" i="8"/>
  <c r="J76" i="8"/>
  <c r="I76" i="8"/>
  <c r="H76" i="8"/>
  <c r="G76" i="8"/>
  <c r="L76" i="8" s="1"/>
  <c r="F76" i="8"/>
  <c r="E76" i="8"/>
  <c r="D76" i="8"/>
  <c r="C76" i="8"/>
  <c r="B76" i="8"/>
  <c r="A76" i="8"/>
  <c r="M75" i="8"/>
  <c r="K75" i="8"/>
  <c r="J75" i="8"/>
  <c r="I75" i="8"/>
  <c r="H75" i="8"/>
  <c r="G75" i="8"/>
  <c r="L75" i="8" s="1"/>
  <c r="F75" i="8"/>
  <c r="E75" i="8"/>
  <c r="D75" i="8"/>
  <c r="C75" i="8"/>
  <c r="B75" i="8"/>
  <c r="A75" i="8"/>
  <c r="M74" i="8"/>
  <c r="K74" i="8"/>
  <c r="J74" i="8"/>
  <c r="I74" i="8"/>
  <c r="H74" i="8"/>
  <c r="G74" i="8"/>
  <c r="L74" i="8" s="1"/>
  <c r="F74" i="8"/>
  <c r="E74" i="8"/>
  <c r="D74" i="8"/>
  <c r="C74" i="8"/>
  <c r="B74" i="8"/>
  <c r="A74" i="8"/>
  <c r="M73" i="8"/>
  <c r="L73" i="8"/>
  <c r="K73" i="8"/>
  <c r="J73" i="8"/>
  <c r="I73" i="8"/>
  <c r="H73" i="8"/>
  <c r="G73" i="8"/>
  <c r="F73" i="8"/>
  <c r="E73" i="8"/>
  <c r="D73" i="8"/>
  <c r="C73" i="8"/>
  <c r="B73" i="8"/>
  <c r="A73" i="8"/>
  <c r="M72" i="8"/>
  <c r="K72" i="8"/>
  <c r="J72" i="8"/>
  <c r="I72" i="8"/>
  <c r="H72" i="8"/>
  <c r="G72" i="8"/>
  <c r="L72" i="8" s="1"/>
  <c r="F72" i="8"/>
  <c r="E72" i="8"/>
  <c r="D72" i="8"/>
  <c r="C72" i="8"/>
  <c r="B72" i="8"/>
  <c r="A72" i="8"/>
  <c r="M71" i="8"/>
  <c r="K71" i="8"/>
  <c r="J71" i="8"/>
  <c r="I71" i="8"/>
  <c r="H71" i="8"/>
  <c r="G71" i="8"/>
  <c r="L71" i="8" s="1"/>
  <c r="F71" i="8"/>
  <c r="E71" i="8"/>
  <c r="D71" i="8"/>
  <c r="C71" i="8"/>
  <c r="B71" i="8"/>
  <c r="A71" i="8"/>
  <c r="M70" i="8"/>
  <c r="K70" i="8"/>
  <c r="J70" i="8"/>
  <c r="I70" i="8"/>
  <c r="H70" i="8"/>
  <c r="G70" i="8"/>
  <c r="L70" i="8" s="1"/>
  <c r="F70" i="8"/>
  <c r="E70" i="8"/>
  <c r="D70" i="8"/>
  <c r="C70" i="8"/>
  <c r="B70" i="8"/>
  <c r="A70" i="8"/>
  <c r="M69" i="8"/>
  <c r="L69" i="8"/>
  <c r="K69" i="8"/>
  <c r="J69" i="8"/>
  <c r="I69" i="8"/>
  <c r="H69" i="8"/>
  <c r="G69" i="8"/>
  <c r="F69" i="8"/>
  <c r="E69" i="8"/>
  <c r="D69" i="8"/>
  <c r="C69" i="8"/>
  <c r="B69" i="8"/>
  <c r="A69" i="8"/>
  <c r="M68" i="8"/>
  <c r="K68" i="8"/>
  <c r="J68" i="8"/>
  <c r="I68" i="8"/>
  <c r="H68" i="8"/>
  <c r="G68" i="8"/>
  <c r="L68" i="8" s="1"/>
  <c r="F68" i="8"/>
  <c r="E68" i="8"/>
  <c r="D68" i="8"/>
  <c r="C68" i="8"/>
  <c r="B68" i="8"/>
  <c r="A68" i="8"/>
  <c r="M67" i="8"/>
  <c r="K67" i="8"/>
  <c r="J67" i="8"/>
  <c r="I67" i="8"/>
  <c r="H67" i="8"/>
  <c r="G67" i="8"/>
  <c r="L67" i="8" s="1"/>
  <c r="F67" i="8"/>
  <c r="E67" i="8"/>
  <c r="D67" i="8"/>
  <c r="C67" i="8"/>
  <c r="B67" i="8"/>
  <c r="A67" i="8"/>
  <c r="M66" i="8"/>
  <c r="K66" i="8"/>
  <c r="J66" i="8"/>
  <c r="I66" i="8"/>
  <c r="H66" i="8"/>
  <c r="G66" i="8"/>
  <c r="L66" i="8" s="1"/>
  <c r="F66" i="8"/>
  <c r="E66" i="8"/>
  <c r="D66" i="8"/>
  <c r="C66" i="8"/>
  <c r="B66" i="8"/>
  <c r="A66" i="8"/>
  <c r="M65" i="8"/>
  <c r="L65" i="8"/>
  <c r="K65" i="8"/>
  <c r="J65" i="8"/>
  <c r="I65" i="8"/>
  <c r="H65" i="8"/>
  <c r="G65" i="8"/>
  <c r="F65" i="8"/>
  <c r="E65" i="8"/>
  <c r="D65" i="8"/>
  <c r="C65" i="8"/>
  <c r="B65" i="8"/>
  <c r="A65" i="8"/>
  <c r="M64" i="8"/>
  <c r="K64" i="8"/>
  <c r="J64" i="8"/>
  <c r="I64" i="8"/>
  <c r="H64" i="8"/>
  <c r="G64" i="8"/>
  <c r="L64" i="8" s="1"/>
  <c r="F64" i="8"/>
  <c r="E64" i="8"/>
  <c r="D64" i="8"/>
  <c r="C64" i="8"/>
  <c r="B64" i="8"/>
  <c r="A64" i="8"/>
  <c r="M63" i="8"/>
  <c r="K63" i="8"/>
  <c r="J63" i="8"/>
  <c r="I63" i="8"/>
  <c r="H63" i="8"/>
  <c r="G63" i="8"/>
  <c r="L63" i="8" s="1"/>
  <c r="F63" i="8"/>
  <c r="E63" i="8"/>
  <c r="D63" i="8"/>
  <c r="C63" i="8"/>
  <c r="B63" i="8"/>
  <c r="A63" i="8"/>
  <c r="M62" i="8"/>
  <c r="K62" i="8"/>
  <c r="J62" i="8"/>
  <c r="I62" i="8"/>
  <c r="H62" i="8"/>
  <c r="G62" i="8"/>
  <c r="L62" i="8" s="1"/>
  <c r="F62" i="8"/>
  <c r="E62" i="8"/>
  <c r="D62" i="8"/>
  <c r="C62" i="8"/>
  <c r="B62" i="8"/>
  <c r="A62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M60" i="8"/>
  <c r="K60" i="8"/>
  <c r="J60" i="8"/>
  <c r="I60" i="8"/>
  <c r="H60" i="8"/>
  <c r="G60" i="8"/>
  <c r="L60" i="8" s="1"/>
  <c r="F60" i="8"/>
  <c r="E60" i="8"/>
  <c r="D60" i="8"/>
  <c r="C60" i="8"/>
  <c r="B60" i="8"/>
  <c r="A60" i="8"/>
  <c r="M59" i="8"/>
  <c r="K59" i="8"/>
  <c r="J59" i="8"/>
  <c r="I59" i="8"/>
  <c r="H59" i="8"/>
  <c r="G59" i="8"/>
  <c r="L59" i="8" s="1"/>
  <c r="F59" i="8"/>
  <c r="E59" i="8"/>
  <c r="D59" i="8"/>
  <c r="C59" i="8"/>
  <c r="B59" i="8"/>
  <c r="A59" i="8"/>
  <c r="M58" i="8"/>
  <c r="K58" i="8"/>
  <c r="J58" i="8"/>
  <c r="I58" i="8"/>
  <c r="H58" i="8"/>
  <c r="G58" i="8"/>
  <c r="L58" i="8" s="1"/>
  <c r="F58" i="8"/>
  <c r="E58" i="8"/>
  <c r="D58" i="8"/>
  <c r="C58" i="8"/>
  <c r="B58" i="8"/>
  <c r="A58" i="8"/>
  <c r="M57" i="8"/>
  <c r="L57" i="8"/>
  <c r="K57" i="8"/>
  <c r="J57" i="8"/>
  <c r="I57" i="8"/>
  <c r="H57" i="8"/>
  <c r="G57" i="8"/>
  <c r="F57" i="8"/>
  <c r="E57" i="8"/>
  <c r="D57" i="8"/>
  <c r="C57" i="8"/>
  <c r="B57" i="8"/>
  <c r="A57" i="8"/>
  <c r="M56" i="8"/>
  <c r="K56" i="8"/>
  <c r="J56" i="8"/>
  <c r="I56" i="8"/>
  <c r="H56" i="8"/>
  <c r="G56" i="8"/>
  <c r="L56" i="8" s="1"/>
  <c r="F56" i="8"/>
  <c r="E56" i="8"/>
  <c r="D56" i="8"/>
  <c r="C56" i="8"/>
  <c r="B56" i="8"/>
  <c r="A56" i="8"/>
  <c r="M55" i="8"/>
  <c r="K55" i="8"/>
  <c r="J55" i="8"/>
  <c r="I55" i="8"/>
  <c r="H55" i="8"/>
  <c r="G55" i="8"/>
  <c r="L55" i="8" s="1"/>
  <c r="F55" i="8"/>
  <c r="E55" i="8"/>
  <c r="D55" i="8"/>
  <c r="C55" i="8"/>
  <c r="B55" i="8"/>
  <c r="A55" i="8"/>
  <c r="M54" i="8"/>
  <c r="K54" i="8"/>
  <c r="J54" i="8"/>
  <c r="I54" i="8"/>
  <c r="H54" i="8"/>
  <c r="G54" i="8"/>
  <c r="L54" i="8" s="1"/>
  <c r="F54" i="8"/>
  <c r="E54" i="8"/>
  <c r="D54" i="8"/>
  <c r="C54" i="8"/>
  <c r="B54" i="8"/>
  <c r="A54" i="8"/>
  <c r="M53" i="8"/>
  <c r="L53" i="8"/>
  <c r="K53" i="8"/>
  <c r="J53" i="8"/>
  <c r="I53" i="8"/>
  <c r="H53" i="8"/>
  <c r="G53" i="8"/>
  <c r="F53" i="8"/>
  <c r="E53" i="8"/>
  <c r="D53" i="8"/>
  <c r="C53" i="8"/>
  <c r="B53" i="8"/>
  <c r="A53" i="8"/>
  <c r="M52" i="8"/>
  <c r="K52" i="8"/>
  <c r="J52" i="8"/>
  <c r="I52" i="8"/>
  <c r="H52" i="8"/>
  <c r="G52" i="8"/>
  <c r="L52" i="8" s="1"/>
  <c r="F52" i="8"/>
  <c r="E52" i="8"/>
  <c r="D52" i="8"/>
  <c r="C52" i="8"/>
  <c r="B52" i="8"/>
  <c r="A52" i="8"/>
  <c r="M51" i="8"/>
  <c r="K51" i="8"/>
  <c r="J51" i="8"/>
  <c r="I51" i="8"/>
  <c r="H51" i="8"/>
  <c r="G51" i="8"/>
  <c r="L51" i="8" s="1"/>
  <c r="F51" i="8"/>
  <c r="E51" i="8"/>
  <c r="D51" i="8"/>
  <c r="C51" i="8"/>
  <c r="B51" i="8"/>
  <c r="A51" i="8"/>
  <c r="M50" i="8"/>
  <c r="K50" i="8"/>
  <c r="J50" i="8"/>
  <c r="I50" i="8"/>
  <c r="H50" i="8"/>
  <c r="G50" i="8"/>
  <c r="L50" i="8" s="1"/>
  <c r="F50" i="8"/>
  <c r="E50" i="8"/>
  <c r="D50" i="8"/>
  <c r="C50" i="8"/>
  <c r="B50" i="8"/>
  <c r="A50" i="8"/>
  <c r="M49" i="8"/>
  <c r="L49" i="8"/>
  <c r="K49" i="8"/>
  <c r="J49" i="8"/>
  <c r="I49" i="8"/>
  <c r="H49" i="8"/>
  <c r="G49" i="8"/>
  <c r="F49" i="8"/>
  <c r="E49" i="8"/>
  <c r="D49" i="8"/>
  <c r="C49" i="8"/>
  <c r="B49" i="8"/>
  <c r="A49" i="8"/>
  <c r="M48" i="8"/>
  <c r="K48" i="8"/>
  <c r="J48" i="8"/>
  <c r="I48" i="8"/>
  <c r="H48" i="8"/>
  <c r="G48" i="8"/>
  <c r="L48" i="8" s="1"/>
  <c r="F48" i="8"/>
  <c r="E48" i="8"/>
  <c r="D48" i="8"/>
  <c r="C48" i="8"/>
  <c r="B48" i="8"/>
  <c r="A48" i="8"/>
  <c r="M47" i="8"/>
  <c r="K47" i="8"/>
  <c r="J47" i="8"/>
  <c r="I47" i="8"/>
  <c r="H47" i="8"/>
  <c r="G47" i="8"/>
  <c r="L47" i="8" s="1"/>
  <c r="F47" i="8"/>
  <c r="E47" i="8"/>
  <c r="D47" i="8"/>
  <c r="C47" i="8"/>
  <c r="B47" i="8"/>
  <c r="A47" i="8"/>
  <c r="M46" i="8"/>
  <c r="K46" i="8"/>
  <c r="J46" i="8"/>
  <c r="I46" i="8"/>
  <c r="H46" i="8"/>
  <c r="G46" i="8"/>
  <c r="L46" i="8" s="1"/>
  <c r="F46" i="8"/>
  <c r="E46" i="8"/>
  <c r="D46" i="8"/>
  <c r="C46" i="8"/>
  <c r="B46" i="8"/>
  <c r="A46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M44" i="8"/>
  <c r="K44" i="8"/>
  <c r="J44" i="8"/>
  <c r="I44" i="8"/>
  <c r="H44" i="8"/>
  <c r="G44" i="8"/>
  <c r="L44" i="8" s="1"/>
  <c r="F44" i="8"/>
  <c r="E44" i="8"/>
  <c r="D44" i="8"/>
  <c r="C44" i="8"/>
  <c r="B44" i="8"/>
  <c r="A44" i="8"/>
  <c r="M43" i="8"/>
  <c r="K43" i="8"/>
  <c r="J43" i="8"/>
  <c r="I43" i="8"/>
  <c r="H43" i="8"/>
  <c r="G43" i="8"/>
  <c r="L43" i="8" s="1"/>
  <c r="F43" i="8"/>
  <c r="E43" i="8"/>
  <c r="D43" i="8"/>
  <c r="C43" i="8"/>
  <c r="B43" i="8"/>
  <c r="A43" i="8"/>
  <c r="M42" i="8"/>
  <c r="K42" i="8"/>
  <c r="J42" i="8"/>
  <c r="I42" i="8"/>
  <c r="H42" i="8"/>
  <c r="G42" i="8"/>
  <c r="L42" i="8" s="1"/>
  <c r="F42" i="8"/>
  <c r="E42" i="8"/>
  <c r="D42" i="8"/>
  <c r="C42" i="8"/>
  <c r="B42" i="8"/>
  <c r="A42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M40" i="8"/>
  <c r="K40" i="8"/>
  <c r="J40" i="8"/>
  <c r="I40" i="8"/>
  <c r="H40" i="8"/>
  <c r="G40" i="8"/>
  <c r="L40" i="8" s="1"/>
  <c r="F40" i="8"/>
  <c r="E40" i="8"/>
  <c r="D40" i="8"/>
  <c r="C40" i="8"/>
  <c r="B40" i="8"/>
  <c r="A40" i="8"/>
  <c r="M39" i="8"/>
  <c r="K39" i="8"/>
  <c r="J39" i="8"/>
  <c r="I39" i="8"/>
  <c r="H39" i="8"/>
  <c r="G39" i="8"/>
  <c r="L39" i="8" s="1"/>
  <c r="F39" i="8"/>
  <c r="E39" i="8"/>
  <c r="D39" i="8"/>
  <c r="C39" i="8"/>
  <c r="B39" i="8"/>
  <c r="A39" i="8"/>
  <c r="M38" i="8"/>
  <c r="K38" i="8"/>
  <c r="J38" i="8"/>
  <c r="I38" i="8"/>
  <c r="H38" i="8"/>
  <c r="G38" i="8"/>
  <c r="L38" i="8" s="1"/>
  <c r="F38" i="8"/>
  <c r="E38" i="8"/>
  <c r="D38" i="8"/>
  <c r="C38" i="8"/>
  <c r="B38" i="8"/>
  <c r="A38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M36" i="8"/>
  <c r="K36" i="8"/>
  <c r="J36" i="8"/>
  <c r="I36" i="8"/>
  <c r="H36" i="8"/>
  <c r="G36" i="8"/>
  <c r="L36" i="8" s="1"/>
  <c r="F36" i="8"/>
  <c r="E36" i="8"/>
  <c r="D36" i="8"/>
  <c r="C36" i="8"/>
  <c r="B36" i="8"/>
  <c r="A36" i="8"/>
  <c r="M35" i="8"/>
  <c r="K35" i="8"/>
  <c r="J35" i="8"/>
  <c r="I35" i="8"/>
  <c r="H35" i="8"/>
  <c r="G35" i="8"/>
  <c r="L35" i="8" s="1"/>
  <c r="F35" i="8"/>
  <c r="E35" i="8"/>
  <c r="D35" i="8"/>
  <c r="C35" i="8"/>
  <c r="B35" i="8"/>
  <c r="A35" i="8"/>
  <c r="M34" i="8"/>
  <c r="K34" i="8"/>
  <c r="J34" i="8"/>
  <c r="I34" i="8"/>
  <c r="H34" i="8"/>
  <c r="G34" i="8"/>
  <c r="L34" i="8" s="1"/>
  <c r="F34" i="8"/>
  <c r="E34" i="8"/>
  <c r="D34" i="8"/>
  <c r="C34" i="8"/>
  <c r="B34" i="8"/>
  <c r="A34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M32" i="8"/>
  <c r="K32" i="8"/>
  <c r="J32" i="8"/>
  <c r="I32" i="8"/>
  <c r="H32" i="8"/>
  <c r="G32" i="8"/>
  <c r="L32" i="8" s="1"/>
  <c r="F32" i="8"/>
  <c r="E32" i="8"/>
  <c r="D32" i="8"/>
  <c r="C32" i="8"/>
  <c r="B32" i="8"/>
  <c r="A32" i="8"/>
  <c r="M31" i="8"/>
  <c r="K31" i="8"/>
  <c r="J31" i="8"/>
  <c r="I31" i="8"/>
  <c r="H31" i="8"/>
  <c r="G31" i="8"/>
  <c r="L31" i="8" s="1"/>
  <c r="F31" i="8"/>
  <c r="E31" i="8"/>
  <c r="D31" i="8"/>
  <c r="C31" i="8"/>
  <c r="B31" i="8"/>
  <c r="A31" i="8"/>
  <c r="M30" i="8"/>
  <c r="K30" i="8"/>
  <c r="J30" i="8"/>
  <c r="I30" i="8"/>
  <c r="H30" i="8"/>
  <c r="G30" i="8"/>
  <c r="L30" i="8" s="1"/>
  <c r="F30" i="8"/>
  <c r="E30" i="8"/>
  <c r="D30" i="8"/>
  <c r="C30" i="8"/>
  <c r="B30" i="8"/>
  <c r="A30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M28" i="8"/>
  <c r="K28" i="8"/>
  <c r="J28" i="8"/>
  <c r="I28" i="8"/>
  <c r="H28" i="8"/>
  <c r="G28" i="8"/>
  <c r="L28" i="8" s="1"/>
  <c r="F28" i="8"/>
  <c r="E28" i="8"/>
  <c r="D28" i="8"/>
  <c r="C28" i="8"/>
  <c r="B28" i="8"/>
  <c r="A28" i="8"/>
  <c r="M27" i="8"/>
  <c r="K27" i="8"/>
  <c r="J27" i="8"/>
  <c r="I27" i="8"/>
  <c r="H27" i="8"/>
  <c r="G27" i="8"/>
  <c r="L27" i="8" s="1"/>
  <c r="F27" i="8"/>
  <c r="E27" i="8"/>
  <c r="D27" i="8"/>
  <c r="C27" i="8"/>
  <c r="B27" i="8"/>
  <c r="A27" i="8"/>
  <c r="M26" i="8"/>
  <c r="K26" i="8"/>
  <c r="J26" i="8"/>
  <c r="I26" i="8"/>
  <c r="H26" i="8"/>
  <c r="G26" i="8"/>
  <c r="L26" i="8" s="1"/>
  <c r="F26" i="8"/>
  <c r="E26" i="8"/>
  <c r="D26" i="8"/>
  <c r="C26" i="8"/>
  <c r="B26" i="8"/>
  <c r="A26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M24" i="8"/>
  <c r="K24" i="8"/>
  <c r="J24" i="8"/>
  <c r="I24" i="8"/>
  <c r="H24" i="8"/>
  <c r="G24" i="8"/>
  <c r="L24" i="8" s="1"/>
  <c r="F24" i="8"/>
  <c r="E24" i="8"/>
  <c r="D24" i="8"/>
  <c r="C24" i="8"/>
  <c r="B24" i="8"/>
  <c r="A24" i="8"/>
  <c r="M23" i="8"/>
  <c r="K23" i="8"/>
  <c r="J23" i="8"/>
  <c r="I23" i="8"/>
  <c r="H23" i="8"/>
  <c r="G23" i="8"/>
  <c r="L23" i="8" s="1"/>
  <c r="F23" i="8"/>
  <c r="E23" i="8"/>
  <c r="D23" i="8"/>
  <c r="C23" i="8"/>
  <c r="B23" i="8"/>
  <c r="A23" i="8"/>
  <c r="M22" i="8"/>
  <c r="K22" i="8"/>
  <c r="J22" i="8"/>
  <c r="I22" i="8"/>
  <c r="H22" i="8"/>
  <c r="G22" i="8"/>
  <c r="L22" i="8" s="1"/>
  <c r="F22" i="8"/>
  <c r="E22" i="8"/>
  <c r="D22" i="8"/>
  <c r="C22" i="8"/>
  <c r="B22" i="8"/>
  <c r="A22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M20" i="8"/>
  <c r="K20" i="8"/>
  <c r="J20" i="8"/>
  <c r="I20" i="8"/>
  <c r="H20" i="8"/>
  <c r="G20" i="8"/>
  <c r="L20" i="8" s="1"/>
  <c r="F20" i="8"/>
  <c r="E20" i="8"/>
  <c r="D20" i="8"/>
  <c r="C20" i="8"/>
  <c r="B20" i="8"/>
  <c r="A20" i="8"/>
  <c r="M19" i="8"/>
  <c r="K19" i="8"/>
  <c r="J19" i="8"/>
  <c r="I19" i="8"/>
  <c r="H19" i="8"/>
  <c r="G19" i="8"/>
  <c r="L19" i="8" s="1"/>
  <c r="F19" i="8"/>
  <c r="E19" i="8"/>
  <c r="D19" i="8"/>
  <c r="C19" i="8"/>
  <c r="B19" i="8"/>
  <c r="A19" i="8"/>
  <c r="M18" i="8"/>
  <c r="K18" i="8"/>
  <c r="J18" i="8"/>
  <c r="I18" i="8"/>
  <c r="H18" i="8"/>
  <c r="G18" i="8"/>
  <c r="L18" i="8" s="1"/>
  <c r="F18" i="8"/>
  <c r="E18" i="8"/>
  <c r="D18" i="8"/>
  <c r="C18" i="8"/>
  <c r="B18" i="8"/>
  <c r="A18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M16" i="8"/>
  <c r="K16" i="8"/>
  <c r="J16" i="8"/>
  <c r="I16" i="8"/>
  <c r="H16" i="8"/>
  <c r="G16" i="8"/>
  <c r="L16" i="8" s="1"/>
  <c r="F16" i="8"/>
  <c r="E16" i="8"/>
  <c r="D16" i="8"/>
  <c r="C16" i="8"/>
  <c r="B16" i="8"/>
  <c r="A16" i="8"/>
  <c r="M15" i="8"/>
  <c r="K15" i="8"/>
  <c r="J15" i="8"/>
  <c r="I15" i="8"/>
  <c r="H15" i="8"/>
  <c r="G15" i="8"/>
  <c r="L15" i="8" s="1"/>
  <c r="F15" i="8"/>
  <c r="E15" i="8"/>
  <c r="D15" i="8"/>
  <c r="C15" i="8"/>
  <c r="B15" i="8"/>
  <c r="A15" i="8"/>
  <c r="M14" i="8"/>
  <c r="K14" i="8"/>
  <c r="J14" i="8"/>
  <c r="I14" i="8"/>
  <c r="H14" i="8"/>
  <c r="G14" i="8"/>
  <c r="L14" i="8" s="1"/>
  <c r="F14" i="8"/>
  <c r="E14" i="8"/>
  <c r="D14" i="8"/>
  <c r="C14" i="8"/>
  <c r="B14" i="8"/>
  <c r="A14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M12" i="8"/>
  <c r="K12" i="8"/>
  <c r="J12" i="8"/>
  <c r="I12" i="8"/>
  <c r="H12" i="8"/>
  <c r="G12" i="8"/>
  <c r="L12" i="8" s="1"/>
  <c r="F12" i="8"/>
  <c r="E12" i="8"/>
  <c r="D12" i="8"/>
  <c r="C12" i="8"/>
  <c r="B12" i="8"/>
  <c r="A12" i="8"/>
  <c r="M11" i="8"/>
  <c r="K11" i="8"/>
  <c r="J11" i="8"/>
  <c r="I11" i="8"/>
  <c r="H11" i="8"/>
  <c r="G11" i="8"/>
  <c r="L11" i="8" s="1"/>
  <c r="F11" i="8"/>
  <c r="E11" i="8"/>
  <c r="D11" i="8"/>
  <c r="C11" i="8"/>
  <c r="B11" i="8"/>
  <c r="A11" i="8"/>
  <c r="M10" i="8"/>
  <c r="K10" i="8"/>
  <c r="J10" i="8"/>
  <c r="I10" i="8"/>
  <c r="H10" i="8"/>
  <c r="G10" i="8"/>
  <c r="L10" i="8" s="1"/>
  <c r="F10" i="8"/>
  <c r="E10" i="8"/>
  <c r="D10" i="8"/>
  <c r="C10" i="8"/>
  <c r="B10" i="8"/>
  <c r="A10" i="8"/>
  <c r="M9" i="8"/>
  <c r="L9" i="8"/>
  <c r="K9" i="8"/>
  <c r="J9" i="8"/>
  <c r="I9" i="8"/>
  <c r="H9" i="8"/>
  <c r="G9" i="8"/>
  <c r="F9" i="8"/>
  <c r="E9" i="8"/>
  <c r="D9" i="8"/>
  <c r="C9" i="8"/>
  <c r="B9" i="8"/>
  <c r="A9" i="8"/>
  <c r="M8" i="8"/>
  <c r="K8" i="8"/>
  <c r="J8" i="8"/>
  <c r="I8" i="8"/>
  <c r="H8" i="8"/>
  <c r="G8" i="8"/>
  <c r="L8" i="8" s="1"/>
  <c r="F8" i="8"/>
  <c r="E8" i="8"/>
  <c r="D8" i="8"/>
  <c r="C8" i="8"/>
  <c r="B8" i="8"/>
  <c r="A8" i="8"/>
  <c r="M7" i="8"/>
  <c r="K7" i="8"/>
  <c r="J7" i="8"/>
  <c r="I7" i="8"/>
  <c r="H7" i="8"/>
  <c r="G7" i="8"/>
  <c r="L7" i="8" s="1"/>
  <c r="F7" i="8"/>
  <c r="E7" i="8"/>
  <c r="D7" i="8"/>
  <c r="C7" i="8"/>
  <c r="B7" i="8"/>
  <c r="A7" i="8"/>
  <c r="M6" i="8"/>
  <c r="K6" i="8"/>
  <c r="J6" i="8"/>
  <c r="I6" i="8"/>
  <c r="H6" i="8"/>
  <c r="G6" i="8"/>
  <c r="L6" i="8" s="1"/>
  <c r="F6" i="8"/>
  <c r="E6" i="8"/>
  <c r="D6" i="8"/>
  <c r="C6" i="8"/>
  <c r="B6" i="8"/>
  <c r="A6" i="8"/>
  <c r="M5" i="8"/>
  <c r="L5" i="8"/>
  <c r="K5" i="8"/>
  <c r="J5" i="8"/>
  <c r="I5" i="8"/>
  <c r="H5" i="8"/>
  <c r="G5" i="8"/>
  <c r="F5" i="8"/>
  <c r="E5" i="8"/>
  <c r="D5" i="8"/>
  <c r="C5" i="8"/>
  <c r="B5" i="8"/>
  <c r="A5" i="8"/>
  <c r="J4" i="8"/>
  <c r="I4" i="8"/>
  <c r="H4" i="8"/>
  <c r="G4" i="8"/>
  <c r="F4" i="8"/>
  <c r="D4" i="8"/>
  <c r="C4" i="8"/>
  <c r="B4" i="8"/>
  <c r="K2003" i="7"/>
  <c r="J2003" i="7"/>
  <c r="I2003" i="7"/>
  <c r="H2003" i="7"/>
  <c r="G2003" i="7"/>
  <c r="F2003" i="7"/>
  <c r="E2003" i="7"/>
  <c r="D2003" i="7"/>
  <c r="C2003" i="7"/>
  <c r="B2003" i="7"/>
  <c r="A2003" i="7"/>
  <c r="K2002" i="7"/>
  <c r="J2002" i="7"/>
  <c r="I2002" i="7"/>
  <c r="H2002" i="7"/>
  <c r="G2002" i="7"/>
  <c r="F2002" i="7"/>
  <c r="E2002" i="7"/>
  <c r="D2002" i="7"/>
  <c r="C2002" i="7"/>
  <c r="B2002" i="7"/>
  <c r="A2002" i="7"/>
  <c r="K2001" i="7"/>
  <c r="J2001" i="7"/>
  <c r="I2001" i="7"/>
  <c r="H2001" i="7"/>
  <c r="G2001" i="7"/>
  <c r="F2001" i="7"/>
  <c r="E2001" i="7"/>
  <c r="D2001" i="7"/>
  <c r="C2001" i="7"/>
  <c r="B2001" i="7"/>
  <c r="A2001" i="7"/>
  <c r="K2000" i="7"/>
  <c r="J2000" i="7"/>
  <c r="I2000" i="7"/>
  <c r="H2000" i="7"/>
  <c r="G2000" i="7"/>
  <c r="F2000" i="7"/>
  <c r="E2000" i="7"/>
  <c r="D2000" i="7"/>
  <c r="C2000" i="7"/>
  <c r="B2000" i="7"/>
  <c r="A2000" i="7"/>
  <c r="K1999" i="7"/>
  <c r="J1999" i="7"/>
  <c r="I1999" i="7"/>
  <c r="H1999" i="7"/>
  <c r="G1999" i="7"/>
  <c r="F1999" i="7"/>
  <c r="E1999" i="7"/>
  <c r="D1999" i="7"/>
  <c r="C1999" i="7"/>
  <c r="B1999" i="7"/>
  <c r="A1999" i="7"/>
  <c r="K1998" i="7"/>
  <c r="J1998" i="7"/>
  <c r="I1998" i="7"/>
  <c r="H1998" i="7"/>
  <c r="G1998" i="7"/>
  <c r="F1998" i="7"/>
  <c r="E1998" i="7"/>
  <c r="D1998" i="7"/>
  <c r="C1998" i="7"/>
  <c r="B1998" i="7"/>
  <c r="A1998" i="7"/>
  <c r="K1997" i="7"/>
  <c r="J1997" i="7"/>
  <c r="I1997" i="7"/>
  <c r="H1997" i="7"/>
  <c r="G1997" i="7"/>
  <c r="F1997" i="7"/>
  <c r="E1997" i="7"/>
  <c r="D1997" i="7"/>
  <c r="C1997" i="7"/>
  <c r="B1997" i="7"/>
  <c r="A1997" i="7"/>
  <c r="K1996" i="7"/>
  <c r="J1996" i="7"/>
  <c r="I1996" i="7"/>
  <c r="H1996" i="7"/>
  <c r="G1996" i="7"/>
  <c r="F1996" i="7"/>
  <c r="E1996" i="7"/>
  <c r="D1996" i="7"/>
  <c r="C1996" i="7"/>
  <c r="B1996" i="7"/>
  <c r="A1996" i="7"/>
  <c r="K1995" i="7"/>
  <c r="J1995" i="7"/>
  <c r="I1995" i="7"/>
  <c r="H1995" i="7"/>
  <c r="G1995" i="7"/>
  <c r="F1995" i="7"/>
  <c r="E1995" i="7"/>
  <c r="D1995" i="7"/>
  <c r="C1995" i="7"/>
  <c r="B1995" i="7"/>
  <c r="A1995" i="7"/>
  <c r="K1994" i="7"/>
  <c r="J1994" i="7"/>
  <c r="I1994" i="7"/>
  <c r="H1994" i="7"/>
  <c r="G1994" i="7"/>
  <c r="F1994" i="7"/>
  <c r="E1994" i="7"/>
  <c r="D1994" i="7"/>
  <c r="C1994" i="7"/>
  <c r="B1994" i="7"/>
  <c r="A1994" i="7"/>
  <c r="K1993" i="7"/>
  <c r="J1993" i="7"/>
  <c r="I1993" i="7"/>
  <c r="H1993" i="7"/>
  <c r="G1993" i="7"/>
  <c r="F1993" i="7"/>
  <c r="E1993" i="7"/>
  <c r="D1993" i="7"/>
  <c r="C1993" i="7"/>
  <c r="B1993" i="7"/>
  <c r="A1993" i="7"/>
  <c r="K1992" i="7"/>
  <c r="J1992" i="7"/>
  <c r="I1992" i="7"/>
  <c r="H1992" i="7"/>
  <c r="G1992" i="7"/>
  <c r="F1992" i="7"/>
  <c r="E1992" i="7"/>
  <c r="D1992" i="7"/>
  <c r="C1992" i="7"/>
  <c r="B1992" i="7"/>
  <c r="A1992" i="7"/>
  <c r="K1991" i="7"/>
  <c r="J1991" i="7"/>
  <c r="I1991" i="7"/>
  <c r="H1991" i="7"/>
  <c r="G1991" i="7"/>
  <c r="F1991" i="7"/>
  <c r="E1991" i="7"/>
  <c r="D1991" i="7"/>
  <c r="C1991" i="7"/>
  <c r="B1991" i="7"/>
  <c r="A1991" i="7"/>
  <c r="K1990" i="7"/>
  <c r="J1990" i="7"/>
  <c r="I1990" i="7"/>
  <c r="H1990" i="7"/>
  <c r="G1990" i="7"/>
  <c r="F1990" i="7"/>
  <c r="E1990" i="7"/>
  <c r="D1990" i="7"/>
  <c r="C1990" i="7"/>
  <c r="B1990" i="7"/>
  <c r="A1990" i="7"/>
  <c r="K1989" i="7"/>
  <c r="J1989" i="7"/>
  <c r="I1989" i="7"/>
  <c r="H1989" i="7"/>
  <c r="G1989" i="7"/>
  <c r="F1989" i="7"/>
  <c r="E1989" i="7"/>
  <c r="D1989" i="7"/>
  <c r="C1989" i="7"/>
  <c r="B1989" i="7"/>
  <c r="A1989" i="7"/>
  <c r="K1988" i="7"/>
  <c r="J1988" i="7"/>
  <c r="I1988" i="7"/>
  <c r="H1988" i="7"/>
  <c r="G1988" i="7"/>
  <c r="F1988" i="7"/>
  <c r="E1988" i="7"/>
  <c r="D1988" i="7"/>
  <c r="C1988" i="7"/>
  <c r="B1988" i="7"/>
  <c r="A1988" i="7"/>
  <c r="K1987" i="7"/>
  <c r="J1987" i="7"/>
  <c r="I1987" i="7"/>
  <c r="H1987" i="7"/>
  <c r="G1987" i="7"/>
  <c r="F1987" i="7"/>
  <c r="E1987" i="7"/>
  <c r="D1987" i="7"/>
  <c r="C1987" i="7"/>
  <c r="B1987" i="7"/>
  <c r="A1987" i="7"/>
  <c r="K1986" i="7"/>
  <c r="J1986" i="7"/>
  <c r="I1986" i="7"/>
  <c r="H1986" i="7"/>
  <c r="G1986" i="7"/>
  <c r="F1986" i="7"/>
  <c r="E1986" i="7"/>
  <c r="D1986" i="7"/>
  <c r="C1986" i="7"/>
  <c r="B1986" i="7"/>
  <c r="A1986" i="7"/>
  <c r="K1985" i="7"/>
  <c r="J1985" i="7"/>
  <c r="I1985" i="7"/>
  <c r="H1985" i="7"/>
  <c r="G1985" i="7"/>
  <c r="F1985" i="7"/>
  <c r="E1985" i="7"/>
  <c r="D1985" i="7"/>
  <c r="C1985" i="7"/>
  <c r="B1985" i="7"/>
  <c r="A1985" i="7"/>
  <c r="K1984" i="7"/>
  <c r="J1984" i="7"/>
  <c r="I1984" i="7"/>
  <c r="H1984" i="7"/>
  <c r="G1984" i="7"/>
  <c r="F1984" i="7"/>
  <c r="E1984" i="7"/>
  <c r="D1984" i="7"/>
  <c r="C1984" i="7"/>
  <c r="B1984" i="7"/>
  <c r="A1984" i="7"/>
  <c r="K1983" i="7"/>
  <c r="J1983" i="7"/>
  <c r="I1983" i="7"/>
  <c r="H1983" i="7"/>
  <c r="G1983" i="7"/>
  <c r="F1983" i="7"/>
  <c r="E1983" i="7"/>
  <c r="D1983" i="7"/>
  <c r="C1983" i="7"/>
  <c r="B1983" i="7"/>
  <c r="A1983" i="7"/>
  <c r="K1982" i="7"/>
  <c r="J1982" i="7"/>
  <c r="I1982" i="7"/>
  <c r="H1982" i="7"/>
  <c r="G1982" i="7"/>
  <c r="F1982" i="7"/>
  <c r="E1982" i="7"/>
  <c r="D1982" i="7"/>
  <c r="C1982" i="7"/>
  <c r="B1982" i="7"/>
  <c r="A1982" i="7"/>
  <c r="K1981" i="7"/>
  <c r="J1981" i="7"/>
  <c r="I1981" i="7"/>
  <c r="H1981" i="7"/>
  <c r="G1981" i="7"/>
  <c r="F1981" i="7"/>
  <c r="E1981" i="7"/>
  <c r="D1981" i="7"/>
  <c r="C1981" i="7"/>
  <c r="B1981" i="7"/>
  <c r="A1981" i="7"/>
  <c r="K1980" i="7"/>
  <c r="J1980" i="7"/>
  <c r="I1980" i="7"/>
  <c r="H1980" i="7"/>
  <c r="G1980" i="7"/>
  <c r="F1980" i="7"/>
  <c r="E1980" i="7"/>
  <c r="D1980" i="7"/>
  <c r="C1980" i="7"/>
  <c r="B1980" i="7"/>
  <c r="A1980" i="7"/>
  <c r="K1979" i="7"/>
  <c r="J1979" i="7"/>
  <c r="I1979" i="7"/>
  <c r="H1979" i="7"/>
  <c r="G1979" i="7"/>
  <c r="F1979" i="7"/>
  <c r="E1979" i="7"/>
  <c r="D1979" i="7"/>
  <c r="C1979" i="7"/>
  <c r="B1979" i="7"/>
  <c r="A1979" i="7"/>
  <c r="K1978" i="7"/>
  <c r="J1978" i="7"/>
  <c r="I1978" i="7"/>
  <c r="H1978" i="7"/>
  <c r="G1978" i="7"/>
  <c r="F1978" i="7"/>
  <c r="E1978" i="7"/>
  <c r="D1978" i="7"/>
  <c r="C1978" i="7"/>
  <c r="B1978" i="7"/>
  <c r="A1978" i="7"/>
  <c r="K1977" i="7"/>
  <c r="J1977" i="7"/>
  <c r="I1977" i="7"/>
  <c r="H1977" i="7"/>
  <c r="G1977" i="7"/>
  <c r="F1977" i="7"/>
  <c r="E1977" i="7"/>
  <c r="D1977" i="7"/>
  <c r="C1977" i="7"/>
  <c r="B1977" i="7"/>
  <c r="A1977" i="7"/>
  <c r="K1976" i="7"/>
  <c r="J1976" i="7"/>
  <c r="I1976" i="7"/>
  <c r="H1976" i="7"/>
  <c r="G1976" i="7"/>
  <c r="F1976" i="7"/>
  <c r="E1976" i="7"/>
  <c r="D1976" i="7"/>
  <c r="C1976" i="7"/>
  <c r="B1976" i="7"/>
  <c r="A1976" i="7"/>
  <c r="K1975" i="7"/>
  <c r="J1975" i="7"/>
  <c r="I1975" i="7"/>
  <c r="H1975" i="7"/>
  <c r="G1975" i="7"/>
  <c r="F1975" i="7"/>
  <c r="E1975" i="7"/>
  <c r="D1975" i="7"/>
  <c r="C1975" i="7"/>
  <c r="B1975" i="7"/>
  <c r="A1975" i="7"/>
  <c r="K1974" i="7"/>
  <c r="J1974" i="7"/>
  <c r="I1974" i="7"/>
  <c r="H1974" i="7"/>
  <c r="G1974" i="7"/>
  <c r="F1974" i="7"/>
  <c r="E1974" i="7"/>
  <c r="D1974" i="7"/>
  <c r="C1974" i="7"/>
  <c r="B1974" i="7"/>
  <c r="A1974" i="7"/>
  <c r="K1973" i="7"/>
  <c r="J1973" i="7"/>
  <c r="I1973" i="7"/>
  <c r="H1973" i="7"/>
  <c r="G1973" i="7"/>
  <c r="F1973" i="7"/>
  <c r="E1973" i="7"/>
  <c r="D1973" i="7"/>
  <c r="C1973" i="7"/>
  <c r="B1973" i="7"/>
  <c r="A1973" i="7"/>
  <c r="K1972" i="7"/>
  <c r="J1972" i="7"/>
  <c r="I1972" i="7"/>
  <c r="H1972" i="7"/>
  <c r="G1972" i="7"/>
  <c r="F1972" i="7"/>
  <c r="E1972" i="7"/>
  <c r="D1972" i="7"/>
  <c r="C1972" i="7"/>
  <c r="B1972" i="7"/>
  <c r="A1972" i="7"/>
  <c r="K1971" i="7"/>
  <c r="J1971" i="7"/>
  <c r="I1971" i="7"/>
  <c r="H1971" i="7"/>
  <c r="G1971" i="7"/>
  <c r="F1971" i="7"/>
  <c r="E1971" i="7"/>
  <c r="D1971" i="7"/>
  <c r="C1971" i="7"/>
  <c r="B1971" i="7"/>
  <c r="A1971" i="7"/>
  <c r="K1970" i="7"/>
  <c r="J1970" i="7"/>
  <c r="I1970" i="7"/>
  <c r="H1970" i="7"/>
  <c r="G1970" i="7"/>
  <c r="F1970" i="7"/>
  <c r="E1970" i="7"/>
  <c r="D1970" i="7"/>
  <c r="C1970" i="7"/>
  <c r="B1970" i="7"/>
  <c r="A1970" i="7"/>
  <c r="K1969" i="7"/>
  <c r="J1969" i="7"/>
  <c r="I1969" i="7"/>
  <c r="H1969" i="7"/>
  <c r="G1969" i="7"/>
  <c r="F1969" i="7"/>
  <c r="E1969" i="7"/>
  <c r="D1969" i="7"/>
  <c r="C1969" i="7"/>
  <c r="B1969" i="7"/>
  <c r="A1969" i="7"/>
  <c r="K1968" i="7"/>
  <c r="J1968" i="7"/>
  <c r="I1968" i="7"/>
  <c r="H1968" i="7"/>
  <c r="G1968" i="7"/>
  <c r="F1968" i="7"/>
  <c r="E1968" i="7"/>
  <c r="D1968" i="7"/>
  <c r="C1968" i="7"/>
  <c r="B1968" i="7"/>
  <c r="A1968" i="7"/>
  <c r="K1967" i="7"/>
  <c r="J1967" i="7"/>
  <c r="I1967" i="7"/>
  <c r="H1967" i="7"/>
  <c r="G1967" i="7"/>
  <c r="F1967" i="7"/>
  <c r="E1967" i="7"/>
  <c r="D1967" i="7"/>
  <c r="C1967" i="7"/>
  <c r="B1967" i="7"/>
  <c r="A1967" i="7"/>
  <c r="K1966" i="7"/>
  <c r="J1966" i="7"/>
  <c r="I1966" i="7"/>
  <c r="H1966" i="7"/>
  <c r="G1966" i="7"/>
  <c r="F1966" i="7"/>
  <c r="E1966" i="7"/>
  <c r="D1966" i="7"/>
  <c r="C1966" i="7"/>
  <c r="B1966" i="7"/>
  <c r="A1966" i="7"/>
  <c r="K1965" i="7"/>
  <c r="J1965" i="7"/>
  <c r="I1965" i="7"/>
  <c r="H1965" i="7"/>
  <c r="G1965" i="7"/>
  <c r="F1965" i="7"/>
  <c r="E1965" i="7"/>
  <c r="D1965" i="7"/>
  <c r="C1965" i="7"/>
  <c r="B1965" i="7"/>
  <c r="A1965" i="7"/>
  <c r="K1964" i="7"/>
  <c r="J1964" i="7"/>
  <c r="I1964" i="7"/>
  <c r="H1964" i="7"/>
  <c r="G1964" i="7"/>
  <c r="F1964" i="7"/>
  <c r="E1964" i="7"/>
  <c r="D1964" i="7"/>
  <c r="C1964" i="7"/>
  <c r="B1964" i="7"/>
  <c r="A1964" i="7"/>
  <c r="K1963" i="7"/>
  <c r="J1963" i="7"/>
  <c r="I1963" i="7"/>
  <c r="H1963" i="7"/>
  <c r="G1963" i="7"/>
  <c r="F1963" i="7"/>
  <c r="E1963" i="7"/>
  <c r="D1963" i="7"/>
  <c r="C1963" i="7"/>
  <c r="B1963" i="7"/>
  <c r="A1963" i="7"/>
  <c r="K1962" i="7"/>
  <c r="J1962" i="7"/>
  <c r="I1962" i="7"/>
  <c r="H1962" i="7"/>
  <c r="G1962" i="7"/>
  <c r="F1962" i="7"/>
  <c r="E1962" i="7"/>
  <c r="D1962" i="7"/>
  <c r="C1962" i="7"/>
  <c r="B1962" i="7"/>
  <c r="A1962" i="7"/>
  <c r="K1961" i="7"/>
  <c r="J1961" i="7"/>
  <c r="I1961" i="7"/>
  <c r="H1961" i="7"/>
  <c r="G1961" i="7"/>
  <c r="F1961" i="7"/>
  <c r="E1961" i="7"/>
  <c r="D1961" i="7"/>
  <c r="C1961" i="7"/>
  <c r="B1961" i="7"/>
  <c r="A1961" i="7"/>
  <c r="K1960" i="7"/>
  <c r="J1960" i="7"/>
  <c r="I1960" i="7"/>
  <c r="H1960" i="7"/>
  <c r="G1960" i="7"/>
  <c r="F1960" i="7"/>
  <c r="E1960" i="7"/>
  <c r="D1960" i="7"/>
  <c r="C1960" i="7"/>
  <c r="B1960" i="7"/>
  <c r="A1960" i="7"/>
  <c r="K1959" i="7"/>
  <c r="J1959" i="7"/>
  <c r="I1959" i="7"/>
  <c r="H1959" i="7"/>
  <c r="G1959" i="7"/>
  <c r="F1959" i="7"/>
  <c r="E1959" i="7"/>
  <c r="D1959" i="7"/>
  <c r="C1959" i="7"/>
  <c r="B1959" i="7"/>
  <c r="A1959" i="7"/>
  <c r="K1958" i="7"/>
  <c r="J1958" i="7"/>
  <c r="I1958" i="7"/>
  <c r="H1958" i="7"/>
  <c r="G1958" i="7"/>
  <c r="F1958" i="7"/>
  <c r="E1958" i="7"/>
  <c r="D1958" i="7"/>
  <c r="C1958" i="7"/>
  <c r="B1958" i="7"/>
  <c r="A1958" i="7"/>
  <c r="K1957" i="7"/>
  <c r="J1957" i="7"/>
  <c r="I1957" i="7"/>
  <c r="H1957" i="7"/>
  <c r="G1957" i="7"/>
  <c r="F1957" i="7"/>
  <c r="E1957" i="7"/>
  <c r="D1957" i="7"/>
  <c r="C1957" i="7"/>
  <c r="B1957" i="7"/>
  <c r="A1957" i="7"/>
  <c r="K1956" i="7"/>
  <c r="J1956" i="7"/>
  <c r="I1956" i="7"/>
  <c r="H1956" i="7"/>
  <c r="G1956" i="7"/>
  <c r="F1956" i="7"/>
  <c r="E1956" i="7"/>
  <c r="D1956" i="7"/>
  <c r="C1956" i="7"/>
  <c r="B1956" i="7"/>
  <c r="A1956" i="7"/>
  <c r="K1955" i="7"/>
  <c r="J1955" i="7"/>
  <c r="I1955" i="7"/>
  <c r="H1955" i="7"/>
  <c r="G1955" i="7"/>
  <c r="F1955" i="7"/>
  <c r="E1955" i="7"/>
  <c r="D1955" i="7"/>
  <c r="C1955" i="7"/>
  <c r="B1955" i="7"/>
  <c r="A1955" i="7"/>
  <c r="K1954" i="7"/>
  <c r="J1954" i="7"/>
  <c r="I1954" i="7"/>
  <c r="H1954" i="7"/>
  <c r="G1954" i="7"/>
  <c r="F1954" i="7"/>
  <c r="E1954" i="7"/>
  <c r="D1954" i="7"/>
  <c r="C1954" i="7"/>
  <c r="B1954" i="7"/>
  <c r="A1954" i="7"/>
  <c r="K1953" i="7"/>
  <c r="J1953" i="7"/>
  <c r="I1953" i="7"/>
  <c r="H1953" i="7"/>
  <c r="G1953" i="7"/>
  <c r="F1953" i="7"/>
  <c r="E1953" i="7"/>
  <c r="D1953" i="7"/>
  <c r="C1953" i="7"/>
  <c r="B1953" i="7"/>
  <c r="A1953" i="7"/>
  <c r="K1952" i="7"/>
  <c r="J1952" i="7"/>
  <c r="I1952" i="7"/>
  <c r="H1952" i="7"/>
  <c r="G1952" i="7"/>
  <c r="F1952" i="7"/>
  <c r="E1952" i="7"/>
  <c r="D1952" i="7"/>
  <c r="C1952" i="7"/>
  <c r="B1952" i="7"/>
  <c r="A1952" i="7"/>
  <c r="K1951" i="7"/>
  <c r="J1951" i="7"/>
  <c r="I1951" i="7"/>
  <c r="H1951" i="7"/>
  <c r="G1951" i="7"/>
  <c r="F1951" i="7"/>
  <c r="E1951" i="7"/>
  <c r="D1951" i="7"/>
  <c r="C1951" i="7"/>
  <c r="B1951" i="7"/>
  <c r="A1951" i="7"/>
  <c r="K1950" i="7"/>
  <c r="J1950" i="7"/>
  <c r="I1950" i="7"/>
  <c r="H1950" i="7"/>
  <c r="G1950" i="7"/>
  <c r="F1950" i="7"/>
  <c r="E1950" i="7"/>
  <c r="D1950" i="7"/>
  <c r="C1950" i="7"/>
  <c r="B1950" i="7"/>
  <c r="A1950" i="7"/>
  <c r="K1949" i="7"/>
  <c r="J1949" i="7"/>
  <c r="I1949" i="7"/>
  <c r="H1949" i="7"/>
  <c r="G1949" i="7"/>
  <c r="F1949" i="7"/>
  <c r="E1949" i="7"/>
  <c r="D1949" i="7"/>
  <c r="C1949" i="7"/>
  <c r="B1949" i="7"/>
  <c r="A1949" i="7"/>
  <c r="K1948" i="7"/>
  <c r="J1948" i="7"/>
  <c r="I1948" i="7"/>
  <c r="H1948" i="7"/>
  <c r="G1948" i="7"/>
  <c r="F1948" i="7"/>
  <c r="E1948" i="7"/>
  <c r="D1948" i="7"/>
  <c r="C1948" i="7"/>
  <c r="B1948" i="7"/>
  <c r="A1948" i="7"/>
  <c r="K1947" i="7"/>
  <c r="J1947" i="7"/>
  <c r="I1947" i="7"/>
  <c r="H1947" i="7"/>
  <c r="G1947" i="7"/>
  <c r="F1947" i="7"/>
  <c r="E1947" i="7"/>
  <c r="D1947" i="7"/>
  <c r="C1947" i="7"/>
  <c r="B1947" i="7"/>
  <c r="A1947" i="7"/>
  <c r="K1946" i="7"/>
  <c r="J1946" i="7"/>
  <c r="I1946" i="7"/>
  <c r="H1946" i="7"/>
  <c r="G1946" i="7"/>
  <c r="F1946" i="7"/>
  <c r="E1946" i="7"/>
  <c r="D1946" i="7"/>
  <c r="C1946" i="7"/>
  <c r="B1946" i="7"/>
  <c r="A1946" i="7"/>
  <c r="K1945" i="7"/>
  <c r="J1945" i="7"/>
  <c r="I1945" i="7"/>
  <c r="H1945" i="7"/>
  <c r="G1945" i="7"/>
  <c r="F1945" i="7"/>
  <c r="E1945" i="7"/>
  <c r="D1945" i="7"/>
  <c r="C1945" i="7"/>
  <c r="B1945" i="7"/>
  <c r="A1945" i="7"/>
  <c r="K1944" i="7"/>
  <c r="J1944" i="7"/>
  <c r="I1944" i="7"/>
  <c r="H1944" i="7"/>
  <c r="G1944" i="7"/>
  <c r="F1944" i="7"/>
  <c r="E1944" i="7"/>
  <c r="D1944" i="7"/>
  <c r="C1944" i="7"/>
  <c r="B1944" i="7"/>
  <c r="A1944" i="7"/>
  <c r="K1943" i="7"/>
  <c r="J1943" i="7"/>
  <c r="I1943" i="7"/>
  <c r="H1943" i="7"/>
  <c r="G1943" i="7"/>
  <c r="F1943" i="7"/>
  <c r="E1943" i="7"/>
  <c r="D1943" i="7"/>
  <c r="C1943" i="7"/>
  <c r="B1943" i="7"/>
  <c r="A1943" i="7"/>
  <c r="K1942" i="7"/>
  <c r="J1942" i="7"/>
  <c r="I1942" i="7"/>
  <c r="H1942" i="7"/>
  <c r="G1942" i="7"/>
  <c r="F1942" i="7"/>
  <c r="E1942" i="7"/>
  <c r="D1942" i="7"/>
  <c r="C1942" i="7"/>
  <c r="B1942" i="7"/>
  <c r="A1942" i="7"/>
  <c r="K1941" i="7"/>
  <c r="J1941" i="7"/>
  <c r="I1941" i="7"/>
  <c r="H1941" i="7"/>
  <c r="G1941" i="7"/>
  <c r="F1941" i="7"/>
  <c r="E1941" i="7"/>
  <c r="D1941" i="7"/>
  <c r="C1941" i="7"/>
  <c r="B1941" i="7"/>
  <c r="A1941" i="7"/>
  <c r="K1940" i="7"/>
  <c r="J1940" i="7"/>
  <c r="I1940" i="7"/>
  <c r="H1940" i="7"/>
  <c r="G1940" i="7"/>
  <c r="F1940" i="7"/>
  <c r="E1940" i="7"/>
  <c r="D1940" i="7"/>
  <c r="C1940" i="7"/>
  <c r="B1940" i="7"/>
  <c r="A1940" i="7"/>
  <c r="K1939" i="7"/>
  <c r="J1939" i="7"/>
  <c r="I1939" i="7"/>
  <c r="H1939" i="7"/>
  <c r="G1939" i="7"/>
  <c r="F1939" i="7"/>
  <c r="E1939" i="7"/>
  <c r="D1939" i="7"/>
  <c r="C1939" i="7"/>
  <c r="B1939" i="7"/>
  <c r="A1939" i="7"/>
  <c r="K1938" i="7"/>
  <c r="J1938" i="7"/>
  <c r="I1938" i="7"/>
  <c r="H1938" i="7"/>
  <c r="G1938" i="7"/>
  <c r="F1938" i="7"/>
  <c r="E1938" i="7"/>
  <c r="D1938" i="7"/>
  <c r="C1938" i="7"/>
  <c r="B1938" i="7"/>
  <c r="A1938" i="7"/>
  <c r="K1937" i="7"/>
  <c r="J1937" i="7"/>
  <c r="I1937" i="7"/>
  <c r="H1937" i="7"/>
  <c r="G1937" i="7"/>
  <c r="F1937" i="7"/>
  <c r="E1937" i="7"/>
  <c r="D1937" i="7"/>
  <c r="C1937" i="7"/>
  <c r="B1937" i="7"/>
  <c r="A1937" i="7"/>
  <c r="K1936" i="7"/>
  <c r="J1936" i="7"/>
  <c r="I1936" i="7"/>
  <c r="H1936" i="7"/>
  <c r="G1936" i="7"/>
  <c r="F1936" i="7"/>
  <c r="E1936" i="7"/>
  <c r="D1936" i="7"/>
  <c r="C1936" i="7"/>
  <c r="B1936" i="7"/>
  <c r="A1936" i="7"/>
  <c r="K1935" i="7"/>
  <c r="J1935" i="7"/>
  <c r="I1935" i="7"/>
  <c r="H1935" i="7"/>
  <c r="G1935" i="7"/>
  <c r="F1935" i="7"/>
  <c r="E1935" i="7"/>
  <c r="D1935" i="7"/>
  <c r="C1935" i="7"/>
  <c r="B1935" i="7"/>
  <c r="A1935" i="7"/>
  <c r="K1934" i="7"/>
  <c r="J1934" i="7"/>
  <c r="I1934" i="7"/>
  <c r="H1934" i="7"/>
  <c r="G1934" i="7"/>
  <c r="F1934" i="7"/>
  <c r="E1934" i="7"/>
  <c r="D1934" i="7"/>
  <c r="C1934" i="7"/>
  <c r="B1934" i="7"/>
  <c r="A1934" i="7"/>
  <c r="K1933" i="7"/>
  <c r="J1933" i="7"/>
  <c r="I1933" i="7"/>
  <c r="H1933" i="7"/>
  <c r="G1933" i="7"/>
  <c r="F1933" i="7"/>
  <c r="E1933" i="7"/>
  <c r="D1933" i="7"/>
  <c r="C1933" i="7"/>
  <c r="B1933" i="7"/>
  <c r="A1933" i="7"/>
  <c r="K1932" i="7"/>
  <c r="J1932" i="7"/>
  <c r="I1932" i="7"/>
  <c r="H1932" i="7"/>
  <c r="G1932" i="7"/>
  <c r="F1932" i="7"/>
  <c r="E1932" i="7"/>
  <c r="D1932" i="7"/>
  <c r="C1932" i="7"/>
  <c r="B1932" i="7"/>
  <c r="A1932" i="7"/>
  <c r="K1931" i="7"/>
  <c r="J1931" i="7"/>
  <c r="I1931" i="7"/>
  <c r="H1931" i="7"/>
  <c r="G1931" i="7"/>
  <c r="F1931" i="7"/>
  <c r="E1931" i="7"/>
  <c r="D1931" i="7"/>
  <c r="C1931" i="7"/>
  <c r="B1931" i="7"/>
  <c r="A1931" i="7"/>
  <c r="K1930" i="7"/>
  <c r="J1930" i="7"/>
  <c r="I1930" i="7"/>
  <c r="H1930" i="7"/>
  <c r="G1930" i="7"/>
  <c r="F1930" i="7"/>
  <c r="E1930" i="7"/>
  <c r="D1930" i="7"/>
  <c r="C1930" i="7"/>
  <c r="B1930" i="7"/>
  <c r="A1930" i="7"/>
  <c r="K1929" i="7"/>
  <c r="J1929" i="7"/>
  <c r="I1929" i="7"/>
  <c r="H1929" i="7"/>
  <c r="G1929" i="7"/>
  <c r="F1929" i="7"/>
  <c r="E1929" i="7"/>
  <c r="D1929" i="7"/>
  <c r="C1929" i="7"/>
  <c r="B1929" i="7"/>
  <c r="A1929" i="7"/>
  <c r="K1928" i="7"/>
  <c r="J1928" i="7"/>
  <c r="I1928" i="7"/>
  <c r="H1928" i="7"/>
  <c r="G1928" i="7"/>
  <c r="F1928" i="7"/>
  <c r="E1928" i="7"/>
  <c r="D1928" i="7"/>
  <c r="C1928" i="7"/>
  <c r="B1928" i="7"/>
  <c r="A1928" i="7"/>
  <c r="K1927" i="7"/>
  <c r="J1927" i="7"/>
  <c r="I1927" i="7"/>
  <c r="H1927" i="7"/>
  <c r="G1927" i="7"/>
  <c r="F1927" i="7"/>
  <c r="E1927" i="7"/>
  <c r="D1927" i="7"/>
  <c r="C1927" i="7"/>
  <c r="B1927" i="7"/>
  <c r="A1927" i="7"/>
  <c r="K1926" i="7"/>
  <c r="J1926" i="7"/>
  <c r="I1926" i="7"/>
  <c r="H1926" i="7"/>
  <c r="G1926" i="7"/>
  <c r="F1926" i="7"/>
  <c r="E1926" i="7"/>
  <c r="D1926" i="7"/>
  <c r="C1926" i="7"/>
  <c r="B1926" i="7"/>
  <c r="A1926" i="7"/>
  <c r="K1925" i="7"/>
  <c r="J1925" i="7"/>
  <c r="I1925" i="7"/>
  <c r="H1925" i="7"/>
  <c r="G1925" i="7"/>
  <c r="F1925" i="7"/>
  <c r="E1925" i="7"/>
  <c r="D1925" i="7"/>
  <c r="C1925" i="7"/>
  <c r="B1925" i="7"/>
  <c r="A1925" i="7"/>
  <c r="K1924" i="7"/>
  <c r="J1924" i="7"/>
  <c r="I1924" i="7"/>
  <c r="H1924" i="7"/>
  <c r="G1924" i="7"/>
  <c r="F1924" i="7"/>
  <c r="E1924" i="7"/>
  <c r="D1924" i="7"/>
  <c r="C1924" i="7"/>
  <c r="B1924" i="7"/>
  <c r="A1924" i="7"/>
  <c r="K1923" i="7"/>
  <c r="J1923" i="7"/>
  <c r="I1923" i="7"/>
  <c r="H1923" i="7"/>
  <c r="G1923" i="7"/>
  <c r="F1923" i="7"/>
  <c r="E1923" i="7"/>
  <c r="D1923" i="7"/>
  <c r="C1923" i="7"/>
  <c r="B1923" i="7"/>
  <c r="A1923" i="7"/>
  <c r="K1922" i="7"/>
  <c r="J1922" i="7"/>
  <c r="I1922" i="7"/>
  <c r="H1922" i="7"/>
  <c r="G1922" i="7"/>
  <c r="F1922" i="7"/>
  <c r="E1922" i="7"/>
  <c r="D1922" i="7"/>
  <c r="C1922" i="7"/>
  <c r="B1922" i="7"/>
  <c r="A1922" i="7"/>
  <c r="K1921" i="7"/>
  <c r="J1921" i="7"/>
  <c r="I1921" i="7"/>
  <c r="H1921" i="7"/>
  <c r="G1921" i="7"/>
  <c r="F1921" i="7"/>
  <c r="E1921" i="7"/>
  <c r="D1921" i="7"/>
  <c r="C1921" i="7"/>
  <c r="B1921" i="7"/>
  <c r="A1921" i="7"/>
  <c r="K1920" i="7"/>
  <c r="J1920" i="7"/>
  <c r="I1920" i="7"/>
  <c r="H1920" i="7"/>
  <c r="G1920" i="7"/>
  <c r="F1920" i="7"/>
  <c r="E1920" i="7"/>
  <c r="D1920" i="7"/>
  <c r="C1920" i="7"/>
  <c r="B1920" i="7"/>
  <c r="A1920" i="7"/>
  <c r="K1919" i="7"/>
  <c r="J1919" i="7"/>
  <c r="I1919" i="7"/>
  <c r="H1919" i="7"/>
  <c r="G1919" i="7"/>
  <c r="F1919" i="7"/>
  <c r="E1919" i="7"/>
  <c r="D1919" i="7"/>
  <c r="C1919" i="7"/>
  <c r="B1919" i="7"/>
  <c r="A1919" i="7"/>
  <c r="K1918" i="7"/>
  <c r="J1918" i="7"/>
  <c r="I1918" i="7"/>
  <c r="H1918" i="7"/>
  <c r="G1918" i="7"/>
  <c r="F1918" i="7"/>
  <c r="E1918" i="7"/>
  <c r="D1918" i="7"/>
  <c r="C1918" i="7"/>
  <c r="B1918" i="7"/>
  <c r="A1918" i="7"/>
  <c r="K1917" i="7"/>
  <c r="J1917" i="7"/>
  <c r="I1917" i="7"/>
  <c r="H1917" i="7"/>
  <c r="G1917" i="7"/>
  <c r="F1917" i="7"/>
  <c r="E1917" i="7"/>
  <c r="D1917" i="7"/>
  <c r="C1917" i="7"/>
  <c r="B1917" i="7"/>
  <c r="A1917" i="7"/>
  <c r="K1916" i="7"/>
  <c r="J1916" i="7"/>
  <c r="I1916" i="7"/>
  <c r="H1916" i="7"/>
  <c r="G1916" i="7"/>
  <c r="F1916" i="7"/>
  <c r="E1916" i="7"/>
  <c r="D1916" i="7"/>
  <c r="C1916" i="7"/>
  <c r="B1916" i="7"/>
  <c r="A1916" i="7"/>
  <c r="K1915" i="7"/>
  <c r="J1915" i="7"/>
  <c r="I1915" i="7"/>
  <c r="H1915" i="7"/>
  <c r="G1915" i="7"/>
  <c r="F1915" i="7"/>
  <c r="E1915" i="7"/>
  <c r="D1915" i="7"/>
  <c r="C1915" i="7"/>
  <c r="B1915" i="7"/>
  <c r="A1915" i="7"/>
  <c r="K1914" i="7"/>
  <c r="J1914" i="7"/>
  <c r="I1914" i="7"/>
  <c r="H1914" i="7"/>
  <c r="G1914" i="7"/>
  <c r="F1914" i="7"/>
  <c r="E1914" i="7"/>
  <c r="D1914" i="7"/>
  <c r="C1914" i="7"/>
  <c r="B1914" i="7"/>
  <c r="A1914" i="7"/>
  <c r="K1913" i="7"/>
  <c r="J1913" i="7"/>
  <c r="I1913" i="7"/>
  <c r="H1913" i="7"/>
  <c r="G1913" i="7"/>
  <c r="F1913" i="7"/>
  <c r="E1913" i="7"/>
  <c r="D1913" i="7"/>
  <c r="C1913" i="7"/>
  <c r="B1913" i="7"/>
  <c r="A1913" i="7"/>
  <c r="K1912" i="7"/>
  <c r="J1912" i="7"/>
  <c r="I1912" i="7"/>
  <c r="H1912" i="7"/>
  <c r="G1912" i="7"/>
  <c r="F1912" i="7"/>
  <c r="E1912" i="7"/>
  <c r="D1912" i="7"/>
  <c r="C1912" i="7"/>
  <c r="B1912" i="7"/>
  <c r="A1912" i="7"/>
  <c r="K1911" i="7"/>
  <c r="J1911" i="7"/>
  <c r="I1911" i="7"/>
  <c r="H1911" i="7"/>
  <c r="G1911" i="7"/>
  <c r="F1911" i="7"/>
  <c r="E1911" i="7"/>
  <c r="D1911" i="7"/>
  <c r="C1911" i="7"/>
  <c r="B1911" i="7"/>
  <c r="A1911" i="7"/>
  <c r="K1910" i="7"/>
  <c r="J1910" i="7"/>
  <c r="I1910" i="7"/>
  <c r="H1910" i="7"/>
  <c r="G1910" i="7"/>
  <c r="F1910" i="7"/>
  <c r="E1910" i="7"/>
  <c r="D1910" i="7"/>
  <c r="C1910" i="7"/>
  <c r="B1910" i="7"/>
  <c r="A1910" i="7"/>
  <c r="K1909" i="7"/>
  <c r="J1909" i="7"/>
  <c r="I1909" i="7"/>
  <c r="H1909" i="7"/>
  <c r="G1909" i="7"/>
  <c r="F1909" i="7"/>
  <c r="E1909" i="7"/>
  <c r="D1909" i="7"/>
  <c r="C1909" i="7"/>
  <c r="B1909" i="7"/>
  <c r="A1909" i="7"/>
  <c r="K1908" i="7"/>
  <c r="J1908" i="7"/>
  <c r="I1908" i="7"/>
  <c r="H1908" i="7"/>
  <c r="G1908" i="7"/>
  <c r="F1908" i="7"/>
  <c r="E1908" i="7"/>
  <c r="D1908" i="7"/>
  <c r="C1908" i="7"/>
  <c r="B1908" i="7"/>
  <c r="A1908" i="7"/>
  <c r="K1907" i="7"/>
  <c r="J1907" i="7"/>
  <c r="I1907" i="7"/>
  <c r="H1907" i="7"/>
  <c r="G1907" i="7"/>
  <c r="F1907" i="7"/>
  <c r="E1907" i="7"/>
  <c r="D1907" i="7"/>
  <c r="C1907" i="7"/>
  <c r="B1907" i="7"/>
  <c r="A1907" i="7"/>
  <c r="K1906" i="7"/>
  <c r="J1906" i="7"/>
  <c r="I1906" i="7"/>
  <c r="H1906" i="7"/>
  <c r="G1906" i="7"/>
  <c r="F1906" i="7"/>
  <c r="E1906" i="7"/>
  <c r="D1906" i="7"/>
  <c r="C1906" i="7"/>
  <c r="B1906" i="7"/>
  <c r="A1906" i="7"/>
  <c r="K1905" i="7"/>
  <c r="J1905" i="7"/>
  <c r="I1905" i="7"/>
  <c r="H1905" i="7"/>
  <c r="G1905" i="7"/>
  <c r="F1905" i="7"/>
  <c r="E1905" i="7"/>
  <c r="D1905" i="7"/>
  <c r="C1905" i="7"/>
  <c r="B1905" i="7"/>
  <c r="A1905" i="7"/>
  <c r="K1904" i="7"/>
  <c r="J1904" i="7"/>
  <c r="I1904" i="7"/>
  <c r="H1904" i="7"/>
  <c r="G1904" i="7"/>
  <c r="F1904" i="7"/>
  <c r="E1904" i="7"/>
  <c r="D1904" i="7"/>
  <c r="C1904" i="7"/>
  <c r="B1904" i="7"/>
  <c r="A1904" i="7"/>
  <c r="K1903" i="7"/>
  <c r="J1903" i="7"/>
  <c r="I1903" i="7"/>
  <c r="H1903" i="7"/>
  <c r="G1903" i="7"/>
  <c r="F1903" i="7"/>
  <c r="E1903" i="7"/>
  <c r="D1903" i="7"/>
  <c r="C1903" i="7"/>
  <c r="B1903" i="7"/>
  <c r="A1903" i="7"/>
  <c r="K1902" i="7"/>
  <c r="J1902" i="7"/>
  <c r="I1902" i="7"/>
  <c r="H1902" i="7"/>
  <c r="G1902" i="7"/>
  <c r="F1902" i="7"/>
  <c r="E1902" i="7"/>
  <c r="D1902" i="7"/>
  <c r="C1902" i="7"/>
  <c r="B1902" i="7"/>
  <c r="A1902" i="7"/>
  <c r="K1901" i="7"/>
  <c r="J1901" i="7"/>
  <c r="I1901" i="7"/>
  <c r="H1901" i="7"/>
  <c r="G1901" i="7"/>
  <c r="F1901" i="7"/>
  <c r="E1901" i="7"/>
  <c r="D1901" i="7"/>
  <c r="C1901" i="7"/>
  <c r="B1901" i="7"/>
  <c r="A1901" i="7"/>
  <c r="K1900" i="7"/>
  <c r="J1900" i="7"/>
  <c r="I1900" i="7"/>
  <c r="H1900" i="7"/>
  <c r="G1900" i="7"/>
  <c r="F1900" i="7"/>
  <c r="E1900" i="7"/>
  <c r="D1900" i="7"/>
  <c r="C1900" i="7"/>
  <c r="B1900" i="7"/>
  <c r="A1900" i="7"/>
  <c r="K1899" i="7"/>
  <c r="J1899" i="7"/>
  <c r="I1899" i="7"/>
  <c r="H1899" i="7"/>
  <c r="G1899" i="7"/>
  <c r="F1899" i="7"/>
  <c r="E1899" i="7"/>
  <c r="D1899" i="7"/>
  <c r="C1899" i="7"/>
  <c r="B1899" i="7"/>
  <c r="A1899" i="7"/>
  <c r="K1898" i="7"/>
  <c r="J1898" i="7"/>
  <c r="I1898" i="7"/>
  <c r="H1898" i="7"/>
  <c r="G1898" i="7"/>
  <c r="F1898" i="7"/>
  <c r="E1898" i="7"/>
  <c r="D1898" i="7"/>
  <c r="C1898" i="7"/>
  <c r="B1898" i="7"/>
  <c r="A1898" i="7"/>
  <c r="K1897" i="7"/>
  <c r="J1897" i="7"/>
  <c r="I1897" i="7"/>
  <c r="H1897" i="7"/>
  <c r="G1897" i="7"/>
  <c r="F1897" i="7"/>
  <c r="E1897" i="7"/>
  <c r="D1897" i="7"/>
  <c r="C1897" i="7"/>
  <c r="B1897" i="7"/>
  <c r="A1897" i="7"/>
  <c r="K1896" i="7"/>
  <c r="J1896" i="7"/>
  <c r="I1896" i="7"/>
  <c r="H1896" i="7"/>
  <c r="G1896" i="7"/>
  <c r="F1896" i="7"/>
  <c r="E1896" i="7"/>
  <c r="D1896" i="7"/>
  <c r="C1896" i="7"/>
  <c r="B1896" i="7"/>
  <c r="A1896" i="7"/>
  <c r="K1895" i="7"/>
  <c r="J1895" i="7"/>
  <c r="I1895" i="7"/>
  <c r="H1895" i="7"/>
  <c r="G1895" i="7"/>
  <c r="F1895" i="7"/>
  <c r="E1895" i="7"/>
  <c r="D1895" i="7"/>
  <c r="C1895" i="7"/>
  <c r="B1895" i="7"/>
  <c r="A1895" i="7"/>
  <c r="K1894" i="7"/>
  <c r="J1894" i="7"/>
  <c r="I1894" i="7"/>
  <c r="H1894" i="7"/>
  <c r="G1894" i="7"/>
  <c r="F1894" i="7"/>
  <c r="E1894" i="7"/>
  <c r="D1894" i="7"/>
  <c r="C1894" i="7"/>
  <c r="B1894" i="7"/>
  <c r="A1894" i="7"/>
  <c r="K1893" i="7"/>
  <c r="J1893" i="7"/>
  <c r="I1893" i="7"/>
  <c r="H1893" i="7"/>
  <c r="G1893" i="7"/>
  <c r="F1893" i="7"/>
  <c r="E1893" i="7"/>
  <c r="D1893" i="7"/>
  <c r="C1893" i="7"/>
  <c r="B1893" i="7"/>
  <c r="A1893" i="7"/>
  <c r="K1892" i="7"/>
  <c r="J1892" i="7"/>
  <c r="I1892" i="7"/>
  <c r="H1892" i="7"/>
  <c r="G1892" i="7"/>
  <c r="F1892" i="7"/>
  <c r="E1892" i="7"/>
  <c r="D1892" i="7"/>
  <c r="C1892" i="7"/>
  <c r="B1892" i="7"/>
  <c r="A1892" i="7"/>
  <c r="K1891" i="7"/>
  <c r="J1891" i="7"/>
  <c r="I1891" i="7"/>
  <c r="H1891" i="7"/>
  <c r="G1891" i="7"/>
  <c r="F1891" i="7"/>
  <c r="E1891" i="7"/>
  <c r="D1891" i="7"/>
  <c r="C1891" i="7"/>
  <c r="B1891" i="7"/>
  <c r="A1891" i="7"/>
  <c r="K1890" i="7"/>
  <c r="J1890" i="7"/>
  <c r="I1890" i="7"/>
  <c r="H1890" i="7"/>
  <c r="G1890" i="7"/>
  <c r="F1890" i="7"/>
  <c r="E1890" i="7"/>
  <c r="D1890" i="7"/>
  <c r="C1890" i="7"/>
  <c r="B1890" i="7"/>
  <c r="A1890" i="7"/>
  <c r="K1889" i="7"/>
  <c r="J1889" i="7"/>
  <c r="I1889" i="7"/>
  <c r="H1889" i="7"/>
  <c r="G1889" i="7"/>
  <c r="F1889" i="7"/>
  <c r="E1889" i="7"/>
  <c r="D1889" i="7"/>
  <c r="C1889" i="7"/>
  <c r="B1889" i="7"/>
  <c r="A1889" i="7"/>
  <c r="K1888" i="7"/>
  <c r="J1888" i="7"/>
  <c r="I1888" i="7"/>
  <c r="H1888" i="7"/>
  <c r="G1888" i="7"/>
  <c r="F1888" i="7"/>
  <c r="E1888" i="7"/>
  <c r="D1888" i="7"/>
  <c r="C1888" i="7"/>
  <c r="B1888" i="7"/>
  <c r="A1888" i="7"/>
  <c r="K1887" i="7"/>
  <c r="J1887" i="7"/>
  <c r="I1887" i="7"/>
  <c r="H1887" i="7"/>
  <c r="G1887" i="7"/>
  <c r="F1887" i="7"/>
  <c r="E1887" i="7"/>
  <c r="D1887" i="7"/>
  <c r="C1887" i="7"/>
  <c r="B1887" i="7"/>
  <c r="A1887" i="7"/>
  <c r="K1886" i="7"/>
  <c r="J1886" i="7"/>
  <c r="I1886" i="7"/>
  <c r="H1886" i="7"/>
  <c r="G1886" i="7"/>
  <c r="F1886" i="7"/>
  <c r="E1886" i="7"/>
  <c r="D1886" i="7"/>
  <c r="C1886" i="7"/>
  <c r="B1886" i="7"/>
  <c r="A1886" i="7"/>
  <c r="K1885" i="7"/>
  <c r="J1885" i="7"/>
  <c r="I1885" i="7"/>
  <c r="H1885" i="7"/>
  <c r="G1885" i="7"/>
  <c r="F1885" i="7"/>
  <c r="E1885" i="7"/>
  <c r="D1885" i="7"/>
  <c r="C1885" i="7"/>
  <c r="B1885" i="7"/>
  <c r="A1885" i="7"/>
  <c r="K1884" i="7"/>
  <c r="J1884" i="7"/>
  <c r="I1884" i="7"/>
  <c r="H1884" i="7"/>
  <c r="G1884" i="7"/>
  <c r="F1884" i="7"/>
  <c r="E1884" i="7"/>
  <c r="D1884" i="7"/>
  <c r="C1884" i="7"/>
  <c r="B1884" i="7"/>
  <c r="A1884" i="7"/>
  <c r="K1883" i="7"/>
  <c r="J1883" i="7"/>
  <c r="I1883" i="7"/>
  <c r="H1883" i="7"/>
  <c r="G1883" i="7"/>
  <c r="F1883" i="7"/>
  <c r="E1883" i="7"/>
  <c r="D1883" i="7"/>
  <c r="C1883" i="7"/>
  <c r="B1883" i="7"/>
  <c r="A1883" i="7"/>
  <c r="K1882" i="7"/>
  <c r="J1882" i="7"/>
  <c r="I1882" i="7"/>
  <c r="H1882" i="7"/>
  <c r="G1882" i="7"/>
  <c r="F1882" i="7"/>
  <c r="E1882" i="7"/>
  <c r="D1882" i="7"/>
  <c r="C1882" i="7"/>
  <c r="B1882" i="7"/>
  <c r="A1882" i="7"/>
  <c r="K1881" i="7"/>
  <c r="J1881" i="7"/>
  <c r="I1881" i="7"/>
  <c r="H1881" i="7"/>
  <c r="G1881" i="7"/>
  <c r="F1881" i="7"/>
  <c r="E1881" i="7"/>
  <c r="D1881" i="7"/>
  <c r="C1881" i="7"/>
  <c r="B1881" i="7"/>
  <c r="A1881" i="7"/>
  <c r="K1880" i="7"/>
  <c r="J1880" i="7"/>
  <c r="I1880" i="7"/>
  <c r="H1880" i="7"/>
  <c r="G1880" i="7"/>
  <c r="F1880" i="7"/>
  <c r="E1880" i="7"/>
  <c r="D1880" i="7"/>
  <c r="C1880" i="7"/>
  <c r="B1880" i="7"/>
  <c r="A1880" i="7"/>
  <c r="K1879" i="7"/>
  <c r="J1879" i="7"/>
  <c r="I1879" i="7"/>
  <c r="H1879" i="7"/>
  <c r="G1879" i="7"/>
  <c r="F1879" i="7"/>
  <c r="E1879" i="7"/>
  <c r="D1879" i="7"/>
  <c r="C1879" i="7"/>
  <c r="B1879" i="7"/>
  <c r="A1879" i="7"/>
  <c r="K1878" i="7"/>
  <c r="J1878" i="7"/>
  <c r="I1878" i="7"/>
  <c r="H1878" i="7"/>
  <c r="G1878" i="7"/>
  <c r="F1878" i="7"/>
  <c r="E1878" i="7"/>
  <c r="D1878" i="7"/>
  <c r="C1878" i="7"/>
  <c r="B1878" i="7"/>
  <c r="A1878" i="7"/>
  <c r="K1877" i="7"/>
  <c r="J1877" i="7"/>
  <c r="I1877" i="7"/>
  <c r="H1877" i="7"/>
  <c r="G1877" i="7"/>
  <c r="F1877" i="7"/>
  <c r="E1877" i="7"/>
  <c r="D1877" i="7"/>
  <c r="C1877" i="7"/>
  <c r="B1877" i="7"/>
  <c r="A1877" i="7"/>
  <c r="K1876" i="7"/>
  <c r="J1876" i="7"/>
  <c r="I1876" i="7"/>
  <c r="H1876" i="7"/>
  <c r="G1876" i="7"/>
  <c r="F1876" i="7"/>
  <c r="E1876" i="7"/>
  <c r="D1876" i="7"/>
  <c r="C1876" i="7"/>
  <c r="B1876" i="7"/>
  <c r="A1876" i="7"/>
  <c r="K1875" i="7"/>
  <c r="J1875" i="7"/>
  <c r="I1875" i="7"/>
  <c r="H1875" i="7"/>
  <c r="G1875" i="7"/>
  <c r="F1875" i="7"/>
  <c r="E1875" i="7"/>
  <c r="D1875" i="7"/>
  <c r="C1875" i="7"/>
  <c r="B1875" i="7"/>
  <c r="A1875" i="7"/>
  <c r="K1874" i="7"/>
  <c r="J1874" i="7"/>
  <c r="I1874" i="7"/>
  <c r="H1874" i="7"/>
  <c r="G1874" i="7"/>
  <c r="F1874" i="7"/>
  <c r="E1874" i="7"/>
  <c r="D1874" i="7"/>
  <c r="C1874" i="7"/>
  <c r="B1874" i="7"/>
  <c r="A1874" i="7"/>
  <c r="K1873" i="7"/>
  <c r="J1873" i="7"/>
  <c r="I1873" i="7"/>
  <c r="H1873" i="7"/>
  <c r="G1873" i="7"/>
  <c r="F1873" i="7"/>
  <c r="E1873" i="7"/>
  <c r="D1873" i="7"/>
  <c r="C1873" i="7"/>
  <c r="B1873" i="7"/>
  <c r="A1873" i="7"/>
  <c r="K1872" i="7"/>
  <c r="J1872" i="7"/>
  <c r="I1872" i="7"/>
  <c r="H1872" i="7"/>
  <c r="G1872" i="7"/>
  <c r="F1872" i="7"/>
  <c r="E1872" i="7"/>
  <c r="D1872" i="7"/>
  <c r="C1872" i="7"/>
  <c r="B1872" i="7"/>
  <c r="A1872" i="7"/>
  <c r="K1871" i="7"/>
  <c r="J1871" i="7"/>
  <c r="I1871" i="7"/>
  <c r="H1871" i="7"/>
  <c r="G1871" i="7"/>
  <c r="F1871" i="7"/>
  <c r="E1871" i="7"/>
  <c r="D1871" i="7"/>
  <c r="C1871" i="7"/>
  <c r="B1871" i="7"/>
  <c r="A1871" i="7"/>
  <c r="K1870" i="7"/>
  <c r="J1870" i="7"/>
  <c r="I1870" i="7"/>
  <c r="H1870" i="7"/>
  <c r="G1870" i="7"/>
  <c r="F1870" i="7"/>
  <c r="E1870" i="7"/>
  <c r="D1870" i="7"/>
  <c r="C1870" i="7"/>
  <c r="B1870" i="7"/>
  <c r="A1870" i="7"/>
  <c r="K1869" i="7"/>
  <c r="J1869" i="7"/>
  <c r="I1869" i="7"/>
  <c r="H1869" i="7"/>
  <c r="G1869" i="7"/>
  <c r="F1869" i="7"/>
  <c r="E1869" i="7"/>
  <c r="D1869" i="7"/>
  <c r="C1869" i="7"/>
  <c r="B1869" i="7"/>
  <c r="A1869" i="7"/>
  <c r="K1868" i="7"/>
  <c r="J1868" i="7"/>
  <c r="I1868" i="7"/>
  <c r="H1868" i="7"/>
  <c r="G1868" i="7"/>
  <c r="F1868" i="7"/>
  <c r="E1868" i="7"/>
  <c r="D1868" i="7"/>
  <c r="C1868" i="7"/>
  <c r="B1868" i="7"/>
  <c r="A1868" i="7"/>
  <c r="K1867" i="7"/>
  <c r="J1867" i="7"/>
  <c r="I1867" i="7"/>
  <c r="H1867" i="7"/>
  <c r="G1867" i="7"/>
  <c r="F1867" i="7"/>
  <c r="E1867" i="7"/>
  <c r="D1867" i="7"/>
  <c r="C1867" i="7"/>
  <c r="B1867" i="7"/>
  <c r="A1867" i="7"/>
  <c r="K1866" i="7"/>
  <c r="J1866" i="7"/>
  <c r="I1866" i="7"/>
  <c r="H1866" i="7"/>
  <c r="G1866" i="7"/>
  <c r="F1866" i="7"/>
  <c r="E1866" i="7"/>
  <c r="D1866" i="7"/>
  <c r="C1866" i="7"/>
  <c r="B1866" i="7"/>
  <c r="A1866" i="7"/>
  <c r="K1865" i="7"/>
  <c r="J1865" i="7"/>
  <c r="I1865" i="7"/>
  <c r="H1865" i="7"/>
  <c r="G1865" i="7"/>
  <c r="F1865" i="7"/>
  <c r="E1865" i="7"/>
  <c r="D1865" i="7"/>
  <c r="C1865" i="7"/>
  <c r="B1865" i="7"/>
  <c r="A1865" i="7"/>
  <c r="K1864" i="7"/>
  <c r="J1864" i="7"/>
  <c r="I1864" i="7"/>
  <c r="H1864" i="7"/>
  <c r="G1864" i="7"/>
  <c r="F1864" i="7"/>
  <c r="E1864" i="7"/>
  <c r="D1864" i="7"/>
  <c r="C1864" i="7"/>
  <c r="B1864" i="7"/>
  <c r="A1864" i="7"/>
  <c r="K1863" i="7"/>
  <c r="J1863" i="7"/>
  <c r="I1863" i="7"/>
  <c r="H1863" i="7"/>
  <c r="G1863" i="7"/>
  <c r="F1863" i="7"/>
  <c r="E1863" i="7"/>
  <c r="D1863" i="7"/>
  <c r="C1863" i="7"/>
  <c r="B1863" i="7"/>
  <c r="A1863" i="7"/>
  <c r="K1862" i="7"/>
  <c r="J1862" i="7"/>
  <c r="I1862" i="7"/>
  <c r="H1862" i="7"/>
  <c r="G1862" i="7"/>
  <c r="F1862" i="7"/>
  <c r="E1862" i="7"/>
  <c r="D1862" i="7"/>
  <c r="C1862" i="7"/>
  <c r="B1862" i="7"/>
  <c r="A1862" i="7"/>
  <c r="K1861" i="7"/>
  <c r="J1861" i="7"/>
  <c r="I1861" i="7"/>
  <c r="H1861" i="7"/>
  <c r="G1861" i="7"/>
  <c r="F1861" i="7"/>
  <c r="E1861" i="7"/>
  <c r="D1861" i="7"/>
  <c r="C1861" i="7"/>
  <c r="B1861" i="7"/>
  <c r="A1861" i="7"/>
  <c r="K1860" i="7"/>
  <c r="J1860" i="7"/>
  <c r="I1860" i="7"/>
  <c r="H1860" i="7"/>
  <c r="G1860" i="7"/>
  <c r="F1860" i="7"/>
  <c r="E1860" i="7"/>
  <c r="D1860" i="7"/>
  <c r="C1860" i="7"/>
  <c r="B1860" i="7"/>
  <c r="A1860" i="7"/>
  <c r="K1859" i="7"/>
  <c r="J1859" i="7"/>
  <c r="I1859" i="7"/>
  <c r="H1859" i="7"/>
  <c r="G1859" i="7"/>
  <c r="F1859" i="7"/>
  <c r="E1859" i="7"/>
  <c r="D1859" i="7"/>
  <c r="C1859" i="7"/>
  <c r="B1859" i="7"/>
  <c r="A1859" i="7"/>
  <c r="K1858" i="7"/>
  <c r="J1858" i="7"/>
  <c r="I1858" i="7"/>
  <c r="H1858" i="7"/>
  <c r="G1858" i="7"/>
  <c r="F1858" i="7"/>
  <c r="E1858" i="7"/>
  <c r="D1858" i="7"/>
  <c r="C1858" i="7"/>
  <c r="B1858" i="7"/>
  <c r="A1858" i="7"/>
  <c r="K1857" i="7"/>
  <c r="J1857" i="7"/>
  <c r="I1857" i="7"/>
  <c r="H1857" i="7"/>
  <c r="G1857" i="7"/>
  <c r="F1857" i="7"/>
  <c r="E1857" i="7"/>
  <c r="D1857" i="7"/>
  <c r="C1857" i="7"/>
  <c r="B1857" i="7"/>
  <c r="A1857" i="7"/>
  <c r="K1856" i="7"/>
  <c r="J1856" i="7"/>
  <c r="I1856" i="7"/>
  <c r="H1856" i="7"/>
  <c r="G1856" i="7"/>
  <c r="F1856" i="7"/>
  <c r="E1856" i="7"/>
  <c r="D1856" i="7"/>
  <c r="C1856" i="7"/>
  <c r="B1856" i="7"/>
  <c r="A1856" i="7"/>
  <c r="K1855" i="7"/>
  <c r="J1855" i="7"/>
  <c r="I1855" i="7"/>
  <c r="H1855" i="7"/>
  <c r="G1855" i="7"/>
  <c r="F1855" i="7"/>
  <c r="E1855" i="7"/>
  <c r="D1855" i="7"/>
  <c r="C1855" i="7"/>
  <c r="B1855" i="7"/>
  <c r="A1855" i="7"/>
  <c r="K1854" i="7"/>
  <c r="J1854" i="7"/>
  <c r="I1854" i="7"/>
  <c r="H1854" i="7"/>
  <c r="G1854" i="7"/>
  <c r="F1854" i="7"/>
  <c r="E1854" i="7"/>
  <c r="D1854" i="7"/>
  <c r="C1854" i="7"/>
  <c r="B1854" i="7"/>
  <c r="A1854" i="7"/>
  <c r="K1853" i="7"/>
  <c r="J1853" i="7"/>
  <c r="I1853" i="7"/>
  <c r="H1853" i="7"/>
  <c r="G1853" i="7"/>
  <c r="F1853" i="7"/>
  <c r="E1853" i="7"/>
  <c r="D1853" i="7"/>
  <c r="C1853" i="7"/>
  <c r="B1853" i="7"/>
  <c r="A1853" i="7"/>
  <c r="K1852" i="7"/>
  <c r="J1852" i="7"/>
  <c r="I1852" i="7"/>
  <c r="H1852" i="7"/>
  <c r="G1852" i="7"/>
  <c r="F1852" i="7"/>
  <c r="E1852" i="7"/>
  <c r="D1852" i="7"/>
  <c r="C1852" i="7"/>
  <c r="B1852" i="7"/>
  <c r="A1852" i="7"/>
  <c r="K1851" i="7"/>
  <c r="J1851" i="7"/>
  <c r="I1851" i="7"/>
  <c r="H1851" i="7"/>
  <c r="G1851" i="7"/>
  <c r="F1851" i="7"/>
  <c r="E1851" i="7"/>
  <c r="D1851" i="7"/>
  <c r="C1851" i="7"/>
  <c r="B1851" i="7"/>
  <c r="A1851" i="7"/>
  <c r="K1850" i="7"/>
  <c r="J1850" i="7"/>
  <c r="I1850" i="7"/>
  <c r="H1850" i="7"/>
  <c r="G1850" i="7"/>
  <c r="F1850" i="7"/>
  <c r="E1850" i="7"/>
  <c r="D1850" i="7"/>
  <c r="C1850" i="7"/>
  <c r="B1850" i="7"/>
  <c r="A1850" i="7"/>
  <c r="K1849" i="7"/>
  <c r="J1849" i="7"/>
  <c r="I1849" i="7"/>
  <c r="H1849" i="7"/>
  <c r="G1849" i="7"/>
  <c r="F1849" i="7"/>
  <c r="E1849" i="7"/>
  <c r="D1849" i="7"/>
  <c r="C1849" i="7"/>
  <c r="B1849" i="7"/>
  <c r="A1849" i="7"/>
  <c r="K1848" i="7"/>
  <c r="J1848" i="7"/>
  <c r="I1848" i="7"/>
  <c r="H1848" i="7"/>
  <c r="G1848" i="7"/>
  <c r="F1848" i="7"/>
  <c r="E1848" i="7"/>
  <c r="D1848" i="7"/>
  <c r="C1848" i="7"/>
  <c r="B1848" i="7"/>
  <c r="A1848" i="7"/>
  <c r="K1847" i="7"/>
  <c r="J1847" i="7"/>
  <c r="I1847" i="7"/>
  <c r="H1847" i="7"/>
  <c r="G1847" i="7"/>
  <c r="F1847" i="7"/>
  <c r="E1847" i="7"/>
  <c r="D1847" i="7"/>
  <c r="C1847" i="7"/>
  <c r="B1847" i="7"/>
  <c r="A1847" i="7"/>
  <c r="K1846" i="7"/>
  <c r="J1846" i="7"/>
  <c r="I1846" i="7"/>
  <c r="H1846" i="7"/>
  <c r="G1846" i="7"/>
  <c r="F1846" i="7"/>
  <c r="E1846" i="7"/>
  <c r="D1846" i="7"/>
  <c r="C1846" i="7"/>
  <c r="B1846" i="7"/>
  <c r="A1846" i="7"/>
  <c r="K1845" i="7"/>
  <c r="J1845" i="7"/>
  <c r="I1845" i="7"/>
  <c r="H1845" i="7"/>
  <c r="G1845" i="7"/>
  <c r="F1845" i="7"/>
  <c r="E1845" i="7"/>
  <c r="D1845" i="7"/>
  <c r="C1845" i="7"/>
  <c r="B1845" i="7"/>
  <c r="A1845" i="7"/>
  <c r="K1844" i="7"/>
  <c r="J1844" i="7"/>
  <c r="I1844" i="7"/>
  <c r="H1844" i="7"/>
  <c r="G1844" i="7"/>
  <c r="F1844" i="7"/>
  <c r="E1844" i="7"/>
  <c r="D1844" i="7"/>
  <c r="C1844" i="7"/>
  <c r="B1844" i="7"/>
  <c r="A1844" i="7"/>
  <c r="K1843" i="7"/>
  <c r="J1843" i="7"/>
  <c r="I1843" i="7"/>
  <c r="H1843" i="7"/>
  <c r="G1843" i="7"/>
  <c r="F1843" i="7"/>
  <c r="E1843" i="7"/>
  <c r="D1843" i="7"/>
  <c r="C1843" i="7"/>
  <c r="B1843" i="7"/>
  <c r="A1843" i="7"/>
  <c r="K1842" i="7"/>
  <c r="J1842" i="7"/>
  <c r="I1842" i="7"/>
  <c r="H1842" i="7"/>
  <c r="G1842" i="7"/>
  <c r="F1842" i="7"/>
  <c r="E1842" i="7"/>
  <c r="D1842" i="7"/>
  <c r="C1842" i="7"/>
  <c r="B1842" i="7"/>
  <c r="A1842" i="7"/>
  <c r="K1841" i="7"/>
  <c r="J1841" i="7"/>
  <c r="I1841" i="7"/>
  <c r="H1841" i="7"/>
  <c r="G1841" i="7"/>
  <c r="F1841" i="7"/>
  <c r="E1841" i="7"/>
  <c r="D1841" i="7"/>
  <c r="C1841" i="7"/>
  <c r="B1841" i="7"/>
  <c r="A1841" i="7"/>
  <c r="K1840" i="7"/>
  <c r="J1840" i="7"/>
  <c r="I1840" i="7"/>
  <c r="H1840" i="7"/>
  <c r="G1840" i="7"/>
  <c r="F1840" i="7"/>
  <c r="E1840" i="7"/>
  <c r="D1840" i="7"/>
  <c r="C1840" i="7"/>
  <c r="B1840" i="7"/>
  <c r="A1840" i="7"/>
  <c r="K1839" i="7"/>
  <c r="J1839" i="7"/>
  <c r="I1839" i="7"/>
  <c r="H1839" i="7"/>
  <c r="G1839" i="7"/>
  <c r="F1839" i="7"/>
  <c r="E1839" i="7"/>
  <c r="D1839" i="7"/>
  <c r="C1839" i="7"/>
  <c r="B1839" i="7"/>
  <c r="A1839" i="7"/>
  <c r="K1838" i="7"/>
  <c r="J1838" i="7"/>
  <c r="I1838" i="7"/>
  <c r="H1838" i="7"/>
  <c r="G1838" i="7"/>
  <c r="F1838" i="7"/>
  <c r="E1838" i="7"/>
  <c r="D1838" i="7"/>
  <c r="C1838" i="7"/>
  <c r="B1838" i="7"/>
  <c r="A1838" i="7"/>
  <c r="K1837" i="7"/>
  <c r="J1837" i="7"/>
  <c r="I1837" i="7"/>
  <c r="H1837" i="7"/>
  <c r="G1837" i="7"/>
  <c r="F1837" i="7"/>
  <c r="E1837" i="7"/>
  <c r="D1837" i="7"/>
  <c r="C1837" i="7"/>
  <c r="B1837" i="7"/>
  <c r="A1837" i="7"/>
  <c r="K1836" i="7"/>
  <c r="J1836" i="7"/>
  <c r="I1836" i="7"/>
  <c r="H1836" i="7"/>
  <c r="G1836" i="7"/>
  <c r="F1836" i="7"/>
  <c r="E1836" i="7"/>
  <c r="D1836" i="7"/>
  <c r="C1836" i="7"/>
  <c r="B1836" i="7"/>
  <c r="A1836" i="7"/>
  <c r="K1835" i="7"/>
  <c r="J1835" i="7"/>
  <c r="I1835" i="7"/>
  <c r="H1835" i="7"/>
  <c r="G1835" i="7"/>
  <c r="F1835" i="7"/>
  <c r="E1835" i="7"/>
  <c r="D1835" i="7"/>
  <c r="C1835" i="7"/>
  <c r="B1835" i="7"/>
  <c r="A1835" i="7"/>
  <c r="K1834" i="7"/>
  <c r="J1834" i="7"/>
  <c r="I1834" i="7"/>
  <c r="H1834" i="7"/>
  <c r="G1834" i="7"/>
  <c r="F1834" i="7"/>
  <c r="E1834" i="7"/>
  <c r="D1834" i="7"/>
  <c r="C1834" i="7"/>
  <c r="B1834" i="7"/>
  <c r="A1834" i="7"/>
  <c r="K1833" i="7"/>
  <c r="J1833" i="7"/>
  <c r="I1833" i="7"/>
  <c r="H1833" i="7"/>
  <c r="G1833" i="7"/>
  <c r="F1833" i="7"/>
  <c r="E1833" i="7"/>
  <c r="D1833" i="7"/>
  <c r="C1833" i="7"/>
  <c r="B1833" i="7"/>
  <c r="A1833" i="7"/>
  <c r="K1832" i="7"/>
  <c r="J1832" i="7"/>
  <c r="I1832" i="7"/>
  <c r="H1832" i="7"/>
  <c r="G1832" i="7"/>
  <c r="F1832" i="7"/>
  <c r="E1832" i="7"/>
  <c r="D1832" i="7"/>
  <c r="C1832" i="7"/>
  <c r="B1832" i="7"/>
  <c r="A1832" i="7"/>
  <c r="K1831" i="7"/>
  <c r="J1831" i="7"/>
  <c r="I1831" i="7"/>
  <c r="H1831" i="7"/>
  <c r="G1831" i="7"/>
  <c r="F1831" i="7"/>
  <c r="E1831" i="7"/>
  <c r="D1831" i="7"/>
  <c r="C1831" i="7"/>
  <c r="B1831" i="7"/>
  <c r="A1831" i="7"/>
  <c r="K1830" i="7"/>
  <c r="J1830" i="7"/>
  <c r="I1830" i="7"/>
  <c r="H1830" i="7"/>
  <c r="G1830" i="7"/>
  <c r="F1830" i="7"/>
  <c r="E1830" i="7"/>
  <c r="D1830" i="7"/>
  <c r="C1830" i="7"/>
  <c r="B1830" i="7"/>
  <c r="A1830" i="7"/>
  <c r="K1829" i="7"/>
  <c r="J1829" i="7"/>
  <c r="I1829" i="7"/>
  <c r="H1829" i="7"/>
  <c r="G1829" i="7"/>
  <c r="F1829" i="7"/>
  <c r="E1829" i="7"/>
  <c r="D1829" i="7"/>
  <c r="C1829" i="7"/>
  <c r="B1829" i="7"/>
  <c r="A1829" i="7"/>
  <c r="K1828" i="7"/>
  <c r="J1828" i="7"/>
  <c r="I1828" i="7"/>
  <c r="H1828" i="7"/>
  <c r="G1828" i="7"/>
  <c r="F1828" i="7"/>
  <c r="E1828" i="7"/>
  <c r="D1828" i="7"/>
  <c r="C1828" i="7"/>
  <c r="B1828" i="7"/>
  <c r="A1828" i="7"/>
  <c r="K1827" i="7"/>
  <c r="J1827" i="7"/>
  <c r="I1827" i="7"/>
  <c r="H1827" i="7"/>
  <c r="G1827" i="7"/>
  <c r="F1827" i="7"/>
  <c r="E1827" i="7"/>
  <c r="D1827" i="7"/>
  <c r="C1827" i="7"/>
  <c r="B1827" i="7"/>
  <c r="A1827" i="7"/>
  <c r="K1826" i="7"/>
  <c r="J1826" i="7"/>
  <c r="I1826" i="7"/>
  <c r="H1826" i="7"/>
  <c r="G1826" i="7"/>
  <c r="F1826" i="7"/>
  <c r="E1826" i="7"/>
  <c r="D1826" i="7"/>
  <c r="C1826" i="7"/>
  <c r="B1826" i="7"/>
  <c r="A1826" i="7"/>
  <c r="K1825" i="7"/>
  <c r="J1825" i="7"/>
  <c r="I1825" i="7"/>
  <c r="H1825" i="7"/>
  <c r="G1825" i="7"/>
  <c r="F1825" i="7"/>
  <c r="E1825" i="7"/>
  <c r="D1825" i="7"/>
  <c r="C1825" i="7"/>
  <c r="B1825" i="7"/>
  <c r="A1825" i="7"/>
  <c r="K1824" i="7"/>
  <c r="J1824" i="7"/>
  <c r="I1824" i="7"/>
  <c r="H1824" i="7"/>
  <c r="G1824" i="7"/>
  <c r="F1824" i="7"/>
  <c r="E1824" i="7"/>
  <c r="D1824" i="7"/>
  <c r="C1824" i="7"/>
  <c r="B1824" i="7"/>
  <c r="A1824" i="7"/>
  <c r="K1823" i="7"/>
  <c r="J1823" i="7"/>
  <c r="I1823" i="7"/>
  <c r="H1823" i="7"/>
  <c r="G1823" i="7"/>
  <c r="F1823" i="7"/>
  <c r="E1823" i="7"/>
  <c r="D1823" i="7"/>
  <c r="C1823" i="7"/>
  <c r="B1823" i="7"/>
  <c r="A1823" i="7"/>
  <c r="K1822" i="7"/>
  <c r="J1822" i="7"/>
  <c r="I1822" i="7"/>
  <c r="H1822" i="7"/>
  <c r="G1822" i="7"/>
  <c r="F1822" i="7"/>
  <c r="E1822" i="7"/>
  <c r="D1822" i="7"/>
  <c r="C1822" i="7"/>
  <c r="B1822" i="7"/>
  <c r="A1822" i="7"/>
  <c r="K1821" i="7"/>
  <c r="J1821" i="7"/>
  <c r="I1821" i="7"/>
  <c r="H1821" i="7"/>
  <c r="G1821" i="7"/>
  <c r="F1821" i="7"/>
  <c r="E1821" i="7"/>
  <c r="D1821" i="7"/>
  <c r="C1821" i="7"/>
  <c r="B1821" i="7"/>
  <c r="A1821" i="7"/>
  <c r="K1820" i="7"/>
  <c r="J1820" i="7"/>
  <c r="I1820" i="7"/>
  <c r="H1820" i="7"/>
  <c r="G1820" i="7"/>
  <c r="F1820" i="7"/>
  <c r="E1820" i="7"/>
  <c r="D1820" i="7"/>
  <c r="C1820" i="7"/>
  <c r="B1820" i="7"/>
  <c r="A1820" i="7"/>
  <c r="K1819" i="7"/>
  <c r="J1819" i="7"/>
  <c r="I1819" i="7"/>
  <c r="H1819" i="7"/>
  <c r="G1819" i="7"/>
  <c r="F1819" i="7"/>
  <c r="E1819" i="7"/>
  <c r="D1819" i="7"/>
  <c r="C1819" i="7"/>
  <c r="B1819" i="7"/>
  <c r="A1819" i="7"/>
  <c r="K1818" i="7"/>
  <c r="J1818" i="7"/>
  <c r="I1818" i="7"/>
  <c r="H1818" i="7"/>
  <c r="G1818" i="7"/>
  <c r="F1818" i="7"/>
  <c r="E1818" i="7"/>
  <c r="D1818" i="7"/>
  <c r="C1818" i="7"/>
  <c r="B1818" i="7"/>
  <c r="A1818" i="7"/>
  <c r="K1817" i="7"/>
  <c r="J1817" i="7"/>
  <c r="I1817" i="7"/>
  <c r="H1817" i="7"/>
  <c r="G1817" i="7"/>
  <c r="F1817" i="7"/>
  <c r="E1817" i="7"/>
  <c r="D1817" i="7"/>
  <c r="C1817" i="7"/>
  <c r="B1817" i="7"/>
  <c r="A1817" i="7"/>
  <c r="K1816" i="7"/>
  <c r="J1816" i="7"/>
  <c r="I1816" i="7"/>
  <c r="H1816" i="7"/>
  <c r="G1816" i="7"/>
  <c r="F1816" i="7"/>
  <c r="E1816" i="7"/>
  <c r="D1816" i="7"/>
  <c r="C1816" i="7"/>
  <c r="B1816" i="7"/>
  <c r="A1816" i="7"/>
  <c r="K1815" i="7"/>
  <c r="J1815" i="7"/>
  <c r="I1815" i="7"/>
  <c r="H1815" i="7"/>
  <c r="G1815" i="7"/>
  <c r="F1815" i="7"/>
  <c r="E1815" i="7"/>
  <c r="D1815" i="7"/>
  <c r="C1815" i="7"/>
  <c r="B1815" i="7"/>
  <c r="A1815" i="7"/>
  <c r="K1814" i="7"/>
  <c r="J1814" i="7"/>
  <c r="I1814" i="7"/>
  <c r="H1814" i="7"/>
  <c r="G1814" i="7"/>
  <c r="F1814" i="7"/>
  <c r="E1814" i="7"/>
  <c r="D1814" i="7"/>
  <c r="C1814" i="7"/>
  <c r="B1814" i="7"/>
  <c r="A1814" i="7"/>
  <c r="K1813" i="7"/>
  <c r="J1813" i="7"/>
  <c r="I1813" i="7"/>
  <c r="H1813" i="7"/>
  <c r="G1813" i="7"/>
  <c r="F1813" i="7"/>
  <c r="E1813" i="7"/>
  <c r="D1813" i="7"/>
  <c r="C1813" i="7"/>
  <c r="B1813" i="7"/>
  <c r="A1813" i="7"/>
  <c r="K1812" i="7"/>
  <c r="J1812" i="7"/>
  <c r="I1812" i="7"/>
  <c r="H1812" i="7"/>
  <c r="G1812" i="7"/>
  <c r="F1812" i="7"/>
  <c r="E1812" i="7"/>
  <c r="D1812" i="7"/>
  <c r="C1812" i="7"/>
  <c r="B1812" i="7"/>
  <c r="A1812" i="7"/>
  <c r="K1811" i="7"/>
  <c r="J1811" i="7"/>
  <c r="I1811" i="7"/>
  <c r="H1811" i="7"/>
  <c r="G1811" i="7"/>
  <c r="F1811" i="7"/>
  <c r="E1811" i="7"/>
  <c r="D1811" i="7"/>
  <c r="C1811" i="7"/>
  <c r="B1811" i="7"/>
  <c r="A1811" i="7"/>
  <c r="K1810" i="7"/>
  <c r="J1810" i="7"/>
  <c r="I1810" i="7"/>
  <c r="H1810" i="7"/>
  <c r="G1810" i="7"/>
  <c r="F1810" i="7"/>
  <c r="E1810" i="7"/>
  <c r="D1810" i="7"/>
  <c r="C1810" i="7"/>
  <c r="B1810" i="7"/>
  <c r="A1810" i="7"/>
  <c r="K1809" i="7"/>
  <c r="J1809" i="7"/>
  <c r="I1809" i="7"/>
  <c r="H1809" i="7"/>
  <c r="G1809" i="7"/>
  <c r="F1809" i="7"/>
  <c r="E1809" i="7"/>
  <c r="D1809" i="7"/>
  <c r="C1809" i="7"/>
  <c r="B1809" i="7"/>
  <c r="A1809" i="7"/>
  <c r="K1808" i="7"/>
  <c r="J1808" i="7"/>
  <c r="I1808" i="7"/>
  <c r="H1808" i="7"/>
  <c r="G1808" i="7"/>
  <c r="F1808" i="7"/>
  <c r="E1808" i="7"/>
  <c r="D1808" i="7"/>
  <c r="C1808" i="7"/>
  <c r="B1808" i="7"/>
  <c r="A1808" i="7"/>
  <c r="K1807" i="7"/>
  <c r="J1807" i="7"/>
  <c r="I1807" i="7"/>
  <c r="H1807" i="7"/>
  <c r="G1807" i="7"/>
  <c r="F1807" i="7"/>
  <c r="E1807" i="7"/>
  <c r="D1807" i="7"/>
  <c r="C1807" i="7"/>
  <c r="B1807" i="7"/>
  <c r="A1807" i="7"/>
  <c r="K1806" i="7"/>
  <c r="J1806" i="7"/>
  <c r="I1806" i="7"/>
  <c r="H1806" i="7"/>
  <c r="G1806" i="7"/>
  <c r="F1806" i="7"/>
  <c r="E1806" i="7"/>
  <c r="D1806" i="7"/>
  <c r="C1806" i="7"/>
  <c r="B1806" i="7"/>
  <c r="A1806" i="7"/>
  <c r="K1805" i="7"/>
  <c r="J1805" i="7"/>
  <c r="I1805" i="7"/>
  <c r="H1805" i="7"/>
  <c r="G1805" i="7"/>
  <c r="F1805" i="7"/>
  <c r="E1805" i="7"/>
  <c r="D1805" i="7"/>
  <c r="C1805" i="7"/>
  <c r="B1805" i="7"/>
  <c r="A1805" i="7"/>
  <c r="K1804" i="7"/>
  <c r="J1804" i="7"/>
  <c r="I1804" i="7"/>
  <c r="H1804" i="7"/>
  <c r="G1804" i="7"/>
  <c r="F1804" i="7"/>
  <c r="E1804" i="7"/>
  <c r="D1804" i="7"/>
  <c r="C1804" i="7"/>
  <c r="B1804" i="7"/>
  <c r="A1804" i="7"/>
  <c r="K1803" i="7"/>
  <c r="J1803" i="7"/>
  <c r="I1803" i="7"/>
  <c r="H1803" i="7"/>
  <c r="G1803" i="7"/>
  <c r="F1803" i="7"/>
  <c r="E1803" i="7"/>
  <c r="D1803" i="7"/>
  <c r="C1803" i="7"/>
  <c r="B1803" i="7"/>
  <c r="A1803" i="7"/>
  <c r="K1802" i="7"/>
  <c r="J1802" i="7"/>
  <c r="I1802" i="7"/>
  <c r="H1802" i="7"/>
  <c r="G1802" i="7"/>
  <c r="F1802" i="7"/>
  <c r="E1802" i="7"/>
  <c r="D1802" i="7"/>
  <c r="C1802" i="7"/>
  <c r="B1802" i="7"/>
  <c r="A1802" i="7"/>
  <c r="K1801" i="7"/>
  <c r="J1801" i="7"/>
  <c r="I1801" i="7"/>
  <c r="H1801" i="7"/>
  <c r="G1801" i="7"/>
  <c r="F1801" i="7"/>
  <c r="E1801" i="7"/>
  <c r="D1801" i="7"/>
  <c r="C1801" i="7"/>
  <c r="B1801" i="7"/>
  <c r="A1801" i="7"/>
  <c r="K1800" i="7"/>
  <c r="J1800" i="7"/>
  <c r="I1800" i="7"/>
  <c r="H1800" i="7"/>
  <c r="G1800" i="7"/>
  <c r="F1800" i="7"/>
  <c r="E1800" i="7"/>
  <c r="D1800" i="7"/>
  <c r="C1800" i="7"/>
  <c r="B1800" i="7"/>
  <c r="A1800" i="7"/>
  <c r="K1799" i="7"/>
  <c r="J1799" i="7"/>
  <c r="I1799" i="7"/>
  <c r="H1799" i="7"/>
  <c r="G1799" i="7"/>
  <c r="F1799" i="7"/>
  <c r="E1799" i="7"/>
  <c r="D1799" i="7"/>
  <c r="C1799" i="7"/>
  <c r="B1799" i="7"/>
  <c r="A1799" i="7"/>
  <c r="K1798" i="7"/>
  <c r="J1798" i="7"/>
  <c r="I1798" i="7"/>
  <c r="H1798" i="7"/>
  <c r="G1798" i="7"/>
  <c r="F1798" i="7"/>
  <c r="E1798" i="7"/>
  <c r="D1798" i="7"/>
  <c r="C1798" i="7"/>
  <c r="B1798" i="7"/>
  <c r="A1798" i="7"/>
  <c r="K1797" i="7"/>
  <c r="J1797" i="7"/>
  <c r="I1797" i="7"/>
  <c r="H1797" i="7"/>
  <c r="G1797" i="7"/>
  <c r="F1797" i="7"/>
  <c r="E1797" i="7"/>
  <c r="D1797" i="7"/>
  <c r="C1797" i="7"/>
  <c r="B1797" i="7"/>
  <c r="A1797" i="7"/>
  <c r="K1796" i="7"/>
  <c r="J1796" i="7"/>
  <c r="I1796" i="7"/>
  <c r="H1796" i="7"/>
  <c r="G1796" i="7"/>
  <c r="F1796" i="7"/>
  <c r="E1796" i="7"/>
  <c r="D1796" i="7"/>
  <c r="C1796" i="7"/>
  <c r="B1796" i="7"/>
  <c r="A1796" i="7"/>
  <c r="K1795" i="7"/>
  <c r="J1795" i="7"/>
  <c r="I1795" i="7"/>
  <c r="H1795" i="7"/>
  <c r="G1795" i="7"/>
  <c r="F1795" i="7"/>
  <c r="E1795" i="7"/>
  <c r="D1795" i="7"/>
  <c r="C1795" i="7"/>
  <c r="B1795" i="7"/>
  <c r="A1795" i="7"/>
  <c r="K1794" i="7"/>
  <c r="J1794" i="7"/>
  <c r="I1794" i="7"/>
  <c r="H1794" i="7"/>
  <c r="G1794" i="7"/>
  <c r="F1794" i="7"/>
  <c r="E1794" i="7"/>
  <c r="D1794" i="7"/>
  <c r="C1794" i="7"/>
  <c r="B1794" i="7"/>
  <c r="A1794" i="7"/>
  <c r="K1793" i="7"/>
  <c r="J1793" i="7"/>
  <c r="I1793" i="7"/>
  <c r="H1793" i="7"/>
  <c r="G1793" i="7"/>
  <c r="F1793" i="7"/>
  <c r="E1793" i="7"/>
  <c r="D1793" i="7"/>
  <c r="C1793" i="7"/>
  <c r="B1793" i="7"/>
  <c r="A1793" i="7"/>
  <c r="K1792" i="7"/>
  <c r="J1792" i="7"/>
  <c r="I1792" i="7"/>
  <c r="H1792" i="7"/>
  <c r="G1792" i="7"/>
  <c r="F1792" i="7"/>
  <c r="E1792" i="7"/>
  <c r="D1792" i="7"/>
  <c r="C1792" i="7"/>
  <c r="B1792" i="7"/>
  <c r="A1792" i="7"/>
  <c r="K1791" i="7"/>
  <c r="J1791" i="7"/>
  <c r="I1791" i="7"/>
  <c r="H1791" i="7"/>
  <c r="G1791" i="7"/>
  <c r="F1791" i="7"/>
  <c r="E1791" i="7"/>
  <c r="D1791" i="7"/>
  <c r="C1791" i="7"/>
  <c r="B1791" i="7"/>
  <c r="A1791" i="7"/>
  <c r="K1790" i="7"/>
  <c r="J1790" i="7"/>
  <c r="I1790" i="7"/>
  <c r="H1790" i="7"/>
  <c r="G1790" i="7"/>
  <c r="F1790" i="7"/>
  <c r="E1790" i="7"/>
  <c r="D1790" i="7"/>
  <c r="C1790" i="7"/>
  <c r="B1790" i="7"/>
  <c r="A1790" i="7"/>
  <c r="K1789" i="7"/>
  <c r="J1789" i="7"/>
  <c r="I1789" i="7"/>
  <c r="H1789" i="7"/>
  <c r="G1789" i="7"/>
  <c r="F1789" i="7"/>
  <c r="E1789" i="7"/>
  <c r="D1789" i="7"/>
  <c r="C1789" i="7"/>
  <c r="B1789" i="7"/>
  <c r="A1789" i="7"/>
  <c r="K1788" i="7"/>
  <c r="J1788" i="7"/>
  <c r="I1788" i="7"/>
  <c r="H1788" i="7"/>
  <c r="G1788" i="7"/>
  <c r="F1788" i="7"/>
  <c r="E1788" i="7"/>
  <c r="D1788" i="7"/>
  <c r="C1788" i="7"/>
  <c r="B1788" i="7"/>
  <c r="A1788" i="7"/>
  <c r="K1787" i="7"/>
  <c r="J1787" i="7"/>
  <c r="I1787" i="7"/>
  <c r="H1787" i="7"/>
  <c r="G1787" i="7"/>
  <c r="F1787" i="7"/>
  <c r="E1787" i="7"/>
  <c r="D1787" i="7"/>
  <c r="C1787" i="7"/>
  <c r="B1787" i="7"/>
  <c r="A1787" i="7"/>
  <c r="K1786" i="7"/>
  <c r="J1786" i="7"/>
  <c r="I1786" i="7"/>
  <c r="H1786" i="7"/>
  <c r="G1786" i="7"/>
  <c r="F1786" i="7"/>
  <c r="E1786" i="7"/>
  <c r="D1786" i="7"/>
  <c r="C1786" i="7"/>
  <c r="B1786" i="7"/>
  <c r="A1786" i="7"/>
  <c r="K1785" i="7"/>
  <c r="J1785" i="7"/>
  <c r="I1785" i="7"/>
  <c r="H1785" i="7"/>
  <c r="G1785" i="7"/>
  <c r="F1785" i="7"/>
  <c r="E1785" i="7"/>
  <c r="D1785" i="7"/>
  <c r="C1785" i="7"/>
  <c r="B1785" i="7"/>
  <c r="A1785" i="7"/>
  <c r="K1784" i="7"/>
  <c r="J1784" i="7"/>
  <c r="I1784" i="7"/>
  <c r="H1784" i="7"/>
  <c r="G1784" i="7"/>
  <c r="F1784" i="7"/>
  <c r="E1784" i="7"/>
  <c r="D1784" i="7"/>
  <c r="C1784" i="7"/>
  <c r="B1784" i="7"/>
  <c r="A1784" i="7"/>
  <c r="K1783" i="7"/>
  <c r="J1783" i="7"/>
  <c r="I1783" i="7"/>
  <c r="H1783" i="7"/>
  <c r="G1783" i="7"/>
  <c r="F1783" i="7"/>
  <c r="E1783" i="7"/>
  <c r="D1783" i="7"/>
  <c r="C1783" i="7"/>
  <c r="B1783" i="7"/>
  <c r="A1783" i="7"/>
  <c r="K1782" i="7"/>
  <c r="J1782" i="7"/>
  <c r="I1782" i="7"/>
  <c r="H1782" i="7"/>
  <c r="G1782" i="7"/>
  <c r="F1782" i="7"/>
  <c r="E1782" i="7"/>
  <c r="D1782" i="7"/>
  <c r="C1782" i="7"/>
  <c r="B1782" i="7"/>
  <c r="A1782" i="7"/>
  <c r="K1781" i="7"/>
  <c r="J1781" i="7"/>
  <c r="I1781" i="7"/>
  <c r="H1781" i="7"/>
  <c r="G1781" i="7"/>
  <c r="F1781" i="7"/>
  <c r="E1781" i="7"/>
  <c r="D1781" i="7"/>
  <c r="C1781" i="7"/>
  <c r="B1781" i="7"/>
  <c r="A1781" i="7"/>
  <c r="K1780" i="7"/>
  <c r="J1780" i="7"/>
  <c r="I1780" i="7"/>
  <c r="H1780" i="7"/>
  <c r="G1780" i="7"/>
  <c r="F1780" i="7"/>
  <c r="E1780" i="7"/>
  <c r="D1780" i="7"/>
  <c r="C1780" i="7"/>
  <c r="B1780" i="7"/>
  <c r="A1780" i="7"/>
  <c r="K1779" i="7"/>
  <c r="J1779" i="7"/>
  <c r="I1779" i="7"/>
  <c r="H1779" i="7"/>
  <c r="G1779" i="7"/>
  <c r="F1779" i="7"/>
  <c r="E1779" i="7"/>
  <c r="D1779" i="7"/>
  <c r="C1779" i="7"/>
  <c r="B1779" i="7"/>
  <c r="A1779" i="7"/>
  <c r="K1778" i="7"/>
  <c r="J1778" i="7"/>
  <c r="I1778" i="7"/>
  <c r="H1778" i="7"/>
  <c r="G1778" i="7"/>
  <c r="F1778" i="7"/>
  <c r="E1778" i="7"/>
  <c r="D1778" i="7"/>
  <c r="C1778" i="7"/>
  <c r="B1778" i="7"/>
  <c r="A1778" i="7"/>
  <c r="K1777" i="7"/>
  <c r="J1777" i="7"/>
  <c r="I1777" i="7"/>
  <c r="H1777" i="7"/>
  <c r="G1777" i="7"/>
  <c r="F1777" i="7"/>
  <c r="E1777" i="7"/>
  <c r="D1777" i="7"/>
  <c r="C1777" i="7"/>
  <c r="B1777" i="7"/>
  <c r="A1777" i="7"/>
  <c r="K1776" i="7"/>
  <c r="J1776" i="7"/>
  <c r="I1776" i="7"/>
  <c r="H1776" i="7"/>
  <c r="G1776" i="7"/>
  <c r="F1776" i="7"/>
  <c r="E1776" i="7"/>
  <c r="D1776" i="7"/>
  <c r="C1776" i="7"/>
  <c r="B1776" i="7"/>
  <c r="A1776" i="7"/>
  <c r="K1775" i="7"/>
  <c r="J1775" i="7"/>
  <c r="I1775" i="7"/>
  <c r="H1775" i="7"/>
  <c r="G1775" i="7"/>
  <c r="F1775" i="7"/>
  <c r="E1775" i="7"/>
  <c r="D1775" i="7"/>
  <c r="C1775" i="7"/>
  <c r="B1775" i="7"/>
  <c r="A1775" i="7"/>
  <c r="K1774" i="7"/>
  <c r="J1774" i="7"/>
  <c r="I1774" i="7"/>
  <c r="H1774" i="7"/>
  <c r="G1774" i="7"/>
  <c r="F1774" i="7"/>
  <c r="E1774" i="7"/>
  <c r="D1774" i="7"/>
  <c r="C1774" i="7"/>
  <c r="B1774" i="7"/>
  <c r="A1774" i="7"/>
  <c r="K1773" i="7"/>
  <c r="J1773" i="7"/>
  <c r="I1773" i="7"/>
  <c r="H1773" i="7"/>
  <c r="G1773" i="7"/>
  <c r="F1773" i="7"/>
  <c r="E1773" i="7"/>
  <c r="D1773" i="7"/>
  <c r="C1773" i="7"/>
  <c r="B1773" i="7"/>
  <c r="A1773" i="7"/>
  <c r="K1772" i="7"/>
  <c r="J1772" i="7"/>
  <c r="I1772" i="7"/>
  <c r="H1772" i="7"/>
  <c r="G1772" i="7"/>
  <c r="F1772" i="7"/>
  <c r="E1772" i="7"/>
  <c r="D1772" i="7"/>
  <c r="C1772" i="7"/>
  <c r="B1772" i="7"/>
  <c r="A1772" i="7"/>
  <c r="K1771" i="7"/>
  <c r="J1771" i="7"/>
  <c r="I1771" i="7"/>
  <c r="H1771" i="7"/>
  <c r="G1771" i="7"/>
  <c r="F1771" i="7"/>
  <c r="E1771" i="7"/>
  <c r="D1771" i="7"/>
  <c r="C1771" i="7"/>
  <c r="B1771" i="7"/>
  <c r="A1771" i="7"/>
  <c r="K1770" i="7"/>
  <c r="J1770" i="7"/>
  <c r="I1770" i="7"/>
  <c r="H1770" i="7"/>
  <c r="G1770" i="7"/>
  <c r="F1770" i="7"/>
  <c r="E1770" i="7"/>
  <c r="D1770" i="7"/>
  <c r="C1770" i="7"/>
  <c r="B1770" i="7"/>
  <c r="A1770" i="7"/>
  <c r="K1769" i="7"/>
  <c r="J1769" i="7"/>
  <c r="I1769" i="7"/>
  <c r="H1769" i="7"/>
  <c r="G1769" i="7"/>
  <c r="F1769" i="7"/>
  <c r="E1769" i="7"/>
  <c r="D1769" i="7"/>
  <c r="C1769" i="7"/>
  <c r="B1769" i="7"/>
  <c r="A1769" i="7"/>
  <c r="K1768" i="7"/>
  <c r="J1768" i="7"/>
  <c r="I1768" i="7"/>
  <c r="H1768" i="7"/>
  <c r="G1768" i="7"/>
  <c r="F1768" i="7"/>
  <c r="E1768" i="7"/>
  <c r="D1768" i="7"/>
  <c r="C1768" i="7"/>
  <c r="B1768" i="7"/>
  <c r="A1768" i="7"/>
  <c r="K1767" i="7"/>
  <c r="J1767" i="7"/>
  <c r="I1767" i="7"/>
  <c r="H1767" i="7"/>
  <c r="G1767" i="7"/>
  <c r="F1767" i="7"/>
  <c r="E1767" i="7"/>
  <c r="D1767" i="7"/>
  <c r="C1767" i="7"/>
  <c r="B1767" i="7"/>
  <c r="A1767" i="7"/>
  <c r="K1766" i="7"/>
  <c r="J1766" i="7"/>
  <c r="I1766" i="7"/>
  <c r="H1766" i="7"/>
  <c r="G1766" i="7"/>
  <c r="F1766" i="7"/>
  <c r="E1766" i="7"/>
  <c r="D1766" i="7"/>
  <c r="C1766" i="7"/>
  <c r="B1766" i="7"/>
  <c r="A1766" i="7"/>
  <c r="K1765" i="7"/>
  <c r="J1765" i="7"/>
  <c r="I1765" i="7"/>
  <c r="H1765" i="7"/>
  <c r="G1765" i="7"/>
  <c r="F1765" i="7"/>
  <c r="E1765" i="7"/>
  <c r="D1765" i="7"/>
  <c r="C1765" i="7"/>
  <c r="B1765" i="7"/>
  <c r="A1765" i="7"/>
  <c r="K1764" i="7"/>
  <c r="J1764" i="7"/>
  <c r="I1764" i="7"/>
  <c r="H1764" i="7"/>
  <c r="G1764" i="7"/>
  <c r="F1764" i="7"/>
  <c r="E1764" i="7"/>
  <c r="D1764" i="7"/>
  <c r="C1764" i="7"/>
  <c r="B1764" i="7"/>
  <c r="A1764" i="7"/>
  <c r="K1763" i="7"/>
  <c r="J1763" i="7"/>
  <c r="I1763" i="7"/>
  <c r="H1763" i="7"/>
  <c r="G1763" i="7"/>
  <c r="F1763" i="7"/>
  <c r="E1763" i="7"/>
  <c r="D1763" i="7"/>
  <c r="C1763" i="7"/>
  <c r="B1763" i="7"/>
  <c r="A1763" i="7"/>
  <c r="K1762" i="7"/>
  <c r="J1762" i="7"/>
  <c r="I1762" i="7"/>
  <c r="H1762" i="7"/>
  <c r="G1762" i="7"/>
  <c r="F1762" i="7"/>
  <c r="E1762" i="7"/>
  <c r="D1762" i="7"/>
  <c r="C1762" i="7"/>
  <c r="B1762" i="7"/>
  <c r="A1762" i="7"/>
  <c r="K1761" i="7"/>
  <c r="J1761" i="7"/>
  <c r="I1761" i="7"/>
  <c r="H1761" i="7"/>
  <c r="G1761" i="7"/>
  <c r="F1761" i="7"/>
  <c r="E1761" i="7"/>
  <c r="D1761" i="7"/>
  <c r="C1761" i="7"/>
  <c r="B1761" i="7"/>
  <c r="A1761" i="7"/>
  <c r="K1760" i="7"/>
  <c r="J1760" i="7"/>
  <c r="I1760" i="7"/>
  <c r="H1760" i="7"/>
  <c r="G1760" i="7"/>
  <c r="F1760" i="7"/>
  <c r="E1760" i="7"/>
  <c r="D1760" i="7"/>
  <c r="C1760" i="7"/>
  <c r="B1760" i="7"/>
  <c r="A1760" i="7"/>
  <c r="K1759" i="7"/>
  <c r="J1759" i="7"/>
  <c r="I1759" i="7"/>
  <c r="H1759" i="7"/>
  <c r="G1759" i="7"/>
  <c r="F1759" i="7"/>
  <c r="E1759" i="7"/>
  <c r="D1759" i="7"/>
  <c r="C1759" i="7"/>
  <c r="B1759" i="7"/>
  <c r="A1759" i="7"/>
  <c r="K1758" i="7"/>
  <c r="J1758" i="7"/>
  <c r="I1758" i="7"/>
  <c r="H1758" i="7"/>
  <c r="G1758" i="7"/>
  <c r="F1758" i="7"/>
  <c r="E1758" i="7"/>
  <c r="D1758" i="7"/>
  <c r="C1758" i="7"/>
  <c r="B1758" i="7"/>
  <c r="A1758" i="7"/>
  <c r="K1757" i="7"/>
  <c r="J1757" i="7"/>
  <c r="I1757" i="7"/>
  <c r="H1757" i="7"/>
  <c r="G1757" i="7"/>
  <c r="F1757" i="7"/>
  <c r="E1757" i="7"/>
  <c r="D1757" i="7"/>
  <c r="C1757" i="7"/>
  <c r="B1757" i="7"/>
  <c r="A1757" i="7"/>
  <c r="K1756" i="7"/>
  <c r="J1756" i="7"/>
  <c r="I1756" i="7"/>
  <c r="H1756" i="7"/>
  <c r="G1756" i="7"/>
  <c r="F1756" i="7"/>
  <c r="E1756" i="7"/>
  <c r="D1756" i="7"/>
  <c r="C1756" i="7"/>
  <c r="B1756" i="7"/>
  <c r="A1756" i="7"/>
  <c r="K1755" i="7"/>
  <c r="J1755" i="7"/>
  <c r="I1755" i="7"/>
  <c r="H1755" i="7"/>
  <c r="G1755" i="7"/>
  <c r="F1755" i="7"/>
  <c r="E1755" i="7"/>
  <c r="D1755" i="7"/>
  <c r="C1755" i="7"/>
  <c r="B1755" i="7"/>
  <c r="A1755" i="7"/>
  <c r="K1754" i="7"/>
  <c r="J1754" i="7"/>
  <c r="I1754" i="7"/>
  <c r="H1754" i="7"/>
  <c r="G1754" i="7"/>
  <c r="F1754" i="7"/>
  <c r="E1754" i="7"/>
  <c r="D1754" i="7"/>
  <c r="C1754" i="7"/>
  <c r="B1754" i="7"/>
  <c r="A1754" i="7"/>
  <c r="K1753" i="7"/>
  <c r="J1753" i="7"/>
  <c r="I1753" i="7"/>
  <c r="H1753" i="7"/>
  <c r="G1753" i="7"/>
  <c r="F1753" i="7"/>
  <c r="E1753" i="7"/>
  <c r="D1753" i="7"/>
  <c r="C1753" i="7"/>
  <c r="B1753" i="7"/>
  <c r="A1753" i="7"/>
  <c r="K1752" i="7"/>
  <c r="J1752" i="7"/>
  <c r="I1752" i="7"/>
  <c r="H1752" i="7"/>
  <c r="G1752" i="7"/>
  <c r="F1752" i="7"/>
  <c r="E1752" i="7"/>
  <c r="D1752" i="7"/>
  <c r="C1752" i="7"/>
  <c r="B1752" i="7"/>
  <c r="A1752" i="7"/>
  <c r="K1751" i="7"/>
  <c r="J1751" i="7"/>
  <c r="I1751" i="7"/>
  <c r="H1751" i="7"/>
  <c r="G1751" i="7"/>
  <c r="F1751" i="7"/>
  <c r="E1751" i="7"/>
  <c r="D1751" i="7"/>
  <c r="C1751" i="7"/>
  <c r="B1751" i="7"/>
  <c r="A1751" i="7"/>
  <c r="K1750" i="7"/>
  <c r="J1750" i="7"/>
  <c r="I1750" i="7"/>
  <c r="H1750" i="7"/>
  <c r="G1750" i="7"/>
  <c r="F1750" i="7"/>
  <c r="E1750" i="7"/>
  <c r="D1750" i="7"/>
  <c r="C1750" i="7"/>
  <c r="B1750" i="7"/>
  <c r="A1750" i="7"/>
  <c r="K1749" i="7"/>
  <c r="J1749" i="7"/>
  <c r="I1749" i="7"/>
  <c r="H1749" i="7"/>
  <c r="G1749" i="7"/>
  <c r="F1749" i="7"/>
  <c r="E1749" i="7"/>
  <c r="D1749" i="7"/>
  <c r="C1749" i="7"/>
  <c r="B1749" i="7"/>
  <c r="A1749" i="7"/>
  <c r="K1748" i="7"/>
  <c r="J1748" i="7"/>
  <c r="I1748" i="7"/>
  <c r="H1748" i="7"/>
  <c r="G1748" i="7"/>
  <c r="F1748" i="7"/>
  <c r="E1748" i="7"/>
  <c r="D1748" i="7"/>
  <c r="C1748" i="7"/>
  <c r="B1748" i="7"/>
  <c r="A1748" i="7"/>
  <c r="K1747" i="7"/>
  <c r="J1747" i="7"/>
  <c r="I1747" i="7"/>
  <c r="H1747" i="7"/>
  <c r="G1747" i="7"/>
  <c r="F1747" i="7"/>
  <c r="E1747" i="7"/>
  <c r="D1747" i="7"/>
  <c r="C1747" i="7"/>
  <c r="B1747" i="7"/>
  <c r="A1747" i="7"/>
  <c r="K1746" i="7"/>
  <c r="J1746" i="7"/>
  <c r="I1746" i="7"/>
  <c r="H1746" i="7"/>
  <c r="G1746" i="7"/>
  <c r="F1746" i="7"/>
  <c r="E1746" i="7"/>
  <c r="D1746" i="7"/>
  <c r="C1746" i="7"/>
  <c r="B1746" i="7"/>
  <c r="A1746" i="7"/>
  <c r="K1745" i="7"/>
  <c r="J1745" i="7"/>
  <c r="I1745" i="7"/>
  <c r="H1745" i="7"/>
  <c r="G1745" i="7"/>
  <c r="F1745" i="7"/>
  <c r="E1745" i="7"/>
  <c r="D1745" i="7"/>
  <c r="C1745" i="7"/>
  <c r="B1745" i="7"/>
  <c r="A1745" i="7"/>
  <c r="K1744" i="7"/>
  <c r="J1744" i="7"/>
  <c r="I1744" i="7"/>
  <c r="H1744" i="7"/>
  <c r="G1744" i="7"/>
  <c r="F1744" i="7"/>
  <c r="E1744" i="7"/>
  <c r="D1744" i="7"/>
  <c r="C1744" i="7"/>
  <c r="B1744" i="7"/>
  <c r="A1744" i="7"/>
  <c r="K1743" i="7"/>
  <c r="J1743" i="7"/>
  <c r="I1743" i="7"/>
  <c r="H1743" i="7"/>
  <c r="G1743" i="7"/>
  <c r="F1743" i="7"/>
  <c r="E1743" i="7"/>
  <c r="D1743" i="7"/>
  <c r="C1743" i="7"/>
  <c r="B1743" i="7"/>
  <c r="A1743" i="7"/>
  <c r="K1742" i="7"/>
  <c r="J1742" i="7"/>
  <c r="I1742" i="7"/>
  <c r="H1742" i="7"/>
  <c r="G1742" i="7"/>
  <c r="F1742" i="7"/>
  <c r="E1742" i="7"/>
  <c r="D1742" i="7"/>
  <c r="C1742" i="7"/>
  <c r="B1742" i="7"/>
  <c r="A1742" i="7"/>
  <c r="K1741" i="7"/>
  <c r="J1741" i="7"/>
  <c r="I1741" i="7"/>
  <c r="H1741" i="7"/>
  <c r="G1741" i="7"/>
  <c r="F1741" i="7"/>
  <c r="E1741" i="7"/>
  <c r="D1741" i="7"/>
  <c r="C1741" i="7"/>
  <c r="B1741" i="7"/>
  <c r="A1741" i="7"/>
  <c r="K1740" i="7"/>
  <c r="J1740" i="7"/>
  <c r="I1740" i="7"/>
  <c r="H1740" i="7"/>
  <c r="G1740" i="7"/>
  <c r="F1740" i="7"/>
  <c r="E1740" i="7"/>
  <c r="D1740" i="7"/>
  <c r="C1740" i="7"/>
  <c r="B1740" i="7"/>
  <c r="A1740" i="7"/>
  <c r="K1739" i="7"/>
  <c r="J1739" i="7"/>
  <c r="I1739" i="7"/>
  <c r="H1739" i="7"/>
  <c r="G1739" i="7"/>
  <c r="F1739" i="7"/>
  <c r="E1739" i="7"/>
  <c r="D1739" i="7"/>
  <c r="C1739" i="7"/>
  <c r="B1739" i="7"/>
  <c r="A1739" i="7"/>
  <c r="K1738" i="7"/>
  <c r="J1738" i="7"/>
  <c r="I1738" i="7"/>
  <c r="H1738" i="7"/>
  <c r="G1738" i="7"/>
  <c r="F1738" i="7"/>
  <c r="E1738" i="7"/>
  <c r="D1738" i="7"/>
  <c r="C1738" i="7"/>
  <c r="B1738" i="7"/>
  <c r="A1738" i="7"/>
  <c r="K1737" i="7"/>
  <c r="J1737" i="7"/>
  <c r="I1737" i="7"/>
  <c r="H1737" i="7"/>
  <c r="G1737" i="7"/>
  <c r="F1737" i="7"/>
  <c r="E1737" i="7"/>
  <c r="D1737" i="7"/>
  <c r="C1737" i="7"/>
  <c r="B1737" i="7"/>
  <c r="A1737" i="7"/>
  <c r="K1736" i="7"/>
  <c r="J1736" i="7"/>
  <c r="I1736" i="7"/>
  <c r="H1736" i="7"/>
  <c r="G1736" i="7"/>
  <c r="F1736" i="7"/>
  <c r="E1736" i="7"/>
  <c r="D1736" i="7"/>
  <c r="C1736" i="7"/>
  <c r="B1736" i="7"/>
  <c r="A1736" i="7"/>
  <c r="K1735" i="7"/>
  <c r="J1735" i="7"/>
  <c r="I1735" i="7"/>
  <c r="H1735" i="7"/>
  <c r="G1735" i="7"/>
  <c r="F1735" i="7"/>
  <c r="E1735" i="7"/>
  <c r="D1735" i="7"/>
  <c r="C1735" i="7"/>
  <c r="B1735" i="7"/>
  <c r="A1735" i="7"/>
  <c r="K1734" i="7"/>
  <c r="J1734" i="7"/>
  <c r="I1734" i="7"/>
  <c r="H1734" i="7"/>
  <c r="G1734" i="7"/>
  <c r="F1734" i="7"/>
  <c r="E1734" i="7"/>
  <c r="D1734" i="7"/>
  <c r="C1734" i="7"/>
  <c r="B1734" i="7"/>
  <c r="A1734" i="7"/>
  <c r="K1733" i="7"/>
  <c r="J1733" i="7"/>
  <c r="I1733" i="7"/>
  <c r="H1733" i="7"/>
  <c r="G1733" i="7"/>
  <c r="F1733" i="7"/>
  <c r="E1733" i="7"/>
  <c r="D1733" i="7"/>
  <c r="C1733" i="7"/>
  <c r="B1733" i="7"/>
  <c r="A1733" i="7"/>
  <c r="K1732" i="7"/>
  <c r="J1732" i="7"/>
  <c r="I1732" i="7"/>
  <c r="H1732" i="7"/>
  <c r="G1732" i="7"/>
  <c r="F1732" i="7"/>
  <c r="E1732" i="7"/>
  <c r="D1732" i="7"/>
  <c r="C1732" i="7"/>
  <c r="B1732" i="7"/>
  <c r="A1732" i="7"/>
  <c r="K1731" i="7"/>
  <c r="J1731" i="7"/>
  <c r="I1731" i="7"/>
  <c r="H1731" i="7"/>
  <c r="G1731" i="7"/>
  <c r="F1731" i="7"/>
  <c r="E1731" i="7"/>
  <c r="D1731" i="7"/>
  <c r="C1731" i="7"/>
  <c r="B1731" i="7"/>
  <c r="A1731" i="7"/>
  <c r="K1730" i="7"/>
  <c r="J1730" i="7"/>
  <c r="I1730" i="7"/>
  <c r="H1730" i="7"/>
  <c r="G1730" i="7"/>
  <c r="F1730" i="7"/>
  <c r="E1730" i="7"/>
  <c r="D1730" i="7"/>
  <c r="C1730" i="7"/>
  <c r="B1730" i="7"/>
  <c r="A1730" i="7"/>
  <c r="K1729" i="7"/>
  <c r="J1729" i="7"/>
  <c r="I1729" i="7"/>
  <c r="H1729" i="7"/>
  <c r="G1729" i="7"/>
  <c r="F1729" i="7"/>
  <c r="E1729" i="7"/>
  <c r="D1729" i="7"/>
  <c r="C1729" i="7"/>
  <c r="B1729" i="7"/>
  <c r="A1729" i="7"/>
  <c r="K1728" i="7"/>
  <c r="J1728" i="7"/>
  <c r="I1728" i="7"/>
  <c r="H1728" i="7"/>
  <c r="G1728" i="7"/>
  <c r="F1728" i="7"/>
  <c r="E1728" i="7"/>
  <c r="D1728" i="7"/>
  <c r="C1728" i="7"/>
  <c r="B1728" i="7"/>
  <c r="A1728" i="7"/>
  <c r="K1727" i="7"/>
  <c r="J1727" i="7"/>
  <c r="I1727" i="7"/>
  <c r="H1727" i="7"/>
  <c r="G1727" i="7"/>
  <c r="F1727" i="7"/>
  <c r="E1727" i="7"/>
  <c r="D1727" i="7"/>
  <c r="C1727" i="7"/>
  <c r="B1727" i="7"/>
  <c r="A1727" i="7"/>
  <c r="K1726" i="7"/>
  <c r="J1726" i="7"/>
  <c r="I1726" i="7"/>
  <c r="H1726" i="7"/>
  <c r="G1726" i="7"/>
  <c r="F1726" i="7"/>
  <c r="E1726" i="7"/>
  <c r="D1726" i="7"/>
  <c r="C1726" i="7"/>
  <c r="B1726" i="7"/>
  <c r="A1726" i="7"/>
  <c r="K1725" i="7"/>
  <c r="J1725" i="7"/>
  <c r="I1725" i="7"/>
  <c r="H1725" i="7"/>
  <c r="G1725" i="7"/>
  <c r="F1725" i="7"/>
  <c r="E1725" i="7"/>
  <c r="D1725" i="7"/>
  <c r="C1725" i="7"/>
  <c r="B1725" i="7"/>
  <c r="A1725" i="7"/>
  <c r="K1724" i="7"/>
  <c r="J1724" i="7"/>
  <c r="I1724" i="7"/>
  <c r="H1724" i="7"/>
  <c r="G1724" i="7"/>
  <c r="F1724" i="7"/>
  <c r="E1724" i="7"/>
  <c r="D1724" i="7"/>
  <c r="C1724" i="7"/>
  <c r="B1724" i="7"/>
  <c r="A1724" i="7"/>
  <c r="K1723" i="7"/>
  <c r="J1723" i="7"/>
  <c r="I1723" i="7"/>
  <c r="H1723" i="7"/>
  <c r="G1723" i="7"/>
  <c r="F1723" i="7"/>
  <c r="E1723" i="7"/>
  <c r="D1723" i="7"/>
  <c r="C1723" i="7"/>
  <c r="B1723" i="7"/>
  <c r="A1723" i="7"/>
  <c r="K1722" i="7"/>
  <c r="J1722" i="7"/>
  <c r="I1722" i="7"/>
  <c r="H1722" i="7"/>
  <c r="G1722" i="7"/>
  <c r="F1722" i="7"/>
  <c r="E1722" i="7"/>
  <c r="D1722" i="7"/>
  <c r="C1722" i="7"/>
  <c r="B1722" i="7"/>
  <c r="A1722" i="7"/>
  <c r="K1721" i="7"/>
  <c r="J1721" i="7"/>
  <c r="I1721" i="7"/>
  <c r="H1721" i="7"/>
  <c r="G1721" i="7"/>
  <c r="F1721" i="7"/>
  <c r="E1721" i="7"/>
  <c r="D1721" i="7"/>
  <c r="C1721" i="7"/>
  <c r="B1721" i="7"/>
  <c r="A1721" i="7"/>
  <c r="K1720" i="7"/>
  <c r="J1720" i="7"/>
  <c r="I1720" i="7"/>
  <c r="H1720" i="7"/>
  <c r="G1720" i="7"/>
  <c r="F1720" i="7"/>
  <c r="E1720" i="7"/>
  <c r="D1720" i="7"/>
  <c r="C1720" i="7"/>
  <c r="B1720" i="7"/>
  <c r="A1720" i="7"/>
  <c r="K1719" i="7"/>
  <c r="J1719" i="7"/>
  <c r="I1719" i="7"/>
  <c r="H1719" i="7"/>
  <c r="G1719" i="7"/>
  <c r="F1719" i="7"/>
  <c r="E1719" i="7"/>
  <c r="D1719" i="7"/>
  <c r="C1719" i="7"/>
  <c r="B1719" i="7"/>
  <c r="A1719" i="7"/>
  <c r="K1718" i="7"/>
  <c r="J1718" i="7"/>
  <c r="I1718" i="7"/>
  <c r="H1718" i="7"/>
  <c r="G1718" i="7"/>
  <c r="F1718" i="7"/>
  <c r="E1718" i="7"/>
  <c r="D1718" i="7"/>
  <c r="C1718" i="7"/>
  <c r="B1718" i="7"/>
  <c r="A1718" i="7"/>
  <c r="K1717" i="7"/>
  <c r="J1717" i="7"/>
  <c r="I1717" i="7"/>
  <c r="H1717" i="7"/>
  <c r="G1717" i="7"/>
  <c r="F1717" i="7"/>
  <c r="E1717" i="7"/>
  <c r="D1717" i="7"/>
  <c r="C1717" i="7"/>
  <c r="B1717" i="7"/>
  <c r="A1717" i="7"/>
  <c r="K1716" i="7"/>
  <c r="J1716" i="7"/>
  <c r="I1716" i="7"/>
  <c r="H1716" i="7"/>
  <c r="G1716" i="7"/>
  <c r="F1716" i="7"/>
  <c r="E1716" i="7"/>
  <c r="D1716" i="7"/>
  <c r="C1716" i="7"/>
  <c r="B1716" i="7"/>
  <c r="A1716" i="7"/>
  <c r="K1715" i="7"/>
  <c r="J1715" i="7"/>
  <c r="I1715" i="7"/>
  <c r="H1715" i="7"/>
  <c r="G1715" i="7"/>
  <c r="F1715" i="7"/>
  <c r="E1715" i="7"/>
  <c r="D1715" i="7"/>
  <c r="C1715" i="7"/>
  <c r="B1715" i="7"/>
  <c r="A1715" i="7"/>
  <c r="K1714" i="7"/>
  <c r="J1714" i="7"/>
  <c r="I1714" i="7"/>
  <c r="H1714" i="7"/>
  <c r="G1714" i="7"/>
  <c r="F1714" i="7"/>
  <c r="E1714" i="7"/>
  <c r="D1714" i="7"/>
  <c r="C1714" i="7"/>
  <c r="B1714" i="7"/>
  <c r="A1714" i="7"/>
  <c r="K1713" i="7"/>
  <c r="J1713" i="7"/>
  <c r="I1713" i="7"/>
  <c r="H1713" i="7"/>
  <c r="G1713" i="7"/>
  <c r="F1713" i="7"/>
  <c r="E1713" i="7"/>
  <c r="D1713" i="7"/>
  <c r="C1713" i="7"/>
  <c r="B1713" i="7"/>
  <c r="A1713" i="7"/>
  <c r="K1712" i="7"/>
  <c r="J1712" i="7"/>
  <c r="I1712" i="7"/>
  <c r="H1712" i="7"/>
  <c r="G1712" i="7"/>
  <c r="F1712" i="7"/>
  <c r="E1712" i="7"/>
  <c r="D1712" i="7"/>
  <c r="C1712" i="7"/>
  <c r="B1712" i="7"/>
  <c r="A1712" i="7"/>
  <c r="K1711" i="7"/>
  <c r="J1711" i="7"/>
  <c r="I1711" i="7"/>
  <c r="H1711" i="7"/>
  <c r="G1711" i="7"/>
  <c r="F1711" i="7"/>
  <c r="E1711" i="7"/>
  <c r="D1711" i="7"/>
  <c r="C1711" i="7"/>
  <c r="B1711" i="7"/>
  <c r="A1711" i="7"/>
  <c r="K1710" i="7"/>
  <c r="J1710" i="7"/>
  <c r="I1710" i="7"/>
  <c r="H1710" i="7"/>
  <c r="G1710" i="7"/>
  <c r="F1710" i="7"/>
  <c r="E1710" i="7"/>
  <c r="D1710" i="7"/>
  <c r="C1710" i="7"/>
  <c r="B1710" i="7"/>
  <c r="A1710" i="7"/>
  <c r="K1709" i="7"/>
  <c r="J1709" i="7"/>
  <c r="I1709" i="7"/>
  <c r="H1709" i="7"/>
  <c r="G1709" i="7"/>
  <c r="F1709" i="7"/>
  <c r="E1709" i="7"/>
  <c r="D1709" i="7"/>
  <c r="C1709" i="7"/>
  <c r="B1709" i="7"/>
  <c r="A1709" i="7"/>
  <c r="K1708" i="7"/>
  <c r="J1708" i="7"/>
  <c r="I1708" i="7"/>
  <c r="H1708" i="7"/>
  <c r="G1708" i="7"/>
  <c r="F1708" i="7"/>
  <c r="E1708" i="7"/>
  <c r="D1708" i="7"/>
  <c r="C1708" i="7"/>
  <c r="B1708" i="7"/>
  <c r="A1708" i="7"/>
  <c r="K1707" i="7"/>
  <c r="J1707" i="7"/>
  <c r="I1707" i="7"/>
  <c r="H1707" i="7"/>
  <c r="G1707" i="7"/>
  <c r="F1707" i="7"/>
  <c r="E1707" i="7"/>
  <c r="D1707" i="7"/>
  <c r="C1707" i="7"/>
  <c r="B1707" i="7"/>
  <c r="A1707" i="7"/>
  <c r="K1706" i="7"/>
  <c r="J1706" i="7"/>
  <c r="I1706" i="7"/>
  <c r="H1706" i="7"/>
  <c r="G1706" i="7"/>
  <c r="F1706" i="7"/>
  <c r="E1706" i="7"/>
  <c r="D1706" i="7"/>
  <c r="C1706" i="7"/>
  <c r="B1706" i="7"/>
  <c r="A1706" i="7"/>
  <c r="K1705" i="7"/>
  <c r="J1705" i="7"/>
  <c r="I1705" i="7"/>
  <c r="H1705" i="7"/>
  <c r="G1705" i="7"/>
  <c r="F1705" i="7"/>
  <c r="E1705" i="7"/>
  <c r="D1705" i="7"/>
  <c r="C1705" i="7"/>
  <c r="B1705" i="7"/>
  <c r="A1705" i="7"/>
  <c r="K1704" i="7"/>
  <c r="J1704" i="7"/>
  <c r="I1704" i="7"/>
  <c r="H1704" i="7"/>
  <c r="G1704" i="7"/>
  <c r="F1704" i="7"/>
  <c r="E1704" i="7"/>
  <c r="D1704" i="7"/>
  <c r="C1704" i="7"/>
  <c r="B1704" i="7"/>
  <c r="A1704" i="7"/>
  <c r="K1703" i="7"/>
  <c r="J1703" i="7"/>
  <c r="I1703" i="7"/>
  <c r="H1703" i="7"/>
  <c r="G1703" i="7"/>
  <c r="F1703" i="7"/>
  <c r="E1703" i="7"/>
  <c r="D1703" i="7"/>
  <c r="C1703" i="7"/>
  <c r="B1703" i="7"/>
  <c r="A1703" i="7"/>
  <c r="K1702" i="7"/>
  <c r="J1702" i="7"/>
  <c r="I1702" i="7"/>
  <c r="H1702" i="7"/>
  <c r="G1702" i="7"/>
  <c r="F1702" i="7"/>
  <c r="E1702" i="7"/>
  <c r="D1702" i="7"/>
  <c r="C1702" i="7"/>
  <c r="B1702" i="7"/>
  <c r="A1702" i="7"/>
  <c r="K1701" i="7"/>
  <c r="J1701" i="7"/>
  <c r="I1701" i="7"/>
  <c r="H1701" i="7"/>
  <c r="G1701" i="7"/>
  <c r="F1701" i="7"/>
  <c r="E1701" i="7"/>
  <c r="D1701" i="7"/>
  <c r="C1701" i="7"/>
  <c r="B1701" i="7"/>
  <c r="A1701" i="7"/>
  <c r="K1700" i="7"/>
  <c r="J1700" i="7"/>
  <c r="I1700" i="7"/>
  <c r="H1700" i="7"/>
  <c r="G1700" i="7"/>
  <c r="F1700" i="7"/>
  <c r="E1700" i="7"/>
  <c r="D1700" i="7"/>
  <c r="C1700" i="7"/>
  <c r="B1700" i="7"/>
  <c r="A1700" i="7"/>
  <c r="K1699" i="7"/>
  <c r="J1699" i="7"/>
  <c r="I1699" i="7"/>
  <c r="H1699" i="7"/>
  <c r="G1699" i="7"/>
  <c r="F1699" i="7"/>
  <c r="E1699" i="7"/>
  <c r="D1699" i="7"/>
  <c r="C1699" i="7"/>
  <c r="B1699" i="7"/>
  <c r="A1699" i="7"/>
  <c r="K1698" i="7"/>
  <c r="J1698" i="7"/>
  <c r="I1698" i="7"/>
  <c r="H1698" i="7"/>
  <c r="G1698" i="7"/>
  <c r="F1698" i="7"/>
  <c r="E1698" i="7"/>
  <c r="D1698" i="7"/>
  <c r="C1698" i="7"/>
  <c r="B1698" i="7"/>
  <c r="A1698" i="7"/>
  <c r="K1697" i="7"/>
  <c r="J1697" i="7"/>
  <c r="I1697" i="7"/>
  <c r="H1697" i="7"/>
  <c r="G1697" i="7"/>
  <c r="F1697" i="7"/>
  <c r="E1697" i="7"/>
  <c r="D1697" i="7"/>
  <c r="C1697" i="7"/>
  <c r="B1697" i="7"/>
  <c r="A1697" i="7"/>
  <c r="K1696" i="7"/>
  <c r="J1696" i="7"/>
  <c r="I1696" i="7"/>
  <c r="H1696" i="7"/>
  <c r="G1696" i="7"/>
  <c r="F1696" i="7"/>
  <c r="E1696" i="7"/>
  <c r="D1696" i="7"/>
  <c r="C1696" i="7"/>
  <c r="B1696" i="7"/>
  <c r="A1696" i="7"/>
  <c r="K1695" i="7"/>
  <c r="J1695" i="7"/>
  <c r="I1695" i="7"/>
  <c r="H1695" i="7"/>
  <c r="G1695" i="7"/>
  <c r="F1695" i="7"/>
  <c r="E1695" i="7"/>
  <c r="D1695" i="7"/>
  <c r="C1695" i="7"/>
  <c r="B1695" i="7"/>
  <c r="A1695" i="7"/>
  <c r="K1694" i="7"/>
  <c r="J1694" i="7"/>
  <c r="I1694" i="7"/>
  <c r="H1694" i="7"/>
  <c r="G1694" i="7"/>
  <c r="F1694" i="7"/>
  <c r="E1694" i="7"/>
  <c r="D1694" i="7"/>
  <c r="C1694" i="7"/>
  <c r="B1694" i="7"/>
  <c r="A1694" i="7"/>
  <c r="K1693" i="7"/>
  <c r="J1693" i="7"/>
  <c r="I1693" i="7"/>
  <c r="H1693" i="7"/>
  <c r="G1693" i="7"/>
  <c r="F1693" i="7"/>
  <c r="E1693" i="7"/>
  <c r="D1693" i="7"/>
  <c r="C1693" i="7"/>
  <c r="B1693" i="7"/>
  <c r="A1693" i="7"/>
  <c r="K1692" i="7"/>
  <c r="J1692" i="7"/>
  <c r="I1692" i="7"/>
  <c r="H1692" i="7"/>
  <c r="G1692" i="7"/>
  <c r="F1692" i="7"/>
  <c r="E1692" i="7"/>
  <c r="D1692" i="7"/>
  <c r="C1692" i="7"/>
  <c r="B1692" i="7"/>
  <c r="A1692" i="7"/>
  <c r="K1691" i="7"/>
  <c r="J1691" i="7"/>
  <c r="I1691" i="7"/>
  <c r="H1691" i="7"/>
  <c r="G1691" i="7"/>
  <c r="F1691" i="7"/>
  <c r="E1691" i="7"/>
  <c r="D1691" i="7"/>
  <c r="C1691" i="7"/>
  <c r="B1691" i="7"/>
  <c r="A1691" i="7"/>
  <c r="K1690" i="7"/>
  <c r="J1690" i="7"/>
  <c r="I1690" i="7"/>
  <c r="H1690" i="7"/>
  <c r="G1690" i="7"/>
  <c r="F1690" i="7"/>
  <c r="E1690" i="7"/>
  <c r="D1690" i="7"/>
  <c r="C1690" i="7"/>
  <c r="B1690" i="7"/>
  <c r="A1690" i="7"/>
  <c r="K1689" i="7"/>
  <c r="J1689" i="7"/>
  <c r="I1689" i="7"/>
  <c r="H1689" i="7"/>
  <c r="G1689" i="7"/>
  <c r="F1689" i="7"/>
  <c r="E1689" i="7"/>
  <c r="D1689" i="7"/>
  <c r="C1689" i="7"/>
  <c r="B1689" i="7"/>
  <c r="A1689" i="7"/>
  <c r="K1688" i="7"/>
  <c r="J1688" i="7"/>
  <c r="I1688" i="7"/>
  <c r="H1688" i="7"/>
  <c r="G1688" i="7"/>
  <c r="F1688" i="7"/>
  <c r="E1688" i="7"/>
  <c r="D1688" i="7"/>
  <c r="C1688" i="7"/>
  <c r="B1688" i="7"/>
  <c r="A1688" i="7"/>
  <c r="K1687" i="7"/>
  <c r="J1687" i="7"/>
  <c r="I1687" i="7"/>
  <c r="H1687" i="7"/>
  <c r="G1687" i="7"/>
  <c r="F1687" i="7"/>
  <c r="E1687" i="7"/>
  <c r="D1687" i="7"/>
  <c r="C1687" i="7"/>
  <c r="B1687" i="7"/>
  <c r="A1687" i="7"/>
  <c r="K1686" i="7"/>
  <c r="J1686" i="7"/>
  <c r="I1686" i="7"/>
  <c r="H1686" i="7"/>
  <c r="G1686" i="7"/>
  <c r="F1686" i="7"/>
  <c r="E1686" i="7"/>
  <c r="D1686" i="7"/>
  <c r="C1686" i="7"/>
  <c r="B1686" i="7"/>
  <c r="A1686" i="7"/>
  <c r="K1685" i="7"/>
  <c r="J1685" i="7"/>
  <c r="I1685" i="7"/>
  <c r="H1685" i="7"/>
  <c r="G1685" i="7"/>
  <c r="F1685" i="7"/>
  <c r="E1685" i="7"/>
  <c r="D1685" i="7"/>
  <c r="C1685" i="7"/>
  <c r="B1685" i="7"/>
  <c r="A1685" i="7"/>
  <c r="K1684" i="7"/>
  <c r="J1684" i="7"/>
  <c r="I1684" i="7"/>
  <c r="H1684" i="7"/>
  <c r="G1684" i="7"/>
  <c r="F1684" i="7"/>
  <c r="E1684" i="7"/>
  <c r="D1684" i="7"/>
  <c r="C1684" i="7"/>
  <c r="B1684" i="7"/>
  <c r="A1684" i="7"/>
  <c r="K1683" i="7"/>
  <c r="J1683" i="7"/>
  <c r="I1683" i="7"/>
  <c r="H1683" i="7"/>
  <c r="G1683" i="7"/>
  <c r="F1683" i="7"/>
  <c r="E1683" i="7"/>
  <c r="D1683" i="7"/>
  <c r="C1683" i="7"/>
  <c r="B1683" i="7"/>
  <c r="A1683" i="7"/>
  <c r="K1682" i="7"/>
  <c r="J1682" i="7"/>
  <c r="I1682" i="7"/>
  <c r="H1682" i="7"/>
  <c r="G1682" i="7"/>
  <c r="F1682" i="7"/>
  <c r="E1682" i="7"/>
  <c r="D1682" i="7"/>
  <c r="C1682" i="7"/>
  <c r="B1682" i="7"/>
  <c r="A1682" i="7"/>
  <c r="K1681" i="7"/>
  <c r="J1681" i="7"/>
  <c r="I1681" i="7"/>
  <c r="H1681" i="7"/>
  <c r="G1681" i="7"/>
  <c r="F1681" i="7"/>
  <c r="E1681" i="7"/>
  <c r="D1681" i="7"/>
  <c r="C1681" i="7"/>
  <c r="B1681" i="7"/>
  <c r="A1681" i="7"/>
  <c r="K1680" i="7"/>
  <c r="J1680" i="7"/>
  <c r="I1680" i="7"/>
  <c r="H1680" i="7"/>
  <c r="G1680" i="7"/>
  <c r="F1680" i="7"/>
  <c r="E1680" i="7"/>
  <c r="D1680" i="7"/>
  <c r="C1680" i="7"/>
  <c r="B1680" i="7"/>
  <c r="A1680" i="7"/>
  <c r="K1679" i="7"/>
  <c r="J1679" i="7"/>
  <c r="I1679" i="7"/>
  <c r="H1679" i="7"/>
  <c r="G1679" i="7"/>
  <c r="F1679" i="7"/>
  <c r="E1679" i="7"/>
  <c r="D1679" i="7"/>
  <c r="C1679" i="7"/>
  <c r="B1679" i="7"/>
  <c r="A1679" i="7"/>
  <c r="K1678" i="7"/>
  <c r="J1678" i="7"/>
  <c r="I1678" i="7"/>
  <c r="H1678" i="7"/>
  <c r="G1678" i="7"/>
  <c r="F1678" i="7"/>
  <c r="E1678" i="7"/>
  <c r="D1678" i="7"/>
  <c r="C1678" i="7"/>
  <c r="B1678" i="7"/>
  <c r="A1678" i="7"/>
  <c r="K1677" i="7"/>
  <c r="J1677" i="7"/>
  <c r="I1677" i="7"/>
  <c r="H1677" i="7"/>
  <c r="G1677" i="7"/>
  <c r="F1677" i="7"/>
  <c r="E1677" i="7"/>
  <c r="D1677" i="7"/>
  <c r="C1677" i="7"/>
  <c r="B1677" i="7"/>
  <c r="A1677" i="7"/>
  <c r="K1676" i="7"/>
  <c r="J1676" i="7"/>
  <c r="I1676" i="7"/>
  <c r="H1676" i="7"/>
  <c r="G1676" i="7"/>
  <c r="F1676" i="7"/>
  <c r="E1676" i="7"/>
  <c r="D1676" i="7"/>
  <c r="C1676" i="7"/>
  <c r="B1676" i="7"/>
  <c r="A1676" i="7"/>
  <c r="K1675" i="7"/>
  <c r="J1675" i="7"/>
  <c r="I1675" i="7"/>
  <c r="H1675" i="7"/>
  <c r="G1675" i="7"/>
  <c r="F1675" i="7"/>
  <c r="E1675" i="7"/>
  <c r="D1675" i="7"/>
  <c r="C1675" i="7"/>
  <c r="B1675" i="7"/>
  <c r="A1675" i="7"/>
  <c r="K1674" i="7"/>
  <c r="J1674" i="7"/>
  <c r="I1674" i="7"/>
  <c r="H1674" i="7"/>
  <c r="G1674" i="7"/>
  <c r="F1674" i="7"/>
  <c r="E1674" i="7"/>
  <c r="D1674" i="7"/>
  <c r="C1674" i="7"/>
  <c r="B1674" i="7"/>
  <c r="A1674" i="7"/>
  <c r="K1673" i="7"/>
  <c r="J1673" i="7"/>
  <c r="I1673" i="7"/>
  <c r="H1673" i="7"/>
  <c r="G1673" i="7"/>
  <c r="F1673" i="7"/>
  <c r="E1673" i="7"/>
  <c r="D1673" i="7"/>
  <c r="C1673" i="7"/>
  <c r="B1673" i="7"/>
  <c r="A1673" i="7"/>
  <c r="K1672" i="7"/>
  <c r="J1672" i="7"/>
  <c r="I1672" i="7"/>
  <c r="H1672" i="7"/>
  <c r="G1672" i="7"/>
  <c r="F1672" i="7"/>
  <c r="E1672" i="7"/>
  <c r="D1672" i="7"/>
  <c r="C1672" i="7"/>
  <c r="B1672" i="7"/>
  <c r="A1672" i="7"/>
  <c r="K1671" i="7"/>
  <c r="J1671" i="7"/>
  <c r="I1671" i="7"/>
  <c r="H1671" i="7"/>
  <c r="G1671" i="7"/>
  <c r="F1671" i="7"/>
  <c r="E1671" i="7"/>
  <c r="D1671" i="7"/>
  <c r="C1671" i="7"/>
  <c r="B1671" i="7"/>
  <c r="A1671" i="7"/>
  <c r="K1670" i="7"/>
  <c r="J1670" i="7"/>
  <c r="I1670" i="7"/>
  <c r="H1670" i="7"/>
  <c r="G1670" i="7"/>
  <c r="F1670" i="7"/>
  <c r="E1670" i="7"/>
  <c r="D1670" i="7"/>
  <c r="C1670" i="7"/>
  <c r="B1670" i="7"/>
  <c r="A1670" i="7"/>
  <c r="K1669" i="7"/>
  <c r="J1669" i="7"/>
  <c r="I1669" i="7"/>
  <c r="H1669" i="7"/>
  <c r="G1669" i="7"/>
  <c r="F1669" i="7"/>
  <c r="E1669" i="7"/>
  <c r="D1669" i="7"/>
  <c r="C1669" i="7"/>
  <c r="B1669" i="7"/>
  <c r="A1669" i="7"/>
  <c r="K1668" i="7"/>
  <c r="J1668" i="7"/>
  <c r="I1668" i="7"/>
  <c r="H1668" i="7"/>
  <c r="G1668" i="7"/>
  <c r="F1668" i="7"/>
  <c r="E1668" i="7"/>
  <c r="D1668" i="7"/>
  <c r="C1668" i="7"/>
  <c r="B1668" i="7"/>
  <c r="A1668" i="7"/>
  <c r="K1667" i="7"/>
  <c r="J1667" i="7"/>
  <c r="I1667" i="7"/>
  <c r="H1667" i="7"/>
  <c r="G1667" i="7"/>
  <c r="F1667" i="7"/>
  <c r="E1667" i="7"/>
  <c r="D1667" i="7"/>
  <c r="C1667" i="7"/>
  <c r="B1667" i="7"/>
  <c r="A1667" i="7"/>
  <c r="K1666" i="7"/>
  <c r="J1666" i="7"/>
  <c r="I1666" i="7"/>
  <c r="H1666" i="7"/>
  <c r="G1666" i="7"/>
  <c r="F1666" i="7"/>
  <c r="E1666" i="7"/>
  <c r="D1666" i="7"/>
  <c r="C1666" i="7"/>
  <c r="B1666" i="7"/>
  <c r="A1666" i="7"/>
  <c r="K1665" i="7"/>
  <c r="J1665" i="7"/>
  <c r="I1665" i="7"/>
  <c r="H1665" i="7"/>
  <c r="G1665" i="7"/>
  <c r="F1665" i="7"/>
  <c r="E1665" i="7"/>
  <c r="D1665" i="7"/>
  <c r="C1665" i="7"/>
  <c r="B1665" i="7"/>
  <c r="A1665" i="7"/>
  <c r="K1664" i="7"/>
  <c r="J1664" i="7"/>
  <c r="I1664" i="7"/>
  <c r="H1664" i="7"/>
  <c r="G1664" i="7"/>
  <c r="F1664" i="7"/>
  <c r="E1664" i="7"/>
  <c r="D1664" i="7"/>
  <c r="C1664" i="7"/>
  <c r="B1664" i="7"/>
  <c r="A1664" i="7"/>
  <c r="K1663" i="7"/>
  <c r="J1663" i="7"/>
  <c r="I1663" i="7"/>
  <c r="H1663" i="7"/>
  <c r="G1663" i="7"/>
  <c r="F1663" i="7"/>
  <c r="E1663" i="7"/>
  <c r="D1663" i="7"/>
  <c r="C1663" i="7"/>
  <c r="B1663" i="7"/>
  <c r="A1663" i="7"/>
  <c r="K1662" i="7"/>
  <c r="J1662" i="7"/>
  <c r="I1662" i="7"/>
  <c r="H1662" i="7"/>
  <c r="G1662" i="7"/>
  <c r="F1662" i="7"/>
  <c r="E1662" i="7"/>
  <c r="D1662" i="7"/>
  <c r="C1662" i="7"/>
  <c r="B1662" i="7"/>
  <c r="A1662" i="7"/>
  <c r="K1661" i="7"/>
  <c r="J1661" i="7"/>
  <c r="I1661" i="7"/>
  <c r="H1661" i="7"/>
  <c r="G1661" i="7"/>
  <c r="F1661" i="7"/>
  <c r="E1661" i="7"/>
  <c r="D1661" i="7"/>
  <c r="C1661" i="7"/>
  <c r="B1661" i="7"/>
  <c r="A1661" i="7"/>
  <c r="K1660" i="7"/>
  <c r="J1660" i="7"/>
  <c r="I1660" i="7"/>
  <c r="H1660" i="7"/>
  <c r="G1660" i="7"/>
  <c r="F1660" i="7"/>
  <c r="E1660" i="7"/>
  <c r="D1660" i="7"/>
  <c r="C1660" i="7"/>
  <c r="B1660" i="7"/>
  <c r="A1660" i="7"/>
  <c r="K1659" i="7"/>
  <c r="J1659" i="7"/>
  <c r="I1659" i="7"/>
  <c r="H1659" i="7"/>
  <c r="G1659" i="7"/>
  <c r="F1659" i="7"/>
  <c r="E1659" i="7"/>
  <c r="D1659" i="7"/>
  <c r="C1659" i="7"/>
  <c r="B1659" i="7"/>
  <c r="A1659" i="7"/>
  <c r="K1658" i="7"/>
  <c r="J1658" i="7"/>
  <c r="I1658" i="7"/>
  <c r="H1658" i="7"/>
  <c r="G1658" i="7"/>
  <c r="F1658" i="7"/>
  <c r="E1658" i="7"/>
  <c r="D1658" i="7"/>
  <c r="C1658" i="7"/>
  <c r="B1658" i="7"/>
  <c r="A1658" i="7"/>
  <c r="K1657" i="7"/>
  <c r="J1657" i="7"/>
  <c r="I1657" i="7"/>
  <c r="H1657" i="7"/>
  <c r="G1657" i="7"/>
  <c r="F1657" i="7"/>
  <c r="E1657" i="7"/>
  <c r="D1657" i="7"/>
  <c r="C1657" i="7"/>
  <c r="B1657" i="7"/>
  <c r="A1657" i="7"/>
  <c r="K1656" i="7"/>
  <c r="J1656" i="7"/>
  <c r="I1656" i="7"/>
  <c r="H1656" i="7"/>
  <c r="G1656" i="7"/>
  <c r="F1656" i="7"/>
  <c r="E1656" i="7"/>
  <c r="D1656" i="7"/>
  <c r="C1656" i="7"/>
  <c r="B1656" i="7"/>
  <c r="A1656" i="7"/>
  <c r="K1655" i="7"/>
  <c r="J1655" i="7"/>
  <c r="I1655" i="7"/>
  <c r="H1655" i="7"/>
  <c r="G1655" i="7"/>
  <c r="F1655" i="7"/>
  <c r="E1655" i="7"/>
  <c r="D1655" i="7"/>
  <c r="C1655" i="7"/>
  <c r="B1655" i="7"/>
  <c r="A1655" i="7"/>
  <c r="K1654" i="7"/>
  <c r="J1654" i="7"/>
  <c r="I1654" i="7"/>
  <c r="H1654" i="7"/>
  <c r="G1654" i="7"/>
  <c r="F1654" i="7"/>
  <c r="E1654" i="7"/>
  <c r="D1654" i="7"/>
  <c r="C1654" i="7"/>
  <c r="B1654" i="7"/>
  <c r="A1654" i="7"/>
  <c r="K1653" i="7"/>
  <c r="J1653" i="7"/>
  <c r="I1653" i="7"/>
  <c r="H1653" i="7"/>
  <c r="G1653" i="7"/>
  <c r="F1653" i="7"/>
  <c r="E1653" i="7"/>
  <c r="D1653" i="7"/>
  <c r="C1653" i="7"/>
  <c r="B1653" i="7"/>
  <c r="A1653" i="7"/>
  <c r="K1652" i="7"/>
  <c r="J1652" i="7"/>
  <c r="I1652" i="7"/>
  <c r="H1652" i="7"/>
  <c r="G1652" i="7"/>
  <c r="F1652" i="7"/>
  <c r="E1652" i="7"/>
  <c r="D1652" i="7"/>
  <c r="C1652" i="7"/>
  <c r="B1652" i="7"/>
  <c r="A1652" i="7"/>
  <c r="K1651" i="7"/>
  <c r="J1651" i="7"/>
  <c r="I1651" i="7"/>
  <c r="H1651" i="7"/>
  <c r="G1651" i="7"/>
  <c r="F1651" i="7"/>
  <c r="E1651" i="7"/>
  <c r="D1651" i="7"/>
  <c r="C1651" i="7"/>
  <c r="B1651" i="7"/>
  <c r="A1651" i="7"/>
  <c r="K1650" i="7"/>
  <c r="J1650" i="7"/>
  <c r="I1650" i="7"/>
  <c r="H1650" i="7"/>
  <c r="G1650" i="7"/>
  <c r="F1650" i="7"/>
  <c r="E1650" i="7"/>
  <c r="D1650" i="7"/>
  <c r="C1650" i="7"/>
  <c r="B1650" i="7"/>
  <c r="A1650" i="7"/>
  <c r="K1649" i="7"/>
  <c r="J1649" i="7"/>
  <c r="I1649" i="7"/>
  <c r="H1649" i="7"/>
  <c r="G1649" i="7"/>
  <c r="F1649" i="7"/>
  <c r="E1649" i="7"/>
  <c r="D1649" i="7"/>
  <c r="C1649" i="7"/>
  <c r="B1649" i="7"/>
  <c r="A1649" i="7"/>
  <c r="K1648" i="7"/>
  <c r="J1648" i="7"/>
  <c r="I1648" i="7"/>
  <c r="H1648" i="7"/>
  <c r="G1648" i="7"/>
  <c r="F1648" i="7"/>
  <c r="E1648" i="7"/>
  <c r="D1648" i="7"/>
  <c r="C1648" i="7"/>
  <c r="B1648" i="7"/>
  <c r="A1648" i="7"/>
  <c r="K1647" i="7"/>
  <c r="J1647" i="7"/>
  <c r="I1647" i="7"/>
  <c r="H1647" i="7"/>
  <c r="G1647" i="7"/>
  <c r="F1647" i="7"/>
  <c r="E1647" i="7"/>
  <c r="D1647" i="7"/>
  <c r="C1647" i="7"/>
  <c r="B1647" i="7"/>
  <c r="A1647" i="7"/>
  <c r="K1646" i="7"/>
  <c r="J1646" i="7"/>
  <c r="I1646" i="7"/>
  <c r="H1646" i="7"/>
  <c r="G1646" i="7"/>
  <c r="F1646" i="7"/>
  <c r="E1646" i="7"/>
  <c r="D1646" i="7"/>
  <c r="C1646" i="7"/>
  <c r="B1646" i="7"/>
  <c r="A1646" i="7"/>
  <c r="K1645" i="7"/>
  <c r="J1645" i="7"/>
  <c r="I1645" i="7"/>
  <c r="H1645" i="7"/>
  <c r="G1645" i="7"/>
  <c r="F1645" i="7"/>
  <c r="E1645" i="7"/>
  <c r="D1645" i="7"/>
  <c r="C1645" i="7"/>
  <c r="B1645" i="7"/>
  <c r="A1645" i="7"/>
  <c r="K1644" i="7"/>
  <c r="J1644" i="7"/>
  <c r="I1644" i="7"/>
  <c r="H1644" i="7"/>
  <c r="G1644" i="7"/>
  <c r="F1644" i="7"/>
  <c r="E1644" i="7"/>
  <c r="D1644" i="7"/>
  <c r="C1644" i="7"/>
  <c r="B1644" i="7"/>
  <c r="A1644" i="7"/>
  <c r="K1643" i="7"/>
  <c r="J1643" i="7"/>
  <c r="I1643" i="7"/>
  <c r="H1643" i="7"/>
  <c r="G1643" i="7"/>
  <c r="F1643" i="7"/>
  <c r="E1643" i="7"/>
  <c r="D1643" i="7"/>
  <c r="C1643" i="7"/>
  <c r="B1643" i="7"/>
  <c r="A1643" i="7"/>
  <c r="K1642" i="7"/>
  <c r="J1642" i="7"/>
  <c r="I1642" i="7"/>
  <c r="H1642" i="7"/>
  <c r="G1642" i="7"/>
  <c r="F1642" i="7"/>
  <c r="E1642" i="7"/>
  <c r="D1642" i="7"/>
  <c r="C1642" i="7"/>
  <c r="B1642" i="7"/>
  <c r="A1642" i="7"/>
  <c r="K1641" i="7"/>
  <c r="J1641" i="7"/>
  <c r="I1641" i="7"/>
  <c r="H1641" i="7"/>
  <c r="G1641" i="7"/>
  <c r="F1641" i="7"/>
  <c r="E1641" i="7"/>
  <c r="D1641" i="7"/>
  <c r="C1641" i="7"/>
  <c r="B1641" i="7"/>
  <c r="A1641" i="7"/>
  <c r="K1640" i="7"/>
  <c r="J1640" i="7"/>
  <c r="I1640" i="7"/>
  <c r="H1640" i="7"/>
  <c r="G1640" i="7"/>
  <c r="F1640" i="7"/>
  <c r="E1640" i="7"/>
  <c r="D1640" i="7"/>
  <c r="C1640" i="7"/>
  <c r="B1640" i="7"/>
  <c r="A1640" i="7"/>
  <c r="K1639" i="7"/>
  <c r="J1639" i="7"/>
  <c r="I1639" i="7"/>
  <c r="H1639" i="7"/>
  <c r="G1639" i="7"/>
  <c r="F1639" i="7"/>
  <c r="E1639" i="7"/>
  <c r="D1639" i="7"/>
  <c r="C1639" i="7"/>
  <c r="B1639" i="7"/>
  <c r="A1639" i="7"/>
  <c r="K1638" i="7"/>
  <c r="J1638" i="7"/>
  <c r="I1638" i="7"/>
  <c r="H1638" i="7"/>
  <c r="G1638" i="7"/>
  <c r="F1638" i="7"/>
  <c r="E1638" i="7"/>
  <c r="D1638" i="7"/>
  <c r="C1638" i="7"/>
  <c r="B1638" i="7"/>
  <c r="A1638" i="7"/>
  <c r="K1637" i="7"/>
  <c r="J1637" i="7"/>
  <c r="I1637" i="7"/>
  <c r="H1637" i="7"/>
  <c r="G1637" i="7"/>
  <c r="F1637" i="7"/>
  <c r="E1637" i="7"/>
  <c r="D1637" i="7"/>
  <c r="C1637" i="7"/>
  <c r="B1637" i="7"/>
  <c r="A1637" i="7"/>
  <c r="K1636" i="7"/>
  <c r="J1636" i="7"/>
  <c r="I1636" i="7"/>
  <c r="H1636" i="7"/>
  <c r="G1636" i="7"/>
  <c r="F1636" i="7"/>
  <c r="E1636" i="7"/>
  <c r="D1636" i="7"/>
  <c r="C1636" i="7"/>
  <c r="B1636" i="7"/>
  <c r="A1636" i="7"/>
  <c r="K1635" i="7"/>
  <c r="J1635" i="7"/>
  <c r="I1635" i="7"/>
  <c r="H1635" i="7"/>
  <c r="G1635" i="7"/>
  <c r="F1635" i="7"/>
  <c r="E1635" i="7"/>
  <c r="D1635" i="7"/>
  <c r="C1635" i="7"/>
  <c r="B1635" i="7"/>
  <c r="A1635" i="7"/>
  <c r="K1634" i="7"/>
  <c r="J1634" i="7"/>
  <c r="I1634" i="7"/>
  <c r="H1634" i="7"/>
  <c r="G1634" i="7"/>
  <c r="F1634" i="7"/>
  <c r="E1634" i="7"/>
  <c r="D1634" i="7"/>
  <c r="C1634" i="7"/>
  <c r="B1634" i="7"/>
  <c r="A1634" i="7"/>
  <c r="K1633" i="7"/>
  <c r="J1633" i="7"/>
  <c r="I1633" i="7"/>
  <c r="H1633" i="7"/>
  <c r="G1633" i="7"/>
  <c r="F1633" i="7"/>
  <c r="E1633" i="7"/>
  <c r="D1633" i="7"/>
  <c r="C1633" i="7"/>
  <c r="B1633" i="7"/>
  <c r="A1633" i="7"/>
  <c r="K1632" i="7"/>
  <c r="J1632" i="7"/>
  <c r="I1632" i="7"/>
  <c r="H1632" i="7"/>
  <c r="G1632" i="7"/>
  <c r="F1632" i="7"/>
  <c r="E1632" i="7"/>
  <c r="D1632" i="7"/>
  <c r="C1632" i="7"/>
  <c r="B1632" i="7"/>
  <c r="A1632" i="7"/>
  <c r="K1631" i="7"/>
  <c r="J1631" i="7"/>
  <c r="I1631" i="7"/>
  <c r="H1631" i="7"/>
  <c r="G1631" i="7"/>
  <c r="F1631" i="7"/>
  <c r="E1631" i="7"/>
  <c r="D1631" i="7"/>
  <c r="C1631" i="7"/>
  <c r="B1631" i="7"/>
  <c r="A1631" i="7"/>
  <c r="K1630" i="7"/>
  <c r="J1630" i="7"/>
  <c r="I1630" i="7"/>
  <c r="H1630" i="7"/>
  <c r="G1630" i="7"/>
  <c r="F1630" i="7"/>
  <c r="E1630" i="7"/>
  <c r="D1630" i="7"/>
  <c r="C1630" i="7"/>
  <c r="B1630" i="7"/>
  <c r="A1630" i="7"/>
  <c r="K1629" i="7"/>
  <c r="J1629" i="7"/>
  <c r="I1629" i="7"/>
  <c r="H1629" i="7"/>
  <c r="G1629" i="7"/>
  <c r="F1629" i="7"/>
  <c r="E1629" i="7"/>
  <c r="D1629" i="7"/>
  <c r="C1629" i="7"/>
  <c r="B1629" i="7"/>
  <c r="A1629" i="7"/>
  <c r="K1628" i="7"/>
  <c r="J1628" i="7"/>
  <c r="I1628" i="7"/>
  <c r="H1628" i="7"/>
  <c r="G1628" i="7"/>
  <c r="F1628" i="7"/>
  <c r="E1628" i="7"/>
  <c r="D1628" i="7"/>
  <c r="C1628" i="7"/>
  <c r="B1628" i="7"/>
  <c r="A1628" i="7"/>
  <c r="K1627" i="7"/>
  <c r="J1627" i="7"/>
  <c r="I1627" i="7"/>
  <c r="H1627" i="7"/>
  <c r="G1627" i="7"/>
  <c r="F1627" i="7"/>
  <c r="E1627" i="7"/>
  <c r="D1627" i="7"/>
  <c r="C1627" i="7"/>
  <c r="B1627" i="7"/>
  <c r="A1627" i="7"/>
  <c r="K1626" i="7"/>
  <c r="J1626" i="7"/>
  <c r="I1626" i="7"/>
  <c r="H1626" i="7"/>
  <c r="G1626" i="7"/>
  <c r="F1626" i="7"/>
  <c r="E1626" i="7"/>
  <c r="D1626" i="7"/>
  <c r="C1626" i="7"/>
  <c r="B1626" i="7"/>
  <c r="A1626" i="7"/>
  <c r="K1625" i="7"/>
  <c r="J1625" i="7"/>
  <c r="I1625" i="7"/>
  <c r="H1625" i="7"/>
  <c r="G1625" i="7"/>
  <c r="F1625" i="7"/>
  <c r="E1625" i="7"/>
  <c r="D1625" i="7"/>
  <c r="C1625" i="7"/>
  <c r="B1625" i="7"/>
  <c r="A1625" i="7"/>
  <c r="K1624" i="7"/>
  <c r="J1624" i="7"/>
  <c r="I1624" i="7"/>
  <c r="H1624" i="7"/>
  <c r="G1624" i="7"/>
  <c r="F1624" i="7"/>
  <c r="E1624" i="7"/>
  <c r="D1624" i="7"/>
  <c r="C1624" i="7"/>
  <c r="B1624" i="7"/>
  <c r="A1624" i="7"/>
  <c r="K1623" i="7"/>
  <c r="J1623" i="7"/>
  <c r="I1623" i="7"/>
  <c r="H1623" i="7"/>
  <c r="G1623" i="7"/>
  <c r="F1623" i="7"/>
  <c r="E1623" i="7"/>
  <c r="D1623" i="7"/>
  <c r="C1623" i="7"/>
  <c r="B1623" i="7"/>
  <c r="A1623" i="7"/>
  <c r="K1622" i="7"/>
  <c r="J1622" i="7"/>
  <c r="I1622" i="7"/>
  <c r="H1622" i="7"/>
  <c r="G1622" i="7"/>
  <c r="F1622" i="7"/>
  <c r="E1622" i="7"/>
  <c r="D1622" i="7"/>
  <c r="C1622" i="7"/>
  <c r="B1622" i="7"/>
  <c r="A1622" i="7"/>
  <c r="K1621" i="7"/>
  <c r="J1621" i="7"/>
  <c r="I1621" i="7"/>
  <c r="H1621" i="7"/>
  <c r="G1621" i="7"/>
  <c r="F1621" i="7"/>
  <c r="E1621" i="7"/>
  <c r="D1621" i="7"/>
  <c r="C1621" i="7"/>
  <c r="B1621" i="7"/>
  <c r="A1621" i="7"/>
  <c r="K1620" i="7"/>
  <c r="J1620" i="7"/>
  <c r="I1620" i="7"/>
  <c r="H1620" i="7"/>
  <c r="G1620" i="7"/>
  <c r="F1620" i="7"/>
  <c r="E1620" i="7"/>
  <c r="D1620" i="7"/>
  <c r="C1620" i="7"/>
  <c r="B1620" i="7"/>
  <c r="A1620" i="7"/>
  <c r="K1619" i="7"/>
  <c r="J1619" i="7"/>
  <c r="I1619" i="7"/>
  <c r="H1619" i="7"/>
  <c r="G1619" i="7"/>
  <c r="F1619" i="7"/>
  <c r="E1619" i="7"/>
  <c r="D1619" i="7"/>
  <c r="C1619" i="7"/>
  <c r="B1619" i="7"/>
  <c r="A1619" i="7"/>
  <c r="K1618" i="7"/>
  <c r="J1618" i="7"/>
  <c r="I1618" i="7"/>
  <c r="H1618" i="7"/>
  <c r="G1618" i="7"/>
  <c r="F1618" i="7"/>
  <c r="E1618" i="7"/>
  <c r="D1618" i="7"/>
  <c r="C1618" i="7"/>
  <c r="B1618" i="7"/>
  <c r="A1618" i="7"/>
  <c r="K1617" i="7"/>
  <c r="J1617" i="7"/>
  <c r="I1617" i="7"/>
  <c r="H1617" i="7"/>
  <c r="G1617" i="7"/>
  <c r="F1617" i="7"/>
  <c r="E1617" i="7"/>
  <c r="D1617" i="7"/>
  <c r="C1617" i="7"/>
  <c r="B1617" i="7"/>
  <c r="A1617" i="7"/>
  <c r="K1616" i="7"/>
  <c r="J1616" i="7"/>
  <c r="I1616" i="7"/>
  <c r="H1616" i="7"/>
  <c r="G1616" i="7"/>
  <c r="F1616" i="7"/>
  <c r="E1616" i="7"/>
  <c r="D1616" i="7"/>
  <c r="C1616" i="7"/>
  <c r="B1616" i="7"/>
  <c r="A1616" i="7"/>
  <c r="K1615" i="7"/>
  <c r="J1615" i="7"/>
  <c r="I1615" i="7"/>
  <c r="H1615" i="7"/>
  <c r="G1615" i="7"/>
  <c r="F1615" i="7"/>
  <c r="E1615" i="7"/>
  <c r="D1615" i="7"/>
  <c r="C1615" i="7"/>
  <c r="B1615" i="7"/>
  <c r="A1615" i="7"/>
  <c r="K1614" i="7"/>
  <c r="J1614" i="7"/>
  <c r="I1614" i="7"/>
  <c r="H1614" i="7"/>
  <c r="G1614" i="7"/>
  <c r="F1614" i="7"/>
  <c r="E1614" i="7"/>
  <c r="D1614" i="7"/>
  <c r="C1614" i="7"/>
  <c r="B1614" i="7"/>
  <c r="A1614" i="7"/>
  <c r="K1613" i="7"/>
  <c r="J1613" i="7"/>
  <c r="I1613" i="7"/>
  <c r="H1613" i="7"/>
  <c r="G1613" i="7"/>
  <c r="F1613" i="7"/>
  <c r="E1613" i="7"/>
  <c r="D1613" i="7"/>
  <c r="C1613" i="7"/>
  <c r="B1613" i="7"/>
  <c r="A1613" i="7"/>
  <c r="K1612" i="7"/>
  <c r="J1612" i="7"/>
  <c r="I1612" i="7"/>
  <c r="H1612" i="7"/>
  <c r="G1612" i="7"/>
  <c r="F1612" i="7"/>
  <c r="E1612" i="7"/>
  <c r="D1612" i="7"/>
  <c r="C1612" i="7"/>
  <c r="B1612" i="7"/>
  <c r="A1612" i="7"/>
  <c r="K1611" i="7"/>
  <c r="J1611" i="7"/>
  <c r="I1611" i="7"/>
  <c r="H1611" i="7"/>
  <c r="G1611" i="7"/>
  <c r="F1611" i="7"/>
  <c r="E1611" i="7"/>
  <c r="D1611" i="7"/>
  <c r="C1611" i="7"/>
  <c r="B1611" i="7"/>
  <c r="A1611" i="7"/>
  <c r="K1610" i="7"/>
  <c r="J1610" i="7"/>
  <c r="I1610" i="7"/>
  <c r="H1610" i="7"/>
  <c r="G1610" i="7"/>
  <c r="F1610" i="7"/>
  <c r="E1610" i="7"/>
  <c r="D1610" i="7"/>
  <c r="C1610" i="7"/>
  <c r="B1610" i="7"/>
  <c r="A1610" i="7"/>
  <c r="K1609" i="7"/>
  <c r="J1609" i="7"/>
  <c r="I1609" i="7"/>
  <c r="H1609" i="7"/>
  <c r="G1609" i="7"/>
  <c r="F1609" i="7"/>
  <c r="E1609" i="7"/>
  <c r="D1609" i="7"/>
  <c r="C1609" i="7"/>
  <c r="B1609" i="7"/>
  <c r="A1609" i="7"/>
  <c r="K1608" i="7"/>
  <c r="J1608" i="7"/>
  <c r="I1608" i="7"/>
  <c r="H1608" i="7"/>
  <c r="G1608" i="7"/>
  <c r="F1608" i="7"/>
  <c r="E1608" i="7"/>
  <c r="D1608" i="7"/>
  <c r="C1608" i="7"/>
  <c r="B1608" i="7"/>
  <c r="A1608" i="7"/>
  <c r="K1607" i="7"/>
  <c r="J1607" i="7"/>
  <c r="I1607" i="7"/>
  <c r="H1607" i="7"/>
  <c r="G1607" i="7"/>
  <c r="F1607" i="7"/>
  <c r="E1607" i="7"/>
  <c r="D1607" i="7"/>
  <c r="C1607" i="7"/>
  <c r="B1607" i="7"/>
  <c r="A1607" i="7"/>
  <c r="K1606" i="7"/>
  <c r="J1606" i="7"/>
  <c r="I1606" i="7"/>
  <c r="H1606" i="7"/>
  <c r="G1606" i="7"/>
  <c r="F1606" i="7"/>
  <c r="E1606" i="7"/>
  <c r="D1606" i="7"/>
  <c r="C1606" i="7"/>
  <c r="B1606" i="7"/>
  <c r="A1606" i="7"/>
  <c r="K1605" i="7"/>
  <c r="J1605" i="7"/>
  <c r="I1605" i="7"/>
  <c r="H1605" i="7"/>
  <c r="G1605" i="7"/>
  <c r="F1605" i="7"/>
  <c r="E1605" i="7"/>
  <c r="D1605" i="7"/>
  <c r="C1605" i="7"/>
  <c r="B1605" i="7"/>
  <c r="A1605" i="7"/>
  <c r="K1604" i="7"/>
  <c r="J1604" i="7"/>
  <c r="I1604" i="7"/>
  <c r="H1604" i="7"/>
  <c r="G1604" i="7"/>
  <c r="F1604" i="7"/>
  <c r="E1604" i="7"/>
  <c r="D1604" i="7"/>
  <c r="C1604" i="7"/>
  <c r="B1604" i="7"/>
  <c r="A1604" i="7"/>
  <c r="K1603" i="7"/>
  <c r="J1603" i="7"/>
  <c r="I1603" i="7"/>
  <c r="H1603" i="7"/>
  <c r="G1603" i="7"/>
  <c r="F1603" i="7"/>
  <c r="E1603" i="7"/>
  <c r="D1603" i="7"/>
  <c r="C1603" i="7"/>
  <c r="B1603" i="7"/>
  <c r="A1603" i="7"/>
  <c r="K1602" i="7"/>
  <c r="J1602" i="7"/>
  <c r="I1602" i="7"/>
  <c r="H1602" i="7"/>
  <c r="G1602" i="7"/>
  <c r="F1602" i="7"/>
  <c r="E1602" i="7"/>
  <c r="D1602" i="7"/>
  <c r="C1602" i="7"/>
  <c r="B1602" i="7"/>
  <c r="A1602" i="7"/>
  <c r="K1601" i="7"/>
  <c r="J1601" i="7"/>
  <c r="I1601" i="7"/>
  <c r="H1601" i="7"/>
  <c r="G1601" i="7"/>
  <c r="F1601" i="7"/>
  <c r="E1601" i="7"/>
  <c r="D1601" i="7"/>
  <c r="C1601" i="7"/>
  <c r="B1601" i="7"/>
  <c r="A1601" i="7"/>
  <c r="K1600" i="7"/>
  <c r="J1600" i="7"/>
  <c r="I1600" i="7"/>
  <c r="H1600" i="7"/>
  <c r="G1600" i="7"/>
  <c r="F1600" i="7"/>
  <c r="E1600" i="7"/>
  <c r="D1600" i="7"/>
  <c r="C1600" i="7"/>
  <c r="B1600" i="7"/>
  <c r="A1600" i="7"/>
  <c r="K1599" i="7"/>
  <c r="J1599" i="7"/>
  <c r="I1599" i="7"/>
  <c r="H1599" i="7"/>
  <c r="G1599" i="7"/>
  <c r="F1599" i="7"/>
  <c r="E1599" i="7"/>
  <c r="D1599" i="7"/>
  <c r="C1599" i="7"/>
  <c r="B1599" i="7"/>
  <c r="A1599" i="7"/>
  <c r="K1598" i="7"/>
  <c r="J1598" i="7"/>
  <c r="I1598" i="7"/>
  <c r="H1598" i="7"/>
  <c r="G1598" i="7"/>
  <c r="F1598" i="7"/>
  <c r="E1598" i="7"/>
  <c r="D1598" i="7"/>
  <c r="C1598" i="7"/>
  <c r="B1598" i="7"/>
  <c r="A1598" i="7"/>
  <c r="K1597" i="7"/>
  <c r="J1597" i="7"/>
  <c r="I1597" i="7"/>
  <c r="H1597" i="7"/>
  <c r="G1597" i="7"/>
  <c r="F1597" i="7"/>
  <c r="E1597" i="7"/>
  <c r="D1597" i="7"/>
  <c r="C1597" i="7"/>
  <c r="B1597" i="7"/>
  <c r="A1597" i="7"/>
  <c r="K1596" i="7"/>
  <c r="J1596" i="7"/>
  <c r="I1596" i="7"/>
  <c r="H1596" i="7"/>
  <c r="G1596" i="7"/>
  <c r="F1596" i="7"/>
  <c r="E1596" i="7"/>
  <c r="D1596" i="7"/>
  <c r="C1596" i="7"/>
  <c r="B1596" i="7"/>
  <c r="A1596" i="7"/>
  <c r="K1595" i="7"/>
  <c r="J1595" i="7"/>
  <c r="I1595" i="7"/>
  <c r="H1595" i="7"/>
  <c r="G1595" i="7"/>
  <c r="F1595" i="7"/>
  <c r="E1595" i="7"/>
  <c r="D1595" i="7"/>
  <c r="C1595" i="7"/>
  <c r="B1595" i="7"/>
  <c r="A1595" i="7"/>
  <c r="K1594" i="7"/>
  <c r="J1594" i="7"/>
  <c r="I1594" i="7"/>
  <c r="H1594" i="7"/>
  <c r="G1594" i="7"/>
  <c r="F1594" i="7"/>
  <c r="E1594" i="7"/>
  <c r="D1594" i="7"/>
  <c r="C1594" i="7"/>
  <c r="B1594" i="7"/>
  <c r="A1594" i="7"/>
  <c r="K1593" i="7"/>
  <c r="J1593" i="7"/>
  <c r="I1593" i="7"/>
  <c r="H1593" i="7"/>
  <c r="G1593" i="7"/>
  <c r="F1593" i="7"/>
  <c r="E1593" i="7"/>
  <c r="D1593" i="7"/>
  <c r="C1593" i="7"/>
  <c r="B1593" i="7"/>
  <c r="A1593" i="7"/>
  <c r="K1592" i="7"/>
  <c r="J1592" i="7"/>
  <c r="I1592" i="7"/>
  <c r="H1592" i="7"/>
  <c r="G1592" i="7"/>
  <c r="F1592" i="7"/>
  <c r="E1592" i="7"/>
  <c r="D1592" i="7"/>
  <c r="C1592" i="7"/>
  <c r="B1592" i="7"/>
  <c r="A1592" i="7"/>
  <c r="K1591" i="7"/>
  <c r="J1591" i="7"/>
  <c r="I1591" i="7"/>
  <c r="H1591" i="7"/>
  <c r="G1591" i="7"/>
  <c r="F1591" i="7"/>
  <c r="E1591" i="7"/>
  <c r="D1591" i="7"/>
  <c r="C1591" i="7"/>
  <c r="B1591" i="7"/>
  <c r="A1591" i="7"/>
  <c r="K1590" i="7"/>
  <c r="J1590" i="7"/>
  <c r="I1590" i="7"/>
  <c r="H1590" i="7"/>
  <c r="G1590" i="7"/>
  <c r="F1590" i="7"/>
  <c r="E1590" i="7"/>
  <c r="D1590" i="7"/>
  <c r="C1590" i="7"/>
  <c r="B1590" i="7"/>
  <c r="A1590" i="7"/>
  <c r="K1589" i="7"/>
  <c r="J1589" i="7"/>
  <c r="I1589" i="7"/>
  <c r="H1589" i="7"/>
  <c r="G1589" i="7"/>
  <c r="F1589" i="7"/>
  <c r="E1589" i="7"/>
  <c r="D1589" i="7"/>
  <c r="C1589" i="7"/>
  <c r="B1589" i="7"/>
  <c r="A1589" i="7"/>
  <c r="K1588" i="7"/>
  <c r="J1588" i="7"/>
  <c r="I1588" i="7"/>
  <c r="H1588" i="7"/>
  <c r="G1588" i="7"/>
  <c r="F1588" i="7"/>
  <c r="E1588" i="7"/>
  <c r="D1588" i="7"/>
  <c r="C1588" i="7"/>
  <c r="B1588" i="7"/>
  <c r="A1588" i="7"/>
  <c r="K1587" i="7"/>
  <c r="J1587" i="7"/>
  <c r="I1587" i="7"/>
  <c r="H1587" i="7"/>
  <c r="G1587" i="7"/>
  <c r="F1587" i="7"/>
  <c r="E1587" i="7"/>
  <c r="D1587" i="7"/>
  <c r="C1587" i="7"/>
  <c r="B1587" i="7"/>
  <c r="A1587" i="7"/>
  <c r="K1586" i="7"/>
  <c r="J1586" i="7"/>
  <c r="I1586" i="7"/>
  <c r="H1586" i="7"/>
  <c r="G1586" i="7"/>
  <c r="F1586" i="7"/>
  <c r="E1586" i="7"/>
  <c r="D1586" i="7"/>
  <c r="C1586" i="7"/>
  <c r="B1586" i="7"/>
  <c r="A1586" i="7"/>
  <c r="K1585" i="7"/>
  <c r="J1585" i="7"/>
  <c r="I1585" i="7"/>
  <c r="H1585" i="7"/>
  <c r="G1585" i="7"/>
  <c r="F1585" i="7"/>
  <c r="E1585" i="7"/>
  <c r="D1585" i="7"/>
  <c r="C1585" i="7"/>
  <c r="B1585" i="7"/>
  <c r="A1585" i="7"/>
  <c r="K1584" i="7"/>
  <c r="J1584" i="7"/>
  <c r="I1584" i="7"/>
  <c r="H1584" i="7"/>
  <c r="G1584" i="7"/>
  <c r="F1584" i="7"/>
  <c r="E1584" i="7"/>
  <c r="D1584" i="7"/>
  <c r="C1584" i="7"/>
  <c r="B1584" i="7"/>
  <c r="A1584" i="7"/>
  <c r="K1583" i="7"/>
  <c r="J1583" i="7"/>
  <c r="I1583" i="7"/>
  <c r="H1583" i="7"/>
  <c r="G1583" i="7"/>
  <c r="F1583" i="7"/>
  <c r="E1583" i="7"/>
  <c r="D1583" i="7"/>
  <c r="C1583" i="7"/>
  <c r="B1583" i="7"/>
  <c r="A1583" i="7"/>
  <c r="K1582" i="7"/>
  <c r="J1582" i="7"/>
  <c r="I1582" i="7"/>
  <c r="H1582" i="7"/>
  <c r="G1582" i="7"/>
  <c r="F1582" i="7"/>
  <c r="E1582" i="7"/>
  <c r="D1582" i="7"/>
  <c r="C1582" i="7"/>
  <c r="B1582" i="7"/>
  <c r="A1582" i="7"/>
  <c r="K1581" i="7"/>
  <c r="J1581" i="7"/>
  <c r="I1581" i="7"/>
  <c r="H1581" i="7"/>
  <c r="G1581" i="7"/>
  <c r="F1581" i="7"/>
  <c r="E1581" i="7"/>
  <c r="D1581" i="7"/>
  <c r="C1581" i="7"/>
  <c r="B1581" i="7"/>
  <c r="A1581" i="7"/>
  <c r="K1580" i="7"/>
  <c r="J1580" i="7"/>
  <c r="I1580" i="7"/>
  <c r="H1580" i="7"/>
  <c r="G1580" i="7"/>
  <c r="F1580" i="7"/>
  <c r="E1580" i="7"/>
  <c r="D1580" i="7"/>
  <c r="C1580" i="7"/>
  <c r="B1580" i="7"/>
  <c r="A1580" i="7"/>
  <c r="K1579" i="7"/>
  <c r="J1579" i="7"/>
  <c r="I1579" i="7"/>
  <c r="H1579" i="7"/>
  <c r="G1579" i="7"/>
  <c r="F1579" i="7"/>
  <c r="E1579" i="7"/>
  <c r="D1579" i="7"/>
  <c r="C1579" i="7"/>
  <c r="B1579" i="7"/>
  <c r="A1579" i="7"/>
  <c r="K1578" i="7"/>
  <c r="J1578" i="7"/>
  <c r="I1578" i="7"/>
  <c r="H1578" i="7"/>
  <c r="G1578" i="7"/>
  <c r="F1578" i="7"/>
  <c r="E1578" i="7"/>
  <c r="D1578" i="7"/>
  <c r="C1578" i="7"/>
  <c r="B1578" i="7"/>
  <c r="A1578" i="7"/>
  <c r="K1577" i="7"/>
  <c r="J1577" i="7"/>
  <c r="I1577" i="7"/>
  <c r="H1577" i="7"/>
  <c r="G1577" i="7"/>
  <c r="F1577" i="7"/>
  <c r="E1577" i="7"/>
  <c r="D1577" i="7"/>
  <c r="C1577" i="7"/>
  <c r="B1577" i="7"/>
  <c r="A1577" i="7"/>
  <c r="K1576" i="7"/>
  <c r="J1576" i="7"/>
  <c r="I1576" i="7"/>
  <c r="H1576" i="7"/>
  <c r="G1576" i="7"/>
  <c r="F1576" i="7"/>
  <c r="E1576" i="7"/>
  <c r="D1576" i="7"/>
  <c r="C1576" i="7"/>
  <c r="B1576" i="7"/>
  <c r="A1576" i="7"/>
  <c r="K1575" i="7"/>
  <c r="J1575" i="7"/>
  <c r="I1575" i="7"/>
  <c r="H1575" i="7"/>
  <c r="G1575" i="7"/>
  <c r="F1575" i="7"/>
  <c r="E1575" i="7"/>
  <c r="D1575" i="7"/>
  <c r="C1575" i="7"/>
  <c r="B1575" i="7"/>
  <c r="A1575" i="7"/>
  <c r="K1574" i="7"/>
  <c r="J1574" i="7"/>
  <c r="I1574" i="7"/>
  <c r="H1574" i="7"/>
  <c r="G1574" i="7"/>
  <c r="F1574" i="7"/>
  <c r="E1574" i="7"/>
  <c r="D1574" i="7"/>
  <c r="C1574" i="7"/>
  <c r="B1574" i="7"/>
  <c r="A1574" i="7"/>
  <c r="K1573" i="7"/>
  <c r="J1573" i="7"/>
  <c r="I1573" i="7"/>
  <c r="H1573" i="7"/>
  <c r="G1573" i="7"/>
  <c r="F1573" i="7"/>
  <c r="E1573" i="7"/>
  <c r="D1573" i="7"/>
  <c r="C1573" i="7"/>
  <c r="B1573" i="7"/>
  <c r="A1573" i="7"/>
  <c r="K1572" i="7"/>
  <c r="J1572" i="7"/>
  <c r="I1572" i="7"/>
  <c r="H1572" i="7"/>
  <c r="G1572" i="7"/>
  <c r="F1572" i="7"/>
  <c r="E1572" i="7"/>
  <c r="D1572" i="7"/>
  <c r="C1572" i="7"/>
  <c r="B1572" i="7"/>
  <c r="A1572" i="7"/>
  <c r="K1571" i="7"/>
  <c r="J1571" i="7"/>
  <c r="I1571" i="7"/>
  <c r="H1571" i="7"/>
  <c r="G1571" i="7"/>
  <c r="F1571" i="7"/>
  <c r="E1571" i="7"/>
  <c r="D1571" i="7"/>
  <c r="C1571" i="7"/>
  <c r="B1571" i="7"/>
  <c r="A1571" i="7"/>
  <c r="K1570" i="7"/>
  <c r="J1570" i="7"/>
  <c r="I1570" i="7"/>
  <c r="H1570" i="7"/>
  <c r="G1570" i="7"/>
  <c r="F1570" i="7"/>
  <c r="E1570" i="7"/>
  <c r="D1570" i="7"/>
  <c r="C1570" i="7"/>
  <c r="B1570" i="7"/>
  <c r="A1570" i="7"/>
  <c r="K1569" i="7"/>
  <c r="J1569" i="7"/>
  <c r="I1569" i="7"/>
  <c r="H1569" i="7"/>
  <c r="G1569" i="7"/>
  <c r="F1569" i="7"/>
  <c r="E1569" i="7"/>
  <c r="D1569" i="7"/>
  <c r="C1569" i="7"/>
  <c r="B1569" i="7"/>
  <c r="A1569" i="7"/>
  <c r="K1568" i="7"/>
  <c r="J1568" i="7"/>
  <c r="I1568" i="7"/>
  <c r="H1568" i="7"/>
  <c r="G1568" i="7"/>
  <c r="F1568" i="7"/>
  <c r="E1568" i="7"/>
  <c r="D1568" i="7"/>
  <c r="C1568" i="7"/>
  <c r="B1568" i="7"/>
  <c r="A1568" i="7"/>
  <c r="K1567" i="7"/>
  <c r="J1567" i="7"/>
  <c r="I1567" i="7"/>
  <c r="H1567" i="7"/>
  <c r="G1567" i="7"/>
  <c r="F1567" i="7"/>
  <c r="E1567" i="7"/>
  <c r="D1567" i="7"/>
  <c r="C1567" i="7"/>
  <c r="B1567" i="7"/>
  <c r="A1567" i="7"/>
  <c r="K1566" i="7"/>
  <c r="J1566" i="7"/>
  <c r="I1566" i="7"/>
  <c r="H1566" i="7"/>
  <c r="G1566" i="7"/>
  <c r="F1566" i="7"/>
  <c r="E1566" i="7"/>
  <c r="D1566" i="7"/>
  <c r="C1566" i="7"/>
  <c r="B1566" i="7"/>
  <c r="A1566" i="7"/>
  <c r="K1565" i="7"/>
  <c r="J1565" i="7"/>
  <c r="I1565" i="7"/>
  <c r="H1565" i="7"/>
  <c r="G1565" i="7"/>
  <c r="F1565" i="7"/>
  <c r="E1565" i="7"/>
  <c r="D1565" i="7"/>
  <c r="C1565" i="7"/>
  <c r="B1565" i="7"/>
  <c r="A1565" i="7"/>
  <c r="K1564" i="7"/>
  <c r="J1564" i="7"/>
  <c r="I1564" i="7"/>
  <c r="H1564" i="7"/>
  <c r="G1564" i="7"/>
  <c r="F1564" i="7"/>
  <c r="E1564" i="7"/>
  <c r="D1564" i="7"/>
  <c r="C1564" i="7"/>
  <c r="B1564" i="7"/>
  <c r="A1564" i="7"/>
  <c r="K1563" i="7"/>
  <c r="J1563" i="7"/>
  <c r="I1563" i="7"/>
  <c r="H1563" i="7"/>
  <c r="G1563" i="7"/>
  <c r="F1563" i="7"/>
  <c r="E1563" i="7"/>
  <c r="D1563" i="7"/>
  <c r="C1563" i="7"/>
  <c r="B1563" i="7"/>
  <c r="A1563" i="7"/>
  <c r="K1562" i="7"/>
  <c r="J1562" i="7"/>
  <c r="I1562" i="7"/>
  <c r="H1562" i="7"/>
  <c r="G1562" i="7"/>
  <c r="F1562" i="7"/>
  <c r="E1562" i="7"/>
  <c r="D1562" i="7"/>
  <c r="C1562" i="7"/>
  <c r="B1562" i="7"/>
  <c r="A1562" i="7"/>
  <c r="K1561" i="7"/>
  <c r="J1561" i="7"/>
  <c r="I1561" i="7"/>
  <c r="H1561" i="7"/>
  <c r="G1561" i="7"/>
  <c r="F1561" i="7"/>
  <c r="E1561" i="7"/>
  <c r="D1561" i="7"/>
  <c r="C1561" i="7"/>
  <c r="B1561" i="7"/>
  <c r="A1561" i="7"/>
  <c r="K1560" i="7"/>
  <c r="J1560" i="7"/>
  <c r="I1560" i="7"/>
  <c r="H1560" i="7"/>
  <c r="G1560" i="7"/>
  <c r="F1560" i="7"/>
  <c r="E1560" i="7"/>
  <c r="D1560" i="7"/>
  <c r="C1560" i="7"/>
  <c r="B1560" i="7"/>
  <c r="A1560" i="7"/>
  <c r="K1559" i="7"/>
  <c r="J1559" i="7"/>
  <c r="I1559" i="7"/>
  <c r="H1559" i="7"/>
  <c r="G1559" i="7"/>
  <c r="F1559" i="7"/>
  <c r="E1559" i="7"/>
  <c r="D1559" i="7"/>
  <c r="C1559" i="7"/>
  <c r="B1559" i="7"/>
  <c r="A1559" i="7"/>
  <c r="K1558" i="7"/>
  <c r="J1558" i="7"/>
  <c r="I1558" i="7"/>
  <c r="H1558" i="7"/>
  <c r="G1558" i="7"/>
  <c r="F1558" i="7"/>
  <c r="E1558" i="7"/>
  <c r="D1558" i="7"/>
  <c r="C1558" i="7"/>
  <c r="B1558" i="7"/>
  <c r="A1558" i="7"/>
  <c r="K1557" i="7"/>
  <c r="J1557" i="7"/>
  <c r="I1557" i="7"/>
  <c r="H1557" i="7"/>
  <c r="G1557" i="7"/>
  <c r="F1557" i="7"/>
  <c r="E1557" i="7"/>
  <c r="D1557" i="7"/>
  <c r="C1557" i="7"/>
  <c r="B1557" i="7"/>
  <c r="A1557" i="7"/>
  <c r="K1556" i="7"/>
  <c r="J1556" i="7"/>
  <c r="I1556" i="7"/>
  <c r="H1556" i="7"/>
  <c r="G1556" i="7"/>
  <c r="F1556" i="7"/>
  <c r="E1556" i="7"/>
  <c r="D1556" i="7"/>
  <c r="C1556" i="7"/>
  <c r="B1556" i="7"/>
  <c r="A1556" i="7"/>
  <c r="K1555" i="7"/>
  <c r="J1555" i="7"/>
  <c r="I1555" i="7"/>
  <c r="H1555" i="7"/>
  <c r="G1555" i="7"/>
  <c r="F1555" i="7"/>
  <c r="E1555" i="7"/>
  <c r="D1555" i="7"/>
  <c r="C1555" i="7"/>
  <c r="B1555" i="7"/>
  <c r="A1555" i="7"/>
  <c r="K1554" i="7"/>
  <c r="J1554" i="7"/>
  <c r="I1554" i="7"/>
  <c r="H1554" i="7"/>
  <c r="G1554" i="7"/>
  <c r="F1554" i="7"/>
  <c r="E1554" i="7"/>
  <c r="D1554" i="7"/>
  <c r="C1554" i="7"/>
  <c r="B1554" i="7"/>
  <c r="A1554" i="7"/>
  <c r="K1553" i="7"/>
  <c r="J1553" i="7"/>
  <c r="I1553" i="7"/>
  <c r="H1553" i="7"/>
  <c r="G1553" i="7"/>
  <c r="F1553" i="7"/>
  <c r="E1553" i="7"/>
  <c r="D1553" i="7"/>
  <c r="C1553" i="7"/>
  <c r="B1553" i="7"/>
  <c r="A1553" i="7"/>
  <c r="K1552" i="7"/>
  <c r="J1552" i="7"/>
  <c r="I1552" i="7"/>
  <c r="H1552" i="7"/>
  <c r="G1552" i="7"/>
  <c r="F1552" i="7"/>
  <c r="E1552" i="7"/>
  <c r="D1552" i="7"/>
  <c r="C1552" i="7"/>
  <c r="B1552" i="7"/>
  <c r="A1552" i="7"/>
  <c r="K1551" i="7"/>
  <c r="J1551" i="7"/>
  <c r="I1551" i="7"/>
  <c r="H1551" i="7"/>
  <c r="G1551" i="7"/>
  <c r="F1551" i="7"/>
  <c r="E1551" i="7"/>
  <c r="D1551" i="7"/>
  <c r="C1551" i="7"/>
  <c r="B1551" i="7"/>
  <c r="A1551" i="7"/>
  <c r="K1550" i="7"/>
  <c r="J1550" i="7"/>
  <c r="I1550" i="7"/>
  <c r="H1550" i="7"/>
  <c r="G1550" i="7"/>
  <c r="F1550" i="7"/>
  <c r="E1550" i="7"/>
  <c r="D1550" i="7"/>
  <c r="C1550" i="7"/>
  <c r="B1550" i="7"/>
  <c r="A1550" i="7"/>
  <c r="K1549" i="7"/>
  <c r="J1549" i="7"/>
  <c r="I1549" i="7"/>
  <c r="H1549" i="7"/>
  <c r="G1549" i="7"/>
  <c r="F1549" i="7"/>
  <c r="E1549" i="7"/>
  <c r="D1549" i="7"/>
  <c r="C1549" i="7"/>
  <c r="B1549" i="7"/>
  <c r="A1549" i="7"/>
  <c r="K1548" i="7"/>
  <c r="J1548" i="7"/>
  <c r="I1548" i="7"/>
  <c r="H1548" i="7"/>
  <c r="G1548" i="7"/>
  <c r="F1548" i="7"/>
  <c r="E1548" i="7"/>
  <c r="D1548" i="7"/>
  <c r="C1548" i="7"/>
  <c r="B1548" i="7"/>
  <c r="A1548" i="7"/>
  <c r="K1547" i="7"/>
  <c r="J1547" i="7"/>
  <c r="I1547" i="7"/>
  <c r="H1547" i="7"/>
  <c r="G1547" i="7"/>
  <c r="F1547" i="7"/>
  <c r="E1547" i="7"/>
  <c r="D1547" i="7"/>
  <c r="C1547" i="7"/>
  <c r="B1547" i="7"/>
  <c r="A1547" i="7"/>
  <c r="K1546" i="7"/>
  <c r="J1546" i="7"/>
  <c r="I1546" i="7"/>
  <c r="H1546" i="7"/>
  <c r="G1546" i="7"/>
  <c r="F1546" i="7"/>
  <c r="E1546" i="7"/>
  <c r="D1546" i="7"/>
  <c r="C1546" i="7"/>
  <c r="B1546" i="7"/>
  <c r="A1546" i="7"/>
  <c r="K1545" i="7"/>
  <c r="J1545" i="7"/>
  <c r="I1545" i="7"/>
  <c r="H1545" i="7"/>
  <c r="G1545" i="7"/>
  <c r="F1545" i="7"/>
  <c r="E1545" i="7"/>
  <c r="D1545" i="7"/>
  <c r="C1545" i="7"/>
  <c r="B1545" i="7"/>
  <c r="A1545" i="7"/>
  <c r="K1544" i="7"/>
  <c r="J1544" i="7"/>
  <c r="I1544" i="7"/>
  <c r="H1544" i="7"/>
  <c r="G1544" i="7"/>
  <c r="F1544" i="7"/>
  <c r="E1544" i="7"/>
  <c r="D1544" i="7"/>
  <c r="C1544" i="7"/>
  <c r="B1544" i="7"/>
  <c r="A1544" i="7"/>
  <c r="K1543" i="7"/>
  <c r="J1543" i="7"/>
  <c r="I1543" i="7"/>
  <c r="H1543" i="7"/>
  <c r="G1543" i="7"/>
  <c r="F1543" i="7"/>
  <c r="E1543" i="7"/>
  <c r="D1543" i="7"/>
  <c r="C1543" i="7"/>
  <c r="B1543" i="7"/>
  <c r="A1543" i="7"/>
  <c r="K1542" i="7"/>
  <c r="J1542" i="7"/>
  <c r="I1542" i="7"/>
  <c r="H1542" i="7"/>
  <c r="G1542" i="7"/>
  <c r="F1542" i="7"/>
  <c r="E1542" i="7"/>
  <c r="D1542" i="7"/>
  <c r="C1542" i="7"/>
  <c r="B1542" i="7"/>
  <c r="A1542" i="7"/>
  <c r="K1541" i="7"/>
  <c r="J1541" i="7"/>
  <c r="I1541" i="7"/>
  <c r="H1541" i="7"/>
  <c r="G1541" i="7"/>
  <c r="F1541" i="7"/>
  <c r="E1541" i="7"/>
  <c r="D1541" i="7"/>
  <c r="C1541" i="7"/>
  <c r="B1541" i="7"/>
  <c r="A1541" i="7"/>
  <c r="K1540" i="7"/>
  <c r="J1540" i="7"/>
  <c r="I1540" i="7"/>
  <c r="H1540" i="7"/>
  <c r="G1540" i="7"/>
  <c r="F1540" i="7"/>
  <c r="E1540" i="7"/>
  <c r="D1540" i="7"/>
  <c r="C1540" i="7"/>
  <c r="B1540" i="7"/>
  <c r="A1540" i="7"/>
  <c r="K1539" i="7"/>
  <c r="J1539" i="7"/>
  <c r="I1539" i="7"/>
  <c r="H1539" i="7"/>
  <c r="G1539" i="7"/>
  <c r="F1539" i="7"/>
  <c r="E1539" i="7"/>
  <c r="D1539" i="7"/>
  <c r="C1539" i="7"/>
  <c r="B1539" i="7"/>
  <c r="A1539" i="7"/>
  <c r="K1538" i="7"/>
  <c r="J1538" i="7"/>
  <c r="I1538" i="7"/>
  <c r="H1538" i="7"/>
  <c r="G1538" i="7"/>
  <c r="F1538" i="7"/>
  <c r="E1538" i="7"/>
  <c r="D1538" i="7"/>
  <c r="C1538" i="7"/>
  <c r="B1538" i="7"/>
  <c r="A1538" i="7"/>
  <c r="K1537" i="7"/>
  <c r="J1537" i="7"/>
  <c r="I1537" i="7"/>
  <c r="H1537" i="7"/>
  <c r="G1537" i="7"/>
  <c r="F1537" i="7"/>
  <c r="E1537" i="7"/>
  <c r="D1537" i="7"/>
  <c r="C1537" i="7"/>
  <c r="B1537" i="7"/>
  <c r="A1537" i="7"/>
  <c r="K1536" i="7"/>
  <c r="J1536" i="7"/>
  <c r="I1536" i="7"/>
  <c r="H1536" i="7"/>
  <c r="G1536" i="7"/>
  <c r="F1536" i="7"/>
  <c r="E1536" i="7"/>
  <c r="D1536" i="7"/>
  <c r="C1536" i="7"/>
  <c r="B1536" i="7"/>
  <c r="A1536" i="7"/>
  <c r="K1535" i="7"/>
  <c r="J1535" i="7"/>
  <c r="I1535" i="7"/>
  <c r="H1535" i="7"/>
  <c r="G1535" i="7"/>
  <c r="F1535" i="7"/>
  <c r="E1535" i="7"/>
  <c r="D1535" i="7"/>
  <c r="C1535" i="7"/>
  <c r="B1535" i="7"/>
  <c r="A1535" i="7"/>
  <c r="K1534" i="7"/>
  <c r="J1534" i="7"/>
  <c r="I1534" i="7"/>
  <c r="H1534" i="7"/>
  <c r="G1534" i="7"/>
  <c r="F1534" i="7"/>
  <c r="E1534" i="7"/>
  <c r="D1534" i="7"/>
  <c r="C1534" i="7"/>
  <c r="B1534" i="7"/>
  <c r="A1534" i="7"/>
  <c r="K1533" i="7"/>
  <c r="J1533" i="7"/>
  <c r="I1533" i="7"/>
  <c r="H1533" i="7"/>
  <c r="G1533" i="7"/>
  <c r="F1533" i="7"/>
  <c r="E1533" i="7"/>
  <c r="D1533" i="7"/>
  <c r="C1533" i="7"/>
  <c r="B1533" i="7"/>
  <c r="A1533" i="7"/>
  <c r="K1532" i="7"/>
  <c r="J1532" i="7"/>
  <c r="I1532" i="7"/>
  <c r="H1532" i="7"/>
  <c r="G1532" i="7"/>
  <c r="F1532" i="7"/>
  <c r="E1532" i="7"/>
  <c r="D1532" i="7"/>
  <c r="C1532" i="7"/>
  <c r="B1532" i="7"/>
  <c r="A1532" i="7"/>
  <c r="K1531" i="7"/>
  <c r="J1531" i="7"/>
  <c r="I1531" i="7"/>
  <c r="H1531" i="7"/>
  <c r="G1531" i="7"/>
  <c r="F1531" i="7"/>
  <c r="E1531" i="7"/>
  <c r="D1531" i="7"/>
  <c r="C1531" i="7"/>
  <c r="B1531" i="7"/>
  <c r="A1531" i="7"/>
  <c r="K1530" i="7"/>
  <c r="J1530" i="7"/>
  <c r="I1530" i="7"/>
  <c r="H1530" i="7"/>
  <c r="G1530" i="7"/>
  <c r="F1530" i="7"/>
  <c r="E1530" i="7"/>
  <c r="D1530" i="7"/>
  <c r="C1530" i="7"/>
  <c r="B1530" i="7"/>
  <c r="A1530" i="7"/>
  <c r="K1529" i="7"/>
  <c r="J1529" i="7"/>
  <c r="I1529" i="7"/>
  <c r="H1529" i="7"/>
  <c r="G1529" i="7"/>
  <c r="F1529" i="7"/>
  <c r="E1529" i="7"/>
  <c r="D1529" i="7"/>
  <c r="C1529" i="7"/>
  <c r="B1529" i="7"/>
  <c r="A1529" i="7"/>
  <c r="K1528" i="7"/>
  <c r="J1528" i="7"/>
  <c r="I1528" i="7"/>
  <c r="H1528" i="7"/>
  <c r="G1528" i="7"/>
  <c r="F1528" i="7"/>
  <c r="E1528" i="7"/>
  <c r="D1528" i="7"/>
  <c r="C1528" i="7"/>
  <c r="B1528" i="7"/>
  <c r="A1528" i="7"/>
  <c r="K1527" i="7"/>
  <c r="J1527" i="7"/>
  <c r="I1527" i="7"/>
  <c r="H1527" i="7"/>
  <c r="G1527" i="7"/>
  <c r="F1527" i="7"/>
  <c r="E1527" i="7"/>
  <c r="D1527" i="7"/>
  <c r="C1527" i="7"/>
  <c r="B1527" i="7"/>
  <c r="A1527" i="7"/>
  <c r="K1526" i="7"/>
  <c r="J1526" i="7"/>
  <c r="I1526" i="7"/>
  <c r="H1526" i="7"/>
  <c r="G1526" i="7"/>
  <c r="F1526" i="7"/>
  <c r="E1526" i="7"/>
  <c r="D1526" i="7"/>
  <c r="C1526" i="7"/>
  <c r="B1526" i="7"/>
  <c r="A1526" i="7"/>
  <c r="K1525" i="7"/>
  <c r="J1525" i="7"/>
  <c r="I1525" i="7"/>
  <c r="H1525" i="7"/>
  <c r="G1525" i="7"/>
  <c r="F1525" i="7"/>
  <c r="E1525" i="7"/>
  <c r="D1525" i="7"/>
  <c r="C1525" i="7"/>
  <c r="B1525" i="7"/>
  <c r="A1525" i="7"/>
  <c r="K1524" i="7"/>
  <c r="J1524" i="7"/>
  <c r="I1524" i="7"/>
  <c r="H1524" i="7"/>
  <c r="G1524" i="7"/>
  <c r="F1524" i="7"/>
  <c r="E1524" i="7"/>
  <c r="D1524" i="7"/>
  <c r="C1524" i="7"/>
  <c r="B1524" i="7"/>
  <c r="A1524" i="7"/>
  <c r="K1523" i="7"/>
  <c r="J1523" i="7"/>
  <c r="I1523" i="7"/>
  <c r="H1523" i="7"/>
  <c r="G1523" i="7"/>
  <c r="F1523" i="7"/>
  <c r="E1523" i="7"/>
  <c r="D1523" i="7"/>
  <c r="C1523" i="7"/>
  <c r="B1523" i="7"/>
  <c r="A1523" i="7"/>
  <c r="K1522" i="7"/>
  <c r="J1522" i="7"/>
  <c r="I1522" i="7"/>
  <c r="H1522" i="7"/>
  <c r="G1522" i="7"/>
  <c r="F1522" i="7"/>
  <c r="E1522" i="7"/>
  <c r="D1522" i="7"/>
  <c r="C1522" i="7"/>
  <c r="B1522" i="7"/>
  <c r="A1522" i="7"/>
  <c r="K1521" i="7"/>
  <c r="J1521" i="7"/>
  <c r="I1521" i="7"/>
  <c r="H1521" i="7"/>
  <c r="G1521" i="7"/>
  <c r="F1521" i="7"/>
  <c r="E1521" i="7"/>
  <c r="D1521" i="7"/>
  <c r="C1521" i="7"/>
  <c r="B1521" i="7"/>
  <c r="A1521" i="7"/>
  <c r="K1520" i="7"/>
  <c r="J1520" i="7"/>
  <c r="I1520" i="7"/>
  <c r="H1520" i="7"/>
  <c r="G1520" i="7"/>
  <c r="F1520" i="7"/>
  <c r="E1520" i="7"/>
  <c r="D1520" i="7"/>
  <c r="C1520" i="7"/>
  <c r="B1520" i="7"/>
  <c r="A1520" i="7"/>
  <c r="K1519" i="7"/>
  <c r="J1519" i="7"/>
  <c r="I1519" i="7"/>
  <c r="H1519" i="7"/>
  <c r="G1519" i="7"/>
  <c r="F1519" i="7"/>
  <c r="E1519" i="7"/>
  <c r="D1519" i="7"/>
  <c r="C1519" i="7"/>
  <c r="B1519" i="7"/>
  <c r="A1519" i="7"/>
  <c r="K1518" i="7"/>
  <c r="J1518" i="7"/>
  <c r="I1518" i="7"/>
  <c r="H1518" i="7"/>
  <c r="G1518" i="7"/>
  <c r="F1518" i="7"/>
  <c r="E1518" i="7"/>
  <c r="D1518" i="7"/>
  <c r="C1518" i="7"/>
  <c r="B1518" i="7"/>
  <c r="A1518" i="7"/>
  <c r="K1517" i="7"/>
  <c r="J1517" i="7"/>
  <c r="I1517" i="7"/>
  <c r="H1517" i="7"/>
  <c r="G1517" i="7"/>
  <c r="F1517" i="7"/>
  <c r="E1517" i="7"/>
  <c r="D1517" i="7"/>
  <c r="C1517" i="7"/>
  <c r="B1517" i="7"/>
  <c r="A1517" i="7"/>
  <c r="K1516" i="7"/>
  <c r="J1516" i="7"/>
  <c r="I1516" i="7"/>
  <c r="H1516" i="7"/>
  <c r="G1516" i="7"/>
  <c r="F1516" i="7"/>
  <c r="E1516" i="7"/>
  <c r="D1516" i="7"/>
  <c r="C1516" i="7"/>
  <c r="B1516" i="7"/>
  <c r="A1516" i="7"/>
  <c r="K1515" i="7"/>
  <c r="J1515" i="7"/>
  <c r="I1515" i="7"/>
  <c r="H1515" i="7"/>
  <c r="G1515" i="7"/>
  <c r="F1515" i="7"/>
  <c r="E1515" i="7"/>
  <c r="D1515" i="7"/>
  <c r="C1515" i="7"/>
  <c r="B1515" i="7"/>
  <c r="A1515" i="7"/>
  <c r="K1514" i="7"/>
  <c r="J1514" i="7"/>
  <c r="I1514" i="7"/>
  <c r="H1514" i="7"/>
  <c r="G1514" i="7"/>
  <c r="F1514" i="7"/>
  <c r="E1514" i="7"/>
  <c r="D1514" i="7"/>
  <c r="C1514" i="7"/>
  <c r="B1514" i="7"/>
  <c r="A1514" i="7"/>
  <c r="K1513" i="7"/>
  <c r="J1513" i="7"/>
  <c r="I1513" i="7"/>
  <c r="H1513" i="7"/>
  <c r="G1513" i="7"/>
  <c r="F1513" i="7"/>
  <c r="E1513" i="7"/>
  <c r="D1513" i="7"/>
  <c r="C1513" i="7"/>
  <c r="B1513" i="7"/>
  <c r="A1513" i="7"/>
  <c r="K1512" i="7"/>
  <c r="J1512" i="7"/>
  <c r="I1512" i="7"/>
  <c r="H1512" i="7"/>
  <c r="G1512" i="7"/>
  <c r="F1512" i="7"/>
  <c r="E1512" i="7"/>
  <c r="D1512" i="7"/>
  <c r="C1512" i="7"/>
  <c r="B1512" i="7"/>
  <c r="A1512" i="7"/>
  <c r="K1511" i="7"/>
  <c r="J1511" i="7"/>
  <c r="I1511" i="7"/>
  <c r="H1511" i="7"/>
  <c r="G1511" i="7"/>
  <c r="F1511" i="7"/>
  <c r="E1511" i="7"/>
  <c r="D1511" i="7"/>
  <c r="C1511" i="7"/>
  <c r="B1511" i="7"/>
  <c r="A1511" i="7"/>
  <c r="K1510" i="7"/>
  <c r="J1510" i="7"/>
  <c r="I1510" i="7"/>
  <c r="H1510" i="7"/>
  <c r="G1510" i="7"/>
  <c r="F1510" i="7"/>
  <c r="E1510" i="7"/>
  <c r="D1510" i="7"/>
  <c r="C1510" i="7"/>
  <c r="B1510" i="7"/>
  <c r="A1510" i="7"/>
  <c r="K1509" i="7"/>
  <c r="J1509" i="7"/>
  <c r="I1509" i="7"/>
  <c r="H1509" i="7"/>
  <c r="G1509" i="7"/>
  <c r="F1509" i="7"/>
  <c r="E1509" i="7"/>
  <c r="D1509" i="7"/>
  <c r="C1509" i="7"/>
  <c r="B1509" i="7"/>
  <c r="A1509" i="7"/>
  <c r="K1508" i="7"/>
  <c r="J1508" i="7"/>
  <c r="I1508" i="7"/>
  <c r="H1508" i="7"/>
  <c r="G1508" i="7"/>
  <c r="F1508" i="7"/>
  <c r="E1508" i="7"/>
  <c r="D1508" i="7"/>
  <c r="C1508" i="7"/>
  <c r="B1508" i="7"/>
  <c r="A1508" i="7"/>
  <c r="K1507" i="7"/>
  <c r="J1507" i="7"/>
  <c r="I1507" i="7"/>
  <c r="H1507" i="7"/>
  <c r="G1507" i="7"/>
  <c r="F1507" i="7"/>
  <c r="E1507" i="7"/>
  <c r="D1507" i="7"/>
  <c r="C1507" i="7"/>
  <c r="B1507" i="7"/>
  <c r="A1507" i="7"/>
  <c r="K1506" i="7"/>
  <c r="J1506" i="7"/>
  <c r="I1506" i="7"/>
  <c r="H1506" i="7"/>
  <c r="G1506" i="7"/>
  <c r="F1506" i="7"/>
  <c r="E1506" i="7"/>
  <c r="D1506" i="7"/>
  <c r="C1506" i="7"/>
  <c r="B1506" i="7"/>
  <c r="A1506" i="7"/>
  <c r="K1505" i="7"/>
  <c r="J1505" i="7"/>
  <c r="I1505" i="7"/>
  <c r="H1505" i="7"/>
  <c r="G1505" i="7"/>
  <c r="F1505" i="7"/>
  <c r="E1505" i="7"/>
  <c r="D1505" i="7"/>
  <c r="C1505" i="7"/>
  <c r="B1505" i="7"/>
  <c r="A1505" i="7"/>
  <c r="K1504" i="7"/>
  <c r="J1504" i="7"/>
  <c r="I1504" i="7"/>
  <c r="H1504" i="7"/>
  <c r="G1504" i="7"/>
  <c r="F1504" i="7"/>
  <c r="E1504" i="7"/>
  <c r="D1504" i="7"/>
  <c r="C1504" i="7"/>
  <c r="B1504" i="7"/>
  <c r="A1504" i="7"/>
  <c r="K1503" i="7"/>
  <c r="J1503" i="7"/>
  <c r="I1503" i="7"/>
  <c r="H1503" i="7"/>
  <c r="G1503" i="7"/>
  <c r="F1503" i="7"/>
  <c r="E1503" i="7"/>
  <c r="D1503" i="7"/>
  <c r="C1503" i="7"/>
  <c r="B1503" i="7"/>
  <c r="A1503" i="7"/>
  <c r="K1502" i="7"/>
  <c r="J1502" i="7"/>
  <c r="I1502" i="7"/>
  <c r="H1502" i="7"/>
  <c r="G1502" i="7"/>
  <c r="F1502" i="7"/>
  <c r="E1502" i="7"/>
  <c r="D1502" i="7"/>
  <c r="C1502" i="7"/>
  <c r="B1502" i="7"/>
  <c r="A1502" i="7"/>
  <c r="K1501" i="7"/>
  <c r="J1501" i="7"/>
  <c r="I1501" i="7"/>
  <c r="H1501" i="7"/>
  <c r="G1501" i="7"/>
  <c r="F1501" i="7"/>
  <c r="E1501" i="7"/>
  <c r="D1501" i="7"/>
  <c r="C1501" i="7"/>
  <c r="B1501" i="7"/>
  <c r="A1501" i="7"/>
  <c r="K1500" i="7"/>
  <c r="J1500" i="7"/>
  <c r="I1500" i="7"/>
  <c r="H1500" i="7"/>
  <c r="G1500" i="7"/>
  <c r="F1500" i="7"/>
  <c r="E1500" i="7"/>
  <c r="D1500" i="7"/>
  <c r="C1500" i="7"/>
  <c r="B1500" i="7"/>
  <c r="A1500" i="7"/>
  <c r="K1499" i="7"/>
  <c r="J1499" i="7"/>
  <c r="I1499" i="7"/>
  <c r="H1499" i="7"/>
  <c r="G1499" i="7"/>
  <c r="F1499" i="7"/>
  <c r="E1499" i="7"/>
  <c r="D1499" i="7"/>
  <c r="C1499" i="7"/>
  <c r="B1499" i="7"/>
  <c r="A1499" i="7"/>
  <c r="K1498" i="7"/>
  <c r="J1498" i="7"/>
  <c r="I1498" i="7"/>
  <c r="H1498" i="7"/>
  <c r="G1498" i="7"/>
  <c r="F1498" i="7"/>
  <c r="E1498" i="7"/>
  <c r="D1498" i="7"/>
  <c r="C1498" i="7"/>
  <c r="B1498" i="7"/>
  <c r="A1498" i="7"/>
  <c r="K1497" i="7"/>
  <c r="J1497" i="7"/>
  <c r="I1497" i="7"/>
  <c r="H1497" i="7"/>
  <c r="G1497" i="7"/>
  <c r="F1497" i="7"/>
  <c r="E1497" i="7"/>
  <c r="D1497" i="7"/>
  <c r="C1497" i="7"/>
  <c r="B1497" i="7"/>
  <c r="A1497" i="7"/>
  <c r="K1496" i="7"/>
  <c r="J1496" i="7"/>
  <c r="I1496" i="7"/>
  <c r="H1496" i="7"/>
  <c r="G1496" i="7"/>
  <c r="F1496" i="7"/>
  <c r="E1496" i="7"/>
  <c r="D1496" i="7"/>
  <c r="C1496" i="7"/>
  <c r="B1496" i="7"/>
  <c r="A1496" i="7"/>
  <c r="K1495" i="7"/>
  <c r="J1495" i="7"/>
  <c r="I1495" i="7"/>
  <c r="H1495" i="7"/>
  <c r="G1495" i="7"/>
  <c r="F1495" i="7"/>
  <c r="E1495" i="7"/>
  <c r="D1495" i="7"/>
  <c r="C1495" i="7"/>
  <c r="B1495" i="7"/>
  <c r="A1495" i="7"/>
  <c r="K1494" i="7"/>
  <c r="J1494" i="7"/>
  <c r="I1494" i="7"/>
  <c r="H1494" i="7"/>
  <c r="G1494" i="7"/>
  <c r="F1494" i="7"/>
  <c r="E1494" i="7"/>
  <c r="D1494" i="7"/>
  <c r="C1494" i="7"/>
  <c r="B1494" i="7"/>
  <c r="A1494" i="7"/>
  <c r="K1493" i="7"/>
  <c r="J1493" i="7"/>
  <c r="I1493" i="7"/>
  <c r="H1493" i="7"/>
  <c r="G1493" i="7"/>
  <c r="F1493" i="7"/>
  <c r="E1493" i="7"/>
  <c r="D1493" i="7"/>
  <c r="C1493" i="7"/>
  <c r="B1493" i="7"/>
  <c r="A1493" i="7"/>
  <c r="K1492" i="7"/>
  <c r="J1492" i="7"/>
  <c r="I1492" i="7"/>
  <c r="H1492" i="7"/>
  <c r="G1492" i="7"/>
  <c r="F1492" i="7"/>
  <c r="E1492" i="7"/>
  <c r="D1492" i="7"/>
  <c r="C1492" i="7"/>
  <c r="B1492" i="7"/>
  <c r="A1492" i="7"/>
  <c r="K1491" i="7"/>
  <c r="J1491" i="7"/>
  <c r="I1491" i="7"/>
  <c r="H1491" i="7"/>
  <c r="G1491" i="7"/>
  <c r="F1491" i="7"/>
  <c r="E1491" i="7"/>
  <c r="D1491" i="7"/>
  <c r="C1491" i="7"/>
  <c r="B1491" i="7"/>
  <c r="A1491" i="7"/>
  <c r="K1490" i="7"/>
  <c r="J1490" i="7"/>
  <c r="I1490" i="7"/>
  <c r="H1490" i="7"/>
  <c r="G1490" i="7"/>
  <c r="F1490" i="7"/>
  <c r="E1490" i="7"/>
  <c r="D1490" i="7"/>
  <c r="C1490" i="7"/>
  <c r="B1490" i="7"/>
  <c r="A1490" i="7"/>
  <c r="K1489" i="7"/>
  <c r="J1489" i="7"/>
  <c r="I1489" i="7"/>
  <c r="H1489" i="7"/>
  <c r="G1489" i="7"/>
  <c r="F1489" i="7"/>
  <c r="E1489" i="7"/>
  <c r="D1489" i="7"/>
  <c r="C1489" i="7"/>
  <c r="B1489" i="7"/>
  <c r="A1489" i="7"/>
  <c r="K1488" i="7"/>
  <c r="J1488" i="7"/>
  <c r="I1488" i="7"/>
  <c r="H1488" i="7"/>
  <c r="G1488" i="7"/>
  <c r="F1488" i="7"/>
  <c r="E1488" i="7"/>
  <c r="D1488" i="7"/>
  <c r="C1488" i="7"/>
  <c r="B1488" i="7"/>
  <c r="A1488" i="7"/>
  <c r="K1487" i="7"/>
  <c r="J1487" i="7"/>
  <c r="I1487" i="7"/>
  <c r="H1487" i="7"/>
  <c r="G1487" i="7"/>
  <c r="F1487" i="7"/>
  <c r="E1487" i="7"/>
  <c r="D1487" i="7"/>
  <c r="C1487" i="7"/>
  <c r="B1487" i="7"/>
  <c r="A1487" i="7"/>
  <c r="K1486" i="7"/>
  <c r="J1486" i="7"/>
  <c r="I1486" i="7"/>
  <c r="H1486" i="7"/>
  <c r="G1486" i="7"/>
  <c r="F1486" i="7"/>
  <c r="E1486" i="7"/>
  <c r="D1486" i="7"/>
  <c r="C1486" i="7"/>
  <c r="B1486" i="7"/>
  <c r="A1486" i="7"/>
  <c r="K1485" i="7"/>
  <c r="J1485" i="7"/>
  <c r="I1485" i="7"/>
  <c r="H1485" i="7"/>
  <c r="G1485" i="7"/>
  <c r="F1485" i="7"/>
  <c r="E1485" i="7"/>
  <c r="D1485" i="7"/>
  <c r="C1485" i="7"/>
  <c r="B1485" i="7"/>
  <c r="A1485" i="7"/>
  <c r="K1484" i="7"/>
  <c r="J1484" i="7"/>
  <c r="I1484" i="7"/>
  <c r="H1484" i="7"/>
  <c r="G1484" i="7"/>
  <c r="F1484" i="7"/>
  <c r="E1484" i="7"/>
  <c r="D1484" i="7"/>
  <c r="C1484" i="7"/>
  <c r="B1484" i="7"/>
  <c r="A1484" i="7"/>
  <c r="K1483" i="7"/>
  <c r="J1483" i="7"/>
  <c r="I1483" i="7"/>
  <c r="H1483" i="7"/>
  <c r="G1483" i="7"/>
  <c r="F1483" i="7"/>
  <c r="E1483" i="7"/>
  <c r="D1483" i="7"/>
  <c r="C1483" i="7"/>
  <c r="B1483" i="7"/>
  <c r="A1483" i="7"/>
  <c r="K1482" i="7"/>
  <c r="J1482" i="7"/>
  <c r="I1482" i="7"/>
  <c r="H1482" i="7"/>
  <c r="G1482" i="7"/>
  <c r="F1482" i="7"/>
  <c r="E1482" i="7"/>
  <c r="D1482" i="7"/>
  <c r="C1482" i="7"/>
  <c r="B1482" i="7"/>
  <c r="A1482" i="7"/>
  <c r="K1481" i="7"/>
  <c r="J1481" i="7"/>
  <c r="I1481" i="7"/>
  <c r="H1481" i="7"/>
  <c r="G1481" i="7"/>
  <c r="F1481" i="7"/>
  <c r="E1481" i="7"/>
  <c r="D1481" i="7"/>
  <c r="C1481" i="7"/>
  <c r="B1481" i="7"/>
  <c r="A1481" i="7"/>
  <c r="K1480" i="7"/>
  <c r="J1480" i="7"/>
  <c r="I1480" i="7"/>
  <c r="H1480" i="7"/>
  <c r="G1480" i="7"/>
  <c r="F1480" i="7"/>
  <c r="E1480" i="7"/>
  <c r="D1480" i="7"/>
  <c r="C1480" i="7"/>
  <c r="B1480" i="7"/>
  <c r="A1480" i="7"/>
  <c r="K1479" i="7"/>
  <c r="J1479" i="7"/>
  <c r="I1479" i="7"/>
  <c r="H1479" i="7"/>
  <c r="G1479" i="7"/>
  <c r="F1479" i="7"/>
  <c r="E1479" i="7"/>
  <c r="D1479" i="7"/>
  <c r="C1479" i="7"/>
  <c r="B1479" i="7"/>
  <c r="A1479" i="7"/>
  <c r="K1478" i="7"/>
  <c r="J1478" i="7"/>
  <c r="I1478" i="7"/>
  <c r="H1478" i="7"/>
  <c r="G1478" i="7"/>
  <c r="F1478" i="7"/>
  <c r="E1478" i="7"/>
  <c r="D1478" i="7"/>
  <c r="C1478" i="7"/>
  <c r="B1478" i="7"/>
  <c r="A1478" i="7"/>
  <c r="K1477" i="7"/>
  <c r="J1477" i="7"/>
  <c r="I1477" i="7"/>
  <c r="H1477" i="7"/>
  <c r="G1477" i="7"/>
  <c r="F1477" i="7"/>
  <c r="E1477" i="7"/>
  <c r="D1477" i="7"/>
  <c r="C1477" i="7"/>
  <c r="B1477" i="7"/>
  <c r="A1477" i="7"/>
  <c r="K1476" i="7"/>
  <c r="J1476" i="7"/>
  <c r="I1476" i="7"/>
  <c r="H1476" i="7"/>
  <c r="G1476" i="7"/>
  <c r="F1476" i="7"/>
  <c r="E1476" i="7"/>
  <c r="D1476" i="7"/>
  <c r="C1476" i="7"/>
  <c r="B1476" i="7"/>
  <c r="A1476" i="7"/>
  <c r="K1475" i="7"/>
  <c r="J1475" i="7"/>
  <c r="I1475" i="7"/>
  <c r="H1475" i="7"/>
  <c r="G1475" i="7"/>
  <c r="F1475" i="7"/>
  <c r="E1475" i="7"/>
  <c r="D1475" i="7"/>
  <c r="C1475" i="7"/>
  <c r="B1475" i="7"/>
  <c r="A1475" i="7"/>
  <c r="K1474" i="7"/>
  <c r="J1474" i="7"/>
  <c r="I1474" i="7"/>
  <c r="H1474" i="7"/>
  <c r="G1474" i="7"/>
  <c r="F1474" i="7"/>
  <c r="E1474" i="7"/>
  <c r="D1474" i="7"/>
  <c r="C1474" i="7"/>
  <c r="B1474" i="7"/>
  <c r="A1474" i="7"/>
  <c r="K1473" i="7"/>
  <c r="J1473" i="7"/>
  <c r="I1473" i="7"/>
  <c r="H1473" i="7"/>
  <c r="G1473" i="7"/>
  <c r="F1473" i="7"/>
  <c r="E1473" i="7"/>
  <c r="D1473" i="7"/>
  <c r="C1473" i="7"/>
  <c r="B1473" i="7"/>
  <c r="A1473" i="7"/>
  <c r="K1472" i="7"/>
  <c r="J1472" i="7"/>
  <c r="I1472" i="7"/>
  <c r="H1472" i="7"/>
  <c r="G1472" i="7"/>
  <c r="F1472" i="7"/>
  <c r="E1472" i="7"/>
  <c r="D1472" i="7"/>
  <c r="C1472" i="7"/>
  <c r="B1472" i="7"/>
  <c r="A1472" i="7"/>
  <c r="K1471" i="7"/>
  <c r="J1471" i="7"/>
  <c r="I1471" i="7"/>
  <c r="H1471" i="7"/>
  <c r="G1471" i="7"/>
  <c r="F1471" i="7"/>
  <c r="E1471" i="7"/>
  <c r="D1471" i="7"/>
  <c r="C1471" i="7"/>
  <c r="B1471" i="7"/>
  <c r="A1471" i="7"/>
  <c r="K1470" i="7"/>
  <c r="J1470" i="7"/>
  <c r="I1470" i="7"/>
  <c r="H1470" i="7"/>
  <c r="G1470" i="7"/>
  <c r="F1470" i="7"/>
  <c r="E1470" i="7"/>
  <c r="D1470" i="7"/>
  <c r="C1470" i="7"/>
  <c r="B1470" i="7"/>
  <c r="A1470" i="7"/>
  <c r="K1469" i="7"/>
  <c r="J1469" i="7"/>
  <c r="I1469" i="7"/>
  <c r="H1469" i="7"/>
  <c r="G1469" i="7"/>
  <c r="F1469" i="7"/>
  <c r="E1469" i="7"/>
  <c r="D1469" i="7"/>
  <c r="C1469" i="7"/>
  <c r="B1469" i="7"/>
  <c r="A1469" i="7"/>
  <c r="K1468" i="7"/>
  <c r="J1468" i="7"/>
  <c r="I1468" i="7"/>
  <c r="H1468" i="7"/>
  <c r="G1468" i="7"/>
  <c r="F1468" i="7"/>
  <c r="E1468" i="7"/>
  <c r="D1468" i="7"/>
  <c r="C1468" i="7"/>
  <c r="B1468" i="7"/>
  <c r="A1468" i="7"/>
  <c r="K1467" i="7"/>
  <c r="J1467" i="7"/>
  <c r="I1467" i="7"/>
  <c r="H1467" i="7"/>
  <c r="G1467" i="7"/>
  <c r="F1467" i="7"/>
  <c r="E1467" i="7"/>
  <c r="D1467" i="7"/>
  <c r="C1467" i="7"/>
  <c r="B1467" i="7"/>
  <c r="A1467" i="7"/>
  <c r="K1466" i="7"/>
  <c r="J1466" i="7"/>
  <c r="I1466" i="7"/>
  <c r="H1466" i="7"/>
  <c r="G1466" i="7"/>
  <c r="F1466" i="7"/>
  <c r="E1466" i="7"/>
  <c r="D1466" i="7"/>
  <c r="C1466" i="7"/>
  <c r="B1466" i="7"/>
  <c r="A1466" i="7"/>
  <c r="K1465" i="7"/>
  <c r="J1465" i="7"/>
  <c r="I1465" i="7"/>
  <c r="H1465" i="7"/>
  <c r="G1465" i="7"/>
  <c r="F1465" i="7"/>
  <c r="E1465" i="7"/>
  <c r="D1465" i="7"/>
  <c r="C1465" i="7"/>
  <c r="B1465" i="7"/>
  <c r="A1465" i="7"/>
  <c r="K1464" i="7"/>
  <c r="J1464" i="7"/>
  <c r="I1464" i="7"/>
  <c r="H1464" i="7"/>
  <c r="G1464" i="7"/>
  <c r="F1464" i="7"/>
  <c r="E1464" i="7"/>
  <c r="D1464" i="7"/>
  <c r="C1464" i="7"/>
  <c r="B1464" i="7"/>
  <c r="A1464" i="7"/>
  <c r="K1463" i="7"/>
  <c r="J1463" i="7"/>
  <c r="I1463" i="7"/>
  <c r="H1463" i="7"/>
  <c r="G1463" i="7"/>
  <c r="F1463" i="7"/>
  <c r="E1463" i="7"/>
  <c r="D1463" i="7"/>
  <c r="C1463" i="7"/>
  <c r="B1463" i="7"/>
  <c r="A1463" i="7"/>
  <c r="K1462" i="7"/>
  <c r="J1462" i="7"/>
  <c r="I1462" i="7"/>
  <c r="H1462" i="7"/>
  <c r="G1462" i="7"/>
  <c r="F1462" i="7"/>
  <c r="E1462" i="7"/>
  <c r="D1462" i="7"/>
  <c r="C1462" i="7"/>
  <c r="B1462" i="7"/>
  <c r="A1462" i="7"/>
  <c r="K1461" i="7"/>
  <c r="J1461" i="7"/>
  <c r="I1461" i="7"/>
  <c r="H1461" i="7"/>
  <c r="G1461" i="7"/>
  <c r="F1461" i="7"/>
  <c r="E1461" i="7"/>
  <c r="D1461" i="7"/>
  <c r="C1461" i="7"/>
  <c r="B1461" i="7"/>
  <c r="A1461" i="7"/>
  <c r="K1460" i="7"/>
  <c r="J1460" i="7"/>
  <c r="I1460" i="7"/>
  <c r="H1460" i="7"/>
  <c r="G1460" i="7"/>
  <c r="F1460" i="7"/>
  <c r="E1460" i="7"/>
  <c r="D1460" i="7"/>
  <c r="C1460" i="7"/>
  <c r="B1460" i="7"/>
  <c r="A1460" i="7"/>
  <c r="K1459" i="7"/>
  <c r="J1459" i="7"/>
  <c r="I1459" i="7"/>
  <c r="H1459" i="7"/>
  <c r="G1459" i="7"/>
  <c r="F1459" i="7"/>
  <c r="E1459" i="7"/>
  <c r="D1459" i="7"/>
  <c r="C1459" i="7"/>
  <c r="B1459" i="7"/>
  <c r="A1459" i="7"/>
  <c r="K1458" i="7"/>
  <c r="J1458" i="7"/>
  <c r="I1458" i="7"/>
  <c r="H1458" i="7"/>
  <c r="G1458" i="7"/>
  <c r="F1458" i="7"/>
  <c r="E1458" i="7"/>
  <c r="D1458" i="7"/>
  <c r="C1458" i="7"/>
  <c r="B1458" i="7"/>
  <c r="A1458" i="7"/>
  <c r="K1457" i="7"/>
  <c r="J1457" i="7"/>
  <c r="I1457" i="7"/>
  <c r="H1457" i="7"/>
  <c r="G1457" i="7"/>
  <c r="F1457" i="7"/>
  <c r="E1457" i="7"/>
  <c r="D1457" i="7"/>
  <c r="C1457" i="7"/>
  <c r="B1457" i="7"/>
  <c r="A1457" i="7"/>
  <c r="K1456" i="7"/>
  <c r="J1456" i="7"/>
  <c r="I1456" i="7"/>
  <c r="H1456" i="7"/>
  <c r="G1456" i="7"/>
  <c r="F1456" i="7"/>
  <c r="E1456" i="7"/>
  <c r="D1456" i="7"/>
  <c r="C1456" i="7"/>
  <c r="B1456" i="7"/>
  <c r="A1456" i="7"/>
  <c r="K1455" i="7"/>
  <c r="J1455" i="7"/>
  <c r="I1455" i="7"/>
  <c r="H1455" i="7"/>
  <c r="G1455" i="7"/>
  <c r="F1455" i="7"/>
  <c r="E1455" i="7"/>
  <c r="D1455" i="7"/>
  <c r="C1455" i="7"/>
  <c r="B1455" i="7"/>
  <c r="A1455" i="7"/>
  <c r="K1454" i="7"/>
  <c r="J1454" i="7"/>
  <c r="I1454" i="7"/>
  <c r="H1454" i="7"/>
  <c r="G1454" i="7"/>
  <c r="F1454" i="7"/>
  <c r="E1454" i="7"/>
  <c r="D1454" i="7"/>
  <c r="C1454" i="7"/>
  <c r="B1454" i="7"/>
  <c r="A1454" i="7"/>
  <c r="K1453" i="7"/>
  <c r="J1453" i="7"/>
  <c r="I1453" i="7"/>
  <c r="H1453" i="7"/>
  <c r="G1453" i="7"/>
  <c r="F1453" i="7"/>
  <c r="E1453" i="7"/>
  <c r="D1453" i="7"/>
  <c r="C1453" i="7"/>
  <c r="B1453" i="7"/>
  <c r="A1453" i="7"/>
  <c r="K1452" i="7"/>
  <c r="J1452" i="7"/>
  <c r="I1452" i="7"/>
  <c r="H1452" i="7"/>
  <c r="G1452" i="7"/>
  <c r="F1452" i="7"/>
  <c r="E1452" i="7"/>
  <c r="D1452" i="7"/>
  <c r="C1452" i="7"/>
  <c r="B1452" i="7"/>
  <c r="A1452" i="7"/>
  <c r="K1451" i="7"/>
  <c r="J1451" i="7"/>
  <c r="I1451" i="7"/>
  <c r="H1451" i="7"/>
  <c r="G1451" i="7"/>
  <c r="F1451" i="7"/>
  <c r="E1451" i="7"/>
  <c r="D1451" i="7"/>
  <c r="C1451" i="7"/>
  <c r="B1451" i="7"/>
  <c r="A1451" i="7"/>
  <c r="K1450" i="7"/>
  <c r="J1450" i="7"/>
  <c r="I1450" i="7"/>
  <c r="H1450" i="7"/>
  <c r="G1450" i="7"/>
  <c r="F1450" i="7"/>
  <c r="E1450" i="7"/>
  <c r="D1450" i="7"/>
  <c r="C1450" i="7"/>
  <c r="B1450" i="7"/>
  <c r="A1450" i="7"/>
  <c r="K1449" i="7"/>
  <c r="J1449" i="7"/>
  <c r="I1449" i="7"/>
  <c r="H1449" i="7"/>
  <c r="G1449" i="7"/>
  <c r="F1449" i="7"/>
  <c r="E1449" i="7"/>
  <c r="D1449" i="7"/>
  <c r="C1449" i="7"/>
  <c r="B1449" i="7"/>
  <c r="A1449" i="7"/>
  <c r="K1448" i="7"/>
  <c r="J1448" i="7"/>
  <c r="I1448" i="7"/>
  <c r="H1448" i="7"/>
  <c r="G1448" i="7"/>
  <c r="F1448" i="7"/>
  <c r="E1448" i="7"/>
  <c r="D1448" i="7"/>
  <c r="C1448" i="7"/>
  <c r="B1448" i="7"/>
  <c r="A1448" i="7"/>
  <c r="K1447" i="7"/>
  <c r="J1447" i="7"/>
  <c r="I1447" i="7"/>
  <c r="H1447" i="7"/>
  <c r="G1447" i="7"/>
  <c r="F1447" i="7"/>
  <c r="E1447" i="7"/>
  <c r="D1447" i="7"/>
  <c r="C1447" i="7"/>
  <c r="B1447" i="7"/>
  <c r="A1447" i="7"/>
  <c r="K1446" i="7"/>
  <c r="J1446" i="7"/>
  <c r="I1446" i="7"/>
  <c r="H1446" i="7"/>
  <c r="G1446" i="7"/>
  <c r="F1446" i="7"/>
  <c r="E1446" i="7"/>
  <c r="D1446" i="7"/>
  <c r="C1446" i="7"/>
  <c r="B1446" i="7"/>
  <c r="A1446" i="7"/>
  <c r="K1445" i="7"/>
  <c r="J1445" i="7"/>
  <c r="I1445" i="7"/>
  <c r="H1445" i="7"/>
  <c r="G1445" i="7"/>
  <c r="F1445" i="7"/>
  <c r="E1445" i="7"/>
  <c r="D1445" i="7"/>
  <c r="C1445" i="7"/>
  <c r="B1445" i="7"/>
  <c r="A1445" i="7"/>
  <c r="K1444" i="7"/>
  <c r="J1444" i="7"/>
  <c r="I1444" i="7"/>
  <c r="H1444" i="7"/>
  <c r="G1444" i="7"/>
  <c r="F1444" i="7"/>
  <c r="E1444" i="7"/>
  <c r="D1444" i="7"/>
  <c r="C1444" i="7"/>
  <c r="B1444" i="7"/>
  <c r="A1444" i="7"/>
  <c r="K1443" i="7"/>
  <c r="J1443" i="7"/>
  <c r="I1443" i="7"/>
  <c r="H1443" i="7"/>
  <c r="G1443" i="7"/>
  <c r="F1443" i="7"/>
  <c r="E1443" i="7"/>
  <c r="D1443" i="7"/>
  <c r="C1443" i="7"/>
  <c r="B1443" i="7"/>
  <c r="A1443" i="7"/>
  <c r="K1442" i="7"/>
  <c r="J1442" i="7"/>
  <c r="I1442" i="7"/>
  <c r="H1442" i="7"/>
  <c r="G1442" i="7"/>
  <c r="F1442" i="7"/>
  <c r="E1442" i="7"/>
  <c r="D1442" i="7"/>
  <c r="C1442" i="7"/>
  <c r="B1442" i="7"/>
  <c r="A1442" i="7"/>
  <c r="K1441" i="7"/>
  <c r="J1441" i="7"/>
  <c r="I1441" i="7"/>
  <c r="H1441" i="7"/>
  <c r="G1441" i="7"/>
  <c r="F1441" i="7"/>
  <c r="E1441" i="7"/>
  <c r="D1441" i="7"/>
  <c r="C1441" i="7"/>
  <c r="B1441" i="7"/>
  <c r="A1441" i="7"/>
  <c r="K1440" i="7"/>
  <c r="J1440" i="7"/>
  <c r="I1440" i="7"/>
  <c r="H1440" i="7"/>
  <c r="G1440" i="7"/>
  <c r="F1440" i="7"/>
  <c r="E1440" i="7"/>
  <c r="D1440" i="7"/>
  <c r="C1440" i="7"/>
  <c r="B1440" i="7"/>
  <c r="A1440" i="7"/>
  <c r="K1439" i="7"/>
  <c r="J1439" i="7"/>
  <c r="I1439" i="7"/>
  <c r="H1439" i="7"/>
  <c r="G1439" i="7"/>
  <c r="F1439" i="7"/>
  <c r="E1439" i="7"/>
  <c r="D1439" i="7"/>
  <c r="C1439" i="7"/>
  <c r="B1439" i="7"/>
  <c r="A1439" i="7"/>
  <c r="K1438" i="7"/>
  <c r="J1438" i="7"/>
  <c r="I1438" i="7"/>
  <c r="H1438" i="7"/>
  <c r="G1438" i="7"/>
  <c r="F1438" i="7"/>
  <c r="E1438" i="7"/>
  <c r="D1438" i="7"/>
  <c r="C1438" i="7"/>
  <c r="B1438" i="7"/>
  <c r="A1438" i="7"/>
  <c r="K1437" i="7"/>
  <c r="J1437" i="7"/>
  <c r="I1437" i="7"/>
  <c r="H1437" i="7"/>
  <c r="G1437" i="7"/>
  <c r="F1437" i="7"/>
  <c r="E1437" i="7"/>
  <c r="D1437" i="7"/>
  <c r="C1437" i="7"/>
  <c r="B1437" i="7"/>
  <c r="A1437" i="7"/>
  <c r="K1436" i="7"/>
  <c r="J1436" i="7"/>
  <c r="I1436" i="7"/>
  <c r="H1436" i="7"/>
  <c r="G1436" i="7"/>
  <c r="F1436" i="7"/>
  <c r="E1436" i="7"/>
  <c r="D1436" i="7"/>
  <c r="C1436" i="7"/>
  <c r="B1436" i="7"/>
  <c r="A1436" i="7"/>
  <c r="K1435" i="7"/>
  <c r="J1435" i="7"/>
  <c r="I1435" i="7"/>
  <c r="H1435" i="7"/>
  <c r="G1435" i="7"/>
  <c r="F1435" i="7"/>
  <c r="E1435" i="7"/>
  <c r="D1435" i="7"/>
  <c r="C1435" i="7"/>
  <c r="B1435" i="7"/>
  <c r="A1435" i="7"/>
  <c r="K1434" i="7"/>
  <c r="J1434" i="7"/>
  <c r="I1434" i="7"/>
  <c r="H1434" i="7"/>
  <c r="G1434" i="7"/>
  <c r="F1434" i="7"/>
  <c r="E1434" i="7"/>
  <c r="D1434" i="7"/>
  <c r="C1434" i="7"/>
  <c r="B1434" i="7"/>
  <c r="A1434" i="7"/>
  <c r="K1433" i="7"/>
  <c r="J1433" i="7"/>
  <c r="I1433" i="7"/>
  <c r="H1433" i="7"/>
  <c r="G1433" i="7"/>
  <c r="F1433" i="7"/>
  <c r="E1433" i="7"/>
  <c r="D1433" i="7"/>
  <c r="C1433" i="7"/>
  <c r="B1433" i="7"/>
  <c r="A1433" i="7"/>
  <c r="K1432" i="7"/>
  <c r="J1432" i="7"/>
  <c r="I1432" i="7"/>
  <c r="H1432" i="7"/>
  <c r="G1432" i="7"/>
  <c r="F1432" i="7"/>
  <c r="E1432" i="7"/>
  <c r="D1432" i="7"/>
  <c r="C1432" i="7"/>
  <c r="B1432" i="7"/>
  <c r="A1432" i="7"/>
  <c r="K1431" i="7"/>
  <c r="J1431" i="7"/>
  <c r="I1431" i="7"/>
  <c r="H1431" i="7"/>
  <c r="G1431" i="7"/>
  <c r="F1431" i="7"/>
  <c r="E1431" i="7"/>
  <c r="D1431" i="7"/>
  <c r="C1431" i="7"/>
  <c r="B1431" i="7"/>
  <c r="A1431" i="7"/>
  <c r="K1430" i="7"/>
  <c r="J1430" i="7"/>
  <c r="I1430" i="7"/>
  <c r="H1430" i="7"/>
  <c r="G1430" i="7"/>
  <c r="F1430" i="7"/>
  <c r="E1430" i="7"/>
  <c r="D1430" i="7"/>
  <c r="C1430" i="7"/>
  <c r="B1430" i="7"/>
  <c r="A1430" i="7"/>
  <c r="K1429" i="7"/>
  <c r="J1429" i="7"/>
  <c r="I1429" i="7"/>
  <c r="H1429" i="7"/>
  <c r="G1429" i="7"/>
  <c r="F1429" i="7"/>
  <c r="E1429" i="7"/>
  <c r="D1429" i="7"/>
  <c r="C1429" i="7"/>
  <c r="B1429" i="7"/>
  <c r="A1429" i="7"/>
  <c r="K1428" i="7"/>
  <c r="J1428" i="7"/>
  <c r="I1428" i="7"/>
  <c r="H1428" i="7"/>
  <c r="G1428" i="7"/>
  <c r="F1428" i="7"/>
  <c r="E1428" i="7"/>
  <c r="D1428" i="7"/>
  <c r="C1428" i="7"/>
  <c r="B1428" i="7"/>
  <c r="A1428" i="7"/>
  <c r="K1427" i="7"/>
  <c r="J1427" i="7"/>
  <c r="I1427" i="7"/>
  <c r="H1427" i="7"/>
  <c r="G1427" i="7"/>
  <c r="F1427" i="7"/>
  <c r="E1427" i="7"/>
  <c r="D1427" i="7"/>
  <c r="C1427" i="7"/>
  <c r="B1427" i="7"/>
  <c r="A1427" i="7"/>
  <c r="K1426" i="7"/>
  <c r="J1426" i="7"/>
  <c r="I1426" i="7"/>
  <c r="H1426" i="7"/>
  <c r="G1426" i="7"/>
  <c r="F1426" i="7"/>
  <c r="E1426" i="7"/>
  <c r="D1426" i="7"/>
  <c r="C1426" i="7"/>
  <c r="B1426" i="7"/>
  <c r="A1426" i="7"/>
  <c r="K1425" i="7"/>
  <c r="J1425" i="7"/>
  <c r="I1425" i="7"/>
  <c r="H1425" i="7"/>
  <c r="G1425" i="7"/>
  <c r="F1425" i="7"/>
  <c r="E1425" i="7"/>
  <c r="D1425" i="7"/>
  <c r="C1425" i="7"/>
  <c r="B1425" i="7"/>
  <c r="A1425" i="7"/>
  <c r="K1424" i="7"/>
  <c r="J1424" i="7"/>
  <c r="I1424" i="7"/>
  <c r="H1424" i="7"/>
  <c r="G1424" i="7"/>
  <c r="F1424" i="7"/>
  <c r="E1424" i="7"/>
  <c r="D1424" i="7"/>
  <c r="C1424" i="7"/>
  <c r="B1424" i="7"/>
  <c r="A1424" i="7"/>
  <c r="K1423" i="7"/>
  <c r="J1423" i="7"/>
  <c r="I1423" i="7"/>
  <c r="H1423" i="7"/>
  <c r="G1423" i="7"/>
  <c r="F1423" i="7"/>
  <c r="E1423" i="7"/>
  <c r="D1423" i="7"/>
  <c r="C1423" i="7"/>
  <c r="B1423" i="7"/>
  <c r="A1423" i="7"/>
  <c r="K1422" i="7"/>
  <c r="J1422" i="7"/>
  <c r="I1422" i="7"/>
  <c r="H1422" i="7"/>
  <c r="G1422" i="7"/>
  <c r="F1422" i="7"/>
  <c r="E1422" i="7"/>
  <c r="D1422" i="7"/>
  <c r="C1422" i="7"/>
  <c r="B1422" i="7"/>
  <c r="A1422" i="7"/>
  <c r="K1421" i="7"/>
  <c r="J1421" i="7"/>
  <c r="I1421" i="7"/>
  <c r="H1421" i="7"/>
  <c r="G1421" i="7"/>
  <c r="F1421" i="7"/>
  <c r="E1421" i="7"/>
  <c r="D1421" i="7"/>
  <c r="C1421" i="7"/>
  <c r="B1421" i="7"/>
  <c r="A1421" i="7"/>
  <c r="K1420" i="7"/>
  <c r="J1420" i="7"/>
  <c r="I1420" i="7"/>
  <c r="H1420" i="7"/>
  <c r="G1420" i="7"/>
  <c r="F1420" i="7"/>
  <c r="E1420" i="7"/>
  <c r="D1420" i="7"/>
  <c r="C1420" i="7"/>
  <c r="B1420" i="7"/>
  <c r="A1420" i="7"/>
  <c r="K1419" i="7"/>
  <c r="J1419" i="7"/>
  <c r="I1419" i="7"/>
  <c r="H1419" i="7"/>
  <c r="G1419" i="7"/>
  <c r="F1419" i="7"/>
  <c r="E1419" i="7"/>
  <c r="D1419" i="7"/>
  <c r="C1419" i="7"/>
  <c r="B1419" i="7"/>
  <c r="A1419" i="7"/>
  <c r="K1418" i="7"/>
  <c r="J1418" i="7"/>
  <c r="I1418" i="7"/>
  <c r="H1418" i="7"/>
  <c r="G1418" i="7"/>
  <c r="F1418" i="7"/>
  <c r="E1418" i="7"/>
  <c r="D1418" i="7"/>
  <c r="C1418" i="7"/>
  <c r="B1418" i="7"/>
  <c r="A1418" i="7"/>
  <c r="K1417" i="7"/>
  <c r="J1417" i="7"/>
  <c r="I1417" i="7"/>
  <c r="H1417" i="7"/>
  <c r="G1417" i="7"/>
  <c r="F1417" i="7"/>
  <c r="E1417" i="7"/>
  <c r="D1417" i="7"/>
  <c r="C1417" i="7"/>
  <c r="B1417" i="7"/>
  <c r="A1417" i="7"/>
  <c r="K1416" i="7"/>
  <c r="J1416" i="7"/>
  <c r="I1416" i="7"/>
  <c r="H1416" i="7"/>
  <c r="G1416" i="7"/>
  <c r="F1416" i="7"/>
  <c r="E1416" i="7"/>
  <c r="D1416" i="7"/>
  <c r="C1416" i="7"/>
  <c r="B1416" i="7"/>
  <c r="A1416" i="7"/>
  <c r="K1415" i="7"/>
  <c r="J1415" i="7"/>
  <c r="I1415" i="7"/>
  <c r="H1415" i="7"/>
  <c r="G1415" i="7"/>
  <c r="F1415" i="7"/>
  <c r="E1415" i="7"/>
  <c r="D1415" i="7"/>
  <c r="C1415" i="7"/>
  <c r="B1415" i="7"/>
  <c r="A1415" i="7"/>
  <c r="K1414" i="7"/>
  <c r="J1414" i="7"/>
  <c r="I1414" i="7"/>
  <c r="H1414" i="7"/>
  <c r="G1414" i="7"/>
  <c r="F1414" i="7"/>
  <c r="E1414" i="7"/>
  <c r="D1414" i="7"/>
  <c r="C1414" i="7"/>
  <c r="B1414" i="7"/>
  <c r="A1414" i="7"/>
  <c r="K1413" i="7"/>
  <c r="J1413" i="7"/>
  <c r="I1413" i="7"/>
  <c r="H1413" i="7"/>
  <c r="G1413" i="7"/>
  <c r="F1413" i="7"/>
  <c r="E1413" i="7"/>
  <c r="D1413" i="7"/>
  <c r="C1413" i="7"/>
  <c r="B1413" i="7"/>
  <c r="A1413" i="7"/>
  <c r="K1412" i="7"/>
  <c r="J1412" i="7"/>
  <c r="I1412" i="7"/>
  <c r="H1412" i="7"/>
  <c r="G1412" i="7"/>
  <c r="F1412" i="7"/>
  <c r="E1412" i="7"/>
  <c r="D1412" i="7"/>
  <c r="C1412" i="7"/>
  <c r="B1412" i="7"/>
  <c r="A1412" i="7"/>
  <c r="K1411" i="7"/>
  <c r="J1411" i="7"/>
  <c r="I1411" i="7"/>
  <c r="H1411" i="7"/>
  <c r="G1411" i="7"/>
  <c r="F1411" i="7"/>
  <c r="E1411" i="7"/>
  <c r="D1411" i="7"/>
  <c r="C1411" i="7"/>
  <c r="B1411" i="7"/>
  <c r="A1411" i="7"/>
  <c r="K1410" i="7"/>
  <c r="J1410" i="7"/>
  <c r="I1410" i="7"/>
  <c r="H1410" i="7"/>
  <c r="G1410" i="7"/>
  <c r="F1410" i="7"/>
  <c r="E1410" i="7"/>
  <c r="D1410" i="7"/>
  <c r="C1410" i="7"/>
  <c r="B1410" i="7"/>
  <c r="A1410" i="7"/>
  <c r="K1409" i="7"/>
  <c r="J1409" i="7"/>
  <c r="I1409" i="7"/>
  <c r="H1409" i="7"/>
  <c r="G1409" i="7"/>
  <c r="F1409" i="7"/>
  <c r="E1409" i="7"/>
  <c r="D1409" i="7"/>
  <c r="C1409" i="7"/>
  <c r="B1409" i="7"/>
  <c r="A1409" i="7"/>
  <c r="K1408" i="7"/>
  <c r="J1408" i="7"/>
  <c r="I1408" i="7"/>
  <c r="H1408" i="7"/>
  <c r="G1408" i="7"/>
  <c r="F1408" i="7"/>
  <c r="E1408" i="7"/>
  <c r="D1408" i="7"/>
  <c r="C1408" i="7"/>
  <c r="B1408" i="7"/>
  <c r="A1408" i="7"/>
  <c r="K1407" i="7"/>
  <c r="J1407" i="7"/>
  <c r="I1407" i="7"/>
  <c r="H1407" i="7"/>
  <c r="G1407" i="7"/>
  <c r="F1407" i="7"/>
  <c r="E1407" i="7"/>
  <c r="D1407" i="7"/>
  <c r="C1407" i="7"/>
  <c r="B1407" i="7"/>
  <c r="A1407" i="7"/>
  <c r="K1406" i="7"/>
  <c r="J1406" i="7"/>
  <c r="I1406" i="7"/>
  <c r="H1406" i="7"/>
  <c r="G1406" i="7"/>
  <c r="F1406" i="7"/>
  <c r="E1406" i="7"/>
  <c r="D1406" i="7"/>
  <c r="C1406" i="7"/>
  <c r="B1406" i="7"/>
  <c r="A1406" i="7"/>
  <c r="K1405" i="7"/>
  <c r="J1405" i="7"/>
  <c r="I1405" i="7"/>
  <c r="H1405" i="7"/>
  <c r="G1405" i="7"/>
  <c r="F1405" i="7"/>
  <c r="E1405" i="7"/>
  <c r="D1405" i="7"/>
  <c r="C1405" i="7"/>
  <c r="B1405" i="7"/>
  <c r="A1405" i="7"/>
  <c r="K1404" i="7"/>
  <c r="J1404" i="7"/>
  <c r="I1404" i="7"/>
  <c r="H1404" i="7"/>
  <c r="G1404" i="7"/>
  <c r="F1404" i="7"/>
  <c r="E1404" i="7"/>
  <c r="D1404" i="7"/>
  <c r="C1404" i="7"/>
  <c r="B1404" i="7"/>
  <c r="A1404" i="7"/>
  <c r="K1403" i="7"/>
  <c r="J1403" i="7"/>
  <c r="I1403" i="7"/>
  <c r="H1403" i="7"/>
  <c r="G1403" i="7"/>
  <c r="F1403" i="7"/>
  <c r="E1403" i="7"/>
  <c r="D1403" i="7"/>
  <c r="C1403" i="7"/>
  <c r="B1403" i="7"/>
  <c r="A1403" i="7"/>
  <c r="K1402" i="7"/>
  <c r="J1402" i="7"/>
  <c r="I1402" i="7"/>
  <c r="H1402" i="7"/>
  <c r="G1402" i="7"/>
  <c r="F1402" i="7"/>
  <c r="E1402" i="7"/>
  <c r="D1402" i="7"/>
  <c r="C1402" i="7"/>
  <c r="B1402" i="7"/>
  <c r="A1402" i="7"/>
  <c r="K1401" i="7"/>
  <c r="J1401" i="7"/>
  <c r="I1401" i="7"/>
  <c r="H1401" i="7"/>
  <c r="G1401" i="7"/>
  <c r="F1401" i="7"/>
  <c r="E1401" i="7"/>
  <c r="D1401" i="7"/>
  <c r="C1401" i="7"/>
  <c r="B1401" i="7"/>
  <c r="A1401" i="7"/>
  <c r="K1400" i="7"/>
  <c r="J1400" i="7"/>
  <c r="I1400" i="7"/>
  <c r="H1400" i="7"/>
  <c r="G1400" i="7"/>
  <c r="F1400" i="7"/>
  <c r="E1400" i="7"/>
  <c r="D1400" i="7"/>
  <c r="C1400" i="7"/>
  <c r="B1400" i="7"/>
  <c r="A1400" i="7"/>
  <c r="K1399" i="7"/>
  <c r="J1399" i="7"/>
  <c r="I1399" i="7"/>
  <c r="H1399" i="7"/>
  <c r="G1399" i="7"/>
  <c r="F1399" i="7"/>
  <c r="E1399" i="7"/>
  <c r="D1399" i="7"/>
  <c r="C1399" i="7"/>
  <c r="B1399" i="7"/>
  <c r="A1399" i="7"/>
  <c r="K1398" i="7"/>
  <c r="J1398" i="7"/>
  <c r="I1398" i="7"/>
  <c r="H1398" i="7"/>
  <c r="G1398" i="7"/>
  <c r="F1398" i="7"/>
  <c r="E1398" i="7"/>
  <c r="D1398" i="7"/>
  <c r="C1398" i="7"/>
  <c r="B1398" i="7"/>
  <c r="A1398" i="7"/>
  <c r="K1397" i="7"/>
  <c r="J1397" i="7"/>
  <c r="I1397" i="7"/>
  <c r="H1397" i="7"/>
  <c r="G1397" i="7"/>
  <c r="F1397" i="7"/>
  <c r="E1397" i="7"/>
  <c r="D1397" i="7"/>
  <c r="C1397" i="7"/>
  <c r="B1397" i="7"/>
  <c r="A1397" i="7"/>
  <c r="K1396" i="7"/>
  <c r="J1396" i="7"/>
  <c r="I1396" i="7"/>
  <c r="H1396" i="7"/>
  <c r="G1396" i="7"/>
  <c r="F1396" i="7"/>
  <c r="E1396" i="7"/>
  <c r="D1396" i="7"/>
  <c r="C1396" i="7"/>
  <c r="B1396" i="7"/>
  <c r="A1396" i="7"/>
  <c r="K1395" i="7"/>
  <c r="J1395" i="7"/>
  <c r="I1395" i="7"/>
  <c r="H1395" i="7"/>
  <c r="G1395" i="7"/>
  <c r="F1395" i="7"/>
  <c r="E1395" i="7"/>
  <c r="D1395" i="7"/>
  <c r="C1395" i="7"/>
  <c r="B1395" i="7"/>
  <c r="A1395" i="7"/>
  <c r="K1394" i="7"/>
  <c r="J1394" i="7"/>
  <c r="I1394" i="7"/>
  <c r="H1394" i="7"/>
  <c r="G1394" i="7"/>
  <c r="F1394" i="7"/>
  <c r="E1394" i="7"/>
  <c r="D1394" i="7"/>
  <c r="C1394" i="7"/>
  <c r="B1394" i="7"/>
  <c r="A1394" i="7"/>
  <c r="K1393" i="7"/>
  <c r="J1393" i="7"/>
  <c r="I1393" i="7"/>
  <c r="H1393" i="7"/>
  <c r="G1393" i="7"/>
  <c r="F1393" i="7"/>
  <c r="E1393" i="7"/>
  <c r="D1393" i="7"/>
  <c r="C1393" i="7"/>
  <c r="B1393" i="7"/>
  <c r="A1393" i="7"/>
  <c r="K1392" i="7"/>
  <c r="J1392" i="7"/>
  <c r="I1392" i="7"/>
  <c r="H1392" i="7"/>
  <c r="G1392" i="7"/>
  <c r="F1392" i="7"/>
  <c r="E1392" i="7"/>
  <c r="D1392" i="7"/>
  <c r="C1392" i="7"/>
  <c r="B1392" i="7"/>
  <c r="A1392" i="7"/>
  <c r="K1391" i="7"/>
  <c r="J1391" i="7"/>
  <c r="I1391" i="7"/>
  <c r="H1391" i="7"/>
  <c r="G1391" i="7"/>
  <c r="F1391" i="7"/>
  <c r="E1391" i="7"/>
  <c r="D1391" i="7"/>
  <c r="C1391" i="7"/>
  <c r="B1391" i="7"/>
  <c r="A1391" i="7"/>
  <c r="K1390" i="7"/>
  <c r="J1390" i="7"/>
  <c r="I1390" i="7"/>
  <c r="H1390" i="7"/>
  <c r="G1390" i="7"/>
  <c r="F1390" i="7"/>
  <c r="E1390" i="7"/>
  <c r="D1390" i="7"/>
  <c r="C1390" i="7"/>
  <c r="B1390" i="7"/>
  <c r="A1390" i="7"/>
  <c r="K1389" i="7"/>
  <c r="J1389" i="7"/>
  <c r="I1389" i="7"/>
  <c r="H1389" i="7"/>
  <c r="G1389" i="7"/>
  <c r="F1389" i="7"/>
  <c r="E1389" i="7"/>
  <c r="D1389" i="7"/>
  <c r="C1389" i="7"/>
  <c r="B1389" i="7"/>
  <c r="A1389" i="7"/>
  <c r="K1388" i="7"/>
  <c r="J1388" i="7"/>
  <c r="I1388" i="7"/>
  <c r="H1388" i="7"/>
  <c r="G1388" i="7"/>
  <c r="F1388" i="7"/>
  <c r="E1388" i="7"/>
  <c r="D1388" i="7"/>
  <c r="C1388" i="7"/>
  <c r="B1388" i="7"/>
  <c r="A1388" i="7"/>
  <c r="K1387" i="7"/>
  <c r="J1387" i="7"/>
  <c r="I1387" i="7"/>
  <c r="H1387" i="7"/>
  <c r="G1387" i="7"/>
  <c r="F1387" i="7"/>
  <c r="E1387" i="7"/>
  <c r="D1387" i="7"/>
  <c r="C1387" i="7"/>
  <c r="B1387" i="7"/>
  <c r="A1387" i="7"/>
  <c r="K1386" i="7"/>
  <c r="J1386" i="7"/>
  <c r="I1386" i="7"/>
  <c r="H1386" i="7"/>
  <c r="G1386" i="7"/>
  <c r="F1386" i="7"/>
  <c r="E1386" i="7"/>
  <c r="D1386" i="7"/>
  <c r="C1386" i="7"/>
  <c r="B1386" i="7"/>
  <c r="A1386" i="7"/>
  <c r="K1385" i="7"/>
  <c r="J1385" i="7"/>
  <c r="I1385" i="7"/>
  <c r="H1385" i="7"/>
  <c r="G1385" i="7"/>
  <c r="F1385" i="7"/>
  <c r="E1385" i="7"/>
  <c r="D1385" i="7"/>
  <c r="C1385" i="7"/>
  <c r="B1385" i="7"/>
  <c r="A1385" i="7"/>
  <c r="K1384" i="7"/>
  <c r="J1384" i="7"/>
  <c r="I1384" i="7"/>
  <c r="H1384" i="7"/>
  <c r="G1384" i="7"/>
  <c r="F1384" i="7"/>
  <c r="E1384" i="7"/>
  <c r="D1384" i="7"/>
  <c r="C1384" i="7"/>
  <c r="B1384" i="7"/>
  <c r="A1384" i="7"/>
  <c r="K1383" i="7"/>
  <c r="J1383" i="7"/>
  <c r="I1383" i="7"/>
  <c r="H1383" i="7"/>
  <c r="G1383" i="7"/>
  <c r="F1383" i="7"/>
  <c r="E1383" i="7"/>
  <c r="D1383" i="7"/>
  <c r="C1383" i="7"/>
  <c r="B1383" i="7"/>
  <c r="A1383" i="7"/>
  <c r="K1382" i="7"/>
  <c r="J1382" i="7"/>
  <c r="I1382" i="7"/>
  <c r="H1382" i="7"/>
  <c r="G1382" i="7"/>
  <c r="F1382" i="7"/>
  <c r="E1382" i="7"/>
  <c r="D1382" i="7"/>
  <c r="C1382" i="7"/>
  <c r="B1382" i="7"/>
  <c r="A1382" i="7"/>
  <c r="K1381" i="7"/>
  <c r="J1381" i="7"/>
  <c r="I1381" i="7"/>
  <c r="H1381" i="7"/>
  <c r="G1381" i="7"/>
  <c r="F1381" i="7"/>
  <c r="E1381" i="7"/>
  <c r="D1381" i="7"/>
  <c r="C1381" i="7"/>
  <c r="B1381" i="7"/>
  <c r="A1381" i="7"/>
  <c r="K1380" i="7"/>
  <c r="J1380" i="7"/>
  <c r="I1380" i="7"/>
  <c r="H1380" i="7"/>
  <c r="G1380" i="7"/>
  <c r="F1380" i="7"/>
  <c r="E1380" i="7"/>
  <c r="D1380" i="7"/>
  <c r="C1380" i="7"/>
  <c r="B1380" i="7"/>
  <c r="A1380" i="7"/>
  <c r="K1379" i="7"/>
  <c r="J1379" i="7"/>
  <c r="I1379" i="7"/>
  <c r="H1379" i="7"/>
  <c r="G1379" i="7"/>
  <c r="F1379" i="7"/>
  <c r="E1379" i="7"/>
  <c r="D1379" i="7"/>
  <c r="C1379" i="7"/>
  <c r="B1379" i="7"/>
  <c r="A1379" i="7"/>
  <c r="K1378" i="7"/>
  <c r="J1378" i="7"/>
  <c r="I1378" i="7"/>
  <c r="H1378" i="7"/>
  <c r="G1378" i="7"/>
  <c r="F1378" i="7"/>
  <c r="E1378" i="7"/>
  <c r="D1378" i="7"/>
  <c r="C1378" i="7"/>
  <c r="B1378" i="7"/>
  <c r="A1378" i="7"/>
  <c r="K1377" i="7"/>
  <c r="J1377" i="7"/>
  <c r="I1377" i="7"/>
  <c r="H1377" i="7"/>
  <c r="G1377" i="7"/>
  <c r="F1377" i="7"/>
  <c r="E1377" i="7"/>
  <c r="D1377" i="7"/>
  <c r="C1377" i="7"/>
  <c r="B1377" i="7"/>
  <c r="A1377" i="7"/>
  <c r="K1376" i="7"/>
  <c r="J1376" i="7"/>
  <c r="I1376" i="7"/>
  <c r="H1376" i="7"/>
  <c r="G1376" i="7"/>
  <c r="F1376" i="7"/>
  <c r="E1376" i="7"/>
  <c r="D1376" i="7"/>
  <c r="C1376" i="7"/>
  <c r="B1376" i="7"/>
  <c r="A1376" i="7"/>
  <c r="K1375" i="7"/>
  <c r="J1375" i="7"/>
  <c r="I1375" i="7"/>
  <c r="H1375" i="7"/>
  <c r="G1375" i="7"/>
  <c r="F1375" i="7"/>
  <c r="E1375" i="7"/>
  <c r="D1375" i="7"/>
  <c r="C1375" i="7"/>
  <c r="B1375" i="7"/>
  <c r="A1375" i="7"/>
  <c r="K1374" i="7"/>
  <c r="J1374" i="7"/>
  <c r="I1374" i="7"/>
  <c r="H1374" i="7"/>
  <c r="G1374" i="7"/>
  <c r="F1374" i="7"/>
  <c r="E1374" i="7"/>
  <c r="D1374" i="7"/>
  <c r="C1374" i="7"/>
  <c r="B1374" i="7"/>
  <c r="A1374" i="7"/>
  <c r="K1373" i="7"/>
  <c r="J1373" i="7"/>
  <c r="I1373" i="7"/>
  <c r="H1373" i="7"/>
  <c r="G1373" i="7"/>
  <c r="F1373" i="7"/>
  <c r="E1373" i="7"/>
  <c r="D1373" i="7"/>
  <c r="C1373" i="7"/>
  <c r="B1373" i="7"/>
  <c r="A1373" i="7"/>
  <c r="K1372" i="7"/>
  <c r="J1372" i="7"/>
  <c r="I1372" i="7"/>
  <c r="H1372" i="7"/>
  <c r="G1372" i="7"/>
  <c r="F1372" i="7"/>
  <c r="E1372" i="7"/>
  <c r="D1372" i="7"/>
  <c r="C1372" i="7"/>
  <c r="B1372" i="7"/>
  <c r="A1372" i="7"/>
  <c r="K1371" i="7"/>
  <c r="J1371" i="7"/>
  <c r="I1371" i="7"/>
  <c r="H1371" i="7"/>
  <c r="G1371" i="7"/>
  <c r="F1371" i="7"/>
  <c r="E1371" i="7"/>
  <c r="D1371" i="7"/>
  <c r="C1371" i="7"/>
  <c r="B1371" i="7"/>
  <c r="A1371" i="7"/>
  <c r="K1370" i="7"/>
  <c r="J1370" i="7"/>
  <c r="I1370" i="7"/>
  <c r="H1370" i="7"/>
  <c r="G1370" i="7"/>
  <c r="F1370" i="7"/>
  <c r="E1370" i="7"/>
  <c r="D1370" i="7"/>
  <c r="C1370" i="7"/>
  <c r="B1370" i="7"/>
  <c r="A1370" i="7"/>
  <c r="K1369" i="7"/>
  <c r="J1369" i="7"/>
  <c r="I1369" i="7"/>
  <c r="H1369" i="7"/>
  <c r="G1369" i="7"/>
  <c r="F1369" i="7"/>
  <c r="E1369" i="7"/>
  <c r="D1369" i="7"/>
  <c r="C1369" i="7"/>
  <c r="B1369" i="7"/>
  <c r="A1369" i="7"/>
  <c r="K1368" i="7"/>
  <c r="J1368" i="7"/>
  <c r="I1368" i="7"/>
  <c r="H1368" i="7"/>
  <c r="G1368" i="7"/>
  <c r="F1368" i="7"/>
  <c r="E1368" i="7"/>
  <c r="D1368" i="7"/>
  <c r="C1368" i="7"/>
  <c r="B1368" i="7"/>
  <c r="A1368" i="7"/>
  <c r="K1367" i="7"/>
  <c r="J1367" i="7"/>
  <c r="I1367" i="7"/>
  <c r="H1367" i="7"/>
  <c r="G1367" i="7"/>
  <c r="F1367" i="7"/>
  <c r="E1367" i="7"/>
  <c r="D1367" i="7"/>
  <c r="C1367" i="7"/>
  <c r="B1367" i="7"/>
  <c r="A1367" i="7"/>
  <c r="K1366" i="7"/>
  <c r="J1366" i="7"/>
  <c r="I1366" i="7"/>
  <c r="H1366" i="7"/>
  <c r="G1366" i="7"/>
  <c r="F1366" i="7"/>
  <c r="E1366" i="7"/>
  <c r="D1366" i="7"/>
  <c r="C1366" i="7"/>
  <c r="B1366" i="7"/>
  <c r="A1366" i="7"/>
  <c r="K1365" i="7"/>
  <c r="J1365" i="7"/>
  <c r="I1365" i="7"/>
  <c r="H1365" i="7"/>
  <c r="G1365" i="7"/>
  <c r="F1365" i="7"/>
  <c r="E1365" i="7"/>
  <c r="D1365" i="7"/>
  <c r="C1365" i="7"/>
  <c r="B1365" i="7"/>
  <c r="A1365" i="7"/>
  <c r="K1364" i="7"/>
  <c r="J1364" i="7"/>
  <c r="I1364" i="7"/>
  <c r="H1364" i="7"/>
  <c r="G1364" i="7"/>
  <c r="F1364" i="7"/>
  <c r="E1364" i="7"/>
  <c r="D1364" i="7"/>
  <c r="C1364" i="7"/>
  <c r="B1364" i="7"/>
  <c r="A1364" i="7"/>
  <c r="K1363" i="7"/>
  <c r="J1363" i="7"/>
  <c r="I1363" i="7"/>
  <c r="H1363" i="7"/>
  <c r="G1363" i="7"/>
  <c r="F1363" i="7"/>
  <c r="E1363" i="7"/>
  <c r="D1363" i="7"/>
  <c r="C1363" i="7"/>
  <c r="B1363" i="7"/>
  <c r="A1363" i="7"/>
  <c r="K1362" i="7"/>
  <c r="J1362" i="7"/>
  <c r="I1362" i="7"/>
  <c r="H1362" i="7"/>
  <c r="G1362" i="7"/>
  <c r="F1362" i="7"/>
  <c r="E1362" i="7"/>
  <c r="D1362" i="7"/>
  <c r="C1362" i="7"/>
  <c r="B1362" i="7"/>
  <c r="A1362" i="7"/>
  <c r="K1361" i="7"/>
  <c r="J1361" i="7"/>
  <c r="I1361" i="7"/>
  <c r="H1361" i="7"/>
  <c r="G1361" i="7"/>
  <c r="F1361" i="7"/>
  <c r="E1361" i="7"/>
  <c r="D1361" i="7"/>
  <c r="C1361" i="7"/>
  <c r="B1361" i="7"/>
  <c r="A1361" i="7"/>
  <c r="K1360" i="7"/>
  <c r="J1360" i="7"/>
  <c r="I1360" i="7"/>
  <c r="H1360" i="7"/>
  <c r="G1360" i="7"/>
  <c r="F1360" i="7"/>
  <c r="E1360" i="7"/>
  <c r="D1360" i="7"/>
  <c r="C1360" i="7"/>
  <c r="B1360" i="7"/>
  <c r="A1360" i="7"/>
  <c r="K1359" i="7"/>
  <c r="J1359" i="7"/>
  <c r="I1359" i="7"/>
  <c r="H1359" i="7"/>
  <c r="G1359" i="7"/>
  <c r="F1359" i="7"/>
  <c r="E1359" i="7"/>
  <c r="D1359" i="7"/>
  <c r="C1359" i="7"/>
  <c r="B1359" i="7"/>
  <c r="A1359" i="7"/>
  <c r="K1358" i="7"/>
  <c r="J1358" i="7"/>
  <c r="I1358" i="7"/>
  <c r="H1358" i="7"/>
  <c r="G1358" i="7"/>
  <c r="F1358" i="7"/>
  <c r="E1358" i="7"/>
  <c r="D1358" i="7"/>
  <c r="C1358" i="7"/>
  <c r="B1358" i="7"/>
  <c r="A1358" i="7"/>
  <c r="K1357" i="7"/>
  <c r="J1357" i="7"/>
  <c r="I1357" i="7"/>
  <c r="H1357" i="7"/>
  <c r="G1357" i="7"/>
  <c r="F1357" i="7"/>
  <c r="E1357" i="7"/>
  <c r="D1357" i="7"/>
  <c r="C1357" i="7"/>
  <c r="B1357" i="7"/>
  <c r="A1357" i="7"/>
  <c r="K1356" i="7"/>
  <c r="J1356" i="7"/>
  <c r="I1356" i="7"/>
  <c r="H1356" i="7"/>
  <c r="G1356" i="7"/>
  <c r="F1356" i="7"/>
  <c r="E1356" i="7"/>
  <c r="D1356" i="7"/>
  <c r="C1356" i="7"/>
  <c r="B1356" i="7"/>
  <c r="A1356" i="7"/>
  <c r="K1355" i="7"/>
  <c r="J1355" i="7"/>
  <c r="I1355" i="7"/>
  <c r="H1355" i="7"/>
  <c r="G1355" i="7"/>
  <c r="F1355" i="7"/>
  <c r="E1355" i="7"/>
  <c r="D1355" i="7"/>
  <c r="C1355" i="7"/>
  <c r="B1355" i="7"/>
  <c r="A1355" i="7"/>
  <c r="K1354" i="7"/>
  <c r="J1354" i="7"/>
  <c r="I1354" i="7"/>
  <c r="H1354" i="7"/>
  <c r="G1354" i="7"/>
  <c r="F1354" i="7"/>
  <c r="E1354" i="7"/>
  <c r="D1354" i="7"/>
  <c r="C1354" i="7"/>
  <c r="B1354" i="7"/>
  <c r="A1354" i="7"/>
  <c r="K1353" i="7"/>
  <c r="J1353" i="7"/>
  <c r="I1353" i="7"/>
  <c r="H1353" i="7"/>
  <c r="G1353" i="7"/>
  <c r="F1353" i="7"/>
  <c r="E1353" i="7"/>
  <c r="D1353" i="7"/>
  <c r="C1353" i="7"/>
  <c r="B1353" i="7"/>
  <c r="A1353" i="7"/>
  <c r="K1352" i="7"/>
  <c r="J1352" i="7"/>
  <c r="I1352" i="7"/>
  <c r="H1352" i="7"/>
  <c r="G1352" i="7"/>
  <c r="F1352" i="7"/>
  <c r="E1352" i="7"/>
  <c r="D1352" i="7"/>
  <c r="C1352" i="7"/>
  <c r="B1352" i="7"/>
  <c r="A1352" i="7"/>
  <c r="K1351" i="7"/>
  <c r="J1351" i="7"/>
  <c r="I1351" i="7"/>
  <c r="H1351" i="7"/>
  <c r="G1351" i="7"/>
  <c r="F1351" i="7"/>
  <c r="E1351" i="7"/>
  <c r="D1351" i="7"/>
  <c r="C1351" i="7"/>
  <c r="B1351" i="7"/>
  <c r="A1351" i="7"/>
  <c r="K1350" i="7"/>
  <c r="J1350" i="7"/>
  <c r="I1350" i="7"/>
  <c r="H1350" i="7"/>
  <c r="G1350" i="7"/>
  <c r="F1350" i="7"/>
  <c r="E1350" i="7"/>
  <c r="D1350" i="7"/>
  <c r="C1350" i="7"/>
  <c r="B1350" i="7"/>
  <c r="A1350" i="7"/>
  <c r="K1349" i="7"/>
  <c r="J1349" i="7"/>
  <c r="I1349" i="7"/>
  <c r="H1349" i="7"/>
  <c r="G1349" i="7"/>
  <c r="F1349" i="7"/>
  <c r="E1349" i="7"/>
  <c r="D1349" i="7"/>
  <c r="C1349" i="7"/>
  <c r="B1349" i="7"/>
  <c r="A1349" i="7"/>
  <c r="K1348" i="7"/>
  <c r="J1348" i="7"/>
  <c r="I1348" i="7"/>
  <c r="H1348" i="7"/>
  <c r="G1348" i="7"/>
  <c r="F1348" i="7"/>
  <c r="E1348" i="7"/>
  <c r="D1348" i="7"/>
  <c r="C1348" i="7"/>
  <c r="B1348" i="7"/>
  <c r="A1348" i="7"/>
  <c r="K1347" i="7"/>
  <c r="J1347" i="7"/>
  <c r="I1347" i="7"/>
  <c r="H1347" i="7"/>
  <c r="G1347" i="7"/>
  <c r="F1347" i="7"/>
  <c r="E1347" i="7"/>
  <c r="D1347" i="7"/>
  <c r="C1347" i="7"/>
  <c r="B1347" i="7"/>
  <c r="A1347" i="7"/>
  <c r="K1346" i="7"/>
  <c r="J1346" i="7"/>
  <c r="I1346" i="7"/>
  <c r="H1346" i="7"/>
  <c r="G1346" i="7"/>
  <c r="F1346" i="7"/>
  <c r="E1346" i="7"/>
  <c r="D1346" i="7"/>
  <c r="C1346" i="7"/>
  <c r="B1346" i="7"/>
  <c r="A1346" i="7"/>
  <c r="K1345" i="7"/>
  <c r="J1345" i="7"/>
  <c r="I1345" i="7"/>
  <c r="H1345" i="7"/>
  <c r="G1345" i="7"/>
  <c r="F1345" i="7"/>
  <c r="E1345" i="7"/>
  <c r="D1345" i="7"/>
  <c r="C1345" i="7"/>
  <c r="B1345" i="7"/>
  <c r="A1345" i="7"/>
  <c r="K1344" i="7"/>
  <c r="J1344" i="7"/>
  <c r="I1344" i="7"/>
  <c r="H1344" i="7"/>
  <c r="G1344" i="7"/>
  <c r="F1344" i="7"/>
  <c r="E1344" i="7"/>
  <c r="D1344" i="7"/>
  <c r="C1344" i="7"/>
  <c r="B1344" i="7"/>
  <c r="A1344" i="7"/>
  <c r="K1343" i="7"/>
  <c r="J1343" i="7"/>
  <c r="I1343" i="7"/>
  <c r="H1343" i="7"/>
  <c r="G1343" i="7"/>
  <c r="F1343" i="7"/>
  <c r="E1343" i="7"/>
  <c r="D1343" i="7"/>
  <c r="C1343" i="7"/>
  <c r="B1343" i="7"/>
  <c r="A1343" i="7"/>
  <c r="K1342" i="7"/>
  <c r="J1342" i="7"/>
  <c r="I1342" i="7"/>
  <c r="H1342" i="7"/>
  <c r="G1342" i="7"/>
  <c r="F1342" i="7"/>
  <c r="E1342" i="7"/>
  <c r="D1342" i="7"/>
  <c r="C1342" i="7"/>
  <c r="B1342" i="7"/>
  <c r="A1342" i="7"/>
  <c r="K1341" i="7"/>
  <c r="J1341" i="7"/>
  <c r="I1341" i="7"/>
  <c r="H1341" i="7"/>
  <c r="G1341" i="7"/>
  <c r="F1341" i="7"/>
  <c r="E1341" i="7"/>
  <c r="D1341" i="7"/>
  <c r="C1341" i="7"/>
  <c r="B1341" i="7"/>
  <c r="A1341" i="7"/>
  <c r="K1340" i="7"/>
  <c r="J1340" i="7"/>
  <c r="I1340" i="7"/>
  <c r="H1340" i="7"/>
  <c r="G1340" i="7"/>
  <c r="F1340" i="7"/>
  <c r="E1340" i="7"/>
  <c r="D1340" i="7"/>
  <c r="C1340" i="7"/>
  <c r="B1340" i="7"/>
  <c r="A1340" i="7"/>
  <c r="K1339" i="7"/>
  <c r="J1339" i="7"/>
  <c r="I1339" i="7"/>
  <c r="H1339" i="7"/>
  <c r="G1339" i="7"/>
  <c r="F1339" i="7"/>
  <c r="E1339" i="7"/>
  <c r="D1339" i="7"/>
  <c r="C1339" i="7"/>
  <c r="B1339" i="7"/>
  <c r="A1339" i="7"/>
  <c r="K1338" i="7"/>
  <c r="J1338" i="7"/>
  <c r="I1338" i="7"/>
  <c r="H1338" i="7"/>
  <c r="G1338" i="7"/>
  <c r="F1338" i="7"/>
  <c r="E1338" i="7"/>
  <c r="D1338" i="7"/>
  <c r="C1338" i="7"/>
  <c r="B1338" i="7"/>
  <c r="A1338" i="7"/>
  <c r="K1337" i="7"/>
  <c r="J1337" i="7"/>
  <c r="I1337" i="7"/>
  <c r="H1337" i="7"/>
  <c r="G1337" i="7"/>
  <c r="F1337" i="7"/>
  <c r="E1337" i="7"/>
  <c r="D1337" i="7"/>
  <c r="C1337" i="7"/>
  <c r="B1337" i="7"/>
  <c r="A1337" i="7"/>
  <c r="K1336" i="7"/>
  <c r="J1336" i="7"/>
  <c r="I1336" i="7"/>
  <c r="H1336" i="7"/>
  <c r="G1336" i="7"/>
  <c r="F1336" i="7"/>
  <c r="E1336" i="7"/>
  <c r="D1336" i="7"/>
  <c r="C1336" i="7"/>
  <c r="B1336" i="7"/>
  <c r="A1336" i="7"/>
  <c r="K1335" i="7"/>
  <c r="J1335" i="7"/>
  <c r="I1335" i="7"/>
  <c r="H1335" i="7"/>
  <c r="G1335" i="7"/>
  <c r="F1335" i="7"/>
  <c r="E1335" i="7"/>
  <c r="D1335" i="7"/>
  <c r="C1335" i="7"/>
  <c r="B1335" i="7"/>
  <c r="A1335" i="7"/>
  <c r="K1334" i="7"/>
  <c r="J1334" i="7"/>
  <c r="I1334" i="7"/>
  <c r="H1334" i="7"/>
  <c r="G1334" i="7"/>
  <c r="F1334" i="7"/>
  <c r="E1334" i="7"/>
  <c r="D1334" i="7"/>
  <c r="C1334" i="7"/>
  <c r="B1334" i="7"/>
  <c r="A1334" i="7"/>
  <c r="K1333" i="7"/>
  <c r="J1333" i="7"/>
  <c r="I1333" i="7"/>
  <c r="H1333" i="7"/>
  <c r="G1333" i="7"/>
  <c r="F1333" i="7"/>
  <c r="E1333" i="7"/>
  <c r="D1333" i="7"/>
  <c r="C1333" i="7"/>
  <c r="B1333" i="7"/>
  <c r="A1333" i="7"/>
  <c r="K1332" i="7"/>
  <c r="J1332" i="7"/>
  <c r="I1332" i="7"/>
  <c r="H1332" i="7"/>
  <c r="G1332" i="7"/>
  <c r="F1332" i="7"/>
  <c r="E1332" i="7"/>
  <c r="D1332" i="7"/>
  <c r="C1332" i="7"/>
  <c r="B1332" i="7"/>
  <c r="A1332" i="7"/>
  <c r="K1331" i="7"/>
  <c r="J1331" i="7"/>
  <c r="I1331" i="7"/>
  <c r="H1331" i="7"/>
  <c r="G1331" i="7"/>
  <c r="F1331" i="7"/>
  <c r="E1331" i="7"/>
  <c r="D1331" i="7"/>
  <c r="C1331" i="7"/>
  <c r="B1331" i="7"/>
  <c r="A1331" i="7"/>
  <c r="K1330" i="7"/>
  <c r="J1330" i="7"/>
  <c r="I1330" i="7"/>
  <c r="H1330" i="7"/>
  <c r="G1330" i="7"/>
  <c r="F1330" i="7"/>
  <c r="E1330" i="7"/>
  <c r="D1330" i="7"/>
  <c r="C1330" i="7"/>
  <c r="B1330" i="7"/>
  <c r="A1330" i="7"/>
  <c r="K1329" i="7"/>
  <c r="J1329" i="7"/>
  <c r="I1329" i="7"/>
  <c r="H1329" i="7"/>
  <c r="G1329" i="7"/>
  <c r="F1329" i="7"/>
  <c r="E1329" i="7"/>
  <c r="D1329" i="7"/>
  <c r="C1329" i="7"/>
  <c r="B1329" i="7"/>
  <c r="A1329" i="7"/>
  <c r="K1328" i="7"/>
  <c r="J1328" i="7"/>
  <c r="I1328" i="7"/>
  <c r="H1328" i="7"/>
  <c r="G1328" i="7"/>
  <c r="F1328" i="7"/>
  <c r="E1328" i="7"/>
  <c r="D1328" i="7"/>
  <c r="C1328" i="7"/>
  <c r="B1328" i="7"/>
  <c r="A1328" i="7"/>
  <c r="K1327" i="7"/>
  <c r="J1327" i="7"/>
  <c r="I1327" i="7"/>
  <c r="H1327" i="7"/>
  <c r="G1327" i="7"/>
  <c r="F1327" i="7"/>
  <c r="E1327" i="7"/>
  <c r="D1327" i="7"/>
  <c r="C1327" i="7"/>
  <c r="B1327" i="7"/>
  <c r="A1327" i="7"/>
  <c r="K1326" i="7"/>
  <c r="J1326" i="7"/>
  <c r="I1326" i="7"/>
  <c r="H1326" i="7"/>
  <c r="G1326" i="7"/>
  <c r="F1326" i="7"/>
  <c r="E1326" i="7"/>
  <c r="D1326" i="7"/>
  <c r="C1326" i="7"/>
  <c r="B1326" i="7"/>
  <c r="A1326" i="7"/>
  <c r="K1325" i="7"/>
  <c r="J1325" i="7"/>
  <c r="I1325" i="7"/>
  <c r="H1325" i="7"/>
  <c r="G1325" i="7"/>
  <c r="F1325" i="7"/>
  <c r="E1325" i="7"/>
  <c r="D1325" i="7"/>
  <c r="C1325" i="7"/>
  <c r="B1325" i="7"/>
  <c r="A1325" i="7"/>
  <c r="K1324" i="7"/>
  <c r="J1324" i="7"/>
  <c r="I1324" i="7"/>
  <c r="H1324" i="7"/>
  <c r="G1324" i="7"/>
  <c r="F1324" i="7"/>
  <c r="E1324" i="7"/>
  <c r="D1324" i="7"/>
  <c r="C1324" i="7"/>
  <c r="B1324" i="7"/>
  <c r="A1324" i="7"/>
  <c r="K1323" i="7"/>
  <c r="J1323" i="7"/>
  <c r="I1323" i="7"/>
  <c r="H1323" i="7"/>
  <c r="G1323" i="7"/>
  <c r="F1323" i="7"/>
  <c r="E1323" i="7"/>
  <c r="D1323" i="7"/>
  <c r="C1323" i="7"/>
  <c r="B1323" i="7"/>
  <c r="A1323" i="7"/>
  <c r="K1322" i="7"/>
  <c r="J1322" i="7"/>
  <c r="I1322" i="7"/>
  <c r="H1322" i="7"/>
  <c r="G1322" i="7"/>
  <c r="F1322" i="7"/>
  <c r="E1322" i="7"/>
  <c r="D1322" i="7"/>
  <c r="C1322" i="7"/>
  <c r="B1322" i="7"/>
  <c r="A1322" i="7"/>
  <c r="K1321" i="7"/>
  <c r="J1321" i="7"/>
  <c r="I1321" i="7"/>
  <c r="H1321" i="7"/>
  <c r="G1321" i="7"/>
  <c r="F1321" i="7"/>
  <c r="E1321" i="7"/>
  <c r="D1321" i="7"/>
  <c r="C1321" i="7"/>
  <c r="B1321" i="7"/>
  <c r="A1321" i="7"/>
  <c r="K1320" i="7"/>
  <c r="J1320" i="7"/>
  <c r="I1320" i="7"/>
  <c r="H1320" i="7"/>
  <c r="G1320" i="7"/>
  <c r="F1320" i="7"/>
  <c r="E1320" i="7"/>
  <c r="D1320" i="7"/>
  <c r="C1320" i="7"/>
  <c r="B1320" i="7"/>
  <c r="A1320" i="7"/>
  <c r="K1319" i="7"/>
  <c r="J1319" i="7"/>
  <c r="I1319" i="7"/>
  <c r="H1319" i="7"/>
  <c r="G1319" i="7"/>
  <c r="F1319" i="7"/>
  <c r="E1319" i="7"/>
  <c r="D1319" i="7"/>
  <c r="C1319" i="7"/>
  <c r="B1319" i="7"/>
  <c r="A1319" i="7"/>
  <c r="K1318" i="7"/>
  <c r="J1318" i="7"/>
  <c r="I1318" i="7"/>
  <c r="H1318" i="7"/>
  <c r="G1318" i="7"/>
  <c r="F1318" i="7"/>
  <c r="E1318" i="7"/>
  <c r="D1318" i="7"/>
  <c r="C1318" i="7"/>
  <c r="B1318" i="7"/>
  <c r="A1318" i="7"/>
  <c r="K1317" i="7"/>
  <c r="J1317" i="7"/>
  <c r="I1317" i="7"/>
  <c r="H1317" i="7"/>
  <c r="G1317" i="7"/>
  <c r="F1317" i="7"/>
  <c r="E1317" i="7"/>
  <c r="D1317" i="7"/>
  <c r="C1317" i="7"/>
  <c r="B1317" i="7"/>
  <c r="A1317" i="7"/>
  <c r="K1316" i="7"/>
  <c r="J1316" i="7"/>
  <c r="I1316" i="7"/>
  <c r="H1316" i="7"/>
  <c r="G1316" i="7"/>
  <c r="F1316" i="7"/>
  <c r="E1316" i="7"/>
  <c r="D1316" i="7"/>
  <c r="C1316" i="7"/>
  <c r="B1316" i="7"/>
  <c r="A1316" i="7"/>
  <c r="K1315" i="7"/>
  <c r="J1315" i="7"/>
  <c r="I1315" i="7"/>
  <c r="H1315" i="7"/>
  <c r="G1315" i="7"/>
  <c r="F1315" i="7"/>
  <c r="E1315" i="7"/>
  <c r="D1315" i="7"/>
  <c r="C1315" i="7"/>
  <c r="B1315" i="7"/>
  <c r="A1315" i="7"/>
  <c r="K1314" i="7"/>
  <c r="J1314" i="7"/>
  <c r="I1314" i="7"/>
  <c r="H1314" i="7"/>
  <c r="G1314" i="7"/>
  <c r="F1314" i="7"/>
  <c r="E1314" i="7"/>
  <c r="D1314" i="7"/>
  <c r="C1314" i="7"/>
  <c r="B1314" i="7"/>
  <c r="A1314" i="7"/>
  <c r="K1313" i="7"/>
  <c r="J1313" i="7"/>
  <c r="I1313" i="7"/>
  <c r="H1313" i="7"/>
  <c r="G1313" i="7"/>
  <c r="F1313" i="7"/>
  <c r="E1313" i="7"/>
  <c r="D1313" i="7"/>
  <c r="C1313" i="7"/>
  <c r="B1313" i="7"/>
  <c r="A1313" i="7"/>
  <c r="K1312" i="7"/>
  <c r="J1312" i="7"/>
  <c r="I1312" i="7"/>
  <c r="H1312" i="7"/>
  <c r="G1312" i="7"/>
  <c r="F1312" i="7"/>
  <c r="E1312" i="7"/>
  <c r="D1312" i="7"/>
  <c r="C1312" i="7"/>
  <c r="B1312" i="7"/>
  <c r="A1312" i="7"/>
  <c r="K1311" i="7"/>
  <c r="J1311" i="7"/>
  <c r="I1311" i="7"/>
  <c r="H1311" i="7"/>
  <c r="G1311" i="7"/>
  <c r="F1311" i="7"/>
  <c r="E1311" i="7"/>
  <c r="D1311" i="7"/>
  <c r="C1311" i="7"/>
  <c r="B1311" i="7"/>
  <c r="A1311" i="7"/>
  <c r="K1310" i="7"/>
  <c r="J1310" i="7"/>
  <c r="I1310" i="7"/>
  <c r="H1310" i="7"/>
  <c r="G1310" i="7"/>
  <c r="F1310" i="7"/>
  <c r="E1310" i="7"/>
  <c r="D1310" i="7"/>
  <c r="C1310" i="7"/>
  <c r="B1310" i="7"/>
  <c r="A1310" i="7"/>
  <c r="K1309" i="7"/>
  <c r="J1309" i="7"/>
  <c r="I1309" i="7"/>
  <c r="H1309" i="7"/>
  <c r="G1309" i="7"/>
  <c r="F1309" i="7"/>
  <c r="E1309" i="7"/>
  <c r="D1309" i="7"/>
  <c r="C1309" i="7"/>
  <c r="B1309" i="7"/>
  <c r="A1309" i="7"/>
  <c r="K1308" i="7"/>
  <c r="J1308" i="7"/>
  <c r="I1308" i="7"/>
  <c r="H1308" i="7"/>
  <c r="G1308" i="7"/>
  <c r="F1308" i="7"/>
  <c r="E1308" i="7"/>
  <c r="D1308" i="7"/>
  <c r="C1308" i="7"/>
  <c r="B1308" i="7"/>
  <c r="A1308" i="7"/>
  <c r="K1307" i="7"/>
  <c r="J1307" i="7"/>
  <c r="I1307" i="7"/>
  <c r="H1307" i="7"/>
  <c r="G1307" i="7"/>
  <c r="F1307" i="7"/>
  <c r="E1307" i="7"/>
  <c r="D1307" i="7"/>
  <c r="C1307" i="7"/>
  <c r="B1307" i="7"/>
  <c r="A1307" i="7"/>
  <c r="K1306" i="7"/>
  <c r="J1306" i="7"/>
  <c r="I1306" i="7"/>
  <c r="H1306" i="7"/>
  <c r="G1306" i="7"/>
  <c r="F1306" i="7"/>
  <c r="E1306" i="7"/>
  <c r="D1306" i="7"/>
  <c r="C1306" i="7"/>
  <c r="B1306" i="7"/>
  <c r="A1306" i="7"/>
  <c r="K1305" i="7"/>
  <c r="J1305" i="7"/>
  <c r="I1305" i="7"/>
  <c r="H1305" i="7"/>
  <c r="G1305" i="7"/>
  <c r="F1305" i="7"/>
  <c r="E1305" i="7"/>
  <c r="D1305" i="7"/>
  <c r="C1305" i="7"/>
  <c r="B1305" i="7"/>
  <c r="A1305" i="7"/>
  <c r="K1304" i="7"/>
  <c r="J1304" i="7"/>
  <c r="I1304" i="7"/>
  <c r="H1304" i="7"/>
  <c r="G1304" i="7"/>
  <c r="F1304" i="7"/>
  <c r="E1304" i="7"/>
  <c r="D1304" i="7"/>
  <c r="C1304" i="7"/>
  <c r="B1304" i="7"/>
  <c r="A1304" i="7"/>
  <c r="K1303" i="7"/>
  <c r="J1303" i="7"/>
  <c r="I1303" i="7"/>
  <c r="H1303" i="7"/>
  <c r="G1303" i="7"/>
  <c r="F1303" i="7"/>
  <c r="E1303" i="7"/>
  <c r="D1303" i="7"/>
  <c r="C1303" i="7"/>
  <c r="B1303" i="7"/>
  <c r="A1303" i="7"/>
  <c r="K1302" i="7"/>
  <c r="J1302" i="7"/>
  <c r="I1302" i="7"/>
  <c r="H1302" i="7"/>
  <c r="G1302" i="7"/>
  <c r="F1302" i="7"/>
  <c r="E1302" i="7"/>
  <c r="D1302" i="7"/>
  <c r="C1302" i="7"/>
  <c r="B1302" i="7"/>
  <c r="A1302" i="7"/>
  <c r="K1301" i="7"/>
  <c r="J1301" i="7"/>
  <c r="I1301" i="7"/>
  <c r="H1301" i="7"/>
  <c r="G1301" i="7"/>
  <c r="F1301" i="7"/>
  <c r="E1301" i="7"/>
  <c r="D1301" i="7"/>
  <c r="C1301" i="7"/>
  <c r="B1301" i="7"/>
  <c r="A1301" i="7"/>
  <c r="K1300" i="7"/>
  <c r="J1300" i="7"/>
  <c r="I1300" i="7"/>
  <c r="H1300" i="7"/>
  <c r="G1300" i="7"/>
  <c r="F1300" i="7"/>
  <c r="E1300" i="7"/>
  <c r="D1300" i="7"/>
  <c r="C1300" i="7"/>
  <c r="B1300" i="7"/>
  <c r="A1300" i="7"/>
  <c r="K1299" i="7"/>
  <c r="J1299" i="7"/>
  <c r="I1299" i="7"/>
  <c r="H1299" i="7"/>
  <c r="G1299" i="7"/>
  <c r="F1299" i="7"/>
  <c r="E1299" i="7"/>
  <c r="D1299" i="7"/>
  <c r="C1299" i="7"/>
  <c r="B1299" i="7"/>
  <c r="A1299" i="7"/>
  <c r="K1298" i="7"/>
  <c r="J1298" i="7"/>
  <c r="I1298" i="7"/>
  <c r="H1298" i="7"/>
  <c r="G1298" i="7"/>
  <c r="F1298" i="7"/>
  <c r="E1298" i="7"/>
  <c r="D1298" i="7"/>
  <c r="C1298" i="7"/>
  <c r="B1298" i="7"/>
  <c r="A1298" i="7"/>
  <c r="K1297" i="7"/>
  <c r="J1297" i="7"/>
  <c r="I1297" i="7"/>
  <c r="H1297" i="7"/>
  <c r="G1297" i="7"/>
  <c r="F1297" i="7"/>
  <c r="E1297" i="7"/>
  <c r="D1297" i="7"/>
  <c r="C1297" i="7"/>
  <c r="B1297" i="7"/>
  <c r="A1297" i="7"/>
  <c r="K1296" i="7"/>
  <c r="J1296" i="7"/>
  <c r="I1296" i="7"/>
  <c r="H1296" i="7"/>
  <c r="G1296" i="7"/>
  <c r="F1296" i="7"/>
  <c r="E1296" i="7"/>
  <c r="D1296" i="7"/>
  <c r="C1296" i="7"/>
  <c r="B1296" i="7"/>
  <c r="A1296" i="7"/>
  <c r="K1295" i="7"/>
  <c r="J1295" i="7"/>
  <c r="I1295" i="7"/>
  <c r="H1295" i="7"/>
  <c r="G1295" i="7"/>
  <c r="F1295" i="7"/>
  <c r="E1295" i="7"/>
  <c r="D1295" i="7"/>
  <c r="C1295" i="7"/>
  <c r="B1295" i="7"/>
  <c r="A1295" i="7"/>
  <c r="K1294" i="7"/>
  <c r="J1294" i="7"/>
  <c r="I1294" i="7"/>
  <c r="H1294" i="7"/>
  <c r="G1294" i="7"/>
  <c r="F1294" i="7"/>
  <c r="E1294" i="7"/>
  <c r="D1294" i="7"/>
  <c r="C1294" i="7"/>
  <c r="B1294" i="7"/>
  <c r="A1294" i="7"/>
  <c r="K1293" i="7"/>
  <c r="J1293" i="7"/>
  <c r="I1293" i="7"/>
  <c r="H1293" i="7"/>
  <c r="G1293" i="7"/>
  <c r="F1293" i="7"/>
  <c r="E1293" i="7"/>
  <c r="D1293" i="7"/>
  <c r="C1293" i="7"/>
  <c r="B1293" i="7"/>
  <c r="A1293" i="7"/>
  <c r="K1292" i="7"/>
  <c r="J1292" i="7"/>
  <c r="I1292" i="7"/>
  <c r="H1292" i="7"/>
  <c r="G1292" i="7"/>
  <c r="F1292" i="7"/>
  <c r="E1292" i="7"/>
  <c r="D1292" i="7"/>
  <c r="C1292" i="7"/>
  <c r="B1292" i="7"/>
  <c r="A1292" i="7"/>
  <c r="K1291" i="7"/>
  <c r="J1291" i="7"/>
  <c r="I1291" i="7"/>
  <c r="H1291" i="7"/>
  <c r="G1291" i="7"/>
  <c r="F1291" i="7"/>
  <c r="E1291" i="7"/>
  <c r="D1291" i="7"/>
  <c r="C1291" i="7"/>
  <c r="B1291" i="7"/>
  <c r="A1291" i="7"/>
  <c r="K1290" i="7"/>
  <c r="J1290" i="7"/>
  <c r="I1290" i="7"/>
  <c r="H1290" i="7"/>
  <c r="G1290" i="7"/>
  <c r="F1290" i="7"/>
  <c r="E1290" i="7"/>
  <c r="D1290" i="7"/>
  <c r="C1290" i="7"/>
  <c r="B1290" i="7"/>
  <c r="A1290" i="7"/>
  <c r="K1289" i="7"/>
  <c r="J1289" i="7"/>
  <c r="I1289" i="7"/>
  <c r="H1289" i="7"/>
  <c r="G1289" i="7"/>
  <c r="F1289" i="7"/>
  <c r="E1289" i="7"/>
  <c r="D1289" i="7"/>
  <c r="C1289" i="7"/>
  <c r="B1289" i="7"/>
  <c r="A1289" i="7"/>
  <c r="K1288" i="7"/>
  <c r="J1288" i="7"/>
  <c r="I1288" i="7"/>
  <c r="H1288" i="7"/>
  <c r="G1288" i="7"/>
  <c r="F1288" i="7"/>
  <c r="E1288" i="7"/>
  <c r="D1288" i="7"/>
  <c r="C1288" i="7"/>
  <c r="B1288" i="7"/>
  <c r="A1288" i="7"/>
  <c r="K1287" i="7"/>
  <c r="J1287" i="7"/>
  <c r="I1287" i="7"/>
  <c r="H1287" i="7"/>
  <c r="G1287" i="7"/>
  <c r="F1287" i="7"/>
  <c r="E1287" i="7"/>
  <c r="D1287" i="7"/>
  <c r="C1287" i="7"/>
  <c r="B1287" i="7"/>
  <c r="A1287" i="7"/>
  <c r="K1286" i="7"/>
  <c r="J1286" i="7"/>
  <c r="I1286" i="7"/>
  <c r="H1286" i="7"/>
  <c r="G1286" i="7"/>
  <c r="F1286" i="7"/>
  <c r="E1286" i="7"/>
  <c r="D1286" i="7"/>
  <c r="C1286" i="7"/>
  <c r="B1286" i="7"/>
  <c r="A1286" i="7"/>
  <c r="K1285" i="7"/>
  <c r="J1285" i="7"/>
  <c r="I1285" i="7"/>
  <c r="H1285" i="7"/>
  <c r="G1285" i="7"/>
  <c r="F1285" i="7"/>
  <c r="E1285" i="7"/>
  <c r="D1285" i="7"/>
  <c r="C1285" i="7"/>
  <c r="B1285" i="7"/>
  <c r="A1285" i="7"/>
  <c r="K1284" i="7"/>
  <c r="J1284" i="7"/>
  <c r="I1284" i="7"/>
  <c r="H1284" i="7"/>
  <c r="G1284" i="7"/>
  <c r="F1284" i="7"/>
  <c r="E1284" i="7"/>
  <c r="D1284" i="7"/>
  <c r="C1284" i="7"/>
  <c r="B1284" i="7"/>
  <c r="A1284" i="7"/>
  <c r="K1283" i="7"/>
  <c r="J1283" i="7"/>
  <c r="I1283" i="7"/>
  <c r="H1283" i="7"/>
  <c r="G1283" i="7"/>
  <c r="F1283" i="7"/>
  <c r="E1283" i="7"/>
  <c r="D1283" i="7"/>
  <c r="C1283" i="7"/>
  <c r="B1283" i="7"/>
  <c r="A1283" i="7"/>
  <c r="K1282" i="7"/>
  <c r="J1282" i="7"/>
  <c r="I1282" i="7"/>
  <c r="H1282" i="7"/>
  <c r="G1282" i="7"/>
  <c r="F1282" i="7"/>
  <c r="E1282" i="7"/>
  <c r="D1282" i="7"/>
  <c r="C1282" i="7"/>
  <c r="B1282" i="7"/>
  <c r="A1282" i="7"/>
  <c r="K1281" i="7"/>
  <c r="J1281" i="7"/>
  <c r="I1281" i="7"/>
  <c r="H1281" i="7"/>
  <c r="G1281" i="7"/>
  <c r="F1281" i="7"/>
  <c r="E1281" i="7"/>
  <c r="D1281" i="7"/>
  <c r="C1281" i="7"/>
  <c r="B1281" i="7"/>
  <c r="A1281" i="7"/>
  <c r="K1280" i="7"/>
  <c r="J1280" i="7"/>
  <c r="I1280" i="7"/>
  <c r="H1280" i="7"/>
  <c r="G1280" i="7"/>
  <c r="F1280" i="7"/>
  <c r="E1280" i="7"/>
  <c r="D1280" i="7"/>
  <c r="C1280" i="7"/>
  <c r="B1280" i="7"/>
  <c r="A1280" i="7"/>
  <c r="K1279" i="7"/>
  <c r="J1279" i="7"/>
  <c r="I1279" i="7"/>
  <c r="H1279" i="7"/>
  <c r="G1279" i="7"/>
  <c r="F1279" i="7"/>
  <c r="E1279" i="7"/>
  <c r="D1279" i="7"/>
  <c r="C1279" i="7"/>
  <c r="B1279" i="7"/>
  <c r="A1279" i="7"/>
  <c r="K1278" i="7"/>
  <c r="J1278" i="7"/>
  <c r="I1278" i="7"/>
  <c r="H1278" i="7"/>
  <c r="G1278" i="7"/>
  <c r="F1278" i="7"/>
  <c r="E1278" i="7"/>
  <c r="D1278" i="7"/>
  <c r="C1278" i="7"/>
  <c r="B1278" i="7"/>
  <c r="A1278" i="7"/>
  <c r="K1277" i="7"/>
  <c r="J1277" i="7"/>
  <c r="I1277" i="7"/>
  <c r="H1277" i="7"/>
  <c r="G1277" i="7"/>
  <c r="F1277" i="7"/>
  <c r="E1277" i="7"/>
  <c r="D1277" i="7"/>
  <c r="C1277" i="7"/>
  <c r="B1277" i="7"/>
  <c r="A1277" i="7"/>
  <c r="K1276" i="7"/>
  <c r="J1276" i="7"/>
  <c r="I1276" i="7"/>
  <c r="H1276" i="7"/>
  <c r="G1276" i="7"/>
  <c r="F1276" i="7"/>
  <c r="E1276" i="7"/>
  <c r="D1276" i="7"/>
  <c r="C1276" i="7"/>
  <c r="B1276" i="7"/>
  <c r="A1276" i="7"/>
  <c r="K1275" i="7"/>
  <c r="J1275" i="7"/>
  <c r="I1275" i="7"/>
  <c r="H1275" i="7"/>
  <c r="G1275" i="7"/>
  <c r="F1275" i="7"/>
  <c r="E1275" i="7"/>
  <c r="D1275" i="7"/>
  <c r="C1275" i="7"/>
  <c r="B1275" i="7"/>
  <c r="A1275" i="7"/>
  <c r="K1274" i="7"/>
  <c r="J1274" i="7"/>
  <c r="I1274" i="7"/>
  <c r="H1274" i="7"/>
  <c r="G1274" i="7"/>
  <c r="F1274" i="7"/>
  <c r="E1274" i="7"/>
  <c r="D1274" i="7"/>
  <c r="C1274" i="7"/>
  <c r="B1274" i="7"/>
  <c r="A1274" i="7"/>
  <c r="K1273" i="7"/>
  <c r="J1273" i="7"/>
  <c r="I1273" i="7"/>
  <c r="H1273" i="7"/>
  <c r="G1273" i="7"/>
  <c r="F1273" i="7"/>
  <c r="E1273" i="7"/>
  <c r="D1273" i="7"/>
  <c r="C1273" i="7"/>
  <c r="B1273" i="7"/>
  <c r="A1273" i="7"/>
  <c r="K1272" i="7"/>
  <c r="J1272" i="7"/>
  <c r="I1272" i="7"/>
  <c r="H1272" i="7"/>
  <c r="G1272" i="7"/>
  <c r="F1272" i="7"/>
  <c r="E1272" i="7"/>
  <c r="D1272" i="7"/>
  <c r="C1272" i="7"/>
  <c r="B1272" i="7"/>
  <c r="A1272" i="7"/>
  <c r="K1271" i="7"/>
  <c r="J1271" i="7"/>
  <c r="I1271" i="7"/>
  <c r="H1271" i="7"/>
  <c r="G1271" i="7"/>
  <c r="F1271" i="7"/>
  <c r="E1271" i="7"/>
  <c r="D1271" i="7"/>
  <c r="C1271" i="7"/>
  <c r="B1271" i="7"/>
  <c r="A1271" i="7"/>
  <c r="K1270" i="7"/>
  <c r="J1270" i="7"/>
  <c r="I1270" i="7"/>
  <c r="H1270" i="7"/>
  <c r="G1270" i="7"/>
  <c r="F1270" i="7"/>
  <c r="E1270" i="7"/>
  <c r="D1270" i="7"/>
  <c r="C1270" i="7"/>
  <c r="B1270" i="7"/>
  <c r="A1270" i="7"/>
  <c r="K1269" i="7"/>
  <c r="J1269" i="7"/>
  <c r="I1269" i="7"/>
  <c r="H1269" i="7"/>
  <c r="G1269" i="7"/>
  <c r="F1269" i="7"/>
  <c r="E1269" i="7"/>
  <c r="D1269" i="7"/>
  <c r="C1269" i="7"/>
  <c r="B1269" i="7"/>
  <c r="A1269" i="7"/>
  <c r="K1268" i="7"/>
  <c r="J1268" i="7"/>
  <c r="I1268" i="7"/>
  <c r="H1268" i="7"/>
  <c r="G1268" i="7"/>
  <c r="F1268" i="7"/>
  <c r="E1268" i="7"/>
  <c r="D1268" i="7"/>
  <c r="C1268" i="7"/>
  <c r="B1268" i="7"/>
  <c r="A1268" i="7"/>
  <c r="K1267" i="7"/>
  <c r="J1267" i="7"/>
  <c r="I1267" i="7"/>
  <c r="H1267" i="7"/>
  <c r="G1267" i="7"/>
  <c r="F1267" i="7"/>
  <c r="E1267" i="7"/>
  <c r="D1267" i="7"/>
  <c r="C1267" i="7"/>
  <c r="B1267" i="7"/>
  <c r="A1267" i="7"/>
  <c r="K1266" i="7"/>
  <c r="J1266" i="7"/>
  <c r="I1266" i="7"/>
  <c r="H1266" i="7"/>
  <c r="G1266" i="7"/>
  <c r="F1266" i="7"/>
  <c r="E1266" i="7"/>
  <c r="D1266" i="7"/>
  <c r="C1266" i="7"/>
  <c r="B1266" i="7"/>
  <c r="A1266" i="7"/>
  <c r="K1265" i="7"/>
  <c r="J1265" i="7"/>
  <c r="I1265" i="7"/>
  <c r="H1265" i="7"/>
  <c r="G1265" i="7"/>
  <c r="F1265" i="7"/>
  <c r="E1265" i="7"/>
  <c r="D1265" i="7"/>
  <c r="C1265" i="7"/>
  <c r="B1265" i="7"/>
  <c r="A1265" i="7"/>
  <c r="K1264" i="7"/>
  <c r="J1264" i="7"/>
  <c r="I1264" i="7"/>
  <c r="H1264" i="7"/>
  <c r="G1264" i="7"/>
  <c r="F1264" i="7"/>
  <c r="E1264" i="7"/>
  <c r="D1264" i="7"/>
  <c r="C1264" i="7"/>
  <c r="B1264" i="7"/>
  <c r="A1264" i="7"/>
  <c r="K1263" i="7"/>
  <c r="J1263" i="7"/>
  <c r="I1263" i="7"/>
  <c r="H1263" i="7"/>
  <c r="G1263" i="7"/>
  <c r="F1263" i="7"/>
  <c r="E1263" i="7"/>
  <c r="D1263" i="7"/>
  <c r="C1263" i="7"/>
  <c r="B1263" i="7"/>
  <c r="A1263" i="7"/>
  <c r="K1262" i="7"/>
  <c r="J1262" i="7"/>
  <c r="I1262" i="7"/>
  <c r="H1262" i="7"/>
  <c r="G1262" i="7"/>
  <c r="F1262" i="7"/>
  <c r="E1262" i="7"/>
  <c r="D1262" i="7"/>
  <c r="C1262" i="7"/>
  <c r="B1262" i="7"/>
  <c r="A1262" i="7"/>
  <c r="K1261" i="7"/>
  <c r="J1261" i="7"/>
  <c r="I1261" i="7"/>
  <c r="H1261" i="7"/>
  <c r="G1261" i="7"/>
  <c r="F1261" i="7"/>
  <c r="E1261" i="7"/>
  <c r="D1261" i="7"/>
  <c r="C1261" i="7"/>
  <c r="B1261" i="7"/>
  <c r="A1261" i="7"/>
  <c r="K1260" i="7"/>
  <c r="J1260" i="7"/>
  <c r="I1260" i="7"/>
  <c r="H1260" i="7"/>
  <c r="G1260" i="7"/>
  <c r="F1260" i="7"/>
  <c r="E1260" i="7"/>
  <c r="D1260" i="7"/>
  <c r="C1260" i="7"/>
  <c r="B1260" i="7"/>
  <c r="A1260" i="7"/>
  <c r="K1259" i="7"/>
  <c r="J1259" i="7"/>
  <c r="I1259" i="7"/>
  <c r="H1259" i="7"/>
  <c r="G1259" i="7"/>
  <c r="F1259" i="7"/>
  <c r="E1259" i="7"/>
  <c r="D1259" i="7"/>
  <c r="C1259" i="7"/>
  <c r="B1259" i="7"/>
  <c r="A1259" i="7"/>
  <c r="K1258" i="7"/>
  <c r="J1258" i="7"/>
  <c r="I1258" i="7"/>
  <c r="H1258" i="7"/>
  <c r="G1258" i="7"/>
  <c r="F1258" i="7"/>
  <c r="E1258" i="7"/>
  <c r="D1258" i="7"/>
  <c r="C1258" i="7"/>
  <c r="B1258" i="7"/>
  <c r="A1258" i="7"/>
  <c r="K1257" i="7"/>
  <c r="J1257" i="7"/>
  <c r="I1257" i="7"/>
  <c r="H1257" i="7"/>
  <c r="G1257" i="7"/>
  <c r="F1257" i="7"/>
  <c r="E1257" i="7"/>
  <c r="D1257" i="7"/>
  <c r="C1257" i="7"/>
  <c r="B1257" i="7"/>
  <c r="A1257" i="7"/>
  <c r="K1256" i="7"/>
  <c r="J1256" i="7"/>
  <c r="I1256" i="7"/>
  <c r="H1256" i="7"/>
  <c r="G1256" i="7"/>
  <c r="F1256" i="7"/>
  <c r="E1256" i="7"/>
  <c r="D1256" i="7"/>
  <c r="C1256" i="7"/>
  <c r="B1256" i="7"/>
  <c r="A1256" i="7"/>
  <c r="K1255" i="7"/>
  <c r="J1255" i="7"/>
  <c r="I1255" i="7"/>
  <c r="H1255" i="7"/>
  <c r="G1255" i="7"/>
  <c r="F1255" i="7"/>
  <c r="E1255" i="7"/>
  <c r="D1255" i="7"/>
  <c r="C1255" i="7"/>
  <c r="B1255" i="7"/>
  <c r="A1255" i="7"/>
  <c r="K1254" i="7"/>
  <c r="J1254" i="7"/>
  <c r="I1254" i="7"/>
  <c r="H1254" i="7"/>
  <c r="G1254" i="7"/>
  <c r="F1254" i="7"/>
  <c r="E1254" i="7"/>
  <c r="D1254" i="7"/>
  <c r="C1254" i="7"/>
  <c r="B1254" i="7"/>
  <c r="A1254" i="7"/>
  <c r="K1253" i="7"/>
  <c r="J1253" i="7"/>
  <c r="I1253" i="7"/>
  <c r="H1253" i="7"/>
  <c r="G1253" i="7"/>
  <c r="F1253" i="7"/>
  <c r="E1253" i="7"/>
  <c r="D1253" i="7"/>
  <c r="C1253" i="7"/>
  <c r="B1253" i="7"/>
  <c r="A1253" i="7"/>
  <c r="K1252" i="7"/>
  <c r="J1252" i="7"/>
  <c r="I1252" i="7"/>
  <c r="H1252" i="7"/>
  <c r="G1252" i="7"/>
  <c r="F1252" i="7"/>
  <c r="E1252" i="7"/>
  <c r="D1252" i="7"/>
  <c r="C1252" i="7"/>
  <c r="B1252" i="7"/>
  <c r="A1252" i="7"/>
  <c r="K1251" i="7"/>
  <c r="J1251" i="7"/>
  <c r="I1251" i="7"/>
  <c r="H1251" i="7"/>
  <c r="G1251" i="7"/>
  <c r="F1251" i="7"/>
  <c r="E1251" i="7"/>
  <c r="D1251" i="7"/>
  <c r="C1251" i="7"/>
  <c r="B1251" i="7"/>
  <c r="A1251" i="7"/>
  <c r="K1250" i="7"/>
  <c r="J1250" i="7"/>
  <c r="I1250" i="7"/>
  <c r="H1250" i="7"/>
  <c r="G1250" i="7"/>
  <c r="F1250" i="7"/>
  <c r="E1250" i="7"/>
  <c r="D1250" i="7"/>
  <c r="C1250" i="7"/>
  <c r="B1250" i="7"/>
  <c r="A1250" i="7"/>
  <c r="K1249" i="7"/>
  <c r="J1249" i="7"/>
  <c r="I1249" i="7"/>
  <c r="H1249" i="7"/>
  <c r="G1249" i="7"/>
  <c r="F1249" i="7"/>
  <c r="E1249" i="7"/>
  <c r="D1249" i="7"/>
  <c r="C1249" i="7"/>
  <c r="B1249" i="7"/>
  <c r="A1249" i="7"/>
  <c r="K1248" i="7"/>
  <c r="J1248" i="7"/>
  <c r="I1248" i="7"/>
  <c r="H1248" i="7"/>
  <c r="G1248" i="7"/>
  <c r="F1248" i="7"/>
  <c r="E1248" i="7"/>
  <c r="D1248" i="7"/>
  <c r="C1248" i="7"/>
  <c r="B1248" i="7"/>
  <c r="A1248" i="7"/>
  <c r="K1247" i="7"/>
  <c r="J1247" i="7"/>
  <c r="I1247" i="7"/>
  <c r="H1247" i="7"/>
  <c r="G1247" i="7"/>
  <c r="F1247" i="7"/>
  <c r="E1247" i="7"/>
  <c r="D1247" i="7"/>
  <c r="C1247" i="7"/>
  <c r="B1247" i="7"/>
  <c r="A1247" i="7"/>
  <c r="K1246" i="7"/>
  <c r="J1246" i="7"/>
  <c r="I1246" i="7"/>
  <c r="H1246" i="7"/>
  <c r="G1246" i="7"/>
  <c r="F1246" i="7"/>
  <c r="E1246" i="7"/>
  <c r="D1246" i="7"/>
  <c r="C1246" i="7"/>
  <c r="B1246" i="7"/>
  <c r="A1246" i="7"/>
  <c r="K1245" i="7"/>
  <c r="J1245" i="7"/>
  <c r="I1245" i="7"/>
  <c r="H1245" i="7"/>
  <c r="G1245" i="7"/>
  <c r="F1245" i="7"/>
  <c r="E1245" i="7"/>
  <c r="D1245" i="7"/>
  <c r="C1245" i="7"/>
  <c r="B1245" i="7"/>
  <c r="A1245" i="7"/>
  <c r="K1244" i="7"/>
  <c r="J1244" i="7"/>
  <c r="I1244" i="7"/>
  <c r="H1244" i="7"/>
  <c r="G1244" i="7"/>
  <c r="F1244" i="7"/>
  <c r="E1244" i="7"/>
  <c r="D1244" i="7"/>
  <c r="C1244" i="7"/>
  <c r="B1244" i="7"/>
  <c r="A1244" i="7"/>
  <c r="K1243" i="7"/>
  <c r="J1243" i="7"/>
  <c r="I1243" i="7"/>
  <c r="H1243" i="7"/>
  <c r="G1243" i="7"/>
  <c r="F1243" i="7"/>
  <c r="E1243" i="7"/>
  <c r="D1243" i="7"/>
  <c r="C1243" i="7"/>
  <c r="B1243" i="7"/>
  <c r="A1243" i="7"/>
  <c r="K1242" i="7"/>
  <c r="J1242" i="7"/>
  <c r="I1242" i="7"/>
  <c r="H1242" i="7"/>
  <c r="G1242" i="7"/>
  <c r="F1242" i="7"/>
  <c r="E1242" i="7"/>
  <c r="D1242" i="7"/>
  <c r="C1242" i="7"/>
  <c r="B1242" i="7"/>
  <c r="A1242" i="7"/>
  <c r="K1241" i="7"/>
  <c r="J1241" i="7"/>
  <c r="I1241" i="7"/>
  <c r="H1241" i="7"/>
  <c r="G1241" i="7"/>
  <c r="F1241" i="7"/>
  <c r="E1241" i="7"/>
  <c r="D1241" i="7"/>
  <c r="C1241" i="7"/>
  <c r="B1241" i="7"/>
  <c r="A1241" i="7"/>
  <c r="K1240" i="7"/>
  <c r="J1240" i="7"/>
  <c r="I1240" i="7"/>
  <c r="H1240" i="7"/>
  <c r="G1240" i="7"/>
  <c r="F1240" i="7"/>
  <c r="E1240" i="7"/>
  <c r="D1240" i="7"/>
  <c r="C1240" i="7"/>
  <c r="B1240" i="7"/>
  <c r="A1240" i="7"/>
  <c r="K1239" i="7"/>
  <c r="J1239" i="7"/>
  <c r="I1239" i="7"/>
  <c r="H1239" i="7"/>
  <c r="G1239" i="7"/>
  <c r="F1239" i="7"/>
  <c r="E1239" i="7"/>
  <c r="D1239" i="7"/>
  <c r="C1239" i="7"/>
  <c r="B1239" i="7"/>
  <c r="A1239" i="7"/>
  <c r="K1238" i="7"/>
  <c r="J1238" i="7"/>
  <c r="I1238" i="7"/>
  <c r="H1238" i="7"/>
  <c r="G1238" i="7"/>
  <c r="F1238" i="7"/>
  <c r="E1238" i="7"/>
  <c r="D1238" i="7"/>
  <c r="C1238" i="7"/>
  <c r="B1238" i="7"/>
  <c r="A1238" i="7"/>
  <c r="K1237" i="7"/>
  <c r="J1237" i="7"/>
  <c r="I1237" i="7"/>
  <c r="H1237" i="7"/>
  <c r="G1237" i="7"/>
  <c r="F1237" i="7"/>
  <c r="E1237" i="7"/>
  <c r="D1237" i="7"/>
  <c r="C1237" i="7"/>
  <c r="B1237" i="7"/>
  <c r="A1237" i="7"/>
  <c r="K1236" i="7"/>
  <c r="J1236" i="7"/>
  <c r="I1236" i="7"/>
  <c r="H1236" i="7"/>
  <c r="G1236" i="7"/>
  <c r="F1236" i="7"/>
  <c r="E1236" i="7"/>
  <c r="D1236" i="7"/>
  <c r="C1236" i="7"/>
  <c r="B1236" i="7"/>
  <c r="A1236" i="7"/>
  <c r="K1235" i="7"/>
  <c r="J1235" i="7"/>
  <c r="I1235" i="7"/>
  <c r="H1235" i="7"/>
  <c r="G1235" i="7"/>
  <c r="F1235" i="7"/>
  <c r="E1235" i="7"/>
  <c r="D1235" i="7"/>
  <c r="C1235" i="7"/>
  <c r="B1235" i="7"/>
  <c r="A1235" i="7"/>
  <c r="K1234" i="7"/>
  <c r="J1234" i="7"/>
  <c r="I1234" i="7"/>
  <c r="H1234" i="7"/>
  <c r="G1234" i="7"/>
  <c r="F1234" i="7"/>
  <c r="E1234" i="7"/>
  <c r="D1234" i="7"/>
  <c r="C1234" i="7"/>
  <c r="B1234" i="7"/>
  <c r="A1234" i="7"/>
  <c r="K1233" i="7"/>
  <c r="J1233" i="7"/>
  <c r="I1233" i="7"/>
  <c r="H1233" i="7"/>
  <c r="G1233" i="7"/>
  <c r="F1233" i="7"/>
  <c r="E1233" i="7"/>
  <c r="D1233" i="7"/>
  <c r="C1233" i="7"/>
  <c r="B1233" i="7"/>
  <c r="A1233" i="7"/>
  <c r="K1232" i="7"/>
  <c r="J1232" i="7"/>
  <c r="I1232" i="7"/>
  <c r="H1232" i="7"/>
  <c r="G1232" i="7"/>
  <c r="F1232" i="7"/>
  <c r="E1232" i="7"/>
  <c r="D1232" i="7"/>
  <c r="C1232" i="7"/>
  <c r="B1232" i="7"/>
  <c r="A1232" i="7"/>
  <c r="K1231" i="7"/>
  <c r="J1231" i="7"/>
  <c r="I1231" i="7"/>
  <c r="H1231" i="7"/>
  <c r="G1231" i="7"/>
  <c r="F1231" i="7"/>
  <c r="E1231" i="7"/>
  <c r="D1231" i="7"/>
  <c r="C1231" i="7"/>
  <c r="B1231" i="7"/>
  <c r="A1231" i="7"/>
  <c r="K1230" i="7"/>
  <c r="J1230" i="7"/>
  <c r="I1230" i="7"/>
  <c r="H1230" i="7"/>
  <c r="G1230" i="7"/>
  <c r="F1230" i="7"/>
  <c r="E1230" i="7"/>
  <c r="D1230" i="7"/>
  <c r="C1230" i="7"/>
  <c r="B1230" i="7"/>
  <c r="A1230" i="7"/>
  <c r="K1229" i="7"/>
  <c r="J1229" i="7"/>
  <c r="I1229" i="7"/>
  <c r="H1229" i="7"/>
  <c r="G1229" i="7"/>
  <c r="F1229" i="7"/>
  <c r="E1229" i="7"/>
  <c r="D1229" i="7"/>
  <c r="C1229" i="7"/>
  <c r="B1229" i="7"/>
  <c r="A1229" i="7"/>
  <c r="K1228" i="7"/>
  <c r="J1228" i="7"/>
  <c r="I1228" i="7"/>
  <c r="H1228" i="7"/>
  <c r="G1228" i="7"/>
  <c r="F1228" i="7"/>
  <c r="E1228" i="7"/>
  <c r="D1228" i="7"/>
  <c r="C1228" i="7"/>
  <c r="B1228" i="7"/>
  <c r="A1228" i="7"/>
  <c r="K1227" i="7"/>
  <c r="J1227" i="7"/>
  <c r="I1227" i="7"/>
  <c r="H1227" i="7"/>
  <c r="G1227" i="7"/>
  <c r="F1227" i="7"/>
  <c r="E1227" i="7"/>
  <c r="D1227" i="7"/>
  <c r="C1227" i="7"/>
  <c r="B1227" i="7"/>
  <c r="A1227" i="7"/>
  <c r="K1226" i="7"/>
  <c r="J1226" i="7"/>
  <c r="I1226" i="7"/>
  <c r="H1226" i="7"/>
  <c r="G1226" i="7"/>
  <c r="F1226" i="7"/>
  <c r="E1226" i="7"/>
  <c r="D1226" i="7"/>
  <c r="C1226" i="7"/>
  <c r="B1226" i="7"/>
  <c r="A1226" i="7"/>
  <c r="K1225" i="7"/>
  <c r="J1225" i="7"/>
  <c r="I1225" i="7"/>
  <c r="H1225" i="7"/>
  <c r="G1225" i="7"/>
  <c r="F1225" i="7"/>
  <c r="E1225" i="7"/>
  <c r="D1225" i="7"/>
  <c r="C1225" i="7"/>
  <c r="B1225" i="7"/>
  <c r="A1225" i="7"/>
  <c r="K1224" i="7"/>
  <c r="J1224" i="7"/>
  <c r="I1224" i="7"/>
  <c r="H1224" i="7"/>
  <c r="G1224" i="7"/>
  <c r="F1224" i="7"/>
  <c r="E1224" i="7"/>
  <c r="D1224" i="7"/>
  <c r="C1224" i="7"/>
  <c r="B1224" i="7"/>
  <c r="A1224" i="7"/>
  <c r="K1223" i="7"/>
  <c r="J1223" i="7"/>
  <c r="I1223" i="7"/>
  <c r="H1223" i="7"/>
  <c r="G1223" i="7"/>
  <c r="F1223" i="7"/>
  <c r="E1223" i="7"/>
  <c r="D1223" i="7"/>
  <c r="C1223" i="7"/>
  <c r="B1223" i="7"/>
  <c r="A1223" i="7"/>
  <c r="K1222" i="7"/>
  <c r="J1222" i="7"/>
  <c r="I1222" i="7"/>
  <c r="H1222" i="7"/>
  <c r="G1222" i="7"/>
  <c r="F1222" i="7"/>
  <c r="E1222" i="7"/>
  <c r="D1222" i="7"/>
  <c r="C1222" i="7"/>
  <c r="B1222" i="7"/>
  <c r="A1222" i="7"/>
  <c r="K1221" i="7"/>
  <c r="J1221" i="7"/>
  <c r="I1221" i="7"/>
  <c r="H1221" i="7"/>
  <c r="G1221" i="7"/>
  <c r="F1221" i="7"/>
  <c r="E1221" i="7"/>
  <c r="D1221" i="7"/>
  <c r="C1221" i="7"/>
  <c r="B1221" i="7"/>
  <c r="A1221" i="7"/>
  <c r="K1220" i="7"/>
  <c r="J1220" i="7"/>
  <c r="I1220" i="7"/>
  <c r="H1220" i="7"/>
  <c r="G1220" i="7"/>
  <c r="F1220" i="7"/>
  <c r="E1220" i="7"/>
  <c r="D1220" i="7"/>
  <c r="C1220" i="7"/>
  <c r="B1220" i="7"/>
  <c r="A1220" i="7"/>
  <c r="K1219" i="7"/>
  <c r="J1219" i="7"/>
  <c r="I1219" i="7"/>
  <c r="H1219" i="7"/>
  <c r="G1219" i="7"/>
  <c r="F1219" i="7"/>
  <c r="E1219" i="7"/>
  <c r="D1219" i="7"/>
  <c r="C1219" i="7"/>
  <c r="B1219" i="7"/>
  <c r="A1219" i="7"/>
  <c r="K1218" i="7"/>
  <c r="J1218" i="7"/>
  <c r="I1218" i="7"/>
  <c r="H1218" i="7"/>
  <c r="G1218" i="7"/>
  <c r="F1218" i="7"/>
  <c r="E1218" i="7"/>
  <c r="D1218" i="7"/>
  <c r="C1218" i="7"/>
  <c r="B1218" i="7"/>
  <c r="A1218" i="7"/>
  <c r="K1217" i="7"/>
  <c r="J1217" i="7"/>
  <c r="I1217" i="7"/>
  <c r="H1217" i="7"/>
  <c r="G1217" i="7"/>
  <c r="F1217" i="7"/>
  <c r="E1217" i="7"/>
  <c r="D1217" i="7"/>
  <c r="C1217" i="7"/>
  <c r="B1217" i="7"/>
  <c r="A1217" i="7"/>
  <c r="K1216" i="7"/>
  <c r="J1216" i="7"/>
  <c r="I1216" i="7"/>
  <c r="H1216" i="7"/>
  <c r="G1216" i="7"/>
  <c r="F1216" i="7"/>
  <c r="E1216" i="7"/>
  <c r="D1216" i="7"/>
  <c r="C1216" i="7"/>
  <c r="B1216" i="7"/>
  <c r="A1216" i="7"/>
  <c r="K1215" i="7"/>
  <c r="J1215" i="7"/>
  <c r="I1215" i="7"/>
  <c r="H1215" i="7"/>
  <c r="G1215" i="7"/>
  <c r="F1215" i="7"/>
  <c r="E1215" i="7"/>
  <c r="D1215" i="7"/>
  <c r="C1215" i="7"/>
  <c r="B1215" i="7"/>
  <c r="A1215" i="7"/>
  <c r="K1214" i="7"/>
  <c r="J1214" i="7"/>
  <c r="I1214" i="7"/>
  <c r="H1214" i="7"/>
  <c r="G1214" i="7"/>
  <c r="F1214" i="7"/>
  <c r="E1214" i="7"/>
  <c r="D1214" i="7"/>
  <c r="C1214" i="7"/>
  <c r="B1214" i="7"/>
  <c r="A1214" i="7"/>
  <c r="K1213" i="7"/>
  <c r="J1213" i="7"/>
  <c r="I1213" i="7"/>
  <c r="H1213" i="7"/>
  <c r="G1213" i="7"/>
  <c r="F1213" i="7"/>
  <c r="E1213" i="7"/>
  <c r="D1213" i="7"/>
  <c r="C1213" i="7"/>
  <c r="B1213" i="7"/>
  <c r="A1213" i="7"/>
  <c r="K1212" i="7"/>
  <c r="J1212" i="7"/>
  <c r="I1212" i="7"/>
  <c r="H1212" i="7"/>
  <c r="G1212" i="7"/>
  <c r="F1212" i="7"/>
  <c r="E1212" i="7"/>
  <c r="D1212" i="7"/>
  <c r="C1212" i="7"/>
  <c r="B1212" i="7"/>
  <c r="A1212" i="7"/>
  <c r="K1211" i="7"/>
  <c r="J1211" i="7"/>
  <c r="I1211" i="7"/>
  <c r="H1211" i="7"/>
  <c r="G1211" i="7"/>
  <c r="F1211" i="7"/>
  <c r="E1211" i="7"/>
  <c r="D1211" i="7"/>
  <c r="C1211" i="7"/>
  <c r="B1211" i="7"/>
  <c r="A1211" i="7"/>
  <c r="K1210" i="7"/>
  <c r="J1210" i="7"/>
  <c r="I1210" i="7"/>
  <c r="H1210" i="7"/>
  <c r="G1210" i="7"/>
  <c r="F1210" i="7"/>
  <c r="E1210" i="7"/>
  <c r="D1210" i="7"/>
  <c r="C1210" i="7"/>
  <c r="B1210" i="7"/>
  <c r="A1210" i="7"/>
  <c r="K1209" i="7"/>
  <c r="J1209" i="7"/>
  <c r="I1209" i="7"/>
  <c r="H1209" i="7"/>
  <c r="G1209" i="7"/>
  <c r="F1209" i="7"/>
  <c r="E1209" i="7"/>
  <c r="D1209" i="7"/>
  <c r="C1209" i="7"/>
  <c r="B1209" i="7"/>
  <c r="A1209" i="7"/>
  <c r="K1208" i="7"/>
  <c r="J1208" i="7"/>
  <c r="I1208" i="7"/>
  <c r="H1208" i="7"/>
  <c r="G1208" i="7"/>
  <c r="F1208" i="7"/>
  <c r="E1208" i="7"/>
  <c r="D1208" i="7"/>
  <c r="C1208" i="7"/>
  <c r="B1208" i="7"/>
  <c r="A1208" i="7"/>
  <c r="K1207" i="7"/>
  <c r="J1207" i="7"/>
  <c r="I1207" i="7"/>
  <c r="H1207" i="7"/>
  <c r="G1207" i="7"/>
  <c r="F1207" i="7"/>
  <c r="E1207" i="7"/>
  <c r="D1207" i="7"/>
  <c r="C1207" i="7"/>
  <c r="B1207" i="7"/>
  <c r="A1207" i="7"/>
  <c r="K1206" i="7"/>
  <c r="J1206" i="7"/>
  <c r="I1206" i="7"/>
  <c r="H1206" i="7"/>
  <c r="G1206" i="7"/>
  <c r="F1206" i="7"/>
  <c r="E1206" i="7"/>
  <c r="D1206" i="7"/>
  <c r="C1206" i="7"/>
  <c r="B1206" i="7"/>
  <c r="A1206" i="7"/>
  <c r="K1205" i="7"/>
  <c r="J1205" i="7"/>
  <c r="I1205" i="7"/>
  <c r="H1205" i="7"/>
  <c r="G1205" i="7"/>
  <c r="F1205" i="7"/>
  <c r="E1205" i="7"/>
  <c r="D1205" i="7"/>
  <c r="C1205" i="7"/>
  <c r="B1205" i="7"/>
  <c r="A1205" i="7"/>
  <c r="K1204" i="7"/>
  <c r="J1204" i="7"/>
  <c r="I1204" i="7"/>
  <c r="H1204" i="7"/>
  <c r="G1204" i="7"/>
  <c r="F1204" i="7"/>
  <c r="E1204" i="7"/>
  <c r="D1204" i="7"/>
  <c r="C1204" i="7"/>
  <c r="B1204" i="7"/>
  <c r="A1204" i="7"/>
  <c r="K1203" i="7"/>
  <c r="J1203" i="7"/>
  <c r="I1203" i="7"/>
  <c r="H1203" i="7"/>
  <c r="G1203" i="7"/>
  <c r="F1203" i="7"/>
  <c r="E1203" i="7"/>
  <c r="D1203" i="7"/>
  <c r="C1203" i="7"/>
  <c r="B1203" i="7"/>
  <c r="A1203" i="7"/>
  <c r="K1202" i="7"/>
  <c r="J1202" i="7"/>
  <c r="I1202" i="7"/>
  <c r="H1202" i="7"/>
  <c r="G1202" i="7"/>
  <c r="F1202" i="7"/>
  <c r="E1202" i="7"/>
  <c r="D1202" i="7"/>
  <c r="C1202" i="7"/>
  <c r="B1202" i="7"/>
  <c r="A1202" i="7"/>
  <c r="K1201" i="7"/>
  <c r="J1201" i="7"/>
  <c r="I1201" i="7"/>
  <c r="H1201" i="7"/>
  <c r="G1201" i="7"/>
  <c r="F1201" i="7"/>
  <c r="E1201" i="7"/>
  <c r="D1201" i="7"/>
  <c r="C1201" i="7"/>
  <c r="B1201" i="7"/>
  <c r="A1201" i="7"/>
  <c r="K1200" i="7"/>
  <c r="J1200" i="7"/>
  <c r="I1200" i="7"/>
  <c r="H1200" i="7"/>
  <c r="G1200" i="7"/>
  <c r="F1200" i="7"/>
  <c r="E1200" i="7"/>
  <c r="D1200" i="7"/>
  <c r="C1200" i="7"/>
  <c r="B1200" i="7"/>
  <c r="A1200" i="7"/>
  <c r="K1199" i="7"/>
  <c r="J1199" i="7"/>
  <c r="I1199" i="7"/>
  <c r="H1199" i="7"/>
  <c r="G1199" i="7"/>
  <c r="F1199" i="7"/>
  <c r="E1199" i="7"/>
  <c r="D1199" i="7"/>
  <c r="C1199" i="7"/>
  <c r="B1199" i="7"/>
  <c r="A1199" i="7"/>
  <c r="K1198" i="7"/>
  <c r="J1198" i="7"/>
  <c r="I1198" i="7"/>
  <c r="H1198" i="7"/>
  <c r="G1198" i="7"/>
  <c r="F1198" i="7"/>
  <c r="E1198" i="7"/>
  <c r="D1198" i="7"/>
  <c r="C1198" i="7"/>
  <c r="B1198" i="7"/>
  <c r="A1198" i="7"/>
  <c r="K1197" i="7"/>
  <c r="J1197" i="7"/>
  <c r="I1197" i="7"/>
  <c r="H1197" i="7"/>
  <c r="G1197" i="7"/>
  <c r="F1197" i="7"/>
  <c r="E1197" i="7"/>
  <c r="D1197" i="7"/>
  <c r="C1197" i="7"/>
  <c r="B1197" i="7"/>
  <c r="A1197" i="7"/>
  <c r="K1196" i="7"/>
  <c r="J1196" i="7"/>
  <c r="I1196" i="7"/>
  <c r="H1196" i="7"/>
  <c r="G1196" i="7"/>
  <c r="F1196" i="7"/>
  <c r="E1196" i="7"/>
  <c r="D1196" i="7"/>
  <c r="C1196" i="7"/>
  <c r="B1196" i="7"/>
  <c r="A1196" i="7"/>
  <c r="K1195" i="7"/>
  <c r="J1195" i="7"/>
  <c r="I1195" i="7"/>
  <c r="H1195" i="7"/>
  <c r="G1195" i="7"/>
  <c r="F1195" i="7"/>
  <c r="E1195" i="7"/>
  <c r="D1195" i="7"/>
  <c r="C1195" i="7"/>
  <c r="B1195" i="7"/>
  <c r="A1195" i="7"/>
  <c r="K1194" i="7"/>
  <c r="J1194" i="7"/>
  <c r="I1194" i="7"/>
  <c r="H1194" i="7"/>
  <c r="G1194" i="7"/>
  <c r="F1194" i="7"/>
  <c r="E1194" i="7"/>
  <c r="D1194" i="7"/>
  <c r="C1194" i="7"/>
  <c r="B1194" i="7"/>
  <c r="A1194" i="7"/>
  <c r="K1193" i="7"/>
  <c r="J1193" i="7"/>
  <c r="I1193" i="7"/>
  <c r="H1193" i="7"/>
  <c r="G1193" i="7"/>
  <c r="F1193" i="7"/>
  <c r="E1193" i="7"/>
  <c r="D1193" i="7"/>
  <c r="C1193" i="7"/>
  <c r="B1193" i="7"/>
  <c r="A1193" i="7"/>
  <c r="K1192" i="7"/>
  <c r="J1192" i="7"/>
  <c r="I1192" i="7"/>
  <c r="H1192" i="7"/>
  <c r="G1192" i="7"/>
  <c r="F1192" i="7"/>
  <c r="E1192" i="7"/>
  <c r="D1192" i="7"/>
  <c r="C1192" i="7"/>
  <c r="B1192" i="7"/>
  <c r="A1192" i="7"/>
  <c r="K1191" i="7"/>
  <c r="J1191" i="7"/>
  <c r="I1191" i="7"/>
  <c r="H1191" i="7"/>
  <c r="G1191" i="7"/>
  <c r="F1191" i="7"/>
  <c r="E1191" i="7"/>
  <c r="D1191" i="7"/>
  <c r="C1191" i="7"/>
  <c r="B1191" i="7"/>
  <c r="A1191" i="7"/>
  <c r="K1190" i="7"/>
  <c r="J1190" i="7"/>
  <c r="I1190" i="7"/>
  <c r="H1190" i="7"/>
  <c r="G1190" i="7"/>
  <c r="F1190" i="7"/>
  <c r="E1190" i="7"/>
  <c r="D1190" i="7"/>
  <c r="C1190" i="7"/>
  <c r="B1190" i="7"/>
  <c r="A1190" i="7"/>
  <c r="K1189" i="7"/>
  <c r="J1189" i="7"/>
  <c r="I1189" i="7"/>
  <c r="H1189" i="7"/>
  <c r="G1189" i="7"/>
  <c r="F1189" i="7"/>
  <c r="E1189" i="7"/>
  <c r="D1189" i="7"/>
  <c r="C1189" i="7"/>
  <c r="B1189" i="7"/>
  <c r="A1189" i="7"/>
  <c r="K1188" i="7"/>
  <c r="J1188" i="7"/>
  <c r="I1188" i="7"/>
  <c r="H1188" i="7"/>
  <c r="G1188" i="7"/>
  <c r="F1188" i="7"/>
  <c r="E1188" i="7"/>
  <c r="D1188" i="7"/>
  <c r="C1188" i="7"/>
  <c r="B1188" i="7"/>
  <c r="A1188" i="7"/>
  <c r="K1187" i="7"/>
  <c r="J1187" i="7"/>
  <c r="I1187" i="7"/>
  <c r="H1187" i="7"/>
  <c r="G1187" i="7"/>
  <c r="F1187" i="7"/>
  <c r="E1187" i="7"/>
  <c r="D1187" i="7"/>
  <c r="C1187" i="7"/>
  <c r="B1187" i="7"/>
  <c r="A1187" i="7"/>
  <c r="K1186" i="7"/>
  <c r="J1186" i="7"/>
  <c r="I1186" i="7"/>
  <c r="H1186" i="7"/>
  <c r="G1186" i="7"/>
  <c r="F1186" i="7"/>
  <c r="E1186" i="7"/>
  <c r="D1186" i="7"/>
  <c r="C1186" i="7"/>
  <c r="B1186" i="7"/>
  <c r="A1186" i="7"/>
  <c r="K1185" i="7"/>
  <c r="J1185" i="7"/>
  <c r="I1185" i="7"/>
  <c r="H1185" i="7"/>
  <c r="G1185" i="7"/>
  <c r="F1185" i="7"/>
  <c r="E1185" i="7"/>
  <c r="D1185" i="7"/>
  <c r="C1185" i="7"/>
  <c r="B1185" i="7"/>
  <c r="A1185" i="7"/>
  <c r="K1184" i="7"/>
  <c r="J1184" i="7"/>
  <c r="I1184" i="7"/>
  <c r="H1184" i="7"/>
  <c r="G1184" i="7"/>
  <c r="F1184" i="7"/>
  <c r="E1184" i="7"/>
  <c r="D1184" i="7"/>
  <c r="C1184" i="7"/>
  <c r="B1184" i="7"/>
  <c r="A1184" i="7"/>
  <c r="K1183" i="7"/>
  <c r="J1183" i="7"/>
  <c r="I1183" i="7"/>
  <c r="H1183" i="7"/>
  <c r="G1183" i="7"/>
  <c r="F1183" i="7"/>
  <c r="E1183" i="7"/>
  <c r="D1183" i="7"/>
  <c r="C1183" i="7"/>
  <c r="B1183" i="7"/>
  <c r="A1183" i="7"/>
  <c r="K1182" i="7"/>
  <c r="J1182" i="7"/>
  <c r="I1182" i="7"/>
  <c r="H1182" i="7"/>
  <c r="G1182" i="7"/>
  <c r="F1182" i="7"/>
  <c r="E1182" i="7"/>
  <c r="D1182" i="7"/>
  <c r="C1182" i="7"/>
  <c r="B1182" i="7"/>
  <c r="A1182" i="7"/>
  <c r="K1181" i="7"/>
  <c r="J1181" i="7"/>
  <c r="I1181" i="7"/>
  <c r="H1181" i="7"/>
  <c r="G1181" i="7"/>
  <c r="F1181" i="7"/>
  <c r="E1181" i="7"/>
  <c r="D1181" i="7"/>
  <c r="C1181" i="7"/>
  <c r="B1181" i="7"/>
  <c r="A1181" i="7"/>
  <c r="K1180" i="7"/>
  <c r="J1180" i="7"/>
  <c r="I1180" i="7"/>
  <c r="H1180" i="7"/>
  <c r="G1180" i="7"/>
  <c r="F1180" i="7"/>
  <c r="E1180" i="7"/>
  <c r="D1180" i="7"/>
  <c r="C1180" i="7"/>
  <c r="B1180" i="7"/>
  <c r="A1180" i="7"/>
  <c r="K1179" i="7"/>
  <c r="J1179" i="7"/>
  <c r="I1179" i="7"/>
  <c r="H1179" i="7"/>
  <c r="G1179" i="7"/>
  <c r="F1179" i="7"/>
  <c r="E1179" i="7"/>
  <c r="D1179" i="7"/>
  <c r="C1179" i="7"/>
  <c r="B1179" i="7"/>
  <c r="A1179" i="7"/>
  <c r="K1178" i="7"/>
  <c r="J1178" i="7"/>
  <c r="I1178" i="7"/>
  <c r="H1178" i="7"/>
  <c r="G1178" i="7"/>
  <c r="F1178" i="7"/>
  <c r="E1178" i="7"/>
  <c r="D1178" i="7"/>
  <c r="C1178" i="7"/>
  <c r="B1178" i="7"/>
  <c r="A1178" i="7"/>
  <c r="K1177" i="7"/>
  <c r="J1177" i="7"/>
  <c r="I1177" i="7"/>
  <c r="H1177" i="7"/>
  <c r="G1177" i="7"/>
  <c r="F1177" i="7"/>
  <c r="E1177" i="7"/>
  <c r="D1177" i="7"/>
  <c r="C1177" i="7"/>
  <c r="B1177" i="7"/>
  <c r="A1177" i="7"/>
  <c r="K1176" i="7"/>
  <c r="J1176" i="7"/>
  <c r="I1176" i="7"/>
  <c r="H1176" i="7"/>
  <c r="G1176" i="7"/>
  <c r="F1176" i="7"/>
  <c r="E1176" i="7"/>
  <c r="D1176" i="7"/>
  <c r="C1176" i="7"/>
  <c r="B1176" i="7"/>
  <c r="A1176" i="7"/>
  <c r="K1175" i="7"/>
  <c r="J1175" i="7"/>
  <c r="I1175" i="7"/>
  <c r="H1175" i="7"/>
  <c r="G1175" i="7"/>
  <c r="F1175" i="7"/>
  <c r="E1175" i="7"/>
  <c r="D1175" i="7"/>
  <c r="C1175" i="7"/>
  <c r="B1175" i="7"/>
  <c r="A1175" i="7"/>
  <c r="K1174" i="7"/>
  <c r="J1174" i="7"/>
  <c r="I1174" i="7"/>
  <c r="H1174" i="7"/>
  <c r="G1174" i="7"/>
  <c r="F1174" i="7"/>
  <c r="E1174" i="7"/>
  <c r="D1174" i="7"/>
  <c r="C1174" i="7"/>
  <c r="B1174" i="7"/>
  <c r="A1174" i="7"/>
  <c r="K1173" i="7"/>
  <c r="J1173" i="7"/>
  <c r="I1173" i="7"/>
  <c r="H1173" i="7"/>
  <c r="G1173" i="7"/>
  <c r="F1173" i="7"/>
  <c r="E1173" i="7"/>
  <c r="D1173" i="7"/>
  <c r="C1173" i="7"/>
  <c r="B1173" i="7"/>
  <c r="A1173" i="7"/>
  <c r="K1172" i="7"/>
  <c r="J1172" i="7"/>
  <c r="I1172" i="7"/>
  <c r="H1172" i="7"/>
  <c r="G1172" i="7"/>
  <c r="F1172" i="7"/>
  <c r="E1172" i="7"/>
  <c r="D1172" i="7"/>
  <c r="C1172" i="7"/>
  <c r="B1172" i="7"/>
  <c r="A1172" i="7"/>
  <c r="K1171" i="7"/>
  <c r="J1171" i="7"/>
  <c r="I1171" i="7"/>
  <c r="H1171" i="7"/>
  <c r="G1171" i="7"/>
  <c r="F1171" i="7"/>
  <c r="E1171" i="7"/>
  <c r="D1171" i="7"/>
  <c r="C1171" i="7"/>
  <c r="B1171" i="7"/>
  <c r="A1171" i="7"/>
  <c r="K1170" i="7"/>
  <c r="J1170" i="7"/>
  <c r="I1170" i="7"/>
  <c r="H1170" i="7"/>
  <c r="G1170" i="7"/>
  <c r="F1170" i="7"/>
  <c r="E1170" i="7"/>
  <c r="D1170" i="7"/>
  <c r="C1170" i="7"/>
  <c r="B1170" i="7"/>
  <c r="A1170" i="7"/>
  <c r="K1169" i="7"/>
  <c r="J1169" i="7"/>
  <c r="I1169" i="7"/>
  <c r="H1169" i="7"/>
  <c r="G1169" i="7"/>
  <c r="F1169" i="7"/>
  <c r="E1169" i="7"/>
  <c r="D1169" i="7"/>
  <c r="C1169" i="7"/>
  <c r="B1169" i="7"/>
  <c r="A1169" i="7"/>
  <c r="K1168" i="7"/>
  <c r="J1168" i="7"/>
  <c r="I1168" i="7"/>
  <c r="H1168" i="7"/>
  <c r="G1168" i="7"/>
  <c r="F1168" i="7"/>
  <c r="E1168" i="7"/>
  <c r="D1168" i="7"/>
  <c r="C1168" i="7"/>
  <c r="B1168" i="7"/>
  <c r="A1168" i="7"/>
  <c r="K1167" i="7"/>
  <c r="J1167" i="7"/>
  <c r="I1167" i="7"/>
  <c r="H1167" i="7"/>
  <c r="G1167" i="7"/>
  <c r="F1167" i="7"/>
  <c r="E1167" i="7"/>
  <c r="D1167" i="7"/>
  <c r="C1167" i="7"/>
  <c r="B1167" i="7"/>
  <c r="A1167" i="7"/>
  <c r="K1166" i="7"/>
  <c r="J1166" i="7"/>
  <c r="I1166" i="7"/>
  <c r="H1166" i="7"/>
  <c r="G1166" i="7"/>
  <c r="F1166" i="7"/>
  <c r="E1166" i="7"/>
  <c r="D1166" i="7"/>
  <c r="C1166" i="7"/>
  <c r="B1166" i="7"/>
  <c r="A1166" i="7"/>
  <c r="K1165" i="7"/>
  <c r="J1165" i="7"/>
  <c r="I1165" i="7"/>
  <c r="H1165" i="7"/>
  <c r="G1165" i="7"/>
  <c r="F1165" i="7"/>
  <c r="E1165" i="7"/>
  <c r="D1165" i="7"/>
  <c r="C1165" i="7"/>
  <c r="B1165" i="7"/>
  <c r="A1165" i="7"/>
  <c r="K1164" i="7"/>
  <c r="J1164" i="7"/>
  <c r="I1164" i="7"/>
  <c r="H1164" i="7"/>
  <c r="G1164" i="7"/>
  <c r="F1164" i="7"/>
  <c r="E1164" i="7"/>
  <c r="D1164" i="7"/>
  <c r="C1164" i="7"/>
  <c r="B1164" i="7"/>
  <c r="A1164" i="7"/>
  <c r="K1163" i="7"/>
  <c r="J1163" i="7"/>
  <c r="I1163" i="7"/>
  <c r="H1163" i="7"/>
  <c r="G1163" i="7"/>
  <c r="F1163" i="7"/>
  <c r="E1163" i="7"/>
  <c r="D1163" i="7"/>
  <c r="C1163" i="7"/>
  <c r="B1163" i="7"/>
  <c r="A1163" i="7"/>
  <c r="K1162" i="7"/>
  <c r="J1162" i="7"/>
  <c r="I1162" i="7"/>
  <c r="H1162" i="7"/>
  <c r="G1162" i="7"/>
  <c r="F1162" i="7"/>
  <c r="E1162" i="7"/>
  <c r="D1162" i="7"/>
  <c r="C1162" i="7"/>
  <c r="B1162" i="7"/>
  <c r="A1162" i="7"/>
  <c r="K1161" i="7"/>
  <c r="J1161" i="7"/>
  <c r="I1161" i="7"/>
  <c r="H1161" i="7"/>
  <c r="G1161" i="7"/>
  <c r="F1161" i="7"/>
  <c r="E1161" i="7"/>
  <c r="D1161" i="7"/>
  <c r="C1161" i="7"/>
  <c r="B1161" i="7"/>
  <c r="A1161" i="7"/>
  <c r="K1160" i="7"/>
  <c r="J1160" i="7"/>
  <c r="I1160" i="7"/>
  <c r="H1160" i="7"/>
  <c r="G1160" i="7"/>
  <c r="F1160" i="7"/>
  <c r="E1160" i="7"/>
  <c r="D1160" i="7"/>
  <c r="C1160" i="7"/>
  <c r="B1160" i="7"/>
  <c r="A1160" i="7"/>
  <c r="K1159" i="7"/>
  <c r="J1159" i="7"/>
  <c r="I1159" i="7"/>
  <c r="H1159" i="7"/>
  <c r="G1159" i="7"/>
  <c r="F1159" i="7"/>
  <c r="E1159" i="7"/>
  <c r="D1159" i="7"/>
  <c r="C1159" i="7"/>
  <c r="B1159" i="7"/>
  <c r="A1159" i="7"/>
  <c r="K1158" i="7"/>
  <c r="J1158" i="7"/>
  <c r="I1158" i="7"/>
  <c r="H1158" i="7"/>
  <c r="G1158" i="7"/>
  <c r="F1158" i="7"/>
  <c r="E1158" i="7"/>
  <c r="D1158" i="7"/>
  <c r="C1158" i="7"/>
  <c r="B1158" i="7"/>
  <c r="A1158" i="7"/>
  <c r="K1157" i="7"/>
  <c r="J1157" i="7"/>
  <c r="I1157" i="7"/>
  <c r="H1157" i="7"/>
  <c r="G1157" i="7"/>
  <c r="F1157" i="7"/>
  <c r="E1157" i="7"/>
  <c r="D1157" i="7"/>
  <c r="C1157" i="7"/>
  <c r="B1157" i="7"/>
  <c r="A1157" i="7"/>
  <c r="K1156" i="7"/>
  <c r="J1156" i="7"/>
  <c r="I1156" i="7"/>
  <c r="H1156" i="7"/>
  <c r="G1156" i="7"/>
  <c r="F1156" i="7"/>
  <c r="E1156" i="7"/>
  <c r="D1156" i="7"/>
  <c r="C1156" i="7"/>
  <c r="B1156" i="7"/>
  <c r="A1156" i="7"/>
  <c r="K1155" i="7"/>
  <c r="J1155" i="7"/>
  <c r="I1155" i="7"/>
  <c r="H1155" i="7"/>
  <c r="G1155" i="7"/>
  <c r="F1155" i="7"/>
  <c r="E1155" i="7"/>
  <c r="D1155" i="7"/>
  <c r="C1155" i="7"/>
  <c r="B1155" i="7"/>
  <c r="A1155" i="7"/>
  <c r="K1154" i="7"/>
  <c r="J1154" i="7"/>
  <c r="I1154" i="7"/>
  <c r="H1154" i="7"/>
  <c r="G1154" i="7"/>
  <c r="F1154" i="7"/>
  <c r="E1154" i="7"/>
  <c r="D1154" i="7"/>
  <c r="C1154" i="7"/>
  <c r="B1154" i="7"/>
  <c r="A1154" i="7"/>
  <c r="K1153" i="7"/>
  <c r="J1153" i="7"/>
  <c r="I1153" i="7"/>
  <c r="H1153" i="7"/>
  <c r="G1153" i="7"/>
  <c r="F1153" i="7"/>
  <c r="E1153" i="7"/>
  <c r="D1153" i="7"/>
  <c r="C1153" i="7"/>
  <c r="B1153" i="7"/>
  <c r="A1153" i="7"/>
  <c r="K1152" i="7"/>
  <c r="J1152" i="7"/>
  <c r="I1152" i="7"/>
  <c r="H1152" i="7"/>
  <c r="G1152" i="7"/>
  <c r="F1152" i="7"/>
  <c r="E1152" i="7"/>
  <c r="D1152" i="7"/>
  <c r="C1152" i="7"/>
  <c r="B1152" i="7"/>
  <c r="A1152" i="7"/>
  <c r="K1151" i="7"/>
  <c r="J1151" i="7"/>
  <c r="I1151" i="7"/>
  <c r="H1151" i="7"/>
  <c r="G1151" i="7"/>
  <c r="F1151" i="7"/>
  <c r="E1151" i="7"/>
  <c r="D1151" i="7"/>
  <c r="C1151" i="7"/>
  <c r="B1151" i="7"/>
  <c r="A1151" i="7"/>
  <c r="K1150" i="7"/>
  <c r="J1150" i="7"/>
  <c r="I1150" i="7"/>
  <c r="H1150" i="7"/>
  <c r="G1150" i="7"/>
  <c r="F1150" i="7"/>
  <c r="E1150" i="7"/>
  <c r="D1150" i="7"/>
  <c r="C1150" i="7"/>
  <c r="B1150" i="7"/>
  <c r="A1150" i="7"/>
  <c r="K1149" i="7"/>
  <c r="J1149" i="7"/>
  <c r="I1149" i="7"/>
  <c r="H1149" i="7"/>
  <c r="G1149" i="7"/>
  <c r="F1149" i="7"/>
  <c r="E1149" i="7"/>
  <c r="D1149" i="7"/>
  <c r="C1149" i="7"/>
  <c r="B1149" i="7"/>
  <c r="A1149" i="7"/>
  <c r="K1148" i="7"/>
  <c r="J1148" i="7"/>
  <c r="I1148" i="7"/>
  <c r="H1148" i="7"/>
  <c r="G1148" i="7"/>
  <c r="F1148" i="7"/>
  <c r="E1148" i="7"/>
  <c r="D1148" i="7"/>
  <c r="C1148" i="7"/>
  <c r="B1148" i="7"/>
  <c r="A1148" i="7"/>
  <c r="K1147" i="7"/>
  <c r="J1147" i="7"/>
  <c r="I1147" i="7"/>
  <c r="H1147" i="7"/>
  <c r="G1147" i="7"/>
  <c r="F1147" i="7"/>
  <c r="E1147" i="7"/>
  <c r="D1147" i="7"/>
  <c r="C1147" i="7"/>
  <c r="B1147" i="7"/>
  <c r="A1147" i="7"/>
  <c r="K1146" i="7"/>
  <c r="J1146" i="7"/>
  <c r="I1146" i="7"/>
  <c r="H1146" i="7"/>
  <c r="G1146" i="7"/>
  <c r="F1146" i="7"/>
  <c r="E1146" i="7"/>
  <c r="D1146" i="7"/>
  <c r="C1146" i="7"/>
  <c r="B1146" i="7"/>
  <c r="A1146" i="7"/>
  <c r="K1145" i="7"/>
  <c r="J1145" i="7"/>
  <c r="I1145" i="7"/>
  <c r="H1145" i="7"/>
  <c r="G1145" i="7"/>
  <c r="F1145" i="7"/>
  <c r="E1145" i="7"/>
  <c r="D1145" i="7"/>
  <c r="C1145" i="7"/>
  <c r="B1145" i="7"/>
  <c r="A1145" i="7"/>
  <c r="K1144" i="7"/>
  <c r="J1144" i="7"/>
  <c r="I1144" i="7"/>
  <c r="H1144" i="7"/>
  <c r="G1144" i="7"/>
  <c r="F1144" i="7"/>
  <c r="E1144" i="7"/>
  <c r="D1144" i="7"/>
  <c r="C1144" i="7"/>
  <c r="B1144" i="7"/>
  <c r="A1144" i="7"/>
  <c r="K1143" i="7"/>
  <c r="J1143" i="7"/>
  <c r="I1143" i="7"/>
  <c r="H1143" i="7"/>
  <c r="G1143" i="7"/>
  <c r="F1143" i="7"/>
  <c r="E1143" i="7"/>
  <c r="D1143" i="7"/>
  <c r="C1143" i="7"/>
  <c r="B1143" i="7"/>
  <c r="A1143" i="7"/>
  <c r="K1142" i="7"/>
  <c r="J1142" i="7"/>
  <c r="I1142" i="7"/>
  <c r="H1142" i="7"/>
  <c r="G1142" i="7"/>
  <c r="F1142" i="7"/>
  <c r="E1142" i="7"/>
  <c r="D1142" i="7"/>
  <c r="C1142" i="7"/>
  <c r="B1142" i="7"/>
  <c r="A1142" i="7"/>
  <c r="K1141" i="7"/>
  <c r="J1141" i="7"/>
  <c r="I1141" i="7"/>
  <c r="H1141" i="7"/>
  <c r="G1141" i="7"/>
  <c r="F1141" i="7"/>
  <c r="E1141" i="7"/>
  <c r="D1141" i="7"/>
  <c r="C1141" i="7"/>
  <c r="B1141" i="7"/>
  <c r="A1141" i="7"/>
  <c r="K1140" i="7"/>
  <c r="J1140" i="7"/>
  <c r="I1140" i="7"/>
  <c r="H1140" i="7"/>
  <c r="G1140" i="7"/>
  <c r="F1140" i="7"/>
  <c r="E1140" i="7"/>
  <c r="D1140" i="7"/>
  <c r="C1140" i="7"/>
  <c r="B1140" i="7"/>
  <c r="A1140" i="7"/>
  <c r="K1139" i="7"/>
  <c r="J1139" i="7"/>
  <c r="I1139" i="7"/>
  <c r="H1139" i="7"/>
  <c r="G1139" i="7"/>
  <c r="F1139" i="7"/>
  <c r="E1139" i="7"/>
  <c r="D1139" i="7"/>
  <c r="C1139" i="7"/>
  <c r="B1139" i="7"/>
  <c r="A1139" i="7"/>
  <c r="K1138" i="7"/>
  <c r="J1138" i="7"/>
  <c r="I1138" i="7"/>
  <c r="H1138" i="7"/>
  <c r="G1138" i="7"/>
  <c r="F1138" i="7"/>
  <c r="E1138" i="7"/>
  <c r="D1138" i="7"/>
  <c r="C1138" i="7"/>
  <c r="B1138" i="7"/>
  <c r="A1138" i="7"/>
  <c r="K1137" i="7"/>
  <c r="J1137" i="7"/>
  <c r="I1137" i="7"/>
  <c r="H1137" i="7"/>
  <c r="G1137" i="7"/>
  <c r="F1137" i="7"/>
  <c r="E1137" i="7"/>
  <c r="D1137" i="7"/>
  <c r="C1137" i="7"/>
  <c r="B1137" i="7"/>
  <c r="A1137" i="7"/>
  <c r="K1136" i="7"/>
  <c r="J1136" i="7"/>
  <c r="I1136" i="7"/>
  <c r="H1136" i="7"/>
  <c r="G1136" i="7"/>
  <c r="F1136" i="7"/>
  <c r="E1136" i="7"/>
  <c r="D1136" i="7"/>
  <c r="C1136" i="7"/>
  <c r="B1136" i="7"/>
  <c r="A1136" i="7"/>
  <c r="K1135" i="7"/>
  <c r="J1135" i="7"/>
  <c r="I1135" i="7"/>
  <c r="H1135" i="7"/>
  <c r="G1135" i="7"/>
  <c r="F1135" i="7"/>
  <c r="E1135" i="7"/>
  <c r="D1135" i="7"/>
  <c r="C1135" i="7"/>
  <c r="B1135" i="7"/>
  <c r="A1135" i="7"/>
  <c r="K1134" i="7"/>
  <c r="J1134" i="7"/>
  <c r="I1134" i="7"/>
  <c r="H1134" i="7"/>
  <c r="G1134" i="7"/>
  <c r="F1134" i="7"/>
  <c r="E1134" i="7"/>
  <c r="D1134" i="7"/>
  <c r="C1134" i="7"/>
  <c r="B1134" i="7"/>
  <c r="A1134" i="7"/>
  <c r="K1133" i="7"/>
  <c r="J1133" i="7"/>
  <c r="I1133" i="7"/>
  <c r="H1133" i="7"/>
  <c r="G1133" i="7"/>
  <c r="F1133" i="7"/>
  <c r="E1133" i="7"/>
  <c r="D1133" i="7"/>
  <c r="C1133" i="7"/>
  <c r="B1133" i="7"/>
  <c r="A1133" i="7"/>
  <c r="K1132" i="7"/>
  <c r="J1132" i="7"/>
  <c r="I1132" i="7"/>
  <c r="H1132" i="7"/>
  <c r="G1132" i="7"/>
  <c r="F1132" i="7"/>
  <c r="E1132" i="7"/>
  <c r="D1132" i="7"/>
  <c r="C1132" i="7"/>
  <c r="B1132" i="7"/>
  <c r="A1132" i="7"/>
  <c r="K1131" i="7"/>
  <c r="J1131" i="7"/>
  <c r="I1131" i="7"/>
  <c r="H1131" i="7"/>
  <c r="G1131" i="7"/>
  <c r="F1131" i="7"/>
  <c r="E1131" i="7"/>
  <c r="D1131" i="7"/>
  <c r="C1131" i="7"/>
  <c r="B1131" i="7"/>
  <c r="A1131" i="7"/>
  <c r="K1130" i="7"/>
  <c r="J1130" i="7"/>
  <c r="I1130" i="7"/>
  <c r="H1130" i="7"/>
  <c r="G1130" i="7"/>
  <c r="F1130" i="7"/>
  <c r="E1130" i="7"/>
  <c r="D1130" i="7"/>
  <c r="C1130" i="7"/>
  <c r="B1130" i="7"/>
  <c r="A1130" i="7"/>
  <c r="K1129" i="7"/>
  <c r="J1129" i="7"/>
  <c r="I1129" i="7"/>
  <c r="H1129" i="7"/>
  <c r="G1129" i="7"/>
  <c r="F1129" i="7"/>
  <c r="E1129" i="7"/>
  <c r="D1129" i="7"/>
  <c r="C1129" i="7"/>
  <c r="B1129" i="7"/>
  <c r="A1129" i="7"/>
  <c r="K1128" i="7"/>
  <c r="J1128" i="7"/>
  <c r="I1128" i="7"/>
  <c r="H1128" i="7"/>
  <c r="G1128" i="7"/>
  <c r="F1128" i="7"/>
  <c r="E1128" i="7"/>
  <c r="D1128" i="7"/>
  <c r="C1128" i="7"/>
  <c r="B1128" i="7"/>
  <c r="A1128" i="7"/>
  <c r="K1127" i="7"/>
  <c r="J1127" i="7"/>
  <c r="I1127" i="7"/>
  <c r="H1127" i="7"/>
  <c r="G1127" i="7"/>
  <c r="F1127" i="7"/>
  <c r="E1127" i="7"/>
  <c r="D1127" i="7"/>
  <c r="C1127" i="7"/>
  <c r="B1127" i="7"/>
  <c r="A1127" i="7"/>
  <c r="K1126" i="7"/>
  <c r="J1126" i="7"/>
  <c r="I1126" i="7"/>
  <c r="H1126" i="7"/>
  <c r="G1126" i="7"/>
  <c r="F1126" i="7"/>
  <c r="E1126" i="7"/>
  <c r="D1126" i="7"/>
  <c r="C1126" i="7"/>
  <c r="B1126" i="7"/>
  <c r="A1126" i="7"/>
  <c r="K1125" i="7"/>
  <c r="J1125" i="7"/>
  <c r="I1125" i="7"/>
  <c r="H1125" i="7"/>
  <c r="G1125" i="7"/>
  <c r="F1125" i="7"/>
  <c r="E1125" i="7"/>
  <c r="D1125" i="7"/>
  <c r="C1125" i="7"/>
  <c r="B1125" i="7"/>
  <c r="A1125" i="7"/>
  <c r="K1124" i="7"/>
  <c r="J1124" i="7"/>
  <c r="I1124" i="7"/>
  <c r="H1124" i="7"/>
  <c r="G1124" i="7"/>
  <c r="F1124" i="7"/>
  <c r="E1124" i="7"/>
  <c r="D1124" i="7"/>
  <c r="C1124" i="7"/>
  <c r="B1124" i="7"/>
  <c r="A1124" i="7"/>
  <c r="K1123" i="7"/>
  <c r="J1123" i="7"/>
  <c r="I1123" i="7"/>
  <c r="H1123" i="7"/>
  <c r="G1123" i="7"/>
  <c r="F1123" i="7"/>
  <c r="E1123" i="7"/>
  <c r="D1123" i="7"/>
  <c r="C1123" i="7"/>
  <c r="B1123" i="7"/>
  <c r="A1123" i="7"/>
  <c r="K1122" i="7"/>
  <c r="J1122" i="7"/>
  <c r="I1122" i="7"/>
  <c r="H1122" i="7"/>
  <c r="G1122" i="7"/>
  <c r="F1122" i="7"/>
  <c r="E1122" i="7"/>
  <c r="D1122" i="7"/>
  <c r="C1122" i="7"/>
  <c r="B1122" i="7"/>
  <c r="A1122" i="7"/>
  <c r="K1121" i="7"/>
  <c r="J1121" i="7"/>
  <c r="I1121" i="7"/>
  <c r="H1121" i="7"/>
  <c r="G1121" i="7"/>
  <c r="F1121" i="7"/>
  <c r="E1121" i="7"/>
  <c r="D1121" i="7"/>
  <c r="C1121" i="7"/>
  <c r="B1121" i="7"/>
  <c r="A1121" i="7"/>
  <c r="K1120" i="7"/>
  <c r="J1120" i="7"/>
  <c r="I1120" i="7"/>
  <c r="H1120" i="7"/>
  <c r="G1120" i="7"/>
  <c r="F1120" i="7"/>
  <c r="E1120" i="7"/>
  <c r="D1120" i="7"/>
  <c r="C1120" i="7"/>
  <c r="B1120" i="7"/>
  <c r="A1120" i="7"/>
  <c r="K1119" i="7"/>
  <c r="J1119" i="7"/>
  <c r="I1119" i="7"/>
  <c r="H1119" i="7"/>
  <c r="G1119" i="7"/>
  <c r="F1119" i="7"/>
  <c r="E1119" i="7"/>
  <c r="D1119" i="7"/>
  <c r="C1119" i="7"/>
  <c r="B1119" i="7"/>
  <c r="A1119" i="7"/>
  <c r="K1118" i="7"/>
  <c r="J1118" i="7"/>
  <c r="I1118" i="7"/>
  <c r="H1118" i="7"/>
  <c r="G1118" i="7"/>
  <c r="F1118" i="7"/>
  <c r="E1118" i="7"/>
  <c r="D1118" i="7"/>
  <c r="C1118" i="7"/>
  <c r="B1118" i="7"/>
  <c r="A1118" i="7"/>
  <c r="K1117" i="7"/>
  <c r="J1117" i="7"/>
  <c r="I1117" i="7"/>
  <c r="H1117" i="7"/>
  <c r="G1117" i="7"/>
  <c r="F1117" i="7"/>
  <c r="E1117" i="7"/>
  <c r="D1117" i="7"/>
  <c r="C1117" i="7"/>
  <c r="B1117" i="7"/>
  <c r="A1117" i="7"/>
  <c r="K1116" i="7"/>
  <c r="J1116" i="7"/>
  <c r="I1116" i="7"/>
  <c r="H1116" i="7"/>
  <c r="G1116" i="7"/>
  <c r="F1116" i="7"/>
  <c r="E1116" i="7"/>
  <c r="D1116" i="7"/>
  <c r="C1116" i="7"/>
  <c r="B1116" i="7"/>
  <c r="A1116" i="7"/>
  <c r="K1115" i="7"/>
  <c r="J1115" i="7"/>
  <c r="I1115" i="7"/>
  <c r="H1115" i="7"/>
  <c r="G1115" i="7"/>
  <c r="F1115" i="7"/>
  <c r="E1115" i="7"/>
  <c r="D1115" i="7"/>
  <c r="C1115" i="7"/>
  <c r="B1115" i="7"/>
  <c r="A1115" i="7"/>
  <c r="K1114" i="7"/>
  <c r="J1114" i="7"/>
  <c r="I1114" i="7"/>
  <c r="H1114" i="7"/>
  <c r="G1114" i="7"/>
  <c r="F1114" i="7"/>
  <c r="E1114" i="7"/>
  <c r="D1114" i="7"/>
  <c r="C1114" i="7"/>
  <c r="B1114" i="7"/>
  <c r="A1114" i="7"/>
  <c r="K1113" i="7"/>
  <c r="J1113" i="7"/>
  <c r="I1113" i="7"/>
  <c r="H1113" i="7"/>
  <c r="G1113" i="7"/>
  <c r="F1113" i="7"/>
  <c r="E1113" i="7"/>
  <c r="D1113" i="7"/>
  <c r="C1113" i="7"/>
  <c r="B1113" i="7"/>
  <c r="A1113" i="7"/>
  <c r="K1112" i="7"/>
  <c r="J1112" i="7"/>
  <c r="I1112" i="7"/>
  <c r="H1112" i="7"/>
  <c r="G1112" i="7"/>
  <c r="F1112" i="7"/>
  <c r="E1112" i="7"/>
  <c r="D1112" i="7"/>
  <c r="C1112" i="7"/>
  <c r="B1112" i="7"/>
  <c r="A1112" i="7"/>
  <c r="K1111" i="7"/>
  <c r="J1111" i="7"/>
  <c r="I1111" i="7"/>
  <c r="H1111" i="7"/>
  <c r="G1111" i="7"/>
  <c r="F1111" i="7"/>
  <c r="E1111" i="7"/>
  <c r="D1111" i="7"/>
  <c r="C1111" i="7"/>
  <c r="B1111" i="7"/>
  <c r="A1111" i="7"/>
  <c r="K1110" i="7"/>
  <c r="J1110" i="7"/>
  <c r="I1110" i="7"/>
  <c r="H1110" i="7"/>
  <c r="G1110" i="7"/>
  <c r="F1110" i="7"/>
  <c r="E1110" i="7"/>
  <c r="D1110" i="7"/>
  <c r="C1110" i="7"/>
  <c r="B1110" i="7"/>
  <c r="A1110" i="7"/>
  <c r="K1109" i="7"/>
  <c r="J1109" i="7"/>
  <c r="I1109" i="7"/>
  <c r="H1109" i="7"/>
  <c r="G1109" i="7"/>
  <c r="F1109" i="7"/>
  <c r="E1109" i="7"/>
  <c r="D1109" i="7"/>
  <c r="C1109" i="7"/>
  <c r="B1109" i="7"/>
  <c r="A1109" i="7"/>
  <c r="K1108" i="7"/>
  <c r="J1108" i="7"/>
  <c r="I1108" i="7"/>
  <c r="H1108" i="7"/>
  <c r="G1108" i="7"/>
  <c r="F1108" i="7"/>
  <c r="E1108" i="7"/>
  <c r="D1108" i="7"/>
  <c r="C1108" i="7"/>
  <c r="B1108" i="7"/>
  <c r="A1108" i="7"/>
  <c r="K1107" i="7"/>
  <c r="J1107" i="7"/>
  <c r="I1107" i="7"/>
  <c r="H1107" i="7"/>
  <c r="G1107" i="7"/>
  <c r="F1107" i="7"/>
  <c r="E1107" i="7"/>
  <c r="D1107" i="7"/>
  <c r="C1107" i="7"/>
  <c r="B1107" i="7"/>
  <c r="A1107" i="7"/>
  <c r="K1106" i="7"/>
  <c r="J1106" i="7"/>
  <c r="I1106" i="7"/>
  <c r="H1106" i="7"/>
  <c r="G1106" i="7"/>
  <c r="F1106" i="7"/>
  <c r="E1106" i="7"/>
  <c r="D1106" i="7"/>
  <c r="C1106" i="7"/>
  <c r="B1106" i="7"/>
  <c r="A1106" i="7"/>
  <c r="K1105" i="7"/>
  <c r="J1105" i="7"/>
  <c r="I1105" i="7"/>
  <c r="H1105" i="7"/>
  <c r="G1105" i="7"/>
  <c r="F1105" i="7"/>
  <c r="E1105" i="7"/>
  <c r="D1105" i="7"/>
  <c r="C1105" i="7"/>
  <c r="B1105" i="7"/>
  <c r="A1105" i="7"/>
  <c r="K1104" i="7"/>
  <c r="J1104" i="7"/>
  <c r="I1104" i="7"/>
  <c r="H1104" i="7"/>
  <c r="G1104" i="7"/>
  <c r="F1104" i="7"/>
  <c r="E1104" i="7"/>
  <c r="D1104" i="7"/>
  <c r="C1104" i="7"/>
  <c r="B1104" i="7"/>
  <c r="A1104" i="7"/>
  <c r="K1103" i="7"/>
  <c r="J1103" i="7"/>
  <c r="I1103" i="7"/>
  <c r="H1103" i="7"/>
  <c r="G1103" i="7"/>
  <c r="F1103" i="7"/>
  <c r="E1103" i="7"/>
  <c r="D1103" i="7"/>
  <c r="C1103" i="7"/>
  <c r="B1103" i="7"/>
  <c r="A1103" i="7"/>
  <c r="K1102" i="7"/>
  <c r="J1102" i="7"/>
  <c r="I1102" i="7"/>
  <c r="H1102" i="7"/>
  <c r="G1102" i="7"/>
  <c r="F1102" i="7"/>
  <c r="E1102" i="7"/>
  <c r="D1102" i="7"/>
  <c r="C1102" i="7"/>
  <c r="B1102" i="7"/>
  <c r="A1102" i="7"/>
  <c r="K1101" i="7"/>
  <c r="J1101" i="7"/>
  <c r="I1101" i="7"/>
  <c r="H1101" i="7"/>
  <c r="G1101" i="7"/>
  <c r="F1101" i="7"/>
  <c r="E1101" i="7"/>
  <c r="D1101" i="7"/>
  <c r="C1101" i="7"/>
  <c r="B1101" i="7"/>
  <c r="A1101" i="7"/>
  <c r="K1100" i="7"/>
  <c r="J1100" i="7"/>
  <c r="I1100" i="7"/>
  <c r="H1100" i="7"/>
  <c r="G1100" i="7"/>
  <c r="F1100" i="7"/>
  <c r="E1100" i="7"/>
  <c r="D1100" i="7"/>
  <c r="C1100" i="7"/>
  <c r="B1100" i="7"/>
  <c r="A1100" i="7"/>
  <c r="K1099" i="7"/>
  <c r="J1099" i="7"/>
  <c r="I1099" i="7"/>
  <c r="H1099" i="7"/>
  <c r="G1099" i="7"/>
  <c r="F1099" i="7"/>
  <c r="E1099" i="7"/>
  <c r="D1099" i="7"/>
  <c r="C1099" i="7"/>
  <c r="B1099" i="7"/>
  <c r="A1099" i="7"/>
  <c r="K1098" i="7"/>
  <c r="J1098" i="7"/>
  <c r="I1098" i="7"/>
  <c r="H1098" i="7"/>
  <c r="G1098" i="7"/>
  <c r="F1098" i="7"/>
  <c r="E1098" i="7"/>
  <c r="D1098" i="7"/>
  <c r="C1098" i="7"/>
  <c r="B1098" i="7"/>
  <c r="A1098" i="7"/>
  <c r="K1097" i="7"/>
  <c r="J1097" i="7"/>
  <c r="I1097" i="7"/>
  <c r="H1097" i="7"/>
  <c r="G1097" i="7"/>
  <c r="F1097" i="7"/>
  <c r="E1097" i="7"/>
  <c r="D1097" i="7"/>
  <c r="C1097" i="7"/>
  <c r="B1097" i="7"/>
  <c r="A1097" i="7"/>
  <c r="K1096" i="7"/>
  <c r="J1096" i="7"/>
  <c r="I1096" i="7"/>
  <c r="H1096" i="7"/>
  <c r="G1096" i="7"/>
  <c r="F1096" i="7"/>
  <c r="E1096" i="7"/>
  <c r="D1096" i="7"/>
  <c r="C1096" i="7"/>
  <c r="B1096" i="7"/>
  <c r="A1096" i="7"/>
  <c r="K1095" i="7"/>
  <c r="J1095" i="7"/>
  <c r="I1095" i="7"/>
  <c r="H1095" i="7"/>
  <c r="G1095" i="7"/>
  <c r="F1095" i="7"/>
  <c r="E1095" i="7"/>
  <c r="D1095" i="7"/>
  <c r="C1095" i="7"/>
  <c r="B1095" i="7"/>
  <c r="A1095" i="7"/>
  <c r="K1094" i="7"/>
  <c r="J1094" i="7"/>
  <c r="I1094" i="7"/>
  <c r="H1094" i="7"/>
  <c r="G1094" i="7"/>
  <c r="F1094" i="7"/>
  <c r="E1094" i="7"/>
  <c r="D1094" i="7"/>
  <c r="C1094" i="7"/>
  <c r="B1094" i="7"/>
  <c r="A1094" i="7"/>
  <c r="K1093" i="7"/>
  <c r="J1093" i="7"/>
  <c r="I1093" i="7"/>
  <c r="H1093" i="7"/>
  <c r="G1093" i="7"/>
  <c r="F1093" i="7"/>
  <c r="E1093" i="7"/>
  <c r="D1093" i="7"/>
  <c r="C1093" i="7"/>
  <c r="B1093" i="7"/>
  <c r="A1093" i="7"/>
  <c r="K1092" i="7"/>
  <c r="J1092" i="7"/>
  <c r="I1092" i="7"/>
  <c r="H1092" i="7"/>
  <c r="G1092" i="7"/>
  <c r="F1092" i="7"/>
  <c r="E1092" i="7"/>
  <c r="D1092" i="7"/>
  <c r="C1092" i="7"/>
  <c r="B1092" i="7"/>
  <c r="A1092" i="7"/>
  <c r="K1091" i="7"/>
  <c r="J1091" i="7"/>
  <c r="I1091" i="7"/>
  <c r="H1091" i="7"/>
  <c r="G1091" i="7"/>
  <c r="F1091" i="7"/>
  <c r="E1091" i="7"/>
  <c r="D1091" i="7"/>
  <c r="C1091" i="7"/>
  <c r="B1091" i="7"/>
  <c r="A1091" i="7"/>
  <c r="K1090" i="7"/>
  <c r="J1090" i="7"/>
  <c r="I1090" i="7"/>
  <c r="H1090" i="7"/>
  <c r="G1090" i="7"/>
  <c r="F1090" i="7"/>
  <c r="E1090" i="7"/>
  <c r="D1090" i="7"/>
  <c r="C1090" i="7"/>
  <c r="B1090" i="7"/>
  <c r="A1090" i="7"/>
  <c r="K1089" i="7"/>
  <c r="J1089" i="7"/>
  <c r="I1089" i="7"/>
  <c r="H1089" i="7"/>
  <c r="G1089" i="7"/>
  <c r="F1089" i="7"/>
  <c r="E1089" i="7"/>
  <c r="D1089" i="7"/>
  <c r="C1089" i="7"/>
  <c r="B1089" i="7"/>
  <c r="A1089" i="7"/>
  <c r="K1088" i="7"/>
  <c r="J1088" i="7"/>
  <c r="I1088" i="7"/>
  <c r="H1088" i="7"/>
  <c r="G1088" i="7"/>
  <c r="F1088" i="7"/>
  <c r="E1088" i="7"/>
  <c r="D1088" i="7"/>
  <c r="C1088" i="7"/>
  <c r="B1088" i="7"/>
  <c r="A1088" i="7"/>
  <c r="K1087" i="7"/>
  <c r="J1087" i="7"/>
  <c r="I1087" i="7"/>
  <c r="H1087" i="7"/>
  <c r="G1087" i="7"/>
  <c r="F1087" i="7"/>
  <c r="E1087" i="7"/>
  <c r="D1087" i="7"/>
  <c r="C1087" i="7"/>
  <c r="B1087" i="7"/>
  <c r="A1087" i="7"/>
  <c r="K1086" i="7"/>
  <c r="J1086" i="7"/>
  <c r="I1086" i="7"/>
  <c r="H1086" i="7"/>
  <c r="G1086" i="7"/>
  <c r="F1086" i="7"/>
  <c r="E1086" i="7"/>
  <c r="D1086" i="7"/>
  <c r="C1086" i="7"/>
  <c r="B1086" i="7"/>
  <c r="A1086" i="7"/>
  <c r="K1085" i="7"/>
  <c r="J1085" i="7"/>
  <c r="I1085" i="7"/>
  <c r="H1085" i="7"/>
  <c r="G1085" i="7"/>
  <c r="F1085" i="7"/>
  <c r="E1085" i="7"/>
  <c r="D1085" i="7"/>
  <c r="C1085" i="7"/>
  <c r="B1085" i="7"/>
  <c r="A1085" i="7"/>
  <c r="K1084" i="7"/>
  <c r="J1084" i="7"/>
  <c r="I1084" i="7"/>
  <c r="H1084" i="7"/>
  <c r="G1084" i="7"/>
  <c r="F1084" i="7"/>
  <c r="E1084" i="7"/>
  <c r="D1084" i="7"/>
  <c r="C1084" i="7"/>
  <c r="B1084" i="7"/>
  <c r="A1084" i="7"/>
  <c r="K1083" i="7"/>
  <c r="J1083" i="7"/>
  <c r="I1083" i="7"/>
  <c r="H1083" i="7"/>
  <c r="G1083" i="7"/>
  <c r="F1083" i="7"/>
  <c r="E1083" i="7"/>
  <c r="D1083" i="7"/>
  <c r="C1083" i="7"/>
  <c r="B1083" i="7"/>
  <c r="A1083" i="7"/>
  <c r="K1082" i="7"/>
  <c r="J1082" i="7"/>
  <c r="I1082" i="7"/>
  <c r="H1082" i="7"/>
  <c r="G1082" i="7"/>
  <c r="F1082" i="7"/>
  <c r="E1082" i="7"/>
  <c r="D1082" i="7"/>
  <c r="C1082" i="7"/>
  <c r="B1082" i="7"/>
  <c r="A1082" i="7"/>
  <c r="K1081" i="7"/>
  <c r="J1081" i="7"/>
  <c r="I1081" i="7"/>
  <c r="H1081" i="7"/>
  <c r="G1081" i="7"/>
  <c r="F1081" i="7"/>
  <c r="E1081" i="7"/>
  <c r="D1081" i="7"/>
  <c r="C1081" i="7"/>
  <c r="B1081" i="7"/>
  <c r="A1081" i="7"/>
  <c r="K1080" i="7"/>
  <c r="J1080" i="7"/>
  <c r="I1080" i="7"/>
  <c r="H1080" i="7"/>
  <c r="G1080" i="7"/>
  <c r="F1080" i="7"/>
  <c r="E1080" i="7"/>
  <c r="D1080" i="7"/>
  <c r="C1080" i="7"/>
  <c r="B1080" i="7"/>
  <c r="A1080" i="7"/>
  <c r="K1079" i="7"/>
  <c r="J1079" i="7"/>
  <c r="I1079" i="7"/>
  <c r="H1079" i="7"/>
  <c r="G1079" i="7"/>
  <c r="F1079" i="7"/>
  <c r="E1079" i="7"/>
  <c r="D1079" i="7"/>
  <c r="C1079" i="7"/>
  <c r="B1079" i="7"/>
  <c r="A1079" i="7"/>
  <c r="K1078" i="7"/>
  <c r="J1078" i="7"/>
  <c r="I1078" i="7"/>
  <c r="H1078" i="7"/>
  <c r="G1078" i="7"/>
  <c r="F1078" i="7"/>
  <c r="E1078" i="7"/>
  <c r="D1078" i="7"/>
  <c r="C1078" i="7"/>
  <c r="B1078" i="7"/>
  <c r="A1078" i="7"/>
  <c r="K1077" i="7"/>
  <c r="J1077" i="7"/>
  <c r="I1077" i="7"/>
  <c r="H1077" i="7"/>
  <c r="G1077" i="7"/>
  <c r="F1077" i="7"/>
  <c r="E1077" i="7"/>
  <c r="D1077" i="7"/>
  <c r="C1077" i="7"/>
  <c r="B1077" i="7"/>
  <c r="A1077" i="7"/>
  <c r="K1076" i="7"/>
  <c r="J1076" i="7"/>
  <c r="I1076" i="7"/>
  <c r="H1076" i="7"/>
  <c r="G1076" i="7"/>
  <c r="F1076" i="7"/>
  <c r="E1076" i="7"/>
  <c r="D1076" i="7"/>
  <c r="C1076" i="7"/>
  <c r="B1076" i="7"/>
  <c r="A1076" i="7"/>
  <c r="K1075" i="7"/>
  <c r="J1075" i="7"/>
  <c r="I1075" i="7"/>
  <c r="H1075" i="7"/>
  <c r="G1075" i="7"/>
  <c r="F1075" i="7"/>
  <c r="E1075" i="7"/>
  <c r="D1075" i="7"/>
  <c r="C1075" i="7"/>
  <c r="B1075" i="7"/>
  <c r="A1075" i="7"/>
  <c r="K1074" i="7"/>
  <c r="J1074" i="7"/>
  <c r="I1074" i="7"/>
  <c r="H1074" i="7"/>
  <c r="G1074" i="7"/>
  <c r="F1074" i="7"/>
  <c r="E1074" i="7"/>
  <c r="D1074" i="7"/>
  <c r="C1074" i="7"/>
  <c r="B1074" i="7"/>
  <c r="A1074" i="7"/>
  <c r="K1073" i="7"/>
  <c r="J1073" i="7"/>
  <c r="I1073" i="7"/>
  <c r="H1073" i="7"/>
  <c r="G1073" i="7"/>
  <c r="F1073" i="7"/>
  <c r="E1073" i="7"/>
  <c r="D1073" i="7"/>
  <c r="C1073" i="7"/>
  <c r="B1073" i="7"/>
  <c r="A1073" i="7"/>
  <c r="K1072" i="7"/>
  <c r="J1072" i="7"/>
  <c r="I1072" i="7"/>
  <c r="H1072" i="7"/>
  <c r="G1072" i="7"/>
  <c r="F1072" i="7"/>
  <c r="E1072" i="7"/>
  <c r="D1072" i="7"/>
  <c r="C1072" i="7"/>
  <c r="B1072" i="7"/>
  <c r="A1072" i="7"/>
  <c r="K1071" i="7"/>
  <c r="J1071" i="7"/>
  <c r="I1071" i="7"/>
  <c r="H1071" i="7"/>
  <c r="G1071" i="7"/>
  <c r="F1071" i="7"/>
  <c r="E1071" i="7"/>
  <c r="D1071" i="7"/>
  <c r="C1071" i="7"/>
  <c r="B1071" i="7"/>
  <c r="A1071" i="7"/>
  <c r="K1070" i="7"/>
  <c r="J1070" i="7"/>
  <c r="I1070" i="7"/>
  <c r="H1070" i="7"/>
  <c r="G1070" i="7"/>
  <c r="F1070" i="7"/>
  <c r="E1070" i="7"/>
  <c r="D1070" i="7"/>
  <c r="C1070" i="7"/>
  <c r="B1070" i="7"/>
  <c r="A1070" i="7"/>
  <c r="K1069" i="7"/>
  <c r="J1069" i="7"/>
  <c r="I1069" i="7"/>
  <c r="H1069" i="7"/>
  <c r="G1069" i="7"/>
  <c r="F1069" i="7"/>
  <c r="E1069" i="7"/>
  <c r="D1069" i="7"/>
  <c r="C1069" i="7"/>
  <c r="B1069" i="7"/>
  <c r="A1069" i="7"/>
  <c r="K1068" i="7"/>
  <c r="J1068" i="7"/>
  <c r="I1068" i="7"/>
  <c r="H1068" i="7"/>
  <c r="G1068" i="7"/>
  <c r="F1068" i="7"/>
  <c r="E1068" i="7"/>
  <c r="D1068" i="7"/>
  <c r="C1068" i="7"/>
  <c r="B1068" i="7"/>
  <c r="A1068" i="7"/>
  <c r="K1067" i="7"/>
  <c r="J1067" i="7"/>
  <c r="I1067" i="7"/>
  <c r="H1067" i="7"/>
  <c r="G1067" i="7"/>
  <c r="F1067" i="7"/>
  <c r="E1067" i="7"/>
  <c r="D1067" i="7"/>
  <c r="C1067" i="7"/>
  <c r="B1067" i="7"/>
  <c r="A1067" i="7"/>
  <c r="K1066" i="7"/>
  <c r="J1066" i="7"/>
  <c r="I1066" i="7"/>
  <c r="H1066" i="7"/>
  <c r="G1066" i="7"/>
  <c r="F1066" i="7"/>
  <c r="E1066" i="7"/>
  <c r="D1066" i="7"/>
  <c r="C1066" i="7"/>
  <c r="B1066" i="7"/>
  <c r="A1066" i="7"/>
  <c r="K1065" i="7"/>
  <c r="J1065" i="7"/>
  <c r="I1065" i="7"/>
  <c r="H1065" i="7"/>
  <c r="G1065" i="7"/>
  <c r="F1065" i="7"/>
  <c r="E1065" i="7"/>
  <c r="D1065" i="7"/>
  <c r="C1065" i="7"/>
  <c r="B1065" i="7"/>
  <c r="A1065" i="7"/>
  <c r="K1064" i="7"/>
  <c r="J1064" i="7"/>
  <c r="I1064" i="7"/>
  <c r="H1064" i="7"/>
  <c r="G1064" i="7"/>
  <c r="F1064" i="7"/>
  <c r="E1064" i="7"/>
  <c r="D1064" i="7"/>
  <c r="C1064" i="7"/>
  <c r="B1064" i="7"/>
  <c r="A1064" i="7"/>
  <c r="K1063" i="7"/>
  <c r="J1063" i="7"/>
  <c r="I1063" i="7"/>
  <c r="H1063" i="7"/>
  <c r="G1063" i="7"/>
  <c r="F1063" i="7"/>
  <c r="E1063" i="7"/>
  <c r="D1063" i="7"/>
  <c r="C1063" i="7"/>
  <c r="B1063" i="7"/>
  <c r="A1063" i="7"/>
  <c r="K1062" i="7"/>
  <c r="J1062" i="7"/>
  <c r="I1062" i="7"/>
  <c r="H1062" i="7"/>
  <c r="G1062" i="7"/>
  <c r="F1062" i="7"/>
  <c r="E1062" i="7"/>
  <c r="D1062" i="7"/>
  <c r="C1062" i="7"/>
  <c r="B1062" i="7"/>
  <c r="A1062" i="7"/>
  <c r="K1061" i="7"/>
  <c r="J1061" i="7"/>
  <c r="I1061" i="7"/>
  <c r="H1061" i="7"/>
  <c r="G1061" i="7"/>
  <c r="F1061" i="7"/>
  <c r="E1061" i="7"/>
  <c r="D1061" i="7"/>
  <c r="C1061" i="7"/>
  <c r="B1061" i="7"/>
  <c r="A1061" i="7"/>
  <c r="K1060" i="7"/>
  <c r="J1060" i="7"/>
  <c r="I1060" i="7"/>
  <c r="H1060" i="7"/>
  <c r="G1060" i="7"/>
  <c r="F1060" i="7"/>
  <c r="E1060" i="7"/>
  <c r="D1060" i="7"/>
  <c r="C1060" i="7"/>
  <c r="B1060" i="7"/>
  <c r="A1060" i="7"/>
  <c r="K1059" i="7"/>
  <c r="J1059" i="7"/>
  <c r="I1059" i="7"/>
  <c r="H1059" i="7"/>
  <c r="G1059" i="7"/>
  <c r="F1059" i="7"/>
  <c r="E1059" i="7"/>
  <c r="D1059" i="7"/>
  <c r="C1059" i="7"/>
  <c r="B1059" i="7"/>
  <c r="A1059" i="7"/>
  <c r="K1058" i="7"/>
  <c r="J1058" i="7"/>
  <c r="I1058" i="7"/>
  <c r="H1058" i="7"/>
  <c r="G1058" i="7"/>
  <c r="F1058" i="7"/>
  <c r="E1058" i="7"/>
  <c r="D1058" i="7"/>
  <c r="C1058" i="7"/>
  <c r="B1058" i="7"/>
  <c r="A1058" i="7"/>
  <c r="K1057" i="7"/>
  <c r="J1057" i="7"/>
  <c r="I1057" i="7"/>
  <c r="H1057" i="7"/>
  <c r="G1057" i="7"/>
  <c r="F1057" i="7"/>
  <c r="E1057" i="7"/>
  <c r="D1057" i="7"/>
  <c r="C1057" i="7"/>
  <c r="B1057" i="7"/>
  <c r="A1057" i="7"/>
  <c r="K1056" i="7"/>
  <c r="J1056" i="7"/>
  <c r="I1056" i="7"/>
  <c r="H1056" i="7"/>
  <c r="G1056" i="7"/>
  <c r="F1056" i="7"/>
  <c r="E1056" i="7"/>
  <c r="D1056" i="7"/>
  <c r="C1056" i="7"/>
  <c r="B1056" i="7"/>
  <c r="A1056" i="7"/>
  <c r="K1055" i="7"/>
  <c r="J1055" i="7"/>
  <c r="I1055" i="7"/>
  <c r="H1055" i="7"/>
  <c r="G1055" i="7"/>
  <c r="F1055" i="7"/>
  <c r="E1055" i="7"/>
  <c r="D1055" i="7"/>
  <c r="C1055" i="7"/>
  <c r="B1055" i="7"/>
  <c r="A1055" i="7"/>
  <c r="K1054" i="7"/>
  <c r="J1054" i="7"/>
  <c r="I1054" i="7"/>
  <c r="H1054" i="7"/>
  <c r="G1054" i="7"/>
  <c r="F1054" i="7"/>
  <c r="E1054" i="7"/>
  <c r="D1054" i="7"/>
  <c r="C1054" i="7"/>
  <c r="B1054" i="7"/>
  <c r="A1054" i="7"/>
  <c r="K1053" i="7"/>
  <c r="J1053" i="7"/>
  <c r="I1053" i="7"/>
  <c r="H1053" i="7"/>
  <c r="G1053" i="7"/>
  <c r="F1053" i="7"/>
  <c r="E1053" i="7"/>
  <c r="D1053" i="7"/>
  <c r="C1053" i="7"/>
  <c r="B1053" i="7"/>
  <c r="A1053" i="7"/>
  <c r="K1052" i="7"/>
  <c r="J1052" i="7"/>
  <c r="I1052" i="7"/>
  <c r="H1052" i="7"/>
  <c r="G1052" i="7"/>
  <c r="F1052" i="7"/>
  <c r="E1052" i="7"/>
  <c r="D1052" i="7"/>
  <c r="C1052" i="7"/>
  <c r="B1052" i="7"/>
  <c r="A1052" i="7"/>
  <c r="K1051" i="7"/>
  <c r="J1051" i="7"/>
  <c r="I1051" i="7"/>
  <c r="H1051" i="7"/>
  <c r="G1051" i="7"/>
  <c r="F1051" i="7"/>
  <c r="E1051" i="7"/>
  <c r="D1051" i="7"/>
  <c r="C1051" i="7"/>
  <c r="B1051" i="7"/>
  <c r="A1051" i="7"/>
  <c r="K1050" i="7"/>
  <c r="J1050" i="7"/>
  <c r="I1050" i="7"/>
  <c r="H1050" i="7"/>
  <c r="G1050" i="7"/>
  <c r="F1050" i="7"/>
  <c r="E1050" i="7"/>
  <c r="D1050" i="7"/>
  <c r="C1050" i="7"/>
  <c r="B1050" i="7"/>
  <c r="A1050" i="7"/>
  <c r="K1049" i="7"/>
  <c r="J1049" i="7"/>
  <c r="I1049" i="7"/>
  <c r="H1049" i="7"/>
  <c r="G1049" i="7"/>
  <c r="F1049" i="7"/>
  <c r="E1049" i="7"/>
  <c r="D1049" i="7"/>
  <c r="C1049" i="7"/>
  <c r="B1049" i="7"/>
  <c r="A1049" i="7"/>
  <c r="K1048" i="7"/>
  <c r="J1048" i="7"/>
  <c r="I1048" i="7"/>
  <c r="H1048" i="7"/>
  <c r="G1048" i="7"/>
  <c r="F1048" i="7"/>
  <c r="E1048" i="7"/>
  <c r="D1048" i="7"/>
  <c r="C1048" i="7"/>
  <c r="B1048" i="7"/>
  <c r="A1048" i="7"/>
  <c r="K1047" i="7"/>
  <c r="J1047" i="7"/>
  <c r="I1047" i="7"/>
  <c r="H1047" i="7"/>
  <c r="G1047" i="7"/>
  <c r="F1047" i="7"/>
  <c r="E1047" i="7"/>
  <c r="D1047" i="7"/>
  <c r="C1047" i="7"/>
  <c r="B1047" i="7"/>
  <c r="A1047" i="7"/>
  <c r="K1046" i="7"/>
  <c r="J1046" i="7"/>
  <c r="I1046" i="7"/>
  <c r="H1046" i="7"/>
  <c r="G1046" i="7"/>
  <c r="F1046" i="7"/>
  <c r="E1046" i="7"/>
  <c r="D1046" i="7"/>
  <c r="C1046" i="7"/>
  <c r="B1046" i="7"/>
  <c r="A1046" i="7"/>
  <c r="K1045" i="7"/>
  <c r="J1045" i="7"/>
  <c r="I1045" i="7"/>
  <c r="H1045" i="7"/>
  <c r="G1045" i="7"/>
  <c r="F1045" i="7"/>
  <c r="E1045" i="7"/>
  <c r="D1045" i="7"/>
  <c r="C1045" i="7"/>
  <c r="B1045" i="7"/>
  <c r="A1045" i="7"/>
  <c r="K1044" i="7"/>
  <c r="J1044" i="7"/>
  <c r="I1044" i="7"/>
  <c r="H1044" i="7"/>
  <c r="G1044" i="7"/>
  <c r="F1044" i="7"/>
  <c r="E1044" i="7"/>
  <c r="D1044" i="7"/>
  <c r="C1044" i="7"/>
  <c r="B1044" i="7"/>
  <c r="A1044" i="7"/>
  <c r="K1043" i="7"/>
  <c r="J1043" i="7"/>
  <c r="I1043" i="7"/>
  <c r="H1043" i="7"/>
  <c r="G1043" i="7"/>
  <c r="F1043" i="7"/>
  <c r="E1043" i="7"/>
  <c r="D1043" i="7"/>
  <c r="C1043" i="7"/>
  <c r="B1043" i="7"/>
  <c r="A1043" i="7"/>
  <c r="K1042" i="7"/>
  <c r="J1042" i="7"/>
  <c r="I1042" i="7"/>
  <c r="H1042" i="7"/>
  <c r="G1042" i="7"/>
  <c r="F1042" i="7"/>
  <c r="E1042" i="7"/>
  <c r="D1042" i="7"/>
  <c r="C1042" i="7"/>
  <c r="B1042" i="7"/>
  <c r="A1042" i="7"/>
  <c r="K1041" i="7"/>
  <c r="J1041" i="7"/>
  <c r="I1041" i="7"/>
  <c r="H1041" i="7"/>
  <c r="G1041" i="7"/>
  <c r="F1041" i="7"/>
  <c r="E1041" i="7"/>
  <c r="D1041" i="7"/>
  <c r="C1041" i="7"/>
  <c r="B1041" i="7"/>
  <c r="A1041" i="7"/>
  <c r="K1040" i="7"/>
  <c r="J1040" i="7"/>
  <c r="I1040" i="7"/>
  <c r="H1040" i="7"/>
  <c r="G1040" i="7"/>
  <c r="F1040" i="7"/>
  <c r="E1040" i="7"/>
  <c r="D1040" i="7"/>
  <c r="C1040" i="7"/>
  <c r="B1040" i="7"/>
  <c r="A1040" i="7"/>
  <c r="K1039" i="7"/>
  <c r="J1039" i="7"/>
  <c r="I1039" i="7"/>
  <c r="H1039" i="7"/>
  <c r="G1039" i="7"/>
  <c r="F1039" i="7"/>
  <c r="E1039" i="7"/>
  <c r="D1039" i="7"/>
  <c r="C1039" i="7"/>
  <c r="B1039" i="7"/>
  <c r="A1039" i="7"/>
  <c r="K1038" i="7"/>
  <c r="J1038" i="7"/>
  <c r="I1038" i="7"/>
  <c r="H1038" i="7"/>
  <c r="G1038" i="7"/>
  <c r="F1038" i="7"/>
  <c r="E1038" i="7"/>
  <c r="D1038" i="7"/>
  <c r="C1038" i="7"/>
  <c r="B1038" i="7"/>
  <c r="A1038" i="7"/>
  <c r="K1037" i="7"/>
  <c r="J1037" i="7"/>
  <c r="I1037" i="7"/>
  <c r="H1037" i="7"/>
  <c r="G1037" i="7"/>
  <c r="F1037" i="7"/>
  <c r="E1037" i="7"/>
  <c r="D1037" i="7"/>
  <c r="C1037" i="7"/>
  <c r="B1037" i="7"/>
  <c r="A1037" i="7"/>
  <c r="K1036" i="7"/>
  <c r="J1036" i="7"/>
  <c r="I1036" i="7"/>
  <c r="H1036" i="7"/>
  <c r="G1036" i="7"/>
  <c r="F1036" i="7"/>
  <c r="E1036" i="7"/>
  <c r="D1036" i="7"/>
  <c r="C1036" i="7"/>
  <c r="B1036" i="7"/>
  <c r="A1036" i="7"/>
  <c r="K1035" i="7"/>
  <c r="J1035" i="7"/>
  <c r="I1035" i="7"/>
  <c r="H1035" i="7"/>
  <c r="G1035" i="7"/>
  <c r="F1035" i="7"/>
  <c r="E1035" i="7"/>
  <c r="D1035" i="7"/>
  <c r="C1035" i="7"/>
  <c r="B1035" i="7"/>
  <c r="A1035" i="7"/>
  <c r="K1034" i="7"/>
  <c r="J1034" i="7"/>
  <c r="I1034" i="7"/>
  <c r="H1034" i="7"/>
  <c r="G1034" i="7"/>
  <c r="F1034" i="7"/>
  <c r="E1034" i="7"/>
  <c r="D1034" i="7"/>
  <c r="C1034" i="7"/>
  <c r="B1034" i="7"/>
  <c r="A1034" i="7"/>
  <c r="K1033" i="7"/>
  <c r="J1033" i="7"/>
  <c r="I1033" i="7"/>
  <c r="H1033" i="7"/>
  <c r="G1033" i="7"/>
  <c r="F1033" i="7"/>
  <c r="E1033" i="7"/>
  <c r="D1033" i="7"/>
  <c r="C1033" i="7"/>
  <c r="B1033" i="7"/>
  <c r="A1033" i="7"/>
  <c r="K1032" i="7"/>
  <c r="J1032" i="7"/>
  <c r="I1032" i="7"/>
  <c r="H1032" i="7"/>
  <c r="G1032" i="7"/>
  <c r="F1032" i="7"/>
  <c r="E1032" i="7"/>
  <c r="D1032" i="7"/>
  <c r="C1032" i="7"/>
  <c r="B1032" i="7"/>
  <c r="A1032" i="7"/>
  <c r="K1031" i="7"/>
  <c r="J1031" i="7"/>
  <c r="I1031" i="7"/>
  <c r="H1031" i="7"/>
  <c r="G1031" i="7"/>
  <c r="F1031" i="7"/>
  <c r="E1031" i="7"/>
  <c r="D1031" i="7"/>
  <c r="C1031" i="7"/>
  <c r="B1031" i="7"/>
  <c r="A1031" i="7"/>
  <c r="K1030" i="7"/>
  <c r="J1030" i="7"/>
  <c r="I1030" i="7"/>
  <c r="H1030" i="7"/>
  <c r="G1030" i="7"/>
  <c r="F1030" i="7"/>
  <c r="E1030" i="7"/>
  <c r="D1030" i="7"/>
  <c r="C1030" i="7"/>
  <c r="B1030" i="7"/>
  <c r="A1030" i="7"/>
  <c r="K1029" i="7"/>
  <c r="J1029" i="7"/>
  <c r="I1029" i="7"/>
  <c r="H1029" i="7"/>
  <c r="G1029" i="7"/>
  <c r="F1029" i="7"/>
  <c r="E1029" i="7"/>
  <c r="D1029" i="7"/>
  <c r="C1029" i="7"/>
  <c r="B1029" i="7"/>
  <c r="A1029" i="7"/>
  <c r="K1028" i="7"/>
  <c r="J1028" i="7"/>
  <c r="I1028" i="7"/>
  <c r="H1028" i="7"/>
  <c r="G1028" i="7"/>
  <c r="F1028" i="7"/>
  <c r="E1028" i="7"/>
  <c r="D1028" i="7"/>
  <c r="C1028" i="7"/>
  <c r="B1028" i="7"/>
  <c r="A1028" i="7"/>
  <c r="K1027" i="7"/>
  <c r="J1027" i="7"/>
  <c r="I1027" i="7"/>
  <c r="H1027" i="7"/>
  <c r="G1027" i="7"/>
  <c r="F1027" i="7"/>
  <c r="E1027" i="7"/>
  <c r="D1027" i="7"/>
  <c r="C1027" i="7"/>
  <c r="B1027" i="7"/>
  <c r="A1027" i="7"/>
  <c r="K1026" i="7"/>
  <c r="J1026" i="7"/>
  <c r="I1026" i="7"/>
  <c r="H1026" i="7"/>
  <c r="G1026" i="7"/>
  <c r="F1026" i="7"/>
  <c r="E1026" i="7"/>
  <c r="D1026" i="7"/>
  <c r="C1026" i="7"/>
  <c r="B1026" i="7"/>
  <c r="A1026" i="7"/>
  <c r="K1025" i="7"/>
  <c r="J1025" i="7"/>
  <c r="I1025" i="7"/>
  <c r="H1025" i="7"/>
  <c r="G1025" i="7"/>
  <c r="F1025" i="7"/>
  <c r="E1025" i="7"/>
  <c r="D1025" i="7"/>
  <c r="C1025" i="7"/>
  <c r="B1025" i="7"/>
  <c r="A1025" i="7"/>
  <c r="K1024" i="7"/>
  <c r="J1024" i="7"/>
  <c r="I1024" i="7"/>
  <c r="H1024" i="7"/>
  <c r="G1024" i="7"/>
  <c r="F1024" i="7"/>
  <c r="E1024" i="7"/>
  <c r="D1024" i="7"/>
  <c r="C1024" i="7"/>
  <c r="B1024" i="7"/>
  <c r="A1024" i="7"/>
  <c r="K1023" i="7"/>
  <c r="J1023" i="7"/>
  <c r="I1023" i="7"/>
  <c r="H1023" i="7"/>
  <c r="G1023" i="7"/>
  <c r="F1023" i="7"/>
  <c r="E1023" i="7"/>
  <c r="D1023" i="7"/>
  <c r="C1023" i="7"/>
  <c r="B1023" i="7"/>
  <c r="A1023" i="7"/>
  <c r="K1022" i="7"/>
  <c r="J1022" i="7"/>
  <c r="I1022" i="7"/>
  <c r="H1022" i="7"/>
  <c r="G1022" i="7"/>
  <c r="F1022" i="7"/>
  <c r="E1022" i="7"/>
  <c r="D1022" i="7"/>
  <c r="C1022" i="7"/>
  <c r="B1022" i="7"/>
  <c r="A1022" i="7"/>
  <c r="K1021" i="7"/>
  <c r="J1021" i="7"/>
  <c r="I1021" i="7"/>
  <c r="H1021" i="7"/>
  <c r="G1021" i="7"/>
  <c r="F1021" i="7"/>
  <c r="E1021" i="7"/>
  <c r="D1021" i="7"/>
  <c r="C1021" i="7"/>
  <c r="B1021" i="7"/>
  <c r="A1021" i="7"/>
  <c r="K1020" i="7"/>
  <c r="J1020" i="7"/>
  <c r="I1020" i="7"/>
  <c r="H1020" i="7"/>
  <c r="G1020" i="7"/>
  <c r="F1020" i="7"/>
  <c r="E1020" i="7"/>
  <c r="D1020" i="7"/>
  <c r="C1020" i="7"/>
  <c r="B1020" i="7"/>
  <c r="A1020" i="7"/>
  <c r="K1019" i="7"/>
  <c r="J1019" i="7"/>
  <c r="I1019" i="7"/>
  <c r="H1019" i="7"/>
  <c r="G1019" i="7"/>
  <c r="F1019" i="7"/>
  <c r="E1019" i="7"/>
  <c r="D1019" i="7"/>
  <c r="C1019" i="7"/>
  <c r="B1019" i="7"/>
  <c r="A1019" i="7"/>
  <c r="K1018" i="7"/>
  <c r="J1018" i="7"/>
  <c r="I1018" i="7"/>
  <c r="H1018" i="7"/>
  <c r="G1018" i="7"/>
  <c r="F1018" i="7"/>
  <c r="E1018" i="7"/>
  <c r="D1018" i="7"/>
  <c r="C1018" i="7"/>
  <c r="B1018" i="7"/>
  <c r="A1018" i="7"/>
  <c r="K1017" i="7"/>
  <c r="J1017" i="7"/>
  <c r="I1017" i="7"/>
  <c r="H1017" i="7"/>
  <c r="G1017" i="7"/>
  <c r="F1017" i="7"/>
  <c r="E1017" i="7"/>
  <c r="D1017" i="7"/>
  <c r="C1017" i="7"/>
  <c r="B1017" i="7"/>
  <c r="A1017" i="7"/>
  <c r="K1016" i="7"/>
  <c r="J1016" i="7"/>
  <c r="I1016" i="7"/>
  <c r="H1016" i="7"/>
  <c r="G1016" i="7"/>
  <c r="F1016" i="7"/>
  <c r="E1016" i="7"/>
  <c r="D1016" i="7"/>
  <c r="C1016" i="7"/>
  <c r="B1016" i="7"/>
  <c r="A1016" i="7"/>
  <c r="K1015" i="7"/>
  <c r="J1015" i="7"/>
  <c r="I1015" i="7"/>
  <c r="H1015" i="7"/>
  <c r="G1015" i="7"/>
  <c r="F1015" i="7"/>
  <c r="E1015" i="7"/>
  <c r="D1015" i="7"/>
  <c r="C1015" i="7"/>
  <c r="B1015" i="7"/>
  <c r="A1015" i="7"/>
  <c r="K1014" i="7"/>
  <c r="J1014" i="7"/>
  <c r="I1014" i="7"/>
  <c r="H1014" i="7"/>
  <c r="G1014" i="7"/>
  <c r="F1014" i="7"/>
  <c r="E1014" i="7"/>
  <c r="D1014" i="7"/>
  <c r="C1014" i="7"/>
  <c r="B1014" i="7"/>
  <c r="A1014" i="7"/>
  <c r="K1013" i="7"/>
  <c r="J1013" i="7"/>
  <c r="I1013" i="7"/>
  <c r="H1013" i="7"/>
  <c r="G1013" i="7"/>
  <c r="F1013" i="7"/>
  <c r="E1013" i="7"/>
  <c r="D1013" i="7"/>
  <c r="C1013" i="7"/>
  <c r="B1013" i="7"/>
  <c r="A1013" i="7"/>
  <c r="K1012" i="7"/>
  <c r="J1012" i="7"/>
  <c r="I1012" i="7"/>
  <c r="H1012" i="7"/>
  <c r="G1012" i="7"/>
  <c r="F1012" i="7"/>
  <c r="E1012" i="7"/>
  <c r="D1012" i="7"/>
  <c r="C1012" i="7"/>
  <c r="B1012" i="7"/>
  <c r="A1012" i="7"/>
  <c r="K1011" i="7"/>
  <c r="J1011" i="7"/>
  <c r="I1011" i="7"/>
  <c r="H1011" i="7"/>
  <c r="G1011" i="7"/>
  <c r="F1011" i="7"/>
  <c r="E1011" i="7"/>
  <c r="D1011" i="7"/>
  <c r="C1011" i="7"/>
  <c r="B1011" i="7"/>
  <c r="A1011" i="7"/>
  <c r="K1010" i="7"/>
  <c r="J1010" i="7"/>
  <c r="I1010" i="7"/>
  <c r="H1010" i="7"/>
  <c r="G1010" i="7"/>
  <c r="F1010" i="7"/>
  <c r="E1010" i="7"/>
  <c r="D1010" i="7"/>
  <c r="C1010" i="7"/>
  <c r="B1010" i="7"/>
  <c r="A1010" i="7"/>
  <c r="K1009" i="7"/>
  <c r="J1009" i="7"/>
  <c r="I1009" i="7"/>
  <c r="H1009" i="7"/>
  <c r="G1009" i="7"/>
  <c r="F1009" i="7"/>
  <c r="E1009" i="7"/>
  <c r="D1009" i="7"/>
  <c r="C1009" i="7"/>
  <c r="B1009" i="7"/>
  <c r="A1009" i="7"/>
  <c r="K1008" i="7"/>
  <c r="J1008" i="7"/>
  <c r="I1008" i="7"/>
  <c r="H1008" i="7"/>
  <c r="G1008" i="7"/>
  <c r="F1008" i="7"/>
  <c r="E1008" i="7"/>
  <c r="D1008" i="7"/>
  <c r="C1008" i="7"/>
  <c r="B1008" i="7"/>
  <c r="A1008" i="7"/>
  <c r="K1007" i="7"/>
  <c r="J1007" i="7"/>
  <c r="I1007" i="7"/>
  <c r="H1007" i="7"/>
  <c r="G1007" i="7"/>
  <c r="F1007" i="7"/>
  <c r="E1007" i="7"/>
  <c r="D1007" i="7"/>
  <c r="C1007" i="7"/>
  <c r="B1007" i="7"/>
  <c r="A1007" i="7"/>
  <c r="K1006" i="7"/>
  <c r="J1006" i="7"/>
  <c r="I1006" i="7"/>
  <c r="H1006" i="7"/>
  <c r="G1006" i="7"/>
  <c r="F1006" i="7"/>
  <c r="E1006" i="7"/>
  <c r="D1006" i="7"/>
  <c r="C1006" i="7"/>
  <c r="B1006" i="7"/>
  <c r="A1006" i="7"/>
  <c r="K1005" i="7"/>
  <c r="J1005" i="7"/>
  <c r="I1005" i="7"/>
  <c r="H1005" i="7"/>
  <c r="G1005" i="7"/>
  <c r="F1005" i="7"/>
  <c r="E1005" i="7"/>
  <c r="D1005" i="7"/>
  <c r="C1005" i="7"/>
  <c r="B1005" i="7"/>
  <c r="A1005" i="7"/>
  <c r="K1004" i="7"/>
  <c r="J1004" i="7"/>
  <c r="I1004" i="7"/>
  <c r="H1004" i="7"/>
  <c r="G1004" i="7"/>
  <c r="F1004" i="7"/>
  <c r="E1004" i="7"/>
  <c r="D1004" i="7"/>
  <c r="C1004" i="7"/>
  <c r="B1004" i="7"/>
  <c r="A1004" i="7"/>
  <c r="K1003" i="7"/>
  <c r="J1003" i="7"/>
  <c r="I1003" i="7"/>
  <c r="H1003" i="7"/>
  <c r="G1003" i="7"/>
  <c r="F1003" i="7"/>
  <c r="E1003" i="7"/>
  <c r="D1003" i="7"/>
  <c r="C1003" i="7"/>
  <c r="B1003" i="7"/>
  <c r="A1003" i="7"/>
  <c r="K1002" i="7"/>
  <c r="J1002" i="7"/>
  <c r="I1002" i="7"/>
  <c r="H1002" i="7"/>
  <c r="G1002" i="7"/>
  <c r="F1002" i="7"/>
  <c r="E1002" i="7"/>
  <c r="D1002" i="7"/>
  <c r="C1002" i="7"/>
  <c r="B1002" i="7"/>
  <c r="A1002" i="7"/>
  <c r="K1001" i="7"/>
  <c r="J1001" i="7"/>
  <c r="I1001" i="7"/>
  <c r="H1001" i="7"/>
  <c r="G1001" i="7"/>
  <c r="F1001" i="7"/>
  <c r="E1001" i="7"/>
  <c r="D1001" i="7"/>
  <c r="C1001" i="7"/>
  <c r="B1001" i="7"/>
  <c r="A1001" i="7"/>
  <c r="K1000" i="7"/>
  <c r="J1000" i="7"/>
  <c r="I1000" i="7"/>
  <c r="H1000" i="7"/>
  <c r="G1000" i="7"/>
  <c r="F1000" i="7"/>
  <c r="E1000" i="7"/>
  <c r="D1000" i="7"/>
  <c r="C1000" i="7"/>
  <c r="B1000" i="7"/>
  <c r="A1000" i="7"/>
  <c r="K999" i="7"/>
  <c r="J999" i="7"/>
  <c r="I999" i="7"/>
  <c r="H999" i="7"/>
  <c r="G999" i="7"/>
  <c r="F999" i="7"/>
  <c r="E999" i="7"/>
  <c r="D999" i="7"/>
  <c r="C999" i="7"/>
  <c r="B999" i="7"/>
  <c r="A999" i="7"/>
  <c r="K998" i="7"/>
  <c r="J998" i="7"/>
  <c r="I998" i="7"/>
  <c r="H998" i="7"/>
  <c r="G998" i="7"/>
  <c r="F998" i="7"/>
  <c r="E998" i="7"/>
  <c r="D998" i="7"/>
  <c r="C998" i="7"/>
  <c r="B998" i="7"/>
  <c r="A998" i="7"/>
  <c r="K997" i="7"/>
  <c r="J997" i="7"/>
  <c r="I997" i="7"/>
  <c r="H997" i="7"/>
  <c r="G997" i="7"/>
  <c r="F997" i="7"/>
  <c r="E997" i="7"/>
  <c r="D997" i="7"/>
  <c r="C997" i="7"/>
  <c r="B997" i="7"/>
  <c r="A997" i="7"/>
  <c r="K996" i="7"/>
  <c r="J996" i="7"/>
  <c r="I996" i="7"/>
  <c r="H996" i="7"/>
  <c r="G996" i="7"/>
  <c r="F996" i="7"/>
  <c r="E996" i="7"/>
  <c r="D996" i="7"/>
  <c r="C996" i="7"/>
  <c r="B996" i="7"/>
  <c r="A996" i="7"/>
  <c r="K995" i="7"/>
  <c r="J995" i="7"/>
  <c r="I995" i="7"/>
  <c r="H995" i="7"/>
  <c r="G995" i="7"/>
  <c r="F995" i="7"/>
  <c r="E995" i="7"/>
  <c r="D995" i="7"/>
  <c r="C995" i="7"/>
  <c r="B995" i="7"/>
  <c r="A995" i="7"/>
  <c r="K994" i="7"/>
  <c r="J994" i="7"/>
  <c r="I994" i="7"/>
  <c r="H994" i="7"/>
  <c r="G994" i="7"/>
  <c r="F994" i="7"/>
  <c r="E994" i="7"/>
  <c r="D994" i="7"/>
  <c r="C994" i="7"/>
  <c r="B994" i="7"/>
  <c r="A994" i="7"/>
  <c r="K993" i="7"/>
  <c r="J993" i="7"/>
  <c r="I993" i="7"/>
  <c r="H993" i="7"/>
  <c r="G993" i="7"/>
  <c r="F993" i="7"/>
  <c r="E993" i="7"/>
  <c r="D993" i="7"/>
  <c r="C993" i="7"/>
  <c r="B993" i="7"/>
  <c r="A993" i="7"/>
  <c r="K992" i="7"/>
  <c r="J992" i="7"/>
  <c r="I992" i="7"/>
  <c r="H992" i="7"/>
  <c r="G992" i="7"/>
  <c r="F992" i="7"/>
  <c r="E992" i="7"/>
  <c r="D992" i="7"/>
  <c r="C992" i="7"/>
  <c r="B992" i="7"/>
  <c r="A992" i="7"/>
  <c r="K991" i="7"/>
  <c r="J991" i="7"/>
  <c r="I991" i="7"/>
  <c r="H991" i="7"/>
  <c r="G991" i="7"/>
  <c r="F991" i="7"/>
  <c r="E991" i="7"/>
  <c r="D991" i="7"/>
  <c r="C991" i="7"/>
  <c r="B991" i="7"/>
  <c r="A991" i="7"/>
  <c r="K990" i="7"/>
  <c r="J990" i="7"/>
  <c r="I990" i="7"/>
  <c r="H990" i="7"/>
  <c r="G990" i="7"/>
  <c r="F990" i="7"/>
  <c r="E990" i="7"/>
  <c r="D990" i="7"/>
  <c r="C990" i="7"/>
  <c r="B990" i="7"/>
  <c r="A990" i="7"/>
  <c r="K989" i="7"/>
  <c r="J989" i="7"/>
  <c r="I989" i="7"/>
  <c r="H989" i="7"/>
  <c r="G989" i="7"/>
  <c r="F989" i="7"/>
  <c r="E989" i="7"/>
  <c r="D989" i="7"/>
  <c r="C989" i="7"/>
  <c r="B989" i="7"/>
  <c r="A989" i="7"/>
  <c r="K988" i="7"/>
  <c r="J988" i="7"/>
  <c r="I988" i="7"/>
  <c r="H988" i="7"/>
  <c r="G988" i="7"/>
  <c r="F988" i="7"/>
  <c r="E988" i="7"/>
  <c r="D988" i="7"/>
  <c r="C988" i="7"/>
  <c r="B988" i="7"/>
  <c r="A988" i="7"/>
  <c r="K987" i="7"/>
  <c r="J987" i="7"/>
  <c r="I987" i="7"/>
  <c r="H987" i="7"/>
  <c r="G987" i="7"/>
  <c r="F987" i="7"/>
  <c r="E987" i="7"/>
  <c r="D987" i="7"/>
  <c r="C987" i="7"/>
  <c r="B987" i="7"/>
  <c r="A987" i="7"/>
  <c r="K986" i="7"/>
  <c r="J986" i="7"/>
  <c r="I986" i="7"/>
  <c r="H986" i="7"/>
  <c r="G986" i="7"/>
  <c r="F986" i="7"/>
  <c r="E986" i="7"/>
  <c r="D986" i="7"/>
  <c r="C986" i="7"/>
  <c r="B986" i="7"/>
  <c r="A986" i="7"/>
  <c r="K985" i="7"/>
  <c r="J985" i="7"/>
  <c r="I985" i="7"/>
  <c r="H985" i="7"/>
  <c r="G985" i="7"/>
  <c r="F985" i="7"/>
  <c r="E985" i="7"/>
  <c r="D985" i="7"/>
  <c r="C985" i="7"/>
  <c r="B985" i="7"/>
  <c r="A985" i="7"/>
  <c r="K984" i="7"/>
  <c r="J984" i="7"/>
  <c r="I984" i="7"/>
  <c r="H984" i="7"/>
  <c r="G984" i="7"/>
  <c r="F984" i="7"/>
  <c r="E984" i="7"/>
  <c r="D984" i="7"/>
  <c r="C984" i="7"/>
  <c r="B984" i="7"/>
  <c r="A984" i="7"/>
  <c r="K983" i="7"/>
  <c r="J983" i="7"/>
  <c r="I983" i="7"/>
  <c r="H983" i="7"/>
  <c r="G983" i="7"/>
  <c r="F983" i="7"/>
  <c r="E983" i="7"/>
  <c r="D983" i="7"/>
  <c r="C983" i="7"/>
  <c r="B983" i="7"/>
  <c r="A983" i="7"/>
  <c r="K982" i="7"/>
  <c r="J982" i="7"/>
  <c r="I982" i="7"/>
  <c r="H982" i="7"/>
  <c r="G982" i="7"/>
  <c r="F982" i="7"/>
  <c r="E982" i="7"/>
  <c r="D982" i="7"/>
  <c r="C982" i="7"/>
  <c r="B982" i="7"/>
  <c r="A982" i="7"/>
  <c r="K981" i="7"/>
  <c r="J981" i="7"/>
  <c r="I981" i="7"/>
  <c r="H981" i="7"/>
  <c r="G981" i="7"/>
  <c r="F981" i="7"/>
  <c r="E981" i="7"/>
  <c r="D981" i="7"/>
  <c r="C981" i="7"/>
  <c r="B981" i="7"/>
  <c r="A981" i="7"/>
  <c r="K980" i="7"/>
  <c r="J980" i="7"/>
  <c r="I980" i="7"/>
  <c r="H980" i="7"/>
  <c r="G980" i="7"/>
  <c r="F980" i="7"/>
  <c r="E980" i="7"/>
  <c r="D980" i="7"/>
  <c r="C980" i="7"/>
  <c r="B980" i="7"/>
  <c r="A980" i="7"/>
  <c r="K979" i="7"/>
  <c r="J979" i="7"/>
  <c r="I979" i="7"/>
  <c r="H979" i="7"/>
  <c r="G979" i="7"/>
  <c r="F979" i="7"/>
  <c r="E979" i="7"/>
  <c r="D979" i="7"/>
  <c r="C979" i="7"/>
  <c r="B979" i="7"/>
  <c r="A979" i="7"/>
  <c r="K978" i="7"/>
  <c r="J978" i="7"/>
  <c r="I978" i="7"/>
  <c r="H978" i="7"/>
  <c r="G978" i="7"/>
  <c r="F978" i="7"/>
  <c r="E978" i="7"/>
  <c r="D978" i="7"/>
  <c r="C978" i="7"/>
  <c r="B978" i="7"/>
  <c r="A978" i="7"/>
  <c r="K977" i="7"/>
  <c r="J977" i="7"/>
  <c r="I977" i="7"/>
  <c r="H977" i="7"/>
  <c r="G977" i="7"/>
  <c r="F977" i="7"/>
  <c r="E977" i="7"/>
  <c r="D977" i="7"/>
  <c r="C977" i="7"/>
  <c r="B977" i="7"/>
  <c r="A977" i="7"/>
  <c r="K976" i="7"/>
  <c r="J976" i="7"/>
  <c r="I976" i="7"/>
  <c r="H976" i="7"/>
  <c r="G976" i="7"/>
  <c r="F976" i="7"/>
  <c r="E976" i="7"/>
  <c r="D976" i="7"/>
  <c r="C976" i="7"/>
  <c r="B976" i="7"/>
  <c r="A976" i="7"/>
  <c r="K975" i="7"/>
  <c r="J975" i="7"/>
  <c r="I975" i="7"/>
  <c r="H975" i="7"/>
  <c r="G975" i="7"/>
  <c r="F975" i="7"/>
  <c r="E975" i="7"/>
  <c r="D975" i="7"/>
  <c r="C975" i="7"/>
  <c r="B975" i="7"/>
  <c r="A975" i="7"/>
  <c r="K974" i="7"/>
  <c r="J974" i="7"/>
  <c r="I974" i="7"/>
  <c r="H974" i="7"/>
  <c r="G974" i="7"/>
  <c r="F974" i="7"/>
  <c r="E974" i="7"/>
  <c r="D974" i="7"/>
  <c r="C974" i="7"/>
  <c r="B974" i="7"/>
  <c r="A974" i="7"/>
  <c r="K973" i="7"/>
  <c r="J973" i="7"/>
  <c r="I973" i="7"/>
  <c r="H973" i="7"/>
  <c r="G973" i="7"/>
  <c r="F973" i="7"/>
  <c r="E973" i="7"/>
  <c r="D973" i="7"/>
  <c r="C973" i="7"/>
  <c r="B973" i="7"/>
  <c r="A973" i="7"/>
  <c r="K972" i="7"/>
  <c r="J972" i="7"/>
  <c r="I972" i="7"/>
  <c r="H972" i="7"/>
  <c r="G972" i="7"/>
  <c r="F972" i="7"/>
  <c r="E972" i="7"/>
  <c r="D972" i="7"/>
  <c r="C972" i="7"/>
  <c r="B972" i="7"/>
  <c r="A972" i="7"/>
  <c r="K971" i="7"/>
  <c r="J971" i="7"/>
  <c r="I971" i="7"/>
  <c r="H971" i="7"/>
  <c r="G971" i="7"/>
  <c r="F971" i="7"/>
  <c r="E971" i="7"/>
  <c r="D971" i="7"/>
  <c r="C971" i="7"/>
  <c r="B971" i="7"/>
  <c r="A971" i="7"/>
  <c r="K970" i="7"/>
  <c r="J970" i="7"/>
  <c r="I970" i="7"/>
  <c r="H970" i="7"/>
  <c r="G970" i="7"/>
  <c r="F970" i="7"/>
  <c r="E970" i="7"/>
  <c r="D970" i="7"/>
  <c r="C970" i="7"/>
  <c r="B970" i="7"/>
  <c r="A970" i="7"/>
  <c r="K969" i="7"/>
  <c r="J969" i="7"/>
  <c r="I969" i="7"/>
  <c r="H969" i="7"/>
  <c r="G969" i="7"/>
  <c r="F969" i="7"/>
  <c r="E969" i="7"/>
  <c r="D969" i="7"/>
  <c r="C969" i="7"/>
  <c r="B969" i="7"/>
  <c r="A969" i="7"/>
  <c r="K968" i="7"/>
  <c r="J968" i="7"/>
  <c r="I968" i="7"/>
  <c r="H968" i="7"/>
  <c r="G968" i="7"/>
  <c r="F968" i="7"/>
  <c r="E968" i="7"/>
  <c r="D968" i="7"/>
  <c r="C968" i="7"/>
  <c r="B968" i="7"/>
  <c r="A968" i="7"/>
  <c r="K967" i="7"/>
  <c r="J967" i="7"/>
  <c r="I967" i="7"/>
  <c r="H967" i="7"/>
  <c r="G967" i="7"/>
  <c r="F967" i="7"/>
  <c r="E967" i="7"/>
  <c r="D967" i="7"/>
  <c r="C967" i="7"/>
  <c r="B967" i="7"/>
  <c r="A967" i="7"/>
  <c r="K966" i="7"/>
  <c r="J966" i="7"/>
  <c r="I966" i="7"/>
  <c r="H966" i="7"/>
  <c r="G966" i="7"/>
  <c r="F966" i="7"/>
  <c r="E966" i="7"/>
  <c r="D966" i="7"/>
  <c r="C966" i="7"/>
  <c r="B966" i="7"/>
  <c r="A966" i="7"/>
  <c r="K965" i="7"/>
  <c r="J965" i="7"/>
  <c r="I965" i="7"/>
  <c r="H965" i="7"/>
  <c r="G965" i="7"/>
  <c r="F965" i="7"/>
  <c r="E965" i="7"/>
  <c r="D965" i="7"/>
  <c r="C965" i="7"/>
  <c r="B965" i="7"/>
  <c r="A965" i="7"/>
  <c r="K964" i="7"/>
  <c r="J964" i="7"/>
  <c r="I964" i="7"/>
  <c r="H964" i="7"/>
  <c r="G964" i="7"/>
  <c r="F964" i="7"/>
  <c r="E964" i="7"/>
  <c r="D964" i="7"/>
  <c r="C964" i="7"/>
  <c r="B964" i="7"/>
  <c r="A964" i="7"/>
  <c r="K963" i="7"/>
  <c r="J963" i="7"/>
  <c r="I963" i="7"/>
  <c r="H963" i="7"/>
  <c r="G963" i="7"/>
  <c r="F963" i="7"/>
  <c r="E963" i="7"/>
  <c r="D963" i="7"/>
  <c r="C963" i="7"/>
  <c r="B963" i="7"/>
  <c r="A963" i="7"/>
  <c r="K962" i="7"/>
  <c r="J962" i="7"/>
  <c r="I962" i="7"/>
  <c r="H962" i="7"/>
  <c r="G962" i="7"/>
  <c r="F962" i="7"/>
  <c r="E962" i="7"/>
  <c r="D962" i="7"/>
  <c r="C962" i="7"/>
  <c r="B962" i="7"/>
  <c r="A962" i="7"/>
  <c r="K961" i="7"/>
  <c r="J961" i="7"/>
  <c r="I961" i="7"/>
  <c r="H961" i="7"/>
  <c r="G961" i="7"/>
  <c r="F961" i="7"/>
  <c r="E961" i="7"/>
  <c r="D961" i="7"/>
  <c r="C961" i="7"/>
  <c r="B961" i="7"/>
  <c r="A961" i="7"/>
  <c r="K960" i="7"/>
  <c r="J960" i="7"/>
  <c r="I960" i="7"/>
  <c r="H960" i="7"/>
  <c r="G960" i="7"/>
  <c r="F960" i="7"/>
  <c r="E960" i="7"/>
  <c r="D960" i="7"/>
  <c r="C960" i="7"/>
  <c r="B960" i="7"/>
  <c r="A960" i="7"/>
  <c r="K959" i="7"/>
  <c r="J959" i="7"/>
  <c r="I959" i="7"/>
  <c r="H959" i="7"/>
  <c r="G959" i="7"/>
  <c r="F959" i="7"/>
  <c r="E959" i="7"/>
  <c r="D959" i="7"/>
  <c r="C959" i="7"/>
  <c r="B959" i="7"/>
  <c r="A959" i="7"/>
  <c r="K958" i="7"/>
  <c r="J958" i="7"/>
  <c r="I958" i="7"/>
  <c r="H958" i="7"/>
  <c r="G958" i="7"/>
  <c r="F958" i="7"/>
  <c r="E958" i="7"/>
  <c r="D958" i="7"/>
  <c r="C958" i="7"/>
  <c r="B958" i="7"/>
  <c r="A958" i="7"/>
  <c r="K957" i="7"/>
  <c r="J957" i="7"/>
  <c r="I957" i="7"/>
  <c r="H957" i="7"/>
  <c r="G957" i="7"/>
  <c r="F957" i="7"/>
  <c r="E957" i="7"/>
  <c r="D957" i="7"/>
  <c r="C957" i="7"/>
  <c r="B957" i="7"/>
  <c r="A957" i="7"/>
  <c r="K956" i="7"/>
  <c r="J956" i="7"/>
  <c r="I956" i="7"/>
  <c r="H956" i="7"/>
  <c r="G956" i="7"/>
  <c r="F956" i="7"/>
  <c r="E956" i="7"/>
  <c r="D956" i="7"/>
  <c r="C956" i="7"/>
  <c r="B956" i="7"/>
  <c r="A956" i="7"/>
  <c r="K955" i="7"/>
  <c r="J955" i="7"/>
  <c r="I955" i="7"/>
  <c r="H955" i="7"/>
  <c r="G955" i="7"/>
  <c r="F955" i="7"/>
  <c r="E955" i="7"/>
  <c r="D955" i="7"/>
  <c r="C955" i="7"/>
  <c r="B955" i="7"/>
  <c r="A955" i="7"/>
  <c r="K954" i="7"/>
  <c r="J954" i="7"/>
  <c r="I954" i="7"/>
  <c r="H954" i="7"/>
  <c r="G954" i="7"/>
  <c r="F954" i="7"/>
  <c r="E954" i="7"/>
  <c r="D954" i="7"/>
  <c r="C954" i="7"/>
  <c r="B954" i="7"/>
  <c r="A954" i="7"/>
  <c r="K953" i="7"/>
  <c r="J953" i="7"/>
  <c r="I953" i="7"/>
  <c r="H953" i="7"/>
  <c r="G953" i="7"/>
  <c r="F953" i="7"/>
  <c r="E953" i="7"/>
  <c r="D953" i="7"/>
  <c r="C953" i="7"/>
  <c r="B953" i="7"/>
  <c r="A953" i="7"/>
  <c r="K952" i="7"/>
  <c r="J952" i="7"/>
  <c r="I952" i="7"/>
  <c r="H952" i="7"/>
  <c r="G952" i="7"/>
  <c r="F952" i="7"/>
  <c r="E952" i="7"/>
  <c r="D952" i="7"/>
  <c r="C952" i="7"/>
  <c r="B952" i="7"/>
  <c r="A952" i="7"/>
  <c r="K951" i="7"/>
  <c r="J951" i="7"/>
  <c r="I951" i="7"/>
  <c r="H951" i="7"/>
  <c r="G951" i="7"/>
  <c r="F951" i="7"/>
  <c r="E951" i="7"/>
  <c r="D951" i="7"/>
  <c r="C951" i="7"/>
  <c r="B951" i="7"/>
  <c r="A951" i="7"/>
  <c r="K950" i="7"/>
  <c r="J950" i="7"/>
  <c r="I950" i="7"/>
  <c r="H950" i="7"/>
  <c r="G950" i="7"/>
  <c r="F950" i="7"/>
  <c r="E950" i="7"/>
  <c r="D950" i="7"/>
  <c r="C950" i="7"/>
  <c r="B950" i="7"/>
  <c r="A950" i="7"/>
  <c r="K949" i="7"/>
  <c r="J949" i="7"/>
  <c r="I949" i="7"/>
  <c r="H949" i="7"/>
  <c r="G949" i="7"/>
  <c r="F949" i="7"/>
  <c r="E949" i="7"/>
  <c r="D949" i="7"/>
  <c r="C949" i="7"/>
  <c r="B949" i="7"/>
  <c r="A949" i="7"/>
  <c r="K948" i="7"/>
  <c r="J948" i="7"/>
  <c r="I948" i="7"/>
  <c r="H948" i="7"/>
  <c r="G948" i="7"/>
  <c r="F948" i="7"/>
  <c r="E948" i="7"/>
  <c r="D948" i="7"/>
  <c r="C948" i="7"/>
  <c r="B948" i="7"/>
  <c r="A948" i="7"/>
  <c r="K947" i="7"/>
  <c r="J947" i="7"/>
  <c r="I947" i="7"/>
  <c r="H947" i="7"/>
  <c r="G947" i="7"/>
  <c r="F947" i="7"/>
  <c r="E947" i="7"/>
  <c r="D947" i="7"/>
  <c r="C947" i="7"/>
  <c r="B947" i="7"/>
  <c r="A947" i="7"/>
  <c r="K946" i="7"/>
  <c r="J946" i="7"/>
  <c r="I946" i="7"/>
  <c r="H946" i="7"/>
  <c r="G946" i="7"/>
  <c r="F946" i="7"/>
  <c r="E946" i="7"/>
  <c r="D946" i="7"/>
  <c r="C946" i="7"/>
  <c r="B946" i="7"/>
  <c r="A946" i="7"/>
  <c r="K945" i="7"/>
  <c r="J945" i="7"/>
  <c r="I945" i="7"/>
  <c r="H945" i="7"/>
  <c r="G945" i="7"/>
  <c r="F945" i="7"/>
  <c r="E945" i="7"/>
  <c r="D945" i="7"/>
  <c r="C945" i="7"/>
  <c r="B945" i="7"/>
  <c r="A945" i="7"/>
  <c r="K944" i="7"/>
  <c r="J944" i="7"/>
  <c r="I944" i="7"/>
  <c r="H944" i="7"/>
  <c r="G944" i="7"/>
  <c r="F944" i="7"/>
  <c r="E944" i="7"/>
  <c r="D944" i="7"/>
  <c r="C944" i="7"/>
  <c r="B944" i="7"/>
  <c r="A944" i="7"/>
  <c r="K943" i="7"/>
  <c r="J943" i="7"/>
  <c r="I943" i="7"/>
  <c r="H943" i="7"/>
  <c r="G943" i="7"/>
  <c r="F943" i="7"/>
  <c r="E943" i="7"/>
  <c r="D943" i="7"/>
  <c r="C943" i="7"/>
  <c r="B943" i="7"/>
  <c r="A943" i="7"/>
  <c r="K942" i="7"/>
  <c r="J942" i="7"/>
  <c r="I942" i="7"/>
  <c r="H942" i="7"/>
  <c r="G942" i="7"/>
  <c r="F942" i="7"/>
  <c r="E942" i="7"/>
  <c r="D942" i="7"/>
  <c r="C942" i="7"/>
  <c r="B942" i="7"/>
  <c r="A942" i="7"/>
  <c r="K941" i="7"/>
  <c r="J941" i="7"/>
  <c r="I941" i="7"/>
  <c r="H941" i="7"/>
  <c r="G941" i="7"/>
  <c r="F941" i="7"/>
  <c r="E941" i="7"/>
  <c r="D941" i="7"/>
  <c r="C941" i="7"/>
  <c r="B941" i="7"/>
  <c r="A941" i="7"/>
  <c r="K940" i="7"/>
  <c r="J940" i="7"/>
  <c r="I940" i="7"/>
  <c r="H940" i="7"/>
  <c r="G940" i="7"/>
  <c r="F940" i="7"/>
  <c r="E940" i="7"/>
  <c r="D940" i="7"/>
  <c r="C940" i="7"/>
  <c r="B940" i="7"/>
  <c r="A940" i="7"/>
  <c r="K939" i="7"/>
  <c r="J939" i="7"/>
  <c r="I939" i="7"/>
  <c r="H939" i="7"/>
  <c r="G939" i="7"/>
  <c r="F939" i="7"/>
  <c r="E939" i="7"/>
  <c r="D939" i="7"/>
  <c r="C939" i="7"/>
  <c r="B939" i="7"/>
  <c r="A939" i="7"/>
  <c r="K938" i="7"/>
  <c r="J938" i="7"/>
  <c r="I938" i="7"/>
  <c r="H938" i="7"/>
  <c r="G938" i="7"/>
  <c r="F938" i="7"/>
  <c r="E938" i="7"/>
  <c r="D938" i="7"/>
  <c r="C938" i="7"/>
  <c r="B938" i="7"/>
  <c r="A938" i="7"/>
  <c r="K937" i="7"/>
  <c r="J937" i="7"/>
  <c r="I937" i="7"/>
  <c r="H937" i="7"/>
  <c r="G937" i="7"/>
  <c r="F937" i="7"/>
  <c r="E937" i="7"/>
  <c r="D937" i="7"/>
  <c r="C937" i="7"/>
  <c r="B937" i="7"/>
  <c r="A937" i="7"/>
  <c r="K936" i="7"/>
  <c r="J936" i="7"/>
  <c r="I936" i="7"/>
  <c r="H936" i="7"/>
  <c r="G936" i="7"/>
  <c r="F936" i="7"/>
  <c r="E936" i="7"/>
  <c r="D936" i="7"/>
  <c r="C936" i="7"/>
  <c r="B936" i="7"/>
  <c r="A936" i="7"/>
  <c r="K935" i="7"/>
  <c r="J935" i="7"/>
  <c r="I935" i="7"/>
  <c r="H935" i="7"/>
  <c r="G935" i="7"/>
  <c r="F935" i="7"/>
  <c r="E935" i="7"/>
  <c r="D935" i="7"/>
  <c r="C935" i="7"/>
  <c r="B935" i="7"/>
  <c r="A935" i="7"/>
  <c r="K934" i="7"/>
  <c r="J934" i="7"/>
  <c r="I934" i="7"/>
  <c r="H934" i="7"/>
  <c r="G934" i="7"/>
  <c r="F934" i="7"/>
  <c r="E934" i="7"/>
  <c r="D934" i="7"/>
  <c r="C934" i="7"/>
  <c r="B934" i="7"/>
  <c r="A934" i="7"/>
  <c r="K933" i="7"/>
  <c r="J933" i="7"/>
  <c r="I933" i="7"/>
  <c r="H933" i="7"/>
  <c r="G933" i="7"/>
  <c r="F933" i="7"/>
  <c r="E933" i="7"/>
  <c r="D933" i="7"/>
  <c r="C933" i="7"/>
  <c r="B933" i="7"/>
  <c r="A933" i="7"/>
  <c r="K932" i="7"/>
  <c r="J932" i="7"/>
  <c r="I932" i="7"/>
  <c r="H932" i="7"/>
  <c r="G932" i="7"/>
  <c r="F932" i="7"/>
  <c r="E932" i="7"/>
  <c r="D932" i="7"/>
  <c r="C932" i="7"/>
  <c r="B932" i="7"/>
  <c r="A932" i="7"/>
  <c r="K931" i="7"/>
  <c r="J931" i="7"/>
  <c r="I931" i="7"/>
  <c r="H931" i="7"/>
  <c r="G931" i="7"/>
  <c r="F931" i="7"/>
  <c r="E931" i="7"/>
  <c r="D931" i="7"/>
  <c r="C931" i="7"/>
  <c r="B931" i="7"/>
  <c r="A931" i="7"/>
  <c r="K930" i="7"/>
  <c r="J930" i="7"/>
  <c r="I930" i="7"/>
  <c r="H930" i="7"/>
  <c r="G930" i="7"/>
  <c r="F930" i="7"/>
  <c r="E930" i="7"/>
  <c r="D930" i="7"/>
  <c r="C930" i="7"/>
  <c r="B930" i="7"/>
  <c r="A930" i="7"/>
  <c r="K929" i="7"/>
  <c r="J929" i="7"/>
  <c r="I929" i="7"/>
  <c r="H929" i="7"/>
  <c r="G929" i="7"/>
  <c r="F929" i="7"/>
  <c r="E929" i="7"/>
  <c r="D929" i="7"/>
  <c r="C929" i="7"/>
  <c r="B929" i="7"/>
  <c r="A929" i="7"/>
  <c r="K928" i="7"/>
  <c r="J928" i="7"/>
  <c r="I928" i="7"/>
  <c r="H928" i="7"/>
  <c r="G928" i="7"/>
  <c r="F928" i="7"/>
  <c r="E928" i="7"/>
  <c r="D928" i="7"/>
  <c r="C928" i="7"/>
  <c r="B928" i="7"/>
  <c r="A928" i="7"/>
  <c r="K927" i="7"/>
  <c r="J927" i="7"/>
  <c r="I927" i="7"/>
  <c r="H927" i="7"/>
  <c r="G927" i="7"/>
  <c r="F927" i="7"/>
  <c r="E927" i="7"/>
  <c r="D927" i="7"/>
  <c r="C927" i="7"/>
  <c r="B927" i="7"/>
  <c r="A927" i="7"/>
  <c r="K926" i="7"/>
  <c r="J926" i="7"/>
  <c r="I926" i="7"/>
  <c r="H926" i="7"/>
  <c r="G926" i="7"/>
  <c r="F926" i="7"/>
  <c r="E926" i="7"/>
  <c r="D926" i="7"/>
  <c r="C926" i="7"/>
  <c r="B926" i="7"/>
  <c r="A926" i="7"/>
  <c r="K925" i="7"/>
  <c r="J925" i="7"/>
  <c r="I925" i="7"/>
  <c r="H925" i="7"/>
  <c r="G925" i="7"/>
  <c r="F925" i="7"/>
  <c r="E925" i="7"/>
  <c r="D925" i="7"/>
  <c r="C925" i="7"/>
  <c r="B925" i="7"/>
  <c r="A925" i="7"/>
  <c r="K924" i="7"/>
  <c r="J924" i="7"/>
  <c r="I924" i="7"/>
  <c r="H924" i="7"/>
  <c r="G924" i="7"/>
  <c r="F924" i="7"/>
  <c r="E924" i="7"/>
  <c r="D924" i="7"/>
  <c r="C924" i="7"/>
  <c r="B924" i="7"/>
  <c r="A924" i="7"/>
  <c r="K923" i="7"/>
  <c r="J923" i="7"/>
  <c r="I923" i="7"/>
  <c r="H923" i="7"/>
  <c r="G923" i="7"/>
  <c r="F923" i="7"/>
  <c r="E923" i="7"/>
  <c r="D923" i="7"/>
  <c r="C923" i="7"/>
  <c r="B923" i="7"/>
  <c r="A923" i="7"/>
  <c r="K922" i="7"/>
  <c r="J922" i="7"/>
  <c r="I922" i="7"/>
  <c r="H922" i="7"/>
  <c r="G922" i="7"/>
  <c r="F922" i="7"/>
  <c r="E922" i="7"/>
  <c r="D922" i="7"/>
  <c r="C922" i="7"/>
  <c r="B922" i="7"/>
  <c r="A922" i="7"/>
  <c r="K921" i="7"/>
  <c r="J921" i="7"/>
  <c r="I921" i="7"/>
  <c r="H921" i="7"/>
  <c r="G921" i="7"/>
  <c r="F921" i="7"/>
  <c r="E921" i="7"/>
  <c r="D921" i="7"/>
  <c r="C921" i="7"/>
  <c r="B921" i="7"/>
  <c r="A921" i="7"/>
  <c r="K920" i="7"/>
  <c r="J920" i="7"/>
  <c r="I920" i="7"/>
  <c r="H920" i="7"/>
  <c r="G920" i="7"/>
  <c r="F920" i="7"/>
  <c r="E920" i="7"/>
  <c r="D920" i="7"/>
  <c r="C920" i="7"/>
  <c r="B920" i="7"/>
  <c r="A920" i="7"/>
  <c r="K919" i="7"/>
  <c r="J919" i="7"/>
  <c r="I919" i="7"/>
  <c r="H919" i="7"/>
  <c r="G919" i="7"/>
  <c r="F919" i="7"/>
  <c r="E919" i="7"/>
  <c r="D919" i="7"/>
  <c r="C919" i="7"/>
  <c r="B919" i="7"/>
  <c r="A919" i="7"/>
  <c r="K918" i="7"/>
  <c r="J918" i="7"/>
  <c r="I918" i="7"/>
  <c r="H918" i="7"/>
  <c r="G918" i="7"/>
  <c r="F918" i="7"/>
  <c r="E918" i="7"/>
  <c r="D918" i="7"/>
  <c r="C918" i="7"/>
  <c r="B918" i="7"/>
  <c r="A918" i="7"/>
  <c r="K917" i="7"/>
  <c r="J917" i="7"/>
  <c r="I917" i="7"/>
  <c r="H917" i="7"/>
  <c r="G917" i="7"/>
  <c r="F917" i="7"/>
  <c r="E917" i="7"/>
  <c r="D917" i="7"/>
  <c r="C917" i="7"/>
  <c r="B917" i="7"/>
  <c r="A917" i="7"/>
  <c r="K916" i="7"/>
  <c r="J916" i="7"/>
  <c r="I916" i="7"/>
  <c r="H916" i="7"/>
  <c r="G916" i="7"/>
  <c r="F916" i="7"/>
  <c r="E916" i="7"/>
  <c r="D916" i="7"/>
  <c r="C916" i="7"/>
  <c r="B916" i="7"/>
  <c r="A916" i="7"/>
  <c r="K915" i="7"/>
  <c r="J915" i="7"/>
  <c r="I915" i="7"/>
  <c r="H915" i="7"/>
  <c r="G915" i="7"/>
  <c r="F915" i="7"/>
  <c r="E915" i="7"/>
  <c r="D915" i="7"/>
  <c r="C915" i="7"/>
  <c r="B915" i="7"/>
  <c r="A915" i="7"/>
  <c r="K914" i="7"/>
  <c r="J914" i="7"/>
  <c r="I914" i="7"/>
  <c r="H914" i="7"/>
  <c r="G914" i="7"/>
  <c r="F914" i="7"/>
  <c r="E914" i="7"/>
  <c r="D914" i="7"/>
  <c r="C914" i="7"/>
  <c r="B914" i="7"/>
  <c r="A914" i="7"/>
  <c r="K913" i="7"/>
  <c r="J913" i="7"/>
  <c r="I913" i="7"/>
  <c r="H913" i="7"/>
  <c r="G913" i="7"/>
  <c r="F913" i="7"/>
  <c r="E913" i="7"/>
  <c r="D913" i="7"/>
  <c r="C913" i="7"/>
  <c r="B913" i="7"/>
  <c r="A913" i="7"/>
  <c r="K912" i="7"/>
  <c r="J912" i="7"/>
  <c r="I912" i="7"/>
  <c r="H912" i="7"/>
  <c r="G912" i="7"/>
  <c r="F912" i="7"/>
  <c r="E912" i="7"/>
  <c r="D912" i="7"/>
  <c r="C912" i="7"/>
  <c r="B912" i="7"/>
  <c r="A912" i="7"/>
  <c r="K911" i="7"/>
  <c r="J911" i="7"/>
  <c r="I911" i="7"/>
  <c r="H911" i="7"/>
  <c r="G911" i="7"/>
  <c r="F911" i="7"/>
  <c r="E911" i="7"/>
  <c r="D911" i="7"/>
  <c r="C911" i="7"/>
  <c r="B911" i="7"/>
  <c r="A911" i="7"/>
  <c r="K910" i="7"/>
  <c r="J910" i="7"/>
  <c r="I910" i="7"/>
  <c r="H910" i="7"/>
  <c r="G910" i="7"/>
  <c r="F910" i="7"/>
  <c r="E910" i="7"/>
  <c r="D910" i="7"/>
  <c r="C910" i="7"/>
  <c r="B910" i="7"/>
  <c r="A910" i="7"/>
  <c r="K909" i="7"/>
  <c r="J909" i="7"/>
  <c r="I909" i="7"/>
  <c r="H909" i="7"/>
  <c r="G909" i="7"/>
  <c r="F909" i="7"/>
  <c r="E909" i="7"/>
  <c r="D909" i="7"/>
  <c r="C909" i="7"/>
  <c r="B909" i="7"/>
  <c r="A909" i="7"/>
  <c r="K908" i="7"/>
  <c r="J908" i="7"/>
  <c r="I908" i="7"/>
  <c r="H908" i="7"/>
  <c r="G908" i="7"/>
  <c r="F908" i="7"/>
  <c r="E908" i="7"/>
  <c r="D908" i="7"/>
  <c r="C908" i="7"/>
  <c r="B908" i="7"/>
  <c r="A908" i="7"/>
  <c r="K907" i="7"/>
  <c r="J907" i="7"/>
  <c r="I907" i="7"/>
  <c r="H907" i="7"/>
  <c r="G907" i="7"/>
  <c r="F907" i="7"/>
  <c r="E907" i="7"/>
  <c r="D907" i="7"/>
  <c r="C907" i="7"/>
  <c r="B907" i="7"/>
  <c r="A907" i="7"/>
  <c r="K906" i="7"/>
  <c r="J906" i="7"/>
  <c r="I906" i="7"/>
  <c r="H906" i="7"/>
  <c r="G906" i="7"/>
  <c r="F906" i="7"/>
  <c r="E906" i="7"/>
  <c r="D906" i="7"/>
  <c r="C906" i="7"/>
  <c r="B906" i="7"/>
  <c r="A906" i="7"/>
  <c r="K905" i="7"/>
  <c r="J905" i="7"/>
  <c r="I905" i="7"/>
  <c r="H905" i="7"/>
  <c r="G905" i="7"/>
  <c r="F905" i="7"/>
  <c r="E905" i="7"/>
  <c r="D905" i="7"/>
  <c r="C905" i="7"/>
  <c r="B905" i="7"/>
  <c r="A905" i="7"/>
  <c r="K904" i="7"/>
  <c r="J904" i="7"/>
  <c r="I904" i="7"/>
  <c r="H904" i="7"/>
  <c r="G904" i="7"/>
  <c r="F904" i="7"/>
  <c r="E904" i="7"/>
  <c r="D904" i="7"/>
  <c r="C904" i="7"/>
  <c r="B904" i="7"/>
  <c r="A904" i="7"/>
  <c r="K903" i="7"/>
  <c r="J903" i="7"/>
  <c r="I903" i="7"/>
  <c r="H903" i="7"/>
  <c r="G903" i="7"/>
  <c r="F903" i="7"/>
  <c r="E903" i="7"/>
  <c r="D903" i="7"/>
  <c r="C903" i="7"/>
  <c r="B903" i="7"/>
  <c r="A903" i="7"/>
  <c r="K902" i="7"/>
  <c r="J902" i="7"/>
  <c r="I902" i="7"/>
  <c r="H902" i="7"/>
  <c r="G902" i="7"/>
  <c r="F902" i="7"/>
  <c r="E902" i="7"/>
  <c r="D902" i="7"/>
  <c r="C902" i="7"/>
  <c r="B902" i="7"/>
  <c r="A902" i="7"/>
  <c r="K901" i="7"/>
  <c r="J901" i="7"/>
  <c r="I901" i="7"/>
  <c r="H901" i="7"/>
  <c r="G901" i="7"/>
  <c r="F901" i="7"/>
  <c r="E901" i="7"/>
  <c r="D901" i="7"/>
  <c r="C901" i="7"/>
  <c r="B901" i="7"/>
  <c r="A901" i="7"/>
  <c r="K900" i="7"/>
  <c r="J900" i="7"/>
  <c r="I900" i="7"/>
  <c r="H900" i="7"/>
  <c r="G900" i="7"/>
  <c r="F900" i="7"/>
  <c r="E900" i="7"/>
  <c r="D900" i="7"/>
  <c r="C900" i="7"/>
  <c r="B900" i="7"/>
  <c r="A900" i="7"/>
  <c r="K899" i="7"/>
  <c r="J899" i="7"/>
  <c r="I899" i="7"/>
  <c r="H899" i="7"/>
  <c r="G899" i="7"/>
  <c r="F899" i="7"/>
  <c r="E899" i="7"/>
  <c r="D899" i="7"/>
  <c r="C899" i="7"/>
  <c r="B899" i="7"/>
  <c r="A899" i="7"/>
  <c r="K898" i="7"/>
  <c r="J898" i="7"/>
  <c r="I898" i="7"/>
  <c r="H898" i="7"/>
  <c r="G898" i="7"/>
  <c r="F898" i="7"/>
  <c r="E898" i="7"/>
  <c r="D898" i="7"/>
  <c r="C898" i="7"/>
  <c r="B898" i="7"/>
  <c r="A898" i="7"/>
  <c r="K897" i="7"/>
  <c r="J897" i="7"/>
  <c r="I897" i="7"/>
  <c r="H897" i="7"/>
  <c r="G897" i="7"/>
  <c r="F897" i="7"/>
  <c r="E897" i="7"/>
  <c r="D897" i="7"/>
  <c r="C897" i="7"/>
  <c r="B897" i="7"/>
  <c r="A897" i="7"/>
  <c r="K896" i="7"/>
  <c r="J896" i="7"/>
  <c r="I896" i="7"/>
  <c r="H896" i="7"/>
  <c r="G896" i="7"/>
  <c r="F896" i="7"/>
  <c r="E896" i="7"/>
  <c r="D896" i="7"/>
  <c r="C896" i="7"/>
  <c r="B896" i="7"/>
  <c r="A896" i="7"/>
  <c r="K895" i="7"/>
  <c r="J895" i="7"/>
  <c r="I895" i="7"/>
  <c r="H895" i="7"/>
  <c r="G895" i="7"/>
  <c r="F895" i="7"/>
  <c r="E895" i="7"/>
  <c r="D895" i="7"/>
  <c r="C895" i="7"/>
  <c r="B895" i="7"/>
  <c r="A895" i="7"/>
  <c r="K894" i="7"/>
  <c r="J894" i="7"/>
  <c r="I894" i="7"/>
  <c r="H894" i="7"/>
  <c r="G894" i="7"/>
  <c r="F894" i="7"/>
  <c r="E894" i="7"/>
  <c r="D894" i="7"/>
  <c r="C894" i="7"/>
  <c r="B894" i="7"/>
  <c r="A894" i="7"/>
  <c r="K893" i="7"/>
  <c r="J893" i="7"/>
  <c r="I893" i="7"/>
  <c r="H893" i="7"/>
  <c r="G893" i="7"/>
  <c r="F893" i="7"/>
  <c r="E893" i="7"/>
  <c r="D893" i="7"/>
  <c r="C893" i="7"/>
  <c r="B893" i="7"/>
  <c r="A893" i="7"/>
  <c r="K892" i="7"/>
  <c r="J892" i="7"/>
  <c r="I892" i="7"/>
  <c r="H892" i="7"/>
  <c r="G892" i="7"/>
  <c r="F892" i="7"/>
  <c r="E892" i="7"/>
  <c r="D892" i="7"/>
  <c r="C892" i="7"/>
  <c r="B892" i="7"/>
  <c r="A892" i="7"/>
  <c r="K891" i="7"/>
  <c r="J891" i="7"/>
  <c r="I891" i="7"/>
  <c r="H891" i="7"/>
  <c r="G891" i="7"/>
  <c r="F891" i="7"/>
  <c r="E891" i="7"/>
  <c r="D891" i="7"/>
  <c r="C891" i="7"/>
  <c r="B891" i="7"/>
  <c r="A891" i="7"/>
  <c r="K890" i="7"/>
  <c r="J890" i="7"/>
  <c r="I890" i="7"/>
  <c r="H890" i="7"/>
  <c r="G890" i="7"/>
  <c r="F890" i="7"/>
  <c r="E890" i="7"/>
  <c r="D890" i="7"/>
  <c r="C890" i="7"/>
  <c r="B890" i="7"/>
  <c r="A890" i="7"/>
  <c r="K889" i="7"/>
  <c r="J889" i="7"/>
  <c r="I889" i="7"/>
  <c r="H889" i="7"/>
  <c r="G889" i="7"/>
  <c r="F889" i="7"/>
  <c r="E889" i="7"/>
  <c r="D889" i="7"/>
  <c r="C889" i="7"/>
  <c r="B889" i="7"/>
  <c r="A889" i="7"/>
  <c r="K888" i="7"/>
  <c r="J888" i="7"/>
  <c r="I888" i="7"/>
  <c r="H888" i="7"/>
  <c r="G888" i="7"/>
  <c r="F888" i="7"/>
  <c r="E888" i="7"/>
  <c r="D888" i="7"/>
  <c r="C888" i="7"/>
  <c r="B888" i="7"/>
  <c r="A888" i="7"/>
  <c r="K887" i="7"/>
  <c r="J887" i="7"/>
  <c r="I887" i="7"/>
  <c r="H887" i="7"/>
  <c r="G887" i="7"/>
  <c r="F887" i="7"/>
  <c r="E887" i="7"/>
  <c r="D887" i="7"/>
  <c r="C887" i="7"/>
  <c r="B887" i="7"/>
  <c r="A887" i="7"/>
  <c r="K886" i="7"/>
  <c r="J886" i="7"/>
  <c r="I886" i="7"/>
  <c r="H886" i="7"/>
  <c r="G886" i="7"/>
  <c r="F886" i="7"/>
  <c r="E886" i="7"/>
  <c r="D886" i="7"/>
  <c r="C886" i="7"/>
  <c r="B886" i="7"/>
  <c r="A886" i="7"/>
  <c r="K885" i="7"/>
  <c r="J885" i="7"/>
  <c r="I885" i="7"/>
  <c r="H885" i="7"/>
  <c r="G885" i="7"/>
  <c r="F885" i="7"/>
  <c r="E885" i="7"/>
  <c r="D885" i="7"/>
  <c r="C885" i="7"/>
  <c r="B885" i="7"/>
  <c r="A885" i="7"/>
  <c r="K884" i="7"/>
  <c r="J884" i="7"/>
  <c r="I884" i="7"/>
  <c r="H884" i="7"/>
  <c r="G884" i="7"/>
  <c r="F884" i="7"/>
  <c r="E884" i="7"/>
  <c r="D884" i="7"/>
  <c r="C884" i="7"/>
  <c r="B884" i="7"/>
  <c r="A884" i="7"/>
  <c r="K883" i="7"/>
  <c r="J883" i="7"/>
  <c r="I883" i="7"/>
  <c r="H883" i="7"/>
  <c r="G883" i="7"/>
  <c r="F883" i="7"/>
  <c r="E883" i="7"/>
  <c r="D883" i="7"/>
  <c r="C883" i="7"/>
  <c r="B883" i="7"/>
  <c r="A883" i="7"/>
  <c r="K882" i="7"/>
  <c r="J882" i="7"/>
  <c r="I882" i="7"/>
  <c r="H882" i="7"/>
  <c r="G882" i="7"/>
  <c r="F882" i="7"/>
  <c r="E882" i="7"/>
  <c r="D882" i="7"/>
  <c r="C882" i="7"/>
  <c r="B882" i="7"/>
  <c r="A882" i="7"/>
  <c r="K881" i="7"/>
  <c r="J881" i="7"/>
  <c r="I881" i="7"/>
  <c r="H881" i="7"/>
  <c r="G881" i="7"/>
  <c r="F881" i="7"/>
  <c r="E881" i="7"/>
  <c r="D881" i="7"/>
  <c r="C881" i="7"/>
  <c r="B881" i="7"/>
  <c r="A881" i="7"/>
  <c r="K880" i="7"/>
  <c r="J880" i="7"/>
  <c r="I880" i="7"/>
  <c r="H880" i="7"/>
  <c r="G880" i="7"/>
  <c r="F880" i="7"/>
  <c r="E880" i="7"/>
  <c r="D880" i="7"/>
  <c r="C880" i="7"/>
  <c r="B880" i="7"/>
  <c r="A880" i="7"/>
  <c r="K879" i="7"/>
  <c r="J879" i="7"/>
  <c r="I879" i="7"/>
  <c r="H879" i="7"/>
  <c r="G879" i="7"/>
  <c r="F879" i="7"/>
  <c r="E879" i="7"/>
  <c r="D879" i="7"/>
  <c r="C879" i="7"/>
  <c r="B879" i="7"/>
  <c r="A879" i="7"/>
  <c r="K878" i="7"/>
  <c r="J878" i="7"/>
  <c r="I878" i="7"/>
  <c r="H878" i="7"/>
  <c r="G878" i="7"/>
  <c r="F878" i="7"/>
  <c r="E878" i="7"/>
  <c r="D878" i="7"/>
  <c r="C878" i="7"/>
  <c r="B878" i="7"/>
  <c r="A878" i="7"/>
  <c r="K877" i="7"/>
  <c r="J877" i="7"/>
  <c r="I877" i="7"/>
  <c r="H877" i="7"/>
  <c r="G877" i="7"/>
  <c r="F877" i="7"/>
  <c r="E877" i="7"/>
  <c r="D877" i="7"/>
  <c r="C877" i="7"/>
  <c r="B877" i="7"/>
  <c r="A877" i="7"/>
  <c r="K876" i="7"/>
  <c r="J876" i="7"/>
  <c r="I876" i="7"/>
  <c r="H876" i="7"/>
  <c r="G876" i="7"/>
  <c r="F876" i="7"/>
  <c r="E876" i="7"/>
  <c r="D876" i="7"/>
  <c r="C876" i="7"/>
  <c r="B876" i="7"/>
  <c r="A876" i="7"/>
  <c r="K875" i="7"/>
  <c r="J875" i="7"/>
  <c r="I875" i="7"/>
  <c r="H875" i="7"/>
  <c r="G875" i="7"/>
  <c r="F875" i="7"/>
  <c r="E875" i="7"/>
  <c r="D875" i="7"/>
  <c r="C875" i="7"/>
  <c r="B875" i="7"/>
  <c r="A875" i="7"/>
  <c r="K874" i="7"/>
  <c r="J874" i="7"/>
  <c r="I874" i="7"/>
  <c r="H874" i="7"/>
  <c r="G874" i="7"/>
  <c r="F874" i="7"/>
  <c r="E874" i="7"/>
  <c r="D874" i="7"/>
  <c r="C874" i="7"/>
  <c r="B874" i="7"/>
  <c r="A874" i="7"/>
  <c r="K873" i="7"/>
  <c r="J873" i="7"/>
  <c r="I873" i="7"/>
  <c r="H873" i="7"/>
  <c r="G873" i="7"/>
  <c r="F873" i="7"/>
  <c r="E873" i="7"/>
  <c r="D873" i="7"/>
  <c r="C873" i="7"/>
  <c r="B873" i="7"/>
  <c r="A873" i="7"/>
  <c r="K872" i="7"/>
  <c r="J872" i="7"/>
  <c r="I872" i="7"/>
  <c r="H872" i="7"/>
  <c r="G872" i="7"/>
  <c r="F872" i="7"/>
  <c r="E872" i="7"/>
  <c r="D872" i="7"/>
  <c r="C872" i="7"/>
  <c r="B872" i="7"/>
  <c r="A872" i="7"/>
  <c r="K871" i="7"/>
  <c r="J871" i="7"/>
  <c r="I871" i="7"/>
  <c r="H871" i="7"/>
  <c r="G871" i="7"/>
  <c r="F871" i="7"/>
  <c r="E871" i="7"/>
  <c r="D871" i="7"/>
  <c r="C871" i="7"/>
  <c r="B871" i="7"/>
  <c r="A871" i="7"/>
  <c r="K870" i="7"/>
  <c r="J870" i="7"/>
  <c r="I870" i="7"/>
  <c r="H870" i="7"/>
  <c r="G870" i="7"/>
  <c r="F870" i="7"/>
  <c r="E870" i="7"/>
  <c r="D870" i="7"/>
  <c r="C870" i="7"/>
  <c r="B870" i="7"/>
  <c r="A870" i="7"/>
  <c r="K869" i="7"/>
  <c r="J869" i="7"/>
  <c r="I869" i="7"/>
  <c r="H869" i="7"/>
  <c r="G869" i="7"/>
  <c r="F869" i="7"/>
  <c r="E869" i="7"/>
  <c r="D869" i="7"/>
  <c r="C869" i="7"/>
  <c r="B869" i="7"/>
  <c r="A869" i="7"/>
  <c r="K868" i="7"/>
  <c r="J868" i="7"/>
  <c r="I868" i="7"/>
  <c r="H868" i="7"/>
  <c r="G868" i="7"/>
  <c r="F868" i="7"/>
  <c r="E868" i="7"/>
  <c r="D868" i="7"/>
  <c r="C868" i="7"/>
  <c r="B868" i="7"/>
  <c r="A868" i="7"/>
  <c r="K867" i="7"/>
  <c r="J867" i="7"/>
  <c r="I867" i="7"/>
  <c r="H867" i="7"/>
  <c r="G867" i="7"/>
  <c r="F867" i="7"/>
  <c r="E867" i="7"/>
  <c r="D867" i="7"/>
  <c r="C867" i="7"/>
  <c r="B867" i="7"/>
  <c r="A867" i="7"/>
  <c r="K866" i="7"/>
  <c r="J866" i="7"/>
  <c r="I866" i="7"/>
  <c r="H866" i="7"/>
  <c r="G866" i="7"/>
  <c r="F866" i="7"/>
  <c r="E866" i="7"/>
  <c r="D866" i="7"/>
  <c r="C866" i="7"/>
  <c r="B866" i="7"/>
  <c r="A866" i="7"/>
  <c r="K865" i="7"/>
  <c r="J865" i="7"/>
  <c r="I865" i="7"/>
  <c r="H865" i="7"/>
  <c r="G865" i="7"/>
  <c r="F865" i="7"/>
  <c r="E865" i="7"/>
  <c r="D865" i="7"/>
  <c r="C865" i="7"/>
  <c r="B865" i="7"/>
  <c r="A865" i="7"/>
  <c r="K864" i="7"/>
  <c r="J864" i="7"/>
  <c r="I864" i="7"/>
  <c r="H864" i="7"/>
  <c r="G864" i="7"/>
  <c r="F864" i="7"/>
  <c r="E864" i="7"/>
  <c r="D864" i="7"/>
  <c r="C864" i="7"/>
  <c r="B864" i="7"/>
  <c r="A864" i="7"/>
  <c r="K863" i="7"/>
  <c r="J863" i="7"/>
  <c r="I863" i="7"/>
  <c r="H863" i="7"/>
  <c r="G863" i="7"/>
  <c r="F863" i="7"/>
  <c r="E863" i="7"/>
  <c r="D863" i="7"/>
  <c r="C863" i="7"/>
  <c r="B863" i="7"/>
  <c r="A863" i="7"/>
  <c r="K862" i="7"/>
  <c r="J862" i="7"/>
  <c r="I862" i="7"/>
  <c r="H862" i="7"/>
  <c r="G862" i="7"/>
  <c r="F862" i="7"/>
  <c r="E862" i="7"/>
  <c r="D862" i="7"/>
  <c r="C862" i="7"/>
  <c r="B862" i="7"/>
  <c r="A862" i="7"/>
  <c r="K861" i="7"/>
  <c r="J861" i="7"/>
  <c r="I861" i="7"/>
  <c r="H861" i="7"/>
  <c r="G861" i="7"/>
  <c r="F861" i="7"/>
  <c r="E861" i="7"/>
  <c r="D861" i="7"/>
  <c r="C861" i="7"/>
  <c r="B861" i="7"/>
  <c r="A861" i="7"/>
  <c r="K860" i="7"/>
  <c r="J860" i="7"/>
  <c r="I860" i="7"/>
  <c r="H860" i="7"/>
  <c r="G860" i="7"/>
  <c r="F860" i="7"/>
  <c r="E860" i="7"/>
  <c r="D860" i="7"/>
  <c r="C860" i="7"/>
  <c r="B860" i="7"/>
  <c r="A860" i="7"/>
  <c r="K859" i="7"/>
  <c r="J859" i="7"/>
  <c r="I859" i="7"/>
  <c r="H859" i="7"/>
  <c r="G859" i="7"/>
  <c r="F859" i="7"/>
  <c r="E859" i="7"/>
  <c r="D859" i="7"/>
  <c r="C859" i="7"/>
  <c r="B859" i="7"/>
  <c r="A859" i="7"/>
  <c r="K858" i="7"/>
  <c r="J858" i="7"/>
  <c r="I858" i="7"/>
  <c r="H858" i="7"/>
  <c r="G858" i="7"/>
  <c r="F858" i="7"/>
  <c r="E858" i="7"/>
  <c r="D858" i="7"/>
  <c r="C858" i="7"/>
  <c r="B858" i="7"/>
  <c r="A858" i="7"/>
  <c r="K857" i="7"/>
  <c r="J857" i="7"/>
  <c r="I857" i="7"/>
  <c r="H857" i="7"/>
  <c r="G857" i="7"/>
  <c r="F857" i="7"/>
  <c r="E857" i="7"/>
  <c r="D857" i="7"/>
  <c r="C857" i="7"/>
  <c r="B857" i="7"/>
  <c r="A857" i="7"/>
  <c r="K856" i="7"/>
  <c r="J856" i="7"/>
  <c r="I856" i="7"/>
  <c r="H856" i="7"/>
  <c r="G856" i="7"/>
  <c r="F856" i="7"/>
  <c r="E856" i="7"/>
  <c r="D856" i="7"/>
  <c r="C856" i="7"/>
  <c r="B856" i="7"/>
  <c r="A856" i="7"/>
  <c r="K855" i="7"/>
  <c r="J855" i="7"/>
  <c r="I855" i="7"/>
  <c r="H855" i="7"/>
  <c r="G855" i="7"/>
  <c r="F855" i="7"/>
  <c r="E855" i="7"/>
  <c r="D855" i="7"/>
  <c r="C855" i="7"/>
  <c r="B855" i="7"/>
  <c r="A855" i="7"/>
  <c r="K854" i="7"/>
  <c r="J854" i="7"/>
  <c r="I854" i="7"/>
  <c r="H854" i="7"/>
  <c r="G854" i="7"/>
  <c r="F854" i="7"/>
  <c r="E854" i="7"/>
  <c r="D854" i="7"/>
  <c r="C854" i="7"/>
  <c r="B854" i="7"/>
  <c r="A854" i="7"/>
  <c r="K853" i="7"/>
  <c r="J853" i="7"/>
  <c r="I853" i="7"/>
  <c r="H853" i="7"/>
  <c r="G853" i="7"/>
  <c r="F853" i="7"/>
  <c r="E853" i="7"/>
  <c r="D853" i="7"/>
  <c r="C853" i="7"/>
  <c r="B853" i="7"/>
  <c r="A853" i="7"/>
  <c r="K852" i="7"/>
  <c r="J852" i="7"/>
  <c r="I852" i="7"/>
  <c r="H852" i="7"/>
  <c r="G852" i="7"/>
  <c r="F852" i="7"/>
  <c r="E852" i="7"/>
  <c r="D852" i="7"/>
  <c r="C852" i="7"/>
  <c r="B852" i="7"/>
  <c r="A852" i="7"/>
  <c r="K851" i="7"/>
  <c r="J851" i="7"/>
  <c r="I851" i="7"/>
  <c r="H851" i="7"/>
  <c r="G851" i="7"/>
  <c r="F851" i="7"/>
  <c r="E851" i="7"/>
  <c r="D851" i="7"/>
  <c r="C851" i="7"/>
  <c r="B851" i="7"/>
  <c r="A851" i="7"/>
  <c r="K850" i="7"/>
  <c r="J850" i="7"/>
  <c r="I850" i="7"/>
  <c r="H850" i="7"/>
  <c r="G850" i="7"/>
  <c r="F850" i="7"/>
  <c r="E850" i="7"/>
  <c r="D850" i="7"/>
  <c r="C850" i="7"/>
  <c r="B850" i="7"/>
  <c r="A850" i="7"/>
  <c r="K849" i="7"/>
  <c r="J849" i="7"/>
  <c r="I849" i="7"/>
  <c r="H849" i="7"/>
  <c r="G849" i="7"/>
  <c r="F849" i="7"/>
  <c r="E849" i="7"/>
  <c r="D849" i="7"/>
  <c r="C849" i="7"/>
  <c r="B849" i="7"/>
  <c r="A849" i="7"/>
  <c r="K848" i="7"/>
  <c r="J848" i="7"/>
  <c r="I848" i="7"/>
  <c r="H848" i="7"/>
  <c r="G848" i="7"/>
  <c r="F848" i="7"/>
  <c r="E848" i="7"/>
  <c r="D848" i="7"/>
  <c r="C848" i="7"/>
  <c r="B848" i="7"/>
  <c r="A848" i="7"/>
  <c r="K847" i="7"/>
  <c r="J847" i="7"/>
  <c r="I847" i="7"/>
  <c r="H847" i="7"/>
  <c r="G847" i="7"/>
  <c r="F847" i="7"/>
  <c r="E847" i="7"/>
  <c r="D847" i="7"/>
  <c r="C847" i="7"/>
  <c r="B847" i="7"/>
  <c r="A847" i="7"/>
  <c r="K846" i="7"/>
  <c r="J846" i="7"/>
  <c r="I846" i="7"/>
  <c r="H846" i="7"/>
  <c r="G846" i="7"/>
  <c r="F846" i="7"/>
  <c r="E846" i="7"/>
  <c r="D846" i="7"/>
  <c r="C846" i="7"/>
  <c r="B846" i="7"/>
  <c r="A846" i="7"/>
  <c r="K845" i="7"/>
  <c r="J845" i="7"/>
  <c r="I845" i="7"/>
  <c r="H845" i="7"/>
  <c r="G845" i="7"/>
  <c r="F845" i="7"/>
  <c r="E845" i="7"/>
  <c r="D845" i="7"/>
  <c r="C845" i="7"/>
  <c r="B845" i="7"/>
  <c r="A845" i="7"/>
  <c r="K844" i="7"/>
  <c r="J844" i="7"/>
  <c r="I844" i="7"/>
  <c r="H844" i="7"/>
  <c r="G844" i="7"/>
  <c r="F844" i="7"/>
  <c r="E844" i="7"/>
  <c r="D844" i="7"/>
  <c r="C844" i="7"/>
  <c r="B844" i="7"/>
  <c r="A844" i="7"/>
  <c r="K843" i="7"/>
  <c r="J843" i="7"/>
  <c r="I843" i="7"/>
  <c r="H843" i="7"/>
  <c r="G843" i="7"/>
  <c r="F843" i="7"/>
  <c r="E843" i="7"/>
  <c r="D843" i="7"/>
  <c r="C843" i="7"/>
  <c r="B843" i="7"/>
  <c r="A843" i="7"/>
  <c r="K842" i="7"/>
  <c r="J842" i="7"/>
  <c r="I842" i="7"/>
  <c r="H842" i="7"/>
  <c r="G842" i="7"/>
  <c r="F842" i="7"/>
  <c r="E842" i="7"/>
  <c r="D842" i="7"/>
  <c r="C842" i="7"/>
  <c r="B842" i="7"/>
  <c r="A842" i="7"/>
  <c r="K841" i="7"/>
  <c r="J841" i="7"/>
  <c r="I841" i="7"/>
  <c r="H841" i="7"/>
  <c r="G841" i="7"/>
  <c r="F841" i="7"/>
  <c r="E841" i="7"/>
  <c r="D841" i="7"/>
  <c r="C841" i="7"/>
  <c r="B841" i="7"/>
  <c r="A841" i="7"/>
  <c r="K840" i="7"/>
  <c r="J840" i="7"/>
  <c r="I840" i="7"/>
  <c r="H840" i="7"/>
  <c r="G840" i="7"/>
  <c r="F840" i="7"/>
  <c r="E840" i="7"/>
  <c r="D840" i="7"/>
  <c r="C840" i="7"/>
  <c r="B840" i="7"/>
  <c r="A840" i="7"/>
  <c r="K839" i="7"/>
  <c r="J839" i="7"/>
  <c r="I839" i="7"/>
  <c r="H839" i="7"/>
  <c r="G839" i="7"/>
  <c r="F839" i="7"/>
  <c r="E839" i="7"/>
  <c r="D839" i="7"/>
  <c r="C839" i="7"/>
  <c r="B839" i="7"/>
  <c r="A839" i="7"/>
  <c r="K838" i="7"/>
  <c r="J838" i="7"/>
  <c r="I838" i="7"/>
  <c r="H838" i="7"/>
  <c r="G838" i="7"/>
  <c r="F838" i="7"/>
  <c r="E838" i="7"/>
  <c r="D838" i="7"/>
  <c r="C838" i="7"/>
  <c r="B838" i="7"/>
  <c r="A838" i="7"/>
  <c r="K837" i="7"/>
  <c r="J837" i="7"/>
  <c r="I837" i="7"/>
  <c r="H837" i="7"/>
  <c r="G837" i="7"/>
  <c r="F837" i="7"/>
  <c r="E837" i="7"/>
  <c r="D837" i="7"/>
  <c r="C837" i="7"/>
  <c r="B837" i="7"/>
  <c r="A837" i="7"/>
  <c r="K836" i="7"/>
  <c r="J836" i="7"/>
  <c r="I836" i="7"/>
  <c r="H836" i="7"/>
  <c r="G836" i="7"/>
  <c r="F836" i="7"/>
  <c r="E836" i="7"/>
  <c r="D836" i="7"/>
  <c r="C836" i="7"/>
  <c r="B836" i="7"/>
  <c r="A836" i="7"/>
  <c r="K835" i="7"/>
  <c r="J835" i="7"/>
  <c r="I835" i="7"/>
  <c r="H835" i="7"/>
  <c r="G835" i="7"/>
  <c r="F835" i="7"/>
  <c r="E835" i="7"/>
  <c r="D835" i="7"/>
  <c r="C835" i="7"/>
  <c r="B835" i="7"/>
  <c r="A835" i="7"/>
  <c r="K834" i="7"/>
  <c r="J834" i="7"/>
  <c r="I834" i="7"/>
  <c r="H834" i="7"/>
  <c r="G834" i="7"/>
  <c r="F834" i="7"/>
  <c r="E834" i="7"/>
  <c r="D834" i="7"/>
  <c r="C834" i="7"/>
  <c r="B834" i="7"/>
  <c r="A834" i="7"/>
  <c r="K833" i="7"/>
  <c r="J833" i="7"/>
  <c r="I833" i="7"/>
  <c r="H833" i="7"/>
  <c r="G833" i="7"/>
  <c r="F833" i="7"/>
  <c r="E833" i="7"/>
  <c r="D833" i="7"/>
  <c r="C833" i="7"/>
  <c r="B833" i="7"/>
  <c r="A833" i="7"/>
  <c r="K832" i="7"/>
  <c r="J832" i="7"/>
  <c r="I832" i="7"/>
  <c r="H832" i="7"/>
  <c r="G832" i="7"/>
  <c r="F832" i="7"/>
  <c r="E832" i="7"/>
  <c r="D832" i="7"/>
  <c r="C832" i="7"/>
  <c r="B832" i="7"/>
  <c r="A832" i="7"/>
  <c r="K831" i="7"/>
  <c r="J831" i="7"/>
  <c r="I831" i="7"/>
  <c r="H831" i="7"/>
  <c r="G831" i="7"/>
  <c r="F831" i="7"/>
  <c r="E831" i="7"/>
  <c r="D831" i="7"/>
  <c r="C831" i="7"/>
  <c r="B831" i="7"/>
  <c r="A831" i="7"/>
  <c r="K830" i="7"/>
  <c r="J830" i="7"/>
  <c r="I830" i="7"/>
  <c r="H830" i="7"/>
  <c r="G830" i="7"/>
  <c r="F830" i="7"/>
  <c r="E830" i="7"/>
  <c r="D830" i="7"/>
  <c r="C830" i="7"/>
  <c r="B830" i="7"/>
  <c r="A830" i="7"/>
  <c r="K829" i="7"/>
  <c r="J829" i="7"/>
  <c r="I829" i="7"/>
  <c r="H829" i="7"/>
  <c r="G829" i="7"/>
  <c r="F829" i="7"/>
  <c r="E829" i="7"/>
  <c r="D829" i="7"/>
  <c r="C829" i="7"/>
  <c r="B829" i="7"/>
  <c r="A829" i="7"/>
  <c r="K828" i="7"/>
  <c r="J828" i="7"/>
  <c r="I828" i="7"/>
  <c r="H828" i="7"/>
  <c r="G828" i="7"/>
  <c r="F828" i="7"/>
  <c r="E828" i="7"/>
  <c r="D828" i="7"/>
  <c r="C828" i="7"/>
  <c r="B828" i="7"/>
  <c r="A828" i="7"/>
  <c r="K827" i="7"/>
  <c r="J827" i="7"/>
  <c r="I827" i="7"/>
  <c r="H827" i="7"/>
  <c r="G827" i="7"/>
  <c r="F827" i="7"/>
  <c r="E827" i="7"/>
  <c r="D827" i="7"/>
  <c r="C827" i="7"/>
  <c r="B827" i="7"/>
  <c r="A827" i="7"/>
  <c r="K826" i="7"/>
  <c r="J826" i="7"/>
  <c r="I826" i="7"/>
  <c r="H826" i="7"/>
  <c r="G826" i="7"/>
  <c r="F826" i="7"/>
  <c r="E826" i="7"/>
  <c r="D826" i="7"/>
  <c r="C826" i="7"/>
  <c r="B826" i="7"/>
  <c r="A826" i="7"/>
  <c r="K825" i="7"/>
  <c r="J825" i="7"/>
  <c r="I825" i="7"/>
  <c r="H825" i="7"/>
  <c r="G825" i="7"/>
  <c r="F825" i="7"/>
  <c r="E825" i="7"/>
  <c r="D825" i="7"/>
  <c r="C825" i="7"/>
  <c r="B825" i="7"/>
  <c r="A825" i="7"/>
  <c r="K824" i="7"/>
  <c r="J824" i="7"/>
  <c r="I824" i="7"/>
  <c r="H824" i="7"/>
  <c r="G824" i="7"/>
  <c r="F824" i="7"/>
  <c r="E824" i="7"/>
  <c r="D824" i="7"/>
  <c r="C824" i="7"/>
  <c r="B824" i="7"/>
  <c r="A824" i="7"/>
  <c r="K823" i="7"/>
  <c r="J823" i="7"/>
  <c r="I823" i="7"/>
  <c r="H823" i="7"/>
  <c r="G823" i="7"/>
  <c r="F823" i="7"/>
  <c r="E823" i="7"/>
  <c r="D823" i="7"/>
  <c r="C823" i="7"/>
  <c r="B823" i="7"/>
  <c r="A823" i="7"/>
  <c r="K822" i="7"/>
  <c r="J822" i="7"/>
  <c r="I822" i="7"/>
  <c r="H822" i="7"/>
  <c r="G822" i="7"/>
  <c r="F822" i="7"/>
  <c r="E822" i="7"/>
  <c r="D822" i="7"/>
  <c r="C822" i="7"/>
  <c r="B822" i="7"/>
  <c r="A822" i="7"/>
  <c r="K821" i="7"/>
  <c r="J821" i="7"/>
  <c r="I821" i="7"/>
  <c r="H821" i="7"/>
  <c r="G821" i="7"/>
  <c r="F821" i="7"/>
  <c r="E821" i="7"/>
  <c r="D821" i="7"/>
  <c r="C821" i="7"/>
  <c r="B821" i="7"/>
  <c r="A821" i="7"/>
  <c r="K820" i="7"/>
  <c r="J820" i="7"/>
  <c r="I820" i="7"/>
  <c r="H820" i="7"/>
  <c r="G820" i="7"/>
  <c r="F820" i="7"/>
  <c r="E820" i="7"/>
  <c r="D820" i="7"/>
  <c r="C820" i="7"/>
  <c r="B820" i="7"/>
  <c r="A820" i="7"/>
  <c r="K819" i="7"/>
  <c r="J819" i="7"/>
  <c r="I819" i="7"/>
  <c r="H819" i="7"/>
  <c r="G819" i="7"/>
  <c r="F819" i="7"/>
  <c r="E819" i="7"/>
  <c r="D819" i="7"/>
  <c r="C819" i="7"/>
  <c r="B819" i="7"/>
  <c r="A819" i="7"/>
  <c r="K818" i="7"/>
  <c r="J818" i="7"/>
  <c r="I818" i="7"/>
  <c r="H818" i="7"/>
  <c r="G818" i="7"/>
  <c r="F818" i="7"/>
  <c r="E818" i="7"/>
  <c r="D818" i="7"/>
  <c r="C818" i="7"/>
  <c r="B818" i="7"/>
  <c r="A818" i="7"/>
  <c r="K817" i="7"/>
  <c r="J817" i="7"/>
  <c r="I817" i="7"/>
  <c r="H817" i="7"/>
  <c r="G817" i="7"/>
  <c r="F817" i="7"/>
  <c r="E817" i="7"/>
  <c r="D817" i="7"/>
  <c r="C817" i="7"/>
  <c r="B817" i="7"/>
  <c r="A817" i="7"/>
  <c r="K816" i="7"/>
  <c r="J816" i="7"/>
  <c r="I816" i="7"/>
  <c r="H816" i="7"/>
  <c r="G816" i="7"/>
  <c r="F816" i="7"/>
  <c r="E816" i="7"/>
  <c r="D816" i="7"/>
  <c r="C816" i="7"/>
  <c r="B816" i="7"/>
  <c r="A816" i="7"/>
  <c r="K815" i="7"/>
  <c r="J815" i="7"/>
  <c r="I815" i="7"/>
  <c r="H815" i="7"/>
  <c r="G815" i="7"/>
  <c r="F815" i="7"/>
  <c r="E815" i="7"/>
  <c r="D815" i="7"/>
  <c r="C815" i="7"/>
  <c r="B815" i="7"/>
  <c r="A815" i="7"/>
  <c r="K814" i="7"/>
  <c r="J814" i="7"/>
  <c r="I814" i="7"/>
  <c r="H814" i="7"/>
  <c r="G814" i="7"/>
  <c r="F814" i="7"/>
  <c r="E814" i="7"/>
  <c r="D814" i="7"/>
  <c r="C814" i="7"/>
  <c r="B814" i="7"/>
  <c r="A814" i="7"/>
  <c r="K813" i="7"/>
  <c r="J813" i="7"/>
  <c r="I813" i="7"/>
  <c r="H813" i="7"/>
  <c r="G813" i="7"/>
  <c r="F813" i="7"/>
  <c r="E813" i="7"/>
  <c r="D813" i="7"/>
  <c r="C813" i="7"/>
  <c r="B813" i="7"/>
  <c r="A813" i="7"/>
  <c r="K812" i="7"/>
  <c r="J812" i="7"/>
  <c r="I812" i="7"/>
  <c r="H812" i="7"/>
  <c r="G812" i="7"/>
  <c r="F812" i="7"/>
  <c r="E812" i="7"/>
  <c r="D812" i="7"/>
  <c r="C812" i="7"/>
  <c r="B812" i="7"/>
  <c r="A812" i="7"/>
  <c r="K811" i="7"/>
  <c r="J811" i="7"/>
  <c r="I811" i="7"/>
  <c r="H811" i="7"/>
  <c r="G811" i="7"/>
  <c r="F811" i="7"/>
  <c r="E811" i="7"/>
  <c r="D811" i="7"/>
  <c r="C811" i="7"/>
  <c r="B811" i="7"/>
  <c r="A811" i="7"/>
  <c r="K810" i="7"/>
  <c r="J810" i="7"/>
  <c r="I810" i="7"/>
  <c r="H810" i="7"/>
  <c r="G810" i="7"/>
  <c r="F810" i="7"/>
  <c r="E810" i="7"/>
  <c r="D810" i="7"/>
  <c r="C810" i="7"/>
  <c r="B810" i="7"/>
  <c r="A810" i="7"/>
  <c r="K809" i="7"/>
  <c r="J809" i="7"/>
  <c r="I809" i="7"/>
  <c r="H809" i="7"/>
  <c r="G809" i="7"/>
  <c r="F809" i="7"/>
  <c r="E809" i="7"/>
  <c r="D809" i="7"/>
  <c r="C809" i="7"/>
  <c r="B809" i="7"/>
  <c r="A809" i="7"/>
  <c r="K808" i="7"/>
  <c r="J808" i="7"/>
  <c r="I808" i="7"/>
  <c r="H808" i="7"/>
  <c r="G808" i="7"/>
  <c r="F808" i="7"/>
  <c r="E808" i="7"/>
  <c r="D808" i="7"/>
  <c r="C808" i="7"/>
  <c r="B808" i="7"/>
  <c r="A808" i="7"/>
  <c r="K807" i="7"/>
  <c r="J807" i="7"/>
  <c r="I807" i="7"/>
  <c r="H807" i="7"/>
  <c r="G807" i="7"/>
  <c r="F807" i="7"/>
  <c r="E807" i="7"/>
  <c r="D807" i="7"/>
  <c r="C807" i="7"/>
  <c r="B807" i="7"/>
  <c r="A807" i="7"/>
  <c r="K806" i="7"/>
  <c r="J806" i="7"/>
  <c r="I806" i="7"/>
  <c r="H806" i="7"/>
  <c r="G806" i="7"/>
  <c r="F806" i="7"/>
  <c r="E806" i="7"/>
  <c r="D806" i="7"/>
  <c r="C806" i="7"/>
  <c r="B806" i="7"/>
  <c r="A806" i="7"/>
  <c r="K805" i="7"/>
  <c r="J805" i="7"/>
  <c r="I805" i="7"/>
  <c r="H805" i="7"/>
  <c r="G805" i="7"/>
  <c r="F805" i="7"/>
  <c r="E805" i="7"/>
  <c r="D805" i="7"/>
  <c r="C805" i="7"/>
  <c r="B805" i="7"/>
  <c r="A805" i="7"/>
  <c r="K804" i="7"/>
  <c r="J804" i="7"/>
  <c r="I804" i="7"/>
  <c r="H804" i="7"/>
  <c r="G804" i="7"/>
  <c r="F804" i="7"/>
  <c r="E804" i="7"/>
  <c r="D804" i="7"/>
  <c r="C804" i="7"/>
  <c r="B804" i="7"/>
  <c r="A804" i="7"/>
  <c r="K803" i="7"/>
  <c r="J803" i="7"/>
  <c r="I803" i="7"/>
  <c r="H803" i="7"/>
  <c r="G803" i="7"/>
  <c r="F803" i="7"/>
  <c r="E803" i="7"/>
  <c r="D803" i="7"/>
  <c r="C803" i="7"/>
  <c r="B803" i="7"/>
  <c r="A803" i="7"/>
  <c r="K802" i="7"/>
  <c r="J802" i="7"/>
  <c r="I802" i="7"/>
  <c r="H802" i="7"/>
  <c r="G802" i="7"/>
  <c r="F802" i="7"/>
  <c r="E802" i="7"/>
  <c r="D802" i="7"/>
  <c r="C802" i="7"/>
  <c r="B802" i="7"/>
  <c r="A802" i="7"/>
  <c r="K801" i="7"/>
  <c r="J801" i="7"/>
  <c r="I801" i="7"/>
  <c r="H801" i="7"/>
  <c r="G801" i="7"/>
  <c r="F801" i="7"/>
  <c r="E801" i="7"/>
  <c r="D801" i="7"/>
  <c r="C801" i="7"/>
  <c r="B801" i="7"/>
  <c r="A801" i="7"/>
  <c r="K800" i="7"/>
  <c r="J800" i="7"/>
  <c r="I800" i="7"/>
  <c r="H800" i="7"/>
  <c r="G800" i="7"/>
  <c r="F800" i="7"/>
  <c r="E800" i="7"/>
  <c r="D800" i="7"/>
  <c r="C800" i="7"/>
  <c r="B800" i="7"/>
  <c r="A800" i="7"/>
  <c r="K799" i="7"/>
  <c r="J799" i="7"/>
  <c r="I799" i="7"/>
  <c r="H799" i="7"/>
  <c r="G799" i="7"/>
  <c r="F799" i="7"/>
  <c r="E799" i="7"/>
  <c r="D799" i="7"/>
  <c r="C799" i="7"/>
  <c r="B799" i="7"/>
  <c r="A799" i="7"/>
  <c r="K798" i="7"/>
  <c r="J798" i="7"/>
  <c r="I798" i="7"/>
  <c r="H798" i="7"/>
  <c r="G798" i="7"/>
  <c r="F798" i="7"/>
  <c r="E798" i="7"/>
  <c r="D798" i="7"/>
  <c r="C798" i="7"/>
  <c r="B798" i="7"/>
  <c r="A798" i="7"/>
  <c r="K797" i="7"/>
  <c r="J797" i="7"/>
  <c r="I797" i="7"/>
  <c r="H797" i="7"/>
  <c r="G797" i="7"/>
  <c r="F797" i="7"/>
  <c r="E797" i="7"/>
  <c r="D797" i="7"/>
  <c r="C797" i="7"/>
  <c r="B797" i="7"/>
  <c r="A797" i="7"/>
  <c r="K796" i="7"/>
  <c r="J796" i="7"/>
  <c r="I796" i="7"/>
  <c r="H796" i="7"/>
  <c r="G796" i="7"/>
  <c r="F796" i="7"/>
  <c r="E796" i="7"/>
  <c r="D796" i="7"/>
  <c r="C796" i="7"/>
  <c r="B796" i="7"/>
  <c r="A796" i="7"/>
  <c r="K795" i="7"/>
  <c r="J795" i="7"/>
  <c r="I795" i="7"/>
  <c r="H795" i="7"/>
  <c r="G795" i="7"/>
  <c r="F795" i="7"/>
  <c r="E795" i="7"/>
  <c r="D795" i="7"/>
  <c r="C795" i="7"/>
  <c r="B795" i="7"/>
  <c r="A795" i="7"/>
  <c r="K794" i="7"/>
  <c r="J794" i="7"/>
  <c r="I794" i="7"/>
  <c r="H794" i="7"/>
  <c r="G794" i="7"/>
  <c r="F794" i="7"/>
  <c r="E794" i="7"/>
  <c r="D794" i="7"/>
  <c r="C794" i="7"/>
  <c r="B794" i="7"/>
  <c r="A794" i="7"/>
  <c r="K793" i="7"/>
  <c r="J793" i="7"/>
  <c r="I793" i="7"/>
  <c r="H793" i="7"/>
  <c r="G793" i="7"/>
  <c r="F793" i="7"/>
  <c r="E793" i="7"/>
  <c r="D793" i="7"/>
  <c r="C793" i="7"/>
  <c r="B793" i="7"/>
  <c r="A793" i="7"/>
  <c r="K792" i="7"/>
  <c r="J792" i="7"/>
  <c r="I792" i="7"/>
  <c r="H792" i="7"/>
  <c r="G792" i="7"/>
  <c r="F792" i="7"/>
  <c r="E792" i="7"/>
  <c r="D792" i="7"/>
  <c r="C792" i="7"/>
  <c r="B792" i="7"/>
  <c r="A792" i="7"/>
  <c r="K791" i="7"/>
  <c r="J791" i="7"/>
  <c r="I791" i="7"/>
  <c r="H791" i="7"/>
  <c r="G791" i="7"/>
  <c r="F791" i="7"/>
  <c r="E791" i="7"/>
  <c r="D791" i="7"/>
  <c r="C791" i="7"/>
  <c r="B791" i="7"/>
  <c r="A791" i="7"/>
  <c r="K790" i="7"/>
  <c r="J790" i="7"/>
  <c r="I790" i="7"/>
  <c r="H790" i="7"/>
  <c r="G790" i="7"/>
  <c r="F790" i="7"/>
  <c r="E790" i="7"/>
  <c r="D790" i="7"/>
  <c r="C790" i="7"/>
  <c r="B790" i="7"/>
  <c r="A790" i="7"/>
  <c r="K789" i="7"/>
  <c r="J789" i="7"/>
  <c r="I789" i="7"/>
  <c r="H789" i="7"/>
  <c r="G789" i="7"/>
  <c r="F789" i="7"/>
  <c r="E789" i="7"/>
  <c r="D789" i="7"/>
  <c r="C789" i="7"/>
  <c r="B789" i="7"/>
  <c r="A789" i="7"/>
  <c r="K788" i="7"/>
  <c r="J788" i="7"/>
  <c r="I788" i="7"/>
  <c r="H788" i="7"/>
  <c r="G788" i="7"/>
  <c r="F788" i="7"/>
  <c r="E788" i="7"/>
  <c r="D788" i="7"/>
  <c r="C788" i="7"/>
  <c r="B788" i="7"/>
  <c r="A788" i="7"/>
  <c r="K787" i="7"/>
  <c r="J787" i="7"/>
  <c r="I787" i="7"/>
  <c r="H787" i="7"/>
  <c r="G787" i="7"/>
  <c r="F787" i="7"/>
  <c r="E787" i="7"/>
  <c r="D787" i="7"/>
  <c r="C787" i="7"/>
  <c r="B787" i="7"/>
  <c r="A787" i="7"/>
  <c r="K786" i="7"/>
  <c r="J786" i="7"/>
  <c r="I786" i="7"/>
  <c r="H786" i="7"/>
  <c r="G786" i="7"/>
  <c r="F786" i="7"/>
  <c r="E786" i="7"/>
  <c r="D786" i="7"/>
  <c r="C786" i="7"/>
  <c r="B786" i="7"/>
  <c r="A786" i="7"/>
  <c r="K785" i="7"/>
  <c r="J785" i="7"/>
  <c r="I785" i="7"/>
  <c r="H785" i="7"/>
  <c r="G785" i="7"/>
  <c r="F785" i="7"/>
  <c r="E785" i="7"/>
  <c r="D785" i="7"/>
  <c r="C785" i="7"/>
  <c r="B785" i="7"/>
  <c r="A785" i="7"/>
  <c r="K784" i="7"/>
  <c r="J784" i="7"/>
  <c r="I784" i="7"/>
  <c r="H784" i="7"/>
  <c r="G784" i="7"/>
  <c r="F784" i="7"/>
  <c r="E784" i="7"/>
  <c r="D784" i="7"/>
  <c r="C784" i="7"/>
  <c r="B784" i="7"/>
  <c r="A784" i="7"/>
  <c r="K783" i="7"/>
  <c r="J783" i="7"/>
  <c r="I783" i="7"/>
  <c r="H783" i="7"/>
  <c r="G783" i="7"/>
  <c r="F783" i="7"/>
  <c r="E783" i="7"/>
  <c r="D783" i="7"/>
  <c r="C783" i="7"/>
  <c r="B783" i="7"/>
  <c r="A783" i="7"/>
  <c r="K782" i="7"/>
  <c r="J782" i="7"/>
  <c r="I782" i="7"/>
  <c r="H782" i="7"/>
  <c r="G782" i="7"/>
  <c r="F782" i="7"/>
  <c r="E782" i="7"/>
  <c r="D782" i="7"/>
  <c r="C782" i="7"/>
  <c r="B782" i="7"/>
  <c r="A782" i="7"/>
  <c r="K781" i="7"/>
  <c r="J781" i="7"/>
  <c r="I781" i="7"/>
  <c r="H781" i="7"/>
  <c r="G781" i="7"/>
  <c r="F781" i="7"/>
  <c r="E781" i="7"/>
  <c r="D781" i="7"/>
  <c r="C781" i="7"/>
  <c r="B781" i="7"/>
  <c r="A781" i="7"/>
  <c r="K780" i="7"/>
  <c r="J780" i="7"/>
  <c r="I780" i="7"/>
  <c r="H780" i="7"/>
  <c r="G780" i="7"/>
  <c r="F780" i="7"/>
  <c r="E780" i="7"/>
  <c r="D780" i="7"/>
  <c r="C780" i="7"/>
  <c r="B780" i="7"/>
  <c r="A780" i="7"/>
  <c r="K779" i="7"/>
  <c r="J779" i="7"/>
  <c r="I779" i="7"/>
  <c r="H779" i="7"/>
  <c r="G779" i="7"/>
  <c r="F779" i="7"/>
  <c r="E779" i="7"/>
  <c r="D779" i="7"/>
  <c r="C779" i="7"/>
  <c r="B779" i="7"/>
  <c r="A779" i="7"/>
  <c r="K778" i="7"/>
  <c r="J778" i="7"/>
  <c r="I778" i="7"/>
  <c r="H778" i="7"/>
  <c r="G778" i="7"/>
  <c r="F778" i="7"/>
  <c r="E778" i="7"/>
  <c r="D778" i="7"/>
  <c r="C778" i="7"/>
  <c r="B778" i="7"/>
  <c r="A778" i="7"/>
  <c r="K777" i="7"/>
  <c r="J777" i="7"/>
  <c r="I777" i="7"/>
  <c r="H777" i="7"/>
  <c r="G777" i="7"/>
  <c r="F777" i="7"/>
  <c r="E777" i="7"/>
  <c r="D777" i="7"/>
  <c r="C777" i="7"/>
  <c r="B777" i="7"/>
  <c r="A777" i="7"/>
  <c r="K776" i="7"/>
  <c r="J776" i="7"/>
  <c r="I776" i="7"/>
  <c r="H776" i="7"/>
  <c r="G776" i="7"/>
  <c r="F776" i="7"/>
  <c r="E776" i="7"/>
  <c r="D776" i="7"/>
  <c r="C776" i="7"/>
  <c r="B776" i="7"/>
  <c r="A776" i="7"/>
  <c r="K775" i="7"/>
  <c r="J775" i="7"/>
  <c r="I775" i="7"/>
  <c r="H775" i="7"/>
  <c r="G775" i="7"/>
  <c r="F775" i="7"/>
  <c r="E775" i="7"/>
  <c r="D775" i="7"/>
  <c r="C775" i="7"/>
  <c r="B775" i="7"/>
  <c r="A775" i="7"/>
  <c r="K774" i="7"/>
  <c r="J774" i="7"/>
  <c r="I774" i="7"/>
  <c r="H774" i="7"/>
  <c r="G774" i="7"/>
  <c r="F774" i="7"/>
  <c r="E774" i="7"/>
  <c r="D774" i="7"/>
  <c r="C774" i="7"/>
  <c r="B774" i="7"/>
  <c r="A774" i="7"/>
  <c r="K773" i="7"/>
  <c r="J773" i="7"/>
  <c r="I773" i="7"/>
  <c r="H773" i="7"/>
  <c r="G773" i="7"/>
  <c r="F773" i="7"/>
  <c r="E773" i="7"/>
  <c r="D773" i="7"/>
  <c r="C773" i="7"/>
  <c r="B773" i="7"/>
  <c r="A773" i="7"/>
  <c r="K772" i="7"/>
  <c r="J772" i="7"/>
  <c r="I772" i="7"/>
  <c r="H772" i="7"/>
  <c r="G772" i="7"/>
  <c r="F772" i="7"/>
  <c r="E772" i="7"/>
  <c r="D772" i="7"/>
  <c r="C772" i="7"/>
  <c r="B772" i="7"/>
  <c r="A772" i="7"/>
  <c r="K771" i="7"/>
  <c r="J771" i="7"/>
  <c r="I771" i="7"/>
  <c r="H771" i="7"/>
  <c r="G771" i="7"/>
  <c r="F771" i="7"/>
  <c r="E771" i="7"/>
  <c r="D771" i="7"/>
  <c r="C771" i="7"/>
  <c r="B771" i="7"/>
  <c r="A771" i="7"/>
  <c r="K770" i="7"/>
  <c r="J770" i="7"/>
  <c r="I770" i="7"/>
  <c r="H770" i="7"/>
  <c r="G770" i="7"/>
  <c r="F770" i="7"/>
  <c r="E770" i="7"/>
  <c r="D770" i="7"/>
  <c r="C770" i="7"/>
  <c r="B770" i="7"/>
  <c r="A770" i="7"/>
  <c r="K769" i="7"/>
  <c r="J769" i="7"/>
  <c r="I769" i="7"/>
  <c r="H769" i="7"/>
  <c r="G769" i="7"/>
  <c r="F769" i="7"/>
  <c r="E769" i="7"/>
  <c r="D769" i="7"/>
  <c r="C769" i="7"/>
  <c r="B769" i="7"/>
  <c r="A769" i="7"/>
  <c r="K768" i="7"/>
  <c r="J768" i="7"/>
  <c r="I768" i="7"/>
  <c r="H768" i="7"/>
  <c r="G768" i="7"/>
  <c r="F768" i="7"/>
  <c r="E768" i="7"/>
  <c r="D768" i="7"/>
  <c r="C768" i="7"/>
  <c r="B768" i="7"/>
  <c r="A768" i="7"/>
  <c r="K767" i="7"/>
  <c r="J767" i="7"/>
  <c r="I767" i="7"/>
  <c r="H767" i="7"/>
  <c r="G767" i="7"/>
  <c r="F767" i="7"/>
  <c r="E767" i="7"/>
  <c r="D767" i="7"/>
  <c r="C767" i="7"/>
  <c r="B767" i="7"/>
  <c r="A767" i="7"/>
  <c r="K766" i="7"/>
  <c r="J766" i="7"/>
  <c r="I766" i="7"/>
  <c r="H766" i="7"/>
  <c r="G766" i="7"/>
  <c r="F766" i="7"/>
  <c r="E766" i="7"/>
  <c r="D766" i="7"/>
  <c r="C766" i="7"/>
  <c r="B766" i="7"/>
  <c r="A766" i="7"/>
  <c r="K765" i="7"/>
  <c r="J765" i="7"/>
  <c r="I765" i="7"/>
  <c r="H765" i="7"/>
  <c r="G765" i="7"/>
  <c r="F765" i="7"/>
  <c r="E765" i="7"/>
  <c r="D765" i="7"/>
  <c r="C765" i="7"/>
  <c r="B765" i="7"/>
  <c r="A765" i="7"/>
  <c r="K764" i="7"/>
  <c r="J764" i="7"/>
  <c r="I764" i="7"/>
  <c r="H764" i="7"/>
  <c r="G764" i="7"/>
  <c r="F764" i="7"/>
  <c r="E764" i="7"/>
  <c r="D764" i="7"/>
  <c r="C764" i="7"/>
  <c r="B764" i="7"/>
  <c r="A764" i="7"/>
  <c r="K763" i="7"/>
  <c r="J763" i="7"/>
  <c r="I763" i="7"/>
  <c r="H763" i="7"/>
  <c r="G763" i="7"/>
  <c r="F763" i="7"/>
  <c r="E763" i="7"/>
  <c r="D763" i="7"/>
  <c r="C763" i="7"/>
  <c r="B763" i="7"/>
  <c r="A763" i="7"/>
  <c r="K762" i="7"/>
  <c r="J762" i="7"/>
  <c r="I762" i="7"/>
  <c r="H762" i="7"/>
  <c r="G762" i="7"/>
  <c r="F762" i="7"/>
  <c r="E762" i="7"/>
  <c r="D762" i="7"/>
  <c r="C762" i="7"/>
  <c r="B762" i="7"/>
  <c r="A762" i="7"/>
  <c r="K761" i="7"/>
  <c r="J761" i="7"/>
  <c r="I761" i="7"/>
  <c r="H761" i="7"/>
  <c r="G761" i="7"/>
  <c r="F761" i="7"/>
  <c r="E761" i="7"/>
  <c r="D761" i="7"/>
  <c r="C761" i="7"/>
  <c r="B761" i="7"/>
  <c r="A761" i="7"/>
  <c r="K760" i="7"/>
  <c r="J760" i="7"/>
  <c r="I760" i="7"/>
  <c r="H760" i="7"/>
  <c r="G760" i="7"/>
  <c r="F760" i="7"/>
  <c r="E760" i="7"/>
  <c r="D760" i="7"/>
  <c r="C760" i="7"/>
  <c r="B760" i="7"/>
  <c r="A760" i="7"/>
  <c r="K759" i="7"/>
  <c r="J759" i="7"/>
  <c r="I759" i="7"/>
  <c r="H759" i="7"/>
  <c r="G759" i="7"/>
  <c r="F759" i="7"/>
  <c r="E759" i="7"/>
  <c r="D759" i="7"/>
  <c r="C759" i="7"/>
  <c r="B759" i="7"/>
  <c r="A759" i="7"/>
  <c r="K758" i="7"/>
  <c r="J758" i="7"/>
  <c r="I758" i="7"/>
  <c r="H758" i="7"/>
  <c r="G758" i="7"/>
  <c r="F758" i="7"/>
  <c r="E758" i="7"/>
  <c r="D758" i="7"/>
  <c r="C758" i="7"/>
  <c r="B758" i="7"/>
  <c r="A758" i="7"/>
  <c r="K757" i="7"/>
  <c r="J757" i="7"/>
  <c r="I757" i="7"/>
  <c r="H757" i="7"/>
  <c r="G757" i="7"/>
  <c r="F757" i="7"/>
  <c r="E757" i="7"/>
  <c r="D757" i="7"/>
  <c r="C757" i="7"/>
  <c r="B757" i="7"/>
  <c r="A757" i="7"/>
  <c r="K756" i="7"/>
  <c r="J756" i="7"/>
  <c r="I756" i="7"/>
  <c r="H756" i="7"/>
  <c r="G756" i="7"/>
  <c r="F756" i="7"/>
  <c r="E756" i="7"/>
  <c r="D756" i="7"/>
  <c r="C756" i="7"/>
  <c r="B756" i="7"/>
  <c r="A756" i="7"/>
  <c r="K755" i="7"/>
  <c r="J755" i="7"/>
  <c r="I755" i="7"/>
  <c r="H755" i="7"/>
  <c r="G755" i="7"/>
  <c r="F755" i="7"/>
  <c r="E755" i="7"/>
  <c r="D755" i="7"/>
  <c r="C755" i="7"/>
  <c r="B755" i="7"/>
  <c r="A755" i="7"/>
  <c r="K754" i="7"/>
  <c r="J754" i="7"/>
  <c r="I754" i="7"/>
  <c r="H754" i="7"/>
  <c r="G754" i="7"/>
  <c r="F754" i="7"/>
  <c r="E754" i="7"/>
  <c r="D754" i="7"/>
  <c r="C754" i="7"/>
  <c r="B754" i="7"/>
  <c r="A754" i="7"/>
  <c r="K753" i="7"/>
  <c r="J753" i="7"/>
  <c r="I753" i="7"/>
  <c r="H753" i="7"/>
  <c r="G753" i="7"/>
  <c r="F753" i="7"/>
  <c r="E753" i="7"/>
  <c r="D753" i="7"/>
  <c r="C753" i="7"/>
  <c r="B753" i="7"/>
  <c r="A753" i="7"/>
  <c r="K752" i="7"/>
  <c r="J752" i="7"/>
  <c r="I752" i="7"/>
  <c r="H752" i="7"/>
  <c r="G752" i="7"/>
  <c r="F752" i="7"/>
  <c r="E752" i="7"/>
  <c r="D752" i="7"/>
  <c r="C752" i="7"/>
  <c r="B752" i="7"/>
  <c r="A752" i="7"/>
  <c r="K751" i="7"/>
  <c r="J751" i="7"/>
  <c r="I751" i="7"/>
  <c r="H751" i="7"/>
  <c r="G751" i="7"/>
  <c r="F751" i="7"/>
  <c r="E751" i="7"/>
  <c r="D751" i="7"/>
  <c r="C751" i="7"/>
  <c r="B751" i="7"/>
  <c r="A751" i="7"/>
  <c r="K750" i="7"/>
  <c r="J750" i="7"/>
  <c r="I750" i="7"/>
  <c r="H750" i="7"/>
  <c r="G750" i="7"/>
  <c r="F750" i="7"/>
  <c r="E750" i="7"/>
  <c r="D750" i="7"/>
  <c r="C750" i="7"/>
  <c r="B750" i="7"/>
  <c r="A750" i="7"/>
  <c r="K749" i="7"/>
  <c r="J749" i="7"/>
  <c r="I749" i="7"/>
  <c r="H749" i="7"/>
  <c r="G749" i="7"/>
  <c r="F749" i="7"/>
  <c r="E749" i="7"/>
  <c r="D749" i="7"/>
  <c r="C749" i="7"/>
  <c r="B749" i="7"/>
  <c r="A749" i="7"/>
  <c r="K748" i="7"/>
  <c r="J748" i="7"/>
  <c r="I748" i="7"/>
  <c r="H748" i="7"/>
  <c r="G748" i="7"/>
  <c r="F748" i="7"/>
  <c r="E748" i="7"/>
  <c r="D748" i="7"/>
  <c r="C748" i="7"/>
  <c r="B748" i="7"/>
  <c r="A748" i="7"/>
  <c r="K747" i="7"/>
  <c r="J747" i="7"/>
  <c r="I747" i="7"/>
  <c r="H747" i="7"/>
  <c r="G747" i="7"/>
  <c r="F747" i="7"/>
  <c r="E747" i="7"/>
  <c r="D747" i="7"/>
  <c r="C747" i="7"/>
  <c r="B747" i="7"/>
  <c r="A747" i="7"/>
  <c r="K746" i="7"/>
  <c r="J746" i="7"/>
  <c r="I746" i="7"/>
  <c r="H746" i="7"/>
  <c r="G746" i="7"/>
  <c r="F746" i="7"/>
  <c r="E746" i="7"/>
  <c r="D746" i="7"/>
  <c r="C746" i="7"/>
  <c r="B746" i="7"/>
  <c r="A746" i="7"/>
  <c r="K745" i="7"/>
  <c r="J745" i="7"/>
  <c r="I745" i="7"/>
  <c r="H745" i="7"/>
  <c r="G745" i="7"/>
  <c r="F745" i="7"/>
  <c r="E745" i="7"/>
  <c r="D745" i="7"/>
  <c r="C745" i="7"/>
  <c r="B745" i="7"/>
  <c r="A745" i="7"/>
  <c r="K744" i="7"/>
  <c r="J744" i="7"/>
  <c r="I744" i="7"/>
  <c r="H744" i="7"/>
  <c r="G744" i="7"/>
  <c r="F744" i="7"/>
  <c r="E744" i="7"/>
  <c r="D744" i="7"/>
  <c r="C744" i="7"/>
  <c r="B744" i="7"/>
  <c r="A744" i="7"/>
  <c r="K743" i="7"/>
  <c r="J743" i="7"/>
  <c r="I743" i="7"/>
  <c r="H743" i="7"/>
  <c r="G743" i="7"/>
  <c r="F743" i="7"/>
  <c r="E743" i="7"/>
  <c r="D743" i="7"/>
  <c r="C743" i="7"/>
  <c r="B743" i="7"/>
  <c r="A743" i="7"/>
  <c r="K742" i="7"/>
  <c r="J742" i="7"/>
  <c r="I742" i="7"/>
  <c r="H742" i="7"/>
  <c r="G742" i="7"/>
  <c r="F742" i="7"/>
  <c r="E742" i="7"/>
  <c r="D742" i="7"/>
  <c r="C742" i="7"/>
  <c r="B742" i="7"/>
  <c r="A742" i="7"/>
  <c r="K741" i="7"/>
  <c r="J741" i="7"/>
  <c r="I741" i="7"/>
  <c r="H741" i="7"/>
  <c r="G741" i="7"/>
  <c r="F741" i="7"/>
  <c r="E741" i="7"/>
  <c r="D741" i="7"/>
  <c r="C741" i="7"/>
  <c r="B741" i="7"/>
  <c r="A741" i="7"/>
  <c r="K740" i="7"/>
  <c r="J740" i="7"/>
  <c r="I740" i="7"/>
  <c r="H740" i="7"/>
  <c r="G740" i="7"/>
  <c r="F740" i="7"/>
  <c r="E740" i="7"/>
  <c r="D740" i="7"/>
  <c r="C740" i="7"/>
  <c r="B740" i="7"/>
  <c r="A740" i="7"/>
  <c r="K739" i="7"/>
  <c r="J739" i="7"/>
  <c r="I739" i="7"/>
  <c r="H739" i="7"/>
  <c r="G739" i="7"/>
  <c r="F739" i="7"/>
  <c r="E739" i="7"/>
  <c r="D739" i="7"/>
  <c r="C739" i="7"/>
  <c r="B739" i="7"/>
  <c r="A739" i="7"/>
  <c r="K738" i="7"/>
  <c r="J738" i="7"/>
  <c r="I738" i="7"/>
  <c r="H738" i="7"/>
  <c r="G738" i="7"/>
  <c r="F738" i="7"/>
  <c r="E738" i="7"/>
  <c r="D738" i="7"/>
  <c r="C738" i="7"/>
  <c r="B738" i="7"/>
  <c r="A738" i="7"/>
  <c r="K737" i="7"/>
  <c r="J737" i="7"/>
  <c r="I737" i="7"/>
  <c r="H737" i="7"/>
  <c r="G737" i="7"/>
  <c r="F737" i="7"/>
  <c r="E737" i="7"/>
  <c r="D737" i="7"/>
  <c r="C737" i="7"/>
  <c r="B737" i="7"/>
  <c r="A737" i="7"/>
  <c r="K736" i="7"/>
  <c r="J736" i="7"/>
  <c r="I736" i="7"/>
  <c r="H736" i="7"/>
  <c r="G736" i="7"/>
  <c r="F736" i="7"/>
  <c r="E736" i="7"/>
  <c r="D736" i="7"/>
  <c r="C736" i="7"/>
  <c r="B736" i="7"/>
  <c r="A736" i="7"/>
  <c r="K735" i="7"/>
  <c r="J735" i="7"/>
  <c r="I735" i="7"/>
  <c r="H735" i="7"/>
  <c r="G735" i="7"/>
  <c r="F735" i="7"/>
  <c r="E735" i="7"/>
  <c r="D735" i="7"/>
  <c r="C735" i="7"/>
  <c r="B735" i="7"/>
  <c r="A735" i="7"/>
  <c r="K734" i="7"/>
  <c r="J734" i="7"/>
  <c r="I734" i="7"/>
  <c r="H734" i="7"/>
  <c r="G734" i="7"/>
  <c r="F734" i="7"/>
  <c r="E734" i="7"/>
  <c r="D734" i="7"/>
  <c r="C734" i="7"/>
  <c r="B734" i="7"/>
  <c r="A734" i="7"/>
  <c r="K733" i="7"/>
  <c r="J733" i="7"/>
  <c r="I733" i="7"/>
  <c r="H733" i="7"/>
  <c r="G733" i="7"/>
  <c r="F733" i="7"/>
  <c r="E733" i="7"/>
  <c r="D733" i="7"/>
  <c r="C733" i="7"/>
  <c r="B733" i="7"/>
  <c r="A733" i="7"/>
  <c r="K732" i="7"/>
  <c r="J732" i="7"/>
  <c r="I732" i="7"/>
  <c r="H732" i="7"/>
  <c r="G732" i="7"/>
  <c r="F732" i="7"/>
  <c r="E732" i="7"/>
  <c r="D732" i="7"/>
  <c r="C732" i="7"/>
  <c r="B732" i="7"/>
  <c r="A732" i="7"/>
  <c r="K731" i="7"/>
  <c r="J731" i="7"/>
  <c r="I731" i="7"/>
  <c r="H731" i="7"/>
  <c r="G731" i="7"/>
  <c r="F731" i="7"/>
  <c r="E731" i="7"/>
  <c r="D731" i="7"/>
  <c r="C731" i="7"/>
  <c r="B731" i="7"/>
  <c r="A731" i="7"/>
  <c r="K730" i="7"/>
  <c r="J730" i="7"/>
  <c r="I730" i="7"/>
  <c r="H730" i="7"/>
  <c r="G730" i="7"/>
  <c r="F730" i="7"/>
  <c r="E730" i="7"/>
  <c r="D730" i="7"/>
  <c r="C730" i="7"/>
  <c r="B730" i="7"/>
  <c r="A730" i="7"/>
  <c r="K729" i="7"/>
  <c r="J729" i="7"/>
  <c r="I729" i="7"/>
  <c r="H729" i="7"/>
  <c r="G729" i="7"/>
  <c r="F729" i="7"/>
  <c r="E729" i="7"/>
  <c r="D729" i="7"/>
  <c r="C729" i="7"/>
  <c r="B729" i="7"/>
  <c r="A729" i="7"/>
  <c r="K728" i="7"/>
  <c r="J728" i="7"/>
  <c r="I728" i="7"/>
  <c r="H728" i="7"/>
  <c r="G728" i="7"/>
  <c r="F728" i="7"/>
  <c r="E728" i="7"/>
  <c r="D728" i="7"/>
  <c r="C728" i="7"/>
  <c r="B728" i="7"/>
  <c r="A728" i="7"/>
  <c r="K727" i="7"/>
  <c r="J727" i="7"/>
  <c r="I727" i="7"/>
  <c r="H727" i="7"/>
  <c r="G727" i="7"/>
  <c r="F727" i="7"/>
  <c r="E727" i="7"/>
  <c r="D727" i="7"/>
  <c r="C727" i="7"/>
  <c r="B727" i="7"/>
  <c r="A727" i="7"/>
  <c r="K726" i="7"/>
  <c r="J726" i="7"/>
  <c r="I726" i="7"/>
  <c r="H726" i="7"/>
  <c r="G726" i="7"/>
  <c r="F726" i="7"/>
  <c r="E726" i="7"/>
  <c r="D726" i="7"/>
  <c r="C726" i="7"/>
  <c r="B726" i="7"/>
  <c r="A726" i="7"/>
  <c r="K725" i="7"/>
  <c r="J725" i="7"/>
  <c r="I725" i="7"/>
  <c r="H725" i="7"/>
  <c r="G725" i="7"/>
  <c r="F725" i="7"/>
  <c r="E725" i="7"/>
  <c r="D725" i="7"/>
  <c r="C725" i="7"/>
  <c r="B725" i="7"/>
  <c r="A725" i="7"/>
  <c r="K724" i="7"/>
  <c r="J724" i="7"/>
  <c r="I724" i="7"/>
  <c r="H724" i="7"/>
  <c r="G724" i="7"/>
  <c r="F724" i="7"/>
  <c r="E724" i="7"/>
  <c r="D724" i="7"/>
  <c r="C724" i="7"/>
  <c r="B724" i="7"/>
  <c r="A724" i="7"/>
  <c r="K723" i="7"/>
  <c r="J723" i="7"/>
  <c r="I723" i="7"/>
  <c r="H723" i="7"/>
  <c r="G723" i="7"/>
  <c r="F723" i="7"/>
  <c r="E723" i="7"/>
  <c r="D723" i="7"/>
  <c r="C723" i="7"/>
  <c r="B723" i="7"/>
  <c r="A723" i="7"/>
  <c r="K722" i="7"/>
  <c r="J722" i="7"/>
  <c r="I722" i="7"/>
  <c r="H722" i="7"/>
  <c r="G722" i="7"/>
  <c r="F722" i="7"/>
  <c r="E722" i="7"/>
  <c r="D722" i="7"/>
  <c r="C722" i="7"/>
  <c r="B722" i="7"/>
  <c r="A722" i="7"/>
  <c r="K721" i="7"/>
  <c r="J721" i="7"/>
  <c r="I721" i="7"/>
  <c r="H721" i="7"/>
  <c r="G721" i="7"/>
  <c r="F721" i="7"/>
  <c r="E721" i="7"/>
  <c r="D721" i="7"/>
  <c r="C721" i="7"/>
  <c r="B721" i="7"/>
  <c r="A721" i="7"/>
  <c r="K720" i="7"/>
  <c r="J720" i="7"/>
  <c r="I720" i="7"/>
  <c r="H720" i="7"/>
  <c r="G720" i="7"/>
  <c r="F720" i="7"/>
  <c r="E720" i="7"/>
  <c r="D720" i="7"/>
  <c r="C720" i="7"/>
  <c r="B720" i="7"/>
  <c r="A720" i="7"/>
  <c r="K719" i="7"/>
  <c r="J719" i="7"/>
  <c r="I719" i="7"/>
  <c r="H719" i="7"/>
  <c r="G719" i="7"/>
  <c r="F719" i="7"/>
  <c r="E719" i="7"/>
  <c r="D719" i="7"/>
  <c r="C719" i="7"/>
  <c r="B719" i="7"/>
  <c r="A719" i="7"/>
  <c r="K718" i="7"/>
  <c r="J718" i="7"/>
  <c r="I718" i="7"/>
  <c r="H718" i="7"/>
  <c r="G718" i="7"/>
  <c r="F718" i="7"/>
  <c r="E718" i="7"/>
  <c r="D718" i="7"/>
  <c r="C718" i="7"/>
  <c r="B718" i="7"/>
  <c r="A718" i="7"/>
  <c r="K717" i="7"/>
  <c r="J717" i="7"/>
  <c r="I717" i="7"/>
  <c r="H717" i="7"/>
  <c r="G717" i="7"/>
  <c r="F717" i="7"/>
  <c r="E717" i="7"/>
  <c r="D717" i="7"/>
  <c r="C717" i="7"/>
  <c r="B717" i="7"/>
  <c r="A717" i="7"/>
  <c r="K716" i="7"/>
  <c r="J716" i="7"/>
  <c r="I716" i="7"/>
  <c r="H716" i="7"/>
  <c r="G716" i="7"/>
  <c r="F716" i="7"/>
  <c r="E716" i="7"/>
  <c r="D716" i="7"/>
  <c r="C716" i="7"/>
  <c r="B716" i="7"/>
  <c r="A716" i="7"/>
  <c r="K715" i="7"/>
  <c r="J715" i="7"/>
  <c r="I715" i="7"/>
  <c r="H715" i="7"/>
  <c r="G715" i="7"/>
  <c r="F715" i="7"/>
  <c r="E715" i="7"/>
  <c r="D715" i="7"/>
  <c r="C715" i="7"/>
  <c r="B715" i="7"/>
  <c r="A715" i="7"/>
  <c r="K714" i="7"/>
  <c r="J714" i="7"/>
  <c r="I714" i="7"/>
  <c r="H714" i="7"/>
  <c r="G714" i="7"/>
  <c r="F714" i="7"/>
  <c r="E714" i="7"/>
  <c r="D714" i="7"/>
  <c r="C714" i="7"/>
  <c r="B714" i="7"/>
  <c r="A714" i="7"/>
  <c r="K713" i="7"/>
  <c r="J713" i="7"/>
  <c r="I713" i="7"/>
  <c r="H713" i="7"/>
  <c r="G713" i="7"/>
  <c r="F713" i="7"/>
  <c r="E713" i="7"/>
  <c r="D713" i="7"/>
  <c r="C713" i="7"/>
  <c r="B713" i="7"/>
  <c r="A713" i="7"/>
  <c r="K712" i="7"/>
  <c r="J712" i="7"/>
  <c r="I712" i="7"/>
  <c r="H712" i="7"/>
  <c r="G712" i="7"/>
  <c r="F712" i="7"/>
  <c r="E712" i="7"/>
  <c r="D712" i="7"/>
  <c r="C712" i="7"/>
  <c r="B712" i="7"/>
  <c r="A712" i="7"/>
  <c r="K711" i="7"/>
  <c r="J711" i="7"/>
  <c r="I711" i="7"/>
  <c r="H711" i="7"/>
  <c r="G711" i="7"/>
  <c r="F711" i="7"/>
  <c r="E711" i="7"/>
  <c r="D711" i="7"/>
  <c r="C711" i="7"/>
  <c r="B711" i="7"/>
  <c r="A711" i="7"/>
  <c r="K710" i="7"/>
  <c r="J710" i="7"/>
  <c r="I710" i="7"/>
  <c r="H710" i="7"/>
  <c r="G710" i="7"/>
  <c r="F710" i="7"/>
  <c r="E710" i="7"/>
  <c r="D710" i="7"/>
  <c r="C710" i="7"/>
  <c r="B710" i="7"/>
  <c r="A710" i="7"/>
  <c r="K709" i="7"/>
  <c r="J709" i="7"/>
  <c r="I709" i="7"/>
  <c r="H709" i="7"/>
  <c r="G709" i="7"/>
  <c r="F709" i="7"/>
  <c r="E709" i="7"/>
  <c r="D709" i="7"/>
  <c r="C709" i="7"/>
  <c r="B709" i="7"/>
  <c r="A709" i="7"/>
  <c r="K708" i="7"/>
  <c r="J708" i="7"/>
  <c r="I708" i="7"/>
  <c r="H708" i="7"/>
  <c r="G708" i="7"/>
  <c r="F708" i="7"/>
  <c r="E708" i="7"/>
  <c r="D708" i="7"/>
  <c r="C708" i="7"/>
  <c r="B708" i="7"/>
  <c r="A708" i="7"/>
  <c r="K707" i="7"/>
  <c r="J707" i="7"/>
  <c r="I707" i="7"/>
  <c r="H707" i="7"/>
  <c r="G707" i="7"/>
  <c r="F707" i="7"/>
  <c r="E707" i="7"/>
  <c r="D707" i="7"/>
  <c r="C707" i="7"/>
  <c r="B707" i="7"/>
  <c r="A707" i="7"/>
  <c r="K706" i="7"/>
  <c r="J706" i="7"/>
  <c r="I706" i="7"/>
  <c r="H706" i="7"/>
  <c r="G706" i="7"/>
  <c r="F706" i="7"/>
  <c r="E706" i="7"/>
  <c r="D706" i="7"/>
  <c r="C706" i="7"/>
  <c r="B706" i="7"/>
  <c r="A706" i="7"/>
  <c r="K705" i="7"/>
  <c r="J705" i="7"/>
  <c r="I705" i="7"/>
  <c r="H705" i="7"/>
  <c r="G705" i="7"/>
  <c r="F705" i="7"/>
  <c r="E705" i="7"/>
  <c r="D705" i="7"/>
  <c r="C705" i="7"/>
  <c r="B705" i="7"/>
  <c r="A705" i="7"/>
  <c r="K704" i="7"/>
  <c r="J704" i="7"/>
  <c r="I704" i="7"/>
  <c r="H704" i="7"/>
  <c r="G704" i="7"/>
  <c r="F704" i="7"/>
  <c r="E704" i="7"/>
  <c r="D704" i="7"/>
  <c r="C704" i="7"/>
  <c r="B704" i="7"/>
  <c r="A704" i="7"/>
  <c r="K703" i="7"/>
  <c r="J703" i="7"/>
  <c r="I703" i="7"/>
  <c r="H703" i="7"/>
  <c r="G703" i="7"/>
  <c r="F703" i="7"/>
  <c r="E703" i="7"/>
  <c r="D703" i="7"/>
  <c r="C703" i="7"/>
  <c r="B703" i="7"/>
  <c r="A703" i="7"/>
  <c r="K702" i="7"/>
  <c r="J702" i="7"/>
  <c r="I702" i="7"/>
  <c r="H702" i="7"/>
  <c r="G702" i="7"/>
  <c r="F702" i="7"/>
  <c r="E702" i="7"/>
  <c r="D702" i="7"/>
  <c r="C702" i="7"/>
  <c r="B702" i="7"/>
  <c r="A702" i="7"/>
  <c r="K701" i="7"/>
  <c r="J701" i="7"/>
  <c r="I701" i="7"/>
  <c r="H701" i="7"/>
  <c r="G701" i="7"/>
  <c r="F701" i="7"/>
  <c r="E701" i="7"/>
  <c r="D701" i="7"/>
  <c r="C701" i="7"/>
  <c r="B701" i="7"/>
  <c r="A701" i="7"/>
  <c r="K700" i="7"/>
  <c r="J700" i="7"/>
  <c r="I700" i="7"/>
  <c r="H700" i="7"/>
  <c r="G700" i="7"/>
  <c r="F700" i="7"/>
  <c r="E700" i="7"/>
  <c r="D700" i="7"/>
  <c r="C700" i="7"/>
  <c r="B700" i="7"/>
  <c r="A700" i="7"/>
  <c r="K699" i="7"/>
  <c r="J699" i="7"/>
  <c r="I699" i="7"/>
  <c r="H699" i="7"/>
  <c r="G699" i="7"/>
  <c r="F699" i="7"/>
  <c r="E699" i="7"/>
  <c r="D699" i="7"/>
  <c r="C699" i="7"/>
  <c r="B699" i="7"/>
  <c r="A699" i="7"/>
  <c r="K698" i="7"/>
  <c r="J698" i="7"/>
  <c r="I698" i="7"/>
  <c r="H698" i="7"/>
  <c r="G698" i="7"/>
  <c r="F698" i="7"/>
  <c r="E698" i="7"/>
  <c r="D698" i="7"/>
  <c r="C698" i="7"/>
  <c r="B698" i="7"/>
  <c r="A698" i="7"/>
  <c r="K697" i="7"/>
  <c r="J697" i="7"/>
  <c r="I697" i="7"/>
  <c r="H697" i="7"/>
  <c r="G697" i="7"/>
  <c r="F697" i="7"/>
  <c r="E697" i="7"/>
  <c r="D697" i="7"/>
  <c r="C697" i="7"/>
  <c r="B697" i="7"/>
  <c r="A697" i="7"/>
  <c r="K696" i="7"/>
  <c r="J696" i="7"/>
  <c r="I696" i="7"/>
  <c r="H696" i="7"/>
  <c r="G696" i="7"/>
  <c r="F696" i="7"/>
  <c r="E696" i="7"/>
  <c r="D696" i="7"/>
  <c r="C696" i="7"/>
  <c r="B696" i="7"/>
  <c r="A696" i="7"/>
  <c r="K695" i="7"/>
  <c r="J695" i="7"/>
  <c r="I695" i="7"/>
  <c r="H695" i="7"/>
  <c r="G695" i="7"/>
  <c r="F695" i="7"/>
  <c r="E695" i="7"/>
  <c r="D695" i="7"/>
  <c r="C695" i="7"/>
  <c r="B695" i="7"/>
  <c r="A695" i="7"/>
  <c r="K694" i="7"/>
  <c r="J694" i="7"/>
  <c r="I694" i="7"/>
  <c r="H694" i="7"/>
  <c r="G694" i="7"/>
  <c r="F694" i="7"/>
  <c r="E694" i="7"/>
  <c r="D694" i="7"/>
  <c r="C694" i="7"/>
  <c r="B694" i="7"/>
  <c r="A694" i="7"/>
  <c r="K693" i="7"/>
  <c r="J693" i="7"/>
  <c r="I693" i="7"/>
  <c r="H693" i="7"/>
  <c r="G693" i="7"/>
  <c r="F693" i="7"/>
  <c r="E693" i="7"/>
  <c r="D693" i="7"/>
  <c r="C693" i="7"/>
  <c r="B693" i="7"/>
  <c r="A693" i="7"/>
  <c r="K692" i="7"/>
  <c r="J692" i="7"/>
  <c r="I692" i="7"/>
  <c r="H692" i="7"/>
  <c r="G692" i="7"/>
  <c r="F692" i="7"/>
  <c r="E692" i="7"/>
  <c r="D692" i="7"/>
  <c r="C692" i="7"/>
  <c r="B692" i="7"/>
  <c r="A692" i="7"/>
  <c r="K691" i="7"/>
  <c r="J691" i="7"/>
  <c r="I691" i="7"/>
  <c r="H691" i="7"/>
  <c r="G691" i="7"/>
  <c r="F691" i="7"/>
  <c r="E691" i="7"/>
  <c r="D691" i="7"/>
  <c r="C691" i="7"/>
  <c r="B691" i="7"/>
  <c r="A691" i="7"/>
  <c r="K690" i="7"/>
  <c r="J690" i="7"/>
  <c r="I690" i="7"/>
  <c r="H690" i="7"/>
  <c r="G690" i="7"/>
  <c r="F690" i="7"/>
  <c r="E690" i="7"/>
  <c r="D690" i="7"/>
  <c r="C690" i="7"/>
  <c r="B690" i="7"/>
  <c r="A690" i="7"/>
  <c r="K689" i="7"/>
  <c r="J689" i="7"/>
  <c r="I689" i="7"/>
  <c r="H689" i="7"/>
  <c r="G689" i="7"/>
  <c r="F689" i="7"/>
  <c r="E689" i="7"/>
  <c r="D689" i="7"/>
  <c r="C689" i="7"/>
  <c r="B689" i="7"/>
  <c r="A689" i="7"/>
  <c r="K688" i="7"/>
  <c r="J688" i="7"/>
  <c r="I688" i="7"/>
  <c r="H688" i="7"/>
  <c r="G688" i="7"/>
  <c r="F688" i="7"/>
  <c r="E688" i="7"/>
  <c r="D688" i="7"/>
  <c r="C688" i="7"/>
  <c r="B688" i="7"/>
  <c r="A688" i="7"/>
  <c r="K687" i="7"/>
  <c r="J687" i="7"/>
  <c r="I687" i="7"/>
  <c r="H687" i="7"/>
  <c r="G687" i="7"/>
  <c r="F687" i="7"/>
  <c r="E687" i="7"/>
  <c r="D687" i="7"/>
  <c r="C687" i="7"/>
  <c r="B687" i="7"/>
  <c r="A687" i="7"/>
  <c r="K686" i="7"/>
  <c r="J686" i="7"/>
  <c r="I686" i="7"/>
  <c r="H686" i="7"/>
  <c r="G686" i="7"/>
  <c r="F686" i="7"/>
  <c r="E686" i="7"/>
  <c r="D686" i="7"/>
  <c r="C686" i="7"/>
  <c r="B686" i="7"/>
  <c r="A686" i="7"/>
  <c r="K685" i="7"/>
  <c r="J685" i="7"/>
  <c r="I685" i="7"/>
  <c r="H685" i="7"/>
  <c r="G685" i="7"/>
  <c r="F685" i="7"/>
  <c r="E685" i="7"/>
  <c r="D685" i="7"/>
  <c r="C685" i="7"/>
  <c r="B685" i="7"/>
  <c r="A685" i="7"/>
  <c r="K684" i="7"/>
  <c r="J684" i="7"/>
  <c r="I684" i="7"/>
  <c r="H684" i="7"/>
  <c r="G684" i="7"/>
  <c r="F684" i="7"/>
  <c r="E684" i="7"/>
  <c r="D684" i="7"/>
  <c r="C684" i="7"/>
  <c r="B684" i="7"/>
  <c r="A684" i="7"/>
  <c r="K683" i="7"/>
  <c r="J683" i="7"/>
  <c r="I683" i="7"/>
  <c r="H683" i="7"/>
  <c r="G683" i="7"/>
  <c r="F683" i="7"/>
  <c r="E683" i="7"/>
  <c r="D683" i="7"/>
  <c r="C683" i="7"/>
  <c r="B683" i="7"/>
  <c r="A683" i="7"/>
  <c r="K682" i="7"/>
  <c r="J682" i="7"/>
  <c r="I682" i="7"/>
  <c r="H682" i="7"/>
  <c r="G682" i="7"/>
  <c r="F682" i="7"/>
  <c r="E682" i="7"/>
  <c r="D682" i="7"/>
  <c r="C682" i="7"/>
  <c r="B682" i="7"/>
  <c r="A682" i="7"/>
  <c r="K681" i="7"/>
  <c r="J681" i="7"/>
  <c r="I681" i="7"/>
  <c r="H681" i="7"/>
  <c r="G681" i="7"/>
  <c r="F681" i="7"/>
  <c r="E681" i="7"/>
  <c r="D681" i="7"/>
  <c r="C681" i="7"/>
  <c r="B681" i="7"/>
  <c r="A681" i="7"/>
  <c r="K680" i="7"/>
  <c r="J680" i="7"/>
  <c r="I680" i="7"/>
  <c r="H680" i="7"/>
  <c r="G680" i="7"/>
  <c r="F680" i="7"/>
  <c r="E680" i="7"/>
  <c r="D680" i="7"/>
  <c r="C680" i="7"/>
  <c r="B680" i="7"/>
  <c r="A680" i="7"/>
  <c r="K679" i="7"/>
  <c r="J679" i="7"/>
  <c r="I679" i="7"/>
  <c r="H679" i="7"/>
  <c r="G679" i="7"/>
  <c r="F679" i="7"/>
  <c r="E679" i="7"/>
  <c r="D679" i="7"/>
  <c r="C679" i="7"/>
  <c r="B679" i="7"/>
  <c r="A679" i="7"/>
  <c r="K678" i="7"/>
  <c r="J678" i="7"/>
  <c r="I678" i="7"/>
  <c r="H678" i="7"/>
  <c r="G678" i="7"/>
  <c r="F678" i="7"/>
  <c r="E678" i="7"/>
  <c r="D678" i="7"/>
  <c r="C678" i="7"/>
  <c r="B678" i="7"/>
  <c r="A678" i="7"/>
  <c r="K677" i="7"/>
  <c r="J677" i="7"/>
  <c r="I677" i="7"/>
  <c r="H677" i="7"/>
  <c r="G677" i="7"/>
  <c r="F677" i="7"/>
  <c r="E677" i="7"/>
  <c r="D677" i="7"/>
  <c r="C677" i="7"/>
  <c r="B677" i="7"/>
  <c r="A677" i="7"/>
  <c r="K676" i="7"/>
  <c r="J676" i="7"/>
  <c r="I676" i="7"/>
  <c r="H676" i="7"/>
  <c r="G676" i="7"/>
  <c r="F676" i="7"/>
  <c r="E676" i="7"/>
  <c r="D676" i="7"/>
  <c r="C676" i="7"/>
  <c r="B676" i="7"/>
  <c r="A676" i="7"/>
  <c r="K675" i="7"/>
  <c r="J675" i="7"/>
  <c r="I675" i="7"/>
  <c r="H675" i="7"/>
  <c r="G675" i="7"/>
  <c r="F675" i="7"/>
  <c r="E675" i="7"/>
  <c r="D675" i="7"/>
  <c r="C675" i="7"/>
  <c r="B675" i="7"/>
  <c r="A675" i="7"/>
  <c r="K674" i="7"/>
  <c r="J674" i="7"/>
  <c r="I674" i="7"/>
  <c r="H674" i="7"/>
  <c r="G674" i="7"/>
  <c r="F674" i="7"/>
  <c r="E674" i="7"/>
  <c r="D674" i="7"/>
  <c r="C674" i="7"/>
  <c r="B674" i="7"/>
  <c r="A674" i="7"/>
  <c r="K673" i="7"/>
  <c r="J673" i="7"/>
  <c r="I673" i="7"/>
  <c r="H673" i="7"/>
  <c r="G673" i="7"/>
  <c r="F673" i="7"/>
  <c r="E673" i="7"/>
  <c r="D673" i="7"/>
  <c r="C673" i="7"/>
  <c r="B673" i="7"/>
  <c r="A673" i="7"/>
  <c r="K672" i="7"/>
  <c r="J672" i="7"/>
  <c r="I672" i="7"/>
  <c r="H672" i="7"/>
  <c r="G672" i="7"/>
  <c r="F672" i="7"/>
  <c r="E672" i="7"/>
  <c r="D672" i="7"/>
  <c r="C672" i="7"/>
  <c r="B672" i="7"/>
  <c r="A672" i="7"/>
  <c r="K671" i="7"/>
  <c r="J671" i="7"/>
  <c r="I671" i="7"/>
  <c r="H671" i="7"/>
  <c r="G671" i="7"/>
  <c r="F671" i="7"/>
  <c r="E671" i="7"/>
  <c r="D671" i="7"/>
  <c r="C671" i="7"/>
  <c r="B671" i="7"/>
  <c r="A671" i="7"/>
  <c r="K670" i="7"/>
  <c r="J670" i="7"/>
  <c r="I670" i="7"/>
  <c r="H670" i="7"/>
  <c r="G670" i="7"/>
  <c r="F670" i="7"/>
  <c r="E670" i="7"/>
  <c r="D670" i="7"/>
  <c r="C670" i="7"/>
  <c r="B670" i="7"/>
  <c r="A670" i="7"/>
  <c r="K669" i="7"/>
  <c r="J669" i="7"/>
  <c r="I669" i="7"/>
  <c r="H669" i="7"/>
  <c r="G669" i="7"/>
  <c r="F669" i="7"/>
  <c r="E669" i="7"/>
  <c r="D669" i="7"/>
  <c r="C669" i="7"/>
  <c r="B669" i="7"/>
  <c r="A669" i="7"/>
  <c r="K668" i="7"/>
  <c r="J668" i="7"/>
  <c r="I668" i="7"/>
  <c r="H668" i="7"/>
  <c r="G668" i="7"/>
  <c r="F668" i="7"/>
  <c r="E668" i="7"/>
  <c r="D668" i="7"/>
  <c r="C668" i="7"/>
  <c r="B668" i="7"/>
  <c r="A668" i="7"/>
  <c r="K667" i="7"/>
  <c r="J667" i="7"/>
  <c r="I667" i="7"/>
  <c r="H667" i="7"/>
  <c r="G667" i="7"/>
  <c r="F667" i="7"/>
  <c r="E667" i="7"/>
  <c r="D667" i="7"/>
  <c r="C667" i="7"/>
  <c r="B667" i="7"/>
  <c r="A667" i="7"/>
  <c r="K666" i="7"/>
  <c r="J666" i="7"/>
  <c r="I666" i="7"/>
  <c r="H666" i="7"/>
  <c r="G666" i="7"/>
  <c r="F666" i="7"/>
  <c r="E666" i="7"/>
  <c r="D666" i="7"/>
  <c r="C666" i="7"/>
  <c r="B666" i="7"/>
  <c r="A666" i="7"/>
  <c r="K665" i="7"/>
  <c r="J665" i="7"/>
  <c r="I665" i="7"/>
  <c r="H665" i="7"/>
  <c r="G665" i="7"/>
  <c r="F665" i="7"/>
  <c r="E665" i="7"/>
  <c r="D665" i="7"/>
  <c r="C665" i="7"/>
  <c r="B665" i="7"/>
  <c r="A665" i="7"/>
  <c r="K664" i="7"/>
  <c r="J664" i="7"/>
  <c r="I664" i="7"/>
  <c r="H664" i="7"/>
  <c r="G664" i="7"/>
  <c r="F664" i="7"/>
  <c r="E664" i="7"/>
  <c r="D664" i="7"/>
  <c r="C664" i="7"/>
  <c r="B664" i="7"/>
  <c r="A664" i="7"/>
  <c r="K663" i="7"/>
  <c r="J663" i="7"/>
  <c r="I663" i="7"/>
  <c r="H663" i="7"/>
  <c r="G663" i="7"/>
  <c r="F663" i="7"/>
  <c r="E663" i="7"/>
  <c r="D663" i="7"/>
  <c r="C663" i="7"/>
  <c r="B663" i="7"/>
  <c r="A663" i="7"/>
  <c r="K662" i="7"/>
  <c r="J662" i="7"/>
  <c r="I662" i="7"/>
  <c r="H662" i="7"/>
  <c r="G662" i="7"/>
  <c r="F662" i="7"/>
  <c r="E662" i="7"/>
  <c r="D662" i="7"/>
  <c r="C662" i="7"/>
  <c r="B662" i="7"/>
  <c r="A662" i="7"/>
  <c r="K661" i="7"/>
  <c r="J661" i="7"/>
  <c r="I661" i="7"/>
  <c r="H661" i="7"/>
  <c r="G661" i="7"/>
  <c r="F661" i="7"/>
  <c r="E661" i="7"/>
  <c r="D661" i="7"/>
  <c r="C661" i="7"/>
  <c r="B661" i="7"/>
  <c r="A661" i="7"/>
  <c r="K660" i="7"/>
  <c r="J660" i="7"/>
  <c r="I660" i="7"/>
  <c r="H660" i="7"/>
  <c r="G660" i="7"/>
  <c r="F660" i="7"/>
  <c r="E660" i="7"/>
  <c r="D660" i="7"/>
  <c r="C660" i="7"/>
  <c r="B660" i="7"/>
  <c r="A660" i="7"/>
  <c r="K659" i="7"/>
  <c r="J659" i="7"/>
  <c r="I659" i="7"/>
  <c r="H659" i="7"/>
  <c r="G659" i="7"/>
  <c r="F659" i="7"/>
  <c r="E659" i="7"/>
  <c r="D659" i="7"/>
  <c r="C659" i="7"/>
  <c r="B659" i="7"/>
  <c r="A659" i="7"/>
  <c r="K658" i="7"/>
  <c r="J658" i="7"/>
  <c r="I658" i="7"/>
  <c r="H658" i="7"/>
  <c r="G658" i="7"/>
  <c r="F658" i="7"/>
  <c r="E658" i="7"/>
  <c r="D658" i="7"/>
  <c r="C658" i="7"/>
  <c r="B658" i="7"/>
  <c r="A658" i="7"/>
  <c r="K657" i="7"/>
  <c r="J657" i="7"/>
  <c r="I657" i="7"/>
  <c r="H657" i="7"/>
  <c r="G657" i="7"/>
  <c r="F657" i="7"/>
  <c r="E657" i="7"/>
  <c r="D657" i="7"/>
  <c r="C657" i="7"/>
  <c r="B657" i="7"/>
  <c r="A657" i="7"/>
  <c r="K656" i="7"/>
  <c r="J656" i="7"/>
  <c r="I656" i="7"/>
  <c r="H656" i="7"/>
  <c r="G656" i="7"/>
  <c r="F656" i="7"/>
  <c r="E656" i="7"/>
  <c r="D656" i="7"/>
  <c r="C656" i="7"/>
  <c r="B656" i="7"/>
  <c r="A656" i="7"/>
  <c r="K655" i="7"/>
  <c r="J655" i="7"/>
  <c r="I655" i="7"/>
  <c r="H655" i="7"/>
  <c r="G655" i="7"/>
  <c r="F655" i="7"/>
  <c r="E655" i="7"/>
  <c r="D655" i="7"/>
  <c r="C655" i="7"/>
  <c r="B655" i="7"/>
  <c r="A655" i="7"/>
  <c r="K654" i="7"/>
  <c r="J654" i="7"/>
  <c r="I654" i="7"/>
  <c r="H654" i="7"/>
  <c r="G654" i="7"/>
  <c r="F654" i="7"/>
  <c r="E654" i="7"/>
  <c r="D654" i="7"/>
  <c r="C654" i="7"/>
  <c r="B654" i="7"/>
  <c r="A654" i="7"/>
  <c r="K653" i="7"/>
  <c r="J653" i="7"/>
  <c r="I653" i="7"/>
  <c r="H653" i="7"/>
  <c r="G653" i="7"/>
  <c r="F653" i="7"/>
  <c r="E653" i="7"/>
  <c r="D653" i="7"/>
  <c r="C653" i="7"/>
  <c r="B653" i="7"/>
  <c r="A653" i="7"/>
  <c r="K652" i="7"/>
  <c r="J652" i="7"/>
  <c r="I652" i="7"/>
  <c r="H652" i="7"/>
  <c r="G652" i="7"/>
  <c r="F652" i="7"/>
  <c r="E652" i="7"/>
  <c r="D652" i="7"/>
  <c r="C652" i="7"/>
  <c r="B652" i="7"/>
  <c r="A652" i="7"/>
  <c r="K651" i="7"/>
  <c r="J651" i="7"/>
  <c r="I651" i="7"/>
  <c r="H651" i="7"/>
  <c r="G651" i="7"/>
  <c r="F651" i="7"/>
  <c r="E651" i="7"/>
  <c r="D651" i="7"/>
  <c r="C651" i="7"/>
  <c r="B651" i="7"/>
  <c r="A651" i="7"/>
  <c r="K650" i="7"/>
  <c r="J650" i="7"/>
  <c r="I650" i="7"/>
  <c r="H650" i="7"/>
  <c r="G650" i="7"/>
  <c r="F650" i="7"/>
  <c r="E650" i="7"/>
  <c r="D650" i="7"/>
  <c r="C650" i="7"/>
  <c r="B650" i="7"/>
  <c r="A650" i="7"/>
  <c r="K649" i="7"/>
  <c r="J649" i="7"/>
  <c r="I649" i="7"/>
  <c r="H649" i="7"/>
  <c r="G649" i="7"/>
  <c r="F649" i="7"/>
  <c r="E649" i="7"/>
  <c r="D649" i="7"/>
  <c r="C649" i="7"/>
  <c r="B649" i="7"/>
  <c r="A649" i="7"/>
  <c r="K648" i="7"/>
  <c r="J648" i="7"/>
  <c r="I648" i="7"/>
  <c r="H648" i="7"/>
  <c r="G648" i="7"/>
  <c r="F648" i="7"/>
  <c r="E648" i="7"/>
  <c r="D648" i="7"/>
  <c r="C648" i="7"/>
  <c r="B648" i="7"/>
  <c r="A648" i="7"/>
  <c r="K647" i="7"/>
  <c r="J647" i="7"/>
  <c r="I647" i="7"/>
  <c r="H647" i="7"/>
  <c r="G647" i="7"/>
  <c r="F647" i="7"/>
  <c r="E647" i="7"/>
  <c r="D647" i="7"/>
  <c r="C647" i="7"/>
  <c r="B647" i="7"/>
  <c r="A647" i="7"/>
  <c r="K646" i="7"/>
  <c r="J646" i="7"/>
  <c r="I646" i="7"/>
  <c r="H646" i="7"/>
  <c r="G646" i="7"/>
  <c r="F646" i="7"/>
  <c r="E646" i="7"/>
  <c r="D646" i="7"/>
  <c r="C646" i="7"/>
  <c r="B646" i="7"/>
  <c r="A646" i="7"/>
  <c r="K645" i="7"/>
  <c r="J645" i="7"/>
  <c r="I645" i="7"/>
  <c r="H645" i="7"/>
  <c r="G645" i="7"/>
  <c r="F645" i="7"/>
  <c r="E645" i="7"/>
  <c r="D645" i="7"/>
  <c r="C645" i="7"/>
  <c r="B645" i="7"/>
  <c r="A645" i="7"/>
  <c r="K644" i="7"/>
  <c r="J644" i="7"/>
  <c r="I644" i="7"/>
  <c r="H644" i="7"/>
  <c r="G644" i="7"/>
  <c r="F644" i="7"/>
  <c r="E644" i="7"/>
  <c r="D644" i="7"/>
  <c r="C644" i="7"/>
  <c r="B644" i="7"/>
  <c r="A644" i="7"/>
  <c r="K643" i="7"/>
  <c r="J643" i="7"/>
  <c r="I643" i="7"/>
  <c r="H643" i="7"/>
  <c r="G643" i="7"/>
  <c r="F643" i="7"/>
  <c r="E643" i="7"/>
  <c r="D643" i="7"/>
  <c r="C643" i="7"/>
  <c r="B643" i="7"/>
  <c r="A643" i="7"/>
  <c r="K642" i="7"/>
  <c r="J642" i="7"/>
  <c r="I642" i="7"/>
  <c r="H642" i="7"/>
  <c r="G642" i="7"/>
  <c r="F642" i="7"/>
  <c r="E642" i="7"/>
  <c r="D642" i="7"/>
  <c r="C642" i="7"/>
  <c r="B642" i="7"/>
  <c r="A642" i="7"/>
  <c r="K641" i="7"/>
  <c r="J641" i="7"/>
  <c r="I641" i="7"/>
  <c r="H641" i="7"/>
  <c r="G641" i="7"/>
  <c r="F641" i="7"/>
  <c r="E641" i="7"/>
  <c r="D641" i="7"/>
  <c r="C641" i="7"/>
  <c r="B641" i="7"/>
  <c r="A641" i="7"/>
  <c r="K640" i="7"/>
  <c r="J640" i="7"/>
  <c r="I640" i="7"/>
  <c r="H640" i="7"/>
  <c r="G640" i="7"/>
  <c r="F640" i="7"/>
  <c r="E640" i="7"/>
  <c r="D640" i="7"/>
  <c r="C640" i="7"/>
  <c r="B640" i="7"/>
  <c r="A640" i="7"/>
  <c r="K639" i="7"/>
  <c r="J639" i="7"/>
  <c r="I639" i="7"/>
  <c r="H639" i="7"/>
  <c r="G639" i="7"/>
  <c r="F639" i="7"/>
  <c r="E639" i="7"/>
  <c r="D639" i="7"/>
  <c r="C639" i="7"/>
  <c r="B639" i="7"/>
  <c r="A639" i="7"/>
  <c r="K638" i="7"/>
  <c r="J638" i="7"/>
  <c r="I638" i="7"/>
  <c r="H638" i="7"/>
  <c r="G638" i="7"/>
  <c r="F638" i="7"/>
  <c r="E638" i="7"/>
  <c r="D638" i="7"/>
  <c r="C638" i="7"/>
  <c r="B638" i="7"/>
  <c r="A638" i="7"/>
  <c r="K637" i="7"/>
  <c r="J637" i="7"/>
  <c r="I637" i="7"/>
  <c r="H637" i="7"/>
  <c r="G637" i="7"/>
  <c r="F637" i="7"/>
  <c r="E637" i="7"/>
  <c r="D637" i="7"/>
  <c r="C637" i="7"/>
  <c r="B637" i="7"/>
  <c r="A637" i="7"/>
  <c r="K636" i="7"/>
  <c r="J636" i="7"/>
  <c r="I636" i="7"/>
  <c r="H636" i="7"/>
  <c r="G636" i="7"/>
  <c r="F636" i="7"/>
  <c r="E636" i="7"/>
  <c r="D636" i="7"/>
  <c r="C636" i="7"/>
  <c r="B636" i="7"/>
  <c r="A636" i="7"/>
  <c r="K635" i="7"/>
  <c r="J635" i="7"/>
  <c r="I635" i="7"/>
  <c r="H635" i="7"/>
  <c r="G635" i="7"/>
  <c r="F635" i="7"/>
  <c r="E635" i="7"/>
  <c r="D635" i="7"/>
  <c r="C635" i="7"/>
  <c r="B635" i="7"/>
  <c r="A635" i="7"/>
  <c r="K634" i="7"/>
  <c r="J634" i="7"/>
  <c r="I634" i="7"/>
  <c r="H634" i="7"/>
  <c r="G634" i="7"/>
  <c r="F634" i="7"/>
  <c r="E634" i="7"/>
  <c r="D634" i="7"/>
  <c r="C634" i="7"/>
  <c r="B634" i="7"/>
  <c r="A634" i="7"/>
  <c r="K633" i="7"/>
  <c r="J633" i="7"/>
  <c r="I633" i="7"/>
  <c r="H633" i="7"/>
  <c r="G633" i="7"/>
  <c r="F633" i="7"/>
  <c r="E633" i="7"/>
  <c r="D633" i="7"/>
  <c r="C633" i="7"/>
  <c r="B633" i="7"/>
  <c r="A633" i="7"/>
  <c r="K632" i="7"/>
  <c r="J632" i="7"/>
  <c r="I632" i="7"/>
  <c r="H632" i="7"/>
  <c r="G632" i="7"/>
  <c r="F632" i="7"/>
  <c r="E632" i="7"/>
  <c r="D632" i="7"/>
  <c r="C632" i="7"/>
  <c r="B632" i="7"/>
  <c r="A632" i="7"/>
  <c r="K631" i="7"/>
  <c r="J631" i="7"/>
  <c r="I631" i="7"/>
  <c r="H631" i="7"/>
  <c r="G631" i="7"/>
  <c r="F631" i="7"/>
  <c r="E631" i="7"/>
  <c r="D631" i="7"/>
  <c r="C631" i="7"/>
  <c r="B631" i="7"/>
  <c r="A631" i="7"/>
  <c r="K630" i="7"/>
  <c r="J630" i="7"/>
  <c r="I630" i="7"/>
  <c r="H630" i="7"/>
  <c r="G630" i="7"/>
  <c r="F630" i="7"/>
  <c r="E630" i="7"/>
  <c r="D630" i="7"/>
  <c r="C630" i="7"/>
  <c r="B630" i="7"/>
  <c r="A630" i="7"/>
  <c r="K629" i="7"/>
  <c r="J629" i="7"/>
  <c r="I629" i="7"/>
  <c r="H629" i="7"/>
  <c r="G629" i="7"/>
  <c r="F629" i="7"/>
  <c r="E629" i="7"/>
  <c r="D629" i="7"/>
  <c r="C629" i="7"/>
  <c r="B629" i="7"/>
  <c r="A629" i="7"/>
  <c r="K628" i="7"/>
  <c r="J628" i="7"/>
  <c r="I628" i="7"/>
  <c r="H628" i="7"/>
  <c r="G628" i="7"/>
  <c r="F628" i="7"/>
  <c r="E628" i="7"/>
  <c r="D628" i="7"/>
  <c r="C628" i="7"/>
  <c r="B628" i="7"/>
  <c r="A628" i="7"/>
  <c r="K627" i="7"/>
  <c r="J627" i="7"/>
  <c r="I627" i="7"/>
  <c r="H627" i="7"/>
  <c r="G627" i="7"/>
  <c r="F627" i="7"/>
  <c r="E627" i="7"/>
  <c r="D627" i="7"/>
  <c r="C627" i="7"/>
  <c r="B627" i="7"/>
  <c r="A627" i="7"/>
  <c r="K626" i="7"/>
  <c r="J626" i="7"/>
  <c r="I626" i="7"/>
  <c r="H626" i="7"/>
  <c r="G626" i="7"/>
  <c r="F626" i="7"/>
  <c r="E626" i="7"/>
  <c r="D626" i="7"/>
  <c r="C626" i="7"/>
  <c r="B626" i="7"/>
  <c r="A626" i="7"/>
  <c r="K625" i="7"/>
  <c r="J625" i="7"/>
  <c r="I625" i="7"/>
  <c r="H625" i="7"/>
  <c r="G625" i="7"/>
  <c r="F625" i="7"/>
  <c r="E625" i="7"/>
  <c r="D625" i="7"/>
  <c r="C625" i="7"/>
  <c r="B625" i="7"/>
  <c r="A625" i="7"/>
  <c r="K624" i="7"/>
  <c r="J624" i="7"/>
  <c r="I624" i="7"/>
  <c r="H624" i="7"/>
  <c r="G624" i="7"/>
  <c r="F624" i="7"/>
  <c r="E624" i="7"/>
  <c r="D624" i="7"/>
  <c r="C624" i="7"/>
  <c r="B624" i="7"/>
  <c r="A624" i="7"/>
  <c r="K623" i="7"/>
  <c r="J623" i="7"/>
  <c r="I623" i="7"/>
  <c r="H623" i="7"/>
  <c r="G623" i="7"/>
  <c r="F623" i="7"/>
  <c r="E623" i="7"/>
  <c r="D623" i="7"/>
  <c r="C623" i="7"/>
  <c r="B623" i="7"/>
  <c r="A623" i="7"/>
  <c r="K622" i="7"/>
  <c r="J622" i="7"/>
  <c r="I622" i="7"/>
  <c r="H622" i="7"/>
  <c r="G622" i="7"/>
  <c r="F622" i="7"/>
  <c r="E622" i="7"/>
  <c r="D622" i="7"/>
  <c r="C622" i="7"/>
  <c r="B622" i="7"/>
  <c r="A622" i="7"/>
  <c r="K621" i="7"/>
  <c r="J621" i="7"/>
  <c r="I621" i="7"/>
  <c r="H621" i="7"/>
  <c r="G621" i="7"/>
  <c r="F621" i="7"/>
  <c r="E621" i="7"/>
  <c r="D621" i="7"/>
  <c r="C621" i="7"/>
  <c r="B621" i="7"/>
  <c r="A621" i="7"/>
  <c r="K620" i="7"/>
  <c r="J620" i="7"/>
  <c r="I620" i="7"/>
  <c r="H620" i="7"/>
  <c r="G620" i="7"/>
  <c r="F620" i="7"/>
  <c r="E620" i="7"/>
  <c r="D620" i="7"/>
  <c r="C620" i="7"/>
  <c r="B620" i="7"/>
  <c r="A620" i="7"/>
  <c r="K619" i="7"/>
  <c r="J619" i="7"/>
  <c r="I619" i="7"/>
  <c r="H619" i="7"/>
  <c r="G619" i="7"/>
  <c r="F619" i="7"/>
  <c r="E619" i="7"/>
  <c r="D619" i="7"/>
  <c r="C619" i="7"/>
  <c r="B619" i="7"/>
  <c r="A619" i="7"/>
  <c r="K618" i="7"/>
  <c r="J618" i="7"/>
  <c r="I618" i="7"/>
  <c r="H618" i="7"/>
  <c r="G618" i="7"/>
  <c r="F618" i="7"/>
  <c r="E618" i="7"/>
  <c r="D618" i="7"/>
  <c r="C618" i="7"/>
  <c r="B618" i="7"/>
  <c r="A618" i="7"/>
  <c r="K617" i="7"/>
  <c r="J617" i="7"/>
  <c r="I617" i="7"/>
  <c r="H617" i="7"/>
  <c r="G617" i="7"/>
  <c r="F617" i="7"/>
  <c r="E617" i="7"/>
  <c r="D617" i="7"/>
  <c r="C617" i="7"/>
  <c r="B617" i="7"/>
  <c r="A617" i="7"/>
  <c r="K616" i="7"/>
  <c r="J616" i="7"/>
  <c r="I616" i="7"/>
  <c r="H616" i="7"/>
  <c r="G616" i="7"/>
  <c r="F616" i="7"/>
  <c r="E616" i="7"/>
  <c r="D616" i="7"/>
  <c r="C616" i="7"/>
  <c r="B616" i="7"/>
  <c r="A616" i="7"/>
  <c r="K615" i="7"/>
  <c r="J615" i="7"/>
  <c r="I615" i="7"/>
  <c r="H615" i="7"/>
  <c r="G615" i="7"/>
  <c r="F615" i="7"/>
  <c r="E615" i="7"/>
  <c r="D615" i="7"/>
  <c r="C615" i="7"/>
  <c r="B615" i="7"/>
  <c r="A615" i="7"/>
  <c r="K614" i="7"/>
  <c r="J614" i="7"/>
  <c r="I614" i="7"/>
  <c r="H614" i="7"/>
  <c r="G614" i="7"/>
  <c r="F614" i="7"/>
  <c r="E614" i="7"/>
  <c r="D614" i="7"/>
  <c r="C614" i="7"/>
  <c r="B614" i="7"/>
  <c r="A614" i="7"/>
  <c r="K613" i="7"/>
  <c r="J613" i="7"/>
  <c r="I613" i="7"/>
  <c r="H613" i="7"/>
  <c r="G613" i="7"/>
  <c r="F613" i="7"/>
  <c r="E613" i="7"/>
  <c r="D613" i="7"/>
  <c r="C613" i="7"/>
  <c r="B613" i="7"/>
  <c r="A613" i="7"/>
  <c r="K612" i="7"/>
  <c r="J612" i="7"/>
  <c r="I612" i="7"/>
  <c r="H612" i="7"/>
  <c r="G612" i="7"/>
  <c r="F612" i="7"/>
  <c r="E612" i="7"/>
  <c r="D612" i="7"/>
  <c r="C612" i="7"/>
  <c r="B612" i="7"/>
  <c r="A612" i="7"/>
  <c r="K611" i="7"/>
  <c r="J611" i="7"/>
  <c r="I611" i="7"/>
  <c r="H611" i="7"/>
  <c r="G611" i="7"/>
  <c r="F611" i="7"/>
  <c r="E611" i="7"/>
  <c r="D611" i="7"/>
  <c r="C611" i="7"/>
  <c r="B611" i="7"/>
  <c r="A611" i="7"/>
  <c r="K610" i="7"/>
  <c r="J610" i="7"/>
  <c r="I610" i="7"/>
  <c r="H610" i="7"/>
  <c r="G610" i="7"/>
  <c r="F610" i="7"/>
  <c r="E610" i="7"/>
  <c r="D610" i="7"/>
  <c r="C610" i="7"/>
  <c r="B610" i="7"/>
  <c r="A610" i="7"/>
  <c r="K609" i="7"/>
  <c r="J609" i="7"/>
  <c r="I609" i="7"/>
  <c r="H609" i="7"/>
  <c r="G609" i="7"/>
  <c r="F609" i="7"/>
  <c r="E609" i="7"/>
  <c r="D609" i="7"/>
  <c r="C609" i="7"/>
  <c r="B609" i="7"/>
  <c r="A609" i="7"/>
  <c r="K608" i="7"/>
  <c r="J608" i="7"/>
  <c r="I608" i="7"/>
  <c r="H608" i="7"/>
  <c r="G608" i="7"/>
  <c r="F608" i="7"/>
  <c r="E608" i="7"/>
  <c r="D608" i="7"/>
  <c r="C608" i="7"/>
  <c r="B608" i="7"/>
  <c r="A608" i="7"/>
  <c r="K607" i="7"/>
  <c r="J607" i="7"/>
  <c r="I607" i="7"/>
  <c r="H607" i="7"/>
  <c r="G607" i="7"/>
  <c r="F607" i="7"/>
  <c r="E607" i="7"/>
  <c r="D607" i="7"/>
  <c r="C607" i="7"/>
  <c r="B607" i="7"/>
  <c r="A607" i="7"/>
  <c r="K606" i="7"/>
  <c r="J606" i="7"/>
  <c r="I606" i="7"/>
  <c r="H606" i="7"/>
  <c r="G606" i="7"/>
  <c r="F606" i="7"/>
  <c r="E606" i="7"/>
  <c r="D606" i="7"/>
  <c r="C606" i="7"/>
  <c r="B606" i="7"/>
  <c r="A606" i="7"/>
  <c r="K605" i="7"/>
  <c r="J605" i="7"/>
  <c r="I605" i="7"/>
  <c r="H605" i="7"/>
  <c r="G605" i="7"/>
  <c r="F605" i="7"/>
  <c r="E605" i="7"/>
  <c r="D605" i="7"/>
  <c r="C605" i="7"/>
  <c r="B605" i="7"/>
  <c r="A605" i="7"/>
  <c r="K604" i="7"/>
  <c r="J604" i="7"/>
  <c r="I604" i="7"/>
  <c r="H604" i="7"/>
  <c r="G604" i="7"/>
  <c r="F604" i="7"/>
  <c r="E604" i="7"/>
  <c r="D604" i="7"/>
  <c r="C604" i="7"/>
  <c r="B604" i="7"/>
  <c r="A604" i="7"/>
  <c r="K603" i="7"/>
  <c r="J603" i="7"/>
  <c r="I603" i="7"/>
  <c r="H603" i="7"/>
  <c r="G603" i="7"/>
  <c r="F603" i="7"/>
  <c r="E603" i="7"/>
  <c r="D603" i="7"/>
  <c r="C603" i="7"/>
  <c r="B603" i="7"/>
  <c r="A603" i="7"/>
  <c r="K602" i="7"/>
  <c r="J602" i="7"/>
  <c r="I602" i="7"/>
  <c r="H602" i="7"/>
  <c r="G602" i="7"/>
  <c r="F602" i="7"/>
  <c r="E602" i="7"/>
  <c r="D602" i="7"/>
  <c r="C602" i="7"/>
  <c r="B602" i="7"/>
  <c r="A602" i="7"/>
  <c r="K601" i="7"/>
  <c r="J601" i="7"/>
  <c r="I601" i="7"/>
  <c r="H601" i="7"/>
  <c r="G601" i="7"/>
  <c r="F601" i="7"/>
  <c r="E601" i="7"/>
  <c r="D601" i="7"/>
  <c r="C601" i="7"/>
  <c r="B601" i="7"/>
  <c r="A601" i="7"/>
  <c r="K600" i="7"/>
  <c r="J600" i="7"/>
  <c r="I600" i="7"/>
  <c r="H600" i="7"/>
  <c r="G600" i="7"/>
  <c r="F600" i="7"/>
  <c r="E600" i="7"/>
  <c r="D600" i="7"/>
  <c r="C600" i="7"/>
  <c r="B600" i="7"/>
  <c r="A600" i="7"/>
  <c r="K599" i="7"/>
  <c r="J599" i="7"/>
  <c r="I599" i="7"/>
  <c r="H599" i="7"/>
  <c r="G599" i="7"/>
  <c r="F599" i="7"/>
  <c r="E599" i="7"/>
  <c r="D599" i="7"/>
  <c r="C599" i="7"/>
  <c r="B599" i="7"/>
  <c r="A599" i="7"/>
  <c r="K598" i="7"/>
  <c r="J598" i="7"/>
  <c r="I598" i="7"/>
  <c r="H598" i="7"/>
  <c r="G598" i="7"/>
  <c r="F598" i="7"/>
  <c r="E598" i="7"/>
  <c r="D598" i="7"/>
  <c r="C598" i="7"/>
  <c r="B598" i="7"/>
  <c r="A598" i="7"/>
  <c r="K597" i="7"/>
  <c r="J597" i="7"/>
  <c r="I597" i="7"/>
  <c r="H597" i="7"/>
  <c r="G597" i="7"/>
  <c r="F597" i="7"/>
  <c r="E597" i="7"/>
  <c r="D597" i="7"/>
  <c r="C597" i="7"/>
  <c r="B597" i="7"/>
  <c r="A597" i="7"/>
  <c r="K596" i="7"/>
  <c r="J596" i="7"/>
  <c r="I596" i="7"/>
  <c r="H596" i="7"/>
  <c r="G596" i="7"/>
  <c r="F596" i="7"/>
  <c r="E596" i="7"/>
  <c r="D596" i="7"/>
  <c r="C596" i="7"/>
  <c r="B596" i="7"/>
  <c r="A596" i="7"/>
  <c r="K595" i="7"/>
  <c r="J595" i="7"/>
  <c r="I595" i="7"/>
  <c r="H595" i="7"/>
  <c r="G595" i="7"/>
  <c r="F595" i="7"/>
  <c r="E595" i="7"/>
  <c r="D595" i="7"/>
  <c r="C595" i="7"/>
  <c r="B595" i="7"/>
  <c r="A595" i="7"/>
  <c r="K594" i="7"/>
  <c r="J594" i="7"/>
  <c r="I594" i="7"/>
  <c r="H594" i="7"/>
  <c r="G594" i="7"/>
  <c r="F594" i="7"/>
  <c r="E594" i="7"/>
  <c r="D594" i="7"/>
  <c r="C594" i="7"/>
  <c r="B594" i="7"/>
  <c r="A594" i="7"/>
  <c r="K593" i="7"/>
  <c r="J593" i="7"/>
  <c r="I593" i="7"/>
  <c r="H593" i="7"/>
  <c r="G593" i="7"/>
  <c r="F593" i="7"/>
  <c r="E593" i="7"/>
  <c r="D593" i="7"/>
  <c r="C593" i="7"/>
  <c r="B593" i="7"/>
  <c r="A593" i="7"/>
  <c r="K592" i="7"/>
  <c r="J592" i="7"/>
  <c r="I592" i="7"/>
  <c r="H592" i="7"/>
  <c r="G592" i="7"/>
  <c r="F592" i="7"/>
  <c r="E592" i="7"/>
  <c r="D592" i="7"/>
  <c r="C592" i="7"/>
  <c r="B592" i="7"/>
  <c r="A592" i="7"/>
  <c r="K591" i="7"/>
  <c r="J591" i="7"/>
  <c r="I591" i="7"/>
  <c r="H591" i="7"/>
  <c r="G591" i="7"/>
  <c r="F591" i="7"/>
  <c r="E591" i="7"/>
  <c r="D591" i="7"/>
  <c r="C591" i="7"/>
  <c r="B591" i="7"/>
  <c r="A591" i="7"/>
  <c r="K590" i="7"/>
  <c r="J590" i="7"/>
  <c r="I590" i="7"/>
  <c r="H590" i="7"/>
  <c r="G590" i="7"/>
  <c r="F590" i="7"/>
  <c r="E590" i="7"/>
  <c r="D590" i="7"/>
  <c r="C590" i="7"/>
  <c r="B590" i="7"/>
  <c r="A590" i="7"/>
  <c r="K589" i="7"/>
  <c r="J589" i="7"/>
  <c r="I589" i="7"/>
  <c r="H589" i="7"/>
  <c r="G589" i="7"/>
  <c r="F589" i="7"/>
  <c r="E589" i="7"/>
  <c r="D589" i="7"/>
  <c r="C589" i="7"/>
  <c r="B589" i="7"/>
  <c r="A589" i="7"/>
  <c r="K588" i="7"/>
  <c r="J588" i="7"/>
  <c r="I588" i="7"/>
  <c r="H588" i="7"/>
  <c r="G588" i="7"/>
  <c r="F588" i="7"/>
  <c r="E588" i="7"/>
  <c r="D588" i="7"/>
  <c r="C588" i="7"/>
  <c r="B588" i="7"/>
  <c r="A588" i="7"/>
  <c r="K587" i="7"/>
  <c r="J587" i="7"/>
  <c r="I587" i="7"/>
  <c r="H587" i="7"/>
  <c r="G587" i="7"/>
  <c r="F587" i="7"/>
  <c r="E587" i="7"/>
  <c r="D587" i="7"/>
  <c r="C587" i="7"/>
  <c r="B587" i="7"/>
  <c r="A587" i="7"/>
  <c r="K586" i="7"/>
  <c r="J586" i="7"/>
  <c r="I586" i="7"/>
  <c r="H586" i="7"/>
  <c r="G586" i="7"/>
  <c r="F586" i="7"/>
  <c r="E586" i="7"/>
  <c r="D586" i="7"/>
  <c r="C586" i="7"/>
  <c r="B586" i="7"/>
  <c r="A586" i="7"/>
  <c r="K585" i="7"/>
  <c r="J585" i="7"/>
  <c r="I585" i="7"/>
  <c r="H585" i="7"/>
  <c r="G585" i="7"/>
  <c r="F585" i="7"/>
  <c r="E585" i="7"/>
  <c r="D585" i="7"/>
  <c r="C585" i="7"/>
  <c r="B585" i="7"/>
  <c r="A585" i="7"/>
  <c r="K584" i="7"/>
  <c r="J584" i="7"/>
  <c r="I584" i="7"/>
  <c r="H584" i="7"/>
  <c r="G584" i="7"/>
  <c r="F584" i="7"/>
  <c r="E584" i="7"/>
  <c r="D584" i="7"/>
  <c r="C584" i="7"/>
  <c r="B584" i="7"/>
  <c r="A584" i="7"/>
  <c r="K583" i="7"/>
  <c r="J583" i="7"/>
  <c r="I583" i="7"/>
  <c r="H583" i="7"/>
  <c r="G583" i="7"/>
  <c r="F583" i="7"/>
  <c r="E583" i="7"/>
  <c r="D583" i="7"/>
  <c r="C583" i="7"/>
  <c r="B583" i="7"/>
  <c r="A583" i="7"/>
  <c r="K582" i="7"/>
  <c r="J582" i="7"/>
  <c r="I582" i="7"/>
  <c r="H582" i="7"/>
  <c r="G582" i="7"/>
  <c r="F582" i="7"/>
  <c r="E582" i="7"/>
  <c r="D582" i="7"/>
  <c r="C582" i="7"/>
  <c r="B582" i="7"/>
  <c r="A582" i="7"/>
  <c r="K581" i="7"/>
  <c r="J581" i="7"/>
  <c r="I581" i="7"/>
  <c r="H581" i="7"/>
  <c r="G581" i="7"/>
  <c r="F581" i="7"/>
  <c r="E581" i="7"/>
  <c r="D581" i="7"/>
  <c r="C581" i="7"/>
  <c r="B581" i="7"/>
  <c r="A581" i="7"/>
  <c r="K580" i="7"/>
  <c r="J580" i="7"/>
  <c r="I580" i="7"/>
  <c r="H580" i="7"/>
  <c r="G580" i="7"/>
  <c r="F580" i="7"/>
  <c r="E580" i="7"/>
  <c r="D580" i="7"/>
  <c r="C580" i="7"/>
  <c r="B580" i="7"/>
  <c r="A580" i="7"/>
  <c r="K579" i="7"/>
  <c r="J579" i="7"/>
  <c r="I579" i="7"/>
  <c r="H579" i="7"/>
  <c r="G579" i="7"/>
  <c r="F579" i="7"/>
  <c r="E579" i="7"/>
  <c r="D579" i="7"/>
  <c r="C579" i="7"/>
  <c r="B579" i="7"/>
  <c r="A579" i="7"/>
  <c r="K578" i="7"/>
  <c r="J578" i="7"/>
  <c r="I578" i="7"/>
  <c r="H578" i="7"/>
  <c r="G578" i="7"/>
  <c r="F578" i="7"/>
  <c r="E578" i="7"/>
  <c r="D578" i="7"/>
  <c r="C578" i="7"/>
  <c r="B578" i="7"/>
  <c r="A578" i="7"/>
  <c r="K577" i="7"/>
  <c r="J577" i="7"/>
  <c r="I577" i="7"/>
  <c r="H577" i="7"/>
  <c r="G577" i="7"/>
  <c r="F577" i="7"/>
  <c r="E577" i="7"/>
  <c r="D577" i="7"/>
  <c r="C577" i="7"/>
  <c r="B577" i="7"/>
  <c r="A577" i="7"/>
  <c r="K576" i="7"/>
  <c r="J576" i="7"/>
  <c r="I576" i="7"/>
  <c r="H576" i="7"/>
  <c r="G576" i="7"/>
  <c r="F576" i="7"/>
  <c r="E576" i="7"/>
  <c r="D576" i="7"/>
  <c r="C576" i="7"/>
  <c r="B576" i="7"/>
  <c r="A576" i="7"/>
  <c r="K575" i="7"/>
  <c r="J575" i="7"/>
  <c r="I575" i="7"/>
  <c r="H575" i="7"/>
  <c r="G575" i="7"/>
  <c r="F575" i="7"/>
  <c r="E575" i="7"/>
  <c r="D575" i="7"/>
  <c r="C575" i="7"/>
  <c r="B575" i="7"/>
  <c r="A575" i="7"/>
  <c r="K574" i="7"/>
  <c r="J574" i="7"/>
  <c r="I574" i="7"/>
  <c r="H574" i="7"/>
  <c r="G574" i="7"/>
  <c r="F574" i="7"/>
  <c r="E574" i="7"/>
  <c r="D574" i="7"/>
  <c r="C574" i="7"/>
  <c r="B574" i="7"/>
  <c r="A574" i="7"/>
  <c r="K573" i="7"/>
  <c r="J573" i="7"/>
  <c r="I573" i="7"/>
  <c r="H573" i="7"/>
  <c r="G573" i="7"/>
  <c r="F573" i="7"/>
  <c r="E573" i="7"/>
  <c r="D573" i="7"/>
  <c r="C573" i="7"/>
  <c r="B573" i="7"/>
  <c r="A573" i="7"/>
  <c r="K572" i="7"/>
  <c r="J572" i="7"/>
  <c r="I572" i="7"/>
  <c r="H572" i="7"/>
  <c r="G572" i="7"/>
  <c r="F572" i="7"/>
  <c r="E572" i="7"/>
  <c r="D572" i="7"/>
  <c r="C572" i="7"/>
  <c r="B572" i="7"/>
  <c r="A572" i="7"/>
  <c r="K571" i="7"/>
  <c r="J571" i="7"/>
  <c r="I571" i="7"/>
  <c r="H571" i="7"/>
  <c r="G571" i="7"/>
  <c r="F571" i="7"/>
  <c r="E571" i="7"/>
  <c r="D571" i="7"/>
  <c r="C571" i="7"/>
  <c r="B571" i="7"/>
  <c r="A571" i="7"/>
  <c r="K570" i="7"/>
  <c r="J570" i="7"/>
  <c r="I570" i="7"/>
  <c r="H570" i="7"/>
  <c r="G570" i="7"/>
  <c r="F570" i="7"/>
  <c r="E570" i="7"/>
  <c r="D570" i="7"/>
  <c r="C570" i="7"/>
  <c r="B570" i="7"/>
  <c r="A570" i="7"/>
  <c r="K569" i="7"/>
  <c r="J569" i="7"/>
  <c r="I569" i="7"/>
  <c r="H569" i="7"/>
  <c r="G569" i="7"/>
  <c r="F569" i="7"/>
  <c r="E569" i="7"/>
  <c r="D569" i="7"/>
  <c r="C569" i="7"/>
  <c r="B569" i="7"/>
  <c r="A569" i="7"/>
  <c r="K568" i="7"/>
  <c r="J568" i="7"/>
  <c r="I568" i="7"/>
  <c r="H568" i="7"/>
  <c r="G568" i="7"/>
  <c r="F568" i="7"/>
  <c r="E568" i="7"/>
  <c r="D568" i="7"/>
  <c r="C568" i="7"/>
  <c r="B568" i="7"/>
  <c r="A568" i="7"/>
  <c r="K567" i="7"/>
  <c r="J567" i="7"/>
  <c r="I567" i="7"/>
  <c r="H567" i="7"/>
  <c r="G567" i="7"/>
  <c r="F567" i="7"/>
  <c r="E567" i="7"/>
  <c r="D567" i="7"/>
  <c r="C567" i="7"/>
  <c r="B567" i="7"/>
  <c r="A567" i="7"/>
  <c r="K566" i="7"/>
  <c r="J566" i="7"/>
  <c r="I566" i="7"/>
  <c r="H566" i="7"/>
  <c r="G566" i="7"/>
  <c r="F566" i="7"/>
  <c r="E566" i="7"/>
  <c r="D566" i="7"/>
  <c r="C566" i="7"/>
  <c r="B566" i="7"/>
  <c r="A566" i="7"/>
  <c r="K565" i="7"/>
  <c r="J565" i="7"/>
  <c r="I565" i="7"/>
  <c r="H565" i="7"/>
  <c r="G565" i="7"/>
  <c r="F565" i="7"/>
  <c r="E565" i="7"/>
  <c r="D565" i="7"/>
  <c r="C565" i="7"/>
  <c r="B565" i="7"/>
  <c r="A565" i="7"/>
  <c r="K564" i="7"/>
  <c r="J564" i="7"/>
  <c r="I564" i="7"/>
  <c r="H564" i="7"/>
  <c r="G564" i="7"/>
  <c r="F564" i="7"/>
  <c r="E564" i="7"/>
  <c r="D564" i="7"/>
  <c r="C564" i="7"/>
  <c r="B564" i="7"/>
  <c r="A564" i="7"/>
  <c r="K563" i="7"/>
  <c r="J563" i="7"/>
  <c r="I563" i="7"/>
  <c r="H563" i="7"/>
  <c r="G563" i="7"/>
  <c r="F563" i="7"/>
  <c r="E563" i="7"/>
  <c r="D563" i="7"/>
  <c r="C563" i="7"/>
  <c r="B563" i="7"/>
  <c r="A563" i="7"/>
  <c r="K562" i="7"/>
  <c r="J562" i="7"/>
  <c r="I562" i="7"/>
  <c r="H562" i="7"/>
  <c r="G562" i="7"/>
  <c r="F562" i="7"/>
  <c r="E562" i="7"/>
  <c r="D562" i="7"/>
  <c r="C562" i="7"/>
  <c r="B562" i="7"/>
  <c r="A562" i="7"/>
  <c r="K561" i="7"/>
  <c r="J561" i="7"/>
  <c r="I561" i="7"/>
  <c r="H561" i="7"/>
  <c r="G561" i="7"/>
  <c r="F561" i="7"/>
  <c r="E561" i="7"/>
  <c r="D561" i="7"/>
  <c r="C561" i="7"/>
  <c r="B561" i="7"/>
  <c r="A561" i="7"/>
  <c r="K560" i="7"/>
  <c r="J560" i="7"/>
  <c r="I560" i="7"/>
  <c r="H560" i="7"/>
  <c r="G560" i="7"/>
  <c r="F560" i="7"/>
  <c r="E560" i="7"/>
  <c r="D560" i="7"/>
  <c r="C560" i="7"/>
  <c r="B560" i="7"/>
  <c r="A560" i="7"/>
  <c r="K559" i="7"/>
  <c r="J559" i="7"/>
  <c r="I559" i="7"/>
  <c r="H559" i="7"/>
  <c r="G559" i="7"/>
  <c r="F559" i="7"/>
  <c r="E559" i="7"/>
  <c r="D559" i="7"/>
  <c r="C559" i="7"/>
  <c r="B559" i="7"/>
  <c r="A559" i="7"/>
  <c r="K558" i="7"/>
  <c r="J558" i="7"/>
  <c r="I558" i="7"/>
  <c r="H558" i="7"/>
  <c r="G558" i="7"/>
  <c r="F558" i="7"/>
  <c r="E558" i="7"/>
  <c r="D558" i="7"/>
  <c r="C558" i="7"/>
  <c r="B558" i="7"/>
  <c r="A558" i="7"/>
  <c r="K557" i="7"/>
  <c r="J557" i="7"/>
  <c r="I557" i="7"/>
  <c r="H557" i="7"/>
  <c r="G557" i="7"/>
  <c r="F557" i="7"/>
  <c r="E557" i="7"/>
  <c r="D557" i="7"/>
  <c r="C557" i="7"/>
  <c r="B557" i="7"/>
  <c r="A557" i="7"/>
  <c r="K556" i="7"/>
  <c r="J556" i="7"/>
  <c r="I556" i="7"/>
  <c r="H556" i="7"/>
  <c r="G556" i="7"/>
  <c r="F556" i="7"/>
  <c r="E556" i="7"/>
  <c r="D556" i="7"/>
  <c r="C556" i="7"/>
  <c r="B556" i="7"/>
  <c r="A556" i="7"/>
  <c r="K555" i="7"/>
  <c r="J555" i="7"/>
  <c r="I555" i="7"/>
  <c r="H555" i="7"/>
  <c r="G555" i="7"/>
  <c r="F555" i="7"/>
  <c r="E555" i="7"/>
  <c r="D555" i="7"/>
  <c r="C555" i="7"/>
  <c r="B555" i="7"/>
  <c r="A555" i="7"/>
  <c r="K554" i="7"/>
  <c r="J554" i="7"/>
  <c r="I554" i="7"/>
  <c r="H554" i="7"/>
  <c r="G554" i="7"/>
  <c r="F554" i="7"/>
  <c r="E554" i="7"/>
  <c r="D554" i="7"/>
  <c r="C554" i="7"/>
  <c r="B554" i="7"/>
  <c r="A554" i="7"/>
  <c r="K553" i="7"/>
  <c r="J553" i="7"/>
  <c r="I553" i="7"/>
  <c r="H553" i="7"/>
  <c r="G553" i="7"/>
  <c r="F553" i="7"/>
  <c r="E553" i="7"/>
  <c r="D553" i="7"/>
  <c r="C553" i="7"/>
  <c r="B553" i="7"/>
  <c r="A553" i="7"/>
  <c r="K552" i="7"/>
  <c r="J552" i="7"/>
  <c r="I552" i="7"/>
  <c r="H552" i="7"/>
  <c r="G552" i="7"/>
  <c r="F552" i="7"/>
  <c r="E552" i="7"/>
  <c r="D552" i="7"/>
  <c r="C552" i="7"/>
  <c r="B552" i="7"/>
  <c r="A552" i="7"/>
  <c r="K551" i="7"/>
  <c r="J551" i="7"/>
  <c r="I551" i="7"/>
  <c r="H551" i="7"/>
  <c r="G551" i="7"/>
  <c r="F551" i="7"/>
  <c r="E551" i="7"/>
  <c r="D551" i="7"/>
  <c r="C551" i="7"/>
  <c r="B551" i="7"/>
  <c r="A551" i="7"/>
  <c r="K550" i="7"/>
  <c r="J550" i="7"/>
  <c r="I550" i="7"/>
  <c r="H550" i="7"/>
  <c r="G550" i="7"/>
  <c r="F550" i="7"/>
  <c r="E550" i="7"/>
  <c r="D550" i="7"/>
  <c r="C550" i="7"/>
  <c r="B550" i="7"/>
  <c r="A550" i="7"/>
  <c r="K549" i="7"/>
  <c r="J549" i="7"/>
  <c r="I549" i="7"/>
  <c r="H549" i="7"/>
  <c r="G549" i="7"/>
  <c r="F549" i="7"/>
  <c r="E549" i="7"/>
  <c r="D549" i="7"/>
  <c r="C549" i="7"/>
  <c r="B549" i="7"/>
  <c r="A549" i="7"/>
  <c r="K548" i="7"/>
  <c r="J548" i="7"/>
  <c r="I548" i="7"/>
  <c r="H548" i="7"/>
  <c r="G548" i="7"/>
  <c r="F548" i="7"/>
  <c r="E548" i="7"/>
  <c r="D548" i="7"/>
  <c r="C548" i="7"/>
  <c r="B548" i="7"/>
  <c r="A548" i="7"/>
  <c r="K547" i="7"/>
  <c r="J547" i="7"/>
  <c r="I547" i="7"/>
  <c r="H547" i="7"/>
  <c r="G547" i="7"/>
  <c r="F547" i="7"/>
  <c r="E547" i="7"/>
  <c r="D547" i="7"/>
  <c r="C547" i="7"/>
  <c r="B547" i="7"/>
  <c r="A547" i="7"/>
  <c r="K546" i="7"/>
  <c r="J546" i="7"/>
  <c r="I546" i="7"/>
  <c r="H546" i="7"/>
  <c r="G546" i="7"/>
  <c r="F546" i="7"/>
  <c r="E546" i="7"/>
  <c r="D546" i="7"/>
  <c r="C546" i="7"/>
  <c r="B546" i="7"/>
  <c r="A546" i="7"/>
  <c r="K545" i="7"/>
  <c r="J545" i="7"/>
  <c r="I545" i="7"/>
  <c r="H545" i="7"/>
  <c r="G545" i="7"/>
  <c r="F545" i="7"/>
  <c r="E545" i="7"/>
  <c r="D545" i="7"/>
  <c r="C545" i="7"/>
  <c r="B545" i="7"/>
  <c r="A545" i="7"/>
  <c r="K544" i="7"/>
  <c r="J544" i="7"/>
  <c r="I544" i="7"/>
  <c r="H544" i="7"/>
  <c r="G544" i="7"/>
  <c r="F544" i="7"/>
  <c r="E544" i="7"/>
  <c r="D544" i="7"/>
  <c r="C544" i="7"/>
  <c r="B544" i="7"/>
  <c r="A544" i="7"/>
  <c r="K543" i="7"/>
  <c r="J543" i="7"/>
  <c r="I543" i="7"/>
  <c r="H543" i="7"/>
  <c r="G543" i="7"/>
  <c r="F543" i="7"/>
  <c r="E543" i="7"/>
  <c r="D543" i="7"/>
  <c r="C543" i="7"/>
  <c r="B543" i="7"/>
  <c r="A543" i="7"/>
  <c r="K542" i="7"/>
  <c r="J542" i="7"/>
  <c r="I542" i="7"/>
  <c r="H542" i="7"/>
  <c r="G542" i="7"/>
  <c r="F542" i="7"/>
  <c r="E542" i="7"/>
  <c r="D542" i="7"/>
  <c r="C542" i="7"/>
  <c r="B542" i="7"/>
  <c r="A542" i="7"/>
  <c r="K541" i="7"/>
  <c r="J541" i="7"/>
  <c r="I541" i="7"/>
  <c r="H541" i="7"/>
  <c r="G541" i="7"/>
  <c r="F541" i="7"/>
  <c r="E541" i="7"/>
  <c r="D541" i="7"/>
  <c r="C541" i="7"/>
  <c r="B541" i="7"/>
  <c r="A541" i="7"/>
  <c r="K540" i="7"/>
  <c r="J540" i="7"/>
  <c r="I540" i="7"/>
  <c r="H540" i="7"/>
  <c r="G540" i="7"/>
  <c r="F540" i="7"/>
  <c r="E540" i="7"/>
  <c r="D540" i="7"/>
  <c r="C540" i="7"/>
  <c r="B540" i="7"/>
  <c r="A540" i="7"/>
  <c r="K539" i="7"/>
  <c r="J539" i="7"/>
  <c r="I539" i="7"/>
  <c r="H539" i="7"/>
  <c r="G539" i="7"/>
  <c r="F539" i="7"/>
  <c r="E539" i="7"/>
  <c r="D539" i="7"/>
  <c r="C539" i="7"/>
  <c r="B539" i="7"/>
  <c r="A539" i="7"/>
  <c r="K538" i="7"/>
  <c r="J538" i="7"/>
  <c r="I538" i="7"/>
  <c r="H538" i="7"/>
  <c r="G538" i="7"/>
  <c r="F538" i="7"/>
  <c r="E538" i="7"/>
  <c r="D538" i="7"/>
  <c r="C538" i="7"/>
  <c r="B538" i="7"/>
  <c r="A538" i="7"/>
  <c r="K537" i="7"/>
  <c r="J537" i="7"/>
  <c r="I537" i="7"/>
  <c r="H537" i="7"/>
  <c r="G537" i="7"/>
  <c r="F537" i="7"/>
  <c r="E537" i="7"/>
  <c r="D537" i="7"/>
  <c r="C537" i="7"/>
  <c r="B537" i="7"/>
  <c r="A537" i="7"/>
  <c r="K536" i="7"/>
  <c r="J536" i="7"/>
  <c r="I536" i="7"/>
  <c r="H536" i="7"/>
  <c r="G536" i="7"/>
  <c r="F536" i="7"/>
  <c r="E536" i="7"/>
  <c r="D536" i="7"/>
  <c r="C536" i="7"/>
  <c r="B536" i="7"/>
  <c r="A536" i="7"/>
  <c r="K535" i="7"/>
  <c r="J535" i="7"/>
  <c r="I535" i="7"/>
  <c r="H535" i="7"/>
  <c r="G535" i="7"/>
  <c r="F535" i="7"/>
  <c r="E535" i="7"/>
  <c r="D535" i="7"/>
  <c r="C535" i="7"/>
  <c r="B535" i="7"/>
  <c r="A535" i="7"/>
  <c r="K534" i="7"/>
  <c r="J534" i="7"/>
  <c r="I534" i="7"/>
  <c r="H534" i="7"/>
  <c r="G534" i="7"/>
  <c r="F534" i="7"/>
  <c r="E534" i="7"/>
  <c r="D534" i="7"/>
  <c r="C534" i="7"/>
  <c r="B534" i="7"/>
  <c r="A534" i="7"/>
  <c r="K533" i="7"/>
  <c r="J533" i="7"/>
  <c r="I533" i="7"/>
  <c r="H533" i="7"/>
  <c r="G533" i="7"/>
  <c r="F533" i="7"/>
  <c r="E533" i="7"/>
  <c r="D533" i="7"/>
  <c r="C533" i="7"/>
  <c r="B533" i="7"/>
  <c r="A533" i="7"/>
  <c r="K532" i="7"/>
  <c r="J532" i="7"/>
  <c r="I532" i="7"/>
  <c r="H532" i="7"/>
  <c r="G532" i="7"/>
  <c r="F532" i="7"/>
  <c r="E532" i="7"/>
  <c r="D532" i="7"/>
  <c r="C532" i="7"/>
  <c r="B532" i="7"/>
  <c r="A532" i="7"/>
  <c r="K531" i="7"/>
  <c r="J531" i="7"/>
  <c r="I531" i="7"/>
  <c r="H531" i="7"/>
  <c r="G531" i="7"/>
  <c r="F531" i="7"/>
  <c r="E531" i="7"/>
  <c r="D531" i="7"/>
  <c r="C531" i="7"/>
  <c r="B531" i="7"/>
  <c r="A531" i="7"/>
  <c r="K530" i="7"/>
  <c r="J530" i="7"/>
  <c r="I530" i="7"/>
  <c r="H530" i="7"/>
  <c r="G530" i="7"/>
  <c r="F530" i="7"/>
  <c r="E530" i="7"/>
  <c r="D530" i="7"/>
  <c r="C530" i="7"/>
  <c r="B530" i="7"/>
  <c r="A530" i="7"/>
  <c r="K529" i="7"/>
  <c r="J529" i="7"/>
  <c r="I529" i="7"/>
  <c r="H529" i="7"/>
  <c r="G529" i="7"/>
  <c r="F529" i="7"/>
  <c r="E529" i="7"/>
  <c r="D529" i="7"/>
  <c r="C529" i="7"/>
  <c r="B529" i="7"/>
  <c r="A529" i="7"/>
  <c r="K528" i="7"/>
  <c r="J528" i="7"/>
  <c r="I528" i="7"/>
  <c r="H528" i="7"/>
  <c r="G528" i="7"/>
  <c r="F528" i="7"/>
  <c r="E528" i="7"/>
  <c r="D528" i="7"/>
  <c r="C528" i="7"/>
  <c r="B528" i="7"/>
  <c r="A528" i="7"/>
  <c r="K527" i="7"/>
  <c r="J527" i="7"/>
  <c r="I527" i="7"/>
  <c r="H527" i="7"/>
  <c r="G527" i="7"/>
  <c r="F527" i="7"/>
  <c r="E527" i="7"/>
  <c r="D527" i="7"/>
  <c r="C527" i="7"/>
  <c r="B527" i="7"/>
  <c r="A527" i="7"/>
  <c r="K526" i="7"/>
  <c r="J526" i="7"/>
  <c r="I526" i="7"/>
  <c r="H526" i="7"/>
  <c r="G526" i="7"/>
  <c r="F526" i="7"/>
  <c r="E526" i="7"/>
  <c r="D526" i="7"/>
  <c r="C526" i="7"/>
  <c r="B526" i="7"/>
  <c r="A526" i="7"/>
  <c r="K525" i="7"/>
  <c r="J525" i="7"/>
  <c r="I525" i="7"/>
  <c r="H525" i="7"/>
  <c r="G525" i="7"/>
  <c r="F525" i="7"/>
  <c r="E525" i="7"/>
  <c r="D525" i="7"/>
  <c r="C525" i="7"/>
  <c r="B525" i="7"/>
  <c r="A525" i="7"/>
  <c r="K524" i="7"/>
  <c r="J524" i="7"/>
  <c r="I524" i="7"/>
  <c r="H524" i="7"/>
  <c r="G524" i="7"/>
  <c r="F524" i="7"/>
  <c r="E524" i="7"/>
  <c r="D524" i="7"/>
  <c r="C524" i="7"/>
  <c r="B524" i="7"/>
  <c r="A524" i="7"/>
  <c r="K523" i="7"/>
  <c r="J523" i="7"/>
  <c r="I523" i="7"/>
  <c r="H523" i="7"/>
  <c r="G523" i="7"/>
  <c r="F523" i="7"/>
  <c r="E523" i="7"/>
  <c r="D523" i="7"/>
  <c r="C523" i="7"/>
  <c r="B523" i="7"/>
  <c r="A523" i="7"/>
  <c r="K522" i="7"/>
  <c r="J522" i="7"/>
  <c r="I522" i="7"/>
  <c r="H522" i="7"/>
  <c r="G522" i="7"/>
  <c r="F522" i="7"/>
  <c r="E522" i="7"/>
  <c r="D522" i="7"/>
  <c r="C522" i="7"/>
  <c r="B522" i="7"/>
  <c r="A522" i="7"/>
  <c r="K521" i="7"/>
  <c r="J521" i="7"/>
  <c r="I521" i="7"/>
  <c r="H521" i="7"/>
  <c r="G521" i="7"/>
  <c r="F521" i="7"/>
  <c r="E521" i="7"/>
  <c r="D521" i="7"/>
  <c r="C521" i="7"/>
  <c r="B521" i="7"/>
  <c r="A521" i="7"/>
  <c r="K520" i="7"/>
  <c r="J520" i="7"/>
  <c r="I520" i="7"/>
  <c r="H520" i="7"/>
  <c r="G520" i="7"/>
  <c r="F520" i="7"/>
  <c r="E520" i="7"/>
  <c r="D520" i="7"/>
  <c r="C520" i="7"/>
  <c r="B520" i="7"/>
  <c r="A520" i="7"/>
  <c r="K519" i="7"/>
  <c r="J519" i="7"/>
  <c r="I519" i="7"/>
  <c r="H519" i="7"/>
  <c r="G519" i="7"/>
  <c r="F519" i="7"/>
  <c r="E519" i="7"/>
  <c r="D519" i="7"/>
  <c r="C519" i="7"/>
  <c r="B519" i="7"/>
  <c r="A519" i="7"/>
  <c r="K518" i="7"/>
  <c r="J518" i="7"/>
  <c r="I518" i="7"/>
  <c r="H518" i="7"/>
  <c r="G518" i="7"/>
  <c r="F518" i="7"/>
  <c r="E518" i="7"/>
  <c r="D518" i="7"/>
  <c r="C518" i="7"/>
  <c r="B518" i="7"/>
  <c r="A518" i="7"/>
  <c r="K517" i="7"/>
  <c r="J517" i="7"/>
  <c r="I517" i="7"/>
  <c r="H517" i="7"/>
  <c r="G517" i="7"/>
  <c r="F517" i="7"/>
  <c r="E517" i="7"/>
  <c r="D517" i="7"/>
  <c r="C517" i="7"/>
  <c r="B517" i="7"/>
  <c r="A517" i="7"/>
  <c r="K516" i="7"/>
  <c r="J516" i="7"/>
  <c r="I516" i="7"/>
  <c r="H516" i="7"/>
  <c r="G516" i="7"/>
  <c r="F516" i="7"/>
  <c r="E516" i="7"/>
  <c r="D516" i="7"/>
  <c r="C516" i="7"/>
  <c r="B516" i="7"/>
  <c r="A516" i="7"/>
  <c r="K515" i="7"/>
  <c r="J515" i="7"/>
  <c r="I515" i="7"/>
  <c r="H515" i="7"/>
  <c r="G515" i="7"/>
  <c r="F515" i="7"/>
  <c r="E515" i="7"/>
  <c r="D515" i="7"/>
  <c r="C515" i="7"/>
  <c r="B515" i="7"/>
  <c r="A515" i="7"/>
  <c r="K514" i="7"/>
  <c r="J514" i="7"/>
  <c r="I514" i="7"/>
  <c r="H514" i="7"/>
  <c r="G514" i="7"/>
  <c r="F514" i="7"/>
  <c r="E514" i="7"/>
  <c r="D514" i="7"/>
  <c r="C514" i="7"/>
  <c r="B514" i="7"/>
  <c r="A514" i="7"/>
  <c r="K513" i="7"/>
  <c r="J513" i="7"/>
  <c r="I513" i="7"/>
  <c r="H513" i="7"/>
  <c r="G513" i="7"/>
  <c r="F513" i="7"/>
  <c r="E513" i="7"/>
  <c r="D513" i="7"/>
  <c r="C513" i="7"/>
  <c r="B513" i="7"/>
  <c r="A513" i="7"/>
  <c r="K512" i="7"/>
  <c r="J512" i="7"/>
  <c r="I512" i="7"/>
  <c r="H512" i="7"/>
  <c r="G512" i="7"/>
  <c r="F512" i="7"/>
  <c r="E512" i="7"/>
  <c r="D512" i="7"/>
  <c r="C512" i="7"/>
  <c r="B512" i="7"/>
  <c r="A512" i="7"/>
  <c r="K511" i="7"/>
  <c r="J511" i="7"/>
  <c r="I511" i="7"/>
  <c r="H511" i="7"/>
  <c r="G511" i="7"/>
  <c r="F511" i="7"/>
  <c r="E511" i="7"/>
  <c r="D511" i="7"/>
  <c r="C511" i="7"/>
  <c r="B511" i="7"/>
  <c r="A511" i="7"/>
  <c r="K510" i="7"/>
  <c r="J510" i="7"/>
  <c r="I510" i="7"/>
  <c r="H510" i="7"/>
  <c r="G510" i="7"/>
  <c r="F510" i="7"/>
  <c r="E510" i="7"/>
  <c r="D510" i="7"/>
  <c r="C510" i="7"/>
  <c r="B510" i="7"/>
  <c r="A510" i="7"/>
  <c r="K509" i="7"/>
  <c r="J509" i="7"/>
  <c r="I509" i="7"/>
  <c r="H509" i="7"/>
  <c r="G509" i="7"/>
  <c r="F509" i="7"/>
  <c r="E509" i="7"/>
  <c r="D509" i="7"/>
  <c r="C509" i="7"/>
  <c r="B509" i="7"/>
  <c r="A509" i="7"/>
  <c r="K508" i="7"/>
  <c r="J508" i="7"/>
  <c r="I508" i="7"/>
  <c r="H508" i="7"/>
  <c r="G508" i="7"/>
  <c r="F508" i="7"/>
  <c r="E508" i="7"/>
  <c r="D508" i="7"/>
  <c r="C508" i="7"/>
  <c r="B508" i="7"/>
  <c r="A508" i="7"/>
  <c r="K507" i="7"/>
  <c r="J507" i="7"/>
  <c r="I507" i="7"/>
  <c r="H507" i="7"/>
  <c r="G507" i="7"/>
  <c r="F507" i="7"/>
  <c r="E507" i="7"/>
  <c r="D507" i="7"/>
  <c r="C507" i="7"/>
  <c r="B507" i="7"/>
  <c r="A507" i="7"/>
  <c r="K506" i="7"/>
  <c r="J506" i="7"/>
  <c r="I506" i="7"/>
  <c r="H506" i="7"/>
  <c r="G506" i="7"/>
  <c r="F506" i="7"/>
  <c r="E506" i="7"/>
  <c r="D506" i="7"/>
  <c r="C506" i="7"/>
  <c r="B506" i="7"/>
  <c r="A506" i="7"/>
  <c r="K505" i="7"/>
  <c r="J505" i="7"/>
  <c r="I505" i="7"/>
  <c r="H505" i="7"/>
  <c r="G505" i="7"/>
  <c r="F505" i="7"/>
  <c r="E505" i="7"/>
  <c r="D505" i="7"/>
  <c r="C505" i="7"/>
  <c r="B505" i="7"/>
  <c r="A505" i="7"/>
  <c r="K504" i="7"/>
  <c r="J504" i="7"/>
  <c r="I504" i="7"/>
  <c r="H504" i="7"/>
  <c r="G504" i="7"/>
  <c r="F504" i="7"/>
  <c r="E504" i="7"/>
  <c r="D504" i="7"/>
  <c r="C504" i="7"/>
  <c r="B504" i="7"/>
  <c r="A504" i="7"/>
  <c r="K503" i="7"/>
  <c r="J503" i="7"/>
  <c r="I503" i="7"/>
  <c r="H503" i="7"/>
  <c r="G503" i="7"/>
  <c r="F503" i="7"/>
  <c r="E503" i="7"/>
  <c r="D503" i="7"/>
  <c r="C503" i="7"/>
  <c r="B503" i="7"/>
  <c r="A503" i="7"/>
  <c r="K502" i="7"/>
  <c r="J502" i="7"/>
  <c r="I502" i="7"/>
  <c r="H502" i="7"/>
  <c r="G502" i="7"/>
  <c r="F502" i="7"/>
  <c r="E502" i="7"/>
  <c r="D502" i="7"/>
  <c r="C502" i="7"/>
  <c r="B502" i="7"/>
  <c r="A502" i="7"/>
  <c r="K501" i="7"/>
  <c r="J501" i="7"/>
  <c r="I501" i="7"/>
  <c r="H501" i="7"/>
  <c r="G501" i="7"/>
  <c r="F501" i="7"/>
  <c r="E501" i="7"/>
  <c r="D501" i="7"/>
  <c r="C501" i="7"/>
  <c r="B501" i="7"/>
  <c r="A501" i="7"/>
  <c r="K500" i="7"/>
  <c r="J500" i="7"/>
  <c r="I500" i="7"/>
  <c r="H500" i="7"/>
  <c r="G500" i="7"/>
  <c r="F500" i="7"/>
  <c r="E500" i="7"/>
  <c r="D500" i="7"/>
  <c r="C500" i="7"/>
  <c r="B500" i="7"/>
  <c r="A500" i="7"/>
  <c r="K499" i="7"/>
  <c r="J499" i="7"/>
  <c r="I499" i="7"/>
  <c r="H499" i="7"/>
  <c r="G499" i="7"/>
  <c r="F499" i="7"/>
  <c r="E499" i="7"/>
  <c r="D499" i="7"/>
  <c r="C499" i="7"/>
  <c r="B499" i="7"/>
  <c r="A499" i="7"/>
  <c r="K498" i="7"/>
  <c r="J498" i="7"/>
  <c r="I498" i="7"/>
  <c r="H498" i="7"/>
  <c r="G498" i="7"/>
  <c r="F498" i="7"/>
  <c r="E498" i="7"/>
  <c r="D498" i="7"/>
  <c r="C498" i="7"/>
  <c r="B498" i="7"/>
  <c r="A498" i="7"/>
  <c r="K497" i="7"/>
  <c r="J497" i="7"/>
  <c r="I497" i="7"/>
  <c r="H497" i="7"/>
  <c r="G497" i="7"/>
  <c r="F497" i="7"/>
  <c r="E497" i="7"/>
  <c r="D497" i="7"/>
  <c r="C497" i="7"/>
  <c r="B497" i="7"/>
  <c r="A497" i="7"/>
  <c r="K496" i="7"/>
  <c r="J496" i="7"/>
  <c r="I496" i="7"/>
  <c r="H496" i="7"/>
  <c r="G496" i="7"/>
  <c r="F496" i="7"/>
  <c r="E496" i="7"/>
  <c r="D496" i="7"/>
  <c r="C496" i="7"/>
  <c r="B496" i="7"/>
  <c r="A496" i="7"/>
  <c r="K495" i="7"/>
  <c r="J495" i="7"/>
  <c r="I495" i="7"/>
  <c r="H495" i="7"/>
  <c r="G495" i="7"/>
  <c r="F495" i="7"/>
  <c r="E495" i="7"/>
  <c r="D495" i="7"/>
  <c r="C495" i="7"/>
  <c r="B495" i="7"/>
  <c r="A495" i="7"/>
  <c r="K494" i="7"/>
  <c r="J494" i="7"/>
  <c r="I494" i="7"/>
  <c r="H494" i="7"/>
  <c r="G494" i="7"/>
  <c r="F494" i="7"/>
  <c r="E494" i="7"/>
  <c r="D494" i="7"/>
  <c r="C494" i="7"/>
  <c r="B494" i="7"/>
  <c r="A494" i="7"/>
  <c r="K493" i="7"/>
  <c r="J493" i="7"/>
  <c r="I493" i="7"/>
  <c r="H493" i="7"/>
  <c r="G493" i="7"/>
  <c r="F493" i="7"/>
  <c r="E493" i="7"/>
  <c r="D493" i="7"/>
  <c r="C493" i="7"/>
  <c r="B493" i="7"/>
  <c r="A493" i="7"/>
  <c r="K492" i="7"/>
  <c r="J492" i="7"/>
  <c r="I492" i="7"/>
  <c r="H492" i="7"/>
  <c r="G492" i="7"/>
  <c r="F492" i="7"/>
  <c r="E492" i="7"/>
  <c r="D492" i="7"/>
  <c r="C492" i="7"/>
  <c r="B492" i="7"/>
  <c r="A492" i="7"/>
  <c r="K491" i="7"/>
  <c r="J491" i="7"/>
  <c r="I491" i="7"/>
  <c r="H491" i="7"/>
  <c r="G491" i="7"/>
  <c r="F491" i="7"/>
  <c r="E491" i="7"/>
  <c r="D491" i="7"/>
  <c r="C491" i="7"/>
  <c r="B491" i="7"/>
  <c r="A491" i="7"/>
  <c r="K490" i="7"/>
  <c r="J490" i="7"/>
  <c r="I490" i="7"/>
  <c r="H490" i="7"/>
  <c r="G490" i="7"/>
  <c r="F490" i="7"/>
  <c r="E490" i="7"/>
  <c r="D490" i="7"/>
  <c r="C490" i="7"/>
  <c r="B490" i="7"/>
  <c r="A490" i="7"/>
  <c r="K489" i="7"/>
  <c r="J489" i="7"/>
  <c r="I489" i="7"/>
  <c r="H489" i="7"/>
  <c r="G489" i="7"/>
  <c r="F489" i="7"/>
  <c r="E489" i="7"/>
  <c r="D489" i="7"/>
  <c r="C489" i="7"/>
  <c r="B489" i="7"/>
  <c r="A489" i="7"/>
  <c r="K488" i="7"/>
  <c r="J488" i="7"/>
  <c r="I488" i="7"/>
  <c r="H488" i="7"/>
  <c r="G488" i="7"/>
  <c r="F488" i="7"/>
  <c r="E488" i="7"/>
  <c r="D488" i="7"/>
  <c r="C488" i="7"/>
  <c r="B488" i="7"/>
  <c r="A488" i="7"/>
  <c r="K487" i="7"/>
  <c r="J487" i="7"/>
  <c r="I487" i="7"/>
  <c r="H487" i="7"/>
  <c r="G487" i="7"/>
  <c r="F487" i="7"/>
  <c r="E487" i="7"/>
  <c r="D487" i="7"/>
  <c r="C487" i="7"/>
  <c r="B487" i="7"/>
  <c r="A487" i="7"/>
  <c r="K486" i="7"/>
  <c r="J486" i="7"/>
  <c r="I486" i="7"/>
  <c r="H486" i="7"/>
  <c r="G486" i="7"/>
  <c r="F486" i="7"/>
  <c r="E486" i="7"/>
  <c r="D486" i="7"/>
  <c r="C486" i="7"/>
  <c r="B486" i="7"/>
  <c r="A486" i="7"/>
  <c r="K485" i="7"/>
  <c r="J485" i="7"/>
  <c r="I485" i="7"/>
  <c r="H485" i="7"/>
  <c r="G485" i="7"/>
  <c r="F485" i="7"/>
  <c r="E485" i="7"/>
  <c r="D485" i="7"/>
  <c r="C485" i="7"/>
  <c r="B485" i="7"/>
  <c r="A485" i="7"/>
  <c r="K484" i="7"/>
  <c r="J484" i="7"/>
  <c r="I484" i="7"/>
  <c r="H484" i="7"/>
  <c r="G484" i="7"/>
  <c r="F484" i="7"/>
  <c r="E484" i="7"/>
  <c r="D484" i="7"/>
  <c r="C484" i="7"/>
  <c r="B484" i="7"/>
  <c r="A484" i="7"/>
  <c r="K483" i="7"/>
  <c r="J483" i="7"/>
  <c r="I483" i="7"/>
  <c r="H483" i="7"/>
  <c r="G483" i="7"/>
  <c r="F483" i="7"/>
  <c r="E483" i="7"/>
  <c r="D483" i="7"/>
  <c r="C483" i="7"/>
  <c r="B483" i="7"/>
  <c r="A483" i="7"/>
  <c r="K482" i="7"/>
  <c r="J482" i="7"/>
  <c r="I482" i="7"/>
  <c r="H482" i="7"/>
  <c r="G482" i="7"/>
  <c r="F482" i="7"/>
  <c r="E482" i="7"/>
  <c r="D482" i="7"/>
  <c r="C482" i="7"/>
  <c r="B482" i="7"/>
  <c r="A482" i="7"/>
  <c r="K481" i="7"/>
  <c r="J481" i="7"/>
  <c r="I481" i="7"/>
  <c r="H481" i="7"/>
  <c r="G481" i="7"/>
  <c r="F481" i="7"/>
  <c r="E481" i="7"/>
  <c r="D481" i="7"/>
  <c r="C481" i="7"/>
  <c r="B481" i="7"/>
  <c r="A481" i="7"/>
  <c r="K480" i="7"/>
  <c r="J480" i="7"/>
  <c r="I480" i="7"/>
  <c r="H480" i="7"/>
  <c r="G480" i="7"/>
  <c r="F480" i="7"/>
  <c r="E480" i="7"/>
  <c r="D480" i="7"/>
  <c r="C480" i="7"/>
  <c r="B480" i="7"/>
  <c r="A480" i="7"/>
  <c r="K479" i="7"/>
  <c r="J479" i="7"/>
  <c r="I479" i="7"/>
  <c r="H479" i="7"/>
  <c r="G479" i="7"/>
  <c r="F479" i="7"/>
  <c r="E479" i="7"/>
  <c r="D479" i="7"/>
  <c r="C479" i="7"/>
  <c r="B479" i="7"/>
  <c r="A479" i="7"/>
  <c r="K478" i="7"/>
  <c r="J478" i="7"/>
  <c r="I478" i="7"/>
  <c r="H478" i="7"/>
  <c r="G478" i="7"/>
  <c r="F478" i="7"/>
  <c r="E478" i="7"/>
  <c r="D478" i="7"/>
  <c r="C478" i="7"/>
  <c r="B478" i="7"/>
  <c r="A478" i="7"/>
  <c r="K477" i="7"/>
  <c r="J477" i="7"/>
  <c r="I477" i="7"/>
  <c r="H477" i="7"/>
  <c r="G477" i="7"/>
  <c r="F477" i="7"/>
  <c r="E477" i="7"/>
  <c r="D477" i="7"/>
  <c r="C477" i="7"/>
  <c r="B477" i="7"/>
  <c r="A477" i="7"/>
  <c r="K476" i="7"/>
  <c r="J476" i="7"/>
  <c r="I476" i="7"/>
  <c r="H476" i="7"/>
  <c r="G476" i="7"/>
  <c r="F476" i="7"/>
  <c r="E476" i="7"/>
  <c r="D476" i="7"/>
  <c r="C476" i="7"/>
  <c r="B476" i="7"/>
  <c r="A476" i="7"/>
  <c r="K475" i="7"/>
  <c r="J475" i="7"/>
  <c r="I475" i="7"/>
  <c r="H475" i="7"/>
  <c r="G475" i="7"/>
  <c r="F475" i="7"/>
  <c r="E475" i="7"/>
  <c r="D475" i="7"/>
  <c r="C475" i="7"/>
  <c r="B475" i="7"/>
  <c r="A475" i="7"/>
  <c r="K474" i="7"/>
  <c r="J474" i="7"/>
  <c r="I474" i="7"/>
  <c r="H474" i="7"/>
  <c r="G474" i="7"/>
  <c r="F474" i="7"/>
  <c r="E474" i="7"/>
  <c r="D474" i="7"/>
  <c r="C474" i="7"/>
  <c r="B474" i="7"/>
  <c r="A474" i="7"/>
  <c r="K473" i="7"/>
  <c r="J473" i="7"/>
  <c r="I473" i="7"/>
  <c r="H473" i="7"/>
  <c r="G473" i="7"/>
  <c r="F473" i="7"/>
  <c r="E473" i="7"/>
  <c r="D473" i="7"/>
  <c r="C473" i="7"/>
  <c r="B473" i="7"/>
  <c r="A473" i="7"/>
  <c r="K472" i="7"/>
  <c r="J472" i="7"/>
  <c r="I472" i="7"/>
  <c r="H472" i="7"/>
  <c r="G472" i="7"/>
  <c r="F472" i="7"/>
  <c r="E472" i="7"/>
  <c r="D472" i="7"/>
  <c r="C472" i="7"/>
  <c r="B472" i="7"/>
  <c r="A472" i="7"/>
  <c r="K471" i="7"/>
  <c r="J471" i="7"/>
  <c r="I471" i="7"/>
  <c r="H471" i="7"/>
  <c r="G471" i="7"/>
  <c r="F471" i="7"/>
  <c r="E471" i="7"/>
  <c r="D471" i="7"/>
  <c r="C471" i="7"/>
  <c r="B471" i="7"/>
  <c r="A471" i="7"/>
  <c r="K470" i="7"/>
  <c r="J470" i="7"/>
  <c r="I470" i="7"/>
  <c r="H470" i="7"/>
  <c r="G470" i="7"/>
  <c r="F470" i="7"/>
  <c r="E470" i="7"/>
  <c r="D470" i="7"/>
  <c r="C470" i="7"/>
  <c r="B470" i="7"/>
  <c r="A470" i="7"/>
  <c r="K469" i="7"/>
  <c r="J469" i="7"/>
  <c r="I469" i="7"/>
  <c r="H469" i="7"/>
  <c r="G469" i="7"/>
  <c r="F469" i="7"/>
  <c r="E469" i="7"/>
  <c r="D469" i="7"/>
  <c r="C469" i="7"/>
  <c r="B469" i="7"/>
  <c r="A469" i="7"/>
  <c r="K468" i="7"/>
  <c r="J468" i="7"/>
  <c r="I468" i="7"/>
  <c r="H468" i="7"/>
  <c r="G468" i="7"/>
  <c r="F468" i="7"/>
  <c r="E468" i="7"/>
  <c r="D468" i="7"/>
  <c r="C468" i="7"/>
  <c r="B468" i="7"/>
  <c r="A468" i="7"/>
  <c r="K467" i="7"/>
  <c r="J467" i="7"/>
  <c r="I467" i="7"/>
  <c r="H467" i="7"/>
  <c r="G467" i="7"/>
  <c r="F467" i="7"/>
  <c r="E467" i="7"/>
  <c r="D467" i="7"/>
  <c r="C467" i="7"/>
  <c r="B467" i="7"/>
  <c r="A467" i="7"/>
  <c r="K466" i="7"/>
  <c r="J466" i="7"/>
  <c r="I466" i="7"/>
  <c r="H466" i="7"/>
  <c r="G466" i="7"/>
  <c r="F466" i="7"/>
  <c r="E466" i="7"/>
  <c r="D466" i="7"/>
  <c r="C466" i="7"/>
  <c r="B466" i="7"/>
  <c r="A466" i="7"/>
  <c r="K465" i="7"/>
  <c r="J465" i="7"/>
  <c r="I465" i="7"/>
  <c r="H465" i="7"/>
  <c r="G465" i="7"/>
  <c r="F465" i="7"/>
  <c r="E465" i="7"/>
  <c r="D465" i="7"/>
  <c r="C465" i="7"/>
  <c r="B465" i="7"/>
  <c r="A465" i="7"/>
  <c r="K464" i="7"/>
  <c r="J464" i="7"/>
  <c r="I464" i="7"/>
  <c r="H464" i="7"/>
  <c r="G464" i="7"/>
  <c r="F464" i="7"/>
  <c r="E464" i="7"/>
  <c r="D464" i="7"/>
  <c r="C464" i="7"/>
  <c r="B464" i="7"/>
  <c r="A464" i="7"/>
  <c r="K463" i="7"/>
  <c r="J463" i="7"/>
  <c r="I463" i="7"/>
  <c r="H463" i="7"/>
  <c r="G463" i="7"/>
  <c r="F463" i="7"/>
  <c r="E463" i="7"/>
  <c r="D463" i="7"/>
  <c r="C463" i="7"/>
  <c r="B463" i="7"/>
  <c r="A463" i="7"/>
  <c r="K462" i="7"/>
  <c r="J462" i="7"/>
  <c r="I462" i="7"/>
  <c r="H462" i="7"/>
  <c r="G462" i="7"/>
  <c r="F462" i="7"/>
  <c r="E462" i="7"/>
  <c r="D462" i="7"/>
  <c r="C462" i="7"/>
  <c r="B462" i="7"/>
  <c r="A462" i="7"/>
  <c r="K461" i="7"/>
  <c r="J461" i="7"/>
  <c r="I461" i="7"/>
  <c r="H461" i="7"/>
  <c r="G461" i="7"/>
  <c r="F461" i="7"/>
  <c r="E461" i="7"/>
  <c r="D461" i="7"/>
  <c r="C461" i="7"/>
  <c r="B461" i="7"/>
  <c r="A461" i="7"/>
  <c r="K460" i="7"/>
  <c r="J460" i="7"/>
  <c r="I460" i="7"/>
  <c r="H460" i="7"/>
  <c r="G460" i="7"/>
  <c r="F460" i="7"/>
  <c r="E460" i="7"/>
  <c r="D460" i="7"/>
  <c r="C460" i="7"/>
  <c r="B460" i="7"/>
  <c r="A460" i="7"/>
  <c r="K459" i="7"/>
  <c r="J459" i="7"/>
  <c r="I459" i="7"/>
  <c r="H459" i="7"/>
  <c r="G459" i="7"/>
  <c r="F459" i="7"/>
  <c r="E459" i="7"/>
  <c r="D459" i="7"/>
  <c r="C459" i="7"/>
  <c r="B459" i="7"/>
  <c r="A459" i="7"/>
  <c r="K458" i="7"/>
  <c r="J458" i="7"/>
  <c r="I458" i="7"/>
  <c r="H458" i="7"/>
  <c r="G458" i="7"/>
  <c r="F458" i="7"/>
  <c r="E458" i="7"/>
  <c r="D458" i="7"/>
  <c r="C458" i="7"/>
  <c r="B458" i="7"/>
  <c r="A458" i="7"/>
  <c r="K457" i="7"/>
  <c r="J457" i="7"/>
  <c r="I457" i="7"/>
  <c r="H457" i="7"/>
  <c r="G457" i="7"/>
  <c r="F457" i="7"/>
  <c r="E457" i="7"/>
  <c r="D457" i="7"/>
  <c r="C457" i="7"/>
  <c r="B457" i="7"/>
  <c r="A457" i="7"/>
  <c r="K456" i="7"/>
  <c r="J456" i="7"/>
  <c r="I456" i="7"/>
  <c r="H456" i="7"/>
  <c r="G456" i="7"/>
  <c r="F456" i="7"/>
  <c r="E456" i="7"/>
  <c r="D456" i="7"/>
  <c r="C456" i="7"/>
  <c r="B456" i="7"/>
  <c r="A456" i="7"/>
  <c r="K455" i="7"/>
  <c r="J455" i="7"/>
  <c r="I455" i="7"/>
  <c r="H455" i="7"/>
  <c r="G455" i="7"/>
  <c r="F455" i="7"/>
  <c r="E455" i="7"/>
  <c r="D455" i="7"/>
  <c r="C455" i="7"/>
  <c r="B455" i="7"/>
  <c r="A455" i="7"/>
  <c r="K454" i="7"/>
  <c r="J454" i="7"/>
  <c r="I454" i="7"/>
  <c r="H454" i="7"/>
  <c r="G454" i="7"/>
  <c r="F454" i="7"/>
  <c r="E454" i="7"/>
  <c r="D454" i="7"/>
  <c r="C454" i="7"/>
  <c r="B454" i="7"/>
  <c r="A454" i="7"/>
  <c r="K453" i="7"/>
  <c r="J453" i="7"/>
  <c r="I453" i="7"/>
  <c r="H453" i="7"/>
  <c r="G453" i="7"/>
  <c r="F453" i="7"/>
  <c r="E453" i="7"/>
  <c r="D453" i="7"/>
  <c r="C453" i="7"/>
  <c r="B453" i="7"/>
  <c r="A453" i="7"/>
  <c r="K452" i="7"/>
  <c r="J452" i="7"/>
  <c r="I452" i="7"/>
  <c r="H452" i="7"/>
  <c r="G452" i="7"/>
  <c r="F452" i="7"/>
  <c r="E452" i="7"/>
  <c r="D452" i="7"/>
  <c r="C452" i="7"/>
  <c r="B452" i="7"/>
  <c r="A452" i="7"/>
  <c r="K451" i="7"/>
  <c r="J451" i="7"/>
  <c r="I451" i="7"/>
  <c r="H451" i="7"/>
  <c r="G451" i="7"/>
  <c r="F451" i="7"/>
  <c r="E451" i="7"/>
  <c r="D451" i="7"/>
  <c r="C451" i="7"/>
  <c r="B451" i="7"/>
  <c r="A451" i="7"/>
  <c r="K450" i="7"/>
  <c r="J450" i="7"/>
  <c r="I450" i="7"/>
  <c r="H450" i="7"/>
  <c r="G450" i="7"/>
  <c r="F450" i="7"/>
  <c r="E450" i="7"/>
  <c r="D450" i="7"/>
  <c r="C450" i="7"/>
  <c r="B450" i="7"/>
  <c r="A450" i="7"/>
  <c r="K449" i="7"/>
  <c r="J449" i="7"/>
  <c r="I449" i="7"/>
  <c r="H449" i="7"/>
  <c r="G449" i="7"/>
  <c r="F449" i="7"/>
  <c r="E449" i="7"/>
  <c r="D449" i="7"/>
  <c r="C449" i="7"/>
  <c r="B449" i="7"/>
  <c r="A449" i="7"/>
  <c r="K448" i="7"/>
  <c r="J448" i="7"/>
  <c r="I448" i="7"/>
  <c r="H448" i="7"/>
  <c r="G448" i="7"/>
  <c r="F448" i="7"/>
  <c r="E448" i="7"/>
  <c r="D448" i="7"/>
  <c r="C448" i="7"/>
  <c r="B448" i="7"/>
  <c r="A448" i="7"/>
  <c r="K447" i="7"/>
  <c r="J447" i="7"/>
  <c r="I447" i="7"/>
  <c r="H447" i="7"/>
  <c r="G447" i="7"/>
  <c r="F447" i="7"/>
  <c r="E447" i="7"/>
  <c r="D447" i="7"/>
  <c r="C447" i="7"/>
  <c r="B447" i="7"/>
  <c r="A447" i="7"/>
  <c r="K446" i="7"/>
  <c r="J446" i="7"/>
  <c r="I446" i="7"/>
  <c r="H446" i="7"/>
  <c r="G446" i="7"/>
  <c r="F446" i="7"/>
  <c r="E446" i="7"/>
  <c r="D446" i="7"/>
  <c r="C446" i="7"/>
  <c r="B446" i="7"/>
  <c r="A446" i="7"/>
  <c r="K445" i="7"/>
  <c r="J445" i="7"/>
  <c r="I445" i="7"/>
  <c r="H445" i="7"/>
  <c r="G445" i="7"/>
  <c r="F445" i="7"/>
  <c r="E445" i="7"/>
  <c r="D445" i="7"/>
  <c r="C445" i="7"/>
  <c r="B445" i="7"/>
  <c r="A445" i="7"/>
  <c r="K444" i="7"/>
  <c r="J444" i="7"/>
  <c r="I444" i="7"/>
  <c r="H444" i="7"/>
  <c r="G444" i="7"/>
  <c r="F444" i="7"/>
  <c r="E444" i="7"/>
  <c r="D444" i="7"/>
  <c r="C444" i="7"/>
  <c r="B444" i="7"/>
  <c r="A444" i="7"/>
  <c r="K443" i="7"/>
  <c r="J443" i="7"/>
  <c r="I443" i="7"/>
  <c r="H443" i="7"/>
  <c r="G443" i="7"/>
  <c r="F443" i="7"/>
  <c r="E443" i="7"/>
  <c r="D443" i="7"/>
  <c r="C443" i="7"/>
  <c r="B443" i="7"/>
  <c r="A443" i="7"/>
  <c r="K442" i="7"/>
  <c r="J442" i="7"/>
  <c r="I442" i="7"/>
  <c r="H442" i="7"/>
  <c r="G442" i="7"/>
  <c r="F442" i="7"/>
  <c r="E442" i="7"/>
  <c r="D442" i="7"/>
  <c r="C442" i="7"/>
  <c r="B442" i="7"/>
  <c r="A442" i="7"/>
  <c r="K441" i="7"/>
  <c r="J441" i="7"/>
  <c r="I441" i="7"/>
  <c r="H441" i="7"/>
  <c r="G441" i="7"/>
  <c r="F441" i="7"/>
  <c r="E441" i="7"/>
  <c r="D441" i="7"/>
  <c r="C441" i="7"/>
  <c r="B441" i="7"/>
  <c r="A441" i="7"/>
  <c r="K440" i="7"/>
  <c r="J440" i="7"/>
  <c r="I440" i="7"/>
  <c r="H440" i="7"/>
  <c r="G440" i="7"/>
  <c r="F440" i="7"/>
  <c r="E440" i="7"/>
  <c r="D440" i="7"/>
  <c r="C440" i="7"/>
  <c r="B440" i="7"/>
  <c r="A440" i="7"/>
  <c r="K439" i="7"/>
  <c r="J439" i="7"/>
  <c r="I439" i="7"/>
  <c r="H439" i="7"/>
  <c r="G439" i="7"/>
  <c r="F439" i="7"/>
  <c r="E439" i="7"/>
  <c r="D439" i="7"/>
  <c r="C439" i="7"/>
  <c r="B439" i="7"/>
  <c r="A439" i="7"/>
  <c r="K438" i="7"/>
  <c r="J438" i="7"/>
  <c r="I438" i="7"/>
  <c r="H438" i="7"/>
  <c r="G438" i="7"/>
  <c r="F438" i="7"/>
  <c r="E438" i="7"/>
  <c r="D438" i="7"/>
  <c r="C438" i="7"/>
  <c r="B438" i="7"/>
  <c r="A438" i="7"/>
  <c r="K437" i="7"/>
  <c r="J437" i="7"/>
  <c r="I437" i="7"/>
  <c r="H437" i="7"/>
  <c r="G437" i="7"/>
  <c r="F437" i="7"/>
  <c r="E437" i="7"/>
  <c r="D437" i="7"/>
  <c r="C437" i="7"/>
  <c r="B437" i="7"/>
  <c r="A437" i="7"/>
  <c r="K436" i="7"/>
  <c r="J436" i="7"/>
  <c r="I436" i="7"/>
  <c r="H436" i="7"/>
  <c r="G436" i="7"/>
  <c r="F436" i="7"/>
  <c r="E436" i="7"/>
  <c r="D436" i="7"/>
  <c r="C436" i="7"/>
  <c r="B436" i="7"/>
  <c r="A436" i="7"/>
  <c r="K435" i="7"/>
  <c r="J435" i="7"/>
  <c r="I435" i="7"/>
  <c r="H435" i="7"/>
  <c r="G435" i="7"/>
  <c r="F435" i="7"/>
  <c r="E435" i="7"/>
  <c r="D435" i="7"/>
  <c r="C435" i="7"/>
  <c r="B435" i="7"/>
  <c r="A435" i="7"/>
  <c r="K434" i="7"/>
  <c r="J434" i="7"/>
  <c r="I434" i="7"/>
  <c r="H434" i="7"/>
  <c r="G434" i="7"/>
  <c r="F434" i="7"/>
  <c r="E434" i="7"/>
  <c r="D434" i="7"/>
  <c r="C434" i="7"/>
  <c r="B434" i="7"/>
  <c r="A434" i="7"/>
  <c r="K433" i="7"/>
  <c r="J433" i="7"/>
  <c r="I433" i="7"/>
  <c r="H433" i="7"/>
  <c r="G433" i="7"/>
  <c r="F433" i="7"/>
  <c r="E433" i="7"/>
  <c r="D433" i="7"/>
  <c r="C433" i="7"/>
  <c r="B433" i="7"/>
  <c r="A433" i="7"/>
  <c r="K432" i="7"/>
  <c r="J432" i="7"/>
  <c r="I432" i="7"/>
  <c r="H432" i="7"/>
  <c r="G432" i="7"/>
  <c r="F432" i="7"/>
  <c r="E432" i="7"/>
  <c r="D432" i="7"/>
  <c r="C432" i="7"/>
  <c r="B432" i="7"/>
  <c r="A432" i="7"/>
  <c r="K431" i="7"/>
  <c r="J431" i="7"/>
  <c r="I431" i="7"/>
  <c r="H431" i="7"/>
  <c r="G431" i="7"/>
  <c r="F431" i="7"/>
  <c r="E431" i="7"/>
  <c r="D431" i="7"/>
  <c r="C431" i="7"/>
  <c r="B431" i="7"/>
  <c r="A431" i="7"/>
  <c r="K430" i="7"/>
  <c r="J430" i="7"/>
  <c r="I430" i="7"/>
  <c r="H430" i="7"/>
  <c r="G430" i="7"/>
  <c r="F430" i="7"/>
  <c r="E430" i="7"/>
  <c r="D430" i="7"/>
  <c r="C430" i="7"/>
  <c r="B430" i="7"/>
  <c r="A430" i="7"/>
  <c r="K429" i="7"/>
  <c r="J429" i="7"/>
  <c r="I429" i="7"/>
  <c r="H429" i="7"/>
  <c r="G429" i="7"/>
  <c r="F429" i="7"/>
  <c r="E429" i="7"/>
  <c r="D429" i="7"/>
  <c r="C429" i="7"/>
  <c r="B429" i="7"/>
  <c r="A429" i="7"/>
  <c r="K428" i="7"/>
  <c r="J428" i="7"/>
  <c r="I428" i="7"/>
  <c r="H428" i="7"/>
  <c r="G428" i="7"/>
  <c r="F428" i="7"/>
  <c r="E428" i="7"/>
  <c r="D428" i="7"/>
  <c r="C428" i="7"/>
  <c r="B428" i="7"/>
  <c r="A428" i="7"/>
  <c r="K427" i="7"/>
  <c r="J427" i="7"/>
  <c r="I427" i="7"/>
  <c r="H427" i="7"/>
  <c r="G427" i="7"/>
  <c r="F427" i="7"/>
  <c r="E427" i="7"/>
  <c r="D427" i="7"/>
  <c r="C427" i="7"/>
  <c r="B427" i="7"/>
  <c r="A427" i="7"/>
  <c r="K426" i="7"/>
  <c r="J426" i="7"/>
  <c r="I426" i="7"/>
  <c r="H426" i="7"/>
  <c r="G426" i="7"/>
  <c r="F426" i="7"/>
  <c r="E426" i="7"/>
  <c r="D426" i="7"/>
  <c r="C426" i="7"/>
  <c r="B426" i="7"/>
  <c r="A426" i="7"/>
  <c r="K425" i="7"/>
  <c r="J425" i="7"/>
  <c r="I425" i="7"/>
  <c r="H425" i="7"/>
  <c r="G425" i="7"/>
  <c r="F425" i="7"/>
  <c r="E425" i="7"/>
  <c r="D425" i="7"/>
  <c r="C425" i="7"/>
  <c r="B425" i="7"/>
  <c r="A425" i="7"/>
  <c r="K424" i="7"/>
  <c r="J424" i="7"/>
  <c r="I424" i="7"/>
  <c r="H424" i="7"/>
  <c r="G424" i="7"/>
  <c r="F424" i="7"/>
  <c r="E424" i="7"/>
  <c r="D424" i="7"/>
  <c r="C424" i="7"/>
  <c r="B424" i="7"/>
  <c r="A424" i="7"/>
  <c r="K423" i="7"/>
  <c r="J423" i="7"/>
  <c r="I423" i="7"/>
  <c r="H423" i="7"/>
  <c r="G423" i="7"/>
  <c r="F423" i="7"/>
  <c r="E423" i="7"/>
  <c r="D423" i="7"/>
  <c r="C423" i="7"/>
  <c r="B423" i="7"/>
  <c r="A423" i="7"/>
  <c r="K422" i="7"/>
  <c r="J422" i="7"/>
  <c r="I422" i="7"/>
  <c r="H422" i="7"/>
  <c r="G422" i="7"/>
  <c r="F422" i="7"/>
  <c r="E422" i="7"/>
  <c r="D422" i="7"/>
  <c r="C422" i="7"/>
  <c r="B422" i="7"/>
  <c r="A422" i="7"/>
  <c r="K421" i="7"/>
  <c r="J421" i="7"/>
  <c r="I421" i="7"/>
  <c r="H421" i="7"/>
  <c r="G421" i="7"/>
  <c r="F421" i="7"/>
  <c r="E421" i="7"/>
  <c r="D421" i="7"/>
  <c r="C421" i="7"/>
  <c r="B421" i="7"/>
  <c r="A421" i="7"/>
  <c r="K420" i="7"/>
  <c r="J420" i="7"/>
  <c r="I420" i="7"/>
  <c r="H420" i="7"/>
  <c r="G420" i="7"/>
  <c r="F420" i="7"/>
  <c r="E420" i="7"/>
  <c r="D420" i="7"/>
  <c r="C420" i="7"/>
  <c r="B420" i="7"/>
  <c r="A420" i="7"/>
  <c r="K419" i="7"/>
  <c r="J419" i="7"/>
  <c r="I419" i="7"/>
  <c r="H419" i="7"/>
  <c r="G419" i="7"/>
  <c r="F419" i="7"/>
  <c r="E419" i="7"/>
  <c r="D419" i="7"/>
  <c r="C419" i="7"/>
  <c r="B419" i="7"/>
  <c r="A419" i="7"/>
  <c r="K418" i="7"/>
  <c r="J418" i="7"/>
  <c r="I418" i="7"/>
  <c r="H418" i="7"/>
  <c r="G418" i="7"/>
  <c r="F418" i="7"/>
  <c r="E418" i="7"/>
  <c r="D418" i="7"/>
  <c r="C418" i="7"/>
  <c r="B418" i="7"/>
  <c r="A418" i="7"/>
  <c r="K417" i="7"/>
  <c r="J417" i="7"/>
  <c r="I417" i="7"/>
  <c r="H417" i="7"/>
  <c r="G417" i="7"/>
  <c r="F417" i="7"/>
  <c r="E417" i="7"/>
  <c r="D417" i="7"/>
  <c r="C417" i="7"/>
  <c r="B417" i="7"/>
  <c r="A417" i="7"/>
  <c r="K416" i="7"/>
  <c r="J416" i="7"/>
  <c r="I416" i="7"/>
  <c r="H416" i="7"/>
  <c r="G416" i="7"/>
  <c r="F416" i="7"/>
  <c r="E416" i="7"/>
  <c r="D416" i="7"/>
  <c r="C416" i="7"/>
  <c r="B416" i="7"/>
  <c r="A416" i="7"/>
  <c r="K415" i="7"/>
  <c r="J415" i="7"/>
  <c r="I415" i="7"/>
  <c r="H415" i="7"/>
  <c r="G415" i="7"/>
  <c r="F415" i="7"/>
  <c r="E415" i="7"/>
  <c r="D415" i="7"/>
  <c r="C415" i="7"/>
  <c r="B415" i="7"/>
  <c r="A415" i="7"/>
  <c r="K414" i="7"/>
  <c r="J414" i="7"/>
  <c r="I414" i="7"/>
  <c r="H414" i="7"/>
  <c r="G414" i="7"/>
  <c r="F414" i="7"/>
  <c r="E414" i="7"/>
  <c r="D414" i="7"/>
  <c r="C414" i="7"/>
  <c r="B414" i="7"/>
  <c r="A414" i="7"/>
  <c r="K413" i="7"/>
  <c r="J413" i="7"/>
  <c r="I413" i="7"/>
  <c r="H413" i="7"/>
  <c r="G413" i="7"/>
  <c r="F413" i="7"/>
  <c r="E413" i="7"/>
  <c r="D413" i="7"/>
  <c r="C413" i="7"/>
  <c r="B413" i="7"/>
  <c r="A413" i="7"/>
  <c r="K412" i="7"/>
  <c r="J412" i="7"/>
  <c r="I412" i="7"/>
  <c r="H412" i="7"/>
  <c r="G412" i="7"/>
  <c r="F412" i="7"/>
  <c r="E412" i="7"/>
  <c r="D412" i="7"/>
  <c r="C412" i="7"/>
  <c r="B412" i="7"/>
  <c r="A412" i="7"/>
  <c r="K411" i="7"/>
  <c r="J411" i="7"/>
  <c r="I411" i="7"/>
  <c r="H411" i="7"/>
  <c r="G411" i="7"/>
  <c r="F411" i="7"/>
  <c r="E411" i="7"/>
  <c r="D411" i="7"/>
  <c r="C411" i="7"/>
  <c r="B411" i="7"/>
  <c r="A411" i="7"/>
  <c r="K410" i="7"/>
  <c r="J410" i="7"/>
  <c r="I410" i="7"/>
  <c r="H410" i="7"/>
  <c r="G410" i="7"/>
  <c r="F410" i="7"/>
  <c r="E410" i="7"/>
  <c r="D410" i="7"/>
  <c r="C410" i="7"/>
  <c r="B410" i="7"/>
  <c r="A410" i="7"/>
  <c r="K409" i="7"/>
  <c r="J409" i="7"/>
  <c r="I409" i="7"/>
  <c r="H409" i="7"/>
  <c r="G409" i="7"/>
  <c r="F409" i="7"/>
  <c r="E409" i="7"/>
  <c r="D409" i="7"/>
  <c r="C409" i="7"/>
  <c r="B409" i="7"/>
  <c r="A409" i="7"/>
  <c r="K408" i="7"/>
  <c r="J408" i="7"/>
  <c r="I408" i="7"/>
  <c r="H408" i="7"/>
  <c r="G408" i="7"/>
  <c r="F408" i="7"/>
  <c r="E408" i="7"/>
  <c r="D408" i="7"/>
  <c r="C408" i="7"/>
  <c r="B408" i="7"/>
  <c r="A408" i="7"/>
  <c r="K407" i="7"/>
  <c r="J407" i="7"/>
  <c r="I407" i="7"/>
  <c r="H407" i="7"/>
  <c r="G407" i="7"/>
  <c r="F407" i="7"/>
  <c r="E407" i="7"/>
  <c r="D407" i="7"/>
  <c r="C407" i="7"/>
  <c r="B407" i="7"/>
  <c r="A407" i="7"/>
  <c r="K406" i="7"/>
  <c r="J406" i="7"/>
  <c r="I406" i="7"/>
  <c r="H406" i="7"/>
  <c r="G406" i="7"/>
  <c r="F406" i="7"/>
  <c r="E406" i="7"/>
  <c r="D406" i="7"/>
  <c r="C406" i="7"/>
  <c r="B406" i="7"/>
  <c r="A406" i="7"/>
  <c r="K405" i="7"/>
  <c r="J405" i="7"/>
  <c r="I405" i="7"/>
  <c r="H405" i="7"/>
  <c r="G405" i="7"/>
  <c r="F405" i="7"/>
  <c r="E405" i="7"/>
  <c r="D405" i="7"/>
  <c r="C405" i="7"/>
  <c r="B405" i="7"/>
  <c r="A405" i="7"/>
  <c r="K404" i="7"/>
  <c r="J404" i="7"/>
  <c r="I404" i="7"/>
  <c r="H404" i="7"/>
  <c r="G404" i="7"/>
  <c r="F404" i="7"/>
  <c r="E404" i="7"/>
  <c r="D404" i="7"/>
  <c r="C404" i="7"/>
  <c r="B404" i="7"/>
  <c r="A404" i="7"/>
  <c r="K403" i="7"/>
  <c r="J403" i="7"/>
  <c r="I403" i="7"/>
  <c r="H403" i="7"/>
  <c r="G403" i="7"/>
  <c r="F403" i="7"/>
  <c r="E403" i="7"/>
  <c r="D403" i="7"/>
  <c r="C403" i="7"/>
  <c r="B403" i="7"/>
  <c r="A403" i="7"/>
  <c r="K402" i="7"/>
  <c r="J402" i="7"/>
  <c r="I402" i="7"/>
  <c r="H402" i="7"/>
  <c r="G402" i="7"/>
  <c r="F402" i="7"/>
  <c r="E402" i="7"/>
  <c r="D402" i="7"/>
  <c r="C402" i="7"/>
  <c r="B402" i="7"/>
  <c r="A402" i="7"/>
  <c r="K401" i="7"/>
  <c r="J401" i="7"/>
  <c r="I401" i="7"/>
  <c r="H401" i="7"/>
  <c r="G401" i="7"/>
  <c r="F401" i="7"/>
  <c r="E401" i="7"/>
  <c r="D401" i="7"/>
  <c r="C401" i="7"/>
  <c r="B401" i="7"/>
  <c r="A401" i="7"/>
  <c r="K400" i="7"/>
  <c r="J400" i="7"/>
  <c r="I400" i="7"/>
  <c r="H400" i="7"/>
  <c r="G400" i="7"/>
  <c r="F400" i="7"/>
  <c r="E400" i="7"/>
  <c r="D400" i="7"/>
  <c r="C400" i="7"/>
  <c r="B400" i="7"/>
  <c r="A400" i="7"/>
  <c r="K399" i="7"/>
  <c r="J399" i="7"/>
  <c r="I399" i="7"/>
  <c r="H399" i="7"/>
  <c r="G399" i="7"/>
  <c r="F399" i="7"/>
  <c r="E399" i="7"/>
  <c r="D399" i="7"/>
  <c r="C399" i="7"/>
  <c r="B399" i="7"/>
  <c r="A399" i="7"/>
  <c r="K398" i="7"/>
  <c r="J398" i="7"/>
  <c r="I398" i="7"/>
  <c r="H398" i="7"/>
  <c r="G398" i="7"/>
  <c r="F398" i="7"/>
  <c r="E398" i="7"/>
  <c r="D398" i="7"/>
  <c r="C398" i="7"/>
  <c r="B398" i="7"/>
  <c r="A398" i="7"/>
  <c r="K397" i="7"/>
  <c r="J397" i="7"/>
  <c r="I397" i="7"/>
  <c r="H397" i="7"/>
  <c r="G397" i="7"/>
  <c r="F397" i="7"/>
  <c r="E397" i="7"/>
  <c r="D397" i="7"/>
  <c r="C397" i="7"/>
  <c r="B397" i="7"/>
  <c r="A397" i="7"/>
  <c r="K396" i="7"/>
  <c r="J396" i="7"/>
  <c r="I396" i="7"/>
  <c r="H396" i="7"/>
  <c r="G396" i="7"/>
  <c r="F396" i="7"/>
  <c r="E396" i="7"/>
  <c r="D396" i="7"/>
  <c r="C396" i="7"/>
  <c r="B396" i="7"/>
  <c r="A396" i="7"/>
  <c r="K395" i="7"/>
  <c r="J395" i="7"/>
  <c r="I395" i="7"/>
  <c r="H395" i="7"/>
  <c r="G395" i="7"/>
  <c r="F395" i="7"/>
  <c r="E395" i="7"/>
  <c r="D395" i="7"/>
  <c r="C395" i="7"/>
  <c r="B395" i="7"/>
  <c r="A395" i="7"/>
  <c r="K394" i="7"/>
  <c r="J394" i="7"/>
  <c r="I394" i="7"/>
  <c r="H394" i="7"/>
  <c r="G394" i="7"/>
  <c r="F394" i="7"/>
  <c r="E394" i="7"/>
  <c r="D394" i="7"/>
  <c r="C394" i="7"/>
  <c r="B394" i="7"/>
  <c r="A394" i="7"/>
  <c r="K393" i="7"/>
  <c r="J393" i="7"/>
  <c r="I393" i="7"/>
  <c r="H393" i="7"/>
  <c r="G393" i="7"/>
  <c r="F393" i="7"/>
  <c r="E393" i="7"/>
  <c r="D393" i="7"/>
  <c r="C393" i="7"/>
  <c r="B393" i="7"/>
  <c r="A393" i="7"/>
  <c r="K392" i="7"/>
  <c r="J392" i="7"/>
  <c r="I392" i="7"/>
  <c r="H392" i="7"/>
  <c r="G392" i="7"/>
  <c r="F392" i="7"/>
  <c r="E392" i="7"/>
  <c r="D392" i="7"/>
  <c r="C392" i="7"/>
  <c r="B392" i="7"/>
  <c r="A392" i="7"/>
  <c r="K391" i="7"/>
  <c r="J391" i="7"/>
  <c r="I391" i="7"/>
  <c r="H391" i="7"/>
  <c r="G391" i="7"/>
  <c r="F391" i="7"/>
  <c r="E391" i="7"/>
  <c r="D391" i="7"/>
  <c r="C391" i="7"/>
  <c r="B391" i="7"/>
  <c r="A391" i="7"/>
  <c r="K390" i="7"/>
  <c r="J390" i="7"/>
  <c r="I390" i="7"/>
  <c r="H390" i="7"/>
  <c r="G390" i="7"/>
  <c r="F390" i="7"/>
  <c r="E390" i="7"/>
  <c r="D390" i="7"/>
  <c r="C390" i="7"/>
  <c r="B390" i="7"/>
  <c r="A390" i="7"/>
  <c r="K389" i="7"/>
  <c r="J389" i="7"/>
  <c r="I389" i="7"/>
  <c r="H389" i="7"/>
  <c r="G389" i="7"/>
  <c r="F389" i="7"/>
  <c r="E389" i="7"/>
  <c r="D389" i="7"/>
  <c r="C389" i="7"/>
  <c r="B389" i="7"/>
  <c r="A389" i="7"/>
  <c r="K388" i="7"/>
  <c r="J388" i="7"/>
  <c r="I388" i="7"/>
  <c r="H388" i="7"/>
  <c r="G388" i="7"/>
  <c r="F388" i="7"/>
  <c r="E388" i="7"/>
  <c r="D388" i="7"/>
  <c r="C388" i="7"/>
  <c r="B388" i="7"/>
  <c r="A388" i="7"/>
  <c r="K387" i="7"/>
  <c r="J387" i="7"/>
  <c r="I387" i="7"/>
  <c r="H387" i="7"/>
  <c r="G387" i="7"/>
  <c r="F387" i="7"/>
  <c r="E387" i="7"/>
  <c r="D387" i="7"/>
  <c r="C387" i="7"/>
  <c r="B387" i="7"/>
  <c r="A387" i="7"/>
  <c r="K386" i="7"/>
  <c r="J386" i="7"/>
  <c r="I386" i="7"/>
  <c r="H386" i="7"/>
  <c r="G386" i="7"/>
  <c r="F386" i="7"/>
  <c r="E386" i="7"/>
  <c r="D386" i="7"/>
  <c r="C386" i="7"/>
  <c r="B386" i="7"/>
  <c r="A386" i="7"/>
  <c r="K385" i="7"/>
  <c r="J385" i="7"/>
  <c r="I385" i="7"/>
  <c r="H385" i="7"/>
  <c r="G385" i="7"/>
  <c r="F385" i="7"/>
  <c r="E385" i="7"/>
  <c r="D385" i="7"/>
  <c r="C385" i="7"/>
  <c r="B385" i="7"/>
  <c r="A385" i="7"/>
  <c r="K384" i="7"/>
  <c r="J384" i="7"/>
  <c r="I384" i="7"/>
  <c r="H384" i="7"/>
  <c r="G384" i="7"/>
  <c r="F384" i="7"/>
  <c r="E384" i="7"/>
  <c r="D384" i="7"/>
  <c r="C384" i="7"/>
  <c r="B384" i="7"/>
  <c r="A384" i="7"/>
  <c r="K383" i="7"/>
  <c r="J383" i="7"/>
  <c r="I383" i="7"/>
  <c r="H383" i="7"/>
  <c r="G383" i="7"/>
  <c r="F383" i="7"/>
  <c r="E383" i="7"/>
  <c r="D383" i="7"/>
  <c r="C383" i="7"/>
  <c r="B383" i="7"/>
  <c r="A383" i="7"/>
  <c r="K382" i="7"/>
  <c r="J382" i="7"/>
  <c r="I382" i="7"/>
  <c r="H382" i="7"/>
  <c r="G382" i="7"/>
  <c r="F382" i="7"/>
  <c r="E382" i="7"/>
  <c r="D382" i="7"/>
  <c r="C382" i="7"/>
  <c r="B382" i="7"/>
  <c r="A382" i="7"/>
  <c r="K381" i="7"/>
  <c r="J381" i="7"/>
  <c r="I381" i="7"/>
  <c r="H381" i="7"/>
  <c r="G381" i="7"/>
  <c r="F381" i="7"/>
  <c r="E381" i="7"/>
  <c r="D381" i="7"/>
  <c r="C381" i="7"/>
  <c r="B381" i="7"/>
  <c r="A381" i="7"/>
  <c r="K380" i="7"/>
  <c r="J380" i="7"/>
  <c r="I380" i="7"/>
  <c r="H380" i="7"/>
  <c r="G380" i="7"/>
  <c r="F380" i="7"/>
  <c r="E380" i="7"/>
  <c r="D380" i="7"/>
  <c r="C380" i="7"/>
  <c r="B380" i="7"/>
  <c r="A380" i="7"/>
  <c r="K379" i="7"/>
  <c r="J379" i="7"/>
  <c r="I379" i="7"/>
  <c r="H379" i="7"/>
  <c r="G379" i="7"/>
  <c r="F379" i="7"/>
  <c r="E379" i="7"/>
  <c r="D379" i="7"/>
  <c r="C379" i="7"/>
  <c r="B379" i="7"/>
  <c r="A379" i="7"/>
  <c r="K378" i="7"/>
  <c r="J378" i="7"/>
  <c r="I378" i="7"/>
  <c r="H378" i="7"/>
  <c r="G378" i="7"/>
  <c r="F378" i="7"/>
  <c r="E378" i="7"/>
  <c r="D378" i="7"/>
  <c r="C378" i="7"/>
  <c r="B378" i="7"/>
  <c r="A378" i="7"/>
  <c r="K377" i="7"/>
  <c r="J377" i="7"/>
  <c r="I377" i="7"/>
  <c r="H377" i="7"/>
  <c r="G377" i="7"/>
  <c r="F377" i="7"/>
  <c r="E377" i="7"/>
  <c r="D377" i="7"/>
  <c r="C377" i="7"/>
  <c r="B377" i="7"/>
  <c r="A377" i="7"/>
  <c r="K376" i="7"/>
  <c r="J376" i="7"/>
  <c r="I376" i="7"/>
  <c r="H376" i="7"/>
  <c r="G376" i="7"/>
  <c r="F376" i="7"/>
  <c r="E376" i="7"/>
  <c r="D376" i="7"/>
  <c r="C376" i="7"/>
  <c r="B376" i="7"/>
  <c r="A376" i="7"/>
  <c r="K375" i="7"/>
  <c r="J375" i="7"/>
  <c r="I375" i="7"/>
  <c r="H375" i="7"/>
  <c r="G375" i="7"/>
  <c r="F375" i="7"/>
  <c r="E375" i="7"/>
  <c r="D375" i="7"/>
  <c r="C375" i="7"/>
  <c r="B375" i="7"/>
  <c r="A375" i="7"/>
  <c r="K374" i="7"/>
  <c r="J374" i="7"/>
  <c r="I374" i="7"/>
  <c r="H374" i="7"/>
  <c r="G374" i="7"/>
  <c r="F374" i="7"/>
  <c r="E374" i="7"/>
  <c r="D374" i="7"/>
  <c r="C374" i="7"/>
  <c r="B374" i="7"/>
  <c r="A374" i="7"/>
  <c r="K373" i="7"/>
  <c r="J373" i="7"/>
  <c r="I373" i="7"/>
  <c r="H373" i="7"/>
  <c r="G373" i="7"/>
  <c r="F373" i="7"/>
  <c r="E373" i="7"/>
  <c r="D373" i="7"/>
  <c r="C373" i="7"/>
  <c r="B373" i="7"/>
  <c r="A373" i="7"/>
  <c r="K372" i="7"/>
  <c r="J372" i="7"/>
  <c r="I372" i="7"/>
  <c r="H372" i="7"/>
  <c r="G372" i="7"/>
  <c r="F372" i="7"/>
  <c r="E372" i="7"/>
  <c r="D372" i="7"/>
  <c r="C372" i="7"/>
  <c r="B372" i="7"/>
  <c r="A372" i="7"/>
  <c r="K371" i="7"/>
  <c r="J371" i="7"/>
  <c r="I371" i="7"/>
  <c r="H371" i="7"/>
  <c r="G371" i="7"/>
  <c r="F371" i="7"/>
  <c r="E371" i="7"/>
  <c r="D371" i="7"/>
  <c r="C371" i="7"/>
  <c r="B371" i="7"/>
  <c r="A371" i="7"/>
  <c r="K370" i="7"/>
  <c r="J370" i="7"/>
  <c r="I370" i="7"/>
  <c r="H370" i="7"/>
  <c r="G370" i="7"/>
  <c r="F370" i="7"/>
  <c r="E370" i="7"/>
  <c r="D370" i="7"/>
  <c r="C370" i="7"/>
  <c r="B370" i="7"/>
  <c r="A370" i="7"/>
  <c r="K369" i="7"/>
  <c r="J369" i="7"/>
  <c r="I369" i="7"/>
  <c r="H369" i="7"/>
  <c r="G369" i="7"/>
  <c r="F369" i="7"/>
  <c r="E369" i="7"/>
  <c r="D369" i="7"/>
  <c r="C369" i="7"/>
  <c r="B369" i="7"/>
  <c r="A369" i="7"/>
  <c r="K368" i="7"/>
  <c r="J368" i="7"/>
  <c r="I368" i="7"/>
  <c r="H368" i="7"/>
  <c r="G368" i="7"/>
  <c r="F368" i="7"/>
  <c r="E368" i="7"/>
  <c r="D368" i="7"/>
  <c r="C368" i="7"/>
  <c r="B368" i="7"/>
  <c r="A368" i="7"/>
  <c r="K367" i="7"/>
  <c r="J367" i="7"/>
  <c r="I367" i="7"/>
  <c r="H367" i="7"/>
  <c r="G367" i="7"/>
  <c r="F367" i="7"/>
  <c r="E367" i="7"/>
  <c r="D367" i="7"/>
  <c r="C367" i="7"/>
  <c r="B367" i="7"/>
  <c r="A367" i="7"/>
  <c r="K366" i="7"/>
  <c r="J366" i="7"/>
  <c r="I366" i="7"/>
  <c r="H366" i="7"/>
  <c r="G366" i="7"/>
  <c r="F366" i="7"/>
  <c r="E366" i="7"/>
  <c r="D366" i="7"/>
  <c r="C366" i="7"/>
  <c r="B366" i="7"/>
  <c r="A366" i="7"/>
  <c r="K365" i="7"/>
  <c r="J365" i="7"/>
  <c r="I365" i="7"/>
  <c r="H365" i="7"/>
  <c r="G365" i="7"/>
  <c r="F365" i="7"/>
  <c r="E365" i="7"/>
  <c r="D365" i="7"/>
  <c r="C365" i="7"/>
  <c r="B365" i="7"/>
  <c r="A365" i="7"/>
  <c r="K364" i="7"/>
  <c r="J364" i="7"/>
  <c r="I364" i="7"/>
  <c r="H364" i="7"/>
  <c r="G364" i="7"/>
  <c r="F364" i="7"/>
  <c r="E364" i="7"/>
  <c r="D364" i="7"/>
  <c r="C364" i="7"/>
  <c r="B364" i="7"/>
  <c r="A364" i="7"/>
  <c r="K363" i="7"/>
  <c r="J363" i="7"/>
  <c r="I363" i="7"/>
  <c r="H363" i="7"/>
  <c r="G363" i="7"/>
  <c r="F363" i="7"/>
  <c r="E363" i="7"/>
  <c r="D363" i="7"/>
  <c r="C363" i="7"/>
  <c r="B363" i="7"/>
  <c r="A363" i="7"/>
  <c r="K362" i="7"/>
  <c r="J362" i="7"/>
  <c r="I362" i="7"/>
  <c r="H362" i="7"/>
  <c r="G362" i="7"/>
  <c r="F362" i="7"/>
  <c r="E362" i="7"/>
  <c r="D362" i="7"/>
  <c r="C362" i="7"/>
  <c r="B362" i="7"/>
  <c r="A362" i="7"/>
  <c r="K361" i="7"/>
  <c r="J361" i="7"/>
  <c r="I361" i="7"/>
  <c r="H361" i="7"/>
  <c r="G361" i="7"/>
  <c r="F361" i="7"/>
  <c r="E361" i="7"/>
  <c r="D361" i="7"/>
  <c r="C361" i="7"/>
  <c r="B361" i="7"/>
  <c r="A361" i="7"/>
  <c r="K360" i="7"/>
  <c r="J360" i="7"/>
  <c r="I360" i="7"/>
  <c r="H360" i="7"/>
  <c r="G360" i="7"/>
  <c r="F360" i="7"/>
  <c r="E360" i="7"/>
  <c r="D360" i="7"/>
  <c r="C360" i="7"/>
  <c r="B360" i="7"/>
  <c r="A360" i="7"/>
  <c r="K359" i="7"/>
  <c r="J359" i="7"/>
  <c r="I359" i="7"/>
  <c r="H359" i="7"/>
  <c r="G359" i="7"/>
  <c r="F359" i="7"/>
  <c r="E359" i="7"/>
  <c r="D359" i="7"/>
  <c r="C359" i="7"/>
  <c r="B359" i="7"/>
  <c r="A359" i="7"/>
  <c r="K358" i="7"/>
  <c r="J358" i="7"/>
  <c r="I358" i="7"/>
  <c r="H358" i="7"/>
  <c r="G358" i="7"/>
  <c r="F358" i="7"/>
  <c r="E358" i="7"/>
  <c r="D358" i="7"/>
  <c r="C358" i="7"/>
  <c r="B358" i="7"/>
  <c r="A358" i="7"/>
  <c r="K357" i="7"/>
  <c r="J357" i="7"/>
  <c r="I357" i="7"/>
  <c r="H357" i="7"/>
  <c r="G357" i="7"/>
  <c r="F357" i="7"/>
  <c r="E357" i="7"/>
  <c r="D357" i="7"/>
  <c r="C357" i="7"/>
  <c r="B357" i="7"/>
  <c r="A357" i="7"/>
  <c r="K356" i="7"/>
  <c r="J356" i="7"/>
  <c r="I356" i="7"/>
  <c r="H356" i="7"/>
  <c r="G356" i="7"/>
  <c r="F356" i="7"/>
  <c r="E356" i="7"/>
  <c r="D356" i="7"/>
  <c r="C356" i="7"/>
  <c r="B356" i="7"/>
  <c r="A356" i="7"/>
  <c r="K355" i="7"/>
  <c r="J355" i="7"/>
  <c r="I355" i="7"/>
  <c r="H355" i="7"/>
  <c r="G355" i="7"/>
  <c r="F355" i="7"/>
  <c r="E355" i="7"/>
  <c r="D355" i="7"/>
  <c r="C355" i="7"/>
  <c r="B355" i="7"/>
  <c r="A355" i="7"/>
  <c r="K354" i="7"/>
  <c r="J354" i="7"/>
  <c r="I354" i="7"/>
  <c r="H354" i="7"/>
  <c r="G354" i="7"/>
  <c r="F354" i="7"/>
  <c r="E354" i="7"/>
  <c r="D354" i="7"/>
  <c r="C354" i="7"/>
  <c r="B354" i="7"/>
  <c r="A354" i="7"/>
  <c r="K353" i="7"/>
  <c r="J353" i="7"/>
  <c r="I353" i="7"/>
  <c r="H353" i="7"/>
  <c r="G353" i="7"/>
  <c r="F353" i="7"/>
  <c r="E353" i="7"/>
  <c r="D353" i="7"/>
  <c r="C353" i="7"/>
  <c r="B353" i="7"/>
  <c r="A353" i="7"/>
  <c r="K352" i="7"/>
  <c r="J352" i="7"/>
  <c r="I352" i="7"/>
  <c r="H352" i="7"/>
  <c r="G352" i="7"/>
  <c r="F352" i="7"/>
  <c r="E352" i="7"/>
  <c r="D352" i="7"/>
  <c r="C352" i="7"/>
  <c r="B352" i="7"/>
  <c r="A352" i="7"/>
  <c r="K351" i="7"/>
  <c r="J351" i="7"/>
  <c r="I351" i="7"/>
  <c r="H351" i="7"/>
  <c r="G351" i="7"/>
  <c r="F351" i="7"/>
  <c r="E351" i="7"/>
  <c r="D351" i="7"/>
  <c r="C351" i="7"/>
  <c r="B351" i="7"/>
  <c r="A351" i="7"/>
  <c r="K350" i="7"/>
  <c r="J350" i="7"/>
  <c r="I350" i="7"/>
  <c r="H350" i="7"/>
  <c r="G350" i="7"/>
  <c r="F350" i="7"/>
  <c r="E350" i="7"/>
  <c r="D350" i="7"/>
  <c r="C350" i="7"/>
  <c r="B350" i="7"/>
  <c r="A350" i="7"/>
  <c r="K349" i="7"/>
  <c r="J349" i="7"/>
  <c r="I349" i="7"/>
  <c r="H349" i="7"/>
  <c r="G349" i="7"/>
  <c r="F349" i="7"/>
  <c r="E349" i="7"/>
  <c r="D349" i="7"/>
  <c r="C349" i="7"/>
  <c r="B349" i="7"/>
  <c r="A349" i="7"/>
  <c r="K348" i="7"/>
  <c r="J348" i="7"/>
  <c r="I348" i="7"/>
  <c r="H348" i="7"/>
  <c r="G348" i="7"/>
  <c r="F348" i="7"/>
  <c r="E348" i="7"/>
  <c r="D348" i="7"/>
  <c r="C348" i="7"/>
  <c r="B348" i="7"/>
  <c r="A348" i="7"/>
  <c r="K347" i="7"/>
  <c r="J347" i="7"/>
  <c r="I347" i="7"/>
  <c r="H347" i="7"/>
  <c r="G347" i="7"/>
  <c r="F347" i="7"/>
  <c r="E347" i="7"/>
  <c r="D347" i="7"/>
  <c r="C347" i="7"/>
  <c r="B347" i="7"/>
  <c r="A347" i="7"/>
  <c r="K346" i="7"/>
  <c r="J346" i="7"/>
  <c r="I346" i="7"/>
  <c r="H346" i="7"/>
  <c r="G346" i="7"/>
  <c r="F346" i="7"/>
  <c r="E346" i="7"/>
  <c r="D346" i="7"/>
  <c r="C346" i="7"/>
  <c r="B346" i="7"/>
  <c r="A346" i="7"/>
  <c r="K345" i="7"/>
  <c r="J345" i="7"/>
  <c r="I345" i="7"/>
  <c r="H345" i="7"/>
  <c r="G345" i="7"/>
  <c r="F345" i="7"/>
  <c r="E345" i="7"/>
  <c r="D345" i="7"/>
  <c r="C345" i="7"/>
  <c r="B345" i="7"/>
  <c r="A345" i="7"/>
  <c r="K344" i="7"/>
  <c r="J344" i="7"/>
  <c r="I344" i="7"/>
  <c r="H344" i="7"/>
  <c r="G344" i="7"/>
  <c r="F344" i="7"/>
  <c r="E344" i="7"/>
  <c r="D344" i="7"/>
  <c r="C344" i="7"/>
  <c r="B344" i="7"/>
  <c r="A344" i="7"/>
  <c r="K343" i="7"/>
  <c r="J343" i="7"/>
  <c r="I343" i="7"/>
  <c r="H343" i="7"/>
  <c r="G343" i="7"/>
  <c r="F343" i="7"/>
  <c r="E343" i="7"/>
  <c r="D343" i="7"/>
  <c r="C343" i="7"/>
  <c r="B343" i="7"/>
  <c r="A343" i="7"/>
  <c r="K342" i="7"/>
  <c r="J342" i="7"/>
  <c r="I342" i="7"/>
  <c r="H342" i="7"/>
  <c r="G342" i="7"/>
  <c r="F342" i="7"/>
  <c r="E342" i="7"/>
  <c r="D342" i="7"/>
  <c r="C342" i="7"/>
  <c r="B342" i="7"/>
  <c r="A342" i="7"/>
  <c r="K341" i="7"/>
  <c r="J341" i="7"/>
  <c r="I341" i="7"/>
  <c r="H341" i="7"/>
  <c r="G341" i="7"/>
  <c r="F341" i="7"/>
  <c r="E341" i="7"/>
  <c r="D341" i="7"/>
  <c r="C341" i="7"/>
  <c r="B341" i="7"/>
  <c r="A341" i="7"/>
  <c r="K340" i="7"/>
  <c r="J340" i="7"/>
  <c r="I340" i="7"/>
  <c r="H340" i="7"/>
  <c r="G340" i="7"/>
  <c r="F340" i="7"/>
  <c r="E340" i="7"/>
  <c r="D340" i="7"/>
  <c r="C340" i="7"/>
  <c r="B340" i="7"/>
  <c r="A340" i="7"/>
  <c r="K339" i="7"/>
  <c r="J339" i="7"/>
  <c r="I339" i="7"/>
  <c r="H339" i="7"/>
  <c r="G339" i="7"/>
  <c r="F339" i="7"/>
  <c r="E339" i="7"/>
  <c r="D339" i="7"/>
  <c r="C339" i="7"/>
  <c r="B339" i="7"/>
  <c r="A339" i="7"/>
  <c r="K338" i="7"/>
  <c r="J338" i="7"/>
  <c r="I338" i="7"/>
  <c r="H338" i="7"/>
  <c r="G338" i="7"/>
  <c r="F338" i="7"/>
  <c r="E338" i="7"/>
  <c r="D338" i="7"/>
  <c r="C338" i="7"/>
  <c r="B338" i="7"/>
  <c r="A338" i="7"/>
  <c r="K337" i="7"/>
  <c r="J337" i="7"/>
  <c r="I337" i="7"/>
  <c r="H337" i="7"/>
  <c r="G337" i="7"/>
  <c r="F337" i="7"/>
  <c r="E337" i="7"/>
  <c r="D337" i="7"/>
  <c r="C337" i="7"/>
  <c r="B337" i="7"/>
  <c r="A337" i="7"/>
  <c r="K336" i="7"/>
  <c r="J336" i="7"/>
  <c r="I336" i="7"/>
  <c r="H336" i="7"/>
  <c r="G336" i="7"/>
  <c r="F336" i="7"/>
  <c r="E336" i="7"/>
  <c r="D336" i="7"/>
  <c r="C336" i="7"/>
  <c r="B336" i="7"/>
  <c r="A336" i="7"/>
  <c r="K335" i="7"/>
  <c r="J335" i="7"/>
  <c r="I335" i="7"/>
  <c r="H335" i="7"/>
  <c r="G335" i="7"/>
  <c r="F335" i="7"/>
  <c r="E335" i="7"/>
  <c r="D335" i="7"/>
  <c r="C335" i="7"/>
  <c r="B335" i="7"/>
  <c r="A335" i="7"/>
  <c r="K334" i="7"/>
  <c r="J334" i="7"/>
  <c r="I334" i="7"/>
  <c r="H334" i="7"/>
  <c r="G334" i="7"/>
  <c r="F334" i="7"/>
  <c r="E334" i="7"/>
  <c r="D334" i="7"/>
  <c r="C334" i="7"/>
  <c r="B334" i="7"/>
  <c r="A334" i="7"/>
  <c r="K333" i="7"/>
  <c r="J333" i="7"/>
  <c r="I333" i="7"/>
  <c r="H333" i="7"/>
  <c r="G333" i="7"/>
  <c r="F333" i="7"/>
  <c r="E333" i="7"/>
  <c r="D333" i="7"/>
  <c r="C333" i="7"/>
  <c r="B333" i="7"/>
  <c r="A333" i="7"/>
  <c r="K332" i="7"/>
  <c r="J332" i="7"/>
  <c r="I332" i="7"/>
  <c r="H332" i="7"/>
  <c r="G332" i="7"/>
  <c r="F332" i="7"/>
  <c r="E332" i="7"/>
  <c r="D332" i="7"/>
  <c r="C332" i="7"/>
  <c r="B332" i="7"/>
  <c r="A332" i="7"/>
  <c r="K331" i="7"/>
  <c r="J331" i="7"/>
  <c r="I331" i="7"/>
  <c r="H331" i="7"/>
  <c r="G331" i="7"/>
  <c r="F331" i="7"/>
  <c r="E331" i="7"/>
  <c r="D331" i="7"/>
  <c r="C331" i="7"/>
  <c r="B331" i="7"/>
  <c r="A331" i="7"/>
  <c r="K330" i="7"/>
  <c r="J330" i="7"/>
  <c r="I330" i="7"/>
  <c r="H330" i="7"/>
  <c r="G330" i="7"/>
  <c r="F330" i="7"/>
  <c r="E330" i="7"/>
  <c r="D330" i="7"/>
  <c r="C330" i="7"/>
  <c r="B330" i="7"/>
  <c r="A330" i="7"/>
  <c r="K329" i="7"/>
  <c r="J329" i="7"/>
  <c r="I329" i="7"/>
  <c r="H329" i="7"/>
  <c r="G329" i="7"/>
  <c r="F329" i="7"/>
  <c r="E329" i="7"/>
  <c r="D329" i="7"/>
  <c r="C329" i="7"/>
  <c r="B329" i="7"/>
  <c r="A329" i="7"/>
  <c r="K328" i="7"/>
  <c r="J328" i="7"/>
  <c r="I328" i="7"/>
  <c r="H328" i="7"/>
  <c r="G328" i="7"/>
  <c r="F328" i="7"/>
  <c r="E328" i="7"/>
  <c r="D328" i="7"/>
  <c r="C328" i="7"/>
  <c r="B328" i="7"/>
  <c r="A328" i="7"/>
  <c r="K327" i="7"/>
  <c r="J327" i="7"/>
  <c r="I327" i="7"/>
  <c r="H327" i="7"/>
  <c r="G327" i="7"/>
  <c r="F327" i="7"/>
  <c r="E327" i="7"/>
  <c r="D327" i="7"/>
  <c r="C327" i="7"/>
  <c r="B327" i="7"/>
  <c r="A327" i="7"/>
  <c r="K326" i="7"/>
  <c r="J326" i="7"/>
  <c r="I326" i="7"/>
  <c r="H326" i="7"/>
  <c r="G326" i="7"/>
  <c r="F326" i="7"/>
  <c r="E326" i="7"/>
  <c r="D326" i="7"/>
  <c r="C326" i="7"/>
  <c r="B326" i="7"/>
  <c r="A326" i="7"/>
  <c r="K325" i="7"/>
  <c r="J325" i="7"/>
  <c r="I325" i="7"/>
  <c r="H325" i="7"/>
  <c r="G325" i="7"/>
  <c r="F325" i="7"/>
  <c r="E325" i="7"/>
  <c r="D325" i="7"/>
  <c r="C325" i="7"/>
  <c r="B325" i="7"/>
  <c r="A325" i="7"/>
  <c r="K324" i="7"/>
  <c r="J324" i="7"/>
  <c r="I324" i="7"/>
  <c r="H324" i="7"/>
  <c r="G324" i="7"/>
  <c r="F324" i="7"/>
  <c r="E324" i="7"/>
  <c r="D324" i="7"/>
  <c r="C324" i="7"/>
  <c r="B324" i="7"/>
  <c r="A324" i="7"/>
  <c r="K323" i="7"/>
  <c r="J323" i="7"/>
  <c r="I323" i="7"/>
  <c r="H323" i="7"/>
  <c r="G323" i="7"/>
  <c r="F323" i="7"/>
  <c r="E323" i="7"/>
  <c r="D323" i="7"/>
  <c r="C323" i="7"/>
  <c r="B323" i="7"/>
  <c r="A323" i="7"/>
  <c r="K322" i="7"/>
  <c r="J322" i="7"/>
  <c r="I322" i="7"/>
  <c r="H322" i="7"/>
  <c r="G322" i="7"/>
  <c r="F322" i="7"/>
  <c r="E322" i="7"/>
  <c r="D322" i="7"/>
  <c r="C322" i="7"/>
  <c r="B322" i="7"/>
  <c r="A322" i="7"/>
  <c r="K321" i="7"/>
  <c r="J321" i="7"/>
  <c r="I321" i="7"/>
  <c r="H321" i="7"/>
  <c r="G321" i="7"/>
  <c r="F321" i="7"/>
  <c r="E321" i="7"/>
  <c r="D321" i="7"/>
  <c r="C321" i="7"/>
  <c r="B321" i="7"/>
  <c r="A321" i="7"/>
  <c r="K320" i="7"/>
  <c r="J320" i="7"/>
  <c r="I320" i="7"/>
  <c r="H320" i="7"/>
  <c r="G320" i="7"/>
  <c r="F320" i="7"/>
  <c r="E320" i="7"/>
  <c r="D320" i="7"/>
  <c r="C320" i="7"/>
  <c r="B320" i="7"/>
  <c r="A320" i="7"/>
  <c r="K319" i="7"/>
  <c r="J319" i="7"/>
  <c r="I319" i="7"/>
  <c r="H319" i="7"/>
  <c r="G319" i="7"/>
  <c r="F319" i="7"/>
  <c r="E319" i="7"/>
  <c r="D319" i="7"/>
  <c r="C319" i="7"/>
  <c r="B319" i="7"/>
  <c r="A319" i="7"/>
  <c r="K318" i="7"/>
  <c r="J318" i="7"/>
  <c r="I318" i="7"/>
  <c r="H318" i="7"/>
  <c r="G318" i="7"/>
  <c r="F318" i="7"/>
  <c r="E318" i="7"/>
  <c r="D318" i="7"/>
  <c r="C318" i="7"/>
  <c r="B318" i="7"/>
  <c r="A318" i="7"/>
  <c r="K317" i="7"/>
  <c r="J317" i="7"/>
  <c r="I317" i="7"/>
  <c r="H317" i="7"/>
  <c r="G317" i="7"/>
  <c r="F317" i="7"/>
  <c r="E317" i="7"/>
  <c r="D317" i="7"/>
  <c r="C317" i="7"/>
  <c r="B317" i="7"/>
  <c r="A317" i="7"/>
  <c r="K316" i="7"/>
  <c r="J316" i="7"/>
  <c r="I316" i="7"/>
  <c r="H316" i="7"/>
  <c r="G316" i="7"/>
  <c r="F316" i="7"/>
  <c r="E316" i="7"/>
  <c r="D316" i="7"/>
  <c r="C316" i="7"/>
  <c r="B316" i="7"/>
  <c r="A316" i="7"/>
  <c r="K315" i="7"/>
  <c r="J315" i="7"/>
  <c r="I315" i="7"/>
  <c r="H315" i="7"/>
  <c r="G315" i="7"/>
  <c r="F315" i="7"/>
  <c r="E315" i="7"/>
  <c r="D315" i="7"/>
  <c r="C315" i="7"/>
  <c r="B315" i="7"/>
  <c r="A315" i="7"/>
  <c r="K314" i="7"/>
  <c r="J314" i="7"/>
  <c r="I314" i="7"/>
  <c r="H314" i="7"/>
  <c r="G314" i="7"/>
  <c r="F314" i="7"/>
  <c r="E314" i="7"/>
  <c r="D314" i="7"/>
  <c r="C314" i="7"/>
  <c r="B314" i="7"/>
  <c r="A314" i="7"/>
  <c r="K313" i="7"/>
  <c r="J313" i="7"/>
  <c r="I313" i="7"/>
  <c r="H313" i="7"/>
  <c r="G313" i="7"/>
  <c r="F313" i="7"/>
  <c r="E313" i="7"/>
  <c r="D313" i="7"/>
  <c r="C313" i="7"/>
  <c r="B313" i="7"/>
  <c r="A313" i="7"/>
  <c r="K312" i="7"/>
  <c r="J312" i="7"/>
  <c r="I312" i="7"/>
  <c r="H312" i="7"/>
  <c r="G312" i="7"/>
  <c r="F312" i="7"/>
  <c r="E312" i="7"/>
  <c r="D312" i="7"/>
  <c r="C312" i="7"/>
  <c r="B312" i="7"/>
  <c r="A312" i="7"/>
  <c r="K311" i="7"/>
  <c r="J311" i="7"/>
  <c r="I311" i="7"/>
  <c r="H311" i="7"/>
  <c r="G311" i="7"/>
  <c r="F311" i="7"/>
  <c r="E311" i="7"/>
  <c r="D311" i="7"/>
  <c r="C311" i="7"/>
  <c r="B311" i="7"/>
  <c r="A311" i="7"/>
  <c r="K310" i="7"/>
  <c r="J310" i="7"/>
  <c r="I310" i="7"/>
  <c r="H310" i="7"/>
  <c r="G310" i="7"/>
  <c r="F310" i="7"/>
  <c r="E310" i="7"/>
  <c r="D310" i="7"/>
  <c r="C310" i="7"/>
  <c r="B310" i="7"/>
  <c r="A310" i="7"/>
  <c r="K309" i="7"/>
  <c r="J309" i="7"/>
  <c r="I309" i="7"/>
  <c r="H309" i="7"/>
  <c r="G309" i="7"/>
  <c r="F309" i="7"/>
  <c r="E309" i="7"/>
  <c r="D309" i="7"/>
  <c r="C309" i="7"/>
  <c r="B309" i="7"/>
  <c r="A309" i="7"/>
  <c r="K308" i="7"/>
  <c r="J308" i="7"/>
  <c r="I308" i="7"/>
  <c r="H308" i="7"/>
  <c r="G308" i="7"/>
  <c r="F308" i="7"/>
  <c r="E308" i="7"/>
  <c r="D308" i="7"/>
  <c r="C308" i="7"/>
  <c r="B308" i="7"/>
  <c r="A308" i="7"/>
  <c r="K307" i="7"/>
  <c r="J307" i="7"/>
  <c r="I307" i="7"/>
  <c r="H307" i="7"/>
  <c r="G307" i="7"/>
  <c r="F307" i="7"/>
  <c r="E307" i="7"/>
  <c r="D307" i="7"/>
  <c r="C307" i="7"/>
  <c r="B307" i="7"/>
  <c r="A307" i="7"/>
  <c r="K306" i="7"/>
  <c r="J306" i="7"/>
  <c r="I306" i="7"/>
  <c r="H306" i="7"/>
  <c r="G306" i="7"/>
  <c r="F306" i="7"/>
  <c r="E306" i="7"/>
  <c r="D306" i="7"/>
  <c r="C306" i="7"/>
  <c r="B306" i="7"/>
  <c r="A306" i="7"/>
  <c r="K305" i="7"/>
  <c r="J305" i="7"/>
  <c r="I305" i="7"/>
  <c r="H305" i="7"/>
  <c r="G305" i="7"/>
  <c r="F305" i="7"/>
  <c r="E305" i="7"/>
  <c r="D305" i="7"/>
  <c r="C305" i="7"/>
  <c r="B305" i="7"/>
  <c r="A305" i="7"/>
  <c r="K304" i="7"/>
  <c r="J304" i="7"/>
  <c r="I304" i="7"/>
  <c r="H304" i="7"/>
  <c r="G304" i="7"/>
  <c r="F304" i="7"/>
  <c r="E304" i="7"/>
  <c r="D304" i="7"/>
  <c r="C304" i="7"/>
  <c r="B304" i="7"/>
  <c r="A304" i="7"/>
  <c r="K303" i="7"/>
  <c r="J303" i="7"/>
  <c r="I303" i="7"/>
  <c r="H303" i="7"/>
  <c r="G303" i="7"/>
  <c r="F303" i="7"/>
  <c r="E303" i="7"/>
  <c r="D303" i="7"/>
  <c r="C303" i="7"/>
  <c r="B303" i="7"/>
  <c r="A303" i="7"/>
  <c r="K302" i="7"/>
  <c r="J302" i="7"/>
  <c r="I302" i="7"/>
  <c r="H302" i="7"/>
  <c r="G302" i="7"/>
  <c r="F302" i="7"/>
  <c r="E302" i="7"/>
  <c r="D302" i="7"/>
  <c r="C302" i="7"/>
  <c r="B302" i="7"/>
  <c r="A302" i="7"/>
  <c r="K301" i="7"/>
  <c r="J301" i="7"/>
  <c r="I301" i="7"/>
  <c r="H301" i="7"/>
  <c r="G301" i="7"/>
  <c r="F301" i="7"/>
  <c r="E301" i="7"/>
  <c r="D301" i="7"/>
  <c r="C301" i="7"/>
  <c r="B301" i="7"/>
  <c r="A301" i="7"/>
  <c r="K300" i="7"/>
  <c r="J300" i="7"/>
  <c r="I300" i="7"/>
  <c r="H300" i="7"/>
  <c r="G300" i="7"/>
  <c r="F300" i="7"/>
  <c r="E300" i="7"/>
  <c r="D300" i="7"/>
  <c r="C300" i="7"/>
  <c r="B300" i="7"/>
  <c r="A300" i="7"/>
  <c r="K299" i="7"/>
  <c r="J299" i="7"/>
  <c r="I299" i="7"/>
  <c r="H299" i="7"/>
  <c r="G299" i="7"/>
  <c r="F299" i="7"/>
  <c r="E299" i="7"/>
  <c r="D299" i="7"/>
  <c r="C299" i="7"/>
  <c r="B299" i="7"/>
  <c r="A299" i="7"/>
  <c r="K298" i="7"/>
  <c r="J298" i="7"/>
  <c r="I298" i="7"/>
  <c r="H298" i="7"/>
  <c r="G298" i="7"/>
  <c r="F298" i="7"/>
  <c r="E298" i="7"/>
  <c r="D298" i="7"/>
  <c r="C298" i="7"/>
  <c r="B298" i="7"/>
  <c r="A298" i="7"/>
  <c r="K297" i="7"/>
  <c r="J297" i="7"/>
  <c r="I297" i="7"/>
  <c r="H297" i="7"/>
  <c r="G297" i="7"/>
  <c r="F297" i="7"/>
  <c r="E297" i="7"/>
  <c r="D297" i="7"/>
  <c r="C297" i="7"/>
  <c r="B297" i="7"/>
  <c r="A297" i="7"/>
  <c r="K296" i="7"/>
  <c r="J296" i="7"/>
  <c r="I296" i="7"/>
  <c r="H296" i="7"/>
  <c r="G296" i="7"/>
  <c r="F296" i="7"/>
  <c r="E296" i="7"/>
  <c r="D296" i="7"/>
  <c r="C296" i="7"/>
  <c r="B296" i="7"/>
  <c r="A296" i="7"/>
  <c r="K295" i="7"/>
  <c r="J295" i="7"/>
  <c r="I295" i="7"/>
  <c r="H295" i="7"/>
  <c r="G295" i="7"/>
  <c r="F295" i="7"/>
  <c r="E295" i="7"/>
  <c r="D295" i="7"/>
  <c r="C295" i="7"/>
  <c r="B295" i="7"/>
  <c r="A295" i="7"/>
  <c r="K294" i="7"/>
  <c r="J294" i="7"/>
  <c r="I294" i="7"/>
  <c r="H294" i="7"/>
  <c r="G294" i="7"/>
  <c r="F294" i="7"/>
  <c r="E294" i="7"/>
  <c r="D294" i="7"/>
  <c r="C294" i="7"/>
  <c r="B294" i="7"/>
  <c r="A294" i="7"/>
  <c r="K293" i="7"/>
  <c r="J293" i="7"/>
  <c r="I293" i="7"/>
  <c r="H293" i="7"/>
  <c r="G293" i="7"/>
  <c r="F293" i="7"/>
  <c r="E293" i="7"/>
  <c r="D293" i="7"/>
  <c r="C293" i="7"/>
  <c r="B293" i="7"/>
  <c r="A293" i="7"/>
  <c r="K292" i="7"/>
  <c r="J292" i="7"/>
  <c r="I292" i="7"/>
  <c r="H292" i="7"/>
  <c r="G292" i="7"/>
  <c r="F292" i="7"/>
  <c r="E292" i="7"/>
  <c r="D292" i="7"/>
  <c r="C292" i="7"/>
  <c r="B292" i="7"/>
  <c r="A292" i="7"/>
  <c r="K291" i="7"/>
  <c r="J291" i="7"/>
  <c r="I291" i="7"/>
  <c r="H291" i="7"/>
  <c r="G291" i="7"/>
  <c r="F291" i="7"/>
  <c r="E291" i="7"/>
  <c r="D291" i="7"/>
  <c r="C291" i="7"/>
  <c r="B291" i="7"/>
  <c r="A291" i="7"/>
  <c r="K290" i="7"/>
  <c r="J290" i="7"/>
  <c r="I290" i="7"/>
  <c r="H290" i="7"/>
  <c r="G290" i="7"/>
  <c r="F290" i="7"/>
  <c r="E290" i="7"/>
  <c r="D290" i="7"/>
  <c r="C290" i="7"/>
  <c r="B290" i="7"/>
  <c r="A290" i="7"/>
  <c r="K289" i="7"/>
  <c r="J289" i="7"/>
  <c r="I289" i="7"/>
  <c r="H289" i="7"/>
  <c r="G289" i="7"/>
  <c r="F289" i="7"/>
  <c r="E289" i="7"/>
  <c r="D289" i="7"/>
  <c r="C289" i="7"/>
  <c r="B289" i="7"/>
  <c r="A289" i="7"/>
  <c r="K288" i="7"/>
  <c r="J288" i="7"/>
  <c r="I288" i="7"/>
  <c r="H288" i="7"/>
  <c r="G288" i="7"/>
  <c r="F288" i="7"/>
  <c r="E288" i="7"/>
  <c r="D288" i="7"/>
  <c r="C288" i="7"/>
  <c r="B288" i="7"/>
  <c r="A288" i="7"/>
  <c r="K287" i="7"/>
  <c r="J287" i="7"/>
  <c r="I287" i="7"/>
  <c r="H287" i="7"/>
  <c r="G287" i="7"/>
  <c r="F287" i="7"/>
  <c r="E287" i="7"/>
  <c r="D287" i="7"/>
  <c r="C287" i="7"/>
  <c r="B287" i="7"/>
  <c r="A287" i="7"/>
  <c r="K286" i="7"/>
  <c r="J286" i="7"/>
  <c r="I286" i="7"/>
  <c r="H286" i="7"/>
  <c r="G286" i="7"/>
  <c r="F286" i="7"/>
  <c r="E286" i="7"/>
  <c r="D286" i="7"/>
  <c r="C286" i="7"/>
  <c r="B286" i="7"/>
  <c r="A286" i="7"/>
  <c r="K285" i="7"/>
  <c r="J285" i="7"/>
  <c r="I285" i="7"/>
  <c r="H285" i="7"/>
  <c r="G285" i="7"/>
  <c r="F285" i="7"/>
  <c r="E285" i="7"/>
  <c r="D285" i="7"/>
  <c r="C285" i="7"/>
  <c r="B285" i="7"/>
  <c r="A285" i="7"/>
  <c r="K284" i="7"/>
  <c r="J284" i="7"/>
  <c r="I284" i="7"/>
  <c r="H284" i="7"/>
  <c r="G284" i="7"/>
  <c r="F284" i="7"/>
  <c r="E284" i="7"/>
  <c r="D284" i="7"/>
  <c r="C284" i="7"/>
  <c r="B284" i="7"/>
  <c r="A284" i="7"/>
  <c r="K283" i="7"/>
  <c r="J283" i="7"/>
  <c r="I283" i="7"/>
  <c r="H283" i="7"/>
  <c r="G283" i="7"/>
  <c r="F283" i="7"/>
  <c r="E283" i="7"/>
  <c r="D283" i="7"/>
  <c r="C283" i="7"/>
  <c r="B283" i="7"/>
  <c r="A283" i="7"/>
  <c r="K282" i="7"/>
  <c r="J282" i="7"/>
  <c r="I282" i="7"/>
  <c r="H282" i="7"/>
  <c r="G282" i="7"/>
  <c r="F282" i="7"/>
  <c r="E282" i="7"/>
  <c r="D282" i="7"/>
  <c r="C282" i="7"/>
  <c r="B282" i="7"/>
  <c r="A282" i="7"/>
  <c r="K281" i="7"/>
  <c r="J281" i="7"/>
  <c r="I281" i="7"/>
  <c r="H281" i="7"/>
  <c r="G281" i="7"/>
  <c r="F281" i="7"/>
  <c r="E281" i="7"/>
  <c r="D281" i="7"/>
  <c r="C281" i="7"/>
  <c r="B281" i="7"/>
  <c r="A281" i="7"/>
  <c r="K280" i="7"/>
  <c r="J280" i="7"/>
  <c r="I280" i="7"/>
  <c r="H280" i="7"/>
  <c r="G280" i="7"/>
  <c r="F280" i="7"/>
  <c r="E280" i="7"/>
  <c r="D280" i="7"/>
  <c r="C280" i="7"/>
  <c r="B280" i="7"/>
  <c r="A280" i="7"/>
  <c r="K279" i="7"/>
  <c r="J279" i="7"/>
  <c r="I279" i="7"/>
  <c r="H279" i="7"/>
  <c r="G279" i="7"/>
  <c r="F279" i="7"/>
  <c r="E279" i="7"/>
  <c r="D279" i="7"/>
  <c r="C279" i="7"/>
  <c r="B279" i="7"/>
  <c r="A279" i="7"/>
  <c r="K278" i="7"/>
  <c r="J278" i="7"/>
  <c r="I278" i="7"/>
  <c r="H278" i="7"/>
  <c r="G278" i="7"/>
  <c r="F278" i="7"/>
  <c r="E278" i="7"/>
  <c r="D278" i="7"/>
  <c r="C278" i="7"/>
  <c r="B278" i="7"/>
  <c r="A278" i="7"/>
  <c r="K277" i="7"/>
  <c r="J277" i="7"/>
  <c r="I277" i="7"/>
  <c r="H277" i="7"/>
  <c r="G277" i="7"/>
  <c r="F277" i="7"/>
  <c r="E277" i="7"/>
  <c r="D277" i="7"/>
  <c r="C277" i="7"/>
  <c r="B277" i="7"/>
  <c r="A277" i="7"/>
  <c r="K276" i="7"/>
  <c r="J276" i="7"/>
  <c r="I276" i="7"/>
  <c r="H276" i="7"/>
  <c r="G276" i="7"/>
  <c r="F276" i="7"/>
  <c r="E276" i="7"/>
  <c r="D276" i="7"/>
  <c r="C276" i="7"/>
  <c r="B276" i="7"/>
  <c r="A276" i="7"/>
  <c r="K275" i="7"/>
  <c r="J275" i="7"/>
  <c r="I275" i="7"/>
  <c r="H275" i="7"/>
  <c r="G275" i="7"/>
  <c r="F275" i="7"/>
  <c r="E275" i="7"/>
  <c r="D275" i="7"/>
  <c r="C275" i="7"/>
  <c r="B275" i="7"/>
  <c r="A275" i="7"/>
  <c r="K274" i="7"/>
  <c r="J274" i="7"/>
  <c r="I274" i="7"/>
  <c r="H274" i="7"/>
  <c r="G274" i="7"/>
  <c r="F274" i="7"/>
  <c r="E274" i="7"/>
  <c r="D274" i="7"/>
  <c r="C274" i="7"/>
  <c r="B274" i="7"/>
  <c r="A274" i="7"/>
  <c r="K273" i="7"/>
  <c r="J273" i="7"/>
  <c r="I273" i="7"/>
  <c r="H273" i="7"/>
  <c r="G273" i="7"/>
  <c r="F273" i="7"/>
  <c r="E273" i="7"/>
  <c r="D273" i="7"/>
  <c r="C273" i="7"/>
  <c r="B273" i="7"/>
  <c r="A273" i="7"/>
  <c r="K272" i="7"/>
  <c r="J272" i="7"/>
  <c r="I272" i="7"/>
  <c r="H272" i="7"/>
  <c r="G272" i="7"/>
  <c r="F272" i="7"/>
  <c r="E272" i="7"/>
  <c r="D272" i="7"/>
  <c r="C272" i="7"/>
  <c r="B272" i="7"/>
  <c r="A272" i="7"/>
  <c r="K271" i="7"/>
  <c r="J271" i="7"/>
  <c r="I271" i="7"/>
  <c r="H271" i="7"/>
  <c r="G271" i="7"/>
  <c r="F271" i="7"/>
  <c r="E271" i="7"/>
  <c r="D271" i="7"/>
  <c r="C271" i="7"/>
  <c r="B271" i="7"/>
  <c r="A271" i="7"/>
  <c r="K270" i="7"/>
  <c r="J270" i="7"/>
  <c r="I270" i="7"/>
  <c r="H270" i="7"/>
  <c r="G270" i="7"/>
  <c r="F270" i="7"/>
  <c r="E270" i="7"/>
  <c r="D270" i="7"/>
  <c r="C270" i="7"/>
  <c r="B270" i="7"/>
  <c r="A270" i="7"/>
  <c r="K269" i="7"/>
  <c r="J269" i="7"/>
  <c r="I269" i="7"/>
  <c r="H269" i="7"/>
  <c r="G269" i="7"/>
  <c r="F269" i="7"/>
  <c r="E269" i="7"/>
  <c r="D269" i="7"/>
  <c r="C269" i="7"/>
  <c r="B269" i="7"/>
  <c r="A269" i="7"/>
  <c r="K268" i="7"/>
  <c r="J268" i="7"/>
  <c r="I268" i="7"/>
  <c r="H268" i="7"/>
  <c r="G268" i="7"/>
  <c r="F268" i="7"/>
  <c r="E268" i="7"/>
  <c r="D268" i="7"/>
  <c r="C268" i="7"/>
  <c r="B268" i="7"/>
  <c r="A268" i="7"/>
  <c r="K267" i="7"/>
  <c r="J267" i="7"/>
  <c r="I267" i="7"/>
  <c r="H267" i="7"/>
  <c r="G267" i="7"/>
  <c r="F267" i="7"/>
  <c r="E267" i="7"/>
  <c r="D267" i="7"/>
  <c r="C267" i="7"/>
  <c r="B267" i="7"/>
  <c r="A267" i="7"/>
  <c r="K266" i="7"/>
  <c r="J266" i="7"/>
  <c r="I266" i="7"/>
  <c r="H266" i="7"/>
  <c r="G266" i="7"/>
  <c r="F266" i="7"/>
  <c r="E266" i="7"/>
  <c r="D266" i="7"/>
  <c r="C266" i="7"/>
  <c r="B266" i="7"/>
  <c r="A266" i="7"/>
  <c r="K265" i="7"/>
  <c r="J265" i="7"/>
  <c r="I265" i="7"/>
  <c r="H265" i="7"/>
  <c r="G265" i="7"/>
  <c r="F265" i="7"/>
  <c r="E265" i="7"/>
  <c r="D265" i="7"/>
  <c r="C265" i="7"/>
  <c r="B265" i="7"/>
  <c r="A265" i="7"/>
  <c r="K264" i="7"/>
  <c r="J264" i="7"/>
  <c r="I264" i="7"/>
  <c r="H264" i="7"/>
  <c r="G264" i="7"/>
  <c r="F264" i="7"/>
  <c r="E264" i="7"/>
  <c r="D264" i="7"/>
  <c r="C264" i="7"/>
  <c r="B264" i="7"/>
  <c r="A264" i="7"/>
  <c r="K263" i="7"/>
  <c r="J263" i="7"/>
  <c r="I263" i="7"/>
  <c r="H263" i="7"/>
  <c r="G263" i="7"/>
  <c r="F263" i="7"/>
  <c r="E263" i="7"/>
  <c r="D263" i="7"/>
  <c r="C263" i="7"/>
  <c r="B263" i="7"/>
  <c r="A263" i="7"/>
  <c r="K262" i="7"/>
  <c r="J262" i="7"/>
  <c r="I262" i="7"/>
  <c r="H262" i="7"/>
  <c r="G262" i="7"/>
  <c r="F262" i="7"/>
  <c r="E262" i="7"/>
  <c r="D262" i="7"/>
  <c r="C262" i="7"/>
  <c r="B262" i="7"/>
  <c r="A262" i="7"/>
  <c r="K261" i="7"/>
  <c r="J261" i="7"/>
  <c r="I261" i="7"/>
  <c r="H261" i="7"/>
  <c r="G261" i="7"/>
  <c r="F261" i="7"/>
  <c r="E261" i="7"/>
  <c r="D261" i="7"/>
  <c r="C261" i="7"/>
  <c r="B261" i="7"/>
  <c r="A261" i="7"/>
  <c r="K260" i="7"/>
  <c r="J260" i="7"/>
  <c r="I260" i="7"/>
  <c r="H260" i="7"/>
  <c r="G260" i="7"/>
  <c r="F260" i="7"/>
  <c r="E260" i="7"/>
  <c r="D260" i="7"/>
  <c r="C260" i="7"/>
  <c r="B260" i="7"/>
  <c r="A260" i="7"/>
  <c r="K259" i="7"/>
  <c r="J259" i="7"/>
  <c r="I259" i="7"/>
  <c r="H259" i="7"/>
  <c r="G259" i="7"/>
  <c r="F259" i="7"/>
  <c r="E259" i="7"/>
  <c r="D259" i="7"/>
  <c r="C259" i="7"/>
  <c r="B259" i="7"/>
  <c r="A259" i="7"/>
  <c r="K258" i="7"/>
  <c r="J258" i="7"/>
  <c r="I258" i="7"/>
  <c r="H258" i="7"/>
  <c r="G258" i="7"/>
  <c r="F258" i="7"/>
  <c r="E258" i="7"/>
  <c r="D258" i="7"/>
  <c r="C258" i="7"/>
  <c r="B258" i="7"/>
  <c r="A258" i="7"/>
  <c r="K257" i="7"/>
  <c r="J257" i="7"/>
  <c r="I257" i="7"/>
  <c r="H257" i="7"/>
  <c r="G257" i="7"/>
  <c r="F257" i="7"/>
  <c r="E257" i="7"/>
  <c r="D257" i="7"/>
  <c r="C257" i="7"/>
  <c r="B257" i="7"/>
  <c r="A257" i="7"/>
  <c r="K256" i="7"/>
  <c r="J256" i="7"/>
  <c r="I256" i="7"/>
  <c r="H256" i="7"/>
  <c r="G256" i="7"/>
  <c r="F256" i="7"/>
  <c r="E256" i="7"/>
  <c r="D256" i="7"/>
  <c r="C256" i="7"/>
  <c r="B256" i="7"/>
  <c r="A256" i="7"/>
  <c r="K255" i="7"/>
  <c r="J255" i="7"/>
  <c r="I255" i="7"/>
  <c r="H255" i="7"/>
  <c r="G255" i="7"/>
  <c r="F255" i="7"/>
  <c r="E255" i="7"/>
  <c r="D255" i="7"/>
  <c r="C255" i="7"/>
  <c r="B255" i="7"/>
  <c r="A255" i="7"/>
  <c r="K254" i="7"/>
  <c r="J254" i="7"/>
  <c r="I254" i="7"/>
  <c r="H254" i="7"/>
  <c r="G254" i="7"/>
  <c r="F254" i="7"/>
  <c r="E254" i="7"/>
  <c r="D254" i="7"/>
  <c r="C254" i="7"/>
  <c r="B254" i="7"/>
  <c r="A254" i="7"/>
  <c r="K253" i="7"/>
  <c r="J253" i="7"/>
  <c r="I253" i="7"/>
  <c r="H253" i="7"/>
  <c r="G253" i="7"/>
  <c r="F253" i="7"/>
  <c r="E253" i="7"/>
  <c r="D253" i="7"/>
  <c r="C253" i="7"/>
  <c r="B253" i="7"/>
  <c r="A253" i="7"/>
  <c r="K252" i="7"/>
  <c r="J252" i="7"/>
  <c r="I252" i="7"/>
  <c r="H252" i="7"/>
  <c r="G252" i="7"/>
  <c r="F252" i="7"/>
  <c r="E252" i="7"/>
  <c r="D252" i="7"/>
  <c r="C252" i="7"/>
  <c r="B252" i="7"/>
  <c r="A252" i="7"/>
  <c r="K251" i="7"/>
  <c r="J251" i="7"/>
  <c r="I251" i="7"/>
  <c r="H251" i="7"/>
  <c r="G251" i="7"/>
  <c r="F251" i="7"/>
  <c r="E251" i="7"/>
  <c r="D251" i="7"/>
  <c r="C251" i="7"/>
  <c r="B251" i="7"/>
  <c r="A251" i="7"/>
  <c r="K250" i="7"/>
  <c r="J250" i="7"/>
  <c r="I250" i="7"/>
  <c r="H250" i="7"/>
  <c r="G250" i="7"/>
  <c r="F250" i="7"/>
  <c r="E250" i="7"/>
  <c r="D250" i="7"/>
  <c r="C250" i="7"/>
  <c r="B250" i="7"/>
  <c r="A250" i="7"/>
  <c r="K249" i="7"/>
  <c r="J249" i="7"/>
  <c r="I249" i="7"/>
  <c r="H249" i="7"/>
  <c r="G249" i="7"/>
  <c r="F249" i="7"/>
  <c r="E249" i="7"/>
  <c r="D249" i="7"/>
  <c r="C249" i="7"/>
  <c r="B249" i="7"/>
  <c r="A249" i="7"/>
  <c r="K248" i="7"/>
  <c r="J248" i="7"/>
  <c r="I248" i="7"/>
  <c r="H248" i="7"/>
  <c r="G248" i="7"/>
  <c r="F248" i="7"/>
  <c r="E248" i="7"/>
  <c r="D248" i="7"/>
  <c r="C248" i="7"/>
  <c r="B248" i="7"/>
  <c r="A248" i="7"/>
  <c r="K247" i="7"/>
  <c r="J247" i="7"/>
  <c r="I247" i="7"/>
  <c r="H247" i="7"/>
  <c r="G247" i="7"/>
  <c r="F247" i="7"/>
  <c r="E247" i="7"/>
  <c r="D247" i="7"/>
  <c r="C247" i="7"/>
  <c r="B247" i="7"/>
  <c r="A247" i="7"/>
  <c r="K246" i="7"/>
  <c r="J246" i="7"/>
  <c r="I246" i="7"/>
  <c r="H246" i="7"/>
  <c r="G246" i="7"/>
  <c r="F246" i="7"/>
  <c r="E246" i="7"/>
  <c r="D246" i="7"/>
  <c r="C246" i="7"/>
  <c r="B246" i="7"/>
  <c r="A246" i="7"/>
  <c r="K245" i="7"/>
  <c r="J245" i="7"/>
  <c r="I245" i="7"/>
  <c r="H245" i="7"/>
  <c r="G245" i="7"/>
  <c r="F245" i="7"/>
  <c r="E245" i="7"/>
  <c r="D245" i="7"/>
  <c r="C245" i="7"/>
  <c r="B245" i="7"/>
  <c r="A245" i="7"/>
  <c r="K244" i="7"/>
  <c r="J244" i="7"/>
  <c r="I244" i="7"/>
  <c r="H244" i="7"/>
  <c r="G244" i="7"/>
  <c r="F244" i="7"/>
  <c r="E244" i="7"/>
  <c r="D244" i="7"/>
  <c r="C244" i="7"/>
  <c r="B244" i="7"/>
  <c r="A244" i="7"/>
  <c r="K243" i="7"/>
  <c r="J243" i="7"/>
  <c r="I243" i="7"/>
  <c r="H243" i="7"/>
  <c r="G243" i="7"/>
  <c r="F243" i="7"/>
  <c r="E243" i="7"/>
  <c r="D243" i="7"/>
  <c r="C243" i="7"/>
  <c r="B243" i="7"/>
  <c r="A243" i="7"/>
  <c r="K242" i="7"/>
  <c r="J242" i="7"/>
  <c r="I242" i="7"/>
  <c r="H242" i="7"/>
  <c r="G242" i="7"/>
  <c r="F242" i="7"/>
  <c r="E242" i="7"/>
  <c r="D242" i="7"/>
  <c r="C242" i="7"/>
  <c r="B242" i="7"/>
  <c r="A242" i="7"/>
  <c r="K241" i="7"/>
  <c r="J241" i="7"/>
  <c r="I241" i="7"/>
  <c r="H241" i="7"/>
  <c r="G241" i="7"/>
  <c r="F241" i="7"/>
  <c r="E241" i="7"/>
  <c r="D241" i="7"/>
  <c r="C241" i="7"/>
  <c r="B241" i="7"/>
  <c r="A241" i="7"/>
  <c r="K240" i="7"/>
  <c r="J240" i="7"/>
  <c r="I240" i="7"/>
  <c r="H240" i="7"/>
  <c r="G240" i="7"/>
  <c r="F240" i="7"/>
  <c r="E240" i="7"/>
  <c r="D240" i="7"/>
  <c r="C240" i="7"/>
  <c r="B240" i="7"/>
  <c r="A240" i="7"/>
  <c r="K239" i="7"/>
  <c r="J239" i="7"/>
  <c r="I239" i="7"/>
  <c r="H239" i="7"/>
  <c r="G239" i="7"/>
  <c r="F239" i="7"/>
  <c r="E239" i="7"/>
  <c r="D239" i="7"/>
  <c r="C239" i="7"/>
  <c r="B239" i="7"/>
  <c r="A239" i="7"/>
  <c r="K238" i="7"/>
  <c r="J238" i="7"/>
  <c r="I238" i="7"/>
  <c r="H238" i="7"/>
  <c r="G238" i="7"/>
  <c r="F238" i="7"/>
  <c r="E238" i="7"/>
  <c r="D238" i="7"/>
  <c r="C238" i="7"/>
  <c r="B238" i="7"/>
  <c r="A238" i="7"/>
  <c r="K237" i="7"/>
  <c r="J237" i="7"/>
  <c r="I237" i="7"/>
  <c r="H237" i="7"/>
  <c r="G237" i="7"/>
  <c r="F237" i="7"/>
  <c r="E237" i="7"/>
  <c r="D237" i="7"/>
  <c r="C237" i="7"/>
  <c r="B237" i="7"/>
  <c r="A237" i="7"/>
  <c r="K236" i="7"/>
  <c r="J236" i="7"/>
  <c r="I236" i="7"/>
  <c r="H236" i="7"/>
  <c r="G236" i="7"/>
  <c r="F236" i="7"/>
  <c r="E236" i="7"/>
  <c r="D236" i="7"/>
  <c r="C236" i="7"/>
  <c r="B236" i="7"/>
  <c r="A236" i="7"/>
  <c r="K235" i="7"/>
  <c r="J235" i="7"/>
  <c r="I235" i="7"/>
  <c r="H235" i="7"/>
  <c r="G235" i="7"/>
  <c r="F235" i="7"/>
  <c r="E235" i="7"/>
  <c r="D235" i="7"/>
  <c r="C235" i="7"/>
  <c r="B235" i="7"/>
  <c r="A235" i="7"/>
  <c r="K234" i="7"/>
  <c r="J234" i="7"/>
  <c r="I234" i="7"/>
  <c r="H234" i="7"/>
  <c r="G234" i="7"/>
  <c r="F234" i="7"/>
  <c r="E234" i="7"/>
  <c r="D234" i="7"/>
  <c r="C234" i="7"/>
  <c r="B234" i="7"/>
  <c r="A234" i="7"/>
  <c r="K233" i="7"/>
  <c r="J233" i="7"/>
  <c r="I233" i="7"/>
  <c r="H233" i="7"/>
  <c r="G233" i="7"/>
  <c r="F233" i="7"/>
  <c r="E233" i="7"/>
  <c r="D233" i="7"/>
  <c r="C233" i="7"/>
  <c r="B233" i="7"/>
  <c r="A233" i="7"/>
  <c r="K232" i="7"/>
  <c r="J232" i="7"/>
  <c r="I232" i="7"/>
  <c r="H232" i="7"/>
  <c r="G232" i="7"/>
  <c r="F232" i="7"/>
  <c r="E232" i="7"/>
  <c r="D232" i="7"/>
  <c r="C232" i="7"/>
  <c r="B232" i="7"/>
  <c r="A232" i="7"/>
  <c r="K231" i="7"/>
  <c r="J231" i="7"/>
  <c r="I231" i="7"/>
  <c r="H231" i="7"/>
  <c r="G231" i="7"/>
  <c r="F231" i="7"/>
  <c r="E231" i="7"/>
  <c r="D231" i="7"/>
  <c r="C231" i="7"/>
  <c r="B231" i="7"/>
  <c r="A231" i="7"/>
  <c r="K230" i="7"/>
  <c r="J230" i="7"/>
  <c r="I230" i="7"/>
  <c r="H230" i="7"/>
  <c r="G230" i="7"/>
  <c r="F230" i="7"/>
  <c r="E230" i="7"/>
  <c r="D230" i="7"/>
  <c r="C230" i="7"/>
  <c r="B230" i="7"/>
  <c r="A230" i="7"/>
  <c r="K229" i="7"/>
  <c r="J229" i="7"/>
  <c r="I229" i="7"/>
  <c r="H229" i="7"/>
  <c r="G229" i="7"/>
  <c r="F229" i="7"/>
  <c r="E229" i="7"/>
  <c r="D229" i="7"/>
  <c r="C229" i="7"/>
  <c r="B229" i="7"/>
  <c r="A229" i="7"/>
  <c r="K228" i="7"/>
  <c r="J228" i="7"/>
  <c r="I228" i="7"/>
  <c r="H228" i="7"/>
  <c r="G228" i="7"/>
  <c r="F228" i="7"/>
  <c r="E228" i="7"/>
  <c r="D228" i="7"/>
  <c r="C228" i="7"/>
  <c r="B228" i="7"/>
  <c r="A228" i="7"/>
  <c r="K227" i="7"/>
  <c r="J227" i="7"/>
  <c r="I227" i="7"/>
  <c r="H227" i="7"/>
  <c r="G227" i="7"/>
  <c r="F227" i="7"/>
  <c r="E227" i="7"/>
  <c r="D227" i="7"/>
  <c r="C227" i="7"/>
  <c r="B227" i="7"/>
  <c r="A227" i="7"/>
  <c r="K226" i="7"/>
  <c r="J226" i="7"/>
  <c r="I226" i="7"/>
  <c r="H226" i="7"/>
  <c r="G226" i="7"/>
  <c r="F226" i="7"/>
  <c r="E226" i="7"/>
  <c r="D226" i="7"/>
  <c r="C226" i="7"/>
  <c r="B226" i="7"/>
  <c r="A226" i="7"/>
  <c r="K225" i="7"/>
  <c r="J225" i="7"/>
  <c r="I225" i="7"/>
  <c r="H225" i="7"/>
  <c r="G225" i="7"/>
  <c r="F225" i="7"/>
  <c r="E225" i="7"/>
  <c r="D225" i="7"/>
  <c r="C225" i="7"/>
  <c r="B225" i="7"/>
  <c r="A225" i="7"/>
  <c r="K224" i="7"/>
  <c r="J224" i="7"/>
  <c r="I224" i="7"/>
  <c r="H224" i="7"/>
  <c r="G224" i="7"/>
  <c r="F224" i="7"/>
  <c r="E224" i="7"/>
  <c r="D224" i="7"/>
  <c r="C224" i="7"/>
  <c r="B224" i="7"/>
  <c r="A224" i="7"/>
  <c r="K223" i="7"/>
  <c r="J223" i="7"/>
  <c r="I223" i="7"/>
  <c r="H223" i="7"/>
  <c r="G223" i="7"/>
  <c r="F223" i="7"/>
  <c r="E223" i="7"/>
  <c r="D223" i="7"/>
  <c r="C223" i="7"/>
  <c r="B223" i="7"/>
  <c r="A223" i="7"/>
  <c r="K222" i="7"/>
  <c r="J222" i="7"/>
  <c r="I222" i="7"/>
  <c r="H222" i="7"/>
  <c r="G222" i="7"/>
  <c r="F222" i="7"/>
  <c r="E222" i="7"/>
  <c r="D222" i="7"/>
  <c r="C222" i="7"/>
  <c r="B222" i="7"/>
  <c r="A222" i="7"/>
  <c r="K221" i="7"/>
  <c r="J221" i="7"/>
  <c r="I221" i="7"/>
  <c r="H221" i="7"/>
  <c r="G221" i="7"/>
  <c r="F221" i="7"/>
  <c r="E221" i="7"/>
  <c r="D221" i="7"/>
  <c r="C221" i="7"/>
  <c r="B221" i="7"/>
  <c r="A221" i="7"/>
  <c r="K220" i="7"/>
  <c r="J220" i="7"/>
  <c r="I220" i="7"/>
  <c r="H220" i="7"/>
  <c r="G220" i="7"/>
  <c r="F220" i="7"/>
  <c r="E220" i="7"/>
  <c r="D220" i="7"/>
  <c r="C220" i="7"/>
  <c r="B220" i="7"/>
  <c r="A220" i="7"/>
  <c r="K219" i="7"/>
  <c r="J219" i="7"/>
  <c r="I219" i="7"/>
  <c r="H219" i="7"/>
  <c r="G219" i="7"/>
  <c r="F219" i="7"/>
  <c r="E219" i="7"/>
  <c r="D219" i="7"/>
  <c r="C219" i="7"/>
  <c r="B219" i="7"/>
  <c r="A219" i="7"/>
  <c r="K218" i="7"/>
  <c r="J218" i="7"/>
  <c r="I218" i="7"/>
  <c r="H218" i="7"/>
  <c r="G218" i="7"/>
  <c r="F218" i="7"/>
  <c r="E218" i="7"/>
  <c r="D218" i="7"/>
  <c r="C218" i="7"/>
  <c r="B218" i="7"/>
  <c r="A218" i="7"/>
  <c r="K217" i="7"/>
  <c r="J217" i="7"/>
  <c r="I217" i="7"/>
  <c r="H217" i="7"/>
  <c r="G217" i="7"/>
  <c r="F217" i="7"/>
  <c r="E217" i="7"/>
  <c r="D217" i="7"/>
  <c r="C217" i="7"/>
  <c r="B217" i="7"/>
  <c r="A217" i="7"/>
  <c r="K216" i="7"/>
  <c r="J216" i="7"/>
  <c r="I216" i="7"/>
  <c r="H216" i="7"/>
  <c r="G216" i="7"/>
  <c r="F216" i="7"/>
  <c r="E216" i="7"/>
  <c r="D216" i="7"/>
  <c r="C216" i="7"/>
  <c r="B216" i="7"/>
  <c r="A216" i="7"/>
  <c r="K215" i="7"/>
  <c r="J215" i="7"/>
  <c r="I215" i="7"/>
  <c r="H215" i="7"/>
  <c r="G215" i="7"/>
  <c r="F215" i="7"/>
  <c r="E215" i="7"/>
  <c r="D215" i="7"/>
  <c r="C215" i="7"/>
  <c r="B215" i="7"/>
  <c r="A215" i="7"/>
  <c r="K214" i="7"/>
  <c r="J214" i="7"/>
  <c r="I214" i="7"/>
  <c r="H214" i="7"/>
  <c r="G214" i="7"/>
  <c r="F214" i="7"/>
  <c r="E214" i="7"/>
  <c r="D214" i="7"/>
  <c r="C214" i="7"/>
  <c r="B214" i="7"/>
  <c r="A214" i="7"/>
  <c r="K213" i="7"/>
  <c r="J213" i="7"/>
  <c r="I213" i="7"/>
  <c r="H213" i="7"/>
  <c r="G213" i="7"/>
  <c r="F213" i="7"/>
  <c r="E213" i="7"/>
  <c r="D213" i="7"/>
  <c r="C213" i="7"/>
  <c r="B213" i="7"/>
  <c r="A213" i="7"/>
  <c r="K212" i="7"/>
  <c r="J212" i="7"/>
  <c r="I212" i="7"/>
  <c r="H212" i="7"/>
  <c r="G212" i="7"/>
  <c r="F212" i="7"/>
  <c r="E212" i="7"/>
  <c r="D212" i="7"/>
  <c r="C212" i="7"/>
  <c r="B212" i="7"/>
  <c r="A212" i="7"/>
  <c r="K211" i="7"/>
  <c r="J211" i="7"/>
  <c r="I211" i="7"/>
  <c r="H211" i="7"/>
  <c r="G211" i="7"/>
  <c r="F211" i="7"/>
  <c r="E211" i="7"/>
  <c r="D211" i="7"/>
  <c r="C211" i="7"/>
  <c r="B211" i="7"/>
  <c r="A211" i="7"/>
  <c r="K210" i="7"/>
  <c r="J210" i="7"/>
  <c r="I210" i="7"/>
  <c r="H210" i="7"/>
  <c r="G210" i="7"/>
  <c r="F210" i="7"/>
  <c r="E210" i="7"/>
  <c r="D210" i="7"/>
  <c r="C210" i="7"/>
  <c r="B210" i="7"/>
  <c r="A210" i="7"/>
  <c r="K209" i="7"/>
  <c r="J209" i="7"/>
  <c r="I209" i="7"/>
  <c r="H209" i="7"/>
  <c r="G209" i="7"/>
  <c r="F209" i="7"/>
  <c r="E209" i="7"/>
  <c r="D209" i="7"/>
  <c r="C209" i="7"/>
  <c r="B209" i="7"/>
  <c r="A209" i="7"/>
  <c r="K208" i="7"/>
  <c r="J208" i="7"/>
  <c r="I208" i="7"/>
  <c r="H208" i="7"/>
  <c r="G208" i="7"/>
  <c r="F208" i="7"/>
  <c r="E208" i="7"/>
  <c r="D208" i="7"/>
  <c r="C208" i="7"/>
  <c r="B208" i="7"/>
  <c r="A208" i="7"/>
  <c r="K207" i="7"/>
  <c r="J207" i="7"/>
  <c r="I207" i="7"/>
  <c r="H207" i="7"/>
  <c r="G207" i="7"/>
  <c r="F207" i="7"/>
  <c r="E207" i="7"/>
  <c r="D207" i="7"/>
  <c r="C207" i="7"/>
  <c r="B207" i="7"/>
  <c r="A207" i="7"/>
  <c r="K206" i="7"/>
  <c r="J206" i="7"/>
  <c r="I206" i="7"/>
  <c r="H206" i="7"/>
  <c r="G206" i="7"/>
  <c r="F206" i="7"/>
  <c r="E206" i="7"/>
  <c r="D206" i="7"/>
  <c r="C206" i="7"/>
  <c r="B206" i="7"/>
  <c r="A206" i="7"/>
  <c r="K205" i="7"/>
  <c r="J205" i="7"/>
  <c r="I205" i="7"/>
  <c r="H205" i="7"/>
  <c r="G205" i="7"/>
  <c r="F205" i="7"/>
  <c r="E205" i="7"/>
  <c r="D205" i="7"/>
  <c r="C205" i="7"/>
  <c r="B205" i="7"/>
  <c r="A205" i="7"/>
  <c r="K204" i="7"/>
  <c r="J204" i="7"/>
  <c r="I204" i="7"/>
  <c r="H204" i="7"/>
  <c r="G204" i="7"/>
  <c r="F204" i="7"/>
  <c r="E204" i="7"/>
  <c r="D204" i="7"/>
  <c r="C204" i="7"/>
  <c r="B204" i="7"/>
  <c r="A204" i="7"/>
  <c r="K203" i="7"/>
  <c r="J203" i="7"/>
  <c r="I203" i="7"/>
  <c r="H203" i="7"/>
  <c r="G203" i="7"/>
  <c r="F203" i="7"/>
  <c r="E203" i="7"/>
  <c r="D203" i="7"/>
  <c r="C203" i="7"/>
  <c r="B203" i="7"/>
  <c r="A203" i="7"/>
  <c r="K202" i="7"/>
  <c r="J202" i="7"/>
  <c r="I202" i="7"/>
  <c r="H202" i="7"/>
  <c r="G202" i="7"/>
  <c r="F202" i="7"/>
  <c r="E202" i="7"/>
  <c r="D202" i="7"/>
  <c r="C202" i="7"/>
  <c r="B202" i="7"/>
  <c r="A202" i="7"/>
  <c r="K201" i="7"/>
  <c r="J201" i="7"/>
  <c r="I201" i="7"/>
  <c r="H201" i="7"/>
  <c r="G201" i="7"/>
  <c r="F201" i="7"/>
  <c r="E201" i="7"/>
  <c r="D201" i="7"/>
  <c r="C201" i="7"/>
  <c r="B201" i="7"/>
  <c r="A201" i="7"/>
  <c r="K200" i="7"/>
  <c r="J200" i="7"/>
  <c r="I200" i="7"/>
  <c r="H200" i="7"/>
  <c r="G200" i="7"/>
  <c r="F200" i="7"/>
  <c r="E200" i="7"/>
  <c r="D200" i="7"/>
  <c r="C200" i="7"/>
  <c r="B200" i="7"/>
  <c r="A200" i="7"/>
  <c r="K199" i="7"/>
  <c r="J199" i="7"/>
  <c r="I199" i="7"/>
  <c r="H199" i="7"/>
  <c r="G199" i="7"/>
  <c r="F199" i="7"/>
  <c r="E199" i="7"/>
  <c r="D199" i="7"/>
  <c r="C199" i="7"/>
  <c r="B199" i="7"/>
  <c r="A199" i="7"/>
  <c r="K198" i="7"/>
  <c r="J198" i="7"/>
  <c r="I198" i="7"/>
  <c r="H198" i="7"/>
  <c r="G198" i="7"/>
  <c r="F198" i="7"/>
  <c r="E198" i="7"/>
  <c r="D198" i="7"/>
  <c r="C198" i="7"/>
  <c r="B198" i="7"/>
  <c r="A198" i="7"/>
  <c r="K197" i="7"/>
  <c r="J197" i="7"/>
  <c r="I197" i="7"/>
  <c r="H197" i="7"/>
  <c r="G197" i="7"/>
  <c r="F197" i="7"/>
  <c r="E197" i="7"/>
  <c r="D197" i="7"/>
  <c r="C197" i="7"/>
  <c r="B197" i="7"/>
  <c r="A197" i="7"/>
  <c r="K196" i="7"/>
  <c r="J196" i="7"/>
  <c r="I196" i="7"/>
  <c r="H196" i="7"/>
  <c r="G196" i="7"/>
  <c r="F196" i="7"/>
  <c r="E196" i="7"/>
  <c r="D196" i="7"/>
  <c r="C196" i="7"/>
  <c r="B196" i="7"/>
  <c r="A196" i="7"/>
  <c r="K195" i="7"/>
  <c r="J195" i="7"/>
  <c r="I195" i="7"/>
  <c r="H195" i="7"/>
  <c r="G195" i="7"/>
  <c r="F195" i="7"/>
  <c r="E195" i="7"/>
  <c r="D195" i="7"/>
  <c r="C195" i="7"/>
  <c r="B195" i="7"/>
  <c r="A195" i="7"/>
  <c r="K194" i="7"/>
  <c r="J194" i="7"/>
  <c r="I194" i="7"/>
  <c r="H194" i="7"/>
  <c r="G194" i="7"/>
  <c r="F194" i="7"/>
  <c r="E194" i="7"/>
  <c r="D194" i="7"/>
  <c r="C194" i="7"/>
  <c r="B194" i="7"/>
  <c r="A194" i="7"/>
  <c r="K193" i="7"/>
  <c r="J193" i="7"/>
  <c r="I193" i="7"/>
  <c r="H193" i="7"/>
  <c r="G193" i="7"/>
  <c r="F193" i="7"/>
  <c r="E193" i="7"/>
  <c r="D193" i="7"/>
  <c r="C193" i="7"/>
  <c r="B193" i="7"/>
  <c r="A193" i="7"/>
  <c r="K192" i="7"/>
  <c r="J192" i="7"/>
  <c r="I192" i="7"/>
  <c r="H192" i="7"/>
  <c r="G192" i="7"/>
  <c r="F192" i="7"/>
  <c r="E192" i="7"/>
  <c r="D192" i="7"/>
  <c r="C192" i="7"/>
  <c r="B192" i="7"/>
  <c r="A192" i="7"/>
  <c r="K191" i="7"/>
  <c r="J191" i="7"/>
  <c r="I191" i="7"/>
  <c r="H191" i="7"/>
  <c r="G191" i="7"/>
  <c r="F191" i="7"/>
  <c r="E191" i="7"/>
  <c r="D191" i="7"/>
  <c r="C191" i="7"/>
  <c r="B191" i="7"/>
  <c r="A191" i="7"/>
  <c r="K190" i="7"/>
  <c r="J190" i="7"/>
  <c r="I190" i="7"/>
  <c r="H190" i="7"/>
  <c r="G190" i="7"/>
  <c r="F190" i="7"/>
  <c r="E190" i="7"/>
  <c r="D190" i="7"/>
  <c r="C190" i="7"/>
  <c r="B190" i="7"/>
  <c r="A190" i="7"/>
  <c r="K189" i="7"/>
  <c r="J189" i="7"/>
  <c r="I189" i="7"/>
  <c r="H189" i="7"/>
  <c r="G189" i="7"/>
  <c r="F189" i="7"/>
  <c r="E189" i="7"/>
  <c r="D189" i="7"/>
  <c r="C189" i="7"/>
  <c r="B189" i="7"/>
  <c r="A189" i="7"/>
  <c r="K188" i="7"/>
  <c r="J188" i="7"/>
  <c r="I188" i="7"/>
  <c r="H188" i="7"/>
  <c r="G188" i="7"/>
  <c r="F188" i="7"/>
  <c r="E188" i="7"/>
  <c r="D188" i="7"/>
  <c r="C188" i="7"/>
  <c r="B188" i="7"/>
  <c r="A188" i="7"/>
  <c r="K187" i="7"/>
  <c r="J187" i="7"/>
  <c r="I187" i="7"/>
  <c r="H187" i="7"/>
  <c r="G187" i="7"/>
  <c r="F187" i="7"/>
  <c r="E187" i="7"/>
  <c r="D187" i="7"/>
  <c r="C187" i="7"/>
  <c r="B187" i="7"/>
  <c r="A187" i="7"/>
  <c r="K186" i="7"/>
  <c r="J186" i="7"/>
  <c r="I186" i="7"/>
  <c r="H186" i="7"/>
  <c r="G186" i="7"/>
  <c r="F186" i="7"/>
  <c r="E186" i="7"/>
  <c r="D186" i="7"/>
  <c r="C186" i="7"/>
  <c r="B186" i="7"/>
  <c r="A186" i="7"/>
  <c r="K185" i="7"/>
  <c r="J185" i="7"/>
  <c r="I185" i="7"/>
  <c r="H185" i="7"/>
  <c r="G185" i="7"/>
  <c r="F185" i="7"/>
  <c r="E185" i="7"/>
  <c r="D185" i="7"/>
  <c r="C185" i="7"/>
  <c r="B185" i="7"/>
  <c r="A185" i="7"/>
  <c r="K184" i="7"/>
  <c r="J184" i="7"/>
  <c r="I184" i="7"/>
  <c r="H184" i="7"/>
  <c r="G184" i="7"/>
  <c r="F184" i="7"/>
  <c r="E184" i="7"/>
  <c r="D184" i="7"/>
  <c r="C184" i="7"/>
  <c r="B184" i="7"/>
  <c r="A184" i="7"/>
  <c r="K183" i="7"/>
  <c r="J183" i="7"/>
  <c r="I183" i="7"/>
  <c r="H183" i="7"/>
  <c r="G183" i="7"/>
  <c r="F183" i="7"/>
  <c r="E183" i="7"/>
  <c r="D183" i="7"/>
  <c r="C183" i="7"/>
  <c r="B183" i="7"/>
  <c r="A183" i="7"/>
  <c r="K182" i="7"/>
  <c r="J182" i="7"/>
  <c r="I182" i="7"/>
  <c r="H182" i="7"/>
  <c r="G182" i="7"/>
  <c r="F182" i="7"/>
  <c r="E182" i="7"/>
  <c r="D182" i="7"/>
  <c r="C182" i="7"/>
  <c r="B182" i="7"/>
  <c r="A182" i="7"/>
  <c r="K181" i="7"/>
  <c r="J181" i="7"/>
  <c r="I181" i="7"/>
  <c r="H181" i="7"/>
  <c r="G181" i="7"/>
  <c r="F181" i="7"/>
  <c r="E181" i="7"/>
  <c r="D181" i="7"/>
  <c r="C181" i="7"/>
  <c r="B181" i="7"/>
  <c r="A181" i="7"/>
  <c r="K180" i="7"/>
  <c r="J180" i="7"/>
  <c r="I180" i="7"/>
  <c r="H180" i="7"/>
  <c r="G180" i="7"/>
  <c r="F180" i="7"/>
  <c r="E180" i="7"/>
  <c r="D180" i="7"/>
  <c r="C180" i="7"/>
  <c r="B180" i="7"/>
  <c r="A180" i="7"/>
  <c r="K179" i="7"/>
  <c r="J179" i="7"/>
  <c r="I179" i="7"/>
  <c r="H179" i="7"/>
  <c r="G179" i="7"/>
  <c r="F179" i="7"/>
  <c r="E179" i="7"/>
  <c r="D179" i="7"/>
  <c r="C179" i="7"/>
  <c r="B179" i="7"/>
  <c r="A179" i="7"/>
  <c r="K178" i="7"/>
  <c r="J178" i="7"/>
  <c r="I178" i="7"/>
  <c r="H178" i="7"/>
  <c r="G178" i="7"/>
  <c r="F178" i="7"/>
  <c r="E178" i="7"/>
  <c r="D178" i="7"/>
  <c r="C178" i="7"/>
  <c r="B178" i="7"/>
  <c r="A178" i="7"/>
  <c r="K177" i="7"/>
  <c r="J177" i="7"/>
  <c r="I177" i="7"/>
  <c r="H177" i="7"/>
  <c r="G177" i="7"/>
  <c r="F177" i="7"/>
  <c r="E177" i="7"/>
  <c r="D177" i="7"/>
  <c r="C177" i="7"/>
  <c r="B177" i="7"/>
  <c r="A177" i="7"/>
  <c r="K176" i="7"/>
  <c r="J176" i="7"/>
  <c r="I176" i="7"/>
  <c r="H176" i="7"/>
  <c r="G176" i="7"/>
  <c r="F176" i="7"/>
  <c r="E176" i="7"/>
  <c r="D176" i="7"/>
  <c r="C176" i="7"/>
  <c r="B176" i="7"/>
  <c r="A176" i="7"/>
  <c r="K175" i="7"/>
  <c r="J175" i="7"/>
  <c r="I175" i="7"/>
  <c r="H175" i="7"/>
  <c r="G175" i="7"/>
  <c r="F175" i="7"/>
  <c r="E175" i="7"/>
  <c r="D175" i="7"/>
  <c r="C175" i="7"/>
  <c r="B175" i="7"/>
  <c r="A175" i="7"/>
  <c r="K174" i="7"/>
  <c r="J174" i="7"/>
  <c r="I174" i="7"/>
  <c r="H174" i="7"/>
  <c r="G174" i="7"/>
  <c r="F174" i="7"/>
  <c r="E174" i="7"/>
  <c r="D174" i="7"/>
  <c r="C174" i="7"/>
  <c r="B174" i="7"/>
  <c r="A174" i="7"/>
  <c r="K173" i="7"/>
  <c r="J173" i="7"/>
  <c r="I173" i="7"/>
  <c r="H173" i="7"/>
  <c r="G173" i="7"/>
  <c r="F173" i="7"/>
  <c r="E173" i="7"/>
  <c r="D173" i="7"/>
  <c r="C173" i="7"/>
  <c r="B173" i="7"/>
  <c r="A173" i="7"/>
  <c r="K172" i="7"/>
  <c r="J172" i="7"/>
  <c r="I172" i="7"/>
  <c r="H172" i="7"/>
  <c r="G172" i="7"/>
  <c r="F172" i="7"/>
  <c r="E172" i="7"/>
  <c r="D172" i="7"/>
  <c r="C172" i="7"/>
  <c r="B172" i="7"/>
  <c r="A172" i="7"/>
  <c r="K171" i="7"/>
  <c r="J171" i="7"/>
  <c r="I171" i="7"/>
  <c r="H171" i="7"/>
  <c r="G171" i="7"/>
  <c r="F171" i="7"/>
  <c r="E171" i="7"/>
  <c r="D171" i="7"/>
  <c r="C171" i="7"/>
  <c r="B171" i="7"/>
  <c r="A171" i="7"/>
  <c r="K170" i="7"/>
  <c r="J170" i="7"/>
  <c r="I170" i="7"/>
  <c r="H170" i="7"/>
  <c r="G170" i="7"/>
  <c r="F170" i="7"/>
  <c r="E170" i="7"/>
  <c r="D170" i="7"/>
  <c r="C170" i="7"/>
  <c r="B170" i="7"/>
  <c r="A170" i="7"/>
  <c r="K169" i="7"/>
  <c r="J169" i="7"/>
  <c r="I169" i="7"/>
  <c r="H169" i="7"/>
  <c r="G169" i="7"/>
  <c r="F169" i="7"/>
  <c r="E169" i="7"/>
  <c r="D169" i="7"/>
  <c r="C169" i="7"/>
  <c r="B169" i="7"/>
  <c r="A169" i="7"/>
  <c r="K168" i="7"/>
  <c r="J168" i="7"/>
  <c r="I168" i="7"/>
  <c r="H168" i="7"/>
  <c r="G168" i="7"/>
  <c r="F168" i="7"/>
  <c r="E168" i="7"/>
  <c r="D168" i="7"/>
  <c r="C168" i="7"/>
  <c r="B168" i="7"/>
  <c r="A168" i="7"/>
  <c r="K167" i="7"/>
  <c r="J167" i="7"/>
  <c r="I167" i="7"/>
  <c r="H167" i="7"/>
  <c r="G167" i="7"/>
  <c r="F167" i="7"/>
  <c r="E167" i="7"/>
  <c r="D167" i="7"/>
  <c r="C167" i="7"/>
  <c r="B167" i="7"/>
  <c r="A167" i="7"/>
  <c r="K166" i="7"/>
  <c r="J166" i="7"/>
  <c r="I166" i="7"/>
  <c r="H166" i="7"/>
  <c r="G166" i="7"/>
  <c r="F166" i="7"/>
  <c r="E166" i="7"/>
  <c r="D166" i="7"/>
  <c r="C166" i="7"/>
  <c r="B166" i="7"/>
  <c r="A166" i="7"/>
  <c r="K165" i="7"/>
  <c r="J165" i="7"/>
  <c r="I165" i="7"/>
  <c r="H165" i="7"/>
  <c r="G165" i="7"/>
  <c r="F165" i="7"/>
  <c r="E165" i="7"/>
  <c r="D165" i="7"/>
  <c r="C165" i="7"/>
  <c r="B165" i="7"/>
  <c r="A165" i="7"/>
  <c r="K164" i="7"/>
  <c r="J164" i="7"/>
  <c r="I164" i="7"/>
  <c r="H164" i="7"/>
  <c r="G164" i="7"/>
  <c r="F164" i="7"/>
  <c r="E164" i="7"/>
  <c r="D164" i="7"/>
  <c r="C164" i="7"/>
  <c r="B164" i="7"/>
  <c r="A164" i="7"/>
  <c r="K163" i="7"/>
  <c r="J163" i="7"/>
  <c r="I163" i="7"/>
  <c r="H163" i="7"/>
  <c r="G163" i="7"/>
  <c r="F163" i="7"/>
  <c r="E163" i="7"/>
  <c r="D163" i="7"/>
  <c r="C163" i="7"/>
  <c r="B163" i="7"/>
  <c r="A163" i="7"/>
  <c r="K162" i="7"/>
  <c r="J162" i="7"/>
  <c r="I162" i="7"/>
  <c r="H162" i="7"/>
  <c r="G162" i="7"/>
  <c r="F162" i="7"/>
  <c r="E162" i="7"/>
  <c r="D162" i="7"/>
  <c r="C162" i="7"/>
  <c r="B162" i="7"/>
  <c r="A162" i="7"/>
  <c r="K161" i="7"/>
  <c r="J161" i="7"/>
  <c r="I161" i="7"/>
  <c r="H161" i="7"/>
  <c r="G161" i="7"/>
  <c r="F161" i="7"/>
  <c r="E161" i="7"/>
  <c r="D161" i="7"/>
  <c r="C161" i="7"/>
  <c r="B161" i="7"/>
  <c r="A161" i="7"/>
  <c r="K160" i="7"/>
  <c r="J160" i="7"/>
  <c r="I160" i="7"/>
  <c r="H160" i="7"/>
  <c r="G160" i="7"/>
  <c r="F160" i="7"/>
  <c r="E160" i="7"/>
  <c r="D160" i="7"/>
  <c r="C160" i="7"/>
  <c r="B160" i="7"/>
  <c r="A160" i="7"/>
  <c r="K159" i="7"/>
  <c r="J159" i="7"/>
  <c r="I159" i="7"/>
  <c r="H159" i="7"/>
  <c r="G159" i="7"/>
  <c r="F159" i="7"/>
  <c r="E159" i="7"/>
  <c r="D159" i="7"/>
  <c r="C159" i="7"/>
  <c r="B159" i="7"/>
  <c r="A159" i="7"/>
  <c r="K158" i="7"/>
  <c r="J158" i="7"/>
  <c r="I158" i="7"/>
  <c r="H158" i="7"/>
  <c r="G158" i="7"/>
  <c r="F158" i="7"/>
  <c r="E158" i="7"/>
  <c r="D158" i="7"/>
  <c r="C158" i="7"/>
  <c r="B158" i="7"/>
  <c r="A158" i="7"/>
  <c r="K157" i="7"/>
  <c r="J157" i="7"/>
  <c r="I157" i="7"/>
  <c r="H157" i="7"/>
  <c r="G157" i="7"/>
  <c r="F157" i="7"/>
  <c r="E157" i="7"/>
  <c r="D157" i="7"/>
  <c r="C157" i="7"/>
  <c r="B157" i="7"/>
  <c r="A157" i="7"/>
  <c r="K156" i="7"/>
  <c r="J156" i="7"/>
  <c r="I156" i="7"/>
  <c r="H156" i="7"/>
  <c r="G156" i="7"/>
  <c r="F156" i="7"/>
  <c r="E156" i="7"/>
  <c r="D156" i="7"/>
  <c r="C156" i="7"/>
  <c r="B156" i="7"/>
  <c r="A156" i="7"/>
  <c r="K155" i="7"/>
  <c r="J155" i="7"/>
  <c r="I155" i="7"/>
  <c r="H155" i="7"/>
  <c r="G155" i="7"/>
  <c r="F155" i="7"/>
  <c r="E155" i="7"/>
  <c r="D155" i="7"/>
  <c r="C155" i="7"/>
  <c r="B155" i="7"/>
  <c r="A155" i="7"/>
  <c r="K154" i="7"/>
  <c r="J154" i="7"/>
  <c r="I154" i="7"/>
  <c r="H154" i="7"/>
  <c r="G154" i="7"/>
  <c r="F154" i="7"/>
  <c r="E154" i="7"/>
  <c r="D154" i="7"/>
  <c r="C154" i="7"/>
  <c r="B154" i="7"/>
  <c r="A154" i="7"/>
  <c r="K153" i="7"/>
  <c r="J153" i="7"/>
  <c r="I153" i="7"/>
  <c r="H153" i="7"/>
  <c r="G153" i="7"/>
  <c r="F153" i="7"/>
  <c r="E153" i="7"/>
  <c r="D153" i="7"/>
  <c r="C153" i="7"/>
  <c r="B153" i="7"/>
  <c r="A153" i="7"/>
  <c r="K152" i="7"/>
  <c r="J152" i="7"/>
  <c r="I152" i="7"/>
  <c r="H152" i="7"/>
  <c r="G152" i="7"/>
  <c r="F152" i="7"/>
  <c r="E152" i="7"/>
  <c r="D152" i="7"/>
  <c r="C152" i="7"/>
  <c r="B152" i="7"/>
  <c r="A152" i="7"/>
  <c r="K151" i="7"/>
  <c r="J151" i="7"/>
  <c r="I151" i="7"/>
  <c r="H151" i="7"/>
  <c r="G151" i="7"/>
  <c r="F151" i="7"/>
  <c r="E151" i="7"/>
  <c r="D151" i="7"/>
  <c r="C151" i="7"/>
  <c r="B151" i="7"/>
  <c r="A151" i="7"/>
  <c r="K150" i="7"/>
  <c r="J150" i="7"/>
  <c r="I150" i="7"/>
  <c r="H150" i="7"/>
  <c r="G150" i="7"/>
  <c r="F150" i="7"/>
  <c r="E150" i="7"/>
  <c r="D150" i="7"/>
  <c r="C150" i="7"/>
  <c r="B150" i="7"/>
  <c r="A150" i="7"/>
  <c r="K149" i="7"/>
  <c r="J149" i="7"/>
  <c r="I149" i="7"/>
  <c r="H149" i="7"/>
  <c r="G149" i="7"/>
  <c r="F149" i="7"/>
  <c r="E149" i="7"/>
  <c r="D149" i="7"/>
  <c r="C149" i="7"/>
  <c r="B149" i="7"/>
  <c r="A149" i="7"/>
  <c r="K148" i="7"/>
  <c r="J148" i="7"/>
  <c r="I148" i="7"/>
  <c r="H148" i="7"/>
  <c r="G148" i="7"/>
  <c r="F148" i="7"/>
  <c r="E148" i="7"/>
  <c r="D148" i="7"/>
  <c r="C148" i="7"/>
  <c r="B148" i="7"/>
  <c r="A148" i="7"/>
  <c r="K147" i="7"/>
  <c r="J147" i="7"/>
  <c r="I147" i="7"/>
  <c r="H147" i="7"/>
  <c r="G147" i="7"/>
  <c r="F147" i="7"/>
  <c r="E147" i="7"/>
  <c r="D147" i="7"/>
  <c r="C147" i="7"/>
  <c r="B147" i="7"/>
  <c r="A147" i="7"/>
  <c r="K146" i="7"/>
  <c r="J146" i="7"/>
  <c r="I146" i="7"/>
  <c r="H146" i="7"/>
  <c r="G146" i="7"/>
  <c r="F146" i="7"/>
  <c r="E146" i="7"/>
  <c r="D146" i="7"/>
  <c r="C146" i="7"/>
  <c r="B146" i="7"/>
  <c r="A146" i="7"/>
  <c r="K145" i="7"/>
  <c r="J145" i="7"/>
  <c r="I145" i="7"/>
  <c r="H145" i="7"/>
  <c r="G145" i="7"/>
  <c r="F145" i="7"/>
  <c r="E145" i="7"/>
  <c r="D145" i="7"/>
  <c r="C145" i="7"/>
  <c r="B145" i="7"/>
  <c r="A145" i="7"/>
  <c r="K144" i="7"/>
  <c r="J144" i="7"/>
  <c r="I144" i="7"/>
  <c r="H144" i="7"/>
  <c r="G144" i="7"/>
  <c r="F144" i="7"/>
  <c r="E144" i="7"/>
  <c r="D144" i="7"/>
  <c r="C144" i="7"/>
  <c r="B144" i="7"/>
  <c r="A144" i="7"/>
  <c r="K143" i="7"/>
  <c r="J143" i="7"/>
  <c r="I143" i="7"/>
  <c r="H143" i="7"/>
  <c r="G143" i="7"/>
  <c r="F143" i="7"/>
  <c r="E143" i="7"/>
  <c r="D143" i="7"/>
  <c r="C143" i="7"/>
  <c r="B143" i="7"/>
  <c r="A143" i="7"/>
  <c r="K142" i="7"/>
  <c r="J142" i="7"/>
  <c r="I142" i="7"/>
  <c r="H142" i="7"/>
  <c r="G142" i="7"/>
  <c r="F142" i="7"/>
  <c r="E142" i="7"/>
  <c r="D142" i="7"/>
  <c r="C142" i="7"/>
  <c r="B142" i="7"/>
  <c r="A142" i="7"/>
  <c r="K141" i="7"/>
  <c r="J141" i="7"/>
  <c r="I141" i="7"/>
  <c r="H141" i="7"/>
  <c r="G141" i="7"/>
  <c r="F141" i="7"/>
  <c r="E141" i="7"/>
  <c r="D141" i="7"/>
  <c r="C141" i="7"/>
  <c r="B141" i="7"/>
  <c r="A141" i="7"/>
  <c r="K140" i="7"/>
  <c r="J140" i="7"/>
  <c r="I140" i="7"/>
  <c r="H140" i="7"/>
  <c r="G140" i="7"/>
  <c r="F140" i="7"/>
  <c r="E140" i="7"/>
  <c r="D140" i="7"/>
  <c r="C140" i="7"/>
  <c r="B140" i="7"/>
  <c r="A140" i="7"/>
  <c r="K139" i="7"/>
  <c r="J139" i="7"/>
  <c r="I139" i="7"/>
  <c r="H139" i="7"/>
  <c r="G139" i="7"/>
  <c r="F139" i="7"/>
  <c r="E139" i="7"/>
  <c r="D139" i="7"/>
  <c r="C139" i="7"/>
  <c r="B139" i="7"/>
  <c r="A139" i="7"/>
  <c r="K138" i="7"/>
  <c r="J138" i="7"/>
  <c r="I138" i="7"/>
  <c r="H138" i="7"/>
  <c r="G138" i="7"/>
  <c r="F138" i="7"/>
  <c r="E138" i="7"/>
  <c r="D138" i="7"/>
  <c r="C138" i="7"/>
  <c r="B138" i="7"/>
  <c r="A138" i="7"/>
  <c r="K137" i="7"/>
  <c r="J137" i="7"/>
  <c r="I137" i="7"/>
  <c r="H137" i="7"/>
  <c r="G137" i="7"/>
  <c r="F137" i="7"/>
  <c r="E137" i="7"/>
  <c r="D137" i="7"/>
  <c r="C137" i="7"/>
  <c r="B137" i="7"/>
  <c r="A137" i="7"/>
  <c r="K136" i="7"/>
  <c r="J136" i="7"/>
  <c r="I136" i="7"/>
  <c r="H136" i="7"/>
  <c r="G136" i="7"/>
  <c r="F136" i="7"/>
  <c r="E136" i="7"/>
  <c r="D136" i="7"/>
  <c r="C136" i="7"/>
  <c r="B136" i="7"/>
  <c r="A136" i="7"/>
  <c r="K135" i="7"/>
  <c r="J135" i="7"/>
  <c r="I135" i="7"/>
  <c r="H135" i="7"/>
  <c r="G135" i="7"/>
  <c r="F135" i="7"/>
  <c r="E135" i="7"/>
  <c r="D135" i="7"/>
  <c r="C135" i="7"/>
  <c r="B135" i="7"/>
  <c r="A135" i="7"/>
  <c r="K134" i="7"/>
  <c r="J134" i="7"/>
  <c r="I134" i="7"/>
  <c r="H134" i="7"/>
  <c r="G134" i="7"/>
  <c r="F134" i="7"/>
  <c r="E134" i="7"/>
  <c r="D134" i="7"/>
  <c r="C134" i="7"/>
  <c r="B134" i="7"/>
  <c r="A134" i="7"/>
  <c r="K133" i="7"/>
  <c r="J133" i="7"/>
  <c r="I133" i="7"/>
  <c r="H133" i="7"/>
  <c r="G133" i="7"/>
  <c r="F133" i="7"/>
  <c r="E133" i="7"/>
  <c r="D133" i="7"/>
  <c r="C133" i="7"/>
  <c r="B133" i="7"/>
  <c r="A133" i="7"/>
  <c r="K132" i="7"/>
  <c r="J132" i="7"/>
  <c r="I132" i="7"/>
  <c r="H132" i="7"/>
  <c r="G132" i="7"/>
  <c r="F132" i="7"/>
  <c r="E132" i="7"/>
  <c r="D132" i="7"/>
  <c r="C132" i="7"/>
  <c r="B132" i="7"/>
  <c r="A132" i="7"/>
  <c r="K131" i="7"/>
  <c r="J131" i="7"/>
  <c r="I131" i="7"/>
  <c r="H131" i="7"/>
  <c r="G131" i="7"/>
  <c r="F131" i="7"/>
  <c r="E131" i="7"/>
  <c r="D131" i="7"/>
  <c r="C131" i="7"/>
  <c r="B131" i="7"/>
  <c r="A131" i="7"/>
  <c r="K130" i="7"/>
  <c r="J130" i="7"/>
  <c r="I130" i="7"/>
  <c r="H130" i="7"/>
  <c r="G130" i="7"/>
  <c r="F130" i="7"/>
  <c r="E130" i="7"/>
  <c r="D130" i="7"/>
  <c r="C130" i="7"/>
  <c r="B130" i="7"/>
  <c r="A130" i="7"/>
  <c r="K129" i="7"/>
  <c r="J129" i="7"/>
  <c r="I129" i="7"/>
  <c r="H129" i="7"/>
  <c r="G129" i="7"/>
  <c r="F129" i="7"/>
  <c r="E129" i="7"/>
  <c r="D129" i="7"/>
  <c r="C129" i="7"/>
  <c r="B129" i="7"/>
  <c r="A129" i="7"/>
  <c r="K128" i="7"/>
  <c r="J128" i="7"/>
  <c r="I128" i="7"/>
  <c r="H128" i="7"/>
  <c r="G128" i="7"/>
  <c r="F128" i="7"/>
  <c r="E128" i="7"/>
  <c r="D128" i="7"/>
  <c r="C128" i="7"/>
  <c r="B128" i="7"/>
  <c r="A128" i="7"/>
  <c r="K127" i="7"/>
  <c r="J127" i="7"/>
  <c r="I127" i="7"/>
  <c r="H127" i="7"/>
  <c r="G127" i="7"/>
  <c r="F127" i="7"/>
  <c r="E127" i="7"/>
  <c r="D127" i="7"/>
  <c r="C127" i="7"/>
  <c r="B127" i="7"/>
  <c r="A127" i="7"/>
  <c r="K126" i="7"/>
  <c r="J126" i="7"/>
  <c r="I126" i="7"/>
  <c r="H126" i="7"/>
  <c r="G126" i="7"/>
  <c r="F126" i="7"/>
  <c r="E126" i="7"/>
  <c r="D126" i="7"/>
  <c r="C126" i="7"/>
  <c r="B126" i="7"/>
  <c r="A126" i="7"/>
  <c r="K125" i="7"/>
  <c r="J125" i="7"/>
  <c r="I125" i="7"/>
  <c r="H125" i="7"/>
  <c r="G125" i="7"/>
  <c r="F125" i="7"/>
  <c r="E125" i="7"/>
  <c r="D125" i="7"/>
  <c r="C125" i="7"/>
  <c r="B125" i="7"/>
  <c r="A125" i="7"/>
  <c r="K124" i="7"/>
  <c r="J124" i="7"/>
  <c r="I124" i="7"/>
  <c r="H124" i="7"/>
  <c r="G124" i="7"/>
  <c r="F124" i="7"/>
  <c r="E124" i="7"/>
  <c r="D124" i="7"/>
  <c r="C124" i="7"/>
  <c r="B124" i="7"/>
  <c r="A124" i="7"/>
  <c r="K123" i="7"/>
  <c r="J123" i="7"/>
  <c r="I123" i="7"/>
  <c r="H123" i="7"/>
  <c r="G123" i="7"/>
  <c r="F123" i="7"/>
  <c r="E123" i="7"/>
  <c r="D123" i="7"/>
  <c r="C123" i="7"/>
  <c r="B123" i="7"/>
  <c r="A123" i="7"/>
  <c r="K122" i="7"/>
  <c r="J122" i="7"/>
  <c r="I122" i="7"/>
  <c r="H122" i="7"/>
  <c r="G122" i="7"/>
  <c r="F122" i="7"/>
  <c r="E122" i="7"/>
  <c r="D122" i="7"/>
  <c r="C122" i="7"/>
  <c r="B122" i="7"/>
  <c r="A122" i="7"/>
  <c r="K121" i="7"/>
  <c r="J121" i="7"/>
  <c r="I121" i="7"/>
  <c r="H121" i="7"/>
  <c r="G121" i="7"/>
  <c r="F121" i="7"/>
  <c r="E121" i="7"/>
  <c r="D121" i="7"/>
  <c r="C121" i="7"/>
  <c r="B121" i="7"/>
  <c r="A121" i="7"/>
  <c r="K120" i="7"/>
  <c r="J120" i="7"/>
  <c r="I120" i="7"/>
  <c r="H120" i="7"/>
  <c r="G120" i="7"/>
  <c r="F120" i="7"/>
  <c r="E120" i="7"/>
  <c r="D120" i="7"/>
  <c r="C120" i="7"/>
  <c r="B120" i="7"/>
  <c r="A120" i="7"/>
  <c r="K119" i="7"/>
  <c r="J119" i="7"/>
  <c r="I119" i="7"/>
  <c r="H119" i="7"/>
  <c r="G119" i="7"/>
  <c r="F119" i="7"/>
  <c r="E119" i="7"/>
  <c r="D119" i="7"/>
  <c r="C119" i="7"/>
  <c r="B119" i="7"/>
  <c r="A119" i="7"/>
  <c r="K118" i="7"/>
  <c r="J118" i="7"/>
  <c r="I118" i="7"/>
  <c r="H118" i="7"/>
  <c r="G118" i="7"/>
  <c r="F118" i="7"/>
  <c r="E118" i="7"/>
  <c r="D118" i="7"/>
  <c r="C118" i="7"/>
  <c r="B118" i="7"/>
  <c r="A118" i="7"/>
  <c r="K117" i="7"/>
  <c r="J117" i="7"/>
  <c r="I117" i="7"/>
  <c r="H117" i="7"/>
  <c r="G117" i="7"/>
  <c r="F117" i="7"/>
  <c r="E117" i="7"/>
  <c r="D117" i="7"/>
  <c r="C117" i="7"/>
  <c r="B117" i="7"/>
  <c r="A117" i="7"/>
  <c r="K116" i="7"/>
  <c r="J116" i="7"/>
  <c r="I116" i="7"/>
  <c r="H116" i="7"/>
  <c r="G116" i="7"/>
  <c r="F116" i="7"/>
  <c r="E116" i="7"/>
  <c r="D116" i="7"/>
  <c r="C116" i="7"/>
  <c r="B116" i="7"/>
  <c r="A116" i="7"/>
  <c r="K115" i="7"/>
  <c r="J115" i="7"/>
  <c r="I115" i="7"/>
  <c r="H115" i="7"/>
  <c r="G115" i="7"/>
  <c r="F115" i="7"/>
  <c r="E115" i="7"/>
  <c r="D115" i="7"/>
  <c r="C115" i="7"/>
  <c r="B115" i="7"/>
  <c r="A115" i="7"/>
  <c r="K114" i="7"/>
  <c r="J114" i="7"/>
  <c r="I114" i="7"/>
  <c r="H114" i="7"/>
  <c r="G114" i="7"/>
  <c r="F114" i="7"/>
  <c r="E114" i="7"/>
  <c r="D114" i="7"/>
  <c r="C114" i="7"/>
  <c r="B114" i="7"/>
  <c r="A114" i="7"/>
  <c r="K113" i="7"/>
  <c r="J113" i="7"/>
  <c r="I113" i="7"/>
  <c r="H113" i="7"/>
  <c r="G113" i="7"/>
  <c r="F113" i="7"/>
  <c r="E113" i="7"/>
  <c r="D113" i="7"/>
  <c r="C113" i="7"/>
  <c r="B113" i="7"/>
  <c r="A113" i="7"/>
  <c r="K112" i="7"/>
  <c r="J112" i="7"/>
  <c r="I112" i="7"/>
  <c r="H112" i="7"/>
  <c r="G112" i="7"/>
  <c r="F112" i="7"/>
  <c r="E112" i="7"/>
  <c r="D112" i="7"/>
  <c r="C112" i="7"/>
  <c r="B112" i="7"/>
  <c r="A112" i="7"/>
  <c r="K111" i="7"/>
  <c r="J111" i="7"/>
  <c r="I111" i="7"/>
  <c r="H111" i="7"/>
  <c r="G111" i="7"/>
  <c r="F111" i="7"/>
  <c r="E111" i="7"/>
  <c r="D111" i="7"/>
  <c r="C111" i="7"/>
  <c r="B111" i="7"/>
  <c r="A111" i="7"/>
  <c r="K110" i="7"/>
  <c r="J110" i="7"/>
  <c r="I110" i="7"/>
  <c r="H110" i="7"/>
  <c r="G110" i="7"/>
  <c r="F110" i="7"/>
  <c r="E110" i="7"/>
  <c r="D110" i="7"/>
  <c r="C110" i="7"/>
  <c r="B110" i="7"/>
  <c r="A110" i="7"/>
  <c r="K109" i="7"/>
  <c r="J109" i="7"/>
  <c r="I109" i="7"/>
  <c r="H109" i="7"/>
  <c r="G109" i="7"/>
  <c r="F109" i="7"/>
  <c r="E109" i="7"/>
  <c r="D109" i="7"/>
  <c r="C109" i="7"/>
  <c r="B109" i="7"/>
  <c r="A109" i="7"/>
  <c r="K108" i="7"/>
  <c r="J108" i="7"/>
  <c r="I108" i="7"/>
  <c r="H108" i="7"/>
  <c r="G108" i="7"/>
  <c r="F108" i="7"/>
  <c r="E108" i="7"/>
  <c r="D108" i="7"/>
  <c r="C108" i="7"/>
  <c r="B108" i="7"/>
  <c r="A108" i="7"/>
  <c r="K107" i="7"/>
  <c r="J107" i="7"/>
  <c r="I107" i="7"/>
  <c r="H107" i="7"/>
  <c r="G107" i="7"/>
  <c r="F107" i="7"/>
  <c r="E107" i="7"/>
  <c r="D107" i="7"/>
  <c r="C107" i="7"/>
  <c r="B107" i="7"/>
  <c r="A107" i="7"/>
  <c r="K106" i="7"/>
  <c r="J106" i="7"/>
  <c r="I106" i="7"/>
  <c r="H106" i="7"/>
  <c r="G106" i="7"/>
  <c r="F106" i="7"/>
  <c r="E106" i="7"/>
  <c r="D106" i="7"/>
  <c r="C106" i="7"/>
  <c r="B106" i="7"/>
  <c r="A106" i="7"/>
  <c r="K105" i="7"/>
  <c r="J105" i="7"/>
  <c r="I105" i="7"/>
  <c r="H105" i="7"/>
  <c r="G105" i="7"/>
  <c r="F105" i="7"/>
  <c r="E105" i="7"/>
  <c r="D105" i="7"/>
  <c r="C105" i="7"/>
  <c r="B105" i="7"/>
  <c r="A105" i="7"/>
  <c r="K104" i="7"/>
  <c r="J104" i="7"/>
  <c r="I104" i="7"/>
  <c r="H104" i="7"/>
  <c r="G104" i="7"/>
  <c r="F104" i="7"/>
  <c r="E104" i="7"/>
  <c r="D104" i="7"/>
  <c r="C104" i="7"/>
  <c r="B104" i="7"/>
  <c r="A104" i="7"/>
  <c r="K103" i="7"/>
  <c r="J103" i="7"/>
  <c r="I103" i="7"/>
  <c r="H103" i="7"/>
  <c r="G103" i="7"/>
  <c r="F103" i="7"/>
  <c r="E103" i="7"/>
  <c r="D103" i="7"/>
  <c r="C103" i="7"/>
  <c r="B103" i="7"/>
  <c r="A103" i="7"/>
  <c r="K102" i="7"/>
  <c r="J102" i="7"/>
  <c r="I102" i="7"/>
  <c r="H102" i="7"/>
  <c r="G102" i="7"/>
  <c r="F102" i="7"/>
  <c r="E102" i="7"/>
  <c r="D102" i="7"/>
  <c r="C102" i="7"/>
  <c r="B102" i="7"/>
  <c r="A102" i="7"/>
  <c r="K101" i="7"/>
  <c r="J101" i="7"/>
  <c r="I101" i="7"/>
  <c r="H101" i="7"/>
  <c r="G101" i="7"/>
  <c r="F101" i="7"/>
  <c r="E101" i="7"/>
  <c r="D101" i="7"/>
  <c r="C101" i="7"/>
  <c r="B101" i="7"/>
  <c r="A101" i="7"/>
  <c r="K100" i="7"/>
  <c r="J100" i="7"/>
  <c r="I100" i="7"/>
  <c r="H100" i="7"/>
  <c r="G100" i="7"/>
  <c r="F100" i="7"/>
  <c r="E100" i="7"/>
  <c r="D100" i="7"/>
  <c r="C100" i="7"/>
  <c r="B100" i="7"/>
  <c r="A100" i="7"/>
  <c r="K99" i="7"/>
  <c r="J99" i="7"/>
  <c r="I99" i="7"/>
  <c r="H99" i="7"/>
  <c r="G99" i="7"/>
  <c r="F99" i="7"/>
  <c r="E99" i="7"/>
  <c r="D99" i="7"/>
  <c r="C99" i="7"/>
  <c r="B99" i="7"/>
  <c r="A99" i="7"/>
  <c r="K98" i="7"/>
  <c r="J98" i="7"/>
  <c r="I98" i="7"/>
  <c r="H98" i="7"/>
  <c r="G98" i="7"/>
  <c r="F98" i="7"/>
  <c r="E98" i="7"/>
  <c r="D98" i="7"/>
  <c r="C98" i="7"/>
  <c r="B98" i="7"/>
  <c r="A98" i="7"/>
  <c r="K97" i="7"/>
  <c r="J97" i="7"/>
  <c r="I97" i="7"/>
  <c r="H97" i="7"/>
  <c r="G97" i="7"/>
  <c r="F97" i="7"/>
  <c r="E97" i="7"/>
  <c r="D97" i="7"/>
  <c r="C97" i="7"/>
  <c r="B97" i="7"/>
  <c r="A97" i="7"/>
  <c r="K96" i="7"/>
  <c r="J96" i="7"/>
  <c r="I96" i="7"/>
  <c r="H96" i="7"/>
  <c r="G96" i="7"/>
  <c r="F96" i="7"/>
  <c r="E96" i="7"/>
  <c r="D96" i="7"/>
  <c r="C96" i="7"/>
  <c r="B96" i="7"/>
  <c r="A96" i="7"/>
  <c r="K95" i="7"/>
  <c r="J95" i="7"/>
  <c r="I95" i="7"/>
  <c r="H95" i="7"/>
  <c r="G95" i="7"/>
  <c r="F95" i="7"/>
  <c r="E95" i="7"/>
  <c r="D95" i="7"/>
  <c r="C95" i="7"/>
  <c r="B95" i="7"/>
  <c r="A95" i="7"/>
  <c r="K94" i="7"/>
  <c r="J94" i="7"/>
  <c r="I94" i="7"/>
  <c r="H94" i="7"/>
  <c r="G94" i="7"/>
  <c r="F94" i="7"/>
  <c r="E94" i="7"/>
  <c r="D94" i="7"/>
  <c r="C94" i="7"/>
  <c r="B94" i="7"/>
  <c r="A94" i="7"/>
  <c r="K93" i="7"/>
  <c r="J93" i="7"/>
  <c r="I93" i="7"/>
  <c r="H93" i="7"/>
  <c r="G93" i="7"/>
  <c r="F93" i="7"/>
  <c r="E93" i="7"/>
  <c r="D93" i="7"/>
  <c r="C93" i="7"/>
  <c r="B93" i="7"/>
  <c r="A93" i="7"/>
  <c r="K92" i="7"/>
  <c r="J92" i="7"/>
  <c r="I92" i="7"/>
  <c r="H92" i="7"/>
  <c r="G92" i="7"/>
  <c r="F92" i="7"/>
  <c r="E92" i="7"/>
  <c r="D92" i="7"/>
  <c r="C92" i="7"/>
  <c r="B92" i="7"/>
  <c r="A92" i="7"/>
  <c r="K91" i="7"/>
  <c r="J91" i="7"/>
  <c r="I91" i="7"/>
  <c r="H91" i="7"/>
  <c r="G91" i="7"/>
  <c r="F91" i="7"/>
  <c r="E91" i="7"/>
  <c r="D91" i="7"/>
  <c r="C91" i="7"/>
  <c r="B91" i="7"/>
  <c r="A91" i="7"/>
  <c r="K90" i="7"/>
  <c r="J90" i="7"/>
  <c r="I90" i="7"/>
  <c r="H90" i="7"/>
  <c r="G90" i="7"/>
  <c r="F90" i="7"/>
  <c r="E90" i="7"/>
  <c r="D90" i="7"/>
  <c r="C90" i="7"/>
  <c r="B90" i="7"/>
  <c r="A90" i="7"/>
  <c r="K89" i="7"/>
  <c r="J89" i="7"/>
  <c r="I89" i="7"/>
  <c r="H89" i="7"/>
  <c r="G89" i="7"/>
  <c r="F89" i="7"/>
  <c r="E89" i="7"/>
  <c r="D89" i="7"/>
  <c r="C89" i="7"/>
  <c r="B89" i="7"/>
  <c r="A89" i="7"/>
  <c r="K88" i="7"/>
  <c r="J88" i="7"/>
  <c r="I88" i="7"/>
  <c r="H88" i="7"/>
  <c r="G88" i="7"/>
  <c r="F88" i="7"/>
  <c r="E88" i="7"/>
  <c r="D88" i="7"/>
  <c r="C88" i="7"/>
  <c r="B88" i="7"/>
  <c r="A88" i="7"/>
  <c r="K87" i="7"/>
  <c r="J87" i="7"/>
  <c r="I87" i="7"/>
  <c r="H87" i="7"/>
  <c r="G87" i="7"/>
  <c r="F87" i="7"/>
  <c r="E87" i="7"/>
  <c r="D87" i="7"/>
  <c r="C87" i="7"/>
  <c r="B87" i="7"/>
  <c r="A87" i="7"/>
  <c r="K86" i="7"/>
  <c r="J86" i="7"/>
  <c r="I86" i="7"/>
  <c r="H86" i="7"/>
  <c r="G86" i="7"/>
  <c r="F86" i="7"/>
  <c r="E86" i="7"/>
  <c r="D86" i="7"/>
  <c r="C86" i="7"/>
  <c r="B86" i="7"/>
  <c r="A86" i="7"/>
  <c r="K85" i="7"/>
  <c r="J85" i="7"/>
  <c r="I85" i="7"/>
  <c r="H85" i="7"/>
  <c r="G85" i="7"/>
  <c r="F85" i="7"/>
  <c r="E85" i="7"/>
  <c r="D85" i="7"/>
  <c r="C85" i="7"/>
  <c r="B85" i="7"/>
  <c r="A85" i="7"/>
  <c r="K84" i="7"/>
  <c r="J84" i="7"/>
  <c r="I84" i="7"/>
  <c r="H84" i="7"/>
  <c r="G84" i="7"/>
  <c r="F84" i="7"/>
  <c r="E84" i="7"/>
  <c r="D84" i="7"/>
  <c r="C84" i="7"/>
  <c r="B84" i="7"/>
  <c r="A84" i="7"/>
  <c r="K83" i="7"/>
  <c r="J83" i="7"/>
  <c r="I83" i="7"/>
  <c r="H83" i="7"/>
  <c r="G83" i="7"/>
  <c r="F83" i="7"/>
  <c r="E83" i="7"/>
  <c r="D83" i="7"/>
  <c r="C83" i="7"/>
  <c r="B83" i="7"/>
  <c r="A83" i="7"/>
  <c r="K82" i="7"/>
  <c r="J82" i="7"/>
  <c r="I82" i="7"/>
  <c r="H82" i="7"/>
  <c r="G82" i="7"/>
  <c r="F82" i="7"/>
  <c r="E82" i="7"/>
  <c r="D82" i="7"/>
  <c r="C82" i="7"/>
  <c r="B82" i="7"/>
  <c r="A82" i="7"/>
  <c r="K81" i="7"/>
  <c r="J81" i="7"/>
  <c r="I81" i="7"/>
  <c r="H81" i="7"/>
  <c r="G81" i="7"/>
  <c r="F81" i="7"/>
  <c r="E81" i="7"/>
  <c r="D81" i="7"/>
  <c r="C81" i="7"/>
  <c r="B81" i="7"/>
  <c r="A81" i="7"/>
  <c r="K80" i="7"/>
  <c r="J80" i="7"/>
  <c r="I80" i="7"/>
  <c r="H80" i="7"/>
  <c r="G80" i="7"/>
  <c r="F80" i="7"/>
  <c r="E80" i="7"/>
  <c r="D80" i="7"/>
  <c r="C80" i="7"/>
  <c r="B80" i="7"/>
  <c r="A80" i="7"/>
  <c r="K79" i="7"/>
  <c r="J79" i="7"/>
  <c r="I79" i="7"/>
  <c r="H79" i="7"/>
  <c r="G79" i="7"/>
  <c r="F79" i="7"/>
  <c r="E79" i="7"/>
  <c r="D79" i="7"/>
  <c r="C79" i="7"/>
  <c r="B79" i="7"/>
  <c r="A79" i="7"/>
  <c r="K78" i="7"/>
  <c r="J78" i="7"/>
  <c r="I78" i="7"/>
  <c r="H78" i="7"/>
  <c r="G78" i="7"/>
  <c r="F78" i="7"/>
  <c r="E78" i="7"/>
  <c r="D78" i="7"/>
  <c r="C78" i="7"/>
  <c r="B78" i="7"/>
  <c r="A78" i="7"/>
  <c r="K77" i="7"/>
  <c r="J77" i="7"/>
  <c r="I77" i="7"/>
  <c r="H77" i="7"/>
  <c r="G77" i="7"/>
  <c r="F77" i="7"/>
  <c r="E77" i="7"/>
  <c r="D77" i="7"/>
  <c r="C77" i="7"/>
  <c r="B77" i="7"/>
  <c r="A77" i="7"/>
  <c r="K76" i="7"/>
  <c r="J76" i="7"/>
  <c r="I76" i="7"/>
  <c r="H76" i="7"/>
  <c r="G76" i="7"/>
  <c r="F76" i="7"/>
  <c r="E76" i="7"/>
  <c r="D76" i="7"/>
  <c r="C76" i="7"/>
  <c r="B76" i="7"/>
  <c r="A76" i="7"/>
  <c r="K75" i="7"/>
  <c r="J75" i="7"/>
  <c r="I75" i="7"/>
  <c r="H75" i="7"/>
  <c r="G75" i="7"/>
  <c r="F75" i="7"/>
  <c r="E75" i="7"/>
  <c r="D75" i="7"/>
  <c r="C75" i="7"/>
  <c r="B75" i="7"/>
  <c r="A75" i="7"/>
  <c r="K74" i="7"/>
  <c r="J74" i="7"/>
  <c r="I74" i="7"/>
  <c r="H74" i="7"/>
  <c r="G74" i="7"/>
  <c r="F74" i="7"/>
  <c r="E74" i="7"/>
  <c r="D74" i="7"/>
  <c r="C74" i="7"/>
  <c r="B74" i="7"/>
  <c r="A74" i="7"/>
  <c r="K73" i="7"/>
  <c r="J73" i="7"/>
  <c r="I73" i="7"/>
  <c r="H73" i="7"/>
  <c r="G73" i="7"/>
  <c r="F73" i="7"/>
  <c r="E73" i="7"/>
  <c r="D73" i="7"/>
  <c r="C73" i="7"/>
  <c r="B73" i="7"/>
  <c r="A73" i="7"/>
  <c r="K72" i="7"/>
  <c r="J72" i="7"/>
  <c r="I72" i="7"/>
  <c r="H72" i="7"/>
  <c r="G72" i="7"/>
  <c r="F72" i="7"/>
  <c r="E72" i="7"/>
  <c r="D72" i="7"/>
  <c r="C72" i="7"/>
  <c r="B72" i="7"/>
  <c r="A72" i="7"/>
  <c r="K71" i="7"/>
  <c r="J71" i="7"/>
  <c r="I71" i="7"/>
  <c r="H71" i="7"/>
  <c r="G71" i="7"/>
  <c r="F71" i="7"/>
  <c r="E71" i="7"/>
  <c r="D71" i="7"/>
  <c r="C71" i="7"/>
  <c r="B71" i="7"/>
  <c r="A71" i="7"/>
  <c r="K70" i="7"/>
  <c r="J70" i="7"/>
  <c r="I70" i="7"/>
  <c r="H70" i="7"/>
  <c r="G70" i="7"/>
  <c r="F70" i="7"/>
  <c r="E70" i="7"/>
  <c r="D70" i="7"/>
  <c r="C70" i="7"/>
  <c r="B70" i="7"/>
  <c r="A70" i="7"/>
  <c r="K69" i="7"/>
  <c r="J69" i="7"/>
  <c r="I69" i="7"/>
  <c r="H69" i="7"/>
  <c r="G69" i="7"/>
  <c r="F69" i="7"/>
  <c r="E69" i="7"/>
  <c r="D69" i="7"/>
  <c r="C69" i="7"/>
  <c r="B69" i="7"/>
  <c r="A69" i="7"/>
  <c r="K68" i="7"/>
  <c r="J68" i="7"/>
  <c r="I68" i="7"/>
  <c r="H68" i="7"/>
  <c r="G68" i="7"/>
  <c r="F68" i="7"/>
  <c r="E68" i="7"/>
  <c r="D68" i="7"/>
  <c r="C68" i="7"/>
  <c r="B68" i="7"/>
  <c r="A68" i="7"/>
  <c r="K67" i="7"/>
  <c r="J67" i="7"/>
  <c r="I67" i="7"/>
  <c r="H67" i="7"/>
  <c r="G67" i="7"/>
  <c r="F67" i="7"/>
  <c r="E67" i="7"/>
  <c r="D67" i="7"/>
  <c r="C67" i="7"/>
  <c r="B67" i="7"/>
  <c r="A67" i="7"/>
  <c r="K66" i="7"/>
  <c r="J66" i="7"/>
  <c r="I66" i="7"/>
  <c r="H66" i="7"/>
  <c r="G66" i="7"/>
  <c r="F66" i="7"/>
  <c r="E66" i="7"/>
  <c r="D66" i="7"/>
  <c r="C66" i="7"/>
  <c r="B66" i="7"/>
  <c r="A66" i="7"/>
  <c r="K65" i="7"/>
  <c r="J65" i="7"/>
  <c r="I65" i="7"/>
  <c r="H65" i="7"/>
  <c r="G65" i="7"/>
  <c r="F65" i="7"/>
  <c r="E65" i="7"/>
  <c r="D65" i="7"/>
  <c r="C65" i="7"/>
  <c r="B65" i="7"/>
  <c r="A65" i="7"/>
  <c r="K64" i="7"/>
  <c r="J64" i="7"/>
  <c r="I64" i="7"/>
  <c r="H64" i="7"/>
  <c r="G64" i="7"/>
  <c r="F64" i="7"/>
  <c r="E64" i="7"/>
  <c r="D64" i="7"/>
  <c r="C64" i="7"/>
  <c r="B64" i="7"/>
  <c r="A64" i="7"/>
  <c r="K63" i="7"/>
  <c r="J63" i="7"/>
  <c r="I63" i="7"/>
  <c r="H63" i="7"/>
  <c r="G63" i="7"/>
  <c r="F63" i="7"/>
  <c r="E63" i="7"/>
  <c r="D63" i="7"/>
  <c r="C63" i="7"/>
  <c r="B63" i="7"/>
  <c r="A63" i="7"/>
  <c r="K62" i="7"/>
  <c r="J62" i="7"/>
  <c r="I62" i="7"/>
  <c r="H62" i="7"/>
  <c r="G62" i="7"/>
  <c r="F62" i="7"/>
  <c r="E62" i="7"/>
  <c r="D62" i="7"/>
  <c r="C62" i="7"/>
  <c r="B62" i="7"/>
  <c r="A62" i="7"/>
  <c r="K61" i="7"/>
  <c r="J61" i="7"/>
  <c r="I61" i="7"/>
  <c r="H61" i="7"/>
  <c r="G61" i="7"/>
  <c r="F61" i="7"/>
  <c r="E61" i="7"/>
  <c r="D61" i="7"/>
  <c r="C61" i="7"/>
  <c r="B61" i="7"/>
  <c r="A61" i="7"/>
  <c r="K60" i="7"/>
  <c r="J60" i="7"/>
  <c r="I60" i="7"/>
  <c r="H60" i="7"/>
  <c r="G60" i="7"/>
  <c r="F60" i="7"/>
  <c r="E60" i="7"/>
  <c r="D60" i="7"/>
  <c r="C60" i="7"/>
  <c r="B60" i="7"/>
  <c r="A60" i="7"/>
  <c r="K59" i="7"/>
  <c r="J59" i="7"/>
  <c r="I59" i="7"/>
  <c r="H59" i="7"/>
  <c r="G59" i="7"/>
  <c r="F59" i="7"/>
  <c r="E59" i="7"/>
  <c r="D59" i="7"/>
  <c r="C59" i="7"/>
  <c r="B59" i="7"/>
  <c r="A59" i="7"/>
  <c r="K58" i="7"/>
  <c r="J58" i="7"/>
  <c r="I58" i="7"/>
  <c r="H58" i="7"/>
  <c r="G58" i="7"/>
  <c r="F58" i="7"/>
  <c r="E58" i="7"/>
  <c r="D58" i="7"/>
  <c r="C58" i="7"/>
  <c r="B58" i="7"/>
  <c r="A58" i="7"/>
  <c r="K57" i="7"/>
  <c r="J57" i="7"/>
  <c r="I57" i="7"/>
  <c r="H57" i="7"/>
  <c r="G57" i="7"/>
  <c r="F57" i="7"/>
  <c r="E57" i="7"/>
  <c r="D57" i="7"/>
  <c r="C57" i="7"/>
  <c r="B57" i="7"/>
  <c r="A57" i="7"/>
  <c r="K56" i="7"/>
  <c r="J56" i="7"/>
  <c r="I56" i="7"/>
  <c r="H56" i="7"/>
  <c r="G56" i="7"/>
  <c r="F56" i="7"/>
  <c r="E56" i="7"/>
  <c r="D56" i="7"/>
  <c r="C56" i="7"/>
  <c r="B56" i="7"/>
  <c r="A56" i="7"/>
  <c r="K55" i="7"/>
  <c r="J55" i="7"/>
  <c r="I55" i="7"/>
  <c r="H55" i="7"/>
  <c r="G55" i="7"/>
  <c r="F55" i="7"/>
  <c r="E55" i="7"/>
  <c r="D55" i="7"/>
  <c r="C55" i="7"/>
  <c r="B55" i="7"/>
  <c r="A55" i="7"/>
  <c r="K54" i="7"/>
  <c r="J54" i="7"/>
  <c r="I54" i="7"/>
  <c r="H54" i="7"/>
  <c r="G54" i="7"/>
  <c r="F54" i="7"/>
  <c r="E54" i="7"/>
  <c r="D54" i="7"/>
  <c r="C54" i="7"/>
  <c r="B54" i="7"/>
  <c r="A54" i="7"/>
  <c r="K53" i="7"/>
  <c r="J53" i="7"/>
  <c r="I53" i="7"/>
  <c r="H53" i="7"/>
  <c r="G53" i="7"/>
  <c r="F53" i="7"/>
  <c r="E53" i="7"/>
  <c r="D53" i="7"/>
  <c r="C53" i="7"/>
  <c r="B53" i="7"/>
  <c r="A53" i="7"/>
  <c r="K52" i="7"/>
  <c r="J52" i="7"/>
  <c r="I52" i="7"/>
  <c r="H52" i="7"/>
  <c r="G52" i="7"/>
  <c r="F52" i="7"/>
  <c r="E52" i="7"/>
  <c r="D52" i="7"/>
  <c r="C52" i="7"/>
  <c r="B52" i="7"/>
  <c r="A52" i="7"/>
  <c r="K51" i="7"/>
  <c r="J51" i="7"/>
  <c r="I51" i="7"/>
  <c r="H51" i="7"/>
  <c r="G51" i="7"/>
  <c r="F51" i="7"/>
  <c r="E51" i="7"/>
  <c r="D51" i="7"/>
  <c r="C51" i="7"/>
  <c r="B51" i="7"/>
  <c r="A51" i="7"/>
  <c r="K50" i="7"/>
  <c r="J50" i="7"/>
  <c r="I50" i="7"/>
  <c r="H50" i="7"/>
  <c r="G50" i="7"/>
  <c r="F50" i="7"/>
  <c r="E50" i="7"/>
  <c r="D50" i="7"/>
  <c r="C50" i="7"/>
  <c r="B50" i="7"/>
  <c r="A50" i="7"/>
  <c r="K49" i="7"/>
  <c r="J49" i="7"/>
  <c r="I49" i="7"/>
  <c r="H49" i="7"/>
  <c r="G49" i="7"/>
  <c r="F49" i="7"/>
  <c r="E49" i="7"/>
  <c r="D49" i="7"/>
  <c r="C49" i="7"/>
  <c r="B49" i="7"/>
  <c r="A49" i="7"/>
  <c r="K48" i="7"/>
  <c r="J48" i="7"/>
  <c r="I48" i="7"/>
  <c r="H48" i="7"/>
  <c r="G48" i="7"/>
  <c r="F48" i="7"/>
  <c r="E48" i="7"/>
  <c r="D48" i="7"/>
  <c r="C48" i="7"/>
  <c r="B48" i="7"/>
  <c r="A48" i="7"/>
  <c r="K47" i="7"/>
  <c r="J47" i="7"/>
  <c r="I47" i="7"/>
  <c r="H47" i="7"/>
  <c r="G47" i="7"/>
  <c r="F47" i="7"/>
  <c r="E47" i="7"/>
  <c r="D47" i="7"/>
  <c r="C47" i="7"/>
  <c r="B47" i="7"/>
  <c r="A47" i="7"/>
  <c r="K46" i="7"/>
  <c r="J46" i="7"/>
  <c r="I46" i="7"/>
  <c r="H46" i="7"/>
  <c r="G46" i="7"/>
  <c r="F46" i="7"/>
  <c r="E46" i="7"/>
  <c r="D46" i="7"/>
  <c r="C46" i="7"/>
  <c r="B46" i="7"/>
  <c r="A46" i="7"/>
  <c r="K45" i="7"/>
  <c r="J45" i="7"/>
  <c r="I45" i="7"/>
  <c r="H45" i="7"/>
  <c r="G45" i="7"/>
  <c r="F45" i="7"/>
  <c r="E45" i="7"/>
  <c r="D45" i="7"/>
  <c r="C45" i="7"/>
  <c r="B45" i="7"/>
  <c r="A45" i="7"/>
  <c r="K44" i="7"/>
  <c r="J44" i="7"/>
  <c r="I44" i="7"/>
  <c r="H44" i="7"/>
  <c r="G44" i="7"/>
  <c r="F44" i="7"/>
  <c r="E44" i="7"/>
  <c r="D44" i="7"/>
  <c r="C44" i="7"/>
  <c r="B44" i="7"/>
  <c r="A44" i="7"/>
  <c r="K43" i="7"/>
  <c r="J43" i="7"/>
  <c r="I43" i="7"/>
  <c r="H43" i="7"/>
  <c r="G43" i="7"/>
  <c r="F43" i="7"/>
  <c r="E43" i="7"/>
  <c r="D43" i="7"/>
  <c r="C43" i="7"/>
  <c r="B43" i="7"/>
  <c r="A43" i="7"/>
  <c r="K42" i="7"/>
  <c r="J42" i="7"/>
  <c r="I42" i="7"/>
  <c r="H42" i="7"/>
  <c r="G42" i="7"/>
  <c r="F42" i="7"/>
  <c r="E42" i="7"/>
  <c r="D42" i="7"/>
  <c r="C42" i="7"/>
  <c r="B42" i="7"/>
  <c r="A42" i="7"/>
  <c r="K41" i="7"/>
  <c r="J41" i="7"/>
  <c r="I41" i="7"/>
  <c r="H41" i="7"/>
  <c r="G41" i="7"/>
  <c r="F41" i="7"/>
  <c r="E41" i="7"/>
  <c r="D41" i="7"/>
  <c r="C41" i="7"/>
  <c r="B41" i="7"/>
  <c r="A41" i="7"/>
  <c r="K40" i="7"/>
  <c r="J40" i="7"/>
  <c r="I40" i="7"/>
  <c r="H40" i="7"/>
  <c r="G40" i="7"/>
  <c r="F40" i="7"/>
  <c r="E40" i="7"/>
  <c r="D40" i="7"/>
  <c r="C40" i="7"/>
  <c r="B40" i="7"/>
  <c r="A40" i="7"/>
  <c r="K39" i="7"/>
  <c r="J39" i="7"/>
  <c r="I39" i="7"/>
  <c r="H39" i="7"/>
  <c r="G39" i="7"/>
  <c r="F39" i="7"/>
  <c r="E39" i="7"/>
  <c r="D39" i="7"/>
  <c r="C39" i="7"/>
  <c r="B39" i="7"/>
  <c r="A39" i="7"/>
  <c r="K38" i="7"/>
  <c r="J38" i="7"/>
  <c r="I38" i="7"/>
  <c r="H38" i="7"/>
  <c r="G38" i="7"/>
  <c r="F38" i="7"/>
  <c r="E38" i="7"/>
  <c r="D38" i="7"/>
  <c r="C38" i="7"/>
  <c r="B38" i="7"/>
  <c r="A38" i="7"/>
  <c r="K37" i="7"/>
  <c r="J37" i="7"/>
  <c r="I37" i="7"/>
  <c r="H37" i="7"/>
  <c r="G37" i="7"/>
  <c r="F37" i="7"/>
  <c r="E37" i="7"/>
  <c r="D37" i="7"/>
  <c r="C37" i="7"/>
  <c r="B37" i="7"/>
  <c r="A37" i="7"/>
  <c r="K36" i="7"/>
  <c r="J36" i="7"/>
  <c r="I36" i="7"/>
  <c r="H36" i="7"/>
  <c r="G36" i="7"/>
  <c r="F36" i="7"/>
  <c r="E36" i="7"/>
  <c r="D36" i="7"/>
  <c r="C36" i="7"/>
  <c r="B36" i="7"/>
  <c r="A36" i="7"/>
  <c r="K35" i="7"/>
  <c r="J35" i="7"/>
  <c r="I35" i="7"/>
  <c r="H35" i="7"/>
  <c r="G35" i="7"/>
  <c r="F35" i="7"/>
  <c r="E35" i="7"/>
  <c r="D35" i="7"/>
  <c r="C35" i="7"/>
  <c r="B35" i="7"/>
  <c r="A35" i="7"/>
  <c r="K34" i="7"/>
  <c r="J34" i="7"/>
  <c r="I34" i="7"/>
  <c r="H34" i="7"/>
  <c r="G34" i="7"/>
  <c r="F34" i="7"/>
  <c r="E34" i="7"/>
  <c r="D34" i="7"/>
  <c r="C34" i="7"/>
  <c r="B34" i="7"/>
  <c r="A34" i="7"/>
  <c r="K33" i="7"/>
  <c r="J33" i="7"/>
  <c r="I33" i="7"/>
  <c r="H33" i="7"/>
  <c r="G33" i="7"/>
  <c r="F33" i="7"/>
  <c r="E33" i="7"/>
  <c r="D33" i="7"/>
  <c r="C33" i="7"/>
  <c r="B33" i="7"/>
  <c r="A33" i="7"/>
  <c r="K32" i="7"/>
  <c r="J32" i="7"/>
  <c r="I32" i="7"/>
  <c r="H32" i="7"/>
  <c r="G32" i="7"/>
  <c r="F32" i="7"/>
  <c r="E32" i="7"/>
  <c r="D32" i="7"/>
  <c r="C32" i="7"/>
  <c r="B32" i="7"/>
  <c r="A32" i="7"/>
  <c r="K31" i="7"/>
  <c r="J31" i="7"/>
  <c r="I31" i="7"/>
  <c r="H31" i="7"/>
  <c r="G31" i="7"/>
  <c r="F31" i="7"/>
  <c r="E31" i="7"/>
  <c r="D31" i="7"/>
  <c r="C31" i="7"/>
  <c r="B31" i="7"/>
  <c r="A31" i="7"/>
  <c r="K30" i="7"/>
  <c r="J30" i="7"/>
  <c r="I30" i="7"/>
  <c r="H30" i="7"/>
  <c r="G30" i="7"/>
  <c r="F30" i="7"/>
  <c r="E30" i="7"/>
  <c r="D30" i="7"/>
  <c r="C30" i="7"/>
  <c r="B30" i="7"/>
  <c r="A30" i="7"/>
  <c r="K29" i="7"/>
  <c r="J29" i="7"/>
  <c r="I29" i="7"/>
  <c r="H29" i="7"/>
  <c r="G29" i="7"/>
  <c r="F29" i="7"/>
  <c r="E29" i="7"/>
  <c r="D29" i="7"/>
  <c r="C29" i="7"/>
  <c r="B29" i="7"/>
  <c r="A29" i="7"/>
  <c r="K28" i="7"/>
  <c r="J28" i="7"/>
  <c r="I28" i="7"/>
  <c r="H28" i="7"/>
  <c r="G28" i="7"/>
  <c r="F28" i="7"/>
  <c r="E28" i="7"/>
  <c r="D28" i="7"/>
  <c r="C28" i="7"/>
  <c r="B28" i="7"/>
  <c r="A28" i="7"/>
  <c r="K27" i="7"/>
  <c r="J27" i="7"/>
  <c r="I27" i="7"/>
  <c r="H27" i="7"/>
  <c r="G27" i="7"/>
  <c r="F27" i="7"/>
  <c r="E27" i="7"/>
  <c r="D27" i="7"/>
  <c r="C27" i="7"/>
  <c r="B27" i="7"/>
  <c r="A27" i="7"/>
  <c r="K26" i="7"/>
  <c r="J26" i="7"/>
  <c r="I26" i="7"/>
  <c r="H26" i="7"/>
  <c r="G26" i="7"/>
  <c r="F26" i="7"/>
  <c r="E26" i="7"/>
  <c r="D26" i="7"/>
  <c r="C26" i="7"/>
  <c r="B26" i="7"/>
  <c r="A26" i="7"/>
  <c r="K25" i="7"/>
  <c r="J25" i="7"/>
  <c r="I25" i="7"/>
  <c r="H25" i="7"/>
  <c r="G25" i="7"/>
  <c r="F25" i="7"/>
  <c r="E25" i="7"/>
  <c r="D25" i="7"/>
  <c r="C25" i="7"/>
  <c r="B25" i="7"/>
  <c r="A25" i="7"/>
  <c r="K24" i="7"/>
  <c r="J24" i="7"/>
  <c r="I24" i="7"/>
  <c r="H24" i="7"/>
  <c r="G24" i="7"/>
  <c r="F24" i="7"/>
  <c r="E24" i="7"/>
  <c r="D24" i="7"/>
  <c r="C24" i="7"/>
  <c r="B24" i="7"/>
  <c r="A24" i="7"/>
  <c r="K23" i="7"/>
  <c r="J23" i="7"/>
  <c r="I23" i="7"/>
  <c r="H23" i="7"/>
  <c r="G23" i="7"/>
  <c r="F23" i="7"/>
  <c r="E23" i="7"/>
  <c r="D23" i="7"/>
  <c r="C23" i="7"/>
  <c r="B23" i="7"/>
  <c r="A23" i="7"/>
  <c r="K22" i="7"/>
  <c r="J22" i="7"/>
  <c r="I22" i="7"/>
  <c r="H22" i="7"/>
  <c r="G22" i="7"/>
  <c r="F22" i="7"/>
  <c r="E22" i="7"/>
  <c r="D22" i="7"/>
  <c r="C22" i="7"/>
  <c r="B22" i="7"/>
  <c r="A22" i="7"/>
  <c r="K21" i="7"/>
  <c r="J21" i="7"/>
  <c r="I21" i="7"/>
  <c r="H21" i="7"/>
  <c r="G21" i="7"/>
  <c r="F21" i="7"/>
  <c r="E21" i="7"/>
  <c r="D21" i="7"/>
  <c r="C21" i="7"/>
  <c r="B21" i="7"/>
  <c r="A21" i="7"/>
  <c r="K20" i="7"/>
  <c r="J20" i="7"/>
  <c r="I20" i="7"/>
  <c r="H20" i="7"/>
  <c r="G20" i="7"/>
  <c r="F20" i="7"/>
  <c r="E20" i="7"/>
  <c r="D20" i="7"/>
  <c r="C20" i="7"/>
  <c r="B20" i="7"/>
  <c r="A20" i="7"/>
  <c r="K19" i="7"/>
  <c r="J19" i="7"/>
  <c r="I19" i="7"/>
  <c r="H19" i="7"/>
  <c r="G19" i="7"/>
  <c r="F19" i="7"/>
  <c r="E19" i="7"/>
  <c r="D19" i="7"/>
  <c r="C19" i="7"/>
  <c r="B19" i="7"/>
  <c r="A19" i="7"/>
  <c r="K18" i="7"/>
  <c r="J18" i="7"/>
  <c r="I18" i="7"/>
  <c r="H18" i="7"/>
  <c r="G18" i="7"/>
  <c r="F18" i="7"/>
  <c r="E18" i="7"/>
  <c r="D18" i="7"/>
  <c r="C18" i="7"/>
  <c r="B18" i="7"/>
  <c r="A18" i="7"/>
  <c r="K17" i="7"/>
  <c r="J17" i="7"/>
  <c r="I17" i="7"/>
  <c r="H17" i="7"/>
  <c r="G17" i="7"/>
  <c r="F17" i="7"/>
  <c r="E17" i="7"/>
  <c r="D17" i="7"/>
  <c r="C17" i="7"/>
  <c r="B17" i="7"/>
  <c r="A17" i="7"/>
  <c r="K16" i="7"/>
  <c r="J16" i="7"/>
  <c r="I16" i="7"/>
  <c r="H16" i="7"/>
  <c r="G16" i="7"/>
  <c r="F16" i="7"/>
  <c r="E16" i="7"/>
  <c r="D16" i="7"/>
  <c r="C16" i="7"/>
  <c r="B16" i="7"/>
  <c r="A16" i="7"/>
  <c r="K15" i="7"/>
  <c r="J15" i="7"/>
  <c r="I15" i="7"/>
  <c r="H15" i="7"/>
  <c r="G15" i="7"/>
  <c r="F15" i="7"/>
  <c r="E15" i="7"/>
  <c r="D15" i="7"/>
  <c r="C15" i="7"/>
  <c r="B15" i="7"/>
  <c r="A15" i="7"/>
  <c r="K14" i="7"/>
  <c r="J14" i="7"/>
  <c r="I14" i="7"/>
  <c r="H14" i="7"/>
  <c r="G14" i="7"/>
  <c r="F14" i="7"/>
  <c r="E14" i="7"/>
  <c r="D14" i="7"/>
  <c r="C14" i="7"/>
  <c r="B14" i="7"/>
  <c r="A14" i="7"/>
  <c r="K13" i="7"/>
  <c r="J13" i="7"/>
  <c r="I13" i="7"/>
  <c r="H13" i="7"/>
  <c r="G13" i="7"/>
  <c r="F13" i="7"/>
  <c r="E13" i="7"/>
  <c r="D13" i="7"/>
  <c r="C13" i="7"/>
  <c r="B13" i="7"/>
  <c r="A13" i="7"/>
  <c r="K12" i="7"/>
  <c r="J12" i="7"/>
  <c r="I12" i="7"/>
  <c r="H12" i="7"/>
  <c r="G12" i="7"/>
  <c r="F12" i="7"/>
  <c r="E12" i="7"/>
  <c r="D12" i="7"/>
  <c r="C12" i="7"/>
  <c r="B12" i="7"/>
  <c r="A12" i="7"/>
  <c r="K11" i="7"/>
  <c r="J11" i="7"/>
  <c r="I11" i="7"/>
  <c r="H11" i="7"/>
  <c r="G11" i="7"/>
  <c r="F11" i="7"/>
  <c r="E11" i="7"/>
  <c r="D11" i="7"/>
  <c r="C11" i="7"/>
  <c r="B11" i="7"/>
  <c r="A11" i="7"/>
  <c r="K10" i="7"/>
  <c r="J10" i="7"/>
  <c r="I10" i="7"/>
  <c r="H10" i="7"/>
  <c r="G10" i="7"/>
  <c r="F10" i="7"/>
  <c r="E10" i="7"/>
  <c r="D10" i="7"/>
  <c r="C10" i="7"/>
  <c r="B10" i="7"/>
  <c r="A10" i="7"/>
  <c r="K9" i="7"/>
  <c r="J9" i="7"/>
  <c r="I9" i="7"/>
  <c r="H9" i="7"/>
  <c r="G9" i="7"/>
  <c r="F9" i="7"/>
  <c r="E9" i="7"/>
  <c r="D9" i="7"/>
  <c r="C9" i="7"/>
  <c r="B9" i="7"/>
  <c r="A9" i="7"/>
  <c r="K8" i="7"/>
  <c r="J8" i="7"/>
  <c r="I8" i="7"/>
  <c r="H8" i="7"/>
  <c r="G8" i="7"/>
  <c r="F8" i="7"/>
  <c r="E8" i="7"/>
  <c r="D8" i="7"/>
  <c r="C8" i="7"/>
  <c r="B8" i="7"/>
  <c r="A8" i="7"/>
  <c r="K7" i="7"/>
  <c r="J7" i="7"/>
  <c r="I7" i="7"/>
  <c r="H7" i="7"/>
  <c r="G7" i="7"/>
  <c r="F7" i="7"/>
  <c r="E7" i="7"/>
  <c r="D7" i="7"/>
  <c r="C7" i="7"/>
  <c r="B7" i="7"/>
  <c r="A7" i="7"/>
  <c r="K6" i="7"/>
  <c r="J6" i="7"/>
  <c r="I6" i="7"/>
  <c r="H6" i="7"/>
  <c r="G6" i="7"/>
  <c r="F6" i="7"/>
  <c r="E6" i="7"/>
  <c r="D6" i="7"/>
  <c r="C6" i="7"/>
  <c r="B6" i="7"/>
  <c r="A6" i="7"/>
  <c r="K5" i="7"/>
  <c r="J5" i="7"/>
  <c r="I5" i="7"/>
  <c r="H5" i="7"/>
  <c r="G5" i="7"/>
  <c r="F5" i="7"/>
  <c r="E5" i="7"/>
  <c r="D5" i="7"/>
  <c r="C5" i="7"/>
  <c r="B5" i="7"/>
  <c r="A5" i="7"/>
  <c r="K4" i="7"/>
  <c r="J4" i="7"/>
  <c r="H4" i="7"/>
  <c r="G4" i="7"/>
  <c r="F4" i="7"/>
  <c r="E4" i="7"/>
  <c r="D4" i="7"/>
  <c r="C4" i="7"/>
  <c r="B4" i="7"/>
  <c r="J2004" i="5"/>
  <c r="I2004" i="5"/>
  <c r="A2004" i="5"/>
  <c r="J2003" i="5"/>
  <c r="I2003" i="5"/>
  <c r="A2003" i="5"/>
  <c r="J2002" i="5"/>
  <c r="I2002" i="5"/>
  <c r="A2002" i="5"/>
  <c r="J2001" i="5"/>
  <c r="I2001" i="5"/>
  <c r="A2001" i="5"/>
  <c r="J2000" i="5"/>
  <c r="I2000" i="5"/>
  <c r="A2000" i="5"/>
  <c r="J1999" i="5"/>
  <c r="I1999" i="5"/>
  <c r="A1999" i="5"/>
  <c r="J1998" i="5"/>
  <c r="I1998" i="5"/>
  <c r="A1998" i="5"/>
  <c r="J1997" i="5"/>
  <c r="I1997" i="5"/>
  <c r="A1997" i="5"/>
  <c r="J1996" i="5"/>
  <c r="I1996" i="5"/>
  <c r="A1996" i="5"/>
  <c r="J1995" i="5"/>
  <c r="I1995" i="5"/>
  <c r="A1995" i="5"/>
  <c r="J1994" i="5"/>
  <c r="I1994" i="5"/>
  <c r="A1994" i="5"/>
  <c r="J1993" i="5"/>
  <c r="I1993" i="5"/>
  <c r="A1993" i="5"/>
  <c r="J1992" i="5"/>
  <c r="I1992" i="5"/>
  <c r="A1992" i="5"/>
  <c r="J1991" i="5"/>
  <c r="I1991" i="5"/>
  <c r="A1991" i="5"/>
  <c r="J1990" i="5"/>
  <c r="I1990" i="5"/>
  <c r="A1990" i="5"/>
  <c r="J1989" i="5"/>
  <c r="I1989" i="5"/>
  <c r="A1989" i="5"/>
  <c r="J1988" i="5"/>
  <c r="I1988" i="5"/>
  <c r="A1988" i="5"/>
  <c r="J1987" i="5"/>
  <c r="I1987" i="5"/>
  <c r="A1987" i="5"/>
  <c r="J1986" i="5"/>
  <c r="I1986" i="5"/>
  <c r="A1986" i="5"/>
  <c r="J1985" i="5"/>
  <c r="I1985" i="5"/>
  <c r="A1985" i="5"/>
  <c r="J1984" i="5"/>
  <c r="I1984" i="5"/>
  <c r="A1984" i="5"/>
  <c r="J1983" i="5"/>
  <c r="I1983" i="5"/>
  <c r="A1983" i="5"/>
  <c r="J1982" i="5"/>
  <c r="I1982" i="5"/>
  <c r="A1982" i="5"/>
  <c r="J1981" i="5"/>
  <c r="I1981" i="5"/>
  <c r="A1981" i="5"/>
  <c r="J1980" i="5"/>
  <c r="I1980" i="5"/>
  <c r="A1980" i="5"/>
  <c r="J1979" i="5"/>
  <c r="I1979" i="5"/>
  <c r="A1979" i="5"/>
  <c r="J1978" i="5"/>
  <c r="I1978" i="5"/>
  <c r="A1978" i="5"/>
  <c r="J1977" i="5"/>
  <c r="I1977" i="5"/>
  <c r="A1977" i="5"/>
  <c r="J1976" i="5"/>
  <c r="I1976" i="5"/>
  <c r="A1976" i="5"/>
  <c r="J1975" i="5"/>
  <c r="I1975" i="5"/>
  <c r="A1975" i="5"/>
  <c r="J1974" i="5"/>
  <c r="I1974" i="5"/>
  <c r="A1974" i="5"/>
  <c r="J1973" i="5"/>
  <c r="I1973" i="5"/>
  <c r="A1973" i="5"/>
  <c r="J1972" i="5"/>
  <c r="I1972" i="5"/>
  <c r="A1972" i="5"/>
  <c r="J1971" i="5"/>
  <c r="I1971" i="5"/>
  <c r="A1971" i="5"/>
  <c r="J1970" i="5"/>
  <c r="I1970" i="5"/>
  <c r="A1970" i="5"/>
  <c r="J1969" i="5"/>
  <c r="I1969" i="5"/>
  <c r="A1969" i="5"/>
  <c r="J1968" i="5"/>
  <c r="I1968" i="5"/>
  <c r="A1968" i="5"/>
  <c r="J1967" i="5"/>
  <c r="I1967" i="5"/>
  <c r="A1967" i="5"/>
  <c r="J1966" i="5"/>
  <c r="I1966" i="5"/>
  <c r="A1966" i="5"/>
  <c r="J1965" i="5"/>
  <c r="I1965" i="5"/>
  <c r="A1965" i="5"/>
  <c r="J1964" i="5"/>
  <c r="I1964" i="5"/>
  <c r="A1964" i="5"/>
  <c r="J1963" i="5"/>
  <c r="I1963" i="5"/>
  <c r="A1963" i="5"/>
  <c r="J1962" i="5"/>
  <c r="I1962" i="5"/>
  <c r="A1962" i="5"/>
  <c r="J1961" i="5"/>
  <c r="I1961" i="5"/>
  <c r="A1961" i="5"/>
  <c r="J1960" i="5"/>
  <c r="I1960" i="5"/>
  <c r="A1960" i="5"/>
  <c r="J1959" i="5"/>
  <c r="I1959" i="5"/>
  <c r="A1959" i="5"/>
  <c r="J1958" i="5"/>
  <c r="I1958" i="5"/>
  <c r="A1958" i="5"/>
  <c r="J1957" i="5"/>
  <c r="I1957" i="5"/>
  <c r="A1957" i="5"/>
  <c r="J1956" i="5"/>
  <c r="I1956" i="5"/>
  <c r="A1956" i="5"/>
  <c r="J1955" i="5"/>
  <c r="I1955" i="5"/>
  <c r="A1955" i="5"/>
  <c r="J1954" i="5"/>
  <c r="I1954" i="5"/>
  <c r="A1954" i="5"/>
  <c r="J1953" i="5"/>
  <c r="I1953" i="5"/>
  <c r="A1953" i="5"/>
  <c r="J1952" i="5"/>
  <c r="I1952" i="5"/>
  <c r="A1952" i="5"/>
  <c r="J1951" i="5"/>
  <c r="I1951" i="5"/>
  <c r="A1951" i="5"/>
  <c r="J1950" i="5"/>
  <c r="I1950" i="5"/>
  <c r="A1950" i="5"/>
  <c r="J1949" i="5"/>
  <c r="I1949" i="5"/>
  <c r="A1949" i="5"/>
  <c r="J1948" i="5"/>
  <c r="I1948" i="5"/>
  <c r="A1948" i="5"/>
  <c r="J1947" i="5"/>
  <c r="I1947" i="5"/>
  <c r="A1947" i="5"/>
  <c r="J1946" i="5"/>
  <c r="I1946" i="5"/>
  <c r="A1946" i="5"/>
  <c r="J1945" i="5"/>
  <c r="I1945" i="5"/>
  <c r="A1945" i="5"/>
  <c r="J1944" i="5"/>
  <c r="I1944" i="5"/>
  <c r="A1944" i="5"/>
  <c r="J1943" i="5"/>
  <c r="I1943" i="5"/>
  <c r="A1943" i="5"/>
  <c r="J1942" i="5"/>
  <c r="I1942" i="5"/>
  <c r="A1942" i="5"/>
  <c r="J1941" i="5"/>
  <c r="I1941" i="5"/>
  <c r="A1941" i="5"/>
  <c r="J1940" i="5"/>
  <c r="I1940" i="5"/>
  <c r="A1940" i="5"/>
  <c r="J1939" i="5"/>
  <c r="I1939" i="5"/>
  <c r="A1939" i="5"/>
  <c r="J1938" i="5"/>
  <c r="I1938" i="5"/>
  <c r="A1938" i="5"/>
  <c r="J1937" i="5"/>
  <c r="I1937" i="5"/>
  <c r="A1937" i="5"/>
  <c r="J1936" i="5"/>
  <c r="I1936" i="5"/>
  <c r="A1936" i="5"/>
  <c r="J1935" i="5"/>
  <c r="I1935" i="5"/>
  <c r="A1935" i="5"/>
  <c r="J1934" i="5"/>
  <c r="I1934" i="5"/>
  <c r="A1934" i="5"/>
  <c r="J1933" i="5"/>
  <c r="I1933" i="5"/>
  <c r="A1933" i="5"/>
  <c r="J1932" i="5"/>
  <c r="I1932" i="5"/>
  <c r="A1932" i="5"/>
  <c r="J1931" i="5"/>
  <c r="I1931" i="5"/>
  <c r="A1931" i="5"/>
  <c r="J1930" i="5"/>
  <c r="I1930" i="5"/>
  <c r="A1930" i="5"/>
  <c r="J1929" i="5"/>
  <c r="I1929" i="5"/>
  <c r="A1929" i="5"/>
  <c r="J1928" i="5"/>
  <c r="I1928" i="5"/>
  <c r="A1928" i="5"/>
  <c r="J1927" i="5"/>
  <c r="I1927" i="5"/>
  <c r="A1927" i="5"/>
  <c r="J1926" i="5"/>
  <c r="I1926" i="5"/>
  <c r="A1926" i="5"/>
  <c r="J1925" i="5"/>
  <c r="I1925" i="5"/>
  <c r="A1925" i="5"/>
  <c r="J1924" i="5"/>
  <c r="I1924" i="5"/>
  <c r="A1924" i="5"/>
  <c r="J1923" i="5"/>
  <c r="I1923" i="5"/>
  <c r="A1923" i="5"/>
  <c r="J1922" i="5"/>
  <c r="I1922" i="5"/>
  <c r="A1922" i="5"/>
  <c r="J1921" i="5"/>
  <c r="I1921" i="5"/>
  <c r="A1921" i="5"/>
  <c r="J1920" i="5"/>
  <c r="I1920" i="5"/>
  <c r="A1920" i="5"/>
  <c r="J1919" i="5"/>
  <c r="I1919" i="5"/>
  <c r="A1919" i="5"/>
  <c r="J1918" i="5"/>
  <c r="I1918" i="5"/>
  <c r="A1918" i="5"/>
  <c r="J1917" i="5"/>
  <c r="I1917" i="5"/>
  <c r="A1917" i="5"/>
  <c r="J1916" i="5"/>
  <c r="I1916" i="5"/>
  <c r="A1916" i="5"/>
  <c r="J1915" i="5"/>
  <c r="I1915" i="5"/>
  <c r="A1915" i="5"/>
  <c r="J1914" i="5"/>
  <c r="I1914" i="5"/>
  <c r="A1914" i="5"/>
  <c r="J1913" i="5"/>
  <c r="I1913" i="5"/>
  <c r="A1913" i="5"/>
  <c r="J1912" i="5"/>
  <c r="I1912" i="5"/>
  <c r="A1912" i="5"/>
  <c r="J1911" i="5"/>
  <c r="I1911" i="5"/>
  <c r="A1911" i="5"/>
  <c r="J1910" i="5"/>
  <c r="I1910" i="5"/>
  <c r="A1910" i="5"/>
  <c r="J1909" i="5"/>
  <c r="I1909" i="5"/>
  <c r="A1909" i="5"/>
  <c r="J1908" i="5"/>
  <c r="I1908" i="5"/>
  <c r="A1908" i="5"/>
  <c r="J1907" i="5"/>
  <c r="I1907" i="5"/>
  <c r="A1907" i="5"/>
  <c r="J1906" i="5"/>
  <c r="I1906" i="5"/>
  <c r="A1906" i="5"/>
  <c r="J1905" i="5"/>
  <c r="I1905" i="5"/>
  <c r="A1905" i="5"/>
  <c r="J1904" i="5"/>
  <c r="I1904" i="5"/>
  <c r="A1904" i="5"/>
  <c r="J1903" i="5"/>
  <c r="I1903" i="5"/>
  <c r="A1903" i="5"/>
  <c r="J1902" i="5"/>
  <c r="I1902" i="5"/>
  <c r="A1902" i="5"/>
  <c r="J1901" i="5"/>
  <c r="I1901" i="5"/>
  <c r="A1901" i="5"/>
  <c r="J1900" i="5"/>
  <c r="I1900" i="5"/>
  <c r="A1900" i="5"/>
  <c r="J1899" i="5"/>
  <c r="I1899" i="5"/>
  <c r="A1899" i="5"/>
  <c r="J1898" i="5"/>
  <c r="I1898" i="5"/>
  <c r="A1898" i="5"/>
  <c r="J1897" i="5"/>
  <c r="I1897" i="5"/>
  <c r="A1897" i="5"/>
  <c r="J1896" i="5"/>
  <c r="I1896" i="5"/>
  <c r="A1896" i="5"/>
  <c r="J1895" i="5"/>
  <c r="I1895" i="5"/>
  <c r="A1895" i="5"/>
  <c r="J1894" i="5"/>
  <c r="I1894" i="5"/>
  <c r="A1894" i="5"/>
  <c r="J1893" i="5"/>
  <c r="I1893" i="5"/>
  <c r="A1893" i="5"/>
  <c r="J1892" i="5"/>
  <c r="I1892" i="5"/>
  <c r="A1892" i="5"/>
  <c r="J1891" i="5"/>
  <c r="I1891" i="5"/>
  <c r="A1891" i="5"/>
  <c r="J1890" i="5"/>
  <c r="I1890" i="5"/>
  <c r="A1890" i="5"/>
  <c r="J1889" i="5"/>
  <c r="I1889" i="5"/>
  <c r="A1889" i="5"/>
  <c r="J1888" i="5"/>
  <c r="I1888" i="5"/>
  <c r="A1888" i="5"/>
  <c r="J1887" i="5"/>
  <c r="I1887" i="5"/>
  <c r="A1887" i="5"/>
  <c r="J1886" i="5"/>
  <c r="I1886" i="5"/>
  <c r="A1886" i="5"/>
  <c r="J1885" i="5"/>
  <c r="I1885" i="5"/>
  <c r="A1885" i="5"/>
  <c r="J1884" i="5"/>
  <c r="I1884" i="5"/>
  <c r="A1884" i="5"/>
  <c r="J1883" i="5"/>
  <c r="I1883" i="5"/>
  <c r="A1883" i="5"/>
  <c r="J1882" i="5"/>
  <c r="I1882" i="5"/>
  <c r="A1882" i="5"/>
  <c r="J1881" i="5"/>
  <c r="I1881" i="5"/>
  <c r="A1881" i="5"/>
  <c r="J1880" i="5"/>
  <c r="I1880" i="5"/>
  <c r="A1880" i="5"/>
  <c r="J1879" i="5"/>
  <c r="I1879" i="5"/>
  <c r="A1879" i="5"/>
  <c r="J1878" i="5"/>
  <c r="I1878" i="5"/>
  <c r="A1878" i="5"/>
  <c r="J1877" i="5"/>
  <c r="I1877" i="5"/>
  <c r="A1877" i="5"/>
  <c r="J1876" i="5"/>
  <c r="I1876" i="5"/>
  <c r="A1876" i="5"/>
  <c r="J1875" i="5"/>
  <c r="I1875" i="5"/>
  <c r="A1875" i="5"/>
  <c r="J1874" i="5"/>
  <c r="I1874" i="5"/>
  <c r="A1874" i="5"/>
  <c r="J1873" i="5"/>
  <c r="I1873" i="5"/>
  <c r="A1873" i="5"/>
  <c r="J1872" i="5"/>
  <c r="I1872" i="5"/>
  <c r="A1872" i="5"/>
  <c r="J1871" i="5"/>
  <c r="I1871" i="5"/>
  <c r="A1871" i="5"/>
  <c r="J1870" i="5"/>
  <c r="I1870" i="5"/>
  <c r="A1870" i="5"/>
  <c r="J1869" i="5"/>
  <c r="I1869" i="5"/>
  <c r="A1869" i="5"/>
  <c r="J1868" i="5"/>
  <c r="I1868" i="5"/>
  <c r="A1868" i="5"/>
  <c r="J1867" i="5"/>
  <c r="I1867" i="5"/>
  <c r="A1867" i="5"/>
  <c r="J1866" i="5"/>
  <c r="I1866" i="5"/>
  <c r="A1866" i="5"/>
  <c r="J1865" i="5"/>
  <c r="I1865" i="5"/>
  <c r="A1865" i="5"/>
  <c r="J1864" i="5"/>
  <c r="I1864" i="5"/>
  <c r="A1864" i="5"/>
  <c r="J1863" i="5"/>
  <c r="I1863" i="5"/>
  <c r="A1863" i="5"/>
  <c r="J1862" i="5"/>
  <c r="I1862" i="5"/>
  <c r="A1862" i="5"/>
  <c r="J1861" i="5"/>
  <c r="I1861" i="5"/>
  <c r="A1861" i="5"/>
  <c r="J1860" i="5"/>
  <c r="I1860" i="5"/>
  <c r="A1860" i="5"/>
  <c r="J1859" i="5"/>
  <c r="I1859" i="5"/>
  <c r="A1859" i="5"/>
  <c r="J1858" i="5"/>
  <c r="I1858" i="5"/>
  <c r="A1858" i="5"/>
  <c r="J1857" i="5"/>
  <c r="I1857" i="5"/>
  <c r="A1857" i="5"/>
  <c r="J1856" i="5"/>
  <c r="I1856" i="5"/>
  <c r="A1856" i="5"/>
  <c r="J1855" i="5"/>
  <c r="I1855" i="5"/>
  <c r="A1855" i="5"/>
  <c r="J1854" i="5"/>
  <c r="I1854" i="5"/>
  <c r="A1854" i="5"/>
  <c r="J1853" i="5"/>
  <c r="I1853" i="5"/>
  <c r="A1853" i="5"/>
  <c r="J1852" i="5"/>
  <c r="I1852" i="5"/>
  <c r="A1852" i="5"/>
  <c r="J1851" i="5"/>
  <c r="I1851" i="5"/>
  <c r="A1851" i="5"/>
  <c r="J1850" i="5"/>
  <c r="I1850" i="5"/>
  <c r="A1850" i="5"/>
  <c r="J1849" i="5"/>
  <c r="I1849" i="5"/>
  <c r="A1849" i="5"/>
  <c r="J1848" i="5"/>
  <c r="I1848" i="5"/>
  <c r="A1848" i="5"/>
  <c r="J1847" i="5"/>
  <c r="I1847" i="5"/>
  <c r="A1847" i="5"/>
  <c r="J1846" i="5"/>
  <c r="I1846" i="5"/>
  <c r="A1846" i="5"/>
  <c r="J1845" i="5"/>
  <c r="I1845" i="5"/>
  <c r="A1845" i="5"/>
  <c r="J1844" i="5"/>
  <c r="I1844" i="5"/>
  <c r="A1844" i="5"/>
  <c r="J1843" i="5"/>
  <c r="I1843" i="5"/>
  <c r="A1843" i="5"/>
  <c r="J1842" i="5"/>
  <c r="I1842" i="5"/>
  <c r="A1842" i="5"/>
  <c r="J1841" i="5"/>
  <c r="I1841" i="5"/>
  <c r="A1841" i="5"/>
  <c r="J1840" i="5"/>
  <c r="I1840" i="5"/>
  <c r="A1840" i="5"/>
  <c r="J1839" i="5"/>
  <c r="I1839" i="5"/>
  <c r="A1839" i="5"/>
  <c r="J1838" i="5"/>
  <c r="I1838" i="5"/>
  <c r="A1838" i="5"/>
  <c r="J1837" i="5"/>
  <c r="I1837" i="5"/>
  <c r="A1837" i="5"/>
  <c r="J1836" i="5"/>
  <c r="I1836" i="5"/>
  <c r="A1836" i="5"/>
  <c r="J1835" i="5"/>
  <c r="I1835" i="5"/>
  <c r="A1835" i="5"/>
  <c r="J1834" i="5"/>
  <c r="I1834" i="5"/>
  <c r="A1834" i="5"/>
  <c r="J1833" i="5"/>
  <c r="I1833" i="5"/>
  <c r="A1833" i="5"/>
  <c r="J1832" i="5"/>
  <c r="I1832" i="5"/>
  <c r="A1832" i="5"/>
  <c r="J1831" i="5"/>
  <c r="I1831" i="5"/>
  <c r="A1831" i="5"/>
  <c r="J1830" i="5"/>
  <c r="I1830" i="5"/>
  <c r="A1830" i="5"/>
  <c r="J1829" i="5"/>
  <c r="I1829" i="5"/>
  <c r="A1829" i="5"/>
  <c r="J1828" i="5"/>
  <c r="I1828" i="5"/>
  <c r="A1828" i="5"/>
  <c r="J1827" i="5"/>
  <c r="I1827" i="5"/>
  <c r="A1827" i="5"/>
  <c r="J1826" i="5"/>
  <c r="I1826" i="5"/>
  <c r="A1826" i="5"/>
  <c r="J1825" i="5"/>
  <c r="I1825" i="5"/>
  <c r="A1825" i="5"/>
  <c r="J1824" i="5"/>
  <c r="I1824" i="5"/>
  <c r="A1824" i="5"/>
  <c r="J1823" i="5"/>
  <c r="I1823" i="5"/>
  <c r="A1823" i="5"/>
  <c r="J1822" i="5"/>
  <c r="I1822" i="5"/>
  <c r="A1822" i="5"/>
  <c r="J1821" i="5"/>
  <c r="I1821" i="5"/>
  <c r="A1821" i="5"/>
  <c r="J1820" i="5"/>
  <c r="I1820" i="5"/>
  <c r="A1820" i="5"/>
  <c r="J1819" i="5"/>
  <c r="I1819" i="5"/>
  <c r="A1819" i="5"/>
  <c r="J1818" i="5"/>
  <c r="I1818" i="5"/>
  <c r="A1818" i="5"/>
  <c r="J1817" i="5"/>
  <c r="I1817" i="5"/>
  <c r="A1817" i="5"/>
  <c r="J1816" i="5"/>
  <c r="I1816" i="5"/>
  <c r="A1816" i="5"/>
  <c r="J1815" i="5"/>
  <c r="I1815" i="5"/>
  <c r="A1815" i="5"/>
  <c r="J1814" i="5"/>
  <c r="I1814" i="5"/>
  <c r="A1814" i="5"/>
  <c r="J1813" i="5"/>
  <c r="I1813" i="5"/>
  <c r="A1813" i="5"/>
  <c r="J1812" i="5"/>
  <c r="I1812" i="5"/>
  <c r="A1812" i="5"/>
  <c r="J1811" i="5"/>
  <c r="I1811" i="5"/>
  <c r="A1811" i="5"/>
  <c r="J1810" i="5"/>
  <c r="I1810" i="5"/>
  <c r="A1810" i="5"/>
  <c r="J1809" i="5"/>
  <c r="I1809" i="5"/>
  <c r="A1809" i="5"/>
  <c r="J1808" i="5"/>
  <c r="I1808" i="5"/>
  <c r="A1808" i="5"/>
  <c r="J1807" i="5"/>
  <c r="I1807" i="5"/>
  <c r="A1807" i="5"/>
  <c r="J1806" i="5"/>
  <c r="I1806" i="5"/>
  <c r="A1806" i="5"/>
  <c r="J1805" i="5"/>
  <c r="I1805" i="5"/>
  <c r="A1805" i="5"/>
  <c r="J1804" i="5"/>
  <c r="I1804" i="5"/>
  <c r="A1804" i="5"/>
  <c r="J1803" i="5"/>
  <c r="I1803" i="5"/>
  <c r="A1803" i="5"/>
  <c r="J1802" i="5"/>
  <c r="I1802" i="5"/>
  <c r="A1802" i="5"/>
  <c r="J1801" i="5"/>
  <c r="I1801" i="5"/>
  <c r="A1801" i="5"/>
  <c r="J1800" i="5"/>
  <c r="I1800" i="5"/>
  <c r="A1800" i="5"/>
  <c r="J1799" i="5"/>
  <c r="I1799" i="5"/>
  <c r="A1799" i="5"/>
  <c r="J1798" i="5"/>
  <c r="I1798" i="5"/>
  <c r="A1798" i="5"/>
  <c r="J1797" i="5"/>
  <c r="I1797" i="5"/>
  <c r="A1797" i="5"/>
  <c r="J1796" i="5"/>
  <c r="I1796" i="5"/>
  <c r="A1796" i="5"/>
  <c r="J1795" i="5"/>
  <c r="I1795" i="5"/>
  <c r="A1795" i="5"/>
  <c r="J1794" i="5"/>
  <c r="I1794" i="5"/>
  <c r="A1794" i="5"/>
  <c r="J1793" i="5"/>
  <c r="I1793" i="5"/>
  <c r="A1793" i="5"/>
  <c r="J1792" i="5"/>
  <c r="I1792" i="5"/>
  <c r="A1792" i="5"/>
  <c r="J1791" i="5"/>
  <c r="I1791" i="5"/>
  <c r="A1791" i="5"/>
  <c r="J1790" i="5"/>
  <c r="I1790" i="5"/>
  <c r="A1790" i="5"/>
  <c r="J1789" i="5"/>
  <c r="I1789" i="5"/>
  <c r="A1789" i="5"/>
  <c r="J1788" i="5"/>
  <c r="I1788" i="5"/>
  <c r="A1788" i="5"/>
  <c r="J1787" i="5"/>
  <c r="I1787" i="5"/>
  <c r="A1787" i="5"/>
  <c r="J1786" i="5"/>
  <c r="I1786" i="5"/>
  <c r="A1786" i="5"/>
  <c r="J1785" i="5"/>
  <c r="I1785" i="5"/>
  <c r="A1785" i="5"/>
  <c r="J1784" i="5"/>
  <c r="I1784" i="5"/>
  <c r="A1784" i="5"/>
  <c r="J1783" i="5"/>
  <c r="I1783" i="5"/>
  <c r="A1783" i="5"/>
  <c r="J1782" i="5"/>
  <c r="I1782" i="5"/>
  <c r="A1782" i="5"/>
  <c r="J1781" i="5"/>
  <c r="I1781" i="5"/>
  <c r="A1781" i="5"/>
  <c r="J1780" i="5"/>
  <c r="I1780" i="5"/>
  <c r="A1780" i="5"/>
  <c r="J1779" i="5"/>
  <c r="I1779" i="5"/>
  <c r="A1779" i="5"/>
  <c r="J1778" i="5"/>
  <c r="I1778" i="5"/>
  <c r="A1778" i="5"/>
  <c r="J1777" i="5"/>
  <c r="I1777" i="5"/>
  <c r="A1777" i="5"/>
  <c r="J1776" i="5"/>
  <c r="I1776" i="5"/>
  <c r="A1776" i="5"/>
  <c r="J1775" i="5"/>
  <c r="I1775" i="5"/>
  <c r="A1775" i="5"/>
  <c r="J1774" i="5"/>
  <c r="I1774" i="5"/>
  <c r="A1774" i="5"/>
  <c r="J1773" i="5"/>
  <c r="I1773" i="5"/>
  <c r="A1773" i="5"/>
  <c r="J1772" i="5"/>
  <c r="I1772" i="5"/>
  <c r="A1772" i="5"/>
  <c r="J1771" i="5"/>
  <c r="I1771" i="5"/>
  <c r="A1771" i="5"/>
  <c r="J1770" i="5"/>
  <c r="I1770" i="5"/>
  <c r="A1770" i="5"/>
  <c r="J1769" i="5"/>
  <c r="I1769" i="5"/>
  <c r="A1769" i="5"/>
  <c r="J1768" i="5"/>
  <c r="I1768" i="5"/>
  <c r="A1768" i="5"/>
  <c r="J1767" i="5"/>
  <c r="I1767" i="5"/>
  <c r="A1767" i="5"/>
  <c r="J1766" i="5"/>
  <c r="I1766" i="5"/>
  <c r="A1766" i="5"/>
  <c r="J1765" i="5"/>
  <c r="I1765" i="5"/>
  <c r="A1765" i="5"/>
  <c r="J1764" i="5"/>
  <c r="I1764" i="5"/>
  <c r="A1764" i="5"/>
  <c r="J1763" i="5"/>
  <c r="I1763" i="5"/>
  <c r="A1763" i="5"/>
  <c r="J1762" i="5"/>
  <c r="I1762" i="5"/>
  <c r="A1762" i="5"/>
  <c r="J1761" i="5"/>
  <c r="I1761" i="5"/>
  <c r="A1761" i="5"/>
  <c r="J1760" i="5"/>
  <c r="I1760" i="5"/>
  <c r="A1760" i="5"/>
  <c r="J1759" i="5"/>
  <c r="I1759" i="5"/>
  <c r="A1759" i="5"/>
  <c r="J1758" i="5"/>
  <c r="I1758" i="5"/>
  <c r="A1758" i="5"/>
  <c r="J1757" i="5"/>
  <c r="I1757" i="5"/>
  <c r="A1757" i="5"/>
  <c r="J1756" i="5"/>
  <c r="I1756" i="5"/>
  <c r="A1756" i="5"/>
  <c r="J1755" i="5"/>
  <c r="I1755" i="5"/>
  <c r="A1755" i="5"/>
  <c r="J1754" i="5"/>
  <c r="I1754" i="5"/>
  <c r="A1754" i="5"/>
  <c r="J1753" i="5"/>
  <c r="I1753" i="5"/>
  <c r="A1753" i="5"/>
  <c r="J1752" i="5"/>
  <c r="I1752" i="5"/>
  <c r="A1752" i="5"/>
  <c r="J1751" i="5"/>
  <c r="I1751" i="5"/>
  <c r="A1751" i="5"/>
  <c r="J1750" i="5"/>
  <c r="I1750" i="5"/>
  <c r="A1750" i="5"/>
  <c r="J1749" i="5"/>
  <c r="I1749" i="5"/>
  <c r="A1749" i="5"/>
  <c r="J1748" i="5"/>
  <c r="I1748" i="5"/>
  <c r="A1748" i="5"/>
  <c r="J1747" i="5"/>
  <c r="I1747" i="5"/>
  <c r="A1747" i="5"/>
  <c r="J1746" i="5"/>
  <c r="I1746" i="5"/>
  <c r="A1746" i="5"/>
  <c r="J1745" i="5"/>
  <c r="I1745" i="5"/>
  <c r="A1745" i="5"/>
  <c r="J1744" i="5"/>
  <c r="I1744" i="5"/>
  <c r="A1744" i="5"/>
  <c r="J1743" i="5"/>
  <c r="I1743" i="5"/>
  <c r="A1743" i="5"/>
  <c r="J1742" i="5"/>
  <c r="I1742" i="5"/>
  <c r="A1742" i="5"/>
  <c r="J1741" i="5"/>
  <c r="I1741" i="5"/>
  <c r="A1741" i="5"/>
  <c r="J1740" i="5"/>
  <c r="I1740" i="5"/>
  <c r="A1740" i="5"/>
  <c r="J1739" i="5"/>
  <c r="I1739" i="5"/>
  <c r="A1739" i="5"/>
  <c r="J1738" i="5"/>
  <c r="I1738" i="5"/>
  <c r="A1738" i="5"/>
  <c r="J1737" i="5"/>
  <c r="I1737" i="5"/>
  <c r="A1737" i="5"/>
  <c r="J1736" i="5"/>
  <c r="I1736" i="5"/>
  <c r="A1736" i="5"/>
  <c r="J1735" i="5"/>
  <c r="I1735" i="5"/>
  <c r="A1735" i="5"/>
  <c r="J1734" i="5"/>
  <c r="I1734" i="5"/>
  <c r="A1734" i="5"/>
  <c r="J1733" i="5"/>
  <c r="I1733" i="5"/>
  <c r="A1733" i="5"/>
  <c r="J1732" i="5"/>
  <c r="I1732" i="5"/>
  <c r="A1732" i="5"/>
  <c r="J1731" i="5"/>
  <c r="I1731" i="5"/>
  <c r="A1731" i="5"/>
  <c r="J1730" i="5"/>
  <c r="I1730" i="5"/>
  <c r="A1730" i="5"/>
  <c r="J1729" i="5"/>
  <c r="I1729" i="5"/>
  <c r="A1729" i="5"/>
  <c r="J1728" i="5"/>
  <c r="I1728" i="5"/>
  <c r="A1728" i="5"/>
  <c r="J1727" i="5"/>
  <c r="I1727" i="5"/>
  <c r="A1727" i="5"/>
  <c r="J1726" i="5"/>
  <c r="I1726" i="5"/>
  <c r="A1726" i="5"/>
  <c r="J1725" i="5"/>
  <c r="I1725" i="5"/>
  <c r="A1725" i="5"/>
  <c r="J1724" i="5"/>
  <c r="I1724" i="5"/>
  <c r="A1724" i="5"/>
  <c r="J1723" i="5"/>
  <c r="I1723" i="5"/>
  <c r="A1723" i="5"/>
  <c r="J1722" i="5"/>
  <c r="I1722" i="5"/>
  <c r="A1722" i="5"/>
  <c r="J1721" i="5"/>
  <c r="I1721" i="5"/>
  <c r="A1721" i="5"/>
  <c r="J1720" i="5"/>
  <c r="I1720" i="5"/>
  <c r="A1720" i="5"/>
  <c r="J1719" i="5"/>
  <c r="I1719" i="5"/>
  <c r="A1719" i="5"/>
  <c r="J1718" i="5"/>
  <c r="I1718" i="5"/>
  <c r="A1718" i="5"/>
  <c r="J1717" i="5"/>
  <c r="I1717" i="5"/>
  <c r="A1717" i="5"/>
  <c r="J1716" i="5"/>
  <c r="I1716" i="5"/>
  <c r="A1716" i="5"/>
  <c r="J1715" i="5"/>
  <c r="I1715" i="5"/>
  <c r="A1715" i="5"/>
  <c r="J1714" i="5"/>
  <c r="I1714" i="5"/>
  <c r="A1714" i="5"/>
  <c r="J1713" i="5"/>
  <c r="I1713" i="5"/>
  <c r="A1713" i="5"/>
  <c r="J1712" i="5"/>
  <c r="I1712" i="5"/>
  <c r="A1712" i="5"/>
  <c r="J1711" i="5"/>
  <c r="I1711" i="5"/>
  <c r="A1711" i="5"/>
  <c r="J1710" i="5"/>
  <c r="I1710" i="5"/>
  <c r="A1710" i="5"/>
  <c r="J1709" i="5"/>
  <c r="I1709" i="5"/>
  <c r="A1709" i="5"/>
  <c r="J1708" i="5"/>
  <c r="I1708" i="5"/>
  <c r="A1708" i="5"/>
  <c r="J1707" i="5"/>
  <c r="I1707" i="5"/>
  <c r="A1707" i="5"/>
  <c r="J1706" i="5"/>
  <c r="I1706" i="5"/>
  <c r="A1706" i="5"/>
  <c r="J1705" i="5"/>
  <c r="I1705" i="5"/>
  <c r="A1705" i="5"/>
  <c r="J1704" i="5"/>
  <c r="I1704" i="5"/>
  <c r="A1704" i="5"/>
  <c r="J1703" i="5"/>
  <c r="I1703" i="5"/>
  <c r="A1703" i="5"/>
  <c r="J1702" i="5"/>
  <c r="I1702" i="5"/>
  <c r="A1702" i="5"/>
  <c r="J1701" i="5"/>
  <c r="I1701" i="5"/>
  <c r="A1701" i="5"/>
  <c r="J1700" i="5"/>
  <c r="I1700" i="5"/>
  <c r="A1700" i="5"/>
  <c r="J1699" i="5"/>
  <c r="I1699" i="5"/>
  <c r="A1699" i="5"/>
  <c r="J1698" i="5"/>
  <c r="I1698" i="5"/>
  <c r="A1698" i="5"/>
  <c r="J1697" i="5"/>
  <c r="I1697" i="5"/>
  <c r="A1697" i="5"/>
  <c r="J1696" i="5"/>
  <c r="I1696" i="5"/>
  <c r="A1696" i="5"/>
  <c r="J1695" i="5"/>
  <c r="I1695" i="5"/>
  <c r="A1695" i="5"/>
  <c r="J1694" i="5"/>
  <c r="I1694" i="5"/>
  <c r="A1694" i="5"/>
  <c r="J1693" i="5"/>
  <c r="I1693" i="5"/>
  <c r="A1693" i="5"/>
  <c r="J1692" i="5"/>
  <c r="I1692" i="5"/>
  <c r="A1692" i="5"/>
  <c r="J1691" i="5"/>
  <c r="I1691" i="5"/>
  <c r="A1691" i="5"/>
  <c r="J1690" i="5"/>
  <c r="I1690" i="5"/>
  <c r="A1690" i="5"/>
  <c r="J1689" i="5"/>
  <c r="I1689" i="5"/>
  <c r="A1689" i="5"/>
  <c r="J1688" i="5"/>
  <c r="I1688" i="5"/>
  <c r="A1688" i="5"/>
  <c r="J1687" i="5"/>
  <c r="I1687" i="5"/>
  <c r="A1687" i="5"/>
  <c r="J1686" i="5"/>
  <c r="I1686" i="5"/>
  <c r="A1686" i="5"/>
  <c r="J1685" i="5"/>
  <c r="I1685" i="5"/>
  <c r="A1685" i="5"/>
  <c r="J1684" i="5"/>
  <c r="I1684" i="5"/>
  <c r="A1684" i="5"/>
  <c r="J1683" i="5"/>
  <c r="I1683" i="5"/>
  <c r="A1683" i="5"/>
  <c r="J1682" i="5"/>
  <c r="I1682" i="5"/>
  <c r="A1682" i="5"/>
  <c r="J1681" i="5"/>
  <c r="I1681" i="5"/>
  <c r="A1681" i="5"/>
  <c r="J1680" i="5"/>
  <c r="I1680" i="5"/>
  <c r="A1680" i="5"/>
  <c r="J1679" i="5"/>
  <c r="I1679" i="5"/>
  <c r="A1679" i="5"/>
  <c r="J1678" i="5"/>
  <c r="I1678" i="5"/>
  <c r="A1678" i="5"/>
  <c r="J1677" i="5"/>
  <c r="I1677" i="5"/>
  <c r="A1677" i="5"/>
  <c r="J1676" i="5"/>
  <c r="I1676" i="5"/>
  <c r="A1676" i="5"/>
  <c r="J1675" i="5"/>
  <c r="I1675" i="5"/>
  <c r="A1675" i="5"/>
  <c r="J1674" i="5"/>
  <c r="I1674" i="5"/>
  <c r="A1674" i="5"/>
  <c r="J1673" i="5"/>
  <c r="I1673" i="5"/>
  <c r="A1673" i="5"/>
  <c r="J1672" i="5"/>
  <c r="I1672" i="5"/>
  <c r="A1672" i="5"/>
  <c r="J1671" i="5"/>
  <c r="I1671" i="5"/>
  <c r="A1671" i="5"/>
  <c r="J1670" i="5"/>
  <c r="I1670" i="5"/>
  <c r="A1670" i="5"/>
  <c r="J1669" i="5"/>
  <c r="I1669" i="5"/>
  <c r="A1669" i="5"/>
  <c r="J1668" i="5"/>
  <c r="I1668" i="5"/>
  <c r="A1668" i="5"/>
  <c r="J1667" i="5"/>
  <c r="I1667" i="5"/>
  <c r="A1667" i="5"/>
  <c r="J1666" i="5"/>
  <c r="I1666" i="5"/>
  <c r="A1666" i="5"/>
  <c r="J1665" i="5"/>
  <c r="I1665" i="5"/>
  <c r="A1665" i="5"/>
  <c r="J1664" i="5"/>
  <c r="I1664" i="5"/>
  <c r="A1664" i="5"/>
  <c r="J1663" i="5"/>
  <c r="I1663" i="5"/>
  <c r="A1663" i="5"/>
  <c r="J1662" i="5"/>
  <c r="I1662" i="5"/>
  <c r="A1662" i="5"/>
  <c r="J1661" i="5"/>
  <c r="I1661" i="5"/>
  <c r="A1661" i="5"/>
  <c r="J1660" i="5"/>
  <c r="I1660" i="5"/>
  <c r="A1660" i="5"/>
  <c r="J1659" i="5"/>
  <c r="I1659" i="5"/>
  <c r="A1659" i="5"/>
  <c r="J1658" i="5"/>
  <c r="I1658" i="5"/>
  <c r="A1658" i="5"/>
  <c r="J1657" i="5"/>
  <c r="I1657" i="5"/>
  <c r="A1657" i="5"/>
  <c r="J1656" i="5"/>
  <c r="I1656" i="5"/>
  <c r="A1656" i="5"/>
  <c r="J1655" i="5"/>
  <c r="I1655" i="5"/>
  <c r="A1655" i="5"/>
  <c r="J1654" i="5"/>
  <c r="I1654" i="5"/>
  <c r="A1654" i="5"/>
  <c r="J1653" i="5"/>
  <c r="I1653" i="5"/>
  <c r="A1653" i="5"/>
  <c r="J1652" i="5"/>
  <c r="I1652" i="5"/>
  <c r="A1652" i="5"/>
  <c r="J1651" i="5"/>
  <c r="I1651" i="5"/>
  <c r="A1651" i="5"/>
  <c r="J1650" i="5"/>
  <c r="I1650" i="5"/>
  <c r="A1650" i="5"/>
  <c r="J1649" i="5"/>
  <c r="I1649" i="5"/>
  <c r="A1649" i="5"/>
  <c r="J1648" i="5"/>
  <c r="I1648" i="5"/>
  <c r="A1648" i="5"/>
  <c r="J1647" i="5"/>
  <c r="I1647" i="5"/>
  <c r="A1647" i="5"/>
  <c r="J1646" i="5"/>
  <c r="I1646" i="5"/>
  <c r="A1646" i="5"/>
  <c r="J1645" i="5"/>
  <c r="I1645" i="5"/>
  <c r="A1645" i="5"/>
  <c r="J1644" i="5"/>
  <c r="I1644" i="5"/>
  <c r="A1644" i="5"/>
  <c r="J1643" i="5"/>
  <c r="I1643" i="5"/>
  <c r="A1643" i="5"/>
  <c r="J1642" i="5"/>
  <c r="I1642" i="5"/>
  <c r="A1642" i="5"/>
  <c r="J1641" i="5"/>
  <c r="I1641" i="5"/>
  <c r="A1641" i="5"/>
  <c r="J1640" i="5"/>
  <c r="I1640" i="5"/>
  <c r="A1640" i="5"/>
  <c r="J1639" i="5"/>
  <c r="I1639" i="5"/>
  <c r="A1639" i="5"/>
  <c r="J1638" i="5"/>
  <c r="I1638" i="5"/>
  <c r="A1638" i="5"/>
  <c r="J1637" i="5"/>
  <c r="I1637" i="5"/>
  <c r="A1637" i="5"/>
  <c r="J1636" i="5"/>
  <c r="I1636" i="5"/>
  <c r="A1636" i="5"/>
  <c r="J1635" i="5"/>
  <c r="I1635" i="5"/>
  <c r="A1635" i="5"/>
  <c r="J1634" i="5"/>
  <c r="I1634" i="5"/>
  <c r="A1634" i="5"/>
  <c r="J1633" i="5"/>
  <c r="I1633" i="5"/>
  <c r="A1633" i="5"/>
  <c r="J1632" i="5"/>
  <c r="I1632" i="5"/>
  <c r="A1632" i="5"/>
  <c r="J1631" i="5"/>
  <c r="I1631" i="5"/>
  <c r="A1631" i="5"/>
  <c r="J1630" i="5"/>
  <c r="I1630" i="5"/>
  <c r="A1630" i="5"/>
  <c r="J1629" i="5"/>
  <c r="I1629" i="5"/>
  <c r="A1629" i="5"/>
  <c r="J1628" i="5"/>
  <c r="I1628" i="5"/>
  <c r="A1628" i="5"/>
  <c r="J1627" i="5"/>
  <c r="I1627" i="5"/>
  <c r="A1627" i="5"/>
  <c r="J1626" i="5"/>
  <c r="I1626" i="5"/>
  <c r="A1626" i="5"/>
  <c r="J1625" i="5"/>
  <c r="I1625" i="5"/>
  <c r="A1625" i="5"/>
  <c r="J1624" i="5"/>
  <c r="I1624" i="5"/>
  <c r="A1624" i="5"/>
  <c r="J1623" i="5"/>
  <c r="I1623" i="5"/>
  <c r="A1623" i="5"/>
  <c r="J1622" i="5"/>
  <c r="I1622" i="5"/>
  <c r="A1622" i="5"/>
  <c r="J1621" i="5"/>
  <c r="I1621" i="5"/>
  <c r="A1621" i="5"/>
  <c r="J1620" i="5"/>
  <c r="I1620" i="5"/>
  <c r="A1620" i="5"/>
  <c r="J1619" i="5"/>
  <c r="I1619" i="5"/>
  <c r="A1619" i="5"/>
  <c r="J1618" i="5"/>
  <c r="I1618" i="5"/>
  <c r="A1618" i="5"/>
  <c r="J1617" i="5"/>
  <c r="I1617" i="5"/>
  <c r="A1617" i="5"/>
  <c r="J1616" i="5"/>
  <c r="I1616" i="5"/>
  <c r="A1616" i="5"/>
  <c r="J1615" i="5"/>
  <c r="I1615" i="5"/>
  <c r="A1615" i="5"/>
  <c r="J1614" i="5"/>
  <c r="I1614" i="5"/>
  <c r="A1614" i="5"/>
  <c r="J1613" i="5"/>
  <c r="I1613" i="5"/>
  <c r="A1613" i="5"/>
  <c r="J1612" i="5"/>
  <c r="I1612" i="5"/>
  <c r="A1612" i="5"/>
  <c r="J1611" i="5"/>
  <c r="I1611" i="5"/>
  <c r="A1611" i="5"/>
  <c r="J1610" i="5"/>
  <c r="I1610" i="5"/>
  <c r="A1610" i="5"/>
  <c r="J1609" i="5"/>
  <c r="I1609" i="5"/>
  <c r="A1609" i="5"/>
  <c r="J1608" i="5"/>
  <c r="I1608" i="5"/>
  <c r="A1608" i="5"/>
  <c r="J1607" i="5"/>
  <c r="I1607" i="5"/>
  <c r="A1607" i="5"/>
  <c r="J1606" i="5"/>
  <c r="I1606" i="5"/>
  <c r="A1606" i="5"/>
  <c r="J1605" i="5"/>
  <c r="I1605" i="5"/>
  <c r="A1605" i="5"/>
  <c r="J1604" i="5"/>
  <c r="I1604" i="5"/>
  <c r="A1604" i="5"/>
  <c r="J1603" i="5"/>
  <c r="I1603" i="5"/>
  <c r="A1603" i="5"/>
  <c r="J1602" i="5"/>
  <c r="I1602" i="5"/>
  <c r="A1602" i="5"/>
  <c r="J1601" i="5"/>
  <c r="I1601" i="5"/>
  <c r="A1601" i="5"/>
  <c r="J1600" i="5"/>
  <c r="I1600" i="5"/>
  <c r="A1600" i="5"/>
  <c r="J1599" i="5"/>
  <c r="I1599" i="5"/>
  <c r="A1599" i="5"/>
  <c r="J1598" i="5"/>
  <c r="I1598" i="5"/>
  <c r="A1598" i="5"/>
  <c r="J1597" i="5"/>
  <c r="I1597" i="5"/>
  <c r="A1597" i="5"/>
  <c r="J1596" i="5"/>
  <c r="I1596" i="5"/>
  <c r="A1596" i="5"/>
  <c r="J1595" i="5"/>
  <c r="I1595" i="5"/>
  <c r="A1595" i="5"/>
  <c r="J1594" i="5"/>
  <c r="I1594" i="5"/>
  <c r="A1594" i="5"/>
  <c r="J1593" i="5"/>
  <c r="I1593" i="5"/>
  <c r="A1593" i="5"/>
  <c r="J1592" i="5"/>
  <c r="I1592" i="5"/>
  <c r="A1592" i="5"/>
  <c r="J1591" i="5"/>
  <c r="I1591" i="5"/>
  <c r="A1591" i="5"/>
  <c r="J1590" i="5"/>
  <c r="I1590" i="5"/>
  <c r="A1590" i="5"/>
  <c r="J1589" i="5"/>
  <c r="I1589" i="5"/>
  <c r="A1589" i="5"/>
  <c r="J1588" i="5"/>
  <c r="I1588" i="5"/>
  <c r="A1588" i="5"/>
  <c r="J1587" i="5"/>
  <c r="I1587" i="5"/>
  <c r="A1587" i="5"/>
  <c r="J1586" i="5"/>
  <c r="I1586" i="5"/>
  <c r="A1586" i="5"/>
  <c r="J1585" i="5"/>
  <c r="I1585" i="5"/>
  <c r="A1585" i="5"/>
  <c r="J1584" i="5"/>
  <c r="I1584" i="5"/>
  <c r="A1584" i="5"/>
  <c r="J1583" i="5"/>
  <c r="I1583" i="5"/>
  <c r="A1583" i="5"/>
  <c r="J1582" i="5"/>
  <c r="I1582" i="5"/>
  <c r="A1582" i="5"/>
  <c r="J1581" i="5"/>
  <c r="I1581" i="5"/>
  <c r="A1581" i="5"/>
  <c r="J1580" i="5"/>
  <c r="I1580" i="5"/>
  <c r="A1580" i="5"/>
  <c r="J1579" i="5"/>
  <c r="I1579" i="5"/>
  <c r="A1579" i="5"/>
  <c r="J1578" i="5"/>
  <c r="I1578" i="5"/>
  <c r="A1578" i="5"/>
  <c r="J1577" i="5"/>
  <c r="I1577" i="5"/>
  <c r="A1577" i="5"/>
  <c r="J1576" i="5"/>
  <c r="I1576" i="5"/>
  <c r="A1576" i="5"/>
  <c r="J1575" i="5"/>
  <c r="I1575" i="5"/>
  <c r="A1575" i="5"/>
  <c r="J1574" i="5"/>
  <c r="I1574" i="5"/>
  <c r="A1574" i="5"/>
  <c r="J1573" i="5"/>
  <c r="I1573" i="5"/>
  <c r="A1573" i="5"/>
  <c r="J1572" i="5"/>
  <c r="I1572" i="5"/>
  <c r="A1572" i="5"/>
  <c r="J1571" i="5"/>
  <c r="I1571" i="5"/>
  <c r="A1571" i="5"/>
  <c r="J1570" i="5"/>
  <c r="I1570" i="5"/>
  <c r="A1570" i="5"/>
  <c r="J1569" i="5"/>
  <c r="I1569" i="5"/>
  <c r="A1569" i="5"/>
  <c r="J1568" i="5"/>
  <c r="I1568" i="5"/>
  <c r="A1568" i="5"/>
  <c r="J1567" i="5"/>
  <c r="I1567" i="5"/>
  <c r="A1567" i="5"/>
  <c r="J1566" i="5"/>
  <c r="I1566" i="5"/>
  <c r="A1566" i="5"/>
  <c r="J1565" i="5"/>
  <c r="I1565" i="5"/>
  <c r="A1565" i="5"/>
  <c r="J1564" i="5"/>
  <c r="I1564" i="5"/>
  <c r="A1564" i="5"/>
  <c r="J1563" i="5"/>
  <c r="I1563" i="5"/>
  <c r="A1563" i="5"/>
  <c r="J1562" i="5"/>
  <c r="I1562" i="5"/>
  <c r="A1562" i="5"/>
  <c r="J1561" i="5"/>
  <c r="I1561" i="5"/>
  <c r="A1561" i="5"/>
  <c r="J1560" i="5"/>
  <c r="I1560" i="5"/>
  <c r="A1560" i="5"/>
  <c r="J1559" i="5"/>
  <c r="I1559" i="5"/>
  <c r="A1559" i="5"/>
  <c r="J1558" i="5"/>
  <c r="I1558" i="5"/>
  <c r="A1558" i="5"/>
  <c r="J1557" i="5"/>
  <c r="I1557" i="5"/>
  <c r="A1557" i="5"/>
  <c r="J1556" i="5"/>
  <c r="I1556" i="5"/>
  <c r="A1556" i="5"/>
  <c r="J1555" i="5"/>
  <c r="I1555" i="5"/>
  <c r="A1555" i="5"/>
  <c r="J1554" i="5"/>
  <c r="I1554" i="5"/>
  <c r="A1554" i="5"/>
  <c r="J1553" i="5"/>
  <c r="I1553" i="5"/>
  <c r="A1553" i="5"/>
  <c r="J1552" i="5"/>
  <c r="I1552" i="5"/>
  <c r="A1552" i="5"/>
  <c r="J1551" i="5"/>
  <c r="I1551" i="5"/>
  <c r="A1551" i="5"/>
  <c r="J1550" i="5"/>
  <c r="I1550" i="5"/>
  <c r="A1550" i="5"/>
  <c r="J1549" i="5"/>
  <c r="I1549" i="5"/>
  <c r="A1549" i="5"/>
  <c r="J1548" i="5"/>
  <c r="I1548" i="5"/>
  <c r="A1548" i="5"/>
  <c r="J1547" i="5"/>
  <c r="I1547" i="5"/>
  <c r="A1547" i="5"/>
  <c r="J1546" i="5"/>
  <c r="I1546" i="5"/>
  <c r="A1546" i="5"/>
  <c r="J1545" i="5"/>
  <c r="I1545" i="5"/>
  <c r="A1545" i="5"/>
  <c r="J1544" i="5"/>
  <c r="I1544" i="5"/>
  <c r="A1544" i="5"/>
  <c r="J1543" i="5"/>
  <c r="I1543" i="5"/>
  <c r="A1543" i="5"/>
  <c r="J1542" i="5"/>
  <c r="I1542" i="5"/>
  <c r="A1542" i="5"/>
  <c r="J1541" i="5"/>
  <c r="I1541" i="5"/>
  <c r="A1541" i="5"/>
  <c r="J1540" i="5"/>
  <c r="I1540" i="5"/>
  <c r="A1540" i="5"/>
  <c r="J1539" i="5"/>
  <c r="I1539" i="5"/>
  <c r="A1539" i="5"/>
  <c r="J1538" i="5"/>
  <c r="I1538" i="5"/>
  <c r="A1538" i="5"/>
  <c r="J1537" i="5"/>
  <c r="I1537" i="5"/>
  <c r="A1537" i="5"/>
  <c r="J1536" i="5"/>
  <c r="I1536" i="5"/>
  <c r="A1536" i="5"/>
  <c r="J1535" i="5"/>
  <c r="I1535" i="5"/>
  <c r="A1535" i="5"/>
  <c r="J1534" i="5"/>
  <c r="I1534" i="5"/>
  <c r="A1534" i="5"/>
  <c r="J1533" i="5"/>
  <c r="I1533" i="5"/>
  <c r="A1533" i="5"/>
  <c r="J1532" i="5"/>
  <c r="I1532" i="5"/>
  <c r="A1532" i="5"/>
  <c r="J1531" i="5"/>
  <c r="I1531" i="5"/>
  <c r="A1531" i="5"/>
  <c r="J1530" i="5"/>
  <c r="I1530" i="5"/>
  <c r="A1530" i="5"/>
  <c r="J1529" i="5"/>
  <c r="I1529" i="5"/>
  <c r="A1529" i="5"/>
  <c r="J1528" i="5"/>
  <c r="I1528" i="5"/>
  <c r="A1528" i="5"/>
  <c r="J1527" i="5"/>
  <c r="I1527" i="5"/>
  <c r="A1527" i="5"/>
  <c r="J1526" i="5"/>
  <c r="I1526" i="5"/>
  <c r="A1526" i="5"/>
  <c r="J1525" i="5"/>
  <c r="I1525" i="5"/>
  <c r="A1525" i="5"/>
  <c r="J1524" i="5"/>
  <c r="I1524" i="5"/>
  <c r="A1524" i="5"/>
  <c r="J1523" i="5"/>
  <c r="I1523" i="5"/>
  <c r="A1523" i="5"/>
  <c r="J1522" i="5"/>
  <c r="I1522" i="5"/>
  <c r="A1522" i="5"/>
  <c r="J1521" i="5"/>
  <c r="I1521" i="5"/>
  <c r="A1521" i="5"/>
  <c r="J1520" i="5"/>
  <c r="I1520" i="5"/>
  <c r="A1520" i="5"/>
  <c r="J1519" i="5"/>
  <c r="I1519" i="5"/>
  <c r="A1519" i="5"/>
  <c r="J1518" i="5"/>
  <c r="I1518" i="5"/>
  <c r="A1518" i="5"/>
  <c r="J1517" i="5"/>
  <c r="I1517" i="5"/>
  <c r="A1517" i="5"/>
  <c r="J1516" i="5"/>
  <c r="I1516" i="5"/>
  <c r="A1516" i="5"/>
  <c r="J1515" i="5"/>
  <c r="I1515" i="5"/>
  <c r="A1515" i="5"/>
  <c r="J1514" i="5"/>
  <c r="I1514" i="5"/>
  <c r="A1514" i="5"/>
  <c r="J1513" i="5"/>
  <c r="I1513" i="5"/>
  <c r="A1513" i="5"/>
  <c r="J1512" i="5"/>
  <c r="I1512" i="5"/>
  <c r="A1512" i="5"/>
  <c r="J1511" i="5"/>
  <c r="I1511" i="5"/>
  <c r="A1511" i="5"/>
  <c r="J1510" i="5"/>
  <c r="I1510" i="5"/>
  <c r="A1510" i="5"/>
  <c r="J1509" i="5"/>
  <c r="I1509" i="5"/>
  <c r="A1509" i="5"/>
  <c r="J1508" i="5"/>
  <c r="I1508" i="5"/>
  <c r="A1508" i="5"/>
  <c r="J1507" i="5"/>
  <c r="I1507" i="5"/>
  <c r="A1507" i="5"/>
  <c r="J1506" i="5"/>
  <c r="I1506" i="5"/>
  <c r="A1506" i="5"/>
  <c r="J1505" i="5"/>
  <c r="I1505" i="5"/>
  <c r="A1505" i="5"/>
  <c r="J1504" i="5"/>
  <c r="I1504" i="5"/>
  <c r="A1504" i="5"/>
  <c r="J1503" i="5"/>
  <c r="I1503" i="5"/>
  <c r="A1503" i="5"/>
  <c r="J1502" i="5"/>
  <c r="I1502" i="5"/>
  <c r="A1502" i="5"/>
  <c r="J1501" i="5"/>
  <c r="I1501" i="5"/>
  <c r="A1501" i="5"/>
  <c r="J1500" i="5"/>
  <c r="I1500" i="5"/>
  <c r="A1500" i="5"/>
  <c r="J1499" i="5"/>
  <c r="I1499" i="5"/>
  <c r="A1499" i="5"/>
  <c r="J1498" i="5"/>
  <c r="I1498" i="5"/>
  <c r="A1498" i="5"/>
  <c r="J1497" i="5"/>
  <c r="I1497" i="5"/>
  <c r="A1497" i="5"/>
  <c r="J1496" i="5"/>
  <c r="I1496" i="5"/>
  <c r="A1496" i="5"/>
  <c r="J1495" i="5"/>
  <c r="I1495" i="5"/>
  <c r="A1495" i="5"/>
  <c r="J1494" i="5"/>
  <c r="I1494" i="5"/>
  <c r="A1494" i="5"/>
  <c r="J1493" i="5"/>
  <c r="I1493" i="5"/>
  <c r="A1493" i="5"/>
  <c r="J1492" i="5"/>
  <c r="I1492" i="5"/>
  <c r="A1492" i="5"/>
  <c r="J1491" i="5"/>
  <c r="I1491" i="5"/>
  <c r="A1491" i="5"/>
  <c r="J1490" i="5"/>
  <c r="I1490" i="5"/>
  <c r="A1490" i="5"/>
  <c r="J1489" i="5"/>
  <c r="I1489" i="5"/>
  <c r="A1489" i="5"/>
  <c r="J1488" i="5"/>
  <c r="I1488" i="5"/>
  <c r="A1488" i="5"/>
  <c r="J1487" i="5"/>
  <c r="I1487" i="5"/>
  <c r="A1487" i="5"/>
  <c r="J1486" i="5"/>
  <c r="I1486" i="5"/>
  <c r="A1486" i="5"/>
  <c r="J1485" i="5"/>
  <c r="I1485" i="5"/>
  <c r="A1485" i="5"/>
  <c r="J1484" i="5"/>
  <c r="I1484" i="5"/>
  <c r="A1484" i="5"/>
  <c r="J1483" i="5"/>
  <c r="I1483" i="5"/>
  <c r="A1483" i="5"/>
  <c r="J1482" i="5"/>
  <c r="I1482" i="5"/>
  <c r="A1482" i="5"/>
  <c r="J1481" i="5"/>
  <c r="I1481" i="5"/>
  <c r="A1481" i="5"/>
  <c r="J1480" i="5"/>
  <c r="I1480" i="5"/>
  <c r="A1480" i="5"/>
  <c r="J1479" i="5"/>
  <c r="I1479" i="5"/>
  <c r="A1479" i="5"/>
  <c r="J1478" i="5"/>
  <c r="I1478" i="5"/>
  <c r="A1478" i="5"/>
  <c r="J1477" i="5"/>
  <c r="I1477" i="5"/>
  <c r="A1477" i="5"/>
  <c r="J1476" i="5"/>
  <c r="I1476" i="5"/>
  <c r="A1476" i="5"/>
  <c r="J1475" i="5"/>
  <c r="I1475" i="5"/>
  <c r="A1475" i="5"/>
  <c r="J1474" i="5"/>
  <c r="I1474" i="5"/>
  <c r="A1474" i="5"/>
  <c r="J1473" i="5"/>
  <c r="I1473" i="5"/>
  <c r="A1473" i="5"/>
  <c r="J1472" i="5"/>
  <c r="I1472" i="5"/>
  <c r="A1472" i="5"/>
  <c r="J1471" i="5"/>
  <c r="I1471" i="5"/>
  <c r="A1471" i="5"/>
  <c r="J1470" i="5"/>
  <c r="I1470" i="5"/>
  <c r="A1470" i="5"/>
  <c r="J1469" i="5"/>
  <c r="I1469" i="5"/>
  <c r="A1469" i="5"/>
  <c r="J1468" i="5"/>
  <c r="I1468" i="5"/>
  <c r="A1468" i="5"/>
  <c r="J1467" i="5"/>
  <c r="I1467" i="5"/>
  <c r="A1467" i="5"/>
  <c r="J1466" i="5"/>
  <c r="I1466" i="5"/>
  <c r="A1466" i="5"/>
  <c r="J1465" i="5"/>
  <c r="I1465" i="5"/>
  <c r="A1465" i="5"/>
  <c r="J1464" i="5"/>
  <c r="I1464" i="5"/>
  <c r="A1464" i="5"/>
  <c r="J1463" i="5"/>
  <c r="I1463" i="5"/>
  <c r="A1463" i="5"/>
  <c r="J1462" i="5"/>
  <c r="I1462" i="5"/>
  <c r="A1462" i="5"/>
  <c r="J1461" i="5"/>
  <c r="I1461" i="5"/>
  <c r="A1461" i="5"/>
  <c r="J1460" i="5"/>
  <c r="I1460" i="5"/>
  <c r="A1460" i="5"/>
  <c r="J1459" i="5"/>
  <c r="I1459" i="5"/>
  <c r="A1459" i="5"/>
  <c r="J1458" i="5"/>
  <c r="I1458" i="5"/>
  <c r="A1458" i="5"/>
  <c r="J1457" i="5"/>
  <c r="I1457" i="5"/>
  <c r="A1457" i="5"/>
  <c r="J1456" i="5"/>
  <c r="I1456" i="5"/>
  <c r="A1456" i="5"/>
  <c r="J1455" i="5"/>
  <c r="I1455" i="5"/>
  <c r="A1455" i="5"/>
  <c r="J1454" i="5"/>
  <c r="I1454" i="5"/>
  <c r="A1454" i="5"/>
  <c r="J1453" i="5"/>
  <c r="I1453" i="5"/>
  <c r="A1453" i="5"/>
  <c r="J1452" i="5"/>
  <c r="I1452" i="5"/>
  <c r="A1452" i="5"/>
  <c r="J1451" i="5"/>
  <c r="I1451" i="5"/>
  <c r="A1451" i="5"/>
  <c r="J1450" i="5"/>
  <c r="I1450" i="5"/>
  <c r="A1450" i="5"/>
  <c r="J1449" i="5"/>
  <c r="I1449" i="5"/>
  <c r="A1449" i="5"/>
  <c r="J1448" i="5"/>
  <c r="I1448" i="5"/>
  <c r="A1448" i="5"/>
  <c r="J1447" i="5"/>
  <c r="I1447" i="5"/>
  <c r="A1447" i="5"/>
  <c r="J1446" i="5"/>
  <c r="I1446" i="5"/>
  <c r="A1446" i="5"/>
  <c r="J1445" i="5"/>
  <c r="I1445" i="5"/>
  <c r="A1445" i="5"/>
  <c r="J1444" i="5"/>
  <c r="I1444" i="5"/>
  <c r="A1444" i="5"/>
  <c r="J1443" i="5"/>
  <c r="I1443" i="5"/>
  <c r="A1443" i="5"/>
  <c r="J1442" i="5"/>
  <c r="I1442" i="5"/>
  <c r="A1442" i="5"/>
  <c r="J1441" i="5"/>
  <c r="I1441" i="5"/>
  <c r="A1441" i="5"/>
  <c r="J1440" i="5"/>
  <c r="I1440" i="5"/>
  <c r="A1440" i="5"/>
  <c r="J1439" i="5"/>
  <c r="I1439" i="5"/>
  <c r="A1439" i="5"/>
  <c r="J1438" i="5"/>
  <c r="I1438" i="5"/>
  <c r="A1438" i="5"/>
  <c r="J1437" i="5"/>
  <c r="I1437" i="5"/>
  <c r="A1437" i="5"/>
  <c r="J1436" i="5"/>
  <c r="I1436" i="5"/>
  <c r="A1436" i="5"/>
  <c r="J1435" i="5"/>
  <c r="I1435" i="5"/>
  <c r="A1435" i="5"/>
  <c r="J1434" i="5"/>
  <c r="I1434" i="5"/>
  <c r="A1434" i="5"/>
  <c r="J1433" i="5"/>
  <c r="I1433" i="5"/>
  <c r="A1433" i="5"/>
  <c r="J1432" i="5"/>
  <c r="I1432" i="5"/>
  <c r="A1432" i="5"/>
  <c r="J1431" i="5"/>
  <c r="I1431" i="5"/>
  <c r="A1431" i="5"/>
  <c r="J1430" i="5"/>
  <c r="I1430" i="5"/>
  <c r="A1430" i="5"/>
  <c r="J1429" i="5"/>
  <c r="I1429" i="5"/>
  <c r="A1429" i="5"/>
  <c r="J1428" i="5"/>
  <c r="I1428" i="5"/>
  <c r="A1428" i="5"/>
  <c r="J1427" i="5"/>
  <c r="I1427" i="5"/>
  <c r="A1427" i="5"/>
  <c r="J1426" i="5"/>
  <c r="I1426" i="5"/>
  <c r="A1426" i="5"/>
  <c r="J1425" i="5"/>
  <c r="I1425" i="5"/>
  <c r="A1425" i="5"/>
  <c r="J1424" i="5"/>
  <c r="I1424" i="5"/>
  <c r="A1424" i="5"/>
  <c r="J1423" i="5"/>
  <c r="I1423" i="5"/>
  <c r="A1423" i="5"/>
  <c r="J1422" i="5"/>
  <c r="I1422" i="5"/>
  <c r="A1422" i="5"/>
  <c r="J1421" i="5"/>
  <c r="I1421" i="5"/>
  <c r="A1421" i="5"/>
  <c r="J1420" i="5"/>
  <c r="I1420" i="5"/>
  <c r="A1420" i="5"/>
  <c r="J1419" i="5"/>
  <c r="I1419" i="5"/>
  <c r="A1419" i="5"/>
  <c r="J1418" i="5"/>
  <c r="I1418" i="5"/>
  <c r="A1418" i="5"/>
  <c r="J1417" i="5"/>
  <c r="I1417" i="5"/>
  <c r="A1417" i="5"/>
  <c r="J1416" i="5"/>
  <c r="I1416" i="5"/>
  <c r="A1416" i="5"/>
  <c r="J1415" i="5"/>
  <c r="I1415" i="5"/>
  <c r="A1415" i="5"/>
  <c r="J1414" i="5"/>
  <c r="I1414" i="5"/>
  <c r="A1414" i="5"/>
  <c r="J1413" i="5"/>
  <c r="I1413" i="5"/>
  <c r="A1413" i="5"/>
  <c r="J1412" i="5"/>
  <c r="I1412" i="5"/>
  <c r="A1412" i="5"/>
  <c r="J1411" i="5"/>
  <c r="I1411" i="5"/>
  <c r="A1411" i="5"/>
  <c r="J1410" i="5"/>
  <c r="I1410" i="5"/>
  <c r="A1410" i="5"/>
  <c r="J1409" i="5"/>
  <c r="I1409" i="5"/>
  <c r="A1409" i="5"/>
  <c r="J1408" i="5"/>
  <c r="I1408" i="5"/>
  <c r="A1408" i="5"/>
  <c r="J1407" i="5"/>
  <c r="I1407" i="5"/>
  <c r="A1407" i="5"/>
  <c r="J1406" i="5"/>
  <c r="I1406" i="5"/>
  <c r="A1406" i="5"/>
  <c r="J1405" i="5"/>
  <c r="I1405" i="5"/>
  <c r="A1405" i="5"/>
  <c r="J1404" i="5"/>
  <c r="I1404" i="5"/>
  <c r="A1404" i="5"/>
  <c r="J1403" i="5"/>
  <c r="I1403" i="5"/>
  <c r="A1403" i="5"/>
  <c r="J1402" i="5"/>
  <c r="I1402" i="5"/>
  <c r="A1402" i="5"/>
  <c r="J1401" i="5"/>
  <c r="I1401" i="5"/>
  <c r="A1401" i="5"/>
  <c r="J1400" i="5"/>
  <c r="I1400" i="5"/>
  <c r="A1400" i="5"/>
  <c r="J1399" i="5"/>
  <c r="I1399" i="5"/>
  <c r="A1399" i="5"/>
  <c r="J1398" i="5"/>
  <c r="I1398" i="5"/>
  <c r="A1398" i="5"/>
  <c r="J1397" i="5"/>
  <c r="I1397" i="5"/>
  <c r="A1397" i="5"/>
  <c r="J1396" i="5"/>
  <c r="I1396" i="5"/>
  <c r="A1396" i="5"/>
  <c r="J1395" i="5"/>
  <c r="I1395" i="5"/>
  <c r="A1395" i="5"/>
  <c r="J1394" i="5"/>
  <c r="I1394" i="5"/>
  <c r="A1394" i="5"/>
  <c r="J1393" i="5"/>
  <c r="I1393" i="5"/>
  <c r="A1393" i="5"/>
  <c r="J1392" i="5"/>
  <c r="I1392" i="5"/>
  <c r="A1392" i="5"/>
  <c r="J1391" i="5"/>
  <c r="I1391" i="5"/>
  <c r="A1391" i="5"/>
  <c r="J1390" i="5"/>
  <c r="I1390" i="5"/>
  <c r="A1390" i="5"/>
  <c r="J1389" i="5"/>
  <c r="I1389" i="5"/>
  <c r="A1389" i="5"/>
  <c r="J1388" i="5"/>
  <c r="I1388" i="5"/>
  <c r="A1388" i="5"/>
  <c r="J1387" i="5"/>
  <c r="I1387" i="5"/>
  <c r="A1387" i="5"/>
  <c r="J1386" i="5"/>
  <c r="I1386" i="5"/>
  <c r="A1386" i="5"/>
  <c r="J1385" i="5"/>
  <c r="I1385" i="5"/>
  <c r="A1385" i="5"/>
  <c r="J1384" i="5"/>
  <c r="I1384" i="5"/>
  <c r="A1384" i="5"/>
  <c r="J1383" i="5"/>
  <c r="I1383" i="5"/>
  <c r="A1383" i="5"/>
  <c r="J1382" i="5"/>
  <c r="I1382" i="5"/>
  <c r="A1382" i="5"/>
  <c r="J1381" i="5"/>
  <c r="I1381" i="5"/>
  <c r="A1381" i="5"/>
  <c r="J1380" i="5"/>
  <c r="I1380" i="5"/>
  <c r="A1380" i="5"/>
  <c r="J1379" i="5"/>
  <c r="I1379" i="5"/>
  <c r="A1379" i="5"/>
  <c r="J1378" i="5"/>
  <c r="I1378" i="5"/>
  <c r="A1378" i="5"/>
  <c r="J1377" i="5"/>
  <c r="I1377" i="5"/>
  <c r="A1377" i="5"/>
  <c r="J1376" i="5"/>
  <c r="I1376" i="5"/>
  <c r="A1376" i="5"/>
  <c r="J1375" i="5"/>
  <c r="I1375" i="5"/>
  <c r="A1375" i="5"/>
  <c r="J1374" i="5"/>
  <c r="I1374" i="5"/>
  <c r="A1374" i="5"/>
  <c r="J1373" i="5"/>
  <c r="I1373" i="5"/>
  <c r="A1373" i="5"/>
  <c r="J1372" i="5"/>
  <c r="I1372" i="5"/>
  <c r="A1372" i="5"/>
  <c r="J1371" i="5"/>
  <c r="I1371" i="5"/>
  <c r="A1371" i="5"/>
  <c r="J1370" i="5"/>
  <c r="I1370" i="5"/>
  <c r="A1370" i="5"/>
  <c r="J1369" i="5"/>
  <c r="I1369" i="5"/>
  <c r="A1369" i="5"/>
  <c r="J1368" i="5"/>
  <c r="I1368" i="5"/>
  <c r="A1368" i="5"/>
  <c r="J1367" i="5"/>
  <c r="I1367" i="5"/>
  <c r="A1367" i="5"/>
  <c r="J1366" i="5"/>
  <c r="I1366" i="5"/>
  <c r="A1366" i="5"/>
  <c r="J1365" i="5"/>
  <c r="I1365" i="5"/>
  <c r="A1365" i="5"/>
  <c r="J1364" i="5"/>
  <c r="I1364" i="5"/>
  <c r="A1364" i="5"/>
  <c r="J1363" i="5"/>
  <c r="I1363" i="5"/>
  <c r="A1363" i="5"/>
  <c r="J1362" i="5"/>
  <c r="I1362" i="5"/>
  <c r="A1362" i="5"/>
  <c r="J1361" i="5"/>
  <c r="I1361" i="5"/>
  <c r="A1361" i="5"/>
  <c r="J1360" i="5"/>
  <c r="I1360" i="5"/>
  <c r="A1360" i="5"/>
  <c r="J1359" i="5"/>
  <c r="I1359" i="5"/>
  <c r="A1359" i="5"/>
  <c r="J1358" i="5"/>
  <c r="I1358" i="5"/>
  <c r="A1358" i="5"/>
  <c r="J1357" i="5"/>
  <c r="I1357" i="5"/>
  <c r="A1357" i="5"/>
  <c r="J1356" i="5"/>
  <c r="I1356" i="5"/>
  <c r="A1356" i="5"/>
  <c r="J1355" i="5"/>
  <c r="I1355" i="5"/>
  <c r="A1355" i="5"/>
  <c r="J1354" i="5"/>
  <c r="I1354" i="5"/>
  <c r="A1354" i="5"/>
  <c r="J1353" i="5"/>
  <c r="I1353" i="5"/>
  <c r="A1353" i="5"/>
  <c r="J1352" i="5"/>
  <c r="I1352" i="5"/>
  <c r="A1352" i="5"/>
  <c r="J1351" i="5"/>
  <c r="I1351" i="5"/>
  <c r="A1351" i="5"/>
  <c r="J1350" i="5"/>
  <c r="I1350" i="5"/>
  <c r="A1350" i="5"/>
  <c r="J1349" i="5"/>
  <c r="I1349" i="5"/>
  <c r="A1349" i="5"/>
  <c r="J1348" i="5"/>
  <c r="I1348" i="5"/>
  <c r="A1348" i="5"/>
  <c r="J1347" i="5"/>
  <c r="I1347" i="5"/>
  <c r="A1347" i="5"/>
  <c r="J1346" i="5"/>
  <c r="I1346" i="5"/>
  <c r="A1346" i="5"/>
  <c r="J1345" i="5"/>
  <c r="I1345" i="5"/>
  <c r="A1345" i="5"/>
  <c r="J1344" i="5"/>
  <c r="I1344" i="5"/>
  <c r="A1344" i="5"/>
  <c r="J1343" i="5"/>
  <c r="I1343" i="5"/>
  <c r="A1343" i="5"/>
  <c r="J1342" i="5"/>
  <c r="I1342" i="5"/>
  <c r="A1342" i="5"/>
  <c r="J1341" i="5"/>
  <c r="I1341" i="5"/>
  <c r="A1341" i="5"/>
  <c r="J1340" i="5"/>
  <c r="I1340" i="5"/>
  <c r="A1340" i="5"/>
  <c r="J1339" i="5"/>
  <c r="I1339" i="5"/>
  <c r="A1339" i="5"/>
  <c r="J1338" i="5"/>
  <c r="I1338" i="5"/>
  <c r="A1338" i="5"/>
  <c r="J1337" i="5"/>
  <c r="I1337" i="5"/>
  <c r="A1337" i="5"/>
  <c r="J1336" i="5"/>
  <c r="I1336" i="5"/>
  <c r="A1336" i="5"/>
  <c r="J1335" i="5"/>
  <c r="I1335" i="5"/>
  <c r="A1335" i="5"/>
  <c r="J1334" i="5"/>
  <c r="I1334" i="5"/>
  <c r="A1334" i="5"/>
  <c r="J1333" i="5"/>
  <c r="I1333" i="5"/>
  <c r="A1333" i="5"/>
  <c r="J1332" i="5"/>
  <c r="I1332" i="5"/>
  <c r="A1332" i="5"/>
  <c r="J1331" i="5"/>
  <c r="I1331" i="5"/>
  <c r="A1331" i="5"/>
  <c r="J1330" i="5"/>
  <c r="I1330" i="5"/>
  <c r="A1330" i="5"/>
  <c r="J1329" i="5"/>
  <c r="I1329" i="5"/>
  <c r="A1329" i="5"/>
  <c r="J1328" i="5"/>
  <c r="I1328" i="5"/>
  <c r="A1328" i="5"/>
  <c r="J1327" i="5"/>
  <c r="I1327" i="5"/>
  <c r="A1327" i="5"/>
  <c r="J1326" i="5"/>
  <c r="I1326" i="5"/>
  <c r="A1326" i="5"/>
  <c r="J1325" i="5"/>
  <c r="I1325" i="5"/>
  <c r="A1325" i="5"/>
  <c r="J1324" i="5"/>
  <c r="I1324" i="5"/>
  <c r="A1324" i="5"/>
  <c r="J1323" i="5"/>
  <c r="I1323" i="5"/>
  <c r="A1323" i="5"/>
  <c r="J1322" i="5"/>
  <c r="I1322" i="5"/>
  <c r="A1322" i="5"/>
  <c r="J1321" i="5"/>
  <c r="I1321" i="5"/>
  <c r="A1321" i="5"/>
  <c r="J1320" i="5"/>
  <c r="I1320" i="5"/>
  <c r="A1320" i="5"/>
  <c r="J1319" i="5"/>
  <c r="I1319" i="5"/>
  <c r="A1319" i="5"/>
  <c r="J1318" i="5"/>
  <c r="I1318" i="5"/>
  <c r="A1318" i="5"/>
  <c r="J1317" i="5"/>
  <c r="I1317" i="5"/>
  <c r="A1317" i="5"/>
  <c r="J1316" i="5"/>
  <c r="I1316" i="5"/>
  <c r="A1316" i="5"/>
  <c r="J1315" i="5"/>
  <c r="I1315" i="5"/>
  <c r="A1315" i="5"/>
  <c r="J1314" i="5"/>
  <c r="I1314" i="5"/>
  <c r="A1314" i="5"/>
  <c r="J1313" i="5"/>
  <c r="I1313" i="5"/>
  <c r="A1313" i="5"/>
  <c r="J1312" i="5"/>
  <c r="I1312" i="5"/>
  <c r="A1312" i="5"/>
  <c r="J1311" i="5"/>
  <c r="I1311" i="5"/>
  <c r="A1311" i="5"/>
  <c r="J1310" i="5"/>
  <c r="I1310" i="5"/>
  <c r="A1310" i="5"/>
  <c r="J1309" i="5"/>
  <c r="I1309" i="5"/>
  <c r="A1309" i="5"/>
  <c r="J1308" i="5"/>
  <c r="I1308" i="5"/>
  <c r="A1308" i="5"/>
  <c r="J1307" i="5"/>
  <c r="I1307" i="5"/>
  <c r="A1307" i="5"/>
  <c r="J1306" i="5"/>
  <c r="I1306" i="5"/>
  <c r="A1306" i="5"/>
  <c r="J1305" i="5"/>
  <c r="I1305" i="5"/>
  <c r="A1305" i="5"/>
  <c r="J1304" i="5"/>
  <c r="I1304" i="5"/>
  <c r="A1304" i="5"/>
  <c r="J1303" i="5"/>
  <c r="I1303" i="5"/>
  <c r="A1303" i="5"/>
  <c r="J1302" i="5"/>
  <c r="I1302" i="5"/>
  <c r="A1302" i="5"/>
  <c r="J1301" i="5"/>
  <c r="I1301" i="5"/>
  <c r="A1301" i="5"/>
  <c r="J1300" i="5"/>
  <c r="I1300" i="5"/>
  <c r="A1300" i="5"/>
  <c r="J1299" i="5"/>
  <c r="I1299" i="5"/>
  <c r="A1299" i="5"/>
  <c r="J1298" i="5"/>
  <c r="I1298" i="5"/>
  <c r="A1298" i="5"/>
  <c r="J1297" i="5"/>
  <c r="I1297" i="5"/>
  <c r="A1297" i="5"/>
  <c r="J1296" i="5"/>
  <c r="I1296" i="5"/>
  <c r="A1296" i="5"/>
  <c r="J1295" i="5"/>
  <c r="I1295" i="5"/>
  <c r="A1295" i="5"/>
  <c r="J1294" i="5"/>
  <c r="I1294" i="5"/>
  <c r="A1294" i="5"/>
  <c r="J1293" i="5"/>
  <c r="I1293" i="5"/>
  <c r="A1293" i="5"/>
  <c r="J1292" i="5"/>
  <c r="I1292" i="5"/>
  <c r="A1292" i="5"/>
  <c r="J1291" i="5"/>
  <c r="I1291" i="5"/>
  <c r="A1291" i="5"/>
  <c r="J1290" i="5"/>
  <c r="I1290" i="5"/>
  <c r="A1290" i="5"/>
  <c r="J1289" i="5"/>
  <c r="I1289" i="5"/>
  <c r="A1289" i="5"/>
  <c r="J1288" i="5"/>
  <c r="I1288" i="5"/>
  <c r="A1288" i="5"/>
  <c r="J1287" i="5"/>
  <c r="I1287" i="5"/>
  <c r="A1287" i="5"/>
  <c r="J1286" i="5"/>
  <c r="I1286" i="5"/>
  <c r="A1286" i="5"/>
  <c r="J1285" i="5"/>
  <c r="I1285" i="5"/>
  <c r="A1285" i="5"/>
  <c r="J1284" i="5"/>
  <c r="I1284" i="5"/>
  <c r="A1284" i="5"/>
  <c r="J1283" i="5"/>
  <c r="I1283" i="5"/>
  <c r="A1283" i="5"/>
  <c r="J1282" i="5"/>
  <c r="I1282" i="5"/>
  <c r="A1282" i="5"/>
  <c r="J1281" i="5"/>
  <c r="I1281" i="5"/>
  <c r="A1281" i="5"/>
  <c r="J1280" i="5"/>
  <c r="I1280" i="5"/>
  <c r="A1280" i="5"/>
  <c r="J1279" i="5"/>
  <c r="I1279" i="5"/>
  <c r="A1279" i="5"/>
  <c r="J1278" i="5"/>
  <c r="I1278" i="5"/>
  <c r="A1278" i="5"/>
  <c r="J1277" i="5"/>
  <c r="I1277" i="5"/>
  <c r="A1277" i="5"/>
  <c r="J1276" i="5"/>
  <c r="I1276" i="5"/>
  <c r="A1276" i="5"/>
  <c r="J1275" i="5"/>
  <c r="I1275" i="5"/>
  <c r="A1275" i="5"/>
  <c r="J1274" i="5"/>
  <c r="I1274" i="5"/>
  <c r="A1274" i="5"/>
  <c r="J1273" i="5"/>
  <c r="I1273" i="5"/>
  <c r="A1273" i="5"/>
  <c r="J1272" i="5"/>
  <c r="I1272" i="5"/>
  <c r="A1272" i="5"/>
  <c r="J1271" i="5"/>
  <c r="I1271" i="5"/>
  <c r="A1271" i="5"/>
  <c r="J1270" i="5"/>
  <c r="I1270" i="5"/>
  <c r="A1270" i="5"/>
  <c r="J1269" i="5"/>
  <c r="I1269" i="5"/>
  <c r="A1269" i="5"/>
  <c r="J1268" i="5"/>
  <c r="I1268" i="5"/>
  <c r="A1268" i="5"/>
  <c r="J1267" i="5"/>
  <c r="I1267" i="5"/>
  <c r="A1267" i="5"/>
  <c r="J1266" i="5"/>
  <c r="I1266" i="5"/>
  <c r="A1266" i="5"/>
  <c r="J1265" i="5"/>
  <c r="I1265" i="5"/>
  <c r="A1265" i="5"/>
  <c r="J1264" i="5"/>
  <c r="I1264" i="5"/>
  <c r="A1264" i="5"/>
  <c r="J1263" i="5"/>
  <c r="I1263" i="5"/>
  <c r="A1263" i="5"/>
  <c r="J1262" i="5"/>
  <c r="I1262" i="5"/>
  <c r="A1262" i="5"/>
  <c r="J1261" i="5"/>
  <c r="I1261" i="5"/>
  <c r="A1261" i="5"/>
  <c r="J1260" i="5"/>
  <c r="I1260" i="5"/>
  <c r="A1260" i="5"/>
  <c r="J1259" i="5"/>
  <c r="I1259" i="5"/>
  <c r="A1259" i="5"/>
  <c r="J1258" i="5"/>
  <c r="I1258" i="5"/>
  <c r="A1258" i="5"/>
  <c r="J1257" i="5"/>
  <c r="I1257" i="5"/>
  <c r="A1257" i="5"/>
  <c r="J1256" i="5"/>
  <c r="I1256" i="5"/>
  <c r="A1256" i="5"/>
  <c r="J1255" i="5"/>
  <c r="I1255" i="5"/>
  <c r="A1255" i="5"/>
  <c r="J1254" i="5"/>
  <c r="I1254" i="5"/>
  <c r="A1254" i="5"/>
  <c r="J1253" i="5"/>
  <c r="I1253" i="5"/>
  <c r="A1253" i="5"/>
  <c r="J1252" i="5"/>
  <c r="I1252" i="5"/>
  <c r="A1252" i="5"/>
  <c r="J1251" i="5"/>
  <c r="I1251" i="5"/>
  <c r="A1251" i="5"/>
  <c r="J1250" i="5"/>
  <c r="I1250" i="5"/>
  <c r="A1250" i="5"/>
  <c r="J1249" i="5"/>
  <c r="I1249" i="5"/>
  <c r="A1249" i="5"/>
  <c r="J1248" i="5"/>
  <c r="I1248" i="5"/>
  <c r="A1248" i="5"/>
  <c r="J1247" i="5"/>
  <c r="I1247" i="5"/>
  <c r="A1247" i="5"/>
  <c r="J1246" i="5"/>
  <c r="I1246" i="5"/>
  <c r="A1246" i="5"/>
  <c r="J1245" i="5"/>
  <c r="I1245" i="5"/>
  <c r="A1245" i="5"/>
  <c r="J1244" i="5"/>
  <c r="I1244" i="5"/>
  <c r="A1244" i="5"/>
  <c r="J1243" i="5"/>
  <c r="I1243" i="5"/>
  <c r="A1243" i="5"/>
  <c r="J1242" i="5"/>
  <c r="I1242" i="5"/>
  <c r="A1242" i="5"/>
  <c r="J1241" i="5"/>
  <c r="I1241" i="5"/>
  <c r="A1241" i="5"/>
  <c r="J1240" i="5"/>
  <c r="I1240" i="5"/>
  <c r="A1240" i="5"/>
  <c r="J1239" i="5"/>
  <c r="I1239" i="5"/>
  <c r="A1239" i="5"/>
  <c r="J1238" i="5"/>
  <c r="I1238" i="5"/>
  <c r="A1238" i="5"/>
  <c r="J1237" i="5"/>
  <c r="I1237" i="5"/>
  <c r="A1237" i="5"/>
  <c r="J1236" i="5"/>
  <c r="I1236" i="5"/>
  <c r="A1236" i="5"/>
  <c r="J1235" i="5"/>
  <c r="I1235" i="5"/>
  <c r="A1235" i="5"/>
  <c r="J1234" i="5"/>
  <c r="I1234" i="5"/>
  <c r="A1234" i="5"/>
  <c r="J1233" i="5"/>
  <c r="I1233" i="5"/>
  <c r="A1233" i="5"/>
  <c r="J1232" i="5"/>
  <c r="I1232" i="5"/>
  <c r="A1232" i="5"/>
  <c r="J1231" i="5"/>
  <c r="I1231" i="5"/>
  <c r="A1231" i="5"/>
  <c r="J1230" i="5"/>
  <c r="I1230" i="5"/>
  <c r="A1230" i="5"/>
  <c r="J1229" i="5"/>
  <c r="I1229" i="5"/>
  <c r="A1229" i="5"/>
  <c r="J1228" i="5"/>
  <c r="I1228" i="5"/>
  <c r="A1228" i="5"/>
  <c r="J1227" i="5"/>
  <c r="I1227" i="5"/>
  <c r="A1227" i="5"/>
  <c r="J1226" i="5"/>
  <c r="I1226" i="5"/>
  <c r="A1226" i="5"/>
  <c r="J1225" i="5"/>
  <c r="I1225" i="5"/>
  <c r="A1225" i="5"/>
  <c r="J1224" i="5"/>
  <c r="I1224" i="5"/>
  <c r="A1224" i="5"/>
  <c r="J1223" i="5"/>
  <c r="I1223" i="5"/>
  <c r="A1223" i="5"/>
  <c r="J1222" i="5"/>
  <c r="I1222" i="5"/>
  <c r="A1222" i="5"/>
  <c r="J1221" i="5"/>
  <c r="I1221" i="5"/>
  <c r="A1221" i="5"/>
  <c r="J1220" i="5"/>
  <c r="I1220" i="5"/>
  <c r="A1220" i="5"/>
  <c r="J1219" i="5"/>
  <c r="I1219" i="5"/>
  <c r="A1219" i="5"/>
  <c r="J1218" i="5"/>
  <c r="I1218" i="5"/>
  <c r="A1218" i="5"/>
  <c r="J1217" i="5"/>
  <c r="I1217" i="5"/>
  <c r="A1217" i="5"/>
  <c r="J1216" i="5"/>
  <c r="I1216" i="5"/>
  <c r="A1216" i="5"/>
  <c r="J1215" i="5"/>
  <c r="I1215" i="5"/>
  <c r="A1215" i="5"/>
  <c r="J1214" i="5"/>
  <c r="I1214" i="5"/>
  <c r="A1214" i="5"/>
  <c r="J1213" i="5"/>
  <c r="I1213" i="5"/>
  <c r="A1213" i="5"/>
  <c r="J1212" i="5"/>
  <c r="I1212" i="5"/>
  <c r="A1212" i="5"/>
  <c r="J1211" i="5"/>
  <c r="I1211" i="5"/>
  <c r="A1211" i="5"/>
  <c r="J1210" i="5"/>
  <c r="I1210" i="5"/>
  <c r="A1210" i="5"/>
  <c r="J1209" i="5"/>
  <c r="I1209" i="5"/>
  <c r="A1209" i="5"/>
  <c r="J1208" i="5"/>
  <c r="I1208" i="5"/>
  <c r="A1208" i="5"/>
  <c r="J1207" i="5"/>
  <c r="I1207" i="5"/>
  <c r="A1207" i="5"/>
  <c r="J1206" i="5"/>
  <c r="I1206" i="5"/>
  <c r="A1206" i="5"/>
  <c r="J1205" i="5"/>
  <c r="I1205" i="5"/>
  <c r="A1205" i="5"/>
  <c r="J1204" i="5"/>
  <c r="I1204" i="5"/>
  <c r="A1204" i="5"/>
  <c r="J1203" i="5"/>
  <c r="I1203" i="5"/>
  <c r="A1203" i="5"/>
  <c r="J1202" i="5"/>
  <c r="I1202" i="5"/>
  <c r="A1202" i="5"/>
  <c r="J1201" i="5"/>
  <c r="I1201" i="5"/>
  <c r="A1201" i="5"/>
  <c r="J1200" i="5"/>
  <c r="I1200" i="5"/>
  <c r="A1200" i="5"/>
  <c r="J1199" i="5"/>
  <c r="I1199" i="5"/>
  <c r="A1199" i="5"/>
  <c r="J1198" i="5"/>
  <c r="I1198" i="5"/>
  <c r="A1198" i="5"/>
  <c r="J1197" i="5"/>
  <c r="I1197" i="5"/>
  <c r="A1197" i="5"/>
  <c r="J1196" i="5"/>
  <c r="I1196" i="5"/>
  <c r="A1196" i="5"/>
  <c r="J1195" i="5"/>
  <c r="I1195" i="5"/>
  <c r="A1195" i="5"/>
  <c r="J1194" i="5"/>
  <c r="I1194" i="5"/>
  <c r="A1194" i="5"/>
  <c r="J1193" i="5"/>
  <c r="I1193" i="5"/>
  <c r="A1193" i="5"/>
  <c r="J1192" i="5"/>
  <c r="I1192" i="5"/>
  <c r="A1192" i="5"/>
  <c r="J1191" i="5"/>
  <c r="I1191" i="5"/>
  <c r="A1191" i="5"/>
  <c r="J1190" i="5"/>
  <c r="I1190" i="5"/>
  <c r="A1190" i="5"/>
  <c r="J1189" i="5"/>
  <c r="I1189" i="5"/>
  <c r="A1189" i="5"/>
  <c r="J1188" i="5"/>
  <c r="I1188" i="5"/>
  <c r="A1188" i="5"/>
  <c r="J1187" i="5"/>
  <c r="I1187" i="5"/>
  <c r="A1187" i="5"/>
  <c r="J1186" i="5"/>
  <c r="I1186" i="5"/>
  <c r="A1186" i="5"/>
  <c r="J1185" i="5"/>
  <c r="I1185" i="5"/>
  <c r="A1185" i="5"/>
  <c r="J1184" i="5"/>
  <c r="I1184" i="5"/>
  <c r="A1184" i="5"/>
  <c r="J1183" i="5"/>
  <c r="I1183" i="5"/>
  <c r="A1183" i="5"/>
  <c r="J1182" i="5"/>
  <c r="I1182" i="5"/>
  <c r="A1182" i="5"/>
  <c r="J1181" i="5"/>
  <c r="I1181" i="5"/>
  <c r="A1181" i="5"/>
  <c r="J1180" i="5"/>
  <c r="I1180" i="5"/>
  <c r="A1180" i="5"/>
  <c r="J1179" i="5"/>
  <c r="I1179" i="5"/>
  <c r="A1179" i="5"/>
  <c r="J1178" i="5"/>
  <c r="I1178" i="5"/>
  <c r="A1178" i="5"/>
  <c r="J1177" i="5"/>
  <c r="I1177" i="5"/>
  <c r="A1177" i="5"/>
  <c r="J1176" i="5"/>
  <c r="I1176" i="5"/>
  <c r="A1176" i="5"/>
  <c r="J1175" i="5"/>
  <c r="I1175" i="5"/>
  <c r="A1175" i="5"/>
  <c r="J1174" i="5"/>
  <c r="I1174" i="5"/>
  <c r="A1174" i="5"/>
  <c r="J1173" i="5"/>
  <c r="I1173" i="5"/>
  <c r="A1173" i="5"/>
  <c r="J1172" i="5"/>
  <c r="I1172" i="5"/>
  <c r="A1172" i="5"/>
  <c r="J1171" i="5"/>
  <c r="I1171" i="5"/>
  <c r="A1171" i="5"/>
  <c r="J1170" i="5"/>
  <c r="I1170" i="5"/>
  <c r="A1170" i="5"/>
  <c r="J1169" i="5"/>
  <c r="I1169" i="5"/>
  <c r="A1169" i="5"/>
  <c r="J1168" i="5"/>
  <c r="I1168" i="5"/>
  <c r="A1168" i="5"/>
  <c r="J1167" i="5"/>
  <c r="I1167" i="5"/>
  <c r="A1167" i="5"/>
  <c r="J1166" i="5"/>
  <c r="I1166" i="5"/>
  <c r="A1166" i="5"/>
  <c r="J1165" i="5"/>
  <c r="I1165" i="5"/>
  <c r="A1165" i="5"/>
  <c r="J1164" i="5"/>
  <c r="I1164" i="5"/>
  <c r="A1164" i="5"/>
  <c r="J1163" i="5"/>
  <c r="I1163" i="5"/>
  <c r="A1163" i="5"/>
  <c r="J1162" i="5"/>
  <c r="I1162" i="5"/>
  <c r="A1162" i="5"/>
  <c r="J1161" i="5"/>
  <c r="I1161" i="5"/>
  <c r="A1161" i="5"/>
  <c r="J1160" i="5"/>
  <c r="I1160" i="5"/>
  <c r="A1160" i="5"/>
  <c r="J1159" i="5"/>
  <c r="I1159" i="5"/>
  <c r="A1159" i="5"/>
  <c r="J1158" i="5"/>
  <c r="I1158" i="5"/>
  <c r="A1158" i="5"/>
  <c r="J1157" i="5"/>
  <c r="I1157" i="5"/>
  <c r="A1157" i="5"/>
  <c r="J1156" i="5"/>
  <c r="I1156" i="5"/>
  <c r="A1156" i="5"/>
  <c r="J1155" i="5"/>
  <c r="I1155" i="5"/>
  <c r="A1155" i="5"/>
  <c r="J1154" i="5"/>
  <c r="I1154" i="5"/>
  <c r="A1154" i="5"/>
  <c r="J1153" i="5"/>
  <c r="I1153" i="5"/>
  <c r="A1153" i="5"/>
  <c r="J1152" i="5"/>
  <c r="I1152" i="5"/>
  <c r="A1152" i="5"/>
  <c r="J1151" i="5"/>
  <c r="I1151" i="5"/>
  <c r="A1151" i="5"/>
  <c r="J1150" i="5"/>
  <c r="I1150" i="5"/>
  <c r="A1150" i="5"/>
  <c r="J1149" i="5"/>
  <c r="I1149" i="5"/>
  <c r="A1149" i="5"/>
  <c r="J1148" i="5"/>
  <c r="I1148" i="5"/>
  <c r="A1148" i="5"/>
  <c r="J1147" i="5"/>
  <c r="I1147" i="5"/>
  <c r="A1147" i="5"/>
  <c r="J1146" i="5"/>
  <c r="I1146" i="5"/>
  <c r="A1146" i="5"/>
  <c r="J1145" i="5"/>
  <c r="I1145" i="5"/>
  <c r="A1145" i="5"/>
  <c r="J1144" i="5"/>
  <c r="I1144" i="5"/>
  <c r="A1144" i="5"/>
  <c r="J1143" i="5"/>
  <c r="I1143" i="5"/>
  <c r="A1143" i="5"/>
  <c r="J1142" i="5"/>
  <c r="I1142" i="5"/>
  <c r="A1142" i="5"/>
  <c r="J1141" i="5"/>
  <c r="I1141" i="5"/>
  <c r="A1141" i="5"/>
  <c r="J1140" i="5"/>
  <c r="I1140" i="5"/>
  <c r="A1140" i="5"/>
  <c r="J1139" i="5"/>
  <c r="I1139" i="5"/>
  <c r="A1139" i="5"/>
  <c r="J1138" i="5"/>
  <c r="I1138" i="5"/>
  <c r="A1138" i="5"/>
  <c r="J1137" i="5"/>
  <c r="I1137" i="5"/>
  <c r="A1137" i="5"/>
  <c r="J1136" i="5"/>
  <c r="I1136" i="5"/>
  <c r="A1136" i="5"/>
  <c r="J1135" i="5"/>
  <c r="I1135" i="5"/>
  <c r="A1135" i="5"/>
  <c r="J1134" i="5"/>
  <c r="I1134" i="5"/>
  <c r="A1134" i="5"/>
  <c r="J1133" i="5"/>
  <c r="I1133" i="5"/>
  <c r="A1133" i="5"/>
  <c r="J1132" i="5"/>
  <c r="I1132" i="5"/>
  <c r="A1132" i="5"/>
  <c r="J1131" i="5"/>
  <c r="I1131" i="5"/>
  <c r="A1131" i="5"/>
  <c r="J1130" i="5"/>
  <c r="I1130" i="5"/>
  <c r="A1130" i="5"/>
  <c r="J1129" i="5"/>
  <c r="I1129" i="5"/>
  <c r="A1129" i="5"/>
  <c r="J1128" i="5"/>
  <c r="I1128" i="5"/>
  <c r="A1128" i="5"/>
  <c r="J1127" i="5"/>
  <c r="I1127" i="5"/>
  <c r="A1127" i="5"/>
  <c r="J1126" i="5"/>
  <c r="I1126" i="5"/>
  <c r="A1126" i="5"/>
  <c r="J1125" i="5"/>
  <c r="I1125" i="5"/>
  <c r="A1125" i="5"/>
  <c r="J1124" i="5"/>
  <c r="I1124" i="5"/>
  <c r="A1124" i="5"/>
  <c r="J1123" i="5"/>
  <c r="I1123" i="5"/>
  <c r="A1123" i="5"/>
  <c r="J1122" i="5"/>
  <c r="I1122" i="5"/>
  <c r="A1122" i="5"/>
  <c r="J1121" i="5"/>
  <c r="I1121" i="5"/>
  <c r="A1121" i="5"/>
  <c r="J1120" i="5"/>
  <c r="I1120" i="5"/>
  <c r="A1120" i="5"/>
  <c r="J1119" i="5"/>
  <c r="I1119" i="5"/>
  <c r="A1119" i="5"/>
  <c r="J1118" i="5"/>
  <c r="I1118" i="5"/>
  <c r="A1118" i="5"/>
  <c r="J1117" i="5"/>
  <c r="I1117" i="5"/>
  <c r="A1117" i="5"/>
  <c r="J1116" i="5"/>
  <c r="I1116" i="5"/>
  <c r="A1116" i="5"/>
  <c r="J1115" i="5"/>
  <c r="I1115" i="5"/>
  <c r="A1115" i="5"/>
  <c r="J1114" i="5"/>
  <c r="I1114" i="5"/>
  <c r="A1114" i="5"/>
  <c r="J1113" i="5"/>
  <c r="I1113" i="5"/>
  <c r="A1113" i="5"/>
  <c r="J1112" i="5"/>
  <c r="I1112" i="5"/>
  <c r="A1112" i="5"/>
  <c r="J1111" i="5"/>
  <c r="I1111" i="5"/>
  <c r="A1111" i="5"/>
  <c r="J1110" i="5"/>
  <c r="I1110" i="5"/>
  <c r="A1110" i="5"/>
  <c r="J1109" i="5"/>
  <c r="I1109" i="5"/>
  <c r="A1109" i="5"/>
  <c r="J1108" i="5"/>
  <c r="I1108" i="5"/>
  <c r="A1108" i="5"/>
  <c r="J1107" i="5"/>
  <c r="I1107" i="5"/>
  <c r="A1107" i="5"/>
  <c r="J1106" i="5"/>
  <c r="I1106" i="5"/>
  <c r="A1106" i="5"/>
  <c r="J1105" i="5"/>
  <c r="I1105" i="5"/>
  <c r="A1105" i="5"/>
  <c r="J1104" i="5"/>
  <c r="I1104" i="5"/>
  <c r="A1104" i="5"/>
  <c r="J1103" i="5"/>
  <c r="I1103" i="5"/>
  <c r="A1103" i="5"/>
  <c r="J1102" i="5"/>
  <c r="I1102" i="5"/>
  <c r="A1102" i="5"/>
  <c r="J1101" i="5"/>
  <c r="I1101" i="5"/>
  <c r="A1101" i="5"/>
  <c r="J1100" i="5"/>
  <c r="I1100" i="5"/>
  <c r="A1100" i="5"/>
  <c r="J1099" i="5"/>
  <c r="I1099" i="5"/>
  <c r="A1099" i="5"/>
  <c r="J1098" i="5"/>
  <c r="I1098" i="5"/>
  <c r="A1098" i="5"/>
  <c r="J1097" i="5"/>
  <c r="I1097" i="5"/>
  <c r="A1097" i="5"/>
  <c r="J1096" i="5"/>
  <c r="I1096" i="5"/>
  <c r="A1096" i="5"/>
  <c r="J1095" i="5"/>
  <c r="I1095" i="5"/>
  <c r="A1095" i="5"/>
  <c r="J1094" i="5"/>
  <c r="I1094" i="5"/>
  <c r="A1094" i="5"/>
  <c r="J1093" i="5"/>
  <c r="I1093" i="5"/>
  <c r="A1093" i="5"/>
  <c r="J1092" i="5"/>
  <c r="I1092" i="5"/>
  <c r="A1092" i="5"/>
  <c r="J1091" i="5"/>
  <c r="I1091" i="5"/>
  <c r="A1091" i="5"/>
  <c r="J1090" i="5"/>
  <c r="I1090" i="5"/>
  <c r="A1090" i="5"/>
  <c r="J1089" i="5"/>
  <c r="I1089" i="5"/>
  <c r="A1089" i="5"/>
  <c r="J1088" i="5"/>
  <c r="I1088" i="5"/>
  <c r="A1088" i="5"/>
  <c r="J1087" i="5"/>
  <c r="I1087" i="5"/>
  <c r="A1087" i="5"/>
  <c r="J1086" i="5"/>
  <c r="I1086" i="5"/>
  <c r="A1086" i="5"/>
  <c r="J1085" i="5"/>
  <c r="I1085" i="5"/>
  <c r="A1085" i="5"/>
  <c r="J1084" i="5"/>
  <c r="I1084" i="5"/>
  <c r="A1084" i="5"/>
  <c r="J1083" i="5"/>
  <c r="I1083" i="5"/>
  <c r="A1083" i="5"/>
  <c r="J1082" i="5"/>
  <c r="I1082" i="5"/>
  <c r="A1082" i="5"/>
  <c r="J1081" i="5"/>
  <c r="I1081" i="5"/>
  <c r="A1081" i="5"/>
  <c r="J1080" i="5"/>
  <c r="I1080" i="5"/>
  <c r="A1080" i="5"/>
  <c r="J1079" i="5"/>
  <c r="I1079" i="5"/>
  <c r="A1079" i="5"/>
  <c r="J1078" i="5"/>
  <c r="I1078" i="5"/>
  <c r="A1078" i="5"/>
  <c r="J1077" i="5"/>
  <c r="I1077" i="5"/>
  <c r="A1077" i="5"/>
  <c r="J1076" i="5"/>
  <c r="I1076" i="5"/>
  <c r="A1076" i="5"/>
  <c r="J1075" i="5"/>
  <c r="I1075" i="5"/>
  <c r="A1075" i="5"/>
  <c r="J1074" i="5"/>
  <c r="I1074" i="5"/>
  <c r="A1074" i="5"/>
  <c r="J1073" i="5"/>
  <c r="I1073" i="5"/>
  <c r="A1073" i="5"/>
  <c r="J1072" i="5"/>
  <c r="I1072" i="5"/>
  <c r="A1072" i="5"/>
  <c r="J1071" i="5"/>
  <c r="I1071" i="5"/>
  <c r="A1071" i="5"/>
  <c r="J1070" i="5"/>
  <c r="I1070" i="5"/>
  <c r="A1070" i="5"/>
  <c r="J1069" i="5"/>
  <c r="I1069" i="5"/>
  <c r="A1069" i="5"/>
  <c r="J1068" i="5"/>
  <c r="I1068" i="5"/>
  <c r="A1068" i="5"/>
  <c r="J1067" i="5"/>
  <c r="I1067" i="5"/>
  <c r="A1067" i="5"/>
  <c r="J1066" i="5"/>
  <c r="I1066" i="5"/>
  <c r="A1066" i="5"/>
  <c r="J1065" i="5"/>
  <c r="I1065" i="5"/>
  <c r="A1065" i="5"/>
  <c r="J1064" i="5"/>
  <c r="I1064" i="5"/>
  <c r="A1064" i="5"/>
  <c r="J1063" i="5"/>
  <c r="I1063" i="5"/>
  <c r="A1063" i="5"/>
  <c r="J1062" i="5"/>
  <c r="I1062" i="5"/>
  <c r="A1062" i="5"/>
  <c r="J1061" i="5"/>
  <c r="I1061" i="5"/>
  <c r="A1061" i="5"/>
  <c r="J1060" i="5"/>
  <c r="I1060" i="5"/>
  <c r="A1060" i="5"/>
  <c r="J1059" i="5"/>
  <c r="I1059" i="5"/>
  <c r="A1059" i="5"/>
  <c r="J1058" i="5"/>
  <c r="I1058" i="5"/>
  <c r="A1058" i="5"/>
  <c r="J1057" i="5"/>
  <c r="I1057" i="5"/>
  <c r="A1057" i="5"/>
  <c r="J1056" i="5"/>
  <c r="I1056" i="5"/>
  <c r="A1056" i="5"/>
  <c r="J1055" i="5"/>
  <c r="I1055" i="5"/>
  <c r="A1055" i="5"/>
  <c r="J1054" i="5"/>
  <c r="I1054" i="5"/>
  <c r="A1054" i="5"/>
  <c r="J1053" i="5"/>
  <c r="I1053" i="5"/>
  <c r="A1053" i="5"/>
  <c r="J1052" i="5"/>
  <c r="I1052" i="5"/>
  <c r="A1052" i="5"/>
  <c r="J1051" i="5"/>
  <c r="I1051" i="5"/>
  <c r="A1051" i="5"/>
  <c r="J1050" i="5"/>
  <c r="I1050" i="5"/>
  <c r="A1050" i="5"/>
  <c r="J1049" i="5"/>
  <c r="I1049" i="5"/>
  <c r="A1049" i="5"/>
  <c r="J1048" i="5"/>
  <c r="I1048" i="5"/>
  <c r="A1048" i="5"/>
  <c r="J1047" i="5"/>
  <c r="I1047" i="5"/>
  <c r="A1047" i="5"/>
  <c r="J1046" i="5"/>
  <c r="I1046" i="5"/>
  <c r="A1046" i="5"/>
  <c r="J1045" i="5"/>
  <c r="I1045" i="5"/>
  <c r="A1045" i="5"/>
  <c r="J1044" i="5"/>
  <c r="I1044" i="5"/>
  <c r="A1044" i="5"/>
  <c r="J1043" i="5"/>
  <c r="I1043" i="5"/>
  <c r="A1043" i="5"/>
  <c r="J1042" i="5"/>
  <c r="I1042" i="5"/>
  <c r="A1042" i="5"/>
  <c r="J1041" i="5"/>
  <c r="I1041" i="5"/>
  <c r="A1041" i="5"/>
  <c r="J1040" i="5"/>
  <c r="I1040" i="5"/>
  <c r="A1040" i="5"/>
  <c r="J1039" i="5"/>
  <c r="I1039" i="5"/>
  <c r="A1039" i="5"/>
  <c r="J1038" i="5"/>
  <c r="I1038" i="5"/>
  <c r="A1038" i="5"/>
  <c r="J1037" i="5"/>
  <c r="I1037" i="5"/>
  <c r="A1037" i="5"/>
  <c r="J1036" i="5"/>
  <c r="I1036" i="5"/>
  <c r="A1036" i="5"/>
  <c r="J1035" i="5"/>
  <c r="I1035" i="5"/>
  <c r="A1035" i="5"/>
  <c r="J1034" i="5"/>
  <c r="I1034" i="5"/>
  <c r="A1034" i="5"/>
  <c r="J1033" i="5"/>
  <c r="I1033" i="5"/>
  <c r="A1033" i="5"/>
  <c r="J1032" i="5"/>
  <c r="I1032" i="5"/>
  <c r="A1032" i="5"/>
  <c r="J1031" i="5"/>
  <c r="I1031" i="5"/>
  <c r="A1031" i="5"/>
  <c r="J1030" i="5"/>
  <c r="I1030" i="5"/>
  <c r="A1030" i="5"/>
  <c r="J1029" i="5"/>
  <c r="I1029" i="5"/>
  <c r="A1029" i="5"/>
  <c r="J1028" i="5"/>
  <c r="I1028" i="5"/>
  <c r="A1028" i="5"/>
  <c r="J1027" i="5"/>
  <c r="I1027" i="5"/>
  <c r="A1027" i="5"/>
  <c r="J1026" i="5"/>
  <c r="I1026" i="5"/>
  <c r="A1026" i="5"/>
  <c r="J1025" i="5"/>
  <c r="I1025" i="5"/>
  <c r="A1025" i="5"/>
  <c r="J1024" i="5"/>
  <c r="I1024" i="5"/>
  <c r="A1024" i="5"/>
  <c r="J1023" i="5"/>
  <c r="I1023" i="5"/>
  <c r="A1023" i="5"/>
  <c r="J1022" i="5"/>
  <c r="I1022" i="5"/>
  <c r="A1022" i="5"/>
  <c r="J1021" i="5"/>
  <c r="I1021" i="5"/>
  <c r="A1021" i="5"/>
  <c r="J1020" i="5"/>
  <c r="I1020" i="5"/>
  <c r="A1020" i="5"/>
  <c r="J1019" i="5"/>
  <c r="I1019" i="5"/>
  <c r="A1019" i="5"/>
  <c r="J1018" i="5"/>
  <c r="I1018" i="5"/>
  <c r="A1018" i="5"/>
  <c r="J1017" i="5"/>
  <c r="I1017" i="5"/>
  <c r="A1017" i="5"/>
  <c r="J1016" i="5"/>
  <c r="I1016" i="5"/>
  <c r="A1016" i="5"/>
  <c r="J1015" i="5"/>
  <c r="I1015" i="5"/>
  <c r="A1015" i="5"/>
  <c r="J1014" i="5"/>
  <c r="I1014" i="5"/>
  <c r="A1014" i="5"/>
  <c r="J1013" i="5"/>
  <c r="I1013" i="5"/>
  <c r="A1013" i="5"/>
  <c r="J1012" i="5"/>
  <c r="I1012" i="5"/>
  <c r="A1012" i="5"/>
  <c r="J1011" i="5"/>
  <c r="I1011" i="5"/>
  <c r="A1011" i="5"/>
  <c r="J1010" i="5"/>
  <c r="I1010" i="5"/>
  <c r="A1010" i="5"/>
  <c r="J1009" i="5"/>
  <c r="I1009" i="5"/>
  <c r="A1009" i="5"/>
  <c r="J1008" i="5"/>
  <c r="I1008" i="5"/>
  <c r="A1008" i="5"/>
  <c r="J1007" i="5"/>
  <c r="I1007" i="5"/>
  <c r="A1007" i="5"/>
  <c r="J1006" i="5"/>
  <c r="I1006" i="5"/>
  <c r="A1006" i="5"/>
  <c r="J1005" i="5"/>
  <c r="I1005" i="5"/>
  <c r="A1005" i="5"/>
  <c r="J1004" i="5"/>
  <c r="I1004" i="5"/>
  <c r="A1004" i="5"/>
  <c r="J1003" i="5"/>
  <c r="I1003" i="5"/>
  <c r="A1003" i="5"/>
  <c r="J1002" i="5"/>
  <c r="I1002" i="5"/>
  <c r="A1002" i="5"/>
  <c r="J1001" i="5"/>
  <c r="I1001" i="5"/>
  <c r="A1001" i="5"/>
  <c r="J1000" i="5"/>
  <c r="I1000" i="5"/>
  <c r="A1000" i="5"/>
  <c r="J999" i="5"/>
  <c r="I999" i="5"/>
  <c r="A999" i="5"/>
  <c r="J998" i="5"/>
  <c r="I998" i="5"/>
  <c r="A998" i="5"/>
  <c r="J997" i="5"/>
  <c r="I997" i="5"/>
  <c r="A997" i="5"/>
  <c r="J996" i="5"/>
  <c r="I996" i="5"/>
  <c r="A996" i="5"/>
  <c r="J995" i="5"/>
  <c r="I995" i="5"/>
  <c r="A995" i="5"/>
  <c r="J994" i="5"/>
  <c r="I994" i="5"/>
  <c r="A994" i="5"/>
  <c r="J993" i="5"/>
  <c r="I993" i="5"/>
  <c r="A993" i="5"/>
  <c r="J992" i="5"/>
  <c r="I992" i="5"/>
  <c r="A992" i="5"/>
  <c r="J991" i="5"/>
  <c r="I991" i="5"/>
  <c r="A991" i="5"/>
  <c r="J990" i="5"/>
  <c r="I990" i="5"/>
  <c r="A990" i="5"/>
  <c r="J989" i="5"/>
  <c r="I989" i="5"/>
  <c r="A989" i="5"/>
  <c r="J988" i="5"/>
  <c r="I988" i="5"/>
  <c r="A988" i="5"/>
  <c r="J987" i="5"/>
  <c r="I987" i="5"/>
  <c r="A987" i="5"/>
  <c r="J986" i="5"/>
  <c r="I986" i="5"/>
  <c r="A986" i="5"/>
  <c r="J985" i="5"/>
  <c r="I985" i="5"/>
  <c r="A985" i="5"/>
  <c r="J984" i="5"/>
  <c r="I984" i="5"/>
  <c r="A984" i="5"/>
  <c r="J983" i="5"/>
  <c r="I983" i="5"/>
  <c r="A983" i="5"/>
  <c r="J982" i="5"/>
  <c r="I982" i="5"/>
  <c r="A982" i="5"/>
  <c r="J981" i="5"/>
  <c r="I981" i="5"/>
  <c r="A981" i="5"/>
  <c r="J980" i="5"/>
  <c r="I980" i="5"/>
  <c r="A980" i="5"/>
  <c r="J979" i="5"/>
  <c r="I979" i="5"/>
  <c r="A979" i="5"/>
  <c r="J978" i="5"/>
  <c r="I978" i="5"/>
  <c r="A978" i="5"/>
  <c r="J977" i="5"/>
  <c r="I977" i="5"/>
  <c r="A977" i="5"/>
  <c r="J976" i="5"/>
  <c r="I976" i="5"/>
  <c r="A976" i="5"/>
  <c r="J975" i="5"/>
  <c r="I975" i="5"/>
  <c r="A975" i="5"/>
  <c r="J974" i="5"/>
  <c r="I974" i="5"/>
  <c r="A974" i="5"/>
  <c r="J973" i="5"/>
  <c r="I973" i="5"/>
  <c r="A973" i="5"/>
  <c r="J972" i="5"/>
  <c r="I972" i="5"/>
  <c r="A972" i="5"/>
  <c r="J971" i="5"/>
  <c r="I971" i="5"/>
  <c r="A971" i="5"/>
  <c r="J970" i="5"/>
  <c r="I970" i="5"/>
  <c r="A970" i="5"/>
  <c r="J969" i="5"/>
  <c r="I969" i="5"/>
  <c r="A969" i="5"/>
  <c r="J968" i="5"/>
  <c r="I968" i="5"/>
  <c r="A968" i="5"/>
  <c r="J967" i="5"/>
  <c r="I967" i="5"/>
  <c r="A967" i="5"/>
  <c r="J966" i="5"/>
  <c r="I966" i="5"/>
  <c r="A966" i="5"/>
  <c r="J965" i="5"/>
  <c r="I965" i="5"/>
  <c r="A965" i="5"/>
  <c r="J964" i="5"/>
  <c r="I964" i="5"/>
  <c r="A964" i="5"/>
  <c r="J963" i="5"/>
  <c r="I963" i="5"/>
  <c r="A963" i="5"/>
  <c r="J962" i="5"/>
  <c r="I962" i="5"/>
  <c r="A962" i="5"/>
  <c r="J961" i="5"/>
  <c r="I961" i="5"/>
  <c r="A961" i="5"/>
  <c r="J960" i="5"/>
  <c r="I960" i="5"/>
  <c r="A960" i="5"/>
  <c r="J959" i="5"/>
  <c r="I959" i="5"/>
  <c r="A959" i="5"/>
  <c r="J958" i="5"/>
  <c r="I958" i="5"/>
  <c r="A958" i="5"/>
  <c r="J957" i="5"/>
  <c r="I957" i="5"/>
  <c r="A957" i="5"/>
  <c r="J956" i="5"/>
  <c r="I956" i="5"/>
  <c r="A956" i="5"/>
  <c r="J955" i="5"/>
  <c r="I955" i="5"/>
  <c r="A955" i="5"/>
  <c r="J954" i="5"/>
  <c r="I954" i="5"/>
  <c r="A954" i="5"/>
  <c r="J953" i="5"/>
  <c r="I953" i="5"/>
  <c r="A953" i="5"/>
  <c r="J952" i="5"/>
  <c r="I952" i="5"/>
  <c r="A952" i="5"/>
  <c r="J951" i="5"/>
  <c r="I951" i="5"/>
  <c r="A951" i="5"/>
  <c r="J950" i="5"/>
  <c r="I950" i="5"/>
  <c r="A950" i="5"/>
  <c r="J949" i="5"/>
  <c r="I949" i="5"/>
  <c r="A949" i="5"/>
  <c r="J948" i="5"/>
  <c r="I948" i="5"/>
  <c r="A948" i="5"/>
  <c r="J947" i="5"/>
  <c r="I947" i="5"/>
  <c r="A947" i="5"/>
  <c r="J946" i="5"/>
  <c r="I946" i="5"/>
  <c r="A946" i="5"/>
  <c r="J945" i="5"/>
  <c r="I945" i="5"/>
  <c r="A945" i="5"/>
  <c r="J944" i="5"/>
  <c r="I944" i="5"/>
  <c r="A944" i="5"/>
  <c r="J943" i="5"/>
  <c r="I943" i="5"/>
  <c r="A943" i="5"/>
  <c r="J942" i="5"/>
  <c r="I942" i="5"/>
  <c r="A942" i="5"/>
  <c r="J941" i="5"/>
  <c r="I941" i="5"/>
  <c r="A941" i="5"/>
  <c r="J940" i="5"/>
  <c r="I940" i="5"/>
  <c r="A940" i="5"/>
  <c r="J939" i="5"/>
  <c r="I939" i="5"/>
  <c r="A939" i="5"/>
  <c r="J938" i="5"/>
  <c r="I938" i="5"/>
  <c r="A938" i="5"/>
  <c r="J937" i="5"/>
  <c r="I937" i="5"/>
  <c r="A937" i="5"/>
  <c r="J936" i="5"/>
  <c r="I936" i="5"/>
  <c r="A936" i="5"/>
  <c r="J935" i="5"/>
  <c r="I935" i="5"/>
  <c r="A935" i="5"/>
  <c r="J934" i="5"/>
  <c r="I934" i="5"/>
  <c r="A934" i="5"/>
  <c r="J933" i="5"/>
  <c r="I933" i="5"/>
  <c r="A933" i="5"/>
  <c r="J932" i="5"/>
  <c r="I932" i="5"/>
  <c r="A932" i="5"/>
  <c r="J931" i="5"/>
  <c r="I931" i="5"/>
  <c r="A931" i="5"/>
  <c r="J930" i="5"/>
  <c r="I930" i="5"/>
  <c r="A930" i="5"/>
  <c r="J929" i="5"/>
  <c r="I929" i="5"/>
  <c r="A929" i="5"/>
  <c r="J928" i="5"/>
  <c r="I928" i="5"/>
  <c r="A928" i="5"/>
  <c r="J927" i="5"/>
  <c r="I927" i="5"/>
  <c r="A927" i="5"/>
  <c r="J926" i="5"/>
  <c r="I926" i="5"/>
  <c r="A926" i="5"/>
  <c r="J925" i="5"/>
  <c r="I925" i="5"/>
  <c r="A925" i="5"/>
  <c r="J924" i="5"/>
  <c r="I924" i="5"/>
  <c r="A924" i="5"/>
  <c r="J923" i="5"/>
  <c r="I923" i="5"/>
  <c r="A923" i="5"/>
  <c r="J922" i="5"/>
  <c r="I922" i="5"/>
  <c r="A922" i="5"/>
  <c r="J921" i="5"/>
  <c r="I921" i="5"/>
  <c r="A921" i="5"/>
  <c r="J920" i="5"/>
  <c r="I920" i="5"/>
  <c r="A920" i="5"/>
  <c r="J919" i="5"/>
  <c r="I919" i="5"/>
  <c r="A919" i="5"/>
  <c r="J918" i="5"/>
  <c r="I918" i="5"/>
  <c r="A918" i="5"/>
  <c r="J917" i="5"/>
  <c r="I917" i="5"/>
  <c r="A917" i="5"/>
  <c r="J916" i="5"/>
  <c r="I916" i="5"/>
  <c r="A916" i="5"/>
  <c r="J915" i="5"/>
  <c r="I915" i="5"/>
  <c r="A915" i="5"/>
  <c r="J914" i="5"/>
  <c r="I914" i="5"/>
  <c r="A914" i="5"/>
  <c r="J913" i="5"/>
  <c r="I913" i="5"/>
  <c r="A913" i="5"/>
  <c r="J912" i="5"/>
  <c r="I912" i="5"/>
  <c r="A912" i="5"/>
  <c r="J911" i="5"/>
  <c r="I911" i="5"/>
  <c r="A911" i="5"/>
  <c r="J910" i="5"/>
  <c r="I910" i="5"/>
  <c r="A910" i="5"/>
  <c r="J909" i="5"/>
  <c r="I909" i="5"/>
  <c r="A909" i="5"/>
  <c r="J908" i="5"/>
  <c r="I908" i="5"/>
  <c r="A908" i="5"/>
  <c r="J907" i="5"/>
  <c r="I907" i="5"/>
  <c r="A907" i="5"/>
  <c r="J906" i="5"/>
  <c r="I906" i="5"/>
  <c r="A906" i="5"/>
  <c r="J905" i="5"/>
  <c r="I905" i="5"/>
  <c r="A905" i="5"/>
  <c r="J904" i="5"/>
  <c r="I904" i="5"/>
  <c r="A904" i="5"/>
  <c r="J903" i="5"/>
  <c r="I903" i="5"/>
  <c r="A903" i="5"/>
  <c r="J902" i="5"/>
  <c r="I902" i="5"/>
  <c r="A902" i="5"/>
  <c r="J901" i="5"/>
  <c r="I901" i="5"/>
  <c r="A901" i="5"/>
  <c r="J900" i="5"/>
  <c r="I900" i="5"/>
  <c r="A900" i="5"/>
  <c r="J899" i="5"/>
  <c r="I899" i="5"/>
  <c r="A899" i="5"/>
  <c r="J898" i="5"/>
  <c r="I898" i="5"/>
  <c r="A898" i="5"/>
  <c r="J897" i="5"/>
  <c r="I897" i="5"/>
  <c r="A897" i="5"/>
  <c r="J896" i="5"/>
  <c r="I896" i="5"/>
  <c r="A896" i="5"/>
  <c r="J895" i="5"/>
  <c r="I895" i="5"/>
  <c r="A895" i="5"/>
  <c r="J894" i="5"/>
  <c r="I894" i="5"/>
  <c r="A894" i="5"/>
  <c r="J893" i="5"/>
  <c r="I893" i="5"/>
  <c r="A893" i="5"/>
  <c r="J892" i="5"/>
  <c r="I892" i="5"/>
  <c r="A892" i="5"/>
  <c r="J891" i="5"/>
  <c r="I891" i="5"/>
  <c r="A891" i="5"/>
  <c r="J890" i="5"/>
  <c r="I890" i="5"/>
  <c r="A890" i="5"/>
  <c r="J889" i="5"/>
  <c r="I889" i="5"/>
  <c r="A889" i="5"/>
  <c r="J888" i="5"/>
  <c r="I888" i="5"/>
  <c r="A888" i="5"/>
  <c r="J887" i="5"/>
  <c r="I887" i="5"/>
  <c r="A887" i="5"/>
  <c r="J886" i="5"/>
  <c r="I886" i="5"/>
  <c r="A886" i="5"/>
  <c r="J885" i="5"/>
  <c r="I885" i="5"/>
  <c r="A885" i="5"/>
  <c r="J884" i="5"/>
  <c r="I884" i="5"/>
  <c r="A884" i="5"/>
  <c r="J883" i="5"/>
  <c r="I883" i="5"/>
  <c r="A883" i="5"/>
  <c r="J882" i="5"/>
  <c r="I882" i="5"/>
  <c r="A882" i="5"/>
  <c r="J881" i="5"/>
  <c r="I881" i="5"/>
  <c r="A881" i="5"/>
  <c r="J880" i="5"/>
  <c r="I880" i="5"/>
  <c r="A880" i="5"/>
  <c r="J879" i="5"/>
  <c r="I879" i="5"/>
  <c r="A879" i="5"/>
  <c r="J878" i="5"/>
  <c r="I878" i="5"/>
  <c r="A878" i="5"/>
  <c r="J877" i="5"/>
  <c r="I877" i="5"/>
  <c r="A877" i="5"/>
  <c r="J876" i="5"/>
  <c r="I876" i="5"/>
  <c r="A876" i="5"/>
  <c r="J875" i="5"/>
  <c r="I875" i="5"/>
  <c r="A875" i="5"/>
  <c r="J874" i="5"/>
  <c r="I874" i="5"/>
  <c r="A874" i="5"/>
  <c r="J873" i="5"/>
  <c r="I873" i="5"/>
  <c r="A873" i="5"/>
  <c r="J872" i="5"/>
  <c r="I872" i="5"/>
  <c r="A872" i="5"/>
  <c r="J871" i="5"/>
  <c r="I871" i="5"/>
  <c r="A871" i="5"/>
  <c r="J870" i="5"/>
  <c r="I870" i="5"/>
  <c r="A870" i="5"/>
  <c r="J869" i="5"/>
  <c r="I869" i="5"/>
  <c r="A869" i="5"/>
  <c r="J868" i="5"/>
  <c r="I868" i="5"/>
  <c r="A868" i="5"/>
  <c r="J867" i="5"/>
  <c r="I867" i="5"/>
  <c r="A867" i="5"/>
  <c r="J866" i="5"/>
  <c r="I866" i="5"/>
  <c r="A866" i="5"/>
  <c r="J865" i="5"/>
  <c r="I865" i="5"/>
  <c r="A865" i="5"/>
  <c r="J864" i="5"/>
  <c r="I864" i="5"/>
  <c r="A864" i="5"/>
  <c r="J863" i="5"/>
  <c r="I863" i="5"/>
  <c r="A863" i="5"/>
  <c r="J862" i="5"/>
  <c r="I862" i="5"/>
  <c r="A862" i="5"/>
  <c r="J861" i="5"/>
  <c r="I861" i="5"/>
  <c r="A861" i="5"/>
  <c r="J860" i="5"/>
  <c r="I860" i="5"/>
  <c r="A860" i="5"/>
  <c r="J859" i="5"/>
  <c r="I859" i="5"/>
  <c r="A859" i="5"/>
  <c r="J858" i="5"/>
  <c r="I858" i="5"/>
  <c r="A858" i="5"/>
  <c r="J857" i="5"/>
  <c r="I857" i="5"/>
  <c r="A857" i="5"/>
  <c r="J856" i="5"/>
  <c r="I856" i="5"/>
  <c r="A856" i="5"/>
  <c r="J855" i="5"/>
  <c r="I855" i="5"/>
  <c r="A855" i="5"/>
  <c r="J854" i="5"/>
  <c r="I854" i="5"/>
  <c r="A854" i="5"/>
  <c r="J853" i="5"/>
  <c r="I853" i="5"/>
  <c r="A853" i="5"/>
  <c r="J852" i="5"/>
  <c r="I852" i="5"/>
  <c r="A852" i="5"/>
  <c r="J851" i="5"/>
  <c r="I851" i="5"/>
  <c r="A851" i="5"/>
  <c r="J850" i="5"/>
  <c r="I850" i="5"/>
  <c r="A850" i="5"/>
  <c r="J849" i="5"/>
  <c r="I849" i="5"/>
  <c r="A849" i="5"/>
  <c r="J848" i="5"/>
  <c r="I848" i="5"/>
  <c r="A848" i="5"/>
  <c r="J847" i="5"/>
  <c r="I847" i="5"/>
  <c r="A847" i="5"/>
  <c r="J846" i="5"/>
  <c r="I846" i="5"/>
  <c r="A846" i="5"/>
  <c r="J845" i="5"/>
  <c r="I845" i="5"/>
  <c r="A845" i="5"/>
  <c r="J844" i="5"/>
  <c r="I844" i="5"/>
  <c r="A844" i="5"/>
  <c r="J843" i="5"/>
  <c r="I843" i="5"/>
  <c r="A843" i="5"/>
  <c r="J842" i="5"/>
  <c r="I842" i="5"/>
  <c r="A842" i="5"/>
  <c r="J841" i="5"/>
  <c r="I841" i="5"/>
  <c r="A841" i="5"/>
  <c r="J840" i="5"/>
  <c r="I840" i="5"/>
  <c r="A840" i="5"/>
  <c r="J839" i="5"/>
  <c r="I839" i="5"/>
  <c r="A839" i="5"/>
  <c r="J838" i="5"/>
  <c r="I838" i="5"/>
  <c r="A838" i="5"/>
  <c r="J837" i="5"/>
  <c r="I837" i="5"/>
  <c r="A837" i="5"/>
  <c r="J836" i="5"/>
  <c r="I836" i="5"/>
  <c r="A836" i="5"/>
  <c r="J835" i="5"/>
  <c r="I835" i="5"/>
  <c r="A835" i="5"/>
  <c r="J834" i="5"/>
  <c r="I834" i="5"/>
  <c r="A834" i="5"/>
  <c r="J833" i="5"/>
  <c r="I833" i="5"/>
  <c r="A833" i="5"/>
  <c r="J832" i="5"/>
  <c r="I832" i="5"/>
  <c r="A832" i="5"/>
  <c r="J831" i="5"/>
  <c r="I831" i="5"/>
  <c r="A831" i="5"/>
  <c r="J830" i="5"/>
  <c r="I830" i="5"/>
  <c r="A830" i="5"/>
  <c r="J829" i="5"/>
  <c r="I829" i="5"/>
  <c r="A829" i="5"/>
  <c r="J828" i="5"/>
  <c r="I828" i="5"/>
  <c r="A828" i="5"/>
  <c r="J827" i="5"/>
  <c r="I827" i="5"/>
  <c r="A827" i="5"/>
  <c r="J826" i="5"/>
  <c r="I826" i="5"/>
  <c r="A826" i="5"/>
  <c r="J825" i="5"/>
  <c r="I825" i="5"/>
  <c r="A825" i="5"/>
  <c r="J824" i="5"/>
  <c r="I824" i="5"/>
  <c r="A824" i="5"/>
  <c r="J823" i="5"/>
  <c r="I823" i="5"/>
  <c r="A823" i="5"/>
  <c r="J822" i="5"/>
  <c r="I822" i="5"/>
  <c r="A822" i="5"/>
  <c r="J821" i="5"/>
  <c r="I821" i="5"/>
  <c r="A821" i="5"/>
  <c r="J820" i="5"/>
  <c r="I820" i="5"/>
  <c r="A820" i="5"/>
  <c r="J819" i="5"/>
  <c r="I819" i="5"/>
  <c r="A819" i="5"/>
  <c r="J818" i="5"/>
  <c r="I818" i="5"/>
  <c r="A818" i="5"/>
  <c r="J817" i="5"/>
  <c r="I817" i="5"/>
  <c r="A817" i="5"/>
  <c r="J816" i="5"/>
  <c r="I816" i="5"/>
  <c r="A816" i="5"/>
  <c r="J815" i="5"/>
  <c r="I815" i="5"/>
  <c r="A815" i="5"/>
  <c r="J814" i="5"/>
  <c r="I814" i="5"/>
  <c r="A814" i="5"/>
  <c r="J813" i="5"/>
  <c r="I813" i="5"/>
  <c r="A813" i="5"/>
  <c r="J812" i="5"/>
  <c r="I812" i="5"/>
  <c r="A812" i="5"/>
  <c r="J811" i="5"/>
  <c r="I811" i="5"/>
  <c r="A811" i="5"/>
  <c r="J810" i="5"/>
  <c r="I810" i="5"/>
  <c r="A810" i="5"/>
  <c r="J809" i="5"/>
  <c r="I809" i="5"/>
  <c r="A809" i="5"/>
  <c r="J808" i="5"/>
  <c r="I808" i="5"/>
  <c r="A808" i="5"/>
  <c r="J807" i="5"/>
  <c r="I807" i="5"/>
  <c r="A807" i="5"/>
  <c r="J806" i="5"/>
  <c r="I806" i="5"/>
  <c r="A806" i="5"/>
  <c r="J805" i="5"/>
  <c r="I805" i="5"/>
  <c r="A805" i="5"/>
  <c r="J804" i="5"/>
  <c r="I804" i="5"/>
  <c r="A804" i="5"/>
  <c r="J803" i="5"/>
  <c r="I803" i="5"/>
  <c r="A803" i="5"/>
  <c r="J802" i="5"/>
  <c r="I802" i="5"/>
  <c r="A802" i="5"/>
  <c r="J801" i="5"/>
  <c r="I801" i="5"/>
  <c r="A801" i="5"/>
  <c r="J800" i="5"/>
  <c r="I800" i="5"/>
  <c r="A800" i="5"/>
  <c r="J799" i="5"/>
  <c r="I799" i="5"/>
  <c r="A799" i="5"/>
  <c r="J798" i="5"/>
  <c r="I798" i="5"/>
  <c r="A798" i="5"/>
  <c r="J797" i="5"/>
  <c r="I797" i="5"/>
  <c r="A797" i="5"/>
  <c r="J796" i="5"/>
  <c r="I796" i="5"/>
  <c r="A796" i="5"/>
  <c r="J795" i="5"/>
  <c r="I795" i="5"/>
  <c r="A795" i="5"/>
  <c r="J794" i="5"/>
  <c r="I794" i="5"/>
  <c r="A794" i="5"/>
  <c r="J793" i="5"/>
  <c r="I793" i="5"/>
  <c r="A793" i="5"/>
  <c r="J792" i="5"/>
  <c r="I792" i="5"/>
  <c r="A792" i="5"/>
  <c r="J791" i="5"/>
  <c r="I791" i="5"/>
  <c r="A791" i="5"/>
  <c r="J790" i="5"/>
  <c r="I790" i="5"/>
  <c r="A790" i="5"/>
  <c r="J789" i="5"/>
  <c r="I789" i="5"/>
  <c r="A789" i="5"/>
  <c r="J788" i="5"/>
  <c r="I788" i="5"/>
  <c r="A788" i="5"/>
  <c r="J787" i="5"/>
  <c r="I787" i="5"/>
  <c r="A787" i="5"/>
  <c r="J786" i="5"/>
  <c r="I786" i="5"/>
  <c r="A786" i="5"/>
  <c r="J785" i="5"/>
  <c r="I785" i="5"/>
  <c r="A785" i="5"/>
  <c r="J784" i="5"/>
  <c r="I784" i="5"/>
  <c r="A784" i="5"/>
  <c r="J783" i="5"/>
  <c r="I783" i="5"/>
  <c r="A783" i="5"/>
  <c r="J782" i="5"/>
  <c r="I782" i="5"/>
  <c r="A782" i="5"/>
  <c r="J781" i="5"/>
  <c r="I781" i="5"/>
  <c r="A781" i="5"/>
  <c r="J780" i="5"/>
  <c r="I780" i="5"/>
  <c r="A780" i="5"/>
  <c r="J779" i="5"/>
  <c r="I779" i="5"/>
  <c r="A779" i="5"/>
  <c r="J778" i="5"/>
  <c r="I778" i="5"/>
  <c r="A778" i="5"/>
  <c r="J777" i="5"/>
  <c r="I777" i="5"/>
  <c r="A777" i="5"/>
  <c r="J776" i="5"/>
  <c r="I776" i="5"/>
  <c r="A776" i="5"/>
  <c r="J775" i="5"/>
  <c r="I775" i="5"/>
  <c r="A775" i="5"/>
  <c r="J774" i="5"/>
  <c r="I774" i="5"/>
  <c r="A774" i="5"/>
  <c r="J773" i="5"/>
  <c r="I773" i="5"/>
  <c r="A773" i="5"/>
  <c r="J772" i="5"/>
  <c r="I772" i="5"/>
  <c r="A772" i="5"/>
  <c r="J771" i="5"/>
  <c r="I771" i="5"/>
  <c r="A771" i="5"/>
  <c r="J770" i="5"/>
  <c r="I770" i="5"/>
  <c r="A770" i="5"/>
  <c r="J769" i="5"/>
  <c r="I769" i="5"/>
  <c r="A769" i="5"/>
  <c r="J768" i="5"/>
  <c r="I768" i="5"/>
  <c r="A768" i="5"/>
  <c r="J767" i="5"/>
  <c r="I767" i="5"/>
  <c r="A767" i="5"/>
  <c r="J766" i="5"/>
  <c r="I766" i="5"/>
  <c r="A766" i="5"/>
  <c r="J765" i="5"/>
  <c r="I765" i="5"/>
  <c r="A765" i="5"/>
  <c r="J764" i="5"/>
  <c r="I764" i="5"/>
  <c r="A764" i="5"/>
  <c r="J763" i="5"/>
  <c r="I763" i="5"/>
  <c r="A763" i="5"/>
  <c r="J762" i="5"/>
  <c r="I762" i="5"/>
  <c r="A762" i="5"/>
  <c r="J761" i="5"/>
  <c r="I761" i="5"/>
  <c r="A761" i="5"/>
  <c r="J760" i="5"/>
  <c r="I760" i="5"/>
  <c r="A760" i="5"/>
  <c r="J759" i="5"/>
  <c r="I759" i="5"/>
  <c r="A759" i="5"/>
  <c r="J758" i="5"/>
  <c r="I758" i="5"/>
  <c r="A758" i="5"/>
  <c r="J757" i="5"/>
  <c r="I757" i="5"/>
  <c r="A757" i="5"/>
  <c r="J756" i="5"/>
  <c r="I756" i="5"/>
  <c r="A756" i="5"/>
  <c r="J755" i="5"/>
  <c r="I755" i="5"/>
  <c r="A755" i="5"/>
  <c r="J754" i="5"/>
  <c r="I754" i="5"/>
  <c r="A754" i="5"/>
  <c r="J753" i="5"/>
  <c r="I753" i="5"/>
  <c r="A753" i="5"/>
  <c r="J752" i="5"/>
  <c r="I752" i="5"/>
  <c r="A752" i="5"/>
  <c r="J751" i="5"/>
  <c r="I751" i="5"/>
  <c r="A751" i="5"/>
  <c r="J750" i="5"/>
  <c r="I750" i="5"/>
  <c r="A750" i="5"/>
  <c r="J749" i="5"/>
  <c r="I749" i="5"/>
  <c r="A749" i="5"/>
  <c r="J748" i="5"/>
  <c r="I748" i="5"/>
  <c r="A748" i="5"/>
  <c r="J747" i="5"/>
  <c r="I747" i="5"/>
  <c r="A747" i="5"/>
  <c r="J746" i="5"/>
  <c r="I746" i="5"/>
  <c r="A746" i="5"/>
  <c r="J745" i="5"/>
  <c r="I745" i="5"/>
  <c r="A745" i="5"/>
  <c r="J744" i="5"/>
  <c r="I744" i="5"/>
  <c r="A744" i="5"/>
  <c r="J743" i="5"/>
  <c r="I743" i="5"/>
  <c r="A743" i="5"/>
  <c r="J742" i="5"/>
  <c r="I742" i="5"/>
  <c r="A742" i="5"/>
  <c r="J741" i="5"/>
  <c r="I741" i="5"/>
  <c r="A741" i="5"/>
  <c r="J740" i="5"/>
  <c r="I740" i="5"/>
  <c r="A740" i="5"/>
  <c r="J739" i="5"/>
  <c r="I739" i="5"/>
  <c r="A739" i="5"/>
  <c r="J738" i="5"/>
  <c r="I738" i="5"/>
  <c r="A738" i="5"/>
  <c r="J737" i="5"/>
  <c r="I737" i="5"/>
  <c r="A737" i="5"/>
  <c r="J736" i="5"/>
  <c r="I736" i="5"/>
  <c r="A736" i="5"/>
  <c r="J735" i="5"/>
  <c r="I735" i="5"/>
  <c r="A735" i="5"/>
  <c r="J734" i="5"/>
  <c r="I734" i="5"/>
  <c r="A734" i="5"/>
  <c r="J733" i="5"/>
  <c r="I733" i="5"/>
  <c r="A733" i="5"/>
  <c r="J732" i="5"/>
  <c r="I732" i="5"/>
  <c r="A732" i="5"/>
  <c r="J731" i="5"/>
  <c r="I731" i="5"/>
  <c r="A731" i="5"/>
  <c r="J730" i="5"/>
  <c r="I730" i="5"/>
  <c r="A730" i="5"/>
  <c r="J729" i="5"/>
  <c r="I729" i="5"/>
  <c r="A729" i="5"/>
  <c r="J728" i="5"/>
  <c r="I728" i="5"/>
  <c r="A728" i="5"/>
  <c r="J727" i="5"/>
  <c r="I727" i="5"/>
  <c r="A727" i="5"/>
  <c r="J726" i="5"/>
  <c r="I726" i="5"/>
  <c r="A726" i="5"/>
  <c r="J725" i="5"/>
  <c r="I725" i="5"/>
  <c r="A725" i="5"/>
  <c r="J724" i="5"/>
  <c r="I724" i="5"/>
  <c r="A724" i="5"/>
  <c r="J723" i="5"/>
  <c r="I723" i="5"/>
  <c r="A723" i="5"/>
  <c r="J722" i="5"/>
  <c r="I722" i="5"/>
  <c r="A722" i="5"/>
  <c r="J721" i="5"/>
  <c r="I721" i="5"/>
  <c r="A721" i="5"/>
  <c r="J720" i="5"/>
  <c r="I720" i="5"/>
  <c r="A720" i="5"/>
  <c r="J719" i="5"/>
  <c r="I719" i="5"/>
  <c r="A719" i="5"/>
  <c r="J718" i="5"/>
  <c r="I718" i="5"/>
  <c r="A718" i="5"/>
  <c r="J717" i="5"/>
  <c r="I717" i="5"/>
  <c r="A717" i="5"/>
  <c r="J716" i="5"/>
  <c r="I716" i="5"/>
  <c r="A716" i="5"/>
  <c r="J715" i="5"/>
  <c r="I715" i="5"/>
  <c r="A715" i="5"/>
  <c r="J714" i="5"/>
  <c r="I714" i="5"/>
  <c r="A714" i="5"/>
  <c r="J713" i="5"/>
  <c r="I713" i="5"/>
  <c r="A713" i="5"/>
  <c r="J712" i="5"/>
  <c r="I712" i="5"/>
  <c r="A712" i="5"/>
  <c r="J711" i="5"/>
  <c r="I711" i="5"/>
  <c r="A711" i="5"/>
  <c r="J710" i="5"/>
  <c r="I710" i="5"/>
  <c r="A710" i="5"/>
  <c r="J709" i="5"/>
  <c r="I709" i="5"/>
  <c r="A709" i="5"/>
  <c r="J708" i="5"/>
  <c r="I708" i="5"/>
  <c r="A708" i="5"/>
  <c r="J707" i="5"/>
  <c r="I707" i="5"/>
  <c r="A707" i="5"/>
  <c r="J706" i="5"/>
  <c r="I706" i="5"/>
  <c r="A706" i="5"/>
  <c r="J705" i="5"/>
  <c r="I705" i="5"/>
  <c r="A705" i="5"/>
  <c r="J704" i="5"/>
  <c r="I704" i="5"/>
  <c r="A704" i="5"/>
  <c r="J703" i="5"/>
  <c r="I703" i="5"/>
  <c r="A703" i="5"/>
  <c r="J702" i="5"/>
  <c r="I702" i="5"/>
  <c r="A702" i="5"/>
  <c r="J701" i="5"/>
  <c r="I701" i="5"/>
  <c r="A701" i="5"/>
  <c r="J700" i="5"/>
  <c r="I700" i="5"/>
  <c r="A700" i="5"/>
  <c r="J699" i="5"/>
  <c r="I699" i="5"/>
  <c r="A699" i="5"/>
  <c r="J698" i="5"/>
  <c r="I698" i="5"/>
  <c r="A698" i="5"/>
  <c r="J697" i="5"/>
  <c r="I697" i="5"/>
  <c r="A697" i="5"/>
  <c r="J696" i="5"/>
  <c r="I696" i="5"/>
  <c r="A696" i="5"/>
  <c r="J695" i="5"/>
  <c r="I695" i="5"/>
  <c r="A695" i="5"/>
  <c r="J694" i="5"/>
  <c r="I694" i="5"/>
  <c r="A694" i="5"/>
  <c r="J693" i="5"/>
  <c r="I693" i="5"/>
  <c r="A693" i="5"/>
  <c r="J692" i="5"/>
  <c r="I692" i="5"/>
  <c r="A692" i="5"/>
  <c r="J691" i="5"/>
  <c r="I691" i="5"/>
  <c r="A691" i="5"/>
  <c r="J690" i="5"/>
  <c r="I690" i="5"/>
  <c r="A690" i="5"/>
  <c r="J689" i="5"/>
  <c r="I689" i="5"/>
  <c r="A689" i="5"/>
  <c r="J688" i="5"/>
  <c r="I688" i="5"/>
  <c r="A688" i="5"/>
  <c r="J687" i="5"/>
  <c r="I687" i="5"/>
  <c r="A687" i="5"/>
  <c r="J686" i="5"/>
  <c r="I686" i="5"/>
  <c r="A686" i="5"/>
  <c r="J685" i="5"/>
  <c r="I685" i="5"/>
  <c r="A685" i="5"/>
  <c r="J684" i="5"/>
  <c r="I684" i="5"/>
  <c r="A684" i="5"/>
  <c r="J683" i="5"/>
  <c r="I683" i="5"/>
  <c r="A683" i="5"/>
  <c r="J682" i="5"/>
  <c r="I682" i="5"/>
  <c r="A682" i="5"/>
  <c r="J681" i="5"/>
  <c r="I681" i="5"/>
  <c r="A681" i="5"/>
  <c r="J680" i="5"/>
  <c r="I680" i="5"/>
  <c r="A680" i="5"/>
  <c r="J679" i="5"/>
  <c r="I679" i="5"/>
  <c r="A679" i="5"/>
  <c r="J678" i="5"/>
  <c r="I678" i="5"/>
  <c r="A678" i="5"/>
  <c r="J677" i="5"/>
  <c r="I677" i="5"/>
  <c r="A677" i="5"/>
  <c r="J676" i="5"/>
  <c r="I676" i="5"/>
  <c r="A676" i="5"/>
  <c r="J675" i="5"/>
  <c r="I675" i="5"/>
  <c r="A675" i="5"/>
  <c r="J674" i="5"/>
  <c r="I674" i="5"/>
  <c r="A674" i="5"/>
  <c r="J673" i="5"/>
  <c r="I673" i="5"/>
  <c r="A673" i="5"/>
  <c r="J672" i="5"/>
  <c r="I672" i="5"/>
  <c r="A672" i="5"/>
  <c r="J671" i="5"/>
  <c r="I671" i="5"/>
  <c r="A671" i="5"/>
  <c r="J670" i="5"/>
  <c r="I670" i="5"/>
  <c r="A670" i="5"/>
  <c r="J669" i="5"/>
  <c r="I669" i="5"/>
  <c r="A669" i="5"/>
  <c r="J668" i="5"/>
  <c r="I668" i="5"/>
  <c r="A668" i="5"/>
  <c r="J667" i="5"/>
  <c r="I667" i="5"/>
  <c r="A667" i="5"/>
  <c r="J666" i="5"/>
  <c r="I666" i="5"/>
  <c r="A666" i="5"/>
  <c r="J665" i="5"/>
  <c r="I665" i="5"/>
  <c r="A665" i="5"/>
  <c r="J664" i="5"/>
  <c r="I664" i="5"/>
  <c r="A664" i="5"/>
  <c r="J663" i="5"/>
  <c r="I663" i="5"/>
  <c r="A663" i="5"/>
  <c r="J662" i="5"/>
  <c r="I662" i="5"/>
  <c r="A662" i="5"/>
  <c r="J661" i="5"/>
  <c r="I661" i="5"/>
  <c r="A661" i="5"/>
  <c r="J660" i="5"/>
  <c r="I660" i="5"/>
  <c r="A660" i="5"/>
  <c r="J659" i="5"/>
  <c r="I659" i="5"/>
  <c r="A659" i="5"/>
  <c r="J658" i="5"/>
  <c r="I658" i="5"/>
  <c r="A658" i="5"/>
  <c r="J657" i="5"/>
  <c r="I657" i="5"/>
  <c r="A657" i="5"/>
  <c r="J656" i="5"/>
  <c r="I656" i="5"/>
  <c r="A656" i="5"/>
  <c r="J655" i="5"/>
  <c r="I655" i="5"/>
  <c r="A655" i="5"/>
  <c r="J654" i="5"/>
  <c r="I654" i="5"/>
  <c r="A654" i="5"/>
  <c r="J653" i="5"/>
  <c r="I653" i="5"/>
  <c r="A653" i="5"/>
  <c r="J652" i="5"/>
  <c r="I652" i="5"/>
  <c r="A652" i="5"/>
  <c r="J651" i="5"/>
  <c r="I651" i="5"/>
  <c r="A651" i="5"/>
  <c r="J650" i="5"/>
  <c r="I650" i="5"/>
  <c r="A650" i="5"/>
  <c r="J649" i="5"/>
  <c r="I649" i="5"/>
  <c r="A649" i="5"/>
  <c r="J648" i="5"/>
  <c r="I648" i="5"/>
  <c r="A648" i="5"/>
  <c r="J647" i="5"/>
  <c r="I647" i="5"/>
  <c r="A647" i="5"/>
  <c r="J646" i="5"/>
  <c r="I646" i="5"/>
  <c r="A646" i="5"/>
  <c r="J645" i="5"/>
  <c r="I645" i="5"/>
  <c r="A645" i="5"/>
  <c r="J644" i="5"/>
  <c r="I644" i="5"/>
  <c r="A644" i="5"/>
  <c r="J643" i="5"/>
  <c r="I643" i="5"/>
  <c r="A643" i="5"/>
  <c r="J642" i="5"/>
  <c r="I642" i="5"/>
  <c r="A642" i="5"/>
  <c r="J641" i="5"/>
  <c r="I641" i="5"/>
  <c r="A641" i="5"/>
  <c r="J640" i="5"/>
  <c r="I640" i="5"/>
  <c r="A640" i="5"/>
  <c r="J639" i="5"/>
  <c r="I639" i="5"/>
  <c r="A639" i="5"/>
  <c r="J638" i="5"/>
  <c r="I638" i="5"/>
  <c r="A638" i="5"/>
  <c r="J637" i="5"/>
  <c r="I637" i="5"/>
  <c r="A637" i="5"/>
  <c r="J636" i="5"/>
  <c r="I636" i="5"/>
  <c r="A636" i="5"/>
  <c r="J635" i="5"/>
  <c r="I635" i="5"/>
  <c r="A635" i="5"/>
  <c r="J634" i="5"/>
  <c r="I634" i="5"/>
  <c r="A634" i="5"/>
  <c r="J633" i="5"/>
  <c r="I633" i="5"/>
  <c r="A633" i="5"/>
  <c r="J632" i="5"/>
  <c r="I632" i="5"/>
  <c r="A632" i="5"/>
  <c r="J631" i="5"/>
  <c r="I631" i="5"/>
  <c r="A631" i="5"/>
  <c r="J630" i="5"/>
  <c r="I630" i="5"/>
  <c r="A630" i="5"/>
  <c r="J629" i="5"/>
  <c r="I629" i="5"/>
  <c r="A629" i="5"/>
  <c r="J628" i="5"/>
  <c r="I628" i="5"/>
  <c r="A628" i="5"/>
  <c r="J627" i="5"/>
  <c r="I627" i="5"/>
  <c r="A627" i="5"/>
  <c r="J626" i="5"/>
  <c r="I626" i="5"/>
  <c r="A626" i="5"/>
  <c r="J625" i="5"/>
  <c r="I625" i="5"/>
  <c r="A625" i="5"/>
  <c r="J624" i="5"/>
  <c r="I624" i="5"/>
  <c r="A624" i="5"/>
  <c r="J623" i="5"/>
  <c r="I623" i="5"/>
  <c r="A623" i="5"/>
  <c r="J622" i="5"/>
  <c r="I622" i="5"/>
  <c r="A622" i="5"/>
  <c r="J621" i="5"/>
  <c r="I621" i="5"/>
  <c r="A621" i="5"/>
  <c r="J620" i="5"/>
  <c r="I620" i="5"/>
  <c r="A620" i="5"/>
  <c r="J619" i="5"/>
  <c r="I619" i="5"/>
  <c r="A619" i="5"/>
  <c r="J618" i="5"/>
  <c r="I618" i="5"/>
  <c r="A618" i="5"/>
  <c r="J617" i="5"/>
  <c r="I617" i="5"/>
  <c r="A617" i="5"/>
  <c r="J616" i="5"/>
  <c r="I616" i="5"/>
  <c r="A616" i="5"/>
  <c r="J615" i="5"/>
  <c r="I615" i="5"/>
  <c r="A615" i="5"/>
  <c r="J614" i="5"/>
  <c r="I614" i="5"/>
  <c r="A614" i="5"/>
  <c r="J613" i="5"/>
  <c r="I613" i="5"/>
  <c r="A613" i="5"/>
  <c r="J612" i="5"/>
  <c r="I612" i="5"/>
  <c r="A612" i="5"/>
  <c r="J611" i="5"/>
  <c r="I611" i="5"/>
  <c r="A611" i="5"/>
  <c r="J610" i="5"/>
  <c r="I610" i="5"/>
  <c r="A610" i="5"/>
  <c r="J609" i="5"/>
  <c r="I609" i="5"/>
  <c r="A609" i="5"/>
  <c r="J608" i="5"/>
  <c r="I608" i="5"/>
  <c r="A608" i="5"/>
  <c r="J607" i="5"/>
  <c r="I607" i="5"/>
  <c r="A607" i="5"/>
  <c r="J606" i="5"/>
  <c r="I606" i="5"/>
  <c r="A606" i="5"/>
  <c r="J605" i="5"/>
  <c r="I605" i="5"/>
  <c r="A605" i="5"/>
  <c r="J604" i="5"/>
  <c r="I604" i="5"/>
  <c r="A604" i="5"/>
  <c r="J603" i="5"/>
  <c r="I603" i="5"/>
  <c r="A603" i="5"/>
  <c r="J602" i="5"/>
  <c r="I602" i="5"/>
  <c r="A602" i="5"/>
  <c r="J601" i="5"/>
  <c r="I601" i="5"/>
  <c r="A601" i="5"/>
  <c r="J600" i="5"/>
  <c r="I600" i="5"/>
  <c r="A600" i="5"/>
  <c r="J599" i="5"/>
  <c r="I599" i="5"/>
  <c r="A599" i="5"/>
  <c r="J598" i="5"/>
  <c r="I598" i="5"/>
  <c r="A598" i="5"/>
  <c r="J597" i="5"/>
  <c r="I597" i="5"/>
  <c r="A597" i="5"/>
  <c r="J596" i="5"/>
  <c r="I596" i="5"/>
  <c r="A596" i="5"/>
  <c r="J595" i="5"/>
  <c r="I595" i="5"/>
  <c r="A595" i="5"/>
  <c r="J594" i="5"/>
  <c r="I594" i="5"/>
  <c r="A594" i="5"/>
  <c r="J593" i="5"/>
  <c r="I593" i="5"/>
  <c r="A593" i="5"/>
  <c r="J592" i="5"/>
  <c r="I592" i="5"/>
  <c r="A592" i="5"/>
  <c r="J591" i="5"/>
  <c r="I591" i="5"/>
  <c r="A591" i="5"/>
  <c r="J590" i="5"/>
  <c r="I590" i="5"/>
  <c r="A590" i="5"/>
  <c r="J589" i="5"/>
  <c r="I589" i="5"/>
  <c r="A589" i="5"/>
  <c r="J588" i="5"/>
  <c r="I588" i="5"/>
  <c r="A588" i="5"/>
  <c r="J587" i="5"/>
  <c r="I587" i="5"/>
  <c r="A587" i="5"/>
  <c r="J586" i="5"/>
  <c r="I586" i="5"/>
  <c r="A586" i="5"/>
  <c r="J585" i="5"/>
  <c r="I585" i="5"/>
  <c r="A585" i="5"/>
  <c r="J584" i="5"/>
  <c r="I584" i="5"/>
  <c r="A584" i="5"/>
  <c r="J583" i="5"/>
  <c r="I583" i="5"/>
  <c r="A583" i="5"/>
  <c r="J582" i="5"/>
  <c r="I582" i="5"/>
  <c r="A582" i="5"/>
  <c r="J581" i="5"/>
  <c r="I581" i="5"/>
  <c r="A581" i="5"/>
  <c r="J580" i="5"/>
  <c r="I580" i="5"/>
  <c r="A580" i="5"/>
  <c r="J579" i="5"/>
  <c r="I579" i="5"/>
  <c r="A579" i="5"/>
  <c r="J578" i="5"/>
  <c r="I578" i="5"/>
  <c r="A578" i="5"/>
  <c r="J577" i="5"/>
  <c r="I577" i="5"/>
  <c r="A577" i="5"/>
  <c r="J576" i="5"/>
  <c r="I576" i="5"/>
  <c r="A576" i="5"/>
  <c r="J575" i="5"/>
  <c r="I575" i="5"/>
  <c r="A575" i="5"/>
  <c r="J574" i="5"/>
  <c r="I574" i="5"/>
  <c r="A574" i="5"/>
  <c r="J573" i="5"/>
  <c r="I573" i="5"/>
  <c r="A573" i="5"/>
  <c r="J572" i="5"/>
  <c r="I572" i="5"/>
  <c r="A572" i="5"/>
  <c r="J571" i="5"/>
  <c r="I571" i="5"/>
  <c r="A571" i="5"/>
  <c r="J570" i="5"/>
  <c r="I570" i="5"/>
  <c r="A570" i="5"/>
  <c r="J569" i="5"/>
  <c r="I569" i="5"/>
  <c r="A569" i="5"/>
  <c r="J568" i="5"/>
  <c r="I568" i="5"/>
  <c r="A568" i="5"/>
  <c r="J567" i="5"/>
  <c r="I567" i="5"/>
  <c r="A567" i="5"/>
  <c r="J566" i="5"/>
  <c r="I566" i="5"/>
  <c r="A566" i="5"/>
  <c r="J565" i="5"/>
  <c r="I565" i="5"/>
  <c r="A565" i="5"/>
  <c r="J564" i="5"/>
  <c r="I564" i="5"/>
  <c r="A564" i="5"/>
  <c r="J563" i="5"/>
  <c r="I563" i="5"/>
  <c r="A563" i="5"/>
  <c r="J562" i="5"/>
  <c r="I562" i="5"/>
  <c r="A562" i="5"/>
  <c r="J561" i="5"/>
  <c r="I561" i="5"/>
  <c r="A561" i="5"/>
  <c r="J560" i="5"/>
  <c r="I560" i="5"/>
  <c r="A560" i="5"/>
  <c r="J559" i="5"/>
  <c r="I559" i="5"/>
  <c r="A559" i="5"/>
  <c r="J558" i="5"/>
  <c r="I558" i="5"/>
  <c r="A558" i="5"/>
  <c r="J557" i="5"/>
  <c r="I557" i="5"/>
  <c r="A557" i="5"/>
  <c r="J556" i="5"/>
  <c r="I556" i="5"/>
  <c r="A556" i="5"/>
  <c r="J555" i="5"/>
  <c r="I555" i="5"/>
  <c r="A555" i="5"/>
  <c r="J554" i="5"/>
  <c r="I554" i="5"/>
  <c r="A554" i="5"/>
  <c r="J553" i="5"/>
  <c r="I553" i="5"/>
  <c r="A553" i="5"/>
  <c r="J552" i="5"/>
  <c r="I552" i="5"/>
  <c r="A552" i="5"/>
  <c r="J551" i="5"/>
  <c r="I551" i="5"/>
  <c r="A551" i="5"/>
  <c r="J550" i="5"/>
  <c r="I550" i="5"/>
  <c r="A550" i="5"/>
  <c r="J549" i="5"/>
  <c r="I549" i="5"/>
  <c r="A549" i="5"/>
  <c r="J548" i="5"/>
  <c r="I548" i="5"/>
  <c r="A548" i="5"/>
  <c r="J547" i="5"/>
  <c r="I547" i="5"/>
  <c r="A547" i="5"/>
  <c r="J546" i="5"/>
  <c r="I546" i="5"/>
  <c r="A546" i="5"/>
  <c r="J545" i="5"/>
  <c r="I545" i="5"/>
  <c r="A545" i="5"/>
  <c r="J544" i="5"/>
  <c r="I544" i="5"/>
  <c r="A544" i="5"/>
  <c r="J543" i="5"/>
  <c r="I543" i="5"/>
  <c r="A543" i="5"/>
  <c r="J542" i="5"/>
  <c r="I542" i="5"/>
  <c r="A542" i="5"/>
  <c r="J541" i="5"/>
  <c r="I541" i="5"/>
  <c r="A541" i="5"/>
  <c r="J540" i="5"/>
  <c r="I540" i="5"/>
  <c r="A540" i="5"/>
  <c r="J539" i="5"/>
  <c r="I539" i="5"/>
  <c r="A539" i="5"/>
  <c r="J538" i="5"/>
  <c r="I538" i="5"/>
  <c r="A538" i="5"/>
  <c r="J537" i="5"/>
  <c r="I537" i="5"/>
  <c r="A537" i="5"/>
  <c r="J536" i="5"/>
  <c r="I536" i="5"/>
  <c r="A536" i="5"/>
  <c r="J535" i="5"/>
  <c r="I535" i="5"/>
  <c r="A535" i="5"/>
  <c r="J534" i="5"/>
  <c r="I534" i="5"/>
  <c r="A534" i="5"/>
  <c r="J533" i="5"/>
  <c r="I533" i="5"/>
  <c r="A533" i="5"/>
  <c r="J532" i="5"/>
  <c r="I532" i="5"/>
  <c r="A532" i="5"/>
  <c r="J531" i="5"/>
  <c r="I531" i="5"/>
  <c r="A531" i="5"/>
  <c r="J530" i="5"/>
  <c r="I530" i="5"/>
  <c r="A530" i="5"/>
  <c r="J529" i="5"/>
  <c r="I529" i="5"/>
  <c r="A529" i="5"/>
  <c r="J528" i="5"/>
  <c r="I528" i="5"/>
  <c r="A528" i="5"/>
  <c r="J527" i="5"/>
  <c r="I527" i="5"/>
  <c r="A527" i="5"/>
  <c r="J526" i="5"/>
  <c r="I526" i="5"/>
  <c r="A526" i="5"/>
  <c r="J525" i="5"/>
  <c r="I525" i="5"/>
  <c r="A525" i="5"/>
  <c r="J524" i="5"/>
  <c r="I524" i="5"/>
  <c r="A524" i="5"/>
  <c r="J523" i="5"/>
  <c r="I523" i="5"/>
  <c r="A523" i="5"/>
  <c r="J522" i="5"/>
  <c r="I522" i="5"/>
  <c r="A522" i="5"/>
  <c r="J521" i="5"/>
  <c r="I521" i="5"/>
  <c r="A521" i="5"/>
  <c r="J520" i="5"/>
  <c r="I520" i="5"/>
  <c r="A520" i="5"/>
  <c r="J519" i="5"/>
  <c r="I519" i="5"/>
  <c r="A519" i="5"/>
  <c r="J518" i="5"/>
  <c r="I518" i="5"/>
  <c r="A518" i="5"/>
  <c r="J517" i="5"/>
  <c r="I517" i="5"/>
  <c r="A517" i="5"/>
  <c r="J516" i="5"/>
  <c r="I516" i="5"/>
  <c r="A516" i="5"/>
  <c r="J515" i="5"/>
  <c r="I515" i="5"/>
  <c r="A515" i="5"/>
  <c r="J514" i="5"/>
  <c r="I514" i="5"/>
  <c r="A514" i="5"/>
  <c r="J513" i="5"/>
  <c r="I513" i="5"/>
  <c r="A513" i="5"/>
  <c r="J512" i="5"/>
  <c r="I512" i="5"/>
  <c r="A512" i="5"/>
  <c r="J511" i="5"/>
  <c r="I511" i="5"/>
  <c r="A511" i="5"/>
  <c r="J510" i="5"/>
  <c r="I510" i="5"/>
  <c r="A510" i="5"/>
  <c r="J509" i="5"/>
  <c r="I509" i="5"/>
  <c r="A509" i="5"/>
  <c r="J508" i="5"/>
  <c r="I508" i="5"/>
  <c r="A508" i="5"/>
  <c r="J507" i="5"/>
  <c r="I507" i="5"/>
  <c r="A507" i="5"/>
  <c r="J506" i="5"/>
  <c r="I506" i="5"/>
  <c r="A506" i="5"/>
  <c r="J505" i="5"/>
  <c r="I505" i="5"/>
  <c r="A505" i="5"/>
  <c r="J504" i="5"/>
  <c r="I504" i="5"/>
  <c r="A504" i="5"/>
  <c r="J503" i="5"/>
  <c r="I503" i="5"/>
  <c r="A503" i="5"/>
  <c r="J502" i="5"/>
  <c r="I502" i="5"/>
  <c r="A502" i="5"/>
  <c r="J501" i="5"/>
  <c r="I501" i="5"/>
  <c r="A501" i="5"/>
  <c r="J500" i="5"/>
  <c r="I500" i="5"/>
  <c r="A500" i="5"/>
  <c r="J499" i="5"/>
  <c r="I499" i="5"/>
  <c r="A499" i="5"/>
  <c r="J498" i="5"/>
  <c r="I498" i="5"/>
  <c r="A498" i="5"/>
  <c r="J497" i="5"/>
  <c r="I497" i="5"/>
  <c r="A497" i="5"/>
  <c r="J496" i="5"/>
  <c r="I496" i="5"/>
  <c r="A496" i="5"/>
  <c r="J495" i="5"/>
  <c r="I495" i="5"/>
  <c r="A495" i="5"/>
  <c r="J494" i="5"/>
  <c r="I494" i="5"/>
  <c r="A494" i="5"/>
  <c r="J493" i="5"/>
  <c r="I493" i="5"/>
  <c r="A493" i="5"/>
  <c r="J492" i="5"/>
  <c r="I492" i="5"/>
  <c r="A492" i="5"/>
  <c r="J491" i="5"/>
  <c r="I491" i="5"/>
  <c r="A491" i="5"/>
  <c r="J490" i="5"/>
  <c r="I490" i="5"/>
  <c r="A490" i="5"/>
  <c r="J489" i="5"/>
  <c r="I489" i="5"/>
  <c r="A489" i="5"/>
  <c r="J488" i="5"/>
  <c r="I488" i="5"/>
  <c r="A488" i="5"/>
  <c r="J487" i="5"/>
  <c r="I487" i="5"/>
  <c r="A487" i="5"/>
  <c r="J486" i="5"/>
  <c r="I486" i="5"/>
  <c r="A486" i="5"/>
  <c r="J485" i="5"/>
  <c r="I485" i="5"/>
  <c r="A485" i="5"/>
  <c r="J484" i="5"/>
  <c r="I484" i="5"/>
  <c r="A484" i="5"/>
  <c r="J483" i="5"/>
  <c r="I483" i="5"/>
  <c r="A483" i="5"/>
  <c r="J482" i="5"/>
  <c r="I482" i="5"/>
  <c r="A482" i="5"/>
  <c r="J481" i="5"/>
  <c r="I481" i="5"/>
  <c r="A481" i="5"/>
  <c r="J480" i="5"/>
  <c r="I480" i="5"/>
  <c r="A480" i="5"/>
  <c r="J479" i="5"/>
  <c r="I479" i="5"/>
  <c r="A479" i="5"/>
  <c r="J478" i="5"/>
  <c r="I478" i="5"/>
  <c r="A478" i="5"/>
  <c r="J477" i="5"/>
  <c r="I477" i="5"/>
  <c r="A477" i="5"/>
  <c r="J476" i="5"/>
  <c r="I476" i="5"/>
  <c r="A476" i="5"/>
  <c r="J475" i="5"/>
  <c r="I475" i="5"/>
  <c r="A475" i="5"/>
  <c r="J474" i="5"/>
  <c r="I474" i="5"/>
  <c r="A474" i="5"/>
  <c r="J473" i="5"/>
  <c r="I473" i="5"/>
  <c r="A473" i="5"/>
  <c r="J472" i="5"/>
  <c r="I472" i="5"/>
  <c r="A472" i="5"/>
  <c r="J471" i="5"/>
  <c r="I471" i="5"/>
  <c r="A471" i="5"/>
  <c r="J470" i="5"/>
  <c r="I470" i="5"/>
  <c r="A470" i="5"/>
  <c r="J469" i="5"/>
  <c r="I469" i="5"/>
  <c r="A469" i="5"/>
  <c r="J468" i="5"/>
  <c r="I468" i="5"/>
  <c r="A468" i="5"/>
  <c r="J467" i="5"/>
  <c r="I467" i="5"/>
  <c r="A467" i="5"/>
  <c r="J466" i="5"/>
  <c r="I466" i="5"/>
  <c r="A466" i="5"/>
  <c r="J465" i="5"/>
  <c r="I465" i="5"/>
  <c r="A465" i="5"/>
  <c r="J464" i="5"/>
  <c r="I464" i="5"/>
  <c r="A464" i="5"/>
  <c r="J463" i="5"/>
  <c r="I463" i="5"/>
  <c r="A463" i="5"/>
  <c r="J462" i="5"/>
  <c r="I462" i="5"/>
  <c r="A462" i="5"/>
  <c r="J461" i="5"/>
  <c r="I461" i="5"/>
  <c r="A461" i="5"/>
  <c r="J460" i="5"/>
  <c r="I460" i="5"/>
  <c r="A460" i="5"/>
  <c r="J459" i="5"/>
  <c r="I459" i="5"/>
  <c r="A459" i="5"/>
  <c r="J458" i="5"/>
  <c r="I458" i="5"/>
  <c r="A458" i="5"/>
  <c r="J457" i="5"/>
  <c r="I457" i="5"/>
  <c r="A457" i="5"/>
  <c r="J456" i="5"/>
  <c r="I456" i="5"/>
  <c r="A456" i="5"/>
  <c r="J455" i="5"/>
  <c r="I455" i="5"/>
  <c r="A455" i="5"/>
  <c r="J454" i="5"/>
  <c r="I454" i="5"/>
  <c r="A454" i="5"/>
  <c r="J453" i="5"/>
  <c r="I453" i="5"/>
  <c r="A453" i="5"/>
  <c r="J452" i="5"/>
  <c r="I452" i="5"/>
  <c r="A452" i="5"/>
  <c r="J451" i="5"/>
  <c r="I451" i="5"/>
  <c r="A451" i="5"/>
  <c r="J450" i="5"/>
  <c r="I450" i="5"/>
  <c r="A450" i="5"/>
  <c r="J449" i="5"/>
  <c r="I449" i="5"/>
  <c r="A449" i="5"/>
  <c r="J448" i="5"/>
  <c r="I448" i="5"/>
  <c r="A448" i="5"/>
  <c r="J447" i="5"/>
  <c r="I447" i="5"/>
  <c r="A447" i="5"/>
  <c r="J446" i="5"/>
  <c r="I446" i="5"/>
  <c r="A446" i="5"/>
  <c r="J445" i="5"/>
  <c r="I445" i="5"/>
  <c r="A445" i="5"/>
  <c r="J444" i="5"/>
  <c r="I444" i="5"/>
  <c r="A444" i="5"/>
  <c r="J443" i="5"/>
  <c r="I443" i="5"/>
  <c r="A443" i="5"/>
  <c r="J442" i="5"/>
  <c r="I442" i="5"/>
  <c r="A442" i="5"/>
  <c r="J441" i="5"/>
  <c r="I441" i="5"/>
  <c r="A441" i="5"/>
  <c r="J440" i="5"/>
  <c r="I440" i="5"/>
  <c r="A440" i="5"/>
  <c r="J439" i="5"/>
  <c r="I439" i="5"/>
  <c r="A439" i="5"/>
  <c r="J438" i="5"/>
  <c r="I438" i="5"/>
  <c r="A438" i="5"/>
  <c r="J437" i="5"/>
  <c r="I437" i="5"/>
  <c r="A437" i="5"/>
  <c r="J436" i="5"/>
  <c r="I436" i="5"/>
  <c r="A436" i="5"/>
  <c r="J435" i="5"/>
  <c r="I435" i="5"/>
  <c r="A435" i="5"/>
  <c r="J434" i="5"/>
  <c r="I434" i="5"/>
  <c r="A434" i="5"/>
  <c r="J433" i="5"/>
  <c r="I433" i="5"/>
  <c r="A433" i="5"/>
  <c r="J432" i="5"/>
  <c r="I432" i="5"/>
  <c r="A432" i="5"/>
  <c r="J431" i="5"/>
  <c r="I431" i="5"/>
  <c r="A431" i="5"/>
  <c r="J430" i="5"/>
  <c r="I430" i="5"/>
  <c r="A430" i="5"/>
  <c r="J429" i="5"/>
  <c r="I429" i="5"/>
  <c r="A429" i="5"/>
  <c r="J428" i="5"/>
  <c r="I428" i="5"/>
  <c r="A428" i="5"/>
  <c r="J427" i="5"/>
  <c r="I427" i="5"/>
  <c r="A427" i="5"/>
  <c r="J426" i="5"/>
  <c r="I426" i="5"/>
  <c r="A426" i="5"/>
  <c r="J425" i="5"/>
  <c r="I425" i="5"/>
  <c r="A425" i="5"/>
  <c r="J424" i="5"/>
  <c r="I424" i="5"/>
  <c r="A424" i="5"/>
  <c r="J423" i="5"/>
  <c r="I423" i="5"/>
  <c r="A423" i="5"/>
  <c r="J422" i="5"/>
  <c r="I422" i="5"/>
  <c r="A422" i="5"/>
  <c r="J421" i="5"/>
  <c r="I421" i="5"/>
  <c r="A421" i="5"/>
  <c r="J420" i="5"/>
  <c r="I420" i="5"/>
  <c r="A420" i="5"/>
  <c r="J419" i="5"/>
  <c r="I419" i="5"/>
  <c r="A419" i="5"/>
  <c r="J418" i="5"/>
  <c r="I418" i="5"/>
  <c r="A418" i="5"/>
  <c r="J417" i="5"/>
  <c r="I417" i="5"/>
  <c r="A417" i="5"/>
  <c r="J416" i="5"/>
  <c r="I416" i="5"/>
  <c r="A416" i="5"/>
  <c r="J415" i="5"/>
  <c r="I415" i="5"/>
  <c r="A415" i="5"/>
  <c r="J414" i="5"/>
  <c r="I414" i="5"/>
  <c r="A414" i="5"/>
  <c r="J413" i="5"/>
  <c r="I413" i="5"/>
  <c r="A413" i="5"/>
  <c r="J412" i="5"/>
  <c r="I412" i="5"/>
  <c r="A412" i="5"/>
  <c r="J411" i="5"/>
  <c r="I411" i="5"/>
  <c r="A411" i="5"/>
  <c r="J410" i="5"/>
  <c r="I410" i="5"/>
  <c r="A410" i="5"/>
  <c r="J409" i="5"/>
  <c r="I409" i="5"/>
  <c r="A409" i="5"/>
  <c r="J408" i="5"/>
  <c r="I408" i="5"/>
  <c r="A408" i="5"/>
  <c r="J407" i="5"/>
  <c r="I407" i="5"/>
  <c r="A407" i="5"/>
  <c r="J406" i="5"/>
  <c r="I406" i="5"/>
  <c r="A406" i="5"/>
  <c r="J405" i="5"/>
  <c r="I405" i="5"/>
  <c r="A405" i="5"/>
  <c r="J404" i="5"/>
  <c r="I404" i="5"/>
  <c r="A404" i="5"/>
  <c r="J403" i="5"/>
  <c r="I403" i="5"/>
  <c r="A403" i="5"/>
  <c r="J402" i="5"/>
  <c r="I402" i="5"/>
  <c r="A402" i="5"/>
  <c r="J401" i="5"/>
  <c r="I401" i="5"/>
  <c r="A401" i="5"/>
  <c r="J400" i="5"/>
  <c r="I400" i="5"/>
  <c r="A400" i="5"/>
  <c r="J399" i="5"/>
  <c r="I399" i="5"/>
  <c r="A399" i="5"/>
  <c r="J398" i="5"/>
  <c r="I398" i="5"/>
  <c r="A398" i="5"/>
  <c r="J397" i="5"/>
  <c r="I397" i="5"/>
  <c r="A397" i="5"/>
  <c r="J396" i="5"/>
  <c r="I396" i="5"/>
  <c r="A396" i="5"/>
  <c r="J395" i="5"/>
  <c r="I395" i="5"/>
  <c r="A395" i="5"/>
  <c r="J394" i="5"/>
  <c r="I394" i="5"/>
  <c r="A394" i="5"/>
  <c r="J393" i="5"/>
  <c r="I393" i="5"/>
  <c r="A393" i="5"/>
  <c r="J392" i="5"/>
  <c r="I392" i="5"/>
  <c r="A392" i="5"/>
  <c r="J391" i="5"/>
  <c r="I391" i="5"/>
  <c r="A391" i="5"/>
  <c r="J390" i="5"/>
  <c r="I390" i="5"/>
  <c r="A390" i="5"/>
  <c r="J389" i="5"/>
  <c r="I389" i="5"/>
  <c r="A389" i="5"/>
  <c r="J388" i="5"/>
  <c r="I388" i="5"/>
  <c r="A388" i="5"/>
  <c r="J387" i="5"/>
  <c r="I387" i="5"/>
  <c r="A387" i="5"/>
  <c r="J386" i="5"/>
  <c r="I386" i="5"/>
  <c r="A386" i="5"/>
  <c r="J385" i="5"/>
  <c r="I385" i="5"/>
  <c r="A385" i="5"/>
  <c r="J384" i="5"/>
  <c r="I384" i="5"/>
  <c r="A384" i="5"/>
  <c r="J383" i="5"/>
  <c r="I383" i="5"/>
  <c r="A383" i="5"/>
  <c r="J382" i="5"/>
  <c r="I382" i="5"/>
  <c r="A382" i="5"/>
  <c r="J381" i="5"/>
  <c r="I381" i="5"/>
  <c r="A381" i="5"/>
  <c r="J380" i="5"/>
  <c r="I380" i="5"/>
  <c r="A380" i="5"/>
  <c r="J379" i="5"/>
  <c r="I379" i="5"/>
  <c r="A379" i="5"/>
  <c r="J378" i="5"/>
  <c r="I378" i="5"/>
  <c r="A378" i="5"/>
  <c r="J377" i="5"/>
  <c r="I377" i="5"/>
  <c r="A377" i="5"/>
  <c r="J376" i="5"/>
  <c r="I376" i="5"/>
  <c r="A376" i="5"/>
  <c r="J375" i="5"/>
  <c r="I375" i="5"/>
  <c r="A375" i="5"/>
  <c r="J374" i="5"/>
  <c r="I374" i="5"/>
  <c r="A374" i="5"/>
  <c r="J373" i="5"/>
  <c r="I373" i="5"/>
  <c r="A373" i="5"/>
  <c r="J372" i="5"/>
  <c r="I372" i="5"/>
  <c r="A372" i="5"/>
  <c r="J371" i="5"/>
  <c r="I371" i="5"/>
  <c r="A371" i="5"/>
  <c r="J370" i="5"/>
  <c r="I370" i="5"/>
  <c r="A370" i="5"/>
  <c r="J369" i="5"/>
  <c r="I369" i="5"/>
  <c r="A369" i="5"/>
  <c r="J368" i="5"/>
  <c r="I368" i="5"/>
  <c r="A368" i="5"/>
  <c r="J367" i="5"/>
  <c r="I367" i="5"/>
  <c r="A367" i="5"/>
  <c r="J366" i="5"/>
  <c r="I366" i="5"/>
  <c r="A366" i="5"/>
  <c r="J365" i="5"/>
  <c r="I365" i="5"/>
  <c r="A365" i="5"/>
  <c r="J364" i="5"/>
  <c r="I364" i="5"/>
  <c r="A364" i="5"/>
  <c r="J363" i="5"/>
  <c r="I363" i="5"/>
  <c r="A363" i="5"/>
  <c r="J362" i="5"/>
  <c r="I362" i="5"/>
  <c r="A362" i="5"/>
  <c r="J361" i="5"/>
  <c r="I361" i="5"/>
  <c r="A361" i="5"/>
  <c r="J360" i="5"/>
  <c r="I360" i="5"/>
  <c r="A360" i="5"/>
  <c r="J359" i="5"/>
  <c r="I359" i="5"/>
  <c r="A359" i="5"/>
  <c r="J358" i="5"/>
  <c r="I358" i="5"/>
  <c r="A358" i="5"/>
  <c r="J357" i="5"/>
  <c r="I357" i="5"/>
  <c r="A357" i="5"/>
  <c r="J356" i="5"/>
  <c r="I356" i="5"/>
  <c r="A356" i="5"/>
  <c r="J355" i="5"/>
  <c r="I355" i="5"/>
  <c r="A355" i="5"/>
  <c r="J354" i="5"/>
  <c r="I354" i="5"/>
  <c r="A354" i="5"/>
  <c r="J353" i="5"/>
  <c r="I353" i="5"/>
  <c r="A353" i="5"/>
  <c r="J352" i="5"/>
  <c r="I352" i="5"/>
  <c r="A352" i="5"/>
  <c r="J351" i="5"/>
  <c r="I351" i="5"/>
  <c r="A351" i="5"/>
  <c r="J350" i="5"/>
  <c r="I350" i="5"/>
  <c r="A350" i="5"/>
  <c r="J349" i="5"/>
  <c r="I349" i="5"/>
  <c r="A349" i="5"/>
  <c r="J348" i="5"/>
  <c r="I348" i="5"/>
  <c r="A348" i="5"/>
  <c r="J347" i="5"/>
  <c r="I347" i="5"/>
  <c r="A347" i="5"/>
  <c r="J346" i="5"/>
  <c r="I346" i="5"/>
  <c r="A346" i="5"/>
  <c r="J345" i="5"/>
  <c r="I345" i="5"/>
  <c r="A345" i="5"/>
  <c r="J344" i="5"/>
  <c r="I344" i="5"/>
  <c r="A344" i="5"/>
  <c r="J343" i="5"/>
  <c r="I343" i="5"/>
  <c r="A343" i="5"/>
  <c r="J342" i="5"/>
  <c r="I342" i="5"/>
  <c r="A342" i="5"/>
  <c r="J341" i="5"/>
  <c r="I341" i="5"/>
  <c r="A341" i="5"/>
  <c r="J340" i="5"/>
  <c r="I340" i="5"/>
  <c r="A340" i="5"/>
  <c r="J339" i="5"/>
  <c r="I339" i="5"/>
  <c r="A339" i="5"/>
  <c r="J338" i="5"/>
  <c r="I338" i="5"/>
  <c r="A338" i="5"/>
  <c r="J337" i="5"/>
  <c r="I337" i="5"/>
  <c r="A337" i="5"/>
  <c r="J336" i="5"/>
  <c r="I336" i="5"/>
  <c r="A336" i="5"/>
  <c r="J335" i="5"/>
  <c r="I335" i="5"/>
  <c r="A335" i="5"/>
  <c r="J334" i="5"/>
  <c r="I334" i="5"/>
  <c r="A334" i="5"/>
  <c r="J333" i="5"/>
  <c r="I333" i="5"/>
  <c r="A333" i="5"/>
  <c r="J332" i="5"/>
  <c r="I332" i="5"/>
  <c r="A332" i="5"/>
  <c r="J331" i="5"/>
  <c r="I331" i="5"/>
  <c r="A331" i="5"/>
  <c r="J330" i="5"/>
  <c r="I330" i="5"/>
  <c r="A330" i="5"/>
  <c r="J329" i="5"/>
  <c r="I329" i="5"/>
  <c r="A329" i="5"/>
  <c r="J328" i="5"/>
  <c r="I328" i="5"/>
  <c r="A328" i="5"/>
  <c r="J327" i="5"/>
  <c r="I327" i="5"/>
  <c r="A327" i="5"/>
  <c r="J326" i="5"/>
  <c r="I326" i="5"/>
  <c r="A326" i="5"/>
  <c r="J325" i="5"/>
  <c r="I325" i="5"/>
  <c r="A325" i="5"/>
  <c r="J324" i="5"/>
  <c r="I324" i="5"/>
  <c r="A324" i="5"/>
  <c r="J323" i="5"/>
  <c r="I323" i="5"/>
  <c r="A323" i="5"/>
  <c r="J322" i="5"/>
  <c r="I322" i="5"/>
  <c r="A322" i="5"/>
  <c r="J321" i="5"/>
  <c r="I321" i="5"/>
  <c r="A321" i="5"/>
  <c r="J320" i="5"/>
  <c r="I320" i="5"/>
  <c r="A320" i="5"/>
  <c r="J319" i="5"/>
  <c r="I319" i="5"/>
  <c r="A319" i="5"/>
  <c r="J318" i="5"/>
  <c r="I318" i="5"/>
  <c r="A318" i="5"/>
  <c r="J317" i="5"/>
  <c r="I317" i="5"/>
  <c r="A317" i="5"/>
  <c r="J316" i="5"/>
  <c r="I316" i="5"/>
  <c r="A316" i="5"/>
  <c r="J315" i="5"/>
  <c r="I315" i="5"/>
  <c r="A315" i="5"/>
  <c r="J314" i="5"/>
  <c r="I314" i="5"/>
  <c r="A314" i="5"/>
  <c r="J313" i="5"/>
  <c r="I313" i="5"/>
  <c r="A313" i="5"/>
  <c r="J312" i="5"/>
  <c r="I312" i="5"/>
  <c r="A312" i="5"/>
  <c r="J311" i="5"/>
  <c r="I311" i="5"/>
  <c r="A311" i="5"/>
  <c r="J310" i="5"/>
  <c r="I310" i="5"/>
  <c r="A310" i="5"/>
  <c r="J309" i="5"/>
  <c r="I309" i="5"/>
  <c r="A309" i="5"/>
  <c r="J308" i="5"/>
  <c r="I308" i="5"/>
  <c r="A308" i="5"/>
  <c r="J307" i="5"/>
  <c r="I307" i="5"/>
  <c r="A307" i="5"/>
  <c r="J306" i="5"/>
  <c r="I306" i="5"/>
  <c r="A306" i="5"/>
  <c r="J305" i="5"/>
  <c r="I305" i="5"/>
  <c r="A305" i="5"/>
  <c r="J304" i="5"/>
  <c r="I304" i="5"/>
  <c r="A304" i="5"/>
  <c r="J303" i="5"/>
  <c r="I303" i="5"/>
  <c r="A303" i="5"/>
  <c r="J302" i="5"/>
  <c r="I302" i="5"/>
  <c r="A302" i="5"/>
  <c r="J301" i="5"/>
  <c r="I301" i="5"/>
  <c r="A301" i="5"/>
  <c r="J300" i="5"/>
  <c r="I300" i="5"/>
  <c r="A300" i="5"/>
  <c r="J299" i="5"/>
  <c r="I299" i="5"/>
  <c r="A299" i="5"/>
  <c r="J298" i="5"/>
  <c r="I298" i="5"/>
  <c r="A298" i="5"/>
  <c r="J297" i="5"/>
  <c r="I297" i="5"/>
  <c r="A297" i="5"/>
  <c r="J296" i="5"/>
  <c r="I296" i="5"/>
  <c r="A296" i="5"/>
  <c r="J295" i="5"/>
  <c r="I295" i="5"/>
  <c r="A295" i="5"/>
  <c r="J294" i="5"/>
  <c r="I294" i="5"/>
  <c r="A294" i="5"/>
  <c r="J293" i="5"/>
  <c r="I293" i="5"/>
  <c r="A293" i="5"/>
  <c r="J292" i="5"/>
  <c r="I292" i="5"/>
  <c r="A292" i="5"/>
  <c r="J291" i="5"/>
  <c r="I291" i="5"/>
  <c r="A291" i="5"/>
  <c r="J290" i="5"/>
  <c r="I290" i="5"/>
  <c r="A290" i="5"/>
  <c r="J289" i="5"/>
  <c r="I289" i="5"/>
  <c r="A289" i="5"/>
  <c r="J288" i="5"/>
  <c r="I288" i="5"/>
  <c r="A288" i="5"/>
  <c r="J287" i="5"/>
  <c r="I287" i="5"/>
  <c r="A287" i="5"/>
  <c r="J286" i="5"/>
  <c r="I286" i="5"/>
  <c r="A286" i="5"/>
  <c r="J285" i="5"/>
  <c r="I285" i="5"/>
  <c r="A285" i="5"/>
  <c r="J284" i="5"/>
  <c r="I284" i="5"/>
  <c r="A284" i="5"/>
  <c r="J283" i="5"/>
  <c r="I283" i="5"/>
  <c r="A283" i="5"/>
  <c r="J282" i="5"/>
  <c r="I282" i="5"/>
  <c r="A282" i="5"/>
  <c r="J281" i="5"/>
  <c r="I281" i="5"/>
  <c r="A281" i="5"/>
  <c r="J280" i="5"/>
  <c r="I280" i="5"/>
  <c r="A280" i="5"/>
  <c r="J279" i="5"/>
  <c r="I279" i="5"/>
  <c r="A279" i="5"/>
  <c r="J278" i="5"/>
  <c r="I278" i="5"/>
  <c r="A278" i="5"/>
  <c r="J277" i="5"/>
  <c r="I277" i="5"/>
  <c r="A277" i="5"/>
  <c r="J276" i="5"/>
  <c r="I276" i="5"/>
  <c r="A276" i="5"/>
  <c r="J275" i="5"/>
  <c r="I275" i="5"/>
  <c r="A275" i="5"/>
  <c r="J274" i="5"/>
  <c r="I274" i="5"/>
  <c r="A274" i="5"/>
  <c r="J273" i="5"/>
  <c r="I273" i="5"/>
  <c r="A273" i="5"/>
  <c r="J272" i="5"/>
  <c r="I272" i="5"/>
  <c r="A272" i="5"/>
  <c r="J271" i="5"/>
  <c r="I271" i="5"/>
  <c r="A271" i="5"/>
  <c r="J270" i="5"/>
  <c r="I270" i="5"/>
  <c r="A270" i="5"/>
  <c r="J269" i="5"/>
  <c r="I269" i="5"/>
  <c r="A269" i="5"/>
  <c r="J268" i="5"/>
  <c r="I268" i="5"/>
  <c r="A268" i="5"/>
  <c r="J267" i="5"/>
  <c r="I267" i="5"/>
  <c r="A267" i="5"/>
  <c r="J266" i="5"/>
  <c r="I266" i="5"/>
  <c r="A266" i="5"/>
  <c r="J265" i="5"/>
  <c r="I265" i="5"/>
  <c r="A265" i="5"/>
  <c r="J264" i="5"/>
  <c r="I264" i="5"/>
  <c r="A264" i="5"/>
  <c r="J263" i="5"/>
  <c r="I263" i="5"/>
  <c r="A263" i="5"/>
  <c r="J262" i="5"/>
  <c r="I262" i="5"/>
  <c r="A262" i="5"/>
  <c r="J261" i="5"/>
  <c r="I261" i="5"/>
  <c r="A261" i="5"/>
  <c r="J260" i="5"/>
  <c r="I260" i="5"/>
  <c r="A260" i="5"/>
  <c r="J259" i="5"/>
  <c r="I259" i="5"/>
  <c r="A259" i="5"/>
  <c r="J258" i="5"/>
  <c r="I258" i="5"/>
  <c r="A258" i="5"/>
  <c r="J257" i="5"/>
  <c r="I257" i="5"/>
  <c r="A257" i="5"/>
  <c r="J256" i="5"/>
  <c r="I256" i="5"/>
  <c r="A256" i="5"/>
  <c r="J255" i="5"/>
  <c r="I255" i="5"/>
  <c r="A255" i="5"/>
  <c r="J254" i="5"/>
  <c r="I254" i="5"/>
  <c r="A254" i="5"/>
  <c r="J253" i="5"/>
  <c r="I253" i="5"/>
  <c r="A253" i="5"/>
  <c r="J252" i="5"/>
  <c r="I252" i="5"/>
  <c r="A252" i="5"/>
  <c r="J251" i="5"/>
  <c r="I251" i="5"/>
  <c r="A251" i="5"/>
  <c r="J250" i="5"/>
  <c r="I250" i="5"/>
  <c r="A250" i="5"/>
  <c r="J249" i="5"/>
  <c r="I249" i="5"/>
  <c r="A249" i="5"/>
  <c r="J248" i="5"/>
  <c r="I248" i="5"/>
  <c r="A248" i="5"/>
  <c r="J247" i="5"/>
  <c r="I247" i="5"/>
  <c r="A247" i="5"/>
  <c r="J246" i="5"/>
  <c r="I246" i="5"/>
  <c r="A246" i="5"/>
  <c r="J245" i="5"/>
  <c r="I245" i="5"/>
  <c r="A245" i="5"/>
  <c r="J244" i="5"/>
  <c r="I244" i="5"/>
  <c r="A244" i="5"/>
  <c r="J243" i="5"/>
  <c r="I243" i="5"/>
  <c r="A243" i="5"/>
  <c r="J242" i="5"/>
  <c r="I242" i="5"/>
  <c r="A242" i="5"/>
  <c r="J241" i="5"/>
  <c r="I241" i="5"/>
  <c r="A241" i="5"/>
  <c r="J240" i="5"/>
  <c r="I240" i="5"/>
  <c r="A240" i="5"/>
  <c r="J239" i="5"/>
  <c r="I239" i="5"/>
  <c r="A239" i="5"/>
  <c r="J238" i="5"/>
  <c r="I238" i="5"/>
  <c r="A238" i="5"/>
  <c r="J237" i="5"/>
  <c r="I237" i="5"/>
  <c r="A237" i="5"/>
  <c r="J236" i="5"/>
  <c r="I236" i="5"/>
  <c r="A236" i="5"/>
  <c r="J235" i="5"/>
  <c r="I235" i="5"/>
  <c r="A235" i="5"/>
  <c r="J234" i="5"/>
  <c r="I234" i="5"/>
  <c r="A234" i="5"/>
  <c r="J233" i="5"/>
  <c r="I233" i="5"/>
  <c r="A233" i="5"/>
  <c r="J232" i="5"/>
  <c r="I232" i="5"/>
  <c r="A232" i="5"/>
  <c r="J231" i="5"/>
  <c r="I231" i="5"/>
  <c r="A231" i="5"/>
  <c r="J230" i="5"/>
  <c r="I230" i="5"/>
  <c r="A230" i="5"/>
  <c r="J229" i="5"/>
  <c r="I229" i="5"/>
  <c r="A229" i="5"/>
  <c r="J228" i="5"/>
  <c r="I228" i="5"/>
  <c r="A228" i="5"/>
  <c r="J227" i="5"/>
  <c r="I227" i="5"/>
  <c r="A227" i="5"/>
  <c r="J226" i="5"/>
  <c r="I226" i="5"/>
  <c r="A226" i="5"/>
  <c r="J225" i="5"/>
  <c r="I225" i="5"/>
  <c r="A225" i="5"/>
  <c r="J224" i="5"/>
  <c r="I224" i="5"/>
  <c r="A224" i="5"/>
  <c r="J223" i="5"/>
  <c r="I223" i="5"/>
  <c r="A223" i="5"/>
  <c r="J222" i="5"/>
  <c r="I222" i="5"/>
  <c r="A222" i="5"/>
  <c r="J221" i="5"/>
  <c r="I221" i="5"/>
  <c r="A221" i="5"/>
  <c r="J220" i="5"/>
  <c r="I220" i="5"/>
  <c r="A220" i="5"/>
  <c r="J219" i="5"/>
  <c r="I219" i="5"/>
  <c r="A219" i="5"/>
  <c r="J218" i="5"/>
  <c r="I218" i="5"/>
  <c r="A218" i="5"/>
  <c r="J217" i="5"/>
  <c r="I217" i="5"/>
  <c r="A217" i="5"/>
  <c r="J216" i="5"/>
  <c r="I216" i="5"/>
  <c r="A216" i="5"/>
  <c r="J215" i="5"/>
  <c r="I215" i="5"/>
  <c r="A215" i="5"/>
  <c r="J214" i="5"/>
  <c r="I214" i="5"/>
  <c r="A214" i="5"/>
  <c r="J213" i="5"/>
  <c r="I213" i="5"/>
  <c r="A213" i="5"/>
  <c r="J212" i="5"/>
  <c r="I212" i="5"/>
  <c r="A212" i="5"/>
  <c r="J211" i="5"/>
  <c r="I211" i="5"/>
  <c r="A211" i="5"/>
  <c r="J210" i="5"/>
  <c r="I210" i="5"/>
  <c r="A210" i="5"/>
  <c r="J209" i="5"/>
  <c r="I209" i="5"/>
  <c r="A209" i="5"/>
  <c r="J208" i="5"/>
  <c r="I208" i="5"/>
  <c r="A208" i="5"/>
  <c r="J207" i="5"/>
  <c r="I207" i="5"/>
  <c r="A207" i="5"/>
  <c r="J206" i="5"/>
  <c r="I206" i="5"/>
  <c r="A206" i="5"/>
  <c r="J205" i="5"/>
  <c r="I205" i="5"/>
  <c r="A205" i="5"/>
  <c r="J204" i="5"/>
  <c r="I204" i="5"/>
  <c r="A204" i="5"/>
  <c r="J203" i="5"/>
  <c r="I203" i="5"/>
  <c r="A203" i="5"/>
  <c r="J202" i="5"/>
  <c r="I202" i="5"/>
  <c r="A202" i="5"/>
  <c r="J201" i="5"/>
  <c r="I201" i="5"/>
  <c r="A201" i="5"/>
  <c r="J200" i="5"/>
  <c r="I200" i="5"/>
  <c r="A200" i="5"/>
  <c r="J199" i="5"/>
  <c r="I199" i="5"/>
  <c r="A199" i="5"/>
  <c r="J198" i="5"/>
  <c r="I198" i="5"/>
  <c r="A198" i="5"/>
  <c r="J197" i="5"/>
  <c r="I197" i="5"/>
  <c r="A197" i="5"/>
  <c r="J196" i="5"/>
  <c r="I196" i="5"/>
  <c r="A196" i="5"/>
  <c r="J195" i="5"/>
  <c r="I195" i="5"/>
  <c r="A195" i="5"/>
  <c r="J194" i="5"/>
  <c r="I194" i="5"/>
  <c r="A194" i="5"/>
  <c r="J193" i="5"/>
  <c r="I193" i="5"/>
  <c r="A193" i="5"/>
  <c r="J192" i="5"/>
  <c r="I192" i="5"/>
  <c r="A192" i="5"/>
  <c r="J191" i="5"/>
  <c r="I191" i="5"/>
  <c r="A191" i="5"/>
  <c r="J190" i="5"/>
  <c r="I190" i="5"/>
  <c r="A190" i="5"/>
  <c r="J189" i="5"/>
  <c r="I189" i="5"/>
  <c r="A189" i="5"/>
  <c r="J188" i="5"/>
  <c r="I188" i="5"/>
  <c r="A188" i="5"/>
  <c r="J187" i="5"/>
  <c r="I187" i="5"/>
  <c r="A187" i="5"/>
  <c r="J186" i="5"/>
  <c r="I186" i="5"/>
  <c r="A186" i="5"/>
  <c r="J185" i="5"/>
  <c r="I185" i="5"/>
  <c r="A185" i="5"/>
  <c r="J184" i="5"/>
  <c r="I184" i="5"/>
  <c r="A184" i="5"/>
  <c r="J183" i="5"/>
  <c r="I183" i="5"/>
  <c r="A183" i="5"/>
  <c r="J182" i="5"/>
  <c r="I182" i="5"/>
  <c r="A182" i="5"/>
  <c r="J181" i="5"/>
  <c r="I181" i="5"/>
  <c r="A181" i="5"/>
  <c r="J180" i="5"/>
  <c r="I180" i="5"/>
  <c r="A180" i="5"/>
  <c r="J179" i="5"/>
  <c r="I179" i="5"/>
  <c r="A179" i="5"/>
  <c r="J178" i="5"/>
  <c r="I178" i="5"/>
  <c r="A178" i="5"/>
  <c r="J177" i="5"/>
  <c r="I177" i="5"/>
  <c r="A177" i="5"/>
  <c r="J176" i="5"/>
  <c r="I176" i="5"/>
  <c r="A176" i="5"/>
  <c r="J175" i="5"/>
  <c r="I175" i="5"/>
  <c r="A175" i="5"/>
  <c r="J174" i="5"/>
  <c r="I174" i="5"/>
  <c r="A174" i="5"/>
  <c r="J173" i="5"/>
  <c r="I173" i="5"/>
  <c r="A173" i="5"/>
  <c r="J172" i="5"/>
  <c r="I172" i="5"/>
  <c r="A172" i="5"/>
  <c r="J171" i="5"/>
  <c r="I171" i="5"/>
  <c r="A171" i="5"/>
  <c r="J170" i="5"/>
  <c r="I170" i="5"/>
  <c r="A170" i="5"/>
  <c r="J169" i="5"/>
  <c r="I169" i="5"/>
  <c r="A169" i="5"/>
  <c r="J168" i="5"/>
  <c r="I168" i="5"/>
  <c r="A168" i="5"/>
  <c r="J167" i="5"/>
  <c r="I167" i="5"/>
  <c r="A167" i="5"/>
  <c r="J166" i="5"/>
  <c r="I166" i="5"/>
  <c r="A166" i="5"/>
  <c r="J165" i="5"/>
  <c r="I165" i="5"/>
  <c r="A165" i="5"/>
  <c r="J164" i="5"/>
  <c r="I164" i="5"/>
  <c r="A164" i="5"/>
  <c r="J163" i="5"/>
  <c r="I163" i="5"/>
  <c r="A163" i="5"/>
  <c r="J162" i="5"/>
  <c r="I162" i="5"/>
  <c r="A162" i="5"/>
  <c r="J161" i="5"/>
  <c r="I161" i="5"/>
  <c r="A161" i="5"/>
  <c r="J160" i="5"/>
  <c r="I160" i="5"/>
  <c r="A160" i="5"/>
  <c r="J159" i="5"/>
  <c r="I159" i="5"/>
  <c r="A159" i="5"/>
  <c r="J158" i="5"/>
  <c r="I158" i="5"/>
  <c r="A158" i="5"/>
  <c r="J157" i="5"/>
  <c r="I157" i="5"/>
  <c r="A157" i="5"/>
  <c r="J156" i="5"/>
  <c r="I156" i="5"/>
  <c r="A156" i="5"/>
  <c r="J155" i="5"/>
  <c r="I155" i="5"/>
  <c r="A155" i="5"/>
  <c r="J154" i="5"/>
  <c r="I154" i="5"/>
  <c r="A154" i="5"/>
  <c r="J153" i="5"/>
  <c r="I153" i="5"/>
  <c r="A153" i="5"/>
  <c r="J152" i="5"/>
  <c r="I152" i="5"/>
  <c r="A152" i="5"/>
  <c r="J151" i="5"/>
  <c r="I151" i="5"/>
  <c r="A151" i="5"/>
  <c r="J150" i="5"/>
  <c r="I150" i="5"/>
  <c r="A150" i="5"/>
  <c r="J149" i="5"/>
  <c r="I149" i="5"/>
  <c r="A149" i="5"/>
  <c r="J148" i="5"/>
  <c r="I148" i="5"/>
  <c r="A148" i="5"/>
  <c r="J147" i="5"/>
  <c r="I147" i="5"/>
  <c r="A147" i="5"/>
  <c r="J146" i="5"/>
  <c r="I146" i="5"/>
  <c r="A146" i="5"/>
  <c r="J145" i="5"/>
  <c r="I145" i="5"/>
  <c r="A145" i="5"/>
  <c r="J144" i="5"/>
  <c r="I144" i="5"/>
  <c r="A144" i="5"/>
  <c r="J143" i="5"/>
  <c r="I143" i="5"/>
  <c r="A143" i="5"/>
  <c r="J142" i="5"/>
  <c r="I142" i="5"/>
  <c r="A142" i="5"/>
  <c r="J141" i="5"/>
  <c r="I141" i="5"/>
  <c r="A141" i="5"/>
  <c r="J140" i="5"/>
  <c r="I140" i="5"/>
  <c r="A140" i="5"/>
  <c r="J139" i="5"/>
  <c r="I139" i="5"/>
  <c r="A139" i="5"/>
  <c r="J138" i="5"/>
  <c r="I138" i="5"/>
  <c r="A138" i="5"/>
  <c r="J137" i="5"/>
  <c r="I137" i="5"/>
  <c r="A137" i="5"/>
  <c r="J136" i="5"/>
  <c r="I136" i="5"/>
  <c r="A136" i="5"/>
  <c r="J135" i="5"/>
  <c r="I135" i="5"/>
  <c r="A135" i="5"/>
  <c r="J134" i="5"/>
  <c r="I134" i="5"/>
  <c r="A134" i="5"/>
  <c r="J133" i="5"/>
  <c r="I133" i="5"/>
  <c r="A133" i="5"/>
  <c r="J132" i="5"/>
  <c r="I132" i="5"/>
  <c r="A132" i="5"/>
  <c r="J131" i="5"/>
  <c r="I131" i="5"/>
  <c r="A131" i="5"/>
  <c r="J130" i="5"/>
  <c r="I130" i="5"/>
  <c r="A130" i="5"/>
  <c r="J129" i="5"/>
  <c r="I129" i="5"/>
  <c r="A129" i="5"/>
  <c r="J128" i="5"/>
  <c r="I128" i="5"/>
  <c r="A128" i="5"/>
  <c r="J127" i="5"/>
  <c r="I127" i="5"/>
  <c r="A127" i="5"/>
  <c r="J126" i="5"/>
  <c r="I126" i="5"/>
  <c r="A126" i="5"/>
  <c r="J125" i="5"/>
  <c r="I125" i="5"/>
  <c r="A125" i="5"/>
  <c r="J124" i="5"/>
  <c r="I124" i="5"/>
  <c r="A124" i="5"/>
  <c r="J123" i="5"/>
  <c r="I123" i="5"/>
  <c r="A123" i="5"/>
  <c r="J122" i="5"/>
  <c r="I122" i="5"/>
  <c r="A122" i="5"/>
  <c r="J121" i="5"/>
  <c r="I121" i="5"/>
  <c r="A121" i="5"/>
  <c r="J120" i="5"/>
  <c r="I120" i="5"/>
  <c r="A120" i="5"/>
  <c r="J119" i="5"/>
  <c r="I119" i="5"/>
  <c r="A119" i="5"/>
  <c r="J118" i="5"/>
  <c r="I118" i="5"/>
  <c r="A118" i="5"/>
  <c r="J117" i="5"/>
  <c r="I117" i="5"/>
  <c r="A117" i="5"/>
  <c r="J116" i="5"/>
  <c r="I116" i="5"/>
  <c r="A116" i="5"/>
  <c r="J115" i="5"/>
  <c r="I115" i="5"/>
  <c r="A115" i="5"/>
  <c r="J114" i="5"/>
  <c r="I114" i="5"/>
  <c r="A114" i="5"/>
  <c r="J113" i="5"/>
  <c r="I113" i="5"/>
  <c r="A113" i="5"/>
  <c r="J112" i="5"/>
  <c r="I112" i="5"/>
  <c r="A112" i="5"/>
  <c r="J111" i="5"/>
  <c r="I111" i="5"/>
  <c r="A111" i="5"/>
  <c r="J110" i="5"/>
  <c r="I110" i="5"/>
  <c r="A110" i="5"/>
  <c r="J109" i="5"/>
  <c r="I109" i="5"/>
  <c r="A109" i="5"/>
  <c r="J108" i="5"/>
  <c r="I108" i="5"/>
  <c r="A108" i="5"/>
  <c r="J107" i="5"/>
  <c r="I107" i="5"/>
  <c r="A107" i="5"/>
  <c r="J106" i="5"/>
  <c r="I106" i="5"/>
  <c r="A106" i="5"/>
  <c r="J105" i="5"/>
  <c r="I105" i="5"/>
  <c r="A105" i="5"/>
  <c r="J104" i="5"/>
  <c r="I104" i="5"/>
  <c r="A104" i="5"/>
  <c r="J103" i="5"/>
  <c r="I103" i="5"/>
  <c r="A103" i="5"/>
  <c r="J102" i="5"/>
  <c r="I102" i="5"/>
  <c r="A102" i="5"/>
  <c r="J101" i="5"/>
  <c r="I101" i="5"/>
  <c r="A101" i="5"/>
  <c r="J100" i="5"/>
  <c r="I100" i="5"/>
  <c r="A100" i="5"/>
  <c r="J99" i="5"/>
  <c r="I99" i="5"/>
  <c r="A99" i="5"/>
  <c r="J98" i="5"/>
  <c r="I98" i="5"/>
  <c r="A98" i="5"/>
  <c r="J97" i="5"/>
  <c r="I97" i="5"/>
  <c r="A97" i="5"/>
  <c r="J96" i="5"/>
  <c r="I96" i="5"/>
  <c r="A96" i="5"/>
  <c r="J95" i="5"/>
  <c r="I95" i="5"/>
  <c r="A95" i="5"/>
  <c r="J94" i="5"/>
  <c r="I94" i="5"/>
  <c r="A94" i="5"/>
  <c r="J93" i="5"/>
  <c r="I93" i="5"/>
  <c r="A93" i="5"/>
  <c r="J92" i="5"/>
  <c r="I92" i="5"/>
  <c r="A92" i="5"/>
  <c r="J91" i="5"/>
  <c r="I91" i="5"/>
  <c r="A91" i="5"/>
  <c r="J90" i="5"/>
  <c r="I90" i="5"/>
  <c r="A90" i="5"/>
  <c r="J89" i="5"/>
  <c r="I89" i="5"/>
  <c r="A89" i="5"/>
  <c r="J88" i="5"/>
  <c r="I88" i="5"/>
  <c r="A88" i="5"/>
  <c r="J87" i="5"/>
  <c r="I87" i="5"/>
  <c r="A87" i="5"/>
  <c r="J86" i="5"/>
  <c r="I86" i="5"/>
  <c r="A86" i="5"/>
  <c r="J85" i="5"/>
  <c r="I85" i="5"/>
  <c r="A85" i="5"/>
  <c r="J84" i="5"/>
  <c r="I84" i="5"/>
  <c r="A84" i="5"/>
  <c r="J83" i="5"/>
  <c r="I83" i="5"/>
  <c r="A83" i="5"/>
  <c r="J82" i="5"/>
  <c r="I82" i="5"/>
  <c r="A82" i="5"/>
  <c r="J81" i="5"/>
  <c r="I81" i="5"/>
  <c r="A81" i="5"/>
  <c r="J80" i="5"/>
  <c r="I80" i="5"/>
  <c r="A80" i="5"/>
  <c r="J79" i="5"/>
  <c r="I79" i="5"/>
  <c r="A79" i="5"/>
  <c r="J78" i="5"/>
  <c r="I78" i="5"/>
  <c r="A78" i="5"/>
  <c r="J77" i="5"/>
  <c r="I77" i="5"/>
  <c r="A77" i="5"/>
  <c r="J76" i="5"/>
  <c r="I76" i="5"/>
  <c r="A76" i="5"/>
  <c r="J75" i="5"/>
  <c r="I75" i="5"/>
  <c r="A75" i="5"/>
  <c r="J74" i="5"/>
  <c r="I74" i="5"/>
  <c r="A74" i="5"/>
  <c r="J73" i="5"/>
  <c r="I73" i="5"/>
  <c r="A73" i="5"/>
  <c r="J72" i="5"/>
  <c r="I72" i="5"/>
  <c r="A72" i="5"/>
  <c r="J71" i="5"/>
  <c r="I71" i="5"/>
  <c r="A71" i="5"/>
  <c r="J70" i="5"/>
  <c r="I70" i="5"/>
  <c r="A70" i="5"/>
  <c r="J69" i="5"/>
  <c r="I69" i="5"/>
  <c r="A69" i="5"/>
  <c r="J68" i="5"/>
  <c r="I68" i="5"/>
  <c r="A68" i="5"/>
  <c r="J67" i="5"/>
  <c r="I67" i="5"/>
  <c r="A67" i="5"/>
  <c r="J66" i="5"/>
  <c r="I66" i="5"/>
  <c r="A66" i="5"/>
  <c r="J65" i="5"/>
  <c r="I65" i="5"/>
  <c r="A65" i="5"/>
  <c r="J64" i="5"/>
  <c r="I64" i="5"/>
  <c r="A64" i="5"/>
  <c r="J63" i="5"/>
  <c r="I63" i="5"/>
  <c r="A63" i="5"/>
  <c r="J62" i="5"/>
  <c r="I62" i="5"/>
  <c r="A62" i="5"/>
  <c r="J61" i="5"/>
  <c r="I61" i="5"/>
  <c r="A61" i="5"/>
  <c r="J60" i="5"/>
  <c r="I60" i="5"/>
  <c r="A60" i="5"/>
  <c r="J59" i="5"/>
  <c r="I59" i="5"/>
  <c r="A59" i="5"/>
  <c r="J58" i="5"/>
  <c r="I58" i="5"/>
  <c r="A58" i="5"/>
  <c r="J57" i="5"/>
  <c r="I57" i="5"/>
  <c r="A57" i="5"/>
  <c r="J56" i="5"/>
  <c r="I56" i="5"/>
  <c r="A56" i="5"/>
  <c r="J55" i="5"/>
  <c r="I55" i="5"/>
  <c r="A55" i="5"/>
  <c r="J54" i="5"/>
  <c r="I54" i="5"/>
  <c r="A54" i="5"/>
  <c r="J53" i="5"/>
  <c r="I53" i="5"/>
  <c r="A53" i="5"/>
  <c r="J52" i="5"/>
  <c r="I52" i="5"/>
  <c r="A52" i="5"/>
  <c r="J51" i="5"/>
  <c r="I51" i="5"/>
  <c r="A51" i="5"/>
  <c r="J50" i="5"/>
  <c r="I50" i="5"/>
  <c r="A50" i="5"/>
  <c r="J49" i="5"/>
  <c r="I49" i="5"/>
  <c r="A49" i="5"/>
  <c r="J48" i="5"/>
  <c r="I48" i="5"/>
  <c r="A48" i="5"/>
  <c r="J47" i="5"/>
  <c r="I47" i="5"/>
  <c r="A47" i="5"/>
  <c r="J46" i="5"/>
  <c r="I46" i="5"/>
  <c r="A46" i="5"/>
  <c r="J45" i="5"/>
  <c r="I45" i="5"/>
  <c r="A45" i="5"/>
  <c r="J44" i="5"/>
  <c r="I44" i="5"/>
  <c r="A44" i="5"/>
  <c r="J43" i="5"/>
  <c r="I43" i="5"/>
  <c r="A43" i="5"/>
  <c r="J42" i="5"/>
  <c r="I42" i="5"/>
  <c r="A42" i="5"/>
  <c r="J41" i="5"/>
  <c r="I41" i="5"/>
  <c r="A41" i="5"/>
  <c r="J40" i="5"/>
  <c r="I40" i="5"/>
  <c r="A40" i="5"/>
  <c r="J39" i="5"/>
  <c r="I39" i="5"/>
  <c r="A39" i="5"/>
  <c r="J38" i="5"/>
  <c r="I38" i="5"/>
  <c r="A38" i="5"/>
  <c r="J37" i="5"/>
  <c r="I37" i="5"/>
  <c r="A37" i="5"/>
  <c r="J36" i="5"/>
  <c r="I36" i="5"/>
  <c r="A36" i="5"/>
  <c r="J35" i="5"/>
  <c r="I35" i="5"/>
  <c r="A35" i="5"/>
  <c r="J34" i="5"/>
  <c r="I34" i="5"/>
  <c r="A34" i="5"/>
  <c r="J33" i="5"/>
  <c r="I33" i="5"/>
  <c r="A33" i="5"/>
  <c r="J32" i="5"/>
  <c r="I32" i="5"/>
  <c r="A32" i="5"/>
  <c r="J31" i="5"/>
  <c r="I31" i="5"/>
  <c r="A31" i="5"/>
  <c r="J30" i="5"/>
  <c r="I30" i="5"/>
  <c r="A30" i="5"/>
  <c r="J29" i="5"/>
  <c r="I29" i="5"/>
  <c r="A29" i="5"/>
  <c r="J28" i="5"/>
  <c r="I28" i="5"/>
  <c r="A28" i="5"/>
  <c r="J27" i="5"/>
  <c r="I27" i="5"/>
  <c r="A27" i="5"/>
  <c r="J26" i="5"/>
  <c r="I26" i="5"/>
  <c r="A26" i="5"/>
  <c r="J25" i="5"/>
  <c r="I25" i="5"/>
  <c r="A25" i="5"/>
  <c r="J24" i="5"/>
  <c r="I24" i="5"/>
  <c r="A24" i="5"/>
  <c r="J23" i="5"/>
  <c r="I23" i="5"/>
  <c r="A23" i="5"/>
  <c r="J22" i="5"/>
  <c r="I22" i="5"/>
  <c r="A22" i="5"/>
  <c r="J21" i="5"/>
  <c r="I21" i="5"/>
  <c r="A21" i="5"/>
  <c r="J20" i="5"/>
  <c r="I20" i="5"/>
  <c r="A20" i="5"/>
  <c r="J19" i="5"/>
  <c r="I19" i="5"/>
  <c r="A19" i="5"/>
  <c r="J18" i="5"/>
  <c r="I18" i="5"/>
  <c r="A18" i="5"/>
  <c r="J17" i="5"/>
  <c r="I17" i="5"/>
  <c r="A17" i="5"/>
  <c r="J16" i="5"/>
  <c r="I16" i="5"/>
  <c r="A16" i="5"/>
  <c r="J15" i="5"/>
  <c r="I15" i="5"/>
  <c r="A15" i="5"/>
  <c r="J14" i="5"/>
  <c r="I14" i="5"/>
  <c r="A14" i="5"/>
  <c r="J13" i="5"/>
  <c r="I13" i="5"/>
  <c r="A13" i="5"/>
  <c r="J12" i="5"/>
  <c r="I12" i="5"/>
  <c r="A12" i="5"/>
  <c r="J11" i="5"/>
  <c r="I11" i="5"/>
  <c r="A11" i="5"/>
  <c r="J10" i="5"/>
  <c r="I10" i="5"/>
  <c r="A10" i="5"/>
  <c r="J9" i="6" s="1"/>
  <c r="J9" i="5"/>
  <c r="I9" i="5"/>
  <c r="A9" i="5"/>
  <c r="H8" i="6" s="1"/>
  <c r="J8" i="5"/>
  <c r="I8" i="5"/>
  <c r="A8" i="5"/>
  <c r="F7" i="6" s="1"/>
  <c r="J7" i="5"/>
  <c r="I7" i="5"/>
  <c r="A7" i="5"/>
  <c r="D6" i="6" s="1"/>
  <c r="J6" i="5"/>
  <c r="I6" i="5"/>
  <c r="A6" i="5"/>
  <c r="J5" i="5"/>
  <c r="I5" i="5"/>
  <c r="A5" i="5"/>
  <c r="H4" i="6" s="1"/>
  <c r="H19" i="4"/>
  <c r="F18" i="4"/>
  <c r="E18" i="4"/>
  <c r="C18" i="4"/>
  <c r="B18" i="4"/>
  <c r="I18" i="4" s="1"/>
  <c r="F17" i="4"/>
  <c r="E17" i="4"/>
  <c r="C17" i="4"/>
  <c r="B17" i="4"/>
  <c r="F16" i="4"/>
  <c r="E16" i="4"/>
  <c r="C16" i="4"/>
  <c r="B16" i="4"/>
  <c r="F15" i="4"/>
  <c r="E15" i="4"/>
  <c r="C15" i="4"/>
  <c r="B15" i="4"/>
  <c r="F14" i="4"/>
  <c r="E14" i="4"/>
  <c r="C14" i="4"/>
  <c r="B14" i="4"/>
  <c r="F13" i="4"/>
  <c r="E13" i="4"/>
  <c r="C13" i="4"/>
  <c r="B13" i="4"/>
  <c r="F12" i="4"/>
  <c r="E12" i="4"/>
  <c r="C12" i="4"/>
  <c r="B12" i="4"/>
  <c r="I12" i="4" s="1"/>
  <c r="F11" i="4"/>
  <c r="E11" i="4"/>
  <c r="C11" i="4"/>
  <c r="B11" i="4"/>
  <c r="I11" i="4" s="1"/>
  <c r="F10" i="4"/>
  <c r="E10" i="4"/>
  <c r="C10" i="4"/>
  <c r="B10" i="4"/>
  <c r="I10" i="4" s="1"/>
  <c r="F9" i="4"/>
  <c r="F19" i="4" s="1"/>
  <c r="E9" i="4"/>
  <c r="B9" i="4"/>
  <c r="L5" i="4"/>
  <c r="J5" i="4"/>
  <c r="D5" i="4"/>
  <c r="B5" i="4"/>
  <c r="A2" i="4"/>
  <c r="J5" i="1"/>
  <c r="H5" i="1"/>
  <c r="D5" i="1"/>
  <c r="B5" i="1"/>
  <c r="A2" i="1"/>
  <c r="C9" i="4" l="1"/>
  <c r="D9" i="4" s="1"/>
  <c r="M4" i="9"/>
  <c r="A18" i="13"/>
  <c r="M4" i="8"/>
  <c r="F5" i="4"/>
  <c r="L4" i="8"/>
  <c r="J5" i="6"/>
  <c r="D14" i="4"/>
  <c r="D16" i="4"/>
  <c r="E19" i="4"/>
  <c r="D11" i="4"/>
  <c r="D13" i="4"/>
  <c r="D15" i="4"/>
  <c r="D17" i="4"/>
  <c r="D12" i="4"/>
  <c r="I13" i="4"/>
  <c r="I15" i="4"/>
  <c r="I9" i="4"/>
  <c r="I17" i="4"/>
  <c r="B19" i="4"/>
  <c r="I19" i="4" s="1"/>
  <c r="E12" i="6"/>
  <c r="D12" i="6"/>
  <c r="C12" i="6"/>
  <c r="J12" i="6"/>
  <c r="B12" i="6"/>
  <c r="I12" i="6"/>
  <c r="A12" i="6"/>
  <c r="H12" i="6"/>
  <c r="G12" i="6"/>
  <c r="F12" i="6"/>
  <c r="E20" i="6"/>
  <c r="D20" i="6"/>
  <c r="C20" i="6"/>
  <c r="J20" i="6"/>
  <c r="B20" i="6"/>
  <c r="I20" i="6"/>
  <c r="A20" i="6"/>
  <c r="H20" i="6"/>
  <c r="G20" i="6"/>
  <c r="F20" i="6"/>
  <c r="E28" i="6"/>
  <c r="D28" i="6"/>
  <c r="C28" i="6"/>
  <c r="J28" i="6"/>
  <c r="B28" i="6"/>
  <c r="I28" i="6"/>
  <c r="A28" i="6"/>
  <c r="H28" i="6"/>
  <c r="G28" i="6"/>
  <c r="F28" i="6"/>
  <c r="E36" i="6"/>
  <c r="D36" i="6"/>
  <c r="C36" i="6"/>
  <c r="J36" i="6"/>
  <c r="B36" i="6"/>
  <c r="I36" i="6"/>
  <c r="A36" i="6"/>
  <c r="H36" i="6"/>
  <c r="G36" i="6"/>
  <c r="F36" i="6"/>
  <c r="E44" i="6"/>
  <c r="D44" i="6"/>
  <c r="C44" i="6"/>
  <c r="J44" i="6"/>
  <c r="B44" i="6"/>
  <c r="I44" i="6"/>
  <c r="A44" i="6"/>
  <c r="H44" i="6"/>
  <c r="G44" i="6"/>
  <c r="F44" i="6"/>
  <c r="E52" i="6"/>
  <c r="D52" i="6"/>
  <c r="C52" i="6"/>
  <c r="J52" i="6"/>
  <c r="B52" i="6"/>
  <c r="I52" i="6"/>
  <c r="A52" i="6"/>
  <c r="H52" i="6"/>
  <c r="G52" i="6"/>
  <c r="F52" i="6"/>
  <c r="E60" i="6"/>
  <c r="D60" i="6"/>
  <c r="C60" i="6"/>
  <c r="J60" i="6"/>
  <c r="B60" i="6"/>
  <c r="I60" i="6"/>
  <c r="A60" i="6"/>
  <c r="H60" i="6"/>
  <c r="G60" i="6"/>
  <c r="F60" i="6"/>
  <c r="E68" i="6"/>
  <c r="D68" i="6"/>
  <c r="C68" i="6"/>
  <c r="J68" i="6"/>
  <c r="B68" i="6"/>
  <c r="I68" i="6"/>
  <c r="A68" i="6"/>
  <c r="H68" i="6"/>
  <c r="G68" i="6"/>
  <c r="F68" i="6"/>
  <c r="E76" i="6"/>
  <c r="D76" i="6"/>
  <c r="C76" i="6"/>
  <c r="J76" i="6"/>
  <c r="B76" i="6"/>
  <c r="I76" i="6"/>
  <c r="A76" i="6"/>
  <c r="H76" i="6"/>
  <c r="G76" i="6"/>
  <c r="F76" i="6"/>
  <c r="E84" i="6"/>
  <c r="D84" i="6"/>
  <c r="C84" i="6"/>
  <c r="J84" i="6"/>
  <c r="B84" i="6"/>
  <c r="I84" i="6"/>
  <c r="A84" i="6"/>
  <c r="H84" i="6"/>
  <c r="G84" i="6"/>
  <c r="F84" i="6"/>
  <c r="E92" i="6"/>
  <c r="D92" i="6"/>
  <c r="C92" i="6"/>
  <c r="J92" i="6"/>
  <c r="B92" i="6"/>
  <c r="I92" i="6"/>
  <c r="A92" i="6"/>
  <c r="H92" i="6"/>
  <c r="G92" i="6"/>
  <c r="F92" i="6"/>
  <c r="E100" i="6"/>
  <c r="D100" i="6"/>
  <c r="C100" i="6"/>
  <c r="J100" i="6"/>
  <c r="B100" i="6"/>
  <c r="I100" i="6"/>
  <c r="A100" i="6"/>
  <c r="H100" i="6"/>
  <c r="G100" i="6"/>
  <c r="F100" i="6"/>
  <c r="E108" i="6"/>
  <c r="D108" i="6"/>
  <c r="C108" i="6"/>
  <c r="J108" i="6"/>
  <c r="B108" i="6"/>
  <c r="I108" i="6"/>
  <c r="A108" i="6"/>
  <c r="H108" i="6"/>
  <c r="G108" i="6"/>
  <c r="F108" i="6"/>
  <c r="E116" i="6"/>
  <c r="D116" i="6"/>
  <c r="C116" i="6"/>
  <c r="J116" i="6"/>
  <c r="B116" i="6"/>
  <c r="I116" i="6"/>
  <c r="A116" i="6"/>
  <c r="H116" i="6"/>
  <c r="G116" i="6"/>
  <c r="F116" i="6"/>
  <c r="E124" i="6"/>
  <c r="D124" i="6"/>
  <c r="C124" i="6"/>
  <c r="J124" i="6"/>
  <c r="B124" i="6"/>
  <c r="I124" i="6"/>
  <c r="A124" i="6"/>
  <c r="H124" i="6"/>
  <c r="G124" i="6"/>
  <c r="F124" i="6"/>
  <c r="E132" i="6"/>
  <c r="D132" i="6"/>
  <c r="C132" i="6"/>
  <c r="J132" i="6"/>
  <c r="B132" i="6"/>
  <c r="I132" i="6"/>
  <c r="A132" i="6"/>
  <c r="H132" i="6"/>
  <c r="G132" i="6"/>
  <c r="F132" i="6"/>
  <c r="E140" i="6"/>
  <c r="D140" i="6"/>
  <c r="C140" i="6"/>
  <c r="J140" i="6"/>
  <c r="B140" i="6"/>
  <c r="I140" i="6"/>
  <c r="A140" i="6"/>
  <c r="H140" i="6"/>
  <c r="G140" i="6"/>
  <c r="F140" i="6"/>
  <c r="E148" i="6"/>
  <c r="D148" i="6"/>
  <c r="C148" i="6"/>
  <c r="J148" i="6"/>
  <c r="B148" i="6"/>
  <c r="I148" i="6"/>
  <c r="A148" i="6"/>
  <c r="H148" i="6"/>
  <c r="G148" i="6"/>
  <c r="F148" i="6"/>
  <c r="E156" i="6"/>
  <c r="D156" i="6"/>
  <c r="C156" i="6"/>
  <c r="J156" i="6"/>
  <c r="B156" i="6"/>
  <c r="I156" i="6"/>
  <c r="A156" i="6"/>
  <c r="H156" i="6"/>
  <c r="G156" i="6"/>
  <c r="F156" i="6"/>
  <c r="E164" i="6"/>
  <c r="D164" i="6"/>
  <c r="C164" i="6"/>
  <c r="J164" i="6"/>
  <c r="B164" i="6"/>
  <c r="I164" i="6"/>
  <c r="A164" i="6"/>
  <c r="H164" i="6"/>
  <c r="G164" i="6"/>
  <c r="F164" i="6"/>
  <c r="E172" i="6"/>
  <c r="D172" i="6"/>
  <c r="C172" i="6"/>
  <c r="J172" i="6"/>
  <c r="B172" i="6"/>
  <c r="I172" i="6"/>
  <c r="A172" i="6"/>
  <c r="H172" i="6"/>
  <c r="G172" i="6"/>
  <c r="F172" i="6"/>
  <c r="E180" i="6"/>
  <c r="D180" i="6"/>
  <c r="C180" i="6"/>
  <c r="J180" i="6"/>
  <c r="B180" i="6"/>
  <c r="I180" i="6"/>
  <c r="A180" i="6"/>
  <c r="H180" i="6"/>
  <c r="G180" i="6"/>
  <c r="F180" i="6"/>
  <c r="E188" i="6"/>
  <c r="D188" i="6"/>
  <c r="C188" i="6"/>
  <c r="J188" i="6"/>
  <c r="B188" i="6"/>
  <c r="I188" i="6"/>
  <c r="A188" i="6"/>
  <c r="H188" i="6"/>
  <c r="G188" i="6"/>
  <c r="F188" i="6"/>
  <c r="E196" i="6"/>
  <c r="D196" i="6"/>
  <c r="C196" i="6"/>
  <c r="J196" i="6"/>
  <c r="B196" i="6"/>
  <c r="I196" i="6"/>
  <c r="A196" i="6"/>
  <c r="H196" i="6"/>
  <c r="G196" i="6"/>
  <c r="F196" i="6"/>
  <c r="E204" i="6"/>
  <c r="D204" i="6"/>
  <c r="C204" i="6"/>
  <c r="J204" i="6"/>
  <c r="B204" i="6"/>
  <c r="I204" i="6"/>
  <c r="A204" i="6"/>
  <c r="H204" i="6"/>
  <c r="G204" i="6"/>
  <c r="F204" i="6"/>
  <c r="E212" i="6"/>
  <c r="D212" i="6"/>
  <c r="C212" i="6"/>
  <c r="J212" i="6"/>
  <c r="B212" i="6"/>
  <c r="I212" i="6"/>
  <c r="A212" i="6"/>
  <c r="H212" i="6"/>
  <c r="G212" i="6"/>
  <c r="F212" i="6"/>
  <c r="E220" i="6"/>
  <c r="D220" i="6"/>
  <c r="C220" i="6"/>
  <c r="J220" i="6"/>
  <c r="B220" i="6"/>
  <c r="I220" i="6"/>
  <c r="A220" i="6"/>
  <c r="H220" i="6"/>
  <c r="G220" i="6"/>
  <c r="F220" i="6"/>
  <c r="E228" i="6"/>
  <c r="D228" i="6"/>
  <c r="C228" i="6"/>
  <c r="J228" i="6"/>
  <c r="B228" i="6"/>
  <c r="I228" i="6"/>
  <c r="A228" i="6"/>
  <c r="H228" i="6"/>
  <c r="G228" i="6"/>
  <c r="F228" i="6"/>
  <c r="E236" i="6"/>
  <c r="D236" i="6"/>
  <c r="C236" i="6"/>
  <c r="J236" i="6"/>
  <c r="B236" i="6"/>
  <c r="I236" i="6"/>
  <c r="A236" i="6"/>
  <c r="H236" i="6"/>
  <c r="G236" i="6"/>
  <c r="F236" i="6"/>
  <c r="E244" i="6"/>
  <c r="D244" i="6"/>
  <c r="C244" i="6"/>
  <c r="J244" i="6"/>
  <c r="B244" i="6"/>
  <c r="I244" i="6"/>
  <c r="A244" i="6"/>
  <c r="H244" i="6"/>
  <c r="G244" i="6"/>
  <c r="F244" i="6"/>
  <c r="E252" i="6"/>
  <c r="D252" i="6"/>
  <c r="C252" i="6"/>
  <c r="J252" i="6"/>
  <c r="B252" i="6"/>
  <c r="I252" i="6"/>
  <c r="A252" i="6"/>
  <c r="H252" i="6"/>
  <c r="G252" i="6"/>
  <c r="F252" i="6"/>
  <c r="E260" i="6"/>
  <c r="D260" i="6"/>
  <c r="C260" i="6"/>
  <c r="J260" i="6"/>
  <c r="B260" i="6"/>
  <c r="I260" i="6"/>
  <c r="A260" i="6"/>
  <c r="H260" i="6"/>
  <c r="G260" i="6"/>
  <c r="F260" i="6"/>
  <c r="E268" i="6"/>
  <c r="D268" i="6"/>
  <c r="C268" i="6"/>
  <c r="J268" i="6"/>
  <c r="B268" i="6"/>
  <c r="I268" i="6"/>
  <c r="A268" i="6"/>
  <c r="H268" i="6"/>
  <c r="G268" i="6"/>
  <c r="F268" i="6"/>
  <c r="E276" i="6"/>
  <c r="D276" i="6"/>
  <c r="C276" i="6"/>
  <c r="J276" i="6"/>
  <c r="B276" i="6"/>
  <c r="I276" i="6"/>
  <c r="A276" i="6"/>
  <c r="H276" i="6"/>
  <c r="G276" i="6"/>
  <c r="F276" i="6"/>
  <c r="E284" i="6"/>
  <c r="D284" i="6"/>
  <c r="C284" i="6"/>
  <c r="J284" i="6"/>
  <c r="B284" i="6"/>
  <c r="I284" i="6"/>
  <c r="A284" i="6"/>
  <c r="H284" i="6"/>
  <c r="G284" i="6"/>
  <c r="F284" i="6"/>
  <c r="E292" i="6"/>
  <c r="D292" i="6"/>
  <c r="C292" i="6"/>
  <c r="J292" i="6"/>
  <c r="B292" i="6"/>
  <c r="I292" i="6"/>
  <c r="A292" i="6"/>
  <c r="H292" i="6"/>
  <c r="G292" i="6"/>
  <c r="F292" i="6"/>
  <c r="E300" i="6"/>
  <c r="D300" i="6"/>
  <c r="C300" i="6"/>
  <c r="J300" i="6"/>
  <c r="B300" i="6"/>
  <c r="I300" i="6"/>
  <c r="A300" i="6"/>
  <c r="H300" i="6"/>
  <c r="G300" i="6"/>
  <c r="F300" i="6"/>
  <c r="E308" i="6"/>
  <c r="D308" i="6"/>
  <c r="C308" i="6"/>
  <c r="J308" i="6"/>
  <c r="B308" i="6"/>
  <c r="I308" i="6"/>
  <c r="A308" i="6"/>
  <c r="H308" i="6"/>
  <c r="G308" i="6"/>
  <c r="F308" i="6"/>
  <c r="E316" i="6"/>
  <c r="D316" i="6"/>
  <c r="C316" i="6"/>
  <c r="J316" i="6"/>
  <c r="B316" i="6"/>
  <c r="I316" i="6"/>
  <c r="A316" i="6"/>
  <c r="H316" i="6"/>
  <c r="G316" i="6"/>
  <c r="F316" i="6"/>
  <c r="E324" i="6"/>
  <c r="D324" i="6"/>
  <c r="C324" i="6"/>
  <c r="J324" i="6"/>
  <c r="B324" i="6"/>
  <c r="I324" i="6"/>
  <c r="A324" i="6"/>
  <c r="H324" i="6"/>
  <c r="G324" i="6"/>
  <c r="F324" i="6"/>
  <c r="E332" i="6"/>
  <c r="D332" i="6"/>
  <c r="C332" i="6"/>
  <c r="J332" i="6"/>
  <c r="B332" i="6"/>
  <c r="I332" i="6"/>
  <c r="A332" i="6"/>
  <c r="H332" i="6"/>
  <c r="G332" i="6"/>
  <c r="F332" i="6"/>
  <c r="E340" i="6"/>
  <c r="D340" i="6"/>
  <c r="C340" i="6"/>
  <c r="J340" i="6"/>
  <c r="B340" i="6"/>
  <c r="I340" i="6"/>
  <c r="A340" i="6"/>
  <c r="H340" i="6"/>
  <c r="G340" i="6"/>
  <c r="F340" i="6"/>
  <c r="E348" i="6"/>
  <c r="D348" i="6"/>
  <c r="C348" i="6"/>
  <c r="J348" i="6"/>
  <c r="B348" i="6"/>
  <c r="I348" i="6"/>
  <c r="A348" i="6"/>
  <c r="H348" i="6"/>
  <c r="G348" i="6"/>
  <c r="F348" i="6"/>
  <c r="E356" i="6"/>
  <c r="D356" i="6"/>
  <c r="C356" i="6"/>
  <c r="J356" i="6"/>
  <c r="B356" i="6"/>
  <c r="I356" i="6"/>
  <c r="A356" i="6"/>
  <c r="H356" i="6"/>
  <c r="G356" i="6"/>
  <c r="F356" i="6"/>
  <c r="E364" i="6"/>
  <c r="D364" i="6"/>
  <c r="C364" i="6"/>
  <c r="J364" i="6"/>
  <c r="B364" i="6"/>
  <c r="I364" i="6"/>
  <c r="A364" i="6"/>
  <c r="H364" i="6"/>
  <c r="G364" i="6"/>
  <c r="F364" i="6"/>
  <c r="E372" i="6"/>
  <c r="D372" i="6"/>
  <c r="C372" i="6"/>
  <c r="J372" i="6"/>
  <c r="B372" i="6"/>
  <c r="I372" i="6"/>
  <c r="A372" i="6"/>
  <c r="H372" i="6"/>
  <c r="G372" i="6"/>
  <c r="F372" i="6"/>
  <c r="E380" i="6"/>
  <c r="D380" i="6"/>
  <c r="C380" i="6"/>
  <c r="J380" i="6"/>
  <c r="B380" i="6"/>
  <c r="I380" i="6"/>
  <c r="A380" i="6"/>
  <c r="H380" i="6"/>
  <c r="G380" i="6"/>
  <c r="F380" i="6"/>
  <c r="E388" i="6"/>
  <c r="D388" i="6"/>
  <c r="C388" i="6"/>
  <c r="J388" i="6"/>
  <c r="B388" i="6"/>
  <c r="I388" i="6"/>
  <c r="A388" i="6"/>
  <c r="H388" i="6"/>
  <c r="G388" i="6"/>
  <c r="F388" i="6"/>
  <c r="I396" i="6"/>
  <c r="A396" i="6"/>
  <c r="E396" i="6"/>
  <c r="F396" i="6"/>
  <c r="D396" i="6"/>
  <c r="C396" i="6"/>
  <c r="B396" i="6"/>
  <c r="J396" i="6"/>
  <c r="H396" i="6"/>
  <c r="G396" i="6"/>
  <c r="I404" i="6"/>
  <c r="A404" i="6"/>
  <c r="H404" i="6"/>
  <c r="G404" i="6"/>
  <c r="E404" i="6"/>
  <c r="D404" i="6"/>
  <c r="C404" i="6"/>
  <c r="J404" i="6"/>
  <c r="B404" i="6"/>
  <c r="F404" i="6"/>
  <c r="I412" i="6"/>
  <c r="A412" i="6"/>
  <c r="H412" i="6"/>
  <c r="G412" i="6"/>
  <c r="F412" i="6"/>
  <c r="E412" i="6"/>
  <c r="D412" i="6"/>
  <c r="C412" i="6"/>
  <c r="J412" i="6"/>
  <c r="B412" i="6"/>
  <c r="I420" i="6"/>
  <c r="A420" i="6"/>
  <c r="H420" i="6"/>
  <c r="G420" i="6"/>
  <c r="F420" i="6"/>
  <c r="E420" i="6"/>
  <c r="D420" i="6"/>
  <c r="C420" i="6"/>
  <c r="J420" i="6"/>
  <c r="B420" i="6"/>
  <c r="I428" i="6"/>
  <c r="A428" i="6"/>
  <c r="H428" i="6"/>
  <c r="G428" i="6"/>
  <c r="F428" i="6"/>
  <c r="E428" i="6"/>
  <c r="D428" i="6"/>
  <c r="C428" i="6"/>
  <c r="J428" i="6"/>
  <c r="B428" i="6"/>
  <c r="I436" i="6"/>
  <c r="A436" i="6"/>
  <c r="H436" i="6"/>
  <c r="G436" i="6"/>
  <c r="F436" i="6"/>
  <c r="E436" i="6"/>
  <c r="D436" i="6"/>
  <c r="C436" i="6"/>
  <c r="J436" i="6"/>
  <c r="B436" i="6"/>
  <c r="I444" i="6"/>
  <c r="A444" i="6"/>
  <c r="H444" i="6"/>
  <c r="G444" i="6"/>
  <c r="F444" i="6"/>
  <c r="E444" i="6"/>
  <c r="D444" i="6"/>
  <c r="C444" i="6"/>
  <c r="J444" i="6"/>
  <c r="B444" i="6"/>
  <c r="I452" i="6"/>
  <c r="A452" i="6"/>
  <c r="H452" i="6"/>
  <c r="G452" i="6"/>
  <c r="F452" i="6"/>
  <c r="E452" i="6"/>
  <c r="D452" i="6"/>
  <c r="C452" i="6"/>
  <c r="J452" i="6"/>
  <c r="B452" i="6"/>
  <c r="I460" i="6"/>
  <c r="A460" i="6"/>
  <c r="H460" i="6"/>
  <c r="G460" i="6"/>
  <c r="F460" i="6"/>
  <c r="E460" i="6"/>
  <c r="D460" i="6"/>
  <c r="C460" i="6"/>
  <c r="J460" i="6"/>
  <c r="B460" i="6"/>
  <c r="I468" i="6"/>
  <c r="A468" i="6"/>
  <c r="H468" i="6"/>
  <c r="G468" i="6"/>
  <c r="F468" i="6"/>
  <c r="E468" i="6"/>
  <c r="D468" i="6"/>
  <c r="C468" i="6"/>
  <c r="J468" i="6"/>
  <c r="B468" i="6"/>
  <c r="I476" i="6"/>
  <c r="A476" i="6"/>
  <c r="H476" i="6"/>
  <c r="G476" i="6"/>
  <c r="F476" i="6"/>
  <c r="E476" i="6"/>
  <c r="D476" i="6"/>
  <c r="C476" i="6"/>
  <c r="J476" i="6"/>
  <c r="B476" i="6"/>
  <c r="I484" i="6"/>
  <c r="A484" i="6"/>
  <c r="H484" i="6"/>
  <c r="G484" i="6"/>
  <c r="F484" i="6"/>
  <c r="E484" i="6"/>
  <c r="D484" i="6"/>
  <c r="C484" i="6"/>
  <c r="J484" i="6"/>
  <c r="B484" i="6"/>
  <c r="I492" i="6"/>
  <c r="A492" i="6"/>
  <c r="H492" i="6"/>
  <c r="G492" i="6"/>
  <c r="F492" i="6"/>
  <c r="E492" i="6"/>
  <c r="D492" i="6"/>
  <c r="C492" i="6"/>
  <c r="J492" i="6"/>
  <c r="B492" i="6"/>
  <c r="I500" i="6"/>
  <c r="A500" i="6"/>
  <c r="H500" i="6"/>
  <c r="G500" i="6"/>
  <c r="F500" i="6"/>
  <c r="E500" i="6"/>
  <c r="D500" i="6"/>
  <c r="C500" i="6"/>
  <c r="J500" i="6"/>
  <c r="B500" i="6"/>
  <c r="I508" i="6"/>
  <c r="A508" i="6"/>
  <c r="H508" i="6"/>
  <c r="G508" i="6"/>
  <c r="F508" i="6"/>
  <c r="E508" i="6"/>
  <c r="D508" i="6"/>
  <c r="C508" i="6"/>
  <c r="J508" i="6"/>
  <c r="B508" i="6"/>
  <c r="I516" i="6"/>
  <c r="A516" i="6"/>
  <c r="H516" i="6"/>
  <c r="G516" i="6"/>
  <c r="F516" i="6"/>
  <c r="E516" i="6"/>
  <c r="D516" i="6"/>
  <c r="C516" i="6"/>
  <c r="J516" i="6"/>
  <c r="B516" i="6"/>
  <c r="I524" i="6"/>
  <c r="A524" i="6"/>
  <c r="H524" i="6"/>
  <c r="G524" i="6"/>
  <c r="F524" i="6"/>
  <c r="E524" i="6"/>
  <c r="D524" i="6"/>
  <c r="C524" i="6"/>
  <c r="J524" i="6"/>
  <c r="B524" i="6"/>
  <c r="I532" i="6"/>
  <c r="A532" i="6"/>
  <c r="H532" i="6"/>
  <c r="G532" i="6"/>
  <c r="F532" i="6"/>
  <c r="E532" i="6"/>
  <c r="D532" i="6"/>
  <c r="C532" i="6"/>
  <c r="J532" i="6"/>
  <c r="B532" i="6"/>
  <c r="I540" i="6"/>
  <c r="A540" i="6"/>
  <c r="H540" i="6"/>
  <c r="G540" i="6"/>
  <c r="F540" i="6"/>
  <c r="E540" i="6"/>
  <c r="D540" i="6"/>
  <c r="C540" i="6"/>
  <c r="J540" i="6"/>
  <c r="B540" i="6"/>
  <c r="I548" i="6"/>
  <c r="A548" i="6"/>
  <c r="H548" i="6"/>
  <c r="G548" i="6"/>
  <c r="F548" i="6"/>
  <c r="E548" i="6"/>
  <c r="D548" i="6"/>
  <c r="C548" i="6"/>
  <c r="J548" i="6"/>
  <c r="B548" i="6"/>
  <c r="I556" i="6"/>
  <c r="A556" i="6"/>
  <c r="H556" i="6"/>
  <c r="G556" i="6"/>
  <c r="F556" i="6"/>
  <c r="E556" i="6"/>
  <c r="D556" i="6"/>
  <c r="C556" i="6"/>
  <c r="J556" i="6"/>
  <c r="B556" i="6"/>
  <c r="I564" i="6"/>
  <c r="A564" i="6"/>
  <c r="H564" i="6"/>
  <c r="G564" i="6"/>
  <c r="F564" i="6"/>
  <c r="E564" i="6"/>
  <c r="D564" i="6"/>
  <c r="C564" i="6"/>
  <c r="J564" i="6"/>
  <c r="B564" i="6"/>
  <c r="I572" i="6"/>
  <c r="A572" i="6"/>
  <c r="H572" i="6"/>
  <c r="G572" i="6"/>
  <c r="F572" i="6"/>
  <c r="E572" i="6"/>
  <c r="D572" i="6"/>
  <c r="C572" i="6"/>
  <c r="J572" i="6"/>
  <c r="B572" i="6"/>
  <c r="I580" i="6"/>
  <c r="A580" i="6"/>
  <c r="H580" i="6"/>
  <c r="G580" i="6"/>
  <c r="F580" i="6"/>
  <c r="E580" i="6"/>
  <c r="D580" i="6"/>
  <c r="C580" i="6"/>
  <c r="J580" i="6"/>
  <c r="B580" i="6"/>
  <c r="I588" i="6"/>
  <c r="A588" i="6"/>
  <c r="H588" i="6"/>
  <c r="G588" i="6"/>
  <c r="F588" i="6"/>
  <c r="E588" i="6"/>
  <c r="D588" i="6"/>
  <c r="C588" i="6"/>
  <c r="J588" i="6"/>
  <c r="B588" i="6"/>
  <c r="I596" i="6"/>
  <c r="A596" i="6"/>
  <c r="H596" i="6"/>
  <c r="G596" i="6"/>
  <c r="F596" i="6"/>
  <c r="E596" i="6"/>
  <c r="D596" i="6"/>
  <c r="C596" i="6"/>
  <c r="J596" i="6"/>
  <c r="B596" i="6"/>
  <c r="I604" i="6"/>
  <c r="A604" i="6"/>
  <c r="H604" i="6"/>
  <c r="G604" i="6"/>
  <c r="F604" i="6"/>
  <c r="E604" i="6"/>
  <c r="D604" i="6"/>
  <c r="C604" i="6"/>
  <c r="J604" i="6"/>
  <c r="B604" i="6"/>
  <c r="I612" i="6"/>
  <c r="A612" i="6"/>
  <c r="H612" i="6"/>
  <c r="G612" i="6"/>
  <c r="F612" i="6"/>
  <c r="E612" i="6"/>
  <c r="D612" i="6"/>
  <c r="C612" i="6"/>
  <c r="J612" i="6"/>
  <c r="B612" i="6"/>
  <c r="I620" i="6"/>
  <c r="A620" i="6"/>
  <c r="H620" i="6"/>
  <c r="G620" i="6"/>
  <c r="F620" i="6"/>
  <c r="E620" i="6"/>
  <c r="D620" i="6"/>
  <c r="C620" i="6"/>
  <c r="J620" i="6"/>
  <c r="B620" i="6"/>
  <c r="I628" i="6"/>
  <c r="A628" i="6"/>
  <c r="H628" i="6"/>
  <c r="G628" i="6"/>
  <c r="F628" i="6"/>
  <c r="E628" i="6"/>
  <c r="D628" i="6"/>
  <c r="C628" i="6"/>
  <c r="J628" i="6"/>
  <c r="B628" i="6"/>
  <c r="I636" i="6"/>
  <c r="A636" i="6"/>
  <c r="H636" i="6"/>
  <c r="G636" i="6"/>
  <c r="F636" i="6"/>
  <c r="E636" i="6"/>
  <c r="D636" i="6"/>
  <c r="C636" i="6"/>
  <c r="J636" i="6"/>
  <c r="B636" i="6"/>
  <c r="I644" i="6"/>
  <c r="A644" i="6"/>
  <c r="H644" i="6"/>
  <c r="G644" i="6"/>
  <c r="F644" i="6"/>
  <c r="E644" i="6"/>
  <c r="D644" i="6"/>
  <c r="C644" i="6"/>
  <c r="J644" i="6"/>
  <c r="B644" i="6"/>
  <c r="I652" i="6"/>
  <c r="A652" i="6"/>
  <c r="H652" i="6"/>
  <c r="G652" i="6"/>
  <c r="F652" i="6"/>
  <c r="E652" i="6"/>
  <c r="D652" i="6"/>
  <c r="C652" i="6"/>
  <c r="J652" i="6"/>
  <c r="B652" i="6"/>
  <c r="I660" i="6"/>
  <c r="A660" i="6"/>
  <c r="H660" i="6"/>
  <c r="G660" i="6"/>
  <c r="F660" i="6"/>
  <c r="E660" i="6"/>
  <c r="D660" i="6"/>
  <c r="C660" i="6"/>
  <c r="J660" i="6"/>
  <c r="B660" i="6"/>
  <c r="I668" i="6"/>
  <c r="A668" i="6"/>
  <c r="H668" i="6"/>
  <c r="G668" i="6"/>
  <c r="F668" i="6"/>
  <c r="E668" i="6"/>
  <c r="D668" i="6"/>
  <c r="C668" i="6"/>
  <c r="J668" i="6"/>
  <c r="B668" i="6"/>
  <c r="I676" i="6"/>
  <c r="A676" i="6"/>
  <c r="H676" i="6"/>
  <c r="G676" i="6"/>
  <c r="F676" i="6"/>
  <c r="E676" i="6"/>
  <c r="D676" i="6"/>
  <c r="C676" i="6"/>
  <c r="J676" i="6"/>
  <c r="B676" i="6"/>
  <c r="I684" i="6"/>
  <c r="A684" i="6"/>
  <c r="H684" i="6"/>
  <c r="G684" i="6"/>
  <c r="F684" i="6"/>
  <c r="E684" i="6"/>
  <c r="D684" i="6"/>
  <c r="C684" i="6"/>
  <c r="J684" i="6"/>
  <c r="B684" i="6"/>
  <c r="I692" i="6"/>
  <c r="A692" i="6"/>
  <c r="H692" i="6"/>
  <c r="G692" i="6"/>
  <c r="F692" i="6"/>
  <c r="E692" i="6"/>
  <c r="D692" i="6"/>
  <c r="C692" i="6"/>
  <c r="J692" i="6"/>
  <c r="B692" i="6"/>
  <c r="I700" i="6"/>
  <c r="A700" i="6"/>
  <c r="H700" i="6"/>
  <c r="G700" i="6"/>
  <c r="F700" i="6"/>
  <c r="E700" i="6"/>
  <c r="D700" i="6"/>
  <c r="C700" i="6"/>
  <c r="J700" i="6"/>
  <c r="B700" i="6"/>
  <c r="I708" i="6"/>
  <c r="A708" i="6"/>
  <c r="H708" i="6"/>
  <c r="G708" i="6"/>
  <c r="F708" i="6"/>
  <c r="E708" i="6"/>
  <c r="D708" i="6"/>
  <c r="C708" i="6"/>
  <c r="J708" i="6"/>
  <c r="B708" i="6"/>
  <c r="I716" i="6"/>
  <c r="A716" i="6"/>
  <c r="H716" i="6"/>
  <c r="G716" i="6"/>
  <c r="F716" i="6"/>
  <c r="E716" i="6"/>
  <c r="D716" i="6"/>
  <c r="C716" i="6"/>
  <c r="J716" i="6"/>
  <c r="B716" i="6"/>
  <c r="I724" i="6"/>
  <c r="A724" i="6"/>
  <c r="H724" i="6"/>
  <c r="G724" i="6"/>
  <c r="F724" i="6"/>
  <c r="E724" i="6"/>
  <c r="D724" i="6"/>
  <c r="C724" i="6"/>
  <c r="J724" i="6"/>
  <c r="B724" i="6"/>
  <c r="I732" i="6"/>
  <c r="A732" i="6"/>
  <c r="H732" i="6"/>
  <c r="G732" i="6"/>
  <c r="F732" i="6"/>
  <c r="E732" i="6"/>
  <c r="D732" i="6"/>
  <c r="C732" i="6"/>
  <c r="J732" i="6"/>
  <c r="B732" i="6"/>
  <c r="I740" i="6"/>
  <c r="A740" i="6"/>
  <c r="H740" i="6"/>
  <c r="G740" i="6"/>
  <c r="F740" i="6"/>
  <c r="E740" i="6"/>
  <c r="D740" i="6"/>
  <c r="C740" i="6"/>
  <c r="J740" i="6"/>
  <c r="B740" i="6"/>
  <c r="I748" i="6"/>
  <c r="A748" i="6"/>
  <c r="H748" i="6"/>
  <c r="G748" i="6"/>
  <c r="F748" i="6"/>
  <c r="E748" i="6"/>
  <c r="D748" i="6"/>
  <c r="C748" i="6"/>
  <c r="J748" i="6"/>
  <c r="B748" i="6"/>
  <c r="I756" i="6"/>
  <c r="A756" i="6"/>
  <c r="H756" i="6"/>
  <c r="G756" i="6"/>
  <c r="F756" i="6"/>
  <c r="E756" i="6"/>
  <c r="D756" i="6"/>
  <c r="C756" i="6"/>
  <c r="J756" i="6"/>
  <c r="B756" i="6"/>
  <c r="I764" i="6"/>
  <c r="A764" i="6"/>
  <c r="H764" i="6"/>
  <c r="G764" i="6"/>
  <c r="F764" i="6"/>
  <c r="E764" i="6"/>
  <c r="D764" i="6"/>
  <c r="C764" i="6"/>
  <c r="J764" i="6"/>
  <c r="B764" i="6"/>
  <c r="I772" i="6"/>
  <c r="A772" i="6"/>
  <c r="H772" i="6"/>
  <c r="G772" i="6"/>
  <c r="F772" i="6"/>
  <c r="E772" i="6"/>
  <c r="D772" i="6"/>
  <c r="C772" i="6"/>
  <c r="J772" i="6"/>
  <c r="B772" i="6"/>
  <c r="I780" i="6"/>
  <c r="A780" i="6"/>
  <c r="H780" i="6"/>
  <c r="G780" i="6"/>
  <c r="F780" i="6"/>
  <c r="E780" i="6"/>
  <c r="D780" i="6"/>
  <c r="C780" i="6"/>
  <c r="J780" i="6"/>
  <c r="B780" i="6"/>
  <c r="J788" i="6"/>
  <c r="B788" i="6"/>
  <c r="I788" i="6"/>
  <c r="A788" i="6"/>
  <c r="H788" i="6"/>
  <c r="G788" i="6"/>
  <c r="F788" i="6"/>
  <c r="E788" i="6"/>
  <c r="D788" i="6"/>
  <c r="C788" i="6"/>
  <c r="J796" i="6"/>
  <c r="B796" i="6"/>
  <c r="I796" i="6"/>
  <c r="A796" i="6"/>
  <c r="H796" i="6"/>
  <c r="G796" i="6"/>
  <c r="F796" i="6"/>
  <c r="E796" i="6"/>
  <c r="D796" i="6"/>
  <c r="C796" i="6"/>
  <c r="J804" i="6"/>
  <c r="B804" i="6"/>
  <c r="I804" i="6"/>
  <c r="A804" i="6"/>
  <c r="H804" i="6"/>
  <c r="G804" i="6"/>
  <c r="F804" i="6"/>
  <c r="E804" i="6"/>
  <c r="D804" i="6"/>
  <c r="C804" i="6"/>
  <c r="J812" i="6"/>
  <c r="B812" i="6"/>
  <c r="I812" i="6"/>
  <c r="A812" i="6"/>
  <c r="H812" i="6"/>
  <c r="G812" i="6"/>
  <c r="F812" i="6"/>
  <c r="E812" i="6"/>
  <c r="D812" i="6"/>
  <c r="C812" i="6"/>
  <c r="J820" i="6"/>
  <c r="B820" i="6"/>
  <c r="I820" i="6"/>
  <c r="A820" i="6"/>
  <c r="H820" i="6"/>
  <c r="G820" i="6"/>
  <c r="F820" i="6"/>
  <c r="E820" i="6"/>
  <c r="D820" i="6"/>
  <c r="C820" i="6"/>
  <c r="J828" i="6"/>
  <c r="B828" i="6"/>
  <c r="I828" i="6"/>
  <c r="A828" i="6"/>
  <c r="H828" i="6"/>
  <c r="G828" i="6"/>
  <c r="F828" i="6"/>
  <c r="E828" i="6"/>
  <c r="D828" i="6"/>
  <c r="C828" i="6"/>
  <c r="J836" i="6"/>
  <c r="B836" i="6"/>
  <c r="I836" i="6"/>
  <c r="A836" i="6"/>
  <c r="H836" i="6"/>
  <c r="G836" i="6"/>
  <c r="F836" i="6"/>
  <c r="E836" i="6"/>
  <c r="D836" i="6"/>
  <c r="C836" i="6"/>
  <c r="J844" i="6"/>
  <c r="B844" i="6"/>
  <c r="I844" i="6"/>
  <c r="A844" i="6"/>
  <c r="H844" i="6"/>
  <c r="G844" i="6"/>
  <c r="F844" i="6"/>
  <c r="E844" i="6"/>
  <c r="D844" i="6"/>
  <c r="C844" i="6"/>
  <c r="J852" i="6"/>
  <c r="B852" i="6"/>
  <c r="I852" i="6"/>
  <c r="A852" i="6"/>
  <c r="H852" i="6"/>
  <c r="G852" i="6"/>
  <c r="F852" i="6"/>
  <c r="E852" i="6"/>
  <c r="D852" i="6"/>
  <c r="C852" i="6"/>
  <c r="J860" i="6"/>
  <c r="B860" i="6"/>
  <c r="I860" i="6"/>
  <c r="A860" i="6"/>
  <c r="H860" i="6"/>
  <c r="G860" i="6"/>
  <c r="F860" i="6"/>
  <c r="E860" i="6"/>
  <c r="D860" i="6"/>
  <c r="C860" i="6"/>
  <c r="J868" i="6"/>
  <c r="B868" i="6"/>
  <c r="I868" i="6"/>
  <c r="A868" i="6"/>
  <c r="H868" i="6"/>
  <c r="G868" i="6"/>
  <c r="F868" i="6"/>
  <c r="E868" i="6"/>
  <c r="D868" i="6"/>
  <c r="C868" i="6"/>
  <c r="J876" i="6"/>
  <c r="B876" i="6"/>
  <c r="I876" i="6"/>
  <c r="A876" i="6"/>
  <c r="H876" i="6"/>
  <c r="G876" i="6"/>
  <c r="F876" i="6"/>
  <c r="E876" i="6"/>
  <c r="D876" i="6"/>
  <c r="C876" i="6"/>
  <c r="J884" i="6"/>
  <c r="B884" i="6"/>
  <c r="I884" i="6"/>
  <c r="A884" i="6"/>
  <c r="H884" i="6"/>
  <c r="G884" i="6"/>
  <c r="F884" i="6"/>
  <c r="E884" i="6"/>
  <c r="D884" i="6"/>
  <c r="C884" i="6"/>
  <c r="J892" i="6"/>
  <c r="B892" i="6"/>
  <c r="I892" i="6"/>
  <c r="A892" i="6"/>
  <c r="H892" i="6"/>
  <c r="G892" i="6"/>
  <c r="F892" i="6"/>
  <c r="E892" i="6"/>
  <c r="D892" i="6"/>
  <c r="C892" i="6"/>
  <c r="J900" i="6"/>
  <c r="B900" i="6"/>
  <c r="I900" i="6"/>
  <c r="A900" i="6"/>
  <c r="H900" i="6"/>
  <c r="G900" i="6"/>
  <c r="F900" i="6"/>
  <c r="E900" i="6"/>
  <c r="D900" i="6"/>
  <c r="C900" i="6"/>
  <c r="J908" i="6"/>
  <c r="B908" i="6"/>
  <c r="I908" i="6"/>
  <c r="A908" i="6"/>
  <c r="H908" i="6"/>
  <c r="G908" i="6"/>
  <c r="F908" i="6"/>
  <c r="E908" i="6"/>
  <c r="D908" i="6"/>
  <c r="C908" i="6"/>
  <c r="J916" i="6"/>
  <c r="B916" i="6"/>
  <c r="I916" i="6"/>
  <c r="A916" i="6"/>
  <c r="H916" i="6"/>
  <c r="G916" i="6"/>
  <c r="F916" i="6"/>
  <c r="E916" i="6"/>
  <c r="D916" i="6"/>
  <c r="C916" i="6"/>
  <c r="J924" i="6"/>
  <c r="B924" i="6"/>
  <c r="I924" i="6"/>
  <c r="A924" i="6"/>
  <c r="H924" i="6"/>
  <c r="G924" i="6"/>
  <c r="F924" i="6"/>
  <c r="E924" i="6"/>
  <c r="D924" i="6"/>
  <c r="C924" i="6"/>
  <c r="J932" i="6"/>
  <c r="B932" i="6"/>
  <c r="I932" i="6"/>
  <c r="A932" i="6"/>
  <c r="H932" i="6"/>
  <c r="G932" i="6"/>
  <c r="F932" i="6"/>
  <c r="E932" i="6"/>
  <c r="D932" i="6"/>
  <c r="C932" i="6"/>
  <c r="J940" i="6"/>
  <c r="B940" i="6"/>
  <c r="I940" i="6"/>
  <c r="A940" i="6"/>
  <c r="H940" i="6"/>
  <c r="G940" i="6"/>
  <c r="F940" i="6"/>
  <c r="E940" i="6"/>
  <c r="D940" i="6"/>
  <c r="C940" i="6"/>
  <c r="J948" i="6"/>
  <c r="B948" i="6"/>
  <c r="I948" i="6"/>
  <c r="A948" i="6"/>
  <c r="H948" i="6"/>
  <c r="G948" i="6"/>
  <c r="F948" i="6"/>
  <c r="E948" i="6"/>
  <c r="D948" i="6"/>
  <c r="C948" i="6"/>
  <c r="J956" i="6"/>
  <c r="B956" i="6"/>
  <c r="I956" i="6"/>
  <c r="A956" i="6"/>
  <c r="H956" i="6"/>
  <c r="G956" i="6"/>
  <c r="F956" i="6"/>
  <c r="E956" i="6"/>
  <c r="D956" i="6"/>
  <c r="C956" i="6"/>
  <c r="J964" i="6"/>
  <c r="B964" i="6"/>
  <c r="I964" i="6"/>
  <c r="A964" i="6"/>
  <c r="H964" i="6"/>
  <c r="G964" i="6"/>
  <c r="F964" i="6"/>
  <c r="E964" i="6"/>
  <c r="D964" i="6"/>
  <c r="C964" i="6"/>
  <c r="I972" i="6"/>
  <c r="A972" i="6"/>
  <c r="H972" i="6"/>
  <c r="F972" i="6"/>
  <c r="E972" i="6"/>
  <c r="D972" i="6"/>
  <c r="C972" i="6"/>
  <c r="J972" i="6"/>
  <c r="B972" i="6"/>
  <c r="G972" i="6"/>
  <c r="I980" i="6"/>
  <c r="A980" i="6"/>
  <c r="H980" i="6"/>
  <c r="F980" i="6"/>
  <c r="E980" i="6"/>
  <c r="D980" i="6"/>
  <c r="C980" i="6"/>
  <c r="J980" i="6"/>
  <c r="B980" i="6"/>
  <c r="G980" i="6"/>
  <c r="I988" i="6"/>
  <c r="A988" i="6"/>
  <c r="H988" i="6"/>
  <c r="F988" i="6"/>
  <c r="E988" i="6"/>
  <c r="D988" i="6"/>
  <c r="C988" i="6"/>
  <c r="J988" i="6"/>
  <c r="B988" i="6"/>
  <c r="G988" i="6"/>
  <c r="I996" i="6"/>
  <c r="A996" i="6"/>
  <c r="H996" i="6"/>
  <c r="F996" i="6"/>
  <c r="E996" i="6"/>
  <c r="D996" i="6"/>
  <c r="C996" i="6"/>
  <c r="J996" i="6"/>
  <c r="B996" i="6"/>
  <c r="G996" i="6"/>
  <c r="I1004" i="6"/>
  <c r="A1004" i="6"/>
  <c r="H1004" i="6"/>
  <c r="F1004" i="6"/>
  <c r="E1004" i="6"/>
  <c r="D1004" i="6"/>
  <c r="C1004" i="6"/>
  <c r="J1004" i="6"/>
  <c r="B1004" i="6"/>
  <c r="G1004" i="6"/>
  <c r="I1012" i="6"/>
  <c r="A1012" i="6"/>
  <c r="H1012" i="6"/>
  <c r="F1012" i="6"/>
  <c r="E1012" i="6"/>
  <c r="D1012" i="6"/>
  <c r="C1012" i="6"/>
  <c r="J1012" i="6"/>
  <c r="B1012" i="6"/>
  <c r="G1012" i="6"/>
  <c r="I1020" i="6"/>
  <c r="A1020" i="6"/>
  <c r="H1020" i="6"/>
  <c r="F1020" i="6"/>
  <c r="E1020" i="6"/>
  <c r="D1020" i="6"/>
  <c r="C1020" i="6"/>
  <c r="J1020" i="6"/>
  <c r="B1020" i="6"/>
  <c r="G1020" i="6"/>
  <c r="I1028" i="6"/>
  <c r="A1028" i="6"/>
  <c r="H1028" i="6"/>
  <c r="F1028" i="6"/>
  <c r="E1028" i="6"/>
  <c r="D1028" i="6"/>
  <c r="C1028" i="6"/>
  <c r="J1028" i="6"/>
  <c r="B1028" i="6"/>
  <c r="G1028" i="6"/>
  <c r="I1036" i="6"/>
  <c r="A1036" i="6"/>
  <c r="H1036" i="6"/>
  <c r="G1036" i="6"/>
  <c r="F1036" i="6"/>
  <c r="E1036" i="6"/>
  <c r="D1036" i="6"/>
  <c r="C1036" i="6"/>
  <c r="J1036" i="6"/>
  <c r="B1036" i="6"/>
  <c r="I1044" i="6"/>
  <c r="A1044" i="6"/>
  <c r="H1044" i="6"/>
  <c r="G1044" i="6"/>
  <c r="F1044" i="6"/>
  <c r="E1044" i="6"/>
  <c r="D1044" i="6"/>
  <c r="C1044" i="6"/>
  <c r="J1044" i="6"/>
  <c r="B1044" i="6"/>
  <c r="I1052" i="6"/>
  <c r="A1052" i="6"/>
  <c r="H1052" i="6"/>
  <c r="G1052" i="6"/>
  <c r="F1052" i="6"/>
  <c r="E1052" i="6"/>
  <c r="D1052" i="6"/>
  <c r="C1052" i="6"/>
  <c r="J1052" i="6"/>
  <c r="B1052" i="6"/>
  <c r="I1060" i="6"/>
  <c r="A1060" i="6"/>
  <c r="H1060" i="6"/>
  <c r="G1060" i="6"/>
  <c r="F1060" i="6"/>
  <c r="E1060" i="6"/>
  <c r="D1060" i="6"/>
  <c r="C1060" i="6"/>
  <c r="J1060" i="6"/>
  <c r="B1060" i="6"/>
  <c r="I1068" i="6"/>
  <c r="A1068" i="6"/>
  <c r="H1068" i="6"/>
  <c r="G1068" i="6"/>
  <c r="F1068" i="6"/>
  <c r="E1068" i="6"/>
  <c r="D1068" i="6"/>
  <c r="C1068" i="6"/>
  <c r="J1068" i="6"/>
  <c r="B1068" i="6"/>
  <c r="I1076" i="6"/>
  <c r="A1076" i="6"/>
  <c r="H1076" i="6"/>
  <c r="G1076" i="6"/>
  <c r="F1076" i="6"/>
  <c r="E1076" i="6"/>
  <c r="D1076" i="6"/>
  <c r="C1076" i="6"/>
  <c r="J1076" i="6"/>
  <c r="B1076" i="6"/>
  <c r="I1084" i="6"/>
  <c r="A1084" i="6"/>
  <c r="H1084" i="6"/>
  <c r="G1084" i="6"/>
  <c r="F1084" i="6"/>
  <c r="E1084" i="6"/>
  <c r="D1084" i="6"/>
  <c r="C1084" i="6"/>
  <c r="J1084" i="6"/>
  <c r="B1084" i="6"/>
  <c r="I1092" i="6"/>
  <c r="A1092" i="6"/>
  <c r="H1092" i="6"/>
  <c r="G1092" i="6"/>
  <c r="F1092" i="6"/>
  <c r="E1092" i="6"/>
  <c r="D1092" i="6"/>
  <c r="C1092" i="6"/>
  <c r="J1092" i="6"/>
  <c r="B1092" i="6"/>
  <c r="I1100" i="6"/>
  <c r="A1100" i="6"/>
  <c r="H1100" i="6"/>
  <c r="G1100" i="6"/>
  <c r="F1100" i="6"/>
  <c r="E1100" i="6"/>
  <c r="D1100" i="6"/>
  <c r="C1100" i="6"/>
  <c r="J1100" i="6"/>
  <c r="B1100" i="6"/>
  <c r="F1108" i="6"/>
  <c r="E1108" i="6"/>
  <c r="C1108" i="6"/>
  <c r="J1108" i="6"/>
  <c r="B1108" i="6"/>
  <c r="I1108" i="6"/>
  <c r="A1108" i="6"/>
  <c r="H1108" i="6"/>
  <c r="G1108" i="6"/>
  <c r="D1108" i="6"/>
  <c r="F1116" i="6"/>
  <c r="E1116" i="6"/>
  <c r="C1116" i="6"/>
  <c r="J1116" i="6"/>
  <c r="B1116" i="6"/>
  <c r="I1116" i="6"/>
  <c r="A1116" i="6"/>
  <c r="H1116" i="6"/>
  <c r="G1116" i="6"/>
  <c r="D1116" i="6"/>
  <c r="F1124" i="6"/>
  <c r="E1124" i="6"/>
  <c r="C1124" i="6"/>
  <c r="J1124" i="6"/>
  <c r="B1124" i="6"/>
  <c r="I1124" i="6"/>
  <c r="A1124" i="6"/>
  <c r="H1124" i="6"/>
  <c r="G1124" i="6"/>
  <c r="D1124" i="6"/>
  <c r="F1132" i="6"/>
  <c r="E1132" i="6"/>
  <c r="C1132" i="6"/>
  <c r="J1132" i="6"/>
  <c r="B1132" i="6"/>
  <c r="I1132" i="6"/>
  <c r="A1132" i="6"/>
  <c r="H1132" i="6"/>
  <c r="G1132" i="6"/>
  <c r="D1132" i="6"/>
  <c r="F1140" i="6"/>
  <c r="E1140" i="6"/>
  <c r="C1140" i="6"/>
  <c r="J1140" i="6"/>
  <c r="B1140" i="6"/>
  <c r="I1140" i="6"/>
  <c r="A1140" i="6"/>
  <c r="H1140" i="6"/>
  <c r="G1140" i="6"/>
  <c r="D1140" i="6"/>
  <c r="F1148" i="6"/>
  <c r="E1148" i="6"/>
  <c r="C1148" i="6"/>
  <c r="J1148" i="6"/>
  <c r="B1148" i="6"/>
  <c r="I1148" i="6"/>
  <c r="A1148" i="6"/>
  <c r="H1148" i="6"/>
  <c r="G1148" i="6"/>
  <c r="D1148" i="6"/>
  <c r="F1156" i="6"/>
  <c r="E1156" i="6"/>
  <c r="C1156" i="6"/>
  <c r="J1156" i="6"/>
  <c r="B1156" i="6"/>
  <c r="I1156" i="6"/>
  <c r="A1156" i="6"/>
  <c r="H1156" i="6"/>
  <c r="G1156" i="6"/>
  <c r="D1156" i="6"/>
  <c r="F1164" i="6"/>
  <c r="E1164" i="6"/>
  <c r="C1164" i="6"/>
  <c r="J1164" i="6"/>
  <c r="B1164" i="6"/>
  <c r="I1164" i="6"/>
  <c r="A1164" i="6"/>
  <c r="H1164" i="6"/>
  <c r="G1164" i="6"/>
  <c r="D1164" i="6"/>
  <c r="F1172" i="6"/>
  <c r="E1172" i="6"/>
  <c r="C1172" i="6"/>
  <c r="J1172" i="6"/>
  <c r="B1172" i="6"/>
  <c r="I1172" i="6"/>
  <c r="A1172" i="6"/>
  <c r="H1172" i="6"/>
  <c r="G1172" i="6"/>
  <c r="D1172" i="6"/>
  <c r="F1180" i="6"/>
  <c r="E1180" i="6"/>
  <c r="C1180" i="6"/>
  <c r="J1180" i="6"/>
  <c r="B1180" i="6"/>
  <c r="I1180" i="6"/>
  <c r="A1180" i="6"/>
  <c r="H1180" i="6"/>
  <c r="G1180" i="6"/>
  <c r="D1180" i="6"/>
  <c r="F1188" i="6"/>
  <c r="E1188" i="6"/>
  <c r="C1188" i="6"/>
  <c r="J1188" i="6"/>
  <c r="B1188" i="6"/>
  <c r="I1188" i="6"/>
  <c r="A1188" i="6"/>
  <c r="H1188" i="6"/>
  <c r="G1188" i="6"/>
  <c r="D1188" i="6"/>
  <c r="F1196" i="6"/>
  <c r="E1196" i="6"/>
  <c r="C1196" i="6"/>
  <c r="J1196" i="6"/>
  <c r="B1196" i="6"/>
  <c r="I1196" i="6"/>
  <c r="A1196" i="6"/>
  <c r="H1196" i="6"/>
  <c r="G1196" i="6"/>
  <c r="D1196" i="6"/>
  <c r="F1204" i="6"/>
  <c r="E1204" i="6"/>
  <c r="C1204" i="6"/>
  <c r="J1204" i="6"/>
  <c r="B1204" i="6"/>
  <c r="I1204" i="6"/>
  <c r="A1204" i="6"/>
  <c r="H1204" i="6"/>
  <c r="G1204" i="6"/>
  <c r="D1204" i="6"/>
  <c r="F1212" i="6"/>
  <c r="E1212" i="6"/>
  <c r="C1212" i="6"/>
  <c r="J1212" i="6"/>
  <c r="B1212" i="6"/>
  <c r="I1212" i="6"/>
  <c r="A1212" i="6"/>
  <c r="H1212" i="6"/>
  <c r="G1212" i="6"/>
  <c r="D1212" i="6"/>
  <c r="F1220" i="6"/>
  <c r="E1220" i="6"/>
  <c r="C1220" i="6"/>
  <c r="J1220" i="6"/>
  <c r="B1220" i="6"/>
  <c r="I1220" i="6"/>
  <c r="A1220" i="6"/>
  <c r="H1220" i="6"/>
  <c r="G1220" i="6"/>
  <c r="D1220" i="6"/>
  <c r="F1228" i="6"/>
  <c r="E1228" i="6"/>
  <c r="C1228" i="6"/>
  <c r="J1228" i="6"/>
  <c r="B1228" i="6"/>
  <c r="I1228" i="6"/>
  <c r="A1228" i="6"/>
  <c r="H1228" i="6"/>
  <c r="G1228" i="6"/>
  <c r="D1228" i="6"/>
  <c r="F1236" i="6"/>
  <c r="E1236" i="6"/>
  <c r="C1236" i="6"/>
  <c r="J1236" i="6"/>
  <c r="B1236" i="6"/>
  <c r="I1236" i="6"/>
  <c r="A1236" i="6"/>
  <c r="H1236" i="6"/>
  <c r="G1236" i="6"/>
  <c r="D1236" i="6"/>
  <c r="F1244" i="6"/>
  <c r="E1244" i="6"/>
  <c r="C1244" i="6"/>
  <c r="J1244" i="6"/>
  <c r="B1244" i="6"/>
  <c r="I1244" i="6"/>
  <c r="A1244" i="6"/>
  <c r="H1244" i="6"/>
  <c r="G1244" i="6"/>
  <c r="D1244" i="6"/>
  <c r="G1252" i="6"/>
  <c r="D1252" i="6"/>
  <c r="J1252" i="6"/>
  <c r="B1252" i="6"/>
  <c r="I1252" i="6"/>
  <c r="H1252" i="6"/>
  <c r="F1252" i="6"/>
  <c r="E1252" i="6"/>
  <c r="C1252" i="6"/>
  <c r="A1252" i="6"/>
  <c r="G1260" i="6"/>
  <c r="D1260" i="6"/>
  <c r="C1260" i="6"/>
  <c r="J1260" i="6"/>
  <c r="B1260" i="6"/>
  <c r="I1260" i="6"/>
  <c r="A1260" i="6"/>
  <c r="H1260" i="6"/>
  <c r="E1260" i="6"/>
  <c r="F1260" i="6"/>
  <c r="G1268" i="6"/>
  <c r="D1268" i="6"/>
  <c r="C1268" i="6"/>
  <c r="J1268" i="6"/>
  <c r="B1268" i="6"/>
  <c r="I1268" i="6"/>
  <c r="A1268" i="6"/>
  <c r="H1268" i="6"/>
  <c r="F1268" i="6"/>
  <c r="E1268" i="6"/>
  <c r="G1276" i="6"/>
  <c r="D1276" i="6"/>
  <c r="C1276" i="6"/>
  <c r="J1276" i="6"/>
  <c r="B1276" i="6"/>
  <c r="I1276" i="6"/>
  <c r="A1276" i="6"/>
  <c r="H1276" i="6"/>
  <c r="E1276" i="6"/>
  <c r="F1276" i="6"/>
  <c r="G1284" i="6"/>
  <c r="D1284" i="6"/>
  <c r="C1284" i="6"/>
  <c r="J1284" i="6"/>
  <c r="B1284" i="6"/>
  <c r="I1284" i="6"/>
  <c r="A1284" i="6"/>
  <c r="H1284" i="6"/>
  <c r="F1284" i="6"/>
  <c r="E1284" i="6"/>
  <c r="G1292" i="6"/>
  <c r="D1292" i="6"/>
  <c r="C1292" i="6"/>
  <c r="J1292" i="6"/>
  <c r="B1292" i="6"/>
  <c r="I1292" i="6"/>
  <c r="A1292" i="6"/>
  <c r="H1292" i="6"/>
  <c r="E1292" i="6"/>
  <c r="F1292" i="6"/>
  <c r="G1300" i="6"/>
  <c r="D1300" i="6"/>
  <c r="C1300" i="6"/>
  <c r="J1300" i="6"/>
  <c r="B1300" i="6"/>
  <c r="I1300" i="6"/>
  <c r="A1300" i="6"/>
  <c r="H1300" i="6"/>
  <c r="F1300" i="6"/>
  <c r="E1300" i="6"/>
  <c r="G1308" i="6"/>
  <c r="D1308" i="6"/>
  <c r="C1308" i="6"/>
  <c r="J1308" i="6"/>
  <c r="B1308" i="6"/>
  <c r="I1308" i="6"/>
  <c r="A1308" i="6"/>
  <c r="H1308" i="6"/>
  <c r="E1308" i="6"/>
  <c r="F1308" i="6"/>
  <c r="G1316" i="6"/>
  <c r="D1316" i="6"/>
  <c r="C1316" i="6"/>
  <c r="J1316" i="6"/>
  <c r="B1316" i="6"/>
  <c r="I1316" i="6"/>
  <c r="A1316" i="6"/>
  <c r="H1316" i="6"/>
  <c r="F1316" i="6"/>
  <c r="E1316" i="6"/>
  <c r="G1324" i="6"/>
  <c r="D1324" i="6"/>
  <c r="C1324" i="6"/>
  <c r="J1324" i="6"/>
  <c r="B1324" i="6"/>
  <c r="I1324" i="6"/>
  <c r="A1324" i="6"/>
  <c r="H1324" i="6"/>
  <c r="E1324" i="6"/>
  <c r="F1324" i="6"/>
  <c r="G1332" i="6"/>
  <c r="D1332" i="6"/>
  <c r="C1332" i="6"/>
  <c r="J1332" i="6"/>
  <c r="B1332" i="6"/>
  <c r="I1332" i="6"/>
  <c r="A1332" i="6"/>
  <c r="H1332" i="6"/>
  <c r="F1332" i="6"/>
  <c r="E1332" i="6"/>
  <c r="E1340" i="6"/>
  <c r="D1340" i="6"/>
  <c r="I1340" i="6"/>
  <c r="A1340" i="6"/>
  <c r="C1340" i="6"/>
  <c r="J1340" i="6"/>
  <c r="H1340" i="6"/>
  <c r="G1340" i="6"/>
  <c r="F1340" i="6"/>
  <c r="B1340" i="6"/>
  <c r="E1348" i="6"/>
  <c r="D1348" i="6"/>
  <c r="I1348" i="6"/>
  <c r="A1348" i="6"/>
  <c r="G1348" i="6"/>
  <c r="B1348" i="6"/>
  <c r="J1348" i="6"/>
  <c r="H1348" i="6"/>
  <c r="F1348" i="6"/>
  <c r="C1348" i="6"/>
  <c r="E1356" i="6"/>
  <c r="D1356" i="6"/>
  <c r="I1356" i="6"/>
  <c r="A1356" i="6"/>
  <c r="J1356" i="6"/>
  <c r="F1356" i="6"/>
  <c r="C1356" i="6"/>
  <c r="B1356" i="6"/>
  <c r="G1356" i="6"/>
  <c r="H1356" i="6"/>
  <c r="E1364" i="6"/>
  <c r="D1364" i="6"/>
  <c r="I1364" i="6"/>
  <c r="A1364" i="6"/>
  <c r="H1364" i="6"/>
  <c r="G1364" i="6"/>
  <c r="F1364" i="6"/>
  <c r="C1364" i="6"/>
  <c r="B1364" i="6"/>
  <c r="J1364" i="6"/>
  <c r="E1372" i="6"/>
  <c r="D1372" i="6"/>
  <c r="I1372" i="6"/>
  <c r="A1372" i="6"/>
  <c r="C1372" i="6"/>
  <c r="J1372" i="6"/>
  <c r="H1372" i="6"/>
  <c r="G1372" i="6"/>
  <c r="F1372" i="6"/>
  <c r="B1372" i="6"/>
  <c r="E1380" i="6"/>
  <c r="D1380" i="6"/>
  <c r="I1380" i="6"/>
  <c r="A1380" i="6"/>
  <c r="G1380" i="6"/>
  <c r="B1380" i="6"/>
  <c r="J1380" i="6"/>
  <c r="H1380" i="6"/>
  <c r="F1380" i="6"/>
  <c r="C1380" i="6"/>
  <c r="E1388" i="6"/>
  <c r="D1388" i="6"/>
  <c r="I1388" i="6"/>
  <c r="A1388" i="6"/>
  <c r="J1388" i="6"/>
  <c r="F1388" i="6"/>
  <c r="C1388" i="6"/>
  <c r="B1388" i="6"/>
  <c r="H1388" i="6"/>
  <c r="G1388" i="6"/>
  <c r="E1396" i="6"/>
  <c r="D1396" i="6"/>
  <c r="I1396" i="6"/>
  <c r="A1396" i="6"/>
  <c r="H1396" i="6"/>
  <c r="G1396" i="6"/>
  <c r="F1396" i="6"/>
  <c r="C1396" i="6"/>
  <c r="B1396" i="6"/>
  <c r="J1396" i="6"/>
  <c r="E1404" i="6"/>
  <c r="D1404" i="6"/>
  <c r="I1404" i="6"/>
  <c r="A1404" i="6"/>
  <c r="C1404" i="6"/>
  <c r="J1404" i="6"/>
  <c r="H1404" i="6"/>
  <c r="G1404" i="6"/>
  <c r="F1404" i="6"/>
  <c r="B1404" i="6"/>
  <c r="E1412" i="6"/>
  <c r="D1412" i="6"/>
  <c r="I1412" i="6"/>
  <c r="A1412" i="6"/>
  <c r="G1412" i="6"/>
  <c r="B1412" i="6"/>
  <c r="J1412" i="6"/>
  <c r="H1412" i="6"/>
  <c r="F1412" i="6"/>
  <c r="C1412" i="6"/>
  <c r="E1420" i="6"/>
  <c r="D1420" i="6"/>
  <c r="I1420" i="6"/>
  <c r="A1420" i="6"/>
  <c r="J1420" i="6"/>
  <c r="F1420" i="6"/>
  <c r="C1420" i="6"/>
  <c r="B1420" i="6"/>
  <c r="H1420" i="6"/>
  <c r="G1420" i="6"/>
  <c r="E1428" i="6"/>
  <c r="D1428" i="6"/>
  <c r="I1428" i="6"/>
  <c r="A1428" i="6"/>
  <c r="H1428" i="6"/>
  <c r="G1428" i="6"/>
  <c r="F1428" i="6"/>
  <c r="C1428" i="6"/>
  <c r="B1428" i="6"/>
  <c r="J1428" i="6"/>
  <c r="J1436" i="6"/>
  <c r="B1436" i="6"/>
  <c r="H1436" i="6"/>
  <c r="D1436" i="6"/>
  <c r="I1436" i="6"/>
  <c r="E1436" i="6"/>
  <c r="A1436" i="6"/>
  <c r="C1436" i="6"/>
  <c r="G1436" i="6"/>
  <c r="F1436" i="6"/>
  <c r="J1444" i="6"/>
  <c r="B1444" i="6"/>
  <c r="H1444" i="6"/>
  <c r="F1444" i="6"/>
  <c r="D1444" i="6"/>
  <c r="E1444" i="6"/>
  <c r="C1444" i="6"/>
  <c r="I1444" i="6"/>
  <c r="G1444" i="6"/>
  <c r="A1444" i="6"/>
  <c r="J1452" i="6"/>
  <c r="B1452" i="6"/>
  <c r="H1452" i="6"/>
  <c r="F1452" i="6"/>
  <c r="D1452" i="6"/>
  <c r="E1452" i="6"/>
  <c r="C1452" i="6"/>
  <c r="I1452" i="6"/>
  <c r="G1452" i="6"/>
  <c r="A1452" i="6"/>
  <c r="J1460" i="6"/>
  <c r="B1460" i="6"/>
  <c r="H1460" i="6"/>
  <c r="F1460" i="6"/>
  <c r="D1460" i="6"/>
  <c r="E1460" i="6"/>
  <c r="C1460" i="6"/>
  <c r="I1460" i="6"/>
  <c r="G1460" i="6"/>
  <c r="A1460" i="6"/>
  <c r="J1468" i="6"/>
  <c r="B1468" i="6"/>
  <c r="H1468" i="6"/>
  <c r="F1468" i="6"/>
  <c r="D1468" i="6"/>
  <c r="E1468" i="6"/>
  <c r="C1468" i="6"/>
  <c r="I1468" i="6"/>
  <c r="G1468" i="6"/>
  <c r="A1468" i="6"/>
  <c r="J1476" i="6"/>
  <c r="B1476" i="6"/>
  <c r="H1476" i="6"/>
  <c r="F1476" i="6"/>
  <c r="D1476" i="6"/>
  <c r="E1476" i="6"/>
  <c r="C1476" i="6"/>
  <c r="I1476" i="6"/>
  <c r="A1476" i="6"/>
  <c r="G1476" i="6"/>
  <c r="J1484" i="6"/>
  <c r="B1484" i="6"/>
  <c r="H1484" i="6"/>
  <c r="F1484" i="6"/>
  <c r="D1484" i="6"/>
  <c r="E1484" i="6"/>
  <c r="C1484" i="6"/>
  <c r="I1484" i="6"/>
  <c r="G1484" i="6"/>
  <c r="A1484" i="6"/>
  <c r="J1492" i="6"/>
  <c r="B1492" i="6"/>
  <c r="H1492" i="6"/>
  <c r="F1492" i="6"/>
  <c r="D1492" i="6"/>
  <c r="E1492" i="6"/>
  <c r="C1492" i="6"/>
  <c r="I1492" i="6"/>
  <c r="G1492" i="6"/>
  <c r="A1492" i="6"/>
  <c r="J1500" i="6"/>
  <c r="B1500" i="6"/>
  <c r="H1500" i="6"/>
  <c r="F1500" i="6"/>
  <c r="D1500" i="6"/>
  <c r="E1500" i="6"/>
  <c r="C1500" i="6"/>
  <c r="I1500" i="6"/>
  <c r="G1500" i="6"/>
  <c r="A1500" i="6"/>
  <c r="J1508" i="6"/>
  <c r="B1508" i="6"/>
  <c r="H1508" i="6"/>
  <c r="F1508" i="6"/>
  <c r="D1508" i="6"/>
  <c r="E1508" i="6"/>
  <c r="C1508" i="6"/>
  <c r="I1508" i="6"/>
  <c r="G1508" i="6"/>
  <c r="A1508" i="6"/>
  <c r="J1516" i="6"/>
  <c r="B1516" i="6"/>
  <c r="H1516" i="6"/>
  <c r="F1516" i="6"/>
  <c r="D1516" i="6"/>
  <c r="E1516" i="6"/>
  <c r="C1516" i="6"/>
  <c r="I1516" i="6"/>
  <c r="G1516" i="6"/>
  <c r="A1516" i="6"/>
  <c r="J1524" i="6"/>
  <c r="B1524" i="6"/>
  <c r="H1524" i="6"/>
  <c r="F1524" i="6"/>
  <c r="D1524" i="6"/>
  <c r="E1524" i="6"/>
  <c r="C1524" i="6"/>
  <c r="I1524" i="6"/>
  <c r="G1524" i="6"/>
  <c r="A1524" i="6"/>
  <c r="J1532" i="6"/>
  <c r="B1532" i="6"/>
  <c r="H1532" i="6"/>
  <c r="F1532" i="6"/>
  <c r="D1532" i="6"/>
  <c r="E1532" i="6"/>
  <c r="C1532" i="6"/>
  <c r="I1532" i="6"/>
  <c r="G1532" i="6"/>
  <c r="A1532" i="6"/>
  <c r="J1540" i="6"/>
  <c r="B1540" i="6"/>
  <c r="H1540" i="6"/>
  <c r="F1540" i="6"/>
  <c r="D1540" i="6"/>
  <c r="E1540" i="6"/>
  <c r="C1540" i="6"/>
  <c r="I1540" i="6"/>
  <c r="A1540" i="6"/>
  <c r="G1540" i="6"/>
  <c r="J1548" i="6"/>
  <c r="B1548" i="6"/>
  <c r="H1548" i="6"/>
  <c r="F1548" i="6"/>
  <c r="D1548" i="6"/>
  <c r="E1548" i="6"/>
  <c r="C1548" i="6"/>
  <c r="I1548" i="6"/>
  <c r="G1548" i="6"/>
  <c r="A1548" i="6"/>
  <c r="J1556" i="6"/>
  <c r="B1556" i="6"/>
  <c r="H1556" i="6"/>
  <c r="F1556" i="6"/>
  <c r="D1556" i="6"/>
  <c r="E1556" i="6"/>
  <c r="C1556" i="6"/>
  <c r="I1556" i="6"/>
  <c r="G1556" i="6"/>
  <c r="A1556" i="6"/>
  <c r="J1564" i="6"/>
  <c r="B1564" i="6"/>
  <c r="G1564" i="6"/>
  <c r="E1564" i="6"/>
  <c r="I1564" i="6"/>
  <c r="F1564" i="6"/>
  <c r="C1564" i="6"/>
  <c r="D1564" i="6"/>
  <c r="A1564" i="6"/>
  <c r="H1564" i="6"/>
  <c r="J1572" i="6"/>
  <c r="B1572" i="6"/>
  <c r="I1572" i="6"/>
  <c r="A1572" i="6"/>
  <c r="G1572" i="6"/>
  <c r="F1572" i="6"/>
  <c r="E1572" i="6"/>
  <c r="H1572" i="6"/>
  <c r="C1572" i="6"/>
  <c r="D1572" i="6"/>
  <c r="J1580" i="6"/>
  <c r="B1580" i="6"/>
  <c r="I1580" i="6"/>
  <c r="A1580" i="6"/>
  <c r="G1580" i="6"/>
  <c r="F1580" i="6"/>
  <c r="E1580" i="6"/>
  <c r="H1580" i="6"/>
  <c r="C1580" i="6"/>
  <c r="D1580" i="6"/>
  <c r="J1588" i="6"/>
  <c r="B1588" i="6"/>
  <c r="I1588" i="6"/>
  <c r="A1588" i="6"/>
  <c r="G1588" i="6"/>
  <c r="F1588" i="6"/>
  <c r="E1588" i="6"/>
  <c r="H1588" i="6"/>
  <c r="C1588" i="6"/>
  <c r="D1588" i="6"/>
  <c r="J1596" i="6"/>
  <c r="B1596" i="6"/>
  <c r="I1596" i="6"/>
  <c r="A1596" i="6"/>
  <c r="G1596" i="6"/>
  <c r="F1596" i="6"/>
  <c r="E1596" i="6"/>
  <c r="C1596" i="6"/>
  <c r="H1596" i="6"/>
  <c r="D1596" i="6"/>
  <c r="J1604" i="6"/>
  <c r="B1604" i="6"/>
  <c r="I1604" i="6"/>
  <c r="A1604" i="6"/>
  <c r="G1604" i="6"/>
  <c r="F1604" i="6"/>
  <c r="E1604" i="6"/>
  <c r="H1604" i="6"/>
  <c r="C1604" i="6"/>
  <c r="D1604" i="6"/>
  <c r="J1612" i="6"/>
  <c r="B1612" i="6"/>
  <c r="I1612" i="6"/>
  <c r="A1612" i="6"/>
  <c r="G1612" i="6"/>
  <c r="F1612" i="6"/>
  <c r="E1612" i="6"/>
  <c r="H1612" i="6"/>
  <c r="C1612" i="6"/>
  <c r="D1612" i="6"/>
  <c r="J1620" i="6"/>
  <c r="B1620" i="6"/>
  <c r="I1620" i="6"/>
  <c r="A1620" i="6"/>
  <c r="G1620" i="6"/>
  <c r="F1620" i="6"/>
  <c r="E1620" i="6"/>
  <c r="H1620" i="6"/>
  <c r="C1620" i="6"/>
  <c r="D1620" i="6"/>
  <c r="J1628" i="6"/>
  <c r="B1628" i="6"/>
  <c r="I1628" i="6"/>
  <c r="A1628" i="6"/>
  <c r="G1628" i="6"/>
  <c r="F1628" i="6"/>
  <c r="E1628" i="6"/>
  <c r="C1628" i="6"/>
  <c r="H1628" i="6"/>
  <c r="D1628" i="6"/>
  <c r="J1636" i="6"/>
  <c r="B1636" i="6"/>
  <c r="I1636" i="6"/>
  <c r="A1636" i="6"/>
  <c r="G1636" i="6"/>
  <c r="F1636" i="6"/>
  <c r="E1636" i="6"/>
  <c r="H1636" i="6"/>
  <c r="C1636" i="6"/>
  <c r="D1636" i="6"/>
  <c r="J1644" i="6"/>
  <c r="B1644" i="6"/>
  <c r="I1644" i="6"/>
  <c r="A1644" i="6"/>
  <c r="G1644" i="6"/>
  <c r="F1644" i="6"/>
  <c r="E1644" i="6"/>
  <c r="H1644" i="6"/>
  <c r="C1644" i="6"/>
  <c r="D1644" i="6"/>
  <c r="J1652" i="6"/>
  <c r="B1652" i="6"/>
  <c r="I1652" i="6"/>
  <c r="A1652" i="6"/>
  <c r="G1652" i="6"/>
  <c r="F1652" i="6"/>
  <c r="E1652" i="6"/>
  <c r="H1652" i="6"/>
  <c r="C1652" i="6"/>
  <c r="D1652" i="6"/>
  <c r="C1660" i="6"/>
  <c r="J1660" i="6"/>
  <c r="B1660" i="6"/>
  <c r="F1660" i="6"/>
  <c r="D1660" i="6"/>
  <c r="A1660" i="6"/>
  <c r="I1660" i="6"/>
  <c r="H1660" i="6"/>
  <c r="E1660" i="6"/>
  <c r="G1660" i="6"/>
  <c r="C1668" i="6"/>
  <c r="J1668" i="6"/>
  <c r="B1668" i="6"/>
  <c r="H1668" i="6"/>
  <c r="F1668" i="6"/>
  <c r="G1668" i="6"/>
  <c r="E1668" i="6"/>
  <c r="D1668" i="6"/>
  <c r="A1668" i="6"/>
  <c r="I1668" i="6"/>
  <c r="C1676" i="6"/>
  <c r="J1676" i="6"/>
  <c r="B1676" i="6"/>
  <c r="H1676" i="6"/>
  <c r="F1676" i="6"/>
  <c r="G1676" i="6"/>
  <c r="E1676" i="6"/>
  <c r="D1676" i="6"/>
  <c r="I1676" i="6"/>
  <c r="A1676" i="6"/>
  <c r="C1684" i="6"/>
  <c r="J1684" i="6"/>
  <c r="B1684" i="6"/>
  <c r="H1684" i="6"/>
  <c r="F1684" i="6"/>
  <c r="G1684" i="6"/>
  <c r="E1684" i="6"/>
  <c r="D1684" i="6"/>
  <c r="A1684" i="6"/>
  <c r="I1684" i="6"/>
  <c r="C1692" i="6"/>
  <c r="J1692" i="6"/>
  <c r="B1692" i="6"/>
  <c r="H1692" i="6"/>
  <c r="F1692" i="6"/>
  <c r="G1692" i="6"/>
  <c r="E1692" i="6"/>
  <c r="D1692" i="6"/>
  <c r="I1692" i="6"/>
  <c r="A1692" i="6"/>
  <c r="C1700" i="6"/>
  <c r="J1700" i="6"/>
  <c r="B1700" i="6"/>
  <c r="H1700" i="6"/>
  <c r="F1700" i="6"/>
  <c r="G1700" i="6"/>
  <c r="E1700" i="6"/>
  <c r="D1700" i="6"/>
  <c r="A1700" i="6"/>
  <c r="I1700" i="6"/>
  <c r="C1708" i="6"/>
  <c r="J1708" i="6"/>
  <c r="B1708" i="6"/>
  <c r="H1708" i="6"/>
  <c r="F1708" i="6"/>
  <c r="G1708" i="6"/>
  <c r="E1708" i="6"/>
  <c r="D1708" i="6"/>
  <c r="I1708" i="6"/>
  <c r="A1708" i="6"/>
  <c r="C1716" i="6"/>
  <c r="J1716" i="6"/>
  <c r="B1716" i="6"/>
  <c r="H1716" i="6"/>
  <c r="F1716" i="6"/>
  <c r="G1716" i="6"/>
  <c r="E1716" i="6"/>
  <c r="D1716" i="6"/>
  <c r="A1716" i="6"/>
  <c r="I1716" i="6"/>
  <c r="C1724" i="6"/>
  <c r="J1724" i="6"/>
  <c r="B1724" i="6"/>
  <c r="H1724" i="6"/>
  <c r="F1724" i="6"/>
  <c r="G1724" i="6"/>
  <c r="E1724" i="6"/>
  <c r="D1724" i="6"/>
  <c r="I1724" i="6"/>
  <c r="A1724" i="6"/>
  <c r="C1732" i="6"/>
  <c r="J1732" i="6"/>
  <c r="B1732" i="6"/>
  <c r="H1732" i="6"/>
  <c r="F1732" i="6"/>
  <c r="G1732" i="6"/>
  <c r="E1732" i="6"/>
  <c r="D1732" i="6"/>
  <c r="A1732" i="6"/>
  <c r="I1732" i="6"/>
  <c r="H1740" i="6"/>
  <c r="F1740" i="6"/>
  <c r="D1740" i="6"/>
  <c r="E1740" i="6"/>
  <c r="C1740" i="6"/>
  <c r="A1740" i="6"/>
  <c r="J1740" i="6"/>
  <c r="I1740" i="6"/>
  <c r="G1740" i="6"/>
  <c r="B1740" i="6"/>
  <c r="H1748" i="6"/>
  <c r="F1748" i="6"/>
  <c r="D1748" i="6"/>
  <c r="I1748" i="6"/>
  <c r="G1748" i="6"/>
  <c r="C1748" i="6"/>
  <c r="A1748" i="6"/>
  <c r="J1748" i="6"/>
  <c r="B1748" i="6"/>
  <c r="E1748" i="6"/>
  <c r="H1756" i="6"/>
  <c r="F1756" i="6"/>
  <c r="D1756" i="6"/>
  <c r="J1756" i="6"/>
  <c r="G1756" i="6"/>
  <c r="C1756" i="6"/>
  <c r="E1756" i="6"/>
  <c r="B1756" i="6"/>
  <c r="A1756" i="6"/>
  <c r="I1756" i="6"/>
  <c r="H1764" i="6"/>
  <c r="F1764" i="6"/>
  <c r="D1764" i="6"/>
  <c r="B1764" i="6"/>
  <c r="A1764" i="6"/>
  <c r="J1764" i="6"/>
  <c r="G1764" i="6"/>
  <c r="E1764" i="6"/>
  <c r="C1764" i="6"/>
  <c r="I1764" i="6"/>
  <c r="H1772" i="6"/>
  <c r="F1772" i="6"/>
  <c r="D1772" i="6"/>
  <c r="E1772" i="6"/>
  <c r="C1772" i="6"/>
  <c r="A1772" i="6"/>
  <c r="J1772" i="6"/>
  <c r="I1772" i="6"/>
  <c r="G1772" i="6"/>
  <c r="B1772" i="6"/>
  <c r="H1780" i="6"/>
  <c r="F1780" i="6"/>
  <c r="D1780" i="6"/>
  <c r="I1780" i="6"/>
  <c r="G1780" i="6"/>
  <c r="C1780" i="6"/>
  <c r="A1780" i="6"/>
  <c r="J1780" i="6"/>
  <c r="B1780" i="6"/>
  <c r="E1780" i="6"/>
  <c r="H1788" i="6"/>
  <c r="F1788" i="6"/>
  <c r="D1788" i="6"/>
  <c r="J1788" i="6"/>
  <c r="G1788" i="6"/>
  <c r="C1788" i="6"/>
  <c r="B1788" i="6"/>
  <c r="A1788" i="6"/>
  <c r="E1788" i="6"/>
  <c r="I1788" i="6"/>
  <c r="H1796" i="6"/>
  <c r="F1796" i="6"/>
  <c r="D1796" i="6"/>
  <c r="B1796" i="6"/>
  <c r="A1796" i="6"/>
  <c r="J1796" i="6"/>
  <c r="G1796" i="6"/>
  <c r="I1796" i="6"/>
  <c r="E1796" i="6"/>
  <c r="C1796" i="6"/>
  <c r="H1804" i="6"/>
  <c r="F1804" i="6"/>
  <c r="D1804" i="6"/>
  <c r="E1804" i="6"/>
  <c r="C1804" i="6"/>
  <c r="A1804" i="6"/>
  <c r="J1804" i="6"/>
  <c r="I1804" i="6"/>
  <c r="G1804" i="6"/>
  <c r="B1804" i="6"/>
  <c r="H1812" i="6"/>
  <c r="F1812" i="6"/>
  <c r="D1812" i="6"/>
  <c r="I1812" i="6"/>
  <c r="G1812" i="6"/>
  <c r="C1812" i="6"/>
  <c r="A1812" i="6"/>
  <c r="J1812" i="6"/>
  <c r="B1812" i="6"/>
  <c r="E1812" i="6"/>
  <c r="H1820" i="6"/>
  <c r="F1820" i="6"/>
  <c r="D1820" i="6"/>
  <c r="J1820" i="6"/>
  <c r="G1820" i="6"/>
  <c r="C1820" i="6"/>
  <c r="E1820" i="6"/>
  <c r="B1820" i="6"/>
  <c r="A1820" i="6"/>
  <c r="I1820" i="6"/>
  <c r="H1828" i="6"/>
  <c r="F1828" i="6"/>
  <c r="D1828" i="6"/>
  <c r="B1828" i="6"/>
  <c r="A1828" i="6"/>
  <c r="J1828" i="6"/>
  <c r="G1828" i="6"/>
  <c r="E1828" i="6"/>
  <c r="C1828" i="6"/>
  <c r="I1828" i="6"/>
  <c r="H1836" i="6"/>
  <c r="F1836" i="6"/>
  <c r="D1836" i="6"/>
  <c r="E1836" i="6"/>
  <c r="C1836" i="6"/>
  <c r="A1836" i="6"/>
  <c r="J1836" i="6"/>
  <c r="I1836" i="6"/>
  <c r="G1836" i="6"/>
  <c r="B1836" i="6"/>
  <c r="H1844" i="6"/>
  <c r="F1844" i="6"/>
  <c r="D1844" i="6"/>
  <c r="I1844" i="6"/>
  <c r="G1844" i="6"/>
  <c r="C1844" i="6"/>
  <c r="A1844" i="6"/>
  <c r="J1844" i="6"/>
  <c r="B1844" i="6"/>
  <c r="E1844" i="6"/>
  <c r="H1852" i="6"/>
  <c r="F1852" i="6"/>
  <c r="D1852" i="6"/>
  <c r="J1852" i="6"/>
  <c r="G1852" i="6"/>
  <c r="C1852" i="6"/>
  <c r="B1852" i="6"/>
  <c r="A1852" i="6"/>
  <c r="E1852" i="6"/>
  <c r="I1852" i="6"/>
  <c r="E1860" i="6"/>
  <c r="C1860" i="6"/>
  <c r="J1860" i="6"/>
  <c r="A1860" i="6"/>
  <c r="H1860" i="6"/>
  <c r="F1860" i="6"/>
  <c r="D1860" i="6"/>
  <c r="I1860" i="6"/>
  <c r="G1860" i="6"/>
  <c r="B1860" i="6"/>
  <c r="G1868" i="6"/>
  <c r="E1868" i="6"/>
  <c r="H1868" i="6"/>
  <c r="D1868" i="6"/>
  <c r="B1868" i="6"/>
  <c r="J1868" i="6"/>
  <c r="F1868" i="6"/>
  <c r="A1868" i="6"/>
  <c r="C1868" i="6"/>
  <c r="I1868" i="6"/>
  <c r="G1876" i="6"/>
  <c r="E1876" i="6"/>
  <c r="C1876" i="6"/>
  <c r="B1876" i="6"/>
  <c r="I1876" i="6"/>
  <c r="H1876" i="6"/>
  <c r="D1876" i="6"/>
  <c r="F1876" i="6"/>
  <c r="A1876" i="6"/>
  <c r="J1876" i="6"/>
  <c r="G1884" i="6"/>
  <c r="E1884" i="6"/>
  <c r="C1884" i="6"/>
  <c r="F1884" i="6"/>
  <c r="B1884" i="6"/>
  <c r="H1884" i="6"/>
  <c r="D1884" i="6"/>
  <c r="J1884" i="6"/>
  <c r="I1884" i="6"/>
  <c r="A1884" i="6"/>
  <c r="G1892" i="6"/>
  <c r="E1892" i="6"/>
  <c r="C1892" i="6"/>
  <c r="I1892" i="6"/>
  <c r="F1892" i="6"/>
  <c r="B1892" i="6"/>
  <c r="J1892" i="6"/>
  <c r="D1892" i="6"/>
  <c r="A1892" i="6"/>
  <c r="H1892" i="6"/>
  <c r="E1900" i="6"/>
  <c r="J1900" i="6"/>
  <c r="A1900" i="6"/>
  <c r="H1900" i="6"/>
  <c r="F1900" i="6"/>
  <c r="B1900" i="6"/>
  <c r="I1900" i="6"/>
  <c r="G1900" i="6"/>
  <c r="C1900" i="6"/>
  <c r="D1900" i="6"/>
  <c r="G1908" i="6"/>
  <c r="E1908" i="6"/>
  <c r="A1908" i="6"/>
  <c r="I1908" i="6"/>
  <c r="F1908" i="6"/>
  <c r="C1908" i="6"/>
  <c r="D1908" i="6"/>
  <c r="B1908" i="6"/>
  <c r="J1908" i="6"/>
  <c r="H1908" i="6"/>
  <c r="G1916" i="6"/>
  <c r="E1916" i="6"/>
  <c r="F1916" i="6"/>
  <c r="C1916" i="6"/>
  <c r="A1916" i="6"/>
  <c r="J1916" i="6"/>
  <c r="H1916" i="6"/>
  <c r="B1916" i="6"/>
  <c r="I1916" i="6"/>
  <c r="D1916" i="6"/>
  <c r="G1924" i="6"/>
  <c r="E1924" i="6"/>
  <c r="A1924" i="6"/>
  <c r="I1924" i="6"/>
  <c r="F1924" i="6"/>
  <c r="B1924" i="6"/>
  <c r="J1924" i="6"/>
  <c r="H1924" i="6"/>
  <c r="D1924" i="6"/>
  <c r="C1924" i="6"/>
  <c r="G1932" i="6"/>
  <c r="E1932" i="6"/>
  <c r="F1932" i="6"/>
  <c r="C1932" i="6"/>
  <c r="A1932" i="6"/>
  <c r="I1932" i="6"/>
  <c r="D1932" i="6"/>
  <c r="H1932" i="6"/>
  <c r="B1932" i="6"/>
  <c r="J1932" i="6"/>
  <c r="G1940" i="6"/>
  <c r="E1940" i="6"/>
  <c r="A1940" i="6"/>
  <c r="I1940" i="6"/>
  <c r="F1940" i="6"/>
  <c r="H1940" i="6"/>
  <c r="J1940" i="6"/>
  <c r="C1940" i="6"/>
  <c r="B1940" i="6"/>
  <c r="D1940" i="6"/>
  <c r="G1948" i="6"/>
  <c r="E1948" i="6"/>
  <c r="C1948" i="6"/>
  <c r="J1948" i="6"/>
  <c r="H1948" i="6"/>
  <c r="D1948" i="6"/>
  <c r="F1948" i="6"/>
  <c r="A1948" i="6"/>
  <c r="B1948" i="6"/>
  <c r="I1948" i="6"/>
  <c r="G1956" i="6"/>
  <c r="E1956" i="6"/>
  <c r="C1956" i="6"/>
  <c r="A1956" i="6"/>
  <c r="J1956" i="6"/>
  <c r="H1956" i="6"/>
  <c r="B1956" i="6"/>
  <c r="I1956" i="6"/>
  <c r="F1956" i="6"/>
  <c r="D1956" i="6"/>
  <c r="G1964" i="6"/>
  <c r="E1964" i="6"/>
  <c r="C1964" i="6"/>
  <c r="D1964" i="6"/>
  <c r="A1964" i="6"/>
  <c r="J1964" i="6"/>
  <c r="H1964" i="6"/>
  <c r="B1964" i="6"/>
  <c r="I1964" i="6"/>
  <c r="F1964" i="6"/>
  <c r="G1972" i="6"/>
  <c r="E1972" i="6"/>
  <c r="C1972" i="6"/>
  <c r="H1972" i="6"/>
  <c r="D1972" i="6"/>
  <c r="A1972" i="6"/>
  <c r="F1972" i="6"/>
  <c r="B1972" i="6"/>
  <c r="I1972" i="6"/>
  <c r="J1972" i="6"/>
  <c r="G1980" i="6"/>
  <c r="E1980" i="6"/>
  <c r="C1980" i="6"/>
  <c r="J1980" i="6"/>
  <c r="H1980" i="6"/>
  <c r="D1980" i="6"/>
  <c r="I1980" i="6"/>
  <c r="B1980" i="6"/>
  <c r="A1980" i="6"/>
  <c r="F1980" i="6"/>
  <c r="H1988" i="6"/>
  <c r="D1988" i="6"/>
  <c r="B1988" i="6"/>
  <c r="J1988" i="6"/>
  <c r="G1988" i="6"/>
  <c r="E1988" i="6"/>
  <c r="A1988" i="6"/>
  <c r="I1988" i="6"/>
  <c r="C1988" i="6"/>
  <c r="F1988" i="6"/>
  <c r="H1996" i="6"/>
  <c r="D1996" i="6"/>
  <c r="G1996" i="6"/>
  <c r="E1996" i="6"/>
  <c r="B1996" i="6"/>
  <c r="I1996" i="6"/>
  <c r="C1996" i="6"/>
  <c r="J1996" i="6"/>
  <c r="F1996" i="6"/>
  <c r="A1996" i="6"/>
  <c r="A4" i="6"/>
  <c r="I4" i="6"/>
  <c r="C5" i="6"/>
  <c r="E6" i="6"/>
  <c r="G7" i="6"/>
  <c r="A8" i="6"/>
  <c r="I8" i="6"/>
  <c r="C9" i="6"/>
  <c r="I16" i="4"/>
  <c r="C15" i="6"/>
  <c r="J15" i="6"/>
  <c r="B15" i="6"/>
  <c r="I15" i="6"/>
  <c r="A15" i="6"/>
  <c r="H15" i="6"/>
  <c r="G15" i="6"/>
  <c r="F15" i="6"/>
  <c r="E15" i="6"/>
  <c r="D15" i="6"/>
  <c r="C23" i="6"/>
  <c r="J23" i="6"/>
  <c r="B23" i="6"/>
  <c r="I23" i="6"/>
  <c r="A23" i="6"/>
  <c r="H23" i="6"/>
  <c r="G23" i="6"/>
  <c r="F23" i="6"/>
  <c r="E23" i="6"/>
  <c r="D23" i="6"/>
  <c r="C31" i="6"/>
  <c r="J31" i="6"/>
  <c r="B31" i="6"/>
  <c r="I31" i="6"/>
  <c r="A31" i="6"/>
  <c r="H31" i="6"/>
  <c r="G31" i="6"/>
  <c r="F31" i="6"/>
  <c r="E31" i="6"/>
  <c r="D31" i="6"/>
  <c r="C39" i="6"/>
  <c r="J39" i="6"/>
  <c r="B39" i="6"/>
  <c r="I39" i="6"/>
  <c r="A39" i="6"/>
  <c r="H39" i="6"/>
  <c r="G39" i="6"/>
  <c r="F39" i="6"/>
  <c r="E39" i="6"/>
  <c r="D39" i="6"/>
  <c r="C47" i="6"/>
  <c r="J47" i="6"/>
  <c r="B47" i="6"/>
  <c r="I47" i="6"/>
  <c r="A47" i="6"/>
  <c r="H47" i="6"/>
  <c r="G47" i="6"/>
  <c r="F47" i="6"/>
  <c r="E47" i="6"/>
  <c r="D47" i="6"/>
  <c r="C55" i="6"/>
  <c r="J55" i="6"/>
  <c r="B55" i="6"/>
  <c r="I55" i="6"/>
  <c r="A55" i="6"/>
  <c r="H55" i="6"/>
  <c r="G55" i="6"/>
  <c r="F55" i="6"/>
  <c r="E55" i="6"/>
  <c r="D55" i="6"/>
  <c r="C63" i="6"/>
  <c r="J63" i="6"/>
  <c r="B63" i="6"/>
  <c r="I63" i="6"/>
  <c r="A63" i="6"/>
  <c r="H63" i="6"/>
  <c r="G63" i="6"/>
  <c r="F63" i="6"/>
  <c r="E63" i="6"/>
  <c r="D63" i="6"/>
  <c r="C71" i="6"/>
  <c r="J71" i="6"/>
  <c r="B71" i="6"/>
  <c r="I71" i="6"/>
  <c r="A71" i="6"/>
  <c r="H71" i="6"/>
  <c r="G71" i="6"/>
  <c r="F71" i="6"/>
  <c r="E71" i="6"/>
  <c r="D71" i="6"/>
  <c r="C79" i="6"/>
  <c r="J79" i="6"/>
  <c r="B79" i="6"/>
  <c r="I79" i="6"/>
  <c r="A79" i="6"/>
  <c r="H79" i="6"/>
  <c r="G79" i="6"/>
  <c r="F79" i="6"/>
  <c r="E79" i="6"/>
  <c r="D79" i="6"/>
  <c r="C87" i="6"/>
  <c r="J87" i="6"/>
  <c r="B87" i="6"/>
  <c r="I87" i="6"/>
  <c r="A87" i="6"/>
  <c r="H87" i="6"/>
  <c r="G87" i="6"/>
  <c r="F87" i="6"/>
  <c r="E87" i="6"/>
  <c r="D87" i="6"/>
  <c r="C95" i="6"/>
  <c r="J95" i="6"/>
  <c r="B95" i="6"/>
  <c r="I95" i="6"/>
  <c r="A95" i="6"/>
  <c r="H95" i="6"/>
  <c r="G95" i="6"/>
  <c r="F95" i="6"/>
  <c r="E95" i="6"/>
  <c r="D95" i="6"/>
  <c r="C103" i="6"/>
  <c r="J103" i="6"/>
  <c r="B103" i="6"/>
  <c r="I103" i="6"/>
  <c r="A103" i="6"/>
  <c r="H103" i="6"/>
  <c r="G103" i="6"/>
  <c r="F103" i="6"/>
  <c r="E103" i="6"/>
  <c r="D103" i="6"/>
  <c r="C111" i="6"/>
  <c r="J111" i="6"/>
  <c r="B111" i="6"/>
  <c r="I111" i="6"/>
  <c r="A111" i="6"/>
  <c r="H111" i="6"/>
  <c r="G111" i="6"/>
  <c r="F111" i="6"/>
  <c r="E111" i="6"/>
  <c r="D111" i="6"/>
  <c r="C119" i="6"/>
  <c r="J119" i="6"/>
  <c r="B119" i="6"/>
  <c r="I119" i="6"/>
  <c r="A119" i="6"/>
  <c r="H119" i="6"/>
  <c r="G119" i="6"/>
  <c r="F119" i="6"/>
  <c r="E119" i="6"/>
  <c r="D119" i="6"/>
  <c r="C127" i="6"/>
  <c r="J127" i="6"/>
  <c r="B127" i="6"/>
  <c r="I127" i="6"/>
  <c r="A127" i="6"/>
  <c r="H127" i="6"/>
  <c r="G127" i="6"/>
  <c r="F127" i="6"/>
  <c r="E127" i="6"/>
  <c r="D127" i="6"/>
  <c r="C135" i="6"/>
  <c r="J135" i="6"/>
  <c r="B135" i="6"/>
  <c r="I135" i="6"/>
  <c r="A135" i="6"/>
  <c r="H135" i="6"/>
  <c r="G135" i="6"/>
  <c r="F135" i="6"/>
  <c r="E135" i="6"/>
  <c r="D135" i="6"/>
  <c r="C143" i="6"/>
  <c r="J143" i="6"/>
  <c r="B143" i="6"/>
  <c r="I143" i="6"/>
  <c r="A143" i="6"/>
  <c r="H143" i="6"/>
  <c r="G143" i="6"/>
  <c r="F143" i="6"/>
  <c r="E143" i="6"/>
  <c r="D143" i="6"/>
  <c r="C151" i="6"/>
  <c r="J151" i="6"/>
  <c r="B151" i="6"/>
  <c r="I151" i="6"/>
  <c r="A151" i="6"/>
  <c r="H151" i="6"/>
  <c r="G151" i="6"/>
  <c r="F151" i="6"/>
  <c r="E151" i="6"/>
  <c r="D151" i="6"/>
  <c r="C159" i="6"/>
  <c r="J159" i="6"/>
  <c r="B159" i="6"/>
  <c r="I159" i="6"/>
  <c r="A159" i="6"/>
  <c r="H159" i="6"/>
  <c r="G159" i="6"/>
  <c r="F159" i="6"/>
  <c r="E159" i="6"/>
  <c r="D159" i="6"/>
  <c r="C167" i="6"/>
  <c r="J167" i="6"/>
  <c r="B167" i="6"/>
  <c r="I167" i="6"/>
  <c r="A167" i="6"/>
  <c r="H167" i="6"/>
  <c r="G167" i="6"/>
  <c r="F167" i="6"/>
  <c r="E167" i="6"/>
  <c r="D167" i="6"/>
  <c r="C175" i="6"/>
  <c r="J175" i="6"/>
  <c r="B175" i="6"/>
  <c r="I175" i="6"/>
  <c r="A175" i="6"/>
  <c r="H175" i="6"/>
  <c r="G175" i="6"/>
  <c r="F175" i="6"/>
  <c r="E175" i="6"/>
  <c r="D175" i="6"/>
  <c r="C183" i="6"/>
  <c r="J183" i="6"/>
  <c r="B183" i="6"/>
  <c r="I183" i="6"/>
  <c r="A183" i="6"/>
  <c r="H183" i="6"/>
  <c r="G183" i="6"/>
  <c r="F183" i="6"/>
  <c r="E183" i="6"/>
  <c r="D183" i="6"/>
  <c r="C191" i="6"/>
  <c r="J191" i="6"/>
  <c r="B191" i="6"/>
  <c r="I191" i="6"/>
  <c r="A191" i="6"/>
  <c r="H191" i="6"/>
  <c r="G191" i="6"/>
  <c r="F191" i="6"/>
  <c r="E191" i="6"/>
  <c r="D191" i="6"/>
  <c r="C199" i="6"/>
  <c r="J199" i="6"/>
  <c r="B199" i="6"/>
  <c r="I199" i="6"/>
  <c r="A199" i="6"/>
  <c r="H199" i="6"/>
  <c r="G199" i="6"/>
  <c r="F199" i="6"/>
  <c r="E199" i="6"/>
  <c r="D199" i="6"/>
  <c r="C207" i="6"/>
  <c r="J207" i="6"/>
  <c r="B207" i="6"/>
  <c r="I207" i="6"/>
  <c r="A207" i="6"/>
  <c r="H207" i="6"/>
  <c r="G207" i="6"/>
  <c r="F207" i="6"/>
  <c r="E207" i="6"/>
  <c r="D207" i="6"/>
  <c r="C215" i="6"/>
  <c r="J215" i="6"/>
  <c r="B215" i="6"/>
  <c r="I215" i="6"/>
  <c r="A215" i="6"/>
  <c r="H215" i="6"/>
  <c r="G215" i="6"/>
  <c r="F215" i="6"/>
  <c r="E215" i="6"/>
  <c r="D215" i="6"/>
  <c r="C223" i="6"/>
  <c r="J223" i="6"/>
  <c r="B223" i="6"/>
  <c r="I223" i="6"/>
  <c r="A223" i="6"/>
  <c r="H223" i="6"/>
  <c r="G223" i="6"/>
  <c r="F223" i="6"/>
  <c r="E223" i="6"/>
  <c r="D223" i="6"/>
  <c r="C231" i="6"/>
  <c r="J231" i="6"/>
  <c r="B231" i="6"/>
  <c r="I231" i="6"/>
  <c r="A231" i="6"/>
  <c r="H231" i="6"/>
  <c r="G231" i="6"/>
  <c r="F231" i="6"/>
  <c r="E231" i="6"/>
  <c r="D231" i="6"/>
  <c r="C239" i="6"/>
  <c r="J239" i="6"/>
  <c r="B239" i="6"/>
  <c r="I239" i="6"/>
  <c r="A239" i="6"/>
  <c r="H239" i="6"/>
  <c r="G239" i="6"/>
  <c r="F239" i="6"/>
  <c r="E239" i="6"/>
  <c r="D239" i="6"/>
  <c r="C247" i="6"/>
  <c r="J247" i="6"/>
  <c r="B247" i="6"/>
  <c r="I247" i="6"/>
  <c r="A247" i="6"/>
  <c r="H247" i="6"/>
  <c r="G247" i="6"/>
  <c r="F247" i="6"/>
  <c r="E247" i="6"/>
  <c r="D247" i="6"/>
  <c r="C255" i="6"/>
  <c r="J255" i="6"/>
  <c r="B255" i="6"/>
  <c r="I255" i="6"/>
  <c r="A255" i="6"/>
  <c r="H255" i="6"/>
  <c r="G255" i="6"/>
  <c r="F255" i="6"/>
  <c r="E255" i="6"/>
  <c r="D255" i="6"/>
  <c r="C263" i="6"/>
  <c r="J263" i="6"/>
  <c r="B263" i="6"/>
  <c r="I263" i="6"/>
  <c r="A263" i="6"/>
  <c r="H263" i="6"/>
  <c r="G263" i="6"/>
  <c r="F263" i="6"/>
  <c r="E263" i="6"/>
  <c r="D263" i="6"/>
  <c r="C271" i="6"/>
  <c r="J271" i="6"/>
  <c r="B271" i="6"/>
  <c r="I271" i="6"/>
  <c r="A271" i="6"/>
  <c r="H271" i="6"/>
  <c r="G271" i="6"/>
  <c r="F271" i="6"/>
  <c r="E271" i="6"/>
  <c r="D271" i="6"/>
  <c r="C279" i="6"/>
  <c r="J279" i="6"/>
  <c r="B279" i="6"/>
  <c r="I279" i="6"/>
  <c r="A279" i="6"/>
  <c r="H279" i="6"/>
  <c r="G279" i="6"/>
  <c r="F279" i="6"/>
  <c r="E279" i="6"/>
  <c r="D279" i="6"/>
  <c r="C287" i="6"/>
  <c r="J287" i="6"/>
  <c r="B287" i="6"/>
  <c r="I287" i="6"/>
  <c r="A287" i="6"/>
  <c r="H287" i="6"/>
  <c r="G287" i="6"/>
  <c r="F287" i="6"/>
  <c r="E287" i="6"/>
  <c r="D287" i="6"/>
  <c r="C295" i="6"/>
  <c r="J295" i="6"/>
  <c r="B295" i="6"/>
  <c r="I295" i="6"/>
  <c r="A295" i="6"/>
  <c r="H295" i="6"/>
  <c r="G295" i="6"/>
  <c r="F295" i="6"/>
  <c r="E295" i="6"/>
  <c r="D295" i="6"/>
  <c r="C303" i="6"/>
  <c r="J303" i="6"/>
  <c r="B303" i="6"/>
  <c r="I303" i="6"/>
  <c r="A303" i="6"/>
  <c r="H303" i="6"/>
  <c r="G303" i="6"/>
  <c r="F303" i="6"/>
  <c r="E303" i="6"/>
  <c r="D303" i="6"/>
  <c r="C311" i="6"/>
  <c r="J311" i="6"/>
  <c r="B311" i="6"/>
  <c r="I311" i="6"/>
  <c r="A311" i="6"/>
  <c r="H311" i="6"/>
  <c r="G311" i="6"/>
  <c r="F311" i="6"/>
  <c r="E311" i="6"/>
  <c r="D311" i="6"/>
  <c r="C319" i="6"/>
  <c r="J319" i="6"/>
  <c r="B319" i="6"/>
  <c r="I319" i="6"/>
  <c r="A319" i="6"/>
  <c r="H319" i="6"/>
  <c r="G319" i="6"/>
  <c r="F319" i="6"/>
  <c r="E319" i="6"/>
  <c r="D319" i="6"/>
  <c r="C327" i="6"/>
  <c r="J327" i="6"/>
  <c r="B327" i="6"/>
  <c r="I327" i="6"/>
  <c r="A327" i="6"/>
  <c r="H327" i="6"/>
  <c r="G327" i="6"/>
  <c r="F327" i="6"/>
  <c r="E327" i="6"/>
  <c r="D327" i="6"/>
  <c r="C335" i="6"/>
  <c r="J335" i="6"/>
  <c r="B335" i="6"/>
  <c r="I335" i="6"/>
  <c r="A335" i="6"/>
  <c r="H335" i="6"/>
  <c r="G335" i="6"/>
  <c r="F335" i="6"/>
  <c r="E335" i="6"/>
  <c r="D335" i="6"/>
  <c r="C343" i="6"/>
  <c r="J343" i="6"/>
  <c r="B343" i="6"/>
  <c r="I343" i="6"/>
  <c r="A343" i="6"/>
  <c r="H343" i="6"/>
  <c r="G343" i="6"/>
  <c r="F343" i="6"/>
  <c r="E343" i="6"/>
  <c r="D343" i="6"/>
  <c r="C351" i="6"/>
  <c r="J351" i="6"/>
  <c r="B351" i="6"/>
  <c r="I351" i="6"/>
  <c r="A351" i="6"/>
  <c r="H351" i="6"/>
  <c r="G351" i="6"/>
  <c r="F351" i="6"/>
  <c r="E351" i="6"/>
  <c r="D351" i="6"/>
  <c r="C359" i="6"/>
  <c r="J359" i="6"/>
  <c r="B359" i="6"/>
  <c r="I359" i="6"/>
  <c r="A359" i="6"/>
  <c r="H359" i="6"/>
  <c r="G359" i="6"/>
  <c r="F359" i="6"/>
  <c r="E359" i="6"/>
  <c r="D359" i="6"/>
  <c r="C367" i="6"/>
  <c r="J367" i="6"/>
  <c r="B367" i="6"/>
  <c r="I367" i="6"/>
  <c r="A367" i="6"/>
  <c r="H367" i="6"/>
  <c r="G367" i="6"/>
  <c r="F367" i="6"/>
  <c r="E367" i="6"/>
  <c r="D367" i="6"/>
  <c r="C375" i="6"/>
  <c r="J375" i="6"/>
  <c r="B375" i="6"/>
  <c r="I375" i="6"/>
  <c r="A375" i="6"/>
  <c r="H375" i="6"/>
  <c r="G375" i="6"/>
  <c r="F375" i="6"/>
  <c r="E375" i="6"/>
  <c r="D375" i="6"/>
  <c r="C383" i="6"/>
  <c r="J383" i="6"/>
  <c r="B383" i="6"/>
  <c r="I383" i="6"/>
  <c r="A383" i="6"/>
  <c r="H383" i="6"/>
  <c r="G383" i="6"/>
  <c r="F383" i="6"/>
  <c r="E383" i="6"/>
  <c r="D383" i="6"/>
  <c r="C391" i="6"/>
  <c r="J391" i="6"/>
  <c r="B391" i="6"/>
  <c r="I391" i="6"/>
  <c r="A391" i="6"/>
  <c r="H391" i="6"/>
  <c r="G391" i="6"/>
  <c r="F391" i="6"/>
  <c r="E391" i="6"/>
  <c r="D391" i="6"/>
  <c r="G399" i="6"/>
  <c r="E399" i="6"/>
  <c r="C399" i="6"/>
  <c r="I399" i="6"/>
  <c r="A399" i="6"/>
  <c r="J399" i="6"/>
  <c r="H399" i="6"/>
  <c r="F399" i="6"/>
  <c r="D399" i="6"/>
  <c r="B399" i="6"/>
  <c r="G407" i="6"/>
  <c r="F407" i="6"/>
  <c r="E407" i="6"/>
  <c r="D407" i="6"/>
  <c r="C407" i="6"/>
  <c r="J407" i="6"/>
  <c r="B407" i="6"/>
  <c r="I407" i="6"/>
  <c r="A407" i="6"/>
  <c r="H407" i="6"/>
  <c r="G415" i="6"/>
  <c r="F415" i="6"/>
  <c r="E415" i="6"/>
  <c r="D415" i="6"/>
  <c r="C415" i="6"/>
  <c r="J415" i="6"/>
  <c r="B415" i="6"/>
  <c r="I415" i="6"/>
  <c r="A415" i="6"/>
  <c r="H415" i="6"/>
  <c r="G423" i="6"/>
  <c r="F423" i="6"/>
  <c r="E423" i="6"/>
  <c r="D423" i="6"/>
  <c r="C423" i="6"/>
  <c r="J423" i="6"/>
  <c r="B423" i="6"/>
  <c r="I423" i="6"/>
  <c r="A423" i="6"/>
  <c r="H423" i="6"/>
  <c r="G431" i="6"/>
  <c r="F431" i="6"/>
  <c r="E431" i="6"/>
  <c r="D431" i="6"/>
  <c r="C431" i="6"/>
  <c r="J431" i="6"/>
  <c r="B431" i="6"/>
  <c r="I431" i="6"/>
  <c r="A431" i="6"/>
  <c r="H431" i="6"/>
  <c r="G439" i="6"/>
  <c r="F439" i="6"/>
  <c r="E439" i="6"/>
  <c r="D439" i="6"/>
  <c r="C439" i="6"/>
  <c r="J439" i="6"/>
  <c r="B439" i="6"/>
  <c r="I439" i="6"/>
  <c r="A439" i="6"/>
  <c r="H439" i="6"/>
  <c r="G447" i="6"/>
  <c r="F447" i="6"/>
  <c r="E447" i="6"/>
  <c r="D447" i="6"/>
  <c r="C447" i="6"/>
  <c r="J447" i="6"/>
  <c r="B447" i="6"/>
  <c r="I447" i="6"/>
  <c r="A447" i="6"/>
  <c r="H447" i="6"/>
  <c r="G455" i="6"/>
  <c r="F455" i="6"/>
  <c r="E455" i="6"/>
  <c r="D455" i="6"/>
  <c r="C455" i="6"/>
  <c r="J455" i="6"/>
  <c r="B455" i="6"/>
  <c r="I455" i="6"/>
  <c r="A455" i="6"/>
  <c r="H455" i="6"/>
  <c r="G463" i="6"/>
  <c r="F463" i="6"/>
  <c r="E463" i="6"/>
  <c r="D463" i="6"/>
  <c r="C463" i="6"/>
  <c r="J463" i="6"/>
  <c r="B463" i="6"/>
  <c r="I463" i="6"/>
  <c r="A463" i="6"/>
  <c r="H463" i="6"/>
  <c r="G471" i="6"/>
  <c r="F471" i="6"/>
  <c r="E471" i="6"/>
  <c r="D471" i="6"/>
  <c r="C471" i="6"/>
  <c r="J471" i="6"/>
  <c r="B471" i="6"/>
  <c r="I471" i="6"/>
  <c r="A471" i="6"/>
  <c r="H471" i="6"/>
  <c r="G479" i="6"/>
  <c r="F479" i="6"/>
  <c r="E479" i="6"/>
  <c r="D479" i="6"/>
  <c r="C479" i="6"/>
  <c r="J479" i="6"/>
  <c r="B479" i="6"/>
  <c r="I479" i="6"/>
  <c r="A479" i="6"/>
  <c r="H479" i="6"/>
  <c r="G487" i="6"/>
  <c r="F487" i="6"/>
  <c r="E487" i="6"/>
  <c r="D487" i="6"/>
  <c r="C487" i="6"/>
  <c r="J487" i="6"/>
  <c r="B487" i="6"/>
  <c r="I487" i="6"/>
  <c r="A487" i="6"/>
  <c r="H487" i="6"/>
  <c r="G495" i="6"/>
  <c r="F495" i="6"/>
  <c r="E495" i="6"/>
  <c r="D495" i="6"/>
  <c r="C495" i="6"/>
  <c r="J495" i="6"/>
  <c r="B495" i="6"/>
  <c r="I495" i="6"/>
  <c r="A495" i="6"/>
  <c r="H495" i="6"/>
  <c r="G503" i="6"/>
  <c r="F503" i="6"/>
  <c r="E503" i="6"/>
  <c r="D503" i="6"/>
  <c r="C503" i="6"/>
  <c r="J503" i="6"/>
  <c r="B503" i="6"/>
  <c r="I503" i="6"/>
  <c r="A503" i="6"/>
  <c r="H503" i="6"/>
  <c r="G511" i="6"/>
  <c r="F511" i="6"/>
  <c r="E511" i="6"/>
  <c r="D511" i="6"/>
  <c r="C511" i="6"/>
  <c r="J511" i="6"/>
  <c r="B511" i="6"/>
  <c r="I511" i="6"/>
  <c r="A511" i="6"/>
  <c r="H511" i="6"/>
  <c r="G519" i="6"/>
  <c r="F519" i="6"/>
  <c r="E519" i="6"/>
  <c r="D519" i="6"/>
  <c r="C519" i="6"/>
  <c r="J519" i="6"/>
  <c r="B519" i="6"/>
  <c r="I519" i="6"/>
  <c r="A519" i="6"/>
  <c r="H519" i="6"/>
  <c r="G527" i="6"/>
  <c r="F527" i="6"/>
  <c r="E527" i="6"/>
  <c r="D527" i="6"/>
  <c r="C527" i="6"/>
  <c r="J527" i="6"/>
  <c r="B527" i="6"/>
  <c r="I527" i="6"/>
  <c r="A527" i="6"/>
  <c r="H527" i="6"/>
  <c r="G535" i="6"/>
  <c r="F535" i="6"/>
  <c r="E535" i="6"/>
  <c r="D535" i="6"/>
  <c r="C535" i="6"/>
  <c r="J535" i="6"/>
  <c r="B535" i="6"/>
  <c r="I535" i="6"/>
  <c r="A535" i="6"/>
  <c r="H535" i="6"/>
  <c r="G543" i="6"/>
  <c r="F543" i="6"/>
  <c r="E543" i="6"/>
  <c r="D543" i="6"/>
  <c r="C543" i="6"/>
  <c r="J543" i="6"/>
  <c r="B543" i="6"/>
  <c r="I543" i="6"/>
  <c r="A543" i="6"/>
  <c r="H543" i="6"/>
  <c r="G551" i="6"/>
  <c r="F551" i="6"/>
  <c r="E551" i="6"/>
  <c r="D551" i="6"/>
  <c r="C551" i="6"/>
  <c r="J551" i="6"/>
  <c r="B551" i="6"/>
  <c r="I551" i="6"/>
  <c r="A551" i="6"/>
  <c r="H551" i="6"/>
  <c r="G559" i="6"/>
  <c r="F559" i="6"/>
  <c r="E559" i="6"/>
  <c r="D559" i="6"/>
  <c r="C559" i="6"/>
  <c r="J559" i="6"/>
  <c r="B559" i="6"/>
  <c r="I559" i="6"/>
  <c r="A559" i="6"/>
  <c r="H559" i="6"/>
  <c r="G567" i="6"/>
  <c r="F567" i="6"/>
  <c r="E567" i="6"/>
  <c r="D567" i="6"/>
  <c r="C567" i="6"/>
  <c r="J567" i="6"/>
  <c r="B567" i="6"/>
  <c r="I567" i="6"/>
  <c r="A567" i="6"/>
  <c r="H567" i="6"/>
  <c r="G575" i="6"/>
  <c r="F575" i="6"/>
  <c r="E575" i="6"/>
  <c r="D575" i="6"/>
  <c r="C575" i="6"/>
  <c r="J575" i="6"/>
  <c r="B575" i="6"/>
  <c r="I575" i="6"/>
  <c r="A575" i="6"/>
  <c r="H575" i="6"/>
  <c r="G583" i="6"/>
  <c r="F583" i="6"/>
  <c r="E583" i="6"/>
  <c r="D583" i="6"/>
  <c r="C583" i="6"/>
  <c r="J583" i="6"/>
  <c r="B583" i="6"/>
  <c r="I583" i="6"/>
  <c r="A583" i="6"/>
  <c r="H583" i="6"/>
  <c r="G591" i="6"/>
  <c r="F591" i="6"/>
  <c r="E591" i="6"/>
  <c r="D591" i="6"/>
  <c r="C591" i="6"/>
  <c r="J591" i="6"/>
  <c r="B591" i="6"/>
  <c r="I591" i="6"/>
  <c r="A591" i="6"/>
  <c r="H591" i="6"/>
  <c r="G599" i="6"/>
  <c r="F599" i="6"/>
  <c r="E599" i="6"/>
  <c r="D599" i="6"/>
  <c r="C599" i="6"/>
  <c r="J599" i="6"/>
  <c r="B599" i="6"/>
  <c r="I599" i="6"/>
  <c r="A599" i="6"/>
  <c r="H599" i="6"/>
  <c r="G607" i="6"/>
  <c r="F607" i="6"/>
  <c r="E607" i="6"/>
  <c r="D607" i="6"/>
  <c r="C607" i="6"/>
  <c r="J607" i="6"/>
  <c r="B607" i="6"/>
  <c r="I607" i="6"/>
  <c r="A607" i="6"/>
  <c r="H607" i="6"/>
  <c r="G615" i="6"/>
  <c r="F615" i="6"/>
  <c r="E615" i="6"/>
  <c r="D615" i="6"/>
  <c r="C615" i="6"/>
  <c r="J615" i="6"/>
  <c r="B615" i="6"/>
  <c r="I615" i="6"/>
  <c r="A615" i="6"/>
  <c r="H615" i="6"/>
  <c r="G623" i="6"/>
  <c r="F623" i="6"/>
  <c r="E623" i="6"/>
  <c r="D623" i="6"/>
  <c r="C623" i="6"/>
  <c r="J623" i="6"/>
  <c r="B623" i="6"/>
  <c r="I623" i="6"/>
  <c r="A623" i="6"/>
  <c r="H623" i="6"/>
  <c r="G631" i="6"/>
  <c r="F631" i="6"/>
  <c r="E631" i="6"/>
  <c r="D631" i="6"/>
  <c r="C631" i="6"/>
  <c r="J631" i="6"/>
  <c r="B631" i="6"/>
  <c r="I631" i="6"/>
  <c r="A631" i="6"/>
  <c r="H631" i="6"/>
  <c r="G639" i="6"/>
  <c r="F639" i="6"/>
  <c r="E639" i="6"/>
  <c r="D639" i="6"/>
  <c r="C639" i="6"/>
  <c r="J639" i="6"/>
  <c r="B639" i="6"/>
  <c r="I639" i="6"/>
  <c r="A639" i="6"/>
  <c r="H639" i="6"/>
  <c r="G647" i="6"/>
  <c r="F647" i="6"/>
  <c r="E647" i="6"/>
  <c r="D647" i="6"/>
  <c r="C647" i="6"/>
  <c r="J647" i="6"/>
  <c r="B647" i="6"/>
  <c r="I647" i="6"/>
  <c r="A647" i="6"/>
  <c r="H647" i="6"/>
  <c r="G655" i="6"/>
  <c r="F655" i="6"/>
  <c r="E655" i="6"/>
  <c r="D655" i="6"/>
  <c r="C655" i="6"/>
  <c r="J655" i="6"/>
  <c r="B655" i="6"/>
  <c r="I655" i="6"/>
  <c r="A655" i="6"/>
  <c r="H655" i="6"/>
  <c r="G663" i="6"/>
  <c r="F663" i="6"/>
  <c r="E663" i="6"/>
  <c r="D663" i="6"/>
  <c r="C663" i="6"/>
  <c r="J663" i="6"/>
  <c r="B663" i="6"/>
  <c r="I663" i="6"/>
  <c r="A663" i="6"/>
  <c r="H663" i="6"/>
  <c r="G671" i="6"/>
  <c r="F671" i="6"/>
  <c r="E671" i="6"/>
  <c r="D671" i="6"/>
  <c r="C671" i="6"/>
  <c r="J671" i="6"/>
  <c r="B671" i="6"/>
  <c r="I671" i="6"/>
  <c r="A671" i="6"/>
  <c r="H671" i="6"/>
  <c r="G679" i="6"/>
  <c r="F679" i="6"/>
  <c r="E679" i="6"/>
  <c r="D679" i="6"/>
  <c r="C679" i="6"/>
  <c r="J679" i="6"/>
  <c r="B679" i="6"/>
  <c r="I679" i="6"/>
  <c r="A679" i="6"/>
  <c r="H679" i="6"/>
  <c r="G687" i="6"/>
  <c r="F687" i="6"/>
  <c r="E687" i="6"/>
  <c r="D687" i="6"/>
  <c r="C687" i="6"/>
  <c r="J687" i="6"/>
  <c r="B687" i="6"/>
  <c r="I687" i="6"/>
  <c r="A687" i="6"/>
  <c r="H687" i="6"/>
  <c r="G695" i="6"/>
  <c r="F695" i="6"/>
  <c r="E695" i="6"/>
  <c r="D695" i="6"/>
  <c r="C695" i="6"/>
  <c r="J695" i="6"/>
  <c r="B695" i="6"/>
  <c r="I695" i="6"/>
  <c r="A695" i="6"/>
  <c r="H695" i="6"/>
  <c r="G703" i="6"/>
  <c r="F703" i="6"/>
  <c r="E703" i="6"/>
  <c r="D703" i="6"/>
  <c r="C703" i="6"/>
  <c r="J703" i="6"/>
  <c r="B703" i="6"/>
  <c r="I703" i="6"/>
  <c r="A703" i="6"/>
  <c r="H703" i="6"/>
  <c r="G711" i="6"/>
  <c r="F711" i="6"/>
  <c r="E711" i="6"/>
  <c r="D711" i="6"/>
  <c r="C711" i="6"/>
  <c r="J711" i="6"/>
  <c r="B711" i="6"/>
  <c r="I711" i="6"/>
  <c r="A711" i="6"/>
  <c r="H711" i="6"/>
  <c r="G719" i="6"/>
  <c r="F719" i="6"/>
  <c r="E719" i="6"/>
  <c r="D719" i="6"/>
  <c r="C719" i="6"/>
  <c r="J719" i="6"/>
  <c r="B719" i="6"/>
  <c r="I719" i="6"/>
  <c r="A719" i="6"/>
  <c r="H719" i="6"/>
  <c r="G727" i="6"/>
  <c r="F727" i="6"/>
  <c r="E727" i="6"/>
  <c r="D727" i="6"/>
  <c r="C727" i="6"/>
  <c r="J727" i="6"/>
  <c r="B727" i="6"/>
  <c r="I727" i="6"/>
  <c r="A727" i="6"/>
  <c r="H727" i="6"/>
  <c r="G735" i="6"/>
  <c r="F735" i="6"/>
  <c r="E735" i="6"/>
  <c r="D735" i="6"/>
  <c r="C735" i="6"/>
  <c r="J735" i="6"/>
  <c r="B735" i="6"/>
  <c r="I735" i="6"/>
  <c r="A735" i="6"/>
  <c r="H735" i="6"/>
  <c r="G743" i="6"/>
  <c r="F743" i="6"/>
  <c r="E743" i="6"/>
  <c r="D743" i="6"/>
  <c r="C743" i="6"/>
  <c r="J743" i="6"/>
  <c r="B743" i="6"/>
  <c r="I743" i="6"/>
  <c r="A743" i="6"/>
  <c r="H743" i="6"/>
  <c r="G751" i="6"/>
  <c r="F751" i="6"/>
  <c r="E751" i="6"/>
  <c r="D751" i="6"/>
  <c r="C751" i="6"/>
  <c r="J751" i="6"/>
  <c r="B751" i="6"/>
  <c r="I751" i="6"/>
  <c r="A751" i="6"/>
  <c r="H751" i="6"/>
  <c r="G759" i="6"/>
  <c r="F759" i="6"/>
  <c r="E759" i="6"/>
  <c r="D759" i="6"/>
  <c r="C759" i="6"/>
  <c r="J759" i="6"/>
  <c r="B759" i="6"/>
  <c r="I759" i="6"/>
  <c r="A759" i="6"/>
  <c r="H759" i="6"/>
  <c r="G767" i="6"/>
  <c r="F767" i="6"/>
  <c r="E767" i="6"/>
  <c r="D767" i="6"/>
  <c r="C767" i="6"/>
  <c r="J767" i="6"/>
  <c r="B767" i="6"/>
  <c r="I767" i="6"/>
  <c r="A767" i="6"/>
  <c r="H767" i="6"/>
  <c r="G775" i="6"/>
  <c r="F775" i="6"/>
  <c r="E775" i="6"/>
  <c r="D775" i="6"/>
  <c r="C775" i="6"/>
  <c r="J775" i="6"/>
  <c r="B775" i="6"/>
  <c r="I775" i="6"/>
  <c r="A775" i="6"/>
  <c r="H775" i="6"/>
  <c r="H783" i="6"/>
  <c r="G783" i="6"/>
  <c r="E783" i="6"/>
  <c r="D783" i="6"/>
  <c r="J783" i="6"/>
  <c r="I783" i="6"/>
  <c r="F783" i="6"/>
  <c r="C783" i="6"/>
  <c r="B783" i="6"/>
  <c r="A783" i="6"/>
  <c r="H791" i="6"/>
  <c r="G791" i="6"/>
  <c r="F791" i="6"/>
  <c r="E791" i="6"/>
  <c r="D791" i="6"/>
  <c r="C791" i="6"/>
  <c r="J791" i="6"/>
  <c r="B791" i="6"/>
  <c r="I791" i="6"/>
  <c r="A791" i="6"/>
  <c r="H799" i="6"/>
  <c r="G799" i="6"/>
  <c r="F799" i="6"/>
  <c r="E799" i="6"/>
  <c r="D799" i="6"/>
  <c r="C799" i="6"/>
  <c r="J799" i="6"/>
  <c r="B799" i="6"/>
  <c r="I799" i="6"/>
  <c r="A799" i="6"/>
  <c r="H807" i="6"/>
  <c r="G807" i="6"/>
  <c r="F807" i="6"/>
  <c r="E807" i="6"/>
  <c r="D807" i="6"/>
  <c r="C807" i="6"/>
  <c r="J807" i="6"/>
  <c r="B807" i="6"/>
  <c r="I807" i="6"/>
  <c r="A807" i="6"/>
  <c r="H815" i="6"/>
  <c r="G815" i="6"/>
  <c r="F815" i="6"/>
  <c r="E815" i="6"/>
  <c r="D815" i="6"/>
  <c r="C815" i="6"/>
  <c r="J815" i="6"/>
  <c r="B815" i="6"/>
  <c r="I815" i="6"/>
  <c r="A815" i="6"/>
  <c r="H823" i="6"/>
  <c r="G823" i="6"/>
  <c r="F823" i="6"/>
  <c r="E823" i="6"/>
  <c r="D823" i="6"/>
  <c r="C823" i="6"/>
  <c r="J823" i="6"/>
  <c r="B823" i="6"/>
  <c r="I823" i="6"/>
  <c r="A823" i="6"/>
  <c r="H831" i="6"/>
  <c r="G831" i="6"/>
  <c r="F831" i="6"/>
  <c r="E831" i="6"/>
  <c r="D831" i="6"/>
  <c r="C831" i="6"/>
  <c r="J831" i="6"/>
  <c r="B831" i="6"/>
  <c r="I831" i="6"/>
  <c r="A831" i="6"/>
  <c r="H839" i="6"/>
  <c r="G839" i="6"/>
  <c r="F839" i="6"/>
  <c r="E839" i="6"/>
  <c r="D839" i="6"/>
  <c r="C839" i="6"/>
  <c r="J839" i="6"/>
  <c r="B839" i="6"/>
  <c r="I839" i="6"/>
  <c r="A839" i="6"/>
  <c r="H847" i="6"/>
  <c r="G847" i="6"/>
  <c r="F847" i="6"/>
  <c r="E847" i="6"/>
  <c r="D847" i="6"/>
  <c r="C847" i="6"/>
  <c r="J847" i="6"/>
  <c r="B847" i="6"/>
  <c r="I847" i="6"/>
  <c r="A847" i="6"/>
  <c r="H855" i="6"/>
  <c r="G855" i="6"/>
  <c r="F855" i="6"/>
  <c r="E855" i="6"/>
  <c r="D855" i="6"/>
  <c r="C855" i="6"/>
  <c r="J855" i="6"/>
  <c r="B855" i="6"/>
  <c r="I855" i="6"/>
  <c r="A855" i="6"/>
  <c r="H863" i="6"/>
  <c r="G863" i="6"/>
  <c r="F863" i="6"/>
  <c r="E863" i="6"/>
  <c r="D863" i="6"/>
  <c r="C863" i="6"/>
  <c r="J863" i="6"/>
  <c r="B863" i="6"/>
  <c r="I863" i="6"/>
  <c r="A863" i="6"/>
  <c r="H871" i="6"/>
  <c r="G871" i="6"/>
  <c r="F871" i="6"/>
  <c r="E871" i="6"/>
  <c r="D871" i="6"/>
  <c r="C871" i="6"/>
  <c r="J871" i="6"/>
  <c r="B871" i="6"/>
  <c r="I871" i="6"/>
  <c r="A871" i="6"/>
  <c r="H879" i="6"/>
  <c r="G879" i="6"/>
  <c r="F879" i="6"/>
  <c r="E879" i="6"/>
  <c r="D879" i="6"/>
  <c r="C879" i="6"/>
  <c r="J879" i="6"/>
  <c r="B879" i="6"/>
  <c r="I879" i="6"/>
  <c r="A879" i="6"/>
  <c r="H887" i="6"/>
  <c r="G887" i="6"/>
  <c r="F887" i="6"/>
  <c r="E887" i="6"/>
  <c r="D887" i="6"/>
  <c r="C887" i="6"/>
  <c r="J887" i="6"/>
  <c r="B887" i="6"/>
  <c r="I887" i="6"/>
  <c r="A887" i="6"/>
  <c r="H895" i="6"/>
  <c r="G895" i="6"/>
  <c r="F895" i="6"/>
  <c r="E895" i="6"/>
  <c r="D895" i="6"/>
  <c r="C895" i="6"/>
  <c r="J895" i="6"/>
  <c r="B895" i="6"/>
  <c r="I895" i="6"/>
  <c r="A895" i="6"/>
  <c r="H903" i="6"/>
  <c r="G903" i="6"/>
  <c r="F903" i="6"/>
  <c r="E903" i="6"/>
  <c r="D903" i="6"/>
  <c r="C903" i="6"/>
  <c r="J903" i="6"/>
  <c r="B903" i="6"/>
  <c r="I903" i="6"/>
  <c r="A903" i="6"/>
  <c r="H911" i="6"/>
  <c r="G911" i="6"/>
  <c r="F911" i="6"/>
  <c r="E911" i="6"/>
  <c r="D911" i="6"/>
  <c r="C911" i="6"/>
  <c r="J911" i="6"/>
  <c r="B911" i="6"/>
  <c r="I911" i="6"/>
  <c r="A911" i="6"/>
  <c r="H919" i="6"/>
  <c r="G919" i="6"/>
  <c r="F919" i="6"/>
  <c r="E919" i="6"/>
  <c r="D919" i="6"/>
  <c r="C919" i="6"/>
  <c r="J919" i="6"/>
  <c r="B919" i="6"/>
  <c r="I919" i="6"/>
  <c r="A919" i="6"/>
  <c r="H927" i="6"/>
  <c r="G927" i="6"/>
  <c r="F927" i="6"/>
  <c r="E927" i="6"/>
  <c r="D927" i="6"/>
  <c r="C927" i="6"/>
  <c r="J927" i="6"/>
  <c r="B927" i="6"/>
  <c r="I927" i="6"/>
  <c r="A927" i="6"/>
  <c r="H935" i="6"/>
  <c r="G935" i="6"/>
  <c r="F935" i="6"/>
  <c r="E935" i="6"/>
  <c r="D935" i="6"/>
  <c r="C935" i="6"/>
  <c r="J935" i="6"/>
  <c r="B935" i="6"/>
  <c r="I935" i="6"/>
  <c r="A935" i="6"/>
  <c r="H943" i="6"/>
  <c r="G943" i="6"/>
  <c r="F943" i="6"/>
  <c r="E943" i="6"/>
  <c r="D943" i="6"/>
  <c r="C943" i="6"/>
  <c r="J943" i="6"/>
  <c r="B943" i="6"/>
  <c r="I943" i="6"/>
  <c r="A943" i="6"/>
  <c r="H951" i="6"/>
  <c r="G951" i="6"/>
  <c r="F951" i="6"/>
  <c r="E951" i="6"/>
  <c r="D951" i="6"/>
  <c r="C951" i="6"/>
  <c r="J951" i="6"/>
  <c r="B951" i="6"/>
  <c r="I951" i="6"/>
  <c r="A951" i="6"/>
  <c r="H959" i="6"/>
  <c r="G959" i="6"/>
  <c r="F959" i="6"/>
  <c r="E959" i="6"/>
  <c r="D959" i="6"/>
  <c r="C959" i="6"/>
  <c r="J959" i="6"/>
  <c r="B959" i="6"/>
  <c r="I959" i="6"/>
  <c r="A959" i="6"/>
  <c r="H967" i="6"/>
  <c r="G967" i="6"/>
  <c r="F967" i="6"/>
  <c r="E967" i="6"/>
  <c r="D967" i="6"/>
  <c r="C967" i="6"/>
  <c r="J967" i="6"/>
  <c r="B967" i="6"/>
  <c r="I967" i="6"/>
  <c r="A967" i="6"/>
  <c r="G975" i="6"/>
  <c r="F975" i="6"/>
  <c r="D975" i="6"/>
  <c r="C975" i="6"/>
  <c r="J975" i="6"/>
  <c r="B975" i="6"/>
  <c r="I975" i="6"/>
  <c r="A975" i="6"/>
  <c r="H975" i="6"/>
  <c r="E975" i="6"/>
  <c r="G983" i="6"/>
  <c r="F983" i="6"/>
  <c r="D983" i="6"/>
  <c r="C983" i="6"/>
  <c r="J983" i="6"/>
  <c r="B983" i="6"/>
  <c r="I983" i="6"/>
  <c r="A983" i="6"/>
  <c r="H983" i="6"/>
  <c r="E983" i="6"/>
  <c r="G991" i="6"/>
  <c r="F991" i="6"/>
  <c r="D991" i="6"/>
  <c r="C991" i="6"/>
  <c r="J991" i="6"/>
  <c r="B991" i="6"/>
  <c r="I991" i="6"/>
  <c r="A991" i="6"/>
  <c r="H991" i="6"/>
  <c r="E991" i="6"/>
  <c r="G999" i="6"/>
  <c r="F999" i="6"/>
  <c r="D999" i="6"/>
  <c r="C999" i="6"/>
  <c r="J999" i="6"/>
  <c r="B999" i="6"/>
  <c r="I999" i="6"/>
  <c r="A999" i="6"/>
  <c r="H999" i="6"/>
  <c r="E999" i="6"/>
  <c r="G1007" i="6"/>
  <c r="F1007" i="6"/>
  <c r="D1007" i="6"/>
  <c r="C1007" i="6"/>
  <c r="J1007" i="6"/>
  <c r="B1007" i="6"/>
  <c r="I1007" i="6"/>
  <c r="A1007" i="6"/>
  <c r="H1007" i="6"/>
  <c r="E1007" i="6"/>
  <c r="G1015" i="6"/>
  <c r="F1015" i="6"/>
  <c r="D1015" i="6"/>
  <c r="C1015" i="6"/>
  <c r="J1015" i="6"/>
  <c r="B1015" i="6"/>
  <c r="I1015" i="6"/>
  <c r="A1015" i="6"/>
  <c r="H1015" i="6"/>
  <c r="E1015" i="6"/>
  <c r="G1023" i="6"/>
  <c r="F1023" i="6"/>
  <c r="D1023" i="6"/>
  <c r="C1023" i="6"/>
  <c r="J1023" i="6"/>
  <c r="B1023" i="6"/>
  <c r="I1023" i="6"/>
  <c r="A1023" i="6"/>
  <c r="H1023" i="6"/>
  <c r="E1023" i="6"/>
  <c r="G1031" i="6"/>
  <c r="F1031" i="6"/>
  <c r="D1031" i="6"/>
  <c r="C1031" i="6"/>
  <c r="J1031" i="6"/>
  <c r="B1031" i="6"/>
  <c r="I1031" i="6"/>
  <c r="A1031" i="6"/>
  <c r="H1031" i="6"/>
  <c r="E1031" i="6"/>
  <c r="G1039" i="6"/>
  <c r="F1039" i="6"/>
  <c r="E1039" i="6"/>
  <c r="D1039" i="6"/>
  <c r="C1039" i="6"/>
  <c r="J1039" i="6"/>
  <c r="B1039" i="6"/>
  <c r="I1039" i="6"/>
  <c r="A1039" i="6"/>
  <c r="H1039" i="6"/>
  <c r="G1047" i="6"/>
  <c r="F1047" i="6"/>
  <c r="E1047" i="6"/>
  <c r="D1047" i="6"/>
  <c r="C1047" i="6"/>
  <c r="J1047" i="6"/>
  <c r="B1047" i="6"/>
  <c r="I1047" i="6"/>
  <c r="A1047" i="6"/>
  <c r="H1047" i="6"/>
  <c r="G1055" i="6"/>
  <c r="F1055" i="6"/>
  <c r="E1055" i="6"/>
  <c r="D1055" i="6"/>
  <c r="C1055" i="6"/>
  <c r="J1055" i="6"/>
  <c r="B1055" i="6"/>
  <c r="I1055" i="6"/>
  <c r="A1055" i="6"/>
  <c r="H1055" i="6"/>
  <c r="G1063" i="6"/>
  <c r="F1063" i="6"/>
  <c r="E1063" i="6"/>
  <c r="D1063" i="6"/>
  <c r="C1063" i="6"/>
  <c r="J1063" i="6"/>
  <c r="B1063" i="6"/>
  <c r="I1063" i="6"/>
  <c r="A1063" i="6"/>
  <c r="H1063" i="6"/>
  <c r="G1071" i="6"/>
  <c r="F1071" i="6"/>
  <c r="E1071" i="6"/>
  <c r="D1071" i="6"/>
  <c r="C1071" i="6"/>
  <c r="J1071" i="6"/>
  <c r="B1071" i="6"/>
  <c r="I1071" i="6"/>
  <c r="A1071" i="6"/>
  <c r="H1071" i="6"/>
  <c r="G1079" i="6"/>
  <c r="F1079" i="6"/>
  <c r="E1079" i="6"/>
  <c r="D1079" i="6"/>
  <c r="C1079" i="6"/>
  <c r="J1079" i="6"/>
  <c r="B1079" i="6"/>
  <c r="I1079" i="6"/>
  <c r="A1079" i="6"/>
  <c r="H1079" i="6"/>
  <c r="G1087" i="6"/>
  <c r="F1087" i="6"/>
  <c r="E1087" i="6"/>
  <c r="D1087" i="6"/>
  <c r="C1087" i="6"/>
  <c r="J1087" i="6"/>
  <c r="B1087" i="6"/>
  <c r="I1087" i="6"/>
  <c r="A1087" i="6"/>
  <c r="H1087" i="6"/>
  <c r="G1095" i="6"/>
  <c r="F1095" i="6"/>
  <c r="E1095" i="6"/>
  <c r="D1095" i="6"/>
  <c r="C1095" i="6"/>
  <c r="J1095" i="6"/>
  <c r="B1095" i="6"/>
  <c r="I1095" i="6"/>
  <c r="A1095" i="6"/>
  <c r="H1095" i="6"/>
  <c r="G1103" i="6"/>
  <c r="F1103" i="6"/>
  <c r="E1103" i="6"/>
  <c r="D1103" i="6"/>
  <c r="C1103" i="6"/>
  <c r="J1103" i="6"/>
  <c r="B1103" i="6"/>
  <c r="I1103" i="6"/>
  <c r="A1103" i="6"/>
  <c r="H1103" i="6"/>
  <c r="D1111" i="6"/>
  <c r="C1111" i="6"/>
  <c r="I1111" i="6"/>
  <c r="A1111" i="6"/>
  <c r="H1111" i="6"/>
  <c r="G1111" i="6"/>
  <c r="F1111" i="6"/>
  <c r="E1111" i="6"/>
  <c r="J1111" i="6"/>
  <c r="B1111" i="6"/>
  <c r="D1119" i="6"/>
  <c r="C1119" i="6"/>
  <c r="I1119" i="6"/>
  <c r="A1119" i="6"/>
  <c r="H1119" i="6"/>
  <c r="G1119" i="6"/>
  <c r="F1119" i="6"/>
  <c r="E1119" i="6"/>
  <c r="B1119" i="6"/>
  <c r="J1119" i="6"/>
  <c r="D1127" i="6"/>
  <c r="C1127" i="6"/>
  <c r="I1127" i="6"/>
  <c r="A1127" i="6"/>
  <c r="H1127" i="6"/>
  <c r="G1127" i="6"/>
  <c r="F1127" i="6"/>
  <c r="E1127" i="6"/>
  <c r="J1127" i="6"/>
  <c r="B1127" i="6"/>
  <c r="D1135" i="6"/>
  <c r="C1135" i="6"/>
  <c r="I1135" i="6"/>
  <c r="A1135" i="6"/>
  <c r="H1135" i="6"/>
  <c r="G1135" i="6"/>
  <c r="F1135" i="6"/>
  <c r="E1135" i="6"/>
  <c r="J1135" i="6"/>
  <c r="B1135" i="6"/>
  <c r="D1143" i="6"/>
  <c r="C1143" i="6"/>
  <c r="I1143" i="6"/>
  <c r="A1143" i="6"/>
  <c r="H1143" i="6"/>
  <c r="G1143" i="6"/>
  <c r="F1143" i="6"/>
  <c r="E1143" i="6"/>
  <c r="J1143" i="6"/>
  <c r="B1143" i="6"/>
  <c r="D1151" i="6"/>
  <c r="C1151" i="6"/>
  <c r="I1151" i="6"/>
  <c r="A1151" i="6"/>
  <c r="H1151" i="6"/>
  <c r="G1151" i="6"/>
  <c r="F1151" i="6"/>
  <c r="E1151" i="6"/>
  <c r="B1151" i="6"/>
  <c r="J1151" i="6"/>
  <c r="D1159" i="6"/>
  <c r="C1159" i="6"/>
  <c r="I1159" i="6"/>
  <c r="A1159" i="6"/>
  <c r="H1159" i="6"/>
  <c r="G1159" i="6"/>
  <c r="F1159" i="6"/>
  <c r="E1159" i="6"/>
  <c r="J1159" i="6"/>
  <c r="B1159" i="6"/>
  <c r="D1167" i="6"/>
  <c r="C1167" i="6"/>
  <c r="I1167" i="6"/>
  <c r="A1167" i="6"/>
  <c r="H1167" i="6"/>
  <c r="G1167" i="6"/>
  <c r="F1167" i="6"/>
  <c r="E1167" i="6"/>
  <c r="J1167" i="6"/>
  <c r="B1167" i="6"/>
  <c r="D1175" i="6"/>
  <c r="C1175" i="6"/>
  <c r="I1175" i="6"/>
  <c r="A1175" i="6"/>
  <c r="H1175" i="6"/>
  <c r="G1175" i="6"/>
  <c r="F1175" i="6"/>
  <c r="E1175" i="6"/>
  <c r="J1175" i="6"/>
  <c r="B1175" i="6"/>
  <c r="D1183" i="6"/>
  <c r="C1183" i="6"/>
  <c r="I1183" i="6"/>
  <c r="A1183" i="6"/>
  <c r="H1183" i="6"/>
  <c r="G1183" i="6"/>
  <c r="F1183" i="6"/>
  <c r="E1183" i="6"/>
  <c r="B1183" i="6"/>
  <c r="J1183" i="6"/>
  <c r="D1191" i="6"/>
  <c r="C1191" i="6"/>
  <c r="I1191" i="6"/>
  <c r="A1191" i="6"/>
  <c r="H1191" i="6"/>
  <c r="G1191" i="6"/>
  <c r="F1191" i="6"/>
  <c r="E1191" i="6"/>
  <c r="J1191" i="6"/>
  <c r="B1191" i="6"/>
  <c r="D1199" i="6"/>
  <c r="C1199" i="6"/>
  <c r="I1199" i="6"/>
  <c r="A1199" i="6"/>
  <c r="H1199" i="6"/>
  <c r="G1199" i="6"/>
  <c r="F1199" i="6"/>
  <c r="E1199" i="6"/>
  <c r="J1199" i="6"/>
  <c r="B1199" i="6"/>
  <c r="D1207" i="6"/>
  <c r="C1207" i="6"/>
  <c r="I1207" i="6"/>
  <c r="A1207" i="6"/>
  <c r="H1207" i="6"/>
  <c r="G1207" i="6"/>
  <c r="F1207" i="6"/>
  <c r="E1207" i="6"/>
  <c r="J1207" i="6"/>
  <c r="B1207" i="6"/>
  <c r="D1215" i="6"/>
  <c r="C1215" i="6"/>
  <c r="I1215" i="6"/>
  <c r="A1215" i="6"/>
  <c r="H1215" i="6"/>
  <c r="G1215" i="6"/>
  <c r="F1215" i="6"/>
  <c r="E1215" i="6"/>
  <c r="B1215" i="6"/>
  <c r="J1215" i="6"/>
  <c r="D1223" i="6"/>
  <c r="C1223" i="6"/>
  <c r="I1223" i="6"/>
  <c r="A1223" i="6"/>
  <c r="H1223" i="6"/>
  <c r="G1223" i="6"/>
  <c r="F1223" i="6"/>
  <c r="E1223" i="6"/>
  <c r="J1223" i="6"/>
  <c r="B1223" i="6"/>
  <c r="D1231" i="6"/>
  <c r="C1231" i="6"/>
  <c r="I1231" i="6"/>
  <c r="A1231" i="6"/>
  <c r="H1231" i="6"/>
  <c r="G1231" i="6"/>
  <c r="F1231" i="6"/>
  <c r="E1231" i="6"/>
  <c r="J1231" i="6"/>
  <c r="B1231" i="6"/>
  <c r="D1239" i="6"/>
  <c r="C1239" i="6"/>
  <c r="I1239" i="6"/>
  <c r="A1239" i="6"/>
  <c r="H1239" i="6"/>
  <c r="G1239" i="6"/>
  <c r="F1239" i="6"/>
  <c r="E1239" i="6"/>
  <c r="J1239" i="6"/>
  <c r="B1239" i="6"/>
  <c r="D1247" i="6"/>
  <c r="C1247" i="6"/>
  <c r="I1247" i="6"/>
  <c r="A1247" i="6"/>
  <c r="H1247" i="6"/>
  <c r="G1247" i="6"/>
  <c r="F1247" i="6"/>
  <c r="E1247" i="6"/>
  <c r="B1247" i="6"/>
  <c r="J1247" i="6"/>
  <c r="E1255" i="6"/>
  <c r="J1255" i="6"/>
  <c r="B1255" i="6"/>
  <c r="I1255" i="6"/>
  <c r="A1255" i="6"/>
  <c r="H1255" i="6"/>
  <c r="G1255" i="6"/>
  <c r="F1255" i="6"/>
  <c r="D1255" i="6"/>
  <c r="C1255" i="6"/>
  <c r="E1263" i="6"/>
  <c r="J1263" i="6"/>
  <c r="B1263" i="6"/>
  <c r="I1263" i="6"/>
  <c r="A1263" i="6"/>
  <c r="H1263" i="6"/>
  <c r="G1263" i="6"/>
  <c r="F1263" i="6"/>
  <c r="D1263" i="6"/>
  <c r="C1263" i="6"/>
  <c r="E1271" i="6"/>
  <c r="J1271" i="6"/>
  <c r="B1271" i="6"/>
  <c r="I1271" i="6"/>
  <c r="A1271" i="6"/>
  <c r="H1271" i="6"/>
  <c r="G1271" i="6"/>
  <c r="F1271" i="6"/>
  <c r="D1271" i="6"/>
  <c r="C1271" i="6"/>
  <c r="E1279" i="6"/>
  <c r="J1279" i="6"/>
  <c r="B1279" i="6"/>
  <c r="I1279" i="6"/>
  <c r="A1279" i="6"/>
  <c r="H1279" i="6"/>
  <c r="G1279" i="6"/>
  <c r="F1279" i="6"/>
  <c r="D1279" i="6"/>
  <c r="C1279" i="6"/>
  <c r="E1287" i="6"/>
  <c r="J1287" i="6"/>
  <c r="B1287" i="6"/>
  <c r="I1287" i="6"/>
  <c r="A1287" i="6"/>
  <c r="H1287" i="6"/>
  <c r="G1287" i="6"/>
  <c r="F1287" i="6"/>
  <c r="D1287" i="6"/>
  <c r="C1287" i="6"/>
  <c r="E1295" i="6"/>
  <c r="J1295" i="6"/>
  <c r="B1295" i="6"/>
  <c r="I1295" i="6"/>
  <c r="A1295" i="6"/>
  <c r="H1295" i="6"/>
  <c r="G1295" i="6"/>
  <c r="F1295" i="6"/>
  <c r="D1295" i="6"/>
  <c r="C1295" i="6"/>
  <c r="E1303" i="6"/>
  <c r="J1303" i="6"/>
  <c r="B1303" i="6"/>
  <c r="I1303" i="6"/>
  <c r="A1303" i="6"/>
  <c r="H1303" i="6"/>
  <c r="G1303" i="6"/>
  <c r="F1303" i="6"/>
  <c r="D1303" i="6"/>
  <c r="C1303" i="6"/>
  <c r="E1311" i="6"/>
  <c r="J1311" i="6"/>
  <c r="B1311" i="6"/>
  <c r="I1311" i="6"/>
  <c r="A1311" i="6"/>
  <c r="H1311" i="6"/>
  <c r="G1311" i="6"/>
  <c r="F1311" i="6"/>
  <c r="D1311" i="6"/>
  <c r="C1311" i="6"/>
  <c r="E1319" i="6"/>
  <c r="J1319" i="6"/>
  <c r="B1319" i="6"/>
  <c r="I1319" i="6"/>
  <c r="A1319" i="6"/>
  <c r="H1319" i="6"/>
  <c r="G1319" i="6"/>
  <c r="F1319" i="6"/>
  <c r="D1319" i="6"/>
  <c r="C1319" i="6"/>
  <c r="E1327" i="6"/>
  <c r="J1327" i="6"/>
  <c r="B1327" i="6"/>
  <c r="I1327" i="6"/>
  <c r="A1327" i="6"/>
  <c r="H1327" i="6"/>
  <c r="G1327" i="6"/>
  <c r="F1327" i="6"/>
  <c r="D1327" i="6"/>
  <c r="C1327" i="6"/>
  <c r="E1335" i="6"/>
  <c r="J1335" i="6"/>
  <c r="B1335" i="6"/>
  <c r="I1335" i="6"/>
  <c r="A1335" i="6"/>
  <c r="H1335" i="6"/>
  <c r="G1335" i="6"/>
  <c r="F1335" i="6"/>
  <c r="D1335" i="6"/>
  <c r="C1335" i="6"/>
  <c r="C1343" i="6"/>
  <c r="J1343" i="6"/>
  <c r="B1343" i="6"/>
  <c r="G1343" i="6"/>
  <c r="H1343" i="6"/>
  <c r="F1343" i="6"/>
  <c r="E1343" i="6"/>
  <c r="D1343" i="6"/>
  <c r="A1343" i="6"/>
  <c r="I1343" i="6"/>
  <c r="C1351" i="6"/>
  <c r="J1351" i="6"/>
  <c r="B1351" i="6"/>
  <c r="G1351" i="6"/>
  <c r="D1351" i="6"/>
  <c r="I1351" i="6"/>
  <c r="H1351" i="6"/>
  <c r="F1351" i="6"/>
  <c r="E1351" i="6"/>
  <c r="A1351" i="6"/>
  <c r="C1359" i="6"/>
  <c r="J1359" i="6"/>
  <c r="B1359" i="6"/>
  <c r="G1359" i="6"/>
  <c r="F1359" i="6"/>
  <c r="A1359" i="6"/>
  <c r="I1359" i="6"/>
  <c r="H1359" i="6"/>
  <c r="E1359" i="6"/>
  <c r="D1359" i="6"/>
  <c r="C1367" i="6"/>
  <c r="J1367" i="6"/>
  <c r="B1367" i="6"/>
  <c r="G1367" i="6"/>
  <c r="I1367" i="6"/>
  <c r="E1367" i="6"/>
  <c r="D1367" i="6"/>
  <c r="A1367" i="6"/>
  <c r="F1367" i="6"/>
  <c r="H1367" i="6"/>
  <c r="C1375" i="6"/>
  <c r="J1375" i="6"/>
  <c r="B1375" i="6"/>
  <c r="G1375" i="6"/>
  <c r="H1375" i="6"/>
  <c r="F1375" i="6"/>
  <c r="E1375" i="6"/>
  <c r="D1375" i="6"/>
  <c r="A1375" i="6"/>
  <c r="I1375" i="6"/>
  <c r="C1383" i="6"/>
  <c r="J1383" i="6"/>
  <c r="B1383" i="6"/>
  <c r="G1383" i="6"/>
  <c r="D1383" i="6"/>
  <c r="I1383" i="6"/>
  <c r="H1383" i="6"/>
  <c r="F1383" i="6"/>
  <c r="E1383" i="6"/>
  <c r="A1383" i="6"/>
  <c r="C1391" i="6"/>
  <c r="J1391" i="6"/>
  <c r="B1391" i="6"/>
  <c r="G1391" i="6"/>
  <c r="F1391" i="6"/>
  <c r="A1391" i="6"/>
  <c r="I1391" i="6"/>
  <c r="H1391" i="6"/>
  <c r="E1391" i="6"/>
  <c r="D1391" i="6"/>
  <c r="C1399" i="6"/>
  <c r="J1399" i="6"/>
  <c r="B1399" i="6"/>
  <c r="G1399" i="6"/>
  <c r="I1399" i="6"/>
  <c r="E1399" i="6"/>
  <c r="D1399" i="6"/>
  <c r="A1399" i="6"/>
  <c r="H1399" i="6"/>
  <c r="F1399" i="6"/>
  <c r="C1407" i="6"/>
  <c r="J1407" i="6"/>
  <c r="B1407" i="6"/>
  <c r="G1407" i="6"/>
  <c r="H1407" i="6"/>
  <c r="F1407" i="6"/>
  <c r="E1407" i="6"/>
  <c r="D1407" i="6"/>
  <c r="A1407" i="6"/>
  <c r="I1407" i="6"/>
  <c r="C1415" i="6"/>
  <c r="J1415" i="6"/>
  <c r="B1415" i="6"/>
  <c r="G1415" i="6"/>
  <c r="D1415" i="6"/>
  <c r="I1415" i="6"/>
  <c r="H1415" i="6"/>
  <c r="F1415" i="6"/>
  <c r="E1415" i="6"/>
  <c r="A1415" i="6"/>
  <c r="C1423" i="6"/>
  <c r="J1423" i="6"/>
  <c r="B1423" i="6"/>
  <c r="G1423" i="6"/>
  <c r="F1423" i="6"/>
  <c r="A1423" i="6"/>
  <c r="I1423" i="6"/>
  <c r="H1423" i="6"/>
  <c r="E1423" i="6"/>
  <c r="D1423" i="6"/>
  <c r="C1431" i="6"/>
  <c r="J1431" i="6"/>
  <c r="B1431" i="6"/>
  <c r="G1431" i="6"/>
  <c r="I1431" i="6"/>
  <c r="E1431" i="6"/>
  <c r="D1431" i="6"/>
  <c r="A1431" i="6"/>
  <c r="H1431" i="6"/>
  <c r="F1431" i="6"/>
  <c r="H1439" i="6"/>
  <c r="F1439" i="6"/>
  <c r="D1439" i="6"/>
  <c r="J1439" i="6"/>
  <c r="B1439" i="6"/>
  <c r="I1439" i="6"/>
  <c r="C1439" i="6"/>
  <c r="E1439" i="6"/>
  <c r="A1439" i="6"/>
  <c r="G1439" i="6"/>
  <c r="H1447" i="6"/>
  <c r="F1447" i="6"/>
  <c r="D1447" i="6"/>
  <c r="J1447" i="6"/>
  <c r="B1447" i="6"/>
  <c r="I1447" i="6"/>
  <c r="C1447" i="6"/>
  <c r="A1447" i="6"/>
  <c r="G1447" i="6"/>
  <c r="E1447" i="6"/>
  <c r="H1455" i="6"/>
  <c r="F1455" i="6"/>
  <c r="D1455" i="6"/>
  <c r="J1455" i="6"/>
  <c r="B1455" i="6"/>
  <c r="I1455" i="6"/>
  <c r="C1455" i="6"/>
  <c r="E1455" i="6"/>
  <c r="A1455" i="6"/>
  <c r="G1455" i="6"/>
  <c r="H1463" i="6"/>
  <c r="F1463" i="6"/>
  <c r="D1463" i="6"/>
  <c r="J1463" i="6"/>
  <c r="B1463" i="6"/>
  <c r="I1463" i="6"/>
  <c r="C1463" i="6"/>
  <c r="A1463" i="6"/>
  <c r="G1463" i="6"/>
  <c r="E1463" i="6"/>
  <c r="H1471" i="6"/>
  <c r="F1471" i="6"/>
  <c r="D1471" i="6"/>
  <c r="J1471" i="6"/>
  <c r="B1471" i="6"/>
  <c r="I1471" i="6"/>
  <c r="C1471" i="6"/>
  <c r="E1471" i="6"/>
  <c r="A1471" i="6"/>
  <c r="G1471" i="6"/>
  <c r="H1479" i="6"/>
  <c r="F1479" i="6"/>
  <c r="D1479" i="6"/>
  <c r="J1479" i="6"/>
  <c r="B1479" i="6"/>
  <c r="I1479" i="6"/>
  <c r="C1479" i="6"/>
  <c r="A1479" i="6"/>
  <c r="G1479" i="6"/>
  <c r="E1479" i="6"/>
  <c r="H1487" i="6"/>
  <c r="F1487" i="6"/>
  <c r="D1487" i="6"/>
  <c r="J1487" i="6"/>
  <c r="B1487" i="6"/>
  <c r="I1487" i="6"/>
  <c r="C1487" i="6"/>
  <c r="E1487" i="6"/>
  <c r="A1487" i="6"/>
  <c r="G1487" i="6"/>
  <c r="H1495" i="6"/>
  <c r="F1495" i="6"/>
  <c r="D1495" i="6"/>
  <c r="J1495" i="6"/>
  <c r="B1495" i="6"/>
  <c r="I1495" i="6"/>
  <c r="C1495" i="6"/>
  <c r="A1495" i="6"/>
  <c r="G1495" i="6"/>
  <c r="E1495" i="6"/>
  <c r="H1503" i="6"/>
  <c r="F1503" i="6"/>
  <c r="D1503" i="6"/>
  <c r="J1503" i="6"/>
  <c r="B1503" i="6"/>
  <c r="I1503" i="6"/>
  <c r="C1503" i="6"/>
  <c r="E1503" i="6"/>
  <c r="A1503" i="6"/>
  <c r="G1503" i="6"/>
  <c r="H1511" i="6"/>
  <c r="F1511" i="6"/>
  <c r="D1511" i="6"/>
  <c r="J1511" i="6"/>
  <c r="B1511" i="6"/>
  <c r="I1511" i="6"/>
  <c r="C1511" i="6"/>
  <c r="A1511" i="6"/>
  <c r="G1511" i="6"/>
  <c r="E1511" i="6"/>
  <c r="H1519" i="6"/>
  <c r="F1519" i="6"/>
  <c r="D1519" i="6"/>
  <c r="J1519" i="6"/>
  <c r="B1519" i="6"/>
  <c r="I1519" i="6"/>
  <c r="C1519" i="6"/>
  <c r="E1519" i="6"/>
  <c r="A1519" i="6"/>
  <c r="G1519" i="6"/>
  <c r="H1527" i="6"/>
  <c r="F1527" i="6"/>
  <c r="D1527" i="6"/>
  <c r="J1527" i="6"/>
  <c r="B1527" i="6"/>
  <c r="I1527" i="6"/>
  <c r="C1527" i="6"/>
  <c r="A1527" i="6"/>
  <c r="G1527" i="6"/>
  <c r="E1527" i="6"/>
  <c r="H1535" i="6"/>
  <c r="F1535" i="6"/>
  <c r="D1535" i="6"/>
  <c r="J1535" i="6"/>
  <c r="B1535" i="6"/>
  <c r="I1535" i="6"/>
  <c r="C1535" i="6"/>
  <c r="E1535" i="6"/>
  <c r="A1535" i="6"/>
  <c r="G1535" i="6"/>
  <c r="H1543" i="6"/>
  <c r="F1543" i="6"/>
  <c r="D1543" i="6"/>
  <c r="J1543" i="6"/>
  <c r="B1543" i="6"/>
  <c r="I1543" i="6"/>
  <c r="C1543" i="6"/>
  <c r="A1543" i="6"/>
  <c r="G1543" i="6"/>
  <c r="E1543" i="6"/>
  <c r="H1551" i="6"/>
  <c r="F1551" i="6"/>
  <c r="D1551" i="6"/>
  <c r="J1551" i="6"/>
  <c r="B1551" i="6"/>
  <c r="I1551" i="6"/>
  <c r="C1551" i="6"/>
  <c r="E1551" i="6"/>
  <c r="A1551" i="6"/>
  <c r="G1551" i="6"/>
  <c r="H1559" i="6"/>
  <c r="F1559" i="6"/>
  <c r="D1559" i="6"/>
  <c r="J1559" i="6"/>
  <c r="B1559" i="6"/>
  <c r="I1559" i="6"/>
  <c r="C1559" i="6"/>
  <c r="A1559" i="6"/>
  <c r="G1559" i="6"/>
  <c r="E1559" i="6"/>
  <c r="H1567" i="6"/>
  <c r="G1567" i="6"/>
  <c r="E1567" i="6"/>
  <c r="C1567" i="6"/>
  <c r="J1567" i="6"/>
  <c r="F1567" i="6"/>
  <c r="B1567" i="6"/>
  <c r="A1567" i="6"/>
  <c r="I1567" i="6"/>
  <c r="D1567" i="6"/>
  <c r="H1575" i="6"/>
  <c r="G1575" i="6"/>
  <c r="E1575" i="6"/>
  <c r="D1575" i="6"/>
  <c r="C1575" i="6"/>
  <c r="I1575" i="6"/>
  <c r="B1575" i="6"/>
  <c r="F1575" i="6"/>
  <c r="A1575" i="6"/>
  <c r="J1575" i="6"/>
  <c r="H1583" i="6"/>
  <c r="G1583" i="6"/>
  <c r="E1583" i="6"/>
  <c r="D1583" i="6"/>
  <c r="C1583" i="6"/>
  <c r="I1583" i="6"/>
  <c r="B1583" i="6"/>
  <c r="A1583" i="6"/>
  <c r="F1583" i="6"/>
  <c r="J1583" i="6"/>
  <c r="H1591" i="6"/>
  <c r="G1591" i="6"/>
  <c r="E1591" i="6"/>
  <c r="D1591" i="6"/>
  <c r="C1591" i="6"/>
  <c r="I1591" i="6"/>
  <c r="B1591" i="6"/>
  <c r="F1591" i="6"/>
  <c r="J1591" i="6"/>
  <c r="A1591" i="6"/>
  <c r="H1599" i="6"/>
  <c r="G1599" i="6"/>
  <c r="E1599" i="6"/>
  <c r="D1599" i="6"/>
  <c r="C1599" i="6"/>
  <c r="B1599" i="6"/>
  <c r="I1599" i="6"/>
  <c r="J1599" i="6"/>
  <c r="F1599" i="6"/>
  <c r="A1599" i="6"/>
  <c r="H1607" i="6"/>
  <c r="G1607" i="6"/>
  <c r="E1607" i="6"/>
  <c r="D1607" i="6"/>
  <c r="C1607" i="6"/>
  <c r="I1607" i="6"/>
  <c r="B1607" i="6"/>
  <c r="F1607" i="6"/>
  <c r="J1607" i="6"/>
  <c r="A1607" i="6"/>
  <c r="H1615" i="6"/>
  <c r="G1615" i="6"/>
  <c r="E1615" i="6"/>
  <c r="D1615" i="6"/>
  <c r="C1615" i="6"/>
  <c r="I1615" i="6"/>
  <c r="B1615" i="6"/>
  <c r="A1615" i="6"/>
  <c r="J1615" i="6"/>
  <c r="F1615" i="6"/>
  <c r="H1623" i="6"/>
  <c r="G1623" i="6"/>
  <c r="E1623" i="6"/>
  <c r="D1623" i="6"/>
  <c r="C1623" i="6"/>
  <c r="I1623" i="6"/>
  <c r="B1623" i="6"/>
  <c r="J1623" i="6"/>
  <c r="F1623" i="6"/>
  <c r="A1623" i="6"/>
  <c r="H1631" i="6"/>
  <c r="G1631" i="6"/>
  <c r="E1631" i="6"/>
  <c r="D1631" i="6"/>
  <c r="C1631" i="6"/>
  <c r="B1631" i="6"/>
  <c r="I1631" i="6"/>
  <c r="J1631" i="6"/>
  <c r="A1631" i="6"/>
  <c r="F1631" i="6"/>
  <c r="H1639" i="6"/>
  <c r="G1639" i="6"/>
  <c r="E1639" i="6"/>
  <c r="D1639" i="6"/>
  <c r="C1639" i="6"/>
  <c r="I1639" i="6"/>
  <c r="B1639" i="6"/>
  <c r="F1639" i="6"/>
  <c r="A1639" i="6"/>
  <c r="J1639" i="6"/>
  <c r="H1647" i="6"/>
  <c r="G1647" i="6"/>
  <c r="E1647" i="6"/>
  <c r="D1647" i="6"/>
  <c r="C1647" i="6"/>
  <c r="I1647" i="6"/>
  <c r="B1647" i="6"/>
  <c r="A1647" i="6"/>
  <c r="J1647" i="6"/>
  <c r="F1647" i="6"/>
  <c r="H1655" i="6"/>
  <c r="G1655" i="6"/>
  <c r="E1655" i="6"/>
  <c r="D1655" i="6"/>
  <c r="C1655" i="6"/>
  <c r="I1655" i="6"/>
  <c r="B1655" i="6"/>
  <c r="F1655" i="6"/>
  <c r="J1655" i="6"/>
  <c r="A1655" i="6"/>
  <c r="I1663" i="6"/>
  <c r="A1663" i="6"/>
  <c r="H1663" i="6"/>
  <c r="F1663" i="6"/>
  <c r="D1663" i="6"/>
  <c r="C1663" i="6"/>
  <c r="B1663" i="6"/>
  <c r="J1663" i="6"/>
  <c r="G1663" i="6"/>
  <c r="E1663" i="6"/>
  <c r="I1671" i="6"/>
  <c r="A1671" i="6"/>
  <c r="H1671" i="6"/>
  <c r="F1671" i="6"/>
  <c r="D1671" i="6"/>
  <c r="C1671" i="6"/>
  <c r="B1671" i="6"/>
  <c r="J1671" i="6"/>
  <c r="E1671" i="6"/>
  <c r="G1671" i="6"/>
  <c r="I1679" i="6"/>
  <c r="A1679" i="6"/>
  <c r="H1679" i="6"/>
  <c r="F1679" i="6"/>
  <c r="D1679" i="6"/>
  <c r="C1679" i="6"/>
  <c r="B1679" i="6"/>
  <c r="J1679" i="6"/>
  <c r="G1679" i="6"/>
  <c r="E1679" i="6"/>
  <c r="I1687" i="6"/>
  <c r="A1687" i="6"/>
  <c r="H1687" i="6"/>
  <c r="F1687" i="6"/>
  <c r="D1687" i="6"/>
  <c r="C1687" i="6"/>
  <c r="B1687" i="6"/>
  <c r="J1687" i="6"/>
  <c r="E1687" i="6"/>
  <c r="G1687" i="6"/>
  <c r="I1695" i="6"/>
  <c r="A1695" i="6"/>
  <c r="H1695" i="6"/>
  <c r="F1695" i="6"/>
  <c r="D1695" i="6"/>
  <c r="C1695" i="6"/>
  <c r="B1695" i="6"/>
  <c r="J1695" i="6"/>
  <c r="G1695" i="6"/>
  <c r="E1695" i="6"/>
  <c r="I1703" i="6"/>
  <c r="A1703" i="6"/>
  <c r="H1703" i="6"/>
  <c r="F1703" i="6"/>
  <c r="D1703" i="6"/>
  <c r="C1703" i="6"/>
  <c r="B1703" i="6"/>
  <c r="J1703" i="6"/>
  <c r="E1703" i="6"/>
  <c r="G1703" i="6"/>
  <c r="I1711" i="6"/>
  <c r="A1711" i="6"/>
  <c r="H1711" i="6"/>
  <c r="F1711" i="6"/>
  <c r="D1711" i="6"/>
  <c r="C1711" i="6"/>
  <c r="B1711" i="6"/>
  <c r="J1711" i="6"/>
  <c r="G1711" i="6"/>
  <c r="E1711" i="6"/>
  <c r="I1719" i="6"/>
  <c r="A1719" i="6"/>
  <c r="H1719" i="6"/>
  <c r="F1719" i="6"/>
  <c r="D1719" i="6"/>
  <c r="C1719" i="6"/>
  <c r="B1719" i="6"/>
  <c r="J1719" i="6"/>
  <c r="E1719" i="6"/>
  <c r="G1719" i="6"/>
  <c r="I1727" i="6"/>
  <c r="A1727" i="6"/>
  <c r="H1727" i="6"/>
  <c r="F1727" i="6"/>
  <c r="D1727" i="6"/>
  <c r="C1727" i="6"/>
  <c r="B1727" i="6"/>
  <c r="J1727" i="6"/>
  <c r="E1727" i="6"/>
  <c r="G1727" i="6"/>
  <c r="F1735" i="6"/>
  <c r="D1735" i="6"/>
  <c r="E1735" i="6"/>
  <c r="C1735" i="6"/>
  <c r="A1735" i="6"/>
  <c r="I1735" i="6"/>
  <c r="H1735" i="6"/>
  <c r="G1735" i="6"/>
  <c r="J1735" i="6"/>
  <c r="B1735" i="6"/>
  <c r="F1743" i="6"/>
  <c r="D1743" i="6"/>
  <c r="J1743" i="6"/>
  <c r="B1743" i="6"/>
  <c r="A1743" i="6"/>
  <c r="I1743" i="6"/>
  <c r="G1743" i="6"/>
  <c r="H1743" i="6"/>
  <c r="E1743" i="6"/>
  <c r="C1743" i="6"/>
  <c r="F1751" i="6"/>
  <c r="D1751" i="6"/>
  <c r="J1751" i="6"/>
  <c r="B1751" i="6"/>
  <c r="E1751" i="6"/>
  <c r="C1751" i="6"/>
  <c r="I1751" i="6"/>
  <c r="H1751" i="6"/>
  <c r="G1751" i="6"/>
  <c r="A1751" i="6"/>
  <c r="F1759" i="6"/>
  <c r="D1759" i="6"/>
  <c r="J1759" i="6"/>
  <c r="B1759" i="6"/>
  <c r="H1759" i="6"/>
  <c r="G1759" i="6"/>
  <c r="C1759" i="6"/>
  <c r="I1759" i="6"/>
  <c r="A1759" i="6"/>
  <c r="E1759" i="6"/>
  <c r="F1767" i="6"/>
  <c r="D1767" i="6"/>
  <c r="J1767" i="6"/>
  <c r="B1767" i="6"/>
  <c r="I1767" i="6"/>
  <c r="G1767" i="6"/>
  <c r="C1767" i="6"/>
  <c r="E1767" i="6"/>
  <c r="A1767" i="6"/>
  <c r="H1767" i="6"/>
  <c r="F1775" i="6"/>
  <c r="D1775" i="6"/>
  <c r="J1775" i="6"/>
  <c r="B1775" i="6"/>
  <c r="A1775" i="6"/>
  <c r="I1775" i="6"/>
  <c r="G1775" i="6"/>
  <c r="E1775" i="6"/>
  <c r="C1775" i="6"/>
  <c r="H1775" i="6"/>
  <c r="F1783" i="6"/>
  <c r="D1783" i="6"/>
  <c r="J1783" i="6"/>
  <c r="B1783" i="6"/>
  <c r="E1783" i="6"/>
  <c r="C1783" i="6"/>
  <c r="I1783" i="6"/>
  <c r="H1783" i="6"/>
  <c r="G1783" i="6"/>
  <c r="A1783" i="6"/>
  <c r="F1791" i="6"/>
  <c r="D1791" i="6"/>
  <c r="J1791" i="6"/>
  <c r="B1791" i="6"/>
  <c r="H1791" i="6"/>
  <c r="G1791" i="6"/>
  <c r="C1791" i="6"/>
  <c r="I1791" i="6"/>
  <c r="A1791" i="6"/>
  <c r="E1791" i="6"/>
  <c r="F1799" i="6"/>
  <c r="D1799" i="6"/>
  <c r="J1799" i="6"/>
  <c r="B1799" i="6"/>
  <c r="I1799" i="6"/>
  <c r="G1799" i="6"/>
  <c r="C1799" i="6"/>
  <c r="A1799" i="6"/>
  <c r="E1799" i="6"/>
  <c r="H1799" i="6"/>
  <c r="F1807" i="6"/>
  <c r="D1807" i="6"/>
  <c r="J1807" i="6"/>
  <c r="B1807" i="6"/>
  <c r="A1807" i="6"/>
  <c r="I1807" i="6"/>
  <c r="G1807" i="6"/>
  <c r="H1807" i="6"/>
  <c r="E1807" i="6"/>
  <c r="C1807" i="6"/>
  <c r="F1815" i="6"/>
  <c r="D1815" i="6"/>
  <c r="J1815" i="6"/>
  <c r="B1815" i="6"/>
  <c r="E1815" i="6"/>
  <c r="C1815" i="6"/>
  <c r="I1815" i="6"/>
  <c r="H1815" i="6"/>
  <c r="G1815" i="6"/>
  <c r="A1815" i="6"/>
  <c r="F1823" i="6"/>
  <c r="D1823" i="6"/>
  <c r="J1823" i="6"/>
  <c r="B1823" i="6"/>
  <c r="H1823" i="6"/>
  <c r="G1823" i="6"/>
  <c r="C1823" i="6"/>
  <c r="I1823" i="6"/>
  <c r="A1823" i="6"/>
  <c r="E1823" i="6"/>
  <c r="F1831" i="6"/>
  <c r="D1831" i="6"/>
  <c r="J1831" i="6"/>
  <c r="B1831" i="6"/>
  <c r="I1831" i="6"/>
  <c r="G1831" i="6"/>
  <c r="C1831" i="6"/>
  <c r="E1831" i="6"/>
  <c r="A1831" i="6"/>
  <c r="H1831" i="6"/>
  <c r="F1839" i="6"/>
  <c r="D1839" i="6"/>
  <c r="J1839" i="6"/>
  <c r="B1839" i="6"/>
  <c r="A1839" i="6"/>
  <c r="I1839" i="6"/>
  <c r="G1839" i="6"/>
  <c r="E1839" i="6"/>
  <c r="C1839" i="6"/>
  <c r="H1839" i="6"/>
  <c r="F1847" i="6"/>
  <c r="D1847" i="6"/>
  <c r="J1847" i="6"/>
  <c r="B1847" i="6"/>
  <c r="E1847" i="6"/>
  <c r="C1847" i="6"/>
  <c r="I1847" i="6"/>
  <c r="H1847" i="6"/>
  <c r="G1847" i="6"/>
  <c r="A1847" i="6"/>
  <c r="F1855" i="6"/>
  <c r="D1855" i="6"/>
  <c r="J1855" i="6"/>
  <c r="B1855" i="6"/>
  <c r="H1855" i="6"/>
  <c r="G1855" i="6"/>
  <c r="C1855" i="6"/>
  <c r="I1855" i="6"/>
  <c r="A1855" i="6"/>
  <c r="E1855" i="6"/>
  <c r="E1863" i="6"/>
  <c r="C1863" i="6"/>
  <c r="B1863" i="6"/>
  <c r="J1863" i="6"/>
  <c r="H1863" i="6"/>
  <c r="G1863" i="6"/>
  <c r="D1863" i="6"/>
  <c r="F1863" i="6"/>
  <c r="A1863" i="6"/>
  <c r="I1863" i="6"/>
  <c r="E1871" i="6"/>
  <c r="C1871" i="6"/>
  <c r="I1871" i="6"/>
  <c r="H1871" i="6"/>
  <c r="F1871" i="6"/>
  <c r="B1871" i="6"/>
  <c r="D1871" i="6"/>
  <c r="A1871" i="6"/>
  <c r="J1871" i="6"/>
  <c r="G1871" i="6"/>
  <c r="E1879" i="6"/>
  <c r="C1879" i="6"/>
  <c r="I1879" i="6"/>
  <c r="A1879" i="6"/>
  <c r="H1879" i="6"/>
  <c r="F1879" i="6"/>
  <c r="G1879" i="6"/>
  <c r="B1879" i="6"/>
  <c r="D1879" i="6"/>
  <c r="J1879" i="6"/>
  <c r="E1887" i="6"/>
  <c r="C1887" i="6"/>
  <c r="I1887" i="6"/>
  <c r="A1887" i="6"/>
  <c r="B1887" i="6"/>
  <c r="H1887" i="6"/>
  <c r="F1887" i="6"/>
  <c r="D1887" i="6"/>
  <c r="J1887" i="6"/>
  <c r="G1887" i="6"/>
  <c r="E1895" i="6"/>
  <c r="C1895" i="6"/>
  <c r="I1895" i="6"/>
  <c r="A1895" i="6"/>
  <c r="F1895" i="6"/>
  <c r="B1895" i="6"/>
  <c r="H1895" i="6"/>
  <c r="D1895" i="6"/>
  <c r="G1895" i="6"/>
  <c r="J1895" i="6"/>
  <c r="E1903" i="6"/>
  <c r="C1903" i="6"/>
  <c r="G1903" i="6"/>
  <c r="D1903" i="6"/>
  <c r="A1903" i="6"/>
  <c r="F1903" i="6"/>
  <c r="I1903" i="6"/>
  <c r="B1903" i="6"/>
  <c r="H1903" i="6"/>
  <c r="J1903" i="6"/>
  <c r="E1911" i="6"/>
  <c r="C1911" i="6"/>
  <c r="A1911" i="6"/>
  <c r="I1911" i="6"/>
  <c r="G1911" i="6"/>
  <c r="H1911" i="6"/>
  <c r="D1911" i="6"/>
  <c r="F1911" i="6"/>
  <c r="B1911" i="6"/>
  <c r="J1911" i="6"/>
  <c r="E1919" i="6"/>
  <c r="C1919" i="6"/>
  <c r="G1919" i="6"/>
  <c r="D1919" i="6"/>
  <c r="A1919" i="6"/>
  <c r="B1919" i="6"/>
  <c r="J1919" i="6"/>
  <c r="I1919" i="6"/>
  <c r="F1919" i="6"/>
  <c r="H1919" i="6"/>
  <c r="E1927" i="6"/>
  <c r="C1927" i="6"/>
  <c r="A1927" i="6"/>
  <c r="I1927" i="6"/>
  <c r="G1927" i="6"/>
  <c r="J1927" i="6"/>
  <c r="F1927" i="6"/>
  <c r="B1927" i="6"/>
  <c r="H1927" i="6"/>
  <c r="D1927" i="6"/>
  <c r="E1935" i="6"/>
  <c r="C1935" i="6"/>
  <c r="G1935" i="6"/>
  <c r="D1935" i="6"/>
  <c r="A1935" i="6"/>
  <c r="I1935" i="6"/>
  <c r="H1935" i="6"/>
  <c r="F1935" i="6"/>
  <c r="J1935" i="6"/>
  <c r="B1935" i="6"/>
  <c r="E1943" i="6"/>
  <c r="C1943" i="6"/>
  <c r="A1943" i="6"/>
  <c r="I1943" i="6"/>
  <c r="G1943" i="6"/>
  <c r="H1943" i="6"/>
  <c r="D1943" i="6"/>
  <c r="F1943" i="6"/>
  <c r="B1943" i="6"/>
  <c r="J1943" i="6"/>
  <c r="E1951" i="6"/>
  <c r="C1951" i="6"/>
  <c r="I1951" i="6"/>
  <c r="A1951" i="6"/>
  <c r="G1951" i="6"/>
  <c r="D1951" i="6"/>
  <c r="J1951" i="6"/>
  <c r="F1951" i="6"/>
  <c r="B1951" i="6"/>
  <c r="H1951" i="6"/>
  <c r="E1959" i="6"/>
  <c r="C1959" i="6"/>
  <c r="I1959" i="6"/>
  <c r="A1959" i="6"/>
  <c r="J1959" i="6"/>
  <c r="G1959" i="6"/>
  <c r="D1959" i="6"/>
  <c r="B1959" i="6"/>
  <c r="H1959" i="6"/>
  <c r="F1959" i="6"/>
  <c r="E1967" i="6"/>
  <c r="C1967" i="6"/>
  <c r="I1967" i="6"/>
  <c r="A1967" i="6"/>
  <c r="J1967" i="6"/>
  <c r="G1967" i="6"/>
  <c r="F1967" i="6"/>
  <c r="B1967" i="6"/>
  <c r="H1967" i="6"/>
  <c r="D1967" i="6"/>
  <c r="E1975" i="6"/>
  <c r="C1975" i="6"/>
  <c r="I1975" i="6"/>
  <c r="A1975" i="6"/>
  <c r="D1975" i="6"/>
  <c r="J1975" i="6"/>
  <c r="F1975" i="6"/>
  <c r="B1975" i="6"/>
  <c r="G1975" i="6"/>
  <c r="H1975" i="6"/>
  <c r="E1983" i="6"/>
  <c r="C1983" i="6"/>
  <c r="I1983" i="6"/>
  <c r="A1983" i="6"/>
  <c r="G1983" i="6"/>
  <c r="D1983" i="6"/>
  <c r="H1983" i="6"/>
  <c r="B1983" i="6"/>
  <c r="J1983" i="6"/>
  <c r="F1983" i="6"/>
  <c r="F1991" i="6"/>
  <c r="J1991" i="6"/>
  <c r="B1991" i="6"/>
  <c r="C1991" i="6"/>
  <c r="H1991" i="6"/>
  <c r="I1991" i="6"/>
  <c r="E1991" i="6"/>
  <c r="G1991" i="6"/>
  <c r="A1991" i="6"/>
  <c r="D1991" i="6"/>
  <c r="F1999" i="6"/>
  <c r="J1999" i="6"/>
  <c r="B1999" i="6"/>
  <c r="H1999" i="6"/>
  <c r="E1999" i="6"/>
  <c r="C1999" i="6"/>
  <c r="D1999" i="6"/>
  <c r="G1999" i="6"/>
  <c r="I1999" i="6"/>
  <c r="A1999" i="6"/>
  <c r="B4" i="6"/>
  <c r="J4" i="6"/>
  <c r="D5" i="6"/>
  <c r="F6" i="6"/>
  <c r="H7" i="6"/>
  <c r="B8" i="6"/>
  <c r="J8" i="6"/>
  <c r="D9" i="6"/>
  <c r="I10" i="6"/>
  <c r="A10" i="6"/>
  <c r="H10" i="6"/>
  <c r="G10" i="6"/>
  <c r="F10" i="6"/>
  <c r="E10" i="6"/>
  <c r="D10" i="6"/>
  <c r="J10" i="6"/>
  <c r="I18" i="6"/>
  <c r="A18" i="6"/>
  <c r="H18" i="6"/>
  <c r="G18" i="6"/>
  <c r="F18" i="6"/>
  <c r="E18" i="6"/>
  <c r="D18" i="6"/>
  <c r="C18" i="6"/>
  <c r="J18" i="6"/>
  <c r="B18" i="6"/>
  <c r="I26" i="6"/>
  <c r="A26" i="6"/>
  <c r="H26" i="6"/>
  <c r="G26" i="6"/>
  <c r="F26" i="6"/>
  <c r="E26" i="6"/>
  <c r="D26" i="6"/>
  <c r="C26" i="6"/>
  <c r="J26" i="6"/>
  <c r="B26" i="6"/>
  <c r="I34" i="6"/>
  <c r="A34" i="6"/>
  <c r="H34" i="6"/>
  <c r="G34" i="6"/>
  <c r="F34" i="6"/>
  <c r="E34" i="6"/>
  <c r="D34" i="6"/>
  <c r="C34" i="6"/>
  <c r="J34" i="6"/>
  <c r="B34" i="6"/>
  <c r="I42" i="6"/>
  <c r="A42" i="6"/>
  <c r="H42" i="6"/>
  <c r="G42" i="6"/>
  <c r="F42" i="6"/>
  <c r="E42" i="6"/>
  <c r="D42" i="6"/>
  <c r="C42" i="6"/>
  <c r="J42" i="6"/>
  <c r="B42" i="6"/>
  <c r="I50" i="6"/>
  <c r="A50" i="6"/>
  <c r="H50" i="6"/>
  <c r="G50" i="6"/>
  <c r="F50" i="6"/>
  <c r="E50" i="6"/>
  <c r="D50" i="6"/>
  <c r="C50" i="6"/>
  <c r="J50" i="6"/>
  <c r="B50" i="6"/>
  <c r="I58" i="6"/>
  <c r="A58" i="6"/>
  <c r="H58" i="6"/>
  <c r="G58" i="6"/>
  <c r="F58" i="6"/>
  <c r="E58" i="6"/>
  <c r="D58" i="6"/>
  <c r="C58" i="6"/>
  <c r="J58" i="6"/>
  <c r="B58" i="6"/>
  <c r="I66" i="6"/>
  <c r="A66" i="6"/>
  <c r="H66" i="6"/>
  <c r="G66" i="6"/>
  <c r="F66" i="6"/>
  <c r="E66" i="6"/>
  <c r="D66" i="6"/>
  <c r="C66" i="6"/>
  <c r="J66" i="6"/>
  <c r="B66" i="6"/>
  <c r="I74" i="6"/>
  <c r="A74" i="6"/>
  <c r="H74" i="6"/>
  <c r="G74" i="6"/>
  <c r="F74" i="6"/>
  <c r="E74" i="6"/>
  <c r="D74" i="6"/>
  <c r="C74" i="6"/>
  <c r="J74" i="6"/>
  <c r="B74" i="6"/>
  <c r="I82" i="6"/>
  <c r="A82" i="6"/>
  <c r="H82" i="6"/>
  <c r="G82" i="6"/>
  <c r="F82" i="6"/>
  <c r="E82" i="6"/>
  <c r="D82" i="6"/>
  <c r="C82" i="6"/>
  <c r="J82" i="6"/>
  <c r="B82" i="6"/>
  <c r="I90" i="6"/>
  <c r="A90" i="6"/>
  <c r="H90" i="6"/>
  <c r="G90" i="6"/>
  <c r="F90" i="6"/>
  <c r="E90" i="6"/>
  <c r="D90" i="6"/>
  <c r="C90" i="6"/>
  <c r="J90" i="6"/>
  <c r="B90" i="6"/>
  <c r="I98" i="6"/>
  <c r="A98" i="6"/>
  <c r="H98" i="6"/>
  <c r="G98" i="6"/>
  <c r="F98" i="6"/>
  <c r="E98" i="6"/>
  <c r="D98" i="6"/>
  <c r="C98" i="6"/>
  <c r="J98" i="6"/>
  <c r="B98" i="6"/>
  <c r="I106" i="6"/>
  <c r="A106" i="6"/>
  <c r="H106" i="6"/>
  <c r="G106" i="6"/>
  <c r="F106" i="6"/>
  <c r="E106" i="6"/>
  <c r="D106" i="6"/>
  <c r="C106" i="6"/>
  <c r="J106" i="6"/>
  <c r="B106" i="6"/>
  <c r="I114" i="6"/>
  <c r="A114" i="6"/>
  <c r="H114" i="6"/>
  <c r="G114" i="6"/>
  <c r="F114" i="6"/>
  <c r="E114" i="6"/>
  <c r="D114" i="6"/>
  <c r="C114" i="6"/>
  <c r="J114" i="6"/>
  <c r="B114" i="6"/>
  <c r="I122" i="6"/>
  <c r="A122" i="6"/>
  <c r="H122" i="6"/>
  <c r="G122" i="6"/>
  <c r="F122" i="6"/>
  <c r="E122" i="6"/>
  <c r="D122" i="6"/>
  <c r="C122" i="6"/>
  <c r="J122" i="6"/>
  <c r="B122" i="6"/>
  <c r="I130" i="6"/>
  <c r="A130" i="6"/>
  <c r="H130" i="6"/>
  <c r="G130" i="6"/>
  <c r="F130" i="6"/>
  <c r="E130" i="6"/>
  <c r="D130" i="6"/>
  <c r="C130" i="6"/>
  <c r="J130" i="6"/>
  <c r="B130" i="6"/>
  <c r="I138" i="6"/>
  <c r="A138" i="6"/>
  <c r="H138" i="6"/>
  <c r="G138" i="6"/>
  <c r="F138" i="6"/>
  <c r="E138" i="6"/>
  <c r="D138" i="6"/>
  <c r="C138" i="6"/>
  <c r="J138" i="6"/>
  <c r="B138" i="6"/>
  <c r="I146" i="6"/>
  <c r="A146" i="6"/>
  <c r="H146" i="6"/>
  <c r="G146" i="6"/>
  <c r="F146" i="6"/>
  <c r="E146" i="6"/>
  <c r="D146" i="6"/>
  <c r="C146" i="6"/>
  <c r="J146" i="6"/>
  <c r="B146" i="6"/>
  <c r="I154" i="6"/>
  <c r="A154" i="6"/>
  <c r="H154" i="6"/>
  <c r="G154" i="6"/>
  <c r="F154" i="6"/>
  <c r="E154" i="6"/>
  <c r="D154" i="6"/>
  <c r="C154" i="6"/>
  <c r="J154" i="6"/>
  <c r="B154" i="6"/>
  <c r="I162" i="6"/>
  <c r="A162" i="6"/>
  <c r="H162" i="6"/>
  <c r="G162" i="6"/>
  <c r="F162" i="6"/>
  <c r="E162" i="6"/>
  <c r="D162" i="6"/>
  <c r="C162" i="6"/>
  <c r="J162" i="6"/>
  <c r="B162" i="6"/>
  <c r="I170" i="6"/>
  <c r="A170" i="6"/>
  <c r="H170" i="6"/>
  <c r="G170" i="6"/>
  <c r="F170" i="6"/>
  <c r="E170" i="6"/>
  <c r="D170" i="6"/>
  <c r="C170" i="6"/>
  <c r="J170" i="6"/>
  <c r="B170" i="6"/>
  <c r="I178" i="6"/>
  <c r="A178" i="6"/>
  <c r="H178" i="6"/>
  <c r="G178" i="6"/>
  <c r="F178" i="6"/>
  <c r="E178" i="6"/>
  <c r="D178" i="6"/>
  <c r="C178" i="6"/>
  <c r="J178" i="6"/>
  <c r="B178" i="6"/>
  <c r="I186" i="6"/>
  <c r="A186" i="6"/>
  <c r="H186" i="6"/>
  <c r="G186" i="6"/>
  <c r="F186" i="6"/>
  <c r="E186" i="6"/>
  <c r="D186" i="6"/>
  <c r="C186" i="6"/>
  <c r="J186" i="6"/>
  <c r="B186" i="6"/>
  <c r="I194" i="6"/>
  <c r="A194" i="6"/>
  <c r="H194" i="6"/>
  <c r="G194" i="6"/>
  <c r="F194" i="6"/>
  <c r="E194" i="6"/>
  <c r="D194" i="6"/>
  <c r="C194" i="6"/>
  <c r="J194" i="6"/>
  <c r="B194" i="6"/>
  <c r="I202" i="6"/>
  <c r="A202" i="6"/>
  <c r="H202" i="6"/>
  <c r="G202" i="6"/>
  <c r="F202" i="6"/>
  <c r="E202" i="6"/>
  <c r="D202" i="6"/>
  <c r="C202" i="6"/>
  <c r="J202" i="6"/>
  <c r="B202" i="6"/>
  <c r="I210" i="6"/>
  <c r="A210" i="6"/>
  <c r="H210" i="6"/>
  <c r="G210" i="6"/>
  <c r="F210" i="6"/>
  <c r="E210" i="6"/>
  <c r="D210" i="6"/>
  <c r="C210" i="6"/>
  <c r="J210" i="6"/>
  <c r="B210" i="6"/>
  <c r="I218" i="6"/>
  <c r="A218" i="6"/>
  <c r="H218" i="6"/>
  <c r="G218" i="6"/>
  <c r="F218" i="6"/>
  <c r="E218" i="6"/>
  <c r="D218" i="6"/>
  <c r="C218" i="6"/>
  <c r="J218" i="6"/>
  <c r="B218" i="6"/>
  <c r="I226" i="6"/>
  <c r="A226" i="6"/>
  <c r="H226" i="6"/>
  <c r="G226" i="6"/>
  <c r="F226" i="6"/>
  <c r="E226" i="6"/>
  <c r="D226" i="6"/>
  <c r="C226" i="6"/>
  <c r="J226" i="6"/>
  <c r="B226" i="6"/>
  <c r="I234" i="6"/>
  <c r="A234" i="6"/>
  <c r="H234" i="6"/>
  <c r="G234" i="6"/>
  <c r="F234" i="6"/>
  <c r="E234" i="6"/>
  <c r="D234" i="6"/>
  <c r="C234" i="6"/>
  <c r="J234" i="6"/>
  <c r="B234" i="6"/>
  <c r="I242" i="6"/>
  <c r="A242" i="6"/>
  <c r="H242" i="6"/>
  <c r="G242" i="6"/>
  <c r="F242" i="6"/>
  <c r="E242" i="6"/>
  <c r="D242" i="6"/>
  <c r="C242" i="6"/>
  <c r="J242" i="6"/>
  <c r="B242" i="6"/>
  <c r="I250" i="6"/>
  <c r="A250" i="6"/>
  <c r="H250" i="6"/>
  <c r="G250" i="6"/>
  <c r="F250" i="6"/>
  <c r="E250" i="6"/>
  <c r="D250" i="6"/>
  <c r="C250" i="6"/>
  <c r="J250" i="6"/>
  <c r="B250" i="6"/>
  <c r="I258" i="6"/>
  <c r="A258" i="6"/>
  <c r="H258" i="6"/>
  <c r="G258" i="6"/>
  <c r="F258" i="6"/>
  <c r="E258" i="6"/>
  <c r="D258" i="6"/>
  <c r="C258" i="6"/>
  <c r="J258" i="6"/>
  <c r="B258" i="6"/>
  <c r="I266" i="6"/>
  <c r="A266" i="6"/>
  <c r="H266" i="6"/>
  <c r="G266" i="6"/>
  <c r="F266" i="6"/>
  <c r="E266" i="6"/>
  <c r="D266" i="6"/>
  <c r="C266" i="6"/>
  <c r="J266" i="6"/>
  <c r="B266" i="6"/>
  <c r="I274" i="6"/>
  <c r="A274" i="6"/>
  <c r="H274" i="6"/>
  <c r="G274" i="6"/>
  <c r="F274" i="6"/>
  <c r="E274" i="6"/>
  <c r="D274" i="6"/>
  <c r="C274" i="6"/>
  <c r="J274" i="6"/>
  <c r="B274" i="6"/>
  <c r="I282" i="6"/>
  <c r="A282" i="6"/>
  <c r="H282" i="6"/>
  <c r="G282" i="6"/>
  <c r="F282" i="6"/>
  <c r="E282" i="6"/>
  <c r="D282" i="6"/>
  <c r="C282" i="6"/>
  <c r="J282" i="6"/>
  <c r="B282" i="6"/>
  <c r="I290" i="6"/>
  <c r="A290" i="6"/>
  <c r="H290" i="6"/>
  <c r="G290" i="6"/>
  <c r="F290" i="6"/>
  <c r="E290" i="6"/>
  <c r="D290" i="6"/>
  <c r="C290" i="6"/>
  <c r="J290" i="6"/>
  <c r="B290" i="6"/>
  <c r="I298" i="6"/>
  <c r="A298" i="6"/>
  <c r="H298" i="6"/>
  <c r="G298" i="6"/>
  <c r="F298" i="6"/>
  <c r="E298" i="6"/>
  <c r="D298" i="6"/>
  <c r="C298" i="6"/>
  <c r="J298" i="6"/>
  <c r="B298" i="6"/>
  <c r="I306" i="6"/>
  <c r="A306" i="6"/>
  <c r="H306" i="6"/>
  <c r="G306" i="6"/>
  <c r="F306" i="6"/>
  <c r="E306" i="6"/>
  <c r="D306" i="6"/>
  <c r="C306" i="6"/>
  <c r="J306" i="6"/>
  <c r="B306" i="6"/>
  <c r="I314" i="6"/>
  <c r="A314" i="6"/>
  <c r="H314" i="6"/>
  <c r="G314" i="6"/>
  <c r="F314" i="6"/>
  <c r="E314" i="6"/>
  <c r="D314" i="6"/>
  <c r="C314" i="6"/>
  <c r="J314" i="6"/>
  <c r="B314" i="6"/>
  <c r="I322" i="6"/>
  <c r="A322" i="6"/>
  <c r="H322" i="6"/>
  <c r="G322" i="6"/>
  <c r="F322" i="6"/>
  <c r="E322" i="6"/>
  <c r="D322" i="6"/>
  <c r="C322" i="6"/>
  <c r="J322" i="6"/>
  <c r="B322" i="6"/>
  <c r="I330" i="6"/>
  <c r="A330" i="6"/>
  <c r="H330" i="6"/>
  <c r="G330" i="6"/>
  <c r="F330" i="6"/>
  <c r="E330" i="6"/>
  <c r="D330" i="6"/>
  <c r="C330" i="6"/>
  <c r="J330" i="6"/>
  <c r="B330" i="6"/>
  <c r="I338" i="6"/>
  <c r="A338" i="6"/>
  <c r="H338" i="6"/>
  <c r="G338" i="6"/>
  <c r="F338" i="6"/>
  <c r="E338" i="6"/>
  <c r="D338" i="6"/>
  <c r="C338" i="6"/>
  <c r="J338" i="6"/>
  <c r="B338" i="6"/>
  <c r="I346" i="6"/>
  <c r="A346" i="6"/>
  <c r="H346" i="6"/>
  <c r="G346" i="6"/>
  <c r="F346" i="6"/>
  <c r="E346" i="6"/>
  <c r="D346" i="6"/>
  <c r="C346" i="6"/>
  <c r="J346" i="6"/>
  <c r="B346" i="6"/>
  <c r="I354" i="6"/>
  <c r="A354" i="6"/>
  <c r="H354" i="6"/>
  <c r="G354" i="6"/>
  <c r="F354" i="6"/>
  <c r="E354" i="6"/>
  <c r="D354" i="6"/>
  <c r="C354" i="6"/>
  <c r="J354" i="6"/>
  <c r="B354" i="6"/>
  <c r="I362" i="6"/>
  <c r="A362" i="6"/>
  <c r="H362" i="6"/>
  <c r="G362" i="6"/>
  <c r="F362" i="6"/>
  <c r="E362" i="6"/>
  <c r="D362" i="6"/>
  <c r="C362" i="6"/>
  <c r="J362" i="6"/>
  <c r="B362" i="6"/>
  <c r="I370" i="6"/>
  <c r="A370" i="6"/>
  <c r="H370" i="6"/>
  <c r="G370" i="6"/>
  <c r="F370" i="6"/>
  <c r="E370" i="6"/>
  <c r="D370" i="6"/>
  <c r="C370" i="6"/>
  <c r="J370" i="6"/>
  <c r="B370" i="6"/>
  <c r="I378" i="6"/>
  <c r="A378" i="6"/>
  <c r="H378" i="6"/>
  <c r="G378" i="6"/>
  <c r="F378" i="6"/>
  <c r="E378" i="6"/>
  <c r="D378" i="6"/>
  <c r="C378" i="6"/>
  <c r="J378" i="6"/>
  <c r="B378" i="6"/>
  <c r="I386" i="6"/>
  <c r="A386" i="6"/>
  <c r="H386" i="6"/>
  <c r="G386" i="6"/>
  <c r="F386" i="6"/>
  <c r="E386" i="6"/>
  <c r="D386" i="6"/>
  <c r="C386" i="6"/>
  <c r="J386" i="6"/>
  <c r="B386" i="6"/>
  <c r="E394" i="6"/>
  <c r="I394" i="6"/>
  <c r="A394" i="6"/>
  <c r="B394" i="6"/>
  <c r="J394" i="6"/>
  <c r="H394" i="6"/>
  <c r="G394" i="6"/>
  <c r="F394" i="6"/>
  <c r="D394" i="6"/>
  <c r="C394" i="6"/>
  <c r="E402" i="6"/>
  <c r="D402" i="6"/>
  <c r="C402" i="6"/>
  <c r="I402" i="6"/>
  <c r="A402" i="6"/>
  <c r="G402" i="6"/>
  <c r="F402" i="6"/>
  <c r="J402" i="6"/>
  <c r="H402" i="6"/>
  <c r="B402" i="6"/>
  <c r="E410" i="6"/>
  <c r="D410" i="6"/>
  <c r="C410" i="6"/>
  <c r="J410" i="6"/>
  <c r="B410" i="6"/>
  <c r="I410" i="6"/>
  <c r="A410" i="6"/>
  <c r="H410" i="6"/>
  <c r="G410" i="6"/>
  <c r="F410" i="6"/>
  <c r="E418" i="6"/>
  <c r="D418" i="6"/>
  <c r="C418" i="6"/>
  <c r="J418" i="6"/>
  <c r="B418" i="6"/>
  <c r="I418" i="6"/>
  <c r="A418" i="6"/>
  <c r="H418" i="6"/>
  <c r="G418" i="6"/>
  <c r="F418" i="6"/>
  <c r="E426" i="6"/>
  <c r="D426" i="6"/>
  <c r="C426" i="6"/>
  <c r="J426" i="6"/>
  <c r="B426" i="6"/>
  <c r="I426" i="6"/>
  <c r="A426" i="6"/>
  <c r="H426" i="6"/>
  <c r="G426" i="6"/>
  <c r="F426" i="6"/>
  <c r="E434" i="6"/>
  <c r="D434" i="6"/>
  <c r="C434" i="6"/>
  <c r="J434" i="6"/>
  <c r="B434" i="6"/>
  <c r="I434" i="6"/>
  <c r="A434" i="6"/>
  <c r="H434" i="6"/>
  <c r="G434" i="6"/>
  <c r="F434" i="6"/>
  <c r="E442" i="6"/>
  <c r="D442" i="6"/>
  <c r="C442" i="6"/>
  <c r="J442" i="6"/>
  <c r="B442" i="6"/>
  <c r="I442" i="6"/>
  <c r="A442" i="6"/>
  <c r="H442" i="6"/>
  <c r="G442" i="6"/>
  <c r="F442" i="6"/>
  <c r="E450" i="6"/>
  <c r="D450" i="6"/>
  <c r="C450" i="6"/>
  <c r="J450" i="6"/>
  <c r="B450" i="6"/>
  <c r="I450" i="6"/>
  <c r="A450" i="6"/>
  <c r="H450" i="6"/>
  <c r="G450" i="6"/>
  <c r="F450" i="6"/>
  <c r="E458" i="6"/>
  <c r="D458" i="6"/>
  <c r="C458" i="6"/>
  <c r="J458" i="6"/>
  <c r="B458" i="6"/>
  <c r="I458" i="6"/>
  <c r="A458" i="6"/>
  <c r="H458" i="6"/>
  <c r="G458" i="6"/>
  <c r="F458" i="6"/>
  <c r="E466" i="6"/>
  <c r="D466" i="6"/>
  <c r="C466" i="6"/>
  <c r="J466" i="6"/>
  <c r="B466" i="6"/>
  <c r="I466" i="6"/>
  <c r="A466" i="6"/>
  <c r="H466" i="6"/>
  <c r="G466" i="6"/>
  <c r="F466" i="6"/>
  <c r="E474" i="6"/>
  <c r="D474" i="6"/>
  <c r="C474" i="6"/>
  <c r="J474" i="6"/>
  <c r="B474" i="6"/>
  <c r="I474" i="6"/>
  <c r="A474" i="6"/>
  <c r="H474" i="6"/>
  <c r="G474" i="6"/>
  <c r="F474" i="6"/>
  <c r="E482" i="6"/>
  <c r="D482" i="6"/>
  <c r="C482" i="6"/>
  <c r="J482" i="6"/>
  <c r="B482" i="6"/>
  <c r="I482" i="6"/>
  <c r="A482" i="6"/>
  <c r="H482" i="6"/>
  <c r="G482" i="6"/>
  <c r="F482" i="6"/>
  <c r="E490" i="6"/>
  <c r="D490" i="6"/>
  <c r="C490" i="6"/>
  <c r="J490" i="6"/>
  <c r="B490" i="6"/>
  <c r="I490" i="6"/>
  <c r="A490" i="6"/>
  <c r="H490" i="6"/>
  <c r="G490" i="6"/>
  <c r="F490" i="6"/>
  <c r="E498" i="6"/>
  <c r="D498" i="6"/>
  <c r="C498" i="6"/>
  <c r="J498" i="6"/>
  <c r="B498" i="6"/>
  <c r="I498" i="6"/>
  <c r="A498" i="6"/>
  <c r="H498" i="6"/>
  <c r="G498" i="6"/>
  <c r="F498" i="6"/>
  <c r="E506" i="6"/>
  <c r="D506" i="6"/>
  <c r="C506" i="6"/>
  <c r="J506" i="6"/>
  <c r="B506" i="6"/>
  <c r="I506" i="6"/>
  <c r="A506" i="6"/>
  <c r="H506" i="6"/>
  <c r="G506" i="6"/>
  <c r="F506" i="6"/>
  <c r="E514" i="6"/>
  <c r="D514" i="6"/>
  <c r="C514" i="6"/>
  <c r="J514" i="6"/>
  <c r="B514" i="6"/>
  <c r="I514" i="6"/>
  <c r="A514" i="6"/>
  <c r="H514" i="6"/>
  <c r="G514" i="6"/>
  <c r="F514" i="6"/>
  <c r="E522" i="6"/>
  <c r="D522" i="6"/>
  <c r="C522" i="6"/>
  <c r="J522" i="6"/>
  <c r="B522" i="6"/>
  <c r="I522" i="6"/>
  <c r="A522" i="6"/>
  <c r="H522" i="6"/>
  <c r="G522" i="6"/>
  <c r="F522" i="6"/>
  <c r="E530" i="6"/>
  <c r="D530" i="6"/>
  <c r="C530" i="6"/>
  <c r="J530" i="6"/>
  <c r="B530" i="6"/>
  <c r="I530" i="6"/>
  <c r="A530" i="6"/>
  <c r="H530" i="6"/>
  <c r="G530" i="6"/>
  <c r="F530" i="6"/>
  <c r="E538" i="6"/>
  <c r="D538" i="6"/>
  <c r="C538" i="6"/>
  <c r="J538" i="6"/>
  <c r="B538" i="6"/>
  <c r="I538" i="6"/>
  <c r="A538" i="6"/>
  <c r="H538" i="6"/>
  <c r="G538" i="6"/>
  <c r="F538" i="6"/>
  <c r="E546" i="6"/>
  <c r="D546" i="6"/>
  <c r="C546" i="6"/>
  <c r="J546" i="6"/>
  <c r="B546" i="6"/>
  <c r="I546" i="6"/>
  <c r="A546" i="6"/>
  <c r="H546" i="6"/>
  <c r="G546" i="6"/>
  <c r="F546" i="6"/>
  <c r="E554" i="6"/>
  <c r="D554" i="6"/>
  <c r="C554" i="6"/>
  <c r="J554" i="6"/>
  <c r="B554" i="6"/>
  <c r="I554" i="6"/>
  <c r="A554" i="6"/>
  <c r="H554" i="6"/>
  <c r="G554" i="6"/>
  <c r="F554" i="6"/>
  <c r="E562" i="6"/>
  <c r="D562" i="6"/>
  <c r="C562" i="6"/>
  <c r="J562" i="6"/>
  <c r="B562" i="6"/>
  <c r="I562" i="6"/>
  <c r="A562" i="6"/>
  <c r="H562" i="6"/>
  <c r="G562" i="6"/>
  <c r="F562" i="6"/>
  <c r="E570" i="6"/>
  <c r="D570" i="6"/>
  <c r="C570" i="6"/>
  <c r="J570" i="6"/>
  <c r="B570" i="6"/>
  <c r="I570" i="6"/>
  <c r="A570" i="6"/>
  <c r="H570" i="6"/>
  <c r="G570" i="6"/>
  <c r="F570" i="6"/>
  <c r="E578" i="6"/>
  <c r="D578" i="6"/>
  <c r="C578" i="6"/>
  <c r="J578" i="6"/>
  <c r="B578" i="6"/>
  <c r="I578" i="6"/>
  <c r="A578" i="6"/>
  <c r="H578" i="6"/>
  <c r="G578" i="6"/>
  <c r="F578" i="6"/>
  <c r="E586" i="6"/>
  <c r="D586" i="6"/>
  <c r="C586" i="6"/>
  <c r="J586" i="6"/>
  <c r="B586" i="6"/>
  <c r="I586" i="6"/>
  <c r="A586" i="6"/>
  <c r="H586" i="6"/>
  <c r="G586" i="6"/>
  <c r="F586" i="6"/>
  <c r="E594" i="6"/>
  <c r="D594" i="6"/>
  <c r="C594" i="6"/>
  <c r="J594" i="6"/>
  <c r="B594" i="6"/>
  <c r="I594" i="6"/>
  <c r="A594" i="6"/>
  <c r="H594" i="6"/>
  <c r="G594" i="6"/>
  <c r="F594" i="6"/>
  <c r="E602" i="6"/>
  <c r="D602" i="6"/>
  <c r="C602" i="6"/>
  <c r="J602" i="6"/>
  <c r="B602" i="6"/>
  <c r="I602" i="6"/>
  <c r="A602" i="6"/>
  <c r="H602" i="6"/>
  <c r="G602" i="6"/>
  <c r="F602" i="6"/>
  <c r="E610" i="6"/>
  <c r="D610" i="6"/>
  <c r="C610" i="6"/>
  <c r="J610" i="6"/>
  <c r="B610" i="6"/>
  <c r="I610" i="6"/>
  <c r="A610" i="6"/>
  <c r="H610" i="6"/>
  <c r="G610" i="6"/>
  <c r="F610" i="6"/>
  <c r="E618" i="6"/>
  <c r="D618" i="6"/>
  <c r="C618" i="6"/>
  <c r="J618" i="6"/>
  <c r="B618" i="6"/>
  <c r="I618" i="6"/>
  <c r="A618" i="6"/>
  <c r="H618" i="6"/>
  <c r="G618" i="6"/>
  <c r="F618" i="6"/>
  <c r="E626" i="6"/>
  <c r="D626" i="6"/>
  <c r="C626" i="6"/>
  <c r="J626" i="6"/>
  <c r="B626" i="6"/>
  <c r="I626" i="6"/>
  <c r="A626" i="6"/>
  <c r="H626" i="6"/>
  <c r="G626" i="6"/>
  <c r="F626" i="6"/>
  <c r="E634" i="6"/>
  <c r="D634" i="6"/>
  <c r="C634" i="6"/>
  <c r="J634" i="6"/>
  <c r="B634" i="6"/>
  <c r="I634" i="6"/>
  <c r="A634" i="6"/>
  <c r="H634" i="6"/>
  <c r="G634" i="6"/>
  <c r="F634" i="6"/>
  <c r="E642" i="6"/>
  <c r="D642" i="6"/>
  <c r="C642" i="6"/>
  <c r="J642" i="6"/>
  <c r="B642" i="6"/>
  <c r="I642" i="6"/>
  <c r="A642" i="6"/>
  <c r="H642" i="6"/>
  <c r="G642" i="6"/>
  <c r="F642" i="6"/>
  <c r="E650" i="6"/>
  <c r="D650" i="6"/>
  <c r="C650" i="6"/>
  <c r="J650" i="6"/>
  <c r="B650" i="6"/>
  <c r="I650" i="6"/>
  <c r="A650" i="6"/>
  <c r="H650" i="6"/>
  <c r="G650" i="6"/>
  <c r="F650" i="6"/>
  <c r="E658" i="6"/>
  <c r="D658" i="6"/>
  <c r="C658" i="6"/>
  <c r="J658" i="6"/>
  <c r="B658" i="6"/>
  <c r="I658" i="6"/>
  <c r="A658" i="6"/>
  <c r="H658" i="6"/>
  <c r="G658" i="6"/>
  <c r="F658" i="6"/>
  <c r="E666" i="6"/>
  <c r="D666" i="6"/>
  <c r="C666" i="6"/>
  <c r="J666" i="6"/>
  <c r="B666" i="6"/>
  <c r="I666" i="6"/>
  <c r="A666" i="6"/>
  <c r="H666" i="6"/>
  <c r="G666" i="6"/>
  <c r="F666" i="6"/>
  <c r="E674" i="6"/>
  <c r="D674" i="6"/>
  <c r="C674" i="6"/>
  <c r="J674" i="6"/>
  <c r="B674" i="6"/>
  <c r="I674" i="6"/>
  <c r="A674" i="6"/>
  <c r="H674" i="6"/>
  <c r="G674" i="6"/>
  <c r="F674" i="6"/>
  <c r="E682" i="6"/>
  <c r="D682" i="6"/>
  <c r="C682" i="6"/>
  <c r="J682" i="6"/>
  <c r="B682" i="6"/>
  <c r="I682" i="6"/>
  <c r="A682" i="6"/>
  <c r="H682" i="6"/>
  <c r="G682" i="6"/>
  <c r="F682" i="6"/>
  <c r="E690" i="6"/>
  <c r="D690" i="6"/>
  <c r="C690" i="6"/>
  <c r="J690" i="6"/>
  <c r="B690" i="6"/>
  <c r="I690" i="6"/>
  <c r="A690" i="6"/>
  <c r="H690" i="6"/>
  <c r="G690" i="6"/>
  <c r="F690" i="6"/>
  <c r="E698" i="6"/>
  <c r="D698" i="6"/>
  <c r="C698" i="6"/>
  <c r="J698" i="6"/>
  <c r="B698" i="6"/>
  <c r="I698" i="6"/>
  <c r="A698" i="6"/>
  <c r="H698" i="6"/>
  <c r="G698" i="6"/>
  <c r="F698" i="6"/>
  <c r="E706" i="6"/>
  <c r="D706" i="6"/>
  <c r="C706" i="6"/>
  <c r="J706" i="6"/>
  <c r="B706" i="6"/>
  <c r="I706" i="6"/>
  <c r="A706" i="6"/>
  <c r="H706" i="6"/>
  <c r="G706" i="6"/>
  <c r="F706" i="6"/>
  <c r="E714" i="6"/>
  <c r="D714" i="6"/>
  <c r="C714" i="6"/>
  <c r="J714" i="6"/>
  <c r="B714" i="6"/>
  <c r="I714" i="6"/>
  <c r="A714" i="6"/>
  <c r="H714" i="6"/>
  <c r="G714" i="6"/>
  <c r="F714" i="6"/>
  <c r="E722" i="6"/>
  <c r="D722" i="6"/>
  <c r="C722" i="6"/>
  <c r="J722" i="6"/>
  <c r="B722" i="6"/>
  <c r="I722" i="6"/>
  <c r="A722" i="6"/>
  <c r="H722" i="6"/>
  <c r="G722" i="6"/>
  <c r="F722" i="6"/>
  <c r="E730" i="6"/>
  <c r="D730" i="6"/>
  <c r="C730" i="6"/>
  <c r="J730" i="6"/>
  <c r="B730" i="6"/>
  <c r="I730" i="6"/>
  <c r="A730" i="6"/>
  <c r="H730" i="6"/>
  <c r="G730" i="6"/>
  <c r="F730" i="6"/>
  <c r="E738" i="6"/>
  <c r="D738" i="6"/>
  <c r="C738" i="6"/>
  <c r="J738" i="6"/>
  <c r="B738" i="6"/>
  <c r="I738" i="6"/>
  <c r="A738" i="6"/>
  <c r="H738" i="6"/>
  <c r="G738" i="6"/>
  <c r="F738" i="6"/>
  <c r="E746" i="6"/>
  <c r="D746" i="6"/>
  <c r="C746" i="6"/>
  <c r="J746" i="6"/>
  <c r="B746" i="6"/>
  <c r="I746" i="6"/>
  <c r="A746" i="6"/>
  <c r="H746" i="6"/>
  <c r="G746" i="6"/>
  <c r="F746" i="6"/>
  <c r="E754" i="6"/>
  <c r="D754" i="6"/>
  <c r="C754" i="6"/>
  <c r="J754" i="6"/>
  <c r="B754" i="6"/>
  <c r="I754" i="6"/>
  <c r="A754" i="6"/>
  <c r="H754" i="6"/>
  <c r="G754" i="6"/>
  <c r="F754" i="6"/>
  <c r="E762" i="6"/>
  <c r="D762" i="6"/>
  <c r="C762" i="6"/>
  <c r="J762" i="6"/>
  <c r="B762" i="6"/>
  <c r="I762" i="6"/>
  <c r="A762" i="6"/>
  <c r="H762" i="6"/>
  <c r="G762" i="6"/>
  <c r="F762" i="6"/>
  <c r="E770" i="6"/>
  <c r="D770" i="6"/>
  <c r="C770" i="6"/>
  <c r="J770" i="6"/>
  <c r="B770" i="6"/>
  <c r="I770" i="6"/>
  <c r="A770" i="6"/>
  <c r="H770" i="6"/>
  <c r="G770" i="6"/>
  <c r="F770" i="6"/>
  <c r="E778" i="6"/>
  <c r="D778" i="6"/>
  <c r="C778" i="6"/>
  <c r="J778" i="6"/>
  <c r="B778" i="6"/>
  <c r="I778" i="6"/>
  <c r="A778" i="6"/>
  <c r="H778" i="6"/>
  <c r="G778" i="6"/>
  <c r="F778" i="6"/>
  <c r="F786" i="6"/>
  <c r="E786" i="6"/>
  <c r="D786" i="6"/>
  <c r="C786" i="6"/>
  <c r="J786" i="6"/>
  <c r="B786" i="6"/>
  <c r="I786" i="6"/>
  <c r="A786" i="6"/>
  <c r="H786" i="6"/>
  <c r="G786" i="6"/>
  <c r="F794" i="6"/>
  <c r="E794" i="6"/>
  <c r="D794" i="6"/>
  <c r="C794" i="6"/>
  <c r="J794" i="6"/>
  <c r="B794" i="6"/>
  <c r="I794" i="6"/>
  <c r="A794" i="6"/>
  <c r="H794" i="6"/>
  <c r="G794" i="6"/>
  <c r="F802" i="6"/>
  <c r="E802" i="6"/>
  <c r="D802" i="6"/>
  <c r="C802" i="6"/>
  <c r="J802" i="6"/>
  <c r="B802" i="6"/>
  <c r="I802" i="6"/>
  <c r="A802" i="6"/>
  <c r="H802" i="6"/>
  <c r="G802" i="6"/>
  <c r="F810" i="6"/>
  <c r="E810" i="6"/>
  <c r="D810" i="6"/>
  <c r="C810" i="6"/>
  <c r="J810" i="6"/>
  <c r="B810" i="6"/>
  <c r="I810" i="6"/>
  <c r="A810" i="6"/>
  <c r="H810" i="6"/>
  <c r="G810" i="6"/>
  <c r="F818" i="6"/>
  <c r="E818" i="6"/>
  <c r="D818" i="6"/>
  <c r="C818" i="6"/>
  <c r="J818" i="6"/>
  <c r="B818" i="6"/>
  <c r="I818" i="6"/>
  <c r="A818" i="6"/>
  <c r="H818" i="6"/>
  <c r="G818" i="6"/>
  <c r="F826" i="6"/>
  <c r="E826" i="6"/>
  <c r="D826" i="6"/>
  <c r="C826" i="6"/>
  <c r="J826" i="6"/>
  <c r="B826" i="6"/>
  <c r="I826" i="6"/>
  <c r="A826" i="6"/>
  <c r="H826" i="6"/>
  <c r="G826" i="6"/>
  <c r="F834" i="6"/>
  <c r="E834" i="6"/>
  <c r="D834" i="6"/>
  <c r="C834" i="6"/>
  <c r="J834" i="6"/>
  <c r="B834" i="6"/>
  <c r="I834" i="6"/>
  <c r="A834" i="6"/>
  <c r="H834" i="6"/>
  <c r="G834" i="6"/>
  <c r="F842" i="6"/>
  <c r="E842" i="6"/>
  <c r="D842" i="6"/>
  <c r="C842" i="6"/>
  <c r="J842" i="6"/>
  <c r="B842" i="6"/>
  <c r="I842" i="6"/>
  <c r="A842" i="6"/>
  <c r="H842" i="6"/>
  <c r="G842" i="6"/>
  <c r="F850" i="6"/>
  <c r="E850" i="6"/>
  <c r="D850" i="6"/>
  <c r="C850" i="6"/>
  <c r="J850" i="6"/>
  <c r="B850" i="6"/>
  <c r="I850" i="6"/>
  <c r="A850" i="6"/>
  <c r="H850" i="6"/>
  <c r="G850" i="6"/>
  <c r="F858" i="6"/>
  <c r="E858" i="6"/>
  <c r="D858" i="6"/>
  <c r="C858" i="6"/>
  <c r="J858" i="6"/>
  <c r="B858" i="6"/>
  <c r="I858" i="6"/>
  <c r="A858" i="6"/>
  <c r="H858" i="6"/>
  <c r="G858" i="6"/>
  <c r="F866" i="6"/>
  <c r="E866" i="6"/>
  <c r="D866" i="6"/>
  <c r="C866" i="6"/>
  <c r="J866" i="6"/>
  <c r="B866" i="6"/>
  <c r="I866" i="6"/>
  <c r="A866" i="6"/>
  <c r="H866" i="6"/>
  <c r="G866" i="6"/>
  <c r="F874" i="6"/>
  <c r="E874" i="6"/>
  <c r="D874" i="6"/>
  <c r="C874" i="6"/>
  <c r="J874" i="6"/>
  <c r="B874" i="6"/>
  <c r="I874" i="6"/>
  <c r="A874" i="6"/>
  <c r="H874" i="6"/>
  <c r="G874" i="6"/>
  <c r="F882" i="6"/>
  <c r="E882" i="6"/>
  <c r="D882" i="6"/>
  <c r="C882" i="6"/>
  <c r="J882" i="6"/>
  <c r="B882" i="6"/>
  <c r="I882" i="6"/>
  <c r="A882" i="6"/>
  <c r="H882" i="6"/>
  <c r="G882" i="6"/>
  <c r="F890" i="6"/>
  <c r="E890" i="6"/>
  <c r="D890" i="6"/>
  <c r="C890" i="6"/>
  <c r="J890" i="6"/>
  <c r="B890" i="6"/>
  <c r="I890" i="6"/>
  <c r="A890" i="6"/>
  <c r="H890" i="6"/>
  <c r="G890" i="6"/>
  <c r="F898" i="6"/>
  <c r="E898" i="6"/>
  <c r="D898" i="6"/>
  <c r="C898" i="6"/>
  <c r="J898" i="6"/>
  <c r="B898" i="6"/>
  <c r="I898" i="6"/>
  <c r="A898" i="6"/>
  <c r="H898" i="6"/>
  <c r="G898" i="6"/>
  <c r="F906" i="6"/>
  <c r="E906" i="6"/>
  <c r="D906" i="6"/>
  <c r="C906" i="6"/>
  <c r="J906" i="6"/>
  <c r="B906" i="6"/>
  <c r="I906" i="6"/>
  <c r="A906" i="6"/>
  <c r="H906" i="6"/>
  <c r="G906" i="6"/>
  <c r="F914" i="6"/>
  <c r="E914" i="6"/>
  <c r="D914" i="6"/>
  <c r="C914" i="6"/>
  <c r="J914" i="6"/>
  <c r="B914" i="6"/>
  <c r="I914" i="6"/>
  <c r="A914" i="6"/>
  <c r="H914" i="6"/>
  <c r="G914" i="6"/>
  <c r="F922" i="6"/>
  <c r="E922" i="6"/>
  <c r="D922" i="6"/>
  <c r="C922" i="6"/>
  <c r="J922" i="6"/>
  <c r="B922" i="6"/>
  <c r="I922" i="6"/>
  <c r="A922" i="6"/>
  <c r="H922" i="6"/>
  <c r="G922" i="6"/>
  <c r="F930" i="6"/>
  <c r="E930" i="6"/>
  <c r="D930" i="6"/>
  <c r="C930" i="6"/>
  <c r="J930" i="6"/>
  <c r="B930" i="6"/>
  <c r="I930" i="6"/>
  <c r="A930" i="6"/>
  <c r="H930" i="6"/>
  <c r="G930" i="6"/>
  <c r="F938" i="6"/>
  <c r="E938" i="6"/>
  <c r="D938" i="6"/>
  <c r="C938" i="6"/>
  <c r="J938" i="6"/>
  <c r="B938" i="6"/>
  <c r="I938" i="6"/>
  <c r="A938" i="6"/>
  <c r="H938" i="6"/>
  <c r="G938" i="6"/>
  <c r="F946" i="6"/>
  <c r="E946" i="6"/>
  <c r="D946" i="6"/>
  <c r="C946" i="6"/>
  <c r="J946" i="6"/>
  <c r="B946" i="6"/>
  <c r="I946" i="6"/>
  <c r="A946" i="6"/>
  <c r="H946" i="6"/>
  <c r="G946" i="6"/>
  <c r="F954" i="6"/>
  <c r="E954" i="6"/>
  <c r="D954" i="6"/>
  <c r="C954" i="6"/>
  <c r="J954" i="6"/>
  <c r="B954" i="6"/>
  <c r="I954" i="6"/>
  <c r="A954" i="6"/>
  <c r="H954" i="6"/>
  <c r="G954" i="6"/>
  <c r="F962" i="6"/>
  <c r="E962" i="6"/>
  <c r="D962" i="6"/>
  <c r="C962" i="6"/>
  <c r="J962" i="6"/>
  <c r="B962" i="6"/>
  <c r="I962" i="6"/>
  <c r="A962" i="6"/>
  <c r="H962" i="6"/>
  <c r="G962" i="6"/>
  <c r="F970" i="6"/>
  <c r="E970" i="6"/>
  <c r="D970" i="6"/>
  <c r="C970" i="6"/>
  <c r="J970" i="6"/>
  <c r="B970" i="6"/>
  <c r="I970" i="6"/>
  <c r="A970" i="6"/>
  <c r="H970" i="6"/>
  <c r="G970" i="6"/>
  <c r="E978" i="6"/>
  <c r="D978" i="6"/>
  <c r="J978" i="6"/>
  <c r="B978" i="6"/>
  <c r="I978" i="6"/>
  <c r="A978" i="6"/>
  <c r="H978" i="6"/>
  <c r="G978" i="6"/>
  <c r="F978" i="6"/>
  <c r="C978" i="6"/>
  <c r="E986" i="6"/>
  <c r="D986" i="6"/>
  <c r="J986" i="6"/>
  <c r="B986" i="6"/>
  <c r="I986" i="6"/>
  <c r="A986" i="6"/>
  <c r="H986" i="6"/>
  <c r="G986" i="6"/>
  <c r="F986" i="6"/>
  <c r="C986" i="6"/>
  <c r="E994" i="6"/>
  <c r="D994" i="6"/>
  <c r="J994" i="6"/>
  <c r="B994" i="6"/>
  <c r="I994" i="6"/>
  <c r="A994" i="6"/>
  <c r="H994" i="6"/>
  <c r="G994" i="6"/>
  <c r="F994" i="6"/>
  <c r="C994" i="6"/>
  <c r="E1002" i="6"/>
  <c r="D1002" i="6"/>
  <c r="J1002" i="6"/>
  <c r="B1002" i="6"/>
  <c r="I1002" i="6"/>
  <c r="A1002" i="6"/>
  <c r="H1002" i="6"/>
  <c r="G1002" i="6"/>
  <c r="F1002" i="6"/>
  <c r="C1002" i="6"/>
  <c r="E1010" i="6"/>
  <c r="D1010" i="6"/>
  <c r="J1010" i="6"/>
  <c r="B1010" i="6"/>
  <c r="I1010" i="6"/>
  <c r="A1010" i="6"/>
  <c r="H1010" i="6"/>
  <c r="G1010" i="6"/>
  <c r="F1010" i="6"/>
  <c r="C1010" i="6"/>
  <c r="E1018" i="6"/>
  <c r="D1018" i="6"/>
  <c r="J1018" i="6"/>
  <c r="B1018" i="6"/>
  <c r="I1018" i="6"/>
  <c r="A1018" i="6"/>
  <c r="H1018" i="6"/>
  <c r="G1018" i="6"/>
  <c r="F1018" i="6"/>
  <c r="C1018" i="6"/>
  <c r="E1026" i="6"/>
  <c r="D1026" i="6"/>
  <c r="J1026" i="6"/>
  <c r="B1026" i="6"/>
  <c r="I1026" i="6"/>
  <c r="A1026" i="6"/>
  <c r="H1026" i="6"/>
  <c r="G1026" i="6"/>
  <c r="F1026" i="6"/>
  <c r="C1026" i="6"/>
  <c r="E1034" i="6"/>
  <c r="D1034" i="6"/>
  <c r="C1034" i="6"/>
  <c r="J1034" i="6"/>
  <c r="B1034" i="6"/>
  <c r="I1034" i="6"/>
  <c r="A1034" i="6"/>
  <c r="H1034" i="6"/>
  <c r="G1034" i="6"/>
  <c r="F1034" i="6"/>
  <c r="E1042" i="6"/>
  <c r="D1042" i="6"/>
  <c r="C1042" i="6"/>
  <c r="J1042" i="6"/>
  <c r="B1042" i="6"/>
  <c r="I1042" i="6"/>
  <c r="A1042" i="6"/>
  <c r="H1042" i="6"/>
  <c r="G1042" i="6"/>
  <c r="F1042" i="6"/>
  <c r="E1050" i="6"/>
  <c r="D1050" i="6"/>
  <c r="C1050" i="6"/>
  <c r="J1050" i="6"/>
  <c r="B1050" i="6"/>
  <c r="I1050" i="6"/>
  <c r="A1050" i="6"/>
  <c r="H1050" i="6"/>
  <c r="G1050" i="6"/>
  <c r="F1050" i="6"/>
  <c r="E1058" i="6"/>
  <c r="D1058" i="6"/>
  <c r="C1058" i="6"/>
  <c r="J1058" i="6"/>
  <c r="B1058" i="6"/>
  <c r="I1058" i="6"/>
  <c r="A1058" i="6"/>
  <c r="H1058" i="6"/>
  <c r="G1058" i="6"/>
  <c r="F1058" i="6"/>
  <c r="E1066" i="6"/>
  <c r="D1066" i="6"/>
  <c r="C1066" i="6"/>
  <c r="J1066" i="6"/>
  <c r="B1066" i="6"/>
  <c r="I1066" i="6"/>
  <c r="A1066" i="6"/>
  <c r="H1066" i="6"/>
  <c r="G1066" i="6"/>
  <c r="F1066" i="6"/>
  <c r="E1074" i="6"/>
  <c r="D1074" i="6"/>
  <c r="C1074" i="6"/>
  <c r="J1074" i="6"/>
  <c r="B1074" i="6"/>
  <c r="I1074" i="6"/>
  <c r="A1074" i="6"/>
  <c r="H1074" i="6"/>
  <c r="G1074" i="6"/>
  <c r="F1074" i="6"/>
  <c r="E1082" i="6"/>
  <c r="D1082" i="6"/>
  <c r="C1082" i="6"/>
  <c r="J1082" i="6"/>
  <c r="B1082" i="6"/>
  <c r="I1082" i="6"/>
  <c r="A1082" i="6"/>
  <c r="H1082" i="6"/>
  <c r="G1082" i="6"/>
  <c r="F1082" i="6"/>
  <c r="E1090" i="6"/>
  <c r="D1090" i="6"/>
  <c r="C1090" i="6"/>
  <c r="J1090" i="6"/>
  <c r="B1090" i="6"/>
  <c r="I1090" i="6"/>
  <c r="A1090" i="6"/>
  <c r="H1090" i="6"/>
  <c r="G1090" i="6"/>
  <c r="F1090" i="6"/>
  <c r="E1098" i="6"/>
  <c r="D1098" i="6"/>
  <c r="C1098" i="6"/>
  <c r="J1098" i="6"/>
  <c r="B1098" i="6"/>
  <c r="I1098" i="6"/>
  <c r="A1098" i="6"/>
  <c r="H1098" i="6"/>
  <c r="G1098" i="6"/>
  <c r="F1098" i="6"/>
  <c r="J1106" i="6"/>
  <c r="B1106" i="6"/>
  <c r="I1106" i="6"/>
  <c r="A1106" i="6"/>
  <c r="G1106" i="6"/>
  <c r="F1106" i="6"/>
  <c r="E1106" i="6"/>
  <c r="D1106" i="6"/>
  <c r="C1106" i="6"/>
  <c r="H1106" i="6"/>
  <c r="J1114" i="6"/>
  <c r="B1114" i="6"/>
  <c r="I1114" i="6"/>
  <c r="A1114" i="6"/>
  <c r="G1114" i="6"/>
  <c r="F1114" i="6"/>
  <c r="E1114" i="6"/>
  <c r="D1114" i="6"/>
  <c r="C1114" i="6"/>
  <c r="H1114" i="6"/>
  <c r="J1122" i="6"/>
  <c r="B1122" i="6"/>
  <c r="I1122" i="6"/>
  <c r="A1122" i="6"/>
  <c r="G1122" i="6"/>
  <c r="F1122" i="6"/>
  <c r="E1122" i="6"/>
  <c r="D1122" i="6"/>
  <c r="C1122" i="6"/>
  <c r="H1122" i="6"/>
  <c r="J1130" i="6"/>
  <c r="B1130" i="6"/>
  <c r="I1130" i="6"/>
  <c r="A1130" i="6"/>
  <c r="G1130" i="6"/>
  <c r="F1130" i="6"/>
  <c r="E1130" i="6"/>
  <c r="D1130" i="6"/>
  <c r="C1130" i="6"/>
  <c r="H1130" i="6"/>
  <c r="J1138" i="6"/>
  <c r="B1138" i="6"/>
  <c r="I1138" i="6"/>
  <c r="A1138" i="6"/>
  <c r="G1138" i="6"/>
  <c r="F1138" i="6"/>
  <c r="E1138" i="6"/>
  <c r="D1138" i="6"/>
  <c r="C1138" i="6"/>
  <c r="H1138" i="6"/>
  <c r="J1146" i="6"/>
  <c r="B1146" i="6"/>
  <c r="I1146" i="6"/>
  <c r="A1146" i="6"/>
  <c r="G1146" i="6"/>
  <c r="F1146" i="6"/>
  <c r="E1146" i="6"/>
  <c r="D1146" i="6"/>
  <c r="C1146" i="6"/>
  <c r="H1146" i="6"/>
  <c r="J1154" i="6"/>
  <c r="B1154" i="6"/>
  <c r="I1154" i="6"/>
  <c r="A1154" i="6"/>
  <c r="G1154" i="6"/>
  <c r="F1154" i="6"/>
  <c r="E1154" i="6"/>
  <c r="D1154" i="6"/>
  <c r="C1154" i="6"/>
  <c r="H1154" i="6"/>
  <c r="J1162" i="6"/>
  <c r="B1162" i="6"/>
  <c r="I1162" i="6"/>
  <c r="A1162" i="6"/>
  <c r="G1162" i="6"/>
  <c r="F1162" i="6"/>
  <c r="E1162" i="6"/>
  <c r="D1162" i="6"/>
  <c r="C1162" i="6"/>
  <c r="H1162" i="6"/>
  <c r="J1170" i="6"/>
  <c r="B1170" i="6"/>
  <c r="I1170" i="6"/>
  <c r="A1170" i="6"/>
  <c r="G1170" i="6"/>
  <c r="F1170" i="6"/>
  <c r="E1170" i="6"/>
  <c r="D1170" i="6"/>
  <c r="C1170" i="6"/>
  <c r="H1170" i="6"/>
  <c r="J1178" i="6"/>
  <c r="B1178" i="6"/>
  <c r="I1178" i="6"/>
  <c r="A1178" i="6"/>
  <c r="G1178" i="6"/>
  <c r="F1178" i="6"/>
  <c r="E1178" i="6"/>
  <c r="D1178" i="6"/>
  <c r="C1178" i="6"/>
  <c r="H1178" i="6"/>
  <c r="J1186" i="6"/>
  <c r="B1186" i="6"/>
  <c r="I1186" i="6"/>
  <c r="A1186" i="6"/>
  <c r="G1186" i="6"/>
  <c r="F1186" i="6"/>
  <c r="E1186" i="6"/>
  <c r="D1186" i="6"/>
  <c r="C1186" i="6"/>
  <c r="H1186" i="6"/>
  <c r="J1194" i="6"/>
  <c r="B1194" i="6"/>
  <c r="I1194" i="6"/>
  <c r="A1194" i="6"/>
  <c r="G1194" i="6"/>
  <c r="F1194" i="6"/>
  <c r="E1194" i="6"/>
  <c r="D1194" i="6"/>
  <c r="C1194" i="6"/>
  <c r="H1194" i="6"/>
  <c r="J1202" i="6"/>
  <c r="B1202" i="6"/>
  <c r="I1202" i="6"/>
  <c r="A1202" i="6"/>
  <c r="G1202" i="6"/>
  <c r="F1202" i="6"/>
  <c r="E1202" i="6"/>
  <c r="D1202" i="6"/>
  <c r="C1202" i="6"/>
  <c r="H1202" i="6"/>
  <c r="J1210" i="6"/>
  <c r="B1210" i="6"/>
  <c r="I1210" i="6"/>
  <c r="A1210" i="6"/>
  <c r="G1210" i="6"/>
  <c r="F1210" i="6"/>
  <c r="E1210" i="6"/>
  <c r="D1210" i="6"/>
  <c r="C1210" i="6"/>
  <c r="H1210" i="6"/>
  <c r="J1218" i="6"/>
  <c r="B1218" i="6"/>
  <c r="I1218" i="6"/>
  <c r="A1218" i="6"/>
  <c r="G1218" i="6"/>
  <c r="F1218" i="6"/>
  <c r="E1218" i="6"/>
  <c r="D1218" i="6"/>
  <c r="C1218" i="6"/>
  <c r="H1218" i="6"/>
  <c r="J1226" i="6"/>
  <c r="B1226" i="6"/>
  <c r="I1226" i="6"/>
  <c r="A1226" i="6"/>
  <c r="G1226" i="6"/>
  <c r="F1226" i="6"/>
  <c r="E1226" i="6"/>
  <c r="D1226" i="6"/>
  <c r="C1226" i="6"/>
  <c r="H1226" i="6"/>
  <c r="J1234" i="6"/>
  <c r="B1234" i="6"/>
  <c r="I1234" i="6"/>
  <c r="A1234" i="6"/>
  <c r="G1234" i="6"/>
  <c r="F1234" i="6"/>
  <c r="E1234" i="6"/>
  <c r="D1234" i="6"/>
  <c r="C1234" i="6"/>
  <c r="H1234" i="6"/>
  <c r="J1242" i="6"/>
  <c r="B1242" i="6"/>
  <c r="I1242" i="6"/>
  <c r="A1242" i="6"/>
  <c r="G1242" i="6"/>
  <c r="F1242" i="6"/>
  <c r="E1242" i="6"/>
  <c r="D1242" i="6"/>
  <c r="C1242" i="6"/>
  <c r="H1242" i="6"/>
  <c r="J1250" i="6"/>
  <c r="B1250" i="6"/>
  <c r="I1250" i="6"/>
  <c r="A1250" i="6"/>
  <c r="G1250" i="6"/>
  <c r="F1250" i="6"/>
  <c r="E1250" i="6"/>
  <c r="D1250" i="6"/>
  <c r="C1250" i="6"/>
  <c r="H1250" i="6"/>
  <c r="C1258" i="6"/>
  <c r="H1258" i="6"/>
  <c r="G1258" i="6"/>
  <c r="F1258" i="6"/>
  <c r="E1258" i="6"/>
  <c r="D1258" i="6"/>
  <c r="A1258" i="6"/>
  <c r="J1258" i="6"/>
  <c r="I1258" i="6"/>
  <c r="B1258" i="6"/>
  <c r="C1266" i="6"/>
  <c r="H1266" i="6"/>
  <c r="G1266" i="6"/>
  <c r="F1266" i="6"/>
  <c r="E1266" i="6"/>
  <c r="D1266" i="6"/>
  <c r="J1266" i="6"/>
  <c r="B1266" i="6"/>
  <c r="A1266" i="6"/>
  <c r="I1266" i="6"/>
  <c r="C1274" i="6"/>
  <c r="H1274" i="6"/>
  <c r="G1274" i="6"/>
  <c r="F1274" i="6"/>
  <c r="E1274" i="6"/>
  <c r="D1274" i="6"/>
  <c r="A1274" i="6"/>
  <c r="J1274" i="6"/>
  <c r="I1274" i="6"/>
  <c r="B1274" i="6"/>
  <c r="C1282" i="6"/>
  <c r="H1282" i="6"/>
  <c r="G1282" i="6"/>
  <c r="F1282" i="6"/>
  <c r="E1282" i="6"/>
  <c r="D1282" i="6"/>
  <c r="J1282" i="6"/>
  <c r="B1282" i="6"/>
  <c r="A1282" i="6"/>
  <c r="I1282" i="6"/>
  <c r="C1290" i="6"/>
  <c r="H1290" i="6"/>
  <c r="G1290" i="6"/>
  <c r="F1290" i="6"/>
  <c r="E1290" i="6"/>
  <c r="D1290" i="6"/>
  <c r="A1290" i="6"/>
  <c r="J1290" i="6"/>
  <c r="I1290" i="6"/>
  <c r="B1290" i="6"/>
  <c r="C1298" i="6"/>
  <c r="H1298" i="6"/>
  <c r="G1298" i="6"/>
  <c r="F1298" i="6"/>
  <c r="E1298" i="6"/>
  <c r="D1298" i="6"/>
  <c r="J1298" i="6"/>
  <c r="B1298" i="6"/>
  <c r="A1298" i="6"/>
  <c r="I1298" i="6"/>
  <c r="C1306" i="6"/>
  <c r="H1306" i="6"/>
  <c r="G1306" i="6"/>
  <c r="F1306" i="6"/>
  <c r="E1306" i="6"/>
  <c r="D1306" i="6"/>
  <c r="A1306" i="6"/>
  <c r="J1306" i="6"/>
  <c r="I1306" i="6"/>
  <c r="B1306" i="6"/>
  <c r="C1314" i="6"/>
  <c r="H1314" i="6"/>
  <c r="G1314" i="6"/>
  <c r="F1314" i="6"/>
  <c r="E1314" i="6"/>
  <c r="D1314" i="6"/>
  <c r="J1314" i="6"/>
  <c r="B1314" i="6"/>
  <c r="A1314" i="6"/>
  <c r="I1314" i="6"/>
  <c r="C1322" i="6"/>
  <c r="H1322" i="6"/>
  <c r="G1322" i="6"/>
  <c r="F1322" i="6"/>
  <c r="E1322" i="6"/>
  <c r="D1322" i="6"/>
  <c r="A1322" i="6"/>
  <c r="J1322" i="6"/>
  <c r="I1322" i="6"/>
  <c r="B1322" i="6"/>
  <c r="C1330" i="6"/>
  <c r="H1330" i="6"/>
  <c r="G1330" i="6"/>
  <c r="F1330" i="6"/>
  <c r="E1330" i="6"/>
  <c r="D1330" i="6"/>
  <c r="J1330" i="6"/>
  <c r="B1330" i="6"/>
  <c r="A1330" i="6"/>
  <c r="I1330" i="6"/>
  <c r="I1338" i="6"/>
  <c r="A1338" i="6"/>
  <c r="H1338" i="6"/>
  <c r="E1338" i="6"/>
  <c r="F1338" i="6"/>
  <c r="B1338" i="6"/>
  <c r="J1338" i="6"/>
  <c r="G1338" i="6"/>
  <c r="C1338" i="6"/>
  <c r="D1338" i="6"/>
  <c r="I1346" i="6"/>
  <c r="A1346" i="6"/>
  <c r="H1346" i="6"/>
  <c r="E1346" i="6"/>
  <c r="J1346" i="6"/>
  <c r="D1346" i="6"/>
  <c r="C1346" i="6"/>
  <c r="B1346" i="6"/>
  <c r="G1346" i="6"/>
  <c r="F1346" i="6"/>
  <c r="I1354" i="6"/>
  <c r="A1354" i="6"/>
  <c r="H1354" i="6"/>
  <c r="E1354" i="6"/>
  <c r="G1354" i="6"/>
  <c r="F1354" i="6"/>
  <c r="D1354" i="6"/>
  <c r="C1354" i="6"/>
  <c r="B1354" i="6"/>
  <c r="J1354" i="6"/>
  <c r="I1362" i="6"/>
  <c r="A1362" i="6"/>
  <c r="H1362" i="6"/>
  <c r="E1362" i="6"/>
  <c r="C1362" i="6"/>
  <c r="J1362" i="6"/>
  <c r="G1362" i="6"/>
  <c r="F1362" i="6"/>
  <c r="D1362" i="6"/>
  <c r="B1362" i="6"/>
  <c r="I1370" i="6"/>
  <c r="A1370" i="6"/>
  <c r="H1370" i="6"/>
  <c r="E1370" i="6"/>
  <c r="F1370" i="6"/>
  <c r="B1370" i="6"/>
  <c r="J1370" i="6"/>
  <c r="G1370" i="6"/>
  <c r="D1370" i="6"/>
  <c r="C1370" i="6"/>
  <c r="I1378" i="6"/>
  <c r="A1378" i="6"/>
  <c r="H1378" i="6"/>
  <c r="E1378" i="6"/>
  <c r="J1378" i="6"/>
  <c r="D1378" i="6"/>
  <c r="C1378" i="6"/>
  <c r="B1378" i="6"/>
  <c r="F1378" i="6"/>
  <c r="G1378" i="6"/>
  <c r="I1386" i="6"/>
  <c r="A1386" i="6"/>
  <c r="H1386" i="6"/>
  <c r="E1386" i="6"/>
  <c r="G1386" i="6"/>
  <c r="F1386" i="6"/>
  <c r="D1386" i="6"/>
  <c r="C1386" i="6"/>
  <c r="B1386" i="6"/>
  <c r="J1386" i="6"/>
  <c r="I1394" i="6"/>
  <c r="A1394" i="6"/>
  <c r="H1394" i="6"/>
  <c r="E1394" i="6"/>
  <c r="C1394" i="6"/>
  <c r="J1394" i="6"/>
  <c r="G1394" i="6"/>
  <c r="F1394" i="6"/>
  <c r="D1394" i="6"/>
  <c r="B1394" i="6"/>
  <c r="I1402" i="6"/>
  <c r="A1402" i="6"/>
  <c r="H1402" i="6"/>
  <c r="E1402" i="6"/>
  <c r="F1402" i="6"/>
  <c r="B1402" i="6"/>
  <c r="J1402" i="6"/>
  <c r="G1402" i="6"/>
  <c r="D1402" i="6"/>
  <c r="C1402" i="6"/>
  <c r="I1410" i="6"/>
  <c r="A1410" i="6"/>
  <c r="H1410" i="6"/>
  <c r="E1410" i="6"/>
  <c r="J1410" i="6"/>
  <c r="D1410" i="6"/>
  <c r="C1410" i="6"/>
  <c r="B1410" i="6"/>
  <c r="G1410" i="6"/>
  <c r="F1410" i="6"/>
  <c r="I1418" i="6"/>
  <c r="A1418" i="6"/>
  <c r="H1418" i="6"/>
  <c r="E1418" i="6"/>
  <c r="G1418" i="6"/>
  <c r="F1418" i="6"/>
  <c r="D1418" i="6"/>
  <c r="C1418" i="6"/>
  <c r="B1418" i="6"/>
  <c r="J1418" i="6"/>
  <c r="I1426" i="6"/>
  <c r="A1426" i="6"/>
  <c r="H1426" i="6"/>
  <c r="E1426" i="6"/>
  <c r="C1426" i="6"/>
  <c r="J1426" i="6"/>
  <c r="G1426" i="6"/>
  <c r="F1426" i="6"/>
  <c r="D1426" i="6"/>
  <c r="B1426" i="6"/>
  <c r="D1434" i="6"/>
  <c r="H1434" i="6"/>
  <c r="B1434" i="6"/>
  <c r="A1434" i="6"/>
  <c r="G1434" i="6"/>
  <c r="I1434" i="6"/>
  <c r="C1434" i="6"/>
  <c r="J1434" i="6"/>
  <c r="F1434" i="6"/>
  <c r="E1434" i="6"/>
  <c r="F1442" i="6"/>
  <c r="D1442" i="6"/>
  <c r="J1442" i="6"/>
  <c r="B1442" i="6"/>
  <c r="H1442" i="6"/>
  <c r="A1442" i="6"/>
  <c r="I1442" i="6"/>
  <c r="E1442" i="6"/>
  <c r="G1442" i="6"/>
  <c r="C1442" i="6"/>
  <c r="F1450" i="6"/>
  <c r="D1450" i="6"/>
  <c r="J1450" i="6"/>
  <c r="B1450" i="6"/>
  <c r="H1450" i="6"/>
  <c r="A1450" i="6"/>
  <c r="I1450" i="6"/>
  <c r="E1450" i="6"/>
  <c r="G1450" i="6"/>
  <c r="C1450" i="6"/>
  <c r="F1458" i="6"/>
  <c r="D1458" i="6"/>
  <c r="J1458" i="6"/>
  <c r="B1458" i="6"/>
  <c r="H1458" i="6"/>
  <c r="A1458" i="6"/>
  <c r="I1458" i="6"/>
  <c r="E1458" i="6"/>
  <c r="G1458" i="6"/>
  <c r="C1458" i="6"/>
  <c r="F1466" i="6"/>
  <c r="D1466" i="6"/>
  <c r="J1466" i="6"/>
  <c r="B1466" i="6"/>
  <c r="H1466" i="6"/>
  <c r="A1466" i="6"/>
  <c r="I1466" i="6"/>
  <c r="E1466" i="6"/>
  <c r="G1466" i="6"/>
  <c r="C1466" i="6"/>
  <c r="F1474" i="6"/>
  <c r="D1474" i="6"/>
  <c r="J1474" i="6"/>
  <c r="B1474" i="6"/>
  <c r="H1474" i="6"/>
  <c r="A1474" i="6"/>
  <c r="I1474" i="6"/>
  <c r="E1474" i="6"/>
  <c r="G1474" i="6"/>
  <c r="C1474" i="6"/>
  <c r="F1482" i="6"/>
  <c r="D1482" i="6"/>
  <c r="J1482" i="6"/>
  <c r="B1482" i="6"/>
  <c r="H1482" i="6"/>
  <c r="A1482" i="6"/>
  <c r="I1482" i="6"/>
  <c r="E1482" i="6"/>
  <c r="G1482" i="6"/>
  <c r="C1482" i="6"/>
  <c r="F1490" i="6"/>
  <c r="D1490" i="6"/>
  <c r="J1490" i="6"/>
  <c r="B1490" i="6"/>
  <c r="H1490" i="6"/>
  <c r="A1490" i="6"/>
  <c r="I1490" i="6"/>
  <c r="E1490" i="6"/>
  <c r="G1490" i="6"/>
  <c r="C1490" i="6"/>
  <c r="F1498" i="6"/>
  <c r="D1498" i="6"/>
  <c r="J1498" i="6"/>
  <c r="B1498" i="6"/>
  <c r="H1498" i="6"/>
  <c r="A1498" i="6"/>
  <c r="I1498" i="6"/>
  <c r="E1498" i="6"/>
  <c r="G1498" i="6"/>
  <c r="C1498" i="6"/>
  <c r="F1506" i="6"/>
  <c r="D1506" i="6"/>
  <c r="J1506" i="6"/>
  <c r="B1506" i="6"/>
  <c r="H1506" i="6"/>
  <c r="A1506" i="6"/>
  <c r="I1506" i="6"/>
  <c r="E1506" i="6"/>
  <c r="G1506" i="6"/>
  <c r="C1506" i="6"/>
  <c r="F1514" i="6"/>
  <c r="D1514" i="6"/>
  <c r="J1514" i="6"/>
  <c r="B1514" i="6"/>
  <c r="H1514" i="6"/>
  <c r="A1514" i="6"/>
  <c r="I1514" i="6"/>
  <c r="E1514" i="6"/>
  <c r="G1514" i="6"/>
  <c r="C1514" i="6"/>
  <c r="F1522" i="6"/>
  <c r="D1522" i="6"/>
  <c r="J1522" i="6"/>
  <c r="B1522" i="6"/>
  <c r="H1522" i="6"/>
  <c r="A1522" i="6"/>
  <c r="I1522" i="6"/>
  <c r="E1522" i="6"/>
  <c r="G1522" i="6"/>
  <c r="C1522" i="6"/>
  <c r="F1530" i="6"/>
  <c r="D1530" i="6"/>
  <c r="J1530" i="6"/>
  <c r="B1530" i="6"/>
  <c r="H1530" i="6"/>
  <c r="A1530" i="6"/>
  <c r="I1530" i="6"/>
  <c r="E1530" i="6"/>
  <c r="G1530" i="6"/>
  <c r="C1530" i="6"/>
  <c r="F1538" i="6"/>
  <c r="D1538" i="6"/>
  <c r="J1538" i="6"/>
  <c r="B1538" i="6"/>
  <c r="H1538" i="6"/>
  <c r="A1538" i="6"/>
  <c r="I1538" i="6"/>
  <c r="E1538" i="6"/>
  <c r="G1538" i="6"/>
  <c r="C1538" i="6"/>
  <c r="F1546" i="6"/>
  <c r="D1546" i="6"/>
  <c r="J1546" i="6"/>
  <c r="B1546" i="6"/>
  <c r="H1546" i="6"/>
  <c r="A1546" i="6"/>
  <c r="I1546" i="6"/>
  <c r="E1546" i="6"/>
  <c r="G1546" i="6"/>
  <c r="C1546" i="6"/>
  <c r="F1554" i="6"/>
  <c r="D1554" i="6"/>
  <c r="J1554" i="6"/>
  <c r="B1554" i="6"/>
  <c r="H1554" i="6"/>
  <c r="A1554" i="6"/>
  <c r="I1554" i="6"/>
  <c r="E1554" i="6"/>
  <c r="G1554" i="6"/>
  <c r="C1554" i="6"/>
  <c r="F1562" i="6"/>
  <c r="D1562" i="6"/>
  <c r="J1562" i="6"/>
  <c r="B1562" i="6"/>
  <c r="H1562" i="6"/>
  <c r="A1562" i="6"/>
  <c r="I1562" i="6"/>
  <c r="E1562" i="6"/>
  <c r="G1562" i="6"/>
  <c r="C1562" i="6"/>
  <c r="F1570" i="6"/>
  <c r="E1570" i="6"/>
  <c r="C1570" i="6"/>
  <c r="J1570" i="6"/>
  <c r="B1570" i="6"/>
  <c r="I1570" i="6"/>
  <c r="A1570" i="6"/>
  <c r="D1570" i="6"/>
  <c r="H1570" i="6"/>
  <c r="G1570" i="6"/>
  <c r="F1578" i="6"/>
  <c r="E1578" i="6"/>
  <c r="C1578" i="6"/>
  <c r="J1578" i="6"/>
  <c r="B1578" i="6"/>
  <c r="I1578" i="6"/>
  <c r="A1578" i="6"/>
  <c r="H1578" i="6"/>
  <c r="D1578" i="6"/>
  <c r="G1578" i="6"/>
  <c r="F1586" i="6"/>
  <c r="E1586" i="6"/>
  <c r="C1586" i="6"/>
  <c r="J1586" i="6"/>
  <c r="B1586" i="6"/>
  <c r="I1586" i="6"/>
  <c r="A1586" i="6"/>
  <c r="H1586" i="6"/>
  <c r="D1586" i="6"/>
  <c r="G1586" i="6"/>
  <c r="F1594" i="6"/>
  <c r="E1594" i="6"/>
  <c r="C1594" i="6"/>
  <c r="J1594" i="6"/>
  <c r="B1594" i="6"/>
  <c r="I1594" i="6"/>
  <c r="A1594" i="6"/>
  <c r="H1594" i="6"/>
  <c r="D1594" i="6"/>
  <c r="G1594" i="6"/>
  <c r="F1602" i="6"/>
  <c r="E1602" i="6"/>
  <c r="C1602" i="6"/>
  <c r="J1602" i="6"/>
  <c r="B1602" i="6"/>
  <c r="I1602" i="6"/>
  <c r="A1602" i="6"/>
  <c r="D1602" i="6"/>
  <c r="H1602" i="6"/>
  <c r="G1602" i="6"/>
  <c r="F1610" i="6"/>
  <c r="E1610" i="6"/>
  <c r="C1610" i="6"/>
  <c r="J1610" i="6"/>
  <c r="B1610" i="6"/>
  <c r="I1610" i="6"/>
  <c r="A1610" i="6"/>
  <c r="H1610" i="6"/>
  <c r="D1610" i="6"/>
  <c r="G1610" i="6"/>
  <c r="F1618" i="6"/>
  <c r="E1618" i="6"/>
  <c r="C1618" i="6"/>
  <c r="J1618" i="6"/>
  <c r="B1618" i="6"/>
  <c r="I1618" i="6"/>
  <c r="A1618" i="6"/>
  <c r="H1618" i="6"/>
  <c r="D1618" i="6"/>
  <c r="G1618" i="6"/>
  <c r="F1626" i="6"/>
  <c r="E1626" i="6"/>
  <c r="C1626" i="6"/>
  <c r="J1626" i="6"/>
  <c r="B1626" i="6"/>
  <c r="I1626" i="6"/>
  <c r="A1626" i="6"/>
  <c r="H1626" i="6"/>
  <c r="D1626" i="6"/>
  <c r="G1626" i="6"/>
  <c r="F1634" i="6"/>
  <c r="E1634" i="6"/>
  <c r="C1634" i="6"/>
  <c r="J1634" i="6"/>
  <c r="B1634" i="6"/>
  <c r="I1634" i="6"/>
  <c r="A1634" i="6"/>
  <c r="D1634" i="6"/>
  <c r="H1634" i="6"/>
  <c r="G1634" i="6"/>
  <c r="F1642" i="6"/>
  <c r="E1642" i="6"/>
  <c r="C1642" i="6"/>
  <c r="J1642" i="6"/>
  <c r="B1642" i="6"/>
  <c r="I1642" i="6"/>
  <c r="A1642" i="6"/>
  <c r="H1642" i="6"/>
  <c r="D1642" i="6"/>
  <c r="G1642" i="6"/>
  <c r="F1650" i="6"/>
  <c r="E1650" i="6"/>
  <c r="C1650" i="6"/>
  <c r="J1650" i="6"/>
  <c r="B1650" i="6"/>
  <c r="I1650" i="6"/>
  <c r="A1650" i="6"/>
  <c r="H1650" i="6"/>
  <c r="D1650" i="6"/>
  <c r="G1650" i="6"/>
  <c r="F1658" i="6"/>
  <c r="E1658" i="6"/>
  <c r="C1658" i="6"/>
  <c r="J1658" i="6"/>
  <c r="B1658" i="6"/>
  <c r="I1658" i="6"/>
  <c r="A1658" i="6"/>
  <c r="H1658" i="6"/>
  <c r="D1658" i="6"/>
  <c r="G1658" i="6"/>
  <c r="G1666" i="6"/>
  <c r="F1666" i="6"/>
  <c r="D1666" i="6"/>
  <c r="J1666" i="6"/>
  <c r="B1666" i="6"/>
  <c r="I1666" i="6"/>
  <c r="H1666" i="6"/>
  <c r="C1666" i="6"/>
  <c r="A1666" i="6"/>
  <c r="E1666" i="6"/>
  <c r="G1674" i="6"/>
  <c r="F1674" i="6"/>
  <c r="D1674" i="6"/>
  <c r="J1674" i="6"/>
  <c r="B1674" i="6"/>
  <c r="I1674" i="6"/>
  <c r="H1674" i="6"/>
  <c r="C1674" i="6"/>
  <c r="A1674" i="6"/>
  <c r="E1674" i="6"/>
  <c r="G1682" i="6"/>
  <c r="F1682" i="6"/>
  <c r="D1682" i="6"/>
  <c r="J1682" i="6"/>
  <c r="B1682" i="6"/>
  <c r="I1682" i="6"/>
  <c r="H1682" i="6"/>
  <c r="C1682" i="6"/>
  <c r="A1682" i="6"/>
  <c r="E1682" i="6"/>
  <c r="G1690" i="6"/>
  <c r="F1690" i="6"/>
  <c r="D1690" i="6"/>
  <c r="J1690" i="6"/>
  <c r="B1690" i="6"/>
  <c r="I1690" i="6"/>
  <c r="H1690" i="6"/>
  <c r="C1690" i="6"/>
  <c r="A1690" i="6"/>
  <c r="E1690" i="6"/>
  <c r="G1698" i="6"/>
  <c r="F1698" i="6"/>
  <c r="D1698" i="6"/>
  <c r="J1698" i="6"/>
  <c r="B1698" i="6"/>
  <c r="I1698" i="6"/>
  <c r="H1698" i="6"/>
  <c r="C1698" i="6"/>
  <c r="A1698" i="6"/>
  <c r="E1698" i="6"/>
  <c r="G1706" i="6"/>
  <c r="F1706" i="6"/>
  <c r="D1706" i="6"/>
  <c r="J1706" i="6"/>
  <c r="B1706" i="6"/>
  <c r="I1706" i="6"/>
  <c r="H1706" i="6"/>
  <c r="C1706" i="6"/>
  <c r="A1706" i="6"/>
  <c r="E1706" i="6"/>
  <c r="G1714" i="6"/>
  <c r="F1714" i="6"/>
  <c r="D1714" i="6"/>
  <c r="J1714" i="6"/>
  <c r="B1714" i="6"/>
  <c r="I1714" i="6"/>
  <c r="H1714" i="6"/>
  <c r="C1714" i="6"/>
  <c r="A1714" i="6"/>
  <c r="E1714" i="6"/>
  <c r="G1722" i="6"/>
  <c r="F1722" i="6"/>
  <c r="D1722" i="6"/>
  <c r="J1722" i="6"/>
  <c r="B1722" i="6"/>
  <c r="I1722" i="6"/>
  <c r="H1722" i="6"/>
  <c r="C1722" i="6"/>
  <c r="A1722" i="6"/>
  <c r="E1722" i="6"/>
  <c r="G1730" i="6"/>
  <c r="F1730" i="6"/>
  <c r="D1730" i="6"/>
  <c r="J1730" i="6"/>
  <c r="B1730" i="6"/>
  <c r="I1730" i="6"/>
  <c r="H1730" i="6"/>
  <c r="C1730" i="6"/>
  <c r="A1730" i="6"/>
  <c r="E1730" i="6"/>
  <c r="D1738" i="6"/>
  <c r="J1738" i="6"/>
  <c r="B1738" i="6"/>
  <c r="H1738" i="6"/>
  <c r="G1738" i="6"/>
  <c r="F1738" i="6"/>
  <c r="C1738" i="6"/>
  <c r="I1738" i="6"/>
  <c r="A1738" i="6"/>
  <c r="E1738" i="6"/>
  <c r="D1746" i="6"/>
  <c r="J1746" i="6"/>
  <c r="B1746" i="6"/>
  <c r="H1746" i="6"/>
  <c r="I1746" i="6"/>
  <c r="F1746" i="6"/>
  <c r="C1746" i="6"/>
  <c r="A1746" i="6"/>
  <c r="E1746" i="6"/>
  <c r="G1746" i="6"/>
  <c r="D1754" i="6"/>
  <c r="J1754" i="6"/>
  <c r="B1754" i="6"/>
  <c r="H1754" i="6"/>
  <c r="A1754" i="6"/>
  <c r="I1754" i="6"/>
  <c r="F1754" i="6"/>
  <c r="G1754" i="6"/>
  <c r="E1754" i="6"/>
  <c r="C1754" i="6"/>
  <c r="D1762" i="6"/>
  <c r="J1762" i="6"/>
  <c r="B1762" i="6"/>
  <c r="H1762" i="6"/>
  <c r="E1762" i="6"/>
  <c r="C1762" i="6"/>
  <c r="I1762" i="6"/>
  <c r="G1762" i="6"/>
  <c r="F1762" i="6"/>
  <c r="A1762" i="6"/>
  <c r="D1770" i="6"/>
  <c r="J1770" i="6"/>
  <c r="B1770" i="6"/>
  <c r="H1770" i="6"/>
  <c r="G1770" i="6"/>
  <c r="F1770" i="6"/>
  <c r="C1770" i="6"/>
  <c r="I1770" i="6"/>
  <c r="A1770" i="6"/>
  <c r="E1770" i="6"/>
  <c r="D1778" i="6"/>
  <c r="J1778" i="6"/>
  <c r="B1778" i="6"/>
  <c r="H1778" i="6"/>
  <c r="I1778" i="6"/>
  <c r="F1778" i="6"/>
  <c r="C1778" i="6"/>
  <c r="E1778" i="6"/>
  <c r="A1778" i="6"/>
  <c r="G1778" i="6"/>
  <c r="D1786" i="6"/>
  <c r="J1786" i="6"/>
  <c r="B1786" i="6"/>
  <c r="H1786" i="6"/>
  <c r="A1786" i="6"/>
  <c r="I1786" i="6"/>
  <c r="F1786" i="6"/>
  <c r="E1786" i="6"/>
  <c r="C1786" i="6"/>
  <c r="G1786" i="6"/>
  <c r="D1794" i="6"/>
  <c r="J1794" i="6"/>
  <c r="B1794" i="6"/>
  <c r="H1794" i="6"/>
  <c r="E1794" i="6"/>
  <c r="C1794" i="6"/>
  <c r="I1794" i="6"/>
  <c r="G1794" i="6"/>
  <c r="F1794" i="6"/>
  <c r="A1794" i="6"/>
  <c r="D1802" i="6"/>
  <c r="J1802" i="6"/>
  <c r="B1802" i="6"/>
  <c r="H1802" i="6"/>
  <c r="G1802" i="6"/>
  <c r="F1802" i="6"/>
  <c r="C1802" i="6"/>
  <c r="I1802" i="6"/>
  <c r="A1802" i="6"/>
  <c r="E1802" i="6"/>
  <c r="D1810" i="6"/>
  <c r="J1810" i="6"/>
  <c r="B1810" i="6"/>
  <c r="H1810" i="6"/>
  <c r="I1810" i="6"/>
  <c r="F1810" i="6"/>
  <c r="C1810" i="6"/>
  <c r="A1810" i="6"/>
  <c r="E1810" i="6"/>
  <c r="G1810" i="6"/>
  <c r="D1818" i="6"/>
  <c r="J1818" i="6"/>
  <c r="B1818" i="6"/>
  <c r="H1818" i="6"/>
  <c r="A1818" i="6"/>
  <c r="I1818" i="6"/>
  <c r="F1818" i="6"/>
  <c r="G1818" i="6"/>
  <c r="E1818" i="6"/>
  <c r="C1818" i="6"/>
  <c r="D1826" i="6"/>
  <c r="J1826" i="6"/>
  <c r="B1826" i="6"/>
  <c r="H1826" i="6"/>
  <c r="E1826" i="6"/>
  <c r="C1826" i="6"/>
  <c r="I1826" i="6"/>
  <c r="G1826" i="6"/>
  <c r="F1826" i="6"/>
  <c r="A1826" i="6"/>
  <c r="D1834" i="6"/>
  <c r="J1834" i="6"/>
  <c r="B1834" i="6"/>
  <c r="H1834" i="6"/>
  <c r="G1834" i="6"/>
  <c r="F1834" i="6"/>
  <c r="C1834" i="6"/>
  <c r="I1834" i="6"/>
  <c r="A1834" i="6"/>
  <c r="E1834" i="6"/>
  <c r="D1842" i="6"/>
  <c r="J1842" i="6"/>
  <c r="B1842" i="6"/>
  <c r="H1842" i="6"/>
  <c r="I1842" i="6"/>
  <c r="F1842" i="6"/>
  <c r="C1842" i="6"/>
  <c r="E1842" i="6"/>
  <c r="A1842" i="6"/>
  <c r="G1842" i="6"/>
  <c r="D1850" i="6"/>
  <c r="J1850" i="6"/>
  <c r="B1850" i="6"/>
  <c r="H1850" i="6"/>
  <c r="A1850" i="6"/>
  <c r="I1850" i="6"/>
  <c r="F1850" i="6"/>
  <c r="E1850" i="6"/>
  <c r="C1850" i="6"/>
  <c r="G1850" i="6"/>
  <c r="I1858" i="6"/>
  <c r="D1858" i="6"/>
  <c r="B1858" i="6"/>
  <c r="H1858" i="6"/>
  <c r="E1858" i="6"/>
  <c r="C1858" i="6"/>
  <c r="J1858" i="6"/>
  <c r="G1858" i="6"/>
  <c r="F1858" i="6"/>
  <c r="A1858" i="6"/>
  <c r="C1866" i="6"/>
  <c r="I1866" i="6"/>
  <c r="A1866" i="6"/>
  <c r="D1866" i="6"/>
  <c r="H1866" i="6"/>
  <c r="F1866" i="6"/>
  <c r="E1866" i="6"/>
  <c r="J1866" i="6"/>
  <c r="G1866" i="6"/>
  <c r="B1866" i="6"/>
  <c r="C1874" i="6"/>
  <c r="I1874" i="6"/>
  <c r="A1874" i="6"/>
  <c r="G1874" i="6"/>
  <c r="E1874" i="6"/>
  <c r="B1874" i="6"/>
  <c r="D1874" i="6"/>
  <c r="J1874" i="6"/>
  <c r="H1874" i="6"/>
  <c r="F1874" i="6"/>
  <c r="C1882" i="6"/>
  <c r="I1882" i="6"/>
  <c r="A1882" i="6"/>
  <c r="G1882" i="6"/>
  <c r="H1882" i="6"/>
  <c r="E1882" i="6"/>
  <c r="B1882" i="6"/>
  <c r="F1882" i="6"/>
  <c r="D1882" i="6"/>
  <c r="J1882" i="6"/>
  <c r="C1890" i="6"/>
  <c r="I1890" i="6"/>
  <c r="A1890" i="6"/>
  <c r="G1890" i="6"/>
  <c r="H1890" i="6"/>
  <c r="E1890" i="6"/>
  <c r="D1890" i="6"/>
  <c r="B1890" i="6"/>
  <c r="J1890" i="6"/>
  <c r="F1890" i="6"/>
  <c r="C1898" i="6"/>
  <c r="I1898" i="6"/>
  <c r="A1898" i="6"/>
  <c r="G1898" i="6"/>
  <c r="B1898" i="6"/>
  <c r="H1898" i="6"/>
  <c r="F1898" i="6"/>
  <c r="D1898" i="6"/>
  <c r="E1898" i="6"/>
  <c r="J1898" i="6"/>
  <c r="C1906" i="6"/>
  <c r="I1906" i="6"/>
  <c r="A1906" i="6"/>
  <c r="G1906" i="6"/>
  <c r="E1906" i="6"/>
  <c r="B1906" i="6"/>
  <c r="J1906" i="6"/>
  <c r="F1906" i="6"/>
  <c r="D1906" i="6"/>
  <c r="H1906" i="6"/>
  <c r="C1914" i="6"/>
  <c r="I1914" i="6"/>
  <c r="A1914" i="6"/>
  <c r="B1914" i="6"/>
  <c r="J1914" i="6"/>
  <c r="G1914" i="6"/>
  <c r="E1914" i="6"/>
  <c r="D1914" i="6"/>
  <c r="H1914" i="6"/>
  <c r="F1914" i="6"/>
  <c r="C1922" i="6"/>
  <c r="I1922" i="6"/>
  <c r="A1922" i="6"/>
  <c r="G1922" i="6"/>
  <c r="E1922" i="6"/>
  <c r="B1922" i="6"/>
  <c r="H1922" i="6"/>
  <c r="D1922" i="6"/>
  <c r="J1922" i="6"/>
  <c r="F1922" i="6"/>
  <c r="C1930" i="6"/>
  <c r="I1930" i="6"/>
  <c r="A1930" i="6"/>
  <c r="B1930" i="6"/>
  <c r="J1930" i="6"/>
  <c r="G1930" i="6"/>
  <c r="D1930" i="6"/>
  <c r="F1930" i="6"/>
  <c r="H1930" i="6"/>
  <c r="E1930" i="6"/>
  <c r="C1938" i="6"/>
  <c r="I1938" i="6"/>
  <c r="A1938" i="6"/>
  <c r="G1938" i="6"/>
  <c r="E1938" i="6"/>
  <c r="B1938" i="6"/>
  <c r="J1938" i="6"/>
  <c r="F1938" i="6"/>
  <c r="D1938" i="6"/>
  <c r="H1938" i="6"/>
  <c r="C1946" i="6"/>
  <c r="I1946" i="6"/>
  <c r="A1946" i="6"/>
  <c r="B1946" i="6"/>
  <c r="J1946" i="6"/>
  <c r="G1946" i="6"/>
  <c r="H1946" i="6"/>
  <c r="F1946" i="6"/>
  <c r="D1946" i="6"/>
  <c r="E1946" i="6"/>
  <c r="C1954" i="6"/>
  <c r="I1954" i="6"/>
  <c r="A1954" i="6"/>
  <c r="G1954" i="6"/>
  <c r="D1954" i="6"/>
  <c r="J1954" i="6"/>
  <c r="H1954" i="6"/>
  <c r="E1954" i="6"/>
  <c r="F1954" i="6"/>
  <c r="B1954" i="6"/>
  <c r="C1962" i="6"/>
  <c r="I1962" i="6"/>
  <c r="A1962" i="6"/>
  <c r="G1962" i="6"/>
  <c r="F1962" i="6"/>
  <c r="D1962" i="6"/>
  <c r="J1962" i="6"/>
  <c r="E1962" i="6"/>
  <c r="B1962" i="6"/>
  <c r="H1962" i="6"/>
  <c r="C1970" i="6"/>
  <c r="I1970" i="6"/>
  <c r="A1970" i="6"/>
  <c r="G1970" i="6"/>
  <c r="J1970" i="6"/>
  <c r="F1970" i="6"/>
  <c r="D1970" i="6"/>
  <c r="E1970" i="6"/>
  <c r="B1970" i="6"/>
  <c r="H1970" i="6"/>
  <c r="C1978" i="6"/>
  <c r="I1978" i="6"/>
  <c r="A1978" i="6"/>
  <c r="G1978" i="6"/>
  <c r="J1978" i="6"/>
  <c r="F1978" i="6"/>
  <c r="D1978" i="6"/>
  <c r="B1978" i="6"/>
  <c r="E1978" i="6"/>
  <c r="H1978" i="6"/>
  <c r="C1986" i="6"/>
  <c r="I1986" i="6"/>
  <c r="A1986" i="6"/>
  <c r="G1986" i="6"/>
  <c r="D1986" i="6"/>
  <c r="J1986" i="6"/>
  <c r="F1986" i="6"/>
  <c r="B1986" i="6"/>
  <c r="H1986" i="6"/>
  <c r="E1986" i="6"/>
  <c r="D1994" i="6"/>
  <c r="H1994" i="6"/>
  <c r="C1994" i="6"/>
  <c r="A1994" i="6"/>
  <c r="I1994" i="6"/>
  <c r="F1994" i="6"/>
  <c r="B1994" i="6"/>
  <c r="J1994" i="6"/>
  <c r="G1994" i="6"/>
  <c r="E1994" i="6"/>
  <c r="D2002" i="6"/>
  <c r="H2002" i="6"/>
  <c r="I2002" i="6"/>
  <c r="F2002" i="6"/>
  <c r="C2002" i="6"/>
  <c r="J2002" i="6"/>
  <c r="E2002" i="6"/>
  <c r="G2002" i="6"/>
  <c r="B2002" i="6"/>
  <c r="A2002" i="6"/>
  <c r="C4" i="6"/>
  <c r="E5" i="6"/>
  <c r="G6" i="6"/>
  <c r="A7" i="6"/>
  <c r="I7" i="6"/>
  <c r="C8" i="6"/>
  <c r="E9" i="6"/>
  <c r="D10" i="4"/>
  <c r="I14" i="4"/>
  <c r="D18" i="4"/>
  <c r="G13" i="6"/>
  <c r="F13" i="6"/>
  <c r="E13" i="6"/>
  <c r="D13" i="6"/>
  <c r="C13" i="6"/>
  <c r="J13" i="6"/>
  <c r="B13" i="6"/>
  <c r="I13" i="6"/>
  <c r="A13" i="6"/>
  <c r="H13" i="6"/>
  <c r="G21" i="6"/>
  <c r="F21" i="6"/>
  <c r="E21" i="6"/>
  <c r="D21" i="6"/>
  <c r="C21" i="6"/>
  <c r="J21" i="6"/>
  <c r="B21" i="6"/>
  <c r="I21" i="6"/>
  <c r="A21" i="6"/>
  <c r="H21" i="6"/>
  <c r="G29" i="6"/>
  <c r="F29" i="6"/>
  <c r="E29" i="6"/>
  <c r="D29" i="6"/>
  <c r="C29" i="6"/>
  <c r="J29" i="6"/>
  <c r="B29" i="6"/>
  <c r="I29" i="6"/>
  <c r="A29" i="6"/>
  <c r="H29" i="6"/>
  <c r="G37" i="6"/>
  <c r="F37" i="6"/>
  <c r="E37" i="6"/>
  <c r="D37" i="6"/>
  <c r="C37" i="6"/>
  <c r="J37" i="6"/>
  <c r="B37" i="6"/>
  <c r="I37" i="6"/>
  <c r="A37" i="6"/>
  <c r="H37" i="6"/>
  <c r="G45" i="6"/>
  <c r="F45" i="6"/>
  <c r="E45" i="6"/>
  <c r="D45" i="6"/>
  <c r="C45" i="6"/>
  <c r="J45" i="6"/>
  <c r="B45" i="6"/>
  <c r="I45" i="6"/>
  <c r="A45" i="6"/>
  <c r="H45" i="6"/>
  <c r="G53" i="6"/>
  <c r="F53" i="6"/>
  <c r="E53" i="6"/>
  <c r="D53" i="6"/>
  <c r="C53" i="6"/>
  <c r="J53" i="6"/>
  <c r="B53" i="6"/>
  <c r="I53" i="6"/>
  <c r="A53" i="6"/>
  <c r="H53" i="6"/>
  <c r="G61" i="6"/>
  <c r="F61" i="6"/>
  <c r="E61" i="6"/>
  <c r="D61" i="6"/>
  <c r="C61" i="6"/>
  <c r="J61" i="6"/>
  <c r="B61" i="6"/>
  <c r="I61" i="6"/>
  <c r="A61" i="6"/>
  <c r="H61" i="6"/>
  <c r="G69" i="6"/>
  <c r="F69" i="6"/>
  <c r="E69" i="6"/>
  <c r="D69" i="6"/>
  <c r="C69" i="6"/>
  <c r="J69" i="6"/>
  <c r="B69" i="6"/>
  <c r="I69" i="6"/>
  <c r="A69" i="6"/>
  <c r="H69" i="6"/>
  <c r="G77" i="6"/>
  <c r="F77" i="6"/>
  <c r="E77" i="6"/>
  <c r="D77" i="6"/>
  <c r="C77" i="6"/>
  <c r="J77" i="6"/>
  <c r="B77" i="6"/>
  <c r="I77" i="6"/>
  <c r="A77" i="6"/>
  <c r="H77" i="6"/>
  <c r="G85" i="6"/>
  <c r="F85" i="6"/>
  <c r="E85" i="6"/>
  <c r="D85" i="6"/>
  <c r="C85" i="6"/>
  <c r="J85" i="6"/>
  <c r="B85" i="6"/>
  <c r="I85" i="6"/>
  <c r="A85" i="6"/>
  <c r="H85" i="6"/>
  <c r="G93" i="6"/>
  <c r="F93" i="6"/>
  <c r="E93" i="6"/>
  <c r="D93" i="6"/>
  <c r="C93" i="6"/>
  <c r="J93" i="6"/>
  <c r="B93" i="6"/>
  <c r="I93" i="6"/>
  <c r="A93" i="6"/>
  <c r="H93" i="6"/>
  <c r="G101" i="6"/>
  <c r="F101" i="6"/>
  <c r="E101" i="6"/>
  <c r="D101" i="6"/>
  <c r="C101" i="6"/>
  <c r="J101" i="6"/>
  <c r="B101" i="6"/>
  <c r="I101" i="6"/>
  <c r="A101" i="6"/>
  <c r="H101" i="6"/>
  <c r="G109" i="6"/>
  <c r="F109" i="6"/>
  <c r="E109" i="6"/>
  <c r="D109" i="6"/>
  <c r="C109" i="6"/>
  <c r="J109" i="6"/>
  <c r="B109" i="6"/>
  <c r="I109" i="6"/>
  <c r="A109" i="6"/>
  <c r="H109" i="6"/>
  <c r="G117" i="6"/>
  <c r="F117" i="6"/>
  <c r="E117" i="6"/>
  <c r="D117" i="6"/>
  <c r="C117" i="6"/>
  <c r="J117" i="6"/>
  <c r="B117" i="6"/>
  <c r="I117" i="6"/>
  <c r="A117" i="6"/>
  <c r="H117" i="6"/>
  <c r="G125" i="6"/>
  <c r="F125" i="6"/>
  <c r="E125" i="6"/>
  <c r="D125" i="6"/>
  <c r="C125" i="6"/>
  <c r="J125" i="6"/>
  <c r="B125" i="6"/>
  <c r="I125" i="6"/>
  <c r="A125" i="6"/>
  <c r="H125" i="6"/>
  <c r="G133" i="6"/>
  <c r="F133" i="6"/>
  <c r="E133" i="6"/>
  <c r="D133" i="6"/>
  <c r="C133" i="6"/>
  <c r="J133" i="6"/>
  <c r="B133" i="6"/>
  <c r="I133" i="6"/>
  <c r="A133" i="6"/>
  <c r="H133" i="6"/>
  <c r="G141" i="6"/>
  <c r="F141" i="6"/>
  <c r="E141" i="6"/>
  <c r="D141" i="6"/>
  <c r="C141" i="6"/>
  <c r="J141" i="6"/>
  <c r="B141" i="6"/>
  <c r="I141" i="6"/>
  <c r="A141" i="6"/>
  <c r="H141" i="6"/>
  <c r="G149" i="6"/>
  <c r="F149" i="6"/>
  <c r="E149" i="6"/>
  <c r="D149" i="6"/>
  <c r="C149" i="6"/>
  <c r="J149" i="6"/>
  <c r="B149" i="6"/>
  <c r="I149" i="6"/>
  <c r="A149" i="6"/>
  <c r="H149" i="6"/>
  <c r="G157" i="6"/>
  <c r="F157" i="6"/>
  <c r="E157" i="6"/>
  <c r="D157" i="6"/>
  <c r="C157" i="6"/>
  <c r="J157" i="6"/>
  <c r="B157" i="6"/>
  <c r="I157" i="6"/>
  <c r="A157" i="6"/>
  <c r="H157" i="6"/>
  <c r="G165" i="6"/>
  <c r="F165" i="6"/>
  <c r="E165" i="6"/>
  <c r="D165" i="6"/>
  <c r="C165" i="6"/>
  <c r="J165" i="6"/>
  <c r="B165" i="6"/>
  <c r="I165" i="6"/>
  <c r="A165" i="6"/>
  <c r="H165" i="6"/>
  <c r="G173" i="6"/>
  <c r="F173" i="6"/>
  <c r="E173" i="6"/>
  <c r="D173" i="6"/>
  <c r="C173" i="6"/>
  <c r="J173" i="6"/>
  <c r="B173" i="6"/>
  <c r="I173" i="6"/>
  <c r="A173" i="6"/>
  <c r="H173" i="6"/>
  <c r="G181" i="6"/>
  <c r="F181" i="6"/>
  <c r="E181" i="6"/>
  <c r="D181" i="6"/>
  <c r="C181" i="6"/>
  <c r="J181" i="6"/>
  <c r="B181" i="6"/>
  <c r="I181" i="6"/>
  <c r="A181" i="6"/>
  <c r="H181" i="6"/>
  <c r="G189" i="6"/>
  <c r="F189" i="6"/>
  <c r="E189" i="6"/>
  <c r="D189" i="6"/>
  <c r="C189" i="6"/>
  <c r="J189" i="6"/>
  <c r="B189" i="6"/>
  <c r="I189" i="6"/>
  <c r="A189" i="6"/>
  <c r="H189" i="6"/>
  <c r="G197" i="6"/>
  <c r="F197" i="6"/>
  <c r="E197" i="6"/>
  <c r="D197" i="6"/>
  <c r="C197" i="6"/>
  <c r="J197" i="6"/>
  <c r="B197" i="6"/>
  <c r="I197" i="6"/>
  <c r="A197" i="6"/>
  <c r="H197" i="6"/>
  <c r="G205" i="6"/>
  <c r="F205" i="6"/>
  <c r="E205" i="6"/>
  <c r="D205" i="6"/>
  <c r="C205" i="6"/>
  <c r="J205" i="6"/>
  <c r="B205" i="6"/>
  <c r="I205" i="6"/>
  <c r="A205" i="6"/>
  <c r="H205" i="6"/>
  <c r="G213" i="6"/>
  <c r="F213" i="6"/>
  <c r="E213" i="6"/>
  <c r="D213" i="6"/>
  <c r="C213" i="6"/>
  <c r="J213" i="6"/>
  <c r="B213" i="6"/>
  <c r="I213" i="6"/>
  <c r="A213" i="6"/>
  <c r="H213" i="6"/>
  <c r="G221" i="6"/>
  <c r="F221" i="6"/>
  <c r="E221" i="6"/>
  <c r="D221" i="6"/>
  <c r="C221" i="6"/>
  <c r="J221" i="6"/>
  <c r="B221" i="6"/>
  <c r="I221" i="6"/>
  <c r="A221" i="6"/>
  <c r="H221" i="6"/>
  <c r="G229" i="6"/>
  <c r="F229" i="6"/>
  <c r="E229" i="6"/>
  <c r="D229" i="6"/>
  <c r="C229" i="6"/>
  <c r="J229" i="6"/>
  <c r="B229" i="6"/>
  <c r="I229" i="6"/>
  <c r="A229" i="6"/>
  <c r="H229" i="6"/>
  <c r="G237" i="6"/>
  <c r="F237" i="6"/>
  <c r="E237" i="6"/>
  <c r="D237" i="6"/>
  <c r="C237" i="6"/>
  <c r="J237" i="6"/>
  <c r="B237" i="6"/>
  <c r="I237" i="6"/>
  <c r="A237" i="6"/>
  <c r="H237" i="6"/>
  <c r="G245" i="6"/>
  <c r="F245" i="6"/>
  <c r="E245" i="6"/>
  <c r="D245" i="6"/>
  <c r="C245" i="6"/>
  <c r="J245" i="6"/>
  <c r="B245" i="6"/>
  <c r="I245" i="6"/>
  <c r="A245" i="6"/>
  <c r="H245" i="6"/>
  <c r="G253" i="6"/>
  <c r="F253" i="6"/>
  <c r="E253" i="6"/>
  <c r="D253" i="6"/>
  <c r="C253" i="6"/>
  <c r="J253" i="6"/>
  <c r="B253" i="6"/>
  <c r="I253" i="6"/>
  <c r="A253" i="6"/>
  <c r="H253" i="6"/>
  <c r="G261" i="6"/>
  <c r="F261" i="6"/>
  <c r="E261" i="6"/>
  <c r="D261" i="6"/>
  <c r="C261" i="6"/>
  <c r="J261" i="6"/>
  <c r="B261" i="6"/>
  <c r="I261" i="6"/>
  <c r="A261" i="6"/>
  <c r="H261" i="6"/>
  <c r="G269" i="6"/>
  <c r="F269" i="6"/>
  <c r="E269" i="6"/>
  <c r="D269" i="6"/>
  <c r="C269" i="6"/>
  <c r="J269" i="6"/>
  <c r="B269" i="6"/>
  <c r="I269" i="6"/>
  <c r="A269" i="6"/>
  <c r="H269" i="6"/>
  <c r="G277" i="6"/>
  <c r="F277" i="6"/>
  <c r="E277" i="6"/>
  <c r="D277" i="6"/>
  <c r="C277" i="6"/>
  <c r="J277" i="6"/>
  <c r="B277" i="6"/>
  <c r="I277" i="6"/>
  <c r="A277" i="6"/>
  <c r="H277" i="6"/>
  <c r="G285" i="6"/>
  <c r="F285" i="6"/>
  <c r="E285" i="6"/>
  <c r="D285" i="6"/>
  <c r="C285" i="6"/>
  <c r="J285" i="6"/>
  <c r="B285" i="6"/>
  <c r="I285" i="6"/>
  <c r="A285" i="6"/>
  <c r="H285" i="6"/>
  <c r="G293" i="6"/>
  <c r="F293" i="6"/>
  <c r="E293" i="6"/>
  <c r="D293" i="6"/>
  <c r="C293" i="6"/>
  <c r="J293" i="6"/>
  <c r="B293" i="6"/>
  <c r="I293" i="6"/>
  <c r="A293" i="6"/>
  <c r="H293" i="6"/>
  <c r="G301" i="6"/>
  <c r="F301" i="6"/>
  <c r="E301" i="6"/>
  <c r="D301" i="6"/>
  <c r="C301" i="6"/>
  <c r="J301" i="6"/>
  <c r="B301" i="6"/>
  <c r="I301" i="6"/>
  <c r="A301" i="6"/>
  <c r="H301" i="6"/>
  <c r="G309" i="6"/>
  <c r="F309" i="6"/>
  <c r="E309" i="6"/>
  <c r="D309" i="6"/>
  <c r="C309" i="6"/>
  <c r="J309" i="6"/>
  <c r="B309" i="6"/>
  <c r="I309" i="6"/>
  <c r="A309" i="6"/>
  <c r="H309" i="6"/>
  <c r="G317" i="6"/>
  <c r="F317" i="6"/>
  <c r="E317" i="6"/>
  <c r="D317" i="6"/>
  <c r="C317" i="6"/>
  <c r="J317" i="6"/>
  <c r="B317" i="6"/>
  <c r="I317" i="6"/>
  <c r="A317" i="6"/>
  <c r="H317" i="6"/>
  <c r="G325" i="6"/>
  <c r="F325" i="6"/>
  <c r="E325" i="6"/>
  <c r="D325" i="6"/>
  <c r="C325" i="6"/>
  <c r="J325" i="6"/>
  <c r="B325" i="6"/>
  <c r="I325" i="6"/>
  <c r="A325" i="6"/>
  <c r="H325" i="6"/>
  <c r="G333" i="6"/>
  <c r="F333" i="6"/>
  <c r="E333" i="6"/>
  <c r="D333" i="6"/>
  <c r="C333" i="6"/>
  <c r="J333" i="6"/>
  <c r="B333" i="6"/>
  <c r="I333" i="6"/>
  <c r="A333" i="6"/>
  <c r="H333" i="6"/>
  <c r="G341" i="6"/>
  <c r="F341" i="6"/>
  <c r="E341" i="6"/>
  <c r="D341" i="6"/>
  <c r="C341" i="6"/>
  <c r="J341" i="6"/>
  <c r="B341" i="6"/>
  <c r="I341" i="6"/>
  <c r="A341" i="6"/>
  <c r="H341" i="6"/>
  <c r="G349" i="6"/>
  <c r="F349" i="6"/>
  <c r="E349" i="6"/>
  <c r="D349" i="6"/>
  <c r="C349" i="6"/>
  <c r="J349" i="6"/>
  <c r="B349" i="6"/>
  <c r="I349" i="6"/>
  <c r="A349" i="6"/>
  <c r="H349" i="6"/>
  <c r="G357" i="6"/>
  <c r="F357" i="6"/>
  <c r="E357" i="6"/>
  <c r="D357" i="6"/>
  <c r="C357" i="6"/>
  <c r="J357" i="6"/>
  <c r="B357" i="6"/>
  <c r="I357" i="6"/>
  <c r="A357" i="6"/>
  <c r="H357" i="6"/>
  <c r="G365" i="6"/>
  <c r="F365" i="6"/>
  <c r="E365" i="6"/>
  <c r="D365" i="6"/>
  <c r="C365" i="6"/>
  <c r="J365" i="6"/>
  <c r="B365" i="6"/>
  <c r="I365" i="6"/>
  <c r="A365" i="6"/>
  <c r="H365" i="6"/>
  <c r="G373" i="6"/>
  <c r="F373" i="6"/>
  <c r="E373" i="6"/>
  <c r="D373" i="6"/>
  <c r="C373" i="6"/>
  <c r="J373" i="6"/>
  <c r="B373" i="6"/>
  <c r="I373" i="6"/>
  <c r="A373" i="6"/>
  <c r="H373" i="6"/>
  <c r="G381" i="6"/>
  <c r="F381" i="6"/>
  <c r="E381" i="6"/>
  <c r="D381" i="6"/>
  <c r="C381" i="6"/>
  <c r="J381" i="6"/>
  <c r="B381" i="6"/>
  <c r="I381" i="6"/>
  <c r="A381" i="6"/>
  <c r="H381" i="6"/>
  <c r="G389" i="6"/>
  <c r="F389" i="6"/>
  <c r="E389" i="6"/>
  <c r="D389" i="6"/>
  <c r="C389" i="6"/>
  <c r="J389" i="6"/>
  <c r="B389" i="6"/>
  <c r="I389" i="6"/>
  <c r="A389" i="6"/>
  <c r="H389" i="6"/>
  <c r="C397" i="6"/>
  <c r="G397" i="6"/>
  <c r="B397" i="6"/>
  <c r="A397" i="6"/>
  <c r="J397" i="6"/>
  <c r="I397" i="6"/>
  <c r="H397" i="6"/>
  <c r="F397" i="6"/>
  <c r="E397" i="6"/>
  <c r="D397" i="6"/>
  <c r="C405" i="6"/>
  <c r="J405" i="6"/>
  <c r="B405" i="6"/>
  <c r="I405" i="6"/>
  <c r="A405" i="6"/>
  <c r="G405" i="6"/>
  <c r="F405" i="6"/>
  <c r="E405" i="6"/>
  <c r="D405" i="6"/>
  <c r="H405" i="6"/>
  <c r="C413" i="6"/>
  <c r="J413" i="6"/>
  <c r="B413" i="6"/>
  <c r="I413" i="6"/>
  <c r="A413" i="6"/>
  <c r="H413" i="6"/>
  <c r="G413" i="6"/>
  <c r="F413" i="6"/>
  <c r="E413" i="6"/>
  <c r="D413" i="6"/>
  <c r="C421" i="6"/>
  <c r="J421" i="6"/>
  <c r="B421" i="6"/>
  <c r="I421" i="6"/>
  <c r="A421" i="6"/>
  <c r="H421" i="6"/>
  <c r="G421" i="6"/>
  <c r="F421" i="6"/>
  <c r="E421" i="6"/>
  <c r="D421" i="6"/>
  <c r="C429" i="6"/>
  <c r="J429" i="6"/>
  <c r="B429" i="6"/>
  <c r="I429" i="6"/>
  <c r="A429" i="6"/>
  <c r="H429" i="6"/>
  <c r="G429" i="6"/>
  <c r="F429" i="6"/>
  <c r="E429" i="6"/>
  <c r="D429" i="6"/>
  <c r="C437" i="6"/>
  <c r="J437" i="6"/>
  <c r="B437" i="6"/>
  <c r="I437" i="6"/>
  <c r="A437" i="6"/>
  <c r="H437" i="6"/>
  <c r="G437" i="6"/>
  <c r="F437" i="6"/>
  <c r="E437" i="6"/>
  <c r="D437" i="6"/>
  <c r="C445" i="6"/>
  <c r="J445" i="6"/>
  <c r="B445" i="6"/>
  <c r="I445" i="6"/>
  <c r="A445" i="6"/>
  <c r="H445" i="6"/>
  <c r="G445" i="6"/>
  <c r="F445" i="6"/>
  <c r="E445" i="6"/>
  <c r="D445" i="6"/>
  <c r="C453" i="6"/>
  <c r="J453" i="6"/>
  <c r="B453" i="6"/>
  <c r="I453" i="6"/>
  <c r="A453" i="6"/>
  <c r="H453" i="6"/>
  <c r="G453" i="6"/>
  <c r="F453" i="6"/>
  <c r="E453" i="6"/>
  <c r="D453" i="6"/>
  <c r="C461" i="6"/>
  <c r="J461" i="6"/>
  <c r="B461" i="6"/>
  <c r="I461" i="6"/>
  <c r="A461" i="6"/>
  <c r="H461" i="6"/>
  <c r="G461" i="6"/>
  <c r="F461" i="6"/>
  <c r="E461" i="6"/>
  <c r="D461" i="6"/>
  <c r="C469" i="6"/>
  <c r="J469" i="6"/>
  <c r="B469" i="6"/>
  <c r="I469" i="6"/>
  <c r="A469" i="6"/>
  <c r="H469" i="6"/>
  <c r="G469" i="6"/>
  <c r="F469" i="6"/>
  <c r="E469" i="6"/>
  <c r="D469" i="6"/>
  <c r="C477" i="6"/>
  <c r="J477" i="6"/>
  <c r="B477" i="6"/>
  <c r="I477" i="6"/>
  <c r="A477" i="6"/>
  <c r="H477" i="6"/>
  <c r="G477" i="6"/>
  <c r="F477" i="6"/>
  <c r="E477" i="6"/>
  <c r="D477" i="6"/>
  <c r="C485" i="6"/>
  <c r="J485" i="6"/>
  <c r="B485" i="6"/>
  <c r="I485" i="6"/>
  <c r="A485" i="6"/>
  <c r="H485" i="6"/>
  <c r="G485" i="6"/>
  <c r="F485" i="6"/>
  <c r="E485" i="6"/>
  <c r="D485" i="6"/>
  <c r="C493" i="6"/>
  <c r="J493" i="6"/>
  <c r="B493" i="6"/>
  <c r="I493" i="6"/>
  <c r="A493" i="6"/>
  <c r="H493" i="6"/>
  <c r="G493" i="6"/>
  <c r="F493" i="6"/>
  <c r="E493" i="6"/>
  <c r="D493" i="6"/>
  <c r="C501" i="6"/>
  <c r="J501" i="6"/>
  <c r="B501" i="6"/>
  <c r="I501" i="6"/>
  <c r="A501" i="6"/>
  <c r="H501" i="6"/>
  <c r="G501" i="6"/>
  <c r="F501" i="6"/>
  <c r="E501" i="6"/>
  <c r="D501" i="6"/>
  <c r="C509" i="6"/>
  <c r="J509" i="6"/>
  <c r="B509" i="6"/>
  <c r="I509" i="6"/>
  <c r="A509" i="6"/>
  <c r="H509" i="6"/>
  <c r="G509" i="6"/>
  <c r="F509" i="6"/>
  <c r="E509" i="6"/>
  <c r="D509" i="6"/>
  <c r="C517" i="6"/>
  <c r="J517" i="6"/>
  <c r="B517" i="6"/>
  <c r="I517" i="6"/>
  <c r="A517" i="6"/>
  <c r="H517" i="6"/>
  <c r="G517" i="6"/>
  <c r="F517" i="6"/>
  <c r="E517" i="6"/>
  <c r="D517" i="6"/>
  <c r="C525" i="6"/>
  <c r="J525" i="6"/>
  <c r="B525" i="6"/>
  <c r="I525" i="6"/>
  <c r="A525" i="6"/>
  <c r="H525" i="6"/>
  <c r="G525" i="6"/>
  <c r="F525" i="6"/>
  <c r="E525" i="6"/>
  <c r="D525" i="6"/>
  <c r="C533" i="6"/>
  <c r="J533" i="6"/>
  <c r="B533" i="6"/>
  <c r="I533" i="6"/>
  <c r="A533" i="6"/>
  <c r="H533" i="6"/>
  <c r="G533" i="6"/>
  <c r="F533" i="6"/>
  <c r="E533" i="6"/>
  <c r="D533" i="6"/>
  <c r="C541" i="6"/>
  <c r="J541" i="6"/>
  <c r="B541" i="6"/>
  <c r="I541" i="6"/>
  <c r="A541" i="6"/>
  <c r="H541" i="6"/>
  <c r="G541" i="6"/>
  <c r="F541" i="6"/>
  <c r="E541" i="6"/>
  <c r="D541" i="6"/>
  <c r="C549" i="6"/>
  <c r="J549" i="6"/>
  <c r="B549" i="6"/>
  <c r="I549" i="6"/>
  <c r="A549" i="6"/>
  <c r="H549" i="6"/>
  <c r="G549" i="6"/>
  <c r="F549" i="6"/>
  <c r="E549" i="6"/>
  <c r="D549" i="6"/>
  <c r="C557" i="6"/>
  <c r="J557" i="6"/>
  <c r="B557" i="6"/>
  <c r="I557" i="6"/>
  <c r="A557" i="6"/>
  <c r="H557" i="6"/>
  <c r="G557" i="6"/>
  <c r="F557" i="6"/>
  <c r="E557" i="6"/>
  <c r="D557" i="6"/>
  <c r="C565" i="6"/>
  <c r="J565" i="6"/>
  <c r="B565" i="6"/>
  <c r="I565" i="6"/>
  <c r="A565" i="6"/>
  <c r="H565" i="6"/>
  <c r="G565" i="6"/>
  <c r="F565" i="6"/>
  <c r="E565" i="6"/>
  <c r="D565" i="6"/>
  <c r="C573" i="6"/>
  <c r="J573" i="6"/>
  <c r="B573" i="6"/>
  <c r="I573" i="6"/>
  <c r="A573" i="6"/>
  <c r="H573" i="6"/>
  <c r="G573" i="6"/>
  <c r="F573" i="6"/>
  <c r="E573" i="6"/>
  <c r="D573" i="6"/>
  <c r="C581" i="6"/>
  <c r="J581" i="6"/>
  <c r="B581" i="6"/>
  <c r="I581" i="6"/>
  <c r="A581" i="6"/>
  <c r="H581" i="6"/>
  <c r="G581" i="6"/>
  <c r="F581" i="6"/>
  <c r="E581" i="6"/>
  <c r="D581" i="6"/>
  <c r="C589" i="6"/>
  <c r="J589" i="6"/>
  <c r="B589" i="6"/>
  <c r="I589" i="6"/>
  <c r="A589" i="6"/>
  <c r="H589" i="6"/>
  <c r="G589" i="6"/>
  <c r="F589" i="6"/>
  <c r="E589" i="6"/>
  <c r="D589" i="6"/>
  <c r="C597" i="6"/>
  <c r="J597" i="6"/>
  <c r="B597" i="6"/>
  <c r="I597" i="6"/>
  <c r="A597" i="6"/>
  <c r="H597" i="6"/>
  <c r="G597" i="6"/>
  <c r="F597" i="6"/>
  <c r="E597" i="6"/>
  <c r="D597" i="6"/>
  <c r="C605" i="6"/>
  <c r="J605" i="6"/>
  <c r="B605" i="6"/>
  <c r="I605" i="6"/>
  <c r="A605" i="6"/>
  <c r="H605" i="6"/>
  <c r="G605" i="6"/>
  <c r="F605" i="6"/>
  <c r="E605" i="6"/>
  <c r="D605" i="6"/>
  <c r="C613" i="6"/>
  <c r="J613" i="6"/>
  <c r="B613" i="6"/>
  <c r="I613" i="6"/>
  <c r="A613" i="6"/>
  <c r="H613" i="6"/>
  <c r="G613" i="6"/>
  <c r="F613" i="6"/>
  <c r="E613" i="6"/>
  <c r="D613" i="6"/>
  <c r="C621" i="6"/>
  <c r="J621" i="6"/>
  <c r="B621" i="6"/>
  <c r="I621" i="6"/>
  <c r="A621" i="6"/>
  <c r="H621" i="6"/>
  <c r="G621" i="6"/>
  <c r="F621" i="6"/>
  <c r="E621" i="6"/>
  <c r="D621" i="6"/>
  <c r="C629" i="6"/>
  <c r="J629" i="6"/>
  <c r="B629" i="6"/>
  <c r="I629" i="6"/>
  <c r="A629" i="6"/>
  <c r="H629" i="6"/>
  <c r="G629" i="6"/>
  <c r="F629" i="6"/>
  <c r="E629" i="6"/>
  <c r="D629" i="6"/>
  <c r="C637" i="6"/>
  <c r="J637" i="6"/>
  <c r="B637" i="6"/>
  <c r="I637" i="6"/>
  <c r="A637" i="6"/>
  <c r="H637" i="6"/>
  <c r="G637" i="6"/>
  <c r="F637" i="6"/>
  <c r="E637" i="6"/>
  <c r="D637" i="6"/>
  <c r="C645" i="6"/>
  <c r="J645" i="6"/>
  <c r="B645" i="6"/>
  <c r="I645" i="6"/>
  <c r="A645" i="6"/>
  <c r="H645" i="6"/>
  <c r="G645" i="6"/>
  <c r="F645" i="6"/>
  <c r="E645" i="6"/>
  <c r="D645" i="6"/>
  <c r="C653" i="6"/>
  <c r="J653" i="6"/>
  <c r="B653" i="6"/>
  <c r="I653" i="6"/>
  <c r="A653" i="6"/>
  <c r="H653" i="6"/>
  <c r="G653" i="6"/>
  <c r="F653" i="6"/>
  <c r="E653" i="6"/>
  <c r="D653" i="6"/>
  <c r="C661" i="6"/>
  <c r="J661" i="6"/>
  <c r="B661" i="6"/>
  <c r="I661" i="6"/>
  <c r="A661" i="6"/>
  <c r="H661" i="6"/>
  <c r="G661" i="6"/>
  <c r="F661" i="6"/>
  <c r="E661" i="6"/>
  <c r="D661" i="6"/>
  <c r="C669" i="6"/>
  <c r="J669" i="6"/>
  <c r="B669" i="6"/>
  <c r="I669" i="6"/>
  <c r="A669" i="6"/>
  <c r="H669" i="6"/>
  <c r="G669" i="6"/>
  <c r="F669" i="6"/>
  <c r="E669" i="6"/>
  <c r="D669" i="6"/>
  <c r="C677" i="6"/>
  <c r="J677" i="6"/>
  <c r="B677" i="6"/>
  <c r="I677" i="6"/>
  <c r="A677" i="6"/>
  <c r="H677" i="6"/>
  <c r="G677" i="6"/>
  <c r="F677" i="6"/>
  <c r="E677" i="6"/>
  <c r="D677" i="6"/>
  <c r="C685" i="6"/>
  <c r="J685" i="6"/>
  <c r="B685" i="6"/>
  <c r="I685" i="6"/>
  <c r="A685" i="6"/>
  <c r="H685" i="6"/>
  <c r="G685" i="6"/>
  <c r="F685" i="6"/>
  <c r="E685" i="6"/>
  <c r="D685" i="6"/>
  <c r="C693" i="6"/>
  <c r="J693" i="6"/>
  <c r="B693" i="6"/>
  <c r="I693" i="6"/>
  <c r="A693" i="6"/>
  <c r="H693" i="6"/>
  <c r="G693" i="6"/>
  <c r="F693" i="6"/>
  <c r="E693" i="6"/>
  <c r="D693" i="6"/>
  <c r="C701" i="6"/>
  <c r="J701" i="6"/>
  <c r="B701" i="6"/>
  <c r="I701" i="6"/>
  <c r="A701" i="6"/>
  <c r="H701" i="6"/>
  <c r="G701" i="6"/>
  <c r="F701" i="6"/>
  <c r="E701" i="6"/>
  <c r="D701" i="6"/>
  <c r="C709" i="6"/>
  <c r="J709" i="6"/>
  <c r="B709" i="6"/>
  <c r="I709" i="6"/>
  <c r="A709" i="6"/>
  <c r="H709" i="6"/>
  <c r="G709" i="6"/>
  <c r="F709" i="6"/>
  <c r="E709" i="6"/>
  <c r="D709" i="6"/>
  <c r="C717" i="6"/>
  <c r="J717" i="6"/>
  <c r="B717" i="6"/>
  <c r="I717" i="6"/>
  <c r="A717" i="6"/>
  <c r="H717" i="6"/>
  <c r="G717" i="6"/>
  <c r="F717" i="6"/>
  <c r="E717" i="6"/>
  <c r="D717" i="6"/>
  <c r="C725" i="6"/>
  <c r="J725" i="6"/>
  <c r="B725" i="6"/>
  <c r="I725" i="6"/>
  <c r="A725" i="6"/>
  <c r="H725" i="6"/>
  <c r="G725" i="6"/>
  <c r="F725" i="6"/>
  <c r="E725" i="6"/>
  <c r="D725" i="6"/>
  <c r="C733" i="6"/>
  <c r="J733" i="6"/>
  <c r="B733" i="6"/>
  <c r="I733" i="6"/>
  <c r="A733" i="6"/>
  <c r="H733" i="6"/>
  <c r="G733" i="6"/>
  <c r="F733" i="6"/>
  <c r="E733" i="6"/>
  <c r="D733" i="6"/>
  <c r="C741" i="6"/>
  <c r="J741" i="6"/>
  <c r="B741" i="6"/>
  <c r="I741" i="6"/>
  <c r="A741" i="6"/>
  <c r="H741" i="6"/>
  <c r="G741" i="6"/>
  <c r="F741" i="6"/>
  <c r="E741" i="6"/>
  <c r="D741" i="6"/>
  <c r="C749" i="6"/>
  <c r="J749" i="6"/>
  <c r="B749" i="6"/>
  <c r="I749" i="6"/>
  <c r="A749" i="6"/>
  <c r="H749" i="6"/>
  <c r="G749" i="6"/>
  <c r="F749" i="6"/>
  <c r="E749" i="6"/>
  <c r="D749" i="6"/>
  <c r="C757" i="6"/>
  <c r="J757" i="6"/>
  <c r="B757" i="6"/>
  <c r="I757" i="6"/>
  <c r="A757" i="6"/>
  <c r="H757" i="6"/>
  <c r="G757" i="6"/>
  <c r="F757" i="6"/>
  <c r="E757" i="6"/>
  <c r="D757" i="6"/>
  <c r="C765" i="6"/>
  <c r="J765" i="6"/>
  <c r="B765" i="6"/>
  <c r="I765" i="6"/>
  <c r="A765" i="6"/>
  <c r="H765" i="6"/>
  <c r="G765" i="6"/>
  <c r="F765" i="6"/>
  <c r="E765" i="6"/>
  <c r="D765" i="6"/>
  <c r="C773" i="6"/>
  <c r="J773" i="6"/>
  <c r="B773" i="6"/>
  <c r="I773" i="6"/>
  <c r="A773" i="6"/>
  <c r="H773" i="6"/>
  <c r="G773" i="6"/>
  <c r="F773" i="6"/>
  <c r="E773" i="6"/>
  <c r="D773" i="6"/>
  <c r="C781" i="6"/>
  <c r="J781" i="6"/>
  <c r="B781" i="6"/>
  <c r="I781" i="6"/>
  <c r="A781" i="6"/>
  <c r="H781" i="6"/>
  <c r="G781" i="6"/>
  <c r="F781" i="6"/>
  <c r="E781" i="6"/>
  <c r="D781" i="6"/>
  <c r="D789" i="6"/>
  <c r="C789" i="6"/>
  <c r="J789" i="6"/>
  <c r="B789" i="6"/>
  <c r="I789" i="6"/>
  <c r="A789" i="6"/>
  <c r="H789" i="6"/>
  <c r="G789" i="6"/>
  <c r="F789" i="6"/>
  <c r="E789" i="6"/>
  <c r="D797" i="6"/>
  <c r="C797" i="6"/>
  <c r="J797" i="6"/>
  <c r="B797" i="6"/>
  <c r="I797" i="6"/>
  <c r="A797" i="6"/>
  <c r="H797" i="6"/>
  <c r="G797" i="6"/>
  <c r="F797" i="6"/>
  <c r="E797" i="6"/>
  <c r="D805" i="6"/>
  <c r="C805" i="6"/>
  <c r="J805" i="6"/>
  <c r="B805" i="6"/>
  <c r="I805" i="6"/>
  <c r="A805" i="6"/>
  <c r="H805" i="6"/>
  <c r="G805" i="6"/>
  <c r="F805" i="6"/>
  <c r="E805" i="6"/>
  <c r="D813" i="6"/>
  <c r="C813" i="6"/>
  <c r="J813" i="6"/>
  <c r="B813" i="6"/>
  <c r="I813" i="6"/>
  <c r="A813" i="6"/>
  <c r="H813" i="6"/>
  <c r="G813" i="6"/>
  <c r="F813" i="6"/>
  <c r="E813" i="6"/>
  <c r="D821" i="6"/>
  <c r="C821" i="6"/>
  <c r="J821" i="6"/>
  <c r="B821" i="6"/>
  <c r="I821" i="6"/>
  <c r="A821" i="6"/>
  <c r="H821" i="6"/>
  <c r="G821" i="6"/>
  <c r="F821" i="6"/>
  <c r="E821" i="6"/>
  <c r="D829" i="6"/>
  <c r="C829" i="6"/>
  <c r="J829" i="6"/>
  <c r="B829" i="6"/>
  <c r="I829" i="6"/>
  <c r="A829" i="6"/>
  <c r="H829" i="6"/>
  <c r="G829" i="6"/>
  <c r="F829" i="6"/>
  <c r="E829" i="6"/>
  <c r="D837" i="6"/>
  <c r="C837" i="6"/>
  <c r="J837" i="6"/>
  <c r="B837" i="6"/>
  <c r="I837" i="6"/>
  <c r="A837" i="6"/>
  <c r="H837" i="6"/>
  <c r="G837" i="6"/>
  <c r="F837" i="6"/>
  <c r="E837" i="6"/>
  <c r="D845" i="6"/>
  <c r="C845" i="6"/>
  <c r="J845" i="6"/>
  <c r="B845" i="6"/>
  <c r="I845" i="6"/>
  <c r="A845" i="6"/>
  <c r="H845" i="6"/>
  <c r="G845" i="6"/>
  <c r="F845" i="6"/>
  <c r="E845" i="6"/>
  <c r="D853" i="6"/>
  <c r="C853" i="6"/>
  <c r="J853" i="6"/>
  <c r="B853" i="6"/>
  <c r="I853" i="6"/>
  <c r="A853" i="6"/>
  <c r="H853" i="6"/>
  <c r="G853" i="6"/>
  <c r="F853" i="6"/>
  <c r="E853" i="6"/>
  <c r="D861" i="6"/>
  <c r="C861" i="6"/>
  <c r="J861" i="6"/>
  <c r="B861" i="6"/>
  <c r="I861" i="6"/>
  <c r="A861" i="6"/>
  <c r="H861" i="6"/>
  <c r="G861" i="6"/>
  <c r="F861" i="6"/>
  <c r="E861" i="6"/>
  <c r="D869" i="6"/>
  <c r="C869" i="6"/>
  <c r="J869" i="6"/>
  <c r="B869" i="6"/>
  <c r="I869" i="6"/>
  <c r="A869" i="6"/>
  <c r="H869" i="6"/>
  <c r="G869" i="6"/>
  <c r="F869" i="6"/>
  <c r="E869" i="6"/>
  <c r="D877" i="6"/>
  <c r="C877" i="6"/>
  <c r="J877" i="6"/>
  <c r="B877" i="6"/>
  <c r="I877" i="6"/>
  <c r="A877" i="6"/>
  <c r="H877" i="6"/>
  <c r="G877" i="6"/>
  <c r="F877" i="6"/>
  <c r="E877" i="6"/>
  <c r="D885" i="6"/>
  <c r="C885" i="6"/>
  <c r="J885" i="6"/>
  <c r="B885" i="6"/>
  <c r="I885" i="6"/>
  <c r="A885" i="6"/>
  <c r="H885" i="6"/>
  <c r="G885" i="6"/>
  <c r="F885" i="6"/>
  <c r="E885" i="6"/>
  <c r="D893" i="6"/>
  <c r="C893" i="6"/>
  <c r="J893" i="6"/>
  <c r="B893" i="6"/>
  <c r="I893" i="6"/>
  <c r="A893" i="6"/>
  <c r="H893" i="6"/>
  <c r="G893" i="6"/>
  <c r="F893" i="6"/>
  <c r="E893" i="6"/>
  <c r="D901" i="6"/>
  <c r="C901" i="6"/>
  <c r="J901" i="6"/>
  <c r="B901" i="6"/>
  <c r="I901" i="6"/>
  <c r="A901" i="6"/>
  <c r="H901" i="6"/>
  <c r="G901" i="6"/>
  <c r="F901" i="6"/>
  <c r="E901" i="6"/>
  <c r="D909" i="6"/>
  <c r="C909" i="6"/>
  <c r="J909" i="6"/>
  <c r="B909" i="6"/>
  <c r="I909" i="6"/>
  <c r="A909" i="6"/>
  <c r="H909" i="6"/>
  <c r="G909" i="6"/>
  <c r="F909" i="6"/>
  <c r="E909" i="6"/>
  <c r="D917" i="6"/>
  <c r="C917" i="6"/>
  <c r="J917" i="6"/>
  <c r="B917" i="6"/>
  <c r="I917" i="6"/>
  <c r="A917" i="6"/>
  <c r="H917" i="6"/>
  <c r="G917" i="6"/>
  <c r="F917" i="6"/>
  <c r="E917" i="6"/>
  <c r="D925" i="6"/>
  <c r="C925" i="6"/>
  <c r="J925" i="6"/>
  <c r="B925" i="6"/>
  <c r="I925" i="6"/>
  <c r="A925" i="6"/>
  <c r="H925" i="6"/>
  <c r="G925" i="6"/>
  <c r="F925" i="6"/>
  <c r="E925" i="6"/>
  <c r="D933" i="6"/>
  <c r="C933" i="6"/>
  <c r="J933" i="6"/>
  <c r="B933" i="6"/>
  <c r="I933" i="6"/>
  <c r="A933" i="6"/>
  <c r="H933" i="6"/>
  <c r="G933" i="6"/>
  <c r="F933" i="6"/>
  <c r="E933" i="6"/>
  <c r="D941" i="6"/>
  <c r="C941" i="6"/>
  <c r="J941" i="6"/>
  <c r="B941" i="6"/>
  <c r="I941" i="6"/>
  <c r="A941" i="6"/>
  <c r="H941" i="6"/>
  <c r="G941" i="6"/>
  <c r="F941" i="6"/>
  <c r="E941" i="6"/>
  <c r="D949" i="6"/>
  <c r="C949" i="6"/>
  <c r="J949" i="6"/>
  <c r="B949" i="6"/>
  <c r="I949" i="6"/>
  <c r="A949" i="6"/>
  <c r="H949" i="6"/>
  <c r="G949" i="6"/>
  <c r="F949" i="6"/>
  <c r="E949" i="6"/>
  <c r="D957" i="6"/>
  <c r="C957" i="6"/>
  <c r="J957" i="6"/>
  <c r="B957" i="6"/>
  <c r="I957" i="6"/>
  <c r="A957" i="6"/>
  <c r="H957" i="6"/>
  <c r="G957" i="6"/>
  <c r="F957" i="6"/>
  <c r="E957" i="6"/>
  <c r="D965" i="6"/>
  <c r="C965" i="6"/>
  <c r="J965" i="6"/>
  <c r="B965" i="6"/>
  <c r="I965" i="6"/>
  <c r="A965" i="6"/>
  <c r="H965" i="6"/>
  <c r="G965" i="6"/>
  <c r="F965" i="6"/>
  <c r="E965" i="6"/>
  <c r="C973" i="6"/>
  <c r="J973" i="6"/>
  <c r="B973" i="6"/>
  <c r="H973" i="6"/>
  <c r="G973" i="6"/>
  <c r="F973" i="6"/>
  <c r="E973" i="6"/>
  <c r="D973" i="6"/>
  <c r="I973" i="6"/>
  <c r="A973" i="6"/>
  <c r="C981" i="6"/>
  <c r="J981" i="6"/>
  <c r="B981" i="6"/>
  <c r="H981" i="6"/>
  <c r="G981" i="6"/>
  <c r="F981" i="6"/>
  <c r="E981" i="6"/>
  <c r="D981" i="6"/>
  <c r="I981" i="6"/>
  <c r="A981" i="6"/>
  <c r="C989" i="6"/>
  <c r="J989" i="6"/>
  <c r="B989" i="6"/>
  <c r="H989" i="6"/>
  <c r="G989" i="6"/>
  <c r="F989" i="6"/>
  <c r="E989" i="6"/>
  <c r="D989" i="6"/>
  <c r="I989" i="6"/>
  <c r="A989" i="6"/>
  <c r="C997" i="6"/>
  <c r="J997" i="6"/>
  <c r="B997" i="6"/>
  <c r="H997" i="6"/>
  <c r="G997" i="6"/>
  <c r="F997" i="6"/>
  <c r="E997" i="6"/>
  <c r="D997" i="6"/>
  <c r="A997" i="6"/>
  <c r="I997" i="6"/>
  <c r="C1005" i="6"/>
  <c r="J1005" i="6"/>
  <c r="B1005" i="6"/>
  <c r="H1005" i="6"/>
  <c r="G1005" i="6"/>
  <c r="F1005" i="6"/>
  <c r="E1005" i="6"/>
  <c r="D1005" i="6"/>
  <c r="I1005" i="6"/>
  <c r="A1005" i="6"/>
  <c r="C1013" i="6"/>
  <c r="J1013" i="6"/>
  <c r="B1013" i="6"/>
  <c r="H1013" i="6"/>
  <c r="G1013" i="6"/>
  <c r="F1013" i="6"/>
  <c r="E1013" i="6"/>
  <c r="D1013" i="6"/>
  <c r="I1013" i="6"/>
  <c r="A1013" i="6"/>
  <c r="C1021" i="6"/>
  <c r="J1021" i="6"/>
  <c r="B1021" i="6"/>
  <c r="H1021" i="6"/>
  <c r="G1021" i="6"/>
  <c r="F1021" i="6"/>
  <c r="E1021" i="6"/>
  <c r="D1021" i="6"/>
  <c r="I1021" i="6"/>
  <c r="A1021" i="6"/>
  <c r="C1029" i="6"/>
  <c r="J1029" i="6"/>
  <c r="B1029" i="6"/>
  <c r="H1029" i="6"/>
  <c r="G1029" i="6"/>
  <c r="F1029" i="6"/>
  <c r="E1029" i="6"/>
  <c r="D1029" i="6"/>
  <c r="A1029" i="6"/>
  <c r="I1029" i="6"/>
  <c r="C1037" i="6"/>
  <c r="J1037" i="6"/>
  <c r="B1037" i="6"/>
  <c r="I1037" i="6"/>
  <c r="A1037" i="6"/>
  <c r="H1037" i="6"/>
  <c r="G1037" i="6"/>
  <c r="F1037" i="6"/>
  <c r="E1037" i="6"/>
  <c r="D1037" i="6"/>
  <c r="C1045" i="6"/>
  <c r="J1045" i="6"/>
  <c r="B1045" i="6"/>
  <c r="I1045" i="6"/>
  <c r="A1045" i="6"/>
  <c r="H1045" i="6"/>
  <c r="G1045" i="6"/>
  <c r="F1045" i="6"/>
  <c r="E1045" i="6"/>
  <c r="D1045" i="6"/>
  <c r="C1053" i="6"/>
  <c r="J1053" i="6"/>
  <c r="B1053" i="6"/>
  <c r="I1053" i="6"/>
  <c r="A1053" i="6"/>
  <c r="H1053" i="6"/>
  <c r="G1053" i="6"/>
  <c r="F1053" i="6"/>
  <c r="E1053" i="6"/>
  <c r="D1053" i="6"/>
  <c r="C1061" i="6"/>
  <c r="J1061" i="6"/>
  <c r="B1061" i="6"/>
  <c r="I1061" i="6"/>
  <c r="A1061" i="6"/>
  <c r="H1061" i="6"/>
  <c r="G1061" i="6"/>
  <c r="F1061" i="6"/>
  <c r="E1061" i="6"/>
  <c r="D1061" i="6"/>
  <c r="C1069" i="6"/>
  <c r="J1069" i="6"/>
  <c r="B1069" i="6"/>
  <c r="I1069" i="6"/>
  <c r="A1069" i="6"/>
  <c r="H1069" i="6"/>
  <c r="G1069" i="6"/>
  <c r="F1069" i="6"/>
  <c r="E1069" i="6"/>
  <c r="D1069" i="6"/>
  <c r="C1077" i="6"/>
  <c r="J1077" i="6"/>
  <c r="B1077" i="6"/>
  <c r="I1077" i="6"/>
  <c r="A1077" i="6"/>
  <c r="H1077" i="6"/>
  <c r="G1077" i="6"/>
  <c r="F1077" i="6"/>
  <c r="E1077" i="6"/>
  <c r="D1077" i="6"/>
  <c r="C1085" i="6"/>
  <c r="J1085" i="6"/>
  <c r="B1085" i="6"/>
  <c r="I1085" i="6"/>
  <c r="A1085" i="6"/>
  <c r="H1085" i="6"/>
  <c r="G1085" i="6"/>
  <c r="F1085" i="6"/>
  <c r="E1085" i="6"/>
  <c r="D1085" i="6"/>
  <c r="C1093" i="6"/>
  <c r="J1093" i="6"/>
  <c r="B1093" i="6"/>
  <c r="I1093" i="6"/>
  <c r="A1093" i="6"/>
  <c r="H1093" i="6"/>
  <c r="G1093" i="6"/>
  <c r="F1093" i="6"/>
  <c r="E1093" i="6"/>
  <c r="D1093" i="6"/>
  <c r="C1101" i="6"/>
  <c r="J1101" i="6"/>
  <c r="B1101" i="6"/>
  <c r="I1101" i="6"/>
  <c r="A1101" i="6"/>
  <c r="H1101" i="6"/>
  <c r="G1101" i="6"/>
  <c r="F1101" i="6"/>
  <c r="E1101" i="6"/>
  <c r="D1101" i="6"/>
  <c r="H1109" i="6"/>
  <c r="G1109" i="6"/>
  <c r="E1109" i="6"/>
  <c r="D1109" i="6"/>
  <c r="C1109" i="6"/>
  <c r="J1109" i="6"/>
  <c r="B1109" i="6"/>
  <c r="I1109" i="6"/>
  <c r="A1109" i="6"/>
  <c r="F1109" i="6"/>
  <c r="H1117" i="6"/>
  <c r="G1117" i="6"/>
  <c r="E1117" i="6"/>
  <c r="D1117" i="6"/>
  <c r="C1117" i="6"/>
  <c r="J1117" i="6"/>
  <c r="B1117" i="6"/>
  <c r="I1117" i="6"/>
  <c r="A1117" i="6"/>
  <c r="F1117" i="6"/>
  <c r="H1125" i="6"/>
  <c r="G1125" i="6"/>
  <c r="E1125" i="6"/>
  <c r="D1125" i="6"/>
  <c r="C1125" i="6"/>
  <c r="J1125" i="6"/>
  <c r="B1125" i="6"/>
  <c r="I1125" i="6"/>
  <c r="A1125" i="6"/>
  <c r="F1125" i="6"/>
  <c r="H1133" i="6"/>
  <c r="G1133" i="6"/>
  <c r="E1133" i="6"/>
  <c r="D1133" i="6"/>
  <c r="C1133" i="6"/>
  <c r="J1133" i="6"/>
  <c r="B1133" i="6"/>
  <c r="I1133" i="6"/>
  <c r="A1133" i="6"/>
  <c r="F1133" i="6"/>
  <c r="H1141" i="6"/>
  <c r="G1141" i="6"/>
  <c r="E1141" i="6"/>
  <c r="D1141" i="6"/>
  <c r="C1141" i="6"/>
  <c r="J1141" i="6"/>
  <c r="B1141" i="6"/>
  <c r="I1141" i="6"/>
  <c r="A1141" i="6"/>
  <c r="F1141" i="6"/>
  <c r="H1149" i="6"/>
  <c r="G1149" i="6"/>
  <c r="E1149" i="6"/>
  <c r="D1149" i="6"/>
  <c r="C1149" i="6"/>
  <c r="J1149" i="6"/>
  <c r="B1149" i="6"/>
  <c r="I1149" i="6"/>
  <c r="A1149" i="6"/>
  <c r="F1149" i="6"/>
  <c r="H1157" i="6"/>
  <c r="G1157" i="6"/>
  <c r="E1157" i="6"/>
  <c r="D1157" i="6"/>
  <c r="C1157" i="6"/>
  <c r="J1157" i="6"/>
  <c r="B1157" i="6"/>
  <c r="I1157" i="6"/>
  <c r="A1157" i="6"/>
  <c r="F1157" i="6"/>
  <c r="H1165" i="6"/>
  <c r="G1165" i="6"/>
  <c r="E1165" i="6"/>
  <c r="D1165" i="6"/>
  <c r="C1165" i="6"/>
  <c r="J1165" i="6"/>
  <c r="B1165" i="6"/>
  <c r="I1165" i="6"/>
  <c r="A1165" i="6"/>
  <c r="F1165" i="6"/>
  <c r="H1173" i="6"/>
  <c r="G1173" i="6"/>
  <c r="E1173" i="6"/>
  <c r="D1173" i="6"/>
  <c r="C1173" i="6"/>
  <c r="J1173" i="6"/>
  <c r="B1173" i="6"/>
  <c r="I1173" i="6"/>
  <c r="A1173" i="6"/>
  <c r="F1173" i="6"/>
  <c r="H1181" i="6"/>
  <c r="G1181" i="6"/>
  <c r="E1181" i="6"/>
  <c r="D1181" i="6"/>
  <c r="C1181" i="6"/>
  <c r="J1181" i="6"/>
  <c r="B1181" i="6"/>
  <c r="I1181" i="6"/>
  <c r="A1181" i="6"/>
  <c r="F1181" i="6"/>
  <c r="H1189" i="6"/>
  <c r="G1189" i="6"/>
  <c r="E1189" i="6"/>
  <c r="D1189" i="6"/>
  <c r="C1189" i="6"/>
  <c r="J1189" i="6"/>
  <c r="B1189" i="6"/>
  <c r="I1189" i="6"/>
  <c r="A1189" i="6"/>
  <c r="F1189" i="6"/>
  <c r="H1197" i="6"/>
  <c r="G1197" i="6"/>
  <c r="E1197" i="6"/>
  <c r="D1197" i="6"/>
  <c r="C1197" i="6"/>
  <c r="J1197" i="6"/>
  <c r="B1197" i="6"/>
  <c r="I1197" i="6"/>
  <c r="A1197" i="6"/>
  <c r="F1197" i="6"/>
  <c r="H1205" i="6"/>
  <c r="G1205" i="6"/>
  <c r="E1205" i="6"/>
  <c r="D1205" i="6"/>
  <c r="C1205" i="6"/>
  <c r="J1205" i="6"/>
  <c r="B1205" i="6"/>
  <c r="I1205" i="6"/>
  <c r="A1205" i="6"/>
  <c r="F1205" i="6"/>
  <c r="H1213" i="6"/>
  <c r="G1213" i="6"/>
  <c r="E1213" i="6"/>
  <c r="D1213" i="6"/>
  <c r="C1213" i="6"/>
  <c r="J1213" i="6"/>
  <c r="B1213" i="6"/>
  <c r="I1213" i="6"/>
  <c r="A1213" i="6"/>
  <c r="F1213" i="6"/>
  <c r="H1221" i="6"/>
  <c r="G1221" i="6"/>
  <c r="E1221" i="6"/>
  <c r="D1221" i="6"/>
  <c r="C1221" i="6"/>
  <c r="J1221" i="6"/>
  <c r="B1221" i="6"/>
  <c r="I1221" i="6"/>
  <c r="A1221" i="6"/>
  <c r="F1221" i="6"/>
  <c r="H1229" i="6"/>
  <c r="G1229" i="6"/>
  <c r="E1229" i="6"/>
  <c r="D1229" i="6"/>
  <c r="C1229" i="6"/>
  <c r="J1229" i="6"/>
  <c r="B1229" i="6"/>
  <c r="I1229" i="6"/>
  <c r="A1229" i="6"/>
  <c r="F1229" i="6"/>
  <c r="H1237" i="6"/>
  <c r="G1237" i="6"/>
  <c r="E1237" i="6"/>
  <c r="D1237" i="6"/>
  <c r="C1237" i="6"/>
  <c r="J1237" i="6"/>
  <c r="B1237" i="6"/>
  <c r="I1237" i="6"/>
  <c r="A1237" i="6"/>
  <c r="F1237" i="6"/>
  <c r="H1245" i="6"/>
  <c r="G1245" i="6"/>
  <c r="E1245" i="6"/>
  <c r="D1245" i="6"/>
  <c r="C1245" i="6"/>
  <c r="J1245" i="6"/>
  <c r="B1245" i="6"/>
  <c r="I1245" i="6"/>
  <c r="A1245" i="6"/>
  <c r="F1245" i="6"/>
  <c r="I1253" i="6"/>
  <c r="A1253" i="6"/>
  <c r="F1253" i="6"/>
  <c r="E1253" i="6"/>
  <c r="D1253" i="6"/>
  <c r="C1253" i="6"/>
  <c r="J1253" i="6"/>
  <c r="B1253" i="6"/>
  <c r="G1253" i="6"/>
  <c r="H1253" i="6"/>
  <c r="I1261" i="6"/>
  <c r="A1261" i="6"/>
  <c r="F1261" i="6"/>
  <c r="E1261" i="6"/>
  <c r="D1261" i="6"/>
  <c r="C1261" i="6"/>
  <c r="J1261" i="6"/>
  <c r="B1261" i="6"/>
  <c r="H1261" i="6"/>
  <c r="G1261" i="6"/>
  <c r="I1269" i="6"/>
  <c r="A1269" i="6"/>
  <c r="F1269" i="6"/>
  <c r="E1269" i="6"/>
  <c r="D1269" i="6"/>
  <c r="C1269" i="6"/>
  <c r="J1269" i="6"/>
  <c r="B1269" i="6"/>
  <c r="G1269" i="6"/>
  <c r="H1269" i="6"/>
  <c r="I1277" i="6"/>
  <c r="A1277" i="6"/>
  <c r="F1277" i="6"/>
  <c r="E1277" i="6"/>
  <c r="D1277" i="6"/>
  <c r="C1277" i="6"/>
  <c r="J1277" i="6"/>
  <c r="B1277" i="6"/>
  <c r="H1277" i="6"/>
  <c r="G1277" i="6"/>
  <c r="I1285" i="6"/>
  <c r="A1285" i="6"/>
  <c r="F1285" i="6"/>
  <c r="E1285" i="6"/>
  <c r="D1285" i="6"/>
  <c r="C1285" i="6"/>
  <c r="J1285" i="6"/>
  <c r="B1285" i="6"/>
  <c r="G1285" i="6"/>
  <c r="H1285" i="6"/>
  <c r="I1293" i="6"/>
  <c r="A1293" i="6"/>
  <c r="F1293" i="6"/>
  <c r="E1293" i="6"/>
  <c r="D1293" i="6"/>
  <c r="C1293" i="6"/>
  <c r="J1293" i="6"/>
  <c r="B1293" i="6"/>
  <c r="H1293" i="6"/>
  <c r="G1293" i="6"/>
  <c r="I1301" i="6"/>
  <c r="A1301" i="6"/>
  <c r="F1301" i="6"/>
  <c r="E1301" i="6"/>
  <c r="D1301" i="6"/>
  <c r="C1301" i="6"/>
  <c r="J1301" i="6"/>
  <c r="B1301" i="6"/>
  <c r="G1301" i="6"/>
  <c r="H1301" i="6"/>
  <c r="I1309" i="6"/>
  <c r="A1309" i="6"/>
  <c r="F1309" i="6"/>
  <c r="E1309" i="6"/>
  <c r="D1309" i="6"/>
  <c r="C1309" i="6"/>
  <c r="J1309" i="6"/>
  <c r="B1309" i="6"/>
  <c r="H1309" i="6"/>
  <c r="G1309" i="6"/>
  <c r="I1317" i="6"/>
  <c r="A1317" i="6"/>
  <c r="F1317" i="6"/>
  <c r="E1317" i="6"/>
  <c r="D1317" i="6"/>
  <c r="C1317" i="6"/>
  <c r="J1317" i="6"/>
  <c r="B1317" i="6"/>
  <c r="G1317" i="6"/>
  <c r="H1317" i="6"/>
  <c r="I1325" i="6"/>
  <c r="A1325" i="6"/>
  <c r="F1325" i="6"/>
  <c r="E1325" i="6"/>
  <c r="D1325" i="6"/>
  <c r="C1325" i="6"/>
  <c r="J1325" i="6"/>
  <c r="B1325" i="6"/>
  <c r="H1325" i="6"/>
  <c r="G1325" i="6"/>
  <c r="I1333" i="6"/>
  <c r="A1333" i="6"/>
  <c r="F1333" i="6"/>
  <c r="E1333" i="6"/>
  <c r="D1333" i="6"/>
  <c r="C1333" i="6"/>
  <c r="J1333" i="6"/>
  <c r="B1333" i="6"/>
  <c r="G1333" i="6"/>
  <c r="H1333" i="6"/>
  <c r="G1341" i="6"/>
  <c r="F1341" i="6"/>
  <c r="C1341" i="6"/>
  <c r="B1341" i="6"/>
  <c r="J1341" i="6"/>
  <c r="I1341" i="6"/>
  <c r="H1341" i="6"/>
  <c r="E1341" i="6"/>
  <c r="D1341" i="6"/>
  <c r="A1341" i="6"/>
  <c r="G1349" i="6"/>
  <c r="F1349" i="6"/>
  <c r="C1349" i="6"/>
  <c r="E1349" i="6"/>
  <c r="A1349" i="6"/>
  <c r="J1349" i="6"/>
  <c r="I1349" i="6"/>
  <c r="H1349" i="6"/>
  <c r="B1349" i="6"/>
  <c r="D1349" i="6"/>
  <c r="G1357" i="6"/>
  <c r="F1357" i="6"/>
  <c r="C1357" i="6"/>
  <c r="I1357" i="6"/>
  <c r="D1357" i="6"/>
  <c r="B1357" i="6"/>
  <c r="A1357" i="6"/>
  <c r="J1357" i="6"/>
  <c r="H1357" i="6"/>
  <c r="E1357" i="6"/>
  <c r="G1365" i="6"/>
  <c r="F1365" i="6"/>
  <c r="C1365" i="6"/>
  <c r="H1365" i="6"/>
  <c r="E1365" i="6"/>
  <c r="D1365" i="6"/>
  <c r="B1365" i="6"/>
  <c r="A1365" i="6"/>
  <c r="J1365" i="6"/>
  <c r="I1365" i="6"/>
  <c r="G1373" i="6"/>
  <c r="F1373" i="6"/>
  <c r="C1373" i="6"/>
  <c r="B1373" i="6"/>
  <c r="J1373" i="6"/>
  <c r="I1373" i="6"/>
  <c r="H1373" i="6"/>
  <c r="E1373" i="6"/>
  <c r="D1373" i="6"/>
  <c r="A1373" i="6"/>
  <c r="G1381" i="6"/>
  <c r="F1381" i="6"/>
  <c r="C1381" i="6"/>
  <c r="E1381" i="6"/>
  <c r="A1381" i="6"/>
  <c r="J1381" i="6"/>
  <c r="I1381" i="6"/>
  <c r="H1381" i="6"/>
  <c r="D1381" i="6"/>
  <c r="B1381" i="6"/>
  <c r="G1389" i="6"/>
  <c r="F1389" i="6"/>
  <c r="C1389" i="6"/>
  <c r="I1389" i="6"/>
  <c r="D1389" i="6"/>
  <c r="B1389" i="6"/>
  <c r="A1389" i="6"/>
  <c r="J1389" i="6"/>
  <c r="E1389" i="6"/>
  <c r="H1389" i="6"/>
  <c r="G1397" i="6"/>
  <c r="F1397" i="6"/>
  <c r="C1397" i="6"/>
  <c r="H1397" i="6"/>
  <c r="E1397" i="6"/>
  <c r="D1397" i="6"/>
  <c r="B1397" i="6"/>
  <c r="A1397" i="6"/>
  <c r="J1397" i="6"/>
  <c r="I1397" i="6"/>
  <c r="G1405" i="6"/>
  <c r="F1405" i="6"/>
  <c r="C1405" i="6"/>
  <c r="B1405" i="6"/>
  <c r="J1405" i="6"/>
  <c r="I1405" i="6"/>
  <c r="H1405" i="6"/>
  <c r="E1405" i="6"/>
  <c r="D1405" i="6"/>
  <c r="A1405" i="6"/>
  <c r="G1413" i="6"/>
  <c r="F1413" i="6"/>
  <c r="C1413" i="6"/>
  <c r="E1413" i="6"/>
  <c r="A1413" i="6"/>
  <c r="J1413" i="6"/>
  <c r="I1413" i="6"/>
  <c r="H1413" i="6"/>
  <c r="D1413" i="6"/>
  <c r="B1413" i="6"/>
  <c r="G1421" i="6"/>
  <c r="F1421" i="6"/>
  <c r="C1421" i="6"/>
  <c r="I1421" i="6"/>
  <c r="D1421" i="6"/>
  <c r="B1421" i="6"/>
  <c r="A1421" i="6"/>
  <c r="J1421" i="6"/>
  <c r="H1421" i="6"/>
  <c r="E1421" i="6"/>
  <c r="G1429" i="6"/>
  <c r="F1429" i="6"/>
  <c r="C1429" i="6"/>
  <c r="H1429" i="6"/>
  <c r="E1429" i="6"/>
  <c r="D1429" i="6"/>
  <c r="B1429" i="6"/>
  <c r="A1429" i="6"/>
  <c r="I1429" i="6"/>
  <c r="J1429" i="6"/>
  <c r="D1437" i="6"/>
  <c r="J1437" i="6"/>
  <c r="B1437" i="6"/>
  <c r="F1437" i="6"/>
  <c r="I1437" i="6"/>
  <c r="H1437" i="6"/>
  <c r="C1437" i="6"/>
  <c r="E1437" i="6"/>
  <c r="A1437" i="6"/>
  <c r="G1437" i="6"/>
  <c r="D1445" i="6"/>
  <c r="J1445" i="6"/>
  <c r="B1445" i="6"/>
  <c r="H1445" i="6"/>
  <c r="F1445" i="6"/>
  <c r="G1445" i="6"/>
  <c r="E1445" i="6"/>
  <c r="I1445" i="6"/>
  <c r="C1445" i="6"/>
  <c r="A1445" i="6"/>
  <c r="D1453" i="6"/>
  <c r="J1453" i="6"/>
  <c r="B1453" i="6"/>
  <c r="H1453" i="6"/>
  <c r="F1453" i="6"/>
  <c r="G1453" i="6"/>
  <c r="E1453" i="6"/>
  <c r="A1453" i="6"/>
  <c r="I1453" i="6"/>
  <c r="C1453" i="6"/>
  <c r="D1461" i="6"/>
  <c r="J1461" i="6"/>
  <c r="B1461" i="6"/>
  <c r="H1461" i="6"/>
  <c r="F1461" i="6"/>
  <c r="G1461" i="6"/>
  <c r="E1461" i="6"/>
  <c r="I1461" i="6"/>
  <c r="C1461" i="6"/>
  <c r="A1461" i="6"/>
  <c r="D1469" i="6"/>
  <c r="J1469" i="6"/>
  <c r="B1469" i="6"/>
  <c r="H1469" i="6"/>
  <c r="F1469" i="6"/>
  <c r="G1469" i="6"/>
  <c r="E1469" i="6"/>
  <c r="A1469" i="6"/>
  <c r="I1469" i="6"/>
  <c r="C1469" i="6"/>
  <c r="D1477" i="6"/>
  <c r="J1477" i="6"/>
  <c r="B1477" i="6"/>
  <c r="H1477" i="6"/>
  <c r="F1477" i="6"/>
  <c r="G1477" i="6"/>
  <c r="E1477" i="6"/>
  <c r="I1477" i="6"/>
  <c r="C1477" i="6"/>
  <c r="A1477" i="6"/>
  <c r="D1485" i="6"/>
  <c r="J1485" i="6"/>
  <c r="B1485" i="6"/>
  <c r="H1485" i="6"/>
  <c r="F1485" i="6"/>
  <c r="G1485" i="6"/>
  <c r="E1485" i="6"/>
  <c r="A1485" i="6"/>
  <c r="C1485" i="6"/>
  <c r="I1485" i="6"/>
  <c r="D1493" i="6"/>
  <c r="J1493" i="6"/>
  <c r="B1493" i="6"/>
  <c r="H1493" i="6"/>
  <c r="F1493" i="6"/>
  <c r="G1493" i="6"/>
  <c r="E1493" i="6"/>
  <c r="I1493" i="6"/>
  <c r="C1493" i="6"/>
  <c r="A1493" i="6"/>
  <c r="D1501" i="6"/>
  <c r="J1501" i="6"/>
  <c r="B1501" i="6"/>
  <c r="H1501" i="6"/>
  <c r="F1501" i="6"/>
  <c r="G1501" i="6"/>
  <c r="E1501" i="6"/>
  <c r="A1501" i="6"/>
  <c r="I1501" i="6"/>
  <c r="C1501" i="6"/>
  <c r="D1509" i="6"/>
  <c r="J1509" i="6"/>
  <c r="B1509" i="6"/>
  <c r="H1509" i="6"/>
  <c r="F1509" i="6"/>
  <c r="G1509" i="6"/>
  <c r="E1509" i="6"/>
  <c r="I1509" i="6"/>
  <c r="C1509" i="6"/>
  <c r="A1509" i="6"/>
  <c r="D1517" i="6"/>
  <c r="J1517" i="6"/>
  <c r="B1517" i="6"/>
  <c r="H1517" i="6"/>
  <c r="F1517" i="6"/>
  <c r="G1517" i="6"/>
  <c r="E1517" i="6"/>
  <c r="A1517" i="6"/>
  <c r="I1517" i="6"/>
  <c r="C1517" i="6"/>
  <c r="D1525" i="6"/>
  <c r="J1525" i="6"/>
  <c r="B1525" i="6"/>
  <c r="H1525" i="6"/>
  <c r="F1525" i="6"/>
  <c r="G1525" i="6"/>
  <c r="E1525" i="6"/>
  <c r="I1525" i="6"/>
  <c r="C1525" i="6"/>
  <c r="A1525" i="6"/>
  <c r="D1533" i="6"/>
  <c r="J1533" i="6"/>
  <c r="B1533" i="6"/>
  <c r="H1533" i="6"/>
  <c r="F1533" i="6"/>
  <c r="G1533" i="6"/>
  <c r="E1533" i="6"/>
  <c r="A1533" i="6"/>
  <c r="I1533" i="6"/>
  <c r="C1533" i="6"/>
  <c r="D1541" i="6"/>
  <c r="J1541" i="6"/>
  <c r="B1541" i="6"/>
  <c r="H1541" i="6"/>
  <c r="F1541" i="6"/>
  <c r="G1541" i="6"/>
  <c r="E1541" i="6"/>
  <c r="I1541" i="6"/>
  <c r="C1541" i="6"/>
  <c r="A1541" i="6"/>
  <c r="D1549" i="6"/>
  <c r="J1549" i="6"/>
  <c r="B1549" i="6"/>
  <c r="H1549" i="6"/>
  <c r="F1549" i="6"/>
  <c r="G1549" i="6"/>
  <c r="E1549" i="6"/>
  <c r="A1549" i="6"/>
  <c r="C1549" i="6"/>
  <c r="I1549" i="6"/>
  <c r="D1557" i="6"/>
  <c r="J1557" i="6"/>
  <c r="B1557" i="6"/>
  <c r="H1557" i="6"/>
  <c r="F1557" i="6"/>
  <c r="G1557" i="6"/>
  <c r="E1557" i="6"/>
  <c r="I1557" i="6"/>
  <c r="C1557" i="6"/>
  <c r="A1557" i="6"/>
  <c r="D1565" i="6"/>
  <c r="I1565" i="6"/>
  <c r="A1565" i="6"/>
  <c r="G1565" i="6"/>
  <c r="H1565" i="6"/>
  <c r="E1565" i="6"/>
  <c r="B1565" i="6"/>
  <c r="C1565" i="6"/>
  <c r="J1565" i="6"/>
  <c r="F1565" i="6"/>
  <c r="D1573" i="6"/>
  <c r="C1573" i="6"/>
  <c r="I1573" i="6"/>
  <c r="A1573" i="6"/>
  <c r="H1573" i="6"/>
  <c r="G1573" i="6"/>
  <c r="E1573" i="6"/>
  <c r="J1573" i="6"/>
  <c r="B1573" i="6"/>
  <c r="F1573" i="6"/>
  <c r="D1581" i="6"/>
  <c r="C1581" i="6"/>
  <c r="I1581" i="6"/>
  <c r="A1581" i="6"/>
  <c r="H1581" i="6"/>
  <c r="G1581" i="6"/>
  <c r="J1581" i="6"/>
  <c r="E1581" i="6"/>
  <c r="F1581" i="6"/>
  <c r="B1581" i="6"/>
  <c r="D1589" i="6"/>
  <c r="C1589" i="6"/>
  <c r="I1589" i="6"/>
  <c r="A1589" i="6"/>
  <c r="H1589" i="6"/>
  <c r="G1589" i="6"/>
  <c r="J1589" i="6"/>
  <c r="E1589" i="6"/>
  <c r="B1589" i="6"/>
  <c r="F1589" i="6"/>
  <c r="D1597" i="6"/>
  <c r="C1597" i="6"/>
  <c r="I1597" i="6"/>
  <c r="A1597" i="6"/>
  <c r="H1597" i="6"/>
  <c r="G1597" i="6"/>
  <c r="J1597" i="6"/>
  <c r="E1597" i="6"/>
  <c r="F1597" i="6"/>
  <c r="B1597" i="6"/>
  <c r="D1605" i="6"/>
  <c r="C1605" i="6"/>
  <c r="I1605" i="6"/>
  <c r="A1605" i="6"/>
  <c r="H1605" i="6"/>
  <c r="G1605" i="6"/>
  <c r="E1605" i="6"/>
  <c r="J1605" i="6"/>
  <c r="F1605" i="6"/>
  <c r="B1605" i="6"/>
  <c r="D1613" i="6"/>
  <c r="C1613" i="6"/>
  <c r="I1613" i="6"/>
  <c r="A1613" i="6"/>
  <c r="H1613" i="6"/>
  <c r="G1613" i="6"/>
  <c r="J1613" i="6"/>
  <c r="E1613" i="6"/>
  <c r="F1613" i="6"/>
  <c r="B1613" i="6"/>
  <c r="D1621" i="6"/>
  <c r="C1621" i="6"/>
  <c r="I1621" i="6"/>
  <c r="A1621" i="6"/>
  <c r="H1621" i="6"/>
  <c r="G1621" i="6"/>
  <c r="J1621" i="6"/>
  <c r="E1621" i="6"/>
  <c r="B1621" i="6"/>
  <c r="F1621" i="6"/>
  <c r="D1629" i="6"/>
  <c r="C1629" i="6"/>
  <c r="I1629" i="6"/>
  <c r="A1629" i="6"/>
  <c r="H1629" i="6"/>
  <c r="G1629" i="6"/>
  <c r="J1629" i="6"/>
  <c r="E1629" i="6"/>
  <c r="F1629" i="6"/>
  <c r="B1629" i="6"/>
  <c r="D1637" i="6"/>
  <c r="C1637" i="6"/>
  <c r="I1637" i="6"/>
  <c r="A1637" i="6"/>
  <c r="H1637" i="6"/>
  <c r="G1637" i="6"/>
  <c r="E1637" i="6"/>
  <c r="J1637" i="6"/>
  <c r="B1637" i="6"/>
  <c r="F1637" i="6"/>
  <c r="D1645" i="6"/>
  <c r="C1645" i="6"/>
  <c r="I1645" i="6"/>
  <c r="A1645" i="6"/>
  <c r="H1645" i="6"/>
  <c r="G1645" i="6"/>
  <c r="J1645" i="6"/>
  <c r="E1645" i="6"/>
  <c r="F1645" i="6"/>
  <c r="B1645" i="6"/>
  <c r="D1653" i="6"/>
  <c r="C1653" i="6"/>
  <c r="I1653" i="6"/>
  <c r="A1653" i="6"/>
  <c r="H1653" i="6"/>
  <c r="G1653" i="6"/>
  <c r="J1653" i="6"/>
  <c r="E1653" i="6"/>
  <c r="B1653" i="6"/>
  <c r="F1653" i="6"/>
  <c r="E1661" i="6"/>
  <c r="D1661" i="6"/>
  <c r="H1661" i="6"/>
  <c r="B1661" i="6"/>
  <c r="A1661" i="6"/>
  <c r="J1661" i="6"/>
  <c r="I1661" i="6"/>
  <c r="G1661" i="6"/>
  <c r="F1661" i="6"/>
  <c r="C1661" i="6"/>
  <c r="E1669" i="6"/>
  <c r="D1669" i="6"/>
  <c r="J1669" i="6"/>
  <c r="B1669" i="6"/>
  <c r="H1669" i="6"/>
  <c r="I1669" i="6"/>
  <c r="G1669" i="6"/>
  <c r="F1669" i="6"/>
  <c r="A1669" i="6"/>
  <c r="C1669" i="6"/>
  <c r="E1677" i="6"/>
  <c r="D1677" i="6"/>
  <c r="J1677" i="6"/>
  <c r="B1677" i="6"/>
  <c r="H1677" i="6"/>
  <c r="I1677" i="6"/>
  <c r="G1677" i="6"/>
  <c r="F1677" i="6"/>
  <c r="C1677" i="6"/>
  <c r="A1677" i="6"/>
  <c r="E1685" i="6"/>
  <c r="D1685" i="6"/>
  <c r="J1685" i="6"/>
  <c r="B1685" i="6"/>
  <c r="H1685" i="6"/>
  <c r="I1685" i="6"/>
  <c r="G1685" i="6"/>
  <c r="F1685" i="6"/>
  <c r="A1685" i="6"/>
  <c r="C1685" i="6"/>
  <c r="E1693" i="6"/>
  <c r="D1693" i="6"/>
  <c r="J1693" i="6"/>
  <c r="B1693" i="6"/>
  <c r="H1693" i="6"/>
  <c r="I1693" i="6"/>
  <c r="G1693" i="6"/>
  <c r="F1693" i="6"/>
  <c r="C1693" i="6"/>
  <c r="A1693" i="6"/>
  <c r="E1701" i="6"/>
  <c r="D1701" i="6"/>
  <c r="J1701" i="6"/>
  <c r="B1701" i="6"/>
  <c r="H1701" i="6"/>
  <c r="I1701" i="6"/>
  <c r="G1701" i="6"/>
  <c r="F1701" i="6"/>
  <c r="A1701" i="6"/>
  <c r="C1701" i="6"/>
  <c r="E1709" i="6"/>
  <c r="D1709" i="6"/>
  <c r="J1709" i="6"/>
  <c r="B1709" i="6"/>
  <c r="H1709" i="6"/>
  <c r="I1709" i="6"/>
  <c r="G1709" i="6"/>
  <c r="F1709" i="6"/>
  <c r="C1709" i="6"/>
  <c r="A1709" i="6"/>
  <c r="E1717" i="6"/>
  <c r="D1717" i="6"/>
  <c r="J1717" i="6"/>
  <c r="B1717" i="6"/>
  <c r="H1717" i="6"/>
  <c r="I1717" i="6"/>
  <c r="G1717" i="6"/>
  <c r="F1717" i="6"/>
  <c r="A1717" i="6"/>
  <c r="C1717" i="6"/>
  <c r="E1725" i="6"/>
  <c r="D1725" i="6"/>
  <c r="J1725" i="6"/>
  <c r="B1725" i="6"/>
  <c r="H1725" i="6"/>
  <c r="I1725" i="6"/>
  <c r="G1725" i="6"/>
  <c r="F1725" i="6"/>
  <c r="C1725" i="6"/>
  <c r="A1725" i="6"/>
  <c r="E1733" i="6"/>
  <c r="D1733" i="6"/>
  <c r="J1733" i="6"/>
  <c r="B1733" i="6"/>
  <c r="H1733" i="6"/>
  <c r="I1733" i="6"/>
  <c r="G1733" i="6"/>
  <c r="F1733" i="6"/>
  <c r="A1733" i="6"/>
  <c r="C1733" i="6"/>
  <c r="J1741" i="6"/>
  <c r="B1741" i="6"/>
  <c r="H1741" i="6"/>
  <c r="F1741" i="6"/>
  <c r="D1741" i="6"/>
  <c r="C1741" i="6"/>
  <c r="I1741" i="6"/>
  <c r="G1741" i="6"/>
  <c r="E1741" i="6"/>
  <c r="A1741" i="6"/>
  <c r="J1749" i="6"/>
  <c r="B1749" i="6"/>
  <c r="H1749" i="6"/>
  <c r="F1749" i="6"/>
  <c r="G1749" i="6"/>
  <c r="E1749" i="6"/>
  <c r="C1749" i="6"/>
  <c r="I1749" i="6"/>
  <c r="A1749" i="6"/>
  <c r="D1749" i="6"/>
  <c r="J1757" i="6"/>
  <c r="B1757" i="6"/>
  <c r="H1757" i="6"/>
  <c r="F1757" i="6"/>
  <c r="I1757" i="6"/>
  <c r="E1757" i="6"/>
  <c r="C1757" i="6"/>
  <c r="A1757" i="6"/>
  <c r="D1757" i="6"/>
  <c r="G1757" i="6"/>
  <c r="J1765" i="6"/>
  <c r="B1765" i="6"/>
  <c r="H1765" i="6"/>
  <c r="F1765" i="6"/>
  <c r="A1765" i="6"/>
  <c r="I1765" i="6"/>
  <c r="E1765" i="6"/>
  <c r="G1765" i="6"/>
  <c r="D1765" i="6"/>
  <c r="C1765" i="6"/>
  <c r="J1773" i="6"/>
  <c r="B1773" i="6"/>
  <c r="H1773" i="6"/>
  <c r="F1773" i="6"/>
  <c r="D1773" i="6"/>
  <c r="C1773" i="6"/>
  <c r="I1773" i="6"/>
  <c r="G1773" i="6"/>
  <c r="E1773" i="6"/>
  <c r="A1773" i="6"/>
  <c r="J1781" i="6"/>
  <c r="B1781" i="6"/>
  <c r="H1781" i="6"/>
  <c r="F1781" i="6"/>
  <c r="G1781" i="6"/>
  <c r="E1781" i="6"/>
  <c r="C1781" i="6"/>
  <c r="I1781" i="6"/>
  <c r="A1781" i="6"/>
  <c r="D1781" i="6"/>
  <c r="J1789" i="6"/>
  <c r="B1789" i="6"/>
  <c r="H1789" i="6"/>
  <c r="F1789" i="6"/>
  <c r="I1789" i="6"/>
  <c r="E1789" i="6"/>
  <c r="C1789" i="6"/>
  <c r="D1789" i="6"/>
  <c r="A1789" i="6"/>
  <c r="G1789" i="6"/>
  <c r="J1797" i="6"/>
  <c r="B1797" i="6"/>
  <c r="H1797" i="6"/>
  <c r="F1797" i="6"/>
  <c r="A1797" i="6"/>
  <c r="I1797" i="6"/>
  <c r="E1797" i="6"/>
  <c r="D1797" i="6"/>
  <c r="C1797" i="6"/>
  <c r="G1797" i="6"/>
  <c r="J1805" i="6"/>
  <c r="B1805" i="6"/>
  <c r="H1805" i="6"/>
  <c r="F1805" i="6"/>
  <c r="D1805" i="6"/>
  <c r="C1805" i="6"/>
  <c r="I1805" i="6"/>
  <c r="G1805" i="6"/>
  <c r="E1805" i="6"/>
  <c r="A1805" i="6"/>
  <c r="J1813" i="6"/>
  <c r="B1813" i="6"/>
  <c r="H1813" i="6"/>
  <c r="F1813" i="6"/>
  <c r="G1813" i="6"/>
  <c r="E1813" i="6"/>
  <c r="C1813" i="6"/>
  <c r="I1813" i="6"/>
  <c r="A1813" i="6"/>
  <c r="D1813" i="6"/>
  <c r="J1821" i="6"/>
  <c r="B1821" i="6"/>
  <c r="H1821" i="6"/>
  <c r="F1821" i="6"/>
  <c r="I1821" i="6"/>
  <c r="E1821" i="6"/>
  <c r="C1821" i="6"/>
  <c r="A1821" i="6"/>
  <c r="D1821" i="6"/>
  <c r="G1821" i="6"/>
  <c r="J1829" i="6"/>
  <c r="B1829" i="6"/>
  <c r="H1829" i="6"/>
  <c r="F1829" i="6"/>
  <c r="A1829" i="6"/>
  <c r="I1829" i="6"/>
  <c r="E1829" i="6"/>
  <c r="G1829" i="6"/>
  <c r="D1829" i="6"/>
  <c r="C1829" i="6"/>
  <c r="J1837" i="6"/>
  <c r="B1837" i="6"/>
  <c r="H1837" i="6"/>
  <c r="F1837" i="6"/>
  <c r="D1837" i="6"/>
  <c r="C1837" i="6"/>
  <c r="I1837" i="6"/>
  <c r="G1837" i="6"/>
  <c r="E1837" i="6"/>
  <c r="A1837" i="6"/>
  <c r="J1845" i="6"/>
  <c r="B1845" i="6"/>
  <c r="H1845" i="6"/>
  <c r="F1845" i="6"/>
  <c r="G1845" i="6"/>
  <c r="E1845" i="6"/>
  <c r="C1845" i="6"/>
  <c r="I1845" i="6"/>
  <c r="A1845" i="6"/>
  <c r="D1845" i="6"/>
  <c r="J1853" i="6"/>
  <c r="B1853" i="6"/>
  <c r="H1853" i="6"/>
  <c r="F1853" i="6"/>
  <c r="I1853" i="6"/>
  <c r="E1853" i="6"/>
  <c r="C1853" i="6"/>
  <c r="D1853" i="6"/>
  <c r="A1853" i="6"/>
  <c r="G1853" i="6"/>
  <c r="I1861" i="6"/>
  <c r="A1861" i="6"/>
  <c r="G1861" i="6"/>
  <c r="J1861" i="6"/>
  <c r="F1861" i="6"/>
  <c r="D1861" i="6"/>
  <c r="H1861" i="6"/>
  <c r="E1861" i="6"/>
  <c r="B1861" i="6"/>
  <c r="C1861" i="6"/>
  <c r="I1869" i="6"/>
  <c r="A1869" i="6"/>
  <c r="G1869" i="6"/>
  <c r="D1869" i="6"/>
  <c r="B1869" i="6"/>
  <c r="J1869" i="6"/>
  <c r="H1869" i="6"/>
  <c r="E1869" i="6"/>
  <c r="C1869" i="6"/>
  <c r="F1869" i="6"/>
  <c r="I1877" i="6"/>
  <c r="A1877" i="6"/>
  <c r="G1877" i="6"/>
  <c r="E1877" i="6"/>
  <c r="B1877" i="6"/>
  <c r="H1877" i="6"/>
  <c r="C1877" i="6"/>
  <c r="J1877" i="6"/>
  <c r="F1877" i="6"/>
  <c r="D1877" i="6"/>
  <c r="I1885" i="6"/>
  <c r="A1885" i="6"/>
  <c r="G1885" i="6"/>
  <c r="E1885" i="6"/>
  <c r="D1885" i="6"/>
  <c r="B1885" i="6"/>
  <c r="J1885" i="6"/>
  <c r="F1885" i="6"/>
  <c r="C1885" i="6"/>
  <c r="H1885" i="6"/>
  <c r="I1893" i="6"/>
  <c r="A1893" i="6"/>
  <c r="G1893" i="6"/>
  <c r="E1893" i="6"/>
  <c r="H1893" i="6"/>
  <c r="D1893" i="6"/>
  <c r="B1893" i="6"/>
  <c r="C1893" i="6"/>
  <c r="J1893" i="6"/>
  <c r="F1893" i="6"/>
  <c r="G1901" i="6"/>
  <c r="E1901" i="6"/>
  <c r="C1901" i="6"/>
  <c r="J1901" i="6"/>
  <c r="A1901" i="6"/>
  <c r="B1901" i="6"/>
  <c r="I1901" i="6"/>
  <c r="F1901" i="6"/>
  <c r="D1901" i="6"/>
  <c r="H1901" i="6"/>
  <c r="I1909" i="6"/>
  <c r="A1909" i="6"/>
  <c r="G1909" i="6"/>
  <c r="H1909" i="6"/>
  <c r="E1909" i="6"/>
  <c r="C1909" i="6"/>
  <c r="F1909" i="6"/>
  <c r="B1909" i="6"/>
  <c r="J1909" i="6"/>
  <c r="D1909" i="6"/>
  <c r="I1917" i="6"/>
  <c r="A1917" i="6"/>
  <c r="G1917" i="6"/>
  <c r="C1917" i="6"/>
  <c r="H1917" i="6"/>
  <c r="J1917" i="6"/>
  <c r="E1917" i="6"/>
  <c r="D1917" i="6"/>
  <c r="B1917" i="6"/>
  <c r="F1917" i="6"/>
  <c r="I1925" i="6"/>
  <c r="A1925" i="6"/>
  <c r="G1925" i="6"/>
  <c r="H1925" i="6"/>
  <c r="E1925" i="6"/>
  <c r="C1925" i="6"/>
  <c r="D1925" i="6"/>
  <c r="J1925" i="6"/>
  <c r="B1925" i="6"/>
  <c r="F1925" i="6"/>
  <c r="I1933" i="6"/>
  <c r="A1933" i="6"/>
  <c r="G1933" i="6"/>
  <c r="C1933" i="6"/>
  <c r="H1933" i="6"/>
  <c r="F1933" i="6"/>
  <c r="D1933" i="6"/>
  <c r="J1933" i="6"/>
  <c r="E1933" i="6"/>
  <c r="B1933" i="6"/>
  <c r="I1941" i="6"/>
  <c r="A1941" i="6"/>
  <c r="G1941" i="6"/>
  <c r="H1941" i="6"/>
  <c r="E1941" i="6"/>
  <c r="C1941" i="6"/>
  <c r="B1941" i="6"/>
  <c r="F1941" i="6"/>
  <c r="D1941" i="6"/>
  <c r="J1941" i="6"/>
  <c r="I1949" i="6"/>
  <c r="A1949" i="6"/>
  <c r="G1949" i="6"/>
  <c r="E1949" i="6"/>
  <c r="J1949" i="6"/>
  <c r="F1949" i="6"/>
  <c r="C1949" i="6"/>
  <c r="H1949" i="6"/>
  <c r="D1949" i="6"/>
  <c r="B1949" i="6"/>
  <c r="I1957" i="6"/>
  <c r="A1957" i="6"/>
  <c r="G1957" i="6"/>
  <c r="E1957" i="6"/>
  <c r="J1957" i="6"/>
  <c r="F1957" i="6"/>
  <c r="H1957" i="6"/>
  <c r="C1957" i="6"/>
  <c r="D1957" i="6"/>
  <c r="B1957" i="6"/>
  <c r="I1965" i="6"/>
  <c r="A1965" i="6"/>
  <c r="G1965" i="6"/>
  <c r="E1965" i="6"/>
  <c r="C1965" i="6"/>
  <c r="J1965" i="6"/>
  <c r="H1965" i="6"/>
  <c r="D1965" i="6"/>
  <c r="B1965" i="6"/>
  <c r="F1965" i="6"/>
  <c r="I1973" i="6"/>
  <c r="A1973" i="6"/>
  <c r="G1973" i="6"/>
  <c r="E1973" i="6"/>
  <c r="F1973" i="6"/>
  <c r="C1973" i="6"/>
  <c r="J1973" i="6"/>
  <c r="D1973" i="6"/>
  <c r="B1973" i="6"/>
  <c r="H1973" i="6"/>
  <c r="I1981" i="6"/>
  <c r="A1981" i="6"/>
  <c r="G1981" i="6"/>
  <c r="E1981" i="6"/>
  <c r="J1981" i="6"/>
  <c r="F1981" i="6"/>
  <c r="C1981" i="6"/>
  <c r="B1981" i="6"/>
  <c r="D1981" i="6"/>
  <c r="H1981" i="6"/>
  <c r="J1989" i="6"/>
  <c r="B1989" i="6"/>
  <c r="F1989" i="6"/>
  <c r="I1989" i="6"/>
  <c r="G1989" i="6"/>
  <c r="D1989" i="6"/>
  <c r="H1989" i="6"/>
  <c r="C1989" i="6"/>
  <c r="E1989" i="6"/>
  <c r="A1989" i="6"/>
  <c r="J1997" i="6"/>
  <c r="B1997" i="6"/>
  <c r="F1997" i="6"/>
  <c r="D1997" i="6"/>
  <c r="A1997" i="6"/>
  <c r="I1997" i="6"/>
  <c r="G1997" i="6"/>
  <c r="E1997" i="6"/>
  <c r="C1997" i="6"/>
  <c r="H1997" i="6"/>
  <c r="D4" i="6"/>
  <c r="F5" i="6"/>
  <c r="H6" i="6"/>
  <c r="B7" i="6"/>
  <c r="J7" i="6"/>
  <c r="D8" i="6"/>
  <c r="F9" i="6"/>
  <c r="B10" i="6"/>
  <c r="E16" i="6"/>
  <c r="D16" i="6"/>
  <c r="C16" i="6"/>
  <c r="J16" i="6"/>
  <c r="B16" i="6"/>
  <c r="I16" i="6"/>
  <c r="A16" i="6"/>
  <c r="H16" i="6"/>
  <c r="G16" i="6"/>
  <c r="F16" i="6"/>
  <c r="E24" i="6"/>
  <c r="D24" i="6"/>
  <c r="C24" i="6"/>
  <c r="J24" i="6"/>
  <c r="B24" i="6"/>
  <c r="I24" i="6"/>
  <c r="A24" i="6"/>
  <c r="H24" i="6"/>
  <c r="G24" i="6"/>
  <c r="F24" i="6"/>
  <c r="E32" i="6"/>
  <c r="D32" i="6"/>
  <c r="C32" i="6"/>
  <c r="J32" i="6"/>
  <c r="B32" i="6"/>
  <c r="I32" i="6"/>
  <c r="A32" i="6"/>
  <c r="H32" i="6"/>
  <c r="G32" i="6"/>
  <c r="F32" i="6"/>
  <c r="E40" i="6"/>
  <c r="D40" i="6"/>
  <c r="C40" i="6"/>
  <c r="J40" i="6"/>
  <c r="B40" i="6"/>
  <c r="I40" i="6"/>
  <c r="A40" i="6"/>
  <c r="H40" i="6"/>
  <c r="G40" i="6"/>
  <c r="F40" i="6"/>
  <c r="E48" i="6"/>
  <c r="D48" i="6"/>
  <c r="C48" i="6"/>
  <c r="J48" i="6"/>
  <c r="B48" i="6"/>
  <c r="I48" i="6"/>
  <c r="A48" i="6"/>
  <c r="H48" i="6"/>
  <c r="G48" i="6"/>
  <c r="F48" i="6"/>
  <c r="E56" i="6"/>
  <c r="D56" i="6"/>
  <c r="C56" i="6"/>
  <c r="J56" i="6"/>
  <c r="B56" i="6"/>
  <c r="I56" i="6"/>
  <c r="A56" i="6"/>
  <c r="H56" i="6"/>
  <c r="G56" i="6"/>
  <c r="F56" i="6"/>
  <c r="E64" i="6"/>
  <c r="D64" i="6"/>
  <c r="C64" i="6"/>
  <c r="J64" i="6"/>
  <c r="B64" i="6"/>
  <c r="I64" i="6"/>
  <c r="A64" i="6"/>
  <c r="H64" i="6"/>
  <c r="G64" i="6"/>
  <c r="F64" i="6"/>
  <c r="E72" i="6"/>
  <c r="D72" i="6"/>
  <c r="C72" i="6"/>
  <c r="J72" i="6"/>
  <c r="B72" i="6"/>
  <c r="I72" i="6"/>
  <c r="A72" i="6"/>
  <c r="H72" i="6"/>
  <c r="G72" i="6"/>
  <c r="F72" i="6"/>
  <c r="E80" i="6"/>
  <c r="D80" i="6"/>
  <c r="C80" i="6"/>
  <c r="J80" i="6"/>
  <c r="B80" i="6"/>
  <c r="I80" i="6"/>
  <c r="A80" i="6"/>
  <c r="H80" i="6"/>
  <c r="G80" i="6"/>
  <c r="F80" i="6"/>
  <c r="E88" i="6"/>
  <c r="D88" i="6"/>
  <c r="C88" i="6"/>
  <c r="J88" i="6"/>
  <c r="B88" i="6"/>
  <c r="I88" i="6"/>
  <c r="A88" i="6"/>
  <c r="H88" i="6"/>
  <c r="G88" i="6"/>
  <c r="F88" i="6"/>
  <c r="E96" i="6"/>
  <c r="D96" i="6"/>
  <c r="C96" i="6"/>
  <c r="J96" i="6"/>
  <c r="B96" i="6"/>
  <c r="I96" i="6"/>
  <c r="A96" i="6"/>
  <c r="H96" i="6"/>
  <c r="G96" i="6"/>
  <c r="F96" i="6"/>
  <c r="E104" i="6"/>
  <c r="D104" i="6"/>
  <c r="C104" i="6"/>
  <c r="J104" i="6"/>
  <c r="B104" i="6"/>
  <c r="I104" i="6"/>
  <c r="A104" i="6"/>
  <c r="H104" i="6"/>
  <c r="G104" i="6"/>
  <c r="F104" i="6"/>
  <c r="E112" i="6"/>
  <c r="D112" i="6"/>
  <c r="C112" i="6"/>
  <c r="J112" i="6"/>
  <c r="B112" i="6"/>
  <c r="I112" i="6"/>
  <c r="A112" i="6"/>
  <c r="H112" i="6"/>
  <c r="G112" i="6"/>
  <c r="F112" i="6"/>
  <c r="E120" i="6"/>
  <c r="D120" i="6"/>
  <c r="C120" i="6"/>
  <c r="J120" i="6"/>
  <c r="B120" i="6"/>
  <c r="I120" i="6"/>
  <c r="A120" i="6"/>
  <c r="H120" i="6"/>
  <c r="G120" i="6"/>
  <c r="F120" i="6"/>
  <c r="E128" i="6"/>
  <c r="D128" i="6"/>
  <c r="C128" i="6"/>
  <c r="J128" i="6"/>
  <c r="B128" i="6"/>
  <c r="I128" i="6"/>
  <c r="A128" i="6"/>
  <c r="H128" i="6"/>
  <c r="G128" i="6"/>
  <c r="F128" i="6"/>
  <c r="E136" i="6"/>
  <c r="D136" i="6"/>
  <c r="C136" i="6"/>
  <c r="J136" i="6"/>
  <c r="B136" i="6"/>
  <c r="I136" i="6"/>
  <c r="A136" i="6"/>
  <c r="H136" i="6"/>
  <c r="G136" i="6"/>
  <c r="F136" i="6"/>
  <c r="E144" i="6"/>
  <c r="D144" i="6"/>
  <c r="C144" i="6"/>
  <c r="J144" i="6"/>
  <c r="B144" i="6"/>
  <c r="I144" i="6"/>
  <c r="A144" i="6"/>
  <c r="H144" i="6"/>
  <c r="G144" i="6"/>
  <c r="F144" i="6"/>
  <c r="E152" i="6"/>
  <c r="D152" i="6"/>
  <c r="C152" i="6"/>
  <c r="J152" i="6"/>
  <c r="B152" i="6"/>
  <c r="I152" i="6"/>
  <c r="A152" i="6"/>
  <c r="H152" i="6"/>
  <c r="G152" i="6"/>
  <c r="F152" i="6"/>
  <c r="E160" i="6"/>
  <c r="D160" i="6"/>
  <c r="C160" i="6"/>
  <c r="J160" i="6"/>
  <c r="B160" i="6"/>
  <c r="I160" i="6"/>
  <c r="A160" i="6"/>
  <c r="H160" i="6"/>
  <c r="G160" i="6"/>
  <c r="F160" i="6"/>
  <c r="E168" i="6"/>
  <c r="D168" i="6"/>
  <c r="C168" i="6"/>
  <c r="J168" i="6"/>
  <c r="B168" i="6"/>
  <c r="I168" i="6"/>
  <c r="A168" i="6"/>
  <c r="H168" i="6"/>
  <c r="G168" i="6"/>
  <c r="F168" i="6"/>
  <c r="E176" i="6"/>
  <c r="D176" i="6"/>
  <c r="C176" i="6"/>
  <c r="J176" i="6"/>
  <c r="B176" i="6"/>
  <c r="I176" i="6"/>
  <c r="A176" i="6"/>
  <c r="H176" i="6"/>
  <c r="G176" i="6"/>
  <c r="F176" i="6"/>
  <c r="E184" i="6"/>
  <c r="D184" i="6"/>
  <c r="C184" i="6"/>
  <c r="J184" i="6"/>
  <c r="B184" i="6"/>
  <c r="I184" i="6"/>
  <c r="A184" i="6"/>
  <c r="H184" i="6"/>
  <c r="G184" i="6"/>
  <c r="F184" i="6"/>
  <c r="E192" i="6"/>
  <c r="D192" i="6"/>
  <c r="C192" i="6"/>
  <c r="J192" i="6"/>
  <c r="B192" i="6"/>
  <c r="I192" i="6"/>
  <c r="A192" i="6"/>
  <c r="H192" i="6"/>
  <c r="G192" i="6"/>
  <c r="F192" i="6"/>
  <c r="E200" i="6"/>
  <c r="D200" i="6"/>
  <c r="C200" i="6"/>
  <c r="J200" i="6"/>
  <c r="B200" i="6"/>
  <c r="I200" i="6"/>
  <c r="A200" i="6"/>
  <c r="H200" i="6"/>
  <c r="G200" i="6"/>
  <c r="F200" i="6"/>
  <c r="E208" i="6"/>
  <c r="D208" i="6"/>
  <c r="C208" i="6"/>
  <c r="J208" i="6"/>
  <c r="B208" i="6"/>
  <c r="I208" i="6"/>
  <c r="A208" i="6"/>
  <c r="H208" i="6"/>
  <c r="G208" i="6"/>
  <c r="F208" i="6"/>
  <c r="E216" i="6"/>
  <c r="D216" i="6"/>
  <c r="C216" i="6"/>
  <c r="J216" i="6"/>
  <c r="B216" i="6"/>
  <c r="I216" i="6"/>
  <c r="A216" i="6"/>
  <c r="H216" i="6"/>
  <c r="G216" i="6"/>
  <c r="F216" i="6"/>
  <c r="E224" i="6"/>
  <c r="D224" i="6"/>
  <c r="C224" i="6"/>
  <c r="J224" i="6"/>
  <c r="B224" i="6"/>
  <c r="I224" i="6"/>
  <c r="A224" i="6"/>
  <c r="H224" i="6"/>
  <c r="G224" i="6"/>
  <c r="F224" i="6"/>
  <c r="E232" i="6"/>
  <c r="D232" i="6"/>
  <c r="C232" i="6"/>
  <c r="J232" i="6"/>
  <c r="B232" i="6"/>
  <c r="I232" i="6"/>
  <c r="A232" i="6"/>
  <c r="H232" i="6"/>
  <c r="G232" i="6"/>
  <c r="F232" i="6"/>
  <c r="E240" i="6"/>
  <c r="D240" i="6"/>
  <c r="C240" i="6"/>
  <c r="J240" i="6"/>
  <c r="B240" i="6"/>
  <c r="I240" i="6"/>
  <c r="A240" i="6"/>
  <c r="H240" i="6"/>
  <c r="G240" i="6"/>
  <c r="F240" i="6"/>
  <c r="E248" i="6"/>
  <c r="D248" i="6"/>
  <c r="C248" i="6"/>
  <c r="J248" i="6"/>
  <c r="B248" i="6"/>
  <c r="I248" i="6"/>
  <c r="A248" i="6"/>
  <c r="H248" i="6"/>
  <c r="G248" i="6"/>
  <c r="F248" i="6"/>
  <c r="E256" i="6"/>
  <c r="D256" i="6"/>
  <c r="C256" i="6"/>
  <c r="J256" i="6"/>
  <c r="B256" i="6"/>
  <c r="I256" i="6"/>
  <c r="A256" i="6"/>
  <c r="H256" i="6"/>
  <c r="G256" i="6"/>
  <c r="F256" i="6"/>
  <c r="E264" i="6"/>
  <c r="D264" i="6"/>
  <c r="C264" i="6"/>
  <c r="J264" i="6"/>
  <c r="B264" i="6"/>
  <c r="I264" i="6"/>
  <c r="A264" i="6"/>
  <c r="H264" i="6"/>
  <c r="G264" i="6"/>
  <c r="F264" i="6"/>
  <c r="E272" i="6"/>
  <c r="D272" i="6"/>
  <c r="C272" i="6"/>
  <c r="J272" i="6"/>
  <c r="B272" i="6"/>
  <c r="I272" i="6"/>
  <c r="A272" i="6"/>
  <c r="H272" i="6"/>
  <c r="G272" i="6"/>
  <c r="F272" i="6"/>
  <c r="E280" i="6"/>
  <c r="D280" i="6"/>
  <c r="C280" i="6"/>
  <c r="J280" i="6"/>
  <c r="B280" i="6"/>
  <c r="I280" i="6"/>
  <c r="A280" i="6"/>
  <c r="H280" i="6"/>
  <c r="G280" i="6"/>
  <c r="F280" i="6"/>
  <c r="E288" i="6"/>
  <c r="D288" i="6"/>
  <c r="C288" i="6"/>
  <c r="J288" i="6"/>
  <c r="B288" i="6"/>
  <c r="I288" i="6"/>
  <c r="A288" i="6"/>
  <c r="H288" i="6"/>
  <c r="G288" i="6"/>
  <c r="F288" i="6"/>
  <c r="E296" i="6"/>
  <c r="D296" i="6"/>
  <c r="C296" i="6"/>
  <c r="J296" i="6"/>
  <c r="B296" i="6"/>
  <c r="I296" i="6"/>
  <c r="A296" i="6"/>
  <c r="H296" i="6"/>
  <c r="G296" i="6"/>
  <c r="F296" i="6"/>
  <c r="E304" i="6"/>
  <c r="D304" i="6"/>
  <c r="C304" i="6"/>
  <c r="J304" i="6"/>
  <c r="B304" i="6"/>
  <c r="I304" i="6"/>
  <c r="A304" i="6"/>
  <c r="H304" i="6"/>
  <c r="G304" i="6"/>
  <c r="F304" i="6"/>
  <c r="E312" i="6"/>
  <c r="D312" i="6"/>
  <c r="C312" i="6"/>
  <c r="J312" i="6"/>
  <c r="B312" i="6"/>
  <c r="I312" i="6"/>
  <c r="A312" i="6"/>
  <c r="H312" i="6"/>
  <c r="G312" i="6"/>
  <c r="F312" i="6"/>
  <c r="E320" i="6"/>
  <c r="D320" i="6"/>
  <c r="C320" i="6"/>
  <c r="J320" i="6"/>
  <c r="B320" i="6"/>
  <c r="I320" i="6"/>
  <c r="A320" i="6"/>
  <c r="H320" i="6"/>
  <c r="G320" i="6"/>
  <c r="F320" i="6"/>
  <c r="E328" i="6"/>
  <c r="D328" i="6"/>
  <c r="C328" i="6"/>
  <c r="J328" i="6"/>
  <c r="B328" i="6"/>
  <c r="I328" i="6"/>
  <c r="A328" i="6"/>
  <c r="H328" i="6"/>
  <c r="G328" i="6"/>
  <c r="F328" i="6"/>
  <c r="E336" i="6"/>
  <c r="D336" i="6"/>
  <c r="C336" i="6"/>
  <c r="J336" i="6"/>
  <c r="B336" i="6"/>
  <c r="I336" i="6"/>
  <c r="A336" i="6"/>
  <c r="H336" i="6"/>
  <c r="G336" i="6"/>
  <c r="F336" i="6"/>
  <c r="E344" i="6"/>
  <c r="D344" i="6"/>
  <c r="C344" i="6"/>
  <c r="J344" i="6"/>
  <c r="B344" i="6"/>
  <c r="I344" i="6"/>
  <c r="A344" i="6"/>
  <c r="H344" i="6"/>
  <c r="G344" i="6"/>
  <c r="F344" i="6"/>
  <c r="E352" i="6"/>
  <c r="D352" i="6"/>
  <c r="C352" i="6"/>
  <c r="J352" i="6"/>
  <c r="B352" i="6"/>
  <c r="I352" i="6"/>
  <c r="A352" i="6"/>
  <c r="H352" i="6"/>
  <c r="G352" i="6"/>
  <c r="F352" i="6"/>
  <c r="E360" i="6"/>
  <c r="D360" i="6"/>
  <c r="C360" i="6"/>
  <c r="J360" i="6"/>
  <c r="B360" i="6"/>
  <c r="I360" i="6"/>
  <c r="A360" i="6"/>
  <c r="H360" i="6"/>
  <c r="G360" i="6"/>
  <c r="F360" i="6"/>
  <c r="E368" i="6"/>
  <c r="D368" i="6"/>
  <c r="C368" i="6"/>
  <c r="J368" i="6"/>
  <c r="B368" i="6"/>
  <c r="I368" i="6"/>
  <c r="A368" i="6"/>
  <c r="H368" i="6"/>
  <c r="G368" i="6"/>
  <c r="F368" i="6"/>
  <c r="E376" i="6"/>
  <c r="D376" i="6"/>
  <c r="C376" i="6"/>
  <c r="J376" i="6"/>
  <c r="B376" i="6"/>
  <c r="I376" i="6"/>
  <c r="A376" i="6"/>
  <c r="H376" i="6"/>
  <c r="G376" i="6"/>
  <c r="F376" i="6"/>
  <c r="E384" i="6"/>
  <c r="D384" i="6"/>
  <c r="C384" i="6"/>
  <c r="J384" i="6"/>
  <c r="B384" i="6"/>
  <c r="I384" i="6"/>
  <c r="A384" i="6"/>
  <c r="H384" i="6"/>
  <c r="G384" i="6"/>
  <c r="F384" i="6"/>
  <c r="E392" i="6"/>
  <c r="D392" i="6"/>
  <c r="C392" i="6"/>
  <c r="J392" i="6"/>
  <c r="B392" i="6"/>
  <c r="I392" i="6"/>
  <c r="A392" i="6"/>
  <c r="H392" i="6"/>
  <c r="G392" i="6"/>
  <c r="F392" i="6"/>
  <c r="I400" i="6"/>
  <c r="A400" i="6"/>
  <c r="G400" i="6"/>
  <c r="E400" i="6"/>
  <c r="C400" i="6"/>
  <c r="J400" i="6"/>
  <c r="H400" i="6"/>
  <c r="F400" i="6"/>
  <c r="D400" i="6"/>
  <c r="B400" i="6"/>
  <c r="I408" i="6"/>
  <c r="A408" i="6"/>
  <c r="H408" i="6"/>
  <c r="G408" i="6"/>
  <c r="F408" i="6"/>
  <c r="E408" i="6"/>
  <c r="D408" i="6"/>
  <c r="C408" i="6"/>
  <c r="J408" i="6"/>
  <c r="B408" i="6"/>
  <c r="I416" i="6"/>
  <c r="A416" i="6"/>
  <c r="H416" i="6"/>
  <c r="G416" i="6"/>
  <c r="F416" i="6"/>
  <c r="E416" i="6"/>
  <c r="D416" i="6"/>
  <c r="C416" i="6"/>
  <c r="J416" i="6"/>
  <c r="B416" i="6"/>
  <c r="I424" i="6"/>
  <c r="A424" i="6"/>
  <c r="H424" i="6"/>
  <c r="G424" i="6"/>
  <c r="F424" i="6"/>
  <c r="E424" i="6"/>
  <c r="D424" i="6"/>
  <c r="C424" i="6"/>
  <c r="J424" i="6"/>
  <c r="B424" i="6"/>
  <c r="I432" i="6"/>
  <c r="A432" i="6"/>
  <c r="H432" i="6"/>
  <c r="G432" i="6"/>
  <c r="F432" i="6"/>
  <c r="E432" i="6"/>
  <c r="D432" i="6"/>
  <c r="C432" i="6"/>
  <c r="J432" i="6"/>
  <c r="B432" i="6"/>
  <c r="I440" i="6"/>
  <c r="A440" i="6"/>
  <c r="H440" i="6"/>
  <c r="G440" i="6"/>
  <c r="F440" i="6"/>
  <c r="E440" i="6"/>
  <c r="D440" i="6"/>
  <c r="C440" i="6"/>
  <c r="J440" i="6"/>
  <c r="B440" i="6"/>
  <c r="I448" i="6"/>
  <c r="A448" i="6"/>
  <c r="H448" i="6"/>
  <c r="G448" i="6"/>
  <c r="F448" i="6"/>
  <c r="E448" i="6"/>
  <c r="D448" i="6"/>
  <c r="C448" i="6"/>
  <c r="J448" i="6"/>
  <c r="B448" i="6"/>
  <c r="I456" i="6"/>
  <c r="A456" i="6"/>
  <c r="H456" i="6"/>
  <c r="G456" i="6"/>
  <c r="F456" i="6"/>
  <c r="E456" i="6"/>
  <c r="D456" i="6"/>
  <c r="C456" i="6"/>
  <c r="J456" i="6"/>
  <c r="B456" i="6"/>
  <c r="I464" i="6"/>
  <c r="A464" i="6"/>
  <c r="H464" i="6"/>
  <c r="G464" i="6"/>
  <c r="F464" i="6"/>
  <c r="E464" i="6"/>
  <c r="D464" i="6"/>
  <c r="C464" i="6"/>
  <c r="J464" i="6"/>
  <c r="B464" i="6"/>
  <c r="I472" i="6"/>
  <c r="A472" i="6"/>
  <c r="H472" i="6"/>
  <c r="G472" i="6"/>
  <c r="F472" i="6"/>
  <c r="E472" i="6"/>
  <c r="D472" i="6"/>
  <c r="C472" i="6"/>
  <c r="J472" i="6"/>
  <c r="B472" i="6"/>
  <c r="I480" i="6"/>
  <c r="A480" i="6"/>
  <c r="H480" i="6"/>
  <c r="G480" i="6"/>
  <c r="F480" i="6"/>
  <c r="E480" i="6"/>
  <c r="D480" i="6"/>
  <c r="C480" i="6"/>
  <c r="J480" i="6"/>
  <c r="B480" i="6"/>
  <c r="I488" i="6"/>
  <c r="A488" i="6"/>
  <c r="H488" i="6"/>
  <c r="G488" i="6"/>
  <c r="F488" i="6"/>
  <c r="E488" i="6"/>
  <c r="D488" i="6"/>
  <c r="C488" i="6"/>
  <c r="J488" i="6"/>
  <c r="B488" i="6"/>
  <c r="I496" i="6"/>
  <c r="A496" i="6"/>
  <c r="H496" i="6"/>
  <c r="G496" i="6"/>
  <c r="F496" i="6"/>
  <c r="E496" i="6"/>
  <c r="D496" i="6"/>
  <c r="C496" i="6"/>
  <c r="J496" i="6"/>
  <c r="B496" i="6"/>
  <c r="I504" i="6"/>
  <c r="A504" i="6"/>
  <c r="H504" i="6"/>
  <c r="G504" i="6"/>
  <c r="F504" i="6"/>
  <c r="E504" i="6"/>
  <c r="D504" i="6"/>
  <c r="C504" i="6"/>
  <c r="J504" i="6"/>
  <c r="B504" i="6"/>
  <c r="I512" i="6"/>
  <c r="A512" i="6"/>
  <c r="H512" i="6"/>
  <c r="G512" i="6"/>
  <c r="F512" i="6"/>
  <c r="E512" i="6"/>
  <c r="D512" i="6"/>
  <c r="C512" i="6"/>
  <c r="J512" i="6"/>
  <c r="B512" i="6"/>
  <c r="I520" i="6"/>
  <c r="A520" i="6"/>
  <c r="H520" i="6"/>
  <c r="G520" i="6"/>
  <c r="F520" i="6"/>
  <c r="E520" i="6"/>
  <c r="D520" i="6"/>
  <c r="C520" i="6"/>
  <c r="J520" i="6"/>
  <c r="B520" i="6"/>
  <c r="I528" i="6"/>
  <c r="A528" i="6"/>
  <c r="H528" i="6"/>
  <c r="G528" i="6"/>
  <c r="F528" i="6"/>
  <c r="E528" i="6"/>
  <c r="D528" i="6"/>
  <c r="C528" i="6"/>
  <c r="J528" i="6"/>
  <c r="B528" i="6"/>
  <c r="I536" i="6"/>
  <c r="A536" i="6"/>
  <c r="H536" i="6"/>
  <c r="G536" i="6"/>
  <c r="F536" i="6"/>
  <c r="E536" i="6"/>
  <c r="D536" i="6"/>
  <c r="C536" i="6"/>
  <c r="J536" i="6"/>
  <c r="B536" i="6"/>
  <c r="I544" i="6"/>
  <c r="A544" i="6"/>
  <c r="H544" i="6"/>
  <c r="G544" i="6"/>
  <c r="F544" i="6"/>
  <c r="E544" i="6"/>
  <c r="D544" i="6"/>
  <c r="C544" i="6"/>
  <c r="J544" i="6"/>
  <c r="B544" i="6"/>
  <c r="I552" i="6"/>
  <c r="A552" i="6"/>
  <c r="H552" i="6"/>
  <c r="G552" i="6"/>
  <c r="F552" i="6"/>
  <c r="E552" i="6"/>
  <c r="D552" i="6"/>
  <c r="C552" i="6"/>
  <c r="J552" i="6"/>
  <c r="B552" i="6"/>
  <c r="I560" i="6"/>
  <c r="A560" i="6"/>
  <c r="H560" i="6"/>
  <c r="G560" i="6"/>
  <c r="F560" i="6"/>
  <c r="E560" i="6"/>
  <c r="D560" i="6"/>
  <c r="C560" i="6"/>
  <c r="J560" i="6"/>
  <c r="B560" i="6"/>
  <c r="I568" i="6"/>
  <c r="A568" i="6"/>
  <c r="H568" i="6"/>
  <c r="G568" i="6"/>
  <c r="F568" i="6"/>
  <c r="E568" i="6"/>
  <c r="D568" i="6"/>
  <c r="C568" i="6"/>
  <c r="J568" i="6"/>
  <c r="B568" i="6"/>
  <c r="I576" i="6"/>
  <c r="A576" i="6"/>
  <c r="H576" i="6"/>
  <c r="G576" i="6"/>
  <c r="F576" i="6"/>
  <c r="E576" i="6"/>
  <c r="D576" i="6"/>
  <c r="C576" i="6"/>
  <c r="J576" i="6"/>
  <c r="B576" i="6"/>
  <c r="I584" i="6"/>
  <c r="A584" i="6"/>
  <c r="H584" i="6"/>
  <c r="G584" i="6"/>
  <c r="F584" i="6"/>
  <c r="E584" i="6"/>
  <c r="D584" i="6"/>
  <c r="C584" i="6"/>
  <c r="J584" i="6"/>
  <c r="B584" i="6"/>
  <c r="I592" i="6"/>
  <c r="A592" i="6"/>
  <c r="H592" i="6"/>
  <c r="G592" i="6"/>
  <c r="F592" i="6"/>
  <c r="E592" i="6"/>
  <c r="D592" i="6"/>
  <c r="C592" i="6"/>
  <c r="J592" i="6"/>
  <c r="B592" i="6"/>
  <c r="I600" i="6"/>
  <c r="A600" i="6"/>
  <c r="H600" i="6"/>
  <c r="G600" i="6"/>
  <c r="F600" i="6"/>
  <c r="E600" i="6"/>
  <c r="D600" i="6"/>
  <c r="C600" i="6"/>
  <c r="J600" i="6"/>
  <c r="B600" i="6"/>
  <c r="I608" i="6"/>
  <c r="A608" i="6"/>
  <c r="H608" i="6"/>
  <c r="G608" i="6"/>
  <c r="F608" i="6"/>
  <c r="E608" i="6"/>
  <c r="D608" i="6"/>
  <c r="C608" i="6"/>
  <c r="J608" i="6"/>
  <c r="B608" i="6"/>
  <c r="I616" i="6"/>
  <c r="A616" i="6"/>
  <c r="H616" i="6"/>
  <c r="G616" i="6"/>
  <c r="F616" i="6"/>
  <c r="E616" i="6"/>
  <c r="D616" i="6"/>
  <c r="C616" i="6"/>
  <c r="J616" i="6"/>
  <c r="B616" i="6"/>
  <c r="I624" i="6"/>
  <c r="A624" i="6"/>
  <c r="H624" i="6"/>
  <c r="G624" i="6"/>
  <c r="F624" i="6"/>
  <c r="E624" i="6"/>
  <c r="D624" i="6"/>
  <c r="C624" i="6"/>
  <c r="J624" i="6"/>
  <c r="B624" i="6"/>
  <c r="I632" i="6"/>
  <c r="A632" i="6"/>
  <c r="H632" i="6"/>
  <c r="G632" i="6"/>
  <c r="F632" i="6"/>
  <c r="E632" i="6"/>
  <c r="D632" i="6"/>
  <c r="C632" i="6"/>
  <c r="J632" i="6"/>
  <c r="B632" i="6"/>
  <c r="I640" i="6"/>
  <c r="A640" i="6"/>
  <c r="H640" i="6"/>
  <c r="G640" i="6"/>
  <c r="F640" i="6"/>
  <c r="E640" i="6"/>
  <c r="D640" i="6"/>
  <c r="C640" i="6"/>
  <c r="J640" i="6"/>
  <c r="B640" i="6"/>
  <c r="I648" i="6"/>
  <c r="A648" i="6"/>
  <c r="H648" i="6"/>
  <c r="G648" i="6"/>
  <c r="F648" i="6"/>
  <c r="E648" i="6"/>
  <c r="D648" i="6"/>
  <c r="C648" i="6"/>
  <c r="J648" i="6"/>
  <c r="B648" i="6"/>
  <c r="I656" i="6"/>
  <c r="A656" i="6"/>
  <c r="H656" i="6"/>
  <c r="G656" i="6"/>
  <c r="F656" i="6"/>
  <c r="E656" i="6"/>
  <c r="D656" i="6"/>
  <c r="C656" i="6"/>
  <c r="J656" i="6"/>
  <c r="B656" i="6"/>
  <c r="I664" i="6"/>
  <c r="A664" i="6"/>
  <c r="H664" i="6"/>
  <c r="G664" i="6"/>
  <c r="F664" i="6"/>
  <c r="E664" i="6"/>
  <c r="D664" i="6"/>
  <c r="C664" i="6"/>
  <c r="J664" i="6"/>
  <c r="B664" i="6"/>
  <c r="I672" i="6"/>
  <c r="A672" i="6"/>
  <c r="H672" i="6"/>
  <c r="G672" i="6"/>
  <c r="F672" i="6"/>
  <c r="E672" i="6"/>
  <c r="D672" i="6"/>
  <c r="C672" i="6"/>
  <c r="J672" i="6"/>
  <c r="B672" i="6"/>
  <c r="I680" i="6"/>
  <c r="A680" i="6"/>
  <c r="H680" i="6"/>
  <c r="G680" i="6"/>
  <c r="F680" i="6"/>
  <c r="E680" i="6"/>
  <c r="D680" i="6"/>
  <c r="C680" i="6"/>
  <c r="J680" i="6"/>
  <c r="B680" i="6"/>
  <c r="I688" i="6"/>
  <c r="A688" i="6"/>
  <c r="H688" i="6"/>
  <c r="G688" i="6"/>
  <c r="F688" i="6"/>
  <c r="E688" i="6"/>
  <c r="D688" i="6"/>
  <c r="C688" i="6"/>
  <c r="J688" i="6"/>
  <c r="B688" i="6"/>
  <c r="I696" i="6"/>
  <c r="A696" i="6"/>
  <c r="H696" i="6"/>
  <c r="G696" i="6"/>
  <c r="F696" i="6"/>
  <c r="E696" i="6"/>
  <c r="D696" i="6"/>
  <c r="C696" i="6"/>
  <c r="J696" i="6"/>
  <c r="B696" i="6"/>
  <c r="I704" i="6"/>
  <c r="A704" i="6"/>
  <c r="H704" i="6"/>
  <c r="G704" i="6"/>
  <c r="F704" i="6"/>
  <c r="E704" i="6"/>
  <c r="D704" i="6"/>
  <c r="C704" i="6"/>
  <c r="J704" i="6"/>
  <c r="B704" i="6"/>
  <c r="I712" i="6"/>
  <c r="A712" i="6"/>
  <c r="H712" i="6"/>
  <c r="G712" i="6"/>
  <c r="F712" i="6"/>
  <c r="E712" i="6"/>
  <c r="D712" i="6"/>
  <c r="C712" i="6"/>
  <c r="J712" i="6"/>
  <c r="B712" i="6"/>
  <c r="I720" i="6"/>
  <c r="A720" i="6"/>
  <c r="H720" i="6"/>
  <c r="G720" i="6"/>
  <c r="F720" i="6"/>
  <c r="E720" i="6"/>
  <c r="D720" i="6"/>
  <c r="C720" i="6"/>
  <c r="J720" i="6"/>
  <c r="B720" i="6"/>
  <c r="I728" i="6"/>
  <c r="A728" i="6"/>
  <c r="H728" i="6"/>
  <c r="G728" i="6"/>
  <c r="F728" i="6"/>
  <c r="E728" i="6"/>
  <c r="D728" i="6"/>
  <c r="C728" i="6"/>
  <c r="J728" i="6"/>
  <c r="B728" i="6"/>
  <c r="I736" i="6"/>
  <c r="A736" i="6"/>
  <c r="H736" i="6"/>
  <c r="G736" i="6"/>
  <c r="F736" i="6"/>
  <c r="E736" i="6"/>
  <c r="D736" i="6"/>
  <c r="C736" i="6"/>
  <c r="J736" i="6"/>
  <c r="B736" i="6"/>
  <c r="I744" i="6"/>
  <c r="A744" i="6"/>
  <c r="H744" i="6"/>
  <c r="G744" i="6"/>
  <c r="F744" i="6"/>
  <c r="E744" i="6"/>
  <c r="D744" i="6"/>
  <c r="C744" i="6"/>
  <c r="J744" i="6"/>
  <c r="B744" i="6"/>
  <c r="I752" i="6"/>
  <c r="A752" i="6"/>
  <c r="H752" i="6"/>
  <c r="G752" i="6"/>
  <c r="F752" i="6"/>
  <c r="E752" i="6"/>
  <c r="D752" i="6"/>
  <c r="C752" i="6"/>
  <c r="J752" i="6"/>
  <c r="B752" i="6"/>
  <c r="I760" i="6"/>
  <c r="A760" i="6"/>
  <c r="H760" i="6"/>
  <c r="G760" i="6"/>
  <c r="F760" i="6"/>
  <c r="E760" i="6"/>
  <c r="D760" i="6"/>
  <c r="C760" i="6"/>
  <c r="J760" i="6"/>
  <c r="B760" i="6"/>
  <c r="I768" i="6"/>
  <c r="A768" i="6"/>
  <c r="H768" i="6"/>
  <c r="G768" i="6"/>
  <c r="F768" i="6"/>
  <c r="E768" i="6"/>
  <c r="D768" i="6"/>
  <c r="C768" i="6"/>
  <c r="J768" i="6"/>
  <c r="B768" i="6"/>
  <c r="I776" i="6"/>
  <c r="A776" i="6"/>
  <c r="H776" i="6"/>
  <c r="G776" i="6"/>
  <c r="F776" i="6"/>
  <c r="E776" i="6"/>
  <c r="D776" i="6"/>
  <c r="C776" i="6"/>
  <c r="J776" i="6"/>
  <c r="B776" i="6"/>
  <c r="J784" i="6"/>
  <c r="B784" i="6"/>
  <c r="I784" i="6"/>
  <c r="A784" i="6"/>
  <c r="H784" i="6"/>
  <c r="G784" i="6"/>
  <c r="F784" i="6"/>
  <c r="E784" i="6"/>
  <c r="D784" i="6"/>
  <c r="C784" i="6"/>
  <c r="J792" i="6"/>
  <c r="B792" i="6"/>
  <c r="I792" i="6"/>
  <c r="A792" i="6"/>
  <c r="H792" i="6"/>
  <c r="G792" i="6"/>
  <c r="F792" i="6"/>
  <c r="E792" i="6"/>
  <c r="D792" i="6"/>
  <c r="C792" i="6"/>
  <c r="J800" i="6"/>
  <c r="B800" i="6"/>
  <c r="I800" i="6"/>
  <c r="A800" i="6"/>
  <c r="H800" i="6"/>
  <c r="G800" i="6"/>
  <c r="F800" i="6"/>
  <c r="E800" i="6"/>
  <c r="D800" i="6"/>
  <c r="C800" i="6"/>
  <c r="J808" i="6"/>
  <c r="B808" i="6"/>
  <c r="I808" i="6"/>
  <c r="A808" i="6"/>
  <c r="H808" i="6"/>
  <c r="G808" i="6"/>
  <c r="F808" i="6"/>
  <c r="E808" i="6"/>
  <c r="D808" i="6"/>
  <c r="C808" i="6"/>
  <c r="J816" i="6"/>
  <c r="B816" i="6"/>
  <c r="I816" i="6"/>
  <c r="A816" i="6"/>
  <c r="H816" i="6"/>
  <c r="G816" i="6"/>
  <c r="F816" i="6"/>
  <c r="E816" i="6"/>
  <c r="D816" i="6"/>
  <c r="C816" i="6"/>
  <c r="J824" i="6"/>
  <c r="B824" i="6"/>
  <c r="I824" i="6"/>
  <c r="A824" i="6"/>
  <c r="H824" i="6"/>
  <c r="G824" i="6"/>
  <c r="F824" i="6"/>
  <c r="E824" i="6"/>
  <c r="D824" i="6"/>
  <c r="C824" i="6"/>
  <c r="J832" i="6"/>
  <c r="B832" i="6"/>
  <c r="I832" i="6"/>
  <c r="A832" i="6"/>
  <c r="H832" i="6"/>
  <c r="G832" i="6"/>
  <c r="F832" i="6"/>
  <c r="E832" i="6"/>
  <c r="D832" i="6"/>
  <c r="C832" i="6"/>
  <c r="J840" i="6"/>
  <c r="B840" i="6"/>
  <c r="I840" i="6"/>
  <c r="A840" i="6"/>
  <c r="H840" i="6"/>
  <c r="G840" i="6"/>
  <c r="F840" i="6"/>
  <c r="E840" i="6"/>
  <c r="D840" i="6"/>
  <c r="C840" i="6"/>
  <c r="J848" i="6"/>
  <c r="B848" i="6"/>
  <c r="I848" i="6"/>
  <c r="A848" i="6"/>
  <c r="H848" i="6"/>
  <c r="G848" i="6"/>
  <c r="F848" i="6"/>
  <c r="E848" i="6"/>
  <c r="D848" i="6"/>
  <c r="C848" i="6"/>
  <c r="J856" i="6"/>
  <c r="B856" i="6"/>
  <c r="I856" i="6"/>
  <c r="A856" i="6"/>
  <c r="H856" i="6"/>
  <c r="G856" i="6"/>
  <c r="F856" i="6"/>
  <c r="E856" i="6"/>
  <c r="D856" i="6"/>
  <c r="C856" i="6"/>
  <c r="J864" i="6"/>
  <c r="B864" i="6"/>
  <c r="I864" i="6"/>
  <c r="A864" i="6"/>
  <c r="H864" i="6"/>
  <c r="G864" i="6"/>
  <c r="F864" i="6"/>
  <c r="E864" i="6"/>
  <c r="D864" i="6"/>
  <c r="C864" i="6"/>
  <c r="J872" i="6"/>
  <c r="B872" i="6"/>
  <c r="I872" i="6"/>
  <c r="A872" i="6"/>
  <c r="H872" i="6"/>
  <c r="G872" i="6"/>
  <c r="F872" i="6"/>
  <c r="E872" i="6"/>
  <c r="D872" i="6"/>
  <c r="C872" i="6"/>
  <c r="J880" i="6"/>
  <c r="B880" i="6"/>
  <c r="I880" i="6"/>
  <c r="A880" i="6"/>
  <c r="H880" i="6"/>
  <c r="G880" i="6"/>
  <c r="F880" i="6"/>
  <c r="E880" i="6"/>
  <c r="D880" i="6"/>
  <c r="C880" i="6"/>
  <c r="J888" i="6"/>
  <c r="B888" i="6"/>
  <c r="I888" i="6"/>
  <c r="A888" i="6"/>
  <c r="H888" i="6"/>
  <c r="G888" i="6"/>
  <c r="F888" i="6"/>
  <c r="E888" i="6"/>
  <c r="D888" i="6"/>
  <c r="C888" i="6"/>
  <c r="J896" i="6"/>
  <c r="B896" i="6"/>
  <c r="I896" i="6"/>
  <c r="A896" i="6"/>
  <c r="H896" i="6"/>
  <c r="G896" i="6"/>
  <c r="F896" i="6"/>
  <c r="E896" i="6"/>
  <c r="D896" i="6"/>
  <c r="C896" i="6"/>
  <c r="J904" i="6"/>
  <c r="B904" i="6"/>
  <c r="I904" i="6"/>
  <c r="A904" i="6"/>
  <c r="H904" i="6"/>
  <c r="G904" i="6"/>
  <c r="F904" i="6"/>
  <c r="E904" i="6"/>
  <c r="D904" i="6"/>
  <c r="C904" i="6"/>
  <c r="J912" i="6"/>
  <c r="B912" i="6"/>
  <c r="I912" i="6"/>
  <c r="A912" i="6"/>
  <c r="H912" i="6"/>
  <c r="G912" i="6"/>
  <c r="F912" i="6"/>
  <c r="E912" i="6"/>
  <c r="D912" i="6"/>
  <c r="C912" i="6"/>
  <c r="J920" i="6"/>
  <c r="B920" i="6"/>
  <c r="I920" i="6"/>
  <c r="A920" i="6"/>
  <c r="H920" i="6"/>
  <c r="G920" i="6"/>
  <c r="F920" i="6"/>
  <c r="E920" i="6"/>
  <c r="D920" i="6"/>
  <c r="C920" i="6"/>
  <c r="J928" i="6"/>
  <c r="B928" i="6"/>
  <c r="I928" i="6"/>
  <c r="A928" i="6"/>
  <c r="H928" i="6"/>
  <c r="G928" i="6"/>
  <c r="F928" i="6"/>
  <c r="E928" i="6"/>
  <c r="D928" i="6"/>
  <c r="C928" i="6"/>
  <c r="J936" i="6"/>
  <c r="B936" i="6"/>
  <c r="I936" i="6"/>
  <c r="A936" i="6"/>
  <c r="H936" i="6"/>
  <c r="G936" i="6"/>
  <c r="F936" i="6"/>
  <c r="E936" i="6"/>
  <c r="D936" i="6"/>
  <c r="C936" i="6"/>
  <c r="J944" i="6"/>
  <c r="B944" i="6"/>
  <c r="I944" i="6"/>
  <c r="A944" i="6"/>
  <c r="H944" i="6"/>
  <c r="G944" i="6"/>
  <c r="F944" i="6"/>
  <c r="E944" i="6"/>
  <c r="D944" i="6"/>
  <c r="C944" i="6"/>
  <c r="J952" i="6"/>
  <c r="B952" i="6"/>
  <c r="I952" i="6"/>
  <c r="A952" i="6"/>
  <c r="H952" i="6"/>
  <c r="G952" i="6"/>
  <c r="F952" i="6"/>
  <c r="E952" i="6"/>
  <c r="D952" i="6"/>
  <c r="C952" i="6"/>
  <c r="J960" i="6"/>
  <c r="B960" i="6"/>
  <c r="I960" i="6"/>
  <c r="A960" i="6"/>
  <c r="H960" i="6"/>
  <c r="G960" i="6"/>
  <c r="F960" i="6"/>
  <c r="E960" i="6"/>
  <c r="D960" i="6"/>
  <c r="C960" i="6"/>
  <c r="J968" i="6"/>
  <c r="B968" i="6"/>
  <c r="I968" i="6"/>
  <c r="A968" i="6"/>
  <c r="H968" i="6"/>
  <c r="G968" i="6"/>
  <c r="F968" i="6"/>
  <c r="E968" i="6"/>
  <c r="D968" i="6"/>
  <c r="C968" i="6"/>
  <c r="I976" i="6"/>
  <c r="A976" i="6"/>
  <c r="H976" i="6"/>
  <c r="F976" i="6"/>
  <c r="E976" i="6"/>
  <c r="D976" i="6"/>
  <c r="C976" i="6"/>
  <c r="J976" i="6"/>
  <c r="B976" i="6"/>
  <c r="G976" i="6"/>
  <c r="I984" i="6"/>
  <c r="A984" i="6"/>
  <c r="H984" i="6"/>
  <c r="F984" i="6"/>
  <c r="E984" i="6"/>
  <c r="D984" i="6"/>
  <c r="C984" i="6"/>
  <c r="J984" i="6"/>
  <c r="B984" i="6"/>
  <c r="G984" i="6"/>
  <c r="I992" i="6"/>
  <c r="A992" i="6"/>
  <c r="H992" i="6"/>
  <c r="F992" i="6"/>
  <c r="E992" i="6"/>
  <c r="D992" i="6"/>
  <c r="C992" i="6"/>
  <c r="J992" i="6"/>
  <c r="B992" i="6"/>
  <c r="G992" i="6"/>
  <c r="I1000" i="6"/>
  <c r="A1000" i="6"/>
  <c r="H1000" i="6"/>
  <c r="F1000" i="6"/>
  <c r="E1000" i="6"/>
  <c r="D1000" i="6"/>
  <c r="C1000" i="6"/>
  <c r="J1000" i="6"/>
  <c r="B1000" i="6"/>
  <c r="G1000" i="6"/>
  <c r="I1008" i="6"/>
  <c r="A1008" i="6"/>
  <c r="H1008" i="6"/>
  <c r="F1008" i="6"/>
  <c r="E1008" i="6"/>
  <c r="D1008" i="6"/>
  <c r="C1008" i="6"/>
  <c r="J1008" i="6"/>
  <c r="B1008" i="6"/>
  <c r="G1008" i="6"/>
  <c r="I1016" i="6"/>
  <c r="A1016" i="6"/>
  <c r="H1016" i="6"/>
  <c r="F1016" i="6"/>
  <c r="E1016" i="6"/>
  <c r="D1016" i="6"/>
  <c r="C1016" i="6"/>
  <c r="J1016" i="6"/>
  <c r="B1016" i="6"/>
  <c r="G1016" i="6"/>
  <c r="I1024" i="6"/>
  <c r="A1024" i="6"/>
  <c r="H1024" i="6"/>
  <c r="F1024" i="6"/>
  <c r="E1024" i="6"/>
  <c r="D1024" i="6"/>
  <c r="C1024" i="6"/>
  <c r="J1024" i="6"/>
  <c r="B1024" i="6"/>
  <c r="G1024" i="6"/>
  <c r="I1032" i="6"/>
  <c r="A1032" i="6"/>
  <c r="H1032" i="6"/>
  <c r="G1032" i="6"/>
  <c r="F1032" i="6"/>
  <c r="E1032" i="6"/>
  <c r="D1032" i="6"/>
  <c r="C1032" i="6"/>
  <c r="J1032" i="6"/>
  <c r="B1032" i="6"/>
  <c r="I1040" i="6"/>
  <c r="A1040" i="6"/>
  <c r="H1040" i="6"/>
  <c r="G1040" i="6"/>
  <c r="F1040" i="6"/>
  <c r="E1040" i="6"/>
  <c r="D1040" i="6"/>
  <c r="C1040" i="6"/>
  <c r="J1040" i="6"/>
  <c r="B1040" i="6"/>
  <c r="I1048" i="6"/>
  <c r="A1048" i="6"/>
  <c r="H1048" i="6"/>
  <c r="G1048" i="6"/>
  <c r="F1048" i="6"/>
  <c r="E1048" i="6"/>
  <c r="D1048" i="6"/>
  <c r="C1048" i="6"/>
  <c r="J1048" i="6"/>
  <c r="B1048" i="6"/>
  <c r="I1056" i="6"/>
  <c r="A1056" i="6"/>
  <c r="H1056" i="6"/>
  <c r="G1056" i="6"/>
  <c r="F1056" i="6"/>
  <c r="E1056" i="6"/>
  <c r="D1056" i="6"/>
  <c r="C1056" i="6"/>
  <c r="J1056" i="6"/>
  <c r="B1056" i="6"/>
  <c r="I1064" i="6"/>
  <c r="A1064" i="6"/>
  <c r="H1064" i="6"/>
  <c r="G1064" i="6"/>
  <c r="F1064" i="6"/>
  <c r="E1064" i="6"/>
  <c r="D1064" i="6"/>
  <c r="C1064" i="6"/>
  <c r="J1064" i="6"/>
  <c r="B1064" i="6"/>
  <c r="I1072" i="6"/>
  <c r="A1072" i="6"/>
  <c r="H1072" i="6"/>
  <c r="G1072" i="6"/>
  <c r="F1072" i="6"/>
  <c r="E1072" i="6"/>
  <c r="D1072" i="6"/>
  <c r="C1072" i="6"/>
  <c r="J1072" i="6"/>
  <c r="B1072" i="6"/>
  <c r="I1080" i="6"/>
  <c r="A1080" i="6"/>
  <c r="H1080" i="6"/>
  <c r="G1080" i="6"/>
  <c r="F1080" i="6"/>
  <c r="E1080" i="6"/>
  <c r="D1080" i="6"/>
  <c r="C1080" i="6"/>
  <c r="J1080" i="6"/>
  <c r="B1080" i="6"/>
  <c r="I1088" i="6"/>
  <c r="A1088" i="6"/>
  <c r="H1088" i="6"/>
  <c r="G1088" i="6"/>
  <c r="F1088" i="6"/>
  <c r="E1088" i="6"/>
  <c r="D1088" i="6"/>
  <c r="C1088" i="6"/>
  <c r="J1088" i="6"/>
  <c r="B1088" i="6"/>
  <c r="I1096" i="6"/>
  <c r="A1096" i="6"/>
  <c r="H1096" i="6"/>
  <c r="G1096" i="6"/>
  <c r="F1096" i="6"/>
  <c r="E1096" i="6"/>
  <c r="D1096" i="6"/>
  <c r="C1096" i="6"/>
  <c r="J1096" i="6"/>
  <c r="B1096" i="6"/>
  <c r="I1104" i="6"/>
  <c r="A1104" i="6"/>
  <c r="H1104" i="6"/>
  <c r="G1104" i="6"/>
  <c r="F1104" i="6"/>
  <c r="E1104" i="6"/>
  <c r="D1104" i="6"/>
  <c r="C1104" i="6"/>
  <c r="J1104" i="6"/>
  <c r="B1104" i="6"/>
  <c r="F1112" i="6"/>
  <c r="E1112" i="6"/>
  <c r="C1112" i="6"/>
  <c r="J1112" i="6"/>
  <c r="B1112" i="6"/>
  <c r="I1112" i="6"/>
  <c r="A1112" i="6"/>
  <c r="H1112" i="6"/>
  <c r="G1112" i="6"/>
  <c r="D1112" i="6"/>
  <c r="F1120" i="6"/>
  <c r="E1120" i="6"/>
  <c r="C1120" i="6"/>
  <c r="J1120" i="6"/>
  <c r="B1120" i="6"/>
  <c r="I1120" i="6"/>
  <c r="A1120" i="6"/>
  <c r="H1120" i="6"/>
  <c r="G1120" i="6"/>
  <c r="D1120" i="6"/>
  <c r="F1128" i="6"/>
  <c r="E1128" i="6"/>
  <c r="C1128" i="6"/>
  <c r="J1128" i="6"/>
  <c r="B1128" i="6"/>
  <c r="I1128" i="6"/>
  <c r="A1128" i="6"/>
  <c r="H1128" i="6"/>
  <c r="G1128" i="6"/>
  <c r="D1128" i="6"/>
  <c r="F1136" i="6"/>
  <c r="E1136" i="6"/>
  <c r="C1136" i="6"/>
  <c r="J1136" i="6"/>
  <c r="B1136" i="6"/>
  <c r="I1136" i="6"/>
  <c r="A1136" i="6"/>
  <c r="H1136" i="6"/>
  <c r="G1136" i="6"/>
  <c r="D1136" i="6"/>
  <c r="F1144" i="6"/>
  <c r="E1144" i="6"/>
  <c r="C1144" i="6"/>
  <c r="J1144" i="6"/>
  <c r="B1144" i="6"/>
  <c r="I1144" i="6"/>
  <c r="A1144" i="6"/>
  <c r="H1144" i="6"/>
  <c r="G1144" i="6"/>
  <c r="D1144" i="6"/>
  <c r="F1152" i="6"/>
  <c r="E1152" i="6"/>
  <c r="C1152" i="6"/>
  <c r="J1152" i="6"/>
  <c r="B1152" i="6"/>
  <c r="I1152" i="6"/>
  <c r="A1152" i="6"/>
  <c r="H1152" i="6"/>
  <c r="G1152" i="6"/>
  <c r="D1152" i="6"/>
  <c r="F1160" i="6"/>
  <c r="E1160" i="6"/>
  <c r="C1160" i="6"/>
  <c r="J1160" i="6"/>
  <c r="B1160" i="6"/>
  <c r="I1160" i="6"/>
  <c r="A1160" i="6"/>
  <c r="H1160" i="6"/>
  <c r="G1160" i="6"/>
  <c r="D1160" i="6"/>
  <c r="F1168" i="6"/>
  <c r="E1168" i="6"/>
  <c r="C1168" i="6"/>
  <c r="J1168" i="6"/>
  <c r="B1168" i="6"/>
  <c r="I1168" i="6"/>
  <c r="A1168" i="6"/>
  <c r="H1168" i="6"/>
  <c r="G1168" i="6"/>
  <c r="D1168" i="6"/>
  <c r="F1176" i="6"/>
  <c r="E1176" i="6"/>
  <c r="C1176" i="6"/>
  <c r="J1176" i="6"/>
  <c r="B1176" i="6"/>
  <c r="I1176" i="6"/>
  <c r="A1176" i="6"/>
  <c r="H1176" i="6"/>
  <c r="G1176" i="6"/>
  <c r="D1176" i="6"/>
  <c r="F1184" i="6"/>
  <c r="E1184" i="6"/>
  <c r="C1184" i="6"/>
  <c r="J1184" i="6"/>
  <c r="B1184" i="6"/>
  <c r="I1184" i="6"/>
  <c r="A1184" i="6"/>
  <c r="H1184" i="6"/>
  <c r="G1184" i="6"/>
  <c r="D1184" i="6"/>
  <c r="F1192" i="6"/>
  <c r="E1192" i="6"/>
  <c r="C1192" i="6"/>
  <c r="J1192" i="6"/>
  <c r="B1192" i="6"/>
  <c r="I1192" i="6"/>
  <c r="A1192" i="6"/>
  <c r="H1192" i="6"/>
  <c r="G1192" i="6"/>
  <c r="D1192" i="6"/>
  <c r="F1200" i="6"/>
  <c r="E1200" i="6"/>
  <c r="C1200" i="6"/>
  <c r="J1200" i="6"/>
  <c r="B1200" i="6"/>
  <c r="I1200" i="6"/>
  <c r="A1200" i="6"/>
  <c r="H1200" i="6"/>
  <c r="G1200" i="6"/>
  <c r="D1200" i="6"/>
  <c r="F1208" i="6"/>
  <c r="E1208" i="6"/>
  <c r="C1208" i="6"/>
  <c r="J1208" i="6"/>
  <c r="B1208" i="6"/>
  <c r="I1208" i="6"/>
  <c r="A1208" i="6"/>
  <c r="H1208" i="6"/>
  <c r="G1208" i="6"/>
  <c r="D1208" i="6"/>
  <c r="F1216" i="6"/>
  <c r="E1216" i="6"/>
  <c r="C1216" i="6"/>
  <c r="J1216" i="6"/>
  <c r="B1216" i="6"/>
  <c r="I1216" i="6"/>
  <c r="A1216" i="6"/>
  <c r="H1216" i="6"/>
  <c r="G1216" i="6"/>
  <c r="D1216" i="6"/>
  <c r="F1224" i="6"/>
  <c r="E1224" i="6"/>
  <c r="C1224" i="6"/>
  <c r="J1224" i="6"/>
  <c r="B1224" i="6"/>
  <c r="I1224" i="6"/>
  <c r="A1224" i="6"/>
  <c r="H1224" i="6"/>
  <c r="G1224" i="6"/>
  <c r="D1224" i="6"/>
  <c r="F1232" i="6"/>
  <c r="E1232" i="6"/>
  <c r="C1232" i="6"/>
  <c r="J1232" i="6"/>
  <c r="B1232" i="6"/>
  <c r="I1232" i="6"/>
  <c r="A1232" i="6"/>
  <c r="H1232" i="6"/>
  <c r="G1232" i="6"/>
  <c r="D1232" i="6"/>
  <c r="F1240" i="6"/>
  <c r="E1240" i="6"/>
  <c r="C1240" i="6"/>
  <c r="J1240" i="6"/>
  <c r="B1240" i="6"/>
  <c r="I1240" i="6"/>
  <c r="A1240" i="6"/>
  <c r="H1240" i="6"/>
  <c r="G1240" i="6"/>
  <c r="D1240" i="6"/>
  <c r="F1248" i="6"/>
  <c r="E1248" i="6"/>
  <c r="C1248" i="6"/>
  <c r="J1248" i="6"/>
  <c r="B1248" i="6"/>
  <c r="I1248" i="6"/>
  <c r="A1248" i="6"/>
  <c r="H1248" i="6"/>
  <c r="G1248" i="6"/>
  <c r="D1248" i="6"/>
  <c r="G1256" i="6"/>
  <c r="D1256" i="6"/>
  <c r="C1256" i="6"/>
  <c r="J1256" i="6"/>
  <c r="B1256" i="6"/>
  <c r="I1256" i="6"/>
  <c r="A1256" i="6"/>
  <c r="H1256" i="6"/>
  <c r="F1256" i="6"/>
  <c r="E1256" i="6"/>
  <c r="G1264" i="6"/>
  <c r="D1264" i="6"/>
  <c r="C1264" i="6"/>
  <c r="J1264" i="6"/>
  <c r="B1264" i="6"/>
  <c r="I1264" i="6"/>
  <c r="A1264" i="6"/>
  <c r="H1264" i="6"/>
  <c r="F1264" i="6"/>
  <c r="E1264" i="6"/>
  <c r="G1272" i="6"/>
  <c r="D1272" i="6"/>
  <c r="C1272" i="6"/>
  <c r="J1272" i="6"/>
  <c r="B1272" i="6"/>
  <c r="I1272" i="6"/>
  <c r="A1272" i="6"/>
  <c r="H1272" i="6"/>
  <c r="F1272" i="6"/>
  <c r="E1272" i="6"/>
  <c r="G1280" i="6"/>
  <c r="D1280" i="6"/>
  <c r="C1280" i="6"/>
  <c r="J1280" i="6"/>
  <c r="B1280" i="6"/>
  <c r="I1280" i="6"/>
  <c r="A1280" i="6"/>
  <c r="H1280" i="6"/>
  <c r="F1280" i="6"/>
  <c r="E1280" i="6"/>
  <c r="G1288" i="6"/>
  <c r="D1288" i="6"/>
  <c r="C1288" i="6"/>
  <c r="J1288" i="6"/>
  <c r="B1288" i="6"/>
  <c r="I1288" i="6"/>
  <c r="A1288" i="6"/>
  <c r="H1288" i="6"/>
  <c r="F1288" i="6"/>
  <c r="E1288" i="6"/>
  <c r="G1296" i="6"/>
  <c r="D1296" i="6"/>
  <c r="C1296" i="6"/>
  <c r="J1296" i="6"/>
  <c r="B1296" i="6"/>
  <c r="I1296" i="6"/>
  <c r="A1296" i="6"/>
  <c r="H1296" i="6"/>
  <c r="F1296" i="6"/>
  <c r="E1296" i="6"/>
  <c r="G1304" i="6"/>
  <c r="D1304" i="6"/>
  <c r="C1304" i="6"/>
  <c r="J1304" i="6"/>
  <c r="B1304" i="6"/>
  <c r="I1304" i="6"/>
  <c r="A1304" i="6"/>
  <c r="H1304" i="6"/>
  <c r="F1304" i="6"/>
  <c r="E1304" i="6"/>
  <c r="G1312" i="6"/>
  <c r="D1312" i="6"/>
  <c r="C1312" i="6"/>
  <c r="J1312" i="6"/>
  <c r="B1312" i="6"/>
  <c r="I1312" i="6"/>
  <c r="A1312" i="6"/>
  <c r="H1312" i="6"/>
  <c r="F1312" i="6"/>
  <c r="E1312" i="6"/>
  <c r="G1320" i="6"/>
  <c r="D1320" i="6"/>
  <c r="C1320" i="6"/>
  <c r="J1320" i="6"/>
  <c r="B1320" i="6"/>
  <c r="I1320" i="6"/>
  <c r="A1320" i="6"/>
  <c r="H1320" i="6"/>
  <c r="F1320" i="6"/>
  <c r="E1320" i="6"/>
  <c r="G1328" i="6"/>
  <c r="D1328" i="6"/>
  <c r="C1328" i="6"/>
  <c r="J1328" i="6"/>
  <c r="B1328" i="6"/>
  <c r="I1328" i="6"/>
  <c r="A1328" i="6"/>
  <c r="H1328" i="6"/>
  <c r="F1328" i="6"/>
  <c r="E1328" i="6"/>
  <c r="G1336" i="6"/>
  <c r="D1336" i="6"/>
  <c r="C1336" i="6"/>
  <c r="J1336" i="6"/>
  <c r="B1336" i="6"/>
  <c r="I1336" i="6"/>
  <c r="A1336" i="6"/>
  <c r="H1336" i="6"/>
  <c r="F1336" i="6"/>
  <c r="E1336" i="6"/>
  <c r="E1344" i="6"/>
  <c r="D1344" i="6"/>
  <c r="I1344" i="6"/>
  <c r="A1344" i="6"/>
  <c r="G1344" i="6"/>
  <c r="F1344" i="6"/>
  <c r="C1344" i="6"/>
  <c r="B1344" i="6"/>
  <c r="J1344" i="6"/>
  <c r="H1344" i="6"/>
  <c r="E1352" i="6"/>
  <c r="D1352" i="6"/>
  <c r="I1352" i="6"/>
  <c r="A1352" i="6"/>
  <c r="B1352" i="6"/>
  <c r="J1352" i="6"/>
  <c r="H1352" i="6"/>
  <c r="G1352" i="6"/>
  <c r="F1352" i="6"/>
  <c r="C1352" i="6"/>
  <c r="E1360" i="6"/>
  <c r="D1360" i="6"/>
  <c r="I1360" i="6"/>
  <c r="A1360" i="6"/>
  <c r="F1360" i="6"/>
  <c r="J1360" i="6"/>
  <c r="H1360" i="6"/>
  <c r="G1360" i="6"/>
  <c r="B1360" i="6"/>
  <c r="C1360" i="6"/>
  <c r="E1368" i="6"/>
  <c r="D1368" i="6"/>
  <c r="I1368" i="6"/>
  <c r="A1368" i="6"/>
  <c r="H1368" i="6"/>
  <c r="C1368" i="6"/>
  <c r="B1368" i="6"/>
  <c r="J1368" i="6"/>
  <c r="G1368" i="6"/>
  <c r="F1368" i="6"/>
  <c r="E1376" i="6"/>
  <c r="D1376" i="6"/>
  <c r="I1376" i="6"/>
  <c r="A1376" i="6"/>
  <c r="G1376" i="6"/>
  <c r="F1376" i="6"/>
  <c r="C1376" i="6"/>
  <c r="B1376" i="6"/>
  <c r="J1376" i="6"/>
  <c r="H1376" i="6"/>
  <c r="E1384" i="6"/>
  <c r="D1384" i="6"/>
  <c r="I1384" i="6"/>
  <c r="A1384" i="6"/>
  <c r="B1384" i="6"/>
  <c r="J1384" i="6"/>
  <c r="H1384" i="6"/>
  <c r="G1384" i="6"/>
  <c r="F1384" i="6"/>
  <c r="C1384" i="6"/>
  <c r="E1392" i="6"/>
  <c r="D1392" i="6"/>
  <c r="I1392" i="6"/>
  <c r="A1392" i="6"/>
  <c r="F1392" i="6"/>
  <c r="J1392" i="6"/>
  <c r="H1392" i="6"/>
  <c r="G1392" i="6"/>
  <c r="C1392" i="6"/>
  <c r="B1392" i="6"/>
  <c r="E1400" i="6"/>
  <c r="D1400" i="6"/>
  <c r="I1400" i="6"/>
  <c r="A1400" i="6"/>
  <c r="H1400" i="6"/>
  <c r="C1400" i="6"/>
  <c r="B1400" i="6"/>
  <c r="J1400" i="6"/>
  <c r="F1400" i="6"/>
  <c r="G1400" i="6"/>
  <c r="E1408" i="6"/>
  <c r="D1408" i="6"/>
  <c r="I1408" i="6"/>
  <c r="A1408" i="6"/>
  <c r="G1408" i="6"/>
  <c r="F1408" i="6"/>
  <c r="C1408" i="6"/>
  <c r="B1408" i="6"/>
  <c r="J1408" i="6"/>
  <c r="H1408" i="6"/>
  <c r="E1416" i="6"/>
  <c r="D1416" i="6"/>
  <c r="I1416" i="6"/>
  <c r="A1416" i="6"/>
  <c r="B1416" i="6"/>
  <c r="J1416" i="6"/>
  <c r="H1416" i="6"/>
  <c r="G1416" i="6"/>
  <c r="F1416" i="6"/>
  <c r="C1416" i="6"/>
  <c r="E1424" i="6"/>
  <c r="D1424" i="6"/>
  <c r="I1424" i="6"/>
  <c r="A1424" i="6"/>
  <c r="F1424" i="6"/>
  <c r="J1424" i="6"/>
  <c r="H1424" i="6"/>
  <c r="G1424" i="6"/>
  <c r="C1424" i="6"/>
  <c r="B1424" i="6"/>
  <c r="E1432" i="6"/>
  <c r="D1432" i="6"/>
  <c r="I1432" i="6"/>
  <c r="A1432" i="6"/>
  <c r="H1432" i="6"/>
  <c r="C1432" i="6"/>
  <c r="B1432" i="6"/>
  <c r="J1432" i="6"/>
  <c r="G1432" i="6"/>
  <c r="F1432" i="6"/>
  <c r="J1440" i="6"/>
  <c r="B1440" i="6"/>
  <c r="H1440" i="6"/>
  <c r="F1440" i="6"/>
  <c r="D1440" i="6"/>
  <c r="E1440" i="6"/>
  <c r="A1440" i="6"/>
  <c r="C1440" i="6"/>
  <c r="I1440" i="6"/>
  <c r="G1440" i="6"/>
  <c r="J1448" i="6"/>
  <c r="B1448" i="6"/>
  <c r="H1448" i="6"/>
  <c r="F1448" i="6"/>
  <c r="D1448" i="6"/>
  <c r="E1448" i="6"/>
  <c r="A1448" i="6"/>
  <c r="G1448" i="6"/>
  <c r="C1448" i="6"/>
  <c r="I1448" i="6"/>
  <c r="J1456" i="6"/>
  <c r="B1456" i="6"/>
  <c r="H1456" i="6"/>
  <c r="F1456" i="6"/>
  <c r="D1456" i="6"/>
  <c r="E1456" i="6"/>
  <c r="A1456" i="6"/>
  <c r="C1456" i="6"/>
  <c r="I1456" i="6"/>
  <c r="G1456" i="6"/>
  <c r="J1464" i="6"/>
  <c r="B1464" i="6"/>
  <c r="H1464" i="6"/>
  <c r="F1464" i="6"/>
  <c r="D1464" i="6"/>
  <c r="E1464" i="6"/>
  <c r="A1464" i="6"/>
  <c r="G1464" i="6"/>
  <c r="C1464" i="6"/>
  <c r="I1464" i="6"/>
  <c r="J1472" i="6"/>
  <c r="B1472" i="6"/>
  <c r="H1472" i="6"/>
  <c r="F1472" i="6"/>
  <c r="D1472" i="6"/>
  <c r="E1472" i="6"/>
  <c r="A1472" i="6"/>
  <c r="C1472" i="6"/>
  <c r="I1472" i="6"/>
  <c r="G1472" i="6"/>
  <c r="J1480" i="6"/>
  <c r="B1480" i="6"/>
  <c r="H1480" i="6"/>
  <c r="F1480" i="6"/>
  <c r="D1480" i="6"/>
  <c r="E1480" i="6"/>
  <c r="A1480" i="6"/>
  <c r="G1480" i="6"/>
  <c r="C1480" i="6"/>
  <c r="I1480" i="6"/>
  <c r="J1488" i="6"/>
  <c r="B1488" i="6"/>
  <c r="H1488" i="6"/>
  <c r="F1488" i="6"/>
  <c r="D1488" i="6"/>
  <c r="E1488" i="6"/>
  <c r="A1488" i="6"/>
  <c r="C1488" i="6"/>
  <c r="I1488" i="6"/>
  <c r="G1488" i="6"/>
  <c r="J1496" i="6"/>
  <c r="B1496" i="6"/>
  <c r="H1496" i="6"/>
  <c r="F1496" i="6"/>
  <c r="D1496" i="6"/>
  <c r="E1496" i="6"/>
  <c r="A1496" i="6"/>
  <c r="G1496" i="6"/>
  <c r="C1496" i="6"/>
  <c r="I1496" i="6"/>
  <c r="J1504" i="6"/>
  <c r="B1504" i="6"/>
  <c r="H1504" i="6"/>
  <c r="F1504" i="6"/>
  <c r="D1504" i="6"/>
  <c r="E1504" i="6"/>
  <c r="A1504" i="6"/>
  <c r="C1504" i="6"/>
  <c r="I1504" i="6"/>
  <c r="G1504" i="6"/>
  <c r="J1512" i="6"/>
  <c r="B1512" i="6"/>
  <c r="H1512" i="6"/>
  <c r="F1512" i="6"/>
  <c r="D1512" i="6"/>
  <c r="E1512" i="6"/>
  <c r="A1512" i="6"/>
  <c r="G1512" i="6"/>
  <c r="C1512" i="6"/>
  <c r="I1512" i="6"/>
  <c r="J1520" i="6"/>
  <c r="B1520" i="6"/>
  <c r="H1520" i="6"/>
  <c r="F1520" i="6"/>
  <c r="D1520" i="6"/>
  <c r="E1520" i="6"/>
  <c r="A1520" i="6"/>
  <c r="C1520" i="6"/>
  <c r="I1520" i="6"/>
  <c r="G1520" i="6"/>
  <c r="J1528" i="6"/>
  <c r="B1528" i="6"/>
  <c r="H1528" i="6"/>
  <c r="F1528" i="6"/>
  <c r="D1528" i="6"/>
  <c r="E1528" i="6"/>
  <c r="A1528" i="6"/>
  <c r="G1528" i="6"/>
  <c r="C1528" i="6"/>
  <c r="I1528" i="6"/>
  <c r="J1536" i="6"/>
  <c r="B1536" i="6"/>
  <c r="H1536" i="6"/>
  <c r="F1536" i="6"/>
  <c r="D1536" i="6"/>
  <c r="E1536" i="6"/>
  <c r="A1536" i="6"/>
  <c r="C1536" i="6"/>
  <c r="I1536" i="6"/>
  <c r="G1536" i="6"/>
  <c r="J1544" i="6"/>
  <c r="B1544" i="6"/>
  <c r="H1544" i="6"/>
  <c r="F1544" i="6"/>
  <c r="D1544" i="6"/>
  <c r="E1544" i="6"/>
  <c r="A1544" i="6"/>
  <c r="G1544" i="6"/>
  <c r="C1544" i="6"/>
  <c r="I1544" i="6"/>
  <c r="J1552" i="6"/>
  <c r="B1552" i="6"/>
  <c r="H1552" i="6"/>
  <c r="F1552" i="6"/>
  <c r="D1552" i="6"/>
  <c r="E1552" i="6"/>
  <c r="A1552" i="6"/>
  <c r="C1552" i="6"/>
  <c r="I1552" i="6"/>
  <c r="G1552" i="6"/>
  <c r="J1560" i="6"/>
  <c r="B1560" i="6"/>
  <c r="H1560" i="6"/>
  <c r="F1560" i="6"/>
  <c r="D1560" i="6"/>
  <c r="E1560" i="6"/>
  <c r="A1560" i="6"/>
  <c r="G1560" i="6"/>
  <c r="C1560" i="6"/>
  <c r="I1560" i="6"/>
  <c r="J1568" i="6"/>
  <c r="B1568" i="6"/>
  <c r="I1568" i="6"/>
  <c r="A1568" i="6"/>
  <c r="G1568" i="6"/>
  <c r="E1568" i="6"/>
  <c r="H1568" i="6"/>
  <c r="D1568" i="6"/>
  <c r="C1568" i="6"/>
  <c r="F1568" i="6"/>
  <c r="J1576" i="6"/>
  <c r="B1576" i="6"/>
  <c r="I1576" i="6"/>
  <c r="A1576" i="6"/>
  <c r="G1576" i="6"/>
  <c r="F1576" i="6"/>
  <c r="E1576" i="6"/>
  <c r="D1576" i="6"/>
  <c r="C1576" i="6"/>
  <c r="H1576" i="6"/>
  <c r="J1584" i="6"/>
  <c r="B1584" i="6"/>
  <c r="I1584" i="6"/>
  <c r="A1584" i="6"/>
  <c r="G1584" i="6"/>
  <c r="F1584" i="6"/>
  <c r="E1584" i="6"/>
  <c r="D1584" i="6"/>
  <c r="H1584" i="6"/>
  <c r="C1584" i="6"/>
  <c r="J1592" i="6"/>
  <c r="B1592" i="6"/>
  <c r="I1592" i="6"/>
  <c r="A1592" i="6"/>
  <c r="G1592" i="6"/>
  <c r="F1592" i="6"/>
  <c r="E1592" i="6"/>
  <c r="D1592" i="6"/>
  <c r="C1592" i="6"/>
  <c r="H1592" i="6"/>
  <c r="J1600" i="6"/>
  <c r="B1600" i="6"/>
  <c r="I1600" i="6"/>
  <c r="A1600" i="6"/>
  <c r="G1600" i="6"/>
  <c r="F1600" i="6"/>
  <c r="E1600" i="6"/>
  <c r="D1600" i="6"/>
  <c r="H1600" i="6"/>
  <c r="C1600" i="6"/>
  <c r="J1608" i="6"/>
  <c r="B1608" i="6"/>
  <c r="I1608" i="6"/>
  <c r="A1608" i="6"/>
  <c r="G1608" i="6"/>
  <c r="F1608" i="6"/>
  <c r="E1608" i="6"/>
  <c r="D1608" i="6"/>
  <c r="H1608" i="6"/>
  <c r="C1608" i="6"/>
  <c r="J1616" i="6"/>
  <c r="B1616" i="6"/>
  <c r="I1616" i="6"/>
  <c r="A1616" i="6"/>
  <c r="G1616" i="6"/>
  <c r="F1616" i="6"/>
  <c r="E1616" i="6"/>
  <c r="D1616" i="6"/>
  <c r="H1616" i="6"/>
  <c r="C1616" i="6"/>
  <c r="J1624" i="6"/>
  <c r="B1624" i="6"/>
  <c r="I1624" i="6"/>
  <c r="A1624" i="6"/>
  <c r="G1624" i="6"/>
  <c r="F1624" i="6"/>
  <c r="E1624" i="6"/>
  <c r="D1624" i="6"/>
  <c r="C1624" i="6"/>
  <c r="H1624" i="6"/>
  <c r="J1632" i="6"/>
  <c r="B1632" i="6"/>
  <c r="I1632" i="6"/>
  <c r="A1632" i="6"/>
  <c r="G1632" i="6"/>
  <c r="F1632" i="6"/>
  <c r="E1632" i="6"/>
  <c r="D1632" i="6"/>
  <c r="C1632" i="6"/>
  <c r="H1632" i="6"/>
  <c r="J1640" i="6"/>
  <c r="B1640" i="6"/>
  <c r="I1640" i="6"/>
  <c r="A1640" i="6"/>
  <c r="G1640" i="6"/>
  <c r="F1640" i="6"/>
  <c r="E1640" i="6"/>
  <c r="D1640" i="6"/>
  <c r="C1640" i="6"/>
  <c r="H1640" i="6"/>
  <c r="J1648" i="6"/>
  <c r="B1648" i="6"/>
  <c r="I1648" i="6"/>
  <c r="A1648" i="6"/>
  <c r="G1648" i="6"/>
  <c r="F1648" i="6"/>
  <c r="E1648" i="6"/>
  <c r="D1648" i="6"/>
  <c r="H1648" i="6"/>
  <c r="C1648" i="6"/>
  <c r="J1656" i="6"/>
  <c r="B1656" i="6"/>
  <c r="I1656" i="6"/>
  <c r="A1656" i="6"/>
  <c r="G1656" i="6"/>
  <c r="F1656" i="6"/>
  <c r="E1656" i="6"/>
  <c r="D1656" i="6"/>
  <c r="C1656" i="6"/>
  <c r="H1656" i="6"/>
  <c r="C1664" i="6"/>
  <c r="J1664" i="6"/>
  <c r="B1664" i="6"/>
  <c r="H1664" i="6"/>
  <c r="F1664" i="6"/>
  <c r="E1664" i="6"/>
  <c r="D1664" i="6"/>
  <c r="G1664" i="6"/>
  <c r="A1664" i="6"/>
  <c r="I1664" i="6"/>
  <c r="C1672" i="6"/>
  <c r="J1672" i="6"/>
  <c r="B1672" i="6"/>
  <c r="H1672" i="6"/>
  <c r="F1672" i="6"/>
  <c r="E1672" i="6"/>
  <c r="D1672" i="6"/>
  <c r="A1672" i="6"/>
  <c r="I1672" i="6"/>
  <c r="G1672" i="6"/>
  <c r="C1680" i="6"/>
  <c r="J1680" i="6"/>
  <c r="B1680" i="6"/>
  <c r="H1680" i="6"/>
  <c r="F1680" i="6"/>
  <c r="E1680" i="6"/>
  <c r="D1680" i="6"/>
  <c r="G1680" i="6"/>
  <c r="I1680" i="6"/>
  <c r="A1680" i="6"/>
  <c r="C1688" i="6"/>
  <c r="J1688" i="6"/>
  <c r="B1688" i="6"/>
  <c r="H1688" i="6"/>
  <c r="F1688" i="6"/>
  <c r="E1688" i="6"/>
  <c r="D1688" i="6"/>
  <c r="I1688" i="6"/>
  <c r="A1688" i="6"/>
  <c r="G1688" i="6"/>
  <c r="C1696" i="6"/>
  <c r="J1696" i="6"/>
  <c r="B1696" i="6"/>
  <c r="H1696" i="6"/>
  <c r="F1696" i="6"/>
  <c r="E1696" i="6"/>
  <c r="D1696" i="6"/>
  <c r="G1696" i="6"/>
  <c r="I1696" i="6"/>
  <c r="A1696" i="6"/>
  <c r="C1704" i="6"/>
  <c r="J1704" i="6"/>
  <c r="B1704" i="6"/>
  <c r="H1704" i="6"/>
  <c r="F1704" i="6"/>
  <c r="E1704" i="6"/>
  <c r="D1704" i="6"/>
  <c r="I1704" i="6"/>
  <c r="A1704" i="6"/>
  <c r="G1704" i="6"/>
  <c r="C1712" i="6"/>
  <c r="J1712" i="6"/>
  <c r="B1712" i="6"/>
  <c r="H1712" i="6"/>
  <c r="F1712" i="6"/>
  <c r="E1712" i="6"/>
  <c r="D1712" i="6"/>
  <c r="G1712" i="6"/>
  <c r="I1712" i="6"/>
  <c r="A1712" i="6"/>
  <c r="C1720" i="6"/>
  <c r="J1720" i="6"/>
  <c r="B1720" i="6"/>
  <c r="H1720" i="6"/>
  <c r="F1720" i="6"/>
  <c r="E1720" i="6"/>
  <c r="D1720" i="6"/>
  <c r="I1720" i="6"/>
  <c r="A1720" i="6"/>
  <c r="G1720" i="6"/>
  <c r="C1728" i="6"/>
  <c r="J1728" i="6"/>
  <c r="B1728" i="6"/>
  <c r="H1728" i="6"/>
  <c r="F1728" i="6"/>
  <c r="E1728" i="6"/>
  <c r="D1728" i="6"/>
  <c r="G1728" i="6"/>
  <c r="I1728" i="6"/>
  <c r="A1728" i="6"/>
  <c r="H1736" i="6"/>
  <c r="F1736" i="6"/>
  <c r="B1736" i="6"/>
  <c r="A1736" i="6"/>
  <c r="I1736" i="6"/>
  <c r="E1736" i="6"/>
  <c r="G1736" i="6"/>
  <c r="D1736" i="6"/>
  <c r="C1736" i="6"/>
  <c r="J1736" i="6"/>
  <c r="H1744" i="6"/>
  <c r="F1744" i="6"/>
  <c r="D1744" i="6"/>
  <c r="A1744" i="6"/>
  <c r="I1744" i="6"/>
  <c r="E1744" i="6"/>
  <c r="C1744" i="6"/>
  <c r="B1744" i="6"/>
  <c r="G1744" i="6"/>
  <c r="J1744" i="6"/>
  <c r="H1752" i="6"/>
  <c r="F1752" i="6"/>
  <c r="D1752" i="6"/>
  <c r="C1752" i="6"/>
  <c r="B1752" i="6"/>
  <c r="I1752" i="6"/>
  <c r="J1752" i="6"/>
  <c r="G1752" i="6"/>
  <c r="E1752" i="6"/>
  <c r="A1752" i="6"/>
  <c r="H1760" i="6"/>
  <c r="F1760" i="6"/>
  <c r="D1760" i="6"/>
  <c r="G1760" i="6"/>
  <c r="E1760" i="6"/>
  <c r="B1760" i="6"/>
  <c r="J1760" i="6"/>
  <c r="I1760" i="6"/>
  <c r="A1760" i="6"/>
  <c r="C1760" i="6"/>
  <c r="H1768" i="6"/>
  <c r="F1768" i="6"/>
  <c r="D1768" i="6"/>
  <c r="J1768" i="6"/>
  <c r="I1768" i="6"/>
  <c r="E1768" i="6"/>
  <c r="B1768" i="6"/>
  <c r="A1768" i="6"/>
  <c r="C1768" i="6"/>
  <c r="G1768" i="6"/>
  <c r="H1776" i="6"/>
  <c r="F1776" i="6"/>
  <c r="D1776" i="6"/>
  <c r="A1776" i="6"/>
  <c r="I1776" i="6"/>
  <c r="E1776" i="6"/>
  <c r="G1776" i="6"/>
  <c r="C1776" i="6"/>
  <c r="B1776" i="6"/>
  <c r="J1776" i="6"/>
  <c r="H1784" i="6"/>
  <c r="F1784" i="6"/>
  <c r="D1784" i="6"/>
  <c r="C1784" i="6"/>
  <c r="B1784" i="6"/>
  <c r="I1784" i="6"/>
  <c r="G1784" i="6"/>
  <c r="E1784" i="6"/>
  <c r="J1784" i="6"/>
  <c r="A1784" i="6"/>
  <c r="H1792" i="6"/>
  <c r="F1792" i="6"/>
  <c r="D1792" i="6"/>
  <c r="G1792" i="6"/>
  <c r="E1792" i="6"/>
  <c r="B1792" i="6"/>
  <c r="J1792" i="6"/>
  <c r="I1792" i="6"/>
  <c r="A1792" i="6"/>
  <c r="C1792" i="6"/>
  <c r="H1800" i="6"/>
  <c r="F1800" i="6"/>
  <c r="D1800" i="6"/>
  <c r="J1800" i="6"/>
  <c r="I1800" i="6"/>
  <c r="E1800" i="6"/>
  <c r="B1800" i="6"/>
  <c r="C1800" i="6"/>
  <c r="A1800" i="6"/>
  <c r="G1800" i="6"/>
  <c r="H1808" i="6"/>
  <c r="F1808" i="6"/>
  <c r="D1808" i="6"/>
  <c r="A1808" i="6"/>
  <c r="I1808" i="6"/>
  <c r="E1808" i="6"/>
  <c r="C1808" i="6"/>
  <c r="B1808" i="6"/>
  <c r="G1808" i="6"/>
  <c r="J1808" i="6"/>
  <c r="H1816" i="6"/>
  <c r="F1816" i="6"/>
  <c r="D1816" i="6"/>
  <c r="C1816" i="6"/>
  <c r="B1816" i="6"/>
  <c r="I1816" i="6"/>
  <c r="J1816" i="6"/>
  <c r="G1816" i="6"/>
  <c r="E1816" i="6"/>
  <c r="A1816" i="6"/>
  <c r="H1824" i="6"/>
  <c r="F1824" i="6"/>
  <c r="D1824" i="6"/>
  <c r="G1824" i="6"/>
  <c r="E1824" i="6"/>
  <c r="B1824" i="6"/>
  <c r="J1824" i="6"/>
  <c r="I1824" i="6"/>
  <c r="A1824" i="6"/>
  <c r="C1824" i="6"/>
  <c r="H1832" i="6"/>
  <c r="F1832" i="6"/>
  <c r="D1832" i="6"/>
  <c r="J1832" i="6"/>
  <c r="I1832" i="6"/>
  <c r="E1832" i="6"/>
  <c r="B1832" i="6"/>
  <c r="A1832" i="6"/>
  <c r="C1832" i="6"/>
  <c r="G1832" i="6"/>
  <c r="H1840" i="6"/>
  <c r="F1840" i="6"/>
  <c r="D1840" i="6"/>
  <c r="A1840" i="6"/>
  <c r="I1840" i="6"/>
  <c r="E1840" i="6"/>
  <c r="G1840" i="6"/>
  <c r="C1840" i="6"/>
  <c r="B1840" i="6"/>
  <c r="J1840" i="6"/>
  <c r="H1848" i="6"/>
  <c r="F1848" i="6"/>
  <c r="D1848" i="6"/>
  <c r="C1848" i="6"/>
  <c r="B1848" i="6"/>
  <c r="I1848" i="6"/>
  <c r="G1848" i="6"/>
  <c r="E1848" i="6"/>
  <c r="J1848" i="6"/>
  <c r="A1848" i="6"/>
  <c r="H1856" i="6"/>
  <c r="F1856" i="6"/>
  <c r="D1856" i="6"/>
  <c r="G1856" i="6"/>
  <c r="E1856" i="6"/>
  <c r="B1856" i="6"/>
  <c r="J1856" i="6"/>
  <c r="I1856" i="6"/>
  <c r="A1856" i="6"/>
  <c r="C1856" i="6"/>
  <c r="G1864" i="6"/>
  <c r="E1864" i="6"/>
  <c r="J1864" i="6"/>
  <c r="H1864" i="6"/>
  <c r="D1864" i="6"/>
  <c r="A1864" i="6"/>
  <c r="F1864" i="6"/>
  <c r="C1864" i="6"/>
  <c r="B1864" i="6"/>
  <c r="I1864" i="6"/>
  <c r="G1872" i="6"/>
  <c r="E1872" i="6"/>
  <c r="C1872" i="6"/>
  <c r="H1872" i="6"/>
  <c r="D1872" i="6"/>
  <c r="A1872" i="6"/>
  <c r="J1872" i="6"/>
  <c r="I1872" i="6"/>
  <c r="B1872" i="6"/>
  <c r="F1872" i="6"/>
  <c r="G1880" i="6"/>
  <c r="E1880" i="6"/>
  <c r="C1880" i="6"/>
  <c r="J1880" i="6"/>
  <c r="H1880" i="6"/>
  <c r="D1880" i="6"/>
  <c r="A1880" i="6"/>
  <c r="I1880" i="6"/>
  <c r="F1880" i="6"/>
  <c r="B1880" i="6"/>
  <c r="G1888" i="6"/>
  <c r="E1888" i="6"/>
  <c r="C1888" i="6"/>
  <c r="A1888" i="6"/>
  <c r="J1888" i="6"/>
  <c r="H1888" i="6"/>
  <c r="I1888" i="6"/>
  <c r="D1888" i="6"/>
  <c r="B1888" i="6"/>
  <c r="F1888" i="6"/>
  <c r="G1896" i="6"/>
  <c r="E1896" i="6"/>
  <c r="C1896" i="6"/>
  <c r="D1896" i="6"/>
  <c r="A1896" i="6"/>
  <c r="J1896" i="6"/>
  <c r="B1896" i="6"/>
  <c r="I1896" i="6"/>
  <c r="H1896" i="6"/>
  <c r="F1896" i="6"/>
  <c r="G1904" i="6"/>
  <c r="E1904" i="6"/>
  <c r="C1904" i="6"/>
  <c r="A1904" i="6"/>
  <c r="I1904" i="6"/>
  <c r="H1904" i="6"/>
  <c r="D1904" i="6"/>
  <c r="F1904" i="6"/>
  <c r="B1904" i="6"/>
  <c r="J1904" i="6"/>
  <c r="G1912" i="6"/>
  <c r="E1912" i="6"/>
  <c r="I1912" i="6"/>
  <c r="F1912" i="6"/>
  <c r="C1912" i="6"/>
  <c r="H1912" i="6"/>
  <c r="B1912" i="6"/>
  <c r="A1912" i="6"/>
  <c r="J1912" i="6"/>
  <c r="D1912" i="6"/>
  <c r="G1920" i="6"/>
  <c r="E1920" i="6"/>
  <c r="C1920" i="6"/>
  <c r="A1920" i="6"/>
  <c r="I1920" i="6"/>
  <c r="F1920" i="6"/>
  <c r="B1920" i="6"/>
  <c r="J1920" i="6"/>
  <c r="H1920" i="6"/>
  <c r="D1920" i="6"/>
  <c r="G1928" i="6"/>
  <c r="E1928" i="6"/>
  <c r="I1928" i="6"/>
  <c r="F1928" i="6"/>
  <c r="C1928" i="6"/>
  <c r="J1928" i="6"/>
  <c r="D1928" i="6"/>
  <c r="H1928" i="6"/>
  <c r="B1928" i="6"/>
  <c r="A1928" i="6"/>
  <c r="G1936" i="6"/>
  <c r="E1936" i="6"/>
  <c r="C1936" i="6"/>
  <c r="A1936" i="6"/>
  <c r="I1936" i="6"/>
  <c r="D1936" i="6"/>
  <c r="J1936" i="6"/>
  <c r="F1936" i="6"/>
  <c r="B1936" i="6"/>
  <c r="H1936" i="6"/>
  <c r="G1944" i="6"/>
  <c r="E1944" i="6"/>
  <c r="I1944" i="6"/>
  <c r="F1944" i="6"/>
  <c r="C1944" i="6"/>
  <c r="H1944" i="6"/>
  <c r="B1944" i="6"/>
  <c r="J1944" i="6"/>
  <c r="A1944" i="6"/>
  <c r="D1944" i="6"/>
  <c r="G1952" i="6"/>
  <c r="E1952" i="6"/>
  <c r="C1952" i="6"/>
  <c r="F1952" i="6"/>
  <c r="B1952" i="6"/>
  <c r="J1952" i="6"/>
  <c r="H1952" i="6"/>
  <c r="A1952" i="6"/>
  <c r="I1952" i="6"/>
  <c r="D1952" i="6"/>
  <c r="G1960" i="6"/>
  <c r="E1960" i="6"/>
  <c r="C1960" i="6"/>
  <c r="I1960" i="6"/>
  <c r="F1960" i="6"/>
  <c r="B1960" i="6"/>
  <c r="H1960" i="6"/>
  <c r="A1960" i="6"/>
  <c r="J1960" i="6"/>
  <c r="D1960" i="6"/>
  <c r="G1968" i="6"/>
  <c r="E1968" i="6"/>
  <c r="C1968" i="6"/>
  <c r="I1968" i="6"/>
  <c r="F1968" i="6"/>
  <c r="H1968" i="6"/>
  <c r="D1968" i="6"/>
  <c r="B1968" i="6"/>
  <c r="J1968" i="6"/>
  <c r="A1968" i="6"/>
  <c r="G1976" i="6"/>
  <c r="E1976" i="6"/>
  <c r="C1976" i="6"/>
  <c r="B1976" i="6"/>
  <c r="I1976" i="6"/>
  <c r="J1976" i="6"/>
  <c r="H1976" i="6"/>
  <c r="D1976" i="6"/>
  <c r="A1976" i="6"/>
  <c r="F1976" i="6"/>
  <c r="G1984" i="6"/>
  <c r="E1984" i="6"/>
  <c r="C1984" i="6"/>
  <c r="F1984" i="6"/>
  <c r="B1984" i="6"/>
  <c r="A1984" i="6"/>
  <c r="I1984" i="6"/>
  <c r="J1984" i="6"/>
  <c r="D1984" i="6"/>
  <c r="H1984" i="6"/>
  <c r="H1992" i="6"/>
  <c r="D1992" i="6"/>
  <c r="J1992" i="6"/>
  <c r="G1992" i="6"/>
  <c r="E1992" i="6"/>
  <c r="A1992" i="6"/>
  <c r="I1992" i="6"/>
  <c r="F1992" i="6"/>
  <c r="B1992" i="6"/>
  <c r="C1992" i="6"/>
  <c r="H2000" i="6"/>
  <c r="D2000" i="6"/>
  <c r="E2000" i="6"/>
  <c r="B2000" i="6"/>
  <c r="J2000" i="6"/>
  <c r="G2000" i="6"/>
  <c r="C2000" i="6"/>
  <c r="I2000" i="6"/>
  <c r="F2000" i="6"/>
  <c r="A2000" i="6"/>
  <c r="E4" i="6"/>
  <c r="G5" i="6"/>
  <c r="A6" i="6"/>
  <c r="I6" i="6"/>
  <c r="C7" i="6"/>
  <c r="E8" i="6"/>
  <c r="G9" i="6"/>
  <c r="C10" i="6"/>
  <c r="C11" i="6"/>
  <c r="J11" i="6"/>
  <c r="B11" i="6"/>
  <c r="I11" i="6"/>
  <c r="A11" i="6"/>
  <c r="H11" i="6"/>
  <c r="G11" i="6"/>
  <c r="F11" i="6"/>
  <c r="E11" i="6"/>
  <c r="D11" i="6"/>
  <c r="C19" i="6"/>
  <c r="J19" i="6"/>
  <c r="B19" i="6"/>
  <c r="I19" i="6"/>
  <c r="A19" i="6"/>
  <c r="H19" i="6"/>
  <c r="G19" i="6"/>
  <c r="F19" i="6"/>
  <c r="E19" i="6"/>
  <c r="D19" i="6"/>
  <c r="C27" i="6"/>
  <c r="J27" i="6"/>
  <c r="B27" i="6"/>
  <c r="I27" i="6"/>
  <c r="A27" i="6"/>
  <c r="H27" i="6"/>
  <c r="G27" i="6"/>
  <c r="F27" i="6"/>
  <c r="E27" i="6"/>
  <c r="D27" i="6"/>
  <c r="C35" i="6"/>
  <c r="J35" i="6"/>
  <c r="B35" i="6"/>
  <c r="I35" i="6"/>
  <c r="A35" i="6"/>
  <c r="H35" i="6"/>
  <c r="G35" i="6"/>
  <c r="F35" i="6"/>
  <c r="E35" i="6"/>
  <c r="D35" i="6"/>
  <c r="C43" i="6"/>
  <c r="J43" i="6"/>
  <c r="B43" i="6"/>
  <c r="I43" i="6"/>
  <c r="A43" i="6"/>
  <c r="H43" i="6"/>
  <c r="G43" i="6"/>
  <c r="F43" i="6"/>
  <c r="E43" i="6"/>
  <c r="D43" i="6"/>
  <c r="C51" i="6"/>
  <c r="J51" i="6"/>
  <c r="B51" i="6"/>
  <c r="I51" i="6"/>
  <c r="A51" i="6"/>
  <c r="H51" i="6"/>
  <c r="G51" i="6"/>
  <c r="F51" i="6"/>
  <c r="E51" i="6"/>
  <c r="D51" i="6"/>
  <c r="C59" i="6"/>
  <c r="J59" i="6"/>
  <c r="B59" i="6"/>
  <c r="I59" i="6"/>
  <c r="A59" i="6"/>
  <c r="H59" i="6"/>
  <c r="G59" i="6"/>
  <c r="F59" i="6"/>
  <c r="E59" i="6"/>
  <c r="D59" i="6"/>
  <c r="C67" i="6"/>
  <c r="J67" i="6"/>
  <c r="B67" i="6"/>
  <c r="I67" i="6"/>
  <c r="A67" i="6"/>
  <c r="H67" i="6"/>
  <c r="G67" i="6"/>
  <c r="F67" i="6"/>
  <c r="E67" i="6"/>
  <c r="D67" i="6"/>
  <c r="C75" i="6"/>
  <c r="J75" i="6"/>
  <c r="B75" i="6"/>
  <c r="I75" i="6"/>
  <c r="A75" i="6"/>
  <c r="H75" i="6"/>
  <c r="G75" i="6"/>
  <c r="F75" i="6"/>
  <c r="E75" i="6"/>
  <c r="D75" i="6"/>
  <c r="C83" i="6"/>
  <c r="J83" i="6"/>
  <c r="B83" i="6"/>
  <c r="I83" i="6"/>
  <c r="A83" i="6"/>
  <c r="H83" i="6"/>
  <c r="G83" i="6"/>
  <c r="F83" i="6"/>
  <c r="E83" i="6"/>
  <c r="D83" i="6"/>
  <c r="C91" i="6"/>
  <c r="J91" i="6"/>
  <c r="B91" i="6"/>
  <c r="I91" i="6"/>
  <c r="A91" i="6"/>
  <c r="H91" i="6"/>
  <c r="G91" i="6"/>
  <c r="F91" i="6"/>
  <c r="E91" i="6"/>
  <c r="D91" i="6"/>
  <c r="C99" i="6"/>
  <c r="J99" i="6"/>
  <c r="B99" i="6"/>
  <c r="I99" i="6"/>
  <c r="A99" i="6"/>
  <c r="H99" i="6"/>
  <c r="G99" i="6"/>
  <c r="F99" i="6"/>
  <c r="E99" i="6"/>
  <c r="D99" i="6"/>
  <c r="C107" i="6"/>
  <c r="J107" i="6"/>
  <c r="B107" i="6"/>
  <c r="I107" i="6"/>
  <c r="A107" i="6"/>
  <c r="H107" i="6"/>
  <c r="G107" i="6"/>
  <c r="F107" i="6"/>
  <c r="E107" i="6"/>
  <c r="D107" i="6"/>
  <c r="C115" i="6"/>
  <c r="J115" i="6"/>
  <c r="B115" i="6"/>
  <c r="I115" i="6"/>
  <c r="A115" i="6"/>
  <c r="H115" i="6"/>
  <c r="G115" i="6"/>
  <c r="F115" i="6"/>
  <c r="E115" i="6"/>
  <c r="D115" i="6"/>
  <c r="C123" i="6"/>
  <c r="J123" i="6"/>
  <c r="B123" i="6"/>
  <c r="I123" i="6"/>
  <c r="A123" i="6"/>
  <c r="H123" i="6"/>
  <c r="G123" i="6"/>
  <c r="F123" i="6"/>
  <c r="E123" i="6"/>
  <c r="D123" i="6"/>
  <c r="C131" i="6"/>
  <c r="J131" i="6"/>
  <c r="B131" i="6"/>
  <c r="I131" i="6"/>
  <c r="A131" i="6"/>
  <c r="H131" i="6"/>
  <c r="G131" i="6"/>
  <c r="F131" i="6"/>
  <c r="E131" i="6"/>
  <c r="D131" i="6"/>
  <c r="C139" i="6"/>
  <c r="J139" i="6"/>
  <c r="B139" i="6"/>
  <c r="I139" i="6"/>
  <c r="A139" i="6"/>
  <c r="H139" i="6"/>
  <c r="G139" i="6"/>
  <c r="F139" i="6"/>
  <c r="E139" i="6"/>
  <c r="D139" i="6"/>
  <c r="C147" i="6"/>
  <c r="J147" i="6"/>
  <c r="B147" i="6"/>
  <c r="I147" i="6"/>
  <c r="A147" i="6"/>
  <c r="H147" i="6"/>
  <c r="G147" i="6"/>
  <c r="F147" i="6"/>
  <c r="E147" i="6"/>
  <c r="D147" i="6"/>
  <c r="C155" i="6"/>
  <c r="J155" i="6"/>
  <c r="B155" i="6"/>
  <c r="I155" i="6"/>
  <c r="A155" i="6"/>
  <c r="H155" i="6"/>
  <c r="G155" i="6"/>
  <c r="F155" i="6"/>
  <c r="E155" i="6"/>
  <c r="D155" i="6"/>
  <c r="C163" i="6"/>
  <c r="J163" i="6"/>
  <c r="B163" i="6"/>
  <c r="I163" i="6"/>
  <c r="A163" i="6"/>
  <c r="H163" i="6"/>
  <c r="G163" i="6"/>
  <c r="F163" i="6"/>
  <c r="E163" i="6"/>
  <c r="D163" i="6"/>
  <c r="C171" i="6"/>
  <c r="J171" i="6"/>
  <c r="B171" i="6"/>
  <c r="I171" i="6"/>
  <c r="A171" i="6"/>
  <c r="H171" i="6"/>
  <c r="G171" i="6"/>
  <c r="F171" i="6"/>
  <c r="E171" i="6"/>
  <c r="D171" i="6"/>
  <c r="C179" i="6"/>
  <c r="J179" i="6"/>
  <c r="B179" i="6"/>
  <c r="I179" i="6"/>
  <c r="A179" i="6"/>
  <c r="H179" i="6"/>
  <c r="G179" i="6"/>
  <c r="F179" i="6"/>
  <c r="E179" i="6"/>
  <c r="D179" i="6"/>
  <c r="C187" i="6"/>
  <c r="J187" i="6"/>
  <c r="B187" i="6"/>
  <c r="I187" i="6"/>
  <c r="A187" i="6"/>
  <c r="H187" i="6"/>
  <c r="G187" i="6"/>
  <c r="F187" i="6"/>
  <c r="E187" i="6"/>
  <c r="D187" i="6"/>
  <c r="C195" i="6"/>
  <c r="J195" i="6"/>
  <c r="B195" i="6"/>
  <c r="I195" i="6"/>
  <c r="A195" i="6"/>
  <c r="H195" i="6"/>
  <c r="G195" i="6"/>
  <c r="F195" i="6"/>
  <c r="E195" i="6"/>
  <c r="D195" i="6"/>
  <c r="C203" i="6"/>
  <c r="J203" i="6"/>
  <c r="B203" i="6"/>
  <c r="I203" i="6"/>
  <c r="A203" i="6"/>
  <c r="H203" i="6"/>
  <c r="G203" i="6"/>
  <c r="F203" i="6"/>
  <c r="E203" i="6"/>
  <c r="D203" i="6"/>
  <c r="C211" i="6"/>
  <c r="J211" i="6"/>
  <c r="B211" i="6"/>
  <c r="I211" i="6"/>
  <c r="A211" i="6"/>
  <c r="H211" i="6"/>
  <c r="G211" i="6"/>
  <c r="F211" i="6"/>
  <c r="E211" i="6"/>
  <c r="D211" i="6"/>
  <c r="C219" i="6"/>
  <c r="J219" i="6"/>
  <c r="B219" i="6"/>
  <c r="I219" i="6"/>
  <c r="A219" i="6"/>
  <c r="H219" i="6"/>
  <c r="G219" i="6"/>
  <c r="F219" i="6"/>
  <c r="E219" i="6"/>
  <c r="D219" i="6"/>
  <c r="C227" i="6"/>
  <c r="J227" i="6"/>
  <c r="B227" i="6"/>
  <c r="I227" i="6"/>
  <c r="A227" i="6"/>
  <c r="H227" i="6"/>
  <c r="G227" i="6"/>
  <c r="F227" i="6"/>
  <c r="E227" i="6"/>
  <c r="D227" i="6"/>
  <c r="C235" i="6"/>
  <c r="J235" i="6"/>
  <c r="B235" i="6"/>
  <c r="I235" i="6"/>
  <c r="A235" i="6"/>
  <c r="H235" i="6"/>
  <c r="G235" i="6"/>
  <c r="F235" i="6"/>
  <c r="E235" i="6"/>
  <c r="D235" i="6"/>
  <c r="C243" i="6"/>
  <c r="J243" i="6"/>
  <c r="B243" i="6"/>
  <c r="I243" i="6"/>
  <c r="A243" i="6"/>
  <c r="H243" i="6"/>
  <c r="G243" i="6"/>
  <c r="F243" i="6"/>
  <c r="E243" i="6"/>
  <c r="D243" i="6"/>
  <c r="C251" i="6"/>
  <c r="J251" i="6"/>
  <c r="B251" i="6"/>
  <c r="I251" i="6"/>
  <c r="A251" i="6"/>
  <c r="H251" i="6"/>
  <c r="G251" i="6"/>
  <c r="F251" i="6"/>
  <c r="E251" i="6"/>
  <c r="D251" i="6"/>
  <c r="C259" i="6"/>
  <c r="J259" i="6"/>
  <c r="B259" i="6"/>
  <c r="I259" i="6"/>
  <c r="A259" i="6"/>
  <c r="H259" i="6"/>
  <c r="G259" i="6"/>
  <c r="F259" i="6"/>
  <c r="E259" i="6"/>
  <c r="D259" i="6"/>
  <c r="C267" i="6"/>
  <c r="J267" i="6"/>
  <c r="B267" i="6"/>
  <c r="I267" i="6"/>
  <c r="A267" i="6"/>
  <c r="H267" i="6"/>
  <c r="G267" i="6"/>
  <c r="F267" i="6"/>
  <c r="E267" i="6"/>
  <c r="D267" i="6"/>
  <c r="C275" i="6"/>
  <c r="J275" i="6"/>
  <c r="B275" i="6"/>
  <c r="I275" i="6"/>
  <c r="A275" i="6"/>
  <c r="H275" i="6"/>
  <c r="G275" i="6"/>
  <c r="F275" i="6"/>
  <c r="E275" i="6"/>
  <c r="D275" i="6"/>
  <c r="C283" i="6"/>
  <c r="J283" i="6"/>
  <c r="B283" i="6"/>
  <c r="I283" i="6"/>
  <c r="A283" i="6"/>
  <c r="H283" i="6"/>
  <c r="G283" i="6"/>
  <c r="F283" i="6"/>
  <c r="E283" i="6"/>
  <c r="D283" i="6"/>
  <c r="C291" i="6"/>
  <c r="J291" i="6"/>
  <c r="B291" i="6"/>
  <c r="I291" i="6"/>
  <c r="A291" i="6"/>
  <c r="H291" i="6"/>
  <c r="G291" i="6"/>
  <c r="F291" i="6"/>
  <c r="E291" i="6"/>
  <c r="D291" i="6"/>
  <c r="C299" i="6"/>
  <c r="J299" i="6"/>
  <c r="B299" i="6"/>
  <c r="I299" i="6"/>
  <c r="A299" i="6"/>
  <c r="H299" i="6"/>
  <c r="G299" i="6"/>
  <c r="F299" i="6"/>
  <c r="E299" i="6"/>
  <c r="D299" i="6"/>
  <c r="C307" i="6"/>
  <c r="J307" i="6"/>
  <c r="B307" i="6"/>
  <c r="I307" i="6"/>
  <c r="A307" i="6"/>
  <c r="H307" i="6"/>
  <c r="G307" i="6"/>
  <c r="F307" i="6"/>
  <c r="E307" i="6"/>
  <c r="D307" i="6"/>
  <c r="C315" i="6"/>
  <c r="J315" i="6"/>
  <c r="B315" i="6"/>
  <c r="I315" i="6"/>
  <c r="A315" i="6"/>
  <c r="H315" i="6"/>
  <c r="G315" i="6"/>
  <c r="F315" i="6"/>
  <c r="E315" i="6"/>
  <c r="D315" i="6"/>
  <c r="C323" i="6"/>
  <c r="J323" i="6"/>
  <c r="B323" i="6"/>
  <c r="I323" i="6"/>
  <c r="A323" i="6"/>
  <c r="H323" i="6"/>
  <c r="G323" i="6"/>
  <c r="F323" i="6"/>
  <c r="E323" i="6"/>
  <c r="D323" i="6"/>
  <c r="C331" i="6"/>
  <c r="J331" i="6"/>
  <c r="B331" i="6"/>
  <c r="I331" i="6"/>
  <c r="A331" i="6"/>
  <c r="H331" i="6"/>
  <c r="G331" i="6"/>
  <c r="F331" i="6"/>
  <c r="E331" i="6"/>
  <c r="D331" i="6"/>
  <c r="C339" i="6"/>
  <c r="J339" i="6"/>
  <c r="B339" i="6"/>
  <c r="I339" i="6"/>
  <c r="A339" i="6"/>
  <c r="H339" i="6"/>
  <c r="G339" i="6"/>
  <c r="F339" i="6"/>
  <c r="E339" i="6"/>
  <c r="D339" i="6"/>
  <c r="C347" i="6"/>
  <c r="J347" i="6"/>
  <c r="B347" i="6"/>
  <c r="I347" i="6"/>
  <c r="A347" i="6"/>
  <c r="H347" i="6"/>
  <c r="G347" i="6"/>
  <c r="F347" i="6"/>
  <c r="E347" i="6"/>
  <c r="D347" i="6"/>
  <c r="C355" i="6"/>
  <c r="J355" i="6"/>
  <c r="B355" i="6"/>
  <c r="I355" i="6"/>
  <c r="A355" i="6"/>
  <c r="H355" i="6"/>
  <c r="G355" i="6"/>
  <c r="F355" i="6"/>
  <c r="E355" i="6"/>
  <c r="D355" i="6"/>
  <c r="C363" i="6"/>
  <c r="J363" i="6"/>
  <c r="B363" i="6"/>
  <c r="I363" i="6"/>
  <c r="A363" i="6"/>
  <c r="H363" i="6"/>
  <c r="G363" i="6"/>
  <c r="F363" i="6"/>
  <c r="E363" i="6"/>
  <c r="D363" i="6"/>
  <c r="C371" i="6"/>
  <c r="J371" i="6"/>
  <c r="B371" i="6"/>
  <c r="I371" i="6"/>
  <c r="A371" i="6"/>
  <c r="H371" i="6"/>
  <c r="G371" i="6"/>
  <c r="F371" i="6"/>
  <c r="E371" i="6"/>
  <c r="D371" i="6"/>
  <c r="C379" i="6"/>
  <c r="J379" i="6"/>
  <c r="B379" i="6"/>
  <c r="I379" i="6"/>
  <c r="A379" i="6"/>
  <c r="H379" i="6"/>
  <c r="G379" i="6"/>
  <c r="F379" i="6"/>
  <c r="E379" i="6"/>
  <c r="D379" i="6"/>
  <c r="C387" i="6"/>
  <c r="J387" i="6"/>
  <c r="B387" i="6"/>
  <c r="I387" i="6"/>
  <c r="A387" i="6"/>
  <c r="H387" i="6"/>
  <c r="G387" i="6"/>
  <c r="F387" i="6"/>
  <c r="E387" i="6"/>
  <c r="D387" i="6"/>
  <c r="G395" i="6"/>
  <c r="C395" i="6"/>
  <c r="I395" i="6"/>
  <c r="H395" i="6"/>
  <c r="F395" i="6"/>
  <c r="E395" i="6"/>
  <c r="D395" i="6"/>
  <c r="B395" i="6"/>
  <c r="A395" i="6"/>
  <c r="J395" i="6"/>
  <c r="G403" i="6"/>
  <c r="F403" i="6"/>
  <c r="E403" i="6"/>
  <c r="C403" i="6"/>
  <c r="J403" i="6"/>
  <c r="I403" i="6"/>
  <c r="A403" i="6"/>
  <c r="H403" i="6"/>
  <c r="D403" i="6"/>
  <c r="B403" i="6"/>
  <c r="G411" i="6"/>
  <c r="F411" i="6"/>
  <c r="E411" i="6"/>
  <c r="D411" i="6"/>
  <c r="C411" i="6"/>
  <c r="J411" i="6"/>
  <c r="B411" i="6"/>
  <c r="I411" i="6"/>
  <c r="A411" i="6"/>
  <c r="H411" i="6"/>
  <c r="G419" i="6"/>
  <c r="F419" i="6"/>
  <c r="E419" i="6"/>
  <c r="D419" i="6"/>
  <c r="C419" i="6"/>
  <c r="J419" i="6"/>
  <c r="B419" i="6"/>
  <c r="I419" i="6"/>
  <c r="A419" i="6"/>
  <c r="H419" i="6"/>
  <c r="G427" i="6"/>
  <c r="F427" i="6"/>
  <c r="E427" i="6"/>
  <c r="D427" i="6"/>
  <c r="C427" i="6"/>
  <c r="J427" i="6"/>
  <c r="B427" i="6"/>
  <c r="I427" i="6"/>
  <c r="A427" i="6"/>
  <c r="H427" i="6"/>
  <c r="G435" i="6"/>
  <c r="F435" i="6"/>
  <c r="E435" i="6"/>
  <c r="D435" i="6"/>
  <c r="C435" i="6"/>
  <c r="J435" i="6"/>
  <c r="B435" i="6"/>
  <c r="I435" i="6"/>
  <c r="A435" i="6"/>
  <c r="H435" i="6"/>
  <c r="G443" i="6"/>
  <c r="F443" i="6"/>
  <c r="E443" i="6"/>
  <c r="D443" i="6"/>
  <c r="C443" i="6"/>
  <c r="J443" i="6"/>
  <c r="B443" i="6"/>
  <c r="I443" i="6"/>
  <c r="A443" i="6"/>
  <c r="H443" i="6"/>
  <c r="G451" i="6"/>
  <c r="F451" i="6"/>
  <c r="E451" i="6"/>
  <c r="D451" i="6"/>
  <c r="C451" i="6"/>
  <c r="J451" i="6"/>
  <c r="B451" i="6"/>
  <c r="I451" i="6"/>
  <c r="A451" i="6"/>
  <c r="H451" i="6"/>
  <c r="G459" i="6"/>
  <c r="F459" i="6"/>
  <c r="E459" i="6"/>
  <c r="D459" i="6"/>
  <c r="C459" i="6"/>
  <c r="J459" i="6"/>
  <c r="B459" i="6"/>
  <c r="I459" i="6"/>
  <c r="A459" i="6"/>
  <c r="H459" i="6"/>
  <c r="G467" i="6"/>
  <c r="F467" i="6"/>
  <c r="E467" i="6"/>
  <c r="D467" i="6"/>
  <c r="C467" i="6"/>
  <c r="J467" i="6"/>
  <c r="B467" i="6"/>
  <c r="I467" i="6"/>
  <c r="A467" i="6"/>
  <c r="H467" i="6"/>
  <c r="G475" i="6"/>
  <c r="F475" i="6"/>
  <c r="E475" i="6"/>
  <c r="D475" i="6"/>
  <c r="C475" i="6"/>
  <c r="J475" i="6"/>
  <c r="B475" i="6"/>
  <c r="I475" i="6"/>
  <c r="A475" i="6"/>
  <c r="H475" i="6"/>
  <c r="G483" i="6"/>
  <c r="F483" i="6"/>
  <c r="E483" i="6"/>
  <c r="D483" i="6"/>
  <c r="C483" i="6"/>
  <c r="J483" i="6"/>
  <c r="B483" i="6"/>
  <c r="I483" i="6"/>
  <c r="A483" i="6"/>
  <c r="H483" i="6"/>
  <c r="G491" i="6"/>
  <c r="F491" i="6"/>
  <c r="E491" i="6"/>
  <c r="D491" i="6"/>
  <c r="C491" i="6"/>
  <c r="J491" i="6"/>
  <c r="B491" i="6"/>
  <c r="I491" i="6"/>
  <c r="A491" i="6"/>
  <c r="H491" i="6"/>
  <c r="G499" i="6"/>
  <c r="F499" i="6"/>
  <c r="E499" i="6"/>
  <c r="D499" i="6"/>
  <c r="C499" i="6"/>
  <c r="J499" i="6"/>
  <c r="B499" i="6"/>
  <c r="I499" i="6"/>
  <c r="A499" i="6"/>
  <c r="H499" i="6"/>
  <c r="G507" i="6"/>
  <c r="F507" i="6"/>
  <c r="E507" i="6"/>
  <c r="D507" i="6"/>
  <c r="C507" i="6"/>
  <c r="J507" i="6"/>
  <c r="B507" i="6"/>
  <c r="I507" i="6"/>
  <c r="A507" i="6"/>
  <c r="H507" i="6"/>
  <c r="G515" i="6"/>
  <c r="F515" i="6"/>
  <c r="E515" i="6"/>
  <c r="D515" i="6"/>
  <c r="C515" i="6"/>
  <c r="J515" i="6"/>
  <c r="B515" i="6"/>
  <c r="I515" i="6"/>
  <c r="A515" i="6"/>
  <c r="H515" i="6"/>
  <c r="G523" i="6"/>
  <c r="F523" i="6"/>
  <c r="E523" i="6"/>
  <c r="D523" i="6"/>
  <c r="C523" i="6"/>
  <c r="J523" i="6"/>
  <c r="B523" i="6"/>
  <c r="I523" i="6"/>
  <c r="A523" i="6"/>
  <c r="H523" i="6"/>
  <c r="G531" i="6"/>
  <c r="F531" i="6"/>
  <c r="E531" i="6"/>
  <c r="D531" i="6"/>
  <c r="C531" i="6"/>
  <c r="J531" i="6"/>
  <c r="B531" i="6"/>
  <c r="I531" i="6"/>
  <c r="A531" i="6"/>
  <c r="H531" i="6"/>
  <c r="G539" i="6"/>
  <c r="F539" i="6"/>
  <c r="E539" i="6"/>
  <c r="D539" i="6"/>
  <c r="C539" i="6"/>
  <c r="J539" i="6"/>
  <c r="B539" i="6"/>
  <c r="I539" i="6"/>
  <c r="A539" i="6"/>
  <c r="H539" i="6"/>
  <c r="G547" i="6"/>
  <c r="F547" i="6"/>
  <c r="E547" i="6"/>
  <c r="D547" i="6"/>
  <c r="C547" i="6"/>
  <c r="J547" i="6"/>
  <c r="B547" i="6"/>
  <c r="I547" i="6"/>
  <c r="A547" i="6"/>
  <c r="H547" i="6"/>
  <c r="G555" i="6"/>
  <c r="F555" i="6"/>
  <c r="E555" i="6"/>
  <c r="D555" i="6"/>
  <c r="C555" i="6"/>
  <c r="J555" i="6"/>
  <c r="B555" i="6"/>
  <c r="I555" i="6"/>
  <c r="A555" i="6"/>
  <c r="H555" i="6"/>
  <c r="G563" i="6"/>
  <c r="F563" i="6"/>
  <c r="E563" i="6"/>
  <c r="D563" i="6"/>
  <c r="C563" i="6"/>
  <c r="J563" i="6"/>
  <c r="B563" i="6"/>
  <c r="I563" i="6"/>
  <c r="A563" i="6"/>
  <c r="H563" i="6"/>
  <c r="G571" i="6"/>
  <c r="F571" i="6"/>
  <c r="E571" i="6"/>
  <c r="D571" i="6"/>
  <c r="C571" i="6"/>
  <c r="J571" i="6"/>
  <c r="B571" i="6"/>
  <c r="I571" i="6"/>
  <c r="A571" i="6"/>
  <c r="H571" i="6"/>
  <c r="G579" i="6"/>
  <c r="F579" i="6"/>
  <c r="E579" i="6"/>
  <c r="D579" i="6"/>
  <c r="C579" i="6"/>
  <c r="J579" i="6"/>
  <c r="B579" i="6"/>
  <c r="I579" i="6"/>
  <c r="A579" i="6"/>
  <c r="H579" i="6"/>
  <c r="G587" i="6"/>
  <c r="F587" i="6"/>
  <c r="E587" i="6"/>
  <c r="D587" i="6"/>
  <c r="C587" i="6"/>
  <c r="J587" i="6"/>
  <c r="B587" i="6"/>
  <c r="I587" i="6"/>
  <c r="A587" i="6"/>
  <c r="H587" i="6"/>
  <c r="G595" i="6"/>
  <c r="F595" i="6"/>
  <c r="E595" i="6"/>
  <c r="D595" i="6"/>
  <c r="C595" i="6"/>
  <c r="J595" i="6"/>
  <c r="B595" i="6"/>
  <c r="I595" i="6"/>
  <c r="A595" i="6"/>
  <c r="H595" i="6"/>
  <c r="G603" i="6"/>
  <c r="F603" i="6"/>
  <c r="E603" i="6"/>
  <c r="D603" i="6"/>
  <c r="C603" i="6"/>
  <c r="J603" i="6"/>
  <c r="B603" i="6"/>
  <c r="I603" i="6"/>
  <c r="A603" i="6"/>
  <c r="H603" i="6"/>
  <c r="G611" i="6"/>
  <c r="F611" i="6"/>
  <c r="E611" i="6"/>
  <c r="D611" i="6"/>
  <c r="C611" i="6"/>
  <c r="J611" i="6"/>
  <c r="B611" i="6"/>
  <c r="I611" i="6"/>
  <c r="A611" i="6"/>
  <c r="H611" i="6"/>
  <c r="G619" i="6"/>
  <c r="F619" i="6"/>
  <c r="E619" i="6"/>
  <c r="D619" i="6"/>
  <c r="C619" i="6"/>
  <c r="J619" i="6"/>
  <c r="B619" i="6"/>
  <c r="I619" i="6"/>
  <c r="A619" i="6"/>
  <c r="H619" i="6"/>
  <c r="G627" i="6"/>
  <c r="F627" i="6"/>
  <c r="E627" i="6"/>
  <c r="D627" i="6"/>
  <c r="C627" i="6"/>
  <c r="J627" i="6"/>
  <c r="B627" i="6"/>
  <c r="I627" i="6"/>
  <c r="A627" i="6"/>
  <c r="H627" i="6"/>
  <c r="G635" i="6"/>
  <c r="F635" i="6"/>
  <c r="E635" i="6"/>
  <c r="D635" i="6"/>
  <c r="C635" i="6"/>
  <c r="J635" i="6"/>
  <c r="B635" i="6"/>
  <c r="I635" i="6"/>
  <c r="A635" i="6"/>
  <c r="H635" i="6"/>
  <c r="G643" i="6"/>
  <c r="F643" i="6"/>
  <c r="E643" i="6"/>
  <c r="D643" i="6"/>
  <c r="C643" i="6"/>
  <c r="J643" i="6"/>
  <c r="B643" i="6"/>
  <c r="I643" i="6"/>
  <c r="A643" i="6"/>
  <c r="H643" i="6"/>
  <c r="G651" i="6"/>
  <c r="F651" i="6"/>
  <c r="E651" i="6"/>
  <c r="D651" i="6"/>
  <c r="C651" i="6"/>
  <c r="J651" i="6"/>
  <c r="B651" i="6"/>
  <c r="I651" i="6"/>
  <c r="A651" i="6"/>
  <c r="H651" i="6"/>
  <c r="G659" i="6"/>
  <c r="F659" i="6"/>
  <c r="E659" i="6"/>
  <c r="D659" i="6"/>
  <c r="C659" i="6"/>
  <c r="J659" i="6"/>
  <c r="B659" i="6"/>
  <c r="I659" i="6"/>
  <c r="A659" i="6"/>
  <c r="H659" i="6"/>
  <c r="G667" i="6"/>
  <c r="F667" i="6"/>
  <c r="E667" i="6"/>
  <c r="D667" i="6"/>
  <c r="C667" i="6"/>
  <c r="J667" i="6"/>
  <c r="B667" i="6"/>
  <c r="I667" i="6"/>
  <c r="A667" i="6"/>
  <c r="H667" i="6"/>
  <c r="G675" i="6"/>
  <c r="F675" i="6"/>
  <c r="E675" i="6"/>
  <c r="D675" i="6"/>
  <c r="C675" i="6"/>
  <c r="J675" i="6"/>
  <c r="B675" i="6"/>
  <c r="I675" i="6"/>
  <c r="A675" i="6"/>
  <c r="H675" i="6"/>
  <c r="G683" i="6"/>
  <c r="F683" i="6"/>
  <c r="E683" i="6"/>
  <c r="D683" i="6"/>
  <c r="C683" i="6"/>
  <c r="J683" i="6"/>
  <c r="B683" i="6"/>
  <c r="I683" i="6"/>
  <c r="A683" i="6"/>
  <c r="H683" i="6"/>
  <c r="G691" i="6"/>
  <c r="F691" i="6"/>
  <c r="E691" i="6"/>
  <c r="D691" i="6"/>
  <c r="C691" i="6"/>
  <c r="J691" i="6"/>
  <c r="B691" i="6"/>
  <c r="I691" i="6"/>
  <c r="A691" i="6"/>
  <c r="H691" i="6"/>
  <c r="G699" i="6"/>
  <c r="F699" i="6"/>
  <c r="E699" i="6"/>
  <c r="D699" i="6"/>
  <c r="C699" i="6"/>
  <c r="J699" i="6"/>
  <c r="B699" i="6"/>
  <c r="I699" i="6"/>
  <c r="A699" i="6"/>
  <c r="H699" i="6"/>
  <c r="G707" i="6"/>
  <c r="F707" i="6"/>
  <c r="E707" i="6"/>
  <c r="D707" i="6"/>
  <c r="C707" i="6"/>
  <c r="J707" i="6"/>
  <c r="B707" i="6"/>
  <c r="I707" i="6"/>
  <c r="A707" i="6"/>
  <c r="H707" i="6"/>
  <c r="G715" i="6"/>
  <c r="F715" i="6"/>
  <c r="E715" i="6"/>
  <c r="D715" i="6"/>
  <c r="C715" i="6"/>
  <c r="J715" i="6"/>
  <c r="B715" i="6"/>
  <c r="I715" i="6"/>
  <c r="A715" i="6"/>
  <c r="H715" i="6"/>
  <c r="G723" i="6"/>
  <c r="F723" i="6"/>
  <c r="E723" i="6"/>
  <c r="D723" i="6"/>
  <c r="C723" i="6"/>
  <c r="J723" i="6"/>
  <c r="B723" i="6"/>
  <c r="I723" i="6"/>
  <c r="A723" i="6"/>
  <c r="H723" i="6"/>
  <c r="G731" i="6"/>
  <c r="F731" i="6"/>
  <c r="E731" i="6"/>
  <c r="D731" i="6"/>
  <c r="C731" i="6"/>
  <c r="J731" i="6"/>
  <c r="B731" i="6"/>
  <c r="I731" i="6"/>
  <c r="A731" i="6"/>
  <c r="H731" i="6"/>
  <c r="G739" i="6"/>
  <c r="F739" i="6"/>
  <c r="E739" i="6"/>
  <c r="D739" i="6"/>
  <c r="C739" i="6"/>
  <c r="J739" i="6"/>
  <c r="B739" i="6"/>
  <c r="I739" i="6"/>
  <c r="A739" i="6"/>
  <c r="H739" i="6"/>
  <c r="G747" i="6"/>
  <c r="F747" i="6"/>
  <c r="E747" i="6"/>
  <c r="D747" i="6"/>
  <c r="C747" i="6"/>
  <c r="J747" i="6"/>
  <c r="B747" i="6"/>
  <c r="I747" i="6"/>
  <c r="A747" i="6"/>
  <c r="H747" i="6"/>
  <c r="G755" i="6"/>
  <c r="F755" i="6"/>
  <c r="E755" i="6"/>
  <c r="D755" i="6"/>
  <c r="C755" i="6"/>
  <c r="J755" i="6"/>
  <c r="B755" i="6"/>
  <c r="I755" i="6"/>
  <c r="A755" i="6"/>
  <c r="H755" i="6"/>
  <c r="G763" i="6"/>
  <c r="F763" i="6"/>
  <c r="E763" i="6"/>
  <c r="D763" i="6"/>
  <c r="C763" i="6"/>
  <c r="J763" i="6"/>
  <c r="B763" i="6"/>
  <c r="I763" i="6"/>
  <c r="A763" i="6"/>
  <c r="H763" i="6"/>
  <c r="G771" i="6"/>
  <c r="F771" i="6"/>
  <c r="E771" i="6"/>
  <c r="D771" i="6"/>
  <c r="C771" i="6"/>
  <c r="J771" i="6"/>
  <c r="B771" i="6"/>
  <c r="I771" i="6"/>
  <c r="A771" i="6"/>
  <c r="H771" i="6"/>
  <c r="G779" i="6"/>
  <c r="F779" i="6"/>
  <c r="E779" i="6"/>
  <c r="D779" i="6"/>
  <c r="C779" i="6"/>
  <c r="J779" i="6"/>
  <c r="B779" i="6"/>
  <c r="I779" i="6"/>
  <c r="A779" i="6"/>
  <c r="H779" i="6"/>
  <c r="H787" i="6"/>
  <c r="G787" i="6"/>
  <c r="F787" i="6"/>
  <c r="E787" i="6"/>
  <c r="D787" i="6"/>
  <c r="C787" i="6"/>
  <c r="J787" i="6"/>
  <c r="B787" i="6"/>
  <c r="I787" i="6"/>
  <c r="A787" i="6"/>
  <c r="H795" i="6"/>
  <c r="G795" i="6"/>
  <c r="F795" i="6"/>
  <c r="E795" i="6"/>
  <c r="D795" i="6"/>
  <c r="C795" i="6"/>
  <c r="J795" i="6"/>
  <c r="B795" i="6"/>
  <c r="I795" i="6"/>
  <c r="A795" i="6"/>
  <c r="H803" i="6"/>
  <c r="G803" i="6"/>
  <c r="F803" i="6"/>
  <c r="E803" i="6"/>
  <c r="D803" i="6"/>
  <c r="C803" i="6"/>
  <c r="J803" i="6"/>
  <c r="B803" i="6"/>
  <c r="I803" i="6"/>
  <c r="A803" i="6"/>
  <c r="H811" i="6"/>
  <c r="G811" i="6"/>
  <c r="F811" i="6"/>
  <c r="E811" i="6"/>
  <c r="D811" i="6"/>
  <c r="C811" i="6"/>
  <c r="J811" i="6"/>
  <c r="B811" i="6"/>
  <c r="I811" i="6"/>
  <c r="A811" i="6"/>
  <c r="H819" i="6"/>
  <c r="G819" i="6"/>
  <c r="F819" i="6"/>
  <c r="E819" i="6"/>
  <c r="D819" i="6"/>
  <c r="C819" i="6"/>
  <c r="J819" i="6"/>
  <c r="B819" i="6"/>
  <c r="I819" i="6"/>
  <c r="A819" i="6"/>
  <c r="H827" i="6"/>
  <c r="G827" i="6"/>
  <c r="F827" i="6"/>
  <c r="E827" i="6"/>
  <c r="D827" i="6"/>
  <c r="C827" i="6"/>
  <c r="J827" i="6"/>
  <c r="B827" i="6"/>
  <c r="I827" i="6"/>
  <c r="A827" i="6"/>
  <c r="H835" i="6"/>
  <c r="G835" i="6"/>
  <c r="F835" i="6"/>
  <c r="E835" i="6"/>
  <c r="D835" i="6"/>
  <c r="C835" i="6"/>
  <c r="J835" i="6"/>
  <c r="B835" i="6"/>
  <c r="I835" i="6"/>
  <c r="A835" i="6"/>
  <c r="H843" i="6"/>
  <c r="G843" i="6"/>
  <c r="F843" i="6"/>
  <c r="E843" i="6"/>
  <c r="D843" i="6"/>
  <c r="C843" i="6"/>
  <c r="J843" i="6"/>
  <c r="B843" i="6"/>
  <c r="I843" i="6"/>
  <c r="A843" i="6"/>
  <c r="H851" i="6"/>
  <c r="G851" i="6"/>
  <c r="F851" i="6"/>
  <c r="E851" i="6"/>
  <c r="D851" i="6"/>
  <c r="C851" i="6"/>
  <c r="J851" i="6"/>
  <c r="B851" i="6"/>
  <c r="I851" i="6"/>
  <c r="A851" i="6"/>
  <c r="H859" i="6"/>
  <c r="G859" i="6"/>
  <c r="F859" i="6"/>
  <c r="E859" i="6"/>
  <c r="D859" i="6"/>
  <c r="C859" i="6"/>
  <c r="J859" i="6"/>
  <c r="B859" i="6"/>
  <c r="I859" i="6"/>
  <c r="A859" i="6"/>
  <c r="H867" i="6"/>
  <c r="G867" i="6"/>
  <c r="F867" i="6"/>
  <c r="E867" i="6"/>
  <c r="D867" i="6"/>
  <c r="C867" i="6"/>
  <c r="J867" i="6"/>
  <c r="B867" i="6"/>
  <c r="I867" i="6"/>
  <c r="A867" i="6"/>
  <c r="H875" i="6"/>
  <c r="G875" i="6"/>
  <c r="F875" i="6"/>
  <c r="E875" i="6"/>
  <c r="D875" i="6"/>
  <c r="C875" i="6"/>
  <c r="J875" i="6"/>
  <c r="B875" i="6"/>
  <c r="I875" i="6"/>
  <c r="A875" i="6"/>
  <c r="H883" i="6"/>
  <c r="G883" i="6"/>
  <c r="F883" i="6"/>
  <c r="E883" i="6"/>
  <c r="D883" i="6"/>
  <c r="C883" i="6"/>
  <c r="J883" i="6"/>
  <c r="B883" i="6"/>
  <c r="I883" i="6"/>
  <c r="A883" i="6"/>
  <c r="H891" i="6"/>
  <c r="G891" i="6"/>
  <c r="F891" i="6"/>
  <c r="E891" i="6"/>
  <c r="D891" i="6"/>
  <c r="C891" i="6"/>
  <c r="J891" i="6"/>
  <c r="B891" i="6"/>
  <c r="I891" i="6"/>
  <c r="A891" i="6"/>
  <c r="H899" i="6"/>
  <c r="G899" i="6"/>
  <c r="F899" i="6"/>
  <c r="E899" i="6"/>
  <c r="D899" i="6"/>
  <c r="C899" i="6"/>
  <c r="J899" i="6"/>
  <c r="B899" i="6"/>
  <c r="I899" i="6"/>
  <c r="A899" i="6"/>
  <c r="H907" i="6"/>
  <c r="G907" i="6"/>
  <c r="F907" i="6"/>
  <c r="E907" i="6"/>
  <c r="D907" i="6"/>
  <c r="C907" i="6"/>
  <c r="J907" i="6"/>
  <c r="B907" i="6"/>
  <c r="I907" i="6"/>
  <c r="A907" i="6"/>
  <c r="H915" i="6"/>
  <c r="G915" i="6"/>
  <c r="F915" i="6"/>
  <c r="E915" i="6"/>
  <c r="D915" i="6"/>
  <c r="C915" i="6"/>
  <c r="J915" i="6"/>
  <c r="B915" i="6"/>
  <c r="I915" i="6"/>
  <c r="A915" i="6"/>
  <c r="H923" i="6"/>
  <c r="G923" i="6"/>
  <c r="F923" i="6"/>
  <c r="E923" i="6"/>
  <c r="D923" i="6"/>
  <c r="C923" i="6"/>
  <c r="J923" i="6"/>
  <c r="B923" i="6"/>
  <c r="I923" i="6"/>
  <c r="A923" i="6"/>
  <c r="H931" i="6"/>
  <c r="G931" i="6"/>
  <c r="F931" i="6"/>
  <c r="E931" i="6"/>
  <c r="D931" i="6"/>
  <c r="C931" i="6"/>
  <c r="J931" i="6"/>
  <c r="B931" i="6"/>
  <c r="I931" i="6"/>
  <c r="A931" i="6"/>
  <c r="H939" i="6"/>
  <c r="G939" i="6"/>
  <c r="F939" i="6"/>
  <c r="E939" i="6"/>
  <c r="D939" i="6"/>
  <c r="C939" i="6"/>
  <c r="J939" i="6"/>
  <c r="B939" i="6"/>
  <c r="I939" i="6"/>
  <c r="A939" i="6"/>
  <c r="H947" i="6"/>
  <c r="G947" i="6"/>
  <c r="F947" i="6"/>
  <c r="E947" i="6"/>
  <c r="D947" i="6"/>
  <c r="C947" i="6"/>
  <c r="J947" i="6"/>
  <c r="B947" i="6"/>
  <c r="I947" i="6"/>
  <c r="A947" i="6"/>
  <c r="H955" i="6"/>
  <c r="G955" i="6"/>
  <c r="F955" i="6"/>
  <c r="E955" i="6"/>
  <c r="D955" i="6"/>
  <c r="C955" i="6"/>
  <c r="J955" i="6"/>
  <c r="B955" i="6"/>
  <c r="I955" i="6"/>
  <c r="A955" i="6"/>
  <c r="H963" i="6"/>
  <c r="G963" i="6"/>
  <c r="F963" i="6"/>
  <c r="E963" i="6"/>
  <c r="D963" i="6"/>
  <c r="C963" i="6"/>
  <c r="J963" i="6"/>
  <c r="B963" i="6"/>
  <c r="I963" i="6"/>
  <c r="A963" i="6"/>
  <c r="G971" i="6"/>
  <c r="F971" i="6"/>
  <c r="C971" i="6"/>
  <c r="J971" i="6"/>
  <c r="B971" i="6"/>
  <c r="I971" i="6"/>
  <c r="H971" i="6"/>
  <c r="E971" i="6"/>
  <c r="D971" i="6"/>
  <c r="A971" i="6"/>
  <c r="G979" i="6"/>
  <c r="F979" i="6"/>
  <c r="D979" i="6"/>
  <c r="C979" i="6"/>
  <c r="J979" i="6"/>
  <c r="B979" i="6"/>
  <c r="I979" i="6"/>
  <c r="A979" i="6"/>
  <c r="H979" i="6"/>
  <c r="E979" i="6"/>
  <c r="G987" i="6"/>
  <c r="F987" i="6"/>
  <c r="D987" i="6"/>
  <c r="C987" i="6"/>
  <c r="J987" i="6"/>
  <c r="B987" i="6"/>
  <c r="I987" i="6"/>
  <c r="A987" i="6"/>
  <c r="H987" i="6"/>
  <c r="E987" i="6"/>
  <c r="G995" i="6"/>
  <c r="F995" i="6"/>
  <c r="D995" i="6"/>
  <c r="C995" i="6"/>
  <c r="J995" i="6"/>
  <c r="B995" i="6"/>
  <c r="I995" i="6"/>
  <c r="A995" i="6"/>
  <c r="H995" i="6"/>
  <c r="E995" i="6"/>
  <c r="G1003" i="6"/>
  <c r="F1003" i="6"/>
  <c r="D1003" i="6"/>
  <c r="C1003" i="6"/>
  <c r="J1003" i="6"/>
  <c r="B1003" i="6"/>
  <c r="I1003" i="6"/>
  <c r="A1003" i="6"/>
  <c r="H1003" i="6"/>
  <c r="E1003" i="6"/>
  <c r="G1011" i="6"/>
  <c r="F1011" i="6"/>
  <c r="D1011" i="6"/>
  <c r="C1011" i="6"/>
  <c r="J1011" i="6"/>
  <c r="B1011" i="6"/>
  <c r="I1011" i="6"/>
  <c r="A1011" i="6"/>
  <c r="H1011" i="6"/>
  <c r="E1011" i="6"/>
  <c r="G1019" i="6"/>
  <c r="F1019" i="6"/>
  <c r="D1019" i="6"/>
  <c r="C1019" i="6"/>
  <c r="J1019" i="6"/>
  <c r="B1019" i="6"/>
  <c r="I1019" i="6"/>
  <c r="A1019" i="6"/>
  <c r="H1019" i="6"/>
  <c r="E1019" i="6"/>
  <c r="G1027" i="6"/>
  <c r="F1027" i="6"/>
  <c r="D1027" i="6"/>
  <c r="C1027" i="6"/>
  <c r="J1027" i="6"/>
  <c r="B1027" i="6"/>
  <c r="I1027" i="6"/>
  <c r="A1027" i="6"/>
  <c r="H1027" i="6"/>
  <c r="E1027" i="6"/>
  <c r="G1035" i="6"/>
  <c r="F1035" i="6"/>
  <c r="E1035" i="6"/>
  <c r="D1035" i="6"/>
  <c r="C1035" i="6"/>
  <c r="J1035" i="6"/>
  <c r="B1035" i="6"/>
  <c r="I1035" i="6"/>
  <c r="A1035" i="6"/>
  <c r="H1035" i="6"/>
  <c r="G1043" i="6"/>
  <c r="F1043" i="6"/>
  <c r="E1043" i="6"/>
  <c r="D1043" i="6"/>
  <c r="C1043" i="6"/>
  <c r="J1043" i="6"/>
  <c r="B1043" i="6"/>
  <c r="I1043" i="6"/>
  <c r="A1043" i="6"/>
  <c r="H1043" i="6"/>
  <c r="G1051" i="6"/>
  <c r="F1051" i="6"/>
  <c r="E1051" i="6"/>
  <c r="D1051" i="6"/>
  <c r="C1051" i="6"/>
  <c r="J1051" i="6"/>
  <c r="B1051" i="6"/>
  <c r="I1051" i="6"/>
  <c r="A1051" i="6"/>
  <c r="H1051" i="6"/>
  <c r="G1059" i="6"/>
  <c r="F1059" i="6"/>
  <c r="E1059" i="6"/>
  <c r="D1059" i="6"/>
  <c r="C1059" i="6"/>
  <c r="J1059" i="6"/>
  <c r="B1059" i="6"/>
  <c r="I1059" i="6"/>
  <c r="A1059" i="6"/>
  <c r="H1059" i="6"/>
  <c r="G1067" i="6"/>
  <c r="F1067" i="6"/>
  <c r="E1067" i="6"/>
  <c r="D1067" i="6"/>
  <c r="C1067" i="6"/>
  <c r="J1067" i="6"/>
  <c r="B1067" i="6"/>
  <c r="I1067" i="6"/>
  <c r="A1067" i="6"/>
  <c r="H1067" i="6"/>
  <c r="G1075" i="6"/>
  <c r="F1075" i="6"/>
  <c r="E1075" i="6"/>
  <c r="D1075" i="6"/>
  <c r="C1075" i="6"/>
  <c r="J1075" i="6"/>
  <c r="B1075" i="6"/>
  <c r="I1075" i="6"/>
  <c r="A1075" i="6"/>
  <c r="H1075" i="6"/>
  <c r="G1083" i="6"/>
  <c r="F1083" i="6"/>
  <c r="E1083" i="6"/>
  <c r="D1083" i="6"/>
  <c r="C1083" i="6"/>
  <c r="J1083" i="6"/>
  <c r="B1083" i="6"/>
  <c r="I1083" i="6"/>
  <c r="A1083" i="6"/>
  <c r="H1083" i="6"/>
  <c r="G1091" i="6"/>
  <c r="F1091" i="6"/>
  <c r="E1091" i="6"/>
  <c r="D1091" i="6"/>
  <c r="C1091" i="6"/>
  <c r="J1091" i="6"/>
  <c r="B1091" i="6"/>
  <c r="I1091" i="6"/>
  <c r="A1091" i="6"/>
  <c r="H1091" i="6"/>
  <c r="G1099" i="6"/>
  <c r="F1099" i="6"/>
  <c r="E1099" i="6"/>
  <c r="D1099" i="6"/>
  <c r="C1099" i="6"/>
  <c r="J1099" i="6"/>
  <c r="B1099" i="6"/>
  <c r="I1099" i="6"/>
  <c r="A1099" i="6"/>
  <c r="H1099" i="6"/>
  <c r="D1107" i="6"/>
  <c r="C1107" i="6"/>
  <c r="I1107" i="6"/>
  <c r="A1107" i="6"/>
  <c r="H1107" i="6"/>
  <c r="G1107" i="6"/>
  <c r="F1107" i="6"/>
  <c r="E1107" i="6"/>
  <c r="J1107" i="6"/>
  <c r="B1107" i="6"/>
  <c r="D1115" i="6"/>
  <c r="C1115" i="6"/>
  <c r="I1115" i="6"/>
  <c r="A1115" i="6"/>
  <c r="H1115" i="6"/>
  <c r="G1115" i="6"/>
  <c r="F1115" i="6"/>
  <c r="E1115" i="6"/>
  <c r="J1115" i="6"/>
  <c r="B1115" i="6"/>
  <c r="D1123" i="6"/>
  <c r="C1123" i="6"/>
  <c r="I1123" i="6"/>
  <c r="A1123" i="6"/>
  <c r="H1123" i="6"/>
  <c r="G1123" i="6"/>
  <c r="F1123" i="6"/>
  <c r="E1123" i="6"/>
  <c r="J1123" i="6"/>
  <c r="B1123" i="6"/>
  <c r="D1131" i="6"/>
  <c r="C1131" i="6"/>
  <c r="I1131" i="6"/>
  <c r="A1131" i="6"/>
  <c r="H1131" i="6"/>
  <c r="G1131" i="6"/>
  <c r="F1131" i="6"/>
  <c r="E1131" i="6"/>
  <c r="J1131" i="6"/>
  <c r="B1131" i="6"/>
  <c r="D1139" i="6"/>
  <c r="C1139" i="6"/>
  <c r="I1139" i="6"/>
  <c r="A1139" i="6"/>
  <c r="H1139" i="6"/>
  <c r="G1139" i="6"/>
  <c r="F1139" i="6"/>
  <c r="E1139" i="6"/>
  <c r="J1139" i="6"/>
  <c r="B1139" i="6"/>
  <c r="D1147" i="6"/>
  <c r="C1147" i="6"/>
  <c r="I1147" i="6"/>
  <c r="A1147" i="6"/>
  <c r="H1147" i="6"/>
  <c r="G1147" i="6"/>
  <c r="F1147" i="6"/>
  <c r="E1147" i="6"/>
  <c r="J1147" i="6"/>
  <c r="B1147" i="6"/>
  <c r="D1155" i="6"/>
  <c r="C1155" i="6"/>
  <c r="I1155" i="6"/>
  <c r="A1155" i="6"/>
  <c r="H1155" i="6"/>
  <c r="G1155" i="6"/>
  <c r="F1155" i="6"/>
  <c r="E1155" i="6"/>
  <c r="J1155" i="6"/>
  <c r="B1155" i="6"/>
  <c r="D1163" i="6"/>
  <c r="C1163" i="6"/>
  <c r="I1163" i="6"/>
  <c r="A1163" i="6"/>
  <c r="H1163" i="6"/>
  <c r="G1163" i="6"/>
  <c r="F1163" i="6"/>
  <c r="E1163" i="6"/>
  <c r="J1163" i="6"/>
  <c r="B1163" i="6"/>
  <c r="D1171" i="6"/>
  <c r="C1171" i="6"/>
  <c r="I1171" i="6"/>
  <c r="A1171" i="6"/>
  <c r="H1171" i="6"/>
  <c r="G1171" i="6"/>
  <c r="F1171" i="6"/>
  <c r="E1171" i="6"/>
  <c r="J1171" i="6"/>
  <c r="B1171" i="6"/>
  <c r="D1179" i="6"/>
  <c r="C1179" i="6"/>
  <c r="I1179" i="6"/>
  <c r="A1179" i="6"/>
  <c r="H1179" i="6"/>
  <c r="G1179" i="6"/>
  <c r="F1179" i="6"/>
  <c r="E1179" i="6"/>
  <c r="J1179" i="6"/>
  <c r="B1179" i="6"/>
  <c r="D1187" i="6"/>
  <c r="C1187" i="6"/>
  <c r="I1187" i="6"/>
  <c r="A1187" i="6"/>
  <c r="H1187" i="6"/>
  <c r="G1187" i="6"/>
  <c r="F1187" i="6"/>
  <c r="E1187" i="6"/>
  <c r="J1187" i="6"/>
  <c r="B1187" i="6"/>
  <c r="D1195" i="6"/>
  <c r="C1195" i="6"/>
  <c r="I1195" i="6"/>
  <c r="A1195" i="6"/>
  <c r="H1195" i="6"/>
  <c r="G1195" i="6"/>
  <c r="F1195" i="6"/>
  <c r="E1195" i="6"/>
  <c r="J1195" i="6"/>
  <c r="B1195" i="6"/>
  <c r="D1203" i="6"/>
  <c r="C1203" i="6"/>
  <c r="I1203" i="6"/>
  <c r="A1203" i="6"/>
  <c r="H1203" i="6"/>
  <c r="G1203" i="6"/>
  <c r="F1203" i="6"/>
  <c r="E1203" i="6"/>
  <c r="J1203" i="6"/>
  <c r="B1203" i="6"/>
  <c r="D1211" i="6"/>
  <c r="C1211" i="6"/>
  <c r="I1211" i="6"/>
  <c r="A1211" i="6"/>
  <c r="H1211" i="6"/>
  <c r="G1211" i="6"/>
  <c r="F1211" i="6"/>
  <c r="E1211" i="6"/>
  <c r="J1211" i="6"/>
  <c r="B1211" i="6"/>
  <c r="D1219" i="6"/>
  <c r="C1219" i="6"/>
  <c r="I1219" i="6"/>
  <c r="A1219" i="6"/>
  <c r="H1219" i="6"/>
  <c r="G1219" i="6"/>
  <c r="F1219" i="6"/>
  <c r="E1219" i="6"/>
  <c r="J1219" i="6"/>
  <c r="B1219" i="6"/>
  <c r="D1227" i="6"/>
  <c r="C1227" i="6"/>
  <c r="I1227" i="6"/>
  <c r="A1227" i="6"/>
  <c r="H1227" i="6"/>
  <c r="G1227" i="6"/>
  <c r="F1227" i="6"/>
  <c r="E1227" i="6"/>
  <c r="J1227" i="6"/>
  <c r="B1227" i="6"/>
  <c r="D1235" i="6"/>
  <c r="C1235" i="6"/>
  <c r="I1235" i="6"/>
  <c r="A1235" i="6"/>
  <c r="H1235" i="6"/>
  <c r="G1235" i="6"/>
  <c r="F1235" i="6"/>
  <c r="E1235" i="6"/>
  <c r="J1235" i="6"/>
  <c r="B1235" i="6"/>
  <c r="D1243" i="6"/>
  <c r="C1243" i="6"/>
  <c r="I1243" i="6"/>
  <c r="A1243" i="6"/>
  <c r="H1243" i="6"/>
  <c r="G1243" i="6"/>
  <c r="F1243" i="6"/>
  <c r="E1243" i="6"/>
  <c r="J1243" i="6"/>
  <c r="B1243" i="6"/>
  <c r="D1251" i="6"/>
  <c r="C1251" i="6"/>
  <c r="I1251" i="6"/>
  <c r="A1251" i="6"/>
  <c r="H1251" i="6"/>
  <c r="G1251" i="6"/>
  <c r="F1251" i="6"/>
  <c r="E1251" i="6"/>
  <c r="J1251" i="6"/>
  <c r="B1251" i="6"/>
  <c r="E1259" i="6"/>
  <c r="J1259" i="6"/>
  <c r="B1259" i="6"/>
  <c r="I1259" i="6"/>
  <c r="A1259" i="6"/>
  <c r="H1259" i="6"/>
  <c r="G1259" i="6"/>
  <c r="F1259" i="6"/>
  <c r="D1259" i="6"/>
  <c r="C1259" i="6"/>
  <c r="E1267" i="6"/>
  <c r="J1267" i="6"/>
  <c r="B1267" i="6"/>
  <c r="I1267" i="6"/>
  <c r="A1267" i="6"/>
  <c r="H1267" i="6"/>
  <c r="G1267" i="6"/>
  <c r="F1267" i="6"/>
  <c r="C1267" i="6"/>
  <c r="D1267" i="6"/>
  <c r="E1275" i="6"/>
  <c r="J1275" i="6"/>
  <c r="B1275" i="6"/>
  <c r="I1275" i="6"/>
  <c r="A1275" i="6"/>
  <c r="H1275" i="6"/>
  <c r="G1275" i="6"/>
  <c r="F1275" i="6"/>
  <c r="D1275" i="6"/>
  <c r="C1275" i="6"/>
  <c r="E1283" i="6"/>
  <c r="J1283" i="6"/>
  <c r="B1283" i="6"/>
  <c r="I1283" i="6"/>
  <c r="A1283" i="6"/>
  <c r="H1283" i="6"/>
  <c r="G1283" i="6"/>
  <c r="F1283" i="6"/>
  <c r="C1283" i="6"/>
  <c r="D1283" i="6"/>
  <c r="E1291" i="6"/>
  <c r="J1291" i="6"/>
  <c r="B1291" i="6"/>
  <c r="I1291" i="6"/>
  <c r="A1291" i="6"/>
  <c r="H1291" i="6"/>
  <c r="G1291" i="6"/>
  <c r="F1291" i="6"/>
  <c r="D1291" i="6"/>
  <c r="C1291" i="6"/>
  <c r="E1299" i="6"/>
  <c r="J1299" i="6"/>
  <c r="B1299" i="6"/>
  <c r="I1299" i="6"/>
  <c r="A1299" i="6"/>
  <c r="H1299" i="6"/>
  <c r="G1299" i="6"/>
  <c r="F1299" i="6"/>
  <c r="C1299" i="6"/>
  <c r="D1299" i="6"/>
  <c r="E1307" i="6"/>
  <c r="J1307" i="6"/>
  <c r="B1307" i="6"/>
  <c r="I1307" i="6"/>
  <c r="A1307" i="6"/>
  <c r="H1307" i="6"/>
  <c r="G1307" i="6"/>
  <c r="F1307" i="6"/>
  <c r="D1307" i="6"/>
  <c r="C1307" i="6"/>
  <c r="E1315" i="6"/>
  <c r="J1315" i="6"/>
  <c r="B1315" i="6"/>
  <c r="I1315" i="6"/>
  <c r="A1315" i="6"/>
  <c r="H1315" i="6"/>
  <c r="G1315" i="6"/>
  <c r="F1315" i="6"/>
  <c r="C1315" i="6"/>
  <c r="D1315" i="6"/>
  <c r="E1323" i="6"/>
  <c r="J1323" i="6"/>
  <c r="B1323" i="6"/>
  <c r="I1323" i="6"/>
  <c r="A1323" i="6"/>
  <c r="H1323" i="6"/>
  <c r="G1323" i="6"/>
  <c r="F1323" i="6"/>
  <c r="D1323" i="6"/>
  <c r="C1323" i="6"/>
  <c r="E1331" i="6"/>
  <c r="J1331" i="6"/>
  <c r="B1331" i="6"/>
  <c r="I1331" i="6"/>
  <c r="A1331" i="6"/>
  <c r="H1331" i="6"/>
  <c r="G1331" i="6"/>
  <c r="F1331" i="6"/>
  <c r="C1331" i="6"/>
  <c r="D1331" i="6"/>
  <c r="C1339" i="6"/>
  <c r="J1339" i="6"/>
  <c r="B1339" i="6"/>
  <c r="G1339" i="6"/>
  <c r="E1339" i="6"/>
  <c r="I1339" i="6"/>
  <c r="H1339" i="6"/>
  <c r="F1339" i="6"/>
  <c r="D1339" i="6"/>
  <c r="A1339" i="6"/>
  <c r="C1347" i="6"/>
  <c r="J1347" i="6"/>
  <c r="B1347" i="6"/>
  <c r="G1347" i="6"/>
  <c r="H1347" i="6"/>
  <c r="D1347" i="6"/>
  <c r="A1347" i="6"/>
  <c r="I1347" i="6"/>
  <c r="F1347" i="6"/>
  <c r="E1347" i="6"/>
  <c r="C1355" i="6"/>
  <c r="J1355" i="6"/>
  <c r="B1355" i="6"/>
  <c r="G1355" i="6"/>
  <c r="F1355" i="6"/>
  <c r="E1355" i="6"/>
  <c r="D1355" i="6"/>
  <c r="A1355" i="6"/>
  <c r="I1355" i="6"/>
  <c r="H1355" i="6"/>
  <c r="C1363" i="6"/>
  <c r="J1363" i="6"/>
  <c r="B1363" i="6"/>
  <c r="G1363" i="6"/>
  <c r="A1363" i="6"/>
  <c r="I1363" i="6"/>
  <c r="H1363" i="6"/>
  <c r="F1363" i="6"/>
  <c r="E1363" i="6"/>
  <c r="D1363" i="6"/>
  <c r="C1371" i="6"/>
  <c r="J1371" i="6"/>
  <c r="B1371" i="6"/>
  <c r="G1371" i="6"/>
  <c r="E1371" i="6"/>
  <c r="I1371" i="6"/>
  <c r="H1371" i="6"/>
  <c r="F1371" i="6"/>
  <c r="A1371" i="6"/>
  <c r="D1371" i="6"/>
  <c r="C1379" i="6"/>
  <c r="J1379" i="6"/>
  <c r="B1379" i="6"/>
  <c r="G1379" i="6"/>
  <c r="H1379" i="6"/>
  <c r="D1379" i="6"/>
  <c r="A1379" i="6"/>
  <c r="I1379" i="6"/>
  <c r="F1379" i="6"/>
  <c r="E1379" i="6"/>
  <c r="C1387" i="6"/>
  <c r="J1387" i="6"/>
  <c r="B1387" i="6"/>
  <c r="G1387" i="6"/>
  <c r="F1387" i="6"/>
  <c r="E1387" i="6"/>
  <c r="D1387" i="6"/>
  <c r="A1387" i="6"/>
  <c r="I1387" i="6"/>
  <c r="H1387" i="6"/>
  <c r="C1395" i="6"/>
  <c r="J1395" i="6"/>
  <c r="B1395" i="6"/>
  <c r="G1395" i="6"/>
  <c r="A1395" i="6"/>
  <c r="I1395" i="6"/>
  <c r="H1395" i="6"/>
  <c r="F1395" i="6"/>
  <c r="E1395" i="6"/>
  <c r="D1395" i="6"/>
  <c r="C1403" i="6"/>
  <c r="J1403" i="6"/>
  <c r="B1403" i="6"/>
  <c r="G1403" i="6"/>
  <c r="E1403" i="6"/>
  <c r="I1403" i="6"/>
  <c r="H1403" i="6"/>
  <c r="F1403" i="6"/>
  <c r="D1403" i="6"/>
  <c r="A1403" i="6"/>
  <c r="C1411" i="6"/>
  <c r="J1411" i="6"/>
  <c r="B1411" i="6"/>
  <c r="G1411" i="6"/>
  <c r="H1411" i="6"/>
  <c r="D1411" i="6"/>
  <c r="A1411" i="6"/>
  <c r="I1411" i="6"/>
  <c r="E1411" i="6"/>
  <c r="F1411" i="6"/>
  <c r="C1419" i="6"/>
  <c r="J1419" i="6"/>
  <c r="B1419" i="6"/>
  <c r="G1419" i="6"/>
  <c r="F1419" i="6"/>
  <c r="E1419" i="6"/>
  <c r="D1419" i="6"/>
  <c r="A1419" i="6"/>
  <c r="I1419" i="6"/>
  <c r="H1419" i="6"/>
  <c r="C1427" i="6"/>
  <c r="J1427" i="6"/>
  <c r="B1427" i="6"/>
  <c r="G1427" i="6"/>
  <c r="A1427" i="6"/>
  <c r="I1427" i="6"/>
  <c r="H1427" i="6"/>
  <c r="F1427" i="6"/>
  <c r="E1427" i="6"/>
  <c r="D1427" i="6"/>
  <c r="H1435" i="6"/>
  <c r="F1435" i="6"/>
  <c r="J1435" i="6"/>
  <c r="B1435" i="6"/>
  <c r="E1435" i="6"/>
  <c r="G1435" i="6"/>
  <c r="D1435" i="6"/>
  <c r="C1435" i="6"/>
  <c r="A1435" i="6"/>
  <c r="I1435" i="6"/>
  <c r="H1443" i="6"/>
  <c r="F1443" i="6"/>
  <c r="D1443" i="6"/>
  <c r="J1443" i="6"/>
  <c r="B1443" i="6"/>
  <c r="C1443" i="6"/>
  <c r="A1443" i="6"/>
  <c r="G1443" i="6"/>
  <c r="I1443" i="6"/>
  <c r="E1443" i="6"/>
  <c r="H1451" i="6"/>
  <c r="F1451" i="6"/>
  <c r="D1451" i="6"/>
  <c r="J1451" i="6"/>
  <c r="B1451" i="6"/>
  <c r="C1451" i="6"/>
  <c r="A1451" i="6"/>
  <c r="G1451" i="6"/>
  <c r="I1451" i="6"/>
  <c r="E1451" i="6"/>
  <c r="H1459" i="6"/>
  <c r="F1459" i="6"/>
  <c r="D1459" i="6"/>
  <c r="J1459" i="6"/>
  <c r="B1459" i="6"/>
  <c r="C1459" i="6"/>
  <c r="A1459" i="6"/>
  <c r="G1459" i="6"/>
  <c r="I1459" i="6"/>
  <c r="E1459" i="6"/>
  <c r="H1467" i="6"/>
  <c r="F1467" i="6"/>
  <c r="D1467" i="6"/>
  <c r="J1467" i="6"/>
  <c r="B1467" i="6"/>
  <c r="C1467" i="6"/>
  <c r="A1467" i="6"/>
  <c r="G1467" i="6"/>
  <c r="I1467" i="6"/>
  <c r="E1467" i="6"/>
  <c r="H1475" i="6"/>
  <c r="F1475" i="6"/>
  <c r="D1475" i="6"/>
  <c r="J1475" i="6"/>
  <c r="B1475" i="6"/>
  <c r="C1475" i="6"/>
  <c r="A1475" i="6"/>
  <c r="G1475" i="6"/>
  <c r="I1475" i="6"/>
  <c r="E1475" i="6"/>
  <c r="H1483" i="6"/>
  <c r="F1483" i="6"/>
  <c r="D1483" i="6"/>
  <c r="J1483" i="6"/>
  <c r="B1483" i="6"/>
  <c r="C1483" i="6"/>
  <c r="A1483" i="6"/>
  <c r="G1483" i="6"/>
  <c r="I1483" i="6"/>
  <c r="E1483" i="6"/>
  <c r="H1491" i="6"/>
  <c r="F1491" i="6"/>
  <c r="D1491" i="6"/>
  <c r="J1491" i="6"/>
  <c r="B1491" i="6"/>
  <c r="C1491" i="6"/>
  <c r="A1491" i="6"/>
  <c r="G1491" i="6"/>
  <c r="I1491" i="6"/>
  <c r="E1491" i="6"/>
  <c r="H1499" i="6"/>
  <c r="F1499" i="6"/>
  <c r="D1499" i="6"/>
  <c r="J1499" i="6"/>
  <c r="B1499" i="6"/>
  <c r="C1499" i="6"/>
  <c r="A1499" i="6"/>
  <c r="G1499" i="6"/>
  <c r="I1499" i="6"/>
  <c r="E1499" i="6"/>
  <c r="H1507" i="6"/>
  <c r="F1507" i="6"/>
  <c r="D1507" i="6"/>
  <c r="J1507" i="6"/>
  <c r="B1507" i="6"/>
  <c r="C1507" i="6"/>
  <c r="A1507" i="6"/>
  <c r="G1507" i="6"/>
  <c r="I1507" i="6"/>
  <c r="E1507" i="6"/>
  <c r="H1515" i="6"/>
  <c r="F1515" i="6"/>
  <c r="D1515" i="6"/>
  <c r="J1515" i="6"/>
  <c r="B1515" i="6"/>
  <c r="C1515" i="6"/>
  <c r="A1515" i="6"/>
  <c r="G1515" i="6"/>
  <c r="I1515" i="6"/>
  <c r="E1515" i="6"/>
  <c r="H1523" i="6"/>
  <c r="F1523" i="6"/>
  <c r="D1523" i="6"/>
  <c r="J1523" i="6"/>
  <c r="B1523" i="6"/>
  <c r="C1523" i="6"/>
  <c r="A1523" i="6"/>
  <c r="G1523" i="6"/>
  <c r="I1523" i="6"/>
  <c r="E1523" i="6"/>
  <c r="H1531" i="6"/>
  <c r="F1531" i="6"/>
  <c r="D1531" i="6"/>
  <c r="J1531" i="6"/>
  <c r="B1531" i="6"/>
  <c r="C1531" i="6"/>
  <c r="A1531" i="6"/>
  <c r="G1531" i="6"/>
  <c r="I1531" i="6"/>
  <c r="E1531" i="6"/>
  <c r="H1539" i="6"/>
  <c r="F1539" i="6"/>
  <c r="D1539" i="6"/>
  <c r="J1539" i="6"/>
  <c r="B1539" i="6"/>
  <c r="C1539" i="6"/>
  <c r="A1539" i="6"/>
  <c r="G1539" i="6"/>
  <c r="I1539" i="6"/>
  <c r="E1539" i="6"/>
  <c r="H1547" i="6"/>
  <c r="F1547" i="6"/>
  <c r="D1547" i="6"/>
  <c r="J1547" i="6"/>
  <c r="B1547" i="6"/>
  <c r="C1547" i="6"/>
  <c r="A1547" i="6"/>
  <c r="G1547" i="6"/>
  <c r="I1547" i="6"/>
  <c r="E1547" i="6"/>
  <c r="H1555" i="6"/>
  <c r="F1555" i="6"/>
  <c r="D1555" i="6"/>
  <c r="J1555" i="6"/>
  <c r="B1555" i="6"/>
  <c r="C1555" i="6"/>
  <c r="A1555" i="6"/>
  <c r="G1555" i="6"/>
  <c r="I1555" i="6"/>
  <c r="E1555" i="6"/>
  <c r="H1563" i="6"/>
  <c r="E1563" i="6"/>
  <c r="C1563" i="6"/>
  <c r="A1563" i="6"/>
  <c r="J1563" i="6"/>
  <c r="G1563" i="6"/>
  <c r="D1563" i="6"/>
  <c r="F1563" i="6"/>
  <c r="B1563" i="6"/>
  <c r="I1563" i="6"/>
  <c r="H1571" i="6"/>
  <c r="G1571" i="6"/>
  <c r="E1571" i="6"/>
  <c r="D1571" i="6"/>
  <c r="C1571" i="6"/>
  <c r="J1571" i="6"/>
  <c r="F1571" i="6"/>
  <c r="A1571" i="6"/>
  <c r="B1571" i="6"/>
  <c r="I1571" i="6"/>
  <c r="H1579" i="6"/>
  <c r="G1579" i="6"/>
  <c r="E1579" i="6"/>
  <c r="D1579" i="6"/>
  <c r="C1579" i="6"/>
  <c r="F1579" i="6"/>
  <c r="A1579" i="6"/>
  <c r="J1579" i="6"/>
  <c r="B1579" i="6"/>
  <c r="I1579" i="6"/>
  <c r="H1587" i="6"/>
  <c r="G1587" i="6"/>
  <c r="E1587" i="6"/>
  <c r="D1587" i="6"/>
  <c r="C1587" i="6"/>
  <c r="A1587" i="6"/>
  <c r="J1587" i="6"/>
  <c r="F1587" i="6"/>
  <c r="I1587" i="6"/>
  <c r="B1587" i="6"/>
  <c r="H1595" i="6"/>
  <c r="G1595" i="6"/>
  <c r="E1595" i="6"/>
  <c r="D1595" i="6"/>
  <c r="C1595" i="6"/>
  <c r="J1595" i="6"/>
  <c r="F1595" i="6"/>
  <c r="A1595" i="6"/>
  <c r="B1595" i="6"/>
  <c r="I1595" i="6"/>
  <c r="H1603" i="6"/>
  <c r="G1603" i="6"/>
  <c r="E1603" i="6"/>
  <c r="D1603" i="6"/>
  <c r="C1603" i="6"/>
  <c r="J1603" i="6"/>
  <c r="F1603" i="6"/>
  <c r="A1603" i="6"/>
  <c r="I1603" i="6"/>
  <c r="B1603" i="6"/>
  <c r="H1611" i="6"/>
  <c r="G1611" i="6"/>
  <c r="E1611" i="6"/>
  <c r="D1611" i="6"/>
  <c r="C1611" i="6"/>
  <c r="F1611" i="6"/>
  <c r="A1611" i="6"/>
  <c r="J1611" i="6"/>
  <c r="I1611" i="6"/>
  <c r="B1611" i="6"/>
  <c r="H1619" i="6"/>
  <c r="G1619" i="6"/>
  <c r="E1619" i="6"/>
  <c r="D1619" i="6"/>
  <c r="C1619" i="6"/>
  <c r="A1619" i="6"/>
  <c r="J1619" i="6"/>
  <c r="F1619" i="6"/>
  <c r="I1619" i="6"/>
  <c r="B1619" i="6"/>
  <c r="H1627" i="6"/>
  <c r="G1627" i="6"/>
  <c r="E1627" i="6"/>
  <c r="D1627" i="6"/>
  <c r="C1627" i="6"/>
  <c r="J1627" i="6"/>
  <c r="F1627" i="6"/>
  <c r="A1627" i="6"/>
  <c r="B1627" i="6"/>
  <c r="I1627" i="6"/>
  <c r="H1635" i="6"/>
  <c r="G1635" i="6"/>
  <c r="E1635" i="6"/>
  <c r="D1635" i="6"/>
  <c r="C1635" i="6"/>
  <c r="J1635" i="6"/>
  <c r="F1635" i="6"/>
  <c r="A1635" i="6"/>
  <c r="I1635" i="6"/>
  <c r="B1635" i="6"/>
  <c r="H1643" i="6"/>
  <c r="G1643" i="6"/>
  <c r="E1643" i="6"/>
  <c r="D1643" i="6"/>
  <c r="C1643" i="6"/>
  <c r="F1643" i="6"/>
  <c r="A1643" i="6"/>
  <c r="J1643" i="6"/>
  <c r="B1643" i="6"/>
  <c r="I1643" i="6"/>
  <c r="H1651" i="6"/>
  <c r="G1651" i="6"/>
  <c r="E1651" i="6"/>
  <c r="D1651" i="6"/>
  <c r="C1651" i="6"/>
  <c r="A1651" i="6"/>
  <c r="J1651" i="6"/>
  <c r="F1651" i="6"/>
  <c r="I1651" i="6"/>
  <c r="B1651" i="6"/>
  <c r="H1659" i="6"/>
  <c r="G1659" i="6"/>
  <c r="E1659" i="6"/>
  <c r="D1659" i="6"/>
  <c r="C1659" i="6"/>
  <c r="J1659" i="6"/>
  <c r="F1659" i="6"/>
  <c r="A1659" i="6"/>
  <c r="B1659" i="6"/>
  <c r="I1659" i="6"/>
  <c r="I1667" i="6"/>
  <c r="A1667" i="6"/>
  <c r="H1667" i="6"/>
  <c r="F1667" i="6"/>
  <c r="D1667" i="6"/>
  <c r="J1667" i="6"/>
  <c r="E1667" i="6"/>
  <c r="C1667" i="6"/>
  <c r="B1667" i="6"/>
  <c r="G1667" i="6"/>
  <c r="I1675" i="6"/>
  <c r="A1675" i="6"/>
  <c r="H1675" i="6"/>
  <c r="F1675" i="6"/>
  <c r="D1675" i="6"/>
  <c r="J1675" i="6"/>
  <c r="E1675" i="6"/>
  <c r="C1675" i="6"/>
  <c r="B1675" i="6"/>
  <c r="G1675" i="6"/>
  <c r="I1683" i="6"/>
  <c r="A1683" i="6"/>
  <c r="H1683" i="6"/>
  <c r="F1683" i="6"/>
  <c r="D1683" i="6"/>
  <c r="J1683" i="6"/>
  <c r="E1683" i="6"/>
  <c r="C1683" i="6"/>
  <c r="B1683" i="6"/>
  <c r="G1683" i="6"/>
  <c r="I1691" i="6"/>
  <c r="A1691" i="6"/>
  <c r="H1691" i="6"/>
  <c r="F1691" i="6"/>
  <c r="D1691" i="6"/>
  <c r="J1691" i="6"/>
  <c r="E1691" i="6"/>
  <c r="C1691" i="6"/>
  <c r="B1691" i="6"/>
  <c r="G1691" i="6"/>
  <c r="I1699" i="6"/>
  <c r="A1699" i="6"/>
  <c r="H1699" i="6"/>
  <c r="F1699" i="6"/>
  <c r="D1699" i="6"/>
  <c r="J1699" i="6"/>
  <c r="E1699" i="6"/>
  <c r="C1699" i="6"/>
  <c r="B1699" i="6"/>
  <c r="G1699" i="6"/>
  <c r="I1707" i="6"/>
  <c r="A1707" i="6"/>
  <c r="H1707" i="6"/>
  <c r="F1707" i="6"/>
  <c r="D1707" i="6"/>
  <c r="J1707" i="6"/>
  <c r="E1707" i="6"/>
  <c r="C1707" i="6"/>
  <c r="B1707" i="6"/>
  <c r="G1707" i="6"/>
  <c r="I1715" i="6"/>
  <c r="A1715" i="6"/>
  <c r="H1715" i="6"/>
  <c r="F1715" i="6"/>
  <c r="D1715" i="6"/>
  <c r="J1715" i="6"/>
  <c r="E1715" i="6"/>
  <c r="C1715" i="6"/>
  <c r="B1715" i="6"/>
  <c r="G1715" i="6"/>
  <c r="I1723" i="6"/>
  <c r="A1723" i="6"/>
  <c r="H1723" i="6"/>
  <c r="F1723" i="6"/>
  <c r="D1723" i="6"/>
  <c r="J1723" i="6"/>
  <c r="E1723" i="6"/>
  <c r="C1723" i="6"/>
  <c r="B1723" i="6"/>
  <c r="G1723" i="6"/>
  <c r="I1731" i="6"/>
  <c r="A1731" i="6"/>
  <c r="H1731" i="6"/>
  <c r="F1731" i="6"/>
  <c r="D1731" i="6"/>
  <c r="J1731" i="6"/>
  <c r="E1731" i="6"/>
  <c r="C1731" i="6"/>
  <c r="B1731" i="6"/>
  <c r="G1731" i="6"/>
  <c r="F1739" i="6"/>
  <c r="D1739" i="6"/>
  <c r="J1739" i="6"/>
  <c r="B1739" i="6"/>
  <c r="G1739" i="6"/>
  <c r="E1739" i="6"/>
  <c r="A1739" i="6"/>
  <c r="I1739" i="6"/>
  <c r="H1739" i="6"/>
  <c r="C1739" i="6"/>
  <c r="F1747" i="6"/>
  <c r="D1747" i="6"/>
  <c r="J1747" i="6"/>
  <c r="B1747" i="6"/>
  <c r="I1747" i="6"/>
  <c r="H1747" i="6"/>
  <c r="E1747" i="6"/>
  <c r="A1747" i="6"/>
  <c r="C1747" i="6"/>
  <c r="G1747" i="6"/>
  <c r="F1755" i="6"/>
  <c r="D1755" i="6"/>
  <c r="J1755" i="6"/>
  <c r="B1755" i="6"/>
  <c r="H1755" i="6"/>
  <c r="E1755" i="6"/>
  <c r="C1755" i="6"/>
  <c r="A1755" i="6"/>
  <c r="G1755" i="6"/>
  <c r="I1755" i="6"/>
  <c r="F1763" i="6"/>
  <c r="D1763" i="6"/>
  <c r="J1763" i="6"/>
  <c r="B1763" i="6"/>
  <c r="C1763" i="6"/>
  <c r="A1763" i="6"/>
  <c r="H1763" i="6"/>
  <c r="I1763" i="6"/>
  <c r="G1763" i="6"/>
  <c r="E1763" i="6"/>
  <c r="F1771" i="6"/>
  <c r="D1771" i="6"/>
  <c r="J1771" i="6"/>
  <c r="B1771" i="6"/>
  <c r="G1771" i="6"/>
  <c r="E1771" i="6"/>
  <c r="A1771" i="6"/>
  <c r="I1771" i="6"/>
  <c r="H1771" i="6"/>
  <c r="C1771" i="6"/>
  <c r="F1779" i="6"/>
  <c r="D1779" i="6"/>
  <c r="J1779" i="6"/>
  <c r="B1779" i="6"/>
  <c r="I1779" i="6"/>
  <c r="H1779" i="6"/>
  <c r="E1779" i="6"/>
  <c r="A1779" i="6"/>
  <c r="C1779" i="6"/>
  <c r="G1779" i="6"/>
  <c r="F1787" i="6"/>
  <c r="D1787" i="6"/>
  <c r="J1787" i="6"/>
  <c r="B1787" i="6"/>
  <c r="H1787" i="6"/>
  <c r="E1787" i="6"/>
  <c r="G1787" i="6"/>
  <c r="C1787" i="6"/>
  <c r="A1787" i="6"/>
  <c r="I1787" i="6"/>
  <c r="F1795" i="6"/>
  <c r="D1795" i="6"/>
  <c r="J1795" i="6"/>
  <c r="B1795" i="6"/>
  <c r="C1795" i="6"/>
  <c r="A1795" i="6"/>
  <c r="H1795" i="6"/>
  <c r="G1795" i="6"/>
  <c r="E1795" i="6"/>
  <c r="I1795" i="6"/>
  <c r="F1803" i="6"/>
  <c r="D1803" i="6"/>
  <c r="J1803" i="6"/>
  <c r="B1803" i="6"/>
  <c r="G1803" i="6"/>
  <c r="E1803" i="6"/>
  <c r="A1803" i="6"/>
  <c r="I1803" i="6"/>
  <c r="H1803" i="6"/>
  <c r="C1803" i="6"/>
  <c r="F1811" i="6"/>
  <c r="D1811" i="6"/>
  <c r="J1811" i="6"/>
  <c r="B1811" i="6"/>
  <c r="I1811" i="6"/>
  <c r="H1811" i="6"/>
  <c r="E1811" i="6"/>
  <c r="A1811" i="6"/>
  <c r="C1811" i="6"/>
  <c r="G1811" i="6"/>
  <c r="F1819" i="6"/>
  <c r="D1819" i="6"/>
  <c r="J1819" i="6"/>
  <c r="B1819" i="6"/>
  <c r="H1819" i="6"/>
  <c r="E1819" i="6"/>
  <c r="C1819" i="6"/>
  <c r="A1819" i="6"/>
  <c r="G1819" i="6"/>
  <c r="I1819" i="6"/>
  <c r="F1827" i="6"/>
  <c r="D1827" i="6"/>
  <c r="J1827" i="6"/>
  <c r="B1827" i="6"/>
  <c r="C1827" i="6"/>
  <c r="A1827" i="6"/>
  <c r="H1827" i="6"/>
  <c r="I1827" i="6"/>
  <c r="G1827" i="6"/>
  <c r="E1827" i="6"/>
  <c r="F1835" i="6"/>
  <c r="D1835" i="6"/>
  <c r="J1835" i="6"/>
  <c r="B1835" i="6"/>
  <c r="G1835" i="6"/>
  <c r="E1835" i="6"/>
  <c r="A1835" i="6"/>
  <c r="I1835" i="6"/>
  <c r="H1835" i="6"/>
  <c r="C1835" i="6"/>
  <c r="F1843" i="6"/>
  <c r="D1843" i="6"/>
  <c r="J1843" i="6"/>
  <c r="B1843" i="6"/>
  <c r="I1843" i="6"/>
  <c r="H1843" i="6"/>
  <c r="E1843" i="6"/>
  <c r="A1843" i="6"/>
  <c r="C1843" i="6"/>
  <c r="G1843" i="6"/>
  <c r="F1851" i="6"/>
  <c r="D1851" i="6"/>
  <c r="J1851" i="6"/>
  <c r="B1851" i="6"/>
  <c r="H1851" i="6"/>
  <c r="E1851" i="6"/>
  <c r="G1851" i="6"/>
  <c r="C1851" i="6"/>
  <c r="A1851" i="6"/>
  <c r="I1851" i="6"/>
  <c r="C1859" i="6"/>
  <c r="H1859" i="6"/>
  <c r="F1859" i="6"/>
  <c r="D1859" i="6"/>
  <c r="E1859" i="6"/>
  <c r="B1859" i="6"/>
  <c r="J1859" i="6"/>
  <c r="I1859" i="6"/>
  <c r="G1859" i="6"/>
  <c r="A1859" i="6"/>
  <c r="E1867" i="6"/>
  <c r="C1867" i="6"/>
  <c r="J1867" i="6"/>
  <c r="H1867" i="6"/>
  <c r="F1867" i="6"/>
  <c r="I1867" i="6"/>
  <c r="G1867" i="6"/>
  <c r="B1867" i="6"/>
  <c r="A1867" i="6"/>
  <c r="D1867" i="6"/>
  <c r="E1875" i="6"/>
  <c r="C1875" i="6"/>
  <c r="I1875" i="6"/>
  <c r="A1875" i="6"/>
  <c r="D1875" i="6"/>
  <c r="J1875" i="6"/>
  <c r="H1875" i="6"/>
  <c r="G1875" i="6"/>
  <c r="B1875" i="6"/>
  <c r="F1875" i="6"/>
  <c r="E1883" i="6"/>
  <c r="C1883" i="6"/>
  <c r="I1883" i="6"/>
  <c r="A1883" i="6"/>
  <c r="G1883" i="6"/>
  <c r="D1883" i="6"/>
  <c r="H1883" i="6"/>
  <c r="F1883" i="6"/>
  <c r="B1883" i="6"/>
  <c r="J1883" i="6"/>
  <c r="E1891" i="6"/>
  <c r="C1891" i="6"/>
  <c r="I1891" i="6"/>
  <c r="A1891" i="6"/>
  <c r="J1891" i="6"/>
  <c r="G1891" i="6"/>
  <c r="D1891" i="6"/>
  <c r="H1891" i="6"/>
  <c r="B1891" i="6"/>
  <c r="F1891" i="6"/>
  <c r="C1899" i="6"/>
  <c r="F1899" i="6"/>
  <c r="D1899" i="6"/>
  <c r="J1899" i="6"/>
  <c r="A1899" i="6"/>
  <c r="H1899" i="6"/>
  <c r="B1899" i="6"/>
  <c r="I1899" i="6"/>
  <c r="G1899" i="6"/>
  <c r="E1899" i="6"/>
  <c r="E1907" i="6"/>
  <c r="C1907" i="6"/>
  <c r="D1907" i="6"/>
  <c r="A1907" i="6"/>
  <c r="I1907" i="6"/>
  <c r="H1907" i="6"/>
  <c r="G1907" i="6"/>
  <c r="B1907" i="6"/>
  <c r="F1907" i="6"/>
  <c r="J1907" i="6"/>
  <c r="E1915" i="6"/>
  <c r="C1915" i="6"/>
  <c r="I1915" i="6"/>
  <c r="G1915" i="6"/>
  <c r="D1915" i="6"/>
  <c r="H1915" i="6"/>
  <c r="B1915" i="6"/>
  <c r="F1915" i="6"/>
  <c r="A1915" i="6"/>
  <c r="J1915" i="6"/>
  <c r="E1923" i="6"/>
  <c r="C1923" i="6"/>
  <c r="D1923" i="6"/>
  <c r="A1923" i="6"/>
  <c r="I1923" i="6"/>
  <c r="J1923" i="6"/>
  <c r="G1923" i="6"/>
  <c r="H1923" i="6"/>
  <c r="B1923" i="6"/>
  <c r="F1923" i="6"/>
  <c r="E1931" i="6"/>
  <c r="C1931" i="6"/>
  <c r="I1931" i="6"/>
  <c r="G1931" i="6"/>
  <c r="D1931" i="6"/>
  <c r="F1931" i="6"/>
  <c r="A1931" i="6"/>
  <c r="J1931" i="6"/>
  <c r="H1931" i="6"/>
  <c r="B1931" i="6"/>
  <c r="E1939" i="6"/>
  <c r="C1939" i="6"/>
  <c r="D1939" i="6"/>
  <c r="A1939" i="6"/>
  <c r="I1939" i="6"/>
  <c r="H1939" i="6"/>
  <c r="F1939" i="6"/>
  <c r="G1939" i="6"/>
  <c r="B1939" i="6"/>
  <c r="J1939" i="6"/>
  <c r="E1947" i="6"/>
  <c r="C1947" i="6"/>
  <c r="I1947" i="6"/>
  <c r="A1947" i="6"/>
  <c r="H1947" i="6"/>
  <c r="F1947" i="6"/>
  <c r="D1947" i="6"/>
  <c r="G1947" i="6"/>
  <c r="B1947" i="6"/>
  <c r="J1947" i="6"/>
  <c r="E1955" i="6"/>
  <c r="C1955" i="6"/>
  <c r="I1955" i="6"/>
  <c r="A1955" i="6"/>
  <c r="B1955" i="6"/>
  <c r="H1955" i="6"/>
  <c r="J1955" i="6"/>
  <c r="F1955" i="6"/>
  <c r="D1955" i="6"/>
  <c r="G1955" i="6"/>
  <c r="E1963" i="6"/>
  <c r="C1963" i="6"/>
  <c r="I1963" i="6"/>
  <c r="A1963" i="6"/>
  <c r="F1963" i="6"/>
  <c r="B1963" i="6"/>
  <c r="G1963" i="6"/>
  <c r="J1963" i="6"/>
  <c r="H1963" i="6"/>
  <c r="D1963" i="6"/>
  <c r="E1971" i="6"/>
  <c r="C1971" i="6"/>
  <c r="I1971" i="6"/>
  <c r="A1971" i="6"/>
  <c r="H1971" i="6"/>
  <c r="F1971" i="6"/>
  <c r="B1971" i="6"/>
  <c r="G1971" i="6"/>
  <c r="D1971" i="6"/>
  <c r="J1971" i="6"/>
  <c r="E1979" i="6"/>
  <c r="C1979" i="6"/>
  <c r="I1979" i="6"/>
  <c r="A1979" i="6"/>
  <c r="H1979" i="6"/>
  <c r="F1979" i="6"/>
  <c r="J1979" i="6"/>
  <c r="G1979" i="6"/>
  <c r="B1979" i="6"/>
  <c r="D1979" i="6"/>
  <c r="F1987" i="6"/>
  <c r="J1987" i="6"/>
  <c r="E1987" i="6"/>
  <c r="C1987" i="6"/>
  <c r="A1987" i="6"/>
  <c r="B1987" i="6"/>
  <c r="I1987" i="6"/>
  <c r="H1987" i="6"/>
  <c r="D1987" i="6"/>
  <c r="G1987" i="6"/>
  <c r="F1995" i="6"/>
  <c r="J1995" i="6"/>
  <c r="B1995" i="6"/>
  <c r="H1995" i="6"/>
  <c r="E1995" i="6"/>
  <c r="I1995" i="6"/>
  <c r="D1995" i="6"/>
  <c r="A1995" i="6"/>
  <c r="G1995" i="6"/>
  <c r="C1995" i="6"/>
  <c r="F2003" i="6"/>
  <c r="J2003" i="6"/>
  <c r="B2003" i="6"/>
  <c r="E2003" i="6"/>
  <c r="C2003" i="6"/>
  <c r="H2003" i="6"/>
  <c r="I2003" i="6"/>
  <c r="D2003" i="6"/>
  <c r="G2003" i="6"/>
  <c r="A2003" i="6"/>
  <c r="F4" i="6"/>
  <c r="H5" i="6"/>
  <c r="B6" i="6"/>
  <c r="J6" i="6"/>
  <c r="D7" i="6"/>
  <c r="F8" i="6"/>
  <c r="H9" i="6"/>
  <c r="I14" i="6"/>
  <c r="A14" i="6"/>
  <c r="H14" i="6"/>
  <c r="G14" i="6"/>
  <c r="F14" i="6"/>
  <c r="E14" i="6"/>
  <c r="D14" i="6"/>
  <c r="C14" i="6"/>
  <c r="J14" i="6"/>
  <c r="B14" i="6"/>
  <c r="I22" i="6"/>
  <c r="A22" i="6"/>
  <c r="H22" i="6"/>
  <c r="G22" i="6"/>
  <c r="F22" i="6"/>
  <c r="E22" i="6"/>
  <c r="D22" i="6"/>
  <c r="C22" i="6"/>
  <c r="J22" i="6"/>
  <c r="B22" i="6"/>
  <c r="I30" i="6"/>
  <c r="A30" i="6"/>
  <c r="H30" i="6"/>
  <c r="G30" i="6"/>
  <c r="F30" i="6"/>
  <c r="E30" i="6"/>
  <c r="D30" i="6"/>
  <c r="C30" i="6"/>
  <c r="J30" i="6"/>
  <c r="B30" i="6"/>
  <c r="I38" i="6"/>
  <c r="A38" i="6"/>
  <c r="H38" i="6"/>
  <c r="G38" i="6"/>
  <c r="F38" i="6"/>
  <c r="E38" i="6"/>
  <c r="D38" i="6"/>
  <c r="C38" i="6"/>
  <c r="J38" i="6"/>
  <c r="B38" i="6"/>
  <c r="I46" i="6"/>
  <c r="A46" i="6"/>
  <c r="H46" i="6"/>
  <c r="G46" i="6"/>
  <c r="F46" i="6"/>
  <c r="E46" i="6"/>
  <c r="D46" i="6"/>
  <c r="C46" i="6"/>
  <c r="J46" i="6"/>
  <c r="B46" i="6"/>
  <c r="I54" i="6"/>
  <c r="A54" i="6"/>
  <c r="H54" i="6"/>
  <c r="G54" i="6"/>
  <c r="F54" i="6"/>
  <c r="E54" i="6"/>
  <c r="D54" i="6"/>
  <c r="C54" i="6"/>
  <c r="J54" i="6"/>
  <c r="B54" i="6"/>
  <c r="I62" i="6"/>
  <c r="A62" i="6"/>
  <c r="H62" i="6"/>
  <c r="G62" i="6"/>
  <c r="F62" i="6"/>
  <c r="E62" i="6"/>
  <c r="D62" i="6"/>
  <c r="C62" i="6"/>
  <c r="J62" i="6"/>
  <c r="B62" i="6"/>
  <c r="I70" i="6"/>
  <c r="A70" i="6"/>
  <c r="H70" i="6"/>
  <c r="G70" i="6"/>
  <c r="F70" i="6"/>
  <c r="E70" i="6"/>
  <c r="D70" i="6"/>
  <c r="C70" i="6"/>
  <c r="J70" i="6"/>
  <c r="B70" i="6"/>
  <c r="I78" i="6"/>
  <c r="A78" i="6"/>
  <c r="H78" i="6"/>
  <c r="G78" i="6"/>
  <c r="F78" i="6"/>
  <c r="E78" i="6"/>
  <c r="D78" i="6"/>
  <c r="C78" i="6"/>
  <c r="J78" i="6"/>
  <c r="B78" i="6"/>
  <c r="I86" i="6"/>
  <c r="A86" i="6"/>
  <c r="H86" i="6"/>
  <c r="G86" i="6"/>
  <c r="F86" i="6"/>
  <c r="E86" i="6"/>
  <c r="D86" i="6"/>
  <c r="C86" i="6"/>
  <c r="J86" i="6"/>
  <c r="B86" i="6"/>
  <c r="I94" i="6"/>
  <c r="A94" i="6"/>
  <c r="H94" i="6"/>
  <c r="G94" i="6"/>
  <c r="F94" i="6"/>
  <c r="E94" i="6"/>
  <c r="D94" i="6"/>
  <c r="C94" i="6"/>
  <c r="J94" i="6"/>
  <c r="B94" i="6"/>
  <c r="I102" i="6"/>
  <c r="A102" i="6"/>
  <c r="H102" i="6"/>
  <c r="G102" i="6"/>
  <c r="F102" i="6"/>
  <c r="E102" i="6"/>
  <c r="D102" i="6"/>
  <c r="C102" i="6"/>
  <c r="J102" i="6"/>
  <c r="B102" i="6"/>
  <c r="I110" i="6"/>
  <c r="A110" i="6"/>
  <c r="H110" i="6"/>
  <c r="G110" i="6"/>
  <c r="F110" i="6"/>
  <c r="E110" i="6"/>
  <c r="D110" i="6"/>
  <c r="C110" i="6"/>
  <c r="J110" i="6"/>
  <c r="B110" i="6"/>
  <c r="I118" i="6"/>
  <c r="A118" i="6"/>
  <c r="H118" i="6"/>
  <c r="G118" i="6"/>
  <c r="F118" i="6"/>
  <c r="E118" i="6"/>
  <c r="D118" i="6"/>
  <c r="C118" i="6"/>
  <c r="J118" i="6"/>
  <c r="B118" i="6"/>
  <c r="I126" i="6"/>
  <c r="A126" i="6"/>
  <c r="H126" i="6"/>
  <c r="G126" i="6"/>
  <c r="F126" i="6"/>
  <c r="E126" i="6"/>
  <c r="D126" i="6"/>
  <c r="C126" i="6"/>
  <c r="J126" i="6"/>
  <c r="B126" i="6"/>
  <c r="I134" i="6"/>
  <c r="A134" i="6"/>
  <c r="H134" i="6"/>
  <c r="G134" i="6"/>
  <c r="F134" i="6"/>
  <c r="E134" i="6"/>
  <c r="D134" i="6"/>
  <c r="C134" i="6"/>
  <c r="J134" i="6"/>
  <c r="B134" i="6"/>
  <c r="I142" i="6"/>
  <c r="A142" i="6"/>
  <c r="H142" i="6"/>
  <c r="G142" i="6"/>
  <c r="F142" i="6"/>
  <c r="E142" i="6"/>
  <c r="D142" i="6"/>
  <c r="C142" i="6"/>
  <c r="J142" i="6"/>
  <c r="B142" i="6"/>
  <c r="I150" i="6"/>
  <c r="A150" i="6"/>
  <c r="H150" i="6"/>
  <c r="G150" i="6"/>
  <c r="F150" i="6"/>
  <c r="E150" i="6"/>
  <c r="D150" i="6"/>
  <c r="C150" i="6"/>
  <c r="J150" i="6"/>
  <c r="B150" i="6"/>
  <c r="I158" i="6"/>
  <c r="A158" i="6"/>
  <c r="H158" i="6"/>
  <c r="G158" i="6"/>
  <c r="F158" i="6"/>
  <c r="E158" i="6"/>
  <c r="D158" i="6"/>
  <c r="C158" i="6"/>
  <c r="J158" i="6"/>
  <c r="B158" i="6"/>
  <c r="I166" i="6"/>
  <c r="A166" i="6"/>
  <c r="H166" i="6"/>
  <c r="G166" i="6"/>
  <c r="F166" i="6"/>
  <c r="E166" i="6"/>
  <c r="D166" i="6"/>
  <c r="C166" i="6"/>
  <c r="J166" i="6"/>
  <c r="B166" i="6"/>
  <c r="I174" i="6"/>
  <c r="A174" i="6"/>
  <c r="H174" i="6"/>
  <c r="G174" i="6"/>
  <c r="F174" i="6"/>
  <c r="E174" i="6"/>
  <c r="D174" i="6"/>
  <c r="C174" i="6"/>
  <c r="J174" i="6"/>
  <c r="B174" i="6"/>
  <c r="I182" i="6"/>
  <c r="A182" i="6"/>
  <c r="H182" i="6"/>
  <c r="G182" i="6"/>
  <c r="F182" i="6"/>
  <c r="E182" i="6"/>
  <c r="D182" i="6"/>
  <c r="C182" i="6"/>
  <c r="J182" i="6"/>
  <c r="B182" i="6"/>
  <c r="I190" i="6"/>
  <c r="A190" i="6"/>
  <c r="H190" i="6"/>
  <c r="G190" i="6"/>
  <c r="F190" i="6"/>
  <c r="E190" i="6"/>
  <c r="D190" i="6"/>
  <c r="C190" i="6"/>
  <c r="J190" i="6"/>
  <c r="B190" i="6"/>
  <c r="I198" i="6"/>
  <c r="A198" i="6"/>
  <c r="H198" i="6"/>
  <c r="G198" i="6"/>
  <c r="F198" i="6"/>
  <c r="E198" i="6"/>
  <c r="D198" i="6"/>
  <c r="C198" i="6"/>
  <c r="J198" i="6"/>
  <c r="B198" i="6"/>
  <c r="I206" i="6"/>
  <c r="A206" i="6"/>
  <c r="H206" i="6"/>
  <c r="G206" i="6"/>
  <c r="F206" i="6"/>
  <c r="E206" i="6"/>
  <c r="D206" i="6"/>
  <c r="C206" i="6"/>
  <c r="J206" i="6"/>
  <c r="B206" i="6"/>
  <c r="I214" i="6"/>
  <c r="A214" i="6"/>
  <c r="H214" i="6"/>
  <c r="G214" i="6"/>
  <c r="F214" i="6"/>
  <c r="E214" i="6"/>
  <c r="D214" i="6"/>
  <c r="C214" i="6"/>
  <c r="J214" i="6"/>
  <c r="B214" i="6"/>
  <c r="I222" i="6"/>
  <c r="A222" i="6"/>
  <c r="H222" i="6"/>
  <c r="G222" i="6"/>
  <c r="F222" i="6"/>
  <c r="E222" i="6"/>
  <c r="D222" i="6"/>
  <c r="C222" i="6"/>
  <c r="J222" i="6"/>
  <c r="B222" i="6"/>
  <c r="I230" i="6"/>
  <c r="A230" i="6"/>
  <c r="H230" i="6"/>
  <c r="G230" i="6"/>
  <c r="F230" i="6"/>
  <c r="E230" i="6"/>
  <c r="D230" i="6"/>
  <c r="C230" i="6"/>
  <c r="J230" i="6"/>
  <c r="B230" i="6"/>
  <c r="I238" i="6"/>
  <c r="A238" i="6"/>
  <c r="H238" i="6"/>
  <c r="G238" i="6"/>
  <c r="F238" i="6"/>
  <c r="E238" i="6"/>
  <c r="D238" i="6"/>
  <c r="C238" i="6"/>
  <c r="J238" i="6"/>
  <c r="B238" i="6"/>
  <c r="I246" i="6"/>
  <c r="A246" i="6"/>
  <c r="H246" i="6"/>
  <c r="G246" i="6"/>
  <c r="F246" i="6"/>
  <c r="E246" i="6"/>
  <c r="D246" i="6"/>
  <c r="C246" i="6"/>
  <c r="J246" i="6"/>
  <c r="B246" i="6"/>
  <c r="I254" i="6"/>
  <c r="A254" i="6"/>
  <c r="H254" i="6"/>
  <c r="G254" i="6"/>
  <c r="F254" i="6"/>
  <c r="E254" i="6"/>
  <c r="D254" i="6"/>
  <c r="C254" i="6"/>
  <c r="J254" i="6"/>
  <c r="B254" i="6"/>
  <c r="I262" i="6"/>
  <c r="A262" i="6"/>
  <c r="H262" i="6"/>
  <c r="G262" i="6"/>
  <c r="F262" i="6"/>
  <c r="E262" i="6"/>
  <c r="D262" i="6"/>
  <c r="C262" i="6"/>
  <c r="J262" i="6"/>
  <c r="B262" i="6"/>
  <c r="I270" i="6"/>
  <c r="A270" i="6"/>
  <c r="H270" i="6"/>
  <c r="G270" i="6"/>
  <c r="F270" i="6"/>
  <c r="E270" i="6"/>
  <c r="D270" i="6"/>
  <c r="C270" i="6"/>
  <c r="J270" i="6"/>
  <c r="B270" i="6"/>
  <c r="I278" i="6"/>
  <c r="A278" i="6"/>
  <c r="H278" i="6"/>
  <c r="G278" i="6"/>
  <c r="F278" i="6"/>
  <c r="E278" i="6"/>
  <c r="D278" i="6"/>
  <c r="C278" i="6"/>
  <c r="J278" i="6"/>
  <c r="B278" i="6"/>
  <c r="I286" i="6"/>
  <c r="A286" i="6"/>
  <c r="H286" i="6"/>
  <c r="G286" i="6"/>
  <c r="F286" i="6"/>
  <c r="E286" i="6"/>
  <c r="D286" i="6"/>
  <c r="C286" i="6"/>
  <c r="J286" i="6"/>
  <c r="B286" i="6"/>
  <c r="I294" i="6"/>
  <c r="A294" i="6"/>
  <c r="H294" i="6"/>
  <c r="G294" i="6"/>
  <c r="F294" i="6"/>
  <c r="E294" i="6"/>
  <c r="D294" i="6"/>
  <c r="C294" i="6"/>
  <c r="J294" i="6"/>
  <c r="B294" i="6"/>
  <c r="I302" i="6"/>
  <c r="A302" i="6"/>
  <c r="H302" i="6"/>
  <c r="G302" i="6"/>
  <c r="F302" i="6"/>
  <c r="E302" i="6"/>
  <c r="D302" i="6"/>
  <c r="C302" i="6"/>
  <c r="J302" i="6"/>
  <c r="B302" i="6"/>
  <c r="I310" i="6"/>
  <c r="A310" i="6"/>
  <c r="H310" i="6"/>
  <c r="G310" i="6"/>
  <c r="F310" i="6"/>
  <c r="E310" i="6"/>
  <c r="D310" i="6"/>
  <c r="C310" i="6"/>
  <c r="J310" i="6"/>
  <c r="B310" i="6"/>
  <c r="I318" i="6"/>
  <c r="A318" i="6"/>
  <c r="H318" i="6"/>
  <c r="G318" i="6"/>
  <c r="F318" i="6"/>
  <c r="E318" i="6"/>
  <c r="D318" i="6"/>
  <c r="C318" i="6"/>
  <c r="J318" i="6"/>
  <c r="B318" i="6"/>
  <c r="I326" i="6"/>
  <c r="A326" i="6"/>
  <c r="H326" i="6"/>
  <c r="G326" i="6"/>
  <c r="F326" i="6"/>
  <c r="E326" i="6"/>
  <c r="D326" i="6"/>
  <c r="C326" i="6"/>
  <c r="J326" i="6"/>
  <c r="B326" i="6"/>
  <c r="I334" i="6"/>
  <c r="A334" i="6"/>
  <c r="H334" i="6"/>
  <c r="G334" i="6"/>
  <c r="F334" i="6"/>
  <c r="E334" i="6"/>
  <c r="D334" i="6"/>
  <c r="C334" i="6"/>
  <c r="J334" i="6"/>
  <c r="B334" i="6"/>
  <c r="I342" i="6"/>
  <c r="A342" i="6"/>
  <c r="H342" i="6"/>
  <c r="G342" i="6"/>
  <c r="F342" i="6"/>
  <c r="E342" i="6"/>
  <c r="D342" i="6"/>
  <c r="C342" i="6"/>
  <c r="J342" i="6"/>
  <c r="B342" i="6"/>
  <c r="I350" i="6"/>
  <c r="A350" i="6"/>
  <c r="H350" i="6"/>
  <c r="G350" i="6"/>
  <c r="F350" i="6"/>
  <c r="E350" i="6"/>
  <c r="D350" i="6"/>
  <c r="C350" i="6"/>
  <c r="J350" i="6"/>
  <c r="B350" i="6"/>
  <c r="I358" i="6"/>
  <c r="A358" i="6"/>
  <c r="H358" i="6"/>
  <c r="G358" i="6"/>
  <c r="F358" i="6"/>
  <c r="E358" i="6"/>
  <c r="D358" i="6"/>
  <c r="C358" i="6"/>
  <c r="J358" i="6"/>
  <c r="B358" i="6"/>
  <c r="I366" i="6"/>
  <c r="A366" i="6"/>
  <c r="H366" i="6"/>
  <c r="G366" i="6"/>
  <c r="F366" i="6"/>
  <c r="E366" i="6"/>
  <c r="D366" i="6"/>
  <c r="C366" i="6"/>
  <c r="J366" i="6"/>
  <c r="B366" i="6"/>
  <c r="I374" i="6"/>
  <c r="A374" i="6"/>
  <c r="H374" i="6"/>
  <c r="G374" i="6"/>
  <c r="F374" i="6"/>
  <c r="E374" i="6"/>
  <c r="D374" i="6"/>
  <c r="C374" i="6"/>
  <c r="J374" i="6"/>
  <c r="B374" i="6"/>
  <c r="I382" i="6"/>
  <c r="A382" i="6"/>
  <c r="H382" i="6"/>
  <c r="G382" i="6"/>
  <c r="F382" i="6"/>
  <c r="E382" i="6"/>
  <c r="D382" i="6"/>
  <c r="C382" i="6"/>
  <c r="J382" i="6"/>
  <c r="B382" i="6"/>
  <c r="I390" i="6"/>
  <c r="A390" i="6"/>
  <c r="H390" i="6"/>
  <c r="G390" i="6"/>
  <c r="F390" i="6"/>
  <c r="E390" i="6"/>
  <c r="D390" i="6"/>
  <c r="C390" i="6"/>
  <c r="J390" i="6"/>
  <c r="B390" i="6"/>
  <c r="E398" i="6"/>
  <c r="I398" i="6"/>
  <c r="A398" i="6"/>
  <c r="G398" i="6"/>
  <c r="J398" i="6"/>
  <c r="H398" i="6"/>
  <c r="F398" i="6"/>
  <c r="D398" i="6"/>
  <c r="C398" i="6"/>
  <c r="B398" i="6"/>
  <c r="E406" i="6"/>
  <c r="D406" i="6"/>
  <c r="C406" i="6"/>
  <c r="J406" i="6"/>
  <c r="I406" i="6"/>
  <c r="A406" i="6"/>
  <c r="H406" i="6"/>
  <c r="G406" i="6"/>
  <c r="F406" i="6"/>
  <c r="B406" i="6"/>
  <c r="E414" i="6"/>
  <c r="D414" i="6"/>
  <c r="C414" i="6"/>
  <c r="J414" i="6"/>
  <c r="B414" i="6"/>
  <c r="I414" i="6"/>
  <c r="A414" i="6"/>
  <c r="H414" i="6"/>
  <c r="G414" i="6"/>
  <c r="F414" i="6"/>
  <c r="E422" i="6"/>
  <c r="D422" i="6"/>
  <c r="C422" i="6"/>
  <c r="J422" i="6"/>
  <c r="B422" i="6"/>
  <c r="I422" i="6"/>
  <c r="A422" i="6"/>
  <c r="H422" i="6"/>
  <c r="G422" i="6"/>
  <c r="F422" i="6"/>
  <c r="E430" i="6"/>
  <c r="D430" i="6"/>
  <c r="C430" i="6"/>
  <c r="J430" i="6"/>
  <c r="B430" i="6"/>
  <c r="I430" i="6"/>
  <c r="A430" i="6"/>
  <c r="H430" i="6"/>
  <c r="G430" i="6"/>
  <c r="F430" i="6"/>
  <c r="E438" i="6"/>
  <c r="D438" i="6"/>
  <c r="C438" i="6"/>
  <c r="J438" i="6"/>
  <c r="B438" i="6"/>
  <c r="I438" i="6"/>
  <c r="A438" i="6"/>
  <c r="H438" i="6"/>
  <c r="G438" i="6"/>
  <c r="F438" i="6"/>
  <c r="E446" i="6"/>
  <c r="D446" i="6"/>
  <c r="C446" i="6"/>
  <c r="J446" i="6"/>
  <c r="B446" i="6"/>
  <c r="I446" i="6"/>
  <c r="A446" i="6"/>
  <c r="H446" i="6"/>
  <c r="G446" i="6"/>
  <c r="F446" i="6"/>
  <c r="E454" i="6"/>
  <c r="D454" i="6"/>
  <c r="C454" i="6"/>
  <c r="J454" i="6"/>
  <c r="B454" i="6"/>
  <c r="I454" i="6"/>
  <c r="A454" i="6"/>
  <c r="H454" i="6"/>
  <c r="G454" i="6"/>
  <c r="F454" i="6"/>
  <c r="E462" i="6"/>
  <c r="D462" i="6"/>
  <c r="C462" i="6"/>
  <c r="J462" i="6"/>
  <c r="B462" i="6"/>
  <c r="I462" i="6"/>
  <c r="A462" i="6"/>
  <c r="H462" i="6"/>
  <c r="G462" i="6"/>
  <c r="F462" i="6"/>
  <c r="E470" i="6"/>
  <c r="D470" i="6"/>
  <c r="C470" i="6"/>
  <c r="J470" i="6"/>
  <c r="B470" i="6"/>
  <c r="I470" i="6"/>
  <c r="A470" i="6"/>
  <c r="H470" i="6"/>
  <c r="G470" i="6"/>
  <c r="F470" i="6"/>
  <c r="E478" i="6"/>
  <c r="D478" i="6"/>
  <c r="C478" i="6"/>
  <c r="J478" i="6"/>
  <c r="B478" i="6"/>
  <c r="I478" i="6"/>
  <c r="A478" i="6"/>
  <c r="H478" i="6"/>
  <c r="G478" i="6"/>
  <c r="F478" i="6"/>
  <c r="E486" i="6"/>
  <c r="D486" i="6"/>
  <c r="C486" i="6"/>
  <c r="J486" i="6"/>
  <c r="B486" i="6"/>
  <c r="I486" i="6"/>
  <c r="A486" i="6"/>
  <c r="H486" i="6"/>
  <c r="G486" i="6"/>
  <c r="F486" i="6"/>
  <c r="E494" i="6"/>
  <c r="D494" i="6"/>
  <c r="C494" i="6"/>
  <c r="J494" i="6"/>
  <c r="B494" i="6"/>
  <c r="I494" i="6"/>
  <c r="A494" i="6"/>
  <c r="H494" i="6"/>
  <c r="G494" i="6"/>
  <c r="F494" i="6"/>
  <c r="E502" i="6"/>
  <c r="D502" i="6"/>
  <c r="C502" i="6"/>
  <c r="J502" i="6"/>
  <c r="B502" i="6"/>
  <c r="I502" i="6"/>
  <c r="A502" i="6"/>
  <c r="H502" i="6"/>
  <c r="G502" i="6"/>
  <c r="F502" i="6"/>
  <c r="E510" i="6"/>
  <c r="D510" i="6"/>
  <c r="C510" i="6"/>
  <c r="J510" i="6"/>
  <c r="B510" i="6"/>
  <c r="I510" i="6"/>
  <c r="A510" i="6"/>
  <c r="H510" i="6"/>
  <c r="G510" i="6"/>
  <c r="F510" i="6"/>
  <c r="E518" i="6"/>
  <c r="D518" i="6"/>
  <c r="C518" i="6"/>
  <c r="J518" i="6"/>
  <c r="B518" i="6"/>
  <c r="I518" i="6"/>
  <c r="A518" i="6"/>
  <c r="H518" i="6"/>
  <c r="G518" i="6"/>
  <c r="F518" i="6"/>
  <c r="E526" i="6"/>
  <c r="D526" i="6"/>
  <c r="C526" i="6"/>
  <c r="J526" i="6"/>
  <c r="B526" i="6"/>
  <c r="I526" i="6"/>
  <c r="A526" i="6"/>
  <c r="H526" i="6"/>
  <c r="G526" i="6"/>
  <c r="F526" i="6"/>
  <c r="E534" i="6"/>
  <c r="D534" i="6"/>
  <c r="C534" i="6"/>
  <c r="J534" i="6"/>
  <c r="B534" i="6"/>
  <c r="I534" i="6"/>
  <c r="A534" i="6"/>
  <c r="H534" i="6"/>
  <c r="G534" i="6"/>
  <c r="F534" i="6"/>
  <c r="E542" i="6"/>
  <c r="D542" i="6"/>
  <c r="C542" i="6"/>
  <c r="J542" i="6"/>
  <c r="B542" i="6"/>
  <c r="I542" i="6"/>
  <c r="A542" i="6"/>
  <c r="H542" i="6"/>
  <c r="G542" i="6"/>
  <c r="F542" i="6"/>
  <c r="E550" i="6"/>
  <c r="D550" i="6"/>
  <c r="C550" i="6"/>
  <c r="J550" i="6"/>
  <c r="B550" i="6"/>
  <c r="I550" i="6"/>
  <c r="A550" i="6"/>
  <c r="H550" i="6"/>
  <c r="G550" i="6"/>
  <c r="F550" i="6"/>
  <c r="E558" i="6"/>
  <c r="D558" i="6"/>
  <c r="C558" i="6"/>
  <c r="J558" i="6"/>
  <c r="B558" i="6"/>
  <c r="I558" i="6"/>
  <c r="A558" i="6"/>
  <c r="H558" i="6"/>
  <c r="G558" i="6"/>
  <c r="F558" i="6"/>
  <c r="E566" i="6"/>
  <c r="D566" i="6"/>
  <c r="C566" i="6"/>
  <c r="J566" i="6"/>
  <c r="B566" i="6"/>
  <c r="I566" i="6"/>
  <c r="A566" i="6"/>
  <c r="H566" i="6"/>
  <c r="G566" i="6"/>
  <c r="F566" i="6"/>
  <c r="E574" i="6"/>
  <c r="D574" i="6"/>
  <c r="C574" i="6"/>
  <c r="J574" i="6"/>
  <c r="B574" i="6"/>
  <c r="I574" i="6"/>
  <c r="A574" i="6"/>
  <c r="H574" i="6"/>
  <c r="G574" i="6"/>
  <c r="F574" i="6"/>
  <c r="E582" i="6"/>
  <c r="D582" i="6"/>
  <c r="C582" i="6"/>
  <c r="J582" i="6"/>
  <c r="B582" i="6"/>
  <c r="I582" i="6"/>
  <c r="A582" i="6"/>
  <c r="H582" i="6"/>
  <c r="G582" i="6"/>
  <c r="F582" i="6"/>
  <c r="E590" i="6"/>
  <c r="D590" i="6"/>
  <c r="C590" i="6"/>
  <c r="J590" i="6"/>
  <c r="B590" i="6"/>
  <c r="I590" i="6"/>
  <c r="A590" i="6"/>
  <c r="H590" i="6"/>
  <c r="G590" i="6"/>
  <c r="F590" i="6"/>
  <c r="E598" i="6"/>
  <c r="D598" i="6"/>
  <c r="C598" i="6"/>
  <c r="J598" i="6"/>
  <c r="B598" i="6"/>
  <c r="I598" i="6"/>
  <c r="A598" i="6"/>
  <c r="H598" i="6"/>
  <c r="G598" i="6"/>
  <c r="F598" i="6"/>
  <c r="E606" i="6"/>
  <c r="D606" i="6"/>
  <c r="C606" i="6"/>
  <c r="J606" i="6"/>
  <c r="B606" i="6"/>
  <c r="I606" i="6"/>
  <c r="A606" i="6"/>
  <c r="H606" i="6"/>
  <c r="G606" i="6"/>
  <c r="F606" i="6"/>
  <c r="E614" i="6"/>
  <c r="D614" i="6"/>
  <c r="C614" i="6"/>
  <c r="J614" i="6"/>
  <c r="B614" i="6"/>
  <c r="I614" i="6"/>
  <c r="A614" i="6"/>
  <c r="H614" i="6"/>
  <c r="G614" i="6"/>
  <c r="F614" i="6"/>
  <c r="E622" i="6"/>
  <c r="D622" i="6"/>
  <c r="C622" i="6"/>
  <c r="J622" i="6"/>
  <c r="B622" i="6"/>
  <c r="I622" i="6"/>
  <c r="A622" i="6"/>
  <c r="H622" i="6"/>
  <c r="G622" i="6"/>
  <c r="F622" i="6"/>
  <c r="E630" i="6"/>
  <c r="D630" i="6"/>
  <c r="C630" i="6"/>
  <c r="J630" i="6"/>
  <c r="B630" i="6"/>
  <c r="I630" i="6"/>
  <c r="A630" i="6"/>
  <c r="H630" i="6"/>
  <c r="G630" i="6"/>
  <c r="F630" i="6"/>
  <c r="E638" i="6"/>
  <c r="D638" i="6"/>
  <c r="C638" i="6"/>
  <c r="J638" i="6"/>
  <c r="B638" i="6"/>
  <c r="I638" i="6"/>
  <c r="A638" i="6"/>
  <c r="H638" i="6"/>
  <c r="G638" i="6"/>
  <c r="F638" i="6"/>
  <c r="E646" i="6"/>
  <c r="D646" i="6"/>
  <c r="C646" i="6"/>
  <c r="J646" i="6"/>
  <c r="B646" i="6"/>
  <c r="I646" i="6"/>
  <c r="A646" i="6"/>
  <c r="H646" i="6"/>
  <c r="G646" i="6"/>
  <c r="F646" i="6"/>
  <c r="E654" i="6"/>
  <c r="D654" i="6"/>
  <c r="C654" i="6"/>
  <c r="J654" i="6"/>
  <c r="B654" i="6"/>
  <c r="I654" i="6"/>
  <c r="A654" i="6"/>
  <c r="H654" i="6"/>
  <c r="G654" i="6"/>
  <c r="F654" i="6"/>
  <c r="E662" i="6"/>
  <c r="D662" i="6"/>
  <c r="C662" i="6"/>
  <c r="J662" i="6"/>
  <c r="B662" i="6"/>
  <c r="I662" i="6"/>
  <c r="A662" i="6"/>
  <c r="H662" i="6"/>
  <c r="G662" i="6"/>
  <c r="F662" i="6"/>
  <c r="E670" i="6"/>
  <c r="D670" i="6"/>
  <c r="C670" i="6"/>
  <c r="J670" i="6"/>
  <c r="B670" i="6"/>
  <c r="I670" i="6"/>
  <c r="A670" i="6"/>
  <c r="H670" i="6"/>
  <c r="G670" i="6"/>
  <c r="F670" i="6"/>
  <c r="E678" i="6"/>
  <c r="D678" i="6"/>
  <c r="C678" i="6"/>
  <c r="J678" i="6"/>
  <c r="B678" i="6"/>
  <c r="I678" i="6"/>
  <c r="A678" i="6"/>
  <c r="H678" i="6"/>
  <c r="G678" i="6"/>
  <c r="F678" i="6"/>
  <c r="E686" i="6"/>
  <c r="D686" i="6"/>
  <c r="C686" i="6"/>
  <c r="J686" i="6"/>
  <c r="B686" i="6"/>
  <c r="I686" i="6"/>
  <c r="A686" i="6"/>
  <c r="H686" i="6"/>
  <c r="G686" i="6"/>
  <c r="F686" i="6"/>
  <c r="E694" i="6"/>
  <c r="D694" i="6"/>
  <c r="C694" i="6"/>
  <c r="J694" i="6"/>
  <c r="B694" i="6"/>
  <c r="I694" i="6"/>
  <c r="A694" i="6"/>
  <c r="H694" i="6"/>
  <c r="G694" i="6"/>
  <c r="F694" i="6"/>
  <c r="E702" i="6"/>
  <c r="D702" i="6"/>
  <c r="C702" i="6"/>
  <c r="J702" i="6"/>
  <c r="B702" i="6"/>
  <c r="I702" i="6"/>
  <c r="A702" i="6"/>
  <c r="H702" i="6"/>
  <c r="G702" i="6"/>
  <c r="F702" i="6"/>
  <c r="E710" i="6"/>
  <c r="D710" i="6"/>
  <c r="C710" i="6"/>
  <c r="J710" i="6"/>
  <c r="B710" i="6"/>
  <c r="I710" i="6"/>
  <c r="A710" i="6"/>
  <c r="H710" i="6"/>
  <c r="G710" i="6"/>
  <c r="F710" i="6"/>
  <c r="E718" i="6"/>
  <c r="D718" i="6"/>
  <c r="C718" i="6"/>
  <c r="J718" i="6"/>
  <c r="B718" i="6"/>
  <c r="I718" i="6"/>
  <c r="A718" i="6"/>
  <c r="H718" i="6"/>
  <c r="G718" i="6"/>
  <c r="F718" i="6"/>
  <c r="E726" i="6"/>
  <c r="D726" i="6"/>
  <c r="C726" i="6"/>
  <c r="J726" i="6"/>
  <c r="B726" i="6"/>
  <c r="I726" i="6"/>
  <c r="A726" i="6"/>
  <c r="H726" i="6"/>
  <c r="G726" i="6"/>
  <c r="F726" i="6"/>
  <c r="E734" i="6"/>
  <c r="D734" i="6"/>
  <c r="C734" i="6"/>
  <c r="J734" i="6"/>
  <c r="B734" i="6"/>
  <c r="I734" i="6"/>
  <c r="A734" i="6"/>
  <c r="H734" i="6"/>
  <c r="G734" i="6"/>
  <c r="F734" i="6"/>
  <c r="E742" i="6"/>
  <c r="D742" i="6"/>
  <c r="C742" i="6"/>
  <c r="J742" i="6"/>
  <c r="B742" i="6"/>
  <c r="I742" i="6"/>
  <c r="A742" i="6"/>
  <c r="H742" i="6"/>
  <c r="G742" i="6"/>
  <c r="F742" i="6"/>
  <c r="E750" i="6"/>
  <c r="D750" i="6"/>
  <c r="C750" i="6"/>
  <c r="J750" i="6"/>
  <c r="B750" i="6"/>
  <c r="I750" i="6"/>
  <c r="A750" i="6"/>
  <c r="H750" i="6"/>
  <c r="G750" i="6"/>
  <c r="F750" i="6"/>
  <c r="E758" i="6"/>
  <c r="D758" i="6"/>
  <c r="C758" i="6"/>
  <c r="J758" i="6"/>
  <c r="B758" i="6"/>
  <c r="I758" i="6"/>
  <c r="A758" i="6"/>
  <c r="H758" i="6"/>
  <c r="G758" i="6"/>
  <c r="F758" i="6"/>
  <c r="E766" i="6"/>
  <c r="D766" i="6"/>
  <c r="C766" i="6"/>
  <c r="J766" i="6"/>
  <c r="B766" i="6"/>
  <c r="I766" i="6"/>
  <c r="A766" i="6"/>
  <c r="H766" i="6"/>
  <c r="G766" i="6"/>
  <c r="F766" i="6"/>
  <c r="E774" i="6"/>
  <c r="D774" i="6"/>
  <c r="C774" i="6"/>
  <c r="J774" i="6"/>
  <c r="B774" i="6"/>
  <c r="I774" i="6"/>
  <c r="A774" i="6"/>
  <c r="H774" i="6"/>
  <c r="G774" i="6"/>
  <c r="F774" i="6"/>
  <c r="E782" i="6"/>
  <c r="D782" i="6"/>
  <c r="C782" i="6"/>
  <c r="J782" i="6"/>
  <c r="B782" i="6"/>
  <c r="I782" i="6"/>
  <c r="A782" i="6"/>
  <c r="H782" i="6"/>
  <c r="G782" i="6"/>
  <c r="F782" i="6"/>
  <c r="F790" i="6"/>
  <c r="E790" i="6"/>
  <c r="D790" i="6"/>
  <c r="C790" i="6"/>
  <c r="J790" i="6"/>
  <c r="B790" i="6"/>
  <c r="I790" i="6"/>
  <c r="A790" i="6"/>
  <c r="H790" i="6"/>
  <c r="G790" i="6"/>
  <c r="F798" i="6"/>
  <c r="E798" i="6"/>
  <c r="D798" i="6"/>
  <c r="C798" i="6"/>
  <c r="J798" i="6"/>
  <c r="B798" i="6"/>
  <c r="I798" i="6"/>
  <c r="A798" i="6"/>
  <c r="H798" i="6"/>
  <c r="G798" i="6"/>
  <c r="F806" i="6"/>
  <c r="E806" i="6"/>
  <c r="D806" i="6"/>
  <c r="C806" i="6"/>
  <c r="J806" i="6"/>
  <c r="B806" i="6"/>
  <c r="I806" i="6"/>
  <c r="A806" i="6"/>
  <c r="H806" i="6"/>
  <c r="G806" i="6"/>
  <c r="F814" i="6"/>
  <c r="E814" i="6"/>
  <c r="D814" i="6"/>
  <c r="C814" i="6"/>
  <c r="J814" i="6"/>
  <c r="B814" i="6"/>
  <c r="I814" i="6"/>
  <c r="A814" i="6"/>
  <c r="H814" i="6"/>
  <c r="G814" i="6"/>
  <c r="F822" i="6"/>
  <c r="E822" i="6"/>
  <c r="D822" i="6"/>
  <c r="C822" i="6"/>
  <c r="J822" i="6"/>
  <c r="B822" i="6"/>
  <c r="I822" i="6"/>
  <c r="A822" i="6"/>
  <c r="H822" i="6"/>
  <c r="G822" i="6"/>
  <c r="F830" i="6"/>
  <c r="E830" i="6"/>
  <c r="D830" i="6"/>
  <c r="C830" i="6"/>
  <c r="J830" i="6"/>
  <c r="B830" i="6"/>
  <c r="I830" i="6"/>
  <c r="A830" i="6"/>
  <c r="H830" i="6"/>
  <c r="G830" i="6"/>
  <c r="F838" i="6"/>
  <c r="E838" i="6"/>
  <c r="D838" i="6"/>
  <c r="C838" i="6"/>
  <c r="J838" i="6"/>
  <c r="B838" i="6"/>
  <c r="I838" i="6"/>
  <c r="A838" i="6"/>
  <c r="H838" i="6"/>
  <c r="G838" i="6"/>
  <c r="F846" i="6"/>
  <c r="E846" i="6"/>
  <c r="D846" i="6"/>
  <c r="C846" i="6"/>
  <c r="J846" i="6"/>
  <c r="B846" i="6"/>
  <c r="I846" i="6"/>
  <c r="A846" i="6"/>
  <c r="H846" i="6"/>
  <c r="G846" i="6"/>
  <c r="F854" i="6"/>
  <c r="E854" i="6"/>
  <c r="D854" i="6"/>
  <c r="C854" i="6"/>
  <c r="J854" i="6"/>
  <c r="B854" i="6"/>
  <c r="I854" i="6"/>
  <c r="A854" i="6"/>
  <c r="H854" i="6"/>
  <c r="G854" i="6"/>
  <c r="F862" i="6"/>
  <c r="E862" i="6"/>
  <c r="D862" i="6"/>
  <c r="C862" i="6"/>
  <c r="J862" i="6"/>
  <c r="B862" i="6"/>
  <c r="I862" i="6"/>
  <c r="A862" i="6"/>
  <c r="H862" i="6"/>
  <c r="G862" i="6"/>
  <c r="F870" i="6"/>
  <c r="E870" i="6"/>
  <c r="D870" i="6"/>
  <c r="C870" i="6"/>
  <c r="J870" i="6"/>
  <c r="B870" i="6"/>
  <c r="I870" i="6"/>
  <c r="A870" i="6"/>
  <c r="H870" i="6"/>
  <c r="G870" i="6"/>
  <c r="F878" i="6"/>
  <c r="E878" i="6"/>
  <c r="D878" i="6"/>
  <c r="C878" i="6"/>
  <c r="J878" i="6"/>
  <c r="B878" i="6"/>
  <c r="I878" i="6"/>
  <c r="A878" i="6"/>
  <c r="H878" i="6"/>
  <c r="G878" i="6"/>
  <c r="F886" i="6"/>
  <c r="E886" i="6"/>
  <c r="D886" i="6"/>
  <c r="C886" i="6"/>
  <c r="J886" i="6"/>
  <c r="B886" i="6"/>
  <c r="I886" i="6"/>
  <c r="A886" i="6"/>
  <c r="H886" i="6"/>
  <c r="G886" i="6"/>
  <c r="F894" i="6"/>
  <c r="E894" i="6"/>
  <c r="D894" i="6"/>
  <c r="C894" i="6"/>
  <c r="J894" i="6"/>
  <c r="B894" i="6"/>
  <c r="I894" i="6"/>
  <c r="A894" i="6"/>
  <c r="H894" i="6"/>
  <c r="G894" i="6"/>
  <c r="F902" i="6"/>
  <c r="E902" i="6"/>
  <c r="D902" i="6"/>
  <c r="C902" i="6"/>
  <c r="J902" i="6"/>
  <c r="B902" i="6"/>
  <c r="I902" i="6"/>
  <c r="A902" i="6"/>
  <c r="H902" i="6"/>
  <c r="G902" i="6"/>
  <c r="F910" i="6"/>
  <c r="E910" i="6"/>
  <c r="D910" i="6"/>
  <c r="C910" i="6"/>
  <c r="J910" i="6"/>
  <c r="B910" i="6"/>
  <c r="I910" i="6"/>
  <c r="A910" i="6"/>
  <c r="H910" i="6"/>
  <c r="G910" i="6"/>
  <c r="F918" i="6"/>
  <c r="E918" i="6"/>
  <c r="D918" i="6"/>
  <c r="C918" i="6"/>
  <c r="J918" i="6"/>
  <c r="B918" i="6"/>
  <c r="I918" i="6"/>
  <c r="A918" i="6"/>
  <c r="H918" i="6"/>
  <c r="G918" i="6"/>
  <c r="F926" i="6"/>
  <c r="E926" i="6"/>
  <c r="D926" i="6"/>
  <c r="C926" i="6"/>
  <c r="J926" i="6"/>
  <c r="B926" i="6"/>
  <c r="I926" i="6"/>
  <c r="A926" i="6"/>
  <c r="H926" i="6"/>
  <c r="G926" i="6"/>
  <c r="F934" i="6"/>
  <c r="E934" i="6"/>
  <c r="D934" i="6"/>
  <c r="C934" i="6"/>
  <c r="J934" i="6"/>
  <c r="B934" i="6"/>
  <c r="I934" i="6"/>
  <c r="A934" i="6"/>
  <c r="H934" i="6"/>
  <c r="G934" i="6"/>
  <c r="F942" i="6"/>
  <c r="E942" i="6"/>
  <c r="D942" i="6"/>
  <c r="C942" i="6"/>
  <c r="J942" i="6"/>
  <c r="B942" i="6"/>
  <c r="I942" i="6"/>
  <c r="A942" i="6"/>
  <c r="H942" i="6"/>
  <c r="G942" i="6"/>
  <c r="F950" i="6"/>
  <c r="E950" i="6"/>
  <c r="D950" i="6"/>
  <c r="C950" i="6"/>
  <c r="J950" i="6"/>
  <c r="B950" i="6"/>
  <c r="I950" i="6"/>
  <c r="A950" i="6"/>
  <c r="H950" i="6"/>
  <c r="G950" i="6"/>
  <c r="F958" i="6"/>
  <c r="E958" i="6"/>
  <c r="D958" i="6"/>
  <c r="C958" i="6"/>
  <c r="J958" i="6"/>
  <c r="B958" i="6"/>
  <c r="I958" i="6"/>
  <c r="A958" i="6"/>
  <c r="H958" i="6"/>
  <c r="G958" i="6"/>
  <c r="F966" i="6"/>
  <c r="E966" i="6"/>
  <c r="D966" i="6"/>
  <c r="C966" i="6"/>
  <c r="J966" i="6"/>
  <c r="B966" i="6"/>
  <c r="I966" i="6"/>
  <c r="A966" i="6"/>
  <c r="H966" i="6"/>
  <c r="G966" i="6"/>
  <c r="E974" i="6"/>
  <c r="D974" i="6"/>
  <c r="J974" i="6"/>
  <c r="B974" i="6"/>
  <c r="I974" i="6"/>
  <c r="A974" i="6"/>
  <c r="H974" i="6"/>
  <c r="G974" i="6"/>
  <c r="F974" i="6"/>
  <c r="C974" i="6"/>
  <c r="E982" i="6"/>
  <c r="D982" i="6"/>
  <c r="J982" i="6"/>
  <c r="B982" i="6"/>
  <c r="I982" i="6"/>
  <c r="A982" i="6"/>
  <c r="H982" i="6"/>
  <c r="G982" i="6"/>
  <c r="F982" i="6"/>
  <c r="C982" i="6"/>
  <c r="E990" i="6"/>
  <c r="D990" i="6"/>
  <c r="J990" i="6"/>
  <c r="B990" i="6"/>
  <c r="I990" i="6"/>
  <c r="A990" i="6"/>
  <c r="H990" i="6"/>
  <c r="G990" i="6"/>
  <c r="F990" i="6"/>
  <c r="C990" i="6"/>
  <c r="E998" i="6"/>
  <c r="D998" i="6"/>
  <c r="J998" i="6"/>
  <c r="B998" i="6"/>
  <c r="I998" i="6"/>
  <c r="A998" i="6"/>
  <c r="H998" i="6"/>
  <c r="G998" i="6"/>
  <c r="F998" i="6"/>
  <c r="C998" i="6"/>
  <c r="E1006" i="6"/>
  <c r="D1006" i="6"/>
  <c r="J1006" i="6"/>
  <c r="B1006" i="6"/>
  <c r="I1006" i="6"/>
  <c r="A1006" i="6"/>
  <c r="H1006" i="6"/>
  <c r="G1006" i="6"/>
  <c r="F1006" i="6"/>
  <c r="C1006" i="6"/>
  <c r="E1014" i="6"/>
  <c r="D1014" i="6"/>
  <c r="J1014" i="6"/>
  <c r="B1014" i="6"/>
  <c r="I1014" i="6"/>
  <c r="A1014" i="6"/>
  <c r="H1014" i="6"/>
  <c r="G1014" i="6"/>
  <c r="F1014" i="6"/>
  <c r="C1014" i="6"/>
  <c r="E1022" i="6"/>
  <c r="D1022" i="6"/>
  <c r="J1022" i="6"/>
  <c r="B1022" i="6"/>
  <c r="I1022" i="6"/>
  <c r="A1022" i="6"/>
  <c r="H1022" i="6"/>
  <c r="G1022" i="6"/>
  <c r="F1022" i="6"/>
  <c r="C1022" i="6"/>
  <c r="E1030" i="6"/>
  <c r="D1030" i="6"/>
  <c r="J1030" i="6"/>
  <c r="B1030" i="6"/>
  <c r="I1030" i="6"/>
  <c r="A1030" i="6"/>
  <c r="H1030" i="6"/>
  <c r="G1030" i="6"/>
  <c r="F1030" i="6"/>
  <c r="C1030" i="6"/>
  <c r="E1038" i="6"/>
  <c r="D1038" i="6"/>
  <c r="C1038" i="6"/>
  <c r="J1038" i="6"/>
  <c r="B1038" i="6"/>
  <c r="I1038" i="6"/>
  <c r="A1038" i="6"/>
  <c r="H1038" i="6"/>
  <c r="G1038" i="6"/>
  <c r="F1038" i="6"/>
  <c r="E1046" i="6"/>
  <c r="D1046" i="6"/>
  <c r="C1046" i="6"/>
  <c r="J1046" i="6"/>
  <c r="B1046" i="6"/>
  <c r="I1046" i="6"/>
  <c r="A1046" i="6"/>
  <c r="H1046" i="6"/>
  <c r="G1046" i="6"/>
  <c r="F1046" i="6"/>
  <c r="E1054" i="6"/>
  <c r="D1054" i="6"/>
  <c r="C1054" i="6"/>
  <c r="J1054" i="6"/>
  <c r="B1054" i="6"/>
  <c r="I1054" i="6"/>
  <c r="A1054" i="6"/>
  <c r="H1054" i="6"/>
  <c r="G1054" i="6"/>
  <c r="F1054" i="6"/>
  <c r="E1062" i="6"/>
  <c r="D1062" i="6"/>
  <c r="C1062" i="6"/>
  <c r="J1062" i="6"/>
  <c r="B1062" i="6"/>
  <c r="I1062" i="6"/>
  <c r="A1062" i="6"/>
  <c r="H1062" i="6"/>
  <c r="G1062" i="6"/>
  <c r="F1062" i="6"/>
  <c r="E1070" i="6"/>
  <c r="D1070" i="6"/>
  <c r="C1070" i="6"/>
  <c r="J1070" i="6"/>
  <c r="B1070" i="6"/>
  <c r="I1070" i="6"/>
  <c r="A1070" i="6"/>
  <c r="H1070" i="6"/>
  <c r="G1070" i="6"/>
  <c r="F1070" i="6"/>
  <c r="E1078" i="6"/>
  <c r="D1078" i="6"/>
  <c r="C1078" i="6"/>
  <c r="J1078" i="6"/>
  <c r="B1078" i="6"/>
  <c r="I1078" i="6"/>
  <c r="A1078" i="6"/>
  <c r="H1078" i="6"/>
  <c r="G1078" i="6"/>
  <c r="F1078" i="6"/>
  <c r="E1086" i="6"/>
  <c r="D1086" i="6"/>
  <c r="C1086" i="6"/>
  <c r="J1086" i="6"/>
  <c r="B1086" i="6"/>
  <c r="I1086" i="6"/>
  <c r="A1086" i="6"/>
  <c r="H1086" i="6"/>
  <c r="G1086" i="6"/>
  <c r="F1086" i="6"/>
  <c r="E1094" i="6"/>
  <c r="D1094" i="6"/>
  <c r="C1094" i="6"/>
  <c r="J1094" i="6"/>
  <c r="B1094" i="6"/>
  <c r="I1094" i="6"/>
  <c r="A1094" i="6"/>
  <c r="H1094" i="6"/>
  <c r="G1094" i="6"/>
  <c r="F1094" i="6"/>
  <c r="E1102" i="6"/>
  <c r="D1102" i="6"/>
  <c r="C1102" i="6"/>
  <c r="J1102" i="6"/>
  <c r="B1102" i="6"/>
  <c r="I1102" i="6"/>
  <c r="A1102" i="6"/>
  <c r="H1102" i="6"/>
  <c r="G1102" i="6"/>
  <c r="F1102" i="6"/>
  <c r="J1110" i="6"/>
  <c r="B1110" i="6"/>
  <c r="I1110" i="6"/>
  <c r="A1110" i="6"/>
  <c r="G1110" i="6"/>
  <c r="F1110" i="6"/>
  <c r="E1110" i="6"/>
  <c r="D1110" i="6"/>
  <c r="C1110" i="6"/>
  <c r="H1110" i="6"/>
  <c r="J1118" i="6"/>
  <c r="B1118" i="6"/>
  <c r="I1118" i="6"/>
  <c r="A1118" i="6"/>
  <c r="G1118" i="6"/>
  <c r="F1118" i="6"/>
  <c r="E1118" i="6"/>
  <c r="D1118" i="6"/>
  <c r="C1118" i="6"/>
  <c r="H1118" i="6"/>
  <c r="J1126" i="6"/>
  <c r="B1126" i="6"/>
  <c r="I1126" i="6"/>
  <c r="A1126" i="6"/>
  <c r="G1126" i="6"/>
  <c r="F1126" i="6"/>
  <c r="E1126" i="6"/>
  <c r="D1126" i="6"/>
  <c r="C1126" i="6"/>
  <c r="H1126" i="6"/>
  <c r="J1134" i="6"/>
  <c r="B1134" i="6"/>
  <c r="I1134" i="6"/>
  <c r="A1134" i="6"/>
  <c r="G1134" i="6"/>
  <c r="F1134" i="6"/>
  <c r="E1134" i="6"/>
  <c r="D1134" i="6"/>
  <c r="C1134" i="6"/>
  <c r="H1134" i="6"/>
  <c r="J1142" i="6"/>
  <c r="B1142" i="6"/>
  <c r="I1142" i="6"/>
  <c r="A1142" i="6"/>
  <c r="G1142" i="6"/>
  <c r="F1142" i="6"/>
  <c r="E1142" i="6"/>
  <c r="D1142" i="6"/>
  <c r="C1142" i="6"/>
  <c r="H1142" i="6"/>
  <c r="J1150" i="6"/>
  <c r="B1150" i="6"/>
  <c r="I1150" i="6"/>
  <c r="A1150" i="6"/>
  <c r="G1150" i="6"/>
  <c r="F1150" i="6"/>
  <c r="E1150" i="6"/>
  <c r="D1150" i="6"/>
  <c r="C1150" i="6"/>
  <c r="H1150" i="6"/>
  <c r="J1158" i="6"/>
  <c r="B1158" i="6"/>
  <c r="I1158" i="6"/>
  <c r="A1158" i="6"/>
  <c r="G1158" i="6"/>
  <c r="F1158" i="6"/>
  <c r="E1158" i="6"/>
  <c r="D1158" i="6"/>
  <c r="C1158" i="6"/>
  <c r="H1158" i="6"/>
  <c r="J1166" i="6"/>
  <c r="B1166" i="6"/>
  <c r="I1166" i="6"/>
  <c r="A1166" i="6"/>
  <c r="G1166" i="6"/>
  <c r="F1166" i="6"/>
  <c r="E1166" i="6"/>
  <c r="D1166" i="6"/>
  <c r="C1166" i="6"/>
  <c r="H1166" i="6"/>
  <c r="J1174" i="6"/>
  <c r="B1174" i="6"/>
  <c r="I1174" i="6"/>
  <c r="A1174" i="6"/>
  <c r="G1174" i="6"/>
  <c r="F1174" i="6"/>
  <c r="E1174" i="6"/>
  <c r="D1174" i="6"/>
  <c r="C1174" i="6"/>
  <c r="H1174" i="6"/>
  <c r="J1182" i="6"/>
  <c r="B1182" i="6"/>
  <c r="I1182" i="6"/>
  <c r="A1182" i="6"/>
  <c r="G1182" i="6"/>
  <c r="F1182" i="6"/>
  <c r="E1182" i="6"/>
  <c r="D1182" i="6"/>
  <c r="C1182" i="6"/>
  <c r="H1182" i="6"/>
  <c r="J1190" i="6"/>
  <c r="B1190" i="6"/>
  <c r="I1190" i="6"/>
  <c r="A1190" i="6"/>
  <c r="G1190" i="6"/>
  <c r="F1190" i="6"/>
  <c r="E1190" i="6"/>
  <c r="D1190" i="6"/>
  <c r="C1190" i="6"/>
  <c r="H1190" i="6"/>
  <c r="J1198" i="6"/>
  <c r="B1198" i="6"/>
  <c r="I1198" i="6"/>
  <c r="A1198" i="6"/>
  <c r="G1198" i="6"/>
  <c r="F1198" i="6"/>
  <c r="E1198" i="6"/>
  <c r="D1198" i="6"/>
  <c r="C1198" i="6"/>
  <c r="H1198" i="6"/>
  <c r="J1206" i="6"/>
  <c r="B1206" i="6"/>
  <c r="I1206" i="6"/>
  <c r="A1206" i="6"/>
  <c r="G1206" i="6"/>
  <c r="F1206" i="6"/>
  <c r="E1206" i="6"/>
  <c r="D1206" i="6"/>
  <c r="C1206" i="6"/>
  <c r="H1206" i="6"/>
  <c r="J1214" i="6"/>
  <c r="B1214" i="6"/>
  <c r="I1214" i="6"/>
  <c r="A1214" i="6"/>
  <c r="G1214" i="6"/>
  <c r="F1214" i="6"/>
  <c r="E1214" i="6"/>
  <c r="D1214" i="6"/>
  <c r="C1214" i="6"/>
  <c r="H1214" i="6"/>
  <c r="J1222" i="6"/>
  <c r="B1222" i="6"/>
  <c r="I1222" i="6"/>
  <c r="A1222" i="6"/>
  <c r="G1222" i="6"/>
  <c r="F1222" i="6"/>
  <c r="E1222" i="6"/>
  <c r="D1222" i="6"/>
  <c r="C1222" i="6"/>
  <c r="H1222" i="6"/>
  <c r="J1230" i="6"/>
  <c r="B1230" i="6"/>
  <c r="I1230" i="6"/>
  <c r="A1230" i="6"/>
  <c r="G1230" i="6"/>
  <c r="F1230" i="6"/>
  <c r="E1230" i="6"/>
  <c r="D1230" i="6"/>
  <c r="C1230" i="6"/>
  <c r="H1230" i="6"/>
  <c r="J1238" i="6"/>
  <c r="B1238" i="6"/>
  <c r="I1238" i="6"/>
  <c r="A1238" i="6"/>
  <c r="G1238" i="6"/>
  <c r="F1238" i="6"/>
  <c r="E1238" i="6"/>
  <c r="D1238" i="6"/>
  <c r="C1238" i="6"/>
  <c r="H1238" i="6"/>
  <c r="J1246" i="6"/>
  <c r="B1246" i="6"/>
  <c r="I1246" i="6"/>
  <c r="A1246" i="6"/>
  <c r="G1246" i="6"/>
  <c r="F1246" i="6"/>
  <c r="E1246" i="6"/>
  <c r="D1246" i="6"/>
  <c r="C1246" i="6"/>
  <c r="H1246" i="6"/>
  <c r="C1254" i="6"/>
  <c r="H1254" i="6"/>
  <c r="G1254" i="6"/>
  <c r="F1254" i="6"/>
  <c r="E1254" i="6"/>
  <c r="D1254" i="6"/>
  <c r="J1254" i="6"/>
  <c r="I1254" i="6"/>
  <c r="B1254" i="6"/>
  <c r="A1254" i="6"/>
  <c r="C1262" i="6"/>
  <c r="H1262" i="6"/>
  <c r="G1262" i="6"/>
  <c r="F1262" i="6"/>
  <c r="E1262" i="6"/>
  <c r="D1262" i="6"/>
  <c r="I1262" i="6"/>
  <c r="B1262" i="6"/>
  <c r="J1262" i="6"/>
  <c r="A1262" i="6"/>
  <c r="C1270" i="6"/>
  <c r="H1270" i="6"/>
  <c r="G1270" i="6"/>
  <c r="F1270" i="6"/>
  <c r="E1270" i="6"/>
  <c r="D1270" i="6"/>
  <c r="J1270" i="6"/>
  <c r="I1270" i="6"/>
  <c r="B1270" i="6"/>
  <c r="A1270" i="6"/>
  <c r="C1278" i="6"/>
  <c r="H1278" i="6"/>
  <c r="G1278" i="6"/>
  <c r="F1278" i="6"/>
  <c r="E1278" i="6"/>
  <c r="D1278" i="6"/>
  <c r="I1278" i="6"/>
  <c r="B1278" i="6"/>
  <c r="J1278" i="6"/>
  <c r="A1278" i="6"/>
  <c r="C1286" i="6"/>
  <c r="H1286" i="6"/>
  <c r="G1286" i="6"/>
  <c r="F1286" i="6"/>
  <c r="E1286" i="6"/>
  <c r="D1286" i="6"/>
  <c r="J1286" i="6"/>
  <c r="I1286" i="6"/>
  <c r="B1286" i="6"/>
  <c r="A1286" i="6"/>
  <c r="C1294" i="6"/>
  <c r="H1294" i="6"/>
  <c r="G1294" i="6"/>
  <c r="F1294" i="6"/>
  <c r="E1294" i="6"/>
  <c r="D1294" i="6"/>
  <c r="I1294" i="6"/>
  <c r="B1294" i="6"/>
  <c r="J1294" i="6"/>
  <c r="A1294" i="6"/>
  <c r="C1302" i="6"/>
  <c r="H1302" i="6"/>
  <c r="G1302" i="6"/>
  <c r="F1302" i="6"/>
  <c r="E1302" i="6"/>
  <c r="D1302" i="6"/>
  <c r="J1302" i="6"/>
  <c r="I1302" i="6"/>
  <c r="B1302" i="6"/>
  <c r="A1302" i="6"/>
  <c r="C1310" i="6"/>
  <c r="H1310" i="6"/>
  <c r="G1310" i="6"/>
  <c r="F1310" i="6"/>
  <c r="E1310" i="6"/>
  <c r="D1310" i="6"/>
  <c r="I1310" i="6"/>
  <c r="B1310" i="6"/>
  <c r="J1310" i="6"/>
  <c r="A1310" i="6"/>
  <c r="C1318" i="6"/>
  <c r="H1318" i="6"/>
  <c r="G1318" i="6"/>
  <c r="F1318" i="6"/>
  <c r="E1318" i="6"/>
  <c r="D1318" i="6"/>
  <c r="J1318" i="6"/>
  <c r="I1318" i="6"/>
  <c r="B1318" i="6"/>
  <c r="A1318" i="6"/>
  <c r="C1326" i="6"/>
  <c r="H1326" i="6"/>
  <c r="G1326" i="6"/>
  <c r="F1326" i="6"/>
  <c r="E1326" i="6"/>
  <c r="D1326" i="6"/>
  <c r="I1326" i="6"/>
  <c r="B1326" i="6"/>
  <c r="J1326" i="6"/>
  <c r="A1326" i="6"/>
  <c r="C1334" i="6"/>
  <c r="H1334" i="6"/>
  <c r="G1334" i="6"/>
  <c r="F1334" i="6"/>
  <c r="E1334" i="6"/>
  <c r="D1334" i="6"/>
  <c r="J1334" i="6"/>
  <c r="I1334" i="6"/>
  <c r="B1334" i="6"/>
  <c r="A1334" i="6"/>
  <c r="I1342" i="6"/>
  <c r="A1342" i="6"/>
  <c r="H1342" i="6"/>
  <c r="E1342" i="6"/>
  <c r="B1342" i="6"/>
  <c r="J1342" i="6"/>
  <c r="G1342" i="6"/>
  <c r="F1342" i="6"/>
  <c r="D1342" i="6"/>
  <c r="C1342" i="6"/>
  <c r="I1350" i="6"/>
  <c r="A1350" i="6"/>
  <c r="H1350" i="6"/>
  <c r="E1350" i="6"/>
  <c r="D1350" i="6"/>
  <c r="J1350" i="6"/>
  <c r="G1350" i="6"/>
  <c r="F1350" i="6"/>
  <c r="C1350" i="6"/>
  <c r="B1350" i="6"/>
  <c r="I1358" i="6"/>
  <c r="A1358" i="6"/>
  <c r="H1358" i="6"/>
  <c r="E1358" i="6"/>
  <c r="G1358" i="6"/>
  <c r="C1358" i="6"/>
  <c r="B1358" i="6"/>
  <c r="J1358" i="6"/>
  <c r="F1358" i="6"/>
  <c r="D1358" i="6"/>
  <c r="I1366" i="6"/>
  <c r="A1366" i="6"/>
  <c r="H1366" i="6"/>
  <c r="E1366" i="6"/>
  <c r="F1366" i="6"/>
  <c r="D1366" i="6"/>
  <c r="C1366" i="6"/>
  <c r="B1366" i="6"/>
  <c r="J1366" i="6"/>
  <c r="G1366" i="6"/>
  <c r="I1374" i="6"/>
  <c r="A1374" i="6"/>
  <c r="H1374" i="6"/>
  <c r="E1374" i="6"/>
  <c r="B1374" i="6"/>
  <c r="J1374" i="6"/>
  <c r="G1374" i="6"/>
  <c r="F1374" i="6"/>
  <c r="D1374" i="6"/>
  <c r="C1374" i="6"/>
  <c r="I1382" i="6"/>
  <c r="A1382" i="6"/>
  <c r="H1382" i="6"/>
  <c r="E1382" i="6"/>
  <c r="D1382" i="6"/>
  <c r="J1382" i="6"/>
  <c r="G1382" i="6"/>
  <c r="F1382" i="6"/>
  <c r="B1382" i="6"/>
  <c r="C1382" i="6"/>
  <c r="I1390" i="6"/>
  <c r="A1390" i="6"/>
  <c r="H1390" i="6"/>
  <c r="E1390" i="6"/>
  <c r="G1390" i="6"/>
  <c r="C1390" i="6"/>
  <c r="B1390" i="6"/>
  <c r="J1390" i="6"/>
  <c r="F1390" i="6"/>
  <c r="D1390" i="6"/>
  <c r="I1398" i="6"/>
  <c r="A1398" i="6"/>
  <c r="H1398" i="6"/>
  <c r="E1398" i="6"/>
  <c r="F1398" i="6"/>
  <c r="D1398" i="6"/>
  <c r="C1398" i="6"/>
  <c r="B1398" i="6"/>
  <c r="J1398" i="6"/>
  <c r="G1398" i="6"/>
  <c r="I1406" i="6"/>
  <c r="A1406" i="6"/>
  <c r="H1406" i="6"/>
  <c r="E1406" i="6"/>
  <c r="B1406" i="6"/>
  <c r="J1406" i="6"/>
  <c r="G1406" i="6"/>
  <c r="F1406" i="6"/>
  <c r="D1406" i="6"/>
  <c r="C1406" i="6"/>
  <c r="I1414" i="6"/>
  <c r="A1414" i="6"/>
  <c r="H1414" i="6"/>
  <c r="E1414" i="6"/>
  <c r="D1414" i="6"/>
  <c r="J1414" i="6"/>
  <c r="G1414" i="6"/>
  <c r="F1414" i="6"/>
  <c r="C1414" i="6"/>
  <c r="B1414" i="6"/>
  <c r="I1422" i="6"/>
  <c r="A1422" i="6"/>
  <c r="H1422" i="6"/>
  <c r="E1422" i="6"/>
  <c r="G1422" i="6"/>
  <c r="C1422" i="6"/>
  <c r="B1422" i="6"/>
  <c r="J1422" i="6"/>
  <c r="D1422" i="6"/>
  <c r="F1422" i="6"/>
  <c r="I1430" i="6"/>
  <c r="A1430" i="6"/>
  <c r="H1430" i="6"/>
  <c r="E1430" i="6"/>
  <c r="F1430" i="6"/>
  <c r="D1430" i="6"/>
  <c r="C1430" i="6"/>
  <c r="B1430" i="6"/>
  <c r="J1430" i="6"/>
  <c r="G1430" i="6"/>
  <c r="F1438" i="6"/>
  <c r="D1438" i="6"/>
  <c r="J1438" i="6"/>
  <c r="H1438" i="6"/>
  <c r="I1438" i="6"/>
  <c r="G1438" i="6"/>
  <c r="B1438" i="6"/>
  <c r="A1438" i="6"/>
  <c r="E1438" i="6"/>
  <c r="C1438" i="6"/>
  <c r="F1446" i="6"/>
  <c r="D1446" i="6"/>
  <c r="J1446" i="6"/>
  <c r="B1446" i="6"/>
  <c r="H1446" i="6"/>
  <c r="I1446" i="6"/>
  <c r="G1446" i="6"/>
  <c r="A1446" i="6"/>
  <c r="C1446" i="6"/>
  <c r="E1446" i="6"/>
  <c r="F1454" i="6"/>
  <c r="D1454" i="6"/>
  <c r="J1454" i="6"/>
  <c r="B1454" i="6"/>
  <c r="H1454" i="6"/>
  <c r="I1454" i="6"/>
  <c r="G1454" i="6"/>
  <c r="A1454" i="6"/>
  <c r="E1454" i="6"/>
  <c r="C1454" i="6"/>
  <c r="F1462" i="6"/>
  <c r="D1462" i="6"/>
  <c r="J1462" i="6"/>
  <c r="B1462" i="6"/>
  <c r="H1462" i="6"/>
  <c r="I1462" i="6"/>
  <c r="G1462" i="6"/>
  <c r="A1462" i="6"/>
  <c r="C1462" i="6"/>
  <c r="E1462" i="6"/>
  <c r="F1470" i="6"/>
  <c r="D1470" i="6"/>
  <c r="J1470" i="6"/>
  <c r="B1470" i="6"/>
  <c r="H1470" i="6"/>
  <c r="I1470" i="6"/>
  <c r="G1470" i="6"/>
  <c r="A1470" i="6"/>
  <c r="E1470" i="6"/>
  <c r="C1470" i="6"/>
  <c r="F1478" i="6"/>
  <c r="D1478" i="6"/>
  <c r="J1478" i="6"/>
  <c r="B1478" i="6"/>
  <c r="H1478" i="6"/>
  <c r="I1478" i="6"/>
  <c r="G1478" i="6"/>
  <c r="A1478" i="6"/>
  <c r="C1478" i="6"/>
  <c r="E1478" i="6"/>
  <c r="F1486" i="6"/>
  <c r="D1486" i="6"/>
  <c r="J1486" i="6"/>
  <c r="B1486" i="6"/>
  <c r="H1486" i="6"/>
  <c r="I1486" i="6"/>
  <c r="G1486" i="6"/>
  <c r="A1486" i="6"/>
  <c r="E1486" i="6"/>
  <c r="C1486" i="6"/>
  <c r="F1494" i="6"/>
  <c r="D1494" i="6"/>
  <c r="J1494" i="6"/>
  <c r="B1494" i="6"/>
  <c r="H1494" i="6"/>
  <c r="I1494" i="6"/>
  <c r="G1494" i="6"/>
  <c r="A1494" i="6"/>
  <c r="C1494" i="6"/>
  <c r="E1494" i="6"/>
  <c r="F1502" i="6"/>
  <c r="D1502" i="6"/>
  <c r="J1502" i="6"/>
  <c r="B1502" i="6"/>
  <c r="H1502" i="6"/>
  <c r="I1502" i="6"/>
  <c r="G1502" i="6"/>
  <c r="A1502" i="6"/>
  <c r="E1502" i="6"/>
  <c r="C1502" i="6"/>
  <c r="F1510" i="6"/>
  <c r="D1510" i="6"/>
  <c r="J1510" i="6"/>
  <c r="B1510" i="6"/>
  <c r="H1510" i="6"/>
  <c r="I1510" i="6"/>
  <c r="G1510" i="6"/>
  <c r="A1510" i="6"/>
  <c r="C1510" i="6"/>
  <c r="E1510" i="6"/>
  <c r="F1518" i="6"/>
  <c r="D1518" i="6"/>
  <c r="J1518" i="6"/>
  <c r="B1518" i="6"/>
  <c r="H1518" i="6"/>
  <c r="I1518" i="6"/>
  <c r="G1518" i="6"/>
  <c r="A1518" i="6"/>
  <c r="E1518" i="6"/>
  <c r="C1518" i="6"/>
  <c r="F1526" i="6"/>
  <c r="D1526" i="6"/>
  <c r="J1526" i="6"/>
  <c r="B1526" i="6"/>
  <c r="H1526" i="6"/>
  <c r="I1526" i="6"/>
  <c r="G1526" i="6"/>
  <c r="A1526" i="6"/>
  <c r="C1526" i="6"/>
  <c r="E1526" i="6"/>
  <c r="F1534" i="6"/>
  <c r="D1534" i="6"/>
  <c r="J1534" i="6"/>
  <c r="B1534" i="6"/>
  <c r="H1534" i="6"/>
  <c r="I1534" i="6"/>
  <c r="G1534" i="6"/>
  <c r="A1534" i="6"/>
  <c r="E1534" i="6"/>
  <c r="C1534" i="6"/>
  <c r="F1542" i="6"/>
  <c r="D1542" i="6"/>
  <c r="J1542" i="6"/>
  <c r="B1542" i="6"/>
  <c r="H1542" i="6"/>
  <c r="I1542" i="6"/>
  <c r="G1542" i="6"/>
  <c r="A1542" i="6"/>
  <c r="C1542" i="6"/>
  <c r="E1542" i="6"/>
  <c r="F1550" i="6"/>
  <c r="D1550" i="6"/>
  <c r="J1550" i="6"/>
  <c r="B1550" i="6"/>
  <c r="H1550" i="6"/>
  <c r="I1550" i="6"/>
  <c r="G1550" i="6"/>
  <c r="A1550" i="6"/>
  <c r="E1550" i="6"/>
  <c r="C1550" i="6"/>
  <c r="F1558" i="6"/>
  <c r="D1558" i="6"/>
  <c r="J1558" i="6"/>
  <c r="B1558" i="6"/>
  <c r="H1558" i="6"/>
  <c r="I1558" i="6"/>
  <c r="G1558" i="6"/>
  <c r="A1558" i="6"/>
  <c r="C1558" i="6"/>
  <c r="E1558" i="6"/>
  <c r="F1566" i="6"/>
  <c r="C1566" i="6"/>
  <c r="I1566" i="6"/>
  <c r="A1566" i="6"/>
  <c r="J1566" i="6"/>
  <c r="G1566" i="6"/>
  <c r="D1566" i="6"/>
  <c r="B1566" i="6"/>
  <c r="E1566" i="6"/>
  <c r="H1566" i="6"/>
  <c r="F1574" i="6"/>
  <c r="E1574" i="6"/>
  <c r="C1574" i="6"/>
  <c r="J1574" i="6"/>
  <c r="B1574" i="6"/>
  <c r="I1574" i="6"/>
  <c r="A1574" i="6"/>
  <c r="G1574" i="6"/>
  <c r="H1574" i="6"/>
  <c r="D1574" i="6"/>
  <c r="F1582" i="6"/>
  <c r="E1582" i="6"/>
  <c r="C1582" i="6"/>
  <c r="J1582" i="6"/>
  <c r="B1582" i="6"/>
  <c r="I1582" i="6"/>
  <c r="A1582" i="6"/>
  <c r="G1582" i="6"/>
  <c r="D1582" i="6"/>
  <c r="H1582" i="6"/>
  <c r="F1590" i="6"/>
  <c r="E1590" i="6"/>
  <c r="C1590" i="6"/>
  <c r="J1590" i="6"/>
  <c r="B1590" i="6"/>
  <c r="I1590" i="6"/>
  <c r="A1590" i="6"/>
  <c r="G1590" i="6"/>
  <c r="H1590" i="6"/>
  <c r="D1590" i="6"/>
  <c r="F1598" i="6"/>
  <c r="E1598" i="6"/>
  <c r="C1598" i="6"/>
  <c r="J1598" i="6"/>
  <c r="B1598" i="6"/>
  <c r="I1598" i="6"/>
  <c r="A1598" i="6"/>
  <c r="G1598" i="6"/>
  <c r="D1598" i="6"/>
  <c r="H1598" i="6"/>
  <c r="F1606" i="6"/>
  <c r="E1606" i="6"/>
  <c r="C1606" i="6"/>
  <c r="J1606" i="6"/>
  <c r="B1606" i="6"/>
  <c r="I1606" i="6"/>
  <c r="A1606" i="6"/>
  <c r="G1606" i="6"/>
  <c r="H1606" i="6"/>
  <c r="D1606" i="6"/>
  <c r="F1614" i="6"/>
  <c r="E1614" i="6"/>
  <c r="C1614" i="6"/>
  <c r="J1614" i="6"/>
  <c r="B1614" i="6"/>
  <c r="I1614" i="6"/>
  <c r="A1614" i="6"/>
  <c r="G1614" i="6"/>
  <c r="H1614" i="6"/>
  <c r="D1614" i="6"/>
  <c r="F1622" i="6"/>
  <c r="E1622" i="6"/>
  <c r="C1622" i="6"/>
  <c r="J1622" i="6"/>
  <c r="B1622" i="6"/>
  <c r="I1622" i="6"/>
  <c r="A1622" i="6"/>
  <c r="G1622" i="6"/>
  <c r="H1622" i="6"/>
  <c r="D1622" i="6"/>
  <c r="F1630" i="6"/>
  <c r="E1630" i="6"/>
  <c r="C1630" i="6"/>
  <c r="J1630" i="6"/>
  <c r="B1630" i="6"/>
  <c r="I1630" i="6"/>
  <c r="A1630" i="6"/>
  <c r="G1630" i="6"/>
  <c r="D1630" i="6"/>
  <c r="H1630" i="6"/>
  <c r="F1638" i="6"/>
  <c r="E1638" i="6"/>
  <c r="C1638" i="6"/>
  <c r="J1638" i="6"/>
  <c r="B1638" i="6"/>
  <c r="I1638" i="6"/>
  <c r="A1638" i="6"/>
  <c r="G1638" i="6"/>
  <c r="D1638" i="6"/>
  <c r="H1638" i="6"/>
  <c r="F1646" i="6"/>
  <c r="E1646" i="6"/>
  <c r="C1646" i="6"/>
  <c r="J1646" i="6"/>
  <c r="B1646" i="6"/>
  <c r="I1646" i="6"/>
  <c r="A1646" i="6"/>
  <c r="G1646" i="6"/>
  <c r="D1646" i="6"/>
  <c r="H1646" i="6"/>
  <c r="F1654" i="6"/>
  <c r="E1654" i="6"/>
  <c r="C1654" i="6"/>
  <c r="J1654" i="6"/>
  <c r="B1654" i="6"/>
  <c r="I1654" i="6"/>
  <c r="A1654" i="6"/>
  <c r="G1654" i="6"/>
  <c r="H1654" i="6"/>
  <c r="D1654" i="6"/>
  <c r="G1662" i="6"/>
  <c r="F1662" i="6"/>
  <c r="D1662" i="6"/>
  <c r="J1662" i="6"/>
  <c r="B1662" i="6"/>
  <c r="A1662" i="6"/>
  <c r="I1662" i="6"/>
  <c r="H1662" i="6"/>
  <c r="C1662" i="6"/>
  <c r="E1662" i="6"/>
  <c r="G1670" i="6"/>
  <c r="F1670" i="6"/>
  <c r="D1670" i="6"/>
  <c r="J1670" i="6"/>
  <c r="B1670" i="6"/>
  <c r="A1670" i="6"/>
  <c r="I1670" i="6"/>
  <c r="H1670" i="6"/>
  <c r="E1670" i="6"/>
  <c r="C1670" i="6"/>
  <c r="G1678" i="6"/>
  <c r="F1678" i="6"/>
  <c r="D1678" i="6"/>
  <c r="J1678" i="6"/>
  <c r="B1678" i="6"/>
  <c r="A1678" i="6"/>
  <c r="I1678" i="6"/>
  <c r="H1678" i="6"/>
  <c r="C1678" i="6"/>
  <c r="E1678" i="6"/>
  <c r="G1686" i="6"/>
  <c r="F1686" i="6"/>
  <c r="D1686" i="6"/>
  <c r="J1686" i="6"/>
  <c r="B1686" i="6"/>
  <c r="A1686" i="6"/>
  <c r="I1686" i="6"/>
  <c r="H1686" i="6"/>
  <c r="E1686" i="6"/>
  <c r="C1686" i="6"/>
  <c r="G1694" i="6"/>
  <c r="F1694" i="6"/>
  <c r="D1694" i="6"/>
  <c r="J1694" i="6"/>
  <c r="B1694" i="6"/>
  <c r="A1694" i="6"/>
  <c r="I1694" i="6"/>
  <c r="H1694" i="6"/>
  <c r="C1694" i="6"/>
  <c r="E1694" i="6"/>
  <c r="G1702" i="6"/>
  <c r="F1702" i="6"/>
  <c r="D1702" i="6"/>
  <c r="J1702" i="6"/>
  <c r="B1702" i="6"/>
  <c r="A1702" i="6"/>
  <c r="I1702" i="6"/>
  <c r="H1702" i="6"/>
  <c r="E1702" i="6"/>
  <c r="C1702" i="6"/>
  <c r="G1710" i="6"/>
  <c r="F1710" i="6"/>
  <c r="D1710" i="6"/>
  <c r="J1710" i="6"/>
  <c r="B1710" i="6"/>
  <c r="A1710" i="6"/>
  <c r="I1710" i="6"/>
  <c r="H1710" i="6"/>
  <c r="C1710" i="6"/>
  <c r="E1710" i="6"/>
  <c r="G1718" i="6"/>
  <c r="F1718" i="6"/>
  <c r="D1718" i="6"/>
  <c r="J1718" i="6"/>
  <c r="B1718" i="6"/>
  <c r="A1718" i="6"/>
  <c r="I1718" i="6"/>
  <c r="H1718" i="6"/>
  <c r="E1718" i="6"/>
  <c r="C1718" i="6"/>
  <c r="G1726" i="6"/>
  <c r="F1726" i="6"/>
  <c r="D1726" i="6"/>
  <c r="J1726" i="6"/>
  <c r="B1726" i="6"/>
  <c r="A1726" i="6"/>
  <c r="I1726" i="6"/>
  <c r="H1726" i="6"/>
  <c r="C1726" i="6"/>
  <c r="E1726" i="6"/>
  <c r="D1734" i="6"/>
  <c r="J1734" i="6"/>
  <c r="H1734" i="6"/>
  <c r="G1734" i="6"/>
  <c r="E1734" i="6"/>
  <c r="B1734" i="6"/>
  <c r="A1734" i="6"/>
  <c r="I1734" i="6"/>
  <c r="C1734" i="6"/>
  <c r="F1734" i="6"/>
  <c r="D1742" i="6"/>
  <c r="J1742" i="6"/>
  <c r="B1742" i="6"/>
  <c r="H1742" i="6"/>
  <c r="C1742" i="6"/>
  <c r="A1742" i="6"/>
  <c r="G1742" i="6"/>
  <c r="F1742" i="6"/>
  <c r="E1742" i="6"/>
  <c r="I1742" i="6"/>
  <c r="D1750" i="6"/>
  <c r="J1750" i="6"/>
  <c r="B1750" i="6"/>
  <c r="H1750" i="6"/>
  <c r="F1750" i="6"/>
  <c r="E1750" i="6"/>
  <c r="A1750" i="6"/>
  <c r="I1750" i="6"/>
  <c r="G1750" i="6"/>
  <c r="C1750" i="6"/>
  <c r="D1758" i="6"/>
  <c r="J1758" i="6"/>
  <c r="B1758" i="6"/>
  <c r="H1758" i="6"/>
  <c r="I1758" i="6"/>
  <c r="G1758" i="6"/>
  <c r="E1758" i="6"/>
  <c r="A1758" i="6"/>
  <c r="C1758" i="6"/>
  <c r="F1758" i="6"/>
  <c r="D1766" i="6"/>
  <c r="J1766" i="6"/>
  <c r="B1766" i="6"/>
  <c r="H1766" i="6"/>
  <c r="G1766" i="6"/>
  <c r="E1766" i="6"/>
  <c r="C1766" i="6"/>
  <c r="A1766" i="6"/>
  <c r="F1766" i="6"/>
  <c r="I1766" i="6"/>
  <c r="D1774" i="6"/>
  <c r="J1774" i="6"/>
  <c r="B1774" i="6"/>
  <c r="H1774" i="6"/>
  <c r="C1774" i="6"/>
  <c r="A1774" i="6"/>
  <c r="G1774" i="6"/>
  <c r="I1774" i="6"/>
  <c r="F1774" i="6"/>
  <c r="E1774" i="6"/>
  <c r="D1782" i="6"/>
  <c r="J1782" i="6"/>
  <c r="B1782" i="6"/>
  <c r="H1782" i="6"/>
  <c r="F1782" i="6"/>
  <c r="E1782" i="6"/>
  <c r="A1782" i="6"/>
  <c r="I1782" i="6"/>
  <c r="G1782" i="6"/>
  <c r="C1782" i="6"/>
  <c r="D1790" i="6"/>
  <c r="J1790" i="6"/>
  <c r="B1790" i="6"/>
  <c r="H1790" i="6"/>
  <c r="I1790" i="6"/>
  <c r="G1790" i="6"/>
  <c r="E1790" i="6"/>
  <c r="A1790" i="6"/>
  <c r="C1790" i="6"/>
  <c r="F1790" i="6"/>
  <c r="D1798" i="6"/>
  <c r="J1798" i="6"/>
  <c r="B1798" i="6"/>
  <c r="H1798" i="6"/>
  <c r="G1798" i="6"/>
  <c r="E1798" i="6"/>
  <c r="F1798" i="6"/>
  <c r="C1798" i="6"/>
  <c r="A1798" i="6"/>
  <c r="I1798" i="6"/>
  <c r="D1806" i="6"/>
  <c r="J1806" i="6"/>
  <c r="B1806" i="6"/>
  <c r="H1806" i="6"/>
  <c r="C1806" i="6"/>
  <c r="A1806" i="6"/>
  <c r="G1806" i="6"/>
  <c r="F1806" i="6"/>
  <c r="E1806" i="6"/>
  <c r="I1806" i="6"/>
  <c r="D1814" i="6"/>
  <c r="J1814" i="6"/>
  <c r="B1814" i="6"/>
  <c r="H1814" i="6"/>
  <c r="F1814" i="6"/>
  <c r="E1814" i="6"/>
  <c r="A1814" i="6"/>
  <c r="I1814" i="6"/>
  <c r="G1814" i="6"/>
  <c r="C1814" i="6"/>
  <c r="D1822" i="6"/>
  <c r="J1822" i="6"/>
  <c r="B1822" i="6"/>
  <c r="H1822" i="6"/>
  <c r="I1822" i="6"/>
  <c r="G1822" i="6"/>
  <c r="E1822" i="6"/>
  <c r="A1822" i="6"/>
  <c r="C1822" i="6"/>
  <c r="F1822" i="6"/>
  <c r="D1830" i="6"/>
  <c r="J1830" i="6"/>
  <c r="B1830" i="6"/>
  <c r="H1830" i="6"/>
  <c r="G1830" i="6"/>
  <c r="E1830" i="6"/>
  <c r="C1830" i="6"/>
  <c r="A1830" i="6"/>
  <c r="F1830" i="6"/>
  <c r="I1830" i="6"/>
  <c r="D1838" i="6"/>
  <c r="J1838" i="6"/>
  <c r="B1838" i="6"/>
  <c r="H1838" i="6"/>
  <c r="C1838" i="6"/>
  <c r="A1838" i="6"/>
  <c r="G1838" i="6"/>
  <c r="I1838" i="6"/>
  <c r="F1838" i="6"/>
  <c r="E1838" i="6"/>
  <c r="D1846" i="6"/>
  <c r="J1846" i="6"/>
  <c r="B1846" i="6"/>
  <c r="H1846" i="6"/>
  <c r="F1846" i="6"/>
  <c r="E1846" i="6"/>
  <c r="A1846" i="6"/>
  <c r="I1846" i="6"/>
  <c r="G1846" i="6"/>
  <c r="C1846" i="6"/>
  <c r="D1854" i="6"/>
  <c r="J1854" i="6"/>
  <c r="B1854" i="6"/>
  <c r="H1854" i="6"/>
  <c r="I1854" i="6"/>
  <c r="G1854" i="6"/>
  <c r="E1854" i="6"/>
  <c r="A1854" i="6"/>
  <c r="C1854" i="6"/>
  <c r="F1854" i="6"/>
  <c r="C1862" i="6"/>
  <c r="I1862" i="6"/>
  <c r="A1862" i="6"/>
  <c r="F1862" i="6"/>
  <c r="D1862" i="6"/>
  <c r="J1862" i="6"/>
  <c r="H1862" i="6"/>
  <c r="E1862" i="6"/>
  <c r="B1862" i="6"/>
  <c r="G1862" i="6"/>
  <c r="C1870" i="6"/>
  <c r="I1870" i="6"/>
  <c r="A1870" i="6"/>
  <c r="H1870" i="6"/>
  <c r="F1870" i="6"/>
  <c r="B1870" i="6"/>
  <c r="G1870" i="6"/>
  <c r="J1870" i="6"/>
  <c r="E1870" i="6"/>
  <c r="D1870" i="6"/>
  <c r="C1878" i="6"/>
  <c r="I1878" i="6"/>
  <c r="A1878" i="6"/>
  <c r="G1878" i="6"/>
  <c r="J1878" i="6"/>
  <c r="F1878" i="6"/>
  <c r="H1878" i="6"/>
  <c r="E1878" i="6"/>
  <c r="B1878" i="6"/>
  <c r="D1878" i="6"/>
  <c r="C1886" i="6"/>
  <c r="I1886" i="6"/>
  <c r="A1886" i="6"/>
  <c r="G1886" i="6"/>
  <c r="D1886" i="6"/>
  <c r="J1886" i="6"/>
  <c r="F1886" i="6"/>
  <c r="E1886" i="6"/>
  <c r="B1886" i="6"/>
  <c r="H1886" i="6"/>
  <c r="C1894" i="6"/>
  <c r="I1894" i="6"/>
  <c r="A1894" i="6"/>
  <c r="G1894" i="6"/>
  <c r="F1894" i="6"/>
  <c r="D1894" i="6"/>
  <c r="J1894" i="6"/>
  <c r="H1894" i="6"/>
  <c r="B1894" i="6"/>
  <c r="E1894" i="6"/>
  <c r="I1902" i="6"/>
  <c r="A1902" i="6"/>
  <c r="J1902" i="6"/>
  <c r="G1902" i="6"/>
  <c r="E1902" i="6"/>
  <c r="C1902" i="6"/>
  <c r="F1902" i="6"/>
  <c r="D1902" i="6"/>
  <c r="H1902" i="6"/>
  <c r="B1902" i="6"/>
  <c r="C1910" i="6"/>
  <c r="I1910" i="6"/>
  <c r="A1910" i="6"/>
  <c r="E1910" i="6"/>
  <c r="B1910" i="6"/>
  <c r="J1910" i="6"/>
  <c r="H1910" i="6"/>
  <c r="F1910" i="6"/>
  <c r="D1910" i="6"/>
  <c r="G1910" i="6"/>
  <c r="C1918" i="6"/>
  <c r="I1918" i="6"/>
  <c r="A1918" i="6"/>
  <c r="J1918" i="6"/>
  <c r="G1918" i="6"/>
  <c r="E1918" i="6"/>
  <c r="H1918" i="6"/>
  <c r="B1918" i="6"/>
  <c r="F1918" i="6"/>
  <c r="D1918" i="6"/>
  <c r="C1926" i="6"/>
  <c r="I1926" i="6"/>
  <c r="A1926" i="6"/>
  <c r="E1926" i="6"/>
  <c r="B1926" i="6"/>
  <c r="J1926" i="6"/>
  <c r="G1926" i="6"/>
  <c r="D1926" i="6"/>
  <c r="H1926" i="6"/>
  <c r="F1926" i="6"/>
  <c r="C1934" i="6"/>
  <c r="I1934" i="6"/>
  <c r="A1934" i="6"/>
  <c r="J1934" i="6"/>
  <c r="G1934" i="6"/>
  <c r="E1934" i="6"/>
  <c r="F1934" i="6"/>
  <c r="D1934" i="6"/>
  <c r="H1934" i="6"/>
  <c r="B1934" i="6"/>
  <c r="C1942" i="6"/>
  <c r="I1942" i="6"/>
  <c r="A1942" i="6"/>
  <c r="E1942" i="6"/>
  <c r="B1942" i="6"/>
  <c r="J1942" i="6"/>
  <c r="F1942" i="6"/>
  <c r="H1942" i="6"/>
  <c r="D1942" i="6"/>
  <c r="G1942" i="6"/>
  <c r="C1950" i="6"/>
  <c r="I1950" i="6"/>
  <c r="A1950" i="6"/>
  <c r="G1950" i="6"/>
  <c r="H1950" i="6"/>
  <c r="E1950" i="6"/>
  <c r="B1950" i="6"/>
  <c r="D1950" i="6"/>
  <c r="J1950" i="6"/>
  <c r="F1950" i="6"/>
  <c r="C1958" i="6"/>
  <c r="I1958" i="6"/>
  <c r="A1958" i="6"/>
  <c r="G1958" i="6"/>
  <c r="H1958" i="6"/>
  <c r="E1958" i="6"/>
  <c r="J1958" i="6"/>
  <c r="D1958" i="6"/>
  <c r="B1958" i="6"/>
  <c r="F1958" i="6"/>
  <c r="C1966" i="6"/>
  <c r="I1966" i="6"/>
  <c r="A1966" i="6"/>
  <c r="G1966" i="6"/>
  <c r="B1966" i="6"/>
  <c r="H1966" i="6"/>
  <c r="E1966" i="6"/>
  <c r="D1966" i="6"/>
  <c r="J1966" i="6"/>
  <c r="F1966" i="6"/>
  <c r="C1974" i="6"/>
  <c r="I1974" i="6"/>
  <c r="A1974" i="6"/>
  <c r="G1974" i="6"/>
  <c r="E1974" i="6"/>
  <c r="B1974" i="6"/>
  <c r="J1974" i="6"/>
  <c r="F1974" i="6"/>
  <c r="D1974" i="6"/>
  <c r="H1974" i="6"/>
  <c r="C1982" i="6"/>
  <c r="I1982" i="6"/>
  <c r="A1982" i="6"/>
  <c r="G1982" i="6"/>
  <c r="H1982" i="6"/>
  <c r="E1982" i="6"/>
  <c r="B1982" i="6"/>
  <c r="J1982" i="6"/>
  <c r="F1982" i="6"/>
  <c r="D1982" i="6"/>
  <c r="D1990" i="6"/>
  <c r="H1990" i="6"/>
  <c r="F1990" i="6"/>
  <c r="C1990" i="6"/>
  <c r="A1990" i="6"/>
  <c r="J1990" i="6"/>
  <c r="G1990" i="6"/>
  <c r="B1990" i="6"/>
  <c r="I1990" i="6"/>
  <c r="E1990" i="6"/>
  <c r="D1998" i="6"/>
  <c r="H1998" i="6"/>
  <c r="A1998" i="6"/>
  <c r="I1998" i="6"/>
  <c r="F1998" i="6"/>
  <c r="B1998" i="6"/>
  <c r="J1998" i="6"/>
  <c r="G1998" i="6"/>
  <c r="E1998" i="6"/>
  <c r="C1998" i="6"/>
  <c r="G4" i="6"/>
  <c r="A5" i="6"/>
  <c r="I5" i="6"/>
  <c r="C6" i="6"/>
  <c r="E7" i="6"/>
  <c r="G8" i="6"/>
  <c r="A9" i="6"/>
  <c r="I9" i="6"/>
  <c r="G17" i="6"/>
  <c r="F17" i="6"/>
  <c r="E17" i="6"/>
  <c r="D17" i="6"/>
  <c r="C17" i="6"/>
  <c r="J17" i="6"/>
  <c r="B17" i="6"/>
  <c r="I17" i="6"/>
  <c r="A17" i="6"/>
  <c r="H17" i="6"/>
  <c r="G25" i="6"/>
  <c r="F25" i="6"/>
  <c r="E25" i="6"/>
  <c r="D25" i="6"/>
  <c r="C25" i="6"/>
  <c r="J25" i="6"/>
  <c r="B25" i="6"/>
  <c r="I25" i="6"/>
  <c r="A25" i="6"/>
  <c r="H25" i="6"/>
  <c r="G33" i="6"/>
  <c r="F33" i="6"/>
  <c r="E33" i="6"/>
  <c r="D33" i="6"/>
  <c r="C33" i="6"/>
  <c r="J33" i="6"/>
  <c r="B33" i="6"/>
  <c r="I33" i="6"/>
  <c r="A33" i="6"/>
  <c r="H33" i="6"/>
  <c r="G41" i="6"/>
  <c r="F41" i="6"/>
  <c r="E41" i="6"/>
  <c r="D41" i="6"/>
  <c r="C41" i="6"/>
  <c r="J41" i="6"/>
  <c r="B41" i="6"/>
  <c r="I41" i="6"/>
  <c r="A41" i="6"/>
  <c r="H41" i="6"/>
  <c r="G49" i="6"/>
  <c r="F49" i="6"/>
  <c r="E49" i="6"/>
  <c r="D49" i="6"/>
  <c r="C49" i="6"/>
  <c r="J49" i="6"/>
  <c r="B49" i="6"/>
  <c r="I49" i="6"/>
  <c r="A49" i="6"/>
  <c r="H49" i="6"/>
  <c r="G57" i="6"/>
  <c r="F57" i="6"/>
  <c r="E57" i="6"/>
  <c r="D57" i="6"/>
  <c r="C57" i="6"/>
  <c r="J57" i="6"/>
  <c r="B57" i="6"/>
  <c r="I57" i="6"/>
  <c r="A57" i="6"/>
  <c r="H57" i="6"/>
  <c r="G65" i="6"/>
  <c r="F65" i="6"/>
  <c r="E65" i="6"/>
  <c r="D65" i="6"/>
  <c r="C65" i="6"/>
  <c r="J65" i="6"/>
  <c r="B65" i="6"/>
  <c r="I65" i="6"/>
  <c r="A65" i="6"/>
  <c r="H65" i="6"/>
  <c r="G73" i="6"/>
  <c r="F73" i="6"/>
  <c r="E73" i="6"/>
  <c r="D73" i="6"/>
  <c r="C73" i="6"/>
  <c r="J73" i="6"/>
  <c r="B73" i="6"/>
  <c r="I73" i="6"/>
  <c r="A73" i="6"/>
  <c r="H73" i="6"/>
  <c r="G81" i="6"/>
  <c r="F81" i="6"/>
  <c r="E81" i="6"/>
  <c r="D81" i="6"/>
  <c r="C81" i="6"/>
  <c r="J81" i="6"/>
  <c r="B81" i="6"/>
  <c r="I81" i="6"/>
  <c r="A81" i="6"/>
  <c r="H81" i="6"/>
  <c r="G89" i="6"/>
  <c r="F89" i="6"/>
  <c r="E89" i="6"/>
  <c r="D89" i="6"/>
  <c r="C89" i="6"/>
  <c r="J89" i="6"/>
  <c r="B89" i="6"/>
  <c r="I89" i="6"/>
  <c r="A89" i="6"/>
  <c r="H89" i="6"/>
  <c r="G97" i="6"/>
  <c r="F97" i="6"/>
  <c r="E97" i="6"/>
  <c r="D97" i="6"/>
  <c r="C97" i="6"/>
  <c r="J97" i="6"/>
  <c r="B97" i="6"/>
  <c r="I97" i="6"/>
  <c r="A97" i="6"/>
  <c r="H97" i="6"/>
  <c r="G105" i="6"/>
  <c r="F105" i="6"/>
  <c r="E105" i="6"/>
  <c r="D105" i="6"/>
  <c r="C105" i="6"/>
  <c r="J105" i="6"/>
  <c r="B105" i="6"/>
  <c r="I105" i="6"/>
  <c r="A105" i="6"/>
  <c r="H105" i="6"/>
  <c r="G113" i="6"/>
  <c r="F113" i="6"/>
  <c r="E113" i="6"/>
  <c r="D113" i="6"/>
  <c r="C113" i="6"/>
  <c r="J113" i="6"/>
  <c r="B113" i="6"/>
  <c r="I113" i="6"/>
  <c r="A113" i="6"/>
  <c r="H113" i="6"/>
  <c r="G121" i="6"/>
  <c r="F121" i="6"/>
  <c r="E121" i="6"/>
  <c r="D121" i="6"/>
  <c r="C121" i="6"/>
  <c r="J121" i="6"/>
  <c r="B121" i="6"/>
  <c r="I121" i="6"/>
  <c r="A121" i="6"/>
  <c r="H121" i="6"/>
  <c r="G129" i="6"/>
  <c r="F129" i="6"/>
  <c r="E129" i="6"/>
  <c r="D129" i="6"/>
  <c r="C129" i="6"/>
  <c r="J129" i="6"/>
  <c r="B129" i="6"/>
  <c r="I129" i="6"/>
  <c r="A129" i="6"/>
  <c r="H129" i="6"/>
  <c r="G137" i="6"/>
  <c r="F137" i="6"/>
  <c r="E137" i="6"/>
  <c r="D137" i="6"/>
  <c r="C137" i="6"/>
  <c r="J137" i="6"/>
  <c r="B137" i="6"/>
  <c r="I137" i="6"/>
  <c r="A137" i="6"/>
  <c r="H137" i="6"/>
  <c r="G145" i="6"/>
  <c r="F145" i="6"/>
  <c r="E145" i="6"/>
  <c r="D145" i="6"/>
  <c r="C145" i="6"/>
  <c r="J145" i="6"/>
  <c r="B145" i="6"/>
  <c r="I145" i="6"/>
  <c r="A145" i="6"/>
  <c r="H145" i="6"/>
  <c r="G153" i="6"/>
  <c r="F153" i="6"/>
  <c r="E153" i="6"/>
  <c r="D153" i="6"/>
  <c r="C153" i="6"/>
  <c r="J153" i="6"/>
  <c r="B153" i="6"/>
  <c r="I153" i="6"/>
  <c r="A153" i="6"/>
  <c r="H153" i="6"/>
  <c r="G161" i="6"/>
  <c r="F161" i="6"/>
  <c r="E161" i="6"/>
  <c r="D161" i="6"/>
  <c r="C161" i="6"/>
  <c r="J161" i="6"/>
  <c r="B161" i="6"/>
  <c r="I161" i="6"/>
  <c r="A161" i="6"/>
  <c r="H161" i="6"/>
  <c r="G169" i="6"/>
  <c r="F169" i="6"/>
  <c r="E169" i="6"/>
  <c r="D169" i="6"/>
  <c r="C169" i="6"/>
  <c r="J169" i="6"/>
  <c r="B169" i="6"/>
  <c r="I169" i="6"/>
  <c r="A169" i="6"/>
  <c r="H169" i="6"/>
  <c r="G177" i="6"/>
  <c r="F177" i="6"/>
  <c r="E177" i="6"/>
  <c r="D177" i="6"/>
  <c r="C177" i="6"/>
  <c r="J177" i="6"/>
  <c r="B177" i="6"/>
  <c r="I177" i="6"/>
  <c r="A177" i="6"/>
  <c r="H177" i="6"/>
  <c r="G185" i="6"/>
  <c r="F185" i="6"/>
  <c r="E185" i="6"/>
  <c r="D185" i="6"/>
  <c r="C185" i="6"/>
  <c r="J185" i="6"/>
  <c r="B185" i="6"/>
  <c r="I185" i="6"/>
  <c r="A185" i="6"/>
  <c r="H185" i="6"/>
  <c r="G193" i="6"/>
  <c r="F193" i="6"/>
  <c r="E193" i="6"/>
  <c r="D193" i="6"/>
  <c r="C193" i="6"/>
  <c r="J193" i="6"/>
  <c r="B193" i="6"/>
  <c r="I193" i="6"/>
  <c r="A193" i="6"/>
  <c r="H193" i="6"/>
  <c r="G201" i="6"/>
  <c r="F201" i="6"/>
  <c r="E201" i="6"/>
  <c r="D201" i="6"/>
  <c r="C201" i="6"/>
  <c r="J201" i="6"/>
  <c r="B201" i="6"/>
  <c r="I201" i="6"/>
  <c r="A201" i="6"/>
  <c r="H201" i="6"/>
  <c r="G209" i="6"/>
  <c r="F209" i="6"/>
  <c r="E209" i="6"/>
  <c r="D209" i="6"/>
  <c r="C209" i="6"/>
  <c r="J209" i="6"/>
  <c r="B209" i="6"/>
  <c r="I209" i="6"/>
  <c r="A209" i="6"/>
  <c r="H209" i="6"/>
  <c r="G217" i="6"/>
  <c r="F217" i="6"/>
  <c r="E217" i="6"/>
  <c r="D217" i="6"/>
  <c r="C217" i="6"/>
  <c r="J217" i="6"/>
  <c r="B217" i="6"/>
  <c r="I217" i="6"/>
  <c r="A217" i="6"/>
  <c r="H217" i="6"/>
  <c r="G225" i="6"/>
  <c r="F225" i="6"/>
  <c r="E225" i="6"/>
  <c r="D225" i="6"/>
  <c r="C225" i="6"/>
  <c r="J225" i="6"/>
  <c r="B225" i="6"/>
  <c r="I225" i="6"/>
  <c r="A225" i="6"/>
  <c r="H225" i="6"/>
  <c r="G233" i="6"/>
  <c r="F233" i="6"/>
  <c r="E233" i="6"/>
  <c r="D233" i="6"/>
  <c r="C233" i="6"/>
  <c r="J233" i="6"/>
  <c r="B233" i="6"/>
  <c r="I233" i="6"/>
  <c r="A233" i="6"/>
  <c r="H233" i="6"/>
  <c r="G241" i="6"/>
  <c r="F241" i="6"/>
  <c r="E241" i="6"/>
  <c r="D241" i="6"/>
  <c r="C241" i="6"/>
  <c r="J241" i="6"/>
  <c r="B241" i="6"/>
  <c r="I241" i="6"/>
  <c r="A241" i="6"/>
  <c r="H241" i="6"/>
  <c r="G249" i="6"/>
  <c r="F249" i="6"/>
  <c r="E249" i="6"/>
  <c r="D249" i="6"/>
  <c r="C249" i="6"/>
  <c r="J249" i="6"/>
  <c r="B249" i="6"/>
  <c r="I249" i="6"/>
  <c r="A249" i="6"/>
  <c r="H249" i="6"/>
  <c r="G257" i="6"/>
  <c r="F257" i="6"/>
  <c r="E257" i="6"/>
  <c r="D257" i="6"/>
  <c r="C257" i="6"/>
  <c r="J257" i="6"/>
  <c r="B257" i="6"/>
  <c r="I257" i="6"/>
  <c r="A257" i="6"/>
  <c r="H257" i="6"/>
  <c r="G265" i="6"/>
  <c r="F265" i="6"/>
  <c r="E265" i="6"/>
  <c r="D265" i="6"/>
  <c r="C265" i="6"/>
  <c r="J265" i="6"/>
  <c r="B265" i="6"/>
  <c r="I265" i="6"/>
  <c r="A265" i="6"/>
  <c r="H265" i="6"/>
  <c r="G273" i="6"/>
  <c r="F273" i="6"/>
  <c r="E273" i="6"/>
  <c r="D273" i="6"/>
  <c r="C273" i="6"/>
  <c r="J273" i="6"/>
  <c r="B273" i="6"/>
  <c r="I273" i="6"/>
  <c r="A273" i="6"/>
  <c r="H273" i="6"/>
  <c r="G281" i="6"/>
  <c r="F281" i="6"/>
  <c r="E281" i="6"/>
  <c r="D281" i="6"/>
  <c r="C281" i="6"/>
  <c r="J281" i="6"/>
  <c r="B281" i="6"/>
  <c r="I281" i="6"/>
  <c r="A281" i="6"/>
  <c r="H281" i="6"/>
  <c r="G289" i="6"/>
  <c r="F289" i="6"/>
  <c r="E289" i="6"/>
  <c r="D289" i="6"/>
  <c r="C289" i="6"/>
  <c r="J289" i="6"/>
  <c r="B289" i="6"/>
  <c r="I289" i="6"/>
  <c r="A289" i="6"/>
  <c r="H289" i="6"/>
  <c r="G297" i="6"/>
  <c r="F297" i="6"/>
  <c r="E297" i="6"/>
  <c r="D297" i="6"/>
  <c r="C297" i="6"/>
  <c r="J297" i="6"/>
  <c r="B297" i="6"/>
  <c r="I297" i="6"/>
  <c r="A297" i="6"/>
  <c r="H297" i="6"/>
  <c r="G305" i="6"/>
  <c r="F305" i="6"/>
  <c r="E305" i="6"/>
  <c r="D305" i="6"/>
  <c r="C305" i="6"/>
  <c r="J305" i="6"/>
  <c r="B305" i="6"/>
  <c r="I305" i="6"/>
  <c r="A305" i="6"/>
  <c r="H305" i="6"/>
  <c r="G313" i="6"/>
  <c r="F313" i="6"/>
  <c r="E313" i="6"/>
  <c r="D313" i="6"/>
  <c r="C313" i="6"/>
  <c r="J313" i="6"/>
  <c r="B313" i="6"/>
  <c r="I313" i="6"/>
  <c r="A313" i="6"/>
  <c r="H313" i="6"/>
  <c r="G321" i="6"/>
  <c r="F321" i="6"/>
  <c r="E321" i="6"/>
  <c r="D321" i="6"/>
  <c r="C321" i="6"/>
  <c r="J321" i="6"/>
  <c r="B321" i="6"/>
  <c r="I321" i="6"/>
  <c r="A321" i="6"/>
  <c r="H321" i="6"/>
  <c r="G329" i="6"/>
  <c r="F329" i="6"/>
  <c r="E329" i="6"/>
  <c r="D329" i="6"/>
  <c r="C329" i="6"/>
  <c r="J329" i="6"/>
  <c r="B329" i="6"/>
  <c r="I329" i="6"/>
  <c r="A329" i="6"/>
  <c r="H329" i="6"/>
  <c r="G337" i="6"/>
  <c r="F337" i="6"/>
  <c r="E337" i="6"/>
  <c r="D337" i="6"/>
  <c r="C337" i="6"/>
  <c r="J337" i="6"/>
  <c r="B337" i="6"/>
  <c r="I337" i="6"/>
  <c r="A337" i="6"/>
  <c r="H337" i="6"/>
  <c r="G345" i="6"/>
  <c r="F345" i="6"/>
  <c r="E345" i="6"/>
  <c r="D345" i="6"/>
  <c r="C345" i="6"/>
  <c r="J345" i="6"/>
  <c r="B345" i="6"/>
  <c r="I345" i="6"/>
  <c r="A345" i="6"/>
  <c r="H345" i="6"/>
  <c r="G353" i="6"/>
  <c r="F353" i="6"/>
  <c r="E353" i="6"/>
  <c r="D353" i="6"/>
  <c r="C353" i="6"/>
  <c r="J353" i="6"/>
  <c r="B353" i="6"/>
  <c r="I353" i="6"/>
  <c r="A353" i="6"/>
  <c r="H353" i="6"/>
  <c r="G361" i="6"/>
  <c r="F361" i="6"/>
  <c r="E361" i="6"/>
  <c r="D361" i="6"/>
  <c r="C361" i="6"/>
  <c r="J361" i="6"/>
  <c r="B361" i="6"/>
  <c r="I361" i="6"/>
  <c r="A361" i="6"/>
  <c r="H361" i="6"/>
  <c r="G369" i="6"/>
  <c r="F369" i="6"/>
  <c r="E369" i="6"/>
  <c r="D369" i="6"/>
  <c r="C369" i="6"/>
  <c r="J369" i="6"/>
  <c r="B369" i="6"/>
  <c r="I369" i="6"/>
  <c r="A369" i="6"/>
  <c r="H369" i="6"/>
  <c r="G377" i="6"/>
  <c r="F377" i="6"/>
  <c r="E377" i="6"/>
  <c r="D377" i="6"/>
  <c r="C377" i="6"/>
  <c r="J377" i="6"/>
  <c r="B377" i="6"/>
  <c r="I377" i="6"/>
  <c r="A377" i="6"/>
  <c r="H377" i="6"/>
  <c r="G385" i="6"/>
  <c r="F385" i="6"/>
  <c r="E385" i="6"/>
  <c r="D385" i="6"/>
  <c r="C385" i="6"/>
  <c r="J385" i="6"/>
  <c r="B385" i="6"/>
  <c r="I385" i="6"/>
  <c r="A385" i="6"/>
  <c r="H385" i="6"/>
  <c r="G393" i="6"/>
  <c r="F393" i="6"/>
  <c r="E393" i="6"/>
  <c r="D393" i="6"/>
  <c r="C393" i="6"/>
  <c r="J393" i="6"/>
  <c r="B393" i="6"/>
  <c r="I393" i="6"/>
  <c r="A393" i="6"/>
  <c r="H393" i="6"/>
  <c r="C401" i="6"/>
  <c r="J401" i="6"/>
  <c r="B401" i="6"/>
  <c r="I401" i="6"/>
  <c r="A401" i="6"/>
  <c r="G401" i="6"/>
  <c r="E401" i="6"/>
  <c r="D401" i="6"/>
  <c r="H401" i="6"/>
  <c r="F401" i="6"/>
  <c r="C409" i="6"/>
  <c r="J409" i="6"/>
  <c r="B409" i="6"/>
  <c r="I409" i="6"/>
  <c r="A409" i="6"/>
  <c r="H409" i="6"/>
  <c r="G409" i="6"/>
  <c r="F409" i="6"/>
  <c r="E409" i="6"/>
  <c r="D409" i="6"/>
  <c r="C417" i="6"/>
  <c r="J417" i="6"/>
  <c r="B417" i="6"/>
  <c r="I417" i="6"/>
  <c r="A417" i="6"/>
  <c r="H417" i="6"/>
  <c r="G417" i="6"/>
  <c r="F417" i="6"/>
  <c r="E417" i="6"/>
  <c r="D417" i="6"/>
  <c r="C425" i="6"/>
  <c r="J425" i="6"/>
  <c r="B425" i="6"/>
  <c r="I425" i="6"/>
  <c r="A425" i="6"/>
  <c r="H425" i="6"/>
  <c r="G425" i="6"/>
  <c r="F425" i="6"/>
  <c r="E425" i="6"/>
  <c r="D425" i="6"/>
  <c r="C433" i="6"/>
  <c r="J433" i="6"/>
  <c r="B433" i="6"/>
  <c r="I433" i="6"/>
  <c r="A433" i="6"/>
  <c r="H433" i="6"/>
  <c r="G433" i="6"/>
  <c r="F433" i="6"/>
  <c r="E433" i="6"/>
  <c r="D433" i="6"/>
  <c r="C441" i="6"/>
  <c r="J441" i="6"/>
  <c r="B441" i="6"/>
  <c r="I441" i="6"/>
  <c r="A441" i="6"/>
  <c r="H441" i="6"/>
  <c r="G441" i="6"/>
  <c r="F441" i="6"/>
  <c r="E441" i="6"/>
  <c r="D441" i="6"/>
  <c r="C449" i="6"/>
  <c r="J449" i="6"/>
  <c r="B449" i="6"/>
  <c r="I449" i="6"/>
  <c r="A449" i="6"/>
  <c r="H449" i="6"/>
  <c r="G449" i="6"/>
  <c r="F449" i="6"/>
  <c r="E449" i="6"/>
  <c r="D449" i="6"/>
  <c r="C457" i="6"/>
  <c r="J457" i="6"/>
  <c r="B457" i="6"/>
  <c r="I457" i="6"/>
  <c r="A457" i="6"/>
  <c r="H457" i="6"/>
  <c r="G457" i="6"/>
  <c r="F457" i="6"/>
  <c r="E457" i="6"/>
  <c r="D457" i="6"/>
  <c r="C465" i="6"/>
  <c r="J465" i="6"/>
  <c r="B465" i="6"/>
  <c r="I465" i="6"/>
  <c r="A465" i="6"/>
  <c r="H465" i="6"/>
  <c r="G465" i="6"/>
  <c r="F465" i="6"/>
  <c r="E465" i="6"/>
  <c r="D465" i="6"/>
  <c r="C473" i="6"/>
  <c r="J473" i="6"/>
  <c r="B473" i="6"/>
  <c r="I473" i="6"/>
  <c r="A473" i="6"/>
  <c r="H473" i="6"/>
  <c r="G473" i="6"/>
  <c r="F473" i="6"/>
  <c r="E473" i="6"/>
  <c r="D473" i="6"/>
  <c r="C481" i="6"/>
  <c r="J481" i="6"/>
  <c r="B481" i="6"/>
  <c r="I481" i="6"/>
  <c r="A481" i="6"/>
  <c r="H481" i="6"/>
  <c r="G481" i="6"/>
  <c r="F481" i="6"/>
  <c r="E481" i="6"/>
  <c r="D481" i="6"/>
  <c r="C489" i="6"/>
  <c r="J489" i="6"/>
  <c r="B489" i="6"/>
  <c r="I489" i="6"/>
  <c r="A489" i="6"/>
  <c r="H489" i="6"/>
  <c r="G489" i="6"/>
  <c r="F489" i="6"/>
  <c r="E489" i="6"/>
  <c r="D489" i="6"/>
  <c r="C497" i="6"/>
  <c r="J497" i="6"/>
  <c r="B497" i="6"/>
  <c r="I497" i="6"/>
  <c r="A497" i="6"/>
  <c r="H497" i="6"/>
  <c r="G497" i="6"/>
  <c r="F497" i="6"/>
  <c r="E497" i="6"/>
  <c r="D497" i="6"/>
  <c r="C505" i="6"/>
  <c r="J505" i="6"/>
  <c r="B505" i="6"/>
  <c r="I505" i="6"/>
  <c r="A505" i="6"/>
  <c r="H505" i="6"/>
  <c r="G505" i="6"/>
  <c r="F505" i="6"/>
  <c r="E505" i="6"/>
  <c r="D505" i="6"/>
  <c r="C513" i="6"/>
  <c r="J513" i="6"/>
  <c r="B513" i="6"/>
  <c r="I513" i="6"/>
  <c r="A513" i="6"/>
  <c r="H513" i="6"/>
  <c r="G513" i="6"/>
  <c r="F513" i="6"/>
  <c r="E513" i="6"/>
  <c r="D513" i="6"/>
  <c r="C521" i="6"/>
  <c r="J521" i="6"/>
  <c r="B521" i="6"/>
  <c r="I521" i="6"/>
  <c r="A521" i="6"/>
  <c r="H521" i="6"/>
  <c r="G521" i="6"/>
  <c r="F521" i="6"/>
  <c r="E521" i="6"/>
  <c r="D521" i="6"/>
  <c r="C529" i="6"/>
  <c r="J529" i="6"/>
  <c r="B529" i="6"/>
  <c r="I529" i="6"/>
  <c r="A529" i="6"/>
  <c r="H529" i="6"/>
  <c r="G529" i="6"/>
  <c r="F529" i="6"/>
  <c r="E529" i="6"/>
  <c r="D529" i="6"/>
  <c r="C537" i="6"/>
  <c r="J537" i="6"/>
  <c r="B537" i="6"/>
  <c r="I537" i="6"/>
  <c r="A537" i="6"/>
  <c r="H537" i="6"/>
  <c r="G537" i="6"/>
  <c r="F537" i="6"/>
  <c r="E537" i="6"/>
  <c r="D537" i="6"/>
  <c r="C545" i="6"/>
  <c r="J545" i="6"/>
  <c r="B545" i="6"/>
  <c r="I545" i="6"/>
  <c r="A545" i="6"/>
  <c r="H545" i="6"/>
  <c r="G545" i="6"/>
  <c r="F545" i="6"/>
  <c r="E545" i="6"/>
  <c r="D545" i="6"/>
  <c r="C553" i="6"/>
  <c r="J553" i="6"/>
  <c r="B553" i="6"/>
  <c r="I553" i="6"/>
  <c r="A553" i="6"/>
  <c r="H553" i="6"/>
  <c r="G553" i="6"/>
  <c r="F553" i="6"/>
  <c r="E553" i="6"/>
  <c r="D553" i="6"/>
  <c r="C561" i="6"/>
  <c r="J561" i="6"/>
  <c r="B561" i="6"/>
  <c r="I561" i="6"/>
  <c r="A561" i="6"/>
  <c r="H561" i="6"/>
  <c r="G561" i="6"/>
  <c r="F561" i="6"/>
  <c r="E561" i="6"/>
  <c r="D561" i="6"/>
  <c r="C569" i="6"/>
  <c r="J569" i="6"/>
  <c r="B569" i="6"/>
  <c r="I569" i="6"/>
  <c r="A569" i="6"/>
  <c r="H569" i="6"/>
  <c r="G569" i="6"/>
  <c r="F569" i="6"/>
  <c r="E569" i="6"/>
  <c r="D569" i="6"/>
  <c r="C577" i="6"/>
  <c r="J577" i="6"/>
  <c r="B577" i="6"/>
  <c r="I577" i="6"/>
  <c r="A577" i="6"/>
  <c r="H577" i="6"/>
  <c r="G577" i="6"/>
  <c r="F577" i="6"/>
  <c r="E577" i="6"/>
  <c r="D577" i="6"/>
  <c r="C585" i="6"/>
  <c r="J585" i="6"/>
  <c r="B585" i="6"/>
  <c r="I585" i="6"/>
  <c r="A585" i="6"/>
  <c r="H585" i="6"/>
  <c r="G585" i="6"/>
  <c r="F585" i="6"/>
  <c r="E585" i="6"/>
  <c r="D585" i="6"/>
  <c r="C593" i="6"/>
  <c r="J593" i="6"/>
  <c r="B593" i="6"/>
  <c r="I593" i="6"/>
  <c r="A593" i="6"/>
  <c r="H593" i="6"/>
  <c r="G593" i="6"/>
  <c r="F593" i="6"/>
  <c r="E593" i="6"/>
  <c r="D593" i="6"/>
  <c r="C601" i="6"/>
  <c r="J601" i="6"/>
  <c r="B601" i="6"/>
  <c r="I601" i="6"/>
  <c r="A601" i="6"/>
  <c r="H601" i="6"/>
  <c r="G601" i="6"/>
  <c r="F601" i="6"/>
  <c r="E601" i="6"/>
  <c r="D601" i="6"/>
  <c r="C609" i="6"/>
  <c r="J609" i="6"/>
  <c r="B609" i="6"/>
  <c r="I609" i="6"/>
  <c r="A609" i="6"/>
  <c r="H609" i="6"/>
  <c r="G609" i="6"/>
  <c r="F609" i="6"/>
  <c r="E609" i="6"/>
  <c r="D609" i="6"/>
  <c r="C617" i="6"/>
  <c r="J617" i="6"/>
  <c r="B617" i="6"/>
  <c r="I617" i="6"/>
  <c r="A617" i="6"/>
  <c r="H617" i="6"/>
  <c r="G617" i="6"/>
  <c r="F617" i="6"/>
  <c r="E617" i="6"/>
  <c r="D617" i="6"/>
  <c r="C625" i="6"/>
  <c r="J625" i="6"/>
  <c r="B625" i="6"/>
  <c r="I625" i="6"/>
  <c r="A625" i="6"/>
  <c r="H625" i="6"/>
  <c r="G625" i="6"/>
  <c r="F625" i="6"/>
  <c r="E625" i="6"/>
  <c r="D625" i="6"/>
  <c r="C633" i="6"/>
  <c r="J633" i="6"/>
  <c r="B633" i="6"/>
  <c r="I633" i="6"/>
  <c r="A633" i="6"/>
  <c r="H633" i="6"/>
  <c r="G633" i="6"/>
  <c r="F633" i="6"/>
  <c r="E633" i="6"/>
  <c r="D633" i="6"/>
  <c r="C641" i="6"/>
  <c r="J641" i="6"/>
  <c r="B641" i="6"/>
  <c r="I641" i="6"/>
  <c r="A641" i="6"/>
  <c r="H641" i="6"/>
  <c r="G641" i="6"/>
  <c r="F641" i="6"/>
  <c r="E641" i="6"/>
  <c r="D641" i="6"/>
  <c r="C649" i="6"/>
  <c r="J649" i="6"/>
  <c r="B649" i="6"/>
  <c r="I649" i="6"/>
  <c r="A649" i="6"/>
  <c r="H649" i="6"/>
  <c r="G649" i="6"/>
  <c r="F649" i="6"/>
  <c r="E649" i="6"/>
  <c r="D649" i="6"/>
  <c r="C657" i="6"/>
  <c r="J657" i="6"/>
  <c r="B657" i="6"/>
  <c r="I657" i="6"/>
  <c r="A657" i="6"/>
  <c r="H657" i="6"/>
  <c r="G657" i="6"/>
  <c r="F657" i="6"/>
  <c r="E657" i="6"/>
  <c r="D657" i="6"/>
  <c r="C665" i="6"/>
  <c r="J665" i="6"/>
  <c r="B665" i="6"/>
  <c r="I665" i="6"/>
  <c r="A665" i="6"/>
  <c r="H665" i="6"/>
  <c r="G665" i="6"/>
  <c r="F665" i="6"/>
  <c r="E665" i="6"/>
  <c r="D665" i="6"/>
  <c r="C673" i="6"/>
  <c r="J673" i="6"/>
  <c r="B673" i="6"/>
  <c r="I673" i="6"/>
  <c r="A673" i="6"/>
  <c r="H673" i="6"/>
  <c r="G673" i="6"/>
  <c r="F673" i="6"/>
  <c r="E673" i="6"/>
  <c r="D673" i="6"/>
  <c r="C681" i="6"/>
  <c r="J681" i="6"/>
  <c r="B681" i="6"/>
  <c r="I681" i="6"/>
  <c r="A681" i="6"/>
  <c r="H681" i="6"/>
  <c r="G681" i="6"/>
  <c r="F681" i="6"/>
  <c r="E681" i="6"/>
  <c r="D681" i="6"/>
  <c r="C689" i="6"/>
  <c r="J689" i="6"/>
  <c r="B689" i="6"/>
  <c r="I689" i="6"/>
  <c r="A689" i="6"/>
  <c r="H689" i="6"/>
  <c r="G689" i="6"/>
  <c r="F689" i="6"/>
  <c r="E689" i="6"/>
  <c r="D689" i="6"/>
  <c r="C697" i="6"/>
  <c r="J697" i="6"/>
  <c r="B697" i="6"/>
  <c r="I697" i="6"/>
  <c r="A697" i="6"/>
  <c r="H697" i="6"/>
  <c r="G697" i="6"/>
  <c r="F697" i="6"/>
  <c r="E697" i="6"/>
  <c r="D697" i="6"/>
  <c r="C705" i="6"/>
  <c r="J705" i="6"/>
  <c r="B705" i="6"/>
  <c r="I705" i="6"/>
  <c r="A705" i="6"/>
  <c r="H705" i="6"/>
  <c r="G705" i="6"/>
  <c r="F705" i="6"/>
  <c r="E705" i="6"/>
  <c r="D705" i="6"/>
  <c r="C713" i="6"/>
  <c r="J713" i="6"/>
  <c r="B713" i="6"/>
  <c r="I713" i="6"/>
  <c r="A713" i="6"/>
  <c r="H713" i="6"/>
  <c r="G713" i="6"/>
  <c r="F713" i="6"/>
  <c r="E713" i="6"/>
  <c r="D713" i="6"/>
  <c r="C721" i="6"/>
  <c r="J721" i="6"/>
  <c r="B721" i="6"/>
  <c r="I721" i="6"/>
  <c r="A721" i="6"/>
  <c r="H721" i="6"/>
  <c r="G721" i="6"/>
  <c r="F721" i="6"/>
  <c r="E721" i="6"/>
  <c r="D721" i="6"/>
  <c r="C729" i="6"/>
  <c r="J729" i="6"/>
  <c r="B729" i="6"/>
  <c r="I729" i="6"/>
  <c r="A729" i="6"/>
  <c r="H729" i="6"/>
  <c r="G729" i="6"/>
  <c r="F729" i="6"/>
  <c r="E729" i="6"/>
  <c r="D729" i="6"/>
  <c r="C737" i="6"/>
  <c r="J737" i="6"/>
  <c r="B737" i="6"/>
  <c r="I737" i="6"/>
  <c r="A737" i="6"/>
  <c r="H737" i="6"/>
  <c r="G737" i="6"/>
  <c r="F737" i="6"/>
  <c r="E737" i="6"/>
  <c r="D737" i="6"/>
  <c r="C745" i="6"/>
  <c r="J745" i="6"/>
  <c r="B745" i="6"/>
  <c r="I745" i="6"/>
  <c r="A745" i="6"/>
  <c r="H745" i="6"/>
  <c r="G745" i="6"/>
  <c r="F745" i="6"/>
  <c r="E745" i="6"/>
  <c r="D745" i="6"/>
  <c r="C753" i="6"/>
  <c r="J753" i="6"/>
  <c r="B753" i="6"/>
  <c r="I753" i="6"/>
  <c r="A753" i="6"/>
  <c r="H753" i="6"/>
  <c r="G753" i="6"/>
  <c r="F753" i="6"/>
  <c r="E753" i="6"/>
  <c r="D753" i="6"/>
  <c r="C761" i="6"/>
  <c r="J761" i="6"/>
  <c r="B761" i="6"/>
  <c r="I761" i="6"/>
  <c r="A761" i="6"/>
  <c r="H761" i="6"/>
  <c r="G761" i="6"/>
  <c r="F761" i="6"/>
  <c r="E761" i="6"/>
  <c r="D761" i="6"/>
  <c r="C769" i="6"/>
  <c r="J769" i="6"/>
  <c r="B769" i="6"/>
  <c r="I769" i="6"/>
  <c r="A769" i="6"/>
  <c r="H769" i="6"/>
  <c r="G769" i="6"/>
  <c r="F769" i="6"/>
  <c r="E769" i="6"/>
  <c r="D769" i="6"/>
  <c r="C777" i="6"/>
  <c r="J777" i="6"/>
  <c r="B777" i="6"/>
  <c r="I777" i="6"/>
  <c r="A777" i="6"/>
  <c r="H777" i="6"/>
  <c r="G777" i="6"/>
  <c r="F777" i="6"/>
  <c r="E777" i="6"/>
  <c r="D777" i="6"/>
  <c r="D785" i="6"/>
  <c r="C785" i="6"/>
  <c r="J785" i="6"/>
  <c r="B785" i="6"/>
  <c r="I785" i="6"/>
  <c r="A785" i="6"/>
  <c r="H785" i="6"/>
  <c r="G785" i="6"/>
  <c r="F785" i="6"/>
  <c r="E785" i="6"/>
  <c r="D793" i="6"/>
  <c r="C793" i="6"/>
  <c r="J793" i="6"/>
  <c r="B793" i="6"/>
  <c r="I793" i="6"/>
  <c r="A793" i="6"/>
  <c r="H793" i="6"/>
  <c r="G793" i="6"/>
  <c r="F793" i="6"/>
  <c r="E793" i="6"/>
  <c r="D801" i="6"/>
  <c r="C801" i="6"/>
  <c r="J801" i="6"/>
  <c r="B801" i="6"/>
  <c r="I801" i="6"/>
  <c r="A801" i="6"/>
  <c r="H801" i="6"/>
  <c r="G801" i="6"/>
  <c r="F801" i="6"/>
  <c r="E801" i="6"/>
  <c r="D809" i="6"/>
  <c r="C809" i="6"/>
  <c r="J809" i="6"/>
  <c r="B809" i="6"/>
  <c r="I809" i="6"/>
  <c r="A809" i="6"/>
  <c r="H809" i="6"/>
  <c r="G809" i="6"/>
  <c r="F809" i="6"/>
  <c r="E809" i="6"/>
  <c r="D817" i="6"/>
  <c r="C817" i="6"/>
  <c r="J817" i="6"/>
  <c r="B817" i="6"/>
  <c r="I817" i="6"/>
  <c r="A817" i="6"/>
  <c r="H817" i="6"/>
  <c r="G817" i="6"/>
  <c r="F817" i="6"/>
  <c r="E817" i="6"/>
  <c r="D825" i="6"/>
  <c r="C825" i="6"/>
  <c r="J825" i="6"/>
  <c r="B825" i="6"/>
  <c r="I825" i="6"/>
  <c r="A825" i="6"/>
  <c r="H825" i="6"/>
  <c r="G825" i="6"/>
  <c r="F825" i="6"/>
  <c r="E825" i="6"/>
  <c r="D833" i="6"/>
  <c r="C833" i="6"/>
  <c r="J833" i="6"/>
  <c r="B833" i="6"/>
  <c r="I833" i="6"/>
  <c r="A833" i="6"/>
  <c r="H833" i="6"/>
  <c r="G833" i="6"/>
  <c r="F833" i="6"/>
  <c r="E833" i="6"/>
  <c r="D841" i="6"/>
  <c r="C841" i="6"/>
  <c r="J841" i="6"/>
  <c r="B841" i="6"/>
  <c r="I841" i="6"/>
  <c r="A841" i="6"/>
  <c r="H841" i="6"/>
  <c r="G841" i="6"/>
  <c r="F841" i="6"/>
  <c r="E841" i="6"/>
  <c r="D849" i="6"/>
  <c r="C849" i="6"/>
  <c r="J849" i="6"/>
  <c r="B849" i="6"/>
  <c r="I849" i="6"/>
  <c r="A849" i="6"/>
  <c r="H849" i="6"/>
  <c r="G849" i="6"/>
  <c r="F849" i="6"/>
  <c r="E849" i="6"/>
  <c r="D857" i="6"/>
  <c r="C857" i="6"/>
  <c r="J857" i="6"/>
  <c r="B857" i="6"/>
  <c r="I857" i="6"/>
  <c r="A857" i="6"/>
  <c r="H857" i="6"/>
  <c r="G857" i="6"/>
  <c r="F857" i="6"/>
  <c r="E857" i="6"/>
  <c r="D865" i="6"/>
  <c r="C865" i="6"/>
  <c r="J865" i="6"/>
  <c r="B865" i="6"/>
  <c r="I865" i="6"/>
  <c r="A865" i="6"/>
  <c r="H865" i="6"/>
  <c r="G865" i="6"/>
  <c r="F865" i="6"/>
  <c r="E865" i="6"/>
  <c r="D873" i="6"/>
  <c r="C873" i="6"/>
  <c r="J873" i="6"/>
  <c r="B873" i="6"/>
  <c r="I873" i="6"/>
  <c r="A873" i="6"/>
  <c r="H873" i="6"/>
  <c r="G873" i="6"/>
  <c r="F873" i="6"/>
  <c r="E873" i="6"/>
  <c r="D881" i="6"/>
  <c r="C881" i="6"/>
  <c r="J881" i="6"/>
  <c r="B881" i="6"/>
  <c r="I881" i="6"/>
  <c r="A881" i="6"/>
  <c r="H881" i="6"/>
  <c r="G881" i="6"/>
  <c r="F881" i="6"/>
  <c r="E881" i="6"/>
  <c r="D889" i="6"/>
  <c r="C889" i="6"/>
  <c r="J889" i="6"/>
  <c r="B889" i="6"/>
  <c r="I889" i="6"/>
  <c r="A889" i="6"/>
  <c r="H889" i="6"/>
  <c r="G889" i="6"/>
  <c r="F889" i="6"/>
  <c r="E889" i="6"/>
  <c r="D897" i="6"/>
  <c r="C897" i="6"/>
  <c r="J897" i="6"/>
  <c r="B897" i="6"/>
  <c r="I897" i="6"/>
  <c r="A897" i="6"/>
  <c r="H897" i="6"/>
  <c r="G897" i="6"/>
  <c r="F897" i="6"/>
  <c r="E897" i="6"/>
  <c r="D905" i="6"/>
  <c r="C905" i="6"/>
  <c r="J905" i="6"/>
  <c r="B905" i="6"/>
  <c r="I905" i="6"/>
  <c r="A905" i="6"/>
  <c r="H905" i="6"/>
  <c r="G905" i="6"/>
  <c r="F905" i="6"/>
  <c r="E905" i="6"/>
  <c r="D913" i="6"/>
  <c r="C913" i="6"/>
  <c r="J913" i="6"/>
  <c r="B913" i="6"/>
  <c r="I913" i="6"/>
  <c r="A913" i="6"/>
  <c r="H913" i="6"/>
  <c r="G913" i="6"/>
  <c r="F913" i="6"/>
  <c r="E913" i="6"/>
  <c r="D921" i="6"/>
  <c r="C921" i="6"/>
  <c r="J921" i="6"/>
  <c r="B921" i="6"/>
  <c r="I921" i="6"/>
  <c r="A921" i="6"/>
  <c r="H921" i="6"/>
  <c r="G921" i="6"/>
  <c r="F921" i="6"/>
  <c r="E921" i="6"/>
  <c r="D929" i="6"/>
  <c r="C929" i="6"/>
  <c r="J929" i="6"/>
  <c r="B929" i="6"/>
  <c r="I929" i="6"/>
  <c r="A929" i="6"/>
  <c r="H929" i="6"/>
  <c r="G929" i="6"/>
  <c r="F929" i="6"/>
  <c r="E929" i="6"/>
  <c r="D937" i="6"/>
  <c r="C937" i="6"/>
  <c r="J937" i="6"/>
  <c r="B937" i="6"/>
  <c r="I937" i="6"/>
  <c r="A937" i="6"/>
  <c r="H937" i="6"/>
  <c r="G937" i="6"/>
  <c r="F937" i="6"/>
  <c r="E937" i="6"/>
  <c r="D945" i="6"/>
  <c r="C945" i="6"/>
  <c r="J945" i="6"/>
  <c r="B945" i="6"/>
  <c r="I945" i="6"/>
  <c r="A945" i="6"/>
  <c r="H945" i="6"/>
  <c r="G945" i="6"/>
  <c r="F945" i="6"/>
  <c r="E945" i="6"/>
  <c r="D953" i="6"/>
  <c r="C953" i="6"/>
  <c r="J953" i="6"/>
  <c r="B953" i="6"/>
  <c r="I953" i="6"/>
  <c r="A953" i="6"/>
  <c r="H953" i="6"/>
  <c r="G953" i="6"/>
  <c r="F953" i="6"/>
  <c r="E953" i="6"/>
  <c r="D961" i="6"/>
  <c r="C961" i="6"/>
  <c r="J961" i="6"/>
  <c r="B961" i="6"/>
  <c r="I961" i="6"/>
  <c r="A961" i="6"/>
  <c r="H961" i="6"/>
  <c r="G961" i="6"/>
  <c r="F961" i="6"/>
  <c r="E961" i="6"/>
  <c r="D969" i="6"/>
  <c r="C969" i="6"/>
  <c r="J969" i="6"/>
  <c r="B969" i="6"/>
  <c r="I969" i="6"/>
  <c r="A969" i="6"/>
  <c r="H969" i="6"/>
  <c r="G969" i="6"/>
  <c r="F969" i="6"/>
  <c r="E969" i="6"/>
  <c r="C977" i="6"/>
  <c r="J977" i="6"/>
  <c r="B977" i="6"/>
  <c r="H977" i="6"/>
  <c r="G977" i="6"/>
  <c r="F977" i="6"/>
  <c r="E977" i="6"/>
  <c r="D977" i="6"/>
  <c r="I977" i="6"/>
  <c r="A977" i="6"/>
  <c r="C985" i="6"/>
  <c r="J985" i="6"/>
  <c r="B985" i="6"/>
  <c r="H985" i="6"/>
  <c r="G985" i="6"/>
  <c r="F985" i="6"/>
  <c r="E985" i="6"/>
  <c r="D985" i="6"/>
  <c r="I985" i="6"/>
  <c r="A985" i="6"/>
  <c r="C993" i="6"/>
  <c r="J993" i="6"/>
  <c r="B993" i="6"/>
  <c r="H993" i="6"/>
  <c r="G993" i="6"/>
  <c r="F993" i="6"/>
  <c r="E993" i="6"/>
  <c r="D993" i="6"/>
  <c r="I993" i="6"/>
  <c r="A993" i="6"/>
  <c r="C1001" i="6"/>
  <c r="J1001" i="6"/>
  <c r="B1001" i="6"/>
  <c r="H1001" i="6"/>
  <c r="G1001" i="6"/>
  <c r="F1001" i="6"/>
  <c r="E1001" i="6"/>
  <c r="D1001" i="6"/>
  <c r="I1001" i="6"/>
  <c r="A1001" i="6"/>
  <c r="C1009" i="6"/>
  <c r="J1009" i="6"/>
  <c r="B1009" i="6"/>
  <c r="H1009" i="6"/>
  <c r="G1009" i="6"/>
  <c r="F1009" i="6"/>
  <c r="E1009" i="6"/>
  <c r="D1009" i="6"/>
  <c r="I1009" i="6"/>
  <c r="A1009" i="6"/>
  <c r="C1017" i="6"/>
  <c r="J1017" i="6"/>
  <c r="B1017" i="6"/>
  <c r="H1017" i="6"/>
  <c r="G1017" i="6"/>
  <c r="F1017" i="6"/>
  <c r="E1017" i="6"/>
  <c r="D1017" i="6"/>
  <c r="I1017" i="6"/>
  <c r="A1017" i="6"/>
  <c r="C1025" i="6"/>
  <c r="J1025" i="6"/>
  <c r="B1025" i="6"/>
  <c r="H1025" i="6"/>
  <c r="G1025" i="6"/>
  <c r="F1025" i="6"/>
  <c r="E1025" i="6"/>
  <c r="D1025" i="6"/>
  <c r="I1025" i="6"/>
  <c r="A1025" i="6"/>
  <c r="C1033" i="6"/>
  <c r="J1033" i="6"/>
  <c r="B1033" i="6"/>
  <c r="I1033" i="6"/>
  <c r="A1033" i="6"/>
  <c r="H1033" i="6"/>
  <c r="G1033" i="6"/>
  <c r="F1033" i="6"/>
  <c r="E1033" i="6"/>
  <c r="D1033" i="6"/>
  <c r="C1041" i="6"/>
  <c r="J1041" i="6"/>
  <c r="B1041" i="6"/>
  <c r="I1041" i="6"/>
  <c r="A1041" i="6"/>
  <c r="H1041" i="6"/>
  <c r="G1041" i="6"/>
  <c r="F1041" i="6"/>
  <c r="E1041" i="6"/>
  <c r="D1041" i="6"/>
  <c r="C1049" i="6"/>
  <c r="J1049" i="6"/>
  <c r="B1049" i="6"/>
  <c r="I1049" i="6"/>
  <c r="A1049" i="6"/>
  <c r="H1049" i="6"/>
  <c r="G1049" i="6"/>
  <c r="F1049" i="6"/>
  <c r="E1049" i="6"/>
  <c r="D1049" i="6"/>
  <c r="C1057" i="6"/>
  <c r="J1057" i="6"/>
  <c r="B1057" i="6"/>
  <c r="I1057" i="6"/>
  <c r="A1057" i="6"/>
  <c r="H1057" i="6"/>
  <c r="G1057" i="6"/>
  <c r="F1057" i="6"/>
  <c r="E1057" i="6"/>
  <c r="D1057" i="6"/>
  <c r="C1065" i="6"/>
  <c r="J1065" i="6"/>
  <c r="B1065" i="6"/>
  <c r="I1065" i="6"/>
  <c r="A1065" i="6"/>
  <c r="H1065" i="6"/>
  <c r="G1065" i="6"/>
  <c r="F1065" i="6"/>
  <c r="E1065" i="6"/>
  <c r="D1065" i="6"/>
  <c r="C1073" i="6"/>
  <c r="J1073" i="6"/>
  <c r="B1073" i="6"/>
  <c r="I1073" i="6"/>
  <c r="A1073" i="6"/>
  <c r="H1073" i="6"/>
  <c r="G1073" i="6"/>
  <c r="F1073" i="6"/>
  <c r="E1073" i="6"/>
  <c r="D1073" i="6"/>
  <c r="C1081" i="6"/>
  <c r="J1081" i="6"/>
  <c r="B1081" i="6"/>
  <c r="I1081" i="6"/>
  <c r="A1081" i="6"/>
  <c r="H1081" i="6"/>
  <c r="G1081" i="6"/>
  <c r="F1081" i="6"/>
  <c r="E1081" i="6"/>
  <c r="D1081" i="6"/>
  <c r="C1089" i="6"/>
  <c r="J1089" i="6"/>
  <c r="B1089" i="6"/>
  <c r="I1089" i="6"/>
  <c r="A1089" i="6"/>
  <c r="H1089" i="6"/>
  <c r="G1089" i="6"/>
  <c r="F1089" i="6"/>
  <c r="E1089" i="6"/>
  <c r="D1089" i="6"/>
  <c r="C1097" i="6"/>
  <c r="J1097" i="6"/>
  <c r="B1097" i="6"/>
  <c r="I1097" i="6"/>
  <c r="A1097" i="6"/>
  <c r="H1097" i="6"/>
  <c r="G1097" i="6"/>
  <c r="F1097" i="6"/>
  <c r="E1097" i="6"/>
  <c r="D1097" i="6"/>
  <c r="G1105" i="6"/>
  <c r="E1105" i="6"/>
  <c r="D1105" i="6"/>
  <c r="J1105" i="6"/>
  <c r="B1105" i="6"/>
  <c r="I1105" i="6"/>
  <c r="A1105" i="6"/>
  <c r="H1105" i="6"/>
  <c r="F1105" i="6"/>
  <c r="C1105" i="6"/>
  <c r="H1113" i="6"/>
  <c r="G1113" i="6"/>
  <c r="E1113" i="6"/>
  <c r="D1113" i="6"/>
  <c r="C1113" i="6"/>
  <c r="J1113" i="6"/>
  <c r="B1113" i="6"/>
  <c r="I1113" i="6"/>
  <c r="A1113" i="6"/>
  <c r="F1113" i="6"/>
  <c r="H1121" i="6"/>
  <c r="G1121" i="6"/>
  <c r="E1121" i="6"/>
  <c r="D1121" i="6"/>
  <c r="C1121" i="6"/>
  <c r="J1121" i="6"/>
  <c r="B1121" i="6"/>
  <c r="I1121" i="6"/>
  <c r="A1121" i="6"/>
  <c r="F1121" i="6"/>
  <c r="H1129" i="6"/>
  <c r="G1129" i="6"/>
  <c r="E1129" i="6"/>
  <c r="D1129" i="6"/>
  <c r="C1129" i="6"/>
  <c r="J1129" i="6"/>
  <c r="B1129" i="6"/>
  <c r="I1129" i="6"/>
  <c r="A1129" i="6"/>
  <c r="F1129" i="6"/>
  <c r="H1137" i="6"/>
  <c r="G1137" i="6"/>
  <c r="E1137" i="6"/>
  <c r="D1137" i="6"/>
  <c r="C1137" i="6"/>
  <c r="J1137" i="6"/>
  <c r="B1137" i="6"/>
  <c r="I1137" i="6"/>
  <c r="A1137" i="6"/>
  <c r="F1137" i="6"/>
  <c r="H1145" i="6"/>
  <c r="G1145" i="6"/>
  <c r="E1145" i="6"/>
  <c r="D1145" i="6"/>
  <c r="C1145" i="6"/>
  <c r="J1145" i="6"/>
  <c r="B1145" i="6"/>
  <c r="I1145" i="6"/>
  <c r="A1145" i="6"/>
  <c r="F1145" i="6"/>
  <c r="H1153" i="6"/>
  <c r="G1153" i="6"/>
  <c r="E1153" i="6"/>
  <c r="D1153" i="6"/>
  <c r="C1153" i="6"/>
  <c r="J1153" i="6"/>
  <c r="B1153" i="6"/>
  <c r="I1153" i="6"/>
  <c r="A1153" i="6"/>
  <c r="F1153" i="6"/>
  <c r="H1161" i="6"/>
  <c r="G1161" i="6"/>
  <c r="E1161" i="6"/>
  <c r="D1161" i="6"/>
  <c r="C1161" i="6"/>
  <c r="J1161" i="6"/>
  <c r="B1161" i="6"/>
  <c r="I1161" i="6"/>
  <c r="A1161" i="6"/>
  <c r="F1161" i="6"/>
  <c r="H1169" i="6"/>
  <c r="G1169" i="6"/>
  <c r="E1169" i="6"/>
  <c r="D1169" i="6"/>
  <c r="C1169" i="6"/>
  <c r="J1169" i="6"/>
  <c r="B1169" i="6"/>
  <c r="I1169" i="6"/>
  <c r="A1169" i="6"/>
  <c r="F1169" i="6"/>
  <c r="H1177" i="6"/>
  <c r="G1177" i="6"/>
  <c r="E1177" i="6"/>
  <c r="D1177" i="6"/>
  <c r="C1177" i="6"/>
  <c r="J1177" i="6"/>
  <c r="B1177" i="6"/>
  <c r="I1177" i="6"/>
  <c r="A1177" i="6"/>
  <c r="F1177" i="6"/>
  <c r="H1185" i="6"/>
  <c r="G1185" i="6"/>
  <c r="E1185" i="6"/>
  <c r="D1185" i="6"/>
  <c r="C1185" i="6"/>
  <c r="J1185" i="6"/>
  <c r="B1185" i="6"/>
  <c r="I1185" i="6"/>
  <c r="A1185" i="6"/>
  <c r="F1185" i="6"/>
  <c r="H1193" i="6"/>
  <c r="G1193" i="6"/>
  <c r="E1193" i="6"/>
  <c r="D1193" i="6"/>
  <c r="C1193" i="6"/>
  <c r="J1193" i="6"/>
  <c r="B1193" i="6"/>
  <c r="I1193" i="6"/>
  <c r="A1193" i="6"/>
  <c r="F1193" i="6"/>
  <c r="H1201" i="6"/>
  <c r="G1201" i="6"/>
  <c r="E1201" i="6"/>
  <c r="D1201" i="6"/>
  <c r="C1201" i="6"/>
  <c r="J1201" i="6"/>
  <c r="B1201" i="6"/>
  <c r="I1201" i="6"/>
  <c r="A1201" i="6"/>
  <c r="F1201" i="6"/>
  <c r="H1209" i="6"/>
  <c r="G1209" i="6"/>
  <c r="E1209" i="6"/>
  <c r="D1209" i="6"/>
  <c r="C1209" i="6"/>
  <c r="J1209" i="6"/>
  <c r="B1209" i="6"/>
  <c r="I1209" i="6"/>
  <c r="A1209" i="6"/>
  <c r="F1209" i="6"/>
  <c r="H1217" i="6"/>
  <c r="G1217" i="6"/>
  <c r="E1217" i="6"/>
  <c r="D1217" i="6"/>
  <c r="C1217" i="6"/>
  <c r="J1217" i="6"/>
  <c r="B1217" i="6"/>
  <c r="I1217" i="6"/>
  <c r="A1217" i="6"/>
  <c r="F1217" i="6"/>
  <c r="H1225" i="6"/>
  <c r="G1225" i="6"/>
  <c r="E1225" i="6"/>
  <c r="D1225" i="6"/>
  <c r="C1225" i="6"/>
  <c r="J1225" i="6"/>
  <c r="B1225" i="6"/>
  <c r="I1225" i="6"/>
  <c r="A1225" i="6"/>
  <c r="F1225" i="6"/>
  <c r="H1233" i="6"/>
  <c r="G1233" i="6"/>
  <c r="E1233" i="6"/>
  <c r="D1233" i="6"/>
  <c r="C1233" i="6"/>
  <c r="J1233" i="6"/>
  <c r="B1233" i="6"/>
  <c r="I1233" i="6"/>
  <c r="A1233" i="6"/>
  <c r="F1233" i="6"/>
  <c r="H1241" i="6"/>
  <c r="G1241" i="6"/>
  <c r="E1241" i="6"/>
  <c r="D1241" i="6"/>
  <c r="C1241" i="6"/>
  <c r="J1241" i="6"/>
  <c r="B1241" i="6"/>
  <c r="I1241" i="6"/>
  <c r="A1241" i="6"/>
  <c r="F1241" i="6"/>
  <c r="H1249" i="6"/>
  <c r="G1249" i="6"/>
  <c r="E1249" i="6"/>
  <c r="D1249" i="6"/>
  <c r="C1249" i="6"/>
  <c r="J1249" i="6"/>
  <c r="B1249" i="6"/>
  <c r="I1249" i="6"/>
  <c r="A1249" i="6"/>
  <c r="F1249" i="6"/>
  <c r="I1257" i="6"/>
  <c r="A1257" i="6"/>
  <c r="F1257" i="6"/>
  <c r="E1257" i="6"/>
  <c r="D1257" i="6"/>
  <c r="C1257" i="6"/>
  <c r="J1257" i="6"/>
  <c r="B1257" i="6"/>
  <c r="H1257" i="6"/>
  <c r="G1257" i="6"/>
  <c r="I1265" i="6"/>
  <c r="A1265" i="6"/>
  <c r="F1265" i="6"/>
  <c r="E1265" i="6"/>
  <c r="D1265" i="6"/>
  <c r="C1265" i="6"/>
  <c r="J1265" i="6"/>
  <c r="B1265" i="6"/>
  <c r="H1265" i="6"/>
  <c r="G1265" i="6"/>
  <c r="I1273" i="6"/>
  <c r="A1273" i="6"/>
  <c r="F1273" i="6"/>
  <c r="E1273" i="6"/>
  <c r="D1273" i="6"/>
  <c r="C1273" i="6"/>
  <c r="J1273" i="6"/>
  <c r="B1273" i="6"/>
  <c r="H1273" i="6"/>
  <c r="G1273" i="6"/>
  <c r="I1281" i="6"/>
  <c r="A1281" i="6"/>
  <c r="F1281" i="6"/>
  <c r="E1281" i="6"/>
  <c r="D1281" i="6"/>
  <c r="C1281" i="6"/>
  <c r="J1281" i="6"/>
  <c r="B1281" i="6"/>
  <c r="H1281" i="6"/>
  <c r="G1281" i="6"/>
  <c r="I1289" i="6"/>
  <c r="A1289" i="6"/>
  <c r="F1289" i="6"/>
  <c r="E1289" i="6"/>
  <c r="D1289" i="6"/>
  <c r="C1289" i="6"/>
  <c r="J1289" i="6"/>
  <c r="B1289" i="6"/>
  <c r="H1289" i="6"/>
  <c r="G1289" i="6"/>
  <c r="I1297" i="6"/>
  <c r="A1297" i="6"/>
  <c r="F1297" i="6"/>
  <c r="E1297" i="6"/>
  <c r="D1297" i="6"/>
  <c r="C1297" i="6"/>
  <c r="J1297" i="6"/>
  <c r="B1297" i="6"/>
  <c r="H1297" i="6"/>
  <c r="G1297" i="6"/>
  <c r="I1305" i="6"/>
  <c r="A1305" i="6"/>
  <c r="F1305" i="6"/>
  <c r="E1305" i="6"/>
  <c r="D1305" i="6"/>
  <c r="C1305" i="6"/>
  <c r="J1305" i="6"/>
  <c r="B1305" i="6"/>
  <c r="H1305" i="6"/>
  <c r="G1305" i="6"/>
  <c r="I1313" i="6"/>
  <c r="A1313" i="6"/>
  <c r="F1313" i="6"/>
  <c r="E1313" i="6"/>
  <c r="D1313" i="6"/>
  <c r="C1313" i="6"/>
  <c r="J1313" i="6"/>
  <c r="B1313" i="6"/>
  <c r="H1313" i="6"/>
  <c r="G1313" i="6"/>
  <c r="I1321" i="6"/>
  <c r="A1321" i="6"/>
  <c r="F1321" i="6"/>
  <c r="E1321" i="6"/>
  <c r="D1321" i="6"/>
  <c r="C1321" i="6"/>
  <c r="J1321" i="6"/>
  <c r="B1321" i="6"/>
  <c r="H1321" i="6"/>
  <c r="G1321" i="6"/>
  <c r="I1329" i="6"/>
  <c r="A1329" i="6"/>
  <c r="F1329" i="6"/>
  <c r="E1329" i="6"/>
  <c r="D1329" i="6"/>
  <c r="C1329" i="6"/>
  <c r="J1329" i="6"/>
  <c r="B1329" i="6"/>
  <c r="H1329" i="6"/>
  <c r="G1329" i="6"/>
  <c r="I1337" i="6"/>
  <c r="A1337" i="6"/>
  <c r="F1337" i="6"/>
  <c r="E1337" i="6"/>
  <c r="D1337" i="6"/>
  <c r="C1337" i="6"/>
  <c r="J1337" i="6"/>
  <c r="B1337" i="6"/>
  <c r="H1337" i="6"/>
  <c r="G1337" i="6"/>
  <c r="G1345" i="6"/>
  <c r="F1345" i="6"/>
  <c r="C1345" i="6"/>
  <c r="J1345" i="6"/>
  <c r="E1345" i="6"/>
  <c r="D1345" i="6"/>
  <c r="B1345" i="6"/>
  <c r="A1345" i="6"/>
  <c r="H1345" i="6"/>
  <c r="I1345" i="6"/>
  <c r="G1353" i="6"/>
  <c r="F1353" i="6"/>
  <c r="C1353" i="6"/>
  <c r="A1353" i="6"/>
  <c r="I1353" i="6"/>
  <c r="H1353" i="6"/>
  <c r="E1353" i="6"/>
  <c r="D1353" i="6"/>
  <c r="B1353" i="6"/>
  <c r="J1353" i="6"/>
  <c r="G1361" i="6"/>
  <c r="F1361" i="6"/>
  <c r="C1361" i="6"/>
  <c r="D1361" i="6"/>
  <c r="J1361" i="6"/>
  <c r="I1361" i="6"/>
  <c r="H1361" i="6"/>
  <c r="E1361" i="6"/>
  <c r="B1361" i="6"/>
  <c r="A1361" i="6"/>
  <c r="G1369" i="6"/>
  <c r="F1369" i="6"/>
  <c r="C1369" i="6"/>
  <c r="H1369" i="6"/>
  <c r="B1369" i="6"/>
  <c r="A1369" i="6"/>
  <c r="J1369" i="6"/>
  <c r="I1369" i="6"/>
  <c r="E1369" i="6"/>
  <c r="D1369" i="6"/>
  <c r="G1377" i="6"/>
  <c r="F1377" i="6"/>
  <c r="C1377" i="6"/>
  <c r="J1377" i="6"/>
  <c r="E1377" i="6"/>
  <c r="D1377" i="6"/>
  <c r="B1377" i="6"/>
  <c r="A1377" i="6"/>
  <c r="I1377" i="6"/>
  <c r="H1377" i="6"/>
  <c r="G1385" i="6"/>
  <c r="F1385" i="6"/>
  <c r="C1385" i="6"/>
  <c r="A1385" i="6"/>
  <c r="I1385" i="6"/>
  <c r="H1385" i="6"/>
  <c r="E1385" i="6"/>
  <c r="D1385" i="6"/>
  <c r="B1385" i="6"/>
  <c r="J1385" i="6"/>
  <c r="G1393" i="6"/>
  <c r="F1393" i="6"/>
  <c r="C1393" i="6"/>
  <c r="D1393" i="6"/>
  <c r="J1393" i="6"/>
  <c r="I1393" i="6"/>
  <c r="H1393" i="6"/>
  <c r="E1393" i="6"/>
  <c r="A1393" i="6"/>
  <c r="B1393" i="6"/>
  <c r="G1401" i="6"/>
  <c r="F1401" i="6"/>
  <c r="C1401" i="6"/>
  <c r="H1401" i="6"/>
  <c r="B1401" i="6"/>
  <c r="A1401" i="6"/>
  <c r="J1401" i="6"/>
  <c r="I1401" i="6"/>
  <c r="E1401" i="6"/>
  <c r="D1401" i="6"/>
  <c r="G1409" i="6"/>
  <c r="F1409" i="6"/>
  <c r="C1409" i="6"/>
  <c r="J1409" i="6"/>
  <c r="E1409" i="6"/>
  <c r="D1409" i="6"/>
  <c r="B1409" i="6"/>
  <c r="A1409" i="6"/>
  <c r="I1409" i="6"/>
  <c r="H1409" i="6"/>
  <c r="G1417" i="6"/>
  <c r="F1417" i="6"/>
  <c r="C1417" i="6"/>
  <c r="A1417" i="6"/>
  <c r="I1417" i="6"/>
  <c r="H1417" i="6"/>
  <c r="E1417" i="6"/>
  <c r="D1417" i="6"/>
  <c r="B1417" i="6"/>
  <c r="J1417" i="6"/>
  <c r="G1425" i="6"/>
  <c r="F1425" i="6"/>
  <c r="C1425" i="6"/>
  <c r="D1425" i="6"/>
  <c r="J1425" i="6"/>
  <c r="I1425" i="6"/>
  <c r="H1425" i="6"/>
  <c r="E1425" i="6"/>
  <c r="B1425" i="6"/>
  <c r="A1425" i="6"/>
  <c r="J1433" i="6"/>
  <c r="G1433" i="6"/>
  <c r="F1433" i="6"/>
  <c r="C1433" i="6"/>
  <c r="H1433" i="6"/>
  <c r="B1433" i="6"/>
  <c r="A1433" i="6"/>
  <c r="I1433" i="6"/>
  <c r="D1433" i="6"/>
  <c r="E1433" i="6"/>
  <c r="D1441" i="6"/>
  <c r="J1441" i="6"/>
  <c r="B1441" i="6"/>
  <c r="H1441" i="6"/>
  <c r="F1441" i="6"/>
  <c r="G1441" i="6"/>
  <c r="C1441" i="6"/>
  <c r="I1441" i="6"/>
  <c r="E1441" i="6"/>
  <c r="A1441" i="6"/>
  <c r="D1449" i="6"/>
  <c r="J1449" i="6"/>
  <c r="B1449" i="6"/>
  <c r="H1449" i="6"/>
  <c r="F1449" i="6"/>
  <c r="G1449" i="6"/>
  <c r="C1449" i="6"/>
  <c r="E1449" i="6"/>
  <c r="I1449" i="6"/>
  <c r="A1449" i="6"/>
  <c r="D1457" i="6"/>
  <c r="J1457" i="6"/>
  <c r="B1457" i="6"/>
  <c r="H1457" i="6"/>
  <c r="F1457" i="6"/>
  <c r="G1457" i="6"/>
  <c r="C1457" i="6"/>
  <c r="I1457" i="6"/>
  <c r="E1457" i="6"/>
  <c r="A1457" i="6"/>
  <c r="D1465" i="6"/>
  <c r="J1465" i="6"/>
  <c r="B1465" i="6"/>
  <c r="H1465" i="6"/>
  <c r="F1465" i="6"/>
  <c r="G1465" i="6"/>
  <c r="C1465" i="6"/>
  <c r="E1465" i="6"/>
  <c r="I1465" i="6"/>
  <c r="A1465" i="6"/>
  <c r="D1473" i="6"/>
  <c r="J1473" i="6"/>
  <c r="B1473" i="6"/>
  <c r="H1473" i="6"/>
  <c r="F1473" i="6"/>
  <c r="G1473" i="6"/>
  <c r="C1473" i="6"/>
  <c r="I1473" i="6"/>
  <c r="E1473" i="6"/>
  <c r="A1473" i="6"/>
  <c r="D1481" i="6"/>
  <c r="J1481" i="6"/>
  <c r="B1481" i="6"/>
  <c r="H1481" i="6"/>
  <c r="F1481" i="6"/>
  <c r="G1481" i="6"/>
  <c r="C1481" i="6"/>
  <c r="E1481" i="6"/>
  <c r="I1481" i="6"/>
  <c r="A1481" i="6"/>
  <c r="D1489" i="6"/>
  <c r="J1489" i="6"/>
  <c r="B1489" i="6"/>
  <c r="H1489" i="6"/>
  <c r="F1489" i="6"/>
  <c r="G1489" i="6"/>
  <c r="C1489" i="6"/>
  <c r="I1489" i="6"/>
  <c r="E1489" i="6"/>
  <c r="A1489" i="6"/>
  <c r="D1497" i="6"/>
  <c r="J1497" i="6"/>
  <c r="B1497" i="6"/>
  <c r="H1497" i="6"/>
  <c r="F1497" i="6"/>
  <c r="G1497" i="6"/>
  <c r="C1497" i="6"/>
  <c r="E1497" i="6"/>
  <c r="I1497" i="6"/>
  <c r="A1497" i="6"/>
  <c r="D1505" i="6"/>
  <c r="J1505" i="6"/>
  <c r="B1505" i="6"/>
  <c r="H1505" i="6"/>
  <c r="F1505" i="6"/>
  <c r="G1505" i="6"/>
  <c r="C1505" i="6"/>
  <c r="I1505" i="6"/>
  <c r="E1505" i="6"/>
  <c r="A1505" i="6"/>
  <c r="D1513" i="6"/>
  <c r="J1513" i="6"/>
  <c r="B1513" i="6"/>
  <c r="H1513" i="6"/>
  <c r="F1513" i="6"/>
  <c r="G1513" i="6"/>
  <c r="C1513" i="6"/>
  <c r="E1513" i="6"/>
  <c r="I1513" i="6"/>
  <c r="A1513" i="6"/>
  <c r="D1521" i="6"/>
  <c r="J1521" i="6"/>
  <c r="B1521" i="6"/>
  <c r="H1521" i="6"/>
  <c r="F1521" i="6"/>
  <c r="G1521" i="6"/>
  <c r="C1521" i="6"/>
  <c r="I1521" i="6"/>
  <c r="E1521" i="6"/>
  <c r="A1521" i="6"/>
  <c r="D1529" i="6"/>
  <c r="J1529" i="6"/>
  <c r="B1529" i="6"/>
  <c r="H1529" i="6"/>
  <c r="F1529" i="6"/>
  <c r="G1529" i="6"/>
  <c r="C1529" i="6"/>
  <c r="E1529" i="6"/>
  <c r="I1529" i="6"/>
  <c r="A1529" i="6"/>
  <c r="D1537" i="6"/>
  <c r="J1537" i="6"/>
  <c r="B1537" i="6"/>
  <c r="H1537" i="6"/>
  <c r="F1537" i="6"/>
  <c r="G1537" i="6"/>
  <c r="C1537" i="6"/>
  <c r="I1537" i="6"/>
  <c r="E1537" i="6"/>
  <c r="A1537" i="6"/>
  <c r="D1545" i="6"/>
  <c r="J1545" i="6"/>
  <c r="B1545" i="6"/>
  <c r="H1545" i="6"/>
  <c r="F1545" i="6"/>
  <c r="G1545" i="6"/>
  <c r="C1545" i="6"/>
  <c r="E1545" i="6"/>
  <c r="I1545" i="6"/>
  <c r="A1545" i="6"/>
  <c r="D1553" i="6"/>
  <c r="J1553" i="6"/>
  <c r="B1553" i="6"/>
  <c r="H1553" i="6"/>
  <c r="F1553" i="6"/>
  <c r="G1553" i="6"/>
  <c r="C1553" i="6"/>
  <c r="I1553" i="6"/>
  <c r="E1553" i="6"/>
  <c r="A1553" i="6"/>
  <c r="D1561" i="6"/>
  <c r="J1561" i="6"/>
  <c r="B1561" i="6"/>
  <c r="H1561" i="6"/>
  <c r="F1561" i="6"/>
  <c r="G1561" i="6"/>
  <c r="C1561" i="6"/>
  <c r="E1561" i="6"/>
  <c r="I1561" i="6"/>
  <c r="A1561" i="6"/>
  <c r="D1569" i="6"/>
  <c r="C1569" i="6"/>
  <c r="I1569" i="6"/>
  <c r="A1569" i="6"/>
  <c r="H1569" i="6"/>
  <c r="G1569" i="6"/>
  <c r="F1569" i="6"/>
  <c r="B1569" i="6"/>
  <c r="E1569" i="6"/>
  <c r="J1569" i="6"/>
  <c r="D1577" i="6"/>
  <c r="C1577" i="6"/>
  <c r="I1577" i="6"/>
  <c r="A1577" i="6"/>
  <c r="H1577" i="6"/>
  <c r="G1577" i="6"/>
  <c r="F1577" i="6"/>
  <c r="B1577" i="6"/>
  <c r="E1577" i="6"/>
  <c r="J1577" i="6"/>
  <c r="D1585" i="6"/>
  <c r="C1585" i="6"/>
  <c r="I1585" i="6"/>
  <c r="A1585" i="6"/>
  <c r="H1585" i="6"/>
  <c r="G1585" i="6"/>
  <c r="F1585" i="6"/>
  <c r="B1585" i="6"/>
  <c r="E1585" i="6"/>
  <c r="J1585" i="6"/>
  <c r="D1593" i="6"/>
  <c r="C1593" i="6"/>
  <c r="I1593" i="6"/>
  <c r="A1593" i="6"/>
  <c r="H1593" i="6"/>
  <c r="G1593" i="6"/>
  <c r="B1593" i="6"/>
  <c r="F1593" i="6"/>
  <c r="J1593" i="6"/>
  <c r="E1593" i="6"/>
  <c r="D1601" i="6"/>
  <c r="C1601" i="6"/>
  <c r="I1601" i="6"/>
  <c r="A1601" i="6"/>
  <c r="H1601" i="6"/>
  <c r="G1601" i="6"/>
  <c r="F1601" i="6"/>
  <c r="B1601" i="6"/>
  <c r="E1601" i="6"/>
  <c r="J1601" i="6"/>
  <c r="D1609" i="6"/>
  <c r="C1609" i="6"/>
  <c r="I1609" i="6"/>
  <c r="A1609" i="6"/>
  <c r="H1609" i="6"/>
  <c r="G1609" i="6"/>
  <c r="F1609" i="6"/>
  <c r="B1609" i="6"/>
  <c r="J1609" i="6"/>
  <c r="E1609" i="6"/>
  <c r="D1617" i="6"/>
  <c r="C1617" i="6"/>
  <c r="I1617" i="6"/>
  <c r="A1617" i="6"/>
  <c r="H1617" i="6"/>
  <c r="G1617" i="6"/>
  <c r="F1617" i="6"/>
  <c r="B1617" i="6"/>
  <c r="J1617" i="6"/>
  <c r="E1617" i="6"/>
  <c r="D1625" i="6"/>
  <c r="C1625" i="6"/>
  <c r="I1625" i="6"/>
  <c r="A1625" i="6"/>
  <c r="H1625" i="6"/>
  <c r="G1625" i="6"/>
  <c r="B1625" i="6"/>
  <c r="F1625" i="6"/>
  <c r="J1625" i="6"/>
  <c r="E1625" i="6"/>
  <c r="D1633" i="6"/>
  <c r="C1633" i="6"/>
  <c r="I1633" i="6"/>
  <c r="A1633" i="6"/>
  <c r="H1633" i="6"/>
  <c r="G1633" i="6"/>
  <c r="F1633" i="6"/>
  <c r="B1633" i="6"/>
  <c r="E1633" i="6"/>
  <c r="J1633" i="6"/>
  <c r="D1641" i="6"/>
  <c r="C1641" i="6"/>
  <c r="I1641" i="6"/>
  <c r="A1641" i="6"/>
  <c r="H1641" i="6"/>
  <c r="G1641" i="6"/>
  <c r="F1641" i="6"/>
  <c r="B1641" i="6"/>
  <c r="J1641" i="6"/>
  <c r="E1641" i="6"/>
  <c r="D1649" i="6"/>
  <c r="C1649" i="6"/>
  <c r="I1649" i="6"/>
  <c r="A1649" i="6"/>
  <c r="H1649" i="6"/>
  <c r="G1649" i="6"/>
  <c r="F1649" i="6"/>
  <c r="B1649" i="6"/>
  <c r="E1649" i="6"/>
  <c r="J1649" i="6"/>
  <c r="D1657" i="6"/>
  <c r="C1657" i="6"/>
  <c r="I1657" i="6"/>
  <c r="A1657" i="6"/>
  <c r="H1657" i="6"/>
  <c r="G1657" i="6"/>
  <c r="B1657" i="6"/>
  <c r="F1657" i="6"/>
  <c r="J1657" i="6"/>
  <c r="E1657" i="6"/>
  <c r="E1665" i="6"/>
  <c r="D1665" i="6"/>
  <c r="J1665" i="6"/>
  <c r="B1665" i="6"/>
  <c r="H1665" i="6"/>
  <c r="G1665" i="6"/>
  <c r="F1665" i="6"/>
  <c r="A1665" i="6"/>
  <c r="C1665" i="6"/>
  <c r="I1665" i="6"/>
  <c r="E1673" i="6"/>
  <c r="D1673" i="6"/>
  <c r="J1673" i="6"/>
  <c r="B1673" i="6"/>
  <c r="H1673" i="6"/>
  <c r="G1673" i="6"/>
  <c r="F1673" i="6"/>
  <c r="A1673" i="6"/>
  <c r="I1673" i="6"/>
  <c r="C1673" i="6"/>
  <c r="E1681" i="6"/>
  <c r="D1681" i="6"/>
  <c r="J1681" i="6"/>
  <c r="B1681" i="6"/>
  <c r="H1681" i="6"/>
  <c r="G1681" i="6"/>
  <c r="F1681" i="6"/>
  <c r="A1681" i="6"/>
  <c r="C1681" i="6"/>
  <c r="I1681" i="6"/>
  <c r="E1689" i="6"/>
  <c r="D1689" i="6"/>
  <c r="J1689" i="6"/>
  <c r="B1689" i="6"/>
  <c r="H1689" i="6"/>
  <c r="G1689" i="6"/>
  <c r="F1689" i="6"/>
  <c r="A1689" i="6"/>
  <c r="I1689" i="6"/>
  <c r="C1689" i="6"/>
  <c r="E1697" i="6"/>
  <c r="D1697" i="6"/>
  <c r="J1697" i="6"/>
  <c r="B1697" i="6"/>
  <c r="H1697" i="6"/>
  <c r="G1697" i="6"/>
  <c r="F1697" i="6"/>
  <c r="A1697" i="6"/>
  <c r="C1697" i="6"/>
  <c r="I1697" i="6"/>
  <c r="E1705" i="6"/>
  <c r="D1705" i="6"/>
  <c r="J1705" i="6"/>
  <c r="B1705" i="6"/>
  <c r="H1705" i="6"/>
  <c r="G1705" i="6"/>
  <c r="F1705" i="6"/>
  <c r="A1705" i="6"/>
  <c r="I1705" i="6"/>
  <c r="C1705" i="6"/>
  <c r="E1713" i="6"/>
  <c r="D1713" i="6"/>
  <c r="J1713" i="6"/>
  <c r="B1713" i="6"/>
  <c r="H1713" i="6"/>
  <c r="G1713" i="6"/>
  <c r="F1713" i="6"/>
  <c r="A1713" i="6"/>
  <c r="C1713" i="6"/>
  <c r="I1713" i="6"/>
  <c r="E1721" i="6"/>
  <c r="D1721" i="6"/>
  <c r="J1721" i="6"/>
  <c r="B1721" i="6"/>
  <c r="H1721" i="6"/>
  <c r="G1721" i="6"/>
  <c r="F1721" i="6"/>
  <c r="A1721" i="6"/>
  <c r="I1721" i="6"/>
  <c r="C1721" i="6"/>
  <c r="E1729" i="6"/>
  <c r="D1729" i="6"/>
  <c r="J1729" i="6"/>
  <c r="B1729" i="6"/>
  <c r="H1729" i="6"/>
  <c r="G1729" i="6"/>
  <c r="F1729" i="6"/>
  <c r="A1729" i="6"/>
  <c r="I1729" i="6"/>
  <c r="C1729" i="6"/>
  <c r="J1737" i="6"/>
  <c r="B1737" i="6"/>
  <c r="H1737" i="6"/>
  <c r="I1737" i="6"/>
  <c r="G1737" i="6"/>
  <c r="E1737" i="6"/>
  <c r="C1737" i="6"/>
  <c r="A1737" i="6"/>
  <c r="D1737" i="6"/>
  <c r="F1737" i="6"/>
  <c r="J1745" i="6"/>
  <c r="B1745" i="6"/>
  <c r="H1745" i="6"/>
  <c r="F1745" i="6"/>
  <c r="G1745" i="6"/>
  <c r="D1745" i="6"/>
  <c r="E1745" i="6"/>
  <c r="C1745" i="6"/>
  <c r="A1745" i="6"/>
  <c r="I1745" i="6"/>
  <c r="J1753" i="6"/>
  <c r="B1753" i="6"/>
  <c r="H1753" i="6"/>
  <c r="F1753" i="6"/>
  <c r="C1753" i="6"/>
  <c r="A1753" i="6"/>
  <c r="G1753" i="6"/>
  <c r="E1753" i="6"/>
  <c r="D1753" i="6"/>
  <c r="I1753" i="6"/>
  <c r="J1761" i="6"/>
  <c r="B1761" i="6"/>
  <c r="H1761" i="6"/>
  <c r="F1761" i="6"/>
  <c r="E1761" i="6"/>
  <c r="D1761" i="6"/>
  <c r="A1761" i="6"/>
  <c r="I1761" i="6"/>
  <c r="G1761" i="6"/>
  <c r="C1761" i="6"/>
  <c r="J1769" i="6"/>
  <c r="B1769" i="6"/>
  <c r="H1769" i="6"/>
  <c r="F1769" i="6"/>
  <c r="I1769" i="6"/>
  <c r="G1769" i="6"/>
  <c r="D1769" i="6"/>
  <c r="A1769" i="6"/>
  <c r="C1769" i="6"/>
  <c r="E1769" i="6"/>
  <c r="J1777" i="6"/>
  <c r="B1777" i="6"/>
  <c r="H1777" i="6"/>
  <c r="F1777" i="6"/>
  <c r="G1777" i="6"/>
  <c r="D1777" i="6"/>
  <c r="C1777" i="6"/>
  <c r="A1777" i="6"/>
  <c r="E1777" i="6"/>
  <c r="I1777" i="6"/>
  <c r="J1785" i="6"/>
  <c r="B1785" i="6"/>
  <c r="H1785" i="6"/>
  <c r="F1785" i="6"/>
  <c r="C1785" i="6"/>
  <c r="A1785" i="6"/>
  <c r="G1785" i="6"/>
  <c r="I1785" i="6"/>
  <c r="E1785" i="6"/>
  <c r="D1785" i="6"/>
  <c r="J1793" i="6"/>
  <c r="B1793" i="6"/>
  <c r="H1793" i="6"/>
  <c r="F1793" i="6"/>
  <c r="E1793" i="6"/>
  <c r="D1793" i="6"/>
  <c r="A1793" i="6"/>
  <c r="I1793" i="6"/>
  <c r="G1793" i="6"/>
  <c r="C1793" i="6"/>
  <c r="J1801" i="6"/>
  <c r="B1801" i="6"/>
  <c r="H1801" i="6"/>
  <c r="F1801" i="6"/>
  <c r="I1801" i="6"/>
  <c r="G1801" i="6"/>
  <c r="D1801" i="6"/>
  <c r="A1801" i="6"/>
  <c r="C1801" i="6"/>
  <c r="E1801" i="6"/>
  <c r="J1809" i="6"/>
  <c r="B1809" i="6"/>
  <c r="H1809" i="6"/>
  <c r="F1809" i="6"/>
  <c r="G1809" i="6"/>
  <c r="D1809" i="6"/>
  <c r="E1809" i="6"/>
  <c r="C1809" i="6"/>
  <c r="A1809" i="6"/>
  <c r="I1809" i="6"/>
  <c r="J1817" i="6"/>
  <c r="B1817" i="6"/>
  <c r="H1817" i="6"/>
  <c r="F1817" i="6"/>
  <c r="C1817" i="6"/>
  <c r="A1817" i="6"/>
  <c r="G1817" i="6"/>
  <c r="E1817" i="6"/>
  <c r="D1817" i="6"/>
  <c r="I1817" i="6"/>
  <c r="J1825" i="6"/>
  <c r="B1825" i="6"/>
  <c r="H1825" i="6"/>
  <c r="F1825" i="6"/>
  <c r="E1825" i="6"/>
  <c r="D1825" i="6"/>
  <c r="A1825" i="6"/>
  <c r="I1825" i="6"/>
  <c r="G1825" i="6"/>
  <c r="C1825" i="6"/>
  <c r="J1833" i="6"/>
  <c r="B1833" i="6"/>
  <c r="H1833" i="6"/>
  <c r="F1833" i="6"/>
  <c r="I1833" i="6"/>
  <c r="G1833" i="6"/>
  <c r="D1833" i="6"/>
  <c r="A1833" i="6"/>
  <c r="C1833" i="6"/>
  <c r="E1833" i="6"/>
  <c r="J1841" i="6"/>
  <c r="B1841" i="6"/>
  <c r="H1841" i="6"/>
  <c r="F1841" i="6"/>
  <c r="G1841" i="6"/>
  <c r="D1841" i="6"/>
  <c r="C1841" i="6"/>
  <c r="A1841" i="6"/>
  <c r="E1841" i="6"/>
  <c r="I1841" i="6"/>
  <c r="J1849" i="6"/>
  <c r="B1849" i="6"/>
  <c r="H1849" i="6"/>
  <c r="F1849" i="6"/>
  <c r="C1849" i="6"/>
  <c r="A1849" i="6"/>
  <c r="G1849" i="6"/>
  <c r="I1849" i="6"/>
  <c r="E1849" i="6"/>
  <c r="D1849" i="6"/>
  <c r="J1857" i="6"/>
  <c r="B1857" i="6"/>
  <c r="H1857" i="6"/>
  <c r="F1857" i="6"/>
  <c r="E1857" i="6"/>
  <c r="D1857" i="6"/>
  <c r="A1857" i="6"/>
  <c r="I1857" i="6"/>
  <c r="G1857" i="6"/>
  <c r="C1857" i="6"/>
  <c r="I1865" i="6"/>
  <c r="A1865" i="6"/>
  <c r="G1865" i="6"/>
  <c r="F1865" i="6"/>
  <c r="D1865" i="6"/>
  <c r="B1865" i="6"/>
  <c r="C1865" i="6"/>
  <c r="J1865" i="6"/>
  <c r="H1865" i="6"/>
  <c r="E1865" i="6"/>
  <c r="I1873" i="6"/>
  <c r="A1873" i="6"/>
  <c r="G1873" i="6"/>
  <c r="E1873" i="6"/>
  <c r="F1873" i="6"/>
  <c r="C1873" i="6"/>
  <c r="J1873" i="6"/>
  <c r="D1873" i="6"/>
  <c r="H1873" i="6"/>
  <c r="B1873" i="6"/>
  <c r="I1881" i="6"/>
  <c r="A1881" i="6"/>
  <c r="G1881" i="6"/>
  <c r="E1881" i="6"/>
  <c r="J1881" i="6"/>
  <c r="F1881" i="6"/>
  <c r="C1881" i="6"/>
  <c r="H1881" i="6"/>
  <c r="D1881" i="6"/>
  <c r="B1881" i="6"/>
  <c r="I1889" i="6"/>
  <c r="A1889" i="6"/>
  <c r="G1889" i="6"/>
  <c r="E1889" i="6"/>
  <c r="J1889" i="6"/>
  <c r="F1889" i="6"/>
  <c r="D1889" i="6"/>
  <c r="C1889" i="6"/>
  <c r="B1889" i="6"/>
  <c r="H1889" i="6"/>
  <c r="I1897" i="6"/>
  <c r="A1897" i="6"/>
  <c r="G1897" i="6"/>
  <c r="E1897" i="6"/>
  <c r="C1897" i="6"/>
  <c r="J1897" i="6"/>
  <c r="H1897" i="6"/>
  <c r="F1897" i="6"/>
  <c r="B1897" i="6"/>
  <c r="D1897" i="6"/>
  <c r="I1905" i="6"/>
  <c r="A1905" i="6"/>
  <c r="G1905" i="6"/>
  <c r="H1905" i="6"/>
  <c r="E1905" i="6"/>
  <c r="F1905" i="6"/>
  <c r="C1905" i="6"/>
  <c r="J1905" i="6"/>
  <c r="B1905" i="6"/>
  <c r="D1905" i="6"/>
  <c r="I1913" i="6"/>
  <c r="A1913" i="6"/>
  <c r="G1913" i="6"/>
  <c r="E1913" i="6"/>
  <c r="C1913" i="6"/>
  <c r="B1913" i="6"/>
  <c r="J1913" i="6"/>
  <c r="F1913" i="6"/>
  <c r="D1913" i="6"/>
  <c r="H1913" i="6"/>
  <c r="I1921" i="6"/>
  <c r="A1921" i="6"/>
  <c r="G1921" i="6"/>
  <c r="H1921" i="6"/>
  <c r="E1921" i="6"/>
  <c r="J1921" i="6"/>
  <c r="D1921" i="6"/>
  <c r="B1921" i="6"/>
  <c r="C1921" i="6"/>
  <c r="F1921" i="6"/>
  <c r="I1929" i="6"/>
  <c r="A1929" i="6"/>
  <c r="G1929" i="6"/>
  <c r="E1929" i="6"/>
  <c r="C1929" i="6"/>
  <c r="H1929" i="6"/>
  <c r="J1929" i="6"/>
  <c r="F1929" i="6"/>
  <c r="B1929" i="6"/>
  <c r="D1929" i="6"/>
  <c r="I1937" i="6"/>
  <c r="A1937" i="6"/>
  <c r="G1937" i="6"/>
  <c r="H1937" i="6"/>
  <c r="E1937" i="6"/>
  <c r="F1937" i="6"/>
  <c r="C1937" i="6"/>
  <c r="J1937" i="6"/>
  <c r="D1937" i="6"/>
  <c r="B1937" i="6"/>
  <c r="I1945" i="6"/>
  <c r="A1945" i="6"/>
  <c r="G1945" i="6"/>
  <c r="E1945" i="6"/>
  <c r="C1945" i="6"/>
  <c r="J1945" i="6"/>
  <c r="F1945" i="6"/>
  <c r="D1945" i="6"/>
  <c r="B1945" i="6"/>
  <c r="H1945" i="6"/>
  <c r="I1953" i="6"/>
  <c r="A1953" i="6"/>
  <c r="G1953" i="6"/>
  <c r="E1953" i="6"/>
  <c r="D1953" i="6"/>
  <c r="B1953" i="6"/>
  <c r="C1953" i="6"/>
  <c r="H1953" i="6"/>
  <c r="F1953" i="6"/>
  <c r="J1953" i="6"/>
  <c r="I1961" i="6"/>
  <c r="A1961" i="6"/>
  <c r="G1961" i="6"/>
  <c r="E1961" i="6"/>
  <c r="H1961" i="6"/>
  <c r="D1961" i="6"/>
  <c r="B1961" i="6"/>
  <c r="J1961" i="6"/>
  <c r="C1961" i="6"/>
  <c r="F1961" i="6"/>
  <c r="I1969" i="6"/>
  <c r="A1969" i="6"/>
  <c r="G1969" i="6"/>
  <c r="E1969" i="6"/>
  <c r="H1969" i="6"/>
  <c r="D1969" i="6"/>
  <c r="F1969" i="6"/>
  <c r="C1969" i="6"/>
  <c r="J1969" i="6"/>
  <c r="B1969" i="6"/>
  <c r="I1977" i="6"/>
  <c r="A1977" i="6"/>
  <c r="G1977" i="6"/>
  <c r="E1977" i="6"/>
  <c r="B1977" i="6"/>
  <c r="H1977" i="6"/>
  <c r="J1977" i="6"/>
  <c r="D1977" i="6"/>
  <c r="C1977" i="6"/>
  <c r="F1977" i="6"/>
  <c r="I1985" i="6"/>
  <c r="A1985" i="6"/>
  <c r="G1985" i="6"/>
  <c r="E1985" i="6"/>
  <c r="D1985" i="6"/>
  <c r="B1985" i="6"/>
  <c r="H1985" i="6"/>
  <c r="F1985" i="6"/>
  <c r="J1985" i="6"/>
  <c r="C1985" i="6"/>
  <c r="J1993" i="6"/>
  <c r="B1993" i="6"/>
  <c r="F1993" i="6"/>
  <c r="G1993" i="6"/>
  <c r="D1993" i="6"/>
  <c r="A1993" i="6"/>
  <c r="C1993" i="6"/>
  <c r="H1993" i="6"/>
  <c r="E1993" i="6"/>
  <c r="I1993" i="6"/>
  <c r="J2001" i="6"/>
  <c r="B2001" i="6"/>
  <c r="F2001" i="6"/>
  <c r="A2001" i="6"/>
  <c r="I2001" i="6"/>
  <c r="G2001" i="6"/>
  <c r="E2001" i="6"/>
  <c r="C2001" i="6"/>
  <c r="D2001" i="6"/>
  <c r="H2001" i="6"/>
  <c r="B5" i="6"/>
  <c r="B9" i="6"/>
  <c r="D9" i="41"/>
  <c r="G4" i="36"/>
  <c r="G4" i="39"/>
  <c r="D4" i="39"/>
  <c r="A4" i="39"/>
  <c r="A6" i="38"/>
  <c r="D4" i="36"/>
  <c r="A4" i="36"/>
  <c r="A6" i="35"/>
  <c r="G4" i="33"/>
  <c r="D4" i="33"/>
  <c r="A4" i="33"/>
  <c r="A6" i="32"/>
  <c r="D4" i="30"/>
  <c r="A6" i="29"/>
  <c r="G4" i="27"/>
  <c r="G4" i="30"/>
  <c r="D4" i="27"/>
  <c r="G4" i="21"/>
  <c r="G4" i="24"/>
  <c r="A4" i="21"/>
  <c r="A4" i="30"/>
  <c r="A6" i="26"/>
  <c r="D4" i="24"/>
  <c r="A4" i="24"/>
  <c r="A6" i="23"/>
  <c r="A4" i="27"/>
  <c r="D4" i="21"/>
  <c r="A6" i="20"/>
  <c r="G4" i="18"/>
  <c r="A4" i="18"/>
  <c r="A6" i="17"/>
  <c r="G4" i="15"/>
  <c r="D4" i="18"/>
  <c r="D4" i="15"/>
  <c r="A4" i="15"/>
  <c r="A6" i="14"/>
  <c r="D4" i="12"/>
  <c r="A4" i="12"/>
  <c r="A6" i="11"/>
  <c r="G4" i="12"/>
  <c r="D29" i="41"/>
  <c r="D21" i="41"/>
  <c r="D28" i="41"/>
  <c r="D20" i="41"/>
  <c r="D27" i="41"/>
  <c r="D26" i="41"/>
  <c r="D25" i="41"/>
  <c r="D24" i="41"/>
  <c r="D23" i="41"/>
  <c r="D22" i="41"/>
  <c r="D4" i="38"/>
  <c r="A6" i="39"/>
  <c r="A4" i="38"/>
  <c r="A6" i="36"/>
  <c r="A6" i="33"/>
  <c r="D4" i="35"/>
  <c r="A4" i="35"/>
  <c r="A6" i="30"/>
  <c r="D4" i="32"/>
  <c r="A6" i="27"/>
  <c r="A4" i="26"/>
  <c r="D4" i="29"/>
  <c r="A4" i="29"/>
  <c r="D4" i="23"/>
  <c r="A6" i="24"/>
  <c r="A4" i="23"/>
  <c r="A4" i="32"/>
  <c r="D4" i="26"/>
  <c r="A6" i="21"/>
  <c r="D4" i="20"/>
  <c r="A4" i="20"/>
  <c r="D4" i="17"/>
  <c r="A6" i="18"/>
  <c r="A4" i="17"/>
  <c r="D4" i="14"/>
  <c r="A6" i="15"/>
  <c r="A4" i="14"/>
  <c r="D4" i="11"/>
  <c r="A6" i="12"/>
  <c r="A4" i="11"/>
  <c r="D10" i="41"/>
  <c r="D4" i="40"/>
  <c r="A4" i="40"/>
  <c r="D4" i="37"/>
  <c r="A4" i="37"/>
  <c r="A4" i="34"/>
  <c r="D4" i="31"/>
  <c r="A4" i="31"/>
  <c r="D4" i="34"/>
  <c r="D4" i="28"/>
  <c r="A4" i="28"/>
  <c r="D4" i="22"/>
  <c r="D4" i="25"/>
  <c r="A4" i="22"/>
  <c r="A4" i="25"/>
  <c r="D4" i="19"/>
  <c r="A4" i="19"/>
  <c r="D4" i="16"/>
  <c r="A4" i="16"/>
  <c r="D14" i="41"/>
  <c r="D17" i="41" s="1"/>
  <c r="A4" i="13"/>
  <c r="D4" i="13"/>
  <c r="D15" i="41"/>
  <c r="C19" i="4" l="1"/>
  <c r="D19" i="4"/>
  <c r="M1969" i="6"/>
  <c r="K1969" i="6"/>
  <c r="N1969" i="6"/>
  <c r="L1969" i="6"/>
  <c r="K1937" i="6"/>
  <c r="N1937" i="6"/>
  <c r="M1937" i="6"/>
  <c r="L1937" i="6"/>
  <c r="K1905" i="6"/>
  <c r="L1905" i="6"/>
  <c r="N1905" i="6"/>
  <c r="M1905" i="6"/>
  <c r="M1873" i="6"/>
  <c r="L1873" i="6"/>
  <c r="N1873" i="6"/>
  <c r="K1873" i="6"/>
  <c r="M1721" i="6"/>
  <c r="L1721" i="6"/>
  <c r="N1721" i="6"/>
  <c r="K1721" i="6"/>
  <c r="M1689" i="6"/>
  <c r="L1689" i="6"/>
  <c r="N1689" i="6"/>
  <c r="K1689" i="6"/>
  <c r="L1641" i="6"/>
  <c r="K1641" i="6"/>
  <c r="M1641" i="6"/>
  <c r="N1641" i="6"/>
  <c r="L1609" i="6"/>
  <c r="K1609" i="6"/>
  <c r="M1609" i="6"/>
  <c r="N1609" i="6"/>
  <c r="L1577" i="6"/>
  <c r="K1577" i="6"/>
  <c r="M1577" i="6"/>
  <c r="N1577" i="6"/>
  <c r="L1553" i="6"/>
  <c r="N1553" i="6"/>
  <c r="M1553" i="6"/>
  <c r="K1553" i="6"/>
  <c r="L1521" i="6"/>
  <c r="N1521" i="6"/>
  <c r="M1521" i="6"/>
  <c r="K1521" i="6"/>
  <c r="L1489" i="6"/>
  <c r="N1489" i="6"/>
  <c r="M1489" i="6"/>
  <c r="K1489" i="6"/>
  <c r="L1457" i="6"/>
  <c r="N1457" i="6"/>
  <c r="M1457" i="6"/>
  <c r="K1457" i="6"/>
  <c r="N1425" i="6"/>
  <c r="K1425" i="6"/>
  <c r="L1425" i="6"/>
  <c r="M1425" i="6"/>
  <c r="N1417" i="6"/>
  <c r="K1417" i="6"/>
  <c r="M1417" i="6"/>
  <c r="L1417" i="6"/>
  <c r="N1385" i="6"/>
  <c r="K1385" i="6"/>
  <c r="M1385" i="6"/>
  <c r="L1385" i="6"/>
  <c r="N1361" i="6"/>
  <c r="K1361" i="6"/>
  <c r="L1361" i="6"/>
  <c r="M1361" i="6"/>
  <c r="N1353" i="6"/>
  <c r="K1353" i="6"/>
  <c r="M1353" i="6"/>
  <c r="L1353" i="6"/>
  <c r="N1329" i="6"/>
  <c r="M1329" i="6"/>
  <c r="L1329" i="6"/>
  <c r="K1329" i="6"/>
  <c r="N1297" i="6"/>
  <c r="M1297" i="6"/>
  <c r="L1297" i="6"/>
  <c r="K1297" i="6"/>
  <c r="N1265" i="6"/>
  <c r="M1265" i="6"/>
  <c r="L1265" i="6"/>
  <c r="K1265" i="6"/>
  <c r="K1009" i="6"/>
  <c r="N1009" i="6"/>
  <c r="M1009" i="6"/>
  <c r="L1009" i="6"/>
  <c r="K977" i="6"/>
  <c r="N977" i="6"/>
  <c r="M977" i="6"/>
  <c r="L977" i="6"/>
  <c r="L961" i="6"/>
  <c r="K961" i="6"/>
  <c r="N961" i="6"/>
  <c r="M961" i="6"/>
  <c r="L929" i="6"/>
  <c r="K929" i="6"/>
  <c r="N929" i="6"/>
  <c r="M929" i="6"/>
  <c r="L897" i="6"/>
  <c r="K897" i="6"/>
  <c r="N897" i="6"/>
  <c r="M897" i="6"/>
  <c r="L865" i="6"/>
  <c r="K865" i="6"/>
  <c r="N865" i="6"/>
  <c r="M865" i="6"/>
  <c r="L833" i="6"/>
  <c r="K833" i="6"/>
  <c r="N833" i="6"/>
  <c r="M833" i="6"/>
  <c r="L801" i="6"/>
  <c r="K801" i="6"/>
  <c r="N801" i="6"/>
  <c r="M801" i="6"/>
  <c r="M5" i="6"/>
  <c r="N5" i="6" s="1"/>
  <c r="L5" i="6"/>
  <c r="K5" i="6"/>
  <c r="L1854" i="6"/>
  <c r="N1854" i="6"/>
  <c r="M1854" i="6"/>
  <c r="K1854" i="6"/>
  <c r="L1822" i="6"/>
  <c r="N1822" i="6"/>
  <c r="M1822" i="6"/>
  <c r="K1822" i="6"/>
  <c r="L1790" i="6"/>
  <c r="N1790" i="6"/>
  <c r="M1790" i="6"/>
  <c r="K1790" i="6"/>
  <c r="L1758" i="6"/>
  <c r="N1758" i="6"/>
  <c r="M1758" i="6"/>
  <c r="K1758" i="6"/>
  <c r="N1702" i="6"/>
  <c r="L1702" i="6"/>
  <c r="K1702" i="6"/>
  <c r="M1702" i="6"/>
  <c r="N1670" i="6"/>
  <c r="L1670" i="6"/>
  <c r="K1670" i="6"/>
  <c r="M1670" i="6"/>
  <c r="N1534" i="6"/>
  <c r="L1534" i="6"/>
  <c r="M1534" i="6"/>
  <c r="K1534" i="6"/>
  <c r="N1502" i="6"/>
  <c r="L1502" i="6"/>
  <c r="M1502" i="6"/>
  <c r="K1502" i="6"/>
  <c r="N1470" i="6"/>
  <c r="L1470" i="6"/>
  <c r="M1470" i="6"/>
  <c r="K1470" i="6"/>
  <c r="N1438" i="6"/>
  <c r="L1438" i="6"/>
  <c r="M1438" i="6"/>
  <c r="K1438" i="6"/>
  <c r="M1430" i="6"/>
  <c r="K1430" i="6"/>
  <c r="N1430" i="6"/>
  <c r="L1430" i="6"/>
  <c r="M1398" i="6"/>
  <c r="K1398" i="6"/>
  <c r="N1398" i="6"/>
  <c r="L1398" i="6"/>
  <c r="M1366" i="6"/>
  <c r="K1366" i="6"/>
  <c r="N1366" i="6"/>
  <c r="L1366" i="6"/>
  <c r="K1334" i="6"/>
  <c r="N1334" i="6"/>
  <c r="M1334" i="6"/>
  <c r="L1334" i="6"/>
  <c r="K1302" i="6"/>
  <c r="N1302" i="6"/>
  <c r="M1302" i="6"/>
  <c r="L1302" i="6"/>
  <c r="K1270" i="6"/>
  <c r="N1270" i="6"/>
  <c r="M1270" i="6"/>
  <c r="L1270" i="6"/>
  <c r="N1230" i="6"/>
  <c r="M1230" i="6"/>
  <c r="L1230" i="6"/>
  <c r="K1230" i="6"/>
  <c r="N1198" i="6"/>
  <c r="M1198" i="6"/>
  <c r="L1198" i="6"/>
  <c r="K1198" i="6"/>
  <c r="N1166" i="6"/>
  <c r="M1166" i="6"/>
  <c r="L1166" i="6"/>
  <c r="K1166" i="6"/>
  <c r="N1134" i="6"/>
  <c r="M1134" i="6"/>
  <c r="L1134" i="6"/>
  <c r="K1134" i="6"/>
  <c r="M1030" i="6"/>
  <c r="L1030" i="6"/>
  <c r="N1030" i="6"/>
  <c r="K1030" i="6"/>
  <c r="M998" i="6"/>
  <c r="L998" i="6"/>
  <c r="N998" i="6"/>
  <c r="K998" i="6"/>
  <c r="N958" i="6"/>
  <c r="M958" i="6"/>
  <c r="L958" i="6"/>
  <c r="K958" i="6"/>
  <c r="N926" i="6"/>
  <c r="M926" i="6"/>
  <c r="L926" i="6"/>
  <c r="K926" i="6"/>
  <c r="N894" i="6"/>
  <c r="M894" i="6"/>
  <c r="L894" i="6"/>
  <c r="K894" i="6"/>
  <c r="N862" i="6"/>
  <c r="M862" i="6"/>
  <c r="L862" i="6"/>
  <c r="K862" i="6"/>
  <c r="N830" i="6"/>
  <c r="M830" i="6"/>
  <c r="L830" i="6"/>
  <c r="K830" i="6"/>
  <c r="N798" i="6"/>
  <c r="M798" i="6"/>
  <c r="L798" i="6"/>
  <c r="K798" i="6"/>
  <c r="N374" i="6"/>
  <c r="M374" i="6"/>
  <c r="L374" i="6"/>
  <c r="K374" i="6"/>
  <c r="N342" i="6"/>
  <c r="M342" i="6"/>
  <c r="L342" i="6"/>
  <c r="K342" i="6"/>
  <c r="N310" i="6"/>
  <c r="M310" i="6"/>
  <c r="L310" i="6"/>
  <c r="K310" i="6"/>
  <c r="N278" i="6"/>
  <c r="M278" i="6"/>
  <c r="L278" i="6"/>
  <c r="K278" i="6"/>
  <c r="N246" i="6"/>
  <c r="M246" i="6"/>
  <c r="L246" i="6"/>
  <c r="K246" i="6"/>
  <c r="N214" i="6"/>
  <c r="M214" i="6"/>
  <c r="L214" i="6"/>
  <c r="K214" i="6"/>
  <c r="N182" i="6"/>
  <c r="M182" i="6"/>
  <c r="L182" i="6"/>
  <c r="K182" i="6"/>
  <c r="N150" i="6"/>
  <c r="M150" i="6"/>
  <c r="L150" i="6"/>
  <c r="K150" i="6"/>
  <c r="N118" i="6"/>
  <c r="M118" i="6"/>
  <c r="L118" i="6"/>
  <c r="K118" i="6"/>
  <c r="N86" i="6"/>
  <c r="M86" i="6"/>
  <c r="L86" i="6"/>
  <c r="K86" i="6"/>
  <c r="N54" i="6"/>
  <c r="M54" i="6"/>
  <c r="L54" i="6"/>
  <c r="K54" i="6"/>
  <c r="N22" i="6"/>
  <c r="M22" i="6"/>
  <c r="L22" i="6"/>
  <c r="K22" i="6"/>
  <c r="M1931" i="6"/>
  <c r="K1931" i="6"/>
  <c r="N1931" i="6"/>
  <c r="L1931" i="6"/>
  <c r="N1835" i="6"/>
  <c r="L1835" i="6"/>
  <c r="K1835" i="6"/>
  <c r="M1835" i="6"/>
  <c r="N1803" i="6"/>
  <c r="L1803" i="6"/>
  <c r="K1803" i="6"/>
  <c r="M1803" i="6"/>
  <c r="N1771" i="6"/>
  <c r="L1771" i="6"/>
  <c r="K1771" i="6"/>
  <c r="M1771" i="6"/>
  <c r="N1739" i="6"/>
  <c r="L1739" i="6"/>
  <c r="K1739" i="6"/>
  <c r="M1739" i="6"/>
  <c r="M1643" i="6"/>
  <c r="L1643" i="6"/>
  <c r="K1643" i="6"/>
  <c r="N1643" i="6"/>
  <c r="M1611" i="6"/>
  <c r="L1611" i="6"/>
  <c r="K1611" i="6"/>
  <c r="N1611" i="6"/>
  <c r="M1579" i="6"/>
  <c r="L1579" i="6"/>
  <c r="K1579" i="6"/>
  <c r="N1579" i="6"/>
  <c r="N1547" i="6"/>
  <c r="L1547" i="6"/>
  <c r="K1547" i="6"/>
  <c r="M1547" i="6"/>
  <c r="N1515" i="6"/>
  <c r="L1515" i="6"/>
  <c r="K1515" i="6"/>
  <c r="M1515" i="6"/>
  <c r="N1483" i="6"/>
  <c r="L1483" i="6"/>
  <c r="K1483" i="6"/>
  <c r="M1483" i="6"/>
  <c r="N1451" i="6"/>
  <c r="L1451" i="6"/>
  <c r="K1451" i="6"/>
  <c r="M1451" i="6"/>
  <c r="K1427" i="6"/>
  <c r="N1427" i="6"/>
  <c r="M1427" i="6"/>
  <c r="L1427" i="6"/>
  <c r="K1395" i="6"/>
  <c r="N1395" i="6"/>
  <c r="M1395" i="6"/>
  <c r="L1395" i="6"/>
  <c r="K1363" i="6"/>
  <c r="N1363" i="6"/>
  <c r="L1363" i="6"/>
  <c r="M1363" i="6"/>
  <c r="M1331" i="6"/>
  <c r="N1331" i="6"/>
  <c r="L1331" i="6"/>
  <c r="K1331" i="6"/>
  <c r="M1299" i="6"/>
  <c r="N1299" i="6"/>
  <c r="L1299" i="6"/>
  <c r="K1299" i="6"/>
  <c r="M1267" i="6"/>
  <c r="N1267" i="6"/>
  <c r="L1267" i="6"/>
  <c r="K1267" i="6"/>
  <c r="N1091" i="6"/>
  <c r="M1091" i="6"/>
  <c r="L1091" i="6"/>
  <c r="K1091" i="6"/>
  <c r="N1059" i="6"/>
  <c r="M1059" i="6"/>
  <c r="L1059" i="6"/>
  <c r="K1059" i="6"/>
  <c r="N771" i="6"/>
  <c r="M771" i="6"/>
  <c r="L771" i="6"/>
  <c r="K771" i="6"/>
  <c r="N739" i="6"/>
  <c r="M739" i="6"/>
  <c r="L739" i="6"/>
  <c r="K739" i="6"/>
  <c r="N707" i="6"/>
  <c r="M707" i="6"/>
  <c r="L707" i="6"/>
  <c r="K707" i="6"/>
  <c r="N675" i="6"/>
  <c r="M675" i="6"/>
  <c r="L675" i="6"/>
  <c r="K675" i="6"/>
  <c r="N643" i="6"/>
  <c r="M643" i="6"/>
  <c r="L643" i="6"/>
  <c r="K643" i="6"/>
  <c r="N611" i="6"/>
  <c r="M611" i="6"/>
  <c r="L611" i="6"/>
  <c r="K611" i="6"/>
  <c r="N579" i="6"/>
  <c r="M579" i="6"/>
  <c r="L579" i="6"/>
  <c r="K579" i="6"/>
  <c r="N547" i="6"/>
  <c r="M547" i="6"/>
  <c r="L547" i="6"/>
  <c r="K547" i="6"/>
  <c r="N515" i="6"/>
  <c r="M515" i="6"/>
  <c r="L515" i="6"/>
  <c r="K515" i="6"/>
  <c r="N483" i="6"/>
  <c r="M483" i="6"/>
  <c r="L483" i="6"/>
  <c r="K483" i="6"/>
  <c r="N451" i="6"/>
  <c r="M451" i="6"/>
  <c r="L451" i="6"/>
  <c r="K451" i="6"/>
  <c r="N419" i="6"/>
  <c r="M419" i="6"/>
  <c r="L419" i="6"/>
  <c r="K419" i="6"/>
  <c r="K371" i="6"/>
  <c r="N371" i="6"/>
  <c r="M371" i="6"/>
  <c r="L371" i="6"/>
  <c r="K339" i="6"/>
  <c r="N339" i="6"/>
  <c r="M339" i="6"/>
  <c r="L339" i="6"/>
  <c r="K307" i="6"/>
  <c r="N307" i="6"/>
  <c r="M307" i="6"/>
  <c r="L307" i="6"/>
  <c r="K275" i="6"/>
  <c r="N275" i="6"/>
  <c r="M275" i="6"/>
  <c r="L275" i="6"/>
  <c r="K243" i="6"/>
  <c r="N243" i="6"/>
  <c r="M243" i="6"/>
  <c r="L243" i="6"/>
  <c r="K211" i="6"/>
  <c r="N211" i="6"/>
  <c r="M211" i="6"/>
  <c r="L211" i="6"/>
  <c r="K179" i="6"/>
  <c r="N179" i="6"/>
  <c r="M179" i="6"/>
  <c r="L179" i="6"/>
  <c r="K147" i="6"/>
  <c r="N147" i="6"/>
  <c r="M147" i="6"/>
  <c r="L147" i="6"/>
  <c r="K115" i="6"/>
  <c r="N115" i="6"/>
  <c r="M115" i="6"/>
  <c r="L115" i="6"/>
  <c r="K83" i="6"/>
  <c r="N83" i="6"/>
  <c r="M83" i="6"/>
  <c r="L83" i="6"/>
  <c r="K51" i="6"/>
  <c r="N51" i="6"/>
  <c r="M51" i="6"/>
  <c r="L51" i="6"/>
  <c r="K19" i="6"/>
  <c r="N19" i="6"/>
  <c r="M19" i="6"/>
  <c r="L19" i="6"/>
  <c r="M1880" i="6"/>
  <c r="K1880" i="6"/>
  <c r="N1880" i="6"/>
  <c r="L1880" i="6"/>
  <c r="N1560" i="6"/>
  <c r="L1560" i="6"/>
  <c r="M1560" i="6"/>
  <c r="K1560" i="6"/>
  <c r="N1528" i="6"/>
  <c r="L1528" i="6"/>
  <c r="M1528" i="6"/>
  <c r="K1528" i="6"/>
  <c r="N1496" i="6"/>
  <c r="L1496" i="6"/>
  <c r="M1496" i="6"/>
  <c r="K1496" i="6"/>
  <c r="N1464" i="6"/>
  <c r="L1464" i="6"/>
  <c r="M1464" i="6"/>
  <c r="K1464" i="6"/>
  <c r="L1336" i="6"/>
  <c r="K1336" i="6"/>
  <c r="N1336" i="6"/>
  <c r="M1336" i="6"/>
  <c r="L1304" i="6"/>
  <c r="K1304" i="6"/>
  <c r="N1304" i="6"/>
  <c r="M1304" i="6"/>
  <c r="L1272" i="6"/>
  <c r="K1272" i="6"/>
  <c r="N1272" i="6"/>
  <c r="M1272" i="6"/>
  <c r="N1240" i="6"/>
  <c r="M1240" i="6"/>
  <c r="K1240" i="6"/>
  <c r="L1240" i="6"/>
  <c r="N1208" i="6"/>
  <c r="M1208" i="6"/>
  <c r="K1208" i="6"/>
  <c r="L1208" i="6"/>
  <c r="N1176" i="6"/>
  <c r="M1176" i="6"/>
  <c r="K1176" i="6"/>
  <c r="L1176" i="6"/>
  <c r="N1144" i="6"/>
  <c r="M1144" i="6"/>
  <c r="K1144" i="6"/>
  <c r="L1144" i="6"/>
  <c r="N1112" i="6"/>
  <c r="M1112" i="6"/>
  <c r="K1112" i="6"/>
  <c r="L1112" i="6"/>
  <c r="M376" i="6"/>
  <c r="L376" i="6"/>
  <c r="K376" i="6"/>
  <c r="N376" i="6"/>
  <c r="M344" i="6"/>
  <c r="L344" i="6"/>
  <c r="K344" i="6"/>
  <c r="N344" i="6"/>
  <c r="M312" i="6"/>
  <c r="L312" i="6"/>
  <c r="K312" i="6"/>
  <c r="N312" i="6"/>
  <c r="M280" i="6"/>
  <c r="L280" i="6"/>
  <c r="K280" i="6"/>
  <c r="N280" i="6"/>
  <c r="M248" i="6"/>
  <c r="L248" i="6"/>
  <c r="K248" i="6"/>
  <c r="N248" i="6"/>
  <c r="M216" i="6"/>
  <c r="L216" i="6"/>
  <c r="K216" i="6"/>
  <c r="N216" i="6"/>
  <c r="M184" i="6"/>
  <c r="L184" i="6"/>
  <c r="K184" i="6"/>
  <c r="N184" i="6"/>
  <c r="M152" i="6"/>
  <c r="L152" i="6"/>
  <c r="K152" i="6"/>
  <c r="N152" i="6"/>
  <c r="M120" i="6"/>
  <c r="L120" i="6"/>
  <c r="K120" i="6"/>
  <c r="N120" i="6"/>
  <c r="M88" i="6"/>
  <c r="L88" i="6"/>
  <c r="K88" i="6"/>
  <c r="N88" i="6"/>
  <c r="M56" i="6"/>
  <c r="L56" i="6"/>
  <c r="K56" i="6"/>
  <c r="N56" i="6"/>
  <c r="M24" i="6"/>
  <c r="L24" i="6"/>
  <c r="K24" i="6"/>
  <c r="N24" i="6"/>
  <c r="N1845" i="6"/>
  <c r="L1845" i="6"/>
  <c r="M1845" i="6"/>
  <c r="K1845" i="6"/>
  <c r="N1829" i="6"/>
  <c r="M1829" i="6"/>
  <c r="L1829" i="6"/>
  <c r="K1829" i="6"/>
  <c r="N1813" i="6"/>
  <c r="L1813" i="6"/>
  <c r="K1813" i="6"/>
  <c r="M1813" i="6"/>
  <c r="N1797" i="6"/>
  <c r="M1797" i="6"/>
  <c r="L1797" i="6"/>
  <c r="K1797" i="6"/>
  <c r="N1781" i="6"/>
  <c r="L1781" i="6"/>
  <c r="M1781" i="6"/>
  <c r="K1781" i="6"/>
  <c r="N1765" i="6"/>
  <c r="M1765" i="6"/>
  <c r="L1765" i="6"/>
  <c r="K1765" i="6"/>
  <c r="N1749" i="6"/>
  <c r="L1749" i="6"/>
  <c r="K1749" i="6"/>
  <c r="M1749" i="6"/>
  <c r="M1717" i="6"/>
  <c r="L1717" i="6"/>
  <c r="N1717" i="6"/>
  <c r="K1717" i="6"/>
  <c r="M1685" i="6"/>
  <c r="L1685" i="6"/>
  <c r="N1685" i="6"/>
  <c r="K1685" i="6"/>
  <c r="N1413" i="6"/>
  <c r="K1413" i="6"/>
  <c r="M1413" i="6"/>
  <c r="L1413" i="6"/>
  <c r="N1381" i="6"/>
  <c r="K1381" i="6"/>
  <c r="M1381" i="6"/>
  <c r="L1381" i="6"/>
  <c r="N1349" i="6"/>
  <c r="K1349" i="6"/>
  <c r="M1349" i="6"/>
  <c r="L1349" i="6"/>
  <c r="M1237" i="6"/>
  <c r="L1237" i="6"/>
  <c r="K1237" i="6"/>
  <c r="N1237" i="6"/>
  <c r="M1205" i="6"/>
  <c r="L1205" i="6"/>
  <c r="K1205" i="6"/>
  <c r="N1205" i="6"/>
  <c r="M1173" i="6"/>
  <c r="L1173" i="6"/>
  <c r="K1173" i="6"/>
  <c r="N1173" i="6"/>
  <c r="M1141" i="6"/>
  <c r="L1141" i="6"/>
  <c r="K1141" i="6"/>
  <c r="N1141" i="6"/>
  <c r="M1109" i="6"/>
  <c r="L1109" i="6"/>
  <c r="K1109" i="6"/>
  <c r="N1109" i="6"/>
  <c r="K1093" i="6"/>
  <c r="N1093" i="6"/>
  <c r="M1093" i="6"/>
  <c r="L1093" i="6"/>
  <c r="K1061" i="6"/>
  <c r="N1061" i="6"/>
  <c r="M1061" i="6"/>
  <c r="L1061" i="6"/>
  <c r="K773" i="6"/>
  <c r="N773" i="6"/>
  <c r="M773" i="6"/>
  <c r="L773" i="6"/>
  <c r="K741" i="6"/>
  <c r="N741" i="6"/>
  <c r="M741" i="6"/>
  <c r="L741" i="6"/>
  <c r="K709" i="6"/>
  <c r="N709" i="6"/>
  <c r="M709" i="6"/>
  <c r="L709" i="6"/>
  <c r="K677" i="6"/>
  <c r="N677" i="6"/>
  <c r="M677" i="6"/>
  <c r="L677" i="6"/>
  <c r="K645" i="6"/>
  <c r="N645" i="6"/>
  <c r="M645" i="6"/>
  <c r="L645" i="6"/>
  <c r="K613" i="6"/>
  <c r="N613" i="6"/>
  <c r="M613" i="6"/>
  <c r="L613" i="6"/>
  <c r="K581" i="6"/>
  <c r="N581" i="6"/>
  <c r="M581" i="6"/>
  <c r="L581" i="6"/>
  <c r="K549" i="6"/>
  <c r="N549" i="6"/>
  <c r="M549" i="6"/>
  <c r="L549" i="6"/>
  <c r="K517" i="6"/>
  <c r="N517" i="6"/>
  <c r="M517" i="6"/>
  <c r="L517" i="6"/>
  <c r="K485" i="6"/>
  <c r="N485" i="6"/>
  <c r="M485" i="6"/>
  <c r="L485" i="6"/>
  <c r="K453" i="6"/>
  <c r="N453" i="6"/>
  <c r="M453" i="6"/>
  <c r="L453" i="6"/>
  <c r="K421" i="6"/>
  <c r="N421" i="6"/>
  <c r="M421" i="6"/>
  <c r="L421" i="6"/>
  <c r="N373" i="6"/>
  <c r="M373" i="6"/>
  <c r="L373" i="6"/>
  <c r="K373" i="6"/>
  <c r="N341" i="6"/>
  <c r="M341" i="6"/>
  <c r="L341" i="6"/>
  <c r="K341" i="6"/>
  <c r="N309" i="6"/>
  <c r="M309" i="6"/>
  <c r="L309" i="6"/>
  <c r="K309" i="6"/>
  <c r="N277" i="6"/>
  <c r="M277" i="6"/>
  <c r="L277" i="6"/>
  <c r="K277" i="6"/>
  <c r="N245" i="6"/>
  <c r="M245" i="6"/>
  <c r="L245" i="6"/>
  <c r="K245" i="6"/>
  <c r="N213" i="6"/>
  <c r="M213" i="6"/>
  <c r="L213" i="6"/>
  <c r="K213" i="6"/>
  <c r="N181" i="6"/>
  <c r="M181" i="6"/>
  <c r="L181" i="6"/>
  <c r="K181" i="6"/>
  <c r="N149" i="6"/>
  <c r="M149" i="6"/>
  <c r="L149" i="6"/>
  <c r="K149" i="6"/>
  <c r="N117" i="6"/>
  <c r="M117" i="6"/>
  <c r="L117" i="6"/>
  <c r="K117" i="6"/>
  <c r="N85" i="6"/>
  <c r="M85" i="6"/>
  <c r="L85" i="6"/>
  <c r="K85" i="6"/>
  <c r="N53" i="6"/>
  <c r="M53" i="6"/>
  <c r="L53" i="6"/>
  <c r="K53" i="6"/>
  <c r="N21" i="6"/>
  <c r="M21" i="6"/>
  <c r="L21" i="6"/>
  <c r="K21" i="6"/>
  <c r="K1986" i="6"/>
  <c r="M1986" i="6"/>
  <c r="N1986" i="6"/>
  <c r="L1986" i="6"/>
  <c r="K1954" i="6"/>
  <c r="M1954" i="6"/>
  <c r="N1954" i="6"/>
  <c r="L1954" i="6"/>
  <c r="K1922" i="6"/>
  <c r="M1922" i="6"/>
  <c r="L1922" i="6"/>
  <c r="N1922" i="6"/>
  <c r="K1890" i="6"/>
  <c r="L1890" i="6"/>
  <c r="M1890" i="6"/>
  <c r="N1890" i="6"/>
  <c r="L1850" i="6"/>
  <c r="N1850" i="6"/>
  <c r="M1850" i="6"/>
  <c r="K1850" i="6"/>
  <c r="L1834" i="6"/>
  <c r="M1834" i="6"/>
  <c r="N1834" i="6"/>
  <c r="K1834" i="6"/>
  <c r="L1818" i="6"/>
  <c r="N1818" i="6"/>
  <c r="M1818" i="6"/>
  <c r="K1818" i="6"/>
  <c r="L1802" i="6"/>
  <c r="M1802" i="6"/>
  <c r="K1802" i="6"/>
  <c r="N1802" i="6"/>
  <c r="L1786" i="6"/>
  <c r="N1786" i="6"/>
  <c r="M1786" i="6"/>
  <c r="K1786" i="6"/>
  <c r="L1770" i="6"/>
  <c r="M1770" i="6"/>
  <c r="N1770" i="6"/>
  <c r="K1770" i="6"/>
  <c r="L1754" i="6"/>
  <c r="N1754" i="6"/>
  <c r="M1754" i="6"/>
  <c r="K1754" i="6"/>
  <c r="L1738" i="6"/>
  <c r="M1738" i="6"/>
  <c r="K1738" i="6"/>
  <c r="N1738" i="6"/>
  <c r="N1706" i="6"/>
  <c r="L1706" i="6"/>
  <c r="M1706" i="6"/>
  <c r="K1706" i="6"/>
  <c r="N1674" i="6"/>
  <c r="L1674" i="6"/>
  <c r="M1674" i="6"/>
  <c r="K1674" i="6"/>
  <c r="N1650" i="6"/>
  <c r="M1650" i="6"/>
  <c r="K1650" i="6"/>
  <c r="L1650" i="6"/>
  <c r="N1618" i="6"/>
  <c r="M1618" i="6"/>
  <c r="K1618" i="6"/>
  <c r="L1618" i="6"/>
  <c r="N1586" i="6"/>
  <c r="M1586" i="6"/>
  <c r="K1586" i="6"/>
  <c r="L1586" i="6"/>
  <c r="M1074" i="6"/>
  <c r="L1074" i="6"/>
  <c r="K1074" i="6"/>
  <c r="N1074" i="6"/>
  <c r="M1042" i="6"/>
  <c r="L1042" i="6"/>
  <c r="K1042" i="6"/>
  <c r="N1042" i="6"/>
  <c r="M754" i="6"/>
  <c r="L754" i="6"/>
  <c r="K754" i="6"/>
  <c r="N754" i="6"/>
  <c r="M722" i="6"/>
  <c r="L722" i="6"/>
  <c r="K722" i="6"/>
  <c r="N722" i="6"/>
  <c r="M690" i="6"/>
  <c r="L690" i="6"/>
  <c r="K690" i="6"/>
  <c r="N690" i="6"/>
  <c r="M658" i="6"/>
  <c r="L658" i="6"/>
  <c r="K658" i="6"/>
  <c r="N658" i="6"/>
  <c r="M626" i="6"/>
  <c r="L626" i="6"/>
  <c r="K626" i="6"/>
  <c r="N626" i="6"/>
  <c r="M594" i="6"/>
  <c r="L594" i="6"/>
  <c r="K594" i="6"/>
  <c r="N594" i="6"/>
  <c r="M562" i="6"/>
  <c r="L562" i="6"/>
  <c r="K562" i="6"/>
  <c r="N562" i="6"/>
  <c r="M530" i="6"/>
  <c r="L530" i="6"/>
  <c r="K530" i="6"/>
  <c r="N530" i="6"/>
  <c r="M498" i="6"/>
  <c r="L498" i="6"/>
  <c r="K498" i="6"/>
  <c r="N498" i="6"/>
  <c r="M466" i="6"/>
  <c r="L466" i="6"/>
  <c r="K466" i="6"/>
  <c r="N466" i="6"/>
  <c r="M434" i="6"/>
  <c r="L434" i="6"/>
  <c r="K434" i="6"/>
  <c r="N434" i="6"/>
  <c r="M1927" i="6"/>
  <c r="K1927" i="6"/>
  <c r="L1927" i="6"/>
  <c r="N1927" i="6"/>
  <c r="M1919" i="6"/>
  <c r="K1919" i="6"/>
  <c r="L1919" i="6"/>
  <c r="N1919" i="6"/>
  <c r="N1551" i="6"/>
  <c r="L1551" i="6"/>
  <c r="K1551" i="6"/>
  <c r="M1551" i="6"/>
  <c r="N1519" i="6"/>
  <c r="L1519" i="6"/>
  <c r="K1519" i="6"/>
  <c r="M1519" i="6"/>
  <c r="N1487" i="6"/>
  <c r="L1487" i="6"/>
  <c r="K1487" i="6"/>
  <c r="M1487" i="6"/>
  <c r="N1455" i="6"/>
  <c r="L1455" i="6"/>
  <c r="K1455" i="6"/>
  <c r="M1455" i="6"/>
  <c r="M1311" i="6"/>
  <c r="N1311" i="6"/>
  <c r="L1311" i="6"/>
  <c r="K1311" i="6"/>
  <c r="M1279" i="6"/>
  <c r="N1279" i="6"/>
  <c r="L1279" i="6"/>
  <c r="K1279" i="6"/>
  <c r="N1103" i="6"/>
  <c r="M1103" i="6"/>
  <c r="L1103" i="6"/>
  <c r="K1103" i="6"/>
  <c r="N1071" i="6"/>
  <c r="M1071" i="6"/>
  <c r="L1071" i="6"/>
  <c r="K1071" i="6"/>
  <c r="N1039" i="6"/>
  <c r="M1039" i="6"/>
  <c r="L1039" i="6"/>
  <c r="K1039" i="6"/>
  <c r="N751" i="6"/>
  <c r="M751" i="6"/>
  <c r="L751" i="6"/>
  <c r="K751" i="6"/>
  <c r="N719" i="6"/>
  <c r="M719" i="6"/>
  <c r="L719" i="6"/>
  <c r="K719" i="6"/>
  <c r="N687" i="6"/>
  <c r="M687" i="6"/>
  <c r="L687" i="6"/>
  <c r="K687" i="6"/>
  <c r="N655" i="6"/>
  <c r="M655" i="6"/>
  <c r="L655" i="6"/>
  <c r="K655" i="6"/>
  <c r="N623" i="6"/>
  <c r="M623" i="6"/>
  <c r="L623" i="6"/>
  <c r="K623" i="6"/>
  <c r="N591" i="6"/>
  <c r="M591" i="6"/>
  <c r="L591" i="6"/>
  <c r="K591" i="6"/>
  <c r="N559" i="6"/>
  <c r="M559" i="6"/>
  <c r="L559" i="6"/>
  <c r="K559" i="6"/>
  <c r="N527" i="6"/>
  <c r="M527" i="6"/>
  <c r="L527" i="6"/>
  <c r="K527" i="6"/>
  <c r="N495" i="6"/>
  <c r="M495" i="6"/>
  <c r="L495" i="6"/>
  <c r="K495" i="6"/>
  <c r="N463" i="6"/>
  <c r="M463" i="6"/>
  <c r="L463" i="6"/>
  <c r="K463" i="6"/>
  <c r="N431" i="6"/>
  <c r="M431" i="6"/>
  <c r="L431" i="6"/>
  <c r="K431" i="6"/>
  <c r="K383" i="6"/>
  <c r="N383" i="6"/>
  <c r="M383" i="6"/>
  <c r="L383" i="6"/>
  <c r="K351" i="6"/>
  <c r="N351" i="6"/>
  <c r="M351" i="6"/>
  <c r="L351" i="6"/>
  <c r="K319" i="6"/>
  <c r="N319" i="6"/>
  <c r="M319" i="6"/>
  <c r="L319" i="6"/>
  <c r="K287" i="6"/>
  <c r="N287" i="6"/>
  <c r="M287" i="6"/>
  <c r="L287" i="6"/>
  <c r="K255" i="6"/>
  <c r="N255" i="6"/>
  <c r="M255" i="6"/>
  <c r="L255" i="6"/>
  <c r="K223" i="6"/>
  <c r="N223" i="6"/>
  <c r="M223" i="6"/>
  <c r="L223" i="6"/>
  <c r="K191" i="6"/>
  <c r="N191" i="6"/>
  <c r="M191" i="6"/>
  <c r="L191" i="6"/>
  <c r="K159" i="6"/>
  <c r="N159" i="6"/>
  <c r="M159" i="6"/>
  <c r="L159" i="6"/>
  <c r="K127" i="6"/>
  <c r="N127" i="6"/>
  <c r="M127" i="6"/>
  <c r="L127" i="6"/>
  <c r="K95" i="6"/>
  <c r="N95" i="6"/>
  <c r="M95" i="6"/>
  <c r="L95" i="6"/>
  <c r="K63" i="6"/>
  <c r="N63" i="6"/>
  <c r="M63" i="6"/>
  <c r="L63" i="6"/>
  <c r="K31" i="6"/>
  <c r="N31" i="6"/>
  <c r="M31" i="6"/>
  <c r="L31" i="6"/>
  <c r="M1948" i="6"/>
  <c r="K1948" i="6"/>
  <c r="L1948" i="6"/>
  <c r="N1948" i="6"/>
  <c r="N1852" i="6"/>
  <c r="L1852" i="6"/>
  <c r="K1852" i="6"/>
  <c r="M1852" i="6"/>
  <c r="N1788" i="6"/>
  <c r="L1788" i="6"/>
  <c r="K1788" i="6"/>
  <c r="M1788" i="6"/>
  <c r="N1644" i="6"/>
  <c r="M1644" i="6"/>
  <c r="L1644" i="6"/>
  <c r="K1644" i="6"/>
  <c r="N1612" i="6"/>
  <c r="M1612" i="6"/>
  <c r="L1612" i="6"/>
  <c r="K1612" i="6"/>
  <c r="N1580" i="6"/>
  <c r="M1580" i="6"/>
  <c r="L1580" i="6"/>
  <c r="K1580" i="6"/>
  <c r="N1556" i="6"/>
  <c r="L1556" i="6"/>
  <c r="M1556" i="6"/>
  <c r="K1556" i="6"/>
  <c r="N1524" i="6"/>
  <c r="L1524" i="6"/>
  <c r="M1524" i="6"/>
  <c r="K1524" i="6"/>
  <c r="N1492" i="6"/>
  <c r="L1492" i="6"/>
  <c r="M1492" i="6"/>
  <c r="K1492" i="6"/>
  <c r="N1460" i="6"/>
  <c r="L1460" i="6"/>
  <c r="M1460" i="6"/>
  <c r="K1460" i="6"/>
  <c r="M1420" i="6"/>
  <c r="L1420" i="6"/>
  <c r="N1420" i="6"/>
  <c r="K1420" i="6"/>
  <c r="M1388" i="6"/>
  <c r="L1388" i="6"/>
  <c r="N1388" i="6"/>
  <c r="K1388" i="6"/>
  <c r="M1356" i="6"/>
  <c r="L1356" i="6"/>
  <c r="N1356" i="6"/>
  <c r="K1356" i="6"/>
  <c r="N1076" i="6"/>
  <c r="M1076" i="6"/>
  <c r="L1076" i="6"/>
  <c r="K1076" i="6"/>
  <c r="N1044" i="6"/>
  <c r="M1044" i="6"/>
  <c r="L1044" i="6"/>
  <c r="K1044" i="6"/>
  <c r="N1012" i="6"/>
  <c r="M1012" i="6"/>
  <c r="L1012" i="6"/>
  <c r="K1012" i="6"/>
  <c r="N980" i="6"/>
  <c r="M980" i="6"/>
  <c r="L980" i="6"/>
  <c r="K980" i="6"/>
  <c r="N940" i="6"/>
  <c r="M940" i="6"/>
  <c r="L940" i="6"/>
  <c r="K940" i="6"/>
  <c r="N908" i="6"/>
  <c r="M908" i="6"/>
  <c r="L908" i="6"/>
  <c r="K908" i="6"/>
  <c r="N876" i="6"/>
  <c r="M876" i="6"/>
  <c r="L876" i="6"/>
  <c r="K876" i="6"/>
  <c r="N844" i="6"/>
  <c r="M844" i="6"/>
  <c r="L844" i="6"/>
  <c r="K844" i="6"/>
  <c r="N812" i="6"/>
  <c r="M812" i="6"/>
  <c r="L812" i="6"/>
  <c r="K812" i="6"/>
  <c r="N756" i="6"/>
  <c r="M756" i="6"/>
  <c r="L756" i="6"/>
  <c r="K756" i="6"/>
  <c r="N724" i="6"/>
  <c r="M724" i="6"/>
  <c r="L724" i="6"/>
  <c r="K724" i="6"/>
  <c r="N692" i="6"/>
  <c r="M692" i="6"/>
  <c r="L692" i="6"/>
  <c r="K692" i="6"/>
  <c r="N660" i="6"/>
  <c r="M660" i="6"/>
  <c r="L660" i="6"/>
  <c r="K660" i="6"/>
  <c r="N628" i="6"/>
  <c r="M628" i="6"/>
  <c r="L628" i="6"/>
  <c r="K628" i="6"/>
  <c r="N596" i="6"/>
  <c r="M596" i="6"/>
  <c r="L596" i="6"/>
  <c r="K596" i="6"/>
  <c r="N564" i="6"/>
  <c r="M564" i="6"/>
  <c r="L564" i="6"/>
  <c r="K564" i="6"/>
  <c r="N532" i="6"/>
  <c r="M532" i="6"/>
  <c r="L532" i="6"/>
  <c r="K532" i="6"/>
  <c r="N500" i="6"/>
  <c r="M500" i="6"/>
  <c r="L500" i="6"/>
  <c r="K500" i="6"/>
  <c r="N468" i="6"/>
  <c r="M468" i="6"/>
  <c r="L468" i="6"/>
  <c r="K468" i="6"/>
  <c r="N436" i="6"/>
  <c r="M436" i="6"/>
  <c r="L436" i="6"/>
  <c r="K436" i="6"/>
  <c r="M404" i="6"/>
  <c r="L404" i="6"/>
  <c r="K404" i="6"/>
  <c r="N404" i="6"/>
  <c r="N1809" i="6"/>
  <c r="L1809" i="6"/>
  <c r="K1809" i="6"/>
  <c r="M1809" i="6"/>
  <c r="N1745" i="6"/>
  <c r="L1745" i="6"/>
  <c r="K1745" i="6"/>
  <c r="M1745" i="6"/>
  <c r="L1433" i="6"/>
  <c r="N1433" i="6"/>
  <c r="M1433" i="6"/>
  <c r="K1433" i="6"/>
  <c r="N1393" i="6"/>
  <c r="K1393" i="6"/>
  <c r="L1393" i="6"/>
  <c r="M1393" i="6"/>
  <c r="M1233" i="6"/>
  <c r="L1233" i="6"/>
  <c r="K1233" i="6"/>
  <c r="N1233" i="6"/>
  <c r="M1201" i="6"/>
  <c r="L1201" i="6"/>
  <c r="K1201" i="6"/>
  <c r="N1201" i="6"/>
  <c r="M1169" i="6"/>
  <c r="L1169" i="6"/>
  <c r="K1169" i="6"/>
  <c r="N1169" i="6"/>
  <c r="M1137" i="6"/>
  <c r="L1137" i="6"/>
  <c r="K1137" i="6"/>
  <c r="N1137" i="6"/>
  <c r="K1089" i="6"/>
  <c r="N1089" i="6"/>
  <c r="M1089" i="6"/>
  <c r="L1089" i="6"/>
  <c r="K1057" i="6"/>
  <c r="N1057" i="6"/>
  <c r="M1057" i="6"/>
  <c r="L1057" i="6"/>
  <c r="K769" i="6"/>
  <c r="N769" i="6"/>
  <c r="M769" i="6"/>
  <c r="L769" i="6"/>
  <c r="K737" i="6"/>
  <c r="N737" i="6"/>
  <c r="M737" i="6"/>
  <c r="L737" i="6"/>
  <c r="K705" i="6"/>
  <c r="N705" i="6"/>
  <c r="M705" i="6"/>
  <c r="L705" i="6"/>
  <c r="K673" i="6"/>
  <c r="N673" i="6"/>
  <c r="M673" i="6"/>
  <c r="L673" i="6"/>
  <c r="K641" i="6"/>
  <c r="N641" i="6"/>
  <c r="M641" i="6"/>
  <c r="L641" i="6"/>
  <c r="K609" i="6"/>
  <c r="N609" i="6"/>
  <c r="M609" i="6"/>
  <c r="L609" i="6"/>
  <c r="K577" i="6"/>
  <c r="N577" i="6"/>
  <c r="M577" i="6"/>
  <c r="L577" i="6"/>
  <c r="K545" i="6"/>
  <c r="N545" i="6"/>
  <c r="M545" i="6"/>
  <c r="L545" i="6"/>
  <c r="K513" i="6"/>
  <c r="N513" i="6"/>
  <c r="M513" i="6"/>
  <c r="L513" i="6"/>
  <c r="K481" i="6"/>
  <c r="N481" i="6"/>
  <c r="M481" i="6"/>
  <c r="L481" i="6"/>
  <c r="K449" i="6"/>
  <c r="N449" i="6"/>
  <c r="M449" i="6"/>
  <c r="L449" i="6"/>
  <c r="K417" i="6"/>
  <c r="N417" i="6"/>
  <c r="M417" i="6"/>
  <c r="L417" i="6"/>
  <c r="N369" i="6"/>
  <c r="M369" i="6"/>
  <c r="L369" i="6"/>
  <c r="K369" i="6"/>
  <c r="N337" i="6"/>
  <c r="M337" i="6"/>
  <c r="L337" i="6"/>
  <c r="K337" i="6"/>
  <c r="N305" i="6"/>
  <c r="M305" i="6"/>
  <c r="L305" i="6"/>
  <c r="K305" i="6"/>
  <c r="N273" i="6"/>
  <c r="M273" i="6"/>
  <c r="L273" i="6"/>
  <c r="K273" i="6"/>
  <c r="N241" i="6"/>
  <c r="M241" i="6"/>
  <c r="L241" i="6"/>
  <c r="K241" i="6"/>
  <c r="N209" i="6"/>
  <c r="M209" i="6"/>
  <c r="L209" i="6"/>
  <c r="K209" i="6"/>
  <c r="N177" i="6"/>
  <c r="M177" i="6"/>
  <c r="L177" i="6"/>
  <c r="K177" i="6"/>
  <c r="N145" i="6"/>
  <c r="M145" i="6"/>
  <c r="L145" i="6"/>
  <c r="K145" i="6"/>
  <c r="N113" i="6"/>
  <c r="M113" i="6"/>
  <c r="L113" i="6"/>
  <c r="K113" i="6"/>
  <c r="N81" i="6"/>
  <c r="M81" i="6"/>
  <c r="L81" i="6"/>
  <c r="K81" i="6"/>
  <c r="N49" i="6"/>
  <c r="M49" i="6"/>
  <c r="L49" i="6"/>
  <c r="K49" i="6"/>
  <c r="N17" i="6"/>
  <c r="M17" i="6"/>
  <c r="L17" i="6"/>
  <c r="K17" i="6"/>
  <c r="G17" i="4"/>
  <c r="G9" i="4"/>
  <c r="G18" i="4"/>
  <c r="G10" i="4"/>
  <c r="G11" i="4"/>
  <c r="G12" i="4"/>
  <c r="G13" i="4"/>
  <c r="G14" i="4"/>
  <c r="G15" i="4"/>
  <c r="G16" i="4"/>
  <c r="L1998" i="6"/>
  <c r="K1998" i="6"/>
  <c r="N1998" i="6"/>
  <c r="M1998" i="6"/>
  <c r="L1990" i="6"/>
  <c r="N1990" i="6"/>
  <c r="K1990" i="6"/>
  <c r="M1990" i="6"/>
  <c r="K1966" i="6"/>
  <c r="N1966" i="6"/>
  <c r="L1966" i="6"/>
  <c r="M1966" i="6"/>
  <c r="K1934" i="6"/>
  <c r="N1934" i="6"/>
  <c r="L1934" i="6"/>
  <c r="M1934" i="6"/>
  <c r="K1870" i="6"/>
  <c r="L1870" i="6"/>
  <c r="M1870" i="6"/>
  <c r="N1870" i="6"/>
  <c r="N1630" i="6"/>
  <c r="M1630" i="6"/>
  <c r="K1630" i="6"/>
  <c r="L1630" i="6"/>
  <c r="N1598" i="6"/>
  <c r="M1598" i="6"/>
  <c r="K1598" i="6"/>
  <c r="L1598" i="6"/>
  <c r="M1086" i="6"/>
  <c r="L1086" i="6"/>
  <c r="K1086" i="6"/>
  <c r="N1086" i="6"/>
  <c r="M1054" i="6"/>
  <c r="L1054" i="6"/>
  <c r="K1054" i="6"/>
  <c r="N1054" i="6"/>
  <c r="M766" i="6"/>
  <c r="L766" i="6"/>
  <c r="K766" i="6"/>
  <c r="N766" i="6"/>
  <c r="M734" i="6"/>
  <c r="L734" i="6"/>
  <c r="K734" i="6"/>
  <c r="N734" i="6"/>
  <c r="M702" i="6"/>
  <c r="L702" i="6"/>
  <c r="K702" i="6"/>
  <c r="N702" i="6"/>
  <c r="M670" i="6"/>
  <c r="L670" i="6"/>
  <c r="K670" i="6"/>
  <c r="N670" i="6"/>
  <c r="M638" i="6"/>
  <c r="L638" i="6"/>
  <c r="K638" i="6"/>
  <c r="N638" i="6"/>
  <c r="M606" i="6"/>
  <c r="L606" i="6"/>
  <c r="K606" i="6"/>
  <c r="N606" i="6"/>
  <c r="M574" i="6"/>
  <c r="L574" i="6"/>
  <c r="K574" i="6"/>
  <c r="N574" i="6"/>
  <c r="M542" i="6"/>
  <c r="L542" i="6"/>
  <c r="K542" i="6"/>
  <c r="N542" i="6"/>
  <c r="M510" i="6"/>
  <c r="L510" i="6"/>
  <c r="K510" i="6"/>
  <c r="N510" i="6"/>
  <c r="M478" i="6"/>
  <c r="L478" i="6"/>
  <c r="K478" i="6"/>
  <c r="N478" i="6"/>
  <c r="M446" i="6"/>
  <c r="L446" i="6"/>
  <c r="K446" i="6"/>
  <c r="N446" i="6"/>
  <c r="M414" i="6"/>
  <c r="L414" i="6"/>
  <c r="K414" i="6"/>
  <c r="N414" i="6"/>
  <c r="M398" i="6"/>
  <c r="K398" i="6"/>
  <c r="N398" i="6"/>
  <c r="L398" i="6"/>
  <c r="M1971" i="6"/>
  <c r="K1971" i="6"/>
  <c r="L1971" i="6"/>
  <c r="N1971" i="6"/>
  <c r="M1939" i="6"/>
  <c r="K1939" i="6"/>
  <c r="L1939" i="6"/>
  <c r="N1939" i="6"/>
  <c r="M1907" i="6"/>
  <c r="K1907" i="6"/>
  <c r="L1907" i="6"/>
  <c r="N1907" i="6"/>
  <c r="M1875" i="6"/>
  <c r="K1875" i="6"/>
  <c r="N1875" i="6"/>
  <c r="L1875" i="6"/>
  <c r="N1723" i="6"/>
  <c r="L1723" i="6"/>
  <c r="K1723" i="6"/>
  <c r="M1723" i="6"/>
  <c r="N1691" i="6"/>
  <c r="L1691" i="6"/>
  <c r="K1691" i="6"/>
  <c r="M1691" i="6"/>
  <c r="M1635" i="6"/>
  <c r="L1635" i="6"/>
  <c r="K1635" i="6"/>
  <c r="N1635" i="6"/>
  <c r="M1603" i="6"/>
  <c r="L1603" i="6"/>
  <c r="K1603" i="6"/>
  <c r="N1603" i="6"/>
  <c r="M1571" i="6"/>
  <c r="L1571" i="6"/>
  <c r="K1571" i="6"/>
  <c r="N1571" i="6"/>
  <c r="K1403" i="6"/>
  <c r="M1403" i="6"/>
  <c r="L1403" i="6"/>
  <c r="N1403" i="6"/>
  <c r="K1339" i="6"/>
  <c r="M1339" i="6"/>
  <c r="L1339" i="6"/>
  <c r="N1339" i="6"/>
  <c r="L1235" i="6"/>
  <c r="K1235" i="6"/>
  <c r="N1235" i="6"/>
  <c r="M1235" i="6"/>
  <c r="L1203" i="6"/>
  <c r="K1203" i="6"/>
  <c r="N1203" i="6"/>
  <c r="M1203" i="6"/>
  <c r="L1171" i="6"/>
  <c r="K1171" i="6"/>
  <c r="N1171" i="6"/>
  <c r="M1171" i="6"/>
  <c r="L1139" i="6"/>
  <c r="K1139" i="6"/>
  <c r="N1139" i="6"/>
  <c r="M1139" i="6"/>
  <c r="L1107" i="6"/>
  <c r="K1107" i="6"/>
  <c r="N1107" i="6"/>
  <c r="M1107" i="6"/>
  <c r="N1027" i="6"/>
  <c r="L1027" i="6"/>
  <c r="K1027" i="6"/>
  <c r="M1027" i="6"/>
  <c r="N995" i="6"/>
  <c r="L995" i="6"/>
  <c r="K995" i="6"/>
  <c r="M995" i="6"/>
  <c r="N955" i="6"/>
  <c r="M955" i="6"/>
  <c r="L955" i="6"/>
  <c r="K955" i="6"/>
  <c r="N923" i="6"/>
  <c r="M923" i="6"/>
  <c r="L923" i="6"/>
  <c r="K923" i="6"/>
  <c r="N891" i="6"/>
  <c r="M891" i="6"/>
  <c r="L891" i="6"/>
  <c r="K891" i="6"/>
  <c r="N859" i="6"/>
  <c r="M859" i="6"/>
  <c r="L859" i="6"/>
  <c r="K859" i="6"/>
  <c r="N827" i="6"/>
  <c r="M827" i="6"/>
  <c r="L827" i="6"/>
  <c r="K827" i="6"/>
  <c r="N795" i="6"/>
  <c r="M795" i="6"/>
  <c r="L795" i="6"/>
  <c r="K795" i="6"/>
  <c r="M1928" i="6"/>
  <c r="N1928" i="6"/>
  <c r="L1928" i="6"/>
  <c r="K1928" i="6"/>
  <c r="M1920" i="6"/>
  <c r="N1920" i="6"/>
  <c r="K1920" i="6"/>
  <c r="L1920" i="6"/>
  <c r="M1888" i="6"/>
  <c r="K1888" i="6"/>
  <c r="N1888" i="6"/>
  <c r="L1888" i="6"/>
  <c r="N1632" i="6"/>
  <c r="M1632" i="6"/>
  <c r="K1632" i="6"/>
  <c r="L1632" i="6"/>
  <c r="N1600" i="6"/>
  <c r="M1600" i="6"/>
  <c r="K1600" i="6"/>
  <c r="L1600" i="6"/>
  <c r="M1568" i="6"/>
  <c r="L1568" i="6"/>
  <c r="N1568" i="6"/>
  <c r="K1568" i="6"/>
  <c r="M1408" i="6"/>
  <c r="L1408" i="6"/>
  <c r="K1408" i="6"/>
  <c r="N1408" i="6"/>
  <c r="M1376" i="6"/>
  <c r="L1376" i="6"/>
  <c r="K1376" i="6"/>
  <c r="N1376" i="6"/>
  <c r="M1344" i="6"/>
  <c r="L1344" i="6"/>
  <c r="K1344" i="6"/>
  <c r="N1344" i="6"/>
  <c r="N1096" i="6"/>
  <c r="M1096" i="6"/>
  <c r="L1096" i="6"/>
  <c r="K1096" i="6"/>
  <c r="N1064" i="6"/>
  <c r="M1064" i="6"/>
  <c r="L1064" i="6"/>
  <c r="K1064" i="6"/>
  <c r="N1032" i="6"/>
  <c r="M1032" i="6"/>
  <c r="L1032" i="6"/>
  <c r="K1032" i="6"/>
  <c r="N1000" i="6"/>
  <c r="M1000" i="6"/>
  <c r="L1000" i="6"/>
  <c r="K1000" i="6"/>
  <c r="N960" i="6"/>
  <c r="M960" i="6"/>
  <c r="L960" i="6"/>
  <c r="K960" i="6"/>
  <c r="N928" i="6"/>
  <c r="M928" i="6"/>
  <c r="L928" i="6"/>
  <c r="K928" i="6"/>
  <c r="N896" i="6"/>
  <c r="M896" i="6"/>
  <c r="L896" i="6"/>
  <c r="K896" i="6"/>
  <c r="N864" i="6"/>
  <c r="M864" i="6"/>
  <c r="L864" i="6"/>
  <c r="K864" i="6"/>
  <c r="N832" i="6"/>
  <c r="M832" i="6"/>
  <c r="L832" i="6"/>
  <c r="K832" i="6"/>
  <c r="N800" i="6"/>
  <c r="M800" i="6"/>
  <c r="L800" i="6"/>
  <c r="K800" i="6"/>
  <c r="N776" i="6"/>
  <c r="M776" i="6"/>
  <c r="L776" i="6"/>
  <c r="K776" i="6"/>
  <c r="N744" i="6"/>
  <c r="M744" i="6"/>
  <c r="L744" i="6"/>
  <c r="K744" i="6"/>
  <c r="N712" i="6"/>
  <c r="M712" i="6"/>
  <c r="L712" i="6"/>
  <c r="K712" i="6"/>
  <c r="N680" i="6"/>
  <c r="M680" i="6"/>
  <c r="L680" i="6"/>
  <c r="K680" i="6"/>
  <c r="N648" i="6"/>
  <c r="M648" i="6"/>
  <c r="L648" i="6"/>
  <c r="K648" i="6"/>
  <c r="N616" i="6"/>
  <c r="M616" i="6"/>
  <c r="L616" i="6"/>
  <c r="K616" i="6"/>
  <c r="N584" i="6"/>
  <c r="M584" i="6"/>
  <c r="L584" i="6"/>
  <c r="K584" i="6"/>
  <c r="N552" i="6"/>
  <c r="M552" i="6"/>
  <c r="L552" i="6"/>
  <c r="K552" i="6"/>
  <c r="N520" i="6"/>
  <c r="M520" i="6"/>
  <c r="L520" i="6"/>
  <c r="K520" i="6"/>
  <c r="N488" i="6"/>
  <c r="M488" i="6"/>
  <c r="L488" i="6"/>
  <c r="K488" i="6"/>
  <c r="N456" i="6"/>
  <c r="M456" i="6"/>
  <c r="L456" i="6"/>
  <c r="K456" i="6"/>
  <c r="N424" i="6"/>
  <c r="M424" i="6"/>
  <c r="L424" i="6"/>
  <c r="K424" i="6"/>
  <c r="M1965" i="6"/>
  <c r="L1965" i="6"/>
  <c r="N1965" i="6"/>
  <c r="K1965" i="6"/>
  <c r="M1933" i="6"/>
  <c r="K1933" i="6"/>
  <c r="L1933" i="6"/>
  <c r="N1933" i="6"/>
  <c r="N1869" i="6"/>
  <c r="L1869" i="6"/>
  <c r="M1869" i="6"/>
  <c r="K1869" i="6"/>
  <c r="N1837" i="6"/>
  <c r="L1837" i="6"/>
  <c r="K1837" i="6"/>
  <c r="M1837" i="6"/>
  <c r="N1805" i="6"/>
  <c r="L1805" i="6"/>
  <c r="K1805" i="6"/>
  <c r="M1805" i="6"/>
  <c r="N1773" i="6"/>
  <c r="L1773" i="6"/>
  <c r="K1773" i="6"/>
  <c r="M1773" i="6"/>
  <c r="N1741" i="6"/>
  <c r="L1741" i="6"/>
  <c r="K1741" i="6"/>
  <c r="M1741" i="6"/>
  <c r="M1709" i="6"/>
  <c r="L1709" i="6"/>
  <c r="N1709" i="6"/>
  <c r="K1709" i="6"/>
  <c r="M1677" i="6"/>
  <c r="L1677" i="6"/>
  <c r="N1677" i="6"/>
  <c r="K1677" i="6"/>
  <c r="L1637" i="6"/>
  <c r="K1637" i="6"/>
  <c r="N1637" i="6"/>
  <c r="M1637" i="6"/>
  <c r="L1605" i="6"/>
  <c r="K1605" i="6"/>
  <c r="N1605" i="6"/>
  <c r="M1605" i="6"/>
  <c r="L1573" i="6"/>
  <c r="K1573" i="6"/>
  <c r="N1573" i="6"/>
  <c r="M1573" i="6"/>
  <c r="N1429" i="6"/>
  <c r="K1429" i="6"/>
  <c r="L1429" i="6"/>
  <c r="M1429" i="6"/>
  <c r="N1397" i="6"/>
  <c r="K1397" i="6"/>
  <c r="L1397" i="6"/>
  <c r="M1397" i="6"/>
  <c r="N1365" i="6"/>
  <c r="K1365" i="6"/>
  <c r="L1365" i="6"/>
  <c r="M1365" i="6"/>
  <c r="N1325" i="6"/>
  <c r="M1325" i="6"/>
  <c r="L1325" i="6"/>
  <c r="K1325" i="6"/>
  <c r="N1293" i="6"/>
  <c r="M1293" i="6"/>
  <c r="L1293" i="6"/>
  <c r="K1293" i="6"/>
  <c r="N1261" i="6"/>
  <c r="M1261" i="6"/>
  <c r="L1261" i="6"/>
  <c r="K1261" i="6"/>
  <c r="K1005" i="6"/>
  <c r="N1005" i="6"/>
  <c r="M1005" i="6"/>
  <c r="L1005" i="6"/>
  <c r="K973" i="6"/>
  <c r="N973" i="6"/>
  <c r="M973" i="6"/>
  <c r="L973" i="6"/>
  <c r="L957" i="6"/>
  <c r="K957" i="6"/>
  <c r="N957" i="6"/>
  <c r="M957" i="6"/>
  <c r="L925" i="6"/>
  <c r="K925" i="6"/>
  <c r="N925" i="6"/>
  <c r="M925" i="6"/>
  <c r="L893" i="6"/>
  <c r="K893" i="6"/>
  <c r="N893" i="6"/>
  <c r="M893" i="6"/>
  <c r="L861" i="6"/>
  <c r="K861" i="6"/>
  <c r="N861" i="6"/>
  <c r="M861" i="6"/>
  <c r="L829" i="6"/>
  <c r="K829" i="6"/>
  <c r="N829" i="6"/>
  <c r="M829" i="6"/>
  <c r="L797" i="6"/>
  <c r="K797" i="6"/>
  <c r="N797" i="6"/>
  <c r="M797" i="6"/>
  <c r="N7" i="6"/>
  <c r="M7" i="6"/>
  <c r="L7" i="6"/>
  <c r="K7" i="6"/>
  <c r="M1858" i="6"/>
  <c r="K1858" i="6"/>
  <c r="N1858" i="6"/>
  <c r="L1858" i="6"/>
  <c r="L1826" i="6"/>
  <c r="M1826" i="6"/>
  <c r="K1826" i="6"/>
  <c r="N1826" i="6"/>
  <c r="L1794" i="6"/>
  <c r="M1794" i="6"/>
  <c r="K1794" i="6"/>
  <c r="N1794" i="6"/>
  <c r="L1762" i="6"/>
  <c r="M1762" i="6"/>
  <c r="K1762" i="6"/>
  <c r="N1762" i="6"/>
  <c r="N1554" i="6"/>
  <c r="L1554" i="6"/>
  <c r="M1554" i="6"/>
  <c r="K1554" i="6"/>
  <c r="N1522" i="6"/>
  <c r="L1522" i="6"/>
  <c r="M1522" i="6"/>
  <c r="K1522" i="6"/>
  <c r="N1490" i="6"/>
  <c r="L1490" i="6"/>
  <c r="M1490" i="6"/>
  <c r="K1490" i="6"/>
  <c r="N1458" i="6"/>
  <c r="L1458" i="6"/>
  <c r="M1458" i="6"/>
  <c r="K1458" i="6"/>
  <c r="N1434" i="6"/>
  <c r="L1434" i="6"/>
  <c r="M1434" i="6"/>
  <c r="K1434" i="6"/>
  <c r="M1410" i="6"/>
  <c r="N1410" i="6"/>
  <c r="L1410" i="6"/>
  <c r="K1410" i="6"/>
  <c r="M1378" i="6"/>
  <c r="N1378" i="6"/>
  <c r="L1378" i="6"/>
  <c r="K1378" i="6"/>
  <c r="M1346" i="6"/>
  <c r="N1346" i="6"/>
  <c r="L1346" i="6"/>
  <c r="K1346" i="6"/>
  <c r="N1242" i="6"/>
  <c r="M1242" i="6"/>
  <c r="L1242" i="6"/>
  <c r="K1242" i="6"/>
  <c r="N1210" i="6"/>
  <c r="M1210" i="6"/>
  <c r="L1210" i="6"/>
  <c r="K1210" i="6"/>
  <c r="N1178" i="6"/>
  <c r="M1178" i="6"/>
  <c r="L1178" i="6"/>
  <c r="K1178" i="6"/>
  <c r="N1146" i="6"/>
  <c r="M1146" i="6"/>
  <c r="L1146" i="6"/>
  <c r="K1146" i="6"/>
  <c r="N1114" i="6"/>
  <c r="M1114" i="6"/>
  <c r="L1114" i="6"/>
  <c r="K1114" i="6"/>
  <c r="M1010" i="6"/>
  <c r="L1010" i="6"/>
  <c r="N1010" i="6"/>
  <c r="K1010" i="6"/>
  <c r="M978" i="6"/>
  <c r="L978" i="6"/>
  <c r="N978" i="6"/>
  <c r="K978" i="6"/>
  <c r="N970" i="6"/>
  <c r="M970" i="6"/>
  <c r="L970" i="6"/>
  <c r="K970" i="6"/>
  <c r="N938" i="6"/>
  <c r="M938" i="6"/>
  <c r="L938" i="6"/>
  <c r="K938" i="6"/>
  <c r="N906" i="6"/>
  <c r="M906" i="6"/>
  <c r="L906" i="6"/>
  <c r="K906" i="6"/>
  <c r="N874" i="6"/>
  <c r="M874" i="6"/>
  <c r="L874" i="6"/>
  <c r="K874" i="6"/>
  <c r="N842" i="6"/>
  <c r="M842" i="6"/>
  <c r="L842" i="6"/>
  <c r="K842" i="6"/>
  <c r="N810" i="6"/>
  <c r="M810" i="6"/>
  <c r="L810" i="6"/>
  <c r="K810" i="6"/>
  <c r="N386" i="6"/>
  <c r="M386" i="6"/>
  <c r="L386" i="6"/>
  <c r="K386" i="6"/>
  <c r="N354" i="6"/>
  <c r="M354" i="6"/>
  <c r="L354" i="6"/>
  <c r="K354" i="6"/>
  <c r="N322" i="6"/>
  <c r="M322" i="6"/>
  <c r="L322" i="6"/>
  <c r="K322" i="6"/>
  <c r="N290" i="6"/>
  <c r="M290" i="6"/>
  <c r="L290" i="6"/>
  <c r="K290" i="6"/>
  <c r="N258" i="6"/>
  <c r="M258" i="6"/>
  <c r="L258" i="6"/>
  <c r="K258" i="6"/>
  <c r="N226" i="6"/>
  <c r="M226" i="6"/>
  <c r="L226" i="6"/>
  <c r="K226" i="6"/>
  <c r="N194" i="6"/>
  <c r="M194" i="6"/>
  <c r="L194" i="6"/>
  <c r="K194" i="6"/>
  <c r="N162" i="6"/>
  <c r="M162" i="6"/>
  <c r="L162" i="6"/>
  <c r="K162" i="6"/>
  <c r="N130" i="6"/>
  <c r="M130" i="6"/>
  <c r="L130" i="6"/>
  <c r="K130" i="6"/>
  <c r="N98" i="6"/>
  <c r="M98" i="6"/>
  <c r="L98" i="6"/>
  <c r="K98" i="6"/>
  <c r="N66" i="6"/>
  <c r="M66" i="6"/>
  <c r="L66" i="6"/>
  <c r="K66" i="6"/>
  <c r="N34" i="6"/>
  <c r="M34" i="6"/>
  <c r="L34" i="6"/>
  <c r="K34" i="6"/>
  <c r="M1983" i="6"/>
  <c r="K1983" i="6"/>
  <c r="N1983" i="6"/>
  <c r="L1983" i="6"/>
  <c r="M1951" i="6"/>
  <c r="K1951" i="6"/>
  <c r="N1951" i="6"/>
  <c r="L1951" i="6"/>
  <c r="M1887" i="6"/>
  <c r="K1887" i="6"/>
  <c r="L1887" i="6"/>
  <c r="N1887" i="6"/>
  <c r="M1871" i="6"/>
  <c r="K1871" i="6"/>
  <c r="L1871" i="6"/>
  <c r="N1871" i="6"/>
  <c r="N1703" i="6"/>
  <c r="L1703" i="6"/>
  <c r="M1703" i="6"/>
  <c r="K1703" i="6"/>
  <c r="N1671" i="6"/>
  <c r="L1671" i="6"/>
  <c r="M1671" i="6"/>
  <c r="K1671" i="6"/>
  <c r="M1647" i="6"/>
  <c r="L1647" i="6"/>
  <c r="K1647" i="6"/>
  <c r="N1647" i="6"/>
  <c r="M1615" i="6"/>
  <c r="L1615" i="6"/>
  <c r="K1615" i="6"/>
  <c r="N1615" i="6"/>
  <c r="M1607" i="6"/>
  <c r="L1607" i="6"/>
  <c r="K1607" i="6"/>
  <c r="N1607" i="6"/>
  <c r="M1583" i="6"/>
  <c r="L1583" i="6"/>
  <c r="K1583" i="6"/>
  <c r="N1583" i="6"/>
  <c r="K1415" i="6"/>
  <c r="L1415" i="6"/>
  <c r="N1415" i="6"/>
  <c r="M1415" i="6"/>
  <c r="K1383" i="6"/>
  <c r="L1383" i="6"/>
  <c r="N1383" i="6"/>
  <c r="M1383" i="6"/>
  <c r="K1351" i="6"/>
  <c r="L1351" i="6"/>
  <c r="N1351" i="6"/>
  <c r="M1351" i="6"/>
  <c r="L1247" i="6"/>
  <c r="K1247" i="6"/>
  <c r="N1247" i="6"/>
  <c r="M1247" i="6"/>
  <c r="L1215" i="6"/>
  <c r="K1215" i="6"/>
  <c r="N1215" i="6"/>
  <c r="M1215" i="6"/>
  <c r="L1183" i="6"/>
  <c r="K1183" i="6"/>
  <c r="N1183" i="6"/>
  <c r="M1183" i="6"/>
  <c r="L1151" i="6"/>
  <c r="K1151" i="6"/>
  <c r="N1151" i="6"/>
  <c r="M1151" i="6"/>
  <c r="L1119" i="6"/>
  <c r="K1119" i="6"/>
  <c r="N1119" i="6"/>
  <c r="M1119" i="6"/>
  <c r="N1007" i="6"/>
  <c r="L1007" i="6"/>
  <c r="K1007" i="6"/>
  <c r="M1007" i="6"/>
  <c r="N975" i="6"/>
  <c r="L975" i="6"/>
  <c r="K975" i="6"/>
  <c r="M975" i="6"/>
  <c r="N967" i="6"/>
  <c r="M967" i="6"/>
  <c r="L967" i="6"/>
  <c r="K967" i="6"/>
  <c r="N935" i="6"/>
  <c r="M935" i="6"/>
  <c r="L935" i="6"/>
  <c r="K935" i="6"/>
  <c r="N903" i="6"/>
  <c r="M903" i="6"/>
  <c r="L903" i="6"/>
  <c r="K903" i="6"/>
  <c r="N871" i="6"/>
  <c r="M871" i="6"/>
  <c r="L871" i="6"/>
  <c r="K871" i="6"/>
  <c r="N839" i="6"/>
  <c r="M839" i="6"/>
  <c r="L839" i="6"/>
  <c r="K839" i="6"/>
  <c r="N807" i="6"/>
  <c r="M807" i="6"/>
  <c r="L807" i="6"/>
  <c r="K807" i="6"/>
  <c r="D5" i="41"/>
  <c r="C17" i="40"/>
  <c r="C12" i="39"/>
  <c r="B12" i="39"/>
  <c r="C17" i="37"/>
  <c r="B11" i="38"/>
  <c r="C12" i="38"/>
  <c r="C12" i="36"/>
  <c r="B12" i="38"/>
  <c r="B12" i="36"/>
  <c r="C12" i="33"/>
  <c r="C11" i="35"/>
  <c r="B11" i="35"/>
  <c r="C12" i="35"/>
  <c r="C11" i="38"/>
  <c r="B12" i="33"/>
  <c r="C11" i="32"/>
  <c r="B11" i="32"/>
  <c r="B12" i="35"/>
  <c r="C12" i="32"/>
  <c r="B12" i="32"/>
  <c r="C12" i="30"/>
  <c r="C17" i="34"/>
  <c r="B12" i="30"/>
  <c r="C17" i="31"/>
  <c r="C12" i="29"/>
  <c r="B12" i="29"/>
  <c r="C12" i="27"/>
  <c r="B12" i="27"/>
  <c r="C17" i="28"/>
  <c r="C11" i="26"/>
  <c r="C11" i="29"/>
  <c r="B11" i="29"/>
  <c r="B12" i="26"/>
  <c r="B12" i="21"/>
  <c r="C12" i="24"/>
  <c r="B12" i="24"/>
  <c r="B11" i="26"/>
  <c r="C17" i="25"/>
  <c r="C11" i="23"/>
  <c r="B11" i="23"/>
  <c r="C12" i="26"/>
  <c r="C12" i="23"/>
  <c r="B12" i="23"/>
  <c r="C17" i="22"/>
  <c r="C11" i="20"/>
  <c r="B11" i="20"/>
  <c r="C12" i="20"/>
  <c r="B12" i="20"/>
  <c r="C12" i="21"/>
  <c r="B11" i="17"/>
  <c r="C12" i="17"/>
  <c r="B12" i="17"/>
  <c r="C17" i="19"/>
  <c r="C12" i="18"/>
  <c r="B12" i="18"/>
  <c r="C11" i="17"/>
  <c r="C17" i="16"/>
  <c r="C11" i="14"/>
  <c r="B11" i="14"/>
  <c r="C12" i="14"/>
  <c r="B12" i="14"/>
  <c r="C12" i="15"/>
  <c r="C11" i="11"/>
  <c r="B12" i="15"/>
  <c r="C12" i="11"/>
  <c r="C12" i="12"/>
  <c r="H5" i="4"/>
  <c r="M4" i="6"/>
  <c r="L4" i="6"/>
  <c r="K4" i="6"/>
  <c r="F5" i="1"/>
  <c r="M1900" i="6"/>
  <c r="L1900" i="6"/>
  <c r="K1900" i="6"/>
  <c r="N1900" i="6"/>
  <c r="M1876" i="6"/>
  <c r="K1876" i="6"/>
  <c r="L1876" i="6"/>
  <c r="N1876" i="6"/>
  <c r="N1828" i="6"/>
  <c r="L1828" i="6"/>
  <c r="M1828" i="6"/>
  <c r="K1828" i="6"/>
  <c r="N1796" i="6"/>
  <c r="L1796" i="6"/>
  <c r="M1796" i="6"/>
  <c r="K1796" i="6"/>
  <c r="N1764" i="6"/>
  <c r="L1764" i="6"/>
  <c r="M1764" i="6"/>
  <c r="K1764" i="6"/>
  <c r="K1716" i="6"/>
  <c r="N1716" i="6"/>
  <c r="M1716" i="6"/>
  <c r="L1716" i="6"/>
  <c r="K1684" i="6"/>
  <c r="N1684" i="6"/>
  <c r="M1684" i="6"/>
  <c r="L1684" i="6"/>
  <c r="L1436" i="6"/>
  <c r="K1436" i="6"/>
  <c r="N1436" i="6"/>
  <c r="M1436" i="6"/>
  <c r="L1308" i="6"/>
  <c r="K1308" i="6"/>
  <c r="N1308" i="6"/>
  <c r="M1308" i="6"/>
  <c r="L1276" i="6"/>
  <c r="K1276" i="6"/>
  <c r="N1276" i="6"/>
  <c r="M1276" i="6"/>
  <c r="N1244" i="6"/>
  <c r="M1244" i="6"/>
  <c r="K1244" i="6"/>
  <c r="L1244" i="6"/>
  <c r="N1212" i="6"/>
  <c r="M1212" i="6"/>
  <c r="K1212" i="6"/>
  <c r="L1212" i="6"/>
  <c r="N1180" i="6"/>
  <c r="M1180" i="6"/>
  <c r="K1180" i="6"/>
  <c r="L1180" i="6"/>
  <c r="N1148" i="6"/>
  <c r="M1148" i="6"/>
  <c r="K1148" i="6"/>
  <c r="L1148" i="6"/>
  <c r="N1116" i="6"/>
  <c r="M1116" i="6"/>
  <c r="K1116" i="6"/>
  <c r="L1116" i="6"/>
  <c r="M380" i="6"/>
  <c r="L380" i="6"/>
  <c r="K380" i="6"/>
  <c r="N380" i="6"/>
  <c r="M348" i="6"/>
  <c r="L348" i="6"/>
  <c r="K348" i="6"/>
  <c r="N348" i="6"/>
  <c r="M316" i="6"/>
  <c r="L316" i="6"/>
  <c r="K316" i="6"/>
  <c r="N316" i="6"/>
  <c r="M284" i="6"/>
  <c r="L284" i="6"/>
  <c r="K284" i="6"/>
  <c r="N284" i="6"/>
  <c r="M252" i="6"/>
  <c r="L252" i="6"/>
  <c r="K252" i="6"/>
  <c r="N252" i="6"/>
  <c r="M220" i="6"/>
  <c r="L220" i="6"/>
  <c r="K220" i="6"/>
  <c r="N220" i="6"/>
  <c r="M188" i="6"/>
  <c r="L188" i="6"/>
  <c r="K188" i="6"/>
  <c r="N188" i="6"/>
  <c r="M156" i="6"/>
  <c r="L156" i="6"/>
  <c r="K156" i="6"/>
  <c r="N156" i="6"/>
  <c r="M124" i="6"/>
  <c r="L124" i="6"/>
  <c r="K124" i="6"/>
  <c r="N124" i="6"/>
  <c r="M92" i="6"/>
  <c r="L92" i="6"/>
  <c r="K92" i="6"/>
  <c r="N92" i="6"/>
  <c r="M60" i="6"/>
  <c r="L60" i="6"/>
  <c r="K60" i="6"/>
  <c r="N60" i="6"/>
  <c r="M28" i="6"/>
  <c r="L28" i="6"/>
  <c r="K28" i="6"/>
  <c r="N28" i="6"/>
  <c r="M1961" i="6"/>
  <c r="N1961" i="6"/>
  <c r="L1961" i="6"/>
  <c r="K1961" i="6"/>
  <c r="M1929" i="6"/>
  <c r="K1929" i="6"/>
  <c r="L1929" i="6"/>
  <c r="N1929" i="6"/>
  <c r="M1897" i="6"/>
  <c r="L1897" i="6"/>
  <c r="N1897" i="6"/>
  <c r="K1897" i="6"/>
  <c r="N1865" i="6"/>
  <c r="L1865" i="6"/>
  <c r="M1865" i="6"/>
  <c r="K1865" i="6"/>
  <c r="N1849" i="6"/>
  <c r="M1849" i="6"/>
  <c r="K1849" i="6"/>
  <c r="L1849" i="6"/>
  <c r="N1841" i="6"/>
  <c r="L1841" i="6"/>
  <c r="K1841" i="6"/>
  <c r="M1841" i="6"/>
  <c r="N1817" i="6"/>
  <c r="M1817" i="6"/>
  <c r="K1817" i="6"/>
  <c r="L1817" i="6"/>
  <c r="N1785" i="6"/>
  <c r="M1785" i="6"/>
  <c r="K1785" i="6"/>
  <c r="L1785" i="6"/>
  <c r="N1777" i="6"/>
  <c r="L1777" i="6"/>
  <c r="K1777" i="6"/>
  <c r="M1777" i="6"/>
  <c r="N1753" i="6"/>
  <c r="M1753" i="6"/>
  <c r="K1753" i="6"/>
  <c r="L1753" i="6"/>
  <c r="M1713" i="6"/>
  <c r="L1713" i="6"/>
  <c r="N1713" i="6"/>
  <c r="K1713" i="6"/>
  <c r="M1681" i="6"/>
  <c r="L1681" i="6"/>
  <c r="N1681" i="6"/>
  <c r="K1681" i="6"/>
  <c r="L1633" i="6"/>
  <c r="K1633" i="6"/>
  <c r="M1633" i="6"/>
  <c r="N1633" i="6"/>
  <c r="L1601" i="6"/>
  <c r="K1601" i="6"/>
  <c r="M1601" i="6"/>
  <c r="N1601" i="6"/>
  <c r="L1569" i="6"/>
  <c r="K1569" i="6"/>
  <c r="M1569" i="6"/>
  <c r="N1569" i="6"/>
  <c r="L1545" i="6"/>
  <c r="N1545" i="6"/>
  <c r="M1545" i="6"/>
  <c r="K1545" i="6"/>
  <c r="L1513" i="6"/>
  <c r="N1513" i="6"/>
  <c r="M1513" i="6"/>
  <c r="K1513" i="6"/>
  <c r="L1481" i="6"/>
  <c r="N1481" i="6"/>
  <c r="M1481" i="6"/>
  <c r="K1481" i="6"/>
  <c r="L1449" i="6"/>
  <c r="N1449" i="6"/>
  <c r="M1449" i="6"/>
  <c r="K1449" i="6"/>
  <c r="N1401" i="6"/>
  <c r="K1401" i="6"/>
  <c r="M1401" i="6"/>
  <c r="L1401" i="6"/>
  <c r="N1369" i="6"/>
  <c r="K1369" i="6"/>
  <c r="M1369" i="6"/>
  <c r="L1369" i="6"/>
  <c r="N1321" i="6"/>
  <c r="M1321" i="6"/>
  <c r="L1321" i="6"/>
  <c r="K1321" i="6"/>
  <c r="N1289" i="6"/>
  <c r="M1289" i="6"/>
  <c r="L1289" i="6"/>
  <c r="K1289" i="6"/>
  <c r="N1257" i="6"/>
  <c r="M1257" i="6"/>
  <c r="L1257" i="6"/>
  <c r="K1257" i="6"/>
  <c r="K1001" i="6"/>
  <c r="N1001" i="6"/>
  <c r="M1001" i="6"/>
  <c r="L1001" i="6"/>
  <c r="L953" i="6"/>
  <c r="K953" i="6"/>
  <c r="N953" i="6"/>
  <c r="M953" i="6"/>
  <c r="L921" i="6"/>
  <c r="K921" i="6"/>
  <c r="N921" i="6"/>
  <c r="M921" i="6"/>
  <c r="L889" i="6"/>
  <c r="K889" i="6"/>
  <c r="N889" i="6"/>
  <c r="M889" i="6"/>
  <c r="L857" i="6"/>
  <c r="K857" i="6"/>
  <c r="N857" i="6"/>
  <c r="M857" i="6"/>
  <c r="L825" i="6"/>
  <c r="K825" i="6"/>
  <c r="N825" i="6"/>
  <c r="M825" i="6"/>
  <c r="L793" i="6"/>
  <c r="K793" i="6"/>
  <c r="N793" i="6"/>
  <c r="M793" i="6"/>
  <c r="K1902" i="6"/>
  <c r="N1902" i="6"/>
  <c r="L1902" i="6"/>
  <c r="M1902" i="6"/>
  <c r="N1726" i="6"/>
  <c r="L1726" i="6"/>
  <c r="K1726" i="6"/>
  <c r="M1726" i="6"/>
  <c r="N1694" i="6"/>
  <c r="L1694" i="6"/>
  <c r="K1694" i="6"/>
  <c r="M1694" i="6"/>
  <c r="N1662" i="6"/>
  <c r="L1662" i="6"/>
  <c r="K1662" i="6"/>
  <c r="M1662" i="6"/>
  <c r="N1558" i="6"/>
  <c r="L1558" i="6"/>
  <c r="M1558" i="6"/>
  <c r="K1558" i="6"/>
  <c r="N1526" i="6"/>
  <c r="L1526" i="6"/>
  <c r="M1526" i="6"/>
  <c r="K1526" i="6"/>
  <c r="N1494" i="6"/>
  <c r="L1494" i="6"/>
  <c r="M1494" i="6"/>
  <c r="K1494" i="6"/>
  <c r="N1462" i="6"/>
  <c r="L1462" i="6"/>
  <c r="M1462" i="6"/>
  <c r="K1462" i="6"/>
  <c r="M1422" i="6"/>
  <c r="N1422" i="6"/>
  <c r="L1422" i="6"/>
  <c r="K1422" i="6"/>
  <c r="M1390" i="6"/>
  <c r="N1390" i="6"/>
  <c r="L1390" i="6"/>
  <c r="K1390" i="6"/>
  <c r="M1358" i="6"/>
  <c r="N1358" i="6"/>
  <c r="L1358" i="6"/>
  <c r="K1358" i="6"/>
  <c r="K1326" i="6"/>
  <c r="N1326" i="6"/>
  <c r="M1326" i="6"/>
  <c r="L1326" i="6"/>
  <c r="K1294" i="6"/>
  <c r="N1294" i="6"/>
  <c r="M1294" i="6"/>
  <c r="L1294" i="6"/>
  <c r="K1262" i="6"/>
  <c r="N1262" i="6"/>
  <c r="M1262" i="6"/>
  <c r="L1262" i="6"/>
  <c r="N1222" i="6"/>
  <c r="M1222" i="6"/>
  <c r="L1222" i="6"/>
  <c r="K1222" i="6"/>
  <c r="N1190" i="6"/>
  <c r="M1190" i="6"/>
  <c r="L1190" i="6"/>
  <c r="K1190" i="6"/>
  <c r="N1158" i="6"/>
  <c r="M1158" i="6"/>
  <c r="L1158" i="6"/>
  <c r="K1158" i="6"/>
  <c r="N1126" i="6"/>
  <c r="M1126" i="6"/>
  <c r="L1126" i="6"/>
  <c r="K1126" i="6"/>
  <c r="M1022" i="6"/>
  <c r="L1022" i="6"/>
  <c r="N1022" i="6"/>
  <c r="K1022" i="6"/>
  <c r="M990" i="6"/>
  <c r="L990" i="6"/>
  <c r="N990" i="6"/>
  <c r="K990" i="6"/>
  <c r="N950" i="6"/>
  <c r="M950" i="6"/>
  <c r="L950" i="6"/>
  <c r="K950" i="6"/>
  <c r="N918" i="6"/>
  <c r="M918" i="6"/>
  <c r="L918" i="6"/>
  <c r="K918" i="6"/>
  <c r="N886" i="6"/>
  <c r="M886" i="6"/>
  <c r="L886" i="6"/>
  <c r="K886" i="6"/>
  <c r="N854" i="6"/>
  <c r="M854" i="6"/>
  <c r="L854" i="6"/>
  <c r="K854" i="6"/>
  <c r="N822" i="6"/>
  <c r="M822" i="6"/>
  <c r="L822" i="6"/>
  <c r="K822" i="6"/>
  <c r="N790" i="6"/>
  <c r="M790" i="6"/>
  <c r="L790" i="6"/>
  <c r="K790" i="6"/>
  <c r="N366" i="6"/>
  <c r="M366" i="6"/>
  <c r="L366" i="6"/>
  <c r="K366" i="6"/>
  <c r="N334" i="6"/>
  <c r="M334" i="6"/>
  <c r="L334" i="6"/>
  <c r="K334" i="6"/>
  <c r="N302" i="6"/>
  <c r="M302" i="6"/>
  <c r="L302" i="6"/>
  <c r="K302" i="6"/>
  <c r="N270" i="6"/>
  <c r="M270" i="6"/>
  <c r="L270" i="6"/>
  <c r="K270" i="6"/>
  <c r="N238" i="6"/>
  <c r="M238" i="6"/>
  <c r="L238" i="6"/>
  <c r="K238" i="6"/>
  <c r="N206" i="6"/>
  <c r="M206" i="6"/>
  <c r="L206" i="6"/>
  <c r="K206" i="6"/>
  <c r="N174" i="6"/>
  <c r="M174" i="6"/>
  <c r="L174" i="6"/>
  <c r="K174" i="6"/>
  <c r="N142" i="6"/>
  <c r="M142" i="6"/>
  <c r="L142" i="6"/>
  <c r="K142" i="6"/>
  <c r="N110" i="6"/>
  <c r="M110" i="6"/>
  <c r="L110" i="6"/>
  <c r="K110" i="6"/>
  <c r="N78" i="6"/>
  <c r="M78" i="6"/>
  <c r="L78" i="6"/>
  <c r="K78" i="6"/>
  <c r="N46" i="6"/>
  <c r="M46" i="6"/>
  <c r="L46" i="6"/>
  <c r="K46" i="6"/>
  <c r="N14" i="6"/>
  <c r="M14" i="6"/>
  <c r="L14" i="6"/>
  <c r="K14" i="6"/>
  <c r="M1915" i="6"/>
  <c r="K1915" i="6"/>
  <c r="N1915" i="6"/>
  <c r="L1915" i="6"/>
  <c r="K1899" i="6"/>
  <c r="M1899" i="6"/>
  <c r="L1899" i="6"/>
  <c r="N1899" i="6"/>
  <c r="N1851" i="6"/>
  <c r="L1851" i="6"/>
  <c r="M1851" i="6"/>
  <c r="K1851" i="6"/>
  <c r="N1787" i="6"/>
  <c r="L1787" i="6"/>
  <c r="M1787" i="6"/>
  <c r="K1787" i="6"/>
  <c r="N1539" i="6"/>
  <c r="L1539" i="6"/>
  <c r="K1539" i="6"/>
  <c r="M1539" i="6"/>
  <c r="N1507" i="6"/>
  <c r="L1507" i="6"/>
  <c r="K1507" i="6"/>
  <c r="M1507" i="6"/>
  <c r="N1475" i="6"/>
  <c r="L1475" i="6"/>
  <c r="K1475" i="6"/>
  <c r="M1475" i="6"/>
  <c r="N1443" i="6"/>
  <c r="L1443" i="6"/>
  <c r="K1443" i="6"/>
  <c r="M1443" i="6"/>
  <c r="N1435" i="6"/>
  <c r="L1435" i="6"/>
  <c r="K1435" i="6"/>
  <c r="M1435" i="6"/>
  <c r="K1411" i="6"/>
  <c r="N1411" i="6"/>
  <c r="M1411" i="6"/>
  <c r="L1411" i="6"/>
  <c r="K1379" i="6"/>
  <c r="N1379" i="6"/>
  <c r="M1379" i="6"/>
  <c r="L1379" i="6"/>
  <c r="K1371" i="6"/>
  <c r="M1371" i="6"/>
  <c r="L1371" i="6"/>
  <c r="N1371" i="6"/>
  <c r="K1347" i="6"/>
  <c r="N1347" i="6"/>
  <c r="M1347" i="6"/>
  <c r="L1347" i="6"/>
  <c r="M1323" i="6"/>
  <c r="N1323" i="6"/>
  <c r="L1323" i="6"/>
  <c r="K1323" i="6"/>
  <c r="M1291" i="6"/>
  <c r="N1291" i="6"/>
  <c r="L1291" i="6"/>
  <c r="K1291" i="6"/>
  <c r="M1259" i="6"/>
  <c r="N1259" i="6"/>
  <c r="L1259" i="6"/>
  <c r="K1259" i="6"/>
  <c r="N1083" i="6"/>
  <c r="M1083" i="6"/>
  <c r="L1083" i="6"/>
  <c r="K1083" i="6"/>
  <c r="N1051" i="6"/>
  <c r="M1051" i="6"/>
  <c r="L1051" i="6"/>
  <c r="K1051" i="6"/>
  <c r="N763" i="6"/>
  <c r="M763" i="6"/>
  <c r="L763" i="6"/>
  <c r="K763" i="6"/>
  <c r="N731" i="6"/>
  <c r="M731" i="6"/>
  <c r="L731" i="6"/>
  <c r="K731" i="6"/>
  <c r="N699" i="6"/>
  <c r="M699" i="6"/>
  <c r="L699" i="6"/>
  <c r="K699" i="6"/>
  <c r="N667" i="6"/>
  <c r="M667" i="6"/>
  <c r="L667" i="6"/>
  <c r="K667" i="6"/>
  <c r="N635" i="6"/>
  <c r="M635" i="6"/>
  <c r="L635" i="6"/>
  <c r="K635" i="6"/>
  <c r="N603" i="6"/>
  <c r="M603" i="6"/>
  <c r="L603" i="6"/>
  <c r="K603" i="6"/>
  <c r="N571" i="6"/>
  <c r="M571" i="6"/>
  <c r="L571" i="6"/>
  <c r="K571" i="6"/>
  <c r="N539" i="6"/>
  <c r="M539" i="6"/>
  <c r="L539" i="6"/>
  <c r="K539" i="6"/>
  <c r="N507" i="6"/>
  <c r="M507" i="6"/>
  <c r="L507" i="6"/>
  <c r="K507" i="6"/>
  <c r="N475" i="6"/>
  <c r="M475" i="6"/>
  <c r="L475" i="6"/>
  <c r="K475" i="6"/>
  <c r="N443" i="6"/>
  <c r="M443" i="6"/>
  <c r="L443" i="6"/>
  <c r="K443" i="6"/>
  <c r="N411" i="6"/>
  <c r="M411" i="6"/>
  <c r="L411" i="6"/>
  <c r="K411" i="6"/>
  <c r="K363" i="6"/>
  <c r="N363" i="6"/>
  <c r="M363" i="6"/>
  <c r="L363" i="6"/>
  <c r="K331" i="6"/>
  <c r="N331" i="6"/>
  <c r="M331" i="6"/>
  <c r="L331" i="6"/>
  <c r="K299" i="6"/>
  <c r="N299" i="6"/>
  <c r="M299" i="6"/>
  <c r="L299" i="6"/>
  <c r="K267" i="6"/>
  <c r="N267" i="6"/>
  <c r="M267" i="6"/>
  <c r="L267" i="6"/>
  <c r="K235" i="6"/>
  <c r="N235" i="6"/>
  <c r="M235" i="6"/>
  <c r="L235" i="6"/>
  <c r="K203" i="6"/>
  <c r="N203" i="6"/>
  <c r="M203" i="6"/>
  <c r="L203" i="6"/>
  <c r="K171" i="6"/>
  <c r="N171" i="6"/>
  <c r="M171" i="6"/>
  <c r="L171" i="6"/>
  <c r="K139" i="6"/>
  <c r="N139" i="6"/>
  <c r="M139" i="6"/>
  <c r="L139" i="6"/>
  <c r="K107" i="6"/>
  <c r="N107" i="6"/>
  <c r="M107" i="6"/>
  <c r="L107" i="6"/>
  <c r="K75" i="6"/>
  <c r="N75" i="6"/>
  <c r="M75" i="6"/>
  <c r="L75" i="6"/>
  <c r="K43" i="6"/>
  <c r="N43" i="6"/>
  <c r="M43" i="6"/>
  <c r="L43" i="6"/>
  <c r="K11" i="6"/>
  <c r="N11" i="6"/>
  <c r="M11" i="6"/>
  <c r="L11" i="6"/>
  <c r="N1800" i="6"/>
  <c r="L1800" i="6"/>
  <c r="M1800" i="6"/>
  <c r="K1800" i="6"/>
  <c r="K1704" i="6"/>
  <c r="N1704" i="6"/>
  <c r="M1704" i="6"/>
  <c r="L1704" i="6"/>
  <c r="N1552" i="6"/>
  <c r="L1552" i="6"/>
  <c r="M1552" i="6"/>
  <c r="K1552" i="6"/>
  <c r="N1520" i="6"/>
  <c r="L1520" i="6"/>
  <c r="M1520" i="6"/>
  <c r="K1520" i="6"/>
  <c r="N1488" i="6"/>
  <c r="L1488" i="6"/>
  <c r="M1488" i="6"/>
  <c r="K1488" i="6"/>
  <c r="N1456" i="6"/>
  <c r="L1456" i="6"/>
  <c r="M1456" i="6"/>
  <c r="K1456" i="6"/>
  <c r="L1328" i="6"/>
  <c r="K1328" i="6"/>
  <c r="M1328" i="6"/>
  <c r="N1328" i="6"/>
  <c r="L1296" i="6"/>
  <c r="K1296" i="6"/>
  <c r="M1296" i="6"/>
  <c r="N1296" i="6"/>
  <c r="L1264" i="6"/>
  <c r="K1264" i="6"/>
  <c r="M1264" i="6"/>
  <c r="N1264" i="6"/>
  <c r="N1232" i="6"/>
  <c r="M1232" i="6"/>
  <c r="K1232" i="6"/>
  <c r="L1232" i="6"/>
  <c r="N1200" i="6"/>
  <c r="M1200" i="6"/>
  <c r="K1200" i="6"/>
  <c r="L1200" i="6"/>
  <c r="N1168" i="6"/>
  <c r="M1168" i="6"/>
  <c r="K1168" i="6"/>
  <c r="L1168" i="6"/>
  <c r="N1136" i="6"/>
  <c r="M1136" i="6"/>
  <c r="K1136" i="6"/>
  <c r="L1136" i="6"/>
  <c r="M368" i="6"/>
  <c r="L368" i="6"/>
  <c r="K368" i="6"/>
  <c r="N368" i="6"/>
  <c r="M336" i="6"/>
  <c r="L336" i="6"/>
  <c r="K336" i="6"/>
  <c r="N336" i="6"/>
  <c r="M304" i="6"/>
  <c r="L304" i="6"/>
  <c r="K304" i="6"/>
  <c r="N304" i="6"/>
  <c r="M272" i="6"/>
  <c r="L272" i="6"/>
  <c r="K272" i="6"/>
  <c r="N272" i="6"/>
  <c r="M240" i="6"/>
  <c r="L240" i="6"/>
  <c r="K240" i="6"/>
  <c r="N240" i="6"/>
  <c r="M208" i="6"/>
  <c r="L208" i="6"/>
  <c r="K208" i="6"/>
  <c r="N208" i="6"/>
  <c r="M176" i="6"/>
  <c r="L176" i="6"/>
  <c r="K176" i="6"/>
  <c r="N176" i="6"/>
  <c r="M144" i="6"/>
  <c r="L144" i="6"/>
  <c r="K144" i="6"/>
  <c r="N144" i="6"/>
  <c r="M112" i="6"/>
  <c r="L112" i="6"/>
  <c r="K112" i="6"/>
  <c r="N112" i="6"/>
  <c r="M80" i="6"/>
  <c r="L80" i="6"/>
  <c r="K80" i="6"/>
  <c r="N80" i="6"/>
  <c r="M48" i="6"/>
  <c r="L48" i="6"/>
  <c r="K48" i="6"/>
  <c r="N48" i="6"/>
  <c r="M16" i="6"/>
  <c r="L16" i="6"/>
  <c r="K16" i="6"/>
  <c r="N16" i="6"/>
  <c r="M1661" i="6"/>
  <c r="L1661" i="6"/>
  <c r="N1661" i="6"/>
  <c r="K1661" i="6"/>
  <c r="M1229" i="6"/>
  <c r="L1229" i="6"/>
  <c r="K1229" i="6"/>
  <c r="N1229" i="6"/>
  <c r="M1197" i="6"/>
  <c r="L1197" i="6"/>
  <c r="K1197" i="6"/>
  <c r="N1197" i="6"/>
  <c r="M1165" i="6"/>
  <c r="L1165" i="6"/>
  <c r="K1165" i="6"/>
  <c r="N1165" i="6"/>
  <c r="M1133" i="6"/>
  <c r="L1133" i="6"/>
  <c r="K1133" i="6"/>
  <c r="N1133" i="6"/>
  <c r="K1085" i="6"/>
  <c r="N1085" i="6"/>
  <c r="M1085" i="6"/>
  <c r="L1085" i="6"/>
  <c r="K1053" i="6"/>
  <c r="N1053" i="6"/>
  <c r="M1053" i="6"/>
  <c r="L1053" i="6"/>
  <c r="K765" i="6"/>
  <c r="N765" i="6"/>
  <c r="M765" i="6"/>
  <c r="L765" i="6"/>
  <c r="K733" i="6"/>
  <c r="N733" i="6"/>
  <c r="M733" i="6"/>
  <c r="L733" i="6"/>
  <c r="K701" i="6"/>
  <c r="N701" i="6"/>
  <c r="M701" i="6"/>
  <c r="L701" i="6"/>
  <c r="K669" i="6"/>
  <c r="N669" i="6"/>
  <c r="M669" i="6"/>
  <c r="L669" i="6"/>
  <c r="K637" i="6"/>
  <c r="N637" i="6"/>
  <c r="M637" i="6"/>
  <c r="L637" i="6"/>
  <c r="K605" i="6"/>
  <c r="N605" i="6"/>
  <c r="M605" i="6"/>
  <c r="L605" i="6"/>
  <c r="K573" i="6"/>
  <c r="N573" i="6"/>
  <c r="M573" i="6"/>
  <c r="L573" i="6"/>
  <c r="K541" i="6"/>
  <c r="N541" i="6"/>
  <c r="M541" i="6"/>
  <c r="L541" i="6"/>
  <c r="K509" i="6"/>
  <c r="N509" i="6"/>
  <c r="M509" i="6"/>
  <c r="L509" i="6"/>
  <c r="K477" i="6"/>
  <c r="N477" i="6"/>
  <c r="M477" i="6"/>
  <c r="L477" i="6"/>
  <c r="K445" i="6"/>
  <c r="N445" i="6"/>
  <c r="M445" i="6"/>
  <c r="L445" i="6"/>
  <c r="K413" i="6"/>
  <c r="N413" i="6"/>
  <c r="M413" i="6"/>
  <c r="L413" i="6"/>
  <c r="N365" i="6"/>
  <c r="M365" i="6"/>
  <c r="L365" i="6"/>
  <c r="K365" i="6"/>
  <c r="N333" i="6"/>
  <c r="M333" i="6"/>
  <c r="L333" i="6"/>
  <c r="K333" i="6"/>
  <c r="N301" i="6"/>
  <c r="M301" i="6"/>
  <c r="L301" i="6"/>
  <c r="K301" i="6"/>
  <c r="N269" i="6"/>
  <c r="M269" i="6"/>
  <c r="L269" i="6"/>
  <c r="K269" i="6"/>
  <c r="N237" i="6"/>
  <c r="M237" i="6"/>
  <c r="L237" i="6"/>
  <c r="K237" i="6"/>
  <c r="N205" i="6"/>
  <c r="M205" i="6"/>
  <c r="L205" i="6"/>
  <c r="K205" i="6"/>
  <c r="N173" i="6"/>
  <c r="M173" i="6"/>
  <c r="L173" i="6"/>
  <c r="K173" i="6"/>
  <c r="N141" i="6"/>
  <c r="M141" i="6"/>
  <c r="L141" i="6"/>
  <c r="K141" i="6"/>
  <c r="N109" i="6"/>
  <c r="M109" i="6"/>
  <c r="L109" i="6"/>
  <c r="K109" i="6"/>
  <c r="N77" i="6"/>
  <c r="M77" i="6"/>
  <c r="L77" i="6"/>
  <c r="K77" i="6"/>
  <c r="N45" i="6"/>
  <c r="M45" i="6"/>
  <c r="L45" i="6"/>
  <c r="K45" i="6"/>
  <c r="N13" i="6"/>
  <c r="M13" i="6"/>
  <c r="L13" i="6"/>
  <c r="K13" i="6"/>
  <c r="K1978" i="6"/>
  <c r="M1978" i="6"/>
  <c r="L1978" i="6"/>
  <c r="N1978" i="6"/>
  <c r="K1946" i="6"/>
  <c r="M1946" i="6"/>
  <c r="N1946" i="6"/>
  <c r="L1946" i="6"/>
  <c r="K1914" i="6"/>
  <c r="M1914" i="6"/>
  <c r="N1914" i="6"/>
  <c r="L1914" i="6"/>
  <c r="K1882" i="6"/>
  <c r="N1882" i="6"/>
  <c r="M1882" i="6"/>
  <c r="L1882" i="6"/>
  <c r="N1730" i="6"/>
  <c r="L1730" i="6"/>
  <c r="K1730" i="6"/>
  <c r="M1730" i="6"/>
  <c r="N1698" i="6"/>
  <c r="L1698" i="6"/>
  <c r="K1698" i="6"/>
  <c r="M1698" i="6"/>
  <c r="N1666" i="6"/>
  <c r="L1666" i="6"/>
  <c r="K1666" i="6"/>
  <c r="M1666" i="6"/>
  <c r="N1642" i="6"/>
  <c r="M1642" i="6"/>
  <c r="K1642" i="6"/>
  <c r="L1642" i="6"/>
  <c r="N1610" i="6"/>
  <c r="M1610" i="6"/>
  <c r="K1610" i="6"/>
  <c r="L1610" i="6"/>
  <c r="N1578" i="6"/>
  <c r="M1578" i="6"/>
  <c r="K1578" i="6"/>
  <c r="L1578" i="6"/>
  <c r="K1322" i="6"/>
  <c r="N1322" i="6"/>
  <c r="M1322" i="6"/>
  <c r="L1322" i="6"/>
  <c r="K1314" i="6"/>
  <c r="N1314" i="6"/>
  <c r="M1314" i="6"/>
  <c r="L1314" i="6"/>
  <c r="K1290" i="6"/>
  <c r="N1290" i="6"/>
  <c r="M1290" i="6"/>
  <c r="L1290" i="6"/>
  <c r="K1282" i="6"/>
  <c r="N1282" i="6"/>
  <c r="M1282" i="6"/>
  <c r="L1282" i="6"/>
  <c r="K1258" i="6"/>
  <c r="N1258" i="6"/>
  <c r="M1258" i="6"/>
  <c r="L1258" i="6"/>
  <c r="M1098" i="6"/>
  <c r="L1098" i="6"/>
  <c r="K1098" i="6"/>
  <c r="N1098" i="6"/>
  <c r="M1066" i="6"/>
  <c r="L1066" i="6"/>
  <c r="K1066" i="6"/>
  <c r="N1066" i="6"/>
  <c r="M1034" i="6"/>
  <c r="L1034" i="6"/>
  <c r="K1034" i="6"/>
  <c r="N1034" i="6"/>
  <c r="M778" i="6"/>
  <c r="L778" i="6"/>
  <c r="K778" i="6"/>
  <c r="N778" i="6"/>
  <c r="M746" i="6"/>
  <c r="L746" i="6"/>
  <c r="K746" i="6"/>
  <c r="N746" i="6"/>
  <c r="M714" i="6"/>
  <c r="L714" i="6"/>
  <c r="K714" i="6"/>
  <c r="N714" i="6"/>
  <c r="M682" i="6"/>
  <c r="L682" i="6"/>
  <c r="K682" i="6"/>
  <c r="N682" i="6"/>
  <c r="M650" i="6"/>
  <c r="L650" i="6"/>
  <c r="K650" i="6"/>
  <c r="N650" i="6"/>
  <c r="M618" i="6"/>
  <c r="L618" i="6"/>
  <c r="K618" i="6"/>
  <c r="N618" i="6"/>
  <c r="M586" i="6"/>
  <c r="L586" i="6"/>
  <c r="K586" i="6"/>
  <c r="N586" i="6"/>
  <c r="M554" i="6"/>
  <c r="L554" i="6"/>
  <c r="K554" i="6"/>
  <c r="N554" i="6"/>
  <c r="M522" i="6"/>
  <c r="L522" i="6"/>
  <c r="K522" i="6"/>
  <c r="N522" i="6"/>
  <c r="M490" i="6"/>
  <c r="L490" i="6"/>
  <c r="K490" i="6"/>
  <c r="N490" i="6"/>
  <c r="M458" i="6"/>
  <c r="L458" i="6"/>
  <c r="K458" i="6"/>
  <c r="N458" i="6"/>
  <c r="M426" i="6"/>
  <c r="L426" i="6"/>
  <c r="K426" i="6"/>
  <c r="N426" i="6"/>
  <c r="M402" i="6"/>
  <c r="L402" i="6"/>
  <c r="K402" i="6"/>
  <c r="N402" i="6"/>
  <c r="N1991" i="6"/>
  <c r="M1991" i="6"/>
  <c r="K1991" i="6"/>
  <c r="L1991" i="6"/>
  <c r="M1863" i="6"/>
  <c r="K1863" i="6"/>
  <c r="N1863" i="6"/>
  <c r="L1863" i="6"/>
  <c r="N1831" i="6"/>
  <c r="L1831" i="6"/>
  <c r="K1831" i="6"/>
  <c r="M1831" i="6"/>
  <c r="N1767" i="6"/>
  <c r="L1767" i="6"/>
  <c r="K1767" i="6"/>
  <c r="M1767" i="6"/>
  <c r="M1639" i="6"/>
  <c r="L1639" i="6"/>
  <c r="K1639" i="6"/>
  <c r="N1639" i="6"/>
  <c r="M1575" i="6"/>
  <c r="L1575" i="6"/>
  <c r="K1575" i="6"/>
  <c r="N1575" i="6"/>
  <c r="M1335" i="6"/>
  <c r="N1335" i="6"/>
  <c r="K1335" i="6"/>
  <c r="L1335" i="6"/>
  <c r="M1303" i="6"/>
  <c r="N1303" i="6"/>
  <c r="K1303" i="6"/>
  <c r="L1303" i="6"/>
  <c r="M1271" i="6"/>
  <c r="N1271" i="6"/>
  <c r="K1271" i="6"/>
  <c r="L1271" i="6"/>
  <c r="N1095" i="6"/>
  <c r="M1095" i="6"/>
  <c r="L1095" i="6"/>
  <c r="K1095" i="6"/>
  <c r="N1063" i="6"/>
  <c r="M1063" i="6"/>
  <c r="L1063" i="6"/>
  <c r="K1063" i="6"/>
  <c r="N775" i="6"/>
  <c r="M775" i="6"/>
  <c r="L775" i="6"/>
  <c r="K775" i="6"/>
  <c r="N743" i="6"/>
  <c r="M743" i="6"/>
  <c r="L743" i="6"/>
  <c r="K743" i="6"/>
  <c r="N711" i="6"/>
  <c r="M711" i="6"/>
  <c r="L711" i="6"/>
  <c r="K711" i="6"/>
  <c r="N679" i="6"/>
  <c r="M679" i="6"/>
  <c r="L679" i="6"/>
  <c r="K679" i="6"/>
  <c r="N647" i="6"/>
  <c r="M647" i="6"/>
  <c r="L647" i="6"/>
  <c r="K647" i="6"/>
  <c r="N615" i="6"/>
  <c r="M615" i="6"/>
  <c r="L615" i="6"/>
  <c r="K615" i="6"/>
  <c r="N583" i="6"/>
  <c r="M583" i="6"/>
  <c r="L583" i="6"/>
  <c r="K583" i="6"/>
  <c r="N551" i="6"/>
  <c r="M551" i="6"/>
  <c r="L551" i="6"/>
  <c r="K551" i="6"/>
  <c r="N519" i="6"/>
  <c r="M519" i="6"/>
  <c r="L519" i="6"/>
  <c r="K519" i="6"/>
  <c r="N487" i="6"/>
  <c r="M487" i="6"/>
  <c r="L487" i="6"/>
  <c r="K487" i="6"/>
  <c r="N455" i="6"/>
  <c r="M455" i="6"/>
  <c r="L455" i="6"/>
  <c r="K455" i="6"/>
  <c r="N423" i="6"/>
  <c r="M423" i="6"/>
  <c r="L423" i="6"/>
  <c r="K423" i="6"/>
  <c r="K375" i="6"/>
  <c r="N375" i="6"/>
  <c r="M375" i="6"/>
  <c r="L375" i="6"/>
  <c r="K343" i="6"/>
  <c r="N343" i="6"/>
  <c r="M343" i="6"/>
  <c r="L343" i="6"/>
  <c r="K311" i="6"/>
  <c r="N311" i="6"/>
  <c r="M311" i="6"/>
  <c r="L311" i="6"/>
  <c r="K279" i="6"/>
  <c r="N279" i="6"/>
  <c r="M279" i="6"/>
  <c r="L279" i="6"/>
  <c r="K247" i="6"/>
  <c r="N247" i="6"/>
  <c r="M247" i="6"/>
  <c r="L247" i="6"/>
  <c r="K215" i="6"/>
  <c r="N215" i="6"/>
  <c r="M215" i="6"/>
  <c r="L215" i="6"/>
  <c r="K183" i="6"/>
  <c r="N183" i="6"/>
  <c r="M183" i="6"/>
  <c r="L183" i="6"/>
  <c r="K151" i="6"/>
  <c r="N151" i="6"/>
  <c r="M151" i="6"/>
  <c r="L151" i="6"/>
  <c r="K119" i="6"/>
  <c r="N119" i="6"/>
  <c r="M119" i="6"/>
  <c r="L119" i="6"/>
  <c r="K87" i="6"/>
  <c r="N87" i="6"/>
  <c r="M87" i="6"/>
  <c r="L87" i="6"/>
  <c r="K55" i="6"/>
  <c r="N55" i="6"/>
  <c r="M55" i="6"/>
  <c r="L55" i="6"/>
  <c r="K23" i="6"/>
  <c r="N23" i="6"/>
  <c r="M23" i="6"/>
  <c r="L23" i="6"/>
  <c r="L1996" i="6"/>
  <c r="M1996" i="6"/>
  <c r="K1996" i="6"/>
  <c r="N1996" i="6"/>
  <c r="M1956" i="6"/>
  <c r="K1956" i="6"/>
  <c r="N1956" i="6"/>
  <c r="L1956" i="6"/>
  <c r="M1860" i="6"/>
  <c r="L1860" i="6"/>
  <c r="K1860" i="6"/>
  <c r="N1860" i="6"/>
  <c r="K1708" i="6"/>
  <c r="N1708" i="6"/>
  <c r="M1708" i="6"/>
  <c r="L1708" i="6"/>
  <c r="K1676" i="6"/>
  <c r="N1676" i="6"/>
  <c r="M1676" i="6"/>
  <c r="L1676" i="6"/>
  <c r="K1660" i="6"/>
  <c r="N1660" i="6"/>
  <c r="L1660" i="6"/>
  <c r="M1660" i="6"/>
  <c r="N1636" i="6"/>
  <c r="M1636" i="6"/>
  <c r="L1636" i="6"/>
  <c r="K1636" i="6"/>
  <c r="N1604" i="6"/>
  <c r="M1604" i="6"/>
  <c r="L1604" i="6"/>
  <c r="K1604" i="6"/>
  <c r="N1572" i="6"/>
  <c r="M1572" i="6"/>
  <c r="L1572" i="6"/>
  <c r="K1572" i="6"/>
  <c r="N1548" i="6"/>
  <c r="L1548" i="6"/>
  <c r="M1548" i="6"/>
  <c r="K1548" i="6"/>
  <c r="N1516" i="6"/>
  <c r="L1516" i="6"/>
  <c r="M1516" i="6"/>
  <c r="K1516" i="6"/>
  <c r="N1484" i="6"/>
  <c r="L1484" i="6"/>
  <c r="M1484" i="6"/>
  <c r="K1484" i="6"/>
  <c r="N1452" i="6"/>
  <c r="L1452" i="6"/>
  <c r="M1452" i="6"/>
  <c r="K1452" i="6"/>
  <c r="M1412" i="6"/>
  <c r="L1412" i="6"/>
  <c r="N1412" i="6"/>
  <c r="K1412" i="6"/>
  <c r="M1380" i="6"/>
  <c r="L1380" i="6"/>
  <c r="N1380" i="6"/>
  <c r="K1380" i="6"/>
  <c r="M1348" i="6"/>
  <c r="L1348" i="6"/>
  <c r="N1348" i="6"/>
  <c r="K1348" i="6"/>
  <c r="N1100" i="6"/>
  <c r="M1100" i="6"/>
  <c r="L1100" i="6"/>
  <c r="K1100" i="6"/>
  <c r="N1068" i="6"/>
  <c r="M1068" i="6"/>
  <c r="L1068" i="6"/>
  <c r="K1068" i="6"/>
  <c r="N1036" i="6"/>
  <c r="M1036" i="6"/>
  <c r="L1036" i="6"/>
  <c r="K1036" i="6"/>
  <c r="N1004" i="6"/>
  <c r="M1004" i="6"/>
  <c r="L1004" i="6"/>
  <c r="K1004" i="6"/>
  <c r="N972" i="6"/>
  <c r="M972" i="6"/>
  <c r="L972" i="6"/>
  <c r="K972" i="6"/>
  <c r="N964" i="6"/>
  <c r="M964" i="6"/>
  <c r="L964" i="6"/>
  <c r="K964" i="6"/>
  <c r="N932" i="6"/>
  <c r="M932" i="6"/>
  <c r="L932" i="6"/>
  <c r="K932" i="6"/>
  <c r="N900" i="6"/>
  <c r="M900" i="6"/>
  <c r="L900" i="6"/>
  <c r="K900" i="6"/>
  <c r="N868" i="6"/>
  <c r="M868" i="6"/>
  <c r="L868" i="6"/>
  <c r="K868" i="6"/>
  <c r="N836" i="6"/>
  <c r="M836" i="6"/>
  <c r="L836" i="6"/>
  <c r="K836" i="6"/>
  <c r="N804" i="6"/>
  <c r="M804" i="6"/>
  <c r="L804" i="6"/>
  <c r="K804" i="6"/>
  <c r="N780" i="6"/>
  <c r="M780" i="6"/>
  <c r="L780" i="6"/>
  <c r="K780" i="6"/>
  <c r="N748" i="6"/>
  <c r="M748" i="6"/>
  <c r="L748" i="6"/>
  <c r="K748" i="6"/>
  <c r="N716" i="6"/>
  <c r="M716" i="6"/>
  <c r="L716" i="6"/>
  <c r="K716" i="6"/>
  <c r="N684" i="6"/>
  <c r="M684" i="6"/>
  <c r="L684" i="6"/>
  <c r="K684" i="6"/>
  <c r="N652" i="6"/>
  <c r="M652" i="6"/>
  <c r="L652" i="6"/>
  <c r="K652" i="6"/>
  <c r="N620" i="6"/>
  <c r="M620" i="6"/>
  <c r="L620" i="6"/>
  <c r="K620" i="6"/>
  <c r="N588" i="6"/>
  <c r="M588" i="6"/>
  <c r="L588" i="6"/>
  <c r="K588" i="6"/>
  <c r="N556" i="6"/>
  <c r="M556" i="6"/>
  <c r="L556" i="6"/>
  <c r="K556" i="6"/>
  <c r="N524" i="6"/>
  <c r="M524" i="6"/>
  <c r="L524" i="6"/>
  <c r="K524" i="6"/>
  <c r="N492" i="6"/>
  <c r="M492" i="6"/>
  <c r="L492" i="6"/>
  <c r="K492" i="6"/>
  <c r="N460" i="6"/>
  <c r="M460" i="6"/>
  <c r="L460" i="6"/>
  <c r="K460" i="6"/>
  <c r="N428" i="6"/>
  <c r="M428" i="6"/>
  <c r="L428" i="6"/>
  <c r="K428" i="6"/>
  <c r="M396" i="6"/>
  <c r="N396" i="6"/>
  <c r="L396" i="6"/>
  <c r="K396" i="6"/>
  <c r="M1225" i="6"/>
  <c r="L1225" i="6"/>
  <c r="K1225" i="6"/>
  <c r="N1225" i="6"/>
  <c r="M1193" i="6"/>
  <c r="L1193" i="6"/>
  <c r="K1193" i="6"/>
  <c r="N1193" i="6"/>
  <c r="M1161" i="6"/>
  <c r="L1161" i="6"/>
  <c r="K1161" i="6"/>
  <c r="N1161" i="6"/>
  <c r="M1129" i="6"/>
  <c r="L1129" i="6"/>
  <c r="K1129" i="6"/>
  <c r="N1129" i="6"/>
  <c r="M1105" i="6"/>
  <c r="L1105" i="6"/>
  <c r="K1105" i="6"/>
  <c r="N1105" i="6"/>
  <c r="K1081" i="6"/>
  <c r="N1081" i="6"/>
  <c r="M1081" i="6"/>
  <c r="L1081" i="6"/>
  <c r="K1049" i="6"/>
  <c r="N1049" i="6"/>
  <c r="M1049" i="6"/>
  <c r="L1049" i="6"/>
  <c r="K761" i="6"/>
  <c r="N761" i="6"/>
  <c r="M761" i="6"/>
  <c r="L761" i="6"/>
  <c r="K729" i="6"/>
  <c r="N729" i="6"/>
  <c r="M729" i="6"/>
  <c r="L729" i="6"/>
  <c r="K697" i="6"/>
  <c r="N697" i="6"/>
  <c r="M697" i="6"/>
  <c r="L697" i="6"/>
  <c r="K665" i="6"/>
  <c r="N665" i="6"/>
  <c r="M665" i="6"/>
  <c r="L665" i="6"/>
  <c r="K633" i="6"/>
  <c r="N633" i="6"/>
  <c r="M633" i="6"/>
  <c r="L633" i="6"/>
  <c r="K601" i="6"/>
  <c r="N601" i="6"/>
  <c r="M601" i="6"/>
  <c r="L601" i="6"/>
  <c r="K569" i="6"/>
  <c r="N569" i="6"/>
  <c r="M569" i="6"/>
  <c r="L569" i="6"/>
  <c r="K537" i="6"/>
  <c r="N537" i="6"/>
  <c r="M537" i="6"/>
  <c r="L537" i="6"/>
  <c r="K505" i="6"/>
  <c r="N505" i="6"/>
  <c r="M505" i="6"/>
  <c r="L505" i="6"/>
  <c r="K473" i="6"/>
  <c r="N473" i="6"/>
  <c r="M473" i="6"/>
  <c r="L473" i="6"/>
  <c r="K441" i="6"/>
  <c r="N441" i="6"/>
  <c r="M441" i="6"/>
  <c r="L441" i="6"/>
  <c r="K409" i="6"/>
  <c r="N409" i="6"/>
  <c r="M409" i="6"/>
  <c r="L409" i="6"/>
  <c r="N393" i="6"/>
  <c r="M393" i="6"/>
  <c r="L393" i="6"/>
  <c r="K393" i="6"/>
  <c r="N361" i="6"/>
  <c r="M361" i="6"/>
  <c r="L361" i="6"/>
  <c r="K361" i="6"/>
  <c r="N329" i="6"/>
  <c r="M329" i="6"/>
  <c r="L329" i="6"/>
  <c r="K329" i="6"/>
  <c r="N297" i="6"/>
  <c r="M297" i="6"/>
  <c r="L297" i="6"/>
  <c r="K297" i="6"/>
  <c r="N265" i="6"/>
  <c r="M265" i="6"/>
  <c r="L265" i="6"/>
  <c r="K265" i="6"/>
  <c r="N233" i="6"/>
  <c r="M233" i="6"/>
  <c r="L233" i="6"/>
  <c r="K233" i="6"/>
  <c r="N201" i="6"/>
  <c r="M201" i="6"/>
  <c r="L201" i="6"/>
  <c r="K201" i="6"/>
  <c r="N169" i="6"/>
  <c r="M169" i="6"/>
  <c r="L169" i="6"/>
  <c r="K169" i="6"/>
  <c r="N137" i="6"/>
  <c r="M137" i="6"/>
  <c r="L137" i="6"/>
  <c r="K137" i="6"/>
  <c r="N105" i="6"/>
  <c r="M105" i="6"/>
  <c r="L105" i="6"/>
  <c r="K105" i="6"/>
  <c r="N73" i="6"/>
  <c r="M73" i="6"/>
  <c r="L73" i="6"/>
  <c r="K73" i="6"/>
  <c r="N41" i="6"/>
  <c r="M41" i="6"/>
  <c r="L41" i="6"/>
  <c r="K41" i="6"/>
  <c r="M9" i="6"/>
  <c r="N9" i="6"/>
  <c r="L9" i="6"/>
  <c r="K9" i="6"/>
  <c r="K1958" i="6"/>
  <c r="L1958" i="6"/>
  <c r="N1958" i="6"/>
  <c r="M1958" i="6"/>
  <c r="K1926" i="6"/>
  <c r="M1926" i="6"/>
  <c r="N1926" i="6"/>
  <c r="L1926" i="6"/>
  <c r="K1894" i="6"/>
  <c r="M1894" i="6"/>
  <c r="N1894" i="6"/>
  <c r="L1894" i="6"/>
  <c r="K1862" i="6"/>
  <c r="N1862" i="6"/>
  <c r="L1862" i="6"/>
  <c r="M1862" i="6"/>
  <c r="L1846" i="6"/>
  <c r="N1846" i="6"/>
  <c r="K1846" i="6"/>
  <c r="M1846" i="6"/>
  <c r="L1814" i="6"/>
  <c r="N1814" i="6"/>
  <c r="K1814" i="6"/>
  <c r="M1814" i="6"/>
  <c r="L1782" i="6"/>
  <c r="N1782" i="6"/>
  <c r="K1782" i="6"/>
  <c r="M1782" i="6"/>
  <c r="L1750" i="6"/>
  <c r="N1750" i="6"/>
  <c r="K1750" i="6"/>
  <c r="M1750" i="6"/>
  <c r="N1654" i="6"/>
  <c r="M1654" i="6"/>
  <c r="K1654" i="6"/>
  <c r="L1654" i="6"/>
  <c r="N1622" i="6"/>
  <c r="M1622" i="6"/>
  <c r="K1622" i="6"/>
  <c r="L1622" i="6"/>
  <c r="N1590" i="6"/>
  <c r="M1590" i="6"/>
  <c r="K1590" i="6"/>
  <c r="L1590" i="6"/>
  <c r="M1078" i="6"/>
  <c r="L1078" i="6"/>
  <c r="K1078" i="6"/>
  <c r="N1078" i="6"/>
  <c r="M1046" i="6"/>
  <c r="L1046" i="6"/>
  <c r="K1046" i="6"/>
  <c r="N1046" i="6"/>
  <c r="M758" i="6"/>
  <c r="L758" i="6"/>
  <c r="K758" i="6"/>
  <c r="N758" i="6"/>
  <c r="M726" i="6"/>
  <c r="L726" i="6"/>
  <c r="K726" i="6"/>
  <c r="N726" i="6"/>
  <c r="M694" i="6"/>
  <c r="L694" i="6"/>
  <c r="K694" i="6"/>
  <c r="N694" i="6"/>
  <c r="M662" i="6"/>
  <c r="L662" i="6"/>
  <c r="K662" i="6"/>
  <c r="N662" i="6"/>
  <c r="M630" i="6"/>
  <c r="L630" i="6"/>
  <c r="K630" i="6"/>
  <c r="N630" i="6"/>
  <c r="M598" i="6"/>
  <c r="L598" i="6"/>
  <c r="K598" i="6"/>
  <c r="N598" i="6"/>
  <c r="M566" i="6"/>
  <c r="L566" i="6"/>
  <c r="K566" i="6"/>
  <c r="N566" i="6"/>
  <c r="M534" i="6"/>
  <c r="L534" i="6"/>
  <c r="K534" i="6"/>
  <c r="N534" i="6"/>
  <c r="M502" i="6"/>
  <c r="L502" i="6"/>
  <c r="K502" i="6"/>
  <c r="N502" i="6"/>
  <c r="M470" i="6"/>
  <c r="L470" i="6"/>
  <c r="K470" i="6"/>
  <c r="N470" i="6"/>
  <c r="M438" i="6"/>
  <c r="L438" i="6"/>
  <c r="K438" i="6"/>
  <c r="N438" i="6"/>
  <c r="N2003" i="6"/>
  <c r="M2003" i="6"/>
  <c r="K2003" i="6"/>
  <c r="L2003" i="6"/>
  <c r="M1963" i="6"/>
  <c r="K1963" i="6"/>
  <c r="L1963" i="6"/>
  <c r="N1963" i="6"/>
  <c r="N1827" i="6"/>
  <c r="L1827" i="6"/>
  <c r="K1827" i="6"/>
  <c r="M1827" i="6"/>
  <c r="N1819" i="6"/>
  <c r="L1819" i="6"/>
  <c r="M1819" i="6"/>
  <c r="K1819" i="6"/>
  <c r="N1795" i="6"/>
  <c r="L1795" i="6"/>
  <c r="K1795" i="6"/>
  <c r="M1795" i="6"/>
  <c r="N1763" i="6"/>
  <c r="L1763" i="6"/>
  <c r="K1763" i="6"/>
  <c r="M1763" i="6"/>
  <c r="N1755" i="6"/>
  <c r="L1755" i="6"/>
  <c r="M1755" i="6"/>
  <c r="K1755" i="6"/>
  <c r="N1715" i="6"/>
  <c r="L1715" i="6"/>
  <c r="K1715" i="6"/>
  <c r="M1715" i="6"/>
  <c r="N1683" i="6"/>
  <c r="L1683" i="6"/>
  <c r="K1683" i="6"/>
  <c r="M1683" i="6"/>
  <c r="M1659" i="6"/>
  <c r="L1659" i="6"/>
  <c r="K1659" i="6"/>
  <c r="N1659" i="6"/>
  <c r="M1627" i="6"/>
  <c r="L1627" i="6"/>
  <c r="K1627" i="6"/>
  <c r="N1627" i="6"/>
  <c r="M1595" i="6"/>
  <c r="L1595" i="6"/>
  <c r="K1595" i="6"/>
  <c r="N1595" i="6"/>
  <c r="L1227" i="6"/>
  <c r="K1227" i="6"/>
  <c r="N1227" i="6"/>
  <c r="M1227" i="6"/>
  <c r="L1195" i="6"/>
  <c r="K1195" i="6"/>
  <c r="N1195" i="6"/>
  <c r="M1195" i="6"/>
  <c r="L1163" i="6"/>
  <c r="K1163" i="6"/>
  <c r="N1163" i="6"/>
  <c r="M1163" i="6"/>
  <c r="L1131" i="6"/>
  <c r="K1131" i="6"/>
  <c r="N1131" i="6"/>
  <c r="M1131" i="6"/>
  <c r="N1019" i="6"/>
  <c r="L1019" i="6"/>
  <c r="K1019" i="6"/>
  <c r="M1019" i="6"/>
  <c r="N987" i="6"/>
  <c r="L987" i="6"/>
  <c r="K987" i="6"/>
  <c r="M987" i="6"/>
  <c r="N947" i="6"/>
  <c r="M947" i="6"/>
  <c r="L947" i="6"/>
  <c r="K947" i="6"/>
  <c r="N915" i="6"/>
  <c r="M915" i="6"/>
  <c r="L915" i="6"/>
  <c r="K915" i="6"/>
  <c r="N883" i="6"/>
  <c r="M883" i="6"/>
  <c r="L883" i="6"/>
  <c r="K883" i="6"/>
  <c r="N851" i="6"/>
  <c r="M851" i="6"/>
  <c r="L851" i="6"/>
  <c r="K851" i="6"/>
  <c r="N819" i="6"/>
  <c r="M819" i="6"/>
  <c r="L819" i="6"/>
  <c r="K819" i="6"/>
  <c r="N787" i="6"/>
  <c r="M787" i="6"/>
  <c r="L787" i="6"/>
  <c r="K787" i="6"/>
  <c r="M1960" i="6"/>
  <c r="K1960" i="6"/>
  <c r="N1960" i="6"/>
  <c r="L1960" i="6"/>
  <c r="M1872" i="6"/>
  <c r="K1872" i="6"/>
  <c r="N1872" i="6"/>
  <c r="L1872" i="6"/>
  <c r="N1832" i="6"/>
  <c r="L1832" i="6"/>
  <c r="M1832" i="6"/>
  <c r="K1832" i="6"/>
  <c r="N1768" i="6"/>
  <c r="L1768" i="6"/>
  <c r="M1768" i="6"/>
  <c r="K1768" i="6"/>
  <c r="K1728" i="6"/>
  <c r="N1728" i="6"/>
  <c r="M1728" i="6"/>
  <c r="L1728" i="6"/>
  <c r="K1696" i="6"/>
  <c r="N1696" i="6"/>
  <c r="M1696" i="6"/>
  <c r="L1696" i="6"/>
  <c r="K1672" i="6"/>
  <c r="N1672" i="6"/>
  <c r="M1672" i="6"/>
  <c r="L1672" i="6"/>
  <c r="N1656" i="6"/>
  <c r="M1656" i="6"/>
  <c r="K1656" i="6"/>
  <c r="L1656" i="6"/>
  <c r="N1624" i="6"/>
  <c r="M1624" i="6"/>
  <c r="K1624" i="6"/>
  <c r="L1624" i="6"/>
  <c r="N1592" i="6"/>
  <c r="M1592" i="6"/>
  <c r="K1592" i="6"/>
  <c r="L1592" i="6"/>
  <c r="M1432" i="6"/>
  <c r="L1432" i="6"/>
  <c r="N1432" i="6"/>
  <c r="K1432" i="6"/>
  <c r="M1400" i="6"/>
  <c r="L1400" i="6"/>
  <c r="N1400" i="6"/>
  <c r="K1400" i="6"/>
  <c r="M1368" i="6"/>
  <c r="L1368" i="6"/>
  <c r="N1368" i="6"/>
  <c r="K1368" i="6"/>
  <c r="N1088" i="6"/>
  <c r="M1088" i="6"/>
  <c r="L1088" i="6"/>
  <c r="K1088" i="6"/>
  <c r="N1056" i="6"/>
  <c r="M1056" i="6"/>
  <c r="L1056" i="6"/>
  <c r="K1056" i="6"/>
  <c r="N1024" i="6"/>
  <c r="M1024" i="6"/>
  <c r="L1024" i="6"/>
  <c r="K1024" i="6"/>
  <c r="N992" i="6"/>
  <c r="M992" i="6"/>
  <c r="L992" i="6"/>
  <c r="K992" i="6"/>
  <c r="N952" i="6"/>
  <c r="M952" i="6"/>
  <c r="L952" i="6"/>
  <c r="K952" i="6"/>
  <c r="N920" i="6"/>
  <c r="M920" i="6"/>
  <c r="L920" i="6"/>
  <c r="K920" i="6"/>
  <c r="N888" i="6"/>
  <c r="M888" i="6"/>
  <c r="L888" i="6"/>
  <c r="K888" i="6"/>
  <c r="N856" i="6"/>
  <c r="M856" i="6"/>
  <c r="L856" i="6"/>
  <c r="K856" i="6"/>
  <c r="N824" i="6"/>
  <c r="M824" i="6"/>
  <c r="L824" i="6"/>
  <c r="K824" i="6"/>
  <c r="N792" i="6"/>
  <c r="M792" i="6"/>
  <c r="L792" i="6"/>
  <c r="K792" i="6"/>
  <c r="N768" i="6"/>
  <c r="M768" i="6"/>
  <c r="L768" i="6"/>
  <c r="K768" i="6"/>
  <c r="N736" i="6"/>
  <c r="M736" i="6"/>
  <c r="L736" i="6"/>
  <c r="K736" i="6"/>
  <c r="N704" i="6"/>
  <c r="M704" i="6"/>
  <c r="L704" i="6"/>
  <c r="K704" i="6"/>
  <c r="N672" i="6"/>
  <c r="M672" i="6"/>
  <c r="L672" i="6"/>
  <c r="K672" i="6"/>
  <c r="N640" i="6"/>
  <c r="M640" i="6"/>
  <c r="L640" i="6"/>
  <c r="K640" i="6"/>
  <c r="N608" i="6"/>
  <c r="M608" i="6"/>
  <c r="L608" i="6"/>
  <c r="K608" i="6"/>
  <c r="N576" i="6"/>
  <c r="M576" i="6"/>
  <c r="L576" i="6"/>
  <c r="K576" i="6"/>
  <c r="N544" i="6"/>
  <c r="M544" i="6"/>
  <c r="L544" i="6"/>
  <c r="K544" i="6"/>
  <c r="N512" i="6"/>
  <c r="M512" i="6"/>
  <c r="L512" i="6"/>
  <c r="K512" i="6"/>
  <c r="N480" i="6"/>
  <c r="M480" i="6"/>
  <c r="L480" i="6"/>
  <c r="K480" i="6"/>
  <c r="N448" i="6"/>
  <c r="M448" i="6"/>
  <c r="L448" i="6"/>
  <c r="K448" i="6"/>
  <c r="N416" i="6"/>
  <c r="M416" i="6"/>
  <c r="L416" i="6"/>
  <c r="K416" i="6"/>
  <c r="N1989" i="6"/>
  <c r="M1989" i="6"/>
  <c r="K1989" i="6"/>
  <c r="L1989" i="6"/>
  <c r="M1957" i="6"/>
  <c r="L1957" i="6"/>
  <c r="K1957" i="6"/>
  <c r="N1957" i="6"/>
  <c r="M1925" i="6"/>
  <c r="L1925" i="6"/>
  <c r="K1925" i="6"/>
  <c r="N1925" i="6"/>
  <c r="M1893" i="6"/>
  <c r="N1893" i="6"/>
  <c r="K1893" i="6"/>
  <c r="L1893" i="6"/>
  <c r="N1861" i="6"/>
  <c r="M1861" i="6"/>
  <c r="L1861" i="6"/>
  <c r="K1861" i="6"/>
  <c r="L1629" i="6"/>
  <c r="K1629" i="6"/>
  <c r="N1629" i="6"/>
  <c r="M1629" i="6"/>
  <c r="L1597" i="6"/>
  <c r="K1597" i="6"/>
  <c r="N1597" i="6"/>
  <c r="M1597" i="6"/>
  <c r="L1549" i="6"/>
  <c r="N1549" i="6"/>
  <c r="K1549" i="6"/>
  <c r="M1549" i="6"/>
  <c r="L1541" i="6"/>
  <c r="N1541" i="6"/>
  <c r="K1541" i="6"/>
  <c r="M1541" i="6"/>
  <c r="L1517" i="6"/>
  <c r="N1517" i="6"/>
  <c r="K1517" i="6"/>
  <c r="M1517" i="6"/>
  <c r="L1509" i="6"/>
  <c r="N1509" i="6"/>
  <c r="K1509" i="6"/>
  <c r="M1509" i="6"/>
  <c r="L1485" i="6"/>
  <c r="N1485" i="6"/>
  <c r="K1485" i="6"/>
  <c r="M1485" i="6"/>
  <c r="L1477" i="6"/>
  <c r="N1477" i="6"/>
  <c r="K1477" i="6"/>
  <c r="M1477" i="6"/>
  <c r="L1453" i="6"/>
  <c r="N1453" i="6"/>
  <c r="K1453" i="6"/>
  <c r="M1453" i="6"/>
  <c r="L1445" i="6"/>
  <c r="N1445" i="6"/>
  <c r="K1445" i="6"/>
  <c r="M1445" i="6"/>
  <c r="N1317" i="6"/>
  <c r="M1317" i="6"/>
  <c r="L1317" i="6"/>
  <c r="K1317" i="6"/>
  <c r="N1285" i="6"/>
  <c r="M1285" i="6"/>
  <c r="L1285" i="6"/>
  <c r="K1285" i="6"/>
  <c r="N1253" i="6"/>
  <c r="M1253" i="6"/>
  <c r="L1253" i="6"/>
  <c r="K1253" i="6"/>
  <c r="L949" i="6"/>
  <c r="K949" i="6"/>
  <c r="N949" i="6"/>
  <c r="M949" i="6"/>
  <c r="L917" i="6"/>
  <c r="K917" i="6"/>
  <c r="N917" i="6"/>
  <c r="M917" i="6"/>
  <c r="L885" i="6"/>
  <c r="K885" i="6"/>
  <c r="N885" i="6"/>
  <c r="M885" i="6"/>
  <c r="L853" i="6"/>
  <c r="K853" i="6"/>
  <c r="N853" i="6"/>
  <c r="M853" i="6"/>
  <c r="L821" i="6"/>
  <c r="K821" i="6"/>
  <c r="N821" i="6"/>
  <c r="M821" i="6"/>
  <c r="L789" i="6"/>
  <c r="K789" i="6"/>
  <c r="N789" i="6"/>
  <c r="M789" i="6"/>
  <c r="N1546" i="6"/>
  <c r="L1546" i="6"/>
  <c r="K1546" i="6"/>
  <c r="M1546" i="6"/>
  <c r="N1514" i="6"/>
  <c r="L1514" i="6"/>
  <c r="K1514" i="6"/>
  <c r="M1514" i="6"/>
  <c r="N1482" i="6"/>
  <c r="L1482" i="6"/>
  <c r="K1482" i="6"/>
  <c r="M1482" i="6"/>
  <c r="N1450" i="6"/>
  <c r="L1450" i="6"/>
  <c r="K1450" i="6"/>
  <c r="M1450" i="6"/>
  <c r="M1402" i="6"/>
  <c r="N1402" i="6"/>
  <c r="L1402" i="6"/>
  <c r="K1402" i="6"/>
  <c r="M1370" i="6"/>
  <c r="N1370" i="6"/>
  <c r="L1370" i="6"/>
  <c r="K1370" i="6"/>
  <c r="M1338" i="6"/>
  <c r="N1338" i="6"/>
  <c r="L1338" i="6"/>
  <c r="K1338" i="6"/>
  <c r="N1234" i="6"/>
  <c r="M1234" i="6"/>
  <c r="L1234" i="6"/>
  <c r="K1234" i="6"/>
  <c r="N1202" i="6"/>
  <c r="M1202" i="6"/>
  <c r="L1202" i="6"/>
  <c r="K1202" i="6"/>
  <c r="N1170" i="6"/>
  <c r="M1170" i="6"/>
  <c r="L1170" i="6"/>
  <c r="K1170" i="6"/>
  <c r="N1138" i="6"/>
  <c r="M1138" i="6"/>
  <c r="L1138" i="6"/>
  <c r="K1138" i="6"/>
  <c r="N1106" i="6"/>
  <c r="M1106" i="6"/>
  <c r="L1106" i="6"/>
  <c r="K1106" i="6"/>
  <c r="M1002" i="6"/>
  <c r="L1002" i="6"/>
  <c r="N1002" i="6"/>
  <c r="K1002" i="6"/>
  <c r="N962" i="6"/>
  <c r="M962" i="6"/>
  <c r="L962" i="6"/>
  <c r="K962" i="6"/>
  <c r="N930" i="6"/>
  <c r="M930" i="6"/>
  <c r="L930" i="6"/>
  <c r="K930" i="6"/>
  <c r="N898" i="6"/>
  <c r="M898" i="6"/>
  <c r="L898" i="6"/>
  <c r="K898" i="6"/>
  <c r="N866" i="6"/>
  <c r="M866" i="6"/>
  <c r="L866" i="6"/>
  <c r="K866" i="6"/>
  <c r="N834" i="6"/>
  <c r="M834" i="6"/>
  <c r="L834" i="6"/>
  <c r="K834" i="6"/>
  <c r="N802" i="6"/>
  <c r="M802" i="6"/>
  <c r="L802" i="6"/>
  <c r="K802" i="6"/>
  <c r="N378" i="6"/>
  <c r="M378" i="6"/>
  <c r="L378" i="6"/>
  <c r="K378" i="6"/>
  <c r="N346" i="6"/>
  <c r="M346" i="6"/>
  <c r="L346" i="6"/>
  <c r="K346" i="6"/>
  <c r="N314" i="6"/>
  <c r="M314" i="6"/>
  <c r="L314" i="6"/>
  <c r="K314" i="6"/>
  <c r="N282" i="6"/>
  <c r="M282" i="6"/>
  <c r="L282" i="6"/>
  <c r="K282" i="6"/>
  <c r="N250" i="6"/>
  <c r="M250" i="6"/>
  <c r="L250" i="6"/>
  <c r="K250" i="6"/>
  <c r="N218" i="6"/>
  <c r="M218" i="6"/>
  <c r="L218" i="6"/>
  <c r="K218" i="6"/>
  <c r="N186" i="6"/>
  <c r="M186" i="6"/>
  <c r="L186" i="6"/>
  <c r="K186" i="6"/>
  <c r="N154" i="6"/>
  <c r="M154" i="6"/>
  <c r="L154" i="6"/>
  <c r="K154" i="6"/>
  <c r="N122" i="6"/>
  <c r="M122" i="6"/>
  <c r="L122" i="6"/>
  <c r="K122" i="6"/>
  <c r="N90" i="6"/>
  <c r="M90" i="6"/>
  <c r="L90" i="6"/>
  <c r="K90" i="6"/>
  <c r="N58" i="6"/>
  <c r="M58" i="6"/>
  <c r="L58" i="6"/>
  <c r="K58" i="6"/>
  <c r="N26" i="6"/>
  <c r="M26" i="6"/>
  <c r="L26" i="6"/>
  <c r="K26" i="6"/>
  <c r="M1975" i="6"/>
  <c r="K1975" i="6"/>
  <c r="N1975" i="6"/>
  <c r="L1975" i="6"/>
  <c r="M1879" i="6"/>
  <c r="K1879" i="6"/>
  <c r="L1879" i="6"/>
  <c r="N1879" i="6"/>
  <c r="N1799" i="6"/>
  <c r="L1799" i="6"/>
  <c r="K1799" i="6"/>
  <c r="M1799" i="6"/>
  <c r="N1727" i="6"/>
  <c r="L1727" i="6"/>
  <c r="M1727" i="6"/>
  <c r="K1727" i="6"/>
  <c r="N1695" i="6"/>
  <c r="L1695" i="6"/>
  <c r="M1695" i="6"/>
  <c r="K1695" i="6"/>
  <c r="N1663" i="6"/>
  <c r="L1663" i="6"/>
  <c r="M1663" i="6"/>
  <c r="K1663" i="6"/>
  <c r="M1599" i="6"/>
  <c r="L1599" i="6"/>
  <c r="K1599" i="6"/>
  <c r="N1599" i="6"/>
  <c r="N1543" i="6"/>
  <c r="L1543" i="6"/>
  <c r="K1543" i="6"/>
  <c r="M1543" i="6"/>
  <c r="N1511" i="6"/>
  <c r="L1511" i="6"/>
  <c r="K1511" i="6"/>
  <c r="M1511" i="6"/>
  <c r="N1479" i="6"/>
  <c r="L1479" i="6"/>
  <c r="K1479" i="6"/>
  <c r="M1479" i="6"/>
  <c r="N1447" i="6"/>
  <c r="L1447" i="6"/>
  <c r="K1447" i="6"/>
  <c r="M1447" i="6"/>
  <c r="K1423" i="6"/>
  <c r="N1423" i="6"/>
  <c r="M1423" i="6"/>
  <c r="L1423" i="6"/>
  <c r="K1391" i="6"/>
  <c r="N1391" i="6"/>
  <c r="M1391" i="6"/>
  <c r="L1391" i="6"/>
  <c r="K1359" i="6"/>
  <c r="N1359" i="6"/>
  <c r="M1359" i="6"/>
  <c r="L1359" i="6"/>
  <c r="L1239" i="6"/>
  <c r="K1239" i="6"/>
  <c r="N1239" i="6"/>
  <c r="M1239" i="6"/>
  <c r="L1207" i="6"/>
  <c r="K1207" i="6"/>
  <c r="N1207" i="6"/>
  <c r="M1207" i="6"/>
  <c r="L1175" i="6"/>
  <c r="K1175" i="6"/>
  <c r="N1175" i="6"/>
  <c r="M1175" i="6"/>
  <c r="L1143" i="6"/>
  <c r="K1143" i="6"/>
  <c r="N1143" i="6"/>
  <c r="M1143" i="6"/>
  <c r="L1111" i="6"/>
  <c r="K1111" i="6"/>
  <c r="N1111" i="6"/>
  <c r="M1111" i="6"/>
  <c r="N1031" i="6"/>
  <c r="L1031" i="6"/>
  <c r="K1031" i="6"/>
  <c r="M1031" i="6"/>
  <c r="N999" i="6"/>
  <c r="L999" i="6"/>
  <c r="K999" i="6"/>
  <c r="M999" i="6"/>
  <c r="N959" i="6"/>
  <c r="M959" i="6"/>
  <c r="L959" i="6"/>
  <c r="K959" i="6"/>
  <c r="N927" i="6"/>
  <c r="M927" i="6"/>
  <c r="L927" i="6"/>
  <c r="K927" i="6"/>
  <c r="N895" i="6"/>
  <c r="M895" i="6"/>
  <c r="L895" i="6"/>
  <c r="K895" i="6"/>
  <c r="N863" i="6"/>
  <c r="M863" i="6"/>
  <c r="L863" i="6"/>
  <c r="K863" i="6"/>
  <c r="N831" i="6"/>
  <c r="M831" i="6"/>
  <c r="L831" i="6"/>
  <c r="K831" i="6"/>
  <c r="N799" i="6"/>
  <c r="M799" i="6"/>
  <c r="L799" i="6"/>
  <c r="K799" i="6"/>
  <c r="M1924" i="6"/>
  <c r="K1924" i="6"/>
  <c r="N1924" i="6"/>
  <c r="L1924" i="6"/>
  <c r="M1916" i="6"/>
  <c r="N1916" i="6"/>
  <c r="K1916" i="6"/>
  <c r="L1916" i="6"/>
  <c r="N1844" i="6"/>
  <c r="L1844" i="6"/>
  <c r="M1844" i="6"/>
  <c r="K1844" i="6"/>
  <c r="N1812" i="6"/>
  <c r="L1812" i="6"/>
  <c r="M1812" i="6"/>
  <c r="K1812" i="6"/>
  <c r="N1780" i="6"/>
  <c r="L1780" i="6"/>
  <c r="M1780" i="6"/>
  <c r="K1780" i="6"/>
  <c r="N1748" i="6"/>
  <c r="L1748" i="6"/>
  <c r="M1748" i="6"/>
  <c r="K1748" i="6"/>
  <c r="L1332" i="6"/>
  <c r="K1332" i="6"/>
  <c r="N1332" i="6"/>
  <c r="M1332" i="6"/>
  <c r="L1300" i="6"/>
  <c r="K1300" i="6"/>
  <c r="N1300" i="6"/>
  <c r="M1300" i="6"/>
  <c r="L1268" i="6"/>
  <c r="K1268" i="6"/>
  <c r="N1268" i="6"/>
  <c r="M1268" i="6"/>
  <c r="N1236" i="6"/>
  <c r="M1236" i="6"/>
  <c r="K1236" i="6"/>
  <c r="L1236" i="6"/>
  <c r="N1204" i="6"/>
  <c r="M1204" i="6"/>
  <c r="K1204" i="6"/>
  <c r="L1204" i="6"/>
  <c r="N1172" i="6"/>
  <c r="M1172" i="6"/>
  <c r="K1172" i="6"/>
  <c r="L1172" i="6"/>
  <c r="N1140" i="6"/>
  <c r="M1140" i="6"/>
  <c r="K1140" i="6"/>
  <c r="L1140" i="6"/>
  <c r="N1108" i="6"/>
  <c r="M1108" i="6"/>
  <c r="K1108" i="6"/>
  <c r="L1108" i="6"/>
  <c r="M372" i="6"/>
  <c r="L372" i="6"/>
  <c r="K372" i="6"/>
  <c r="N372" i="6"/>
  <c r="M340" i="6"/>
  <c r="L340" i="6"/>
  <c r="K340" i="6"/>
  <c r="N340" i="6"/>
  <c r="M308" i="6"/>
  <c r="L308" i="6"/>
  <c r="K308" i="6"/>
  <c r="N308" i="6"/>
  <c r="M276" i="6"/>
  <c r="L276" i="6"/>
  <c r="K276" i="6"/>
  <c r="N276" i="6"/>
  <c r="M244" i="6"/>
  <c r="L244" i="6"/>
  <c r="K244" i="6"/>
  <c r="N244" i="6"/>
  <c r="M212" i="6"/>
  <c r="L212" i="6"/>
  <c r="K212" i="6"/>
  <c r="N212" i="6"/>
  <c r="M180" i="6"/>
  <c r="L180" i="6"/>
  <c r="K180" i="6"/>
  <c r="N180" i="6"/>
  <c r="M148" i="6"/>
  <c r="L148" i="6"/>
  <c r="K148" i="6"/>
  <c r="N148" i="6"/>
  <c r="M116" i="6"/>
  <c r="L116" i="6"/>
  <c r="K116" i="6"/>
  <c r="N116" i="6"/>
  <c r="M84" i="6"/>
  <c r="L84" i="6"/>
  <c r="K84" i="6"/>
  <c r="N84" i="6"/>
  <c r="M52" i="6"/>
  <c r="L52" i="6"/>
  <c r="K52" i="6"/>
  <c r="N52" i="6"/>
  <c r="M20" i="6"/>
  <c r="L20" i="6"/>
  <c r="K20" i="6"/>
  <c r="N20" i="6"/>
  <c r="M1985" i="6"/>
  <c r="N1985" i="6"/>
  <c r="K1985" i="6"/>
  <c r="L1985" i="6"/>
  <c r="M1953" i="6"/>
  <c r="N1953" i="6"/>
  <c r="K1953" i="6"/>
  <c r="L1953" i="6"/>
  <c r="K1921" i="6"/>
  <c r="M1921" i="6"/>
  <c r="L1921" i="6"/>
  <c r="N1921" i="6"/>
  <c r="M1889" i="6"/>
  <c r="L1889" i="6"/>
  <c r="K1889" i="6"/>
  <c r="N1889" i="6"/>
  <c r="N1833" i="6"/>
  <c r="M1833" i="6"/>
  <c r="L1833" i="6"/>
  <c r="K1833" i="6"/>
  <c r="N1801" i="6"/>
  <c r="M1801" i="6"/>
  <c r="L1801" i="6"/>
  <c r="K1801" i="6"/>
  <c r="N1769" i="6"/>
  <c r="M1769" i="6"/>
  <c r="L1769" i="6"/>
  <c r="K1769" i="6"/>
  <c r="N1737" i="6"/>
  <c r="M1737" i="6"/>
  <c r="L1737" i="6"/>
  <c r="K1737" i="6"/>
  <c r="M1705" i="6"/>
  <c r="L1705" i="6"/>
  <c r="N1705" i="6"/>
  <c r="K1705" i="6"/>
  <c r="M1673" i="6"/>
  <c r="L1673" i="6"/>
  <c r="N1673" i="6"/>
  <c r="K1673" i="6"/>
  <c r="L1657" i="6"/>
  <c r="K1657" i="6"/>
  <c r="M1657" i="6"/>
  <c r="N1657" i="6"/>
  <c r="L1625" i="6"/>
  <c r="K1625" i="6"/>
  <c r="M1625" i="6"/>
  <c r="N1625" i="6"/>
  <c r="L1593" i="6"/>
  <c r="K1593" i="6"/>
  <c r="M1593" i="6"/>
  <c r="N1593" i="6"/>
  <c r="L1537" i="6"/>
  <c r="N1537" i="6"/>
  <c r="M1537" i="6"/>
  <c r="K1537" i="6"/>
  <c r="L1505" i="6"/>
  <c r="N1505" i="6"/>
  <c r="M1505" i="6"/>
  <c r="K1505" i="6"/>
  <c r="L1473" i="6"/>
  <c r="N1473" i="6"/>
  <c r="M1473" i="6"/>
  <c r="K1473" i="6"/>
  <c r="L1441" i="6"/>
  <c r="N1441" i="6"/>
  <c r="M1441" i="6"/>
  <c r="K1441" i="6"/>
  <c r="N1313" i="6"/>
  <c r="M1313" i="6"/>
  <c r="L1313" i="6"/>
  <c r="K1313" i="6"/>
  <c r="N1281" i="6"/>
  <c r="M1281" i="6"/>
  <c r="L1281" i="6"/>
  <c r="K1281" i="6"/>
  <c r="K1025" i="6"/>
  <c r="N1025" i="6"/>
  <c r="M1025" i="6"/>
  <c r="L1025" i="6"/>
  <c r="K993" i="6"/>
  <c r="N993" i="6"/>
  <c r="M993" i="6"/>
  <c r="L993" i="6"/>
  <c r="L945" i="6"/>
  <c r="K945" i="6"/>
  <c r="N945" i="6"/>
  <c r="M945" i="6"/>
  <c r="L913" i="6"/>
  <c r="K913" i="6"/>
  <c r="N913" i="6"/>
  <c r="M913" i="6"/>
  <c r="L881" i="6"/>
  <c r="K881" i="6"/>
  <c r="N881" i="6"/>
  <c r="M881" i="6"/>
  <c r="L849" i="6"/>
  <c r="K849" i="6"/>
  <c r="N849" i="6"/>
  <c r="M849" i="6"/>
  <c r="L817" i="6"/>
  <c r="K817" i="6"/>
  <c r="N817" i="6"/>
  <c r="M817" i="6"/>
  <c r="L785" i="6"/>
  <c r="K785" i="6"/>
  <c r="N785" i="6"/>
  <c r="M785" i="6"/>
  <c r="N1718" i="6"/>
  <c r="L1718" i="6"/>
  <c r="K1718" i="6"/>
  <c r="M1718" i="6"/>
  <c r="N1686" i="6"/>
  <c r="L1686" i="6"/>
  <c r="K1686" i="6"/>
  <c r="M1686" i="6"/>
  <c r="N1566" i="6"/>
  <c r="K1566" i="6"/>
  <c r="M1566" i="6"/>
  <c r="L1566" i="6"/>
  <c r="N1550" i="6"/>
  <c r="L1550" i="6"/>
  <c r="M1550" i="6"/>
  <c r="K1550" i="6"/>
  <c r="N1518" i="6"/>
  <c r="L1518" i="6"/>
  <c r="M1518" i="6"/>
  <c r="K1518" i="6"/>
  <c r="N1486" i="6"/>
  <c r="L1486" i="6"/>
  <c r="M1486" i="6"/>
  <c r="K1486" i="6"/>
  <c r="N1454" i="6"/>
  <c r="L1454" i="6"/>
  <c r="M1454" i="6"/>
  <c r="K1454" i="6"/>
  <c r="M1414" i="6"/>
  <c r="L1414" i="6"/>
  <c r="K1414" i="6"/>
  <c r="N1414" i="6"/>
  <c r="M1382" i="6"/>
  <c r="L1382" i="6"/>
  <c r="K1382" i="6"/>
  <c r="N1382" i="6"/>
  <c r="M1350" i="6"/>
  <c r="L1350" i="6"/>
  <c r="K1350" i="6"/>
  <c r="N1350" i="6"/>
  <c r="K1318" i="6"/>
  <c r="N1318" i="6"/>
  <c r="M1318" i="6"/>
  <c r="L1318" i="6"/>
  <c r="K1286" i="6"/>
  <c r="N1286" i="6"/>
  <c r="M1286" i="6"/>
  <c r="L1286" i="6"/>
  <c r="K1254" i="6"/>
  <c r="N1254" i="6"/>
  <c r="M1254" i="6"/>
  <c r="L1254" i="6"/>
  <c r="N1246" i="6"/>
  <c r="M1246" i="6"/>
  <c r="L1246" i="6"/>
  <c r="K1246" i="6"/>
  <c r="N1214" i="6"/>
  <c r="M1214" i="6"/>
  <c r="L1214" i="6"/>
  <c r="K1214" i="6"/>
  <c r="N1182" i="6"/>
  <c r="M1182" i="6"/>
  <c r="L1182" i="6"/>
  <c r="K1182" i="6"/>
  <c r="N1150" i="6"/>
  <c r="M1150" i="6"/>
  <c r="L1150" i="6"/>
  <c r="K1150" i="6"/>
  <c r="N1118" i="6"/>
  <c r="M1118" i="6"/>
  <c r="L1118" i="6"/>
  <c r="K1118" i="6"/>
  <c r="M1014" i="6"/>
  <c r="L1014" i="6"/>
  <c r="N1014" i="6"/>
  <c r="K1014" i="6"/>
  <c r="M982" i="6"/>
  <c r="L982" i="6"/>
  <c r="N982" i="6"/>
  <c r="K982" i="6"/>
  <c r="N942" i="6"/>
  <c r="M942" i="6"/>
  <c r="L942" i="6"/>
  <c r="K942" i="6"/>
  <c r="N910" i="6"/>
  <c r="M910" i="6"/>
  <c r="L910" i="6"/>
  <c r="K910" i="6"/>
  <c r="N878" i="6"/>
  <c r="M878" i="6"/>
  <c r="L878" i="6"/>
  <c r="K878" i="6"/>
  <c r="N846" i="6"/>
  <c r="M846" i="6"/>
  <c r="L846" i="6"/>
  <c r="K846" i="6"/>
  <c r="N814" i="6"/>
  <c r="M814" i="6"/>
  <c r="L814" i="6"/>
  <c r="K814" i="6"/>
  <c r="M406" i="6"/>
  <c r="L406" i="6"/>
  <c r="K406" i="6"/>
  <c r="N406" i="6"/>
  <c r="N390" i="6"/>
  <c r="M390" i="6"/>
  <c r="L390" i="6"/>
  <c r="K390" i="6"/>
  <c r="N358" i="6"/>
  <c r="M358" i="6"/>
  <c r="L358" i="6"/>
  <c r="K358" i="6"/>
  <c r="N326" i="6"/>
  <c r="M326" i="6"/>
  <c r="L326" i="6"/>
  <c r="K326" i="6"/>
  <c r="N294" i="6"/>
  <c r="M294" i="6"/>
  <c r="L294" i="6"/>
  <c r="K294" i="6"/>
  <c r="N262" i="6"/>
  <c r="M262" i="6"/>
  <c r="L262" i="6"/>
  <c r="K262" i="6"/>
  <c r="N230" i="6"/>
  <c r="M230" i="6"/>
  <c r="L230" i="6"/>
  <c r="K230" i="6"/>
  <c r="N198" i="6"/>
  <c r="M198" i="6"/>
  <c r="L198" i="6"/>
  <c r="K198" i="6"/>
  <c r="N166" i="6"/>
  <c r="M166" i="6"/>
  <c r="L166" i="6"/>
  <c r="K166" i="6"/>
  <c r="N134" i="6"/>
  <c r="M134" i="6"/>
  <c r="L134" i="6"/>
  <c r="K134" i="6"/>
  <c r="N102" i="6"/>
  <c r="M102" i="6"/>
  <c r="L102" i="6"/>
  <c r="K102" i="6"/>
  <c r="N70" i="6"/>
  <c r="M70" i="6"/>
  <c r="L70" i="6"/>
  <c r="K70" i="6"/>
  <c r="N38" i="6"/>
  <c r="M38" i="6"/>
  <c r="L38" i="6"/>
  <c r="K38" i="6"/>
  <c r="N1987" i="6"/>
  <c r="M1987" i="6"/>
  <c r="K1987" i="6"/>
  <c r="L1987" i="6"/>
  <c r="N1531" i="6"/>
  <c r="L1531" i="6"/>
  <c r="K1531" i="6"/>
  <c r="M1531" i="6"/>
  <c r="N1499" i="6"/>
  <c r="L1499" i="6"/>
  <c r="K1499" i="6"/>
  <c r="M1499" i="6"/>
  <c r="N1467" i="6"/>
  <c r="L1467" i="6"/>
  <c r="K1467" i="6"/>
  <c r="M1467" i="6"/>
  <c r="M1315" i="6"/>
  <c r="N1315" i="6"/>
  <c r="L1315" i="6"/>
  <c r="K1315" i="6"/>
  <c r="M1283" i="6"/>
  <c r="N1283" i="6"/>
  <c r="L1283" i="6"/>
  <c r="K1283" i="6"/>
  <c r="N1075" i="6"/>
  <c r="M1075" i="6"/>
  <c r="L1075" i="6"/>
  <c r="K1075" i="6"/>
  <c r="N1043" i="6"/>
  <c r="M1043" i="6"/>
  <c r="L1043" i="6"/>
  <c r="K1043" i="6"/>
  <c r="N755" i="6"/>
  <c r="M755" i="6"/>
  <c r="L755" i="6"/>
  <c r="K755" i="6"/>
  <c r="N723" i="6"/>
  <c r="M723" i="6"/>
  <c r="L723" i="6"/>
  <c r="K723" i="6"/>
  <c r="N691" i="6"/>
  <c r="M691" i="6"/>
  <c r="L691" i="6"/>
  <c r="K691" i="6"/>
  <c r="N659" i="6"/>
  <c r="M659" i="6"/>
  <c r="L659" i="6"/>
  <c r="K659" i="6"/>
  <c r="N627" i="6"/>
  <c r="M627" i="6"/>
  <c r="L627" i="6"/>
  <c r="K627" i="6"/>
  <c r="N595" i="6"/>
  <c r="M595" i="6"/>
  <c r="L595" i="6"/>
  <c r="K595" i="6"/>
  <c r="N563" i="6"/>
  <c r="M563" i="6"/>
  <c r="L563" i="6"/>
  <c r="K563" i="6"/>
  <c r="N531" i="6"/>
  <c r="M531" i="6"/>
  <c r="L531" i="6"/>
  <c r="K531" i="6"/>
  <c r="N499" i="6"/>
  <c r="M499" i="6"/>
  <c r="L499" i="6"/>
  <c r="K499" i="6"/>
  <c r="N467" i="6"/>
  <c r="M467" i="6"/>
  <c r="L467" i="6"/>
  <c r="K467" i="6"/>
  <c r="N435" i="6"/>
  <c r="M435" i="6"/>
  <c r="L435" i="6"/>
  <c r="K435" i="6"/>
  <c r="K387" i="6"/>
  <c r="N387" i="6"/>
  <c r="M387" i="6"/>
  <c r="L387" i="6"/>
  <c r="K355" i="6"/>
  <c r="N355" i="6"/>
  <c r="M355" i="6"/>
  <c r="L355" i="6"/>
  <c r="K323" i="6"/>
  <c r="N323" i="6"/>
  <c r="M323" i="6"/>
  <c r="L323" i="6"/>
  <c r="K291" i="6"/>
  <c r="N291" i="6"/>
  <c r="M291" i="6"/>
  <c r="L291" i="6"/>
  <c r="K259" i="6"/>
  <c r="N259" i="6"/>
  <c r="M259" i="6"/>
  <c r="L259" i="6"/>
  <c r="K227" i="6"/>
  <c r="N227" i="6"/>
  <c r="M227" i="6"/>
  <c r="L227" i="6"/>
  <c r="K195" i="6"/>
  <c r="N195" i="6"/>
  <c r="M195" i="6"/>
  <c r="L195" i="6"/>
  <c r="K163" i="6"/>
  <c r="N163" i="6"/>
  <c r="M163" i="6"/>
  <c r="L163" i="6"/>
  <c r="K131" i="6"/>
  <c r="N131" i="6"/>
  <c r="M131" i="6"/>
  <c r="L131" i="6"/>
  <c r="K99" i="6"/>
  <c r="N99" i="6"/>
  <c r="M99" i="6"/>
  <c r="L99" i="6"/>
  <c r="K67" i="6"/>
  <c r="N67" i="6"/>
  <c r="M67" i="6"/>
  <c r="L67" i="6"/>
  <c r="K35" i="6"/>
  <c r="N35" i="6"/>
  <c r="M35" i="6"/>
  <c r="L35" i="6"/>
  <c r="L6" i="6"/>
  <c r="K6" i="6"/>
  <c r="N6" i="6"/>
  <c r="M6" i="6"/>
  <c r="N1856" i="6"/>
  <c r="L1856" i="6"/>
  <c r="K1856" i="6"/>
  <c r="M1856" i="6"/>
  <c r="N1824" i="6"/>
  <c r="L1824" i="6"/>
  <c r="K1824" i="6"/>
  <c r="M1824" i="6"/>
  <c r="N1792" i="6"/>
  <c r="L1792" i="6"/>
  <c r="K1792" i="6"/>
  <c r="M1792" i="6"/>
  <c r="N1760" i="6"/>
  <c r="L1760" i="6"/>
  <c r="K1760" i="6"/>
  <c r="M1760" i="6"/>
  <c r="K1664" i="6"/>
  <c r="N1664" i="6"/>
  <c r="M1664" i="6"/>
  <c r="L1664" i="6"/>
  <c r="N1544" i="6"/>
  <c r="L1544" i="6"/>
  <c r="M1544" i="6"/>
  <c r="K1544" i="6"/>
  <c r="N1512" i="6"/>
  <c r="L1512" i="6"/>
  <c r="M1512" i="6"/>
  <c r="K1512" i="6"/>
  <c r="N1480" i="6"/>
  <c r="L1480" i="6"/>
  <c r="M1480" i="6"/>
  <c r="K1480" i="6"/>
  <c r="N1448" i="6"/>
  <c r="L1448" i="6"/>
  <c r="M1448" i="6"/>
  <c r="K1448" i="6"/>
  <c r="L1320" i="6"/>
  <c r="K1320" i="6"/>
  <c r="N1320" i="6"/>
  <c r="M1320" i="6"/>
  <c r="L1288" i="6"/>
  <c r="K1288" i="6"/>
  <c r="N1288" i="6"/>
  <c r="M1288" i="6"/>
  <c r="L1256" i="6"/>
  <c r="K1256" i="6"/>
  <c r="N1256" i="6"/>
  <c r="M1256" i="6"/>
  <c r="N1224" i="6"/>
  <c r="M1224" i="6"/>
  <c r="K1224" i="6"/>
  <c r="L1224" i="6"/>
  <c r="N1192" i="6"/>
  <c r="M1192" i="6"/>
  <c r="K1192" i="6"/>
  <c r="L1192" i="6"/>
  <c r="N1160" i="6"/>
  <c r="M1160" i="6"/>
  <c r="K1160" i="6"/>
  <c r="L1160" i="6"/>
  <c r="N1128" i="6"/>
  <c r="M1128" i="6"/>
  <c r="K1128" i="6"/>
  <c r="L1128" i="6"/>
  <c r="M392" i="6"/>
  <c r="L392" i="6"/>
  <c r="K392" i="6"/>
  <c r="N392" i="6"/>
  <c r="M360" i="6"/>
  <c r="L360" i="6"/>
  <c r="K360" i="6"/>
  <c r="N360" i="6"/>
  <c r="M328" i="6"/>
  <c r="L328" i="6"/>
  <c r="K328" i="6"/>
  <c r="N328" i="6"/>
  <c r="M296" i="6"/>
  <c r="L296" i="6"/>
  <c r="K296" i="6"/>
  <c r="N296" i="6"/>
  <c r="M264" i="6"/>
  <c r="L264" i="6"/>
  <c r="K264" i="6"/>
  <c r="N264" i="6"/>
  <c r="M232" i="6"/>
  <c r="L232" i="6"/>
  <c r="K232" i="6"/>
  <c r="N232" i="6"/>
  <c r="M200" i="6"/>
  <c r="L200" i="6"/>
  <c r="K200" i="6"/>
  <c r="N200" i="6"/>
  <c r="M168" i="6"/>
  <c r="L168" i="6"/>
  <c r="K168" i="6"/>
  <c r="N168" i="6"/>
  <c r="M136" i="6"/>
  <c r="L136" i="6"/>
  <c r="K136" i="6"/>
  <c r="N136" i="6"/>
  <c r="M104" i="6"/>
  <c r="L104" i="6"/>
  <c r="K104" i="6"/>
  <c r="N104" i="6"/>
  <c r="M72" i="6"/>
  <c r="L72" i="6"/>
  <c r="K72" i="6"/>
  <c r="N72" i="6"/>
  <c r="M40" i="6"/>
  <c r="L40" i="6"/>
  <c r="K40" i="6"/>
  <c r="N40" i="6"/>
  <c r="M1733" i="6"/>
  <c r="L1733" i="6"/>
  <c r="N1733" i="6"/>
  <c r="K1733" i="6"/>
  <c r="M1701" i="6"/>
  <c r="L1701" i="6"/>
  <c r="N1701" i="6"/>
  <c r="K1701" i="6"/>
  <c r="M1669" i="6"/>
  <c r="L1669" i="6"/>
  <c r="N1669" i="6"/>
  <c r="K1669" i="6"/>
  <c r="L1565" i="6"/>
  <c r="K1565" i="6"/>
  <c r="N1565" i="6"/>
  <c r="M1565" i="6"/>
  <c r="N1421" i="6"/>
  <c r="K1421" i="6"/>
  <c r="M1421" i="6"/>
  <c r="L1421" i="6"/>
  <c r="N1389" i="6"/>
  <c r="K1389" i="6"/>
  <c r="M1389" i="6"/>
  <c r="L1389" i="6"/>
  <c r="N1357" i="6"/>
  <c r="K1357" i="6"/>
  <c r="M1357" i="6"/>
  <c r="L1357" i="6"/>
  <c r="M1221" i="6"/>
  <c r="L1221" i="6"/>
  <c r="K1221" i="6"/>
  <c r="N1221" i="6"/>
  <c r="M1189" i="6"/>
  <c r="L1189" i="6"/>
  <c r="K1189" i="6"/>
  <c r="N1189" i="6"/>
  <c r="M1157" i="6"/>
  <c r="L1157" i="6"/>
  <c r="K1157" i="6"/>
  <c r="N1157" i="6"/>
  <c r="M1125" i="6"/>
  <c r="L1125" i="6"/>
  <c r="K1125" i="6"/>
  <c r="N1125" i="6"/>
  <c r="K1077" i="6"/>
  <c r="N1077" i="6"/>
  <c r="M1077" i="6"/>
  <c r="L1077" i="6"/>
  <c r="K1045" i="6"/>
  <c r="N1045" i="6"/>
  <c r="M1045" i="6"/>
  <c r="L1045" i="6"/>
  <c r="K1029" i="6"/>
  <c r="N1029" i="6"/>
  <c r="M1029" i="6"/>
  <c r="L1029" i="6"/>
  <c r="K997" i="6"/>
  <c r="N997" i="6"/>
  <c r="M997" i="6"/>
  <c r="L997" i="6"/>
  <c r="K757" i="6"/>
  <c r="N757" i="6"/>
  <c r="M757" i="6"/>
  <c r="L757" i="6"/>
  <c r="K725" i="6"/>
  <c r="N725" i="6"/>
  <c r="M725" i="6"/>
  <c r="L725" i="6"/>
  <c r="K693" i="6"/>
  <c r="N693" i="6"/>
  <c r="M693" i="6"/>
  <c r="L693" i="6"/>
  <c r="K661" i="6"/>
  <c r="N661" i="6"/>
  <c r="M661" i="6"/>
  <c r="L661" i="6"/>
  <c r="K629" i="6"/>
  <c r="N629" i="6"/>
  <c r="M629" i="6"/>
  <c r="L629" i="6"/>
  <c r="K597" i="6"/>
  <c r="N597" i="6"/>
  <c r="M597" i="6"/>
  <c r="L597" i="6"/>
  <c r="K565" i="6"/>
  <c r="N565" i="6"/>
  <c r="M565" i="6"/>
  <c r="L565" i="6"/>
  <c r="K533" i="6"/>
  <c r="N533" i="6"/>
  <c r="M533" i="6"/>
  <c r="L533" i="6"/>
  <c r="K501" i="6"/>
  <c r="N501" i="6"/>
  <c r="M501" i="6"/>
  <c r="L501" i="6"/>
  <c r="K469" i="6"/>
  <c r="N469" i="6"/>
  <c r="M469" i="6"/>
  <c r="L469" i="6"/>
  <c r="K437" i="6"/>
  <c r="N437" i="6"/>
  <c r="M437" i="6"/>
  <c r="L437" i="6"/>
  <c r="K405" i="6"/>
  <c r="N405" i="6"/>
  <c r="M405" i="6"/>
  <c r="L405" i="6"/>
  <c r="N389" i="6"/>
  <c r="M389" i="6"/>
  <c r="L389" i="6"/>
  <c r="K389" i="6"/>
  <c r="N357" i="6"/>
  <c r="M357" i="6"/>
  <c r="L357" i="6"/>
  <c r="K357" i="6"/>
  <c r="N325" i="6"/>
  <c r="M325" i="6"/>
  <c r="L325" i="6"/>
  <c r="K325" i="6"/>
  <c r="N293" i="6"/>
  <c r="M293" i="6"/>
  <c r="L293" i="6"/>
  <c r="K293" i="6"/>
  <c r="N261" i="6"/>
  <c r="M261" i="6"/>
  <c r="L261" i="6"/>
  <c r="K261" i="6"/>
  <c r="N229" i="6"/>
  <c r="M229" i="6"/>
  <c r="L229" i="6"/>
  <c r="K229" i="6"/>
  <c r="N197" i="6"/>
  <c r="M197" i="6"/>
  <c r="L197" i="6"/>
  <c r="K197" i="6"/>
  <c r="N165" i="6"/>
  <c r="M165" i="6"/>
  <c r="L165" i="6"/>
  <c r="K165" i="6"/>
  <c r="N133" i="6"/>
  <c r="M133" i="6"/>
  <c r="L133" i="6"/>
  <c r="K133" i="6"/>
  <c r="N101" i="6"/>
  <c r="M101" i="6"/>
  <c r="L101" i="6"/>
  <c r="K101" i="6"/>
  <c r="N69" i="6"/>
  <c r="M69" i="6"/>
  <c r="L69" i="6"/>
  <c r="K69" i="6"/>
  <c r="N37" i="6"/>
  <c r="M37" i="6"/>
  <c r="L37" i="6"/>
  <c r="K37" i="6"/>
  <c r="K1970" i="6"/>
  <c r="M1970" i="6"/>
  <c r="L1970" i="6"/>
  <c r="N1970" i="6"/>
  <c r="K1938" i="6"/>
  <c r="M1938" i="6"/>
  <c r="L1938" i="6"/>
  <c r="N1938" i="6"/>
  <c r="K1906" i="6"/>
  <c r="M1906" i="6"/>
  <c r="N1906" i="6"/>
  <c r="L1906" i="6"/>
  <c r="K1874" i="6"/>
  <c r="N1874" i="6"/>
  <c r="L1874" i="6"/>
  <c r="M1874" i="6"/>
  <c r="N1722" i="6"/>
  <c r="L1722" i="6"/>
  <c r="M1722" i="6"/>
  <c r="K1722" i="6"/>
  <c r="N1690" i="6"/>
  <c r="L1690" i="6"/>
  <c r="M1690" i="6"/>
  <c r="K1690" i="6"/>
  <c r="N1634" i="6"/>
  <c r="M1634" i="6"/>
  <c r="K1634" i="6"/>
  <c r="L1634" i="6"/>
  <c r="N1602" i="6"/>
  <c r="M1602" i="6"/>
  <c r="K1602" i="6"/>
  <c r="L1602" i="6"/>
  <c r="N1570" i="6"/>
  <c r="M1570" i="6"/>
  <c r="K1570" i="6"/>
  <c r="L1570" i="6"/>
  <c r="M1090" i="6"/>
  <c r="L1090" i="6"/>
  <c r="K1090" i="6"/>
  <c r="N1090" i="6"/>
  <c r="M1058" i="6"/>
  <c r="L1058" i="6"/>
  <c r="K1058" i="6"/>
  <c r="N1058" i="6"/>
  <c r="M770" i="6"/>
  <c r="L770" i="6"/>
  <c r="K770" i="6"/>
  <c r="N770" i="6"/>
  <c r="M738" i="6"/>
  <c r="L738" i="6"/>
  <c r="K738" i="6"/>
  <c r="N738" i="6"/>
  <c r="M706" i="6"/>
  <c r="L706" i="6"/>
  <c r="K706" i="6"/>
  <c r="N706" i="6"/>
  <c r="M674" i="6"/>
  <c r="L674" i="6"/>
  <c r="K674" i="6"/>
  <c r="N674" i="6"/>
  <c r="M642" i="6"/>
  <c r="L642" i="6"/>
  <c r="K642" i="6"/>
  <c r="N642" i="6"/>
  <c r="M610" i="6"/>
  <c r="L610" i="6"/>
  <c r="K610" i="6"/>
  <c r="N610" i="6"/>
  <c r="M578" i="6"/>
  <c r="L578" i="6"/>
  <c r="K578" i="6"/>
  <c r="N578" i="6"/>
  <c r="M546" i="6"/>
  <c r="L546" i="6"/>
  <c r="K546" i="6"/>
  <c r="N546" i="6"/>
  <c r="M514" i="6"/>
  <c r="L514" i="6"/>
  <c r="K514" i="6"/>
  <c r="N514" i="6"/>
  <c r="M482" i="6"/>
  <c r="L482" i="6"/>
  <c r="K482" i="6"/>
  <c r="N482" i="6"/>
  <c r="M450" i="6"/>
  <c r="L450" i="6"/>
  <c r="K450" i="6"/>
  <c r="N450" i="6"/>
  <c r="M418" i="6"/>
  <c r="L418" i="6"/>
  <c r="K418" i="6"/>
  <c r="N418" i="6"/>
  <c r="M1943" i="6"/>
  <c r="K1943" i="6"/>
  <c r="L1943" i="6"/>
  <c r="N1943" i="6"/>
  <c r="M1935" i="6"/>
  <c r="K1935" i="6"/>
  <c r="L1935" i="6"/>
  <c r="N1935" i="6"/>
  <c r="M1911" i="6"/>
  <c r="K1911" i="6"/>
  <c r="L1911" i="6"/>
  <c r="N1911" i="6"/>
  <c r="M1903" i="6"/>
  <c r="K1903" i="6"/>
  <c r="L1903" i="6"/>
  <c r="N1903" i="6"/>
  <c r="N1855" i="6"/>
  <c r="L1855" i="6"/>
  <c r="M1855" i="6"/>
  <c r="K1855" i="6"/>
  <c r="N1839" i="6"/>
  <c r="L1839" i="6"/>
  <c r="M1839" i="6"/>
  <c r="K1839" i="6"/>
  <c r="N1823" i="6"/>
  <c r="L1823" i="6"/>
  <c r="M1823" i="6"/>
  <c r="K1823" i="6"/>
  <c r="N1807" i="6"/>
  <c r="L1807" i="6"/>
  <c r="M1807" i="6"/>
  <c r="K1807" i="6"/>
  <c r="N1791" i="6"/>
  <c r="L1791" i="6"/>
  <c r="M1791" i="6"/>
  <c r="K1791" i="6"/>
  <c r="N1775" i="6"/>
  <c r="L1775" i="6"/>
  <c r="M1775" i="6"/>
  <c r="K1775" i="6"/>
  <c r="N1759" i="6"/>
  <c r="L1759" i="6"/>
  <c r="M1759" i="6"/>
  <c r="K1759" i="6"/>
  <c r="N1743" i="6"/>
  <c r="L1743" i="6"/>
  <c r="M1743" i="6"/>
  <c r="K1743" i="6"/>
  <c r="M1631" i="6"/>
  <c r="L1631" i="6"/>
  <c r="K1631" i="6"/>
  <c r="N1631" i="6"/>
  <c r="N1535" i="6"/>
  <c r="L1535" i="6"/>
  <c r="K1535" i="6"/>
  <c r="M1535" i="6"/>
  <c r="N1503" i="6"/>
  <c r="L1503" i="6"/>
  <c r="K1503" i="6"/>
  <c r="M1503" i="6"/>
  <c r="N1471" i="6"/>
  <c r="L1471" i="6"/>
  <c r="K1471" i="6"/>
  <c r="M1471" i="6"/>
  <c r="N1439" i="6"/>
  <c r="L1439" i="6"/>
  <c r="K1439" i="6"/>
  <c r="M1439" i="6"/>
  <c r="K1407" i="6"/>
  <c r="M1407" i="6"/>
  <c r="N1407" i="6"/>
  <c r="L1407" i="6"/>
  <c r="K1375" i="6"/>
  <c r="M1375" i="6"/>
  <c r="N1375" i="6"/>
  <c r="L1375" i="6"/>
  <c r="K1343" i="6"/>
  <c r="M1343" i="6"/>
  <c r="N1343" i="6"/>
  <c r="L1343" i="6"/>
  <c r="M1327" i="6"/>
  <c r="N1327" i="6"/>
  <c r="L1327" i="6"/>
  <c r="K1327" i="6"/>
  <c r="M1295" i="6"/>
  <c r="N1295" i="6"/>
  <c r="L1295" i="6"/>
  <c r="K1295" i="6"/>
  <c r="M1263" i="6"/>
  <c r="N1263" i="6"/>
  <c r="L1263" i="6"/>
  <c r="K1263" i="6"/>
  <c r="N1087" i="6"/>
  <c r="M1087" i="6"/>
  <c r="L1087" i="6"/>
  <c r="K1087" i="6"/>
  <c r="N1055" i="6"/>
  <c r="M1055" i="6"/>
  <c r="L1055" i="6"/>
  <c r="K1055" i="6"/>
  <c r="N767" i="6"/>
  <c r="M767" i="6"/>
  <c r="L767" i="6"/>
  <c r="K767" i="6"/>
  <c r="N735" i="6"/>
  <c r="M735" i="6"/>
  <c r="L735" i="6"/>
  <c r="K735" i="6"/>
  <c r="N703" i="6"/>
  <c r="M703" i="6"/>
  <c r="L703" i="6"/>
  <c r="K703" i="6"/>
  <c r="N671" i="6"/>
  <c r="M671" i="6"/>
  <c r="L671" i="6"/>
  <c r="K671" i="6"/>
  <c r="N639" i="6"/>
  <c r="M639" i="6"/>
  <c r="L639" i="6"/>
  <c r="K639" i="6"/>
  <c r="N607" i="6"/>
  <c r="M607" i="6"/>
  <c r="L607" i="6"/>
  <c r="K607" i="6"/>
  <c r="N575" i="6"/>
  <c r="M575" i="6"/>
  <c r="L575" i="6"/>
  <c r="K575" i="6"/>
  <c r="N543" i="6"/>
  <c r="M543" i="6"/>
  <c r="L543" i="6"/>
  <c r="K543" i="6"/>
  <c r="N511" i="6"/>
  <c r="M511" i="6"/>
  <c r="L511" i="6"/>
  <c r="K511" i="6"/>
  <c r="N479" i="6"/>
  <c r="M479" i="6"/>
  <c r="L479" i="6"/>
  <c r="K479" i="6"/>
  <c r="N447" i="6"/>
  <c r="M447" i="6"/>
  <c r="L447" i="6"/>
  <c r="K447" i="6"/>
  <c r="N415" i="6"/>
  <c r="M415" i="6"/>
  <c r="L415" i="6"/>
  <c r="K415" i="6"/>
  <c r="M399" i="6"/>
  <c r="K399" i="6"/>
  <c r="L399" i="6"/>
  <c r="N399" i="6"/>
  <c r="K367" i="6"/>
  <c r="N367" i="6"/>
  <c r="M367" i="6"/>
  <c r="L367" i="6"/>
  <c r="K335" i="6"/>
  <c r="N335" i="6"/>
  <c r="M335" i="6"/>
  <c r="L335" i="6"/>
  <c r="K303" i="6"/>
  <c r="N303" i="6"/>
  <c r="M303" i="6"/>
  <c r="L303" i="6"/>
  <c r="K271" i="6"/>
  <c r="N271" i="6"/>
  <c r="M271" i="6"/>
  <c r="L271" i="6"/>
  <c r="K239" i="6"/>
  <c r="N239" i="6"/>
  <c r="M239" i="6"/>
  <c r="L239" i="6"/>
  <c r="K207" i="6"/>
  <c r="N207" i="6"/>
  <c r="M207" i="6"/>
  <c r="L207" i="6"/>
  <c r="K175" i="6"/>
  <c r="N175" i="6"/>
  <c r="M175" i="6"/>
  <c r="L175" i="6"/>
  <c r="K143" i="6"/>
  <c r="N143" i="6"/>
  <c r="M143" i="6"/>
  <c r="L143" i="6"/>
  <c r="K111" i="6"/>
  <c r="N111" i="6"/>
  <c r="M111" i="6"/>
  <c r="L111" i="6"/>
  <c r="K79" i="6"/>
  <c r="N79" i="6"/>
  <c r="M79" i="6"/>
  <c r="L79" i="6"/>
  <c r="K47" i="6"/>
  <c r="N47" i="6"/>
  <c r="M47" i="6"/>
  <c r="L47" i="6"/>
  <c r="K15" i="6"/>
  <c r="N15" i="6"/>
  <c r="M15" i="6"/>
  <c r="L15" i="6"/>
  <c r="N8" i="6"/>
  <c r="M8" i="6"/>
  <c r="L8" i="6"/>
  <c r="K8" i="6"/>
  <c r="M1972" i="6"/>
  <c r="K1972" i="6"/>
  <c r="N1972" i="6"/>
  <c r="L1972" i="6"/>
  <c r="M1868" i="6"/>
  <c r="L1868" i="6"/>
  <c r="K1868" i="6"/>
  <c r="N1868" i="6"/>
  <c r="N1628" i="6"/>
  <c r="M1628" i="6"/>
  <c r="L1628" i="6"/>
  <c r="K1628" i="6"/>
  <c r="N1596" i="6"/>
  <c r="M1596" i="6"/>
  <c r="L1596" i="6"/>
  <c r="K1596" i="6"/>
  <c r="N1508" i="6"/>
  <c r="L1508" i="6"/>
  <c r="M1508" i="6"/>
  <c r="K1508" i="6"/>
  <c r="N1444" i="6"/>
  <c r="L1444" i="6"/>
  <c r="M1444" i="6"/>
  <c r="K1444" i="6"/>
  <c r="M1404" i="6"/>
  <c r="L1404" i="6"/>
  <c r="K1404" i="6"/>
  <c r="N1404" i="6"/>
  <c r="M1372" i="6"/>
  <c r="L1372" i="6"/>
  <c r="K1372" i="6"/>
  <c r="N1372" i="6"/>
  <c r="M1340" i="6"/>
  <c r="L1340" i="6"/>
  <c r="K1340" i="6"/>
  <c r="N1340" i="6"/>
  <c r="L1252" i="6"/>
  <c r="K1252" i="6"/>
  <c r="N1252" i="6"/>
  <c r="M1252" i="6"/>
  <c r="N1092" i="6"/>
  <c r="M1092" i="6"/>
  <c r="L1092" i="6"/>
  <c r="K1092" i="6"/>
  <c r="N1060" i="6"/>
  <c r="M1060" i="6"/>
  <c r="L1060" i="6"/>
  <c r="K1060" i="6"/>
  <c r="N1028" i="6"/>
  <c r="M1028" i="6"/>
  <c r="L1028" i="6"/>
  <c r="K1028" i="6"/>
  <c r="N996" i="6"/>
  <c r="M996" i="6"/>
  <c r="L996" i="6"/>
  <c r="K996" i="6"/>
  <c r="N956" i="6"/>
  <c r="M956" i="6"/>
  <c r="L956" i="6"/>
  <c r="K956" i="6"/>
  <c r="N924" i="6"/>
  <c r="M924" i="6"/>
  <c r="L924" i="6"/>
  <c r="K924" i="6"/>
  <c r="N892" i="6"/>
  <c r="M892" i="6"/>
  <c r="L892" i="6"/>
  <c r="K892" i="6"/>
  <c r="N860" i="6"/>
  <c r="M860" i="6"/>
  <c r="L860" i="6"/>
  <c r="K860" i="6"/>
  <c r="N828" i="6"/>
  <c r="M828" i="6"/>
  <c r="L828" i="6"/>
  <c r="K828" i="6"/>
  <c r="N796" i="6"/>
  <c r="M796" i="6"/>
  <c r="L796" i="6"/>
  <c r="K796" i="6"/>
  <c r="N772" i="6"/>
  <c r="M772" i="6"/>
  <c r="L772" i="6"/>
  <c r="K772" i="6"/>
  <c r="N740" i="6"/>
  <c r="M740" i="6"/>
  <c r="L740" i="6"/>
  <c r="K740" i="6"/>
  <c r="N708" i="6"/>
  <c r="M708" i="6"/>
  <c r="L708" i="6"/>
  <c r="K708" i="6"/>
  <c r="N676" i="6"/>
  <c r="M676" i="6"/>
  <c r="L676" i="6"/>
  <c r="K676" i="6"/>
  <c r="N644" i="6"/>
  <c r="M644" i="6"/>
  <c r="L644" i="6"/>
  <c r="K644" i="6"/>
  <c r="N612" i="6"/>
  <c r="M612" i="6"/>
  <c r="L612" i="6"/>
  <c r="K612" i="6"/>
  <c r="N580" i="6"/>
  <c r="M580" i="6"/>
  <c r="L580" i="6"/>
  <c r="K580" i="6"/>
  <c r="N548" i="6"/>
  <c r="M548" i="6"/>
  <c r="L548" i="6"/>
  <c r="K548" i="6"/>
  <c r="N516" i="6"/>
  <c r="M516" i="6"/>
  <c r="L516" i="6"/>
  <c r="K516" i="6"/>
  <c r="N484" i="6"/>
  <c r="M484" i="6"/>
  <c r="L484" i="6"/>
  <c r="K484" i="6"/>
  <c r="N452" i="6"/>
  <c r="M452" i="6"/>
  <c r="L452" i="6"/>
  <c r="K452" i="6"/>
  <c r="N420" i="6"/>
  <c r="M420" i="6"/>
  <c r="L420" i="6"/>
  <c r="K420" i="6"/>
  <c r="D11" i="41"/>
  <c r="M1249" i="6"/>
  <c r="L1249" i="6"/>
  <c r="K1249" i="6"/>
  <c r="N1249" i="6"/>
  <c r="M1217" i="6"/>
  <c r="L1217" i="6"/>
  <c r="K1217" i="6"/>
  <c r="N1217" i="6"/>
  <c r="M1185" i="6"/>
  <c r="L1185" i="6"/>
  <c r="K1185" i="6"/>
  <c r="N1185" i="6"/>
  <c r="M1153" i="6"/>
  <c r="L1153" i="6"/>
  <c r="K1153" i="6"/>
  <c r="N1153" i="6"/>
  <c r="M1121" i="6"/>
  <c r="L1121" i="6"/>
  <c r="K1121" i="6"/>
  <c r="N1121" i="6"/>
  <c r="K1073" i="6"/>
  <c r="N1073" i="6"/>
  <c r="M1073" i="6"/>
  <c r="L1073" i="6"/>
  <c r="K1041" i="6"/>
  <c r="N1041" i="6"/>
  <c r="M1041" i="6"/>
  <c r="L1041" i="6"/>
  <c r="K753" i="6"/>
  <c r="N753" i="6"/>
  <c r="M753" i="6"/>
  <c r="L753" i="6"/>
  <c r="K721" i="6"/>
  <c r="N721" i="6"/>
  <c r="M721" i="6"/>
  <c r="L721" i="6"/>
  <c r="K689" i="6"/>
  <c r="N689" i="6"/>
  <c r="M689" i="6"/>
  <c r="L689" i="6"/>
  <c r="K657" i="6"/>
  <c r="N657" i="6"/>
  <c r="M657" i="6"/>
  <c r="L657" i="6"/>
  <c r="K625" i="6"/>
  <c r="N625" i="6"/>
  <c r="M625" i="6"/>
  <c r="L625" i="6"/>
  <c r="K593" i="6"/>
  <c r="N593" i="6"/>
  <c r="M593" i="6"/>
  <c r="L593" i="6"/>
  <c r="K561" i="6"/>
  <c r="N561" i="6"/>
  <c r="M561" i="6"/>
  <c r="L561" i="6"/>
  <c r="K529" i="6"/>
  <c r="N529" i="6"/>
  <c r="M529" i="6"/>
  <c r="L529" i="6"/>
  <c r="K497" i="6"/>
  <c r="N497" i="6"/>
  <c r="M497" i="6"/>
  <c r="L497" i="6"/>
  <c r="K465" i="6"/>
  <c r="N465" i="6"/>
  <c r="M465" i="6"/>
  <c r="L465" i="6"/>
  <c r="K433" i="6"/>
  <c r="N433" i="6"/>
  <c r="M433" i="6"/>
  <c r="L433" i="6"/>
  <c r="K401" i="6"/>
  <c r="M401" i="6"/>
  <c r="L401" i="6"/>
  <c r="N401" i="6"/>
  <c r="N385" i="6"/>
  <c r="M385" i="6"/>
  <c r="L385" i="6"/>
  <c r="K385" i="6"/>
  <c r="N353" i="6"/>
  <c r="M353" i="6"/>
  <c r="L353" i="6"/>
  <c r="K353" i="6"/>
  <c r="N321" i="6"/>
  <c r="M321" i="6"/>
  <c r="L321" i="6"/>
  <c r="K321" i="6"/>
  <c r="N289" i="6"/>
  <c r="M289" i="6"/>
  <c r="L289" i="6"/>
  <c r="K289" i="6"/>
  <c r="N257" i="6"/>
  <c r="M257" i="6"/>
  <c r="L257" i="6"/>
  <c r="K257" i="6"/>
  <c r="N225" i="6"/>
  <c r="M225" i="6"/>
  <c r="L225" i="6"/>
  <c r="K225" i="6"/>
  <c r="N193" i="6"/>
  <c r="M193" i="6"/>
  <c r="L193" i="6"/>
  <c r="K193" i="6"/>
  <c r="N161" i="6"/>
  <c r="M161" i="6"/>
  <c r="L161" i="6"/>
  <c r="K161" i="6"/>
  <c r="N129" i="6"/>
  <c r="M129" i="6"/>
  <c r="L129" i="6"/>
  <c r="K129" i="6"/>
  <c r="N97" i="6"/>
  <c r="M97" i="6"/>
  <c r="L97" i="6"/>
  <c r="K97" i="6"/>
  <c r="N65" i="6"/>
  <c r="M65" i="6"/>
  <c r="L65" i="6"/>
  <c r="K65" i="6"/>
  <c r="N33" i="6"/>
  <c r="M33" i="6"/>
  <c r="L33" i="6"/>
  <c r="K33" i="6"/>
  <c r="K1982" i="6"/>
  <c r="N1982" i="6"/>
  <c r="M1982" i="6"/>
  <c r="L1982" i="6"/>
  <c r="K1950" i="6"/>
  <c r="N1950" i="6"/>
  <c r="M1950" i="6"/>
  <c r="L1950" i="6"/>
  <c r="K1918" i="6"/>
  <c r="M1918" i="6"/>
  <c r="L1918" i="6"/>
  <c r="N1918" i="6"/>
  <c r="K1886" i="6"/>
  <c r="M1886" i="6"/>
  <c r="L1886" i="6"/>
  <c r="N1886" i="6"/>
  <c r="L1798" i="6"/>
  <c r="M1798" i="6"/>
  <c r="K1798" i="6"/>
  <c r="N1798" i="6"/>
  <c r="N1646" i="6"/>
  <c r="M1646" i="6"/>
  <c r="K1646" i="6"/>
  <c r="L1646" i="6"/>
  <c r="N1614" i="6"/>
  <c r="M1614" i="6"/>
  <c r="K1614" i="6"/>
  <c r="L1614" i="6"/>
  <c r="N1582" i="6"/>
  <c r="M1582" i="6"/>
  <c r="K1582" i="6"/>
  <c r="L1582" i="6"/>
  <c r="M1102" i="6"/>
  <c r="L1102" i="6"/>
  <c r="K1102" i="6"/>
  <c r="N1102" i="6"/>
  <c r="M1070" i="6"/>
  <c r="L1070" i="6"/>
  <c r="K1070" i="6"/>
  <c r="N1070" i="6"/>
  <c r="M1038" i="6"/>
  <c r="L1038" i="6"/>
  <c r="K1038" i="6"/>
  <c r="N1038" i="6"/>
  <c r="M782" i="6"/>
  <c r="L782" i="6"/>
  <c r="K782" i="6"/>
  <c r="N782" i="6"/>
  <c r="M750" i="6"/>
  <c r="L750" i="6"/>
  <c r="K750" i="6"/>
  <c r="N750" i="6"/>
  <c r="M718" i="6"/>
  <c r="L718" i="6"/>
  <c r="K718" i="6"/>
  <c r="N718" i="6"/>
  <c r="M686" i="6"/>
  <c r="L686" i="6"/>
  <c r="K686" i="6"/>
  <c r="N686" i="6"/>
  <c r="M654" i="6"/>
  <c r="L654" i="6"/>
  <c r="K654" i="6"/>
  <c r="N654" i="6"/>
  <c r="M622" i="6"/>
  <c r="L622" i="6"/>
  <c r="K622" i="6"/>
  <c r="N622" i="6"/>
  <c r="M590" i="6"/>
  <c r="L590" i="6"/>
  <c r="K590" i="6"/>
  <c r="N590" i="6"/>
  <c r="M558" i="6"/>
  <c r="L558" i="6"/>
  <c r="K558" i="6"/>
  <c r="N558" i="6"/>
  <c r="M526" i="6"/>
  <c r="L526" i="6"/>
  <c r="K526" i="6"/>
  <c r="N526" i="6"/>
  <c r="M494" i="6"/>
  <c r="L494" i="6"/>
  <c r="K494" i="6"/>
  <c r="N494" i="6"/>
  <c r="M462" i="6"/>
  <c r="L462" i="6"/>
  <c r="K462" i="6"/>
  <c r="N462" i="6"/>
  <c r="M430" i="6"/>
  <c r="L430" i="6"/>
  <c r="K430" i="6"/>
  <c r="N430" i="6"/>
  <c r="M1955" i="6"/>
  <c r="K1955" i="6"/>
  <c r="L1955" i="6"/>
  <c r="N1955" i="6"/>
  <c r="M1923" i="6"/>
  <c r="K1923" i="6"/>
  <c r="L1923" i="6"/>
  <c r="N1923" i="6"/>
  <c r="M1891" i="6"/>
  <c r="K1891" i="6"/>
  <c r="L1891" i="6"/>
  <c r="N1891" i="6"/>
  <c r="N1843" i="6"/>
  <c r="L1843" i="6"/>
  <c r="M1843" i="6"/>
  <c r="K1843" i="6"/>
  <c r="N1811" i="6"/>
  <c r="L1811" i="6"/>
  <c r="M1811" i="6"/>
  <c r="K1811" i="6"/>
  <c r="N1779" i="6"/>
  <c r="L1779" i="6"/>
  <c r="M1779" i="6"/>
  <c r="K1779" i="6"/>
  <c r="N1747" i="6"/>
  <c r="L1747" i="6"/>
  <c r="M1747" i="6"/>
  <c r="K1747" i="6"/>
  <c r="N1707" i="6"/>
  <c r="L1707" i="6"/>
  <c r="K1707" i="6"/>
  <c r="M1707" i="6"/>
  <c r="N1675" i="6"/>
  <c r="L1675" i="6"/>
  <c r="K1675" i="6"/>
  <c r="M1675" i="6"/>
  <c r="N1251" i="6"/>
  <c r="L1251" i="6"/>
  <c r="K1251" i="6"/>
  <c r="M1251" i="6"/>
  <c r="L1219" i="6"/>
  <c r="K1219" i="6"/>
  <c r="N1219" i="6"/>
  <c r="M1219" i="6"/>
  <c r="L1187" i="6"/>
  <c r="K1187" i="6"/>
  <c r="N1187" i="6"/>
  <c r="M1187" i="6"/>
  <c r="L1155" i="6"/>
  <c r="K1155" i="6"/>
  <c r="N1155" i="6"/>
  <c r="M1155" i="6"/>
  <c r="L1123" i="6"/>
  <c r="K1123" i="6"/>
  <c r="N1123" i="6"/>
  <c r="M1123" i="6"/>
  <c r="N1011" i="6"/>
  <c r="L1011" i="6"/>
  <c r="K1011" i="6"/>
  <c r="M1011" i="6"/>
  <c r="N979" i="6"/>
  <c r="L979" i="6"/>
  <c r="K979" i="6"/>
  <c r="M979" i="6"/>
  <c r="N971" i="6"/>
  <c r="L971" i="6"/>
  <c r="K971" i="6"/>
  <c r="M971" i="6"/>
  <c r="N939" i="6"/>
  <c r="M939" i="6"/>
  <c r="L939" i="6"/>
  <c r="K939" i="6"/>
  <c r="N907" i="6"/>
  <c r="M907" i="6"/>
  <c r="L907" i="6"/>
  <c r="K907" i="6"/>
  <c r="N875" i="6"/>
  <c r="M875" i="6"/>
  <c r="L875" i="6"/>
  <c r="K875" i="6"/>
  <c r="N843" i="6"/>
  <c r="M843" i="6"/>
  <c r="L843" i="6"/>
  <c r="K843" i="6"/>
  <c r="N811" i="6"/>
  <c r="M811" i="6"/>
  <c r="L811" i="6"/>
  <c r="K811" i="6"/>
  <c r="L1992" i="6"/>
  <c r="M1992" i="6"/>
  <c r="K1992" i="6"/>
  <c r="N1992" i="6"/>
  <c r="M1952" i="6"/>
  <c r="K1952" i="6"/>
  <c r="L1952" i="6"/>
  <c r="N1952" i="6"/>
  <c r="M1936" i="6"/>
  <c r="N1936" i="6"/>
  <c r="K1936" i="6"/>
  <c r="L1936" i="6"/>
  <c r="M1904" i="6"/>
  <c r="N1904" i="6"/>
  <c r="K1904" i="6"/>
  <c r="L1904" i="6"/>
  <c r="M1864" i="6"/>
  <c r="N1864" i="6"/>
  <c r="K1864" i="6"/>
  <c r="L1864" i="6"/>
  <c r="N1848" i="6"/>
  <c r="L1848" i="6"/>
  <c r="K1848" i="6"/>
  <c r="M1848" i="6"/>
  <c r="N1840" i="6"/>
  <c r="L1840" i="6"/>
  <c r="M1840" i="6"/>
  <c r="K1840" i="6"/>
  <c r="N1816" i="6"/>
  <c r="L1816" i="6"/>
  <c r="K1816" i="6"/>
  <c r="M1816" i="6"/>
  <c r="N1808" i="6"/>
  <c r="L1808" i="6"/>
  <c r="M1808" i="6"/>
  <c r="K1808" i="6"/>
  <c r="N1784" i="6"/>
  <c r="L1784" i="6"/>
  <c r="K1784" i="6"/>
  <c r="M1784" i="6"/>
  <c r="N1776" i="6"/>
  <c r="L1776" i="6"/>
  <c r="M1776" i="6"/>
  <c r="K1776" i="6"/>
  <c r="N1752" i="6"/>
  <c r="L1752" i="6"/>
  <c r="K1752" i="6"/>
  <c r="M1752" i="6"/>
  <c r="N1744" i="6"/>
  <c r="L1744" i="6"/>
  <c r="M1744" i="6"/>
  <c r="K1744" i="6"/>
  <c r="N1648" i="6"/>
  <c r="M1648" i="6"/>
  <c r="K1648" i="6"/>
  <c r="L1648" i="6"/>
  <c r="N1616" i="6"/>
  <c r="M1616" i="6"/>
  <c r="K1616" i="6"/>
  <c r="L1616" i="6"/>
  <c r="N1584" i="6"/>
  <c r="M1584" i="6"/>
  <c r="K1584" i="6"/>
  <c r="L1584" i="6"/>
  <c r="M1424" i="6"/>
  <c r="L1424" i="6"/>
  <c r="N1424" i="6"/>
  <c r="K1424" i="6"/>
  <c r="M1392" i="6"/>
  <c r="L1392" i="6"/>
  <c r="N1392" i="6"/>
  <c r="K1392" i="6"/>
  <c r="M1360" i="6"/>
  <c r="L1360" i="6"/>
  <c r="N1360" i="6"/>
  <c r="K1360" i="6"/>
  <c r="N1080" i="6"/>
  <c r="M1080" i="6"/>
  <c r="L1080" i="6"/>
  <c r="K1080" i="6"/>
  <c r="N1048" i="6"/>
  <c r="M1048" i="6"/>
  <c r="L1048" i="6"/>
  <c r="K1048" i="6"/>
  <c r="N1016" i="6"/>
  <c r="M1016" i="6"/>
  <c r="L1016" i="6"/>
  <c r="K1016" i="6"/>
  <c r="N984" i="6"/>
  <c r="M984" i="6"/>
  <c r="L984" i="6"/>
  <c r="K984" i="6"/>
  <c r="N944" i="6"/>
  <c r="M944" i="6"/>
  <c r="L944" i="6"/>
  <c r="K944" i="6"/>
  <c r="N912" i="6"/>
  <c r="M912" i="6"/>
  <c r="L912" i="6"/>
  <c r="K912" i="6"/>
  <c r="N880" i="6"/>
  <c r="M880" i="6"/>
  <c r="L880" i="6"/>
  <c r="K880" i="6"/>
  <c r="N848" i="6"/>
  <c r="M848" i="6"/>
  <c r="L848" i="6"/>
  <c r="K848" i="6"/>
  <c r="N816" i="6"/>
  <c r="M816" i="6"/>
  <c r="L816" i="6"/>
  <c r="K816" i="6"/>
  <c r="N784" i="6"/>
  <c r="M784" i="6"/>
  <c r="L784" i="6"/>
  <c r="K784" i="6"/>
  <c r="N760" i="6"/>
  <c r="M760" i="6"/>
  <c r="L760" i="6"/>
  <c r="K760" i="6"/>
  <c r="N728" i="6"/>
  <c r="M728" i="6"/>
  <c r="L728" i="6"/>
  <c r="K728" i="6"/>
  <c r="N696" i="6"/>
  <c r="M696" i="6"/>
  <c r="L696" i="6"/>
  <c r="K696" i="6"/>
  <c r="N664" i="6"/>
  <c r="M664" i="6"/>
  <c r="L664" i="6"/>
  <c r="K664" i="6"/>
  <c r="N632" i="6"/>
  <c r="M632" i="6"/>
  <c r="L632" i="6"/>
  <c r="K632" i="6"/>
  <c r="N600" i="6"/>
  <c r="M600" i="6"/>
  <c r="L600" i="6"/>
  <c r="K600" i="6"/>
  <c r="N568" i="6"/>
  <c r="M568" i="6"/>
  <c r="L568" i="6"/>
  <c r="K568" i="6"/>
  <c r="N536" i="6"/>
  <c r="M536" i="6"/>
  <c r="L536" i="6"/>
  <c r="K536" i="6"/>
  <c r="N504" i="6"/>
  <c r="M504" i="6"/>
  <c r="L504" i="6"/>
  <c r="K504" i="6"/>
  <c r="N472" i="6"/>
  <c r="M472" i="6"/>
  <c r="L472" i="6"/>
  <c r="K472" i="6"/>
  <c r="N440" i="6"/>
  <c r="M440" i="6"/>
  <c r="L440" i="6"/>
  <c r="K440" i="6"/>
  <c r="N408" i="6"/>
  <c r="M408" i="6"/>
  <c r="L408" i="6"/>
  <c r="K408" i="6"/>
  <c r="M1981" i="6"/>
  <c r="N1981" i="6"/>
  <c r="K1981" i="6"/>
  <c r="L1981" i="6"/>
  <c r="M1949" i="6"/>
  <c r="L1949" i="6"/>
  <c r="K1949" i="6"/>
  <c r="N1949" i="6"/>
  <c r="M1917" i="6"/>
  <c r="K1917" i="6"/>
  <c r="N1917" i="6"/>
  <c r="L1917" i="6"/>
  <c r="M1885" i="6"/>
  <c r="N1885" i="6"/>
  <c r="K1885" i="6"/>
  <c r="L1885" i="6"/>
  <c r="M1725" i="6"/>
  <c r="L1725" i="6"/>
  <c r="N1725" i="6"/>
  <c r="K1725" i="6"/>
  <c r="M1693" i="6"/>
  <c r="L1693" i="6"/>
  <c r="N1693" i="6"/>
  <c r="K1693" i="6"/>
  <c r="L1653" i="6"/>
  <c r="K1653" i="6"/>
  <c r="N1653" i="6"/>
  <c r="M1653" i="6"/>
  <c r="L1621" i="6"/>
  <c r="K1621" i="6"/>
  <c r="N1621" i="6"/>
  <c r="M1621" i="6"/>
  <c r="L1589" i="6"/>
  <c r="K1589" i="6"/>
  <c r="N1589" i="6"/>
  <c r="M1589" i="6"/>
  <c r="N1405" i="6"/>
  <c r="K1405" i="6"/>
  <c r="M1405" i="6"/>
  <c r="L1405" i="6"/>
  <c r="N1373" i="6"/>
  <c r="K1373" i="6"/>
  <c r="M1373" i="6"/>
  <c r="L1373" i="6"/>
  <c r="N1341" i="6"/>
  <c r="K1341" i="6"/>
  <c r="L1341" i="6"/>
  <c r="M1341" i="6"/>
  <c r="N1309" i="6"/>
  <c r="M1309" i="6"/>
  <c r="L1309" i="6"/>
  <c r="K1309" i="6"/>
  <c r="N1277" i="6"/>
  <c r="M1277" i="6"/>
  <c r="L1277" i="6"/>
  <c r="K1277" i="6"/>
  <c r="K1021" i="6"/>
  <c r="N1021" i="6"/>
  <c r="M1021" i="6"/>
  <c r="L1021" i="6"/>
  <c r="K989" i="6"/>
  <c r="N989" i="6"/>
  <c r="M989" i="6"/>
  <c r="L989" i="6"/>
  <c r="L941" i="6"/>
  <c r="K941" i="6"/>
  <c r="N941" i="6"/>
  <c r="M941" i="6"/>
  <c r="L909" i="6"/>
  <c r="K909" i="6"/>
  <c r="N909" i="6"/>
  <c r="M909" i="6"/>
  <c r="L877" i="6"/>
  <c r="K877" i="6"/>
  <c r="N877" i="6"/>
  <c r="M877" i="6"/>
  <c r="L845" i="6"/>
  <c r="K845" i="6"/>
  <c r="N845" i="6"/>
  <c r="M845" i="6"/>
  <c r="L813" i="6"/>
  <c r="K813" i="6"/>
  <c r="N813" i="6"/>
  <c r="M813" i="6"/>
  <c r="L2002" i="6"/>
  <c r="N2002" i="6"/>
  <c r="M2002" i="6"/>
  <c r="K2002" i="6"/>
  <c r="L1994" i="6"/>
  <c r="N1994" i="6"/>
  <c r="K1994" i="6"/>
  <c r="M1994" i="6"/>
  <c r="N1538" i="6"/>
  <c r="L1538" i="6"/>
  <c r="M1538" i="6"/>
  <c r="K1538" i="6"/>
  <c r="N1506" i="6"/>
  <c r="L1506" i="6"/>
  <c r="M1506" i="6"/>
  <c r="K1506" i="6"/>
  <c r="N1474" i="6"/>
  <c r="L1474" i="6"/>
  <c r="M1474" i="6"/>
  <c r="K1474" i="6"/>
  <c r="N1442" i="6"/>
  <c r="L1442" i="6"/>
  <c r="M1442" i="6"/>
  <c r="K1442" i="6"/>
  <c r="M1426" i="6"/>
  <c r="K1426" i="6"/>
  <c r="N1426" i="6"/>
  <c r="L1426" i="6"/>
  <c r="M1394" i="6"/>
  <c r="K1394" i="6"/>
  <c r="N1394" i="6"/>
  <c r="L1394" i="6"/>
  <c r="M1362" i="6"/>
  <c r="K1362" i="6"/>
  <c r="N1362" i="6"/>
  <c r="L1362" i="6"/>
  <c r="N1226" i="6"/>
  <c r="M1226" i="6"/>
  <c r="L1226" i="6"/>
  <c r="K1226" i="6"/>
  <c r="N1194" i="6"/>
  <c r="M1194" i="6"/>
  <c r="L1194" i="6"/>
  <c r="K1194" i="6"/>
  <c r="N1162" i="6"/>
  <c r="M1162" i="6"/>
  <c r="L1162" i="6"/>
  <c r="K1162" i="6"/>
  <c r="N1130" i="6"/>
  <c r="M1130" i="6"/>
  <c r="L1130" i="6"/>
  <c r="K1130" i="6"/>
  <c r="M1026" i="6"/>
  <c r="L1026" i="6"/>
  <c r="N1026" i="6"/>
  <c r="K1026" i="6"/>
  <c r="M994" i="6"/>
  <c r="L994" i="6"/>
  <c r="N994" i="6"/>
  <c r="K994" i="6"/>
  <c r="N954" i="6"/>
  <c r="M954" i="6"/>
  <c r="L954" i="6"/>
  <c r="K954" i="6"/>
  <c r="N922" i="6"/>
  <c r="M922" i="6"/>
  <c r="L922" i="6"/>
  <c r="K922" i="6"/>
  <c r="N890" i="6"/>
  <c r="M890" i="6"/>
  <c r="L890" i="6"/>
  <c r="K890" i="6"/>
  <c r="N858" i="6"/>
  <c r="M858" i="6"/>
  <c r="L858" i="6"/>
  <c r="K858" i="6"/>
  <c r="N826" i="6"/>
  <c r="M826" i="6"/>
  <c r="L826" i="6"/>
  <c r="K826" i="6"/>
  <c r="N794" i="6"/>
  <c r="M794" i="6"/>
  <c r="L794" i="6"/>
  <c r="K794" i="6"/>
  <c r="N370" i="6"/>
  <c r="M370" i="6"/>
  <c r="L370" i="6"/>
  <c r="K370" i="6"/>
  <c r="N338" i="6"/>
  <c r="M338" i="6"/>
  <c r="L338" i="6"/>
  <c r="K338" i="6"/>
  <c r="N306" i="6"/>
  <c r="M306" i="6"/>
  <c r="L306" i="6"/>
  <c r="K306" i="6"/>
  <c r="N274" i="6"/>
  <c r="M274" i="6"/>
  <c r="L274" i="6"/>
  <c r="K274" i="6"/>
  <c r="N242" i="6"/>
  <c r="M242" i="6"/>
  <c r="L242" i="6"/>
  <c r="K242" i="6"/>
  <c r="N210" i="6"/>
  <c r="M210" i="6"/>
  <c r="L210" i="6"/>
  <c r="K210" i="6"/>
  <c r="N178" i="6"/>
  <c r="M178" i="6"/>
  <c r="L178" i="6"/>
  <c r="K178" i="6"/>
  <c r="N146" i="6"/>
  <c r="M146" i="6"/>
  <c r="L146" i="6"/>
  <c r="K146" i="6"/>
  <c r="N114" i="6"/>
  <c r="M114" i="6"/>
  <c r="L114" i="6"/>
  <c r="K114" i="6"/>
  <c r="N82" i="6"/>
  <c r="M82" i="6"/>
  <c r="L82" i="6"/>
  <c r="K82" i="6"/>
  <c r="N50" i="6"/>
  <c r="M50" i="6"/>
  <c r="L50" i="6"/>
  <c r="K50" i="6"/>
  <c r="N18" i="6"/>
  <c r="M18" i="6"/>
  <c r="L18" i="6"/>
  <c r="K18" i="6"/>
  <c r="N10" i="6"/>
  <c r="M10" i="6"/>
  <c r="L10" i="6"/>
  <c r="K10" i="6"/>
  <c r="D6" i="41"/>
  <c r="M1967" i="6"/>
  <c r="K1967" i="6"/>
  <c r="N1967" i="6"/>
  <c r="L1967" i="6"/>
  <c r="N1847" i="6"/>
  <c r="L1847" i="6"/>
  <c r="M1847" i="6"/>
  <c r="K1847" i="6"/>
  <c r="N1815" i="6"/>
  <c r="L1815" i="6"/>
  <c r="M1815" i="6"/>
  <c r="K1815" i="6"/>
  <c r="N1783" i="6"/>
  <c r="L1783" i="6"/>
  <c r="M1783" i="6"/>
  <c r="K1783" i="6"/>
  <c r="N1751" i="6"/>
  <c r="L1751" i="6"/>
  <c r="M1751" i="6"/>
  <c r="K1751" i="6"/>
  <c r="N1719" i="6"/>
  <c r="L1719" i="6"/>
  <c r="M1719" i="6"/>
  <c r="K1719" i="6"/>
  <c r="N1687" i="6"/>
  <c r="L1687" i="6"/>
  <c r="M1687" i="6"/>
  <c r="K1687" i="6"/>
  <c r="M1655" i="6"/>
  <c r="L1655" i="6"/>
  <c r="K1655" i="6"/>
  <c r="N1655" i="6"/>
  <c r="M1623" i="6"/>
  <c r="L1623" i="6"/>
  <c r="K1623" i="6"/>
  <c r="N1623" i="6"/>
  <c r="M1591" i="6"/>
  <c r="L1591" i="6"/>
  <c r="K1591" i="6"/>
  <c r="N1591" i="6"/>
  <c r="M1567" i="6"/>
  <c r="K1567" i="6"/>
  <c r="N1567" i="6"/>
  <c r="L1567" i="6"/>
  <c r="L1231" i="6"/>
  <c r="K1231" i="6"/>
  <c r="N1231" i="6"/>
  <c r="M1231" i="6"/>
  <c r="L1199" i="6"/>
  <c r="K1199" i="6"/>
  <c r="N1199" i="6"/>
  <c r="M1199" i="6"/>
  <c r="L1167" i="6"/>
  <c r="K1167" i="6"/>
  <c r="N1167" i="6"/>
  <c r="M1167" i="6"/>
  <c r="L1135" i="6"/>
  <c r="K1135" i="6"/>
  <c r="N1135" i="6"/>
  <c r="M1135" i="6"/>
  <c r="N1023" i="6"/>
  <c r="L1023" i="6"/>
  <c r="K1023" i="6"/>
  <c r="M1023" i="6"/>
  <c r="N991" i="6"/>
  <c r="L991" i="6"/>
  <c r="K991" i="6"/>
  <c r="M991" i="6"/>
  <c r="N951" i="6"/>
  <c r="M951" i="6"/>
  <c r="L951" i="6"/>
  <c r="K951" i="6"/>
  <c r="N919" i="6"/>
  <c r="M919" i="6"/>
  <c r="L919" i="6"/>
  <c r="K919" i="6"/>
  <c r="N887" i="6"/>
  <c r="M887" i="6"/>
  <c r="L887" i="6"/>
  <c r="K887" i="6"/>
  <c r="N855" i="6"/>
  <c r="M855" i="6"/>
  <c r="L855" i="6"/>
  <c r="K855" i="6"/>
  <c r="N823" i="6"/>
  <c r="M823" i="6"/>
  <c r="L823" i="6"/>
  <c r="K823" i="6"/>
  <c r="N791" i="6"/>
  <c r="M791" i="6"/>
  <c r="L791" i="6"/>
  <c r="K791" i="6"/>
  <c r="M1892" i="6"/>
  <c r="K1892" i="6"/>
  <c r="N1892" i="6"/>
  <c r="L1892" i="6"/>
  <c r="K1732" i="6"/>
  <c r="N1732" i="6"/>
  <c r="M1732" i="6"/>
  <c r="L1732" i="6"/>
  <c r="K1700" i="6"/>
  <c r="N1700" i="6"/>
  <c r="M1700" i="6"/>
  <c r="L1700" i="6"/>
  <c r="K1668" i="6"/>
  <c r="N1668" i="6"/>
  <c r="M1668" i="6"/>
  <c r="L1668" i="6"/>
  <c r="N1540" i="6"/>
  <c r="L1540" i="6"/>
  <c r="M1540" i="6"/>
  <c r="K1540" i="6"/>
  <c r="N1476" i="6"/>
  <c r="L1476" i="6"/>
  <c r="M1476" i="6"/>
  <c r="K1476" i="6"/>
  <c r="L1324" i="6"/>
  <c r="K1324" i="6"/>
  <c r="N1324" i="6"/>
  <c r="M1324" i="6"/>
  <c r="L1292" i="6"/>
  <c r="K1292" i="6"/>
  <c r="N1292" i="6"/>
  <c r="M1292" i="6"/>
  <c r="L1260" i="6"/>
  <c r="K1260" i="6"/>
  <c r="N1260" i="6"/>
  <c r="M1260" i="6"/>
  <c r="N1228" i="6"/>
  <c r="M1228" i="6"/>
  <c r="K1228" i="6"/>
  <c r="L1228" i="6"/>
  <c r="N1196" i="6"/>
  <c r="M1196" i="6"/>
  <c r="K1196" i="6"/>
  <c r="L1196" i="6"/>
  <c r="N1164" i="6"/>
  <c r="M1164" i="6"/>
  <c r="K1164" i="6"/>
  <c r="L1164" i="6"/>
  <c r="N1132" i="6"/>
  <c r="M1132" i="6"/>
  <c r="K1132" i="6"/>
  <c r="L1132" i="6"/>
  <c r="M364" i="6"/>
  <c r="L364" i="6"/>
  <c r="K364" i="6"/>
  <c r="N364" i="6"/>
  <c r="M332" i="6"/>
  <c r="L332" i="6"/>
  <c r="K332" i="6"/>
  <c r="N332" i="6"/>
  <c r="M300" i="6"/>
  <c r="L300" i="6"/>
  <c r="K300" i="6"/>
  <c r="N300" i="6"/>
  <c r="M268" i="6"/>
  <c r="L268" i="6"/>
  <c r="K268" i="6"/>
  <c r="N268" i="6"/>
  <c r="M236" i="6"/>
  <c r="L236" i="6"/>
  <c r="K236" i="6"/>
  <c r="N236" i="6"/>
  <c r="M204" i="6"/>
  <c r="L204" i="6"/>
  <c r="K204" i="6"/>
  <c r="N204" i="6"/>
  <c r="M172" i="6"/>
  <c r="L172" i="6"/>
  <c r="K172" i="6"/>
  <c r="N172" i="6"/>
  <c r="M140" i="6"/>
  <c r="L140" i="6"/>
  <c r="K140" i="6"/>
  <c r="N140" i="6"/>
  <c r="M108" i="6"/>
  <c r="L108" i="6"/>
  <c r="K108" i="6"/>
  <c r="N108" i="6"/>
  <c r="M76" i="6"/>
  <c r="L76" i="6"/>
  <c r="K76" i="6"/>
  <c r="N76" i="6"/>
  <c r="M44" i="6"/>
  <c r="L44" i="6"/>
  <c r="K44" i="6"/>
  <c r="N44" i="6"/>
  <c r="M12" i="6"/>
  <c r="L12" i="6"/>
  <c r="K12" i="6"/>
  <c r="N12" i="6"/>
  <c r="N2001" i="6"/>
  <c r="L2001" i="6"/>
  <c r="K2001" i="6"/>
  <c r="M2001" i="6"/>
  <c r="N1993" i="6"/>
  <c r="L1993" i="6"/>
  <c r="K1993" i="6"/>
  <c r="M1993" i="6"/>
  <c r="M1977" i="6"/>
  <c r="N1977" i="6"/>
  <c r="K1977" i="6"/>
  <c r="L1977" i="6"/>
  <c r="M1945" i="6"/>
  <c r="K1945" i="6"/>
  <c r="N1945" i="6"/>
  <c r="L1945" i="6"/>
  <c r="M1913" i="6"/>
  <c r="K1913" i="6"/>
  <c r="N1913" i="6"/>
  <c r="L1913" i="6"/>
  <c r="M1881" i="6"/>
  <c r="N1881" i="6"/>
  <c r="L1881" i="6"/>
  <c r="K1881" i="6"/>
  <c r="M1729" i="6"/>
  <c r="L1729" i="6"/>
  <c r="N1729" i="6"/>
  <c r="K1729" i="6"/>
  <c r="M1697" i="6"/>
  <c r="L1697" i="6"/>
  <c r="N1697" i="6"/>
  <c r="K1697" i="6"/>
  <c r="M1665" i="6"/>
  <c r="L1665" i="6"/>
  <c r="N1665" i="6"/>
  <c r="K1665" i="6"/>
  <c r="L1649" i="6"/>
  <c r="K1649" i="6"/>
  <c r="M1649" i="6"/>
  <c r="N1649" i="6"/>
  <c r="L1617" i="6"/>
  <c r="K1617" i="6"/>
  <c r="M1617" i="6"/>
  <c r="N1617" i="6"/>
  <c r="L1585" i="6"/>
  <c r="K1585" i="6"/>
  <c r="M1585" i="6"/>
  <c r="N1585" i="6"/>
  <c r="L1561" i="6"/>
  <c r="N1561" i="6"/>
  <c r="M1561" i="6"/>
  <c r="K1561" i="6"/>
  <c r="L1529" i="6"/>
  <c r="N1529" i="6"/>
  <c r="M1529" i="6"/>
  <c r="K1529" i="6"/>
  <c r="L1497" i="6"/>
  <c r="N1497" i="6"/>
  <c r="M1497" i="6"/>
  <c r="K1497" i="6"/>
  <c r="L1465" i="6"/>
  <c r="N1465" i="6"/>
  <c r="M1465" i="6"/>
  <c r="K1465" i="6"/>
  <c r="N1409" i="6"/>
  <c r="K1409" i="6"/>
  <c r="M1409" i="6"/>
  <c r="L1409" i="6"/>
  <c r="N1377" i="6"/>
  <c r="K1377" i="6"/>
  <c r="M1377" i="6"/>
  <c r="L1377" i="6"/>
  <c r="N1345" i="6"/>
  <c r="K1345" i="6"/>
  <c r="M1345" i="6"/>
  <c r="L1345" i="6"/>
  <c r="N1337" i="6"/>
  <c r="M1337" i="6"/>
  <c r="L1337" i="6"/>
  <c r="K1337" i="6"/>
  <c r="N1305" i="6"/>
  <c r="M1305" i="6"/>
  <c r="L1305" i="6"/>
  <c r="K1305" i="6"/>
  <c r="N1273" i="6"/>
  <c r="M1273" i="6"/>
  <c r="L1273" i="6"/>
  <c r="K1273" i="6"/>
  <c r="K1017" i="6"/>
  <c r="N1017" i="6"/>
  <c r="M1017" i="6"/>
  <c r="L1017" i="6"/>
  <c r="K985" i="6"/>
  <c r="N985" i="6"/>
  <c r="M985" i="6"/>
  <c r="L985" i="6"/>
  <c r="L969" i="6"/>
  <c r="K969" i="6"/>
  <c r="N969" i="6"/>
  <c r="M969" i="6"/>
  <c r="L937" i="6"/>
  <c r="K937" i="6"/>
  <c r="N937" i="6"/>
  <c r="M937" i="6"/>
  <c r="L905" i="6"/>
  <c r="K905" i="6"/>
  <c r="N905" i="6"/>
  <c r="M905" i="6"/>
  <c r="L873" i="6"/>
  <c r="K873" i="6"/>
  <c r="N873" i="6"/>
  <c r="M873" i="6"/>
  <c r="L841" i="6"/>
  <c r="K841" i="6"/>
  <c r="N841" i="6"/>
  <c r="M841" i="6"/>
  <c r="L809" i="6"/>
  <c r="K809" i="6"/>
  <c r="N809" i="6"/>
  <c r="M809" i="6"/>
  <c r="L1838" i="6"/>
  <c r="N1838" i="6"/>
  <c r="K1838" i="6"/>
  <c r="M1838" i="6"/>
  <c r="L1830" i="6"/>
  <c r="M1830" i="6"/>
  <c r="K1830" i="6"/>
  <c r="N1830" i="6"/>
  <c r="L1806" i="6"/>
  <c r="N1806" i="6"/>
  <c r="K1806" i="6"/>
  <c r="M1806" i="6"/>
  <c r="L1774" i="6"/>
  <c r="N1774" i="6"/>
  <c r="K1774" i="6"/>
  <c r="M1774" i="6"/>
  <c r="L1766" i="6"/>
  <c r="M1766" i="6"/>
  <c r="K1766" i="6"/>
  <c r="N1766" i="6"/>
  <c r="L1742" i="6"/>
  <c r="N1742" i="6"/>
  <c r="K1742" i="6"/>
  <c r="M1742" i="6"/>
  <c r="N1710" i="6"/>
  <c r="L1710" i="6"/>
  <c r="K1710" i="6"/>
  <c r="M1710" i="6"/>
  <c r="N1678" i="6"/>
  <c r="L1678" i="6"/>
  <c r="K1678" i="6"/>
  <c r="M1678" i="6"/>
  <c r="N1542" i="6"/>
  <c r="L1542" i="6"/>
  <c r="M1542" i="6"/>
  <c r="K1542" i="6"/>
  <c r="N1510" i="6"/>
  <c r="L1510" i="6"/>
  <c r="M1510" i="6"/>
  <c r="K1510" i="6"/>
  <c r="N1478" i="6"/>
  <c r="L1478" i="6"/>
  <c r="M1478" i="6"/>
  <c r="K1478" i="6"/>
  <c r="N1446" i="6"/>
  <c r="L1446" i="6"/>
  <c r="M1446" i="6"/>
  <c r="K1446" i="6"/>
  <c r="M1406" i="6"/>
  <c r="N1406" i="6"/>
  <c r="L1406" i="6"/>
  <c r="K1406" i="6"/>
  <c r="M1374" i="6"/>
  <c r="N1374" i="6"/>
  <c r="K1374" i="6"/>
  <c r="L1374" i="6"/>
  <c r="M1342" i="6"/>
  <c r="N1342" i="6"/>
  <c r="L1342" i="6"/>
  <c r="K1342" i="6"/>
  <c r="K1310" i="6"/>
  <c r="N1310" i="6"/>
  <c r="M1310" i="6"/>
  <c r="L1310" i="6"/>
  <c r="K1278" i="6"/>
  <c r="N1278" i="6"/>
  <c r="M1278" i="6"/>
  <c r="L1278" i="6"/>
  <c r="N1238" i="6"/>
  <c r="M1238" i="6"/>
  <c r="L1238" i="6"/>
  <c r="K1238" i="6"/>
  <c r="N1206" i="6"/>
  <c r="M1206" i="6"/>
  <c r="L1206" i="6"/>
  <c r="K1206" i="6"/>
  <c r="N1174" i="6"/>
  <c r="M1174" i="6"/>
  <c r="L1174" i="6"/>
  <c r="K1174" i="6"/>
  <c r="N1142" i="6"/>
  <c r="M1142" i="6"/>
  <c r="L1142" i="6"/>
  <c r="K1142" i="6"/>
  <c r="N1110" i="6"/>
  <c r="M1110" i="6"/>
  <c r="L1110" i="6"/>
  <c r="K1110" i="6"/>
  <c r="M1006" i="6"/>
  <c r="L1006" i="6"/>
  <c r="N1006" i="6"/>
  <c r="K1006" i="6"/>
  <c r="M974" i="6"/>
  <c r="L974" i="6"/>
  <c r="N974" i="6"/>
  <c r="K974" i="6"/>
  <c r="N966" i="6"/>
  <c r="M966" i="6"/>
  <c r="L966" i="6"/>
  <c r="K966" i="6"/>
  <c r="N934" i="6"/>
  <c r="M934" i="6"/>
  <c r="L934" i="6"/>
  <c r="K934" i="6"/>
  <c r="N902" i="6"/>
  <c r="M902" i="6"/>
  <c r="L902" i="6"/>
  <c r="K902" i="6"/>
  <c r="N870" i="6"/>
  <c r="M870" i="6"/>
  <c r="L870" i="6"/>
  <c r="K870" i="6"/>
  <c r="N838" i="6"/>
  <c r="M838" i="6"/>
  <c r="L838" i="6"/>
  <c r="K838" i="6"/>
  <c r="N806" i="6"/>
  <c r="M806" i="6"/>
  <c r="L806" i="6"/>
  <c r="K806" i="6"/>
  <c r="N382" i="6"/>
  <c r="M382" i="6"/>
  <c r="L382" i="6"/>
  <c r="K382" i="6"/>
  <c r="N350" i="6"/>
  <c r="M350" i="6"/>
  <c r="L350" i="6"/>
  <c r="K350" i="6"/>
  <c r="N318" i="6"/>
  <c r="M318" i="6"/>
  <c r="L318" i="6"/>
  <c r="K318" i="6"/>
  <c r="N286" i="6"/>
  <c r="M286" i="6"/>
  <c r="L286" i="6"/>
  <c r="K286" i="6"/>
  <c r="N254" i="6"/>
  <c r="M254" i="6"/>
  <c r="L254" i="6"/>
  <c r="K254" i="6"/>
  <c r="N222" i="6"/>
  <c r="M222" i="6"/>
  <c r="L222" i="6"/>
  <c r="K222" i="6"/>
  <c r="N190" i="6"/>
  <c r="M190" i="6"/>
  <c r="L190" i="6"/>
  <c r="K190" i="6"/>
  <c r="N158" i="6"/>
  <c r="M158" i="6"/>
  <c r="L158" i="6"/>
  <c r="K158" i="6"/>
  <c r="N126" i="6"/>
  <c r="M126" i="6"/>
  <c r="L126" i="6"/>
  <c r="K126" i="6"/>
  <c r="N94" i="6"/>
  <c r="M94" i="6"/>
  <c r="L94" i="6"/>
  <c r="K94" i="6"/>
  <c r="N62" i="6"/>
  <c r="M62" i="6"/>
  <c r="L62" i="6"/>
  <c r="K62" i="6"/>
  <c r="N30" i="6"/>
  <c r="M30" i="6"/>
  <c r="L30" i="6"/>
  <c r="K30" i="6"/>
  <c r="M1867" i="6"/>
  <c r="K1867" i="6"/>
  <c r="N1867" i="6"/>
  <c r="L1867" i="6"/>
  <c r="N1555" i="6"/>
  <c r="L1555" i="6"/>
  <c r="K1555" i="6"/>
  <c r="M1555" i="6"/>
  <c r="N1523" i="6"/>
  <c r="L1523" i="6"/>
  <c r="K1523" i="6"/>
  <c r="M1523" i="6"/>
  <c r="N1491" i="6"/>
  <c r="L1491" i="6"/>
  <c r="K1491" i="6"/>
  <c r="M1491" i="6"/>
  <c r="N1459" i="6"/>
  <c r="L1459" i="6"/>
  <c r="K1459" i="6"/>
  <c r="M1459" i="6"/>
  <c r="M1307" i="6"/>
  <c r="N1307" i="6"/>
  <c r="L1307" i="6"/>
  <c r="K1307" i="6"/>
  <c r="M1275" i="6"/>
  <c r="N1275" i="6"/>
  <c r="L1275" i="6"/>
  <c r="K1275" i="6"/>
  <c r="N1099" i="6"/>
  <c r="M1099" i="6"/>
  <c r="L1099" i="6"/>
  <c r="K1099" i="6"/>
  <c r="N1067" i="6"/>
  <c r="M1067" i="6"/>
  <c r="L1067" i="6"/>
  <c r="K1067" i="6"/>
  <c r="N1035" i="6"/>
  <c r="M1035" i="6"/>
  <c r="L1035" i="6"/>
  <c r="K1035" i="6"/>
  <c r="N779" i="6"/>
  <c r="M779" i="6"/>
  <c r="L779" i="6"/>
  <c r="K779" i="6"/>
  <c r="N747" i="6"/>
  <c r="M747" i="6"/>
  <c r="L747" i="6"/>
  <c r="K747" i="6"/>
  <c r="N715" i="6"/>
  <c r="M715" i="6"/>
  <c r="L715" i="6"/>
  <c r="K715" i="6"/>
  <c r="N683" i="6"/>
  <c r="M683" i="6"/>
  <c r="L683" i="6"/>
  <c r="K683" i="6"/>
  <c r="N651" i="6"/>
  <c r="M651" i="6"/>
  <c r="L651" i="6"/>
  <c r="K651" i="6"/>
  <c r="N619" i="6"/>
  <c r="M619" i="6"/>
  <c r="L619" i="6"/>
  <c r="K619" i="6"/>
  <c r="N587" i="6"/>
  <c r="M587" i="6"/>
  <c r="L587" i="6"/>
  <c r="K587" i="6"/>
  <c r="N555" i="6"/>
  <c r="M555" i="6"/>
  <c r="L555" i="6"/>
  <c r="K555" i="6"/>
  <c r="N523" i="6"/>
  <c r="M523" i="6"/>
  <c r="L523" i="6"/>
  <c r="K523" i="6"/>
  <c r="N491" i="6"/>
  <c r="M491" i="6"/>
  <c r="L491" i="6"/>
  <c r="K491" i="6"/>
  <c r="N459" i="6"/>
  <c r="M459" i="6"/>
  <c r="L459" i="6"/>
  <c r="K459" i="6"/>
  <c r="N427" i="6"/>
  <c r="M427" i="6"/>
  <c r="L427" i="6"/>
  <c r="K427" i="6"/>
  <c r="N403" i="6"/>
  <c r="M403" i="6"/>
  <c r="K403" i="6"/>
  <c r="L403" i="6"/>
  <c r="K395" i="6"/>
  <c r="N395" i="6"/>
  <c r="M395" i="6"/>
  <c r="L395" i="6"/>
  <c r="K379" i="6"/>
  <c r="N379" i="6"/>
  <c r="M379" i="6"/>
  <c r="L379" i="6"/>
  <c r="K347" i="6"/>
  <c r="N347" i="6"/>
  <c r="M347" i="6"/>
  <c r="L347" i="6"/>
  <c r="K315" i="6"/>
  <c r="N315" i="6"/>
  <c r="M315" i="6"/>
  <c r="L315" i="6"/>
  <c r="K283" i="6"/>
  <c r="N283" i="6"/>
  <c r="M283" i="6"/>
  <c r="L283" i="6"/>
  <c r="K251" i="6"/>
  <c r="N251" i="6"/>
  <c r="M251" i="6"/>
  <c r="L251" i="6"/>
  <c r="K219" i="6"/>
  <c r="N219" i="6"/>
  <c r="M219" i="6"/>
  <c r="L219" i="6"/>
  <c r="K187" i="6"/>
  <c r="N187" i="6"/>
  <c r="M187" i="6"/>
  <c r="L187" i="6"/>
  <c r="K155" i="6"/>
  <c r="N155" i="6"/>
  <c r="M155" i="6"/>
  <c r="L155" i="6"/>
  <c r="K123" i="6"/>
  <c r="N123" i="6"/>
  <c r="M123" i="6"/>
  <c r="L123" i="6"/>
  <c r="K91" i="6"/>
  <c r="N91" i="6"/>
  <c r="M91" i="6"/>
  <c r="L91" i="6"/>
  <c r="K59" i="6"/>
  <c r="N59" i="6"/>
  <c r="M59" i="6"/>
  <c r="L59" i="6"/>
  <c r="K27" i="6"/>
  <c r="N27" i="6"/>
  <c r="M27" i="6"/>
  <c r="L27" i="6"/>
  <c r="M1976" i="6"/>
  <c r="K1976" i="6"/>
  <c r="L1976" i="6"/>
  <c r="N1976" i="6"/>
  <c r="M1944" i="6"/>
  <c r="N1944" i="6"/>
  <c r="K1944" i="6"/>
  <c r="L1944" i="6"/>
  <c r="M1896" i="6"/>
  <c r="K1896" i="6"/>
  <c r="N1896" i="6"/>
  <c r="L1896" i="6"/>
  <c r="K1720" i="6"/>
  <c r="N1720" i="6"/>
  <c r="M1720" i="6"/>
  <c r="L1720" i="6"/>
  <c r="K1688" i="6"/>
  <c r="N1688" i="6"/>
  <c r="M1688" i="6"/>
  <c r="L1688" i="6"/>
  <c r="N1536" i="6"/>
  <c r="L1536" i="6"/>
  <c r="M1536" i="6"/>
  <c r="K1536" i="6"/>
  <c r="N1504" i="6"/>
  <c r="L1504" i="6"/>
  <c r="M1504" i="6"/>
  <c r="K1504" i="6"/>
  <c r="N1472" i="6"/>
  <c r="L1472" i="6"/>
  <c r="M1472" i="6"/>
  <c r="K1472" i="6"/>
  <c r="N1440" i="6"/>
  <c r="L1440" i="6"/>
  <c r="M1440" i="6"/>
  <c r="K1440" i="6"/>
  <c r="L1312" i="6"/>
  <c r="K1312" i="6"/>
  <c r="M1312" i="6"/>
  <c r="N1312" i="6"/>
  <c r="L1280" i="6"/>
  <c r="K1280" i="6"/>
  <c r="M1280" i="6"/>
  <c r="N1280" i="6"/>
  <c r="N1248" i="6"/>
  <c r="M1248" i="6"/>
  <c r="K1248" i="6"/>
  <c r="L1248" i="6"/>
  <c r="N1216" i="6"/>
  <c r="M1216" i="6"/>
  <c r="K1216" i="6"/>
  <c r="L1216" i="6"/>
  <c r="N1184" i="6"/>
  <c r="M1184" i="6"/>
  <c r="K1184" i="6"/>
  <c r="L1184" i="6"/>
  <c r="N1152" i="6"/>
  <c r="M1152" i="6"/>
  <c r="K1152" i="6"/>
  <c r="L1152" i="6"/>
  <c r="N1120" i="6"/>
  <c r="M1120" i="6"/>
  <c r="K1120" i="6"/>
  <c r="L1120" i="6"/>
  <c r="M384" i="6"/>
  <c r="L384" i="6"/>
  <c r="K384" i="6"/>
  <c r="N384" i="6"/>
  <c r="M352" i="6"/>
  <c r="L352" i="6"/>
  <c r="K352" i="6"/>
  <c r="N352" i="6"/>
  <c r="M320" i="6"/>
  <c r="L320" i="6"/>
  <c r="K320" i="6"/>
  <c r="N320" i="6"/>
  <c r="M288" i="6"/>
  <c r="L288" i="6"/>
  <c r="K288" i="6"/>
  <c r="N288" i="6"/>
  <c r="M256" i="6"/>
  <c r="L256" i="6"/>
  <c r="K256" i="6"/>
  <c r="N256" i="6"/>
  <c r="M224" i="6"/>
  <c r="L224" i="6"/>
  <c r="K224" i="6"/>
  <c r="N224" i="6"/>
  <c r="M192" i="6"/>
  <c r="L192" i="6"/>
  <c r="K192" i="6"/>
  <c r="N192" i="6"/>
  <c r="M160" i="6"/>
  <c r="L160" i="6"/>
  <c r="K160" i="6"/>
  <c r="N160" i="6"/>
  <c r="M128" i="6"/>
  <c r="L128" i="6"/>
  <c r="K128" i="6"/>
  <c r="N128" i="6"/>
  <c r="M96" i="6"/>
  <c r="L96" i="6"/>
  <c r="K96" i="6"/>
  <c r="N96" i="6"/>
  <c r="M64" i="6"/>
  <c r="L64" i="6"/>
  <c r="K64" i="6"/>
  <c r="N64" i="6"/>
  <c r="M32" i="6"/>
  <c r="L32" i="6"/>
  <c r="K32" i="6"/>
  <c r="N32" i="6"/>
  <c r="N1997" i="6"/>
  <c r="L1997" i="6"/>
  <c r="K1997" i="6"/>
  <c r="M1997" i="6"/>
  <c r="N1901" i="6"/>
  <c r="L1901" i="6"/>
  <c r="M1901" i="6"/>
  <c r="K1901" i="6"/>
  <c r="N1853" i="6"/>
  <c r="K1853" i="6"/>
  <c r="M1853" i="6"/>
  <c r="L1853" i="6"/>
  <c r="N1789" i="6"/>
  <c r="K1789" i="6"/>
  <c r="M1789" i="6"/>
  <c r="L1789" i="6"/>
  <c r="L1437" i="6"/>
  <c r="N1437" i="6"/>
  <c r="M1437" i="6"/>
  <c r="K1437" i="6"/>
  <c r="M1245" i="6"/>
  <c r="L1245" i="6"/>
  <c r="K1245" i="6"/>
  <c r="N1245" i="6"/>
  <c r="M1213" i="6"/>
  <c r="L1213" i="6"/>
  <c r="K1213" i="6"/>
  <c r="N1213" i="6"/>
  <c r="M1181" i="6"/>
  <c r="L1181" i="6"/>
  <c r="K1181" i="6"/>
  <c r="N1181" i="6"/>
  <c r="M1149" i="6"/>
  <c r="L1149" i="6"/>
  <c r="K1149" i="6"/>
  <c r="N1149" i="6"/>
  <c r="M1117" i="6"/>
  <c r="L1117" i="6"/>
  <c r="K1117" i="6"/>
  <c r="N1117" i="6"/>
  <c r="K1101" i="6"/>
  <c r="N1101" i="6"/>
  <c r="M1101" i="6"/>
  <c r="L1101" i="6"/>
  <c r="K1069" i="6"/>
  <c r="N1069" i="6"/>
  <c r="M1069" i="6"/>
  <c r="L1069" i="6"/>
  <c r="K1037" i="6"/>
  <c r="N1037" i="6"/>
  <c r="M1037" i="6"/>
  <c r="L1037" i="6"/>
  <c r="K781" i="6"/>
  <c r="N781" i="6"/>
  <c r="M781" i="6"/>
  <c r="L781" i="6"/>
  <c r="K749" i="6"/>
  <c r="N749" i="6"/>
  <c r="M749" i="6"/>
  <c r="L749" i="6"/>
  <c r="K717" i="6"/>
  <c r="N717" i="6"/>
  <c r="M717" i="6"/>
  <c r="L717" i="6"/>
  <c r="K685" i="6"/>
  <c r="N685" i="6"/>
  <c r="M685" i="6"/>
  <c r="L685" i="6"/>
  <c r="K653" i="6"/>
  <c r="N653" i="6"/>
  <c r="M653" i="6"/>
  <c r="L653" i="6"/>
  <c r="K621" i="6"/>
  <c r="N621" i="6"/>
  <c r="M621" i="6"/>
  <c r="L621" i="6"/>
  <c r="K589" i="6"/>
  <c r="N589" i="6"/>
  <c r="M589" i="6"/>
  <c r="L589" i="6"/>
  <c r="K557" i="6"/>
  <c r="N557" i="6"/>
  <c r="M557" i="6"/>
  <c r="L557" i="6"/>
  <c r="K525" i="6"/>
  <c r="N525" i="6"/>
  <c r="M525" i="6"/>
  <c r="L525" i="6"/>
  <c r="K493" i="6"/>
  <c r="N493" i="6"/>
  <c r="M493" i="6"/>
  <c r="L493" i="6"/>
  <c r="K461" i="6"/>
  <c r="N461" i="6"/>
  <c r="M461" i="6"/>
  <c r="L461" i="6"/>
  <c r="K429" i="6"/>
  <c r="N429" i="6"/>
  <c r="M429" i="6"/>
  <c r="L429" i="6"/>
  <c r="N381" i="6"/>
  <c r="M381" i="6"/>
  <c r="L381" i="6"/>
  <c r="K381" i="6"/>
  <c r="N349" i="6"/>
  <c r="M349" i="6"/>
  <c r="L349" i="6"/>
  <c r="K349" i="6"/>
  <c r="N317" i="6"/>
  <c r="M317" i="6"/>
  <c r="L317" i="6"/>
  <c r="K317" i="6"/>
  <c r="N285" i="6"/>
  <c r="M285" i="6"/>
  <c r="L285" i="6"/>
  <c r="K285" i="6"/>
  <c r="N253" i="6"/>
  <c r="M253" i="6"/>
  <c r="L253" i="6"/>
  <c r="K253" i="6"/>
  <c r="N221" i="6"/>
  <c r="M221" i="6"/>
  <c r="L221" i="6"/>
  <c r="K221" i="6"/>
  <c r="N189" i="6"/>
  <c r="M189" i="6"/>
  <c r="L189" i="6"/>
  <c r="K189" i="6"/>
  <c r="N157" i="6"/>
  <c r="M157" i="6"/>
  <c r="L157" i="6"/>
  <c r="K157" i="6"/>
  <c r="N125" i="6"/>
  <c r="M125" i="6"/>
  <c r="L125" i="6"/>
  <c r="K125" i="6"/>
  <c r="N93" i="6"/>
  <c r="M93" i="6"/>
  <c r="L93" i="6"/>
  <c r="K93" i="6"/>
  <c r="N61" i="6"/>
  <c r="M61" i="6"/>
  <c r="L61" i="6"/>
  <c r="K61" i="6"/>
  <c r="N29" i="6"/>
  <c r="M29" i="6"/>
  <c r="L29" i="6"/>
  <c r="K29" i="6"/>
  <c r="K1962" i="6"/>
  <c r="M1962" i="6"/>
  <c r="N1962" i="6"/>
  <c r="L1962" i="6"/>
  <c r="K1930" i="6"/>
  <c r="M1930" i="6"/>
  <c r="L1930" i="6"/>
  <c r="N1930" i="6"/>
  <c r="K1898" i="6"/>
  <c r="N1898" i="6"/>
  <c r="L1898" i="6"/>
  <c r="M1898" i="6"/>
  <c r="K1866" i="6"/>
  <c r="N1866" i="6"/>
  <c r="L1866" i="6"/>
  <c r="M1866" i="6"/>
  <c r="L1842" i="6"/>
  <c r="K1842" i="6"/>
  <c r="N1842" i="6"/>
  <c r="M1842" i="6"/>
  <c r="L1778" i="6"/>
  <c r="K1778" i="6"/>
  <c r="N1778" i="6"/>
  <c r="M1778" i="6"/>
  <c r="N1714" i="6"/>
  <c r="L1714" i="6"/>
  <c r="K1714" i="6"/>
  <c r="M1714" i="6"/>
  <c r="N1682" i="6"/>
  <c r="L1682" i="6"/>
  <c r="K1682" i="6"/>
  <c r="M1682" i="6"/>
  <c r="N1658" i="6"/>
  <c r="M1658" i="6"/>
  <c r="K1658" i="6"/>
  <c r="L1658" i="6"/>
  <c r="N1626" i="6"/>
  <c r="M1626" i="6"/>
  <c r="K1626" i="6"/>
  <c r="L1626" i="6"/>
  <c r="N1594" i="6"/>
  <c r="M1594" i="6"/>
  <c r="K1594" i="6"/>
  <c r="L1594" i="6"/>
  <c r="K1330" i="6"/>
  <c r="N1330" i="6"/>
  <c r="M1330" i="6"/>
  <c r="L1330" i="6"/>
  <c r="K1306" i="6"/>
  <c r="N1306" i="6"/>
  <c r="M1306" i="6"/>
  <c r="L1306" i="6"/>
  <c r="K1298" i="6"/>
  <c r="N1298" i="6"/>
  <c r="M1298" i="6"/>
  <c r="L1298" i="6"/>
  <c r="K1274" i="6"/>
  <c r="N1274" i="6"/>
  <c r="M1274" i="6"/>
  <c r="L1274" i="6"/>
  <c r="K1266" i="6"/>
  <c r="N1266" i="6"/>
  <c r="M1266" i="6"/>
  <c r="L1266" i="6"/>
  <c r="M1082" i="6"/>
  <c r="L1082" i="6"/>
  <c r="K1082" i="6"/>
  <c r="N1082" i="6"/>
  <c r="M1050" i="6"/>
  <c r="L1050" i="6"/>
  <c r="K1050" i="6"/>
  <c r="N1050" i="6"/>
  <c r="M762" i="6"/>
  <c r="L762" i="6"/>
  <c r="K762" i="6"/>
  <c r="N762" i="6"/>
  <c r="M730" i="6"/>
  <c r="L730" i="6"/>
  <c r="K730" i="6"/>
  <c r="N730" i="6"/>
  <c r="M698" i="6"/>
  <c r="L698" i="6"/>
  <c r="K698" i="6"/>
  <c r="N698" i="6"/>
  <c r="M666" i="6"/>
  <c r="L666" i="6"/>
  <c r="K666" i="6"/>
  <c r="N666" i="6"/>
  <c r="M634" i="6"/>
  <c r="L634" i="6"/>
  <c r="K634" i="6"/>
  <c r="N634" i="6"/>
  <c r="M602" i="6"/>
  <c r="L602" i="6"/>
  <c r="K602" i="6"/>
  <c r="N602" i="6"/>
  <c r="M570" i="6"/>
  <c r="L570" i="6"/>
  <c r="K570" i="6"/>
  <c r="N570" i="6"/>
  <c r="M538" i="6"/>
  <c r="L538" i="6"/>
  <c r="K538" i="6"/>
  <c r="N538" i="6"/>
  <c r="M506" i="6"/>
  <c r="L506" i="6"/>
  <c r="K506" i="6"/>
  <c r="N506" i="6"/>
  <c r="M474" i="6"/>
  <c r="L474" i="6"/>
  <c r="K474" i="6"/>
  <c r="N474" i="6"/>
  <c r="M442" i="6"/>
  <c r="L442" i="6"/>
  <c r="K442" i="6"/>
  <c r="N442" i="6"/>
  <c r="M410" i="6"/>
  <c r="L410" i="6"/>
  <c r="K410" i="6"/>
  <c r="N410" i="6"/>
  <c r="M394" i="6"/>
  <c r="L394" i="6"/>
  <c r="K394" i="6"/>
  <c r="N394" i="6"/>
  <c r="N1735" i="6"/>
  <c r="L1735" i="6"/>
  <c r="K1735" i="6"/>
  <c r="M1735" i="6"/>
  <c r="M1319" i="6"/>
  <c r="N1319" i="6"/>
  <c r="K1319" i="6"/>
  <c r="L1319" i="6"/>
  <c r="M1287" i="6"/>
  <c r="N1287" i="6"/>
  <c r="K1287" i="6"/>
  <c r="L1287" i="6"/>
  <c r="M1255" i="6"/>
  <c r="N1255" i="6"/>
  <c r="K1255" i="6"/>
  <c r="L1255" i="6"/>
  <c r="N1079" i="6"/>
  <c r="M1079" i="6"/>
  <c r="L1079" i="6"/>
  <c r="K1079" i="6"/>
  <c r="N1047" i="6"/>
  <c r="M1047" i="6"/>
  <c r="L1047" i="6"/>
  <c r="K1047" i="6"/>
  <c r="N759" i="6"/>
  <c r="M759" i="6"/>
  <c r="L759" i="6"/>
  <c r="K759" i="6"/>
  <c r="N727" i="6"/>
  <c r="M727" i="6"/>
  <c r="L727" i="6"/>
  <c r="K727" i="6"/>
  <c r="N695" i="6"/>
  <c r="M695" i="6"/>
  <c r="L695" i="6"/>
  <c r="K695" i="6"/>
  <c r="N663" i="6"/>
  <c r="M663" i="6"/>
  <c r="L663" i="6"/>
  <c r="K663" i="6"/>
  <c r="N631" i="6"/>
  <c r="M631" i="6"/>
  <c r="L631" i="6"/>
  <c r="K631" i="6"/>
  <c r="N599" i="6"/>
  <c r="M599" i="6"/>
  <c r="L599" i="6"/>
  <c r="K599" i="6"/>
  <c r="N567" i="6"/>
  <c r="M567" i="6"/>
  <c r="L567" i="6"/>
  <c r="K567" i="6"/>
  <c r="N535" i="6"/>
  <c r="M535" i="6"/>
  <c r="L535" i="6"/>
  <c r="K535" i="6"/>
  <c r="N503" i="6"/>
  <c r="M503" i="6"/>
  <c r="L503" i="6"/>
  <c r="K503" i="6"/>
  <c r="N471" i="6"/>
  <c r="M471" i="6"/>
  <c r="L471" i="6"/>
  <c r="K471" i="6"/>
  <c r="N439" i="6"/>
  <c r="M439" i="6"/>
  <c r="L439" i="6"/>
  <c r="K439" i="6"/>
  <c r="N407" i="6"/>
  <c r="M407" i="6"/>
  <c r="L407" i="6"/>
  <c r="K407" i="6"/>
  <c r="K391" i="6"/>
  <c r="N391" i="6"/>
  <c r="M391" i="6"/>
  <c r="L391" i="6"/>
  <c r="K359" i="6"/>
  <c r="N359" i="6"/>
  <c r="M359" i="6"/>
  <c r="L359" i="6"/>
  <c r="K327" i="6"/>
  <c r="N327" i="6"/>
  <c r="M327" i="6"/>
  <c r="L327" i="6"/>
  <c r="K295" i="6"/>
  <c r="N295" i="6"/>
  <c r="M295" i="6"/>
  <c r="L295" i="6"/>
  <c r="K263" i="6"/>
  <c r="N263" i="6"/>
  <c r="M263" i="6"/>
  <c r="L263" i="6"/>
  <c r="K231" i="6"/>
  <c r="N231" i="6"/>
  <c r="M231" i="6"/>
  <c r="L231" i="6"/>
  <c r="K199" i="6"/>
  <c r="N199" i="6"/>
  <c r="M199" i="6"/>
  <c r="L199" i="6"/>
  <c r="K167" i="6"/>
  <c r="N167" i="6"/>
  <c r="M167" i="6"/>
  <c r="L167" i="6"/>
  <c r="K135" i="6"/>
  <c r="N135" i="6"/>
  <c r="M135" i="6"/>
  <c r="L135" i="6"/>
  <c r="K103" i="6"/>
  <c r="N103" i="6"/>
  <c r="M103" i="6"/>
  <c r="L103" i="6"/>
  <c r="K71" i="6"/>
  <c r="N71" i="6"/>
  <c r="M71" i="6"/>
  <c r="L71" i="6"/>
  <c r="K39" i="6"/>
  <c r="N39" i="6"/>
  <c r="M39" i="6"/>
  <c r="L39" i="6"/>
  <c r="M1884" i="6"/>
  <c r="K1884" i="6"/>
  <c r="L1884" i="6"/>
  <c r="N1884" i="6"/>
  <c r="N1836" i="6"/>
  <c r="L1836" i="6"/>
  <c r="M1836" i="6"/>
  <c r="K1836" i="6"/>
  <c r="N1804" i="6"/>
  <c r="L1804" i="6"/>
  <c r="M1804" i="6"/>
  <c r="K1804" i="6"/>
  <c r="N1772" i="6"/>
  <c r="L1772" i="6"/>
  <c r="M1772" i="6"/>
  <c r="K1772" i="6"/>
  <c r="N1740" i="6"/>
  <c r="L1740" i="6"/>
  <c r="M1740" i="6"/>
  <c r="K1740" i="6"/>
  <c r="K1724" i="6"/>
  <c r="N1724" i="6"/>
  <c r="M1724" i="6"/>
  <c r="L1724" i="6"/>
  <c r="K1692" i="6"/>
  <c r="N1692" i="6"/>
  <c r="M1692" i="6"/>
  <c r="L1692" i="6"/>
  <c r="N1652" i="6"/>
  <c r="M1652" i="6"/>
  <c r="L1652" i="6"/>
  <c r="K1652" i="6"/>
  <c r="N1620" i="6"/>
  <c r="M1620" i="6"/>
  <c r="L1620" i="6"/>
  <c r="K1620" i="6"/>
  <c r="N1588" i="6"/>
  <c r="M1588" i="6"/>
  <c r="L1588" i="6"/>
  <c r="K1588" i="6"/>
  <c r="N1532" i="6"/>
  <c r="L1532" i="6"/>
  <c r="M1532" i="6"/>
  <c r="K1532" i="6"/>
  <c r="N1500" i="6"/>
  <c r="L1500" i="6"/>
  <c r="M1500" i="6"/>
  <c r="K1500" i="6"/>
  <c r="N1468" i="6"/>
  <c r="L1468" i="6"/>
  <c r="M1468" i="6"/>
  <c r="K1468" i="6"/>
  <c r="M1428" i="6"/>
  <c r="L1428" i="6"/>
  <c r="N1428" i="6"/>
  <c r="K1428" i="6"/>
  <c r="M1396" i="6"/>
  <c r="L1396" i="6"/>
  <c r="N1396" i="6"/>
  <c r="K1396" i="6"/>
  <c r="M1364" i="6"/>
  <c r="L1364" i="6"/>
  <c r="N1364" i="6"/>
  <c r="K1364" i="6"/>
  <c r="N1084" i="6"/>
  <c r="M1084" i="6"/>
  <c r="L1084" i="6"/>
  <c r="K1084" i="6"/>
  <c r="N1052" i="6"/>
  <c r="M1052" i="6"/>
  <c r="L1052" i="6"/>
  <c r="K1052" i="6"/>
  <c r="N1020" i="6"/>
  <c r="M1020" i="6"/>
  <c r="L1020" i="6"/>
  <c r="K1020" i="6"/>
  <c r="N988" i="6"/>
  <c r="M988" i="6"/>
  <c r="L988" i="6"/>
  <c r="K988" i="6"/>
  <c r="N948" i="6"/>
  <c r="M948" i="6"/>
  <c r="L948" i="6"/>
  <c r="K948" i="6"/>
  <c r="N916" i="6"/>
  <c r="M916" i="6"/>
  <c r="L916" i="6"/>
  <c r="K916" i="6"/>
  <c r="N884" i="6"/>
  <c r="M884" i="6"/>
  <c r="L884" i="6"/>
  <c r="K884" i="6"/>
  <c r="N852" i="6"/>
  <c r="M852" i="6"/>
  <c r="L852" i="6"/>
  <c r="K852" i="6"/>
  <c r="N820" i="6"/>
  <c r="M820" i="6"/>
  <c r="L820" i="6"/>
  <c r="K820" i="6"/>
  <c r="N788" i="6"/>
  <c r="M788" i="6"/>
  <c r="L788" i="6"/>
  <c r="K788" i="6"/>
  <c r="N764" i="6"/>
  <c r="M764" i="6"/>
  <c r="L764" i="6"/>
  <c r="K764" i="6"/>
  <c r="N732" i="6"/>
  <c r="M732" i="6"/>
  <c r="L732" i="6"/>
  <c r="K732" i="6"/>
  <c r="N700" i="6"/>
  <c r="M700" i="6"/>
  <c r="L700" i="6"/>
  <c r="K700" i="6"/>
  <c r="N668" i="6"/>
  <c r="M668" i="6"/>
  <c r="L668" i="6"/>
  <c r="K668" i="6"/>
  <c r="N636" i="6"/>
  <c r="M636" i="6"/>
  <c r="L636" i="6"/>
  <c r="K636" i="6"/>
  <c r="N604" i="6"/>
  <c r="M604" i="6"/>
  <c r="L604" i="6"/>
  <c r="K604" i="6"/>
  <c r="N572" i="6"/>
  <c r="M572" i="6"/>
  <c r="L572" i="6"/>
  <c r="K572" i="6"/>
  <c r="N540" i="6"/>
  <c r="M540" i="6"/>
  <c r="L540" i="6"/>
  <c r="K540" i="6"/>
  <c r="N508" i="6"/>
  <c r="M508" i="6"/>
  <c r="L508" i="6"/>
  <c r="K508" i="6"/>
  <c r="N476" i="6"/>
  <c r="M476" i="6"/>
  <c r="L476" i="6"/>
  <c r="K476" i="6"/>
  <c r="N444" i="6"/>
  <c r="M444" i="6"/>
  <c r="L444" i="6"/>
  <c r="K444" i="6"/>
  <c r="N412" i="6"/>
  <c r="M412" i="6"/>
  <c r="L412" i="6"/>
  <c r="K412" i="6"/>
  <c r="N1857" i="6"/>
  <c r="M1857" i="6"/>
  <c r="K1857" i="6"/>
  <c r="L1857" i="6"/>
  <c r="N1825" i="6"/>
  <c r="M1825" i="6"/>
  <c r="K1825" i="6"/>
  <c r="L1825" i="6"/>
  <c r="N1793" i="6"/>
  <c r="M1793" i="6"/>
  <c r="K1793" i="6"/>
  <c r="L1793" i="6"/>
  <c r="N1761" i="6"/>
  <c r="M1761" i="6"/>
  <c r="K1761" i="6"/>
  <c r="L1761" i="6"/>
  <c r="M1241" i="6"/>
  <c r="L1241" i="6"/>
  <c r="K1241" i="6"/>
  <c r="N1241" i="6"/>
  <c r="M1209" i="6"/>
  <c r="L1209" i="6"/>
  <c r="K1209" i="6"/>
  <c r="N1209" i="6"/>
  <c r="M1177" i="6"/>
  <c r="L1177" i="6"/>
  <c r="K1177" i="6"/>
  <c r="N1177" i="6"/>
  <c r="M1145" i="6"/>
  <c r="L1145" i="6"/>
  <c r="K1145" i="6"/>
  <c r="N1145" i="6"/>
  <c r="M1113" i="6"/>
  <c r="L1113" i="6"/>
  <c r="K1113" i="6"/>
  <c r="N1113" i="6"/>
  <c r="K1097" i="6"/>
  <c r="N1097" i="6"/>
  <c r="M1097" i="6"/>
  <c r="L1097" i="6"/>
  <c r="K1065" i="6"/>
  <c r="N1065" i="6"/>
  <c r="M1065" i="6"/>
  <c r="L1065" i="6"/>
  <c r="K1033" i="6"/>
  <c r="N1033" i="6"/>
  <c r="M1033" i="6"/>
  <c r="L1033" i="6"/>
  <c r="K777" i="6"/>
  <c r="N777" i="6"/>
  <c r="M777" i="6"/>
  <c r="L777" i="6"/>
  <c r="K745" i="6"/>
  <c r="N745" i="6"/>
  <c r="M745" i="6"/>
  <c r="L745" i="6"/>
  <c r="K713" i="6"/>
  <c r="N713" i="6"/>
  <c r="M713" i="6"/>
  <c r="L713" i="6"/>
  <c r="K681" i="6"/>
  <c r="N681" i="6"/>
  <c r="M681" i="6"/>
  <c r="L681" i="6"/>
  <c r="K649" i="6"/>
  <c r="N649" i="6"/>
  <c r="M649" i="6"/>
  <c r="L649" i="6"/>
  <c r="K617" i="6"/>
  <c r="N617" i="6"/>
  <c r="M617" i="6"/>
  <c r="L617" i="6"/>
  <c r="K585" i="6"/>
  <c r="N585" i="6"/>
  <c r="M585" i="6"/>
  <c r="L585" i="6"/>
  <c r="K553" i="6"/>
  <c r="N553" i="6"/>
  <c r="M553" i="6"/>
  <c r="L553" i="6"/>
  <c r="K521" i="6"/>
  <c r="N521" i="6"/>
  <c r="M521" i="6"/>
  <c r="L521" i="6"/>
  <c r="K489" i="6"/>
  <c r="N489" i="6"/>
  <c r="M489" i="6"/>
  <c r="L489" i="6"/>
  <c r="K457" i="6"/>
  <c r="N457" i="6"/>
  <c r="M457" i="6"/>
  <c r="L457" i="6"/>
  <c r="K425" i="6"/>
  <c r="N425" i="6"/>
  <c r="M425" i="6"/>
  <c r="L425" i="6"/>
  <c r="N377" i="6"/>
  <c r="M377" i="6"/>
  <c r="L377" i="6"/>
  <c r="K377" i="6"/>
  <c r="N345" i="6"/>
  <c r="M345" i="6"/>
  <c r="L345" i="6"/>
  <c r="K345" i="6"/>
  <c r="N313" i="6"/>
  <c r="M313" i="6"/>
  <c r="L313" i="6"/>
  <c r="K313" i="6"/>
  <c r="N281" i="6"/>
  <c r="M281" i="6"/>
  <c r="L281" i="6"/>
  <c r="K281" i="6"/>
  <c r="N249" i="6"/>
  <c r="M249" i="6"/>
  <c r="L249" i="6"/>
  <c r="K249" i="6"/>
  <c r="N217" i="6"/>
  <c r="M217" i="6"/>
  <c r="L217" i="6"/>
  <c r="K217" i="6"/>
  <c r="N185" i="6"/>
  <c r="M185" i="6"/>
  <c r="L185" i="6"/>
  <c r="K185" i="6"/>
  <c r="N153" i="6"/>
  <c r="M153" i="6"/>
  <c r="L153" i="6"/>
  <c r="K153" i="6"/>
  <c r="N121" i="6"/>
  <c r="M121" i="6"/>
  <c r="L121" i="6"/>
  <c r="K121" i="6"/>
  <c r="N89" i="6"/>
  <c r="M89" i="6"/>
  <c r="L89" i="6"/>
  <c r="K89" i="6"/>
  <c r="N57" i="6"/>
  <c r="M57" i="6"/>
  <c r="L57" i="6"/>
  <c r="K57" i="6"/>
  <c r="N25" i="6"/>
  <c r="M25" i="6"/>
  <c r="L25" i="6"/>
  <c r="K25" i="6"/>
  <c r="K1974" i="6"/>
  <c r="N1974" i="6"/>
  <c r="L1974" i="6"/>
  <c r="M1974" i="6"/>
  <c r="K1942" i="6"/>
  <c r="M1942" i="6"/>
  <c r="N1942" i="6"/>
  <c r="L1942" i="6"/>
  <c r="K1910" i="6"/>
  <c r="M1910" i="6"/>
  <c r="N1910" i="6"/>
  <c r="L1910" i="6"/>
  <c r="K1878" i="6"/>
  <c r="M1878" i="6"/>
  <c r="N1878" i="6"/>
  <c r="L1878" i="6"/>
  <c r="L1734" i="6"/>
  <c r="M1734" i="6"/>
  <c r="N1734" i="6"/>
  <c r="K1734" i="6"/>
  <c r="N1638" i="6"/>
  <c r="M1638" i="6"/>
  <c r="K1638" i="6"/>
  <c r="L1638" i="6"/>
  <c r="N1606" i="6"/>
  <c r="M1606" i="6"/>
  <c r="K1606" i="6"/>
  <c r="L1606" i="6"/>
  <c r="N1574" i="6"/>
  <c r="M1574" i="6"/>
  <c r="K1574" i="6"/>
  <c r="L1574" i="6"/>
  <c r="M1094" i="6"/>
  <c r="L1094" i="6"/>
  <c r="K1094" i="6"/>
  <c r="N1094" i="6"/>
  <c r="M1062" i="6"/>
  <c r="L1062" i="6"/>
  <c r="K1062" i="6"/>
  <c r="N1062" i="6"/>
  <c r="M774" i="6"/>
  <c r="L774" i="6"/>
  <c r="K774" i="6"/>
  <c r="N774" i="6"/>
  <c r="M742" i="6"/>
  <c r="L742" i="6"/>
  <c r="K742" i="6"/>
  <c r="N742" i="6"/>
  <c r="M710" i="6"/>
  <c r="L710" i="6"/>
  <c r="K710" i="6"/>
  <c r="N710" i="6"/>
  <c r="M678" i="6"/>
  <c r="L678" i="6"/>
  <c r="K678" i="6"/>
  <c r="N678" i="6"/>
  <c r="M646" i="6"/>
  <c r="L646" i="6"/>
  <c r="K646" i="6"/>
  <c r="N646" i="6"/>
  <c r="M614" i="6"/>
  <c r="L614" i="6"/>
  <c r="K614" i="6"/>
  <c r="N614" i="6"/>
  <c r="M582" i="6"/>
  <c r="L582" i="6"/>
  <c r="K582" i="6"/>
  <c r="N582" i="6"/>
  <c r="M550" i="6"/>
  <c r="L550" i="6"/>
  <c r="K550" i="6"/>
  <c r="N550" i="6"/>
  <c r="M518" i="6"/>
  <c r="L518" i="6"/>
  <c r="K518" i="6"/>
  <c r="N518" i="6"/>
  <c r="M486" i="6"/>
  <c r="L486" i="6"/>
  <c r="K486" i="6"/>
  <c r="N486" i="6"/>
  <c r="M454" i="6"/>
  <c r="L454" i="6"/>
  <c r="K454" i="6"/>
  <c r="N454" i="6"/>
  <c r="M422" i="6"/>
  <c r="L422" i="6"/>
  <c r="K422" i="6"/>
  <c r="N422" i="6"/>
  <c r="N1995" i="6"/>
  <c r="K1995" i="6"/>
  <c r="M1995" i="6"/>
  <c r="L1995" i="6"/>
  <c r="M1979" i="6"/>
  <c r="K1979" i="6"/>
  <c r="L1979" i="6"/>
  <c r="N1979" i="6"/>
  <c r="M1947" i="6"/>
  <c r="K1947" i="6"/>
  <c r="L1947" i="6"/>
  <c r="N1947" i="6"/>
  <c r="M1883" i="6"/>
  <c r="K1883" i="6"/>
  <c r="N1883" i="6"/>
  <c r="L1883" i="6"/>
  <c r="K1859" i="6"/>
  <c r="M1859" i="6"/>
  <c r="N1859" i="6"/>
  <c r="L1859" i="6"/>
  <c r="N1731" i="6"/>
  <c r="L1731" i="6"/>
  <c r="K1731" i="6"/>
  <c r="M1731" i="6"/>
  <c r="N1699" i="6"/>
  <c r="L1699" i="6"/>
  <c r="K1699" i="6"/>
  <c r="M1699" i="6"/>
  <c r="N1667" i="6"/>
  <c r="L1667" i="6"/>
  <c r="K1667" i="6"/>
  <c r="M1667" i="6"/>
  <c r="M1651" i="6"/>
  <c r="L1651" i="6"/>
  <c r="K1651" i="6"/>
  <c r="N1651" i="6"/>
  <c r="M1619" i="6"/>
  <c r="L1619" i="6"/>
  <c r="K1619" i="6"/>
  <c r="N1619" i="6"/>
  <c r="M1587" i="6"/>
  <c r="L1587" i="6"/>
  <c r="K1587" i="6"/>
  <c r="N1587" i="6"/>
  <c r="M1563" i="6"/>
  <c r="K1563" i="6"/>
  <c r="N1563" i="6"/>
  <c r="L1563" i="6"/>
  <c r="K1419" i="6"/>
  <c r="L1419" i="6"/>
  <c r="N1419" i="6"/>
  <c r="M1419" i="6"/>
  <c r="K1387" i="6"/>
  <c r="L1387" i="6"/>
  <c r="N1387" i="6"/>
  <c r="M1387" i="6"/>
  <c r="K1355" i="6"/>
  <c r="L1355" i="6"/>
  <c r="N1355" i="6"/>
  <c r="M1355" i="6"/>
  <c r="L1243" i="6"/>
  <c r="K1243" i="6"/>
  <c r="N1243" i="6"/>
  <c r="M1243" i="6"/>
  <c r="L1211" i="6"/>
  <c r="K1211" i="6"/>
  <c r="N1211" i="6"/>
  <c r="M1211" i="6"/>
  <c r="L1179" i="6"/>
  <c r="K1179" i="6"/>
  <c r="N1179" i="6"/>
  <c r="M1179" i="6"/>
  <c r="L1147" i="6"/>
  <c r="K1147" i="6"/>
  <c r="N1147" i="6"/>
  <c r="M1147" i="6"/>
  <c r="L1115" i="6"/>
  <c r="K1115" i="6"/>
  <c r="N1115" i="6"/>
  <c r="M1115" i="6"/>
  <c r="N1003" i="6"/>
  <c r="L1003" i="6"/>
  <c r="K1003" i="6"/>
  <c r="M1003" i="6"/>
  <c r="N963" i="6"/>
  <c r="M963" i="6"/>
  <c r="L963" i="6"/>
  <c r="K963" i="6"/>
  <c r="N931" i="6"/>
  <c r="M931" i="6"/>
  <c r="L931" i="6"/>
  <c r="K931" i="6"/>
  <c r="N899" i="6"/>
  <c r="M899" i="6"/>
  <c r="L899" i="6"/>
  <c r="K899" i="6"/>
  <c r="N867" i="6"/>
  <c r="M867" i="6"/>
  <c r="L867" i="6"/>
  <c r="K867" i="6"/>
  <c r="N835" i="6"/>
  <c r="M835" i="6"/>
  <c r="L835" i="6"/>
  <c r="K835" i="6"/>
  <c r="N803" i="6"/>
  <c r="M803" i="6"/>
  <c r="L803" i="6"/>
  <c r="K803" i="6"/>
  <c r="L2000" i="6"/>
  <c r="M2000" i="6"/>
  <c r="N2000" i="6"/>
  <c r="K2000" i="6"/>
  <c r="M1984" i="6"/>
  <c r="K1984" i="6"/>
  <c r="L1984" i="6"/>
  <c r="N1984" i="6"/>
  <c r="M1968" i="6"/>
  <c r="K1968" i="6"/>
  <c r="L1968" i="6"/>
  <c r="N1968" i="6"/>
  <c r="M1912" i="6"/>
  <c r="N1912" i="6"/>
  <c r="K1912" i="6"/>
  <c r="L1912" i="6"/>
  <c r="N1736" i="6"/>
  <c r="L1736" i="6"/>
  <c r="K1736" i="6"/>
  <c r="M1736" i="6"/>
  <c r="K1712" i="6"/>
  <c r="N1712" i="6"/>
  <c r="M1712" i="6"/>
  <c r="L1712" i="6"/>
  <c r="K1680" i="6"/>
  <c r="N1680" i="6"/>
  <c r="M1680" i="6"/>
  <c r="L1680" i="6"/>
  <c r="N1640" i="6"/>
  <c r="M1640" i="6"/>
  <c r="K1640" i="6"/>
  <c r="L1640" i="6"/>
  <c r="N1608" i="6"/>
  <c r="M1608" i="6"/>
  <c r="K1608" i="6"/>
  <c r="L1608" i="6"/>
  <c r="N1576" i="6"/>
  <c r="M1576" i="6"/>
  <c r="K1576" i="6"/>
  <c r="L1576" i="6"/>
  <c r="M1416" i="6"/>
  <c r="L1416" i="6"/>
  <c r="N1416" i="6"/>
  <c r="K1416" i="6"/>
  <c r="M1384" i="6"/>
  <c r="L1384" i="6"/>
  <c r="N1384" i="6"/>
  <c r="K1384" i="6"/>
  <c r="M1352" i="6"/>
  <c r="L1352" i="6"/>
  <c r="K1352" i="6"/>
  <c r="N1352" i="6"/>
  <c r="N1104" i="6"/>
  <c r="M1104" i="6"/>
  <c r="L1104" i="6"/>
  <c r="K1104" i="6"/>
  <c r="N1072" i="6"/>
  <c r="M1072" i="6"/>
  <c r="L1072" i="6"/>
  <c r="K1072" i="6"/>
  <c r="N1040" i="6"/>
  <c r="M1040" i="6"/>
  <c r="L1040" i="6"/>
  <c r="K1040" i="6"/>
  <c r="N1008" i="6"/>
  <c r="M1008" i="6"/>
  <c r="L1008" i="6"/>
  <c r="K1008" i="6"/>
  <c r="N976" i="6"/>
  <c r="M976" i="6"/>
  <c r="L976" i="6"/>
  <c r="K976" i="6"/>
  <c r="N968" i="6"/>
  <c r="M968" i="6"/>
  <c r="L968" i="6"/>
  <c r="K968" i="6"/>
  <c r="N936" i="6"/>
  <c r="M936" i="6"/>
  <c r="L936" i="6"/>
  <c r="K936" i="6"/>
  <c r="N904" i="6"/>
  <c r="M904" i="6"/>
  <c r="L904" i="6"/>
  <c r="K904" i="6"/>
  <c r="N872" i="6"/>
  <c r="M872" i="6"/>
  <c r="L872" i="6"/>
  <c r="K872" i="6"/>
  <c r="N840" i="6"/>
  <c r="M840" i="6"/>
  <c r="L840" i="6"/>
  <c r="K840" i="6"/>
  <c r="N808" i="6"/>
  <c r="M808" i="6"/>
  <c r="L808" i="6"/>
  <c r="K808" i="6"/>
  <c r="N752" i="6"/>
  <c r="M752" i="6"/>
  <c r="L752" i="6"/>
  <c r="K752" i="6"/>
  <c r="N720" i="6"/>
  <c r="M720" i="6"/>
  <c r="L720" i="6"/>
  <c r="K720" i="6"/>
  <c r="N688" i="6"/>
  <c r="M688" i="6"/>
  <c r="L688" i="6"/>
  <c r="K688" i="6"/>
  <c r="N656" i="6"/>
  <c r="M656" i="6"/>
  <c r="L656" i="6"/>
  <c r="K656" i="6"/>
  <c r="N624" i="6"/>
  <c r="M624" i="6"/>
  <c r="L624" i="6"/>
  <c r="K624" i="6"/>
  <c r="N592" i="6"/>
  <c r="M592" i="6"/>
  <c r="L592" i="6"/>
  <c r="K592" i="6"/>
  <c r="N560" i="6"/>
  <c r="M560" i="6"/>
  <c r="L560" i="6"/>
  <c r="K560" i="6"/>
  <c r="N528" i="6"/>
  <c r="M528" i="6"/>
  <c r="L528" i="6"/>
  <c r="K528" i="6"/>
  <c r="N496" i="6"/>
  <c r="M496" i="6"/>
  <c r="L496" i="6"/>
  <c r="K496" i="6"/>
  <c r="N464" i="6"/>
  <c r="M464" i="6"/>
  <c r="L464" i="6"/>
  <c r="K464" i="6"/>
  <c r="N432" i="6"/>
  <c r="M432" i="6"/>
  <c r="L432" i="6"/>
  <c r="K432" i="6"/>
  <c r="M400" i="6"/>
  <c r="K400" i="6"/>
  <c r="N400" i="6"/>
  <c r="L400" i="6"/>
  <c r="M1973" i="6"/>
  <c r="L1973" i="6"/>
  <c r="K1973" i="6"/>
  <c r="N1973" i="6"/>
  <c r="M1941" i="6"/>
  <c r="N1941" i="6"/>
  <c r="K1941" i="6"/>
  <c r="L1941" i="6"/>
  <c r="M1909" i="6"/>
  <c r="N1909" i="6"/>
  <c r="L1909" i="6"/>
  <c r="K1909" i="6"/>
  <c r="M1877" i="6"/>
  <c r="N1877" i="6"/>
  <c r="K1877" i="6"/>
  <c r="L1877" i="6"/>
  <c r="N1821" i="6"/>
  <c r="K1821" i="6"/>
  <c r="M1821" i="6"/>
  <c r="L1821" i="6"/>
  <c r="N1757" i="6"/>
  <c r="K1757" i="6"/>
  <c r="M1757" i="6"/>
  <c r="L1757" i="6"/>
  <c r="L1645" i="6"/>
  <c r="K1645" i="6"/>
  <c r="N1645" i="6"/>
  <c r="M1645" i="6"/>
  <c r="L1613" i="6"/>
  <c r="K1613" i="6"/>
  <c r="N1613" i="6"/>
  <c r="M1613" i="6"/>
  <c r="L1581" i="6"/>
  <c r="K1581" i="6"/>
  <c r="N1581" i="6"/>
  <c r="M1581" i="6"/>
  <c r="L1557" i="6"/>
  <c r="N1557" i="6"/>
  <c r="K1557" i="6"/>
  <c r="M1557" i="6"/>
  <c r="L1533" i="6"/>
  <c r="N1533" i="6"/>
  <c r="K1533" i="6"/>
  <c r="M1533" i="6"/>
  <c r="L1525" i="6"/>
  <c r="N1525" i="6"/>
  <c r="K1525" i="6"/>
  <c r="M1525" i="6"/>
  <c r="L1501" i="6"/>
  <c r="N1501" i="6"/>
  <c r="K1501" i="6"/>
  <c r="M1501" i="6"/>
  <c r="L1493" i="6"/>
  <c r="N1493" i="6"/>
  <c r="K1493" i="6"/>
  <c r="M1493" i="6"/>
  <c r="L1469" i="6"/>
  <c r="N1469" i="6"/>
  <c r="K1469" i="6"/>
  <c r="M1469" i="6"/>
  <c r="L1461" i="6"/>
  <c r="N1461" i="6"/>
  <c r="K1461" i="6"/>
  <c r="M1461" i="6"/>
  <c r="N1333" i="6"/>
  <c r="M1333" i="6"/>
  <c r="L1333" i="6"/>
  <c r="K1333" i="6"/>
  <c r="N1301" i="6"/>
  <c r="M1301" i="6"/>
  <c r="L1301" i="6"/>
  <c r="K1301" i="6"/>
  <c r="N1269" i="6"/>
  <c r="M1269" i="6"/>
  <c r="L1269" i="6"/>
  <c r="K1269" i="6"/>
  <c r="K1013" i="6"/>
  <c r="N1013" i="6"/>
  <c r="M1013" i="6"/>
  <c r="L1013" i="6"/>
  <c r="K981" i="6"/>
  <c r="N981" i="6"/>
  <c r="M981" i="6"/>
  <c r="L981" i="6"/>
  <c r="L965" i="6"/>
  <c r="K965" i="6"/>
  <c r="N965" i="6"/>
  <c r="M965" i="6"/>
  <c r="L933" i="6"/>
  <c r="K933" i="6"/>
  <c r="N933" i="6"/>
  <c r="M933" i="6"/>
  <c r="L901" i="6"/>
  <c r="K901" i="6"/>
  <c r="N901" i="6"/>
  <c r="M901" i="6"/>
  <c r="L869" i="6"/>
  <c r="K869" i="6"/>
  <c r="N869" i="6"/>
  <c r="M869" i="6"/>
  <c r="L837" i="6"/>
  <c r="K837" i="6"/>
  <c r="N837" i="6"/>
  <c r="M837" i="6"/>
  <c r="L805" i="6"/>
  <c r="K805" i="6"/>
  <c r="N805" i="6"/>
  <c r="M805" i="6"/>
  <c r="K397" i="6"/>
  <c r="M397" i="6"/>
  <c r="L397" i="6"/>
  <c r="N397" i="6"/>
  <c r="L1810" i="6"/>
  <c r="K1810" i="6"/>
  <c r="N1810" i="6"/>
  <c r="M1810" i="6"/>
  <c r="L1746" i="6"/>
  <c r="K1746" i="6"/>
  <c r="N1746" i="6"/>
  <c r="M1746" i="6"/>
  <c r="N1562" i="6"/>
  <c r="L1562" i="6"/>
  <c r="K1562" i="6"/>
  <c r="M1562" i="6"/>
  <c r="N1530" i="6"/>
  <c r="L1530" i="6"/>
  <c r="K1530" i="6"/>
  <c r="M1530" i="6"/>
  <c r="N1498" i="6"/>
  <c r="L1498" i="6"/>
  <c r="K1498" i="6"/>
  <c r="M1498" i="6"/>
  <c r="N1466" i="6"/>
  <c r="L1466" i="6"/>
  <c r="K1466" i="6"/>
  <c r="M1466" i="6"/>
  <c r="M1418" i="6"/>
  <c r="L1418" i="6"/>
  <c r="N1418" i="6"/>
  <c r="K1418" i="6"/>
  <c r="M1386" i="6"/>
  <c r="L1386" i="6"/>
  <c r="N1386" i="6"/>
  <c r="K1386" i="6"/>
  <c r="M1354" i="6"/>
  <c r="L1354" i="6"/>
  <c r="N1354" i="6"/>
  <c r="K1354" i="6"/>
  <c r="N1250" i="6"/>
  <c r="M1250" i="6"/>
  <c r="L1250" i="6"/>
  <c r="K1250" i="6"/>
  <c r="N1218" i="6"/>
  <c r="M1218" i="6"/>
  <c r="L1218" i="6"/>
  <c r="K1218" i="6"/>
  <c r="N1186" i="6"/>
  <c r="M1186" i="6"/>
  <c r="L1186" i="6"/>
  <c r="K1186" i="6"/>
  <c r="N1154" i="6"/>
  <c r="M1154" i="6"/>
  <c r="L1154" i="6"/>
  <c r="K1154" i="6"/>
  <c r="N1122" i="6"/>
  <c r="M1122" i="6"/>
  <c r="L1122" i="6"/>
  <c r="K1122" i="6"/>
  <c r="M1018" i="6"/>
  <c r="L1018" i="6"/>
  <c r="N1018" i="6"/>
  <c r="K1018" i="6"/>
  <c r="M986" i="6"/>
  <c r="L986" i="6"/>
  <c r="N986" i="6"/>
  <c r="K986" i="6"/>
  <c r="N946" i="6"/>
  <c r="M946" i="6"/>
  <c r="L946" i="6"/>
  <c r="K946" i="6"/>
  <c r="N914" i="6"/>
  <c r="M914" i="6"/>
  <c r="L914" i="6"/>
  <c r="K914" i="6"/>
  <c r="N882" i="6"/>
  <c r="M882" i="6"/>
  <c r="L882" i="6"/>
  <c r="K882" i="6"/>
  <c r="N850" i="6"/>
  <c r="M850" i="6"/>
  <c r="L850" i="6"/>
  <c r="K850" i="6"/>
  <c r="N818" i="6"/>
  <c r="M818" i="6"/>
  <c r="L818" i="6"/>
  <c r="K818" i="6"/>
  <c r="N786" i="6"/>
  <c r="M786" i="6"/>
  <c r="L786" i="6"/>
  <c r="K786" i="6"/>
  <c r="N362" i="6"/>
  <c r="M362" i="6"/>
  <c r="L362" i="6"/>
  <c r="K362" i="6"/>
  <c r="N330" i="6"/>
  <c r="M330" i="6"/>
  <c r="L330" i="6"/>
  <c r="K330" i="6"/>
  <c r="N298" i="6"/>
  <c r="M298" i="6"/>
  <c r="L298" i="6"/>
  <c r="K298" i="6"/>
  <c r="N266" i="6"/>
  <c r="M266" i="6"/>
  <c r="L266" i="6"/>
  <c r="K266" i="6"/>
  <c r="N234" i="6"/>
  <c r="M234" i="6"/>
  <c r="L234" i="6"/>
  <c r="K234" i="6"/>
  <c r="N202" i="6"/>
  <c r="M202" i="6"/>
  <c r="L202" i="6"/>
  <c r="K202" i="6"/>
  <c r="N170" i="6"/>
  <c r="M170" i="6"/>
  <c r="L170" i="6"/>
  <c r="K170" i="6"/>
  <c r="N138" i="6"/>
  <c r="M138" i="6"/>
  <c r="L138" i="6"/>
  <c r="K138" i="6"/>
  <c r="N106" i="6"/>
  <c r="M106" i="6"/>
  <c r="L106" i="6"/>
  <c r="K106" i="6"/>
  <c r="N74" i="6"/>
  <c r="M74" i="6"/>
  <c r="L74" i="6"/>
  <c r="K74" i="6"/>
  <c r="N42" i="6"/>
  <c r="M42" i="6"/>
  <c r="L42" i="6"/>
  <c r="K42" i="6"/>
  <c r="N1999" i="6"/>
  <c r="M1999" i="6"/>
  <c r="L1999" i="6"/>
  <c r="K1999" i="6"/>
  <c r="M1959" i="6"/>
  <c r="K1959" i="6"/>
  <c r="L1959" i="6"/>
  <c r="N1959" i="6"/>
  <c r="M1895" i="6"/>
  <c r="K1895" i="6"/>
  <c r="L1895" i="6"/>
  <c r="N1895" i="6"/>
  <c r="N1711" i="6"/>
  <c r="L1711" i="6"/>
  <c r="M1711" i="6"/>
  <c r="K1711" i="6"/>
  <c r="N1679" i="6"/>
  <c r="L1679" i="6"/>
  <c r="M1679" i="6"/>
  <c r="K1679" i="6"/>
  <c r="N1559" i="6"/>
  <c r="L1559" i="6"/>
  <c r="K1559" i="6"/>
  <c r="M1559" i="6"/>
  <c r="N1527" i="6"/>
  <c r="L1527" i="6"/>
  <c r="K1527" i="6"/>
  <c r="M1527" i="6"/>
  <c r="N1495" i="6"/>
  <c r="L1495" i="6"/>
  <c r="K1495" i="6"/>
  <c r="M1495" i="6"/>
  <c r="N1463" i="6"/>
  <c r="L1463" i="6"/>
  <c r="K1463" i="6"/>
  <c r="M1463" i="6"/>
  <c r="K1431" i="6"/>
  <c r="N1431" i="6"/>
  <c r="M1431" i="6"/>
  <c r="L1431" i="6"/>
  <c r="K1399" i="6"/>
  <c r="N1399" i="6"/>
  <c r="M1399" i="6"/>
  <c r="L1399" i="6"/>
  <c r="K1367" i="6"/>
  <c r="N1367" i="6"/>
  <c r="M1367" i="6"/>
  <c r="L1367" i="6"/>
  <c r="L1223" i="6"/>
  <c r="K1223" i="6"/>
  <c r="N1223" i="6"/>
  <c r="M1223" i="6"/>
  <c r="L1191" i="6"/>
  <c r="K1191" i="6"/>
  <c r="N1191" i="6"/>
  <c r="M1191" i="6"/>
  <c r="L1159" i="6"/>
  <c r="K1159" i="6"/>
  <c r="N1159" i="6"/>
  <c r="M1159" i="6"/>
  <c r="L1127" i="6"/>
  <c r="K1127" i="6"/>
  <c r="N1127" i="6"/>
  <c r="M1127" i="6"/>
  <c r="N1015" i="6"/>
  <c r="L1015" i="6"/>
  <c r="K1015" i="6"/>
  <c r="M1015" i="6"/>
  <c r="N983" i="6"/>
  <c r="L983" i="6"/>
  <c r="K983" i="6"/>
  <c r="M983" i="6"/>
  <c r="N943" i="6"/>
  <c r="M943" i="6"/>
  <c r="L943" i="6"/>
  <c r="K943" i="6"/>
  <c r="N911" i="6"/>
  <c r="M911" i="6"/>
  <c r="L911" i="6"/>
  <c r="K911" i="6"/>
  <c r="N879" i="6"/>
  <c r="M879" i="6"/>
  <c r="L879" i="6"/>
  <c r="K879" i="6"/>
  <c r="N847" i="6"/>
  <c r="M847" i="6"/>
  <c r="L847" i="6"/>
  <c r="K847" i="6"/>
  <c r="N815" i="6"/>
  <c r="M815" i="6"/>
  <c r="L815" i="6"/>
  <c r="K815" i="6"/>
  <c r="N783" i="6"/>
  <c r="M783" i="6"/>
  <c r="L783" i="6"/>
  <c r="K783" i="6"/>
  <c r="L1988" i="6"/>
  <c r="M1988" i="6"/>
  <c r="N1988" i="6"/>
  <c r="K1988" i="6"/>
  <c r="M1980" i="6"/>
  <c r="K1980" i="6"/>
  <c r="N1980" i="6"/>
  <c r="L1980" i="6"/>
  <c r="M1964" i="6"/>
  <c r="K1964" i="6"/>
  <c r="N1964" i="6"/>
  <c r="L1964" i="6"/>
  <c r="M1940" i="6"/>
  <c r="K1940" i="6"/>
  <c r="L1940" i="6"/>
  <c r="N1940" i="6"/>
  <c r="M1932" i="6"/>
  <c r="N1932" i="6"/>
  <c r="K1932" i="6"/>
  <c r="L1932" i="6"/>
  <c r="M1908" i="6"/>
  <c r="K1908" i="6"/>
  <c r="L1908" i="6"/>
  <c r="N1908" i="6"/>
  <c r="N1820" i="6"/>
  <c r="L1820" i="6"/>
  <c r="K1820" i="6"/>
  <c r="M1820" i="6"/>
  <c r="N1756" i="6"/>
  <c r="L1756" i="6"/>
  <c r="K1756" i="6"/>
  <c r="M1756" i="6"/>
  <c r="M1564" i="6"/>
  <c r="L1564" i="6"/>
  <c r="N1564" i="6"/>
  <c r="K1564" i="6"/>
  <c r="L1316" i="6"/>
  <c r="K1316" i="6"/>
  <c r="N1316" i="6"/>
  <c r="M1316" i="6"/>
  <c r="L1284" i="6"/>
  <c r="K1284" i="6"/>
  <c r="N1284" i="6"/>
  <c r="M1284" i="6"/>
  <c r="N1220" i="6"/>
  <c r="M1220" i="6"/>
  <c r="K1220" i="6"/>
  <c r="L1220" i="6"/>
  <c r="N1188" i="6"/>
  <c r="M1188" i="6"/>
  <c r="K1188" i="6"/>
  <c r="L1188" i="6"/>
  <c r="N1156" i="6"/>
  <c r="M1156" i="6"/>
  <c r="K1156" i="6"/>
  <c r="L1156" i="6"/>
  <c r="N1124" i="6"/>
  <c r="M1124" i="6"/>
  <c r="K1124" i="6"/>
  <c r="L1124" i="6"/>
  <c r="M388" i="6"/>
  <c r="L388" i="6"/>
  <c r="K388" i="6"/>
  <c r="N388" i="6"/>
  <c r="M356" i="6"/>
  <c r="L356" i="6"/>
  <c r="K356" i="6"/>
  <c r="N356" i="6"/>
  <c r="M324" i="6"/>
  <c r="L324" i="6"/>
  <c r="K324" i="6"/>
  <c r="N324" i="6"/>
  <c r="M292" i="6"/>
  <c r="L292" i="6"/>
  <c r="K292" i="6"/>
  <c r="N292" i="6"/>
  <c r="M260" i="6"/>
  <c r="L260" i="6"/>
  <c r="K260" i="6"/>
  <c r="N260" i="6"/>
  <c r="M228" i="6"/>
  <c r="L228" i="6"/>
  <c r="K228" i="6"/>
  <c r="N228" i="6"/>
  <c r="M196" i="6"/>
  <c r="L196" i="6"/>
  <c r="K196" i="6"/>
  <c r="N196" i="6"/>
  <c r="M164" i="6"/>
  <c r="L164" i="6"/>
  <c r="K164" i="6"/>
  <c r="N164" i="6"/>
  <c r="M132" i="6"/>
  <c r="L132" i="6"/>
  <c r="K132" i="6"/>
  <c r="N132" i="6"/>
  <c r="M100" i="6"/>
  <c r="L100" i="6"/>
  <c r="K100" i="6"/>
  <c r="N100" i="6"/>
  <c r="M68" i="6"/>
  <c r="L68" i="6"/>
  <c r="K68" i="6"/>
  <c r="N68" i="6"/>
  <c r="M36" i="6"/>
  <c r="L36" i="6"/>
  <c r="K36" i="6"/>
  <c r="N36" i="6"/>
  <c r="N4" i="6" l="1"/>
  <c r="C13" i="11"/>
  <c r="G19" i="4"/>
</calcChain>
</file>

<file path=xl/sharedStrings.xml><?xml version="1.0" encoding="utf-8"?>
<sst xmlns="http://schemas.openxmlformats.org/spreadsheetml/2006/main" count="7052" uniqueCount="339">
  <si>
    <t>🏦  SAMICIOUS MICROFINANCE ENTERPRISE  v16.0</t>
  </si>
  <si>
    <t>TOTAL SAVINGS (GHS)</t>
  </si>
  <si>
    <t>TOTAL WITHDRAWALS</t>
  </si>
  <si>
    <t>CUSTOMERS</t>
  </si>
  <si>
    <t>LOAN PORTFOLIO</t>
  </si>
  <si>
    <t>TOP-UPS</t>
  </si>
  <si>
    <t>🟡 YELLOW = Enter your data   |   🔵 BLUE = Auto-computed — DO NOT EDIT   |   🔒 WRONG CODE = Agent code mismatch — check code in System_Config</t>
  </si>
  <si>
    <t>📋 NEW ACCOUNT</t>
  </si>
  <si>
    <t>🗄️ DATABASE</t>
  </si>
  <si>
    <t>🏦 MANAGER DASHBOARD</t>
  </si>
  <si>
    <t>📊 REPORTS</t>
  </si>
  <si>
    <t>🔗 LOAN TOP-UP</t>
  </si>
  <si>
    <t>💰 SAVINGS DB</t>
  </si>
  <si>
    <t>🏧 WITHDRAWALS DB</t>
  </si>
  <si>
    <t>🏦 LOANS DB</t>
  </si>
  <si>
    <t>⚙️ SYSTEM CONFIG</t>
  </si>
  <si>
    <t>👥 AGENTS DB</t>
  </si>
  <si>
    <t>⚡  FULLY AUTOMATED  •  10 Agents  •  4-Digit Code Security (FIXED BUG v16)  •  GHS 10 Min Balance  •  Real-Time DB Sync  •  Multi-Year  •  🔵 Blue = System-Controlled  •  🟡 Yellow = User Input  •  Zero VBA</t>
  </si>
  <si>
    <t>🏦  SAMICIOUS MICROFINANCE</t>
  </si>
  <si>
    <t>ENTERPRISE MANAGEMENT SYSTEM  |  Developer Information</t>
  </si>
  <si>
    <t>ABOUT THE DEVELOPER</t>
  </si>
  <si>
    <t>THIS SAMICIOUS MICROFINANCE MANAGEMENT SYSTEM WAS DESIGNED AND DEVELOPED BY</t>
  </si>
  <si>
    <t>FRANK ABBAN</t>
  </si>
  <si>
    <t>IT CONSULTANT</t>
  </si>
  <si>
    <t>📞  FOR ALL ENQUIRIES, KINDLY REACH OUT USING ANY OF THE CONTACT NUMBERS BELOW:</t>
  </si>
  <si>
    <t>📱  0241911273</t>
  </si>
  <si>
    <t>📱  0207530771</t>
  </si>
  <si>
    <t>📋  Select any number above → Ctrl+C to copy</t>
  </si>
  <si>
    <t>SAMICIOUS MICROFINANCE  v16.0  |  Formula-Driven Architecture  |  No VBA</t>
  </si>
  <si>
    <t>ENTERPRISE MANAGEMENT SYSTEM  |  Official Documentation</t>
  </si>
  <si>
    <t>ACKNOWLEDGEMENT</t>
  </si>
  <si>
    <t>I give all glory to the Almighty God for His grace, strength, and wisdom that have guided me throughout this journey. Without Him, this work would not have been possible.</t>
  </si>
  <si>
    <t>I sincerely appreciate Dr. Gabriel Annan, Lecturer at the University of Cape Coast (UCC), for his mentorship, guidance, and invaluable support throughout the development of this system.</t>
  </si>
  <si>
    <t>I am deeply grateful to Rev. Ebenezer Asibu Dadzie for his spiritual guidance, encouragement, and prayers, which strengthened me greatly.</t>
  </si>
  <si>
    <t>Special thanks to Mr. Addu Gyamfi, CEO of Samicious Microfinance, for his trust and confidence in my ability to serve as the IT Consultant for this project.</t>
  </si>
  <si>
    <t>To my beloved wife and children, your patience, sacrifices, and unwavering support have been invaluable. Your love continues to inspire me.</t>
  </si>
  <si>
    <t>Through your collective support, this vision has been successfully realized.</t>
  </si>
  <si>
    <t>📖  BIBLICAL SUPPORT</t>
  </si>
  <si>
    <t>"I can do all things through Christ who strengthens me."</t>
  </si>
  <si>
    <t>— Philippians 4:13</t>
  </si>
  <si>
    <t>A  M  E  N</t>
  </si>
  <si>
    <t>🏦  SAMICIOUS MICROFINANCE — MANAGER COMMAND CENTER  v16.0</t>
  </si>
  <si>
    <t>NET FLOW (GHS)</t>
  </si>
  <si>
    <t>ACTIVE TOP-UPS</t>
  </si>
  <si>
    <t>📊  REAL-TIME AGENT PERFORMANCE TRACKER</t>
  </si>
  <si>
    <t>Agent</t>
  </si>
  <si>
    <t>Today Savings</t>
  </si>
  <si>
    <t>Today Withdrawals</t>
  </si>
  <si>
    <t>Net Today</t>
  </si>
  <si>
    <t>Txns Today</t>
  </si>
  <si>
    <t>MTD Savings</t>
  </si>
  <si>
    <t>Active Customers</t>
  </si>
  <si>
    <t>Target</t>
  </si>
  <si>
    <t>% Target</t>
  </si>
  <si>
    <t>Agent 01</t>
  </si>
  <si>
    <t>Agent 02</t>
  </si>
  <si>
    <t>Agent 03</t>
  </si>
  <si>
    <t>Agent 04</t>
  </si>
  <si>
    <t>Agent 05</t>
  </si>
  <si>
    <t>Agent 06</t>
  </si>
  <si>
    <t>Agent 07</t>
  </si>
  <si>
    <t>Agent 08</t>
  </si>
  <si>
    <t>Agent 09</t>
  </si>
  <si>
    <t>Agent 10</t>
  </si>
  <si>
    <t>TOTALS</t>
  </si>
  <si>
    <t>👤  NEW CUSTOMER ACCOUNT REGISTRATION</t>
  </si>
  <si>
    <t>✅  AUTOMATED — Type customer details in 🟡 YELLOW cells. Account Number (col A) and Date (col I) are 🔵 BLUE = auto-generated. DATABASE reads this table live. No copy-paste. No buttons.</t>
  </si>
  <si>
    <t>⚠️  GHS 10.00 MINIMUM OPENING BALANCE ENFORCED  |  Accounts below GHS 10 are flagged ⚠️ Below Min Balance</t>
  </si>
  <si>
    <t>Account No.</t>
  </si>
  <si>
    <t>Customer Name</t>
  </si>
  <si>
    <t>Date of Birth</t>
  </si>
  <si>
    <t>Phone Number</t>
  </si>
  <si>
    <t>Location</t>
  </si>
  <si>
    <t>Occupation</t>
  </si>
  <si>
    <t>Assigned Agent</t>
  </si>
  <si>
    <t>Opening Balance (GHS)</t>
  </si>
  <si>
    <t>Date Registered</t>
  </si>
  <si>
    <t>Status</t>
  </si>
  <si>
    <t>✅ SAMICIOUS MICROFINANCE — 2000 Customer Capacity | Formula-Driven | Zero VBA | v17</t>
  </si>
  <si>
    <t>🗄️  CUSTOMER DATABASE  —  Central Source of Truth  (All columns formula-driven, READ-ONLY)</t>
  </si>
  <si>
    <t>🔵 ALL CELLS AUTO-COMPUTED — Do NOT type here. Columns A–J mirror NEW ACCOUNT. Columns K–N computed from all transactions.</t>
  </si>
  <si>
    <t>Full Name</t>
  </si>
  <si>
    <t>Total Savings (GHS)</t>
  </si>
  <si>
    <t>Total Withdrawals (GHS)</t>
  </si>
  <si>
    <t>Current Balance (GHS)</t>
  </si>
  <si>
    <t>Withdrawable Balance (GHS)</t>
  </si>
  <si>
    <t>💰  SAVINGS DATABASE — All 10 Agents Combined (Formula-Driven, READ-ONLY)</t>
  </si>
  <si>
    <t>🔵 DO NOT ENTER DATA HERE — This sheet auto-aggregates from all Agent Savings sheets. Rows 4–203 = Agent 01, 204–403 = Agent 02, …, 1804–2003 = Agent 10.</t>
  </si>
  <si>
    <t>Account_No</t>
  </si>
  <si>
    <t>Transaction_ID</t>
  </si>
  <si>
    <t>Customer_Name</t>
  </si>
  <si>
    <t>Date</t>
  </si>
  <si>
    <t>Amount_GHS</t>
  </si>
  <si>
    <t>New_Balance</t>
  </si>
  <si>
    <t>Saved_At</t>
  </si>
  <si>
    <t>Notes</t>
  </si>
  <si>
    <t>Year</t>
  </si>
  <si>
    <t>🏧  WITHDRAWALS DATABASE — All 10 Agents Combined (Formula-Driven, READ-ONLY)</t>
  </si>
  <si>
    <t>🔵 DO NOT ENTER DATA HERE — auto-aggregates from all Agent Withdrawal sheets. Rows 4–203=Agent01, 204–403=Agent02 … 1804–2003=Agent10.</t>
  </si>
  <si>
    <t>Balance_Before</t>
  </si>
  <si>
    <t>Authorized_By</t>
  </si>
  <si>
    <t>Withdrawal_Amt_GHS</t>
  </si>
  <si>
    <t>New_Balance_GHS</t>
  </si>
  <si>
    <t>Min_Bal_Compliant</t>
  </si>
  <si>
    <t>🏦  LOANS DATABASE — All 10 Agents Combined (Formula-Driven, READ-ONLY)</t>
  </si>
  <si>
    <t>🔵 DO NOT ENTER DATA HERE — auto-aggregates from all Agent Loan sheets.</t>
  </si>
  <si>
    <t>Loan_ID</t>
  </si>
  <si>
    <t>Request_Date</t>
  </si>
  <si>
    <t>Loan_Amount</t>
  </si>
  <si>
    <t>Purpose</t>
  </si>
  <si>
    <t>Months</t>
  </si>
  <si>
    <t>Rate_%</t>
  </si>
  <si>
    <t>Total_Repayable</t>
  </si>
  <si>
    <t>Monthly_Install</t>
  </si>
  <si>
    <t>🔗  LOAN TOP-UP REGISTER — All Agents</t>
  </si>
  <si>
    <t>Link top-up to original loan via Account Number + Parent Loan ID. Aggregated balance and unified repayment auto-calculated.</t>
  </si>
  <si>
    <t>🟡 Yellow = Enter data  |  🔵 Blue = Auto-computed  |  Top-Up ID auto-generates  |  Date auto-fills</t>
  </si>
  <si>
    <t>Top-Up ID</t>
  </si>
  <si>
    <t>Account Number</t>
  </si>
  <si>
    <t>Parent Loan ID</t>
  </si>
  <si>
    <t>Top-Up Amount (GHS)</t>
  </si>
  <si>
    <t>Purpose / Notes</t>
  </si>
  <si>
    <t>Aggregated Loan Balance (GHS)</t>
  </si>
  <si>
    <t>Unified Monthly Repay (GHS)</t>
  </si>
  <si>
    <t>💰  SAMICIOUS MICROFINANCE — AGENT 01 SAVINGS</t>
  </si>
  <si>
    <t>Agent: Agent 01  |  🟡 Enter Account # &amp; Amount  |  🔵 All other fields auto-populate  |  Enter your 4-digit Agent Code in col H to confirm each transaction</t>
  </si>
  <si>
    <t>💰 Total Collected Today</t>
  </si>
  <si>
    <t>📊 Transactions Today</t>
  </si>
  <si>
    <t>📅 Today</t>
  </si>
  <si>
    <t>🏧 Today's Withdrawals</t>
  </si>
  <si>
    <t>⚖️ Today's Balance Sheet</t>
  </si>
  <si>
    <t>📈 MTD Savings</t>
  </si>
  <si>
    <t>🟡 Yellow = Enter Account # and Savings Amount  |  🔵 Blue = Auto-populated (DO NOT EDIT)  |  Enter your 4-digit Agent Code in col H → Status auto-confirms</t>
  </si>
  <si>
    <t>⚠️ Security: Only Agent 01 code (4832) accepted. Wrong code → 🔒 WRONG CODE. Cross-agent usage BLOCKED.</t>
  </si>
  <si>
    <t>Account #</t>
  </si>
  <si>
    <t>Savings Amount (GHS)</t>
  </si>
  <si>
    <t>New Balance (GHS)</t>
  </si>
  <si>
    <t>🔑 Agent Code</t>
  </si>
  <si>
    <t>Saved At</t>
  </si>
  <si>
    <t>🏧  SAMICIOUS MICROFINANCE — AGENT 01 WITHDRAWALS</t>
  </si>
  <si>
    <t>Agent: Agent 01  |  🟡 Enter Account # &amp; Amount  |  🔵 Auto-fields  |  GHS 10 minimum balance enforced  |  Enter 4-digit code to authorize</t>
  </si>
  <si>
    <t>🏧 Total Withdrawn Today</t>
  </si>
  <si>
    <t>✅ Successful</t>
  </si>
  <si>
    <t>❌ Insufficient</t>
  </si>
  <si>
    <t>💰 Today's Savings</t>
  </si>
  <si>
    <t>📈 MTD Withdrawals</t>
  </si>
  <si>
    <t>🔵 Blue = Auto (DO NOT EDIT)  |  🟡 Yellow = Enter data  |  Available Balance = Current Balance – GHS 10 reserve  |  Withdrawal blocked if insufficient withdrawable balance</t>
  </si>
  <si>
    <t>Withdrawal Amount (GHS)</t>
  </si>
  <si>
    <t>Authorized By</t>
  </si>
  <si>
    <t>🏦  SAMICIOUS MICROFINANCE — AGENT 01 LOAN REQUESTS</t>
  </si>
  <si>
    <t>Agent: Agent 01  |  Total Repayable = Loan × (1 + Rate% × Months)  |  Monthly = Total ÷ Months  |  Enter 4-digit code to submit</t>
  </si>
  <si>
    <t>🏦 Today's Loans</t>
  </si>
  <si>
    <t>📊 Loans This Month</t>
  </si>
  <si>
    <t>🔢  INSTANT LOAN CALCULATOR</t>
  </si>
  <si>
    <t>Loan Amount (GHS):</t>
  </si>
  <si>
    <t>Duration (Months):</t>
  </si>
  <si>
    <t>Rate (%/month):</t>
  </si>
  <si>
    <t>Total Interest:</t>
  </si>
  <si>
    <t>Total Repayable:</t>
  </si>
  <si>
    <t>Monthly Payment:</t>
  </si>
  <si>
    <t>🟡 Enter: Account # | Loan Amount | Purpose | Months | Agent Code  🔵 Auto: Loan ID | Name | Date | Total | Monthly</t>
  </si>
  <si>
    <t>Loan ID</t>
  </si>
  <si>
    <t>Request Date</t>
  </si>
  <si>
    <t>Loan Amount (GHS)</t>
  </si>
  <si>
    <t>Rate %</t>
  </si>
  <si>
    <t>Total Repayable (GHS)</t>
  </si>
  <si>
    <t>Monthly Install (GHS)</t>
  </si>
  <si>
    <t>💰  SAMICIOUS MICROFINANCE — AGENT 02 SAVINGS</t>
  </si>
  <si>
    <t>Agent: Agent 02  |  🟡 Enter Account # &amp; Amount  |  🔵 All other fields auto-populate  |  Enter your 4-digit Agent Code in col H to confirm each transaction</t>
  </si>
  <si>
    <t>⚠️ Security: Only Agent 02 code (9174) accepted. Wrong code → 🔒 WRONG CODE. Cross-agent usage BLOCKED.</t>
  </si>
  <si>
    <t>🏧  SAMICIOUS MICROFINANCE — AGENT 02 WITHDRAWALS</t>
  </si>
  <si>
    <t>Agent: Agent 02  |  🟡 Enter Account # &amp; Amount  |  🔵 Auto-fields  |  GHS 10 minimum balance enforced  |  Enter 4-digit code to authorize</t>
  </si>
  <si>
    <t>🏦  SAMICIOUS MICROFINANCE — AGENT 02 LOAN REQUESTS</t>
  </si>
  <si>
    <t>Agent: Agent 02  |  Total Repayable = Loan × (1 + Rate% × Months)  |  Monthly = Total ÷ Months  |  Enter 4-digit code to submit</t>
  </si>
  <si>
    <t>💰  SAMICIOUS MICROFINANCE — AGENT 03 SAVINGS</t>
  </si>
  <si>
    <t>Agent: Agent 03  |  🟡 Enter Account # &amp; Amount  |  🔵 All other fields auto-populate  |  Enter your 4-digit Agent Code in col H to confirm each transaction</t>
  </si>
  <si>
    <t>⚠️ Security: Only Agent 03 code (2651) accepted. Wrong code → 🔒 WRONG CODE. Cross-agent usage BLOCKED.</t>
  </si>
  <si>
    <t>🏧  SAMICIOUS MICROFINANCE — AGENT 03 WITHDRAWALS</t>
  </si>
  <si>
    <t>Agent: Agent 03  |  🟡 Enter Account # &amp; Amount  |  🔵 Auto-fields  |  GHS 10 minimum balance enforced  |  Enter 4-digit code to authorize</t>
  </si>
  <si>
    <t>🏦  SAMICIOUS MICROFINANCE — AGENT 03 LOAN REQUESTS</t>
  </si>
  <si>
    <t>Agent: Agent 03  |  Total Repayable = Loan × (1 + Rate% × Months)  |  Monthly = Total ÷ Months  |  Enter 4-digit code to submit</t>
  </si>
  <si>
    <t>💰  SAMICIOUS MICROFINANCE — AGENT 04 SAVINGS</t>
  </si>
  <si>
    <t>Agent: Agent 04  |  🟡 Enter Account # &amp; Amount  |  🔵 All other fields auto-populate  |  Enter your 4-digit Agent Code in col H to confirm each transaction</t>
  </si>
  <si>
    <t>⚠️ Security: Only Agent 04 code (7389) accepted. Wrong code → 🔒 WRONG CODE. Cross-agent usage BLOCKED.</t>
  </si>
  <si>
    <t>🏧  SAMICIOUS MICROFINANCE — AGENT 04 WITHDRAWALS</t>
  </si>
  <si>
    <t>Agent: Agent 04  |  🟡 Enter Account # &amp; Amount  |  🔵 Auto-fields  |  GHS 10 minimum balance enforced  |  Enter 4-digit code to authorize</t>
  </si>
  <si>
    <t>🏦  SAMICIOUS MICROFINANCE — AGENT 04 LOAN REQUESTS</t>
  </si>
  <si>
    <t>Agent: Agent 04  |  Total Repayable = Loan × (1 + Rate% × Months)  |  Monthly = Total ÷ Months  |  Enter 4-digit code to submit</t>
  </si>
  <si>
    <t>💰  SAMICIOUS MICROFINANCE — AGENT 05 SAVINGS</t>
  </si>
  <si>
    <t>Agent: Agent 05  |  🟡 Enter Account # &amp; Amount  |  🔵 All other fields auto-populate  |  Enter your 4-digit Agent Code in col H to confirm each transaction</t>
  </si>
  <si>
    <t>⚠️ Security: Only Agent 05 code (5216) accepted. Wrong code → 🔒 WRONG CODE. Cross-agent usage BLOCKED.</t>
  </si>
  <si>
    <t>🏧  SAMICIOUS MICROFINANCE — AGENT 05 WITHDRAWALS</t>
  </si>
  <si>
    <t>Agent: Agent 05  |  🟡 Enter Account # &amp; Amount  |  🔵 Auto-fields  |  GHS 10 minimum balance enforced  |  Enter 4-digit code to authorize</t>
  </si>
  <si>
    <t>🏦  SAMICIOUS MICROFINANCE — AGENT 05 LOAN REQUESTS</t>
  </si>
  <si>
    <t>Agent: Agent 05  |  Total Repayable = Loan × (1 + Rate% × Months)  |  Monthly = Total ÷ Months  |  Enter 4-digit code to submit</t>
  </si>
  <si>
    <t>💰  SAMICIOUS MICROFINANCE — AGENT 06 SAVINGS</t>
  </si>
  <si>
    <t>Agent: Agent 06  |  🟡 Enter Account # &amp; Amount  |  🔵 All other fields auto-populate  |  Enter your 4-digit Agent Code in col H to confirm each transaction</t>
  </si>
  <si>
    <t>⚠️ Security: Only Agent 06 code (8043) accepted. Wrong code → 🔒 WRONG CODE. Cross-agent usage BLOCKED.</t>
  </si>
  <si>
    <t>🏧  SAMICIOUS MICROFINANCE — AGENT 06 WITHDRAWALS</t>
  </si>
  <si>
    <t>Agent: Agent 06  |  🟡 Enter Account # &amp; Amount  |  🔵 Auto-fields  |  GHS 10 minimum balance enforced  |  Enter 4-digit code to authorize</t>
  </si>
  <si>
    <t>🏦  SAMICIOUS MICROFINANCE — AGENT 06 LOAN REQUESTS</t>
  </si>
  <si>
    <t>Agent: Agent 06  |  Total Repayable = Loan × (1 + Rate% × Months)  |  Monthly = Total ÷ Months  |  Enter 4-digit code to submit</t>
  </si>
  <si>
    <t>💰  SAMICIOUS MICROFINANCE — AGENT 07 SAVINGS</t>
  </si>
  <si>
    <t>Agent: Agent 07  |  🟡 Enter Account # &amp; Amount  |  🔵 All other fields auto-populate  |  Enter your 4-digit Agent Code in col H to confirm each transaction</t>
  </si>
  <si>
    <t>⚠️ Security: Only Agent 07 code (3571) accepted. Wrong code → 🔒 WRONG CODE. Cross-agent usage BLOCKED.</t>
  </si>
  <si>
    <t>🏧  SAMICIOUS MICROFINANCE — AGENT 07 WITHDRAWALS</t>
  </si>
  <si>
    <t>Agent: Agent 07  |  🟡 Enter Account # &amp; Amount  |  🔵 Auto-fields  |  GHS 10 minimum balance enforced  |  Enter 4-digit code to authorize</t>
  </si>
  <si>
    <t>🏦  SAMICIOUS MICROFINANCE — AGENT 07 LOAN REQUESTS</t>
  </si>
  <si>
    <t>Agent: Agent 07  |  Total Repayable = Loan × (1 + Rate% × Months)  |  Monthly = Total ÷ Months  |  Enter 4-digit code to submit</t>
  </si>
  <si>
    <t>💰  SAMICIOUS MICROFINANCE — AGENT 08 SAVINGS</t>
  </si>
  <si>
    <t>Agent: Agent 08  |  🟡 Enter Account # &amp; Amount  |  🔵 All other fields auto-populate  |  Enter your 4-digit Agent Code in col H to confirm each transaction</t>
  </si>
  <si>
    <t>⚠️ Security: Only Agent 08 code (6920) accepted. Wrong code → 🔒 WRONG CODE. Cross-agent usage BLOCKED.</t>
  </si>
  <si>
    <t>🏧  SAMICIOUS MICROFINANCE — AGENT 08 WITHDRAWALS</t>
  </si>
  <si>
    <t>Agent: Agent 08  |  🟡 Enter Account # &amp; Amount  |  🔵 Auto-fields  |  GHS 10 minimum balance enforced  |  Enter 4-digit code to authorize</t>
  </si>
  <si>
    <t>🏦  SAMICIOUS MICROFINANCE — AGENT 08 LOAN REQUESTS</t>
  </si>
  <si>
    <t>Agent: Agent 08  |  Total Repayable = Loan × (1 + Rate% × Months)  |  Monthly = Total ÷ Months  |  Enter 4-digit code to submit</t>
  </si>
  <si>
    <t>💰  SAMICIOUS MICROFINANCE — AGENT 09 SAVINGS</t>
  </si>
  <si>
    <t>Agent: Agent 09  |  🟡 Enter Account # &amp; Amount  |  🔵 All other fields auto-populate  |  Enter your 4-digit Agent Code in col H to confirm each transaction</t>
  </si>
  <si>
    <t>⚠️ Security: Only Agent 09 code (1748) accepted. Wrong code → 🔒 WRONG CODE. Cross-agent usage BLOCKED.</t>
  </si>
  <si>
    <t>🏧  SAMICIOUS MICROFINANCE — AGENT 09 WITHDRAWALS</t>
  </si>
  <si>
    <t>Agent: Agent 09  |  🟡 Enter Account # &amp; Amount  |  🔵 Auto-fields  |  GHS 10 minimum balance enforced  |  Enter 4-digit code to authorize</t>
  </si>
  <si>
    <t>🏦  SAMICIOUS MICROFINANCE — AGENT 09 LOAN REQUESTS</t>
  </si>
  <si>
    <t>Agent: Agent 09  |  Total Repayable = Loan × (1 + Rate% × Months)  |  Monthly = Total ÷ Months  |  Enter 4-digit code to submit</t>
  </si>
  <si>
    <t>💰  SAMICIOUS MICROFINANCE — AGENT 10 SAVINGS</t>
  </si>
  <si>
    <t>Agent: Agent 10  |  🟡 Enter Account # &amp; Amount  |  🔵 All other fields auto-populate  |  Enter your 4-digit Agent Code in col H to confirm each transaction</t>
  </si>
  <si>
    <t>⚠️ Security: Only Agent 10 code (9305) accepted. Wrong code → 🔒 WRONG CODE. Cross-agent usage BLOCKED.</t>
  </si>
  <si>
    <t>🏧  SAMICIOUS MICROFINANCE — AGENT 10 WITHDRAWALS</t>
  </si>
  <si>
    <t>Agent: Agent 10  |  🟡 Enter Account # &amp; Amount  |  🔵 Auto-fields  |  GHS 10 minimum balance enforced  |  Enter 4-digit code to authorize</t>
  </si>
  <si>
    <t>🏦  SAMICIOUS MICROFINANCE — AGENT 10 LOAN REQUESTS</t>
  </si>
  <si>
    <t>Agent: Agent 10  |  Total Repayable = Loan × (1 + Rate% × Months)  |  Monthly = Total ÷ Months  |  Enter 4-digit code to submit</t>
  </si>
  <si>
    <t>📊  SAMICIOUS MICROFINANCE — COMPREHENSIVE REPORTS (Live Auto-Refresh)</t>
  </si>
  <si>
    <t>👥  CUSTOMER METRICS</t>
  </si>
  <si>
    <t>Total Registered Customers</t>
  </si>
  <si>
    <t>💰  SAVINGS &amp; WITHDRAWALS</t>
  </si>
  <si>
    <t>Total Savings Deposited (GHS)</t>
  </si>
  <si>
    <t>Net Balance All Accounts (GHS)</t>
  </si>
  <si>
    <t>🏦  LOAN PORTFOLIO</t>
  </si>
  <si>
    <t>Total Loans (GHS)</t>
  </si>
  <si>
    <t>Number of Loan Records</t>
  </si>
  <si>
    <t>Total Top-Up Amounts (GHS)</t>
  </si>
  <si>
    <t>Total Loan Portfolio (GHS)</t>
  </si>
  <si>
    <t>👤  AGENT SAVINGS SUMMARY</t>
  </si>
  <si>
    <t>Agent 01 — MTD Savings</t>
  </si>
  <si>
    <t>Agent 02 — MTD Savings</t>
  </si>
  <si>
    <t>Agent 03 — MTD Savings</t>
  </si>
  <si>
    <t>Agent 04 — MTD Savings</t>
  </si>
  <si>
    <t>Agent 05 — MTD Savings</t>
  </si>
  <si>
    <t>Agent 06 — MTD Savings</t>
  </si>
  <si>
    <t>Agent 07 — MTD Savings</t>
  </si>
  <si>
    <t>Agent 08 — MTD Savings</t>
  </si>
  <si>
    <t>Agent 09 — MTD Savings</t>
  </si>
  <si>
    <t>Agent 10 — MTD Savings</t>
  </si>
  <si>
    <t>⚡ All figures update automatically — no refresh button needed.</t>
  </si>
  <si>
    <t>⚙️  SYSTEM CONFIGURATION — SAMICIOUS MICROFINANCE v16</t>
  </si>
  <si>
    <t>Company</t>
  </si>
  <si>
    <t>SAMICIOUS MICROFINANCE</t>
  </si>
  <si>
    <t>Currency</t>
  </si>
  <si>
    <t>GHS (Ghana Cedis)</t>
  </si>
  <si>
    <t>Interest Rate</t>
  </si>
  <si>
    <t>2.5% per month flat</t>
  </si>
  <si>
    <t>Max Loan</t>
  </si>
  <si>
    <t>GHS 50,000</t>
  </si>
  <si>
    <t>Min Loan</t>
  </si>
  <si>
    <t>GHS 100</t>
  </si>
  <si>
    <t>Total Agents</t>
  </si>
  <si>
    <t>10</t>
  </si>
  <si>
    <t>Min Balance (GHS)</t>
  </si>
  <si>
    <t>Min Balance Rule</t>
  </si>
  <si>
    <t>GHS 10 non-withdrawable reserve — enforced on ALL withdrawals</t>
  </si>
  <si>
    <t>Version</t>
  </si>
  <si>
    <t>v17.0 — Enterprise Formula-Only | 2000+ Customers | Today Balance Sheet | No VBA</t>
  </si>
  <si>
    <t>Updated</t>
  </si>
  <si>
    <t>2026</t>
  </si>
  <si>
    <t>🎨  CELL COLOR LEGEND</t>
  </si>
  <si>
    <t>🟡 USER INPUT — Enter your data here</t>
  </si>
  <si>
    <t>🔵 AUTO-COMPUTED — DO NOT ENTER DATA (system-controlled)</t>
  </si>
  <si>
    <t>🟢 Savings module rows (even)</t>
  </si>
  <si>
    <t>🟠 Withdrawals module rows (even)</t>
  </si>
  <si>
    <t>🩵 Loans module rows (even)</t>
  </si>
  <si>
    <t>🟣 Loan Top-Up module rows (even)</t>
  </si>
  <si>
    <t>🔷 Database / Customer rows (even)</t>
  </si>
  <si>
    <t>🔴 WRONG CODE — Agent code mismatch (check your code)</t>
  </si>
  <si>
    <t>🔑  AGENT SECURITY CODES</t>
  </si>
  <si>
    <t>Agent Name</t>
  </si>
  <si>
    <t>4-Digit Code</t>
  </si>
  <si>
    <t>Area</t>
  </si>
  <si>
    <t>4832</t>
  </si>
  <si>
    <t>Active</t>
  </si>
  <si>
    <t>Agent01_Zone</t>
  </si>
  <si>
    <t>9174</t>
  </si>
  <si>
    <t>Agent02_Zone</t>
  </si>
  <si>
    <t>2651</t>
  </si>
  <si>
    <t>Agent03_Zone</t>
  </si>
  <si>
    <t>7389</t>
  </si>
  <si>
    <t>Agent04_Zone</t>
  </si>
  <si>
    <t>5216</t>
  </si>
  <si>
    <t>Agent05_Zone</t>
  </si>
  <si>
    <t>8043</t>
  </si>
  <si>
    <t>Agent06_Zone</t>
  </si>
  <si>
    <t>3571</t>
  </si>
  <si>
    <t>Agent07_Zone</t>
  </si>
  <si>
    <t>6920</t>
  </si>
  <si>
    <t>Agent08_Zone</t>
  </si>
  <si>
    <t>1748</t>
  </si>
  <si>
    <t>Agent09_Zone</t>
  </si>
  <si>
    <t>9305</t>
  </si>
  <si>
    <t>Agent10_Zone</t>
  </si>
  <si>
    <t>👥  AGENTS MASTER DATABASE — All 10 Agents Pre-loaded</t>
  </si>
  <si>
    <t>⚠️  DO NOT MODIFY this sheet — agent code validation depends on it</t>
  </si>
  <si>
    <t>Agent_Code</t>
  </si>
  <si>
    <t>Agent_Name</t>
  </si>
  <si>
    <t>Email</t>
  </si>
  <si>
    <t>Agent_4Digit_Code</t>
  </si>
  <si>
    <t>Working_Area</t>
  </si>
  <si>
    <t>Min_Balance_GHS</t>
  </si>
  <si>
    <t>Agent01</t>
  </si>
  <si>
    <t>agent01@samicious.com</t>
  </si>
  <si>
    <t>Keep code confidential</t>
  </si>
  <si>
    <t>Agent02</t>
  </si>
  <si>
    <t>agent02@samicious.com</t>
  </si>
  <si>
    <t>Agent03</t>
  </si>
  <si>
    <t>agent03@samicious.com</t>
  </si>
  <si>
    <t>Agent04</t>
  </si>
  <si>
    <t>agent04@samicious.com</t>
  </si>
  <si>
    <t>Agent05</t>
  </si>
  <si>
    <t>agent05@samicious.com</t>
  </si>
  <si>
    <t>Agent06</t>
  </si>
  <si>
    <t>agent06@samicious.com</t>
  </si>
  <si>
    <t>Agent07</t>
  </si>
  <si>
    <t>agent07@samicious.com</t>
  </si>
  <si>
    <t>Agent08</t>
  </si>
  <si>
    <t>agent08@samicious.com</t>
  </si>
  <si>
    <t>Agent09</t>
  </si>
  <si>
    <t>agent09@samicious.com</t>
  </si>
  <si>
    <t>Agent10</t>
  </si>
  <si>
    <t>agent10@samicious.com</t>
  </si>
  <si>
    <t>mankessim</t>
  </si>
  <si>
    <t>developer</t>
  </si>
  <si>
    <t>ACC0001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</si>
</sst>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20"/>
      <color rgb="FF375623"/>
      <name val="Arial"/>
      <family val="2"/>
      <charset val="1"/>
    </font>
    <font>
      <b/>
      <sz val="20"/>
      <color rgb="FFC55A11"/>
      <name val="Arial"/>
      <family val="2"/>
      <charset val="1"/>
    </font>
    <font>
      <b/>
      <sz val="20"/>
      <color rgb="FF1F3864"/>
      <name val="Arial"/>
      <family val="2"/>
      <charset val="1"/>
    </font>
    <font>
      <b/>
      <sz val="20"/>
      <color rgb="FF1F5C6B"/>
      <name val="Arial"/>
      <family val="2"/>
      <charset val="1"/>
    </font>
    <font>
      <b/>
      <sz val="20"/>
      <color rgb="FF7030A0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1F386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0"/>
      <color rgb="FF1F3864"/>
      <name val="Arial"/>
      <family val="2"/>
      <charset val="1"/>
    </font>
    <font>
      <b/>
      <sz val="13"/>
      <color rgb="FF2E75B6"/>
      <name val="Arial"/>
      <family val="2"/>
      <charset val="1"/>
    </font>
    <font>
      <i/>
      <sz val="9"/>
      <color rgb="FFC0C0C0"/>
      <name val="Arial"/>
      <family val="2"/>
      <charset val="1"/>
    </font>
    <font>
      <b/>
      <i/>
      <sz val="12"/>
      <color rgb="FF1F3864"/>
      <name val="Arial"/>
      <family val="2"/>
      <charset val="1"/>
    </font>
    <font>
      <sz val="11"/>
      <color rgb="FF2E75B6"/>
      <name val="Arial"/>
      <family val="2"/>
      <charset val="1"/>
    </font>
    <font>
      <b/>
      <sz val="14"/>
      <color rgb="FF1F3864"/>
      <name val="Arial"/>
      <family val="2"/>
      <charset val="1"/>
    </font>
    <font>
      <b/>
      <sz val="15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/>
      <sz val="18"/>
      <color rgb="FF375623"/>
      <name val="Arial"/>
      <family val="2"/>
      <charset val="1"/>
    </font>
    <font>
      <b/>
      <sz val="18"/>
      <color rgb="FFC55A11"/>
      <name val="Arial"/>
      <family val="2"/>
      <charset val="1"/>
    </font>
    <font>
      <b/>
      <sz val="18"/>
      <color rgb="FF1F5C6B"/>
      <name val="Arial"/>
      <family val="2"/>
      <charset val="1"/>
    </font>
    <font>
      <b/>
      <sz val="18"/>
      <color rgb="FF1F3864"/>
      <name val="Arial"/>
      <family val="2"/>
      <charset val="1"/>
    </font>
    <font>
      <b/>
      <sz val="18"/>
      <color rgb="FF7030A0"/>
      <name val="Arial"/>
      <family val="2"/>
      <charset val="1"/>
    </font>
    <font>
      <b/>
      <sz val="18"/>
      <color rgb="FF7B2D0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2E75B6"/>
      <name val="Arial"/>
      <family val="2"/>
      <charset val="1"/>
    </font>
    <font>
      <i/>
      <sz val="9"/>
      <color rgb="FFC55A11"/>
      <name val="Arial"/>
      <family val="2"/>
      <charset val="1"/>
    </font>
    <font>
      <b/>
      <sz val="10"/>
      <color rgb="FF0070C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70C0"/>
      <name val="Arial"/>
      <family val="2"/>
      <charset val="1"/>
    </font>
    <font>
      <sz val="11"/>
      <color rgb="FF1F3864"/>
      <name val="Calibri"/>
      <family val="2"/>
    </font>
    <font>
      <b/>
      <sz val="11"/>
      <color rgb="FFFFFFFF"/>
      <name val="Calibri"/>
      <family val="2"/>
    </font>
    <font>
      <i/>
      <sz val="9"/>
      <color rgb="FF0070C0"/>
      <name val="Arial"/>
      <family val="2"/>
      <charset val="1"/>
    </font>
    <font>
      <sz val="9"/>
      <color rgb="FF0070C0"/>
      <name val="Arial"/>
      <family val="2"/>
      <charset val="1"/>
    </font>
    <font>
      <b/>
      <sz val="13"/>
      <color rgb="FFFFFFFF"/>
      <name val="Arial"/>
      <family val="2"/>
      <charset val="1"/>
    </font>
    <font>
      <i/>
      <sz val="9"/>
      <color rgb="FF7030A0"/>
      <name val="Arial"/>
      <family val="2"/>
      <charset val="1"/>
    </font>
    <font>
      <i/>
      <sz val="9"/>
      <color rgb="FF1F3864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C55A11"/>
      <name val="Calibri"/>
      <family val="2"/>
    </font>
    <font>
      <b/>
      <sz val="10"/>
      <color rgb="FF375623"/>
      <name val="Calibri"/>
      <family val="2"/>
    </font>
    <font>
      <b/>
      <sz val="10"/>
      <color rgb="FF1F3864"/>
      <name val="Calibri"/>
      <family val="2"/>
    </font>
    <font>
      <b/>
      <sz val="13"/>
      <color rgb="FF000000"/>
      <name val="Calibri"/>
      <family val="2"/>
    </font>
    <font>
      <b/>
      <sz val="9"/>
      <color rgb="FFC55A11"/>
      <name val="Arial"/>
      <family val="2"/>
      <charset val="1"/>
    </font>
    <font>
      <b/>
      <sz val="9"/>
      <color rgb="FFFF0000"/>
      <name val="Arial"/>
      <family val="2"/>
      <charset val="1"/>
    </font>
    <font>
      <b/>
      <sz val="10"/>
      <color rgb="FF1F5C6B"/>
      <name val="Calibri"/>
      <family val="2"/>
    </font>
    <font>
      <b/>
      <sz val="11"/>
      <color rgb="FF000000"/>
      <name val="Calibri"/>
      <family val="2"/>
    </font>
    <font>
      <b/>
      <sz val="10"/>
      <color rgb="FF1F5C6B"/>
      <name val="Arial"/>
      <family val="2"/>
      <charset val="1"/>
    </font>
    <font>
      <sz val="9"/>
      <name val="Arial"/>
      <family val="2"/>
      <charset val="1"/>
    </font>
    <font>
      <b/>
      <sz val="9"/>
      <color rgb="FF1F5C6B"/>
      <name val="Arial"/>
      <family val="2"/>
      <charset val="1"/>
    </font>
    <font>
      <i/>
      <sz val="10"/>
      <color rgb="FF2E75B6"/>
      <name val="Arial"/>
      <family val="2"/>
      <charset val="1"/>
    </font>
    <font>
      <sz val="11"/>
      <color rgb="FF1F3864"/>
      <name val="Arial"/>
      <family val="2"/>
      <charset val="1"/>
    </font>
    <font>
      <i/>
      <sz val="9"/>
      <color rgb="FF375623"/>
      <name val="Arial"/>
      <family val="2"/>
      <charset val="1"/>
    </font>
    <font>
      <sz val="10"/>
      <color rgb="FF375623"/>
      <name val="Arial"/>
      <family val="2"/>
      <charset val="1"/>
    </font>
    <font>
      <sz val="10"/>
      <color rgb="FFC55A11"/>
      <name val="Arial"/>
      <family val="2"/>
      <charset val="1"/>
    </font>
    <font>
      <sz val="10"/>
      <color rgb="FF1F5C6B"/>
      <name val="Arial"/>
      <family val="2"/>
      <charset val="1"/>
    </font>
    <font>
      <sz val="10"/>
      <color rgb="FF7030A0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70C0"/>
      </patternFill>
    </fill>
    <fill>
      <patternFill patternType="solid">
        <fgColor rgb="FF375623"/>
        <bgColor rgb="FF404040"/>
      </patternFill>
    </fill>
    <fill>
      <patternFill patternType="solid">
        <fgColor rgb="FFC55A11"/>
        <bgColor rgb="FF993366"/>
      </patternFill>
    </fill>
    <fill>
      <patternFill patternType="solid">
        <fgColor rgb="FF1F5C6B"/>
        <bgColor rgb="FF375623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E2EFDA"/>
      </patternFill>
    </fill>
    <fill>
      <patternFill patternType="solid">
        <fgColor rgb="FF7B2D00"/>
        <bgColor rgb="FF800000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0D0D0"/>
      </patternFill>
    </fill>
    <fill>
      <patternFill patternType="solid">
        <fgColor rgb="FFFCE4D6"/>
        <bgColor rgb="FFFBE5D6"/>
      </patternFill>
    </fill>
    <fill>
      <patternFill patternType="solid">
        <fgColor rgb="FFDDEEFF"/>
        <bgColor rgb="FFDDEBF7"/>
      </patternFill>
    </fill>
    <fill>
      <patternFill patternType="solid">
        <fgColor rgb="FFFFFF99"/>
        <bgColor rgb="FFFBE5D6"/>
      </patternFill>
    </fill>
    <fill>
      <patternFill patternType="solid">
        <fgColor rgb="FFEAD1DC"/>
        <bgColor rgb="FFD0D0D0"/>
      </patternFill>
    </fill>
    <fill>
      <patternFill patternType="solid">
        <fgColor rgb="FFFBE5D6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6EAF8"/>
        <bgColor rgb="FFDDEBF7"/>
      </patternFill>
    </fill>
    <fill>
      <patternFill patternType="solid">
        <fgColor rgb="FFDDEBF7"/>
        <bgColor rgb="FFDDEEFF"/>
      </patternFill>
    </fill>
    <fill>
      <patternFill patternType="solid">
        <fgColor rgb="FF404040"/>
        <bgColor rgb="FF375623"/>
      </patternFill>
    </fill>
    <fill>
      <patternFill patternType="solid">
        <fgColor rgb="FFFF0000"/>
        <bgColor rgb="FF80000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9BBFDD"/>
      </left>
      <right style="thin">
        <color rgb="FF9BBFDD"/>
      </right>
      <top style="thin">
        <color rgb="FF9BBFDD"/>
      </top>
      <bottom style="thin">
        <color rgb="FF9BBFDD"/>
      </bottom>
      <diagonal/>
    </border>
    <border>
      <left style="thin">
        <color rgb="FFB0B000"/>
      </left>
      <right style="thin">
        <color rgb="FFB0B000"/>
      </right>
      <top style="thin">
        <color rgb="FFB0B000"/>
      </top>
      <bottom style="thin">
        <color rgb="FFB0B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4" fontId="22" fillId="0" borderId="0" xfId="0" applyNumberFormat="1" applyFont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8" fillId="10" borderId="2" xfId="0" applyFont="1" applyFill="1" applyBorder="1"/>
    <xf numFmtId="4" fontId="29" fillId="10" borderId="2" xfId="0" applyNumberFormat="1" applyFont="1" applyFill="1" applyBorder="1"/>
    <xf numFmtId="0" fontId="29" fillId="10" borderId="2" xfId="0" applyFont="1" applyFill="1" applyBorder="1"/>
    <xf numFmtId="9" fontId="29" fillId="10" borderId="2" xfId="0" applyNumberFormat="1" applyFont="1" applyFill="1" applyBorder="1"/>
    <xf numFmtId="0" fontId="28" fillId="11" borderId="2" xfId="0" applyFont="1" applyFill="1" applyBorder="1"/>
    <xf numFmtId="4" fontId="29" fillId="11" borderId="2" xfId="0" applyNumberFormat="1" applyFont="1" applyFill="1" applyBorder="1"/>
    <xf numFmtId="0" fontId="29" fillId="11" borderId="2" xfId="0" applyFont="1" applyFill="1" applyBorder="1"/>
    <xf numFmtId="9" fontId="29" fillId="11" borderId="2" xfId="0" applyNumberFormat="1" applyFont="1" applyFill="1" applyBorder="1"/>
    <xf numFmtId="4" fontId="10" fillId="2" borderId="1" xfId="0" applyNumberFormat="1" applyFont="1" applyFill="1" applyBorder="1" applyAlignment="1">
      <alignment horizontal="center" vertical="center" wrapText="1"/>
    </xf>
    <xf numFmtId="9" fontId="10" fillId="2" borderId="1" xfId="0" applyNumberFormat="1" applyFont="1" applyFill="1" applyBorder="1" applyAlignment="1">
      <alignment horizontal="center" vertical="center" wrapText="1"/>
    </xf>
    <xf numFmtId="0" fontId="32" fillId="12" borderId="0" xfId="0" applyFont="1" applyFill="1" applyAlignment="1">
      <alignment horizontal="center" wrapText="1"/>
    </xf>
    <xf numFmtId="0" fontId="33" fillId="13" borderId="3" xfId="0" applyFont="1" applyFill="1" applyBorder="1" applyAlignment="1">
      <alignment horizontal="center" vertical="center"/>
    </xf>
    <xf numFmtId="0" fontId="34" fillId="14" borderId="4" xfId="0" applyFont="1" applyFill="1" applyBorder="1" applyAlignment="1">
      <alignment horizontal="left" vertical="center"/>
    </xf>
    <xf numFmtId="4" fontId="34" fillId="14" borderId="4" xfId="0" applyNumberFormat="1" applyFont="1" applyFill="1" applyBorder="1" applyAlignment="1">
      <alignment horizontal="right" vertical="center"/>
    </xf>
    <xf numFmtId="0" fontId="35" fillId="13" borderId="3" xfId="0" applyFont="1" applyFill="1" applyBorder="1" applyAlignment="1">
      <alignment horizontal="center" vertical="center"/>
    </xf>
    <xf numFmtId="0" fontId="36" fillId="13" borderId="0" xfId="0" applyFont="1" applyFill="1"/>
    <xf numFmtId="0" fontId="0" fillId="13" borderId="0" xfId="0" applyFill="1"/>
    <xf numFmtId="0" fontId="33" fillId="13" borderId="3" xfId="0" applyFont="1" applyFill="1" applyBorder="1" applyAlignment="1">
      <alignment horizontal="center"/>
    </xf>
    <xf numFmtId="0" fontId="35" fillId="13" borderId="3" xfId="0" applyFont="1" applyFill="1" applyBorder="1" applyAlignment="1">
      <alignment horizontal="left" vertical="center"/>
    </xf>
    <xf numFmtId="4" fontId="35" fillId="13" borderId="3" xfId="0" applyNumberFormat="1" applyFont="1" applyFill="1" applyBorder="1" applyAlignment="1">
      <alignment horizontal="right"/>
    </xf>
    <xf numFmtId="0" fontId="39" fillId="13" borderId="3" xfId="0" applyFont="1" applyFill="1" applyBorder="1" applyAlignment="1">
      <alignment horizontal="left" vertical="center"/>
    </xf>
    <xf numFmtId="164" fontId="39" fillId="13" borderId="3" xfId="0" applyNumberFormat="1" applyFont="1" applyFill="1" applyBorder="1" applyAlignment="1">
      <alignment horizontal="left" vertical="center"/>
    </xf>
    <xf numFmtId="4" fontId="39" fillId="13" borderId="3" xfId="0" applyNumberFormat="1" applyFont="1" applyFill="1" applyBorder="1" applyAlignment="1">
      <alignment horizontal="right"/>
    </xf>
    <xf numFmtId="4" fontId="39" fillId="13" borderId="3" xfId="0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center" wrapText="1"/>
    </xf>
    <xf numFmtId="0" fontId="34" fillId="14" borderId="4" xfId="0" applyFont="1" applyFill="1" applyBorder="1" applyAlignment="1">
      <alignment horizontal="center" vertical="center"/>
    </xf>
    <xf numFmtId="164" fontId="35" fillId="13" borderId="3" xfId="0" applyNumberFormat="1" applyFont="1" applyFill="1" applyBorder="1" applyAlignment="1">
      <alignment horizontal="center" vertical="center"/>
    </xf>
    <xf numFmtId="4" fontId="35" fillId="13" borderId="3" xfId="0" applyNumberFormat="1" applyFont="1" applyFill="1" applyBorder="1" applyAlignment="1">
      <alignment horizontal="right" vertical="center"/>
    </xf>
    <xf numFmtId="0" fontId="43" fillId="0" borderId="0" xfId="0" applyFont="1"/>
    <xf numFmtId="4" fontId="44" fillId="0" borderId="0" xfId="0" applyNumberFormat="1" applyFont="1"/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29" fillId="17" borderId="2" xfId="0" applyFont="1" applyFill="1" applyBorder="1"/>
    <xf numFmtId="0" fontId="49" fillId="0" borderId="0" xfId="0" applyFont="1"/>
    <xf numFmtId="0" fontId="50" fillId="0" borderId="0" xfId="0" applyFont="1"/>
    <xf numFmtId="0" fontId="44" fillId="0" borderId="0" xfId="0" applyFont="1"/>
    <xf numFmtId="0" fontId="29" fillId="12" borderId="2" xfId="0" applyFont="1" applyFill="1" applyBorder="1"/>
    <xf numFmtId="0" fontId="51" fillId="0" borderId="0" xfId="0" applyFont="1" applyAlignment="1">
      <alignment horizontal="left" vertical="center"/>
    </xf>
    <xf numFmtId="4" fontId="48" fillId="18" borderId="0" xfId="0" applyNumberFormat="1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/>
    <xf numFmtId="0" fontId="54" fillId="0" borderId="0" xfId="0" applyFont="1"/>
    <xf numFmtId="1" fontId="34" fillId="14" borderId="4" xfId="0" applyNumberFormat="1" applyFont="1" applyFill="1" applyBorder="1" applyAlignment="1">
      <alignment horizontal="right" vertical="center"/>
    </xf>
    <xf numFmtId="2" fontId="34" fillId="14" borderId="4" xfId="0" applyNumberFormat="1" applyFont="1" applyFill="1" applyBorder="1" applyAlignment="1">
      <alignment horizontal="right" vertical="center"/>
    </xf>
    <xf numFmtId="0" fontId="55" fillId="0" borderId="0" xfId="0" applyFont="1"/>
    <xf numFmtId="0" fontId="34" fillId="14" borderId="4" xfId="0" applyFont="1" applyFill="1" applyBorder="1" applyAlignment="1">
      <alignment horizontal="right" vertical="center"/>
    </xf>
    <xf numFmtId="0" fontId="29" fillId="19" borderId="2" xfId="0" applyFont="1" applyFill="1" applyBorder="1"/>
    <xf numFmtId="0" fontId="57" fillId="0" borderId="5" xfId="0" applyFont="1" applyBorder="1" applyAlignment="1">
      <alignment horizontal="right"/>
    </xf>
    <xf numFmtId="4" fontId="44" fillId="11" borderId="1" xfId="0" applyNumberFormat="1" applyFont="1" applyFill="1" applyBorder="1" applyAlignment="1">
      <alignment horizontal="right"/>
    </xf>
    <xf numFmtId="0" fontId="28" fillId="0" borderId="1" xfId="0" applyFont="1" applyBorder="1"/>
    <xf numFmtId="0" fontId="29" fillId="0" borderId="1" xfId="0" applyFont="1" applyBorder="1"/>
    <xf numFmtId="0" fontId="28" fillId="8" borderId="1" xfId="0" applyFont="1" applyFill="1" applyBorder="1"/>
    <xf numFmtId="0" fontId="29" fillId="8" borderId="1" xfId="0" applyFont="1" applyFill="1" applyBorder="1"/>
    <xf numFmtId="0" fontId="28" fillId="10" borderId="1" xfId="0" applyFont="1" applyFill="1" applyBorder="1"/>
    <xf numFmtId="0" fontId="29" fillId="10" borderId="1" xfId="0" applyFont="1" applyFill="1" applyBorder="1"/>
    <xf numFmtId="0" fontId="29" fillId="8" borderId="2" xfId="0" applyFont="1" applyFill="1" applyBorder="1"/>
    <xf numFmtId="0" fontId="28" fillId="8" borderId="2" xfId="0" applyFont="1" applyFill="1" applyBorder="1"/>
    <xf numFmtId="0" fontId="9" fillId="8" borderId="2" xfId="0" applyFont="1" applyFill="1" applyBorder="1"/>
    <xf numFmtId="0" fontId="9" fillId="10" borderId="2" xfId="0" applyFont="1" applyFill="1" applyBorder="1"/>
    <xf numFmtId="14" fontId="34" fillId="14" borderId="4" xfId="0" applyNumberFormat="1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32" fillId="12" borderId="0" xfId="0" applyFont="1" applyFill="1" applyAlignment="1">
      <alignment horizontal="center" wrapText="1"/>
    </xf>
    <xf numFmtId="0" fontId="37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/>
    </xf>
    <xf numFmtId="0" fontId="11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2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8" fillId="13" borderId="0" xfId="0" applyFont="1" applyFill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 wrapText="1"/>
    </xf>
    <xf numFmtId="0" fontId="41" fillId="15" borderId="0" xfId="0" applyFont="1" applyFill="1" applyAlignment="1">
      <alignment horizontal="center" wrapText="1"/>
    </xf>
    <xf numFmtId="0" fontId="42" fillId="0" borderId="0" xfId="0" applyFont="1" applyAlignment="1">
      <alignment horizontal="center" wrapText="1"/>
    </xf>
    <xf numFmtId="4" fontId="48" fillId="16" borderId="0" xfId="0" applyNumberFormat="1" applyFont="1" applyFill="1" applyAlignment="1">
      <alignment horizontal="center" vertical="center"/>
    </xf>
    <xf numFmtId="0" fontId="0" fillId="0" borderId="0" xfId="0"/>
    <xf numFmtId="4" fontId="48" fillId="17" borderId="0" xfId="0" applyNumberFormat="1" applyFont="1" applyFill="1" applyAlignment="1">
      <alignment horizontal="center" vertical="center"/>
    </xf>
    <xf numFmtId="0" fontId="55" fillId="0" borderId="0" xfId="0" applyFont="1"/>
    <xf numFmtId="0" fontId="58" fillId="0" borderId="0" xfId="0" applyFont="1" applyAlignment="1">
      <alignment horizontal="center"/>
    </xf>
    <xf numFmtId="0" fontId="40" fillId="2" borderId="1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60" fillId="12" borderId="1" xfId="0" applyFont="1" applyFill="1" applyBorder="1"/>
    <xf numFmtId="0" fontId="61" fillId="19" borderId="1" xfId="0" applyFont="1" applyFill="1" applyBorder="1"/>
    <xf numFmtId="0" fontId="62" fillId="15" borderId="1" xfId="0" applyFont="1" applyFill="1" applyBorder="1"/>
    <xf numFmtId="0" fontId="14" fillId="11" borderId="1" xfId="0" applyFont="1" applyFill="1" applyBorder="1"/>
    <xf numFmtId="0" fontId="21" fillId="21" borderId="1" xfId="0" applyFont="1" applyFill="1" applyBorder="1"/>
    <xf numFmtId="0" fontId="13" fillId="20" borderId="1" xfId="0" applyFont="1" applyFill="1" applyBorder="1" applyAlignment="1">
      <alignment horizontal="center" vertical="center" wrapText="1"/>
    </xf>
    <xf numFmtId="0" fontId="34" fillId="14" borderId="1" xfId="0" applyFont="1" applyFill="1" applyBorder="1"/>
    <xf numFmtId="0" fontId="35" fillId="13" borderId="1" xfId="0" applyFont="1" applyFill="1" applyBorder="1"/>
    <xf numFmtId="0" fontId="59" fillId="1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808000"/>
      <rgbColor rgb="FF800080"/>
      <rgbColor rgb="FF1F5C6B"/>
      <rgbColor rgb="FFC0C0C0"/>
      <rgbColor rgb="FF808080"/>
      <rgbColor rgb="FFDDEBF7"/>
      <rgbColor rgb="FF7030A0"/>
      <rgbColor rgb="FFF2F2F2"/>
      <rgbColor rgb="FFDDEE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E2EFDA"/>
      <rgbColor rgb="FFFFFF99"/>
      <rgbColor rgb="FF9BBFDD"/>
      <rgbColor rgb="FFFCE4D6"/>
      <rgbColor rgb="FFD0D0D0"/>
      <rgbColor rgb="FFEAD1DC"/>
      <rgbColor rgb="FF2E75B6"/>
      <rgbColor rgb="FF33CCCC"/>
      <rgbColor rgb="FFB0B000"/>
      <rgbColor rgb="FFFFD700"/>
      <rgbColor rgb="FFFF9900"/>
      <rgbColor rgb="FFC55A11"/>
      <rgbColor rgb="FF666699"/>
      <rgbColor rgb="FFA0A0A0"/>
      <rgbColor rgb="FF1F3864"/>
      <rgbColor rgb="FF339966"/>
      <rgbColor rgb="FF003300"/>
      <rgbColor rgb="FF375623"/>
      <rgbColor rgb="FF7B2D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K10"/>
  <sheetViews>
    <sheetView showGridLines="0" zoomScaleNormal="100" workbookViewId="0">
      <selection sqref="A1:K1"/>
    </sheetView>
  </sheetViews>
  <sheetFormatPr defaultColWidth="8.7109375" defaultRowHeight="15" x14ac:dyDescent="0.25"/>
  <cols>
    <col min="1" max="1" width="3" customWidth="1"/>
    <col min="2" max="2" width="23" customWidth="1"/>
    <col min="3" max="3" width="3" customWidth="1"/>
    <col min="4" max="4" width="23" customWidth="1"/>
    <col min="5" max="5" width="3" customWidth="1"/>
    <col min="6" max="6" width="23" customWidth="1"/>
    <col min="7" max="7" width="3" customWidth="1"/>
    <col min="8" max="8" width="23" customWidth="1"/>
    <col min="9" max="9" width="3" customWidth="1"/>
    <col min="10" max="10" width="23" customWidth="1"/>
    <col min="11" max="11" width="3" customWidth="1"/>
  </cols>
  <sheetData>
    <row r="1" spans="1:11" ht="48" customHeight="1" x14ac:dyDescent="0.2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ht="24" customHeight="1" x14ac:dyDescent="0.25">
      <c r="A2" s="86" t="str">
        <f ca="1">TEXT(TODAY(),"dddd, mmmm d, yyyy")&amp;"  |  10-Agent  |  Formula-Only  |  Zero VBA  |  "</f>
        <v xml:space="preserve">Saturday, April 25, 2026  |  10-Agent  |  Formula-Only  |  Zero VBA  |  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spans="1:11" ht="27.75" customHeight="1" x14ac:dyDescent="0.25">
      <c r="B4" s="1" t="s">
        <v>1</v>
      </c>
      <c r="D4" s="2" t="s">
        <v>2</v>
      </c>
      <c r="F4" s="3" t="s">
        <v>3</v>
      </c>
      <c r="H4" s="4" t="s">
        <v>4</v>
      </c>
      <c r="J4" s="5" t="s">
        <v>5</v>
      </c>
    </row>
    <row r="5" spans="1:11" ht="48" customHeight="1" x14ac:dyDescent="0.25">
      <c r="B5" s="6">
        <f>IFERROR(SUM(DB_Savings!F:F),0)</f>
        <v>0</v>
      </c>
      <c r="D5" s="7">
        <f>IFERROR(SUM(DB_Withdrawals!G:G),0)</f>
        <v>0</v>
      </c>
      <c r="F5" s="8">
        <f>IFERROR(COUNTA(DB_Customers!A:A)-3,0)</f>
        <v>2000</v>
      </c>
      <c r="H5" s="9">
        <f>IFERROR(SUM(DB_Loans!E:E),0)</f>
        <v>0</v>
      </c>
      <c r="J5" s="10">
        <f>IFERROR(COUNTA('LOAN TOPUP'!B:B)-4,0)</f>
        <v>-3</v>
      </c>
    </row>
    <row r="6" spans="1:11" ht="27.75" customHeight="1" x14ac:dyDescent="0.25">
      <c r="A6" s="87" t="s">
        <v>6</v>
      </c>
      <c r="B6" s="87"/>
      <c r="C6" s="87"/>
      <c r="D6" s="87"/>
      <c r="E6" s="87"/>
      <c r="F6" s="87"/>
      <c r="G6" s="87"/>
      <c r="H6" s="87"/>
      <c r="I6" s="87"/>
      <c r="J6" s="87"/>
      <c r="K6" s="87"/>
    </row>
    <row r="7" spans="1:11" ht="30" customHeight="1" x14ac:dyDescent="0.25">
      <c r="B7" s="11" t="s">
        <v>7</v>
      </c>
      <c r="D7" s="11" t="s">
        <v>8</v>
      </c>
      <c r="F7" s="11" t="s">
        <v>9</v>
      </c>
      <c r="H7" s="11" t="s">
        <v>10</v>
      </c>
      <c r="J7" s="11" t="s">
        <v>11</v>
      </c>
    </row>
    <row r="8" spans="1:11" ht="30" customHeight="1" x14ac:dyDescent="0.25">
      <c r="B8" s="11" t="s">
        <v>12</v>
      </c>
      <c r="D8" s="11" t="s">
        <v>13</v>
      </c>
      <c r="F8" s="11" t="s">
        <v>14</v>
      </c>
      <c r="H8" s="11" t="s">
        <v>15</v>
      </c>
      <c r="J8" s="11" t="s">
        <v>16</v>
      </c>
    </row>
    <row r="10" spans="1:11" ht="37.5" customHeight="1" x14ac:dyDescent="0.25">
      <c r="A10" s="88" t="s">
        <v>17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</row>
  </sheetData>
  <mergeCells count="4">
    <mergeCell ref="A1:K1"/>
    <mergeCell ref="A2:K2"/>
    <mergeCell ref="A6:K6"/>
    <mergeCell ref="A10:K10"/>
  </mergeCells>
  <hyperlinks>
    <hyperlink ref="B7" location="'NEW ACCOUNT'!A1" display="📋 NEW ACCOUNT" xr:uid="{00000000-0004-0000-0000-000000000000}"/>
    <hyperlink ref="D7" location="DB_Customers!A1" display="🗄️ DATABASE" xr:uid="{00000000-0004-0000-0000-000001000000}"/>
    <hyperlink ref="F7" location="'🏦 MANAGER DASHBOARD'!A1" display="🏦 MANAGER DASHBOARD" xr:uid="{00000000-0004-0000-0000-000002000000}"/>
    <hyperlink ref="H7" location="REPORTS!A1" display="📊 REPORTS" xr:uid="{00000000-0004-0000-0000-000003000000}"/>
    <hyperlink ref="J7" location="'LOAN TOPUP'!A1" display="🔗 LOAN TOP-UP" xr:uid="{00000000-0004-0000-0000-000004000000}"/>
    <hyperlink ref="B8" location="DB_Savings!A1" display="💰 SAVINGS DB" xr:uid="{00000000-0004-0000-0000-000005000000}"/>
    <hyperlink ref="D8" location="DB_Withdrawals!A1" display="🏧 WITHDRAWALS DB" xr:uid="{00000000-0004-0000-0000-000006000000}"/>
    <hyperlink ref="F8" location="DB_Loans!A1" display="🏦 LOANS DB" xr:uid="{00000000-0004-0000-0000-000007000000}"/>
    <hyperlink ref="H8" location="System_Config!A1" display="⚙️ SYSTEM CONFIG" xr:uid="{00000000-0004-0000-0000-000008000000}"/>
    <hyperlink ref="J8" location="DB_Agents!A1" display="👥 AGENTS DB" xr:uid="{00000000-0004-0000-00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E20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0" customWidth="1"/>
    <col min="3" max="5" width="10" customWidth="1"/>
  </cols>
  <sheetData>
    <row r="1" spans="1:5" ht="43.5" customHeight="1" x14ac:dyDescent="0.25">
      <c r="A1" s="85" t="s">
        <v>18</v>
      </c>
      <c r="B1" s="85"/>
      <c r="C1" s="85"/>
      <c r="D1" s="85"/>
      <c r="E1" s="85"/>
    </row>
    <row r="2" spans="1:5" ht="25.5" customHeight="1" x14ac:dyDescent="0.25">
      <c r="A2" s="91" t="s">
        <v>19</v>
      </c>
      <c r="B2" s="91"/>
      <c r="C2" s="91"/>
      <c r="D2" s="91"/>
      <c r="E2" s="91"/>
    </row>
    <row r="4" spans="1:5" ht="27.75" customHeight="1" x14ac:dyDescent="0.25">
      <c r="A4" s="92" t="s">
        <v>20</v>
      </c>
      <c r="B4" s="92"/>
      <c r="C4" s="92"/>
      <c r="D4" s="92"/>
      <c r="E4" s="92"/>
    </row>
    <row r="6" spans="1:5" ht="15" customHeight="1" x14ac:dyDescent="0.25">
      <c r="A6" s="90" t="s">
        <v>21</v>
      </c>
      <c r="B6" s="90"/>
      <c r="C6" s="90"/>
      <c r="D6" s="90"/>
      <c r="E6" s="90"/>
    </row>
    <row r="7" spans="1:5" ht="16.5" customHeight="1" x14ac:dyDescent="0.25">
      <c r="A7" s="93" t="s">
        <v>22</v>
      </c>
      <c r="B7" s="93"/>
      <c r="C7" s="93"/>
      <c r="D7" s="93"/>
      <c r="E7" s="93"/>
    </row>
    <row r="8" spans="1:5" ht="15" customHeight="1" x14ac:dyDescent="0.25">
      <c r="A8" s="90" t="s">
        <v>23</v>
      </c>
      <c r="B8" s="90"/>
      <c r="C8" s="90"/>
      <c r="D8" s="90"/>
      <c r="E8" s="90"/>
    </row>
    <row r="10" spans="1:5" ht="15" customHeight="1" x14ac:dyDescent="0.25">
      <c r="A10" s="90" t="s">
        <v>24</v>
      </c>
      <c r="B10" s="90"/>
      <c r="C10" s="90"/>
      <c r="D10" s="90"/>
      <c r="E10" s="90"/>
    </row>
    <row r="12" spans="1:5" ht="15" customHeight="1" x14ac:dyDescent="0.25">
      <c r="A12" s="90" t="s">
        <v>25</v>
      </c>
      <c r="B12" s="90"/>
      <c r="C12" s="90"/>
      <c r="D12" s="90"/>
      <c r="E12" s="90"/>
    </row>
    <row r="14" spans="1:5" ht="15" customHeight="1" x14ac:dyDescent="0.25">
      <c r="A14" s="90" t="s">
        <v>26</v>
      </c>
      <c r="B14" s="90"/>
      <c r="C14" s="90"/>
      <c r="D14" s="90"/>
      <c r="E14" s="90"/>
    </row>
    <row r="16" spans="1:5" ht="15" customHeight="1" x14ac:dyDescent="0.25">
      <c r="A16" s="90" t="s">
        <v>27</v>
      </c>
      <c r="B16" s="90"/>
      <c r="C16" s="90"/>
      <c r="D16" s="90"/>
      <c r="E16" s="90"/>
    </row>
    <row r="20" spans="1:5" ht="15" customHeight="1" x14ac:dyDescent="0.25">
      <c r="A20" s="89" t="s">
        <v>28</v>
      </c>
      <c r="B20" s="89"/>
      <c r="C20" s="89"/>
      <c r="D20" s="89"/>
      <c r="E20" s="89"/>
    </row>
  </sheetData>
  <mergeCells count="11">
    <mergeCell ref="A1:E1"/>
    <mergeCell ref="A2:E2"/>
    <mergeCell ref="A4:E4"/>
    <mergeCell ref="A6:E6"/>
    <mergeCell ref="A7:E7"/>
    <mergeCell ref="A20:E20"/>
    <mergeCell ref="A8:E8"/>
    <mergeCell ref="A10:E10"/>
    <mergeCell ref="A12:E12"/>
    <mergeCell ref="A14:E14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E24"/>
  <sheetViews>
    <sheetView showGridLines="0" zoomScaleNormal="100" workbookViewId="0"/>
  </sheetViews>
  <sheetFormatPr defaultColWidth="8.7109375" defaultRowHeight="15" x14ac:dyDescent="0.25"/>
  <cols>
    <col min="1" max="1" width="8" customWidth="1"/>
    <col min="2" max="2" width="30" customWidth="1"/>
    <col min="3" max="5" width="10" customWidth="1"/>
  </cols>
  <sheetData>
    <row r="1" spans="1:5" ht="43.5" customHeight="1" x14ac:dyDescent="0.25">
      <c r="A1" s="85" t="s">
        <v>18</v>
      </c>
      <c r="B1" s="85"/>
      <c r="C1" s="85"/>
      <c r="D1" s="85"/>
      <c r="E1" s="85"/>
    </row>
    <row r="2" spans="1:5" ht="25.5" customHeight="1" x14ac:dyDescent="0.25">
      <c r="A2" s="91" t="s">
        <v>29</v>
      </c>
      <c r="B2" s="91"/>
      <c r="C2" s="91"/>
      <c r="D2" s="91"/>
      <c r="E2" s="91"/>
    </row>
    <row r="4" spans="1:5" ht="27.75" customHeight="1" x14ac:dyDescent="0.25">
      <c r="A4" s="92" t="s">
        <v>30</v>
      </c>
      <c r="B4" s="92"/>
      <c r="C4" s="92"/>
      <c r="D4" s="92"/>
      <c r="E4" s="92"/>
    </row>
    <row r="6" spans="1:5" ht="43.5" customHeight="1" x14ac:dyDescent="0.25">
      <c r="B6" s="97" t="s">
        <v>31</v>
      </c>
      <c r="C6" s="97"/>
      <c r="D6" s="97"/>
      <c r="E6" s="97"/>
    </row>
    <row r="8" spans="1:5" ht="43.5" customHeight="1" x14ac:dyDescent="0.25">
      <c r="B8" s="97" t="s">
        <v>32</v>
      </c>
      <c r="C8" s="97"/>
      <c r="D8" s="97"/>
      <c r="E8" s="97"/>
    </row>
    <row r="10" spans="1:5" ht="43.5" customHeight="1" x14ac:dyDescent="0.25">
      <c r="B10" s="97" t="s">
        <v>33</v>
      </c>
      <c r="C10" s="97"/>
      <c r="D10" s="97"/>
      <c r="E10" s="97"/>
    </row>
    <row r="12" spans="1:5" ht="43.5" customHeight="1" x14ac:dyDescent="0.25">
      <c r="B12" s="97" t="s">
        <v>34</v>
      </c>
      <c r="C12" s="97"/>
      <c r="D12" s="97"/>
      <c r="E12" s="97"/>
    </row>
    <row r="14" spans="1:5" ht="43.5" customHeight="1" x14ac:dyDescent="0.25">
      <c r="B14" s="97" t="s">
        <v>35</v>
      </c>
      <c r="C14" s="97"/>
      <c r="D14" s="97"/>
      <c r="E14" s="97"/>
    </row>
    <row r="16" spans="1:5" ht="43.5" customHeight="1" x14ac:dyDescent="0.25">
      <c r="B16" s="97" t="s">
        <v>36</v>
      </c>
      <c r="C16" s="97"/>
      <c r="D16" s="97"/>
      <c r="E16" s="97"/>
    </row>
    <row r="18" spans="1:5" ht="25.5" customHeight="1" x14ac:dyDescent="0.25">
      <c r="A18" s="98" t="s">
        <v>37</v>
      </c>
      <c r="B18" s="98"/>
      <c r="C18" s="98"/>
      <c r="D18" s="98"/>
      <c r="E18" s="98"/>
    </row>
    <row r="20" spans="1:5" ht="15.75" customHeight="1" x14ac:dyDescent="0.25">
      <c r="B20" s="94" t="s">
        <v>38</v>
      </c>
      <c r="C20" s="94"/>
      <c r="D20" s="94"/>
      <c r="E20" s="94"/>
    </row>
    <row r="22" spans="1:5" ht="15" customHeight="1" x14ac:dyDescent="0.25">
      <c r="B22" s="95" t="s">
        <v>39</v>
      </c>
      <c r="C22" s="95"/>
      <c r="D22" s="95"/>
      <c r="E22" s="95"/>
    </row>
    <row r="24" spans="1:5" ht="18" customHeight="1" x14ac:dyDescent="0.25">
      <c r="A24" s="96" t="s">
        <v>40</v>
      </c>
      <c r="B24" s="96"/>
      <c r="C24" s="96"/>
      <c r="D24" s="96"/>
      <c r="E24" s="96"/>
    </row>
  </sheetData>
  <mergeCells count="13">
    <mergeCell ref="A1:E1"/>
    <mergeCell ref="A2:E2"/>
    <mergeCell ref="A4:E4"/>
    <mergeCell ref="B6:E6"/>
    <mergeCell ref="B8:E8"/>
    <mergeCell ref="B20:E20"/>
    <mergeCell ref="B22:E22"/>
    <mergeCell ref="A24:E24"/>
    <mergeCell ref="B10:E10"/>
    <mergeCell ref="B12:E12"/>
    <mergeCell ref="B14:E14"/>
    <mergeCell ref="B16:E16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N19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6" customWidth="1"/>
    <col min="3" max="4" width="18" customWidth="1"/>
    <col min="5" max="5" width="13" customWidth="1"/>
    <col min="6" max="6" width="15" customWidth="1"/>
    <col min="7" max="8" width="18" customWidth="1"/>
    <col min="9" max="9" width="10" customWidth="1"/>
    <col min="10" max="10" width="14" customWidth="1"/>
  </cols>
  <sheetData>
    <row r="1" spans="1:14" ht="43.5" customHeight="1" x14ac:dyDescent="0.25">
      <c r="A1" s="99" t="s">
        <v>41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4" ht="21.75" customHeight="1" x14ac:dyDescent="0.25">
      <c r="A2" s="100" t="str">
        <f ca="1">UPPER(TEXT(TODAY(),"DDDD, DD MMMM YYYY"))&amp;"  |  10 Agents  |  Real-Time  |  Formula Engine  |  Zero VBA"</f>
        <v>SATURDAY, 25 APRIL 2026  |  10 Agents  |  Real-Time  |  Formula Engine  |  Zero VBA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</row>
    <row r="4" spans="1:14" ht="27.75" customHeight="1" x14ac:dyDescent="0.25">
      <c r="B4" s="1" t="s">
        <v>1</v>
      </c>
      <c r="D4" s="2" t="s">
        <v>2</v>
      </c>
      <c r="F4" s="4" t="s">
        <v>42</v>
      </c>
      <c r="H4" s="3" t="s">
        <v>3</v>
      </c>
      <c r="J4" s="5" t="s">
        <v>4</v>
      </c>
      <c r="L4" s="12" t="s">
        <v>43</v>
      </c>
    </row>
    <row r="5" spans="1:14" ht="48" customHeight="1" x14ac:dyDescent="0.25">
      <c r="B5" s="13">
        <f>IFERROR(SUM(DB_Savings!$F:$F),0)</f>
        <v>0</v>
      </c>
      <c r="D5" s="14">
        <f>IFERROR(SUM(DB_Withdrawals!$G:$G),0)</f>
        <v>0</v>
      </c>
      <c r="F5" s="15">
        <f>B5-D5</f>
        <v>0</v>
      </c>
      <c r="H5" s="16">
        <f>IFERROR(COUNTA(DB_Customers!A:A)-3,0)</f>
        <v>2000</v>
      </c>
      <c r="J5" s="17">
        <f>IFERROR(SUM(DB_Loans!$E:$E),0)</f>
        <v>0</v>
      </c>
      <c r="L5" s="18">
        <f>IFERROR(COUNTA('LOAN TOPUP'!B:B)-4,0)</f>
        <v>-3</v>
      </c>
    </row>
    <row r="7" spans="1:14" ht="25.5" customHeight="1" x14ac:dyDescent="0.25">
      <c r="A7" s="101" t="s">
        <v>44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</row>
    <row r="8" spans="1:14" ht="30" customHeight="1" x14ac:dyDescent="0.25">
      <c r="A8" s="19" t="s">
        <v>45</v>
      </c>
      <c r="B8" s="19" t="s">
        <v>46</v>
      </c>
      <c r="C8" s="19" t="s">
        <v>47</v>
      </c>
      <c r="D8" s="19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19" t="s">
        <v>53</v>
      </c>
    </row>
    <row r="9" spans="1:14" ht="15" customHeight="1" x14ac:dyDescent="0.25">
      <c r="A9" s="20" t="s">
        <v>54</v>
      </c>
      <c r="B9" s="21">
        <f ca="1">IFERROR(SUMIFS(DB_Savings!$F:$F,DB_Savings!$D:$D,"Agent 01",DB_Savings!$E:$E,TODAY()),0)</f>
        <v>0</v>
      </c>
      <c r="C9" s="21">
        <f ca="1">IFERROR(SUMIFS(DB_Withdrawals!$G:$G,DB_Withdrawals!$I:$I,"Agent 01",DB_Withdrawals!$E:$E,TODAY()),0)</f>
        <v>0</v>
      </c>
      <c r="D9" s="21">
        <f t="shared" ref="D9:D18" ca="1" si="0">B9-C9</f>
        <v>0</v>
      </c>
      <c r="E9" s="22">
        <f ca="1">IFERROR(COUNTIFS(DB_Savings!$D:$D,"Agent 01",DB_Savings!$E:$E,TODAY()),0)</f>
        <v>0</v>
      </c>
      <c r="F9" s="21">
        <f>IFERROR(SUMIF(DB_Savings!$D:$D,"Agent 01",DB_Savings!$F:$F),0)</f>
        <v>0</v>
      </c>
      <c r="G9" s="22">
        <f>IFERROR(COUNTIF(DB_Customers!$G:$G,"Agent 01"),0)</f>
        <v>0</v>
      </c>
      <c r="H9" s="22">
        <v>5000</v>
      </c>
      <c r="I9" s="23">
        <f t="shared" ref="I9:I19" ca="1" si="1">IFERROR(B9/H9,0)</f>
        <v>0</v>
      </c>
    </row>
    <row r="10" spans="1:14" ht="15" customHeight="1" x14ac:dyDescent="0.25">
      <c r="A10" s="24" t="s">
        <v>55</v>
      </c>
      <c r="B10" s="25">
        <f ca="1">IFERROR(SUMIFS(DB_Savings!$F:$F,DB_Savings!$D:$D,"Agent 02",DB_Savings!$E:$E,TODAY()),0)</f>
        <v>0</v>
      </c>
      <c r="C10" s="25">
        <f ca="1">IFERROR(SUMIFS(DB_Withdrawals!$G:$G,DB_Withdrawals!$I:$I,"Agent 02",DB_Withdrawals!$E:$E,TODAY()),0)</f>
        <v>0</v>
      </c>
      <c r="D10" s="25">
        <f t="shared" ca="1" si="0"/>
        <v>0</v>
      </c>
      <c r="E10" s="26">
        <f ca="1">IFERROR(COUNTIFS(DB_Savings!$D:$D,"Agent 02",DB_Savings!$E:$E,TODAY()),0)</f>
        <v>0</v>
      </c>
      <c r="F10" s="25">
        <f>IFERROR(SUMIF(DB_Savings!$D:$D,"Agent 02",DB_Savings!$F:$F),0)</f>
        <v>0</v>
      </c>
      <c r="G10" s="26">
        <f>IFERROR(COUNTIF(DB_Customers!$G:$G,"Agent 02"),0)</f>
        <v>0</v>
      </c>
      <c r="H10" s="26">
        <v>5000</v>
      </c>
      <c r="I10" s="27">
        <f t="shared" ca="1" si="1"/>
        <v>0</v>
      </c>
    </row>
    <row r="11" spans="1:14" ht="15" customHeight="1" x14ac:dyDescent="0.25">
      <c r="A11" s="20" t="s">
        <v>56</v>
      </c>
      <c r="B11" s="21">
        <f ca="1">IFERROR(SUMIFS(DB_Savings!$F:$F,DB_Savings!$D:$D,"Agent 03",DB_Savings!$E:$E,TODAY()),0)</f>
        <v>0</v>
      </c>
      <c r="C11" s="21">
        <f ca="1">IFERROR(SUMIFS(DB_Withdrawals!$G:$G,DB_Withdrawals!$I:$I,"Agent 03",DB_Withdrawals!$E:$E,TODAY()),0)</f>
        <v>0</v>
      </c>
      <c r="D11" s="21">
        <f t="shared" ca="1" si="0"/>
        <v>0</v>
      </c>
      <c r="E11" s="22">
        <f ca="1">IFERROR(COUNTIFS(DB_Savings!$D:$D,"Agent 03",DB_Savings!$E:$E,TODAY()),0)</f>
        <v>0</v>
      </c>
      <c r="F11" s="21">
        <f>IFERROR(SUMIF(DB_Savings!$D:$D,"Agent 03",DB_Savings!$F:$F),0)</f>
        <v>0</v>
      </c>
      <c r="G11" s="22">
        <f>IFERROR(COUNTIF(DB_Customers!$G:$G,"Agent 03"),0)</f>
        <v>0</v>
      </c>
      <c r="H11" s="22">
        <v>5000</v>
      </c>
      <c r="I11" s="23">
        <f t="shared" ca="1" si="1"/>
        <v>0</v>
      </c>
    </row>
    <row r="12" spans="1:14" ht="15" customHeight="1" x14ac:dyDescent="0.25">
      <c r="A12" s="24" t="s">
        <v>57</v>
      </c>
      <c r="B12" s="25">
        <f ca="1">IFERROR(SUMIFS(DB_Savings!$F:$F,DB_Savings!$D:$D,"Agent 04",DB_Savings!$E:$E,TODAY()),0)</f>
        <v>0</v>
      </c>
      <c r="C12" s="25">
        <f ca="1">IFERROR(SUMIFS(DB_Withdrawals!$G:$G,DB_Withdrawals!$I:$I,"Agent 04",DB_Withdrawals!$E:$E,TODAY()),0)</f>
        <v>0</v>
      </c>
      <c r="D12" s="25">
        <f t="shared" ca="1" si="0"/>
        <v>0</v>
      </c>
      <c r="E12" s="26">
        <f ca="1">IFERROR(COUNTIFS(DB_Savings!$D:$D,"Agent 04",DB_Savings!$E:$E,TODAY()),0)</f>
        <v>0</v>
      </c>
      <c r="F12" s="25">
        <f>IFERROR(SUMIF(DB_Savings!$D:$D,"Agent 04",DB_Savings!$F:$F),0)</f>
        <v>0</v>
      </c>
      <c r="G12" s="26">
        <f>IFERROR(COUNTIF(DB_Customers!$G:$G,"Agent 04"),0)</f>
        <v>0</v>
      </c>
      <c r="H12" s="26">
        <v>5000</v>
      </c>
      <c r="I12" s="27">
        <f t="shared" ca="1" si="1"/>
        <v>0</v>
      </c>
    </row>
    <row r="13" spans="1:14" ht="15" customHeight="1" x14ac:dyDescent="0.25">
      <c r="A13" s="20" t="s">
        <v>58</v>
      </c>
      <c r="B13" s="21">
        <f ca="1">IFERROR(SUMIFS(DB_Savings!$F:$F,DB_Savings!$D:$D,"Agent 05",DB_Savings!$E:$E,TODAY()),0)</f>
        <v>0</v>
      </c>
      <c r="C13" s="21">
        <f ca="1">IFERROR(SUMIFS(DB_Withdrawals!$G:$G,DB_Withdrawals!$I:$I,"Agent 05",DB_Withdrawals!$E:$E,TODAY()),0)</f>
        <v>0</v>
      </c>
      <c r="D13" s="21">
        <f t="shared" ca="1" si="0"/>
        <v>0</v>
      </c>
      <c r="E13" s="22">
        <f ca="1">IFERROR(COUNTIFS(DB_Savings!$D:$D,"Agent 05",DB_Savings!$E:$E,TODAY()),0)</f>
        <v>0</v>
      </c>
      <c r="F13" s="21">
        <f>IFERROR(SUMIF(DB_Savings!$D:$D,"Agent 05",DB_Savings!$F:$F),0)</f>
        <v>0</v>
      </c>
      <c r="G13" s="22">
        <f>IFERROR(COUNTIF(DB_Customers!$G:$G,"Agent 05"),0)</f>
        <v>0</v>
      </c>
      <c r="H13" s="22">
        <v>5000</v>
      </c>
      <c r="I13" s="23">
        <f t="shared" ca="1" si="1"/>
        <v>0</v>
      </c>
    </row>
    <row r="14" spans="1:14" ht="15" customHeight="1" x14ac:dyDescent="0.25">
      <c r="A14" s="24" t="s">
        <v>59</v>
      </c>
      <c r="B14" s="25">
        <f ca="1">IFERROR(SUMIFS(DB_Savings!$F:$F,DB_Savings!$D:$D,"Agent 06",DB_Savings!$E:$E,TODAY()),0)</f>
        <v>0</v>
      </c>
      <c r="C14" s="25">
        <f ca="1">IFERROR(SUMIFS(DB_Withdrawals!$G:$G,DB_Withdrawals!$I:$I,"Agent 06",DB_Withdrawals!$E:$E,TODAY()),0)</f>
        <v>0</v>
      </c>
      <c r="D14" s="25">
        <f t="shared" ca="1" si="0"/>
        <v>0</v>
      </c>
      <c r="E14" s="26">
        <f ca="1">IFERROR(COUNTIFS(DB_Savings!$D:$D,"Agent 06",DB_Savings!$E:$E,TODAY()),0)</f>
        <v>0</v>
      </c>
      <c r="F14" s="25">
        <f>IFERROR(SUMIF(DB_Savings!$D:$D,"Agent 06",DB_Savings!$F:$F),0)</f>
        <v>0</v>
      </c>
      <c r="G14" s="26">
        <f>IFERROR(COUNTIF(DB_Customers!$G:$G,"Agent 06"),0)</f>
        <v>0</v>
      </c>
      <c r="H14" s="26">
        <v>5000</v>
      </c>
      <c r="I14" s="27">
        <f t="shared" ca="1" si="1"/>
        <v>0</v>
      </c>
    </row>
    <row r="15" spans="1:14" ht="15" customHeight="1" x14ac:dyDescent="0.25">
      <c r="A15" s="20" t="s">
        <v>60</v>
      </c>
      <c r="B15" s="21">
        <f ca="1">IFERROR(SUMIFS(DB_Savings!$F:$F,DB_Savings!$D:$D,"Agent 07",DB_Savings!$E:$E,TODAY()),0)</f>
        <v>0</v>
      </c>
      <c r="C15" s="21">
        <f ca="1">IFERROR(SUMIFS(DB_Withdrawals!$G:$G,DB_Withdrawals!$I:$I,"Agent 07",DB_Withdrawals!$E:$E,TODAY()),0)</f>
        <v>0</v>
      </c>
      <c r="D15" s="21">
        <f t="shared" ca="1" si="0"/>
        <v>0</v>
      </c>
      <c r="E15" s="22">
        <f ca="1">IFERROR(COUNTIFS(DB_Savings!$D:$D,"Agent 07",DB_Savings!$E:$E,TODAY()),0)</f>
        <v>0</v>
      </c>
      <c r="F15" s="21">
        <f>IFERROR(SUMIF(DB_Savings!$D:$D,"Agent 07",DB_Savings!$F:$F),0)</f>
        <v>0</v>
      </c>
      <c r="G15" s="22">
        <f>IFERROR(COUNTIF(DB_Customers!$G:$G,"Agent 07"),0)</f>
        <v>0</v>
      </c>
      <c r="H15" s="22">
        <v>5000</v>
      </c>
      <c r="I15" s="23">
        <f t="shared" ca="1" si="1"/>
        <v>0</v>
      </c>
    </row>
    <row r="16" spans="1:14" ht="15" customHeight="1" x14ac:dyDescent="0.25">
      <c r="A16" s="24" t="s">
        <v>61</v>
      </c>
      <c r="B16" s="25">
        <f ca="1">IFERROR(SUMIFS(DB_Savings!$F:$F,DB_Savings!$D:$D,"Agent 08",DB_Savings!$E:$E,TODAY()),0)</f>
        <v>0</v>
      </c>
      <c r="C16" s="25">
        <f ca="1">IFERROR(SUMIFS(DB_Withdrawals!$G:$G,DB_Withdrawals!$I:$I,"Agent 08",DB_Withdrawals!$E:$E,TODAY()),0)</f>
        <v>0</v>
      </c>
      <c r="D16" s="25">
        <f t="shared" ca="1" si="0"/>
        <v>0</v>
      </c>
      <c r="E16" s="26">
        <f ca="1">IFERROR(COUNTIFS(DB_Savings!$D:$D,"Agent 08",DB_Savings!$E:$E,TODAY()),0)</f>
        <v>0</v>
      </c>
      <c r="F16" s="25">
        <f>IFERROR(SUMIF(DB_Savings!$D:$D,"Agent 08",DB_Savings!$F:$F),0)</f>
        <v>0</v>
      </c>
      <c r="G16" s="26">
        <f>IFERROR(COUNTIF(DB_Customers!$G:$G,"Agent 08"),0)</f>
        <v>0</v>
      </c>
      <c r="H16" s="26">
        <v>5000</v>
      </c>
      <c r="I16" s="27">
        <f t="shared" ca="1" si="1"/>
        <v>0</v>
      </c>
    </row>
    <row r="17" spans="1:9" ht="15" customHeight="1" x14ac:dyDescent="0.25">
      <c r="A17" s="20" t="s">
        <v>62</v>
      </c>
      <c r="B17" s="21">
        <f ca="1">IFERROR(SUMIFS(DB_Savings!$F:$F,DB_Savings!$D:$D,"Agent 09",DB_Savings!$E:$E,TODAY()),0)</f>
        <v>0</v>
      </c>
      <c r="C17" s="21">
        <f ca="1">IFERROR(SUMIFS(DB_Withdrawals!$G:$G,DB_Withdrawals!$I:$I,"Agent 09",DB_Withdrawals!$E:$E,TODAY()),0)</f>
        <v>0</v>
      </c>
      <c r="D17" s="21">
        <f t="shared" ca="1" si="0"/>
        <v>0</v>
      </c>
      <c r="E17" s="22">
        <f ca="1">IFERROR(COUNTIFS(DB_Savings!$D:$D,"Agent 09",DB_Savings!$E:$E,TODAY()),0)</f>
        <v>0</v>
      </c>
      <c r="F17" s="21">
        <f>IFERROR(SUMIF(DB_Savings!$D:$D,"Agent 09",DB_Savings!$F:$F),0)</f>
        <v>0</v>
      </c>
      <c r="G17" s="22">
        <f>IFERROR(COUNTIF(DB_Customers!$G:$G,"Agent 09"),0)</f>
        <v>0</v>
      </c>
      <c r="H17" s="22">
        <v>5000</v>
      </c>
      <c r="I17" s="23">
        <f t="shared" ca="1" si="1"/>
        <v>0</v>
      </c>
    </row>
    <row r="18" spans="1:9" ht="15" customHeight="1" x14ac:dyDescent="0.25">
      <c r="A18" s="24" t="s">
        <v>63</v>
      </c>
      <c r="B18" s="25">
        <f ca="1">IFERROR(SUMIFS(DB_Savings!$F:$F,DB_Savings!$D:$D,"Agent 10",DB_Savings!$E:$E,TODAY()),0)</f>
        <v>0</v>
      </c>
      <c r="C18" s="25">
        <f ca="1">IFERROR(SUMIFS(DB_Withdrawals!$G:$G,DB_Withdrawals!$I:$I,"Agent 10",DB_Withdrawals!$E:$E,TODAY()),0)</f>
        <v>0</v>
      </c>
      <c r="D18" s="25">
        <f t="shared" ca="1" si="0"/>
        <v>0</v>
      </c>
      <c r="E18" s="26">
        <f ca="1">IFERROR(COUNTIFS(DB_Savings!$D:$D,"Agent 10",DB_Savings!$E:$E,TODAY()),0)</f>
        <v>0</v>
      </c>
      <c r="F18" s="25">
        <f>IFERROR(SUMIF(DB_Savings!$D:$D,"Agent 10",DB_Savings!$F:$F),0)</f>
        <v>0</v>
      </c>
      <c r="G18" s="26">
        <f>IFERROR(COUNTIF(DB_Customers!$G:$G,"Agent 10"),0)</f>
        <v>0</v>
      </c>
      <c r="H18" s="26">
        <v>5000</v>
      </c>
      <c r="I18" s="27">
        <f t="shared" ca="1" si="1"/>
        <v>0</v>
      </c>
    </row>
    <row r="19" spans="1:9" ht="76.5" customHeight="1" x14ac:dyDescent="0.25">
      <c r="A19" s="19" t="s">
        <v>64</v>
      </c>
      <c r="B19" s="28">
        <f t="shared" ref="B19:H19" ca="1" si="2">SUM(B9:B18)</f>
        <v>0</v>
      </c>
      <c r="C19" s="28">
        <f t="shared" ca="1" si="2"/>
        <v>0</v>
      </c>
      <c r="D19" s="28">
        <f t="shared" ca="1" si="2"/>
        <v>0</v>
      </c>
      <c r="E19" s="19">
        <f t="shared" ca="1" si="2"/>
        <v>0</v>
      </c>
      <c r="F19" s="28">
        <f t="shared" si="2"/>
        <v>0</v>
      </c>
      <c r="G19" s="19">
        <f t="shared" si="2"/>
        <v>0</v>
      </c>
      <c r="H19" s="19">
        <f t="shared" si="2"/>
        <v>50000</v>
      </c>
      <c r="I19" s="29">
        <f t="shared" ca="1" si="1"/>
        <v>0</v>
      </c>
    </row>
  </sheetData>
  <mergeCells count="3">
    <mergeCell ref="A1:N1"/>
    <mergeCell ref="A2:N2"/>
    <mergeCell ref="A7:N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J2005"/>
  <sheetViews>
    <sheetView showGridLines="0" zoomScaleNormal="100" workbookViewId="0">
      <selection activeCell="H6" sqref="H6"/>
    </sheetView>
  </sheetViews>
  <sheetFormatPr defaultColWidth="8.7109375" defaultRowHeight="15" x14ac:dyDescent="0.25"/>
  <cols>
    <col min="1" max="1" width="18" customWidth="1"/>
    <col min="2" max="2" width="28" customWidth="1"/>
    <col min="3" max="4" width="16" customWidth="1"/>
    <col min="5" max="5" width="18" customWidth="1"/>
    <col min="6" max="6" width="20" customWidth="1"/>
    <col min="7" max="8" width="22" customWidth="1"/>
    <col min="9" max="9" width="18" customWidth="1"/>
    <col min="10" max="10" width="22" customWidth="1"/>
  </cols>
  <sheetData>
    <row r="1" spans="1:10" ht="36" customHeight="1" x14ac:dyDescent="0.25">
      <c r="A1" s="81" t="s">
        <v>65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ht="30" customHeight="1" x14ac:dyDescent="0.25">
      <c r="A2" s="82" t="s">
        <v>66</v>
      </c>
      <c r="B2" s="82"/>
      <c r="C2" s="82"/>
      <c r="D2" s="82"/>
      <c r="E2" s="82"/>
      <c r="F2" s="82"/>
      <c r="G2" s="82"/>
      <c r="H2" s="82"/>
      <c r="I2" s="82"/>
      <c r="J2" s="82"/>
    </row>
    <row r="3" spans="1:10" ht="21.75" customHeight="1" x14ac:dyDescent="0.25">
      <c r="A3" s="83" t="s">
        <v>67</v>
      </c>
      <c r="B3" s="83"/>
      <c r="C3" s="83"/>
      <c r="D3" s="83"/>
      <c r="E3" s="83"/>
      <c r="F3" s="83"/>
      <c r="G3" s="83"/>
      <c r="H3" s="83"/>
      <c r="I3" s="83"/>
      <c r="J3" s="83"/>
    </row>
    <row r="4" spans="1:10" ht="30" customHeight="1" x14ac:dyDescent="0.25">
      <c r="A4" s="11" t="s">
        <v>68</v>
      </c>
      <c r="B4" s="11" t="s">
        <v>69</v>
      </c>
      <c r="C4" s="11" t="s">
        <v>70</v>
      </c>
      <c r="D4" s="11" t="s">
        <v>71</v>
      </c>
      <c r="E4" s="11" t="s">
        <v>72</v>
      </c>
      <c r="F4" s="11" t="s">
        <v>73</v>
      </c>
      <c r="G4" s="11" t="s">
        <v>74</v>
      </c>
      <c r="H4" s="11" t="s">
        <v>75</v>
      </c>
      <c r="I4" s="11" t="s">
        <v>76</v>
      </c>
      <c r="J4" s="11" t="s">
        <v>77</v>
      </c>
    </row>
    <row r="5" spans="1:10" ht="19.5" customHeight="1" x14ac:dyDescent="0.25">
      <c r="A5" s="31" t="str">
        <f t="shared" ref="A5:A68" si="0">IF(B5="","","ACC"&amp;TEXT(ROW()-4,"0000"))</f>
        <v>ACC0001</v>
      </c>
      <c r="B5" s="32" t="s">
        <v>22</v>
      </c>
      <c r="C5" s="80">
        <v>31930</v>
      </c>
      <c r="D5" s="32">
        <v>241911273</v>
      </c>
      <c r="E5" s="32" t="s">
        <v>336</v>
      </c>
      <c r="F5" s="32" t="s">
        <v>337</v>
      </c>
      <c r="G5" s="32">
        <v>1</v>
      </c>
      <c r="H5" s="33">
        <v>400</v>
      </c>
      <c r="I5" s="34" t="str">
        <f t="shared" ref="I5:I68" ca="1" si="1">IF(B5="","",TEXT(TODAY(),"dd/mm/yyyy"))</f>
        <v>25/04/2026</v>
      </c>
      <c r="J5" s="34" t="str">
        <f t="shared" ref="J5:J68" si="2">IF(B5="","",IF(ISNUMBER(H5),IF(H5&gt;=10,"✅ Active","⚠️ Below Min Balance"),"Pending"))</f>
        <v>✅ Active</v>
      </c>
    </row>
    <row r="6" spans="1:10" ht="19.5" customHeight="1" x14ac:dyDescent="0.25">
      <c r="A6" s="31" t="str">
        <f t="shared" si="0"/>
        <v/>
      </c>
      <c r="B6" s="32"/>
      <c r="C6" s="80"/>
      <c r="D6" s="32"/>
      <c r="E6" s="32"/>
      <c r="F6" s="32"/>
      <c r="G6" s="32"/>
      <c r="H6" s="33"/>
      <c r="I6" s="34" t="str">
        <f t="shared" ca="1" si="1"/>
        <v/>
      </c>
      <c r="J6" s="34" t="str">
        <f t="shared" si="2"/>
        <v/>
      </c>
    </row>
    <row r="7" spans="1:10" ht="19.5" customHeight="1" x14ac:dyDescent="0.25">
      <c r="A7" s="31" t="str">
        <f t="shared" si="0"/>
        <v/>
      </c>
      <c r="B7" s="32"/>
      <c r="C7" s="32"/>
      <c r="D7" s="32"/>
      <c r="E7" s="32"/>
      <c r="F7" s="32"/>
      <c r="G7" s="32"/>
      <c r="H7" s="33"/>
      <c r="I7" s="34" t="str">
        <f t="shared" ca="1" si="1"/>
        <v/>
      </c>
      <c r="J7" s="34" t="str">
        <f t="shared" si="2"/>
        <v/>
      </c>
    </row>
    <row r="8" spans="1:10" ht="19.5" customHeight="1" x14ac:dyDescent="0.25">
      <c r="A8" s="31" t="str">
        <f t="shared" si="0"/>
        <v/>
      </c>
      <c r="B8" s="32"/>
      <c r="C8" s="32"/>
      <c r="D8" s="32"/>
      <c r="E8" s="32"/>
      <c r="F8" s="32"/>
      <c r="G8" s="32"/>
      <c r="H8" s="33"/>
      <c r="I8" s="34" t="str">
        <f t="shared" ca="1" si="1"/>
        <v/>
      </c>
      <c r="J8" s="34" t="str">
        <f t="shared" si="2"/>
        <v/>
      </c>
    </row>
    <row r="9" spans="1:10" ht="19.5" customHeight="1" x14ac:dyDescent="0.25">
      <c r="A9" s="31" t="str">
        <f t="shared" si="0"/>
        <v/>
      </c>
      <c r="B9" s="32"/>
      <c r="C9" s="32"/>
      <c r="D9" s="32"/>
      <c r="E9" s="32"/>
      <c r="F9" s="32"/>
      <c r="G9" s="32"/>
      <c r="H9" s="33"/>
      <c r="I9" s="34" t="str">
        <f t="shared" ca="1" si="1"/>
        <v/>
      </c>
      <c r="J9" s="34" t="str">
        <f t="shared" si="2"/>
        <v/>
      </c>
    </row>
    <row r="10" spans="1:10" ht="19.5" customHeight="1" x14ac:dyDescent="0.25">
      <c r="A10" s="31" t="str">
        <f t="shared" si="0"/>
        <v/>
      </c>
      <c r="B10" s="32"/>
      <c r="C10" s="32"/>
      <c r="D10" s="32"/>
      <c r="E10" s="32"/>
      <c r="F10" s="32"/>
      <c r="G10" s="32"/>
      <c r="H10" s="33"/>
      <c r="I10" s="34" t="str">
        <f t="shared" ca="1" si="1"/>
        <v/>
      </c>
      <c r="J10" s="34" t="str">
        <f t="shared" si="2"/>
        <v/>
      </c>
    </row>
    <row r="11" spans="1:10" ht="19.5" customHeight="1" x14ac:dyDescent="0.25">
      <c r="A11" s="31" t="str">
        <f t="shared" si="0"/>
        <v/>
      </c>
      <c r="B11" s="32"/>
      <c r="C11" s="32"/>
      <c r="D11" s="32"/>
      <c r="E11" s="32"/>
      <c r="F11" s="32"/>
      <c r="G11" s="32"/>
      <c r="H11" s="33"/>
      <c r="I11" s="34" t="str">
        <f t="shared" ca="1" si="1"/>
        <v/>
      </c>
      <c r="J11" s="34" t="str">
        <f t="shared" si="2"/>
        <v/>
      </c>
    </row>
    <row r="12" spans="1:10" ht="19.5" customHeight="1" x14ac:dyDescent="0.25">
      <c r="A12" s="31" t="str">
        <f t="shared" si="0"/>
        <v/>
      </c>
      <c r="B12" s="32"/>
      <c r="C12" s="32"/>
      <c r="D12" s="32"/>
      <c r="E12" s="32"/>
      <c r="F12" s="32"/>
      <c r="G12" s="32"/>
      <c r="H12" s="33"/>
      <c r="I12" s="34" t="str">
        <f t="shared" ca="1" si="1"/>
        <v/>
      </c>
      <c r="J12" s="34" t="str">
        <f t="shared" si="2"/>
        <v/>
      </c>
    </row>
    <row r="13" spans="1:10" ht="19.5" customHeight="1" x14ac:dyDescent="0.25">
      <c r="A13" s="31" t="str">
        <f t="shared" si="0"/>
        <v/>
      </c>
      <c r="B13" s="32"/>
      <c r="C13" s="32"/>
      <c r="D13" s="32"/>
      <c r="E13" s="32"/>
      <c r="F13" s="32"/>
      <c r="G13" s="32"/>
      <c r="H13" s="33"/>
      <c r="I13" s="34" t="str">
        <f t="shared" ca="1" si="1"/>
        <v/>
      </c>
      <c r="J13" s="34" t="str">
        <f t="shared" si="2"/>
        <v/>
      </c>
    </row>
    <row r="14" spans="1:10" ht="19.5" customHeight="1" x14ac:dyDescent="0.25">
      <c r="A14" s="31" t="str">
        <f t="shared" si="0"/>
        <v/>
      </c>
      <c r="B14" s="32"/>
      <c r="C14" s="32"/>
      <c r="D14" s="32"/>
      <c r="E14" s="32"/>
      <c r="F14" s="32"/>
      <c r="G14" s="32"/>
      <c r="H14" s="33"/>
      <c r="I14" s="34" t="str">
        <f t="shared" ca="1" si="1"/>
        <v/>
      </c>
      <c r="J14" s="34" t="str">
        <f t="shared" si="2"/>
        <v/>
      </c>
    </row>
    <row r="15" spans="1:10" ht="19.5" customHeight="1" x14ac:dyDescent="0.25">
      <c r="A15" s="31" t="str">
        <f t="shared" si="0"/>
        <v/>
      </c>
      <c r="B15" s="32"/>
      <c r="C15" s="32"/>
      <c r="D15" s="32"/>
      <c r="E15" s="32"/>
      <c r="F15" s="32"/>
      <c r="G15" s="32"/>
      <c r="H15" s="33"/>
      <c r="I15" s="34" t="str">
        <f t="shared" ca="1" si="1"/>
        <v/>
      </c>
      <c r="J15" s="34" t="str">
        <f t="shared" si="2"/>
        <v/>
      </c>
    </row>
    <row r="16" spans="1:10" ht="19.5" customHeight="1" x14ac:dyDescent="0.25">
      <c r="A16" s="31" t="str">
        <f t="shared" si="0"/>
        <v/>
      </c>
      <c r="B16" s="32"/>
      <c r="C16" s="32"/>
      <c r="D16" s="32"/>
      <c r="E16" s="32"/>
      <c r="F16" s="32"/>
      <c r="G16" s="32"/>
      <c r="H16" s="33"/>
      <c r="I16" s="34" t="str">
        <f t="shared" ca="1" si="1"/>
        <v/>
      </c>
      <c r="J16" s="34" t="str">
        <f t="shared" si="2"/>
        <v/>
      </c>
    </row>
    <row r="17" spans="1:10" ht="19.5" customHeight="1" x14ac:dyDescent="0.25">
      <c r="A17" s="31" t="str">
        <f t="shared" si="0"/>
        <v/>
      </c>
      <c r="B17" s="32"/>
      <c r="C17" s="32"/>
      <c r="D17" s="32"/>
      <c r="E17" s="32"/>
      <c r="F17" s="32"/>
      <c r="G17" s="32"/>
      <c r="H17" s="33"/>
      <c r="I17" s="34" t="str">
        <f t="shared" ca="1" si="1"/>
        <v/>
      </c>
      <c r="J17" s="34" t="str">
        <f t="shared" si="2"/>
        <v/>
      </c>
    </row>
    <row r="18" spans="1:10" ht="19.5" customHeight="1" x14ac:dyDescent="0.25">
      <c r="A18" s="31" t="str">
        <f t="shared" si="0"/>
        <v/>
      </c>
      <c r="B18" s="32"/>
      <c r="C18" s="32"/>
      <c r="D18" s="32"/>
      <c r="E18" s="32"/>
      <c r="F18" s="32"/>
      <c r="G18" s="32"/>
      <c r="H18" s="33"/>
      <c r="I18" s="34" t="str">
        <f t="shared" ca="1" si="1"/>
        <v/>
      </c>
      <c r="J18" s="34" t="str">
        <f t="shared" si="2"/>
        <v/>
      </c>
    </row>
    <row r="19" spans="1:10" ht="19.5" customHeight="1" x14ac:dyDescent="0.25">
      <c r="A19" s="31" t="str">
        <f t="shared" si="0"/>
        <v/>
      </c>
      <c r="B19" s="32"/>
      <c r="C19" s="32"/>
      <c r="D19" s="32"/>
      <c r="E19" s="32"/>
      <c r="F19" s="32"/>
      <c r="G19" s="32"/>
      <c r="H19" s="33"/>
      <c r="I19" s="34" t="str">
        <f t="shared" ca="1" si="1"/>
        <v/>
      </c>
      <c r="J19" s="34" t="str">
        <f t="shared" si="2"/>
        <v/>
      </c>
    </row>
    <row r="20" spans="1:10" ht="19.5" customHeight="1" x14ac:dyDescent="0.25">
      <c r="A20" s="31" t="str">
        <f t="shared" si="0"/>
        <v/>
      </c>
      <c r="B20" s="32"/>
      <c r="C20" s="32"/>
      <c r="D20" s="32"/>
      <c r="E20" s="32"/>
      <c r="F20" s="32"/>
      <c r="G20" s="32"/>
      <c r="H20" s="33"/>
      <c r="I20" s="34" t="str">
        <f t="shared" ca="1" si="1"/>
        <v/>
      </c>
      <c r="J20" s="34" t="str">
        <f t="shared" si="2"/>
        <v/>
      </c>
    </row>
    <row r="21" spans="1:10" ht="19.5" customHeight="1" x14ac:dyDescent="0.25">
      <c r="A21" s="31" t="str">
        <f t="shared" si="0"/>
        <v/>
      </c>
      <c r="B21" s="32"/>
      <c r="C21" s="32"/>
      <c r="D21" s="32"/>
      <c r="E21" s="32"/>
      <c r="F21" s="32"/>
      <c r="G21" s="32"/>
      <c r="H21" s="33"/>
      <c r="I21" s="34" t="str">
        <f t="shared" ca="1" si="1"/>
        <v/>
      </c>
      <c r="J21" s="34" t="str">
        <f t="shared" si="2"/>
        <v/>
      </c>
    </row>
    <row r="22" spans="1:10" ht="19.5" customHeight="1" x14ac:dyDescent="0.25">
      <c r="A22" s="31" t="str">
        <f t="shared" si="0"/>
        <v/>
      </c>
      <c r="B22" s="32"/>
      <c r="C22" s="32"/>
      <c r="D22" s="32"/>
      <c r="E22" s="32"/>
      <c r="F22" s="32"/>
      <c r="G22" s="32"/>
      <c r="H22" s="33"/>
      <c r="I22" s="34" t="str">
        <f t="shared" ca="1" si="1"/>
        <v/>
      </c>
      <c r="J22" s="34" t="str">
        <f t="shared" si="2"/>
        <v/>
      </c>
    </row>
    <row r="23" spans="1:10" ht="19.5" customHeight="1" x14ac:dyDescent="0.25">
      <c r="A23" s="31" t="str">
        <f t="shared" si="0"/>
        <v/>
      </c>
      <c r="B23" s="32"/>
      <c r="C23" s="32"/>
      <c r="D23" s="32"/>
      <c r="E23" s="32"/>
      <c r="F23" s="32"/>
      <c r="G23" s="32"/>
      <c r="H23" s="33"/>
      <c r="I23" s="34" t="str">
        <f t="shared" ca="1" si="1"/>
        <v/>
      </c>
      <c r="J23" s="34" t="str">
        <f t="shared" si="2"/>
        <v/>
      </c>
    </row>
    <row r="24" spans="1:10" ht="19.5" customHeight="1" x14ac:dyDescent="0.25">
      <c r="A24" s="31" t="str">
        <f t="shared" si="0"/>
        <v/>
      </c>
      <c r="B24" s="32"/>
      <c r="C24" s="32"/>
      <c r="D24" s="32"/>
      <c r="E24" s="32"/>
      <c r="F24" s="32"/>
      <c r="G24" s="32"/>
      <c r="H24" s="33"/>
      <c r="I24" s="34" t="str">
        <f t="shared" ca="1" si="1"/>
        <v/>
      </c>
      <c r="J24" s="34" t="str">
        <f t="shared" si="2"/>
        <v/>
      </c>
    </row>
    <row r="25" spans="1:10" ht="19.5" customHeight="1" x14ac:dyDescent="0.25">
      <c r="A25" s="31" t="str">
        <f t="shared" si="0"/>
        <v/>
      </c>
      <c r="B25" s="32"/>
      <c r="C25" s="32"/>
      <c r="D25" s="32"/>
      <c r="E25" s="32"/>
      <c r="F25" s="32"/>
      <c r="G25" s="32"/>
      <c r="H25" s="33"/>
      <c r="I25" s="34" t="str">
        <f t="shared" ca="1" si="1"/>
        <v/>
      </c>
      <c r="J25" s="34" t="str">
        <f t="shared" si="2"/>
        <v/>
      </c>
    </row>
    <row r="26" spans="1:10" ht="19.5" customHeight="1" x14ac:dyDescent="0.25">
      <c r="A26" s="31" t="str">
        <f t="shared" si="0"/>
        <v/>
      </c>
      <c r="B26" s="32"/>
      <c r="C26" s="32"/>
      <c r="D26" s="32"/>
      <c r="E26" s="32"/>
      <c r="F26" s="32"/>
      <c r="G26" s="32"/>
      <c r="H26" s="33"/>
      <c r="I26" s="34" t="str">
        <f t="shared" ca="1" si="1"/>
        <v/>
      </c>
      <c r="J26" s="34" t="str">
        <f t="shared" si="2"/>
        <v/>
      </c>
    </row>
    <row r="27" spans="1:10" ht="19.5" customHeight="1" x14ac:dyDescent="0.25">
      <c r="A27" s="31" t="str">
        <f t="shared" si="0"/>
        <v/>
      </c>
      <c r="B27" s="32"/>
      <c r="C27" s="32"/>
      <c r="D27" s="32"/>
      <c r="E27" s="32"/>
      <c r="F27" s="32"/>
      <c r="G27" s="32"/>
      <c r="H27" s="33"/>
      <c r="I27" s="34" t="str">
        <f t="shared" ca="1" si="1"/>
        <v/>
      </c>
      <c r="J27" s="34" t="str">
        <f t="shared" si="2"/>
        <v/>
      </c>
    </row>
    <row r="28" spans="1:10" ht="19.5" customHeight="1" x14ac:dyDescent="0.25">
      <c r="A28" s="31" t="str">
        <f t="shared" si="0"/>
        <v/>
      </c>
      <c r="B28" s="32"/>
      <c r="C28" s="32"/>
      <c r="D28" s="32"/>
      <c r="E28" s="32"/>
      <c r="F28" s="32"/>
      <c r="G28" s="32"/>
      <c r="H28" s="33"/>
      <c r="I28" s="34" t="str">
        <f t="shared" ca="1" si="1"/>
        <v/>
      </c>
      <c r="J28" s="34" t="str">
        <f t="shared" si="2"/>
        <v/>
      </c>
    </row>
    <row r="29" spans="1:10" ht="19.5" customHeight="1" x14ac:dyDescent="0.25">
      <c r="A29" s="31" t="str">
        <f t="shared" si="0"/>
        <v/>
      </c>
      <c r="B29" s="32"/>
      <c r="C29" s="32"/>
      <c r="D29" s="32"/>
      <c r="E29" s="32"/>
      <c r="F29" s="32"/>
      <c r="G29" s="32"/>
      <c r="H29" s="33"/>
      <c r="I29" s="34" t="str">
        <f t="shared" ca="1" si="1"/>
        <v/>
      </c>
      <c r="J29" s="34" t="str">
        <f t="shared" si="2"/>
        <v/>
      </c>
    </row>
    <row r="30" spans="1:10" ht="19.5" customHeight="1" x14ac:dyDescent="0.25">
      <c r="A30" s="31" t="str">
        <f t="shared" si="0"/>
        <v/>
      </c>
      <c r="B30" s="32"/>
      <c r="C30" s="32"/>
      <c r="D30" s="32"/>
      <c r="E30" s="32"/>
      <c r="F30" s="32"/>
      <c r="G30" s="32"/>
      <c r="H30" s="33"/>
      <c r="I30" s="34" t="str">
        <f t="shared" ca="1" si="1"/>
        <v/>
      </c>
      <c r="J30" s="34" t="str">
        <f t="shared" si="2"/>
        <v/>
      </c>
    </row>
    <row r="31" spans="1:10" ht="19.5" customHeight="1" x14ac:dyDescent="0.25">
      <c r="A31" s="31" t="str">
        <f t="shared" si="0"/>
        <v/>
      </c>
      <c r="B31" s="32"/>
      <c r="C31" s="32"/>
      <c r="D31" s="32"/>
      <c r="E31" s="32"/>
      <c r="F31" s="32"/>
      <c r="G31" s="32"/>
      <c r="H31" s="33"/>
      <c r="I31" s="34" t="str">
        <f t="shared" ca="1" si="1"/>
        <v/>
      </c>
      <c r="J31" s="34" t="str">
        <f t="shared" si="2"/>
        <v/>
      </c>
    </row>
    <row r="32" spans="1:10" ht="19.5" customHeight="1" x14ac:dyDescent="0.25">
      <c r="A32" s="31" t="str">
        <f t="shared" si="0"/>
        <v/>
      </c>
      <c r="B32" s="32"/>
      <c r="C32" s="32"/>
      <c r="D32" s="32"/>
      <c r="E32" s="32"/>
      <c r="F32" s="32"/>
      <c r="G32" s="32"/>
      <c r="H32" s="33"/>
      <c r="I32" s="34" t="str">
        <f t="shared" ca="1" si="1"/>
        <v/>
      </c>
      <c r="J32" s="34" t="str">
        <f t="shared" si="2"/>
        <v/>
      </c>
    </row>
    <row r="33" spans="1:10" ht="19.5" customHeight="1" x14ac:dyDescent="0.25">
      <c r="A33" s="31" t="str">
        <f t="shared" si="0"/>
        <v/>
      </c>
      <c r="B33" s="32"/>
      <c r="C33" s="32"/>
      <c r="D33" s="32"/>
      <c r="E33" s="32"/>
      <c r="F33" s="32"/>
      <c r="G33" s="32"/>
      <c r="H33" s="33"/>
      <c r="I33" s="34" t="str">
        <f t="shared" ca="1" si="1"/>
        <v/>
      </c>
      <c r="J33" s="34" t="str">
        <f t="shared" si="2"/>
        <v/>
      </c>
    </row>
    <row r="34" spans="1:10" ht="19.5" customHeight="1" x14ac:dyDescent="0.25">
      <c r="A34" s="31" t="str">
        <f t="shared" si="0"/>
        <v/>
      </c>
      <c r="B34" s="32"/>
      <c r="C34" s="32"/>
      <c r="D34" s="32"/>
      <c r="E34" s="32"/>
      <c r="F34" s="32"/>
      <c r="G34" s="32"/>
      <c r="H34" s="33"/>
      <c r="I34" s="34" t="str">
        <f t="shared" ca="1" si="1"/>
        <v/>
      </c>
      <c r="J34" s="34" t="str">
        <f t="shared" si="2"/>
        <v/>
      </c>
    </row>
    <row r="35" spans="1:10" ht="19.5" customHeight="1" x14ac:dyDescent="0.25">
      <c r="A35" s="31" t="str">
        <f t="shared" si="0"/>
        <v/>
      </c>
      <c r="B35" s="32"/>
      <c r="C35" s="32"/>
      <c r="D35" s="32"/>
      <c r="E35" s="32"/>
      <c r="F35" s="32"/>
      <c r="G35" s="32"/>
      <c r="H35" s="33"/>
      <c r="I35" s="34" t="str">
        <f t="shared" ca="1" si="1"/>
        <v/>
      </c>
      <c r="J35" s="34" t="str">
        <f t="shared" si="2"/>
        <v/>
      </c>
    </row>
    <row r="36" spans="1:10" ht="19.5" customHeight="1" x14ac:dyDescent="0.25">
      <c r="A36" s="31" t="str">
        <f t="shared" si="0"/>
        <v/>
      </c>
      <c r="B36" s="32"/>
      <c r="C36" s="32"/>
      <c r="D36" s="32"/>
      <c r="E36" s="32"/>
      <c r="F36" s="32"/>
      <c r="G36" s="32"/>
      <c r="H36" s="33"/>
      <c r="I36" s="34" t="str">
        <f t="shared" ca="1" si="1"/>
        <v/>
      </c>
      <c r="J36" s="34" t="str">
        <f t="shared" si="2"/>
        <v/>
      </c>
    </row>
    <row r="37" spans="1:10" ht="19.5" customHeight="1" x14ac:dyDescent="0.25">
      <c r="A37" s="31" t="str">
        <f t="shared" si="0"/>
        <v/>
      </c>
      <c r="B37" s="32"/>
      <c r="C37" s="32"/>
      <c r="D37" s="32"/>
      <c r="E37" s="32"/>
      <c r="F37" s="32"/>
      <c r="G37" s="32"/>
      <c r="H37" s="33"/>
      <c r="I37" s="34" t="str">
        <f t="shared" ca="1" si="1"/>
        <v/>
      </c>
      <c r="J37" s="34" t="str">
        <f t="shared" si="2"/>
        <v/>
      </c>
    </row>
    <row r="38" spans="1:10" ht="19.5" customHeight="1" x14ac:dyDescent="0.25">
      <c r="A38" s="31" t="str">
        <f t="shared" si="0"/>
        <v/>
      </c>
      <c r="B38" s="32"/>
      <c r="C38" s="32"/>
      <c r="D38" s="32"/>
      <c r="E38" s="32"/>
      <c r="F38" s="32"/>
      <c r="G38" s="32"/>
      <c r="H38" s="33"/>
      <c r="I38" s="34" t="str">
        <f t="shared" ca="1" si="1"/>
        <v/>
      </c>
      <c r="J38" s="34" t="str">
        <f t="shared" si="2"/>
        <v/>
      </c>
    </row>
    <row r="39" spans="1:10" ht="19.5" customHeight="1" x14ac:dyDescent="0.25">
      <c r="A39" s="31" t="str">
        <f t="shared" si="0"/>
        <v/>
      </c>
      <c r="B39" s="32"/>
      <c r="C39" s="32"/>
      <c r="D39" s="32"/>
      <c r="E39" s="32"/>
      <c r="F39" s="32"/>
      <c r="G39" s="32"/>
      <c r="H39" s="33"/>
      <c r="I39" s="34" t="str">
        <f t="shared" ca="1" si="1"/>
        <v/>
      </c>
      <c r="J39" s="34" t="str">
        <f t="shared" si="2"/>
        <v/>
      </c>
    </row>
    <row r="40" spans="1:10" ht="19.5" customHeight="1" x14ac:dyDescent="0.25">
      <c r="A40" s="31" t="str">
        <f t="shared" si="0"/>
        <v/>
      </c>
      <c r="B40" s="32"/>
      <c r="C40" s="32"/>
      <c r="D40" s="32"/>
      <c r="E40" s="32"/>
      <c r="F40" s="32"/>
      <c r="G40" s="32"/>
      <c r="H40" s="33"/>
      <c r="I40" s="34" t="str">
        <f t="shared" ca="1" si="1"/>
        <v/>
      </c>
      <c r="J40" s="34" t="str">
        <f t="shared" si="2"/>
        <v/>
      </c>
    </row>
    <row r="41" spans="1:10" ht="19.5" customHeight="1" x14ac:dyDescent="0.25">
      <c r="A41" s="31" t="str">
        <f t="shared" si="0"/>
        <v/>
      </c>
      <c r="B41" s="32"/>
      <c r="C41" s="32"/>
      <c r="D41" s="32"/>
      <c r="E41" s="32"/>
      <c r="F41" s="32"/>
      <c r="G41" s="32"/>
      <c r="H41" s="33"/>
      <c r="I41" s="34" t="str">
        <f t="shared" ca="1" si="1"/>
        <v/>
      </c>
      <c r="J41" s="34" t="str">
        <f t="shared" si="2"/>
        <v/>
      </c>
    </row>
    <row r="42" spans="1:10" ht="19.5" customHeight="1" x14ac:dyDescent="0.25">
      <c r="A42" s="31" t="str">
        <f t="shared" si="0"/>
        <v/>
      </c>
      <c r="B42" s="32"/>
      <c r="C42" s="32"/>
      <c r="D42" s="32"/>
      <c r="E42" s="32"/>
      <c r="F42" s="32"/>
      <c r="G42" s="32"/>
      <c r="H42" s="33"/>
      <c r="I42" s="34" t="str">
        <f t="shared" ca="1" si="1"/>
        <v/>
      </c>
      <c r="J42" s="34" t="str">
        <f t="shared" si="2"/>
        <v/>
      </c>
    </row>
    <row r="43" spans="1:10" ht="19.5" customHeight="1" x14ac:dyDescent="0.25">
      <c r="A43" s="31" t="str">
        <f t="shared" si="0"/>
        <v/>
      </c>
      <c r="B43" s="32"/>
      <c r="C43" s="32"/>
      <c r="D43" s="32"/>
      <c r="E43" s="32"/>
      <c r="F43" s="32"/>
      <c r="G43" s="32"/>
      <c r="H43" s="33"/>
      <c r="I43" s="34" t="str">
        <f t="shared" ca="1" si="1"/>
        <v/>
      </c>
      <c r="J43" s="34" t="str">
        <f t="shared" si="2"/>
        <v/>
      </c>
    </row>
    <row r="44" spans="1:10" ht="19.5" customHeight="1" x14ac:dyDescent="0.25">
      <c r="A44" s="31" t="str">
        <f t="shared" si="0"/>
        <v/>
      </c>
      <c r="B44" s="32"/>
      <c r="C44" s="32"/>
      <c r="D44" s="32"/>
      <c r="E44" s="32"/>
      <c r="F44" s="32"/>
      <c r="G44" s="32"/>
      <c r="H44" s="33"/>
      <c r="I44" s="34" t="str">
        <f t="shared" ca="1" si="1"/>
        <v/>
      </c>
      <c r="J44" s="34" t="str">
        <f t="shared" si="2"/>
        <v/>
      </c>
    </row>
    <row r="45" spans="1:10" ht="19.5" customHeight="1" x14ac:dyDescent="0.25">
      <c r="A45" s="31" t="str">
        <f t="shared" si="0"/>
        <v/>
      </c>
      <c r="B45" s="32"/>
      <c r="C45" s="32"/>
      <c r="D45" s="32"/>
      <c r="E45" s="32"/>
      <c r="F45" s="32"/>
      <c r="G45" s="32"/>
      <c r="H45" s="33"/>
      <c r="I45" s="34" t="str">
        <f t="shared" ca="1" si="1"/>
        <v/>
      </c>
      <c r="J45" s="34" t="str">
        <f t="shared" si="2"/>
        <v/>
      </c>
    </row>
    <row r="46" spans="1:10" ht="19.5" customHeight="1" x14ac:dyDescent="0.25">
      <c r="A46" s="31" t="str">
        <f t="shared" si="0"/>
        <v/>
      </c>
      <c r="B46" s="32"/>
      <c r="C46" s="32"/>
      <c r="D46" s="32"/>
      <c r="E46" s="32"/>
      <c r="F46" s="32"/>
      <c r="G46" s="32"/>
      <c r="H46" s="33"/>
      <c r="I46" s="34" t="str">
        <f t="shared" ca="1" si="1"/>
        <v/>
      </c>
      <c r="J46" s="34" t="str">
        <f t="shared" si="2"/>
        <v/>
      </c>
    </row>
    <row r="47" spans="1:10" ht="19.5" customHeight="1" x14ac:dyDescent="0.25">
      <c r="A47" s="31" t="str">
        <f t="shared" si="0"/>
        <v/>
      </c>
      <c r="B47" s="32"/>
      <c r="C47" s="32"/>
      <c r="D47" s="32"/>
      <c r="E47" s="32"/>
      <c r="F47" s="32"/>
      <c r="G47" s="32"/>
      <c r="H47" s="33"/>
      <c r="I47" s="34" t="str">
        <f t="shared" ca="1" si="1"/>
        <v/>
      </c>
      <c r="J47" s="34" t="str">
        <f t="shared" si="2"/>
        <v/>
      </c>
    </row>
    <row r="48" spans="1:10" ht="19.5" customHeight="1" x14ac:dyDescent="0.25">
      <c r="A48" s="31" t="str">
        <f t="shared" si="0"/>
        <v/>
      </c>
      <c r="B48" s="32"/>
      <c r="C48" s="32"/>
      <c r="D48" s="32"/>
      <c r="E48" s="32"/>
      <c r="F48" s="32"/>
      <c r="G48" s="32"/>
      <c r="H48" s="33"/>
      <c r="I48" s="34" t="str">
        <f t="shared" ca="1" si="1"/>
        <v/>
      </c>
      <c r="J48" s="34" t="str">
        <f t="shared" si="2"/>
        <v/>
      </c>
    </row>
    <row r="49" spans="1:10" ht="19.5" customHeight="1" x14ac:dyDescent="0.25">
      <c r="A49" s="31" t="str">
        <f t="shared" si="0"/>
        <v/>
      </c>
      <c r="B49" s="32"/>
      <c r="C49" s="32"/>
      <c r="D49" s="32"/>
      <c r="E49" s="32"/>
      <c r="F49" s="32"/>
      <c r="G49" s="32"/>
      <c r="H49" s="33"/>
      <c r="I49" s="34" t="str">
        <f t="shared" ca="1" si="1"/>
        <v/>
      </c>
      <c r="J49" s="34" t="str">
        <f t="shared" si="2"/>
        <v/>
      </c>
    </row>
    <row r="50" spans="1:10" ht="19.5" customHeight="1" x14ac:dyDescent="0.25">
      <c r="A50" s="31" t="str">
        <f t="shared" si="0"/>
        <v/>
      </c>
      <c r="B50" s="32"/>
      <c r="C50" s="32"/>
      <c r="D50" s="32"/>
      <c r="E50" s="32"/>
      <c r="F50" s="32"/>
      <c r="G50" s="32"/>
      <c r="H50" s="33"/>
      <c r="I50" s="34" t="str">
        <f t="shared" ca="1" si="1"/>
        <v/>
      </c>
      <c r="J50" s="34" t="str">
        <f t="shared" si="2"/>
        <v/>
      </c>
    </row>
    <row r="51" spans="1:10" ht="19.5" customHeight="1" x14ac:dyDescent="0.25">
      <c r="A51" s="31" t="str">
        <f t="shared" si="0"/>
        <v/>
      </c>
      <c r="B51" s="32"/>
      <c r="C51" s="32"/>
      <c r="D51" s="32"/>
      <c r="E51" s="32"/>
      <c r="F51" s="32"/>
      <c r="G51" s="32"/>
      <c r="H51" s="33"/>
      <c r="I51" s="34" t="str">
        <f t="shared" ca="1" si="1"/>
        <v/>
      </c>
      <c r="J51" s="34" t="str">
        <f t="shared" si="2"/>
        <v/>
      </c>
    </row>
    <row r="52" spans="1:10" ht="19.5" customHeight="1" x14ac:dyDescent="0.25">
      <c r="A52" s="31" t="str">
        <f t="shared" si="0"/>
        <v/>
      </c>
      <c r="B52" s="32"/>
      <c r="C52" s="32"/>
      <c r="D52" s="32"/>
      <c r="E52" s="32"/>
      <c r="F52" s="32"/>
      <c r="G52" s="32"/>
      <c r="H52" s="33"/>
      <c r="I52" s="34" t="str">
        <f t="shared" ca="1" si="1"/>
        <v/>
      </c>
      <c r="J52" s="34" t="str">
        <f t="shared" si="2"/>
        <v/>
      </c>
    </row>
    <row r="53" spans="1:10" ht="19.5" customHeight="1" x14ac:dyDescent="0.25">
      <c r="A53" s="31" t="str">
        <f t="shared" si="0"/>
        <v/>
      </c>
      <c r="B53" s="32"/>
      <c r="C53" s="32"/>
      <c r="D53" s="32"/>
      <c r="E53" s="32"/>
      <c r="F53" s="32"/>
      <c r="G53" s="32"/>
      <c r="H53" s="33"/>
      <c r="I53" s="34" t="str">
        <f t="shared" ca="1" si="1"/>
        <v/>
      </c>
      <c r="J53" s="34" t="str">
        <f t="shared" si="2"/>
        <v/>
      </c>
    </row>
    <row r="54" spans="1:10" ht="19.5" customHeight="1" x14ac:dyDescent="0.25">
      <c r="A54" s="31" t="str">
        <f t="shared" si="0"/>
        <v/>
      </c>
      <c r="B54" s="32"/>
      <c r="C54" s="32"/>
      <c r="D54" s="32"/>
      <c r="E54" s="32"/>
      <c r="F54" s="32"/>
      <c r="G54" s="32"/>
      <c r="H54" s="33"/>
      <c r="I54" s="34" t="str">
        <f t="shared" ca="1" si="1"/>
        <v/>
      </c>
      <c r="J54" s="34" t="str">
        <f t="shared" si="2"/>
        <v/>
      </c>
    </row>
    <row r="55" spans="1:10" ht="19.5" customHeight="1" x14ac:dyDescent="0.25">
      <c r="A55" s="31" t="str">
        <f t="shared" si="0"/>
        <v/>
      </c>
      <c r="B55" s="32"/>
      <c r="C55" s="32"/>
      <c r="D55" s="32"/>
      <c r="E55" s="32"/>
      <c r="F55" s="32"/>
      <c r="G55" s="32"/>
      <c r="H55" s="33"/>
      <c r="I55" s="34" t="str">
        <f t="shared" ca="1" si="1"/>
        <v/>
      </c>
      <c r="J55" s="34" t="str">
        <f t="shared" si="2"/>
        <v/>
      </c>
    </row>
    <row r="56" spans="1:10" ht="19.5" customHeight="1" x14ac:dyDescent="0.25">
      <c r="A56" s="31" t="str">
        <f t="shared" si="0"/>
        <v/>
      </c>
      <c r="B56" s="32"/>
      <c r="C56" s="32"/>
      <c r="D56" s="32"/>
      <c r="E56" s="32"/>
      <c r="F56" s="32"/>
      <c r="G56" s="32"/>
      <c r="H56" s="33"/>
      <c r="I56" s="34" t="str">
        <f t="shared" ca="1" si="1"/>
        <v/>
      </c>
      <c r="J56" s="34" t="str">
        <f t="shared" si="2"/>
        <v/>
      </c>
    </row>
    <row r="57" spans="1:10" ht="19.5" customHeight="1" x14ac:dyDescent="0.25">
      <c r="A57" s="31" t="str">
        <f t="shared" si="0"/>
        <v/>
      </c>
      <c r="B57" s="32"/>
      <c r="C57" s="32"/>
      <c r="D57" s="32"/>
      <c r="E57" s="32"/>
      <c r="F57" s="32"/>
      <c r="G57" s="32"/>
      <c r="H57" s="33"/>
      <c r="I57" s="34" t="str">
        <f t="shared" ca="1" si="1"/>
        <v/>
      </c>
      <c r="J57" s="34" t="str">
        <f t="shared" si="2"/>
        <v/>
      </c>
    </row>
    <row r="58" spans="1:10" ht="19.5" customHeight="1" x14ac:dyDescent="0.25">
      <c r="A58" s="31" t="str">
        <f t="shared" si="0"/>
        <v/>
      </c>
      <c r="B58" s="32"/>
      <c r="C58" s="32"/>
      <c r="D58" s="32"/>
      <c r="E58" s="32"/>
      <c r="F58" s="32"/>
      <c r="G58" s="32"/>
      <c r="H58" s="33"/>
      <c r="I58" s="34" t="str">
        <f t="shared" ca="1" si="1"/>
        <v/>
      </c>
      <c r="J58" s="34" t="str">
        <f t="shared" si="2"/>
        <v/>
      </c>
    </row>
    <row r="59" spans="1:10" ht="19.5" customHeight="1" x14ac:dyDescent="0.25">
      <c r="A59" s="31" t="str">
        <f t="shared" si="0"/>
        <v/>
      </c>
      <c r="B59" s="32"/>
      <c r="C59" s="32"/>
      <c r="D59" s="32"/>
      <c r="E59" s="32"/>
      <c r="F59" s="32"/>
      <c r="G59" s="32"/>
      <c r="H59" s="33"/>
      <c r="I59" s="34" t="str">
        <f t="shared" ca="1" si="1"/>
        <v/>
      </c>
      <c r="J59" s="34" t="str">
        <f t="shared" si="2"/>
        <v/>
      </c>
    </row>
    <row r="60" spans="1:10" ht="19.5" customHeight="1" x14ac:dyDescent="0.25">
      <c r="A60" s="31" t="str">
        <f t="shared" si="0"/>
        <v/>
      </c>
      <c r="B60" s="32"/>
      <c r="C60" s="32"/>
      <c r="D60" s="32"/>
      <c r="E60" s="32"/>
      <c r="F60" s="32"/>
      <c r="G60" s="32"/>
      <c r="H60" s="33"/>
      <c r="I60" s="34" t="str">
        <f t="shared" ca="1" si="1"/>
        <v/>
      </c>
      <c r="J60" s="34" t="str">
        <f t="shared" si="2"/>
        <v/>
      </c>
    </row>
    <row r="61" spans="1:10" ht="19.5" customHeight="1" x14ac:dyDescent="0.25">
      <c r="A61" s="31" t="str">
        <f t="shared" si="0"/>
        <v/>
      </c>
      <c r="B61" s="32"/>
      <c r="C61" s="32"/>
      <c r="D61" s="32"/>
      <c r="E61" s="32"/>
      <c r="F61" s="32"/>
      <c r="G61" s="32"/>
      <c r="H61" s="33"/>
      <c r="I61" s="34" t="str">
        <f t="shared" ca="1" si="1"/>
        <v/>
      </c>
      <c r="J61" s="34" t="str">
        <f t="shared" si="2"/>
        <v/>
      </c>
    </row>
    <row r="62" spans="1:10" ht="19.5" customHeight="1" x14ac:dyDescent="0.25">
      <c r="A62" s="31" t="str">
        <f t="shared" si="0"/>
        <v/>
      </c>
      <c r="B62" s="32"/>
      <c r="C62" s="32"/>
      <c r="D62" s="32"/>
      <c r="E62" s="32"/>
      <c r="F62" s="32"/>
      <c r="G62" s="32"/>
      <c r="H62" s="33"/>
      <c r="I62" s="34" t="str">
        <f t="shared" ca="1" si="1"/>
        <v/>
      </c>
      <c r="J62" s="34" t="str">
        <f t="shared" si="2"/>
        <v/>
      </c>
    </row>
    <row r="63" spans="1:10" ht="19.5" customHeight="1" x14ac:dyDescent="0.25">
      <c r="A63" s="31" t="str">
        <f t="shared" si="0"/>
        <v/>
      </c>
      <c r="B63" s="32"/>
      <c r="C63" s="32"/>
      <c r="D63" s="32"/>
      <c r="E63" s="32"/>
      <c r="F63" s="32"/>
      <c r="G63" s="32"/>
      <c r="H63" s="33"/>
      <c r="I63" s="34" t="str">
        <f t="shared" ca="1" si="1"/>
        <v/>
      </c>
      <c r="J63" s="34" t="str">
        <f t="shared" si="2"/>
        <v/>
      </c>
    </row>
    <row r="64" spans="1:10" ht="19.5" customHeight="1" x14ac:dyDescent="0.25">
      <c r="A64" s="31" t="str">
        <f t="shared" si="0"/>
        <v/>
      </c>
      <c r="B64" s="32"/>
      <c r="C64" s="32"/>
      <c r="D64" s="32"/>
      <c r="E64" s="32"/>
      <c r="F64" s="32"/>
      <c r="G64" s="32"/>
      <c r="H64" s="33"/>
      <c r="I64" s="34" t="str">
        <f t="shared" ca="1" si="1"/>
        <v/>
      </c>
      <c r="J64" s="34" t="str">
        <f t="shared" si="2"/>
        <v/>
      </c>
    </row>
    <row r="65" spans="1:10" ht="19.5" customHeight="1" x14ac:dyDescent="0.25">
      <c r="A65" s="31" t="str">
        <f t="shared" si="0"/>
        <v/>
      </c>
      <c r="B65" s="32"/>
      <c r="C65" s="32"/>
      <c r="D65" s="32"/>
      <c r="E65" s="32"/>
      <c r="F65" s="32"/>
      <c r="G65" s="32"/>
      <c r="H65" s="33"/>
      <c r="I65" s="34" t="str">
        <f t="shared" ca="1" si="1"/>
        <v/>
      </c>
      <c r="J65" s="34" t="str">
        <f t="shared" si="2"/>
        <v/>
      </c>
    </row>
    <row r="66" spans="1:10" ht="19.5" customHeight="1" x14ac:dyDescent="0.25">
      <c r="A66" s="31" t="str">
        <f t="shared" si="0"/>
        <v/>
      </c>
      <c r="B66" s="32"/>
      <c r="C66" s="32"/>
      <c r="D66" s="32"/>
      <c r="E66" s="32"/>
      <c r="F66" s="32"/>
      <c r="G66" s="32"/>
      <c r="H66" s="33"/>
      <c r="I66" s="34" t="str">
        <f t="shared" ca="1" si="1"/>
        <v/>
      </c>
      <c r="J66" s="34" t="str">
        <f t="shared" si="2"/>
        <v/>
      </c>
    </row>
    <row r="67" spans="1:10" ht="19.5" customHeight="1" x14ac:dyDescent="0.25">
      <c r="A67" s="31" t="str">
        <f t="shared" si="0"/>
        <v/>
      </c>
      <c r="B67" s="32"/>
      <c r="C67" s="32"/>
      <c r="D67" s="32"/>
      <c r="E67" s="32"/>
      <c r="F67" s="32"/>
      <c r="G67" s="32"/>
      <c r="H67" s="33"/>
      <c r="I67" s="34" t="str">
        <f t="shared" ca="1" si="1"/>
        <v/>
      </c>
      <c r="J67" s="34" t="str">
        <f t="shared" si="2"/>
        <v/>
      </c>
    </row>
    <row r="68" spans="1:10" ht="19.5" customHeight="1" x14ac:dyDescent="0.25">
      <c r="A68" s="31" t="str">
        <f t="shared" si="0"/>
        <v/>
      </c>
      <c r="B68" s="32"/>
      <c r="C68" s="32"/>
      <c r="D68" s="32"/>
      <c r="E68" s="32"/>
      <c r="F68" s="32"/>
      <c r="G68" s="32"/>
      <c r="H68" s="33"/>
      <c r="I68" s="34" t="str">
        <f t="shared" ca="1" si="1"/>
        <v/>
      </c>
      <c r="J68" s="34" t="str">
        <f t="shared" si="2"/>
        <v/>
      </c>
    </row>
    <row r="69" spans="1:10" ht="19.5" customHeight="1" x14ac:dyDescent="0.25">
      <c r="A69" s="31" t="str">
        <f t="shared" ref="A69:A132" si="3">IF(B69="","","ACC"&amp;TEXT(ROW()-4,"0000"))</f>
        <v/>
      </c>
      <c r="B69" s="32"/>
      <c r="C69" s="32"/>
      <c r="D69" s="32"/>
      <c r="E69" s="32"/>
      <c r="F69" s="32"/>
      <c r="G69" s="32"/>
      <c r="H69" s="33"/>
      <c r="I69" s="34" t="str">
        <f t="shared" ref="I69:I132" ca="1" si="4">IF(B69="","",TEXT(TODAY(),"dd/mm/yyyy"))</f>
        <v/>
      </c>
      <c r="J69" s="34" t="str">
        <f t="shared" ref="J69:J132" si="5">IF(B69="","",IF(ISNUMBER(H69),IF(H69&gt;=10,"✅ Active","⚠️ Below Min Balance"),"Pending"))</f>
        <v/>
      </c>
    </row>
    <row r="70" spans="1:10" ht="19.5" customHeight="1" x14ac:dyDescent="0.25">
      <c r="A70" s="31" t="str">
        <f t="shared" si="3"/>
        <v/>
      </c>
      <c r="B70" s="32"/>
      <c r="C70" s="32"/>
      <c r="D70" s="32"/>
      <c r="E70" s="32"/>
      <c r="F70" s="32"/>
      <c r="G70" s="32"/>
      <c r="H70" s="33"/>
      <c r="I70" s="34" t="str">
        <f t="shared" ca="1" si="4"/>
        <v/>
      </c>
      <c r="J70" s="34" t="str">
        <f t="shared" si="5"/>
        <v/>
      </c>
    </row>
    <row r="71" spans="1:10" ht="19.5" customHeight="1" x14ac:dyDescent="0.25">
      <c r="A71" s="31" t="str">
        <f t="shared" si="3"/>
        <v/>
      </c>
      <c r="B71" s="32"/>
      <c r="C71" s="32"/>
      <c r="D71" s="32"/>
      <c r="E71" s="32"/>
      <c r="F71" s="32"/>
      <c r="G71" s="32"/>
      <c r="H71" s="33"/>
      <c r="I71" s="34" t="str">
        <f t="shared" ca="1" si="4"/>
        <v/>
      </c>
      <c r="J71" s="34" t="str">
        <f t="shared" si="5"/>
        <v/>
      </c>
    </row>
    <row r="72" spans="1:10" ht="19.5" customHeight="1" x14ac:dyDescent="0.25">
      <c r="A72" s="31" t="str">
        <f t="shared" si="3"/>
        <v/>
      </c>
      <c r="B72" s="32"/>
      <c r="C72" s="32"/>
      <c r="D72" s="32"/>
      <c r="E72" s="32"/>
      <c r="F72" s="32"/>
      <c r="G72" s="32"/>
      <c r="H72" s="33"/>
      <c r="I72" s="34" t="str">
        <f t="shared" ca="1" si="4"/>
        <v/>
      </c>
      <c r="J72" s="34" t="str">
        <f t="shared" si="5"/>
        <v/>
      </c>
    </row>
    <row r="73" spans="1:10" ht="19.5" customHeight="1" x14ac:dyDescent="0.25">
      <c r="A73" s="31" t="str">
        <f t="shared" si="3"/>
        <v/>
      </c>
      <c r="B73" s="32"/>
      <c r="C73" s="32"/>
      <c r="D73" s="32"/>
      <c r="E73" s="32"/>
      <c r="F73" s="32"/>
      <c r="G73" s="32"/>
      <c r="H73" s="33"/>
      <c r="I73" s="34" t="str">
        <f t="shared" ca="1" si="4"/>
        <v/>
      </c>
      <c r="J73" s="34" t="str">
        <f t="shared" si="5"/>
        <v/>
      </c>
    </row>
    <row r="74" spans="1:10" ht="19.5" customHeight="1" x14ac:dyDescent="0.25">
      <c r="A74" s="31" t="str">
        <f t="shared" si="3"/>
        <v/>
      </c>
      <c r="B74" s="32"/>
      <c r="C74" s="32"/>
      <c r="D74" s="32"/>
      <c r="E74" s="32"/>
      <c r="F74" s="32"/>
      <c r="G74" s="32"/>
      <c r="H74" s="33"/>
      <c r="I74" s="34" t="str">
        <f t="shared" ca="1" si="4"/>
        <v/>
      </c>
      <c r="J74" s="34" t="str">
        <f t="shared" si="5"/>
        <v/>
      </c>
    </row>
    <row r="75" spans="1:10" ht="19.5" customHeight="1" x14ac:dyDescent="0.25">
      <c r="A75" s="31" t="str">
        <f t="shared" si="3"/>
        <v/>
      </c>
      <c r="B75" s="32"/>
      <c r="C75" s="32"/>
      <c r="D75" s="32"/>
      <c r="E75" s="32"/>
      <c r="F75" s="32"/>
      <c r="G75" s="32"/>
      <c r="H75" s="33"/>
      <c r="I75" s="34" t="str">
        <f t="shared" ca="1" si="4"/>
        <v/>
      </c>
      <c r="J75" s="34" t="str">
        <f t="shared" si="5"/>
        <v/>
      </c>
    </row>
    <row r="76" spans="1:10" ht="19.5" customHeight="1" x14ac:dyDescent="0.25">
      <c r="A76" s="31" t="str">
        <f t="shared" si="3"/>
        <v/>
      </c>
      <c r="B76" s="32"/>
      <c r="C76" s="32"/>
      <c r="D76" s="32"/>
      <c r="E76" s="32"/>
      <c r="F76" s="32"/>
      <c r="G76" s="32"/>
      <c r="H76" s="33"/>
      <c r="I76" s="34" t="str">
        <f t="shared" ca="1" si="4"/>
        <v/>
      </c>
      <c r="J76" s="34" t="str">
        <f t="shared" si="5"/>
        <v/>
      </c>
    </row>
    <row r="77" spans="1:10" ht="19.5" customHeight="1" x14ac:dyDescent="0.25">
      <c r="A77" s="31" t="str">
        <f t="shared" si="3"/>
        <v/>
      </c>
      <c r="B77" s="32"/>
      <c r="C77" s="32"/>
      <c r="D77" s="32"/>
      <c r="E77" s="32"/>
      <c r="F77" s="32"/>
      <c r="G77" s="32"/>
      <c r="H77" s="33"/>
      <c r="I77" s="34" t="str">
        <f t="shared" ca="1" si="4"/>
        <v/>
      </c>
      <c r="J77" s="34" t="str">
        <f t="shared" si="5"/>
        <v/>
      </c>
    </row>
    <row r="78" spans="1:10" ht="19.5" customHeight="1" x14ac:dyDescent="0.25">
      <c r="A78" s="31" t="str">
        <f t="shared" si="3"/>
        <v/>
      </c>
      <c r="B78" s="32"/>
      <c r="C78" s="32"/>
      <c r="D78" s="32"/>
      <c r="E78" s="32"/>
      <c r="F78" s="32"/>
      <c r="G78" s="32"/>
      <c r="H78" s="33"/>
      <c r="I78" s="34" t="str">
        <f t="shared" ca="1" si="4"/>
        <v/>
      </c>
      <c r="J78" s="34" t="str">
        <f t="shared" si="5"/>
        <v/>
      </c>
    </row>
    <row r="79" spans="1:10" ht="19.5" customHeight="1" x14ac:dyDescent="0.25">
      <c r="A79" s="31" t="str">
        <f t="shared" si="3"/>
        <v/>
      </c>
      <c r="B79" s="32"/>
      <c r="C79" s="32"/>
      <c r="D79" s="32"/>
      <c r="E79" s="32"/>
      <c r="F79" s="32"/>
      <c r="G79" s="32"/>
      <c r="H79" s="33"/>
      <c r="I79" s="34" t="str">
        <f t="shared" ca="1" si="4"/>
        <v/>
      </c>
      <c r="J79" s="34" t="str">
        <f t="shared" si="5"/>
        <v/>
      </c>
    </row>
    <row r="80" spans="1:10" ht="19.5" customHeight="1" x14ac:dyDescent="0.25">
      <c r="A80" s="31" t="str">
        <f t="shared" si="3"/>
        <v/>
      </c>
      <c r="B80" s="32"/>
      <c r="C80" s="32"/>
      <c r="D80" s="32"/>
      <c r="E80" s="32"/>
      <c r="F80" s="32"/>
      <c r="G80" s="32"/>
      <c r="H80" s="33"/>
      <c r="I80" s="34" t="str">
        <f t="shared" ca="1" si="4"/>
        <v/>
      </c>
      <c r="J80" s="34" t="str">
        <f t="shared" si="5"/>
        <v/>
      </c>
    </row>
    <row r="81" spans="1:10" ht="19.5" customHeight="1" x14ac:dyDescent="0.25">
      <c r="A81" s="31" t="str">
        <f t="shared" si="3"/>
        <v/>
      </c>
      <c r="B81" s="32"/>
      <c r="C81" s="32"/>
      <c r="D81" s="32"/>
      <c r="E81" s="32"/>
      <c r="F81" s="32"/>
      <c r="G81" s="32"/>
      <c r="H81" s="33"/>
      <c r="I81" s="34" t="str">
        <f t="shared" ca="1" si="4"/>
        <v/>
      </c>
      <c r="J81" s="34" t="str">
        <f t="shared" si="5"/>
        <v/>
      </c>
    </row>
    <row r="82" spans="1:10" ht="19.5" customHeight="1" x14ac:dyDescent="0.25">
      <c r="A82" s="31" t="str">
        <f t="shared" si="3"/>
        <v/>
      </c>
      <c r="B82" s="32"/>
      <c r="C82" s="32"/>
      <c r="D82" s="32"/>
      <c r="E82" s="32"/>
      <c r="F82" s="32"/>
      <c r="G82" s="32"/>
      <c r="H82" s="33"/>
      <c r="I82" s="34" t="str">
        <f t="shared" ca="1" si="4"/>
        <v/>
      </c>
      <c r="J82" s="34" t="str">
        <f t="shared" si="5"/>
        <v/>
      </c>
    </row>
    <row r="83" spans="1:10" ht="19.5" customHeight="1" x14ac:dyDescent="0.25">
      <c r="A83" s="31" t="str">
        <f t="shared" si="3"/>
        <v/>
      </c>
      <c r="B83" s="32"/>
      <c r="C83" s="32"/>
      <c r="D83" s="32"/>
      <c r="E83" s="32"/>
      <c r="F83" s="32"/>
      <c r="G83" s="32"/>
      <c r="H83" s="33"/>
      <c r="I83" s="34" t="str">
        <f t="shared" ca="1" si="4"/>
        <v/>
      </c>
      <c r="J83" s="34" t="str">
        <f t="shared" si="5"/>
        <v/>
      </c>
    </row>
    <row r="84" spans="1:10" ht="19.5" customHeight="1" x14ac:dyDescent="0.25">
      <c r="A84" s="31" t="str">
        <f t="shared" si="3"/>
        <v/>
      </c>
      <c r="B84" s="32"/>
      <c r="C84" s="32"/>
      <c r="D84" s="32"/>
      <c r="E84" s="32"/>
      <c r="F84" s="32"/>
      <c r="G84" s="32"/>
      <c r="H84" s="33"/>
      <c r="I84" s="34" t="str">
        <f t="shared" ca="1" si="4"/>
        <v/>
      </c>
      <c r="J84" s="34" t="str">
        <f t="shared" si="5"/>
        <v/>
      </c>
    </row>
    <row r="85" spans="1:10" ht="19.5" customHeight="1" x14ac:dyDescent="0.25">
      <c r="A85" s="31" t="str">
        <f t="shared" si="3"/>
        <v/>
      </c>
      <c r="B85" s="32"/>
      <c r="C85" s="32"/>
      <c r="D85" s="32"/>
      <c r="E85" s="32"/>
      <c r="F85" s="32"/>
      <c r="G85" s="32"/>
      <c r="H85" s="33"/>
      <c r="I85" s="34" t="str">
        <f t="shared" ca="1" si="4"/>
        <v/>
      </c>
      <c r="J85" s="34" t="str">
        <f t="shared" si="5"/>
        <v/>
      </c>
    </row>
    <row r="86" spans="1:10" ht="19.5" customHeight="1" x14ac:dyDescent="0.25">
      <c r="A86" s="31" t="str">
        <f t="shared" si="3"/>
        <v/>
      </c>
      <c r="B86" s="32"/>
      <c r="C86" s="32"/>
      <c r="D86" s="32"/>
      <c r="E86" s="32"/>
      <c r="F86" s="32"/>
      <c r="G86" s="32"/>
      <c r="H86" s="33"/>
      <c r="I86" s="34" t="str">
        <f t="shared" ca="1" si="4"/>
        <v/>
      </c>
      <c r="J86" s="34" t="str">
        <f t="shared" si="5"/>
        <v/>
      </c>
    </row>
    <row r="87" spans="1:10" ht="19.5" customHeight="1" x14ac:dyDescent="0.25">
      <c r="A87" s="31" t="str">
        <f t="shared" si="3"/>
        <v/>
      </c>
      <c r="B87" s="32"/>
      <c r="C87" s="32"/>
      <c r="D87" s="32"/>
      <c r="E87" s="32"/>
      <c r="F87" s="32"/>
      <c r="G87" s="32"/>
      <c r="H87" s="33"/>
      <c r="I87" s="34" t="str">
        <f t="shared" ca="1" si="4"/>
        <v/>
      </c>
      <c r="J87" s="34" t="str">
        <f t="shared" si="5"/>
        <v/>
      </c>
    </row>
    <row r="88" spans="1:10" ht="19.5" customHeight="1" x14ac:dyDescent="0.25">
      <c r="A88" s="31" t="str">
        <f t="shared" si="3"/>
        <v/>
      </c>
      <c r="B88" s="32"/>
      <c r="C88" s="32"/>
      <c r="D88" s="32"/>
      <c r="E88" s="32"/>
      <c r="F88" s="32"/>
      <c r="G88" s="32"/>
      <c r="H88" s="33"/>
      <c r="I88" s="34" t="str">
        <f t="shared" ca="1" si="4"/>
        <v/>
      </c>
      <c r="J88" s="34" t="str">
        <f t="shared" si="5"/>
        <v/>
      </c>
    </row>
    <row r="89" spans="1:10" ht="19.5" customHeight="1" x14ac:dyDescent="0.25">
      <c r="A89" s="31" t="str">
        <f t="shared" si="3"/>
        <v/>
      </c>
      <c r="B89" s="32"/>
      <c r="C89" s="32"/>
      <c r="D89" s="32"/>
      <c r="E89" s="32"/>
      <c r="F89" s="32"/>
      <c r="G89" s="32"/>
      <c r="H89" s="33"/>
      <c r="I89" s="34" t="str">
        <f t="shared" ca="1" si="4"/>
        <v/>
      </c>
      <c r="J89" s="34" t="str">
        <f t="shared" si="5"/>
        <v/>
      </c>
    </row>
    <row r="90" spans="1:10" ht="19.5" customHeight="1" x14ac:dyDescent="0.25">
      <c r="A90" s="31" t="str">
        <f t="shared" si="3"/>
        <v/>
      </c>
      <c r="B90" s="32"/>
      <c r="C90" s="32"/>
      <c r="D90" s="32"/>
      <c r="E90" s="32"/>
      <c r="F90" s="32"/>
      <c r="G90" s="32"/>
      <c r="H90" s="33"/>
      <c r="I90" s="34" t="str">
        <f t="shared" ca="1" si="4"/>
        <v/>
      </c>
      <c r="J90" s="34" t="str">
        <f t="shared" si="5"/>
        <v/>
      </c>
    </row>
    <row r="91" spans="1:10" ht="19.5" customHeight="1" x14ac:dyDescent="0.25">
      <c r="A91" s="31" t="str">
        <f t="shared" si="3"/>
        <v/>
      </c>
      <c r="B91" s="32"/>
      <c r="C91" s="32"/>
      <c r="D91" s="32"/>
      <c r="E91" s="32"/>
      <c r="F91" s="32"/>
      <c r="G91" s="32"/>
      <c r="H91" s="33"/>
      <c r="I91" s="34" t="str">
        <f t="shared" ca="1" si="4"/>
        <v/>
      </c>
      <c r="J91" s="34" t="str">
        <f t="shared" si="5"/>
        <v/>
      </c>
    </row>
    <row r="92" spans="1:10" ht="19.5" customHeight="1" x14ac:dyDescent="0.25">
      <c r="A92" s="31" t="str">
        <f t="shared" si="3"/>
        <v/>
      </c>
      <c r="B92" s="32"/>
      <c r="C92" s="32"/>
      <c r="D92" s="32"/>
      <c r="E92" s="32"/>
      <c r="F92" s="32"/>
      <c r="G92" s="32"/>
      <c r="H92" s="33"/>
      <c r="I92" s="34" t="str">
        <f t="shared" ca="1" si="4"/>
        <v/>
      </c>
      <c r="J92" s="34" t="str">
        <f t="shared" si="5"/>
        <v/>
      </c>
    </row>
    <row r="93" spans="1:10" ht="19.5" customHeight="1" x14ac:dyDescent="0.25">
      <c r="A93" s="31" t="str">
        <f t="shared" si="3"/>
        <v/>
      </c>
      <c r="B93" s="32"/>
      <c r="C93" s="32"/>
      <c r="D93" s="32"/>
      <c r="E93" s="32"/>
      <c r="F93" s="32"/>
      <c r="G93" s="32"/>
      <c r="H93" s="33"/>
      <c r="I93" s="34" t="str">
        <f t="shared" ca="1" si="4"/>
        <v/>
      </c>
      <c r="J93" s="34" t="str">
        <f t="shared" si="5"/>
        <v/>
      </c>
    </row>
    <row r="94" spans="1:10" ht="19.5" customHeight="1" x14ac:dyDescent="0.25">
      <c r="A94" s="31" t="str">
        <f t="shared" si="3"/>
        <v/>
      </c>
      <c r="B94" s="32"/>
      <c r="C94" s="32"/>
      <c r="D94" s="32"/>
      <c r="E94" s="32"/>
      <c r="F94" s="32"/>
      <c r="G94" s="32"/>
      <c r="H94" s="33"/>
      <c r="I94" s="34" t="str">
        <f t="shared" ca="1" si="4"/>
        <v/>
      </c>
      <c r="J94" s="34" t="str">
        <f t="shared" si="5"/>
        <v/>
      </c>
    </row>
    <row r="95" spans="1:10" ht="19.5" customHeight="1" x14ac:dyDescent="0.25">
      <c r="A95" s="31" t="str">
        <f t="shared" si="3"/>
        <v/>
      </c>
      <c r="B95" s="32"/>
      <c r="C95" s="32"/>
      <c r="D95" s="32"/>
      <c r="E95" s="32"/>
      <c r="F95" s="32"/>
      <c r="G95" s="32"/>
      <c r="H95" s="33"/>
      <c r="I95" s="34" t="str">
        <f t="shared" ca="1" si="4"/>
        <v/>
      </c>
      <c r="J95" s="34" t="str">
        <f t="shared" si="5"/>
        <v/>
      </c>
    </row>
    <row r="96" spans="1:10" ht="19.5" customHeight="1" x14ac:dyDescent="0.25">
      <c r="A96" s="31" t="str">
        <f t="shared" si="3"/>
        <v/>
      </c>
      <c r="B96" s="32"/>
      <c r="C96" s="32"/>
      <c r="D96" s="32"/>
      <c r="E96" s="32"/>
      <c r="F96" s="32"/>
      <c r="G96" s="32"/>
      <c r="H96" s="33"/>
      <c r="I96" s="34" t="str">
        <f t="shared" ca="1" si="4"/>
        <v/>
      </c>
      <c r="J96" s="34" t="str">
        <f t="shared" si="5"/>
        <v/>
      </c>
    </row>
    <row r="97" spans="1:10" ht="19.5" customHeight="1" x14ac:dyDescent="0.25">
      <c r="A97" s="31" t="str">
        <f t="shared" si="3"/>
        <v/>
      </c>
      <c r="B97" s="32"/>
      <c r="C97" s="32"/>
      <c r="D97" s="32"/>
      <c r="E97" s="32"/>
      <c r="F97" s="32"/>
      <c r="G97" s="32"/>
      <c r="H97" s="33"/>
      <c r="I97" s="34" t="str">
        <f t="shared" ca="1" si="4"/>
        <v/>
      </c>
      <c r="J97" s="34" t="str">
        <f t="shared" si="5"/>
        <v/>
      </c>
    </row>
    <row r="98" spans="1:10" ht="19.5" customHeight="1" x14ac:dyDescent="0.25">
      <c r="A98" s="31" t="str">
        <f t="shared" si="3"/>
        <v/>
      </c>
      <c r="B98" s="32"/>
      <c r="C98" s="32"/>
      <c r="D98" s="32"/>
      <c r="E98" s="32"/>
      <c r="F98" s="32"/>
      <c r="G98" s="32"/>
      <c r="H98" s="33"/>
      <c r="I98" s="34" t="str">
        <f t="shared" ca="1" si="4"/>
        <v/>
      </c>
      <c r="J98" s="34" t="str">
        <f t="shared" si="5"/>
        <v/>
      </c>
    </row>
    <row r="99" spans="1:10" ht="19.5" customHeight="1" x14ac:dyDescent="0.25">
      <c r="A99" s="31" t="str">
        <f t="shared" si="3"/>
        <v/>
      </c>
      <c r="B99" s="32"/>
      <c r="C99" s="32"/>
      <c r="D99" s="32"/>
      <c r="E99" s="32"/>
      <c r="F99" s="32"/>
      <c r="G99" s="32"/>
      <c r="H99" s="33"/>
      <c r="I99" s="34" t="str">
        <f t="shared" ca="1" si="4"/>
        <v/>
      </c>
      <c r="J99" s="34" t="str">
        <f t="shared" si="5"/>
        <v/>
      </c>
    </row>
    <row r="100" spans="1:10" ht="19.5" customHeight="1" x14ac:dyDescent="0.25">
      <c r="A100" s="31" t="str">
        <f t="shared" si="3"/>
        <v/>
      </c>
      <c r="B100" s="32"/>
      <c r="C100" s="32"/>
      <c r="D100" s="32"/>
      <c r="E100" s="32"/>
      <c r="F100" s="32"/>
      <c r="G100" s="32"/>
      <c r="H100" s="33"/>
      <c r="I100" s="34" t="str">
        <f t="shared" ca="1" si="4"/>
        <v/>
      </c>
      <c r="J100" s="34" t="str">
        <f t="shared" si="5"/>
        <v/>
      </c>
    </row>
    <row r="101" spans="1:10" ht="19.5" customHeight="1" x14ac:dyDescent="0.25">
      <c r="A101" s="31" t="str">
        <f t="shared" si="3"/>
        <v/>
      </c>
      <c r="B101" s="32"/>
      <c r="C101" s="32"/>
      <c r="D101" s="32"/>
      <c r="E101" s="32"/>
      <c r="F101" s="32"/>
      <c r="G101" s="32"/>
      <c r="H101" s="33"/>
      <c r="I101" s="34" t="str">
        <f t="shared" ca="1" si="4"/>
        <v/>
      </c>
      <c r="J101" s="34" t="str">
        <f t="shared" si="5"/>
        <v/>
      </c>
    </row>
    <row r="102" spans="1:10" ht="19.5" customHeight="1" x14ac:dyDescent="0.25">
      <c r="A102" s="31" t="str">
        <f t="shared" si="3"/>
        <v/>
      </c>
      <c r="B102" s="32"/>
      <c r="C102" s="32"/>
      <c r="D102" s="32"/>
      <c r="E102" s="32"/>
      <c r="F102" s="32"/>
      <c r="G102" s="32"/>
      <c r="H102" s="33"/>
      <c r="I102" s="34" t="str">
        <f t="shared" ca="1" si="4"/>
        <v/>
      </c>
      <c r="J102" s="34" t="str">
        <f t="shared" si="5"/>
        <v/>
      </c>
    </row>
    <row r="103" spans="1:10" ht="19.5" customHeight="1" x14ac:dyDescent="0.25">
      <c r="A103" s="31" t="str">
        <f t="shared" si="3"/>
        <v/>
      </c>
      <c r="B103" s="32"/>
      <c r="C103" s="32"/>
      <c r="D103" s="32"/>
      <c r="E103" s="32"/>
      <c r="F103" s="32"/>
      <c r="G103" s="32"/>
      <c r="H103" s="33"/>
      <c r="I103" s="34" t="str">
        <f t="shared" ca="1" si="4"/>
        <v/>
      </c>
      <c r="J103" s="34" t="str">
        <f t="shared" si="5"/>
        <v/>
      </c>
    </row>
    <row r="104" spans="1:10" ht="19.5" customHeight="1" x14ac:dyDescent="0.25">
      <c r="A104" s="31" t="str">
        <f t="shared" si="3"/>
        <v/>
      </c>
      <c r="B104" s="32"/>
      <c r="C104" s="32"/>
      <c r="D104" s="32"/>
      <c r="E104" s="32"/>
      <c r="F104" s="32"/>
      <c r="G104" s="32"/>
      <c r="H104" s="33"/>
      <c r="I104" s="34" t="str">
        <f t="shared" ca="1" si="4"/>
        <v/>
      </c>
      <c r="J104" s="34" t="str">
        <f t="shared" si="5"/>
        <v/>
      </c>
    </row>
    <row r="105" spans="1:10" ht="19.5" customHeight="1" x14ac:dyDescent="0.25">
      <c r="A105" s="31" t="str">
        <f t="shared" si="3"/>
        <v/>
      </c>
      <c r="B105" s="32"/>
      <c r="C105" s="32"/>
      <c r="D105" s="32"/>
      <c r="E105" s="32"/>
      <c r="F105" s="32"/>
      <c r="G105" s="32"/>
      <c r="H105" s="33"/>
      <c r="I105" s="34" t="str">
        <f t="shared" ca="1" si="4"/>
        <v/>
      </c>
      <c r="J105" s="34" t="str">
        <f t="shared" si="5"/>
        <v/>
      </c>
    </row>
    <row r="106" spans="1:10" ht="19.5" customHeight="1" x14ac:dyDescent="0.25">
      <c r="A106" s="31" t="str">
        <f t="shared" si="3"/>
        <v/>
      </c>
      <c r="B106" s="32"/>
      <c r="C106" s="32"/>
      <c r="D106" s="32"/>
      <c r="E106" s="32"/>
      <c r="F106" s="32"/>
      <c r="G106" s="32"/>
      <c r="H106" s="33"/>
      <c r="I106" s="34" t="str">
        <f t="shared" ca="1" si="4"/>
        <v/>
      </c>
      <c r="J106" s="34" t="str">
        <f t="shared" si="5"/>
        <v/>
      </c>
    </row>
    <row r="107" spans="1:10" ht="19.5" customHeight="1" x14ac:dyDescent="0.25">
      <c r="A107" s="31" t="str">
        <f t="shared" si="3"/>
        <v/>
      </c>
      <c r="B107" s="32"/>
      <c r="C107" s="32"/>
      <c r="D107" s="32"/>
      <c r="E107" s="32"/>
      <c r="F107" s="32"/>
      <c r="G107" s="32"/>
      <c r="H107" s="33"/>
      <c r="I107" s="34" t="str">
        <f t="shared" ca="1" si="4"/>
        <v/>
      </c>
      <c r="J107" s="34" t="str">
        <f t="shared" si="5"/>
        <v/>
      </c>
    </row>
    <row r="108" spans="1:10" ht="19.5" customHeight="1" x14ac:dyDescent="0.25">
      <c r="A108" s="31" t="str">
        <f t="shared" si="3"/>
        <v/>
      </c>
      <c r="B108" s="32"/>
      <c r="C108" s="32"/>
      <c r="D108" s="32"/>
      <c r="E108" s="32"/>
      <c r="F108" s="32"/>
      <c r="G108" s="32"/>
      <c r="H108" s="33"/>
      <c r="I108" s="34" t="str">
        <f t="shared" ca="1" si="4"/>
        <v/>
      </c>
      <c r="J108" s="34" t="str">
        <f t="shared" si="5"/>
        <v/>
      </c>
    </row>
    <row r="109" spans="1:10" ht="19.5" customHeight="1" x14ac:dyDescent="0.25">
      <c r="A109" s="31" t="str">
        <f t="shared" si="3"/>
        <v/>
      </c>
      <c r="B109" s="32"/>
      <c r="C109" s="32"/>
      <c r="D109" s="32"/>
      <c r="E109" s="32"/>
      <c r="F109" s="32"/>
      <c r="G109" s="32"/>
      <c r="H109" s="33"/>
      <c r="I109" s="34" t="str">
        <f t="shared" ca="1" si="4"/>
        <v/>
      </c>
      <c r="J109" s="34" t="str">
        <f t="shared" si="5"/>
        <v/>
      </c>
    </row>
    <row r="110" spans="1:10" ht="19.5" customHeight="1" x14ac:dyDescent="0.25">
      <c r="A110" s="31" t="str">
        <f t="shared" si="3"/>
        <v/>
      </c>
      <c r="B110" s="32"/>
      <c r="C110" s="32"/>
      <c r="D110" s="32"/>
      <c r="E110" s="32"/>
      <c r="F110" s="32"/>
      <c r="G110" s="32"/>
      <c r="H110" s="33"/>
      <c r="I110" s="34" t="str">
        <f t="shared" ca="1" si="4"/>
        <v/>
      </c>
      <c r="J110" s="34" t="str">
        <f t="shared" si="5"/>
        <v/>
      </c>
    </row>
    <row r="111" spans="1:10" ht="19.5" customHeight="1" x14ac:dyDescent="0.25">
      <c r="A111" s="31" t="str">
        <f t="shared" si="3"/>
        <v/>
      </c>
      <c r="B111" s="32"/>
      <c r="C111" s="32"/>
      <c r="D111" s="32"/>
      <c r="E111" s="32"/>
      <c r="F111" s="32"/>
      <c r="G111" s="32"/>
      <c r="H111" s="33"/>
      <c r="I111" s="34" t="str">
        <f t="shared" ca="1" si="4"/>
        <v/>
      </c>
      <c r="J111" s="34" t="str">
        <f t="shared" si="5"/>
        <v/>
      </c>
    </row>
    <row r="112" spans="1:10" ht="19.5" customHeight="1" x14ac:dyDescent="0.25">
      <c r="A112" s="31" t="str">
        <f t="shared" si="3"/>
        <v/>
      </c>
      <c r="B112" s="32"/>
      <c r="C112" s="32"/>
      <c r="D112" s="32"/>
      <c r="E112" s="32"/>
      <c r="F112" s="32"/>
      <c r="G112" s="32"/>
      <c r="H112" s="33"/>
      <c r="I112" s="34" t="str">
        <f t="shared" ca="1" si="4"/>
        <v/>
      </c>
      <c r="J112" s="34" t="str">
        <f t="shared" si="5"/>
        <v/>
      </c>
    </row>
    <row r="113" spans="1:10" ht="19.5" customHeight="1" x14ac:dyDescent="0.25">
      <c r="A113" s="31" t="str">
        <f t="shared" si="3"/>
        <v/>
      </c>
      <c r="B113" s="32"/>
      <c r="C113" s="32"/>
      <c r="D113" s="32"/>
      <c r="E113" s="32"/>
      <c r="F113" s="32"/>
      <c r="G113" s="32"/>
      <c r="H113" s="33"/>
      <c r="I113" s="34" t="str">
        <f t="shared" ca="1" si="4"/>
        <v/>
      </c>
      <c r="J113" s="34" t="str">
        <f t="shared" si="5"/>
        <v/>
      </c>
    </row>
    <row r="114" spans="1:10" ht="19.5" customHeight="1" x14ac:dyDescent="0.25">
      <c r="A114" s="31" t="str">
        <f t="shared" si="3"/>
        <v/>
      </c>
      <c r="B114" s="32"/>
      <c r="C114" s="32"/>
      <c r="D114" s="32"/>
      <c r="E114" s="32"/>
      <c r="F114" s="32"/>
      <c r="G114" s="32"/>
      <c r="H114" s="33"/>
      <c r="I114" s="34" t="str">
        <f t="shared" ca="1" si="4"/>
        <v/>
      </c>
      <c r="J114" s="34" t="str">
        <f t="shared" si="5"/>
        <v/>
      </c>
    </row>
    <row r="115" spans="1:10" ht="19.5" customHeight="1" x14ac:dyDescent="0.25">
      <c r="A115" s="31" t="str">
        <f t="shared" si="3"/>
        <v/>
      </c>
      <c r="B115" s="32"/>
      <c r="C115" s="32"/>
      <c r="D115" s="32"/>
      <c r="E115" s="32"/>
      <c r="F115" s="32"/>
      <c r="G115" s="32"/>
      <c r="H115" s="33"/>
      <c r="I115" s="34" t="str">
        <f t="shared" ca="1" si="4"/>
        <v/>
      </c>
      <c r="J115" s="34" t="str">
        <f t="shared" si="5"/>
        <v/>
      </c>
    </row>
    <row r="116" spans="1:10" ht="19.5" customHeight="1" x14ac:dyDescent="0.25">
      <c r="A116" s="31" t="str">
        <f t="shared" si="3"/>
        <v/>
      </c>
      <c r="B116" s="32"/>
      <c r="C116" s="32"/>
      <c r="D116" s="32"/>
      <c r="E116" s="32"/>
      <c r="F116" s="32"/>
      <c r="G116" s="32"/>
      <c r="H116" s="33"/>
      <c r="I116" s="34" t="str">
        <f t="shared" ca="1" si="4"/>
        <v/>
      </c>
      <c r="J116" s="34" t="str">
        <f t="shared" si="5"/>
        <v/>
      </c>
    </row>
    <row r="117" spans="1:10" ht="19.5" customHeight="1" x14ac:dyDescent="0.25">
      <c r="A117" s="31" t="str">
        <f t="shared" si="3"/>
        <v/>
      </c>
      <c r="B117" s="32"/>
      <c r="C117" s="32"/>
      <c r="D117" s="32"/>
      <c r="E117" s="32"/>
      <c r="F117" s="32"/>
      <c r="G117" s="32"/>
      <c r="H117" s="33"/>
      <c r="I117" s="34" t="str">
        <f t="shared" ca="1" si="4"/>
        <v/>
      </c>
      <c r="J117" s="34" t="str">
        <f t="shared" si="5"/>
        <v/>
      </c>
    </row>
    <row r="118" spans="1:10" ht="19.5" customHeight="1" x14ac:dyDescent="0.25">
      <c r="A118" s="31" t="str">
        <f t="shared" si="3"/>
        <v/>
      </c>
      <c r="B118" s="32"/>
      <c r="C118" s="32"/>
      <c r="D118" s="32"/>
      <c r="E118" s="32"/>
      <c r="F118" s="32"/>
      <c r="G118" s="32"/>
      <c r="H118" s="33"/>
      <c r="I118" s="34" t="str">
        <f t="shared" ca="1" si="4"/>
        <v/>
      </c>
      <c r="J118" s="34" t="str">
        <f t="shared" si="5"/>
        <v/>
      </c>
    </row>
    <row r="119" spans="1:10" ht="19.5" customHeight="1" x14ac:dyDescent="0.25">
      <c r="A119" s="31" t="str">
        <f t="shared" si="3"/>
        <v/>
      </c>
      <c r="B119" s="32"/>
      <c r="C119" s="32"/>
      <c r="D119" s="32"/>
      <c r="E119" s="32"/>
      <c r="F119" s="32"/>
      <c r="G119" s="32"/>
      <c r="H119" s="33"/>
      <c r="I119" s="34" t="str">
        <f t="shared" ca="1" si="4"/>
        <v/>
      </c>
      <c r="J119" s="34" t="str">
        <f t="shared" si="5"/>
        <v/>
      </c>
    </row>
    <row r="120" spans="1:10" ht="19.5" customHeight="1" x14ac:dyDescent="0.25">
      <c r="A120" s="31" t="str">
        <f t="shared" si="3"/>
        <v/>
      </c>
      <c r="B120" s="32"/>
      <c r="C120" s="32"/>
      <c r="D120" s="32"/>
      <c r="E120" s="32"/>
      <c r="F120" s="32"/>
      <c r="G120" s="32"/>
      <c r="H120" s="33"/>
      <c r="I120" s="34" t="str">
        <f t="shared" ca="1" si="4"/>
        <v/>
      </c>
      <c r="J120" s="34" t="str">
        <f t="shared" si="5"/>
        <v/>
      </c>
    </row>
    <row r="121" spans="1:10" ht="19.5" customHeight="1" x14ac:dyDescent="0.25">
      <c r="A121" s="31" t="str">
        <f t="shared" si="3"/>
        <v/>
      </c>
      <c r="B121" s="32"/>
      <c r="C121" s="32"/>
      <c r="D121" s="32"/>
      <c r="E121" s="32"/>
      <c r="F121" s="32"/>
      <c r="G121" s="32"/>
      <c r="H121" s="33"/>
      <c r="I121" s="34" t="str">
        <f t="shared" ca="1" si="4"/>
        <v/>
      </c>
      <c r="J121" s="34" t="str">
        <f t="shared" si="5"/>
        <v/>
      </c>
    </row>
    <row r="122" spans="1:10" ht="19.5" customHeight="1" x14ac:dyDescent="0.25">
      <c r="A122" s="31" t="str">
        <f t="shared" si="3"/>
        <v/>
      </c>
      <c r="B122" s="32"/>
      <c r="C122" s="32"/>
      <c r="D122" s="32"/>
      <c r="E122" s="32"/>
      <c r="F122" s="32"/>
      <c r="G122" s="32"/>
      <c r="H122" s="33"/>
      <c r="I122" s="34" t="str">
        <f t="shared" ca="1" si="4"/>
        <v/>
      </c>
      <c r="J122" s="34" t="str">
        <f t="shared" si="5"/>
        <v/>
      </c>
    </row>
    <row r="123" spans="1:10" ht="19.5" customHeight="1" x14ac:dyDescent="0.25">
      <c r="A123" s="31" t="str">
        <f t="shared" si="3"/>
        <v/>
      </c>
      <c r="B123" s="32"/>
      <c r="C123" s="32"/>
      <c r="D123" s="32"/>
      <c r="E123" s="32"/>
      <c r="F123" s="32"/>
      <c r="G123" s="32"/>
      <c r="H123" s="33"/>
      <c r="I123" s="34" t="str">
        <f t="shared" ca="1" si="4"/>
        <v/>
      </c>
      <c r="J123" s="34" t="str">
        <f t="shared" si="5"/>
        <v/>
      </c>
    </row>
    <row r="124" spans="1:10" ht="19.5" customHeight="1" x14ac:dyDescent="0.25">
      <c r="A124" s="31" t="str">
        <f t="shared" si="3"/>
        <v/>
      </c>
      <c r="B124" s="32"/>
      <c r="C124" s="32"/>
      <c r="D124" s="32"/>
      <c r="E124" s="32"/>
      <c r="F124" s="32"/>
      <c r="G124" s="32"/>
      <c r="H124" s="33"/>
      <c r="I124" s="34" t="str">
        <f t="shared" ca="1" si="4"/>
        <v/>
      </c>
      <c r="J124" s="34" t="str">
        <f t="shared" si="5"/>
        <v/>
      </c>
    </row>
    <row r="125" spans="1:10" ht="19.5" customHeight="1" x14ac:dyDescent="0.25">
      <c r="A125" s="31" t="str">
        <f t="shared" si="3"/>
        <v/>
      </c>
      <c r="B125" s="32"/>
      <c r="C125" s="32"/>
      <c r="D125" s="32"/>
      <c r="E125" s="32"/>
      <c r="F125" s="32"/>
      <c r="G125" s="32"/>
      <c r="H125" s="33"/>
      <c r="I125" s="34" t="str">
        <f t="shared" ca="1" si="4"/>
        <v/>
      </c>
      <c r="J125" s="34" t="str">
        <f t="shared" si="5"/>
        <v/>
      </c>
    </row>
    <row r="126" spans="1:10" ht="19.5" customHeight="1" x14ac:dyDescent="0.25">
      <c r="A126" s="31" t="str">
        <f t="shared" si="3"/>
        <v/>
      </c>
      <c r="B126" s="32"/>
      <c r="C126" s="32"/>
      <c r="D126" s="32"/>
      <c r="E126" s="32"/>
      <c r="F126" s="32"/>
      <c r="G126" s="32"/>
      <c r="H126" s="33"/>
      <c r="I126" s="34" t="str">
        <f t="shared" ca="1" si="4"/>
        <v/>
      </c>
      <c r="J126" s="34" t="str">
        <f t="shared" si="5"/>
        <v/>
      </c>
    </row>
    <row r="127" spans="1:10" ht="19.5" customHeight="1" x14ac:dyDescent="0.25">
      <c r="A127" s="31" t="str">
        <f t="shared" si="3"/>
        <v/>
      </c>
      <c r="B127" s="32"/>
      <c r="C127" s="32"/>
      <c r="D127" s="32"/>
      <c r="E127" s="32"/>
      <c r="F127" s="32"/>
      <c r="G127" s="32"/>
      <c r="H127" s="33"/>
      <c r="I127" s="34" t="str">
        <f t="shared" ca="1" si="4"/>
        <v/>
      </c>
      <c r="J127" s="34" t="str">
        <f t="shared" si="5"/>
        <v/>
      </c>
    </row>
    <row r="128" spans="1:10" ht="19.5" customHeight="1" x14ac:dyDescent="0.25">
      <c r="A128" s="31" t="str">
        <f t="shared" si="3"/>
        <v/>
      </c>
      <c r="B128" s="32"/>
      <c r="C128" s="32"/>
      <c r="D128" s="32"/>
      <c r="E128" s="32"/>
      <c r="F128" s="32"/>
      <c r="G128" s="32"/>
      <c r="H128" s="33"/>
      <c r="I128" s="34" t="str">
        <f t="shared" ca="1" si="4"/>
        <v/>
      </c>
      <c r="J128" s="34" t="str">
        <f t="shared" si="5"/>
        <v/>
      </c>
    </row>
    <row r="129" spans="1:10" ht="19.5" customHeight="1" x14ac:dyDescent="0.25">
      <c r="A129" s="31" t="str">
        <f t="shared" si="3"/>
        <v/>
      </c>
      <c r="B129" s="32"/>
      <c r="C129" s="32"/>
      <c r="D129" s="32"/>
      <c r="E129" s="32"/>
      <c r="F129" s="32"/>
      <c r="G129" s="32"/>
      <c r="H129" s="33"/>
      <c r="I129" s="34" t="str">
        <f t="shared" ca="1" si="4"/>
        <v/>
      </c>
      <c r="J129" s="34" t="str">
        <f t="shared" si="5"/>
        <v/>
      </c>
    </row>
    <row r="130" spans="1:10" ht="19.5" customHeight="1" x14ac:dyDescent="0.25">
      <c r="A130" s="31" t="str">
        <f t="shared" si="3"/>
        <v/>
      </c>
      <c r="B130" s="32"/>
      <c r="C130" s="32"/>
      <c r="D130" s="32"/>
      <c r="E130" s="32"/>
      <c r="F130" s="32"/>
      <c r="G130" s="32"/>
      <c r="H130" s="33"/>
      <c r="I130" s="34" t="str">
        <f t="shared" ca="1" si="4"/>
        <v/>
      </c>
      <c r="J130" s="34" t="str">
        <f t="shared" si="5"/>
        <v/>
      </c>
    </row>
    <row r="131" spans="1:10" ht="19.5" customHeight="1" x14ac:dyDescent="0.25">
      <c r="A131" s="31" t="str">
        <f t="shared" si="3"/>
        <v/>
      </c>
      <c r="B131" s="32"/>
      <c r="C131" s="32"/>
      <c r="D131" s="32"/>
      <c r="E131" s="32"/>
      <c r="F131" s="32"/>
      <c r="G131" s="32"/>
      <c r="H131" s="33"/>
      <c r="I131" s="34" t="str">
        <f t="shared" ca="1" si="4"/>
        <v/>
      </c>
      <c r="J131" s="34" t="str">
        <f t="shared" si="5"/>
        <v/>
      </c>
    </row>
    <row r="132" spans="1:10" ht="19.5" customHeight="1" x14ac:dyDescent="0.25">
      <c r="A132" s="31" t="str">
        <f t="shared" si="3"/>
        <v/>
      </c>
      <c r="B132" s="32"/>
      <c r="C132" s="32"/>
      <c r="D132" s="32"/>
      <c r="E132" s="32"/>
      <c r="F132" s="32"/>
      <c r="G132" s="32"/>
      <c r="H132" s="33"/>
      <c r="I132" s="34" t="str">
        <f t="shared" ca="1" si="4"/>
        <v/>
      </c>
      <c r="J132" s="34" t="str">
        <f t="shared" si="5"/>
        <v/>
      </c>
    </row>
    <row r="133" spans="1:10" ht="19.5" customHeight="1" x14ac:dyDescent="0.25">
      <c r="A133" s="31" t="str">
        <f t="shared" ref="A133:A196" si="6">IF(B133="","","ACC"&amp;TEXT(ROW()-4,"0000"))</f>
        <v/>
      </c>
      <c r="B133" s="32"/>
      <c r="C133" s="32"/>
      <c r="D133" s="32"/>
      <c r="E133" s="32"/>
      <c r="F133" s="32"/>
      <c r="G133" s="32"/>
      <c r="H133" s="33"/>
      <c r="I133" s="34" t="str">
        <f t="shared" ref="I133:I196" ca="1" si="7">IF(B133="","",TEXT(TODAY(),"dd/mm/yyyy"))</f>
        <v/>
      </c>
      <c r="J133" s="34" t="str">
        <f t="shared" ref="J133:J196" si="8">IF(B133="","",IF(ISNUMBER(H133),IF(H133&gt;=10,"✅ Active","⚠️ Below Min Balance"),"Pending"))</f>
        <v/>
      </c>
    </row>
    <row r="134" spans="1:10" ht="19.5" customHeight="1" x14ac:dyDescent="0.25">
      <c r="A134" s="31" t="str">
        <f t="shared" si="6"/>
        <v/>
      </c>
      <c r="B134" s="32"/>
      <c r="C134" s="32"/>
      <c r="D134" s="32"/>
      <c r="E134" s="32"/>
      <c r="F134" s="32"/>
      <c r="G134" s="32"/>
      <c r="H134" s="33"/>
      <c r="I134" s="34" t="str">
        <f t="shared" ca="1" si="7"/>
        <v/>
      </c>
      <c r="J134" s="34" t="str">
        <f t="shared" si="8"/>
        <v/>
      </c>
    </row>
    <row r="135" spans="1:10" ht="19.5" customHeight="1" x14ac:dyDescent="0.25">
      <c r="A135" s="31" t="str">
        <f t="shared" si="6"/>
        <v/>
      </c>
      <c r="B135" s="32"/>
      <c r="C135" s="32"/>
      <c r="D135" s="32"/>
      <c r="E135" s="32"/>
      <c r="F135" s="32"/>
      <c r="G135" s="32"/>
      <c r="H135" s="33"/>
      <c r="I135" s="34" t="str">
        <f t="shared" ca="1" si="7"/>
        <v/>
      </c>
      <c r="J135" s="34" t="str">
        <f t="shared" si="8"/>
        <v/>
      </c>
    </row>
    <row r="136" spans="1:10" ht="19.5" customHeight="1" x14ac:dyDescent="0.25">
      <c r="A136" s="31" t="str">
        <f t="shared" si="6"/>
        <v/>
      </c>
      <c r="B136" s="32"/>
      <c r="C136" s="32"/>
      <c r="D136" s="32"/>
      <c r="E136" s="32"/>
      <c r="F136" s="32"/>
      <c r="G136" s="32"/>
      <c r="H136" s="33"/>
      <c r="I136" s="34" t="str">
        <f t="shared" ca="1" si="7"/>
        <v/>
      </c>
      <c r="J136" s="34" t="str">
        <f t="shared" si="8"/>
        <v/>
      </c>
    </row>
    <row r="137" spans="1:10" ht="19.5" customHeight="1" x14ac:dyDescent="0.25">
      <c r="A137" s="31" t="str">
        <f t="shared" si="6"/>
        <v/>
      </c>
      <c r="B137" s="32"/>
      <c r="C137" s="32"/>
      <c r="D137" s="32"/>
      <c r="E137" s="32"/>
      <c r="F137" s="32"/>
      <c r="G137" s="32"/>
      <c r="H137" s="33"/>
      <c r="I137" s="34" t="str">
        <f t="shared" ca="1" si="7"/>
        <v/>
      </c>
      <c r="J137" s="34" t="str">
        <f t="shared" si="8"/>
        <v/>
      </c>
    </row>
    <row r="138" spans="1:10" ht="19.5" customHeight="1" x14ac:dyDescent="0.25">
      <c r="A138" s="31" t="str">
        <f t="shared" si="6"/>
        <v/>
      </c>
      <c r="B138" s="32"/>
      <c r="C138" s="32"/>
      <c r="D138" s="32"/>
      <c r="E138" s="32"/>
      <c r="F138" s="32"/>
      <c r="G138" s="32"/>
      <c r="H138" s="33"/>
      <c r="I138" s="34" t="str">
        <f t="shared" ca="1" si="7"/>
        <v/>
      </c>
      <c r="J138" s="34" t="str">
        <f t="shared" si="8"/>
        <v/>
      </c>
    </row>
    <row r="139" spans="1:10" ht="19.5" customHeight="1" x14ac:dyDescent="0.25">
      <c r="A139" s="31" t="str">
        <f t="shared" si="6"/>
        <v/>
      </c>
      <c r="B139" s="32"/>
      <c r="C139" s="32"/>
      <c r="D139" s="32"/>
      <c r="E139" s="32"/>
      <c r="F139" s="32"/>
      <c r="G139" s="32"/>
      <c r="H139" s="33"/>
      <c r="I139" s="34" t="str">
        <f t="shared" ca="1" si="7"/>
        <v/>
      </c>
      <c r="J139" s="34" t="str">
        <f t="shared" si="8"/>
        <v/>
      </c>
    </row>
    <row r="140" spans="1:10" ht="19.5" customHeight="1" x14ac:dyDescent="0.25">
      <c r="A140" s="31" t="str">
        <f t="shared" si="6"/>
        <v/>
      </c>
      <c r="B140" s="32"/>
      <c r="C140" s="32"/>
      <c r="D140" s="32"/>
      <c r="E140" s="32"/>
      <c r="F140" s="32"/>
      <c r="G140" s="32"/>
      <c r="H140" s="33"/>
      <c r="I140" s="34" t="str">
        <f t="shared" ca="1" si="7"/>
        <v/>
      </c>
      <c r="J140" s="34" t="str">
        <f t="shared" si="8"/>
        <v/>
      </c>
    </row>
    <row r="141" spans="1:10" ht="19.5" customHeight="1" x14ac:dyDescent="0.25">
      <c r="A141" s="31" t="str">
        <f t="shared" si="6"/>
        <v/>
      </c>
      <c r="B141" s="32"/>
      <c r="C141" s="32"/>
      <c r="D141" s="32"/>
      <c r="E141" s="32"/>
      <c r="F141" s="32"/>
      <c r="G141" s="32"/>
      <c r="H141" s="33"/>
      <c r="I141" s="34" t="str">
        <f t="shared" ca="1" si="7"/>
        <v/>
      </c>
      <c r="J141" s="34" t="str">
        <f t="shared" si="8"/>
        <v/>
      </c>
    </row>
    <row r="142" spans="1:10" ht="19.5" customHeight="1" x14ac:dyDescent="0.25">
      <c r="A142" s="31" t="str">
        <f t="shared" si="6"/>
        <v/>
      </c>
      <c r="B142" s="32"/>
      <c r="C142" s="32"/>
      <c r="D142" s="32"/>
      <c r="E142" s="32"/>
      <c r="F142" s="32"/>
      <c r="G142" s="32"/>
      <c r="H142" s="33"/>
      <c r="I142" s="34" t="str">
        <f t="shared" ca="1" si="7"/>
        <v/>
      </c>
      <c r="J142" s="34" t="str">
        <f t="shared" si="8"/>
        <v/>
      </c>
    </row>
    <row r="143" spans="1:10" ht="19.5" customHeight="1" x14ac:dyDescent="0.25">
      <c r="A143" s="31" t="str">
        <f t="shared" si="6"/>
        <v/>
      </c>
      <c r="B143" s="32"/>
      <c r="C143" s="32"/>
      <c r="D143" s="32"/>
      <c r="E143" s="32"/>
      <c r="F143" s="32"/>
      <c r="G143" s="32"/>
      <c r="H143" s="33"/>
      <c r="I143" s="34" t="str">
        <f t="shared" ca="1" si="7"/>
        <v/>
      </c>
      <c r="J143" s="34" t="str">
        <f t="shared" si="8"/>
        <v/>
      </c>
    </row>
    <row r="144" spans="1:10" ht="19.5" customHeight="1" x14ac:dyDescent="0.25">
      <c r="A144" s="31" t="str">
        <f t="shared" si="6"/>
        <v/>
      </c>
      <c r="B144" s="32"/>
      <c r="C144" s="32"/>
      <c r="D144" s="32"/>
      <c r="E144" s="32"/>
      <c r="F144" s="32"/>
      <c r="G144" s="32"/>
      <c r="H144" s="33"/>
      <c r="I144" s="34" t="str">
        <f t="shared" ca="1" si="7"/>
        <v/>
      </c>
      <c r="J144" s="34" t="str">
        <f t="shared" si="8"/>
        <v/>
      </c>
    </row>
    <row r="145" spans="1:10" ht="19.5" customHeight="1" x14ac:dyDescent="0.25">
      <c r="A145" s="31" t="str">
        <f t="shared" si="6"/>
        <v/>
      </c>
      <c r="B145" s="32"/>
      <c r="C145" s="32"/>
      <c r="D145" s="32"/>
      <c r="E145" s="32"/>
      <c r="F145" s="32"/>
      <c r="G145" s="32"/>
      <c r="H145" s="33"/>
      <c r="I145" s="34" t="str">
        <f t="shared" ca="1" si="7"/>
        <v/>
      </c>
      <c r="J145" s="34" t="str">
        <f t="shared" si="8"/>
        <v/>
      </c>
    </row>
    <row r="146" spans="1:10" ht="19.5" customHeight="1" x14ac:dyDescent="0.25">
      <c r="A146" s="31" t="str">
        <f t="shared" si="6"/>
        <v/>
      </c>
      <c r="B146" s="32"/>
      <c r="C146" s="32"/>
      <c r="D146" s="32"/>
      <c r="E146" s="32"/>
      <c r="F146" s="32"/>
      <c r="G146" s="32"/>
      <c r="H146" s="33"/>
      <c r="I146" s="34" t="str">
        <f t="shared" ca="1" si="7"/>
        <v/>
      </c>
      <c r="J146" s="34" t="str">
        <f t="shared" si="8"/>
        <v/>
      </c>
    </row>
    <row r="147" spans="1:10" ht="19.5" customHeight="1" x14ac:dyDescent="0.25">
      <c r="A147" s="31" t="str">
        <f t="shared" si="6"/>
        <v/>
      </c>
      <c r="B147" s="32"/>
      <c r="C147" s="32"/>
      <c r="D147" s="32"/>
      <c r="E147" s="32"/>
      <c r="F147" s="32"/>
      <c r="G147" s="32"/>
      <c r="H147" s="33"/>
      <c r="I147" s="34" t="str">
        <f t="shared" ca="1" si="7"/>
        <v/>
      </c>
      <c r="J147" s="34" t="str">
        <f t="shared" si="8"/>
        <v/>
      </c>
    </row>
    <row r="148" spans="1:10" ht="19.5" customHeight="1" x14ac:dyDescent="0.25">
      <c r="A148" s="31" t="str">
        <f t="shared" si="6"/>
        <v/>
      </c>
      <c r="B148" s="32"/>
      <c r="C148" s="32"/>
      <c r="D148" s="32"/>
      <c r="E148" s="32"/>
      <c r="F148" s="32"/>
      <c r="G148" s="32"/>
      <c r="H148" s="33"/>
      <c r="I148" s="34" t="str">
        <f t="shared" ca="1" si="7"/>
        <v/>
      </c>
      <c r="J148" s="34" t="str">
        <f t="shared" si="8"/>
        <v/>
      </c>
    </row>
    <row r="149" spans="1:10" ht="19.5" customHeight="1" x14ac:dyDescent="0.25">
      <c r="A149" s="31" t="str">
        <f t="shared" si="6"/>
        <v/>
      </c>
      <c r="B149" s="32"/>
      <c r="C149" s="32"/>
      <c r="D149" s="32"/>
      <c r="E149" s="32"/>
      <c r="F149" s="32"/>
      <c r="G149" s="32"/>
      <c r="H149" s="33"/>
      <c r="I149" s="34" t="str">
        <f t="shared" ca="1" si="7"/>
        <v/>
      </c>
      <c r="J149" s="34" t="str">
        <f t="shared" si="8"/>
        <v/>
      </c>
    </row>
    <row r="150" spans="1:10" ht="19.5" customHeight="1" x14ac:dyDescent="0.25">
      <c r="A150" s="31" t="str">
        <f t="shared" si="6"/>
        <v/>
      </c>
      <c r="B150" s="32"/>
      <c r="C150" s="32"/>
      <c r="D150" s="32"/>
      <c r="E150" s="32"/>
      <c r="F150" s="32"/>
      <c r="G150" s="32"/>
      <c r="H150" s="33"/>
      <c r="I150" s="34" t="str">
        <f t="shared" ca="1" si="7"/>
        <v/>
      </c>
      <c r="J150" s="34" t="str">
        <f t="shared" si="8"/>
        <v/>
      </c>
    </row>
    <row r="151" spans="1:10" ht="19.5" customHeight="1" x14ac:dyDescent="0.25">
      <c r="A151" s="31" t="str">
        <f t="shared" si="6"/>
        <v/>
      </c>
      <c r="B151" s="32"/>
      <c r="C151" s="32"/>
      <c r="D151" s="32"/>
      <c r="E151" s="32"/>
      <c r="F151" s="32"/>
      <c r="G151" s="32"/>
      <c r="H151" s="33"/>
      <c r="I151" s="34" t="str">
        <f t="shared" ca="1" si="7"/>
        <v/>
      </c>
      <c r="J151" s="34" t="str">
        <f t="shared" si="8"/>
        <v/>
      </c>
    </row>
    <row r="152" spans="1:10" ht="19.5" customHeight="1" x14ac:dyDescent="0.25">
      <c r="A152" s="31" t="str">
        <f t="shared" si="6"/>
        <v/>
      </c>
      <c r="B152" s="32"/>
      <c r="C152" s="32"/>
      <c r="D152" s="32"/>
      <c r="E152" s="32"/>
      <c r="F152" s="32"/>
      <c r="G152" s="32"/>
      <c r="H152" s="33"/>
      <c r="I152" s="34" t="str">
        <f t="shared" ca="1" si="7"/>
        <v/>
      </c>
      <c r="J152" s="34" t="str">
        <f t="shared" si="8"/>
        <v/>
      </c>
    </row>
    <row r="153" spans="1:10" ht="19.5" customHeight="1" x14ac:dyDescent="0.25">
      <c r="A153" s="31" t="str">
        <f t="shared" si="6"/>
        <v/>
      </c>
      <c r="B153" s="32"/>
      <c r="C153" s="32"/>
      <c r="D153" s="32"/>
      <c r="E153" s="32"/>
      <c r="F153" s="32"/>
      <c r="G153" s="32"/>
      <c r="H153" s="33"/>
      <c r="I153" s="34" t="str">
        <f t="shared" ca="1" si="7"/>
        <v/>
      </c>
      <c r="J153" s="34" t="str">
        <f t="shared" si="8"/>
        <v/>
      </c>
    </row>
    <row r="154" spans="1:10" ht="19.5" customHeight="1" x14ac:dyDescent="0.25">
      <c r="A154" s="31" t="str">
        <f t="shared" si="6"/>
        <v/>
      </c>
      <c r="B154" s="32"/>
      <c r="C154" s="32"/>
      <c r="D154" s="32"/>
      <c r="E154" s="32"/>
      <c r="F154" s="32"/>
      <c r="G154" s="32"/>
      <c r="H154" s="33"/>
      <c r="I154" s="34" t="str">
        <f t="shared" ca="1" si="7"/>
        <v/>
      </c>
      <c r="J154" s="34" t="str">
        <f t="shared" si="8"/>
        <v/>
      </c>
    </row>
    <row r="155" spans="1:10" ht="19.5" customHeight="1" x14ac:dyDescent="0.25">
      <c r="A155" s="31" t="str">
        <f t="shared" si="6"/>
        <v/>
      </c>
      <c r="B155" s="32"/>
      <c r="C155" s="32"/>
      <c r="D155" s="32"/>
      <c r="E155" s="32"/>
      <c r="F155" s="32"/>
      <c r="G155" s="32"/>
      <c r="H155" s="33"/>
      <c r="I155" s="34" t="str">
        <f t="shared" ca="1" si="7"/>
        <v/>
      </c>
      <c r="J155" s="34" t="str">
        <f t="shared" si="8"/>
        <v/>
      </c>
    </row>
    <row r="156" spans="1:10" ht="19.5" customHeight="1" x14ac:dyDescent="0.25">
      <c r="A156" s="31" t="str">
        <f t="shared" si="6"/>
        <v/>
      </c>
      <c r="B156" s="32"/>
      <c r="C156" s="32"/>
      <c r="D156" s="32"/>
      <c r="E156" s="32"/>
      <c r="F156" s="32"/>
      <c r="G156" s="32"/>
      <c r="H156" s="33"/>
      <c r="I156" s="34" t="str">
        <f t="shared" ca="1" si="7"/>
        <v/>
      </c>
      <c r="J156" s="34" t="str">
        <f t="shared" si="8"/>
        <v/>
      </c>
    </row>
    <row r="157" spans="1:10" ht="19.5" customHeight="1" x14ac:dyDescent="0.25">
      <c r="A157" s="31" t="str">
        <f t="shared" si="6"/>
        <v/>
      </c>
      <c r="B157" s="32"/>
      <c r="C157" s="32"/>
      <c r="D157" s="32"/>
      <c r="E157" s="32"/>
      <c r="F157" s="32"/>
      <c r="G157" s="32"/>
      <c r="H157" s="33"/>
      <c r="I157" s="34" t="str">
        <f t="shared" ca="1" si="7"/>
        <v/>
      </c>
      <c r="J157" s="34" t="str">
        <f t="shared" si="8"/>
        <v/>
      </c>
    </row>
    <row r="158" spans="1:10" ht="19.5" customHeight="1" x14ac:dyDescent="0.25">
      <c r="A158" s="31" t="str">
        <f t="shared" si="6"/>
        <v/>
      </c>
      <c r="B158" s="32"/>
      <c r="C158" s="32"/>
      <c r="D158" s="32"/>
      <c r="E158" s="32"/>
      <c r="F158" s="32"/>
      <c r="G158" s="32"/>
      <c r="H158" s="33"/>
      <c r="I158" s="34" t="str">
        <f t="shared" ca="1" si="7"/>
        <v/>
      </c>
      <c r="J158" s="34" t="str">
        <f t="shared" si="8"/>
        <v/>
      </c>
    </row>
    <row r="159" spans="1:10" ht="19.5" customHeight="1" x14ac:dyDescent="0.25">
      <c r="A159" s="31" t="str">
        <f t="shared" si="6"/>
        <v/>
      </c>
      <c r="B159" s="32"/>
      <c r="C159" s="32"/>
      <c r="D159" s="32"/>
      <c r="E159" s="32"/>
      <c r="F159" s="32"/>
      <c r="G159" s="32"/>
      <c r="H159" s="33"/>
      <c r="I159" s="34" t="str">
        <f t="shared" ca="1" si="7"/>
        <v/>
      </c>
      <c r="J159" s="34" t="str">
        <f t="shared" si="8"/>
        <v/>
      </c>
    </row>
    <row r="160" spans="1:10" ht="19.5" customHeight="1" x14ac:dyDescent="0.25">
      <c r="A160" s="31" t="str">
        <f t="shared" si="6"/>
        <v/>
      </c>
      <c r="B160" s="32"/>
      <c r="C160" s="32"/>
      <c r="D160" s="32"/>
      <c r="E160" s="32"/>
      <c r="F160" s="32"/>
      <c r="G160" s="32"/>
      <c r="H160" s="33"/>
      <c r="I160" s="34" t="str">
        <f t="shared" ca="1" si="7"/>
        <v/>
      </c>
      <c r="J160" s="34" t="str">
        <f t="shared" si="8"/>
        <v/>
      </c>
    </row>
    <row r="161" spans="1:10" ht="19.5" customHeight="1" x14ac:dyDescent="0.25">
      <c r="A161" s="31" t="str">
        <f t="shared" si="6"/>
        <v/>
      </c>
      <c r="B161" s="32"/>
      <c r="C161" s="32"/>
      <c r="D161" s="32"/>
      <c r="E161" s="32"/>
      <c r="F161" s="32"/>
      <c r="G161" s="32"/>
      <c r="H161" s="33"/>
      <c r="I161" s="34" t="str">
        <f t="shared" ca="1" si="7"/>
        <v/>
      </c>
      <c r="J161" s="34" t="str">
        <f t="shared" si="8"/>
        <v/>
      </c>
    </row>
    <row r="162" spans="1:10" ht="19.5" customHeight="1" x14ac:dyDescent="0.25">
      <c r="A162" s="31" t="str">
        <f t="shared" si="6"/>
        <v/>
      </c>
      <c r="B162" s="32"/>
      <c r="C162" s="32"/>
      <c r="D162" s="32"/>
      <c r="E162" s="32"/>
      <c r="F162" s="32"/>
      <c r="G162" s="32"/>
      <c r="H162" s="33"/>
      <c r="I162" s="34" t="str">
        <f t="shared" ca="1" si="7"/>
        <v/>
      </c>
      <c r="J162" s="34" t="str">
        <f t="shared" si="8"/>
        <v/>
      </c>
    </row>
    <row r="163" spans="1:10" ht="19.5" customHeight="1" x14ac:dyDescent="0.25">
      <c r="A163" s="31" t="str">
        <f t="shared" si="6"/>
        <v/>
      </c>
      <c r="B163" s="32"/>
      <c r="C163" s="32"/>
      <c r="D163" s="32"/>
      <c r="E163" s="32"/>
      <c r="F163" s="32"/>
      <c r="G163" s="32"/>
      <c r="H163" s="33"/>
      <c r="I163" s="34" t="str">
        <f t="shared" ca="1" si="7"/>
        <v/>
      </c>
      <c r="J163" s="34" t="str">
        <f t="shared" si="8"/>
        <v/>
      </c>
    </row>
    <row r="164" spans="1:10" ht="19.5" customHeight="1" x14ac:dyDescent="0.25">
      <c r="A164" s="31" t="str">
        <f t="shared" si="6"/>
        <v/>
      </c>
      <c r="B164" s="32"/>
      <c r="C164" s="32"/>
      <c r="D164" s="32"/>
      <c r="E164" s="32"/>
      <c r="F164" s="32"/>
      <c r="G164" s="32"/>
      <c r="H164" s="33"/>
      <c r="I164" s="34" t="str">
        <f t="shared" ca="1" si="7"/>
        <v/>
      </c>
      <c r="J164" s="34" t="str">
        <f t="shared" si="8"/>
        <v/>
      </c>
    </row>
    <row r="165" spans="1:10" ht="19.5" customHeight="1" x14ac:dyDescent="0.25">
      <c r="A165" s="31" t="str">
        <f t="shared" si="6"/>
        <v/>
      </c>
      <c r="B165" s="32"/>
      <c r="C165" s="32"/>
      <c r="D165" s="32"/>
      <c r="E165" s="32"/>
      <c r="F165" s="32"/>
      <c r="G165" s="32"/>
      <c r="H165" s="33"/>
      <c r="I165" s="34" t="str">
        <f t="shared" ca="1" si="7"/>
        <v/>
      </c>
      <c r="J165" s="34" t="str">
        <f t="shared" si="8"/>
        <v/>
      </c>
    </row>
    <row r="166" spans="1:10" ht="19.5" customHeight="1" x14ac:dyDescent="0.25">
      <c r="A166" s="31" t="str">
        <f t="shared" si="6"/>
        <v/>
      </c>
      <c r="B166" s="32"/>
      <c r="C166" s="32"/>
      <c r="D166" s="32"/>
      <c r="E166" s="32"/>
      <c r="F166" s="32"/>
      <c r="G166" s="32"/>
      <c r="H166" s="33"/>
      <c r="I166" s="34" t="str">
        <f t="shared" ca="1" si="7"/>
        <v/>
      </c>
      <c r="J166" s="34" t="str">
        <f t="shared" si="8"/>
        <v/>
      </c>
    </row>
    <row r="167" spans="1:10" ht="19.5" customHeight="1" x14ac:dyDescent="0.25">
      <c r="A167" s="31" t="str">
        <f t="shared" si="6"/>
        <v/>
      </c>
      <c r="B167" s="32"/>
      <c r="C167" s="32"/>
      <c r="D167" s="32"/>
      <c r="E167" s="32"/>
      <c r="F167" s="32"/>
      <c r="G167" s="32"/>
      <c r="H167" s="33"/>
      <c r="I167" s="34" t="str">
        <f t="shared" ca="1" si="7"/>
        <v/>
      </c>
      <c r="J167" s="34" t="str">
        <f t="shared" si="8"/>
        <v/>
      </c>
    </row>
    <row r="168" spans="1:10" ht="19.5" customHeight="1" x14ac:dyDescent="0.25">
      <c r="A168" s="31" t="str">
        <f t="shared" si="6"/>
        <v/>
      </c>
      <c r="B168" s="32"/>
      <c r="C168" s="32"/>
      <c r="D168" s="32"/>
      <c r="E168" s="32"/>
      <c r="F168" s="32"/>
      <c r="G168" s="32"/>
      <c r="H168" s="33"/>
      <c r="I168" s="34" t="str">
        <f t="shared" ca="1" si="7"/>
        <v/>
      </c>
      <c r="J168" s="34" t="str">
        <f t="shared" si="8"/>
        <v/>
      </c>
    </row>
    <row r="169" spans="1:10" ht="19.5" customHeight="1" x14ac:dyDescent="0.25">
      <c r="A169" s="31" t="str">
        <f t="shared" si="6"/>
        <v/>
      </c>
      <c r="B169" s="32"/>
      <c r="C169" s="32"/>
      <c r="D169" s="32"/>
      <c r="E169" s="32"/>
      <c r="F169" s="32"/>
      <c r="G169" s="32"/>
      <c r="H169" s="33"/>
      <c r="I169" s="34" t="str">
        <f t="shared" ca="1" si="7"/>
        <v/>
      </c>
      <c r="J169" s="34" t="str">
        <f t="shared" si="8"/>
        <v/>
      </c>
    </row>
    <row r="170" spans="1:10" ht="19.5" customHeight="1" x14ac:dyDescent="0.25">
      <c r="A170" s="31" t="str">
        <f t="shared" si="6"/>
        <v/>
      </c>
      <c r="B170" s="32"/>
      <c r="C170" s="32"/>
      <c r="D170" s="32"/>
      <c r="E170" s="32"/>
      <c r="F170" s="32"/>
      <c r="G170" s="32"/>
      <c r="H170" s="33"/>
      <c r="I170" s="34" t="str">
        <f t="shared" ca="1" si="7"/>
        <v/>
      </c>
      <c r="J170" s="34" t="str">
        <f t="shared" si="8"/>
        <v/>
      </c>
    </row>
    <row r="171" spans="1:10" ht="19.5" customHeight="1" x14ac:dyDescent="0.25">
      <c r="A171" s="31" t="str">
        <f t="shared" si="6"/>
        <v/>
      </c>
      <c r="B171" s="32"/>
      <c r="C171" s="32"/>
      <c r="D171" s="32"/>
      <c r="E171" s="32"/>
      <c r="F171" s="32"/>
      <c r="G171" s="32"/>
      <c r="H171" s="33"/>
      <c r="I171" s="34" t="str">
        <f t="shared" ca="1" si="7"/>
        <v/>
      </c>
      <c r="J171" s="34" t="str">
        <f t="shared" si="8"/>
        <v/>
      </c>
    </row>
    <row r="172" spans="1:10" ht="19.5" customHeight="1" x14ac:dyDescent="0.25">
      <c r="A172" s="31" t="str">
        <f t="shared" si="6"/>
        <v/>
      </c>
      <c r="B172" s="32"/>
      <c r="C172" s="32"/>
      <c r="D172" s="32"/>
      <c r="E172" s="32"/>
      <c r="F172" s="32"/>
      <c r="G172" s="32"/>
      <c r="H172" s="33"/>
      <c r="I172" s="34" t="str">
        <f t="shared" ca="1" si="7"/>
        <v/>
      </c>
      <c r="J172" s="34" t="str">
        <f t="shared" si="8"/>
        <v/>
      </c>
    </row>
    <row r="173" spans="1:10" ht="19.5" customHeight="1" x14ac:dyDescent="0.25">
      <c r="A173" s="31" t="str">
        <f t="shared" si="6"/>
        <v/>
      </c>
      <c r="B173" s="32"/>
      <c r="C173" s="32"/>
      <c r="D173" s="32"/>
      <c r="E173" s="32"/>
      <c r="F173" s="32"/>
      <c r="G173" s="32"/>
      <c r="H173" s="33"/>
      <c r="I173" s="34" t="str">
        <f t="shared" ca="1" si="7"/>
        <v/>
      </c>
      <c r="J173" s="34" t="str">
        <f t="shared" si="8"/>
        <v/>
      </c>
    </row>
    <row r="174" spans="1:10" ht="19.5" customHeight="1" x14ac:dyDescent="0.25">
      <c r="A174" s="31" t="str">
        <f t="shared" si="6"/>
        <v/>
      </c>
      <c r="B174" s="32"/>
      <c r="C174" s="32"/>
      <c r="D174" s="32"/>
      <c r="E174" s="32"/>
      <c r="F174" s="32"/>
      <c r="G174" s="32"/>
      <c r="H174" s="33"/>
      <c r="I174" s="34" t="str">
        <f t="shared" ca="1" si="7"/>
        <v/>
      </c>
      <c r="J174" s="34" t="str">
        <f t="shared" si="8"/>
        <v/>
      </c>
    </row>
    <row r="175" spans="1:10" ht="19.5" customHeight="1" x14ac:dyDescent="0.25">
      <c r="A175" s="31" t="str">
        <f t="shared" si="6"/>
        <v/>
      </c>
      <c r="B175" s="32"/>
      <c r="C175" s="32"/>
      <c r="D175" s="32"/>
      <c r="E175" s="32"/>
      <c r="F175" s="32"/>
      <c r="G175" s="32"/>
      <c r="H175" s="33"/>
      <c r="I175" s="34" t="str">
        <f t="shared" ca="1" si="7"/>
        <v/>
      </c>
      <c r="J175" s="34" t="str">
        <f t="shared" si="8"/>
        <v/>
      </c>
    </row>
    <row r="176" spans="1:10" ht="19.5" customHeight="1" x14ac:dyDescent="0.25">
      <c r="A176" s="31" t="str">
        <f t="shared" si="6"/>
        <v/>
      </c>
      <c r="B176" s="32"/>
      <c r="C176" s="32"/>
      <c r="D176" s="32"/>
      <c r="E176" s="32"/>
      <c r="F176" s="32"/>
      <c r="G176" s="32"/>
      <c r="H176" s="33"/>
      <c r="I176" s="34" t="str">
        <f t="shared" ca="1" si="7"/>
        <v/>
      </c>
      <c r="J176" s="34" t="str">
        <f t="shared" si="8"/>
        <v/>
      </c>
    </row>
    <row r="177" spans="1:10" ht="19.5" customHeight="1" x14ac:dyDescent="0.25">
      <c r="A177" s="31" t="str">
        <f t="shared" si="6"/>
        <v/>
      </c>
      <c r="B177" s="32"/>
      <c r="C177" s="32"/>
      <c r="D177" s="32"/>
      <c r="E177" s="32"/>
      <c r="F177" s="32"/>
      <c r="G177" s="32"/>
      <c r="H177" s="33"/>
      <c r="I177" s="34" t="str">
        <f t="shared" ca="1" si="7"/>
        <v/>
      </c>
      <c r="J177" s="34" t="str">
        <f t="shared" si="8"/>
        <v/>
      </c>
    </row>
    <row r="178" spans="1:10" ht="19.5" customHeight="1" x14ac:dyDescent="0.25">
      <c r="A178" s="31" t="str">
        <f t="shared" si="6"/>
        <v/>
      </c>
      <c r="B178" s="32"/>
      <c r="C178" s="32"/>
      <c r="D178" s="32"/>
      <c r="E178" s="32"/>
      <c r="F178" s="32"/>
      <c r="G178" s="32"/>
      <c r="H178" s="33"/>
      <c r="I178" s="34" t="str">
        <f t="shared" ca="1" si="7"/>
        <v/>
      </c>
      <c r="J178" s="34" t="str">
        <f t="shared" si="8"/>
        <v/>
      </c>
    </row>
    <row r="179" spans="1:10" ht="19.5" customHeight="1" x14ac:dyDescent="0.25">
      <c r="A179" s="31" t="str">
        <f t="shared" si="6"/>
        <v/>
      </c>
      <c r="B179" s="32"/>
      <c r="C179" s="32"/>
      <c r="D179" s="32"/>
      <c r="E179" s="32"/>
      <c r="F179" s="32"/>
      <c r="G179" s="32"/>
      <c r="H179" s="33"/>
      <c r="I179" s="34" t="str">
        <f t="shared" ca="1" si="7"/>
        <v/>
      </c>
      <c r="J179" s="34" t="str">
        <f t="shared" si="8"/>
        <v/>
      </c>
    </row>
    <row r="180" spans="1:10" ht="19.5" customHeight="1" x14ac:dyDescent="0.25">
      <c r="A180" s="31" t="str">
        <f t="shared" si="6"/>
        <v/>
      </c>
      <c r="B180" s="32"/>
      <c r="C180" s="32"/>
      <c r="D180" s="32"/>
      <c r="E180" s="32"/>
      <c r="F180" s="32"/>
      <c r="G180" s="32"/>
      <c r="H180" s="33"/>
      <c r="I180" s="34" t="str">
        <f t="shared" ca="1" si="7"/>
        <v/>
      </c>
      <c r="J180" s="34" t="str">
        <f t="shared" si="8"/>
        <v/>
      </c>
    </row>
    <row r="181" spans="1:10" ht="19.5" customHeight="1" x14ac:dyDescent="0.25">
      <c r="A181" s="31" t="str">
        <f t="shared" si="6"/>
        <v/>
      </c>
      <c r="B181" s="32"/>
      <c r="C181" s="32"/>
      <c r="D181" s="32"/>
      <c r="E181" s="32"/>
      <c r="F181" s="32"/>
      <c r="G181" s="32"/>
      <c r="H181" s="33"/>
      <c r="I181" s="34" t="str">
        <f t="shared" ca="1" si="7"/>
        <v/>
      </c>
      <c r="J181" s="34" t="str">
        <f t="shared" si="8"/>
        <v/>
      </c>
    </row>
    <row r="182" spans="1:10" ht="19.5" customHeight="1" x14ac:dyDescent="0.25">
      <c r="A182" s="31" t="str">
        <f t="shared" si="6"/>
        <v/>
      </c>
      <c r="B182" s="32"/>
      <c r="C182" s="32"/>
      <c r="D182" s="32"/>
      <c r="E182" s="32"/>
      <c r="F182" s="32"/>
      <c r="G182" s="32"/>
      <c r="H182" s="33"/>
      <c r="I182" s="34" t="str">
        <f t="shared" ca="1" si="7"/>
        <v/>
      </c>
      <c r="J182" s="34" t="str">
        <f t="shared" si="8"/>
        <v/>
      </c>
    </row>
    <row r="183" spans="1:10" ht="19.5" customHeight="1" x14ac:dyDescent="0.25">
      <c r="A183" s="31" t="str">
        <f t="shared" si="6"/>
        <v/>
      </c>
      <c r="B183" s="32"/>
      <c r="C183" s="32"/>
      <c r="D183" s="32"/>
      <c r="E183" s="32"/>
      <c r="F183" s="32"/>
      <c r="G183" s="32"/>
      <c r="H183" s="33"/>
      <c r="I183" s="34" t="str">
        <f t="shared" ca="1" si="7"/>
        <v/>
      </c>
      <c r="J183" s="34" t="str">
        <f t="shared" si="8"/>
        <v/>
      </c>
    </row>
    <row r="184" spans="1:10" ht="19.5" customHeight="1" x14ac:dyDescent="0.25">
      <c r="A184" s="31" t="str">
        <f t="shared" si="6"/>
        <v/>
      </c>
      <c r="B184" s="32"/>
      <c r="C184" s="32"/>
      <c r="D184" s="32"/>
      <c r="E184" s="32"/>
      <c r="F184" s="32"/>
      <c r="G184" s="32"/>
      <c r="H184" s="33"/>
      <c r="I184" s="34" t="str">
        <f t="shared" ca="1" si="7"/>
        <v/>
      </c>
      <c r="J184" s="34" t="str">
        <f t="shared" si="8"/>
        <v/>
      </c>
    </row>
    <row r="185" spans="1:10" ht="19.5" customHeight="1" x14ac:dyDescent="0.25">
      <c r="A185" s="31" t="str">
        <f t="shared" si="6"/>
        <v/>
      </c>
      <c r="B185" s="32"/>
      <c r="C185" s="32"/>
      <c r="D185" s="32"/>
      <c r="E185" s="32"/>
      <c r="F185" s="32"/>
      <c r="G185" s="32"/>
      <c r="H185" s="33"/>
      <c r="I185" s="34" t="str">
        <f t="shared" ca="1" si="7"/>
        <v/>
      </c>
      <c r="J185" s="34" t="str">
        <f t="shared" si="8"/>
        <v/>
      </c>
    </row>
    <row r="186" spans="1:10" ht="19.5" customHeight="1" x14ac:dyDescent="0.25">
      <c r="A186" s="31" t="str">
        <f t="shared" si="6"/>
        <v/>
      </c>
      <c r="B186" s="32"/>
      <c r="C186" s="32"/>
      <c r="D186" s="32"/>
      <c r="E186" s="32"/>
      <c r="F186" s="32"/>
      <c r="G186" s="32"/>
      <c r="H186" s="33"/>
      <c r="I186" s="34" t="str">
        <f t="shared" ca="1" si="7"/>
        <v/>
      </c>
      <c r="J186" s="34" t="str">
        <f t="shared" si="8"/>
        <v/>
      </c>
    </row>
    <row r="187" spans="1:10" ht="19.5" customHeight="1" x14ac:dyDescent="0.25">
      <c r="A187" s="31" t="str">
        <f t="shared" si="6"/>
        <v/>
      </c>
      <c r="B187" s="32"/>
      <c r="C187" s="32"/>
      <c r="D187" s="32"/>
      <c r="E187" s="32"/>
      <c r="F187" s="32"/>
      <c r="G187" s="32"/>
      <c r="H187" s="33"/>
      <c r="I187" s="34" t="str">
        <f t="shared" ca="1" si="7"/>
        <v/>
      </c>
      <c r="J187" s="34" t="str">
        <f t="shared" si="8"/>
        <v/>
      </c>
    </row>
    <row r="188" spans="1:10" ht="19.5" customHeight="1" x14ac:dyDescent="0.25">
      <c r="A188" s="31" t="str">
        <f t="shared" si="6"/>
        <v/>
      </c>
      <c r="B188" s="32"/>
      <c r="C188" s="32"/>
      <c r="D188" s="32"/>
      <c r="E188" s="32"/>
      <c r="F188" s="32"/>
      <c r="G188" s="32"/>
      <c r="H188" s="33"/>
      <c r="I188" s="34" t="str">
        <f t="shared" ca="1" si="7"/>
        <v/>
      </c>
      <c r="J188" s="34" t="str">
        <f t="shared" si="8"/>
        <v/>
      </c>
    </row>
    <row r="189" spans="1:10" ht="19.5" customHeight="1" x14ac:dyDescent="0.25">
      <c r="A189" s="31" t="str">
        <f t="shared" si="6"/>
        <v/>
      </c>
      <c r="B189" s="32"/>
      <c r="C189" s="32"/>
      <c r="D189" s="32"/>
      <c r="E189" s="32"/>
      <c r="F189" s="32"/>
      <c r="G189" s="32"/>
      <c r="H189" s="33"/>
      <c r="I189" s="34" t="str">
        <f t="shared" ca="1" si="7"/>
        <v/>
      </c>
      <c r="J189" s="34" t="str">
        <f t="shared" si="8"/>
        <v/>
      </c>
    </row>
    <row r="190" spans="1:10" ht="19.5" customHeight="1" x14ac:dyDescent="0.25">
      <c r="A190" s="31" t="str">
        <f t="shared" si="6"/>
        <v/>
      </c>
      <c r="B190" s="32"/>
      <c r="C190" s="32"/>
      <c r="D190" s="32"/>
      <c r="E190" s="32"/>
      <c r="F190" s="32"/>
      <c r="G190" s="32"/>
      <c r="H190" s="33"/>
      <c r="I190" s="34" t="str">
        <f t="shared" ca="1" si="7"/>
        <v/>
      </c>
      <c r="J190" s="34" t="str">
        <f t="shared" si="8"/>
        <v/>
      </c>
    </row>
    <row r="191" spans="1:10" ht="19.5" customHeight="1" x14ac:dyDescent="0.25">
      <c r="A191" s="31" t="str">
        <f t="shared" si="6"/>
        <v/>
      </c>
      <c r="B191" s="32"/>
      <c r="C191" s="32"/>
      <c r="D191" s="32"/>
      <c r="E191" s="32"/>
      <c r="F191" s="32"/>
      <c r="G191" s="32"/>
      <c r="H191" s="33"/>
      <c r="I191" s="34" t="str">
        <f t="shared" ca="1" si="7"/>
        <v/>
      </c>
      <c r="J191" s="34" t="str">
        <f t="shared" si="8"/>
        <v/>
      </c>
    </row>
    <row r="192" spans="1:10" ht="19.5" customHeight="1" x14ac:dyDescent="0.25">
      <c r="A192" s="31" t="str">
        <f t="shared" si="6"/>
        <v/>
      </c>
      <c r="B192" s="32"/>
      <c r="C192" s="32"/>
      <c r="D192" s="32"/>
      <c r="E192" s="32"/>
      <c r="F192" s="32"/>
      <c r="G192" s="32"/>
      <c r="H192" s="33"/>
      <c r="I192" s="34" t="str">
        <f t="shared" ca="1" si="7"/>
        <v/>
      </c>
      <c r="J192" s="34" t="str">
        <f t="shared" si="8"/>
        <v/>
      </c>
    </row>
    <row r="193" spans="1:10" ht="19.5" customHeight="1" x14ac:dyDescent="0.25">
      <c r="A193" s="31" t="str">
        <f t="shared" si="6"/>
        <v/>
      </c>
      <c r="B193" s="32"/>
      <c r="C193" s="32"/>
      <c r="D193" s="32"/>
      <c r="E193" s="32"/>
      <c r="F193" s="32"/>
      <c r="G193" s="32"/>
      <c r="H193" s="33"/>
      <c r="I193" s="34" t="str">
        <f t="shared" ca="1" si="7"/>
        <v/>
      </c>
      <c r="J193" s="34" t="str">
        <f t="shared" si="8"/>
        <v/>
      </c>
    </row>
    <row r="194" spans="1:10" ht="19.5" customHeight="1" x14ac:dyDescent="0.25">
      <c r="A194" s="31" t="str">
        <f t="shared" si="6"/>
        <v/>
      </c>
      <c r="B194" s="32"/>
      <c r="C194" s="32"/>
      <c r="D194" s="32"/>
      <c r="E194" s="32"/>
      <c r="F194" s="32"/>
      <c r="G194" s="32"/>
      <c r="H194" s="33"/>
      <c r="I194" s="34" t="str">
        <f t="shared" ca="1" si="7"/>
        <v/>
      </c>
      <c r="J194" s="34" t="str">
        <f t="shared" si="8"/>
        <v/>
      </c>
    </row>
    <row r="195" spans="1:10" ht="19.5" customHeight="1" x14ac:dyDescent="0.25">
      <c r="A195" s="31" t="str">
        <f t="shared" si="6"/>
        <v/>
      </c>
      <c r="B195" s="32"/>
      <c r="C195" s="32"/>
      <c r="D195" s="32"/>
      <c r="E195" s="32"/>
      <c r="F195" s="32"/>
      <c r="G195" s="32"/>
      <c r="H195" s="33"/>
      <c r="I195" s="34" t="str">
        <f t="shared" ca="1" si="7"/>
        <v/>
      </c>
      <c r="J195" s="34" t="str">
        <f t="shared" si="8"/>
        <v/>
      </c>
    </row>
    <row r="196" spans="1:10" ht="19.5" customHeight="1" x14ac:dyDescent="0.25">
      <c r="A196" s="31" t="str">
        <f t="shared" si="6"/>
        <v/>
      </c>
      <c r="B196" s="32"/>
      <c r="C196" s="32"/>
      <c r="D196" s="32"/>
      <c r="E196" s="32"/>
      <c r="F196" s="32"/>
      <c r="G196" s="32"/>
      <c r="H196" s="33"/>
      <c r="I196" s="34" t="str">
        <f t="shared" ca="1" si="7"/>
        <v/>
      </c>
      <c r="J196" s="34" t="str">
        <f t="shared" si="8"/>
        <v/>
      </c>
    </row>
    <row r="197" spans="1:10" ht="19.5" customHeight="1" x14ac:dyDescent="0.25">
      <c r="A197" s="31" t="str">
        <f t="shared" ref="A197:A260" si="9">IF(B197="","","ACC"&amp;TEXT(ROW()-4,"0000"))</f>
        <v/>
      </c>
      <c r="B197" s="32"/>
      <c r="C197" s="32"/>
      <c r="D197" s="32"/>
      <c r="E197" s="32"/>
      <c r="F197" s="32"/>
      <c r="G197" s="32"/>
      <c r="H197" s="33"/>
      <c r="I197" s="34" t="str">
        <f t="shared" ref="I197:I260" ca="1" si="10">IF(B197="","",TEXT(TODAY(),"dd/mm/yyyy"))</f>
        <v/>
      </c>
      <c r="J197" s="34" t="str">
        <f t="shared" ref="J197:J260" si="11">IF(B197="","",IF(ISNUMBER(H197),IF(H197&gt;=10,"✅ Active","⚠️ Below Min Balance"),"Pending"))</f>
        <v/>
      </c>
    </row>
    <row r="198" spans="1:10" ht="19.5" customHeight="1" x14ac:dyDescent="0.25">
      <c r="A198" s="31" t="str">
        <f t="shared" si="9"/>
        <v/>
      </c>
      <c r="B198" s="32"/>
      <c r="C198" s="32"/>
      <c r="D198" s="32"/>
      <c r="E198" s="32"/>
      <c r="F198" s="32"/>
      <c r="G198" s="32"/>
      <c r="H198" s="33"/>
      <c r="I198" s="34" t="str">
        <f t="shared" ca="1" si="10"/>
        <v/>
      </c>
      <c r="J198" s="34" t="str">
        <f t="shared" si="11"/>
        <v/>
      </c>
    </row>
    <row r="199" spans="1:10" ht="19.5" customHeight="1" x14ac:dyDescent="0.25">
      <c r="A199" s="31" t="str">
        <f t="shared" si="9"/>
        <v/>
      </c>
      <c r="B199" s="32"/>
      <c r="C199" s="32"/>
      <c r="D199" s="32"/>
      <c r="E199" s="32"/>
      <c r="F199" s="32"/>
      <c r="G199" s="32"/>
      <c r="H199" s="33"/>
      <c r="I199" s="34" t="str">
        <f t="shared" ca="1" si="10"/>
        <v/>
      </c>
      <c r="J199" s="34" t="str">
        <f t="shared" si="11"/>
        <v/>
      </c>
    </row>
    <row r="200" spans="1:10" ht="19.5" customHeight="1" x14ac:dyDescent="0.25">
      <c r="A200" s="31" t="str">
        <f t="shared" si="9"/>
        <v/>
      </c>
      <c r="B200" s="32"/>
      <c r="C200" s="32"/>
      <c r="D200" s="32"/>
      <c r="E200" s="32"/>
      <c r="F200" s="32"/>
      <c r="G200" s="32"/>
      <c r="H200" s="33"/>
      <c r="I200" s="34" t="str">
        <f t="shared" ca="1" si="10"/>
        <v/>
      </c>
      <c r="J200" s="34" t="str">
        <f t="shared" si="11"/>
        <v/>
      </c>
    </row>
    <row r="201" spans="1:10" ht="19.5" customHeight="1" x14ac:dyDescent="0.25">
      <c r="A201" s="31" t="str">
        <f t="shared" si="9"/>
        <v/>
      </c>
      <c r="B201" s="32"/>
      <c r="C201" s="32"/>
      <c r="D201" s="32"/>
      <c r="E201" s="32"/>
      <c r="F201" s="32"/>
      <c r="G201" s="32"/>
      <c r="H201" s="33"/>
      <c r="I201" s="34" t="str">
        <f t="shared" ca="1" si="10"/>
        <v/>
      </c>
      <c r="J201" s="34" t="str">
        <f t="shared" si="11"/>
        <v/>
      </c>
    </row>
    <row r="202" spans="1:10" ht="19.5" customHeight="1" x14ac:dyDescent="0.25">
      <c r="A202" s="31" t="str">
        <f t="shared" si="9"/>
        <v/>
      </c>
      <c r="B202" s="32"/>
      <c r="C202" s="32"/>
      <c r="D202" s="32"/>
      <c r="E202" s="32"/>
      <c r="F202" s="32"/>
      <c r="G202" s="32"/>
      <c r="H202" s="33"/>
      <c r="I202" s="34" t="str">
        <f t="shared" ca="1" si="10"/>
        <v/>
      </c>
      <c r="J202" s="34" t="str">
        <f t="shared" si="11"/>
        <v/>
      </c>
    </row>
    <row r="203" spans="1:10" ht="19.5" customHeight="1" x14ac:dyDescent="0.25">
      <c r="A203" s="31" t="str">
        <f t="shared" si="9"/>
        <v/>
      </c>
      <c r="B203" s="32"/>
      <c r="C203" s="32"/>
      <c r="D203" s="32"/>
      <c r="E203" s="32"/>
      <c r="F203" s="32"/>
      <c r="G203" s="32"/>
      <c r="H203" s="33"/>
      <c r="I203" s="34" t="str">
        <f t="shared" ca="1" si="10"/>
        <v/>
      </c>
      <c r="J203" s="34" t="str">
        <f t="shared" si="11"/>
        <v/>
      </c>
    </row>
    <row r="204" spans="1:10" ht="19.5" customHeight="1" x14ac:dyDescent="0.25">
      <c r="A204" s="31" t="str">
        <f t="shared" si="9"/>
        <v/>
      </c>
      <c r="B204" s="32"/>
      <c r="C204" s="32"/>
      <c r="D204" s="32"/>
      <c r="E204" s="32"/>
      <c r="F204" s="32"/>
      <c r="G204" s="32"/>
      <c r="H204" s="33"/>
      <c r="I204" s="34" t="str">
        <f t="shared" ca="1" si="10"/>
        <v/>
      </c>
      <c r="J204" s="34" t="str">
        <f t="shared" si="11"/>
        <v/>
      </c>
    </row>
    <row r="205" spans="1:10" ht="19.5" customHeight="1" x14ac:dyDescent="0.25">
      <c r="A205" s="31" t="str">
        <f t="shared" si="9"/>
        <v/>
      </c>
      <c r="B205" s="32"/>
      <c r="C205" s="32"/>
      <c r="D205" s="32"/>
      <c r="E205" s="32"/>
      <c r="F205" s="32"/>
      <c r="G205" s="32"/>
      <c r="H205" s="33"/>
      <c r="I205" s="34" t="str">
        <f t="shared" ca="1" si="10"/>
        <v/>
      </c>
      <c r="J205" s="34" t="str">
        <f t="shared" si="11"/>
        <v/>
      </c>
    </row>
    <row r="206" spans="1:10" ht="19.5" customHeight="1" x14ac:dyDescent="0.25">
      <c r="A206" s="31" t="str">
        <f t="shared" si="9"/>
        <v/>
      </c>
      <c r="B206" s="32"/>
      <c r="C206" s="32"/>
      <c r="D206" s="32"/>
      <c r="E206" s="32"/>
      <c r="F206" s="32"/>
      <c r="G206" s="32"/>
      <c r="H206" s="33"/>
      <c r="I206" s="34" t="str">
        <f t="shared" ca="1" si="10"/>
        <v/>
      </c>
      <c r="J206" s="34" t="str">
        <f t="shared" si="11"/>
        <v/>
      </c>
    </row>
    <row r="207" spans="1:10" ht="19.5" customHeight="1" x14ac:dyDescent="0.25">
      <c r="A207" s="31" t="str">
        <f t="shared" si="9"/>
        <v/>
      </c>
      <c r="B207" s="32"/>
      <c r="C207" s="32"/>
      <c r="D207" s="32"/>
      <c r="E207" s="32"/>
      <c r="F207" s="32"/>
      <c r="G207" s="32"/>
      <c r="H207" s="33"/>
      <c r="I207" s="34" t="str">
        <f t="shared" ca="1" si="10"/>
        <v/>
      </c>
      <c r="J207" s="34" t="str">
        <f t="shared" si="11"/>
        <v/>
      </c>
    </row>
    <row r="208" spans="1:10" ht="19.5" customHeight="1" x14ac:dyDescent="0.25">
      <c r="A208" s="31" t="str">
        <f t="shared" si="9"/>
        <v/>
      </c>
      <c r="B208" s="32"/>
      <c r="C208" s="32"/>
      <c r="D208" s="32"/>
      <c r="E208" s="32"/>
      <c r="F208" s="32"/>
      <c r="G208" s="32"/>
      <c r="H208" s="33"/>
      <c r="I208" s="34" t="str">
        <f t="shared" ca="1" si="10"/>
        <v/>
      </c>
      <c r="J208" s="34" t="str">
        <f t="shared" si="11"/>
        <v/>
      </c>
    </row>
    <row r="209" spans="1:10" ht="19.5" customHeight="1" x14ac:dyDescent="0.25">
      <c r="A209" s="31" t="str">
        <f t="shared" si="9"/>
        <v/>
      </c>
      <c r="B209" s="32"/>
      <c r="C209" s="32"/>
      <c r="D209" s="32"/>
      <c r="E209" s="32"/>
      <c r="F209" s="32"/>
      <c r="G209" s="32"/>
      <c r="H209" s="33"/>
      <c r="I209" s="34" t="str">
        <f t="shared" ca="1" si="10"/>
        <v/>
      </c>
      <c r="J209" s="34" t="str">
        <f t="shared" si="11"/>
        <v/>
      </c>
    </row>
    <row r="210" spans="1:10" ht="19.5" customHeight="1" x14ac:dyDescent="0.25">
      <c r="A210" s="31" t="str">
        <f t="shared" si="9"/>
        <v/>
      </c>
      <c r="B210" s="32"/>
      <c r="C210" s="32"/>
      <c r="D210" s="32"/>
      <c r="E210" s="32"/>
      <c r="F210" s="32"/>
      <c r="G210" s="32"/>
      <c r="H210" s="33"/>
      <c r="I210" s="34" t="str">
        <f t="shared" ca="1" si="10"/>
        <v/>
      </c>
      <c r="J210" s="34" t="str">
        <f t="shared" si="11"/>
        <v/>
      </c>
    </row>
    <row r="211" spans="1:10" ht="19.5" customHeight="1" x14ac:dyDescent="0.25">
      <c r="A211" s="31" t="str">
        <f t="shared" si="9"/>
        <v/>
      </c>
      <c r="B211" s="32"/>
      <c r="C211" s="32"/>
      <c r="D211" s="32"/>
      <c r="E211" s="32"/>
      <c r="F211" s="32"/>
      <c r="G211" s="32"/>
      <c r="H211" s="33"/>
      <c r="I211" s="34" t="str">
        <f t="shared" ca="1" si="10"/>
        <v/>
      </c>
      <c r="J211" s="34" t="str">
        <f t="shared" si="11"/>
        <v/>
      </c>
    </row>
    <row r="212" spans="1:10" ht="19.5" customHeight="1" x14ac:dyDescent="0.25">
      <c r="A212" s="31" t="str">
        <f t="shared" si="9"/>
        <v/>
      </c>
      <c r="B212" s="32"/>
      <c r="C212" s="32"/>
      <c r="D212" s="32"/>
      <c r="E212" s="32"/>
      <c r="F212" s="32"/>
      <c r="G212" s="32"/>
      <c r="H212" s="33"/>
      <c r="I212" s="34" t="str">
        <f t="shared" ca="1" si="10"/>
        <v/>
      </c>
      <c r="J212" s="34" t="str">
        <f t="shared" si="11"/>
        <v/>
      </c>
    </row>
    <row r="213" spans="1:10" ht="19.5" customHeight="1" x14ac:dyDescent="0.25">
      <c r="A213" s="31" t="str">
        <f t="shared" si="9"/>
        <v/>
      </c>
      <c r="B213" s="32"/>
      <c r="C213" s="32"/>
      <c r="D213" s="32"/>
      <c r="E213" s="32"/>
      <c r="F213" s="32"/>
      <c r="G213" s="32"/>
      <c r="H213" s="33"/>
      <c r="I213" s="34" t="str">
        <f t="shared" ca="1" si="10"/>
        <v/>
      </c>
      <c r="J213" s="34" t="str">
        <f t="shared" si="11"/>
        <v/>
      </c>
    </row>
    <row r="214" spans="1:10" ht="19.5" customHeight="1" x14ac:dyDescent="0.25">
      <c r="A214" s="31" t="str">
        <f t="shared" si="9"/>
        <v/>
      </c>
      <c r="B214" s="32"/>
      <c r="C214" s="32"/>
      <c r="D214" s="32"/>
      <c r="E214" s="32"/>
      <c r="F214" s="32"/>
      <c r="G214" s="32"/>
      <c r="H214" s="33"/>
      <c r="I214" s="34" t="str">
        <f t="shared" ca="1" si="10"/>
        <v/>
      </c>
      <c r="J214" s="34" t="str">
        <f t="shared" si="11"/>
        <v/>
      </c>
    </row>
    <row r="215" spans="1:10" ht="19.5" customHeight="1" x14ac:dyDescent="0.25">
      <c r="A215" s="31" t="str">
        <f t="shared" si="9"/>
        <v/>
      </c>
      <c r="B215" s="32"/>
      <c r="C215" s="32"/>
      <c r="D215" s="32"/>
      <c r="E215" s="32"/>
      <c r="F215" s="32"/>
      <c r="G215" s="32"/>
      <c r="H215" s="33"/>
      <c r="I215" s="34" t="str">
        <f t="shared" ca="1" si="10"/>
        <v/>
      </c>
      <c r="J215" s="34" t="str">
        <f t="shared" si="11"/>
        <v/>
      </c>
    </row>
    <row r="216" spans="1:10" ht="19.5" customHeight="1" x14ac:dyDescent="0.25">
      <c r="A216" s="31" t="str">
        <f t="shared" si="9"/>
        <v/>
      </c>
      <c r="B216" s="32"/>
      <c r="C216" s="32"/>
      <c r="D216" s="32"/>
      <c r="E216" s="32"/>
      <c r="F216" s="32"/>
      <c r="G216" s="32"/>
      <c r="H216" s="33"/>
      <c r="I216" s="34" t="str">
        <f t="shared" ca="1" si="10"/>
        <v/>
      </c>
      <c r="J216" s="34" t="str">
        <f t="shared" si="11"/>
        <v/>
      </c>
    </row>
    <row r="217" spans="1:10" ht="19.5" customHeight="1" x14ac:dyDescent="0.25">
      <c r="A217" s="31" t="str">
        <f t="shared" si="9"/>
        <v/>
      </c>
      <c r="B217" s="32"/>
      <c r="C217" s="32"/>
      <c r="D217" s="32"/>
      <c r="E217" s="32"/>
      <c r="F217" s="32"/>
      <c r="G217" s="32"/>
      <c r="H217" s="33"/>
      <c r="I217" s="34" t="str">
        <f t="shared" ca="1" si="10"/>
        <v/>
      </c>
      <c r="J217" s="34" t="str">
        <f t="shared" si="11"/>
        <v/>
      </c>
    </row>
    <row r="218" spans="1:10" ht="19.5" customHeight="1" x14ac:dyDescent="0.25">
      <c r="A218" s="31" t="str">
        <f t="shared" si="9"/>
        <v/>
      </c>
      <c r="B218" s="32"/>
      <c r="C218" s="32"/>
      <c r="D218" s="32"/>
      <c r="E218" s="32"/>
      <c r="F218" s="32"/>
      <c r="G218" s="32"/>
      <c r="H218" s="33"/>
      <c r="I218" s="34" t="str">
        <f t="shared" ca="1" si="10"/>
        <v/>
      </c>
      <c r="J218" s="34" t="str">
        <f t="shared" si="11"/>
        <v/>
      </c>
    </row>
    <row r="219" spans="1:10" ht="19.5" customHeight="1" x14ac:dyDescent="0.25">
      <c r="A219" s="31" t="str">
        <f t="shared" si="9"/>
        <v/>
      </c>
      <c r="B219" s="32"/>
      <c r="C219" s="32"/>
      <c r="D219" s="32"/>
      <c r="E219" s="32"/>
      <c r="F219" s="32"/>
      <c r="G219" s="32"/>
      <c r="H219" s="33"/>
      <c r="I219" s="34" t="str">
        <f t="shared" ca="1" si="10"/>
        <v/>
      </c>
      <c r="J219" s="34" t="str">
        <f t="shared" si="11"/>
        <v/>
      </c>
    </row>
    <row r="220" spans="1:10" ht="19.5" customHeight="1" x14ac:dyDescent="0.25">
      <c r="A220" s="31" t="str">
        <f t="shared" si="9"/>
        <v/>
      </c>
      <c r="B220" s="32"/>
      <c r="C220" s="32"/>
      <c r="D220" s="32"/>
      <c r="E220" s="32"/>
      <c r="F220" s="32"/>
      <c r="G220" s="32"/>
      <c r="H220" s="33"/>
      <c r="I220" s="34" t="str">
        <f t="shared" ca="1" si="10"/>
        <v/>
      </c>
      <c r="J220" s="34" t="str">
        <f t="shared" si="11"/>
        <v/>
      </c>
    </row>
    <row r="221" spans="1:10" ht="19.5" customHeight="1" x14ac:dyDescent="0.25">
      <c r="A221" s="31" t="str">
        <f t="shared" si="9"/>
        <v/>
      </c>
      <c r="B221" s="32"/>
      <c r="C221" s="32"/>
      <c r="D221" s="32"/>
      <c r="E221" s="32"/>
      <c r="F221" s="32"/>
      <c r="G221" s="32"/>
      <c r="H221" s="33"/>
      <c r="I221" s="34" t="str">
        <f t="shared" ca="1" si="10"/>
        <v/>
      </c>
      <c r="J221" s="34" t="str">
        <f t="shared" si="11"/>
        <v/>
      </c>
    </row>
    <row r="222" spans="1:10" ht="19.5" customHeight="1" x14ac:dyDescent="0.25">
      <c r="A222" s="31" t="str">
        <f t="shared" si="9"/>
        <v/>
      </c>
      <c r="B222" s="32"/>
      <c r="C222" s="32"/>
      <c r="D222" s="32"/>
      <c r="E222" s="32"/>
      <c r="F222" s="32"/>
      <c r="G222" s="32"/>
      <c r="H222" s="33"/>
      <c r="I222" s="34" t="str">
        <f t="shared" ca="1" si="10"/>
        <v/>
      </c>
      <c r="J222" s="34" t="str">
        <f t="shared" si="11"/>
        <v/>
      </c>
    </row>
    <row r="223" spans="1:10" ht="19.5" customHeight="1" x14ac:dyDescent="0.25">
      <c r="A223" s="31" t="str">
        <f t="shared" si="9"/>
        <v/>
      </c>
      <c r="B223" s="32"/>
      <c r="C223" s="32"/>
      <c r="D223" s="32"/>
      <c r="E223" s="32"/>
      <c r="F223" s="32"/>
      <c r="G223" s="32"/>
      <c r="H223" s="33"/>
      <c r="I223" s="34" t="str">
        <f t="shared" ca="1" si="10"/>
        <v/>
      </c>
      <c r="J223" s="34" t="str">
        <f t="shared" si="11"/>
        <v/>
      </c>
    </row>
    <row r="224" spans="1:10" ht="19.5" customHeight="1" x14ac:dyDescent="0.25">
      <c r="A224" s="31" t="str">
        <f t="shared" si="9"/>
        <v/>
      </c>
      <c r="B224" s="32"/>
      <c r="C224" s="32"/>
      <c r="D224" s="32"/>
      <c r="E224" s="32"/>
      <c r="F224" s="32"/>
      <c r="G224" s="32"/>
      <c r="H224" s="33"/>
      <c r="I224" s="34" t="str">
        <f t="shared" ca="1" si="10"/>
        <v/>
      </c>
      <c r="J224" s="34" t="str">
        <f t="shared" si="11"/>
        <v/>
      </c>
    </row>
    <row r="225" spans="1:10" ht="19.5" customHeight="1" x14ac:dyDescent="0.25">
      <c r="A225" s="31" t="str">
        <f t="shared" si="9"/>
        <v/>
      </c>
      <c r="B225" s="32"/>
      <c r="C225" s="32"/>
      <c r="D225" s="32"/>
      <c r="E225" s="32"/>
      <c r="F225" s="32"/>
      <c r="G225" s="32"/>
      <c r="H225" s="33"/>
      <c r="I225" s="34" t="str">
        <f t="shared" ca="1" si="10"/>
        <v/>
      </c>
      <c r="J225" s="34" t="str">
        <f t="shared" si="11"/>
        <v/>
      </c>
    </row>
    <row r="226" spans="1:10" ht="19.5" customHeight="1" x14ac:dyDescent="0.25">
      <c r="A226" s="31" t="str">
        <f t="shared" si="9"/>
        <v/>
      </c>
      <c r="B226" s="32"/>
      <c r="C226" s="32"/>
      <c r="D226" s="32"/>
      <c r="E226" s="32"/>
      <c r="F226" s="32"/>
      <c r="G226" s="32"/>
      <c r="H226" s="33"/>
      <c r="I226" s="34" t="str">
        <f t="shared" ca="1" si="10"/>
        <v/>
      </c>
      <c r="J226" s="34" t="str">
        <f t="shared" si="11"/>
        <v/>
      </c>
    </row>
    <row r="227" spans="1:10" ht="19.5" customHeight="1" x14ac:dyDescent="0.25">
      <c r="A227" s="31" t="str">
        <f t="shared" si="9"/>
        <v/>
      </c>
      <c r="B227" s="32"/>
      <c r="C227" s="32"/>
      <c r="D227" s="32"/>
      <c r="E227" s="32"/>
      <c r="F227" s="32"/>
      <c r="G227" s="32"/>
      <c r="H227" s="33"/>
      <c r="I227" s="34" t="str">
        <f t="shared" ca="1" si="10"/>
        <v/>
      </c>
      <c r="J227" s="34" t="str">
        <f t="shared" si="11"/>
        <v/>
      </c>
    </row>
    <row r="228" spans="1:10" ht="19.5" customHeight="1" x14ac:dyDescent="0.25">
      <c r="A228" s="31" t="str">
        <f t="shared" si="9"/>
        <v/>
      </c>
      <c r="B228" s="32"/>
      <c r="C228" s="32"/>
      <c r="D228" s="32"/>
      <c r="E228" s="32"/>
      <c r="F228" s="32"/>
      <c r="G228" s="32"/>
      <c r="H228" s="33"/>
      <c r="I228" s="34" t="str">
        <f t="shared" ca="1" si="10"/>
        <v/>
      </c>
      <c r="J228" s="34" t="str">
        <f t="shared" si="11"/>
        <v/>
      </c>
    </row>
    <row r="229" spans="1:10" ht="19.5" customHeight="1" x14ac:dyDescent="0.25">
      <c r="A229" s="31" t="str">
        <f t="shared" si="9"/>
        <v/>
      </c>
      <c r="B229" s="32"/>
      <c r="C229" s="32"/>
      <c r="D229" s="32"/>
      <c r="E229" s="32"/>
      <c r="F229" s="32"/>
      <c r="G229" s="32"/>
      <c r="H229" s="33"/>
      <c r="I229" s="34" t="str">
        <f t="shared" ca="1" si="10"/>
        <v/>
      </c>
      <c r="J229" s="34" t="str">
        <f t="shared" si="11"/>
        <v/>
      </c>
    </row>
    <row r="230" spans="1:10" ht="19.5" customHeight="1" x14ac:dyDescent="0.25">
      <c r="A230" s="31" t="str">
        <f t="shared" si="9"/>
        <v/>
      </c>
      <c r="B230" s="32"/>
      <c r="C230" s="32"/>
      <c r="D230" s="32"/>
      <c r="E230" s="32"/>
      <c r="F230" s="32"/>
      <c r="G230" s="32"/>
      <c r="H230" s="33"/>
      <c r="I230" s="34" t="str">
        <f t="shared" ca="1" si="10"/>
        <v/>
      </c>
      <c r="J230" s="34" t="str">
        <f t="shared" si="11"/>
        <v/>
      </c>
    </row>
    <row r="231" spans="1:10" ht="19.5" customHeight="1" x14ac:dyDescent="0.25">
      <c r="A231" s="31" t="str">
        <f t="shared" si="9"/>
        <v/>
      </c>
      <c r="B231" s="32"/>
      <c r="C231" s="32"/>
      <c r="D231" s="32"/>
      <c r="E231" s="32"/>
      <c r="F231" s="32"/>
      <c r="G231" s="32"/>
      <c r="H231" s="33"/>
      <c r="I231" s="34" t="str">
        <f t="shared" ca="1" si="10"/>
        <v/>
      </c>
      <c r="J231" s="34" t="str">
        <f t="shared" si="11"/>
        <v/>
      </c>
    </row>
    <row r="232" spans="1:10" ht="19.5" customHeight="1" x14ac:dyDescent="0.25">
      <c r="A232" s="31" t="str">
        <f t="shared" si="9"/>
        <v/>
      </c>
      <c r="B232" s="32"/>
      <c r="C232" s="32"/>
      <c r="D232" s="32"/>
      <c r="E232" s="32"/>
      <c r="F232" s="32"/>
      <c r="G232" s="32"/>
      <c r="H232" s="33"/>
      <c r="I232" s="34" t="str">
        <f t="shared" ca="1" si="10"/>
        <v/>
      </c>
      <c r="J232" s="34" t="str">
        <f t="shared" si="11"/>
        <v/>
      </c>
    </row>
    <row r="233" spans="1:10" ht="19.5" customHeight="1" x14ac:dyDescent="0.25">
      <c r="A233" s="31" t="str">
        <f t="shared" si="9"/>
        <v/>
      </c>
      <c r="B233" s="32"/>
      <c r="C233" s="32"/>
      <c r="D233" s="32"/>
      <c r="E233" s="32"/>
      <c r="F233" s="32"/>
      <c r="G233" s="32"/>
      <c r="H233" s="33"/>
      <c r="I233" s="34" t="str">
        <f t="shared" ca="1" si="10"/>
        <v/>
      </c>
      <c r="J233" s="34" t="str">
        <f t="shared" si="11"/>
        <v/>
      </c>
    </row>
    <row r="234" spans="1:10" ht="19.5" customHeight="1" x14ac:dyDescent="0.25">
      <c r="A234" s="31" t="str">
        <f t="shared" si="9"/>
        <v/>
      </c>
      <c r="B234" s="32"/>
      <c r="C234" s="32"/>
      <c r="D234" s="32"/>
      <c r="E234" s="32"/>
      <c r="F234" s="32"/>
      <c r="G234" s="32"/>
      <c r="H234" s="33"/>
      <c r="I234" s="34" t="str">
        <f t="shared" ca="1" si="10"/>
        <v/>
      </c>
      <c r="J234" s="34" t="str">
        <f t="shared" si="11"/>
        <v/>
      </c>
    </row>
    <row r="235" spans="1:10" ht="19.5" customHeight="1" x14ac:dyDescent="0.25">
      <c r="A235" s="31" t="str">
        <f t="shared" si="9"/>
        <v/>
      </c>
      <c r="B235" s="32"/>
      <c r="C235" s="32"/>
      <c r="D235" s="32"/>
      <c r="E235" s="32"/>
      <c r="F235" s="32"/>
      <c r="G235" s="32"/>
      <c r="H235" s="33"/>
      <c r="I235" s="34" t="str">
        <f t="shared" ca="1" si="10"/>
        <v/>
      </c>
      <c r="J235" s="34" t="str">
        <f t="shared" si="11"/>
        <v/>
      </c>
    </row>
    <row r="236" spans="1:10" ht="19.5" customHeight="1" x14ac:dyDescent="0.25">
      <c r="A236" s="31" t="str">
        <f t="shared" si="9"/>
        <v/>
      </c>
      <c r="B236" s="32"/>
      <c r="C236" s="32"/>
      <c r="D236" s="32"/>
      <c r="E236" s="32"/>
      <c r="F236" s="32"/>
      <c r="G236" s="32"/>
      <c r="H236" s="33"/>
      <c r="I236" s="34" t="str">
        <f t="shared" ca="1" si="10"/>
        <v/>
      </c>
      <c r="J236" s="34" t="str">
        <f t="shared" si="11"/>
        <v/>
      </c>
    </row>
    <row r="237" spans="1:10" ht="19.5" customHeight="1" x14ac:dyDescent="0.25">
      <c r="A237" s="31" t="str">
        <f t="shared" si="9"/>
        <v/>
      </c>
      <c r="B237" s="32"/>
      <c r="C237" s="32"/>
      <c r="D237" s="32"/>
      <c r="E237" s="32"/>
      <c r="F237" s="32"/>
      <c r="G237" s="32"/>
      <c r="H237" s="33"/>
      <c r="I237" s="34" t="str">
        <f t="shared" ca="1" si="10"/>
        <v/>
      </c>
      <c r="J237" s="34" t="str">
        <f t="shared" si="11"/>
        <v/>
      </c>
    </row>
    <row r="238" spans="1:10" ht="19.5" customHeight="1" x14ac:dyDescent="0.25">
      <c r="A238" s="31" t="str">
        <f t="shared" si="9"/>
        <v/>
      </c>
      <c r="B238" s="32"/>
      <c r="C238" s="32"/>
      <c r="D238" s="32"/>
      <c r="E238" s="32"/>
      <c r="F238" s="32"/>
      <c r="G238" s="32"/>
      <c r="H238" s="33"/>
      <c r="I238" s="34" t="str">
        <f t="shared" ca="1" si="10"/>
        <v/>
      </c>
      <c r="J238" s="34" t="str">
        <f t="shared" si="11"/>
        <v/>
      </c>
    </row>
    <row r="239" spans="1:10" ht="19.5" customHeight="1" x14ac:dyDescent="0.25">
      <c r="A239" s="31" t="str">
        <f t="shared" si="9"/>
        <v/>
      </c>
      <c r="B239" s="32"/>
      <c r="C239" s="32"/>
      <c r="D239" s="32"/>
      <c r="E239" s="32"/>
      <c r="F239" s="32"/>
      <c r="G239" s="32"/>
      <c r="H239" s="33"/>
      <c r="I239" s="34" t="str">
        <f t="shared" ca="1" si="10"/>
        <v/>
      </c>
      <c r="J239" s="34" t="str">
        <f t="shared" si="11"/>
        <v/>
      </c>
    </row>
    <row r="240" spans="1:10" ht="19.5" customHeight="1" x14ac:dyDescent="0.25">
      <c r="A240" s="31" t="str">
        <f t="shared" si="9"/>
        <v/>
      </c>
      <c r="B240" s="32"/>
      <c r="C240" s="32"/>
      <c r="D240" s="32"/>
      <c r="E240" s="32"/>
      <c r="F240" s="32"/>
      <c r="G240" s="32"/>
      <c r="H240" s="33"/>
      <c r="I240" s="34" t="str">
        <f t="shared" ca="1" si="10"/>
        <v/>
      </c>
      <c r="J240" s="34" t="str">
        <f t="shared" si="11"/>
        <v/>
      </c>
    </row>
    <row r="241" spans="1:10" ht="19.5" customHeight="1" x14ac:dyDescent="0.25">
      <c r="A241" s="31" t="str">
        <f t="shared" si="9"/>
        <v/>
      </c>
      <c r="B241" s="32"/>
      <c r="C241" s="32"/>
      <c r="D241" s="32"/>
      <c r="E241" s="32"/>
      <c r="F241" s="32"/>
      <c r="G241" s="32"/>
      <c r="H241" s="33"/>
      <c r="I241" s="34" t="str">
        <f t="shared" ca="1" si="10"/>
        <v/>
      </c>
      <c r="J241" s="34" t="str">
        <f t="shared" si="11"/>
        <v/>
      </c>
    </row>
    <row r="242" spans="1:10" ht="19.5" customHeight="1" x14ac:dyDescent="0.25">
      <c r="A242" s="31" t="str">
        <f t="shared" si="9"/>
        <v/>
      </c>
      <c r="B242" s="32"/>
      <c r="C242" s="32"/>
      <c r="D242" s="32"/>
      <c r="E242" s="32"/>
      <c r="F242" s="32"/>
      <c r="G242" s="32"/>
      <c r="H242" s="33"/>
      <c r="I242" s="34" t="str">
        <f t="shared" ca="1" si="10"/>
        <v/>
      </c>
      <c r="J242" s="34" t="str">
        <f t="shared" si="11"/>
        <v/>
      </c>
    </row>
    <row r="243" spans="1:10" ht="19.5" customHeight="1" x14ac:dyDescent="0.25">
      <c r="A243" s="31" t="str">
        <f t="shared" si="9"/>
        <v/>
      </c>
      <c r="B243" s="32"/>
      <c r="C243" s="32"/>
      <c r="D243" s="32"/>
      <c r="E243" s="32"/>
      <c r="F243" s="32"/>
      <c r="G243" s="32"/>
      <c r="H243" s="33"/>
      <c r="I243" s="34" t="str">
        <f t="shared" ca="1" si="10"/>
        <v/>
      </c>
      <c r="J243" s="34" t="str">
        <f t="shared" si="11"/>
        <v/>
      </c>
    </row>
    <row r="244" spans="1:10" ht="19.5" customHeight="1" x14ac:dyDescent="0.25">
      <c r="A244" s="31" t="str">
        <f t="shared" si="9"/>
        <v/>
      </c>
      <c r="B244" s="32"/>
      <c r="C244" s="32"/>
      <c r="D244" s="32"/>
      <c r="E244" s="32"/>
      <c r="F244" s="32"/>
      <c r="G244" s="32"/>
      <c r="H244" s="33"/>
      <c r="I244" s="34" t="str">
        <f t="shared" ca="1" si="10"/>
        <v/>
      </c>
      <c r="J244" s="34" t="str">
        <f t="shared" si="11"/>
        <v/>
      </c>
    </row>
    <row r="245" spans="1:10" ht="19.5" customHeight="1" x14ac:dyDescent="0.25">
      <c r="A245" s="31" t="str">
        <f t="shared" si="9"/>
        <v/>
      </c>
      <c r="B245" s="32"/>
      <c r="C245" s="32"/>
      <c r="D245" s="32"/>
      <c r="E245" s="32"/>
      <c r="F245" s="32"/>
      <c r="G245" s="32"/>
      <c r="H245" s="33"/>
      <c r="I245" s="34" t="str">
        <f t="shared" ca="1" si="10"/>
        <v/>
      </c>
      <c r="J245" s="34" t="str">
        <f t="shared" si="11"/>
        <v/>
      </c>
    </row>
    <row r="246" spans="1:10" ht="19.5" customHeight="1" x14ac:dyDescent="0.25">
      <c r="A246" s="31" t="str">
        <f t="shared" si="9"/>
        <v/>
      </c>
      <c r="B246" s="32"/>
      <c r="C246" s="32"/>
      <c r="D246" s="32"/>
      <c r="E246" s="32"/>
      <c r="F246" s="32"/>
      <c r="G246" s="32"/>
      <c r="H246" s="33"/>
      <c r="I246" s="34" t="str">
        <f t="shared" ca="1" si="10"/>
        <v/>
      </c>
      <c r="J246" s="34" t="str">
        <f t="shared" si="11"/>
        <v/>
      </c>
    </row>
    <row r="247" spans="1:10" ht="19.5" customHeight="1" x14ac:dyDescent="0.25">
      <c r="A247" s="31" t="str">
        <f t="shared" si="9"/>
        <v/>
      </c>
      <c r="B247" s="32"/>
      <c r="C247" s="32"/>
      <c r="D247" s="32"/>
      <c r="E247" s="32"/>
      <c r="F247" s="32"/>
      <c r="G247" s="32"/>
      <c r="H247" s="33"/>
      <c r="I247" s="34" t="str">
        <f t="shared" ca="1" si="10"/>
        <v/>
      </c>
      <c r="J247" s="34" t="str">
        <f t="shared" si="11"/>
        <v/>
      </c>
    </row>
    <row r="248" spans="1:10" ht="19.5" customHeight="1" x14ac:dyDescent="0.25">
      <c r="A248" s="31" t="str">
        <f t="shared" si="9"/>
        <v/>
      </c>
      <c r="B248" s="32"/>
      <c r="C248" s="32"/>
      <c r="D248" s="32"/>
      <c r="E248" s="32"/>
      <c r="F248" s="32"/>
      <c r="G248" s="32"/>
      <c r="H248" s="33"/>
      <c r="I248" s="34" t="str">
        <f t="shared" ca="1" si="10"/>
        <v/>
      </c>
      <c r="J248" s="34" t="str">
        <f t="shared" si="11"/>
        <v/>
      </c>
    </row>
    <row r="249" spans="1:10" ht="19.5" customHeight="1" x14ac:dyDescent="0.25">
      <c r="A249" s="31" t="str">
        <f t="shared" si="9"/>
        <v/>
      </c>
      <c r="B249" s="32"/>
      <c r="C249" s="32"/>
      <c r="D249" s="32"/>
      <c r="E249" s="32"/>
      <c r="F249" s="32"/>
      <c r="G249" s="32"/>
      <c r="H249" s="33"/>
      <c r="I249" s="34" t="str">
        <f t="shared" ca="1" si="10"/>
        <v/>
      </c>
      <c r="J249" s="34" t="str">
        <f t="shared" si="11"/>
        <v/>
      </c>
    </row>
    <row r="250" spans="1:10" ht="19.5" customHeight="1" x14ac:dyDescent="0.25">
      <c r="A250" s="31" t="str">
        <f t="shared" si="9"/>
        <v/>
      </c>
      <c r="B250" s="32"/>
      <c r="C250" s="32"/>
      <c r="D250" s="32"/>
      <c r="E250" s="32"/>
      <c r="F250" s="32"/>
      <c r="G250" s="32"/>
      <c r="H250" s="33"/>
      <c r="I250" s="34" t="str">
        <f t="shared" ca="1" si="10"/>
        <v/>
      </c>
      <c r="J250" s="34" t="str">
        <f t="shared" si="11"/>
        <v/>
      </c>
    </row>
    <row r="251" spans="1:10" ht="19.5" customHeight="1" x14ac:dyDescent="0.25">
      <c r="A251" s="31" t="str">
        <f t="shared" si="9"/>
        <v/>
      </c>
      <c r="B251" s="32"/>
      <c r="C251" s="32"/>
      <c r="D251" s="32"/>
      <c r="E251" s="32"/>
      <c r="F251" s="32"/>
      <c r="G251" s="32"/>
      <c r="H251" s="33"/>
      <c r="I251" s="34" t="str">
        <f t="shared" ca="1" si="10"/>
        <v/>
      </c>
      <c r="J251" s="34" t="str">
        <f t="shared" si="11"/>
        <v/>
      </c>
    </row>
    <row r="252" spans="1:10" ht="19.5" customHeight="1" x14ac:dyDescent="0.25">
      <c r="A252" s="31" t="str">
        <f t="shared" si="9"/>
        <v/>
      </c>
      <c r="B252" s="32"/>
      <c r="C252" s="32"/>
      <c r="D252" s="32"/>
      <c r="E252" s="32"/>
      <c r="F252" s="32"/>
      <c r="G252" s="32"/>
      <c r="H252" s="33"/>
      <c r="I252" s="34" t="str">
        <f t="shared" ca="1" si="10"/>
        <v/>
      </c>
      <c r="J252" s="34" t="str">
        <f t="shared" si="11"/>
        <v/>
      </c>
    </row>
    <row r="253" spans="1:10" ht="19.5" customHeight="1" x14ac:dyDescent="0.25">
      <c r="A253" s="31" t="str">
        <f t="shared" si="9"/>
        <v/>
      </c>
      <c r="B253" s="32"/>
      <c r="C253" s="32"/>
      <c r="D253" s="32"/>
      <c r="E253" s="32"/>
      <c r="F253" s="32"/>
      <c r="G253" s="32"/>
      <c r="H253" s="33"/>
      <c r="I253" s="34" t="str">
        <f t="shared" ca="1" si="10"/>
        <v/>
      </c>
      <c r="J253" s="34" t="str">
        <f t="shared" si="11"/>
        <v/>
      </c>
    </row>
    <row r="254" spans="1:10" ht="19.5" customHeight="1" x14ac:dyDescent="0.25">
      <c r="A254" s="31" t="str">
        <f t="shared" si="9"/>
        <v/>
      </c>
      <c r="B254" s="32"/>
      <c r="C254" s="32"/>
      <c r="D254" s="32"/>
      <c r="E254" s="32"/>
      <c r="F254" s="32"/>
      <c r="G254" s="32"/>
      <c r="H254" s="33"/>
      <c r="I254" s="34" t="str">
        <f t="shared" ca="1" si="10"/>
        <v/>
      </c>
      <c r="J254" s="34" t="str">
        <f t="shared" si="11"/>
        <v/>
      </c>
    </row>
    <row r="255" spans="1:10" ht="19.5" customHeight="1" x14ac:dyDescent="0.25">
      <c r="A255" s="31" t="str">
        <f t="shared" si="9"/>
        <v/>
      </c>
      <c r="B255" s="32"/>
      <c r="C255" s="32"/>
      <c r="D255" s="32"/>
      <c r="E255" s="32"/>
      <c r="F255" s="32"/>
      <c r="G255" s="32"/>
      <c r="H255" s="33"/>
      <c r="I255" s="34" t="str">
        <f t="shared" ca="1" si="10"/>
        <v/>
      </c>
      <c r="J255" s="34" t="str">
        <f t="shared" si="11"/>
        <v/>
      </c>
    </row>
    <row r="256" spans="1:10" ht="19.5" customHeight="1" x14ac:dyDescent="0.25">
      <c r="A256" s="31" t="str">
        <f t="shared" si="9"/>
        <v/>
      </c>
      <c r="B256" s="32"/>
      <c r="C256" s="32"/>
      <c r="D256" s="32"/>
      <c r="E256" s="32"/>
      <c r="F256" s="32"/>
      <c r="G256" s="32"/>
      <c r="H256" s="33"/>
      <c r="I256" s="34" t="str">
        <f t="shared" ca="1" si="10"/>
        <v/>
      </c>
      <c r="J256" s="34" t="str">
        <f t="shared" si="11"/>
        <v/>
      </c>
    </row>
    <row r="257" spans="1:10" ht="19.5" customHeight="1" x14ac:dyDescent="0.25">
      <c r="A257" s="31" t="str">
        <f t="shared" si="9"/>
        <v/>
      </c>
      <c r="B257" s="32"/>
      <c r="C257" s="32"/>
      <c r="D257" s="32"/>
      <c r="E257" s="32"/>
      <c r="F257" s="32"/>
      <c r="G257" s="32"/>
      <c r="H257" s="33"/>
      <c r="I257" s="34" t="str">
        <f t="shared" ca="1" si="10"/>
        <v/>
      </c>
      <c r="J257" s="34" t="str">
        <f t="shared" si="11"/>
        <v/>
      </c>
    </row>
    <row r="258" spans="1:10" ht="19.5" customHeight="1" x14ac:dyDescent="0.25">
      <c r="A258" s="31" t="str">
        <f t="shared" si="9"/>
        <v/>
      </c>
      <c r="B258" s="32"/>
      <c r="C258" s="32"/>
      <c r="D258" s="32"/>
      <c r="E258" s="32"/>
      <c r="F258" s="32"/>
      <c r="G258" s="32"/>
      <c r="H258" s="33"/>
      <c r="I258" s="34" t="str">
        <f t="shared" ca="1" si="10"/>
        <v/>
      </c>
      <c r="J258" s="34" t="str">
        <f t="shared" si="11"/>
        <v/>
      </c>
    </row>
    <row r="259" spans="1:10" ht="19.5" customHeight="1" x14ac:dyDescent="0.25">
      <c r="A259" s="31" t="str">
        <f t="shared" si="9"/>
        <v/>
      </c>
      <c r="B259" s="32"/>
      <c r="C259" s="32"/>
      <c r="D259" s="32"/>
      <c r="E259" s="32"/>
      <c r="F259" s="32"/>
      <c r="G259" s="32"/>
      <c r="H259" s="33"/>
      <c r="I259" s="34" t="str">
        <f t="shared" ca="1" si="10"/>
        <v/>
      </c>
      <c r="J259" s="34" t="str">
        <f t="shared" si="11"/>
        <v/>
      </c>
    </row>
    <row r="260" spans="1:10" ht="19.5" customHeight="1" x14ac:dyDescent="0.25">
      <c r="A260" s="31" t="str">
        <f t="shared" si="9"/>
        <v/>
      </c>
      <c r="B260" s="32"/>
      <c r="C260" s="32"/>
      <c r="D260" s="32"/>
      <c r="E260" s="32"/>
      <c r="F260" s="32"/>
      <c r="G260" s="32"/>
      <c r="H260" s="33"/>
      <c r="I260" s="34" t="str">
        <f t="shared" ca="1" si="10"/>
        <v/>
      </c>
      <c r="J260" s="34" t="str">
        <f t="shared" si="11"/>
        <v/>
      </c>
    </row>
    <row r="261" spans="1:10" ht="19.5" customHeight="1" x14ac:dyDescent="0.25">
      <c r="A261" s="31" t="str">
        <f t="shared" ref="A261:A324" si="12">IF(B261="","","ACC"&amp;TEXT(ROW()-4,"0000"))</f>
        <v/>
      </c>
      <c r="B261" s="32"/>
      <c r="C261" s="32"/>
      <c r="D261" s="32"/>
      <c r="E261" s="32"/>
      <c r="F261" s="32"/>
      <c r="G261" s="32"/>
      <c r="H261" s="33"/>
      <c r="I261" s="34" t="str">
        <f t="shared" ref="I261:I324" ca="1" si="13">IF(B261="","",TEXT(TODAY(),"dd/mm/yyyy"))</f>
        <v/>
      </c>
      <c r="J261" s="34" t="str">
        <f t="shared" ref="J261:J324" si="14">IF(B261="","",IF(ISNUMBER(H261),IF(H261&gt;=10,"✅ Active","⚠️ Below Min Balance"),"Pending"))</f>
        <v/>
      </c>
    </row>
    <row r="262" spans="1:10" ht="19.5" customHeight="1" x14ac:dyDescent="0.25">
      <c r="A262" s="31" t="str">
        <f t="shared" si="12"/>
        <v/>
      </c>
      <c r="B262" s="32"/>
      <c r="C262" s="32"/>
      <c r="D262" s="32"/>
      <c r="E262" s="32"/>
      <c r="F262" s="32"/>
      <c r="G262" s="32"/>
      <c r="H262" s="33"/>
      <c r="I262" s="34" t="str">
        <f t="shared" ca="1" si="13"/>
        <v/>
      </c>
      <c r="J262" s="34" t="str">
        <f t="shared" si="14"/>
        <v/>
      </c>
    </row>
    <row r="263" spans="1:10" ht="19.5" customHeight="1" x14ac:dyDescent="0.25">
      <c r="A263" s="31" t="str">
        <f t="shared" si="12"/>
        <v/>
      </c>
      <c r="B263" s="32"/>
      <c r="C263" s="32"/>
      <c r="D263" s="32"/>
      <c r="E263" s="32"/>
      <c r="F263" s="32"/>
      <c r="G263" s="32"/>
      <c r="H263" s="33"/>
      <c r="I263" s="34" t="str">
        <f t="shared" ca="1" si="13"/>
        <v/>
      </c>
      <c r="J263" s="34" t="str">
        <f t="shared" si="14"/>
        <v/>
      </c>
    </row>
    <row r="264" spans="1:10" ht="19.5" customHeight="1" x14ac:dyDescent="0.25">
      <c r="A264" s="31" t="str">
        <f t="shared" si="12"/>
        <v/>
      </c>
      <c r="B264" s="32"/>
      <c r="C264" s="32"/>
      <c r="D264" s="32"/>
      <c r="E264" s="32"/>
      <c r="F264" s="32"/>
      <c r="G264" s="32"/>
      <c r="H264" s="33"/>
      <c r="I264" s="34" t="str">
        <f t="shared" ca="1" si="13"/>
        <v/>
      </c>
      <c r="J264" s="34" t="str">
        <f t="shared" si="14"/>
        <v/>
      </c>
    </row>
    <row r="265" spans="1:10" ht="19.5" customHeight="1" x14ac:dyDescent="0.25">
      <c r="A265" s="31" t="str">
        <f t="shared" si="12"/>
        <v/>
      </c>
      <c r="B265" s="32"/>
      <c r="C265" s="32"/>
      <c r="D265" s="32"/>
      <c r="E265" s="32"/>
      <c r="F265" s="32"/>
      <c r="G265" s="32"/>
      <c r="H265" s="33"/>
      <c r="I265" s="34" t="str">
        <f t="shared" ca="1" si="13"/>
        <v/>
      </c>
      <c r="J265" s="34" t="str">
        <f t="shared" si="14"/>
        <v/>
      </c>
    </row>
    <row r="266" spans="1:10" ht="19.5" customHeight="1" x14ac:dyDescent="0.25">
      <c r="A266" s="31" t="str">
        <f t="shared" si="12"/>
        <v/>
      </c>
      <c r="B266" s="32"/>
      <c r="C266" s="32"/>
      <c r="D266" s="32"/>
      <c r="E266" s="32"/>
      <c r="F266" s="32"/>
      <c r="G266" s="32"/>
      <c r="H266" s="33"/>
      <c r="I266" s="34" t="str">
        <f t="shared" ca="1" si="13"/>
        <v/>
      </c>
      <c r="J266" s="34" t="str">
        <f t="shared" si="14"/>
        <v/>
      </c>
    </row>
    <row r="267" spans="1:10" ht="19.5" customHeight="1" x14ac:dyDescent="0.25">
      <c r="A267" s="31" t="str">
        <f t="shared" si="12"/>
        <v/>
      </c>
      <c r="B267" s="32"/>
      <c r="C267" s="32"/>
      <c r="D267" s="32"/>
      <c r="E267" s="32"/>
      <c r="F267" s="32"/>
      <c r="G267" s="32"/>
      <c r="H267" s="33"/>
      <c r="I267" s="34" t="str">
        <f t="shared" ca="1" si="13"/>
        <v/>
      </c>
      <c r="J267" s="34" t="str">
        <f t="shared" si="14"/>
        <v/>
      </c>
    </row>
    <row r="268" spans="1:10" ht="19.5" customHeight="1" x14ac:dyDescent="0.25">
      <c r="A268" s="31" t="str">
        <f t="shared" si="12"/>
        <v/>
      </c>
      <c r="B268" s="32"/>
      <c r="C268" s="32"/>
      <c r="D268" s="32"/>
      <c r="E268" s="32"/>
      <c r="F268" s="32"/>
      <c r="G268" s="32"/>
      <c r="H268" s="33"/>
      <c r="I268" s="34" t="str">
        <f t="shared" ca="1" si="13"/>
        <v/>
      </c>
      <c r="J268" s="34" t="str">
        <f t="shared" si="14"/>
        <v/>
      </c>
    </row>
    <row r="269" spans="1:10" ht="19.5" customHeight="1" x14ac:dyDescent="0.25">
      <c r="A269" s="31" t="str">
        <f t="shared" si="12"/>
        <v/>
      </c>
      <c r="B269" s="32"/>
      <c r="C269" s="32"/>
      <c r="D269" s="32"/>
      <c r="E269" s="32"/>
      <c r="F269" s="32"/>
      <c r="G269" s="32"/>
      <c r="H269" s="33"/>
      <c r="I269" s="34" t="str">
        <f t="shared" ca="1" si="13"/>
        <v/>
      </c>
      <c r="J269" s="34" t="str">
        <f t="shared" si="14"/>
        <v/>
      </c>
    </row>
    <row r="270" spans="1:10" ht="19.5" customHeight="1" x14ac:dyDescent="0.25">
      <c r="A270" s="31" t="str">
        <f t="shared" si="12"/>
        <v/>
      </c>
      <c r="B270" s="32"/>
      <c r="C270" s="32"/>
      <c r="D270" s="32"/>
      <c r="E270" s="32"/>
      <c r="F270" s="32"/>
      <c r="G270" s="32"/>
      <c r="H270" s="33"/>
      <c r="I270" s="34" t="str">
        <f t="shared" ca="1" si="13"/>
        <v/>
      </c>
      <c r="J270" s="34" t="str">
        <f t="shared" si="14"/>
        <v/>
      </c>
    </row>
    <row r="271" spans="1:10" ht="19.5" customHeight="1" x14ac:dyDescent="0.25">
      <c r="A271" s="31" t="str">
        <f t="shared" si="12"/>
        <v/>
      </c>
      <c r="B271" s="32"/>
      <c r="C271" s="32"/>
      <c r="D271" s="32"/>
      <c r="E271" s="32"/>
      <c r="F271" s="32"/>
      <c r="G271" s="32"/>
      <c r="H271" s="33"/>
      <c r="I271" s="34" t="str">
        <f t="shared" ca="1" si="13"/>
        <v/>
      </c>
      <c r="J271" s="34" t="str">
        <f t="shared" si="14"/>
        <v/>
      </c>
    </row>
    <row r="272" spans="1:10" ht="19.5" customHeight="1" x14ac:dyDescent="0.25">
      <c r="A272" s="31" t="str">
        <f t="shared" si="12"/>
        <v/>
      </c>
      <c r="B272" s="32"/>
      <c r="C272" s="32"/>
      <c r="D272" s="32"/>
      <c r="E272" s="32"/>
      <c r="F272" s="32"/>
      <c r="G272" s="32"/>
      <c r="H272" s="33"/>
      <c r="I272" s="34" t="str">
        <f t="shared" ca="1" si="13"/>
        <v/>
      </c>
      <c r="J272" s="34" t="str">
        <f t="shared" si="14"/>
        <v/>
      </c>
    </row>
    <row r="273" spans="1:10" ht="19.5" customHeight="1" x14ac:dyDescent="0.25">
      <c r="A273" s="31" t="str">
        <f t="shared" si="12"/>
        <v/>
      </c>
      <c r="B273" s="32"/>
      <c r="C273" s="32"/>
      <c r="D273" s="32"/>
      <c r="E273" s="32"/>
      <c r="F273" s="32"/>
      <c r="G273" s="32"/>
      <c r="H273" s="33"/>
      <c r="I273" s="34" t="str">
        <f t="shared" ca="1" si="13"/>
        <v/>
      </c>
      <c r="J273" s="34" t="str">
        <f t="shared" si="14"/>
        <v/>
      </c>
    </row>
    <row r="274" spans="1:10" ht="19.5" customHeight="1" x14ac:dyDescent="0.25">
      <c r="A274" s="31" t="str">
        <f t="shared" si="12"/>
        <v/>
      </c>
      <c r="B274" s="32"/>
      <c r="C274" s="32"/>
      <c r="D274" s="32"/>
      <c r="E274" s="32"/>
      <c r="F274" s="32"/>
      <c r="G274" s="32"/>
      <c r="H274" s="33"/>
      <c r="I274" s="34" t="str">
        <f t="shared" ca="1" si="13"/>
        <v/>
      </c>
      <c r="J274" s="34" t="str">
        <f t="shared" si="14"/>
        <v/>
      </c>
    </row>
    <row r="275" spans="1:10" ht="19.5" customHeight="1" x14ac:dyDescent="0.25">
      <c r="A275" s="31" t="str">
        <f t="shared" si="12"/>
        <v/>
      </c>
      <c r="B275" s="32"/>
      <c r="C275" s="32"/>
      <c r="D275" s="32"/>
      <c r="E275" s="32"/>
      <c r="F275" s="32"/>
      <c r="G275" s="32"/>
      <c r="H275" s="33"/>
      <c r="I275" s="34" t="str">
        <f t="shared" ca="1" si="13"/>
        <v/>
      </c>
      <c r="J275" s="34" t="str">
        <f t="shared" si="14"/>
        <v/>
      </c>
    </row>
    <row r="276" spans="1:10" ht="19.5" customHeight="1" x14ac:dyDescent="0.25">
      <c r="A276" s="31" t="str">
        <f t="shared" si="12"/>
        <v/>
      </c>
      <c r="B276" s="32"/>
      <c r="C276" s="32"/>
      <c r="D276" s="32"/>
      <c r="E276" s="32"/>
      <c r="F276" s="32"/>
      <c r="G276" s="32"/>
      <c r="H276" s="33"/>
      <c r="I276" s="34" t="str">
        <f t="shared" ca="1" si="13"/>
        <v/>
      </c>
      <c r="J276" s="34" t="str">
        <f t="shared" si="14"/>
        <v/>
      </c>
    </row>
    <row r="277" spans="1:10" ht="19.5" customHeight="1" x14ac:dyDescent="0.25">
      <c r="A277" s="31" t="str">
        <f t="shared" si="12"/>
        <v/>
      </c>
      <c r="B277" s="32"/>
      <c r="C277" s="32"/>
      <c r="D277" s="32"/>
      <c r="E277" s="32"/>
      <c r="F277" s="32"/>
      <c r="G277" s="32"/>
      <c r="H277" s="33"/>
      <c r="I277" s="34" t="str">
        <f t="shared" ca="1" si="13"/>
        <v/>
      </c>
      <c r="J277" s="34" t="str">
        <f t="shared" si="14"/>
        <v/>
      </c>
    </row>
    <row r="278" spans="1:10" ht="19.5" customHeight="1" x14ac:dyDescent="0.25">
      <c r="A278" s="31" t="str">
        <f t="shared" si="12"/>
        <v/>
      </c>
      <c r="B278" s="32"/>
      <c r="C278" s="32"/>
      <c r="D278" s="32"/>
      <c r="E278" s="32"/>
      <c r="F278" s="32"/>
      <c r="G278" s="32"/>
      <c r="H278" s="33"/>
      <c r="I278" s="34" t="str">
        <f t="shared" ca="1" si="13"/>
        <v/>
      </c>
      <c r="J278" s="34" t="str">
        <f t="shared" si="14"/>
        <v/>
      </c>
    </row>
    <row r="279" spans="1:10" ht="19.5" customHeight="1" x14ac:dyDescent="0.25">
      <c r="A279" s="31" t="str">
        <f t="shared" si="12"/>
        <v/>
      </c>
      <c r="B279" s="32"/>
      <c r="C279" s="32"/>
      <c r="D279" s="32"/>
      <c r="E279" s="32"/>
      <c r="F279" s="32"/>
      <c r="G279" s="32"/>
      <c r="H279" s="33"/>
      <c r="I279" s="34" t="str">
        <f t="shared" ca="1" si="13"/>
        <v/>
      </c>
      <c r="J279" s="34" t="str">
        <f t="shared" si="14"/>
        <v/>
      </c>
    </row>
    <row r="280" spans="1:10" ht="19.5" customHeight="1" x14ac:dyDescent="0.25">
      <c r="A280" s="31" t="str">
        <f t="shared" si="12"/>
        <v/>
      </c>
      <c r="B280" s="32"/>
      <c r="C280" s="32"/>
      <c r="D280" s="32"/>
      <c r="E280" s="32"/>
      <c r="F280" s="32"/>
      <c r="G280" s="32"/>
      <c r="H280" s="33"/>
      <c r="I280" s="34" t="str">
        <f t="shared" ca="1" si="13"/>
        <v/>
      </c>
      <c r="J280" s="34" t="str">
        <f t="shared" si="14"/>
        <v/>
      </c>
    </row>
    <row r="281" spans="1:10" ht="19.5" customHeight="1" x14ac:dyDescent="0.25">
      <c r="A281" s="31" t="str">
        <f t="shared" si="12"/>
        <v/>
      </c>
      <c r="B281" s="32"/>
      <c r="C281" s="32"/>
      <c r="D281" s="32"/>
      <c r="E281" s="32"/>
      <c r="F281" s="32"/>
      <c r="G281" s="32"/>
      <c r="H281" s="33"/>
      <c r="I281" s="34" t="str">
        <f t="shared" ca="1" si="13"/>
        <v/>
      </c>
      <c r="J281" s="34" t="str">
        <f t="shared" si="14"/>
        <v/>
      </c>
    </row>
    <row r="282" spans="1:10" ht="19.5" customHeight="1" x14ac:dyDescent="0.25">
      <c r="A282" s="31" t="str">
        <f t="shared" si="12"/>
        <v/>
      </c>
      <c r="B282" s="32"/>
      <c r="C282" s="32"/>
      <c r="D282" s="32"/>
      <c r="E282" s="32"/>
      <c r="F282" s="32"/>
      <c r="G282" s="32"/>
      <c r="H282" s="33"/>
      <c r="I282" s="34" t="str">
        <f t="shared" ca="1" si="13"/>
        <v/>
      </c>
      <c r="J282" s="34" t="str">
        <f t="shared" si="14"/>
        <v/>
      </c>
    </row>
    <row r="283" spans="1:10" ht="19.5" customHeight="1" x14ac:dyDescent="0.25">
      <c r="A283" s="31" t="str">
        <f t="shared" si="12"/>
        <v/>
      </c>
      <c r="B283" s="32"/>
      <c r="C283" s="32"/>
      <c r="D283" s="32"/>
      <c r="E283" s="32"/>
      <c r="F283" s="32"/>
      <c r="G283" s="32"/>
      <c r="H283" s="33"/>
      <c r="I283" s="34" t="str">
        <f t="shared" ca="1" si="13"/>
        <v/>
      </c>
      <c r="J283" s="34" t="str">
        <f t="shared" si="14"/>
        <v/>
      </c>
    </row>
    <row r="284" spans="1:10" ht="19.5" customHeight="1" x14ac:dyDescent="0.25">
      <c r="A284" s="31" t="str">
        <f t="shared" si="12"/>
        <v/>
      </c>
      <c r="B284" s="32"/>
      <c r="C284" s="32"/>
      <c r="D284" s="32"/>
      <c r="E284" s="32"/>
      <c r="F284" s="32"/>
      <c r="G284" s="32"/>
      <c r="H284" s="33"/>
      <c r="I284" s="34" t="str">
        <f t="shared" ca="1" si="13"/>
        <v/>
      </c>
      <c r="J284" s="34" t="str">
        <f t="shared" si="14"/>
        <v/>
      </c>
    </row>
    <row r="285" spans="1:10" ht="19.5" customHeight="1" x14ac:dyDescent="0.25">
      <c r="A285" s="31" t="str">
        <f t="shared" si="12"/>
        <v/>
      </c>
      <c r="B285" s="32"/>
      <c r="C285" s="32"/>
      <c r="D285" s="32"/>
      <c r="E285" s="32"/>
      <c r="F285" s="32"/>
      <c r="G285" s="32"/>
      <c r="H285" s="33"/>
      <c r="I285" s="34" t="str">
        <f t="shared" ca="1" si="13"/>
        <v/>
      </c>
      <c r="J285" s="34" t="str">
        <f t="shared" si="14"/>
        <v/>
      </c>
    </row>
    <row r="286" spans="1:10" ht="19.5" customHeight="1" x14ac:dyDescent="0.25">
      <c r="A286" s="31" t="str">
        <f t="shared" si="12"/>
        <v/>
      </c>
      <c r="B286" s="32"/>
      <c r="C286" s="32"/>
      <c r="D286" s="32"/>
      <c r="E286" s="32"/>
      <c r="F286" s="32"/>
      <c r="G286" s="32"/>
      <c r="H286" s="33"/>
      <c r="I286" s="34" t="str">
        <f t="shared" ca="1" si="13"/>
        <v/>
      </c>
      <c r="J286" s="34" t="str">
        <f t="shared" si="14"/>
        <v/>
      </c>
    </row>
    <row r="287" spans="1:10" ht="19.5" customHeight="1" x14ac:dyDescent="0.25">
      <c r="A287" s="31" t="str">
        <f t="shared" si="12"/>
        <v/>
      </c>
      <c r="B287" s="32"/>
      <c r="C287" s="32"/>
      <c r="D287" s="32"/>
      <c r="E287" s="32"/>
      <c r="F287" s="32"/>
      <c r="G287" s="32"/>
      <c r="H287" s="33"/>
      <c r="I287" s="34" t="str">
        <f t="shared" ca="1" si="13"/>
        <v/>
      </c>
      <c r="J287" s="34" t="str">
        <f t="shared" si="14"/>
        <v/>
      </c>
    </row>
    <row r="288" spans="1:10" ht="19.5" customHeight="1" x14ac:dyDescent="0.25">
      <c r="A288" s="31" t="str">
        <f t="shared" si="12"/>
        <v/>
      </c>
      <c r="B288" s="32"/>
      <c r="C288" s="32"/>
      <c r="D288" s="32"/>
      <c r="E288" s="32"/>
      <c r="F288" s="32"/>
      <c r="G288" s="32"/>
      <c r="H288" s="33"/>
      <c r="I288" s="34" t="str">
        <f t="shared" ca="1" si="13"/>
        <v/>
      </c>
      <c r="J288" s="34" t="str">
        <f t="shared" si="14"/>
        <v/>
      </c>
    </row>
    <row r="289" spans="1:10" ht="19.5" customHeight="1" x14ac:dyDescent="0.25">
      <c r="A289" s="31" t="str">
        <f t="shared" si="12"/>
        <v/>
      </c>
      <c r="B289" s="32"/>
      <c r="C289" s="32"/>
      <c r="D289" s="32"/>
      <c r="E289" s="32"/>
      <c r="F289" s="32"/>
      <c r="G289" s="32"/>
      <c r="H289" s="33"/>
      <c r="I289" s="34" t="str">
        <f t="shared" ca="1" si="13"/>
        <v/>
      </c>
      <c r="J289" s="34" t="str">
        <f t="shared" si="14"/>
        <v/>
      </c>
    </row>
    <row r="290" spans="1:10" ht="19.5" customHeight="1" x14ac:dyDescent="0.25">
      <c r="A290" s="31" t="str">
        <f t="shared" si="12"/>
        <v/>
      </c>
      <c r="B290" s="32"/>
      <c r="C290" s="32"/>
      <c r="D290" s="32"/>
      <c r="E290" s="32"/>
      <c r="F290" s="32"/>
      <c r="G290" s="32"/>
      <c r="H290" s="33"/>
      <c r="I290" s="34" t="str">
        <f t="shared" ca="1" si="13"/>
        <v/>
      </c>
      <c r="J290" s="34" t="str">
        <f t="shared" si="14"/>
        <v/>
      </c>
    </row>
    <row r="291" spans="1:10" ht="19.5" customHeight="1" x14ac:dyDescent="0.25">
      <c r="A291" s="31" t="str">
        <f t="shared" si="12"/>
        <v/>
      </c>
      <c r="B291" s="32"/>
      <c r="C291" s="32"/>
      <c r="D291" s="32"/>
      <c r="E291" s="32"/>
      <c r="F291" s="32"/>
      <c r="G291" s="32"/>
      <c r="H291" s="33"/>
      <c r="I291" s="34" t="str">
        <f t="shared" ca="1" si="13"/>
        <v/>
      </c>
      <c r="J291" s="34" t="str">
        <f t="shared" si="14"/>
        <v/>
      </c>
    </row>
    <row r="292" spans="1:10" ht="19.5" customHeight="1" x14ac:dyDescent="0.25">
      <c r="A292" s="31" t="str">
        <f t="shared" si="12"/>
        <v/>
      </c>
      <c r="B292" s="32"/>
      <c r="C292" s="32"/>
      <c r="D292" s="32"/>
      <c r="E292" s="32"/>
      <c r="F292" s="32"/>
      <c r="G292" s="32"/>
      <c r="H292" s="33"/>
      <c r="I292" s="34" t="str">
        <f t="shared" ca="1" si="13"/>
        <v/>
      </c>
      <c r="J292" s="34" t="str">
        <f t="shared" si="14"/>
        <v/>
      </c>
    </row>
    <row r="293" spans="1:10" ht="19.5" customHeight="1" x14ac:dyDescent="0.25">
      <c r="A293" s="31" t="str">
        <f t="shared" si="12"/>
        <v/>
      </c>
      <c r="B293" s="32"/>
      <c r="C293" s="32"/>
      <c r="D293" s="32"/>
      <c r="E293" s="32"/>
      <c r="F293" s="32"/>
      <c r="G293" s="32"/>
      <c r="H293" s="33"/>
      <c r="I293" s="34" t="str">
        <f t="shared" ca="1" si="13"/>
        <v/>
      </c>
      <c r="J293" s="34" t="str">
        <f t="shared" si="14"/>
        <v/>
      </c>
    </row>
    <row r="294" spans="1:10" ht="19.5" customHeight="1" x14ac:dyDescent="0.25">
      <c r="A294" s="31" t="str">
        <f t="shared" si="12"/>
        <v/>
      </c>
      <c r="B294" s="32"/>
      <c r="C294" s="32"/>
      <c r="D294" s="32"/>
      <c r="E294" s="32"/>
      <c r="F294" s="32"/>
      <c r="G294" s="32"/>
      <c r="H294" s="33"/>
      <c r="I294" s="34" t="str">
        <f t="shared" ca="1" si="13"/>
        <v/>
      </c>
      <c r="J294" s="34" t="str">
        <f t="shared" si="14"/>
        <v/>
      </c>
    </row>
    <row r="295" spans="1:10" ht="19.5" customHeight="1" x14ac:dyDescent="0.25">
      <c r="A295" s="31" t="str">
        <f t="shared" si="12"/>
        <v/>
      </c>
      <c r="B295" s="32"/>
      <c r="C295" s="32"/>
      <c r="D295" s="32"/>
      <c r="E295" s="32"/>
      <c r="F295" s="32"/>
      <c r="G295" s="32"/>
      <c r="H295" s="33"/>
      <c r="I295" s="34" t="str">
        <f t="shared" ca="1" si="13"/>
        <v/>
      </c>
      <c r="J295" s="34" t="str">
        <f t="shared" si="14"/>
        <v/>
      </c>
    </row>
    <row r="296" spans="1:10" ht="19.5" customHeight="1" x14ac:dyDescent="0.25">
      <c r="A296" s="31" t="str">
        <f t="shared" si="12"/>
        <v/>
      </c>
      <c r="B296" s="32"/>
      <c r="C296" s="32"/>
      <c r="D296" s="32"/>
      <c r="E296" s="32"/>
      <c r="F296" s="32"/>
      <c r="G296" s="32"/>
      <c r="H296" s="33"/>
      <c r="I296" s="34" t="str">
        <f t="shared" ca="1" si="13"/>
        <v/>
      </c>
      <c r="J296" s="34" t="str">
        <f t="shared" si="14"/>
        <v/>
      </c>
    </row>
    <row r="297" spans="1:10" ht="19.5" customHeight="1" x14ac:dyDescent="0.25">
      <c r="A297" s="31" t="str">
        <f t="shared" si="12"/>
        <v/>
      </c>
      <c r="B297" s="32"/>
      <c r="C297" s="32"/>
      <c r="D297" s="32"/>
      <c r="E297" s="32"/>
      <c r="F297" s="32"/>
      <c r="G297" s="32"/>
      <c r="H297" s="33"/>
      <c r="I297" s="34" t="str">
        <f t="shared" ca="1" si="13"/>
        <v/>
      </c>
      <c r="J297" s="34" t="str">
        <f t="shared" si="14"/>
        <v/>
      </c>
    </row>
    <row r="298" spans="1:10" ht="19.5" customHeight="1" x14ac:dyDescent="0.25">
      <c r="A298" s="31" t="str">
        <f t="shared" si="12"/>
        <v/>
      </c>
      <c r="B298" s="32"/>
      <c r="C298" s="32"/>
      <c r="D298" s="32"/>
      <c r="E298" s="32"/>
      <c r="F298" s="32"/>
      <c r="G298" s="32"/>
      <c r="H298" s="33"/>
      <c r="I298" s="34" t="str">
        <f t="shared" ca="1" si="13"/>
        <v/>
      </c>
      <c r="J298" s="34" t="str">
        <f t="shared" si="14"/>
        <v/>
      </c>
    </row>
    <row r="299" spans="1:10" ht="19.5" customHeight="1" x14ac:dyDescent="0.25">
      <c r="A299" s="31" t="str">
        <f t="shared" si="12"/>
        <v/>
      </c>
      <c r="B299" s="32"/>
      <c r="C299" s="32"/>
      <c r="D299" s="32"/>
      <c r="E299" s="32"/>
      <c r="F299" s="32"/>
      <c r="G299" s="32"/>
      <c r="H299" s="33"/>
      <c r="I299" s="34" t="str">
        <f t="shared" ca="1" si="13"/>
        <v/>
      </c>
      <c r="J299" s="34" t="str">
        <f t="shared" si="14"/>
        <v/>
      </c>
    </row>
    <row r="300" spans="1:10" ht="19.5" customHeight="1" x14ac:dyDescent="0.25">
      <c r="A300" s="31" t="str">
        <f t="shared" si="12"/>
        <v/>
      </c>
      <c r="B300" s="32"/>
      <c r="C300" s="32"/>
      <c r="D300" s="32"/>
      <c r="E300" s="32"/>
      <c r="F300" s="32"/>
      <c r="G300" s="32"/>
      <c r="H300" s="33"/>
      <c r="I300" s="34" t="str">
        <f t="shared" ca="1" si="13"/>
        <v/>
      </c>
      <c r="J300" s="34" t="str">
        <f t="shared" si="14"/>
        <v/>
      </c>
    </row>
    <row r="301" spans="1:10" ht="19.5" customHeight="1" x14ac:dyDescent="0.25">
      <c r="A301" s="31" t="str">
        <f t="shared" si="12"/>
        <v/>
      </c>
      <c r="B301" s="32"/>
      <c r="C301" s="32"/>
      <c r="D301" s="32"/>
      <c r="E301" s="32"/>
      <c r="F301" s="32"/>
      <c r="G301" s="32"/>
      <c r="H301" s="33"/>
      <c r="I301" s="34" t="str">
        <f t="shared" ca="1" si="13"/>
        <v/>
      </c>
      <c r="J301" s="34" t="str">
        <f t="shared" si="14"/>
        <v/>
      </c>
    </row>
    <row r="302" spans="1:10" ht="19.5" customHeight="1" x14ac:dyDescent="0.25">
      <c r="A302" s="31" t="str">
        <f t="shared" si="12"/>
        <v/>
      </c>
      <c r="B302" s="32"/>
      <c r="C302" s="32"/>
      <c r="D302" s="32"/>
      <c r="E302" s="32"/>
      <c r="F302" s="32"/>
      <c r="G302" s="32"/>
      <c r="H302" s="33"/>
      <c r="I302" s="34" t="str">
        <f t="shared" ca="1" si="13"/>
        <v/>
      </c>
      <c r="J302" s="34" t="str">
        <f t="shared" si="14"/>
        <v/>
      </c>
    </row>
    <row r="303" spans="1:10" ht="19.5" customHeight="1" x14ac:dyDescent="0.25">
      <c r="A303" s="31" t="str">
        <f t="shared" si="12"/>
        <v/>
      </c>
      <c r="B303" s="32"/>
      <c r="C303" s="32"/>
      <c r="D303" s="32"/>
      <c r="E303" s="32"/>
      <c r="F303" s="32"/>
      <c r="G303" s="32"/>
      <c r="H303" s="33"/>
      <c r="I303" s="34" t="str">
        <f t="shared" ca="1" si="13"/>
        <v/>
      </c>
      <c r="J303" s="34" t="str">
        <f t="shared" si="14"/>
        <v/>
      </c>
    </row>
    <row r="304" spans="1:10" ht="19.5" customHeight="1" x14ac:dyDescent="0.25">
      <c r="A304" s="31" t="str">
        <f t="shared" si="12"/>
        <v/>
      </c>
      <c r="B304" s="32"/>
      <c r="C304" s="32"/>
      <c r="D304" s="32"/>
      <c r="E304" s="32"/>
      <c r="F304" s="32"/>
      <c r="G304" s="32"/>
      <c r="H304" s="33"/>
      <c r="I304" s="34" t="str">
        <f t="shared" ca="1" si="13"/>
        <v/>
      </c>
      <c r="J304" s="34" t="str">
        <f t="shared" si="14"/>
        <v/>
      </c>
    </row>
    <row r="305" spans="1:10" ht="19.5" customHeight="1" x14ac:dyDescent="0.25">
      <c r="A305" s="31" t="str">
        <f t="shared" si="12"/>
        <v/>
      </c>
      <c r="B305" s="32"/>
      <c r="C305" s="32"/>
      <c r="D305" s="32"/>
      <c r="E305" s="32"/>
      <c r="F305" s="32"/>
      <c r="G305" s="32"/>
      <c r="H305" s="33"/>
      <c r="I305" s="34" t="str">
        <f t="shared" ca="1" si="13"/>
        <v/>
      </c>
      <c r="J305" s="34" t="str">
        <f t="shared" si="14"/>
        <v/>
      </c>
    </row>
    <row r="306" spans="1:10" ht="19.5" customHeight="1" x14ac:dyDescent="0.25">
      <c r="A306" s="31" t="str">
        <f t="shared" si="12"/>
        <v/>
      </c>
      <c r="B306" s="32"/>
      <c r="C306" s="32"/>
      <c r="D306" s="32"/>
      <c r="E306" s="32"/>
      <c r="F306" s="32"/>
      <c r="G306" s="32"/>
      <c r="H306" s="33"/>
      <c r="I306" s="34" t="str">
        <f t="shared" ca="1" si="13"/>
        <v/>
      </c>
      <c r="J306" s="34" t="str">
        <f t="shared" si="14"/>
        <v/>
      </c>
    </row>
    <row r="307" spans="1:10" ht="19.5" customHeight="1" x14ac:dyDescent="0.25">
      <c r="A307" s="31" t="str">
        <f t="shared" si="12"/>
        <v/>
      </c>
      <c r="B307" s="32"/>
      <c r="C307" s="32"/>
      <c r="D307" s="32"/>
      <c r="E307" s="32"/>
      <c r="F307" s="32"/>
      <c r="G307" s="32"/>
      <c r="H307" s="33"/>
      <c r="I307" s="34" t="str">
        <f t="shared" ca="1" si="13"/>
        <v/>
      </c>
      <c r="J307" s="34" t="str">
        <f t="shared" si="14"/>
        <v/>
      </c>
    </row>
    <row r="308" spans="1:10" ht="19.5" customHeight="1" x14ac:dyDescent="0.25">
      <c r="A308" s="31" t="str">
        <f t="shared" si="12"/>
        <v/>
      </c>
      <c r="B308" s="32"/>
      <c r="C308" s="32"/>
      <c r="D308" s="32"/>
      <c r="E308" s="32"/>
      <c r="F308" s="32"/>
      <c r="G308" s="32"/>
      <c r="H308" s="33"/>
      <c r="I308" s="34" t="str">
        <f t="shared" ca="1" si="13"/>
        <v/>
      </c>
      <c r="J308" s="34" t="str">
        <f t="shared" si="14"/>
        <v/>
      </c>
    </row>
    <row r="309" spans="1:10" ht="19.5" customHeight="1" x14ac:dyDescent="0.25">
      <c r="A309" s="31" t="str">
        <f t="shared" si="12"/>
        <v/>
      </c>
      <c r="B309" s="32"/>
      <c r="C309" s="32"/>
      <c r="D309" s="32"/>
      <c r="E309" s="32"/>
      <c r="F309" s="32"/>
      <c r="G309" s="32"/>
      <c r="H309" s="33"/>
      <c r="I309" s="34" t="str">
        <f t="shared" ca="1" si="13"/>
        <v/>
      </c>
      <c r="J309" s="34" t="str">
        <f t="shared" si="14"/>
        <v/>
      </c>
    </row>
    <row r="310" spans="1:10" ht="19.5" customHeight="1" x14ac:dyDescent="0.25">
      <c r="A310" s="31" t="str">
        <f t="shared" si="12"/>
        <v/>
      </c>
      <c r="B310" s="32"/>
      <c r="C310" s="32"/>
      <c r="D310" s="32"/>
      <c r="E310" s="32"/>
      <c r="F310" s="32"/>
      <c r="G310" s="32"/>
      <c r="H310" s="33"/>
      <c r="I310" s="34" t="str">
        <f t="shared" ca="1" si="13"/>
        <v/>
      </c>
      <c r="J310" s="34" t="str">
        <f t="shared" si="14"/>
        <v/>
      </c>
    </row>
    <row r="311" spans="1:10" ht="19.5" customHeight="1" x14ac:dyDescent="0.25">
      <c r="A311" s="31" t="str">
        <f t="shared" si="12"/>
        <v/>
      </c>
      <c r="B311" s="32"/>
      <c r="C311" s="32"/>
      <c r="D311" s="32"/>
      <c r="E311" s="32"/>
      <c r="F311" s="32"/>
      <c r="G311" s="32"/>
      <c r="H311" s="33"/>
      <c r="I311" s="34" t="str">
        <f t="shared" ca="1" si="13"/>
        <v/>
      </c>
      <c r="J311" s="34" t="str">
        <f t="shared" si="14"/>
        <v/>
      </c>
    </row>
    <row r="312" spans="1:10" ht="19.5" customHeight="1" x14ac:dyDescent="0.25">
      <c r="A312" s="31" t="str">
        <f t="shared" si="12"/>
        <v/>
      </c>
      <c r="B312" s="32"/>
      <c r="C312" s="32"/>
      <c r="D312" s="32"/>
      <c r="E312" s="32"/>
      <c r="F312" s="32"/>
      <c r="G312" s="32"/>
      <c r="H312" s="33"/>
      <c r="I312" s="34" t="str">
        <f t="shared" ca="1" si="13"/>
        <v/>
      </c>
      <c r="J312" s="34" t="str">
        <f t="shared" si="14"/>
        <v/>
      </c>
    </row>
    <row r="313" spans="1:10" ht="19.5" customHeight="1" x14ac:dyDescent="0.25">
      <c r="A313" s="31" t="str">
        <f t="shared" si="12"/>
        <v/>
      </c>
      <c r="B313" s="32"/>
      <c r="C313" s="32"/>
      <c r="D313" s="32"/>
      <c r="E313" s="32"/>
      <c r="F313" s="32"/>
      <c r="G313" s="32"/>
      <c r="H313" s="33"/>
      <c r="I313" s="34" t="str">
        <f t="shared" ca="1" si="13"/>
        <v/>
      </c>
      <c r="J313" s="34" t="str">
        <f t="shared" si="14"/>
        <v/>
      </c>
    </row>
    <row r="314" spans="1:10" ht="19.5" customHeight="1" x14ac:dyDescent="0.25">
      <c r="A314" s="31" t="str">
        <f t="shared" si="12"/>
        <v/>
      </c>
      <c r="B314" s="32"/>
      <c r="C314" s="32"/>
      <c r="D314" s="32"/>
      <c r="E314" s="32"/>
      <c r="F314" s="32"/>
      <c r="G314" s="32"/>
      <c r="H314" s="33"/>
      <c r="I314" s="34" t="str">
        <f t="shared" ca="1" si="13"/>
        <v/>
      </c>
      <c r="J314" s="34" t="str">
        <f t="shared" si="14"/>
        <v/>
      </c>
    </row>
    <row r="315" spans="1:10" ht="19.5" customHeight="1" x14ac:dyDescent="0.25">
      <c r="A315" s="31" t="str">
        <f t="shared" si="12"/>
        <v/>
      </c>
      <c r="B315" s="32"/>
      <c r="C315" s="32"/>
      <c r="D315" s="32"/>
      <c r="E315" s="32"/>
      <c r="F315" s="32"/>
      <c r="G315" s="32"/>
      <c r="H315" s="33"/>
      <c r="I315" s="34" t="str">
        <f t="shared" ca="1" si="13"/>
        <v/>
      </c>
      <c r="J315" s="34" t="str">
        <f t="shared" si="14"/>
        <v/>
      </c>
    </row>
    <row r="316" spans="1:10" ht="19.5" customHeight="1" x14ac:dyDescent="0.25">
      <c r="A316" s="31" t="str">
        <f t="shared" si="12"/>
        <v/>
      </c>
      <c r="B316" s="32"/>
      <c r="C316" s="32"/>
      <c r="D316" s="32"/>
      <c r="E316" s="32"/>
      <c r="F316" s="32"/>
      <c r="G316" s="32"/>
      <c r="H316" s="33"/>
      <c r="I316" s="34" t="str">
        <f t="shared" ca="1" si="13"/>
        <v/>
      </c>
      <c r="J316" s="34" t="str">
        <f t="shared" si="14"/>
        <v/>
      </c>
    </row>
    <row r="317" spans="1:10" ht="19.5" customHeight="1" x14ac:dyDescent="0.25">
      <c r="A317" s="31" t="str">
        <f t="shared" si="12"/>
        <v/>
      </c>
      <c r="B317" s="32"/>
      <c r="C317" s="32"/>
      <c r="D317" s="32"/>
      <c r="E317" s="32"/>
      <c r="F317" s="32"/>
      <c r="G317" s="32"/>
      <c r="H317" s="33"/>
      <c r="I317" s="34" t="str">
        <f t="shared" ca="1" si="13"/>
        <v/>
      </c>
      <c r="J317" s="34" t="str">
        <f t="shared" si="14"/>
        <v/>
      </c>
    </row>
    <row r="318" spans="1:10" ht="19.5" customHeight="1" x14ac:dyDescent="0.25">
      <c r="A318" s="31" t="str">
        <f t="shared" si="12"/>
        <v/>
      </c>
      <c r="B318" s="32"/>
      <c r="C318" s="32"/>
      <c r="D318" s="32"/>
      <c r="E318" s="32"/>
      <c r="F318" s="32"/>
      <c r="G318" s="32"/>
      <c r="H318" s="33"/>
      <c r="I318" s="34" t="str">
        <f t="shared" ca="1" si="13"/>
        <v/>
      </c>
      <c r="J318" s="34" t="str">
        <f t="shared" si="14"/>
        <v/>
      </c>
    </row>
    <row r="319" spans="1:10" ht="19.5" customHeight="1" x14ac:dyDescent="0.25">
      <c r="A319" s="31" t="str">
        <f t="shared" si="12"/>
        <v/>
      </c>
      <c r="B319" s="32"/>
      <c r="C319" s="32"/>
      <c r="D319" s="32"/>
      <c r="E319" s="32"/>
      <c r="F319" s="32"/>
      <c r="G319" s="32"/>
      <c r="H319" s="33"/>
      <c r="I319" s="34" t="str">
        <f t="shared" ca="1" si="13"/>
        <v/>
      </c>
      <c r="J319" s="34" t="str">
        <f t="shared" si="14"/>
        <v/>
      </c>
    </row>
    <row r="320" spans="1:10" ht="19.5" customHeight="1" x14ac:dyDescent="0.25">
      <c r="A320" s="31" t="str">
        <f t="shared" si="12"/>
        <v/>
      </c>
      <c r="B320" s="32"/>
      <c r="C320" s="32"/>
      <c r="D320" s="32"/>
      <c r="E320" s="32"/>
      <c r="F320" s="32"/>
      <c r="G320" s="32"/>
      <c r="H320" s="33"/>
      <c r="I320" s="34" t="str">
        <f t="shared" ca="1" si="13"/>
        <v/>
      </c>
      <c r="J320" s="34" t="str">
        <f t="shared" si="14"/>
        <v/>
      </c>
    </row>
    <row r="321" spans="1:10" ht="19.5" customHeight="1" x14ac:dyDescent="0.25">
      <c r="A321" s="31" t="str">
        <f t="shared" si="12"/>
        <v/>
      </c>
      <c r="B321" s="32"/>
      <c r="C321" s="32"/>
      <c r="D321" s="32"/>
      <c r="E321" s="32"/>
      <c r="F321" s="32"/>
      <c r="G321" s="32"/>
      <c r="H321" s="33"/>
      <c r="I321" s="34" t="str">
        <f t="shared" ca="1" si="13"/>
        <v/>
      </c>
      <c r="J321" s="34" t="str">
        <f t="shared" si="14"/>
        <v/>
      </c>
    </row>
    <row r="322" spans="1:10" ht="19.5" customHeight="1" x14ac:dyDescent="0.25">
      <c r="A322" s="31" t="str">
        <f t="shared" si="12"/>
        <v/>
      </c>
      <c r="B322" s="32"/>
      <c r="C322" s="32"/>
      <c r="D322" s="32"/>
      <c r="E322" s="32"/>
      <c r="F322" s="32"/>
      <c r="G322" s="32"/>
      <c r="H322" s="33"/>
      <c r="I322" s="34" t="str">
        <f t="shared" ca="1" si="13"/>
        <v/>
      </c>
      <c r="J322" s="34" t="str">
        <f t="shared" si="14"/>
        <v/>
      </c>
    </row>
    <row r="323" spans="1:10" ht="19.5" customHeight="1" x14ac:dyDescent="0.25">
      <c r="A323" s="31" t="str">
        <f t="shared" si="12"/>
        <v/>
      </c>
      <c r="B323" s="32"/>
      <c r="C323" s="32"/>
      <c r="D323" s="32"/>
      <c r="E323" s="32"/>
      <c r="F323" s="32"/>
      <c r="G323" s="32"/>
      <c r="H323" s="33"/>
      <c r="I323" s="34" t="str">
        <f t="shared" ca="1" si="13"/>
        <v/>
      </c>
      <c r="J323" s="34" t="str">
        <f t="shared" si="14"/>
        <v/>
      </c>
    </row>
    <row r="324" spans="1:10" ht="19.5" customHeight="1" x14ac:dyDescent="0.25">
      <c r="A324" s="31" t="str">
        <f t="shared" si="12"/>
        <v/>
      </c>
      <c r="B324" s="32"/>
      <c r="C324" s="32"/>
      <c r="D324" s="32"/>
      <c r="E324" s="32"/>
      <c r="F324" s="32"/>
      <c r="G324" s="32"/>
      <c r="H324" s="33"/>
      <c r="I324" s="34" t="str">
        <f t="shared" ca="1" si="13"/>
        <v/>
      </c>
      <c r="J324" s="34" t="str">
        <f t="shared" si="14"/>
        <v/>
      </c>
    </row>
    <row r="325" spans="1:10" ht="19.5" customHeight="1" x14ac:dyDescent="0.25">
      <c r="A325" s="31" t="str">
        <f t="shared" ref="A325:A388" si="15">IF(B325="","","ACC"&amp;TEXT(ROW()-4,"0000"))</f>
        <v/>
      </c>
      <c r="B325" s="32"/>
      <c r="C325" s="32"/>
      <c r="D325" s="32"/>
      <c r="E325" s="32"/>
      <c r="F325" s="32"/>
      <c r="G325" s="32"/>
      <c r="H325" s="33"/>
      <c r="I325" s="34" t="str">
        <f t="shared" ref="I325:I388" ca="1" si="16">IF(B325="","",TEXT(TODAY(),"dd/mm/yyyy"))</f>
        <v/>
      </c>
      <c r="J325" s="34" t="str">
        <f t="shared" ref="J325:J388" si="17">IF(B325="","",IF(ISNUMBER(H325),IF(H325&gt;=10,"✅ Active","⚠️ Below Min Balance"),"Pending"))</f>
        <v/>
      </c>
    </row>
    <row r="326" spans="1:10" ht="19.5" customHeight="1" x14ac:dyDescent="0.25">
      <c r="A326" s="31" t="str">
        <f t="shared" si="15"/>
        <v/>
      </c>
      <c r="B326" s="32"/>
      <c r="C326" s="32"/>
      <c r="D326" s="32"/>
      <c r="E326" s="32"/>
      <c r="F326" s="32"/>
      <c r="G326" s="32"/>
      <c r="H326" s="33"/>
      <c r="I326" s="34" t="str">
        <f t="shared" ca="1" si="16"/>
        <v/>
      </c>
      <c r="J326" s="34" t="str">
        <f t="shared" si="17"/>
        <v/>
      </c>
    </row>
    <row r="327" spans="1:10" ht="19.5" customHeight="1" x14ac:dyDescent="0.25">
      <c r="A327" s="31" t="str">
        <f t="shared" si="15"/>
        <v/>
      </c>
      <c r="B327" s="32"/>
      <c r="C327" s="32"/>
      <c r="D327" s="32"/>
      <c r="E327" s="32"/>
      <c r="F327" s="32"/>
      <c r="G327" s="32"/>
      <c r="H327" s="33"/>
      <c r="I327" s="34" t="str">
        <f t="shared" ca="1" si="16"/>
        <v/>
      </c>
      <c r="J327" s="34" t="str">
        <f t="shared" si="17"/>
        <v/>
      </c>
    </row>
    <row r="328" spans="1:10" ht="19.5" customHeight="1" x14ac:dyDescent="0.25">
      <c r="A328" s="31" t="str">
        <f t="shared" si="15"/>
        <v/>
      </c>
      <c r="B328" s="32"/>
      <c r="C328" s="32"/>
      <c r="D328" s="32"/>
      <c r="E328" s="32"/>
      <c r="F328" s="32"/>
      <c r="G328" s="32"/>
      <c r="H328" s="33"/>
      <c r="I328" s="34" t="str">
        <f t="shared" ca="1" si="16"/>
        <v/>
      </c>
      <c r="J328" s="34" t="str">
        <f t="shared" si="17"/>
        <v/>
      </c>
    </row>
    <row r="329" spans="1:10" ht="19.5" customHeight="1" x14ac:dyDescent="0.25">
      <c r="A329" s="31" t="str">
        <f t="shared" si="15"/>
        <v/>
      </c>
      <c r="B329" s="32"/>
      <c r="C329" s="32"/>
      <c r="D329" s="32"/>
      <c r="E329" s="32"/>
      <c r="F329" s="32"/>
      <c r="G329" s="32"/>
      <c r="H329" s="33"/>
      <c r="I329" s="34" t="str">
        <f t="shared" ca="1" si="16"/>
        <v/>
      </c>
      <c r="J329" s="34" t="str">
        <f t="shared" si="17"/>
        <v/>
      </c>
    </row>
    <row r="330" spans="1:10" ht="19.5" customHeight="1" x14ac:dyDescent="0.25">
      <c r="A330" s="31" t="str">
        <f t="shared" si="15"/>
        <v/>
      </c>
      <c r="B330" s="32"/>
      <c r="C330" s="32"/>
      <c r="D330" s="32"/>
      <c r="E330" s="32"/>
      <c r="F330" s="32"/>
      <c r="G330" s="32"/>
      <c r="H330" s="33"/>
      <c r="I330" s="34" t="str">
        <f t="shared" ca="1" si="16"/>
        <v/>
      </c>
      <c r="J330" s="34" t="str">
        <f t="shared" si="17"/>
        <v/>
      </c>
    </row>
    <row r="331" spans="1:10" ht="19.5" customHeight="1" x14ac:dyDescent="0.25">
      <c r="A331" s="31" t="str">
        <f t="shared" si="15"/>
        <v/>
      </c>
      <c r="B331" s="32"/>
      <c r="C331" s="32"/>
      <c r="D331" s="32"/>
      <c r="E331" s="32"/>
      <c r="F331" s="32"/>
      <c r="G331" s="32"/>
      <c r="H331" s="33"/>
      <c r="I331" s="34" t="str">
        <f t="shared" ca="1" si="16"/>
        <v/>
      </c>
      <c r="J331" s="34" t="str">
        <f t="shared" si="17"/>
        <v/>
      </c>
    </row>
    <row r="332" spans="1:10" ht="19.5" customHeight="1" x14ac:dyDescent="0.25">
      <c r="A332" s="31" t="str">
        <f t="shared" si="15"/>
        <v/>
      </c>
      <c r="B332" s="32"/>
      <c r="C332" s="32"/>
      <c r="D332" s="32"/>
      <c r="E332" s="32"/>
      <c r="F332" s="32"/>
      <c r="G332" s="32"/>
      <c r="H332" s="33"/>
      <c r="I332" s="34" t="str">
        <f t="shared" ca="1" si="16"/>
        <v/>
      </c>
      <c r="J332" s="34" t="str">
        <f t="shared" si="17"/>
        <v/>
      </c>
    </row>
    <row r="333" spans="1:10" ht="19.5" customHeight="1" x14ac:dyDescent="0.25">
      <c r="A333" s="31" t="str">
        <f t="shared" si="15"/>
        <v/>
      </c>
      <c r="B333" s="32"/>
      <c r="C333" s="32"/>
      <c r="D333" s="32"/>
      <c r="E333" s="32"/>
      <c r="F333" s="32"/>
      <c r="G333" s="32"/>
      <c r="H333" s="33"/>
      <c r="I333" s="34" t="str">
        <f t="shared" ca="1" si="16"/>
        <v/>
      </c>
      <c r="J333" s="34" t="str">
        <f t="shared" si="17"/>
        <v/>
      </c>
    </row>
    <row r="334" spans="1:10" ht="19.5" customHeight="1" x14ac:dyDescent="0.25">
      <c r="A334" s="31" t="str">
        <f t="shared" si="15"/>
        <v/>
      </c>
      <c r="B334" s="32"/>
      <c r="C334" s="32"/>
      <c r="D334" s="32"/>
      <c r="E334" s="32"/>
      <c r="F334" s="32"/>
      <c r="G334" s="32"/>
      <c r="H334" s="33"/>
      <c r="I334" s="34" t="str">
        <f t="shared" ca="1" si="16"/>
        <v/>
      </c>
      <c r="J334" s="34" t="str">
        <f t="shared" si="17"/>
        <v/>
      </c>
    </row>
    <row r="335" spans="1:10" ht="19.5" customHeight="1" x14ac:dyDescent="0.25">
      <c r="A335" s="31" t="str">
        <f t="shared" si="15"/>
        <v/>
      </c>
      <c r="B335" s="32"/>
      <c r="C335" s="32"/>
      <c r="D335" s="32"/>
      <c r="E335" s="32"/>
      <c r="F335" s="32"/>
      <c r="G335" s="32"/>
      <c r="H335" s="33"/>
      <c r="I335" s="34" t="str">
        <f t="shared" ca="1" si="16"/>
        <v/>
      </c>
      <c r="J335" s="34" t="str">
        <f t="shared" si="17"/>
        <v/>
      </c>
    </row>
    <row r="336" spans="1:10" ht="19.5" customHeight="1" x14ac:dyDescent="0.25">
      <c r="A336" s="31" t="str">
        <f t="shared" si="15"/>
        <v/>
      </c>
      <c r="B336" s="32"/>
      <c r="C336" s="32"/>
      <c r="D336" s="32"/>
      <c r="E336" s="32"/>
      <c r="F336" s="32"/>
      <c r="G336" s="32"/>
      <c r="H336" s="33"/>
      <c r="I336" s="34" t="str">
        <f t="shared" ca="1" si="16"/>
        <v/>
      </c>
      <c r="J336" s="34" t="str">
        <f t="shared" si="17"/>
        <v/>
      </c>
    </row>
    <row r="337" spans="1:10" ht="19.5" customHeight="1" x14ac:dyDescent="0.25">
      <c r="A337" s="31" t="str">
        <f t="shared" si="15"/>
        <v/>
      </c>
      <c r="B337" s="32"/>
      <c r="C337" s="32"/>
      <c r="D337" s="32"/>
      <c r="E337" s="32"/>
      <c r="F337" s="32"/>
      <c r="G337" s="32"/>
      <c r="H337" s="33"/>
      <c r="I337" s="34" t="str">
        <f t="shared" ca="1" si="16"/>
        <v/>
      </c>
      <c r="J337" s="34" t="str">
        <f t="shared" si="17"/>
        <v/>
      </c>
    </row>
    <row r="338" spans="1:10" ht="19.5" customHeight="1" x14ac:dyDescent="0.25">
      <c r="A338" s="31" t="str">
        <f t="shared" si="15"/>
        <v/>
      </c>
      <c r="B338" s="32"/>
      <c r="C338" s="32"/>
      <c r="D338" s="32"/>
      <c r="E338" s="32"/>
      <c r="F338" s="32"/>
      <c r="G338" s="32"/>
      <c r="H338" s="33"/>
      <c r="I338" s="34" t="str">
        <f t="shared" ca="1" si="16"/>
        <v/>
      </c>
      <c r="J338" s="34" t="str">
        <f t="shared" si="17"/>
        <v/>
      </c>
    </row>
    <row r="339" spans="1:10" ht="19.5" customHeight="1" x14ac:dyDescent="0.25">
      <c r="A339" s="31" t="str">
        <f t="shared" si="15"/>
        <v/>
      </c>
      <c r="B339" s="32"/>
      <c r="C339" s="32"/>
      <c r="D339" s="32"/>
      <c r="E339" s="32"/>
      <c r="F339" s="32"/>
      <c r="G339" s="32"/>
      <c r="H339" s="33"/>
      <c r="I339" s="34" t="str">
        <f t="shared" ca="1" si="16"/>
        <v/>
      </c>
      <c r="J339" s="34" t="str">
        <f t="shared" si="17"/>
        <v/>
      </c>
    </row>
    <row r="340" spans="1:10" ht="19.5" customHeight="1" x14ac:dyDescent="0.25">
      <c r="A340" s="31" t="str">
        <f t="shared" si="15"/>
        <v/>
      </c>
      <c r="B340" s="32"/>
      <c r="C340" s="32"/>
      <c r="D340" s="32"/>
      <c r="E340" s="32"/>
      <c r="F340" s="32"/>
      <c r="G340" s="32"/>
      <c r="H340" s="33"/>
      <c r="I340" s="34" t="str">
        <f t="shared" ca="1" si="16"/>
        <v/>
      </c>
      <c r="J340" s="34" t="str">
        <f t="shared" si="17"/>
        <v/>
      </c>
    </row>
    <row r="341" spans="1:10" ht="19.5" customHeight="1" x14ac:dyDescent="0.25">
      <c r="A341" s="31" t="str">
        <f t="shared" si="15"/>
        <v/>
      </c>
      <c r="B341" s="32"/>
      <c r="C341" s="32"/>
      <c r="D341" s="32"/>
      <c r="E341" s="32"/>
      <c r="F341" s="32"/>
      <c r="G341" s="32"/>
      <c r="H341" s="33"/>
      <c r="I341" s="34" t="str">
        <f t="shared" ca="1" si="16"/>
        <v/>
      </c>
      <c r="J341" s="34" t="str">
        <f t="shared" si="17"/>
        <v/>
      </c>
    </row>
    <row r="342" spans="1:10" ht="19.5" customHeight="1" x14ac:dyDescent="0.25">
      <c r="A342" s="31" t="str">
        <f t="shared" si="15"/>
        <v/>
      </c>
      <c r="B342" s="32"/>
      <c r="C342" s="32"/>
      <c r="D342" s="32"/>
      <c r="E342" s="32"/>
      <c r="F342" s="32"/>
      <c r="G342" s="32"/>
      <c r="H342" s="33"/>
      <c r="I342" s="34" t="str">
        <f t="shared" ca="1" si="16"/>
        <v/>
      </c>
      <c r="J342" s="34" t="str">
        <f t="shared" si="17"/>
        <v/>
      </c>
    </row>
    <row r="343" spans="1:10" ht="19.5" customHeight="1" x14ac:dyDescent="0.25">
      <c r="A343" s="31" t="str">
        <f t="shared" si="15"/>
        <v/>
      </c>
      <c r="B343" s="32"/>
      <c r="C343" s="32"/>
      <c r="D343" s="32"/>
      <c r="E343" s="32"/>
      <c r="F343" s="32"/>
      <c r="G343" s="32"/>
      <c r="H343" s="33"/>
      <c r="I343" s="34" t="str">
        <f t="shared" ca="1" si="16"/>
        <v/>
      </c>
      <c r="J343" s="34" t="str">
        <f t="shared" si="17"/>
        <v/>
      </c>
    </row>
    <row r="344" spans="1:10" ht="19.5" customHeight="1" x14ac:dyDescent="0.25">
      <c r="A344" s="31" t="str">
        <f t="shared" si="15"/>
        <v/>
      </c>
      <c r="B344" s="32"/>
      <c r="C344" s="32"/>
      <c r="D344" s="32"/>
      <c r="E344" s="32"/>
      <c r="F344" s="32"/>
      <c r="G344" s="32"/>
      <c r="H344" s="33"/>
      <c r="I344" s="34" t="str">
        <f t="shared" ca="1" si="16"/>
        <v/>
      </c>
      <c r="J344" s="34" t="str">
        <f t="shared" si="17"/>
        <v/>
      </c>
    </row>
    <row r="345" spans="1:10" ht="19.5" customHeight="1" x14ac:dyDescent="0.25">
      <c r="A345" s="31" t="str">
        <f t="shared" si="15"/>
        <v/>
      </c>
      <c r="B345" s="32"/>
      <c r="C345" s="32"/>
      <c r="D345" s="32"/>
      <c r="E345" s="32"/>
      <c r="F345" s="32"/>
      <c r="G345" s="32"/>
      <c r="H345" s="33"/>
      <c r="I345" s="34" t="str">
        <f t="shared" ca="1" si="16"/>
        <v/>
      </c>
      <c r="J345" s="34" t="str">
        <f t="shared" si="17"/>
        <v/>
      </c>
    </row>
    <row r="346" spans="1:10" ht="19.5" customHeight="1" x14ac:dyDescent="0.25">
      <c r="A346" s="31" t="str">
        <f t="shared" si="15"/>
        <v/>
      </c>
      <c r="B346" s="32"/>
      <c r="C346" s="32"/>
      <c r="D346" s="32"/>
      <c r="E346" s="32"/>
      <c r="F346" s="32"/>
      <c r="G346" s="32"/>
      <c r="H346" s="33"/>
      <c r="I346" s="34" t="str">
        <f t="shared" ca="1" si="16"/>
        <v/>
      </c>
      <c r="J346" s="34" t="str">
        <f t="shared" si="17"/>
        <v/>
      </c>
    </row>
    <row r="347" spans="1:10" ht="19.5" customHeight="1" x14ac:dyDescent="0.25">
      <c r="A347" s="31" t="str">
        <f t="shared" si="15"/>
        <v/>
      </c>
      <c r="B347" s="32"/>
      <c r="C347" s="32"/>
      <c r="D347" s="32"/>
      <c r="E347" s="32"/>
      <c r="F347" s="32"/>
      <c r="G347" s="32"/>
      <c r="H347" s="33"/>
      <c r="I347" s="34" t="str">
        <f t="shared" ca="1" si="16"/>
        <v/>
      </c>
      <c r="J347" s="34" t="str">
        <f t="shared" si="17"/>
        <v/>
      </c>
    </row>
    <row r="348" spans="1:10" ht="19.5" customHeight="1" x14ac:dyDescent="0.25">
      <c r="A348" s="31" t="str">
        <f t="shared" si="15"/>
        <v/>
      </c>
      <c r="B348" s="32"/>
      <c r="C348" s="32"/>
      <c r="D348" s="32"/>
      <c r="E348" s="32"/>
      <c r="F348" s="32"/>
      <c r="G348" s="32"/>
      <c r="H348" s="33"/>
      <c r="I348" s="34" t="str">
        <f t="shared" ca="1" si="16"/>
        <v/>
      </c>
      <c r="J348" s="34" t="str">
        <f t="shared" si="17"/>
        <v/>
      </c>
    </row>
    <row r="349" spans="1:10" ht="19.5" customHeight="1" x14ac:dyDescent="0.25">
      <c r="A349" s="31" t="str">
        <f t="shared" si="15"/>
        <v/>
      </c>
      <c r="B349" s="32"/>
      <c r="C349" s="32"/>
      <c r="D349" s="32"/>
      <c r="E349" s="32"/>
      <c r="F349" s="32"/>
      <c r="G349" s="32"/>
      <c r="H349" s="33"/>
      <c r="I349" s="34" t="str">
        <f t="shared" ca="1" si="16"/>
        <v/>
      </c>
      <c r="J349" s="34" t="str">
        <f t="shared" si="17"/>
        <v/>
      </c>
    </row>
    <row r="350" spans="1:10" ht="19.5" customHeight="1" x14ac:dyDescent="0.25">
      <c r="A350" s="31" t="str">
        <f t="shared" si="15"/>
        <v/>
      </c>
      <c r="B350" s="32"/>
      <c r="C350" s="32"/>
      <c r="D350" s="32"/>
      <c r="E350" s="32"/>
      <c r="F350" s="32"/>
      <c r="G350" s="32"/>
      <c r="H350" s="33"/>
      <c r="I350" s="34" t="str">
        <f t="shared" ca="1" si="16"/>
        <v/>
      </c>
      <c r="J350" s="34" t="str">
        <f t="shared" si="17"/>
        <v/>
      </c>
    </row>
    <row r="351" spans="1:10" ht="19.5" customHeight="1" x14ac:dyDescent="0.25">
      <c r="A351" s="31" t="str">
        <f t="shared" si="15"/>
        <v/>
      </c>
      <c r="B351" s="32"/>
      <c r="C351" s="32"/>
      <c r="D351" s="32"/>
      <c r="E351" s="32"/>
      <c r="F351" s="32"/>
      <c r="G351" s="32"/>
      <c r="H351" s="33"/>
      <c r="I351" s="34" t="str">
        <f t="shared" ca="1" si="16"/>
        <v/>
      </c>
      <c r="J351" s="34" t="str">
        <f t="shared" si="17"/>
        <v/>
      </c>
    </row>
    <row r="352" spans="1:10" ht="19.5" customHeight="1" x14ac:dyDescent="0.25">
      <c r="A352" s="31" t="str">
        <f t="shared" si="15"/>
        <v/>
      </c>
      <c r="B352" s="32"/>
      <c r="C352" s="32"/>
      <c r="D352" s="32"/>
      <c r="E352" s="32"/>
      <c r="F352" s="32"/>
      <c r="G352" s="32"/>
      <c r="H352" s="33"/>
      <c r="I352" s="34" t="str">
        <f t="shared" ca="1" si="16"/>
        <v/>
      </c>
      <c r="J352" s="34" t="str">
        <f t="shared" si="17"/>
        <v/>
      </c>
    </row>
    <row r="353" spans="1:10" ht="19.5" customHeight="1" x14ac:dyDescent="0.25">
      <c r="A353" s="31" t="str">
        <f t="shared" si="15"/>
        <v/>
      </c>
      <c r="B353" s="32"/>
      <c r="C353" s="32"/>
      <c r="D353" s="32"/>
      <c r="E353" s="32"/>
      <c r="F353" s="32"/>
      <c r="G353" s="32"/>
      <c r="H353" s="33"/>
      <c r="I353" s="34" t="str">
        <f t="shared" ca="1" si="16"/>
        <v/>
      </c>
      <c r="J353" s="34" t="str">
        <f t="shared" si="17"/>
        <v/>
      </c>
    </row>
    <row r="354" spans="1:10" ht="19.5" customHeight="1" x14ac:dyDescent="0.25">
      <c r="A354" s="31" t="str">
        <f t="shared" si="15"/>
        <v/>
      </c>
      <c r="B354" s="32"/>
      <c r="C354" s="32"/>
      <c r="D354" s="32"/>
      <c r="E354" s="32"/>
      <c r="F354" s="32"/>
      <c r="G354" s="32"/>
      <c r="H354" s="33"/>
      <c r="I354" s="34" t="str">
        <f t="shared" ca="1" si="16"/>
        <v/>
      </c>
      <c r="J354" s="34" t="str">
        <f t="shared" si="17"/>
        <v/>
      </c>
    </row>
    <row r="355" spans="1:10" ht="19.5" customHeight="1" x14ac:dyDescent="0.25">
      <c r="A355" s="31" t="str">
        <f t="shared" si="15"/>
        <v/>
      </c>
      <c r="B355" s="32"/>
      <c r="C355" s="32"/>
      <c r="D355" s="32"/>
      <c r="E355" s="32"/>
      <c r="F355" s="32"/>
      <c r="G355" s="32"/>
      <c r="H355" s="33"/>
      <c r="I355" s="34" t="str">
        <f t="shared" ca="1" si="16"/>
        <v/>
      </c>
      <c r="J355" s="34" t="str">
        <f t="shared" si="17"/>
        <v/>
      </c>
    </row>
    <row r="356" spans="1:10" ht="19.5" customHeight="1" x14ac:dyDescent="0.25">
      <c r="A356" s="31" t="str">
        <f t="shared" si="15"/>
        <v/>
      </c>
      <c r="B356" s="32"/>
      <c r="C356" s="32"/>
      <c r="D356" s="32"/>
      <c r="E356" s="32"/>
      <c r="F356" s="32"/>
      <c r="G356" s="32"/>
      <c r="H356" s="33"/>
      <c r="I356" s="34" t="str">
        <f t="shared" ca="1" si="16"/>
        <v/>
      </c>
      <c r="J356" s="34" t="str">
        <f t="shared" si="17"/>
        <v/>
      </c>
    </row>
    <row r="357" spans="1:10" ht="19.5" customHeight="1" x14ac:dyDescent="0.25">
      <c r="A357" s="31" t="str">
        <f t="shared" si="15"/>
        <v/>
      </c>
      <c r="B357" s="32"/>
      <c r="C357" s="32"/>
      <c r="D357" s="32"/>
      <c r="E357" s="32"/>
      <c r="F357" s="32"/>
      <c r="G357" s="32"/>
      <c r="H357" s="33"/>
      <c r="I357" s="34" t="str">
        <f t="shared" ca="1" si="16"/>
        <v/>
      </c>
      <c r="J357" s="34" t="str">
        <f t="shared" si="17"/>
        <v/>
      </c>
    </row>
    <row r="358" spans="1:10" ht="19.5" customHeight="1" x14ac:dyDescent="0.25">
      <c r="A358" s="31" t="str">
        <f t="shared" si="15"/>
        <v/>
      </c>
      <c r="B358" s="32"/>
      <c r="C358" s="32"/>
      <c r="D358" s="32"/>
      <c r="E358" s="32"/>
      <c r="F358" s="32"/>
      <c r="G358" s="32"/>
      <c r="H358" s="33"/>
      <c r="I358" s="34" t="str">
        <f t="shared" ca="1" si="16"/>
        <v/>
      </c>
      <c r="J358" s="34" t="str">
        <f t="shared" si="17"/>
        <v/>
      </c>
    </row>
    <row r="359" spans="1:10" ht="19.5" customHeight="1" x14ac:dyDescent="0.25">
      <c r="A359" s="31" t="str">
        <f t="shared" si="15"/>
        <v/>
      </c>
      <c r="B359" s="32"/>
      <c r="C359" s="32"/>
      <c r="D359" s="32"/>
      <c r="E359" s="32"/>
      <c r="F359" s="32"/>
      <c r="G359" s="32"/>
      <c r="H359" s="33"/>
      <c r="I359" s="34" t="str">
        <f t="shared" ca="1" si="16"/>
        <v/>
      </c>
      <c r="J359" s="34" t="str">
        <f t="shared" si="17"/>
        <v/>
      </c>
    </row>
    <row r="360" spans="1:10" ht="19.5" customHeight="1" x14ac:dyDescent="0.25">
      <c r="A360" s="31" t="str">
        <f t="shared" si="15"/>
        <v/>
      </c>
      <c r="B360" s="32"/>
      <c r="C360" s="32"/>
      <c r="D360" s="32"/>
      <c r="E360" s="32"/>
      <c r="F360" s="32"/>
      <c r="G360" s="32"/>
      <c r="H360" s="33"/>
      <c r="I360" s="34" t="str">
        <f t="shared" ca="1" si="16"/>
        <v/>
      </c>
      <c r="J360" s="34" t="str">
        <f t="shared" si="17"/>
        <v/>
      </c>
    </row>
    <row r="361" spans="1:10" ht="19.5" customHeight="1" x14ac:dyDescent="0.25">
      <c r="A361" s="31" t="str">
        <f t="shared" si="15"/>
        <v/>
      </c>
      <c r="B361" s="32"/>
      <c r="C361" s="32"/>
      <c r="D361" s="32"/>
      <c r="E361" s="32"/>
      <c r="F361" s="32"/>
      <c r="G361" s="32"/>
      <c r="H361" s="33"/>
      <c r="I361" s="34" t="str">
        <f t="shared" ca="1" si="16"/>
        <v/>
      </c>
      <c r="J361" s="34" t="str">
        <f t="shared" si="17"/>
        <v/>
      </c>
    </row>
    <row r="362" spans="1:10" ht="19.5" customHeight="1" x14ac:dyDescent="0.25">
      <c r="A362" s="31" t="str">
        <f t="shared" si="15"/>
        <v/>
      </c>
      <c r="B362" s="32"/>
      <c r="C362" s="32"/>
      <c r="D362" s="32"/>
      <c r="E362" s="32"/>
      <c r="F362" s="32"/>
      <c r="G362" s="32"/>
      <c r="H362" s="33"/>
      <c r="I362" s="34" t="str">
        <f t="shared" ca="1" si="16"/>
        <v/>
      </c>
      <c r="J362" s="34" t="str">
        <f t="shared" si="17"/>
        <v/>
      </c>
    </row>
    <row r="363" spans="1:10" ht="19.5" customHeight="1" x14ac:dyDescent="0.25">
      <c r="A363" s="31" t="str">
        <f t="shared" si="15"/>
        <v/>
      </c>
      <c r="B363" s="32"/>
      <c r="C363" s="32"/>
      <c r="D363" s="32"/>
      <c r="E363" s="32"/>
      <c r="F363" s="32"/>
      <c r="G363" s="32"/>
      <c r="H363" s="33"/>
      <c r="I363" s="34" t="str">
        <f t="shared" ca="1" si="16"/>
        <v/>
      </c>
      <c r="J363" s="34" t="str">
        <f t="shared" si="17"/>
        <v/>
      </c>
    </row>
    <row r="364" spans="1:10" ht="19.5" customHeight="1" x14ac:dyDescent="0.25">
      <c r="A364" s="31" t="str">
        <f t="shared" si="15"/>
        <v/>
      </c>
      <c r="B364" s="32"/>
      <c r="C364" s="32"/>
      <c r="D364" s="32"/>
      <c r="E364" s="32"/>
      <c r="F364" s="32"/>
      <c r="G364" s="32"/>
      <c r="H364" s="33"/>
      <c r="I364" s="34" t="str">
        <f t="shared" ca="1" si="16"/>
        <v/>
      </c>
      <c r="J364" s="34" t="str">
        <f t="shared" si="17"/>
        <v/>
      </c>
    </row>
    <row r="365" spans="1:10" ht="19.5" customHeight="1" x14ac:dyDescent="0.25">
      <c r="A365" s="31" t="str">
        <f t="shared" si="15"/>
        <v/>
      </c>
      <c r="B365" s="32"/>
      <c r="C365" s="32"/>
      <c r="D365" s="32"/>
      <c r="E365" s="32"/>
      <c r="F365" s="32"/>
      <c r="G365" s="32"/>
      <c r="H365" s="33"/>
      <c r="I365" s="34" t="str">
        <f t="shared" ca="1" si="16"/>
        <v/>
      </c>
      <c r="J365" s="34" t="str">
        <f t="shared" si="17"/>
        <v/>
      </c>
    </row>
    <row r="366" spans="1:10" ht="19.5" customHeight="1" x14ac:dyDescent="0.25">
      <c r="A366" s="31" t="str">
        <f t="shared" si="15"/>
        <v/>
      </c>
      <c r="B366" s="32"/>
      <c r="C366" s="32"/>
      <c r="D366" s="32"/>
      <c r="E366" s="32"/>
      <c r="F366" s="32"/>
      <c r="G366" s="32"/>
      <c r="H366" s="33"/>
      <c r="I366" s="34" t="str">
        <f t="shared" ca="1" si="16"/>
        <v/>
      </c>
      <c r="J366" s="34" t="str">
        <f t="shared" si="17"/>
        <v/>
      </c>
    </row>
    <row r="367" spans="1:10" ht="19.5" customHeight="1" x14ac:dyDescent="0.25">
      <c r="A367" s="31" t="str">
        <f t="shared" si="15"/>
        <v/>
      </c>
      <c r="B367" s="32"/>
      <c r="C367" s="32"/>
      <c r="D367" s="32"/>
      <c r="E367" s="32"/>
      <c r="F367" s="32"/>
      <c r="G367" s="32"/>
      <c r="H367" s="33"/>
      <c r="I367" s="34" t="str">
        <f t="shared" ca="1" si="16"/>
        <v/>
      </c>
      <c r="J367" s="34" t="str">
        <f t="shared" si="17"/>
        <v/>
      </c>
    </row>
    <row r="368" spans="1:10" ht="19.5" customHeight="1" x14ac:dyDescent="0.25">
      <c r="A368" s="31" t="str">
        <f t="shared" si="15"/>
        <v/>
      </c>
      <c r="B368" s="32"/>
      <c r="C368" s="32"/>
      <c r="D368" s="32"/>
      <c r="E368" s="32"/>
      <c r="F368" s="32"/>
      <c r="G368" s="32"/>
      <c r="H368" s="33"/>
      <c r="I368" s="34" t="str">
        <f t="shared" ca="1" si="16"/>
        <v/>
      </c>
      <c r="J368" s="34" t="str">
        <f t="shared" si="17"/>
        <v/>
      </c>
    </row>
    <row r="369" spans="1:10" ht="19.5" customHeight="1" x14ac:dyDescent="0.25">
      <c r="A369" s="31" t="str">
        <f t="shared" si="15"/>
        <v/>
      </c>
      <c r="B369" s="32"/>
      <c r="C369" s="32"/>
      <c r="D369" s="32"/>
      <c r="E369" s="32"/>
      <c r="F369" s="32"/>
      <c r="G369" s="32"/>
      <c r="H369" s="33"/>
      <c r="I369" s="34" t="str">
        <f t="shared" ca="1" si="16"/>
        <v/>
      </c>
      <c r="J369" s="34" t="str">
        <f t="shared" si="17"/>
        <v/>
      </c>
    </row>
    <row r="370" spans="1:10" ht="19.5" customHeight="1" x14ac:dyDescent="0.25">
      <c r="A370" s="31" t="str">
        <f t="shared" si="15"/>
        <v/>
      </c>
      <c r="B370" s="32"/>
      <c r="C370" s="32"/>
      <c r="D370" s="32"/>
      <c r="E370" s="32"/>
      <c r="F370" s="32"/>
      <c r="G370" s="32"/>
      <c r="H370" s="33"/>
      <c r="I370" s="34" t="str">
        <f t="shared" ca="1" si="16"/>
        <v/>
      </c>
      <c r="J370" s="34" t="str">
        <f t="shared" si="17"/>
        <v/>
      </c>
    </row>
    <row r="371" spans="1:10" ht="19.5" customHeight="1" x14ac:dyDescent="0.25">
      <c r="A371" s="31" t="str">
        <f t="shared" si="15"/>
        <v/>
      </c>
      <c r="B371" s="32"/>
      <c r="C371" s="32"/>
      <c r="D371" s="32"/>
      <c r="E371" s="32"/>
      <c r="F371" s="32"/>
      <c r="G371" s="32"/>
      <c r="H371" s="33"/>
      <c r="I371" s="34" t="str">
        <f t="shared" ca="1" si="16"/>
        <v/>
      </c>
      <c r="J371" s="34" t="str">
        <f t="shared" si="17"/>
        <v/>
      </c>
    </row>
    <row r="372" spans="1:10" ht="19.5" customHeight="1" x14ac:dyDescent="0.25">
      <c r="A372" s="31" t="str">
        <f t="shared" si="15"/>
        <v/>
      </c>
      <c r="B372" s="32"/>
      <c r="C372" s="32"/>
      <c r="D372" s="32"/>
      <c r="E372" s="32"/>
      <c r="F372" s="32"/>
      <c r="G372" s="32"/>
      <c r="H372" s="33"/>
      <c r="I372" s="34" t="str">
        <f t="shared" ca="1" si="16"/>
        <v/>
      </c>
      <c r="J372" s="34" t="str">
        <f t="shared" si="17"/>
        <v/>
      </c>
    </row>
    <row r="373" spans="1:10" ht="19.5" customHeight="1" x14ac:dyDescent="0.25">
      <c r="A373" s="31" t="str">
        <f t="shared" si="15"/>
        <v/>
      </c>
      <c r="B373" s="32"/>
      <c r="C373" s="32"/>
      <c r="D373" s="32"/>
      <c r="E373" s="32"/>
      <c r="F373" s="32"/>
      <c r="G373" s="32"/>
      <c r="H373" s="33"/>
      <c r="I373" s="34" t="str">
        <f t="shared" ca="1" si="16"/>
        <v/>
      </c>
      <c r="J373" s="34" t="str">
        <f t="shared" si="17"/>
        <v/>
      </c>
    </row>
    <row r="374" spans="1:10" ht="19.5" customHeight="1" x14ac:dyDescent="0.25">
      <c r="A374" s="31" t="str">
        <f t="shared" si="15"/>
        <v/>
      </c>
      <c r="B374" s="32"/>
      <c r="C374" s="32"/>
      <c r="D374" s="32"/>
      <c r="E374" s="32"/>
      <c r="F374" s="32"/>
      <c r="G374" s="32"/>
      <c r="H374" s="33"/>
      <c r="I374" s="34" t="str">
        <f t="shared" ca="1" si="16"/>
        <v/>
      </c>
      <c r="J374" s="34" t="str">
        <f t="shared" si="17"/>
        <v/>
      </c>
    </row>
    <row r="375" spans="1:10" ht="19.5" customHeight="1" x14ac:dyDescent="0.25">
      <c r="A375" s="31" t="str">
        <f t="shared" si="15"/>
        <v/>
      </c>
      <c r="B375" s="32"/>
      <c r="C375" s="32"/>
      <c r="D375" s="32"/>
      <c r="E375" s="32"/>
      <c r="F375" s="32"/>
      <c r="G375" s="32"/>
      <c r="H375" s="33"/>
      <c r="I375" s="34" t="str">
        <f t="shared" ca="1" si="16"/>
        <v/>
      </c>
      <c r="J375" s="34" t="str">
        <f t="shared" si="17"/>
        <v/>
      </c>
    </row>
    <row r="376" spans="1:10" ht="19.5" customHeight="1" x14ac:dyDescent="0.25">
      <c r="A376" s="31" t="str">
        <f t="shared" si="15"/>
        <v/>
      </c>
      <c r="B376" s="32"/>
      <c r="C376" s="32"/>
      <c r="D376" s="32"/>
      <c r="E376" s="32"/>
      <c r="F376" s="32"/>
      <c r="G376" s="32"/>
      <c r="H376" s="33"/>
      <c r="I376" s="34" t="str">
        <f t="shared" ca="1" si="16"/>
        <v/>
      </c>
      <c r="J376" s="34" t="str">
        <f t="shared" si="17"/>
        <v/>
      </c>
    </row>
    <row r="377" spans="1:10" ht="19.5" customHeight="1" x14ac:dyDescent="0.25">
      <c r="A377" s="31" t="str">
        <f t="shared" si="15"/>
        <v/>
      </c>
      <c r="B377" s="32"/>
      <c r="C377" s="32"/>
      <c r="D377" s="32"/>
      <c r="E377" s="32"/>
      <c r="F377" s="32"/>
      <c r="G377" s="32"/>
      <c r="H377" s="33"/>
      <c r="I377" s="34" t="str">
        <f t="shared" ca="1" si="16"/>
        <v/>
      </c>
      <c r="J377" s="34" t="str">
        <f t="shared" si="17"/>
        <v/>
      </c>
    </row>
    <row r="378" spans="1:10" ht="19.5" customHeight="1" x14ac:dyDescent="0.25">
      <c r="A378" s="31" t="str">
        <f t="shared" si="15"/>
        <v/>
      </c>
      <c r="B378" s="32"/>
      <c r="C378" s="32"/>
      <c r="D378" s="32"/>
      <c r="E378" s="32"/>
      <c r="F378" s="32"/>
      <c r="G378" s="32"/>
      <c r="H378" s="33"/>
      <c r="I378" s="34" t="str">
        <f t="shared" ca="1" si="16"/>
        <v/>
      </c>
      <c r="J378" s="34" t="str">
        <f t="shared" si="17"/>
        <v/>
      </c>
    </row>
    <row r="379" spans="1:10" ht="19.5" customHeight="1" x14ac:dyDescent="0.25">
      <c r="A379" s="31" t="str">
        <f t="shared" si="15"/>
        <v/>
      </c>
      <c r="B379" s="32"/>
      <c r="C379" s="32"/>
      <c r="D379" s="32"/>
      <c r="E379" s="32"/>
      <c r="F379" s="32"/>
      <c r="G379" s="32"/>
      <c r="H379" s="33"/>
      <c r="I379" s="34" t="str">
        <f t="shared" ca="1" si="16"/>
        <v/>
      </c>
      <c r="J379" s="34" t="str">
        <f t="shared" si="17"/>
        <v/>
      </c>
    </row>
    <row r="380" spans="1:10" ht="19.5" customHeight="1" x14ac:dyDescent="0.25">
      <c r="A380" s="31" t="str">
        <f t="shared" si="15"/>
        <v/>
      </c>
      <c r="B380" s="32"/>
      <c r="C380" s="32"/>
      <c r="D380" s="32"/>
      <c r="E380" s="32"/>
      <c r="F380" s="32"/>
      <c r="G380" s="32"/>
      <c r="H380" s="33"/>
      <c r="I380" s="34" t="str">
        <f t="shared" ca="1" si="16"/>
        <v/>
      </c>
      <c r="J380" s="34" t="str">
        <f t="shared" si="17"/>
        <v/>
      </c>
    </row>
    <row r="381" spans="1:10" ht="19.5" customHeight="1" x14ac:dyDescent="0.25">
      <c r="A381" s="31" t="str">
        <f t="shared" si="15"/>
        <v/>
      </c>
      <c r="B381" s="32"/>
      <c r="C381" s="32"/>
      <c r="D381" s="32"/>
      <c r="E381" s="32"/>
      <c r="F381" s="32"/>
      <c r="G381" s="32"/>
      <c r="H381" s="33"/>
      <c r="I381" s="34" t="str">
        <f t="shared" ca="1" si="16"/>
        <v/>
      </c>
      <c r="J381" s="34" t="str">
        <f t="shared" si="17"/>
        <v/>
      </c>
    </row>
    <row r="382" spans="1:10" ht="19.5" customHeight="1" x14ac:dyDescent="0.25">
      <c r="A382" s="31" t="str">
        <f t="shared" si="15"/>
        <v/>
      </c>
      <c r="B382" s="32"/>
      <c r="C382" s="32"/>
      <c r="D382" s="32"/>
      <c r="E382" s="32"/>
      <c r="F382" s="32"/>
      <c r="G382" s="32"/>
      <c r="H382" s="33"/>
      <c r="I382" s="34" t="str">
        <f t="shared" ca="1" si="16"/>
        <v/>
      </c>
      <c r="J382" s="34" t="str">
        <f t="shared" si="17"/>
        <v/>
      </c>
    </row>
    <row r="383" spans="1:10" ht="19.5" customHeight="1" x14ac:dyDescent="0.25">
      <c r="A383" s="31" t="str">
        <f t="shared" si="15"/>
        <v/>
      </c>
      <c r="B383" s="32"/>
      <c r="C383" s="32"/>
      <c r="D383" s="32"/>
      <c r="E383" s="32"/>
      <c r="F383" s="32"/>
      <c r="G383" s="32"/>
      <c r="H383" s="33"/>
      <c r="I383" s="34" t="str">
        <f t="shared" ca="1" si="16"/>
        <v/>
      </c>
      <c r="J383" s="34" t="str">
        <f t="shared" si="17"/>
        <v/>
      </c>
    </row>
    <row r="384" spans="1:10" ht="19.5" customHeight="1" x14ac:dyDescent="0.25">
      <c r="A384" s="31" t="str">
        <f t="shared" si="15"/>
        <v/>
      </c>
      <c r="B384" s="32"/>
      <c r="C384" s="32"/>
      <c r="D384" s="32"/>
      <c r="E384" s="32"/>
      <c r="F384" s="32"/>
      <c r="G384" s="32"/>
      <c r="H384" s="33"/>
      <c r="I384" s="34" t="str">
        <f t="shared" ca="1" si="16"/>
        <v/>
      </c>
      <c r="J384" s="34" t="str">
        <f t="shared" si="17"/>
        <v/>
      </c>
    </row>
    <row r="385" spans="1:10" ht="19.5" customHeight="1" x14ac:dyDescent="0.25">
      <c r="A385" s="31" t="str">
        <f t="shared" si="15"/>
        <v/>
      </c>
      <c r="B385" s="32"/>
      <c r="C385" s="32"/>
      <c r="D385" s="32"/>
      <c r="E385" s="32"/>
      <c r="F385" s="32"/>
      <c r="G385" s="32"/>
      <c r="H385" s="33"/>
      <c r="I385" s="34" t="str">
        <f t="shared" ca="1" si="16"/>
        <v/>
      </c>
      <c r="J385" s="34" t="str">
        <f t="shared" si="17"/>
        <v/>
      </c>
    </row>
    <row r="386" spans="1:10" ht="19.5" customHeight="1" x14ac:dyDescent="0.25">
      <c r="A386" s="31" t="str">
        <f t="shared" si="15"/>
        <v/>
      </c>
      <c r="B386" s="32"/>
      <c r="C386" s="32"/>
      <c r="D386" s="32"/>
      <c r="E386" s="32"/>
      <c r="F386" s="32"/>
      <c r="G386" s="32"/>
      <c r="H386" s="33"/>
      <c r="I386" s="34" t="str">
        <f t="shared" ca="1" si="16"/>
        <v/>
      </c>
      <c r="J386" s="34" t="str">
        <f t="shared" si="17"/>
        <v/>
      </c>
    </row>
    <row r="387" spans="1:10" ht="19.5" customHeight="1" x14ac:dyDescent="0.25">
      <c r="A387" s="31" t="str">
        <f t="shared" si="15"/>
        <v/>
      </c>
      <c r="B387" s="32"/>
      <c r="C387" s="32"/>
      <c r="D387" s="32"/>
      <c r="E387" s="32"/>
      <c r="F387" s="32"/>
      <c r="G387" s="32"/>
      <c r="H387" s="33"/>
      <c r="I387" s="34" t="str">
        <f t="shared" ca="1" si="16"/>
        <v/>
      </c>
      <c r="J387" s="34" t="str">
        <f t="shared" si="17"/>
        <v/>
      </c>
    </row>
    <row r="388" spans="1:10" ht="19.5" customHeight="1" x14ac:dyDescent="0.25">
      <c r="A388" s="31" t="str">
        <f t="shared" si="15"/>
        <v/>
      </c>
      <c r="B388" s="32"/>
      <c r="C388" s="32"/>
      <c r="D388" s="32"/>
      <c r="E388" s="32"/>
      <c r="F388" s="32"/>
      <c r="G388" s="32"/>
      <c r="H388" s="33"/>
      <c r="I388" s="34" t="str">
        <f t="shared" ca="1" si="16"/>
        <v/>
      </c>
      <c r="J388" s="34" t="str">
        <f t="shared" si="17"/>
        <v/>
      </c>
    </row>
    <row r="389" spans="1:10" ht="19.5" customHeight="1" x14ac:dyDescent="0.25">
      <c r="A389" s="31" t="str">
        <f t="shared" ref="A389:A452" si="18">IF(B389="","","ACC"&amp;TEXT(ROW()-4,"0000"))</f>
        <v/>
      </c>
      <c r="B389" s="32"/>
      <c r="C389" s="32"/>
      <c r="D389" s="32"/>
      <c r="E389" s="32"/>
      <c r="F389" s="32"/>
      <c r="G389" s="32"/>
      <c r="H389" s="33"/>
      <c r="I389" s="34" t="str">
        <f t="shared" ref="I389:I452" ca="1" si="19">IF(B389="","",TEXT(TODAY(),"dd/mm/yyyy"))</f>
        <v/>
      </c>
      <c r="J389" s="34" t="str">
        <f t="shared" ref="J389:J452" si="20">IF(B389="","",IF(ISNUMBER(H389),IF(H389&gt;=10,"✅ Active","⚠️ Below Min Balance"),"Pending"))</f>
        <v/>
      </c>
    </row>
    <row r="390" spans="1:10" ht="19.5" customHeight="1" x14ac:dyDescent="0.25">
      <c r="A390" s="31" t="str">
        <f t="shared" si="18"/>
        <v/>
      </c>
      <c r="B390" s="32"/>
      <c r="C390" s="32"/>
      <c r="D390" s="32"/>
      <c r="E390" s="32"/>
      <c r="F390" s="32"/>
      <c r="G390" s="32"/>
      <c r="H390" s="33"/>
      <c r="I390" s="34" t="str">
        <f t="shared" ca="1" si="19"/>
        <v/>
      </c>
      <c r="J390" s="34" t="str">
        <f t="shared" si="20"/>
        <v/>
      </c>
    </row>
    <row r="391" spans="1:10" ht="19.5" customHeight="1" x14ac:dyDescent="0.25">
      <c r="A391" s="31" t="str">
        <f t="shared" si="18"/>
        <v/>
      </c>
      <c r="B391" s="32"/>
      <c r="C391" s="32"/>
      <c r="D391" s="32"/>
      <c r="E391" s="32"/>
      <c r="F391" s="32"/>
      <c r="G391" s="32"/>
      <c r="H391" s="33"/>
      <c r="I391" s="34" t="str">
        <f t="shared" ca="1" si="19"/>
        <v/>
      </c>
      <c r="J391" s="34" t="str">
        <f t="shared" si="20"/>
        <v/>
      </c>
    </row>
    <row r="392" spans="1:10" ht="19.5" customHeight="1" x14ac:dyDescent="0.25">
      <c r="A392" s="31" t="str">
        <f t="shared" si="18"/>
        <v/>
      </c>
      <c r="B392" s="32"/>
      <c r="C392" s="32"/>
      <c r="D392" s="32"/>
      <c r="E392" s="32"/>
      <c r="F392" s="32"/>
      <c r="G392" s="32"/>
      <c r="H392" s="33"/>
      <c r="I392" s="34" t="str">
        <f t="shared" ca="1" si="19"/>
        <v/>
      </c>
      <c r="J392" s="34" t="str">
        <f t="shared" si="20"/>
        <v/>
      </c>
    </row>
    <row r="393" spans="1:10" ht="19.5" customHeight="1" x14ac:dyDescent="0.25">
      <c r="A393" s="31" t="str">
        <f t="shared" si="18"/>
        <v/>
      </c>
      <c r="B393" s="32"/>
      <c r="C393" s="32"/>
      <c r="D393" s="32"/>
      <c r="E393" s="32"/>
      <c r="F393" s="32"/>
      <c r="G393" s="32"/>
      <c r="H393" s="33"/>
      <c r="I393" s="34" t="str">
        <f t="shared" ca="1" si="19"/>
        <v/>
      </c>
      <c r="J393" s="34" t="str">
        <f t="shared" si="20"/>
        <v/>
      </c>
    </row>
    <row r="394" spans="1:10" ht="19.5" customHeight="1" x14ac:dyDescent="0.25">
      <c r="A394" s="31" t="str">
        <f t="shared" si="18"/>
        <v/>
      </c>
      <c r="B394" s="32"/>
      <c r="C394" s="32"/>
      <c r="D394" s="32"/>
      <c r="E394" s="32"/>
      <c r="F394" s="32"/>
      <c r="G394" s="32"/>
      <c r="H394" s="33"/>
      <c r="I394" s="34" t="str">
        <f t="shared" ca="1" si="19"/>
        <v/>
      </c>
      <c r="J394" s="34" t="str">
        <f t="shared" si="20"/>
        <v/>
      </c>
    </row>
    <row r="395" spans="1:10" ht="19.5" customHeight="1" x14ac:dyDescent="0.25">
      <c r="A395" s="31" t="str">
        <f t="shared" si="18"/>
        <v/>
      </c>
      <c r="B395" s="32"/>
      <c r="C395" s="32"/>
      <c r="D395" s="32"/>
      <c r="E395" s="32"/>
      <c r="F395" s="32"/>
      <c r="G395" s="32"/>
      <c r="H395" s="33"/>
      <c r="I395" s="34" t="str">
        <f t="shared" ca="1" si="19"/>
        <v/>
      </c>
      <c r="J395" s="34" t="str">
        <f t="shared" si="20"/>
        <v/>
      </c>
    </row>
    <row r="396" spans="1:10" ht="19.5" customHeight="1" x14ac:dyDescent="0.25">
      <c r="A396" s="31" t="str">
        <f t="shared" si="18"/>
        <v/>
      </c>
      <c r="B396" s="32"/>
      <c r="C396" s="32"/>
      <c r="D396" s="32"/>
      <c r="E396" s="32"/>
      <c r="F396" s="32"/>
      <c r="G396" s="32"/>
      <c r="H396" s="33"/>
      <c r="I396" s="34" t="str">
        <f t="shared" ca="1" si="19"/>
        <v/>
      </c>
      <c r="J396" s="34" t="str">
        <f t="shared" si="20"/>
        <v/>
      </c>
    </row>
    <row r="397" spans="1:10" ht="19.5" customHeight="1" x14ac:dyDescent="0.25">
      <c r="A397" s="31" t="str">
        <f t="shared" si="18"/>
        <v/>
      </c>
      <c r="B397" s="32"/>
      <c r="C397" s="32"/>
      <c r="D397" s="32"/>
      <c r="E397" s="32"/>
      <c r="F397" s="32"/>
      <c r="G397" s="32"/>
      <c r="H397" s="33"/>
      <c r="I397" s="34" t="str">
        <f t="shared" ca="1" si="19"/>
        <v/>
      </c>
      <c r="J397" s="34" t="str">
        <f t="shared" si="20"/>
        <v/>
      </c>
    </row>
    <row r="398" spans="1:10" ht="19.5" customHeight="1" x14ac:dyDescent="0.25">
      <c r="A398" s="31" t="str">
        <f t="shared" si="18"/>
        <v/>
      </c>
      <c r="B398" s="32"/>
      <c r="C398" s="32"/>
      <c r="D398" s="32"/>
      <c r="E398" s="32"/>
      <c r="F398" s="32"/>
      <c r="G398" s="32"/>
      <c r="H398" s="33"/>
      <c r="I398" s="34" t="str">
        <f t="shared" ca="1" si="19"/>
        <v/>
      </c>
      <c r="J398" s="34" t="str">
        <f t="shared" si="20"/>
        <v/>
      </c>
    </row>
    <row r="399" spans="1:10" ht="19.5" customHeight="1" x14ac:dyDescent="0.25">
      <c r="A399" s="31" t="str">
        <f t="shared" si="18"/>
        <v/>
      </c>
      <c r="B399" s="32"/>
      <c r="C399" s="32"/>
      <c r="D399" s="32"/>
      <c r="E399" s="32"/>
      <c r="F399" s="32"/>
      <c r="G399" s="32"/>
      <c r="H399" s="33"/>
      <c r="I399" s="34" t="str">
        <f t="shared" ca="1" si="19"/>
        <v/>
      </c>
      <c r="J399" s="34" t="str">
        <f t="shared" si="20"/>
        <v/>
      </c>
    </row>
    <row r="400" spans="1:10" ht="19.5" customHeight="1" x14ac:dyDescent="0.25">
      <c r="A400" s="31" t="str">
        <f t="shared" si="18"/>
        <v/>
      </c>
      <c r="B400" s="32"/>
      <c r="C400" s="32"/>
      <c r="D400" s="32"/>
      <c r="E400" s="32"/>
      <c r="F400" s="32"/>
      <c r="G400" s="32"/>
      <c r="H400" s="33"/>
      <c r="I400" s="34" t="str">
        <f t="shared" ca="1" si="19"/>
        <v/>
      </c>
      <c r="J400" s="34" t="str">
        <f t="shared" si="20"/>
        <v/>
      </c>
    </row>
    <row r="401" spans="1:10" ht="19.5" customHeight="1" x14ac:dyDescent="0.25">
      <c r="A401" s="31" t="str">
        <f t="shared" si="18"/>
        <v/>
      </c>
      <c r="B401" s="32"/>
      <c r="C401" s="32"/>
      <c r="D401" s="32"/>
      <c r="E401" s="32"/>
      <c r="F401" s="32"/>
      <c r="G401" s="32"/>
      <c r="H401" s="33"/>
      <c r="I401" s="34" t="str">
        <f t="shared" ca="1" si="19"/>
        <v/>
      </c>
      <c r="J401" s="34" t="str">
        <f t="shared" si="20"/>
        <v/>
      </c>
    </row>
    <row r="402" spans="1:10" ht="19.5" customHeight="1" x14ac:dyDescent="0.25">
      <c r="A402" s="31" t="str">
        <f t="shared" si="18"/>
        <v/>
      </c>
      <c r="B402" s="32"/>
      <c r="C402" s="32"/>
      <c r="D402" s="32"/>
      <c r="E402" s="32"/>
      <c r="F402" s="32"/>
      <c r="G402" s="32"/>
      <c r="H402" s="33"/>
      <c r="I402" s="34" t="str">
        <f t="shared" ca="1" si="19"/>
        <v/>
      </c>
      <c r="J402" s="34" t="str">
        <f t="shared" si="20"/>
        <v/>
      </c>
    </row>
    <row r="403" spans="1:10" ht="19.5" customHeight="1" x14ac:dyDescent="0.25">
      <c r="A403" s="31" t="str">
        <f t="shared" si="18"/>
        <v/>
      </c>
      <c r="B403" s="32"/>
      <c r="C403" s="32"/>
      <c r="D403" s="32"/>
      <c r="E403" s="32"/>
      <c r="F403" s="32"/>
      <c r="G403" s="32"/>
      <c r="H403" s="33"/>
      <c r="I403" s="34" t="str">
        <f t="shared" ca="1" si="19"/>
        <v/>
      </c>
      <c r="J403" s="34" t="str">
        <f t="shared" si="20"/>
        <v/>
      </c>
    </row>
    <row r="404" spans="1:10" ht="19.5" customHeight="1" x14ac:dyDescent="0.25">
      <c r="A404" s="31" t="str">
        <f t="shared" si="18"/>
        <v/>
      </c>
      <c r="B404" s="32"/>
      <c r="C404" s="32"/>
      <c r="D404" s="32"/>
      <c r="E404" s="32"/>
      <c r="F404" s="32"/>
      <c r="G404" s="32"/>
      <c r="H404" s="33"/>
      <c r="I404" s="34" t="str">
        <f t="shared" ca="1" si="19"/>
        <v/>
      </c>
      <c r="J404" s="34" t="str">
        <f t="shared" si="20"/>
        <v/>
      </c>
    </row>
    <row r="405" spans="1:10" ht="19.5" customHeight="1" x14ac:dyDescent="0.25">
      <c r="A405" s="31" t="str">
        <f t="shared" si="18"/>
        <v/>
      </c>
      <c r="B405" s="32"/>
      <c r="C405" s="32"/>
      <c r="D405" s="32"/>
      <c r="E405" s="32"/>
      <c r="F405" s="32"/>
      <c r="G405" s="32"/>
      <c r="H405" s="33"/>
      <c r="I405" s="34" t="str">
        <f t="shared" ca="1" si="19"/>
        <v/>
      </c>
      <c r="J405" s="34" t="str">
        <f t="shared" si="20"/>
        <v/>
      </c>
    </row>
    <row r="406" spans="1:10" ht="19.5" customHeight="1" x14ac:dyDescent="0.25">
      <c r="A406" s="31" t="str">
        <f t="shared" si="18"/>
        <v/>
      </c>
      <c r="B406" s="32"/>
      <c r="C406" s="32"/>
      <c r="D406" s="32"/>
      <c r="E406" s="32"/>
      <c r="F406" s="32"/>
      <c r="G406" s="32"/>
      <c r="H406" s="33"/>
      <c r="I406" s="34" t="str">
        <f t="shared" ca="1" si="19"/>
        <v/>
      </c>
      <c r="J406" s="34" t="str">
        <f t="shared" si="20"/>
        <v/>
      </c>
    </row>
    <row r="407" spans="1:10" ht="19.5" customHeight="1" x14ac:dyDescent="0.25">
      <c r="A407" s="31" t="str">
        <f t="shared" si="18"/>
        <v/>
      </c>
      <c r="B407" s="32"/>
      <c r="C407" s="32"/>
      <c r="D407" s="32"/>
      <c r="E407" s="32"/>
      <c r="F407" s="32"/>
      <c r="G407" s="32"/>
      <c r="H407" s="33"/>
      <c r="I407" s="34" t="str">
        <f t="shared" ca="1" si="19"/>
        <v/>
      </c>
      <c r="J407" s="34" t="str">
        <f t="shared" si="20"/>
        <v/>
      </c>
    </row>
    <row r="408" spans="1:10" ht="19.5" customHeight="1" x14ac:dyDescent="0.25">
      <c r="A408" s="31" t="str">
        <f t="shared" si="18"/>
        <v/>
      </c>
      <c r="B408" s="32"/>
      <c r="C408" s="32"/>
      <c r="D408" s="32"/>
      <c r="E408" s="32"/>
      <c r="F408" s="32"/>
      <c r="G408" s="32"/>
      <c r="H408" s="33"/>
      <c r="I408" s="34" t="str">
        <f t="shared" ca="1" si="19"/>
        <v/>
      </c>
      <c r="J408" s="34" t="str">
        <f t="shared" si="20"/>
        <v/>
      </c>
    </row>
    <row r="409" spans="1:10" ht="19.5" customHeight="1" x14ac:dyDescent="0.25">
      <c r="A409" s="31" t="str">
        <f t="shared" si="18"/>
        <v/>
      </c>
      <c r="B409" s="32"/>
      <c r="C409" s="32"/>
      <c r="D409" s="32"/>
      <c r="E409" s="32"/>
      <c r="F409" s="32"/>
      <c r="G409" s="32"/>
      <c r="H409" s="33"/>
      <c r="I409" s="34" t="str">
        <f t="shared" ca="1" si="19"/>
        <v/>
      </c>
      <c r="J409" s="34" t="str">
        <f t="shared" si="20"/>
        <v/>
      </c>
    </row>
    <row r="410" spans="1:10" ht="19.5" customHeight="1" x14ac:dyDescent="0.25">
      <c r="A410" s="31" t="str">
        <f t="shared" si="18"/>
        <v/>
      </c>
      <c r="B410" s="32"/>
      <c r="C410" s="32"/>
      <c r="D410" s="32"/>
      <c r="E410" s="32"/>
      <c r="F410" s="32"/>
      <c r="G410" s="32"/>
      <c r="H410" s="33"/>
      <c r="I410" s="34" t="str">
        <f t="shared" ca="1" si="19"/>
        <v/>
      </c>
      <c r="J410" s="34" t="str">
        <f t="shared" si="20"/>
        <v/>
      </c>
    </row>
    <row r="411" spans="1:10" ht="19.5" customHeight="1" x14ac:dyDescent="0.25">
      <c r="A411" s="31" t="str">
        <f t="shared" si="18"/>
        <v/>
      </c>
      <c r="B411" s="32"/>
      <c r="C411" s="32"/>
      <c r="D411" s="32"/>
      <c r="E411" s="32"/>
      <c r="F411" s="32"/>
      <c r="G411" s="32"/>
      <c r="H411" s="33"/>
      <c r="I411" s="34" t="str">
        <f t="shared" ca="1" si="19"/>
        <v/>
      </c>
      <c r="J411" s="34" t="str">
        <f t="shared" si="20"/>
        <v/>
      </c>
    </row>
    <row r="412" spans="1:10" ht="19.5" customHeight="1" x14ac:dyDescent="0.25">
      <c r="A412" s="31" t="str">
        <f t="shared" si="18"/>
        <v/>
      </c>
      <c r="B412" s="32"/>
      <c r="C412" s="32"/>
      <c r="D412" s="32"/>
      <c r="E412" s="32"/>
      <c r="F412" s="32"/>
      <c r="G412" s="32"/>
      <c r="H412" s="33"/>
      <c r="I412" s="34" t="str">
        <f t="shared" ca="1" si="19"/>
        <v/>
      </c>
      <c r="J412" s="34" t="str">
        <f t="shared" si="20"/>
        <v/>
      </c>
    </row>
    <row r="413" spans="1:10" ht="19.5" customHeight="1" x14ac:dyDescent="0.25">
      <c r="A413" s="31" t="str">
        <f t="shared" si="18"/>
        <v/>
      </c>
      <c r="B413" s="32"/>
      <c r="C413" s="32"/>
      <c r="D413" s="32"/>
      <c r="E413" s="32"/>
      <c r="F413" s="32"/>
      <c r="G413" s="32"/>
      <c r="H413" s="33"/>
      <c r="I413" s="34" t="str">
        <f t="shared" ca="1" si="19"/>
        <v/>
      </c>
      <c r="J413" s="34" t="str">
        <f t="shared" si="20"/>
        <v/>
      </c>
    </row>
    <row r="414" spans="1:10" ht="19.5" customHeight="1" x14ac:dyDescent="0.25">
      <c r="A414" s="31" t="str">
        <f t="shared" si="18"/>
        <v/>
      </c>
      <c r="B414" s="32"/>
      <c r="C414" s="32"/>
      <c r="D414" s="32"/>
      <c r="E414" s="32"/>
      <c r="F414" s="32"/>
      <c r="G414" s="32"/>
      <c r="H414" s="33"/>
      <c r="I414" s="34" t="str">
        <f t="shared" ca="1" si="19"/>
        <v/>
      </c>
      <c r="J414" s="34" t="str">
        <f t="shared" si="20"/>
        <v/>
      </c>
    </row>
    <row r="415" spans="1:10" ht="19.5" customHeight="1" x14ac:dyDescent="0.25">
      <c r="A415" s="31" t="str">
        <f t="shared" si="18"/>
        <v/>
      </c>
      <c r="B415" s="32"/>
      <c r="C415" s="32"/>
      <c r="D415" s="32"/>
      <c r="E415" s="32"/>
      <c r="F415" s="32"/>
      <c r="G415" s="32"/>
      <c r="H415" s="33"/>
      <c r="I415" s="34" t="str">
        <f t="shared" ca="1" si="19"/>
        <v/>
      </c>
      <c r="J415" s="34" t="str">
        <f t="shared" si="20"/>
        <v/>
      </c>
    </row>
    <row r="416" spans="1:10" ht="19.5" customHeight="1" x14ac:dyDescent="0.25">
      <c r="A416" s="31" t="str">
        <f t="shared" si="18"/>
        <v/>
      </c>
      <c r="B416" s="32"/>
      <c r="C416" s="32"/>
      <c r="D416" s="32"/>
      <c r="E416" s="32"/>
      <c r="F416" s="32"/>
      <c r="G416" s="32"/>
      <c r="H416" s="33"/>
      <c r="I416" s="34" t="str">
        <f t="shared" ca="1" si="19"/>
        <v/>
      </c>
      <c r="J416" s="34" t="str">
        <f t="shared" si="20"/>
        <v/>
      </c>
    </row>
    <row r="417" spans="1:10" ht="19.5" customHeight="1" x14ac:dyDescent="0.25">
      <c r="A417" s="31" t="str">
        <f t="shared" si="18"/>
        <v/>
      </c>
      <c r="B417" s="32"/>
      <c r="C417" s="32"/>
      <c r="D417" s="32"/>
      <c r="E417" s="32"/>
      <c r="F417" s="32"/>
      <c r="G417" s="32"/>
      <c r="H417" s="33"/>
      <c r="I417" s="34" t="str">
        <f t="shared" ca="1" si="19"/>
        <v/>
      </c>
      <c r="J417" s="34" t="str">
        <f t="shared" si="20"/>
        <v/>
      </c>
    </row>
    <row r="418" spans="1:10" ht="19.5" customHeight="1" x14ac:dyDescent="0.25">
      <c r="A418" s="31" t="str">
        <f t="shared" si="18"/>
        <v/>
      </c>
      <c r="B418" s="32"/>
      <c r="C418" s="32"/>
      <c r="D418" s="32"/>
      <c r="E418" s="32"/>
      <c r="F418" s="32"/>
      <c r="G418" s="32"/>
      <c r="H418" s="33"/>
      <c r="I418" s="34" t="str">
        <f t="shared" ca="1" si="19"/>
        <v/>
      </c>
      <c r="J418" s="34" t="str">
        <f t="shared" si="20"/>
        <v/>
      </c>
    </row>
    <row r="419" spans="1:10" ht="19.5" customHeight="1" x14ac:dyDescent="0.25">
      <c r="A419" s="31" t="str">
        <f t="shared" si="18"/>
        <v/>
      </c>
      <c r="B419" s="32"/>
      <c r="C419" s="32"/>
      <c r="D419" s="32"/>
      <c r="E419" s="32"/>
      <c r="F419" s="32"/>
      <c r="G419" s="32"/>
      <c r="H419" s="33"/>
      <c r="I419" s="34" t="str">
        <f t="shared" ca="1" si="19"/>
        <v/>
      </c>
      <c r="J419" s="34" t="str">
        <f t="shared" si="20"/>
        <v/>
      </c>
    </row>
    <row r="420" spans="1:10" ht="19.5" customHeight="1" x14ac:dyDescent="0.25">
      <c r="A420" s="31" t="str">
        <f t="shared" si="18"/>
        <v/>
      </c>
      <c r="B420" s="32"/>
      <c r="C420" s="32"/>
      <c r="D420" s="32"/>
      <c r="E420" s="32"/>
      <c r="F420" s="32"/>
      <c r="G420" s="32"/>
      <c r="H420" s="33"/>
      <c r="I420" s="34" t="str">
        <f t="shared" ca="1" si="19"/>
        <v/>
      </c>
      <c r="J420" s="34" t="str">
        <f t="shared" si="20"/>
        <v/>
      </c>
    </row>
    <row r="421" spans="1:10" ht="19.5" customHeight="1" x14ac:dyDescent="0.25">
      <c r="A421" s="31" t="str">
        <f t="shared" si="18"/>
        <v/>
      </c>
      <c r="B421" s="32"/>
      <c r="C421" s="32"/>
      <c r="D421" s="32"/>
      <c r="E421" s="32"/>
      <c r="F421" s="32"/>
      <c r="G421" s="32"/>
      <c r="H421" s="33"/>
      <c r="I421" s="34" t="str">
        <f t="shared" ca="1" si="19"/>
        <v/>
      </c>
      <c r="J421" s="34" t="str">
        <f t="shared" si="20"/>
        <v/>
      </c>
    </row>
    <row r="422" spans="1:10" ht="19.5" customHeight="1" x14ac:dyDescent="0.25">
      <c r="A422" s="31" t="str">
        <f t="shared" si="18"/>
        <v/>
      </c>
      <c r="B422" s="32"/>
      <c r="C422" s="32"/>
      <c r="D422" s="32"/>
      <c r="E422" s="32"/>
      <c r="F422" s="32"/>
      <c r="G422" s="32"/>
      <c r="H422" s="33"/>
      <c r="I422" s="34" t="str">
        <f t="shared" ca="1" si="19"/>
        <v/>
      </c>
      <c r="J422" s="34" t="str">
        <f t="shared" si="20"/>
        <v/>
      </c>
    </row>
    <row r="423" spans="1:10" ht="19.5" customHeight="1" x14ac:dyDescent="0.25">
      <c r="A423" s="31" t="str">
        <f t="shared" si="18"/>
        <v/>
      </c>
      <c r="B423" s="32"/>
      <c r="C423" s="32"/>
      <c r="D423" s="32"/>
      <c r="E423" s="32"/>
      <c r="F423" s="32"/>
      <c r="G423" s="32"/>
      <c r="H423" s="33"/>
      <c r="I423" s="34" t="str">
        <f t="shared" ca="1" si="19"/>
        <v/>
      </c>
      <c r="J423" s="34" t="str">
        <f t="shared" si="20"/>
        <v/>
      </c>
    </row>
    <row r="424" spans="1:10" ht="19.5" customHeight="1" x14ac:dyDescent="0.25">
      <c r="A424" s="31" t="str">
        <f t="shared" si="18"/>
        <v/>
      </c>
      <c r="B424" s="32"/>
      <c r="C424" s="32"/>
      <c r="D424" s="32"/>
      <c r="E424" s="32"/>
      <c r="F424" s="32"/>
      <c r="G424" s="32"/>
      <c r="H424" s="33"/>
      <c r="I424" s="34" t="str">
        <f t="shared" ca="1" si="19"/>
        <v/>
      </c>
      <c r="J424" s="34" t="str">
        <f t="shared" si="20"/>
        <v/>
      </c>
    </row>
    <row r="425" spans="1:10" ht="19.5" customHeight="1" x14ac:dyDescent="0.25">
      <c r="A425" s="31" t="str">
        <f t="shared" si="18"/>
        <v/>
      </c>
      <c r="B425" s="32"/>
      <c r="C425" s="32"/>
      <c r="D425" s="32"/>
      <c r="E425" s="32"/>
      <c r="F425" s="32"/>
      <c r="G425" s="32"/>
      <c r="H425" s="33"/>
      <c r="I425" s="34" t="str">
        <f t="shared" ca="1" si="19"/>
        <v/>
      </c>
      <c r="J425" s="34" t="str">
        <f t="shared" si="20"/>
        <v/>
      </c>
    </row>
    <row r="426" spans="1:10" ht="19.5" customHeight="1" x14ac:dyDescent="0.25">
      <c r="A426" s="31" t="str">
        <f t="shared" si="18"/>
        <v/>
      </c>
      <c r="B426" s="32"/>
      <c r="C426" s="32"/>
      <c r="D426" s="32"/>
      <c r="E426" s="32"/>
      <c r="F426" s="32"/>
      <c r="G426" s="32"/>
      <c r="H426" s="33"/>
      <c r="I426" s="34" t="str">
        <f t="shared" ca="1" si="19"/>
        <v/>
      </c>
      <c r="J426" s="34" t="str">
        <f t="shared" si="20"/>
        <v/>
      </c>
    </row>
    <row r="427" spans="1:10" ht="19.5" customHeight="1" x14ac:dyDescent="0.25">
      <c r="A427" s="31" t="str">
        <f t="shared" si="18"/>
        <v/>
      </c>
      <c r="B427" s="32"/>
      <c r="C427" s="32"/>
      <c r="D427" s="32"/>
      <c r="E427" s="32"/>
      <c r="F427" s="32"/>
      <c r="G427" s="32"/>
      <c r="H427" s="33"/>
      <c r="I427" s="34" t="str">
        <f t="shared" ca="1" si="19"/>
        <v/>
      </c>
      <c r="J427" s="34" t="str">
        <f t="shared" si="20"/>
        <v/>
      </c>
    </row>
    <row r="428" spans="1:10" ht="19.5" customHeight="1" x14ac:dyDescent="0.25">
      <c r="A428" s="31" t="str">
        <f t="shared" si="18"/>
        <v/>
      </c>
      <c r="B428" s="32"/>
      <c r="C428" s="32"/>
      <c r="D428" s="32"/>
      <c r="E428" s="32"/>
      <c r="F428" s="32"/>
      <c r="G428" s="32"/>
      <c r="H428" s="33"/>
      <c r="I428" s="34" t="str">
        <f t="shared" ca="1" si="19"/>
        <v/>
      </c>
      <c r="J428" s="34" t="str">
        <f t="shared" si="20"/>
        <v/>
      </c>
    </row>
    <row r="429" spans="1:10" ht="19.5" customHeight="1" x14ac:dyDescent="0.25">
      <c r="A429" s="31" t="str">
        <f t="shared" si="18"/>
        <v/>
      </c>
      <c r="B429" s="32"/>
      <c r="C429" s="32"/>
      <c r="D429" s="32"/>
      <c r="E429" s="32"/>
      <c r="F429" s="32"/>
      <c r="G429" s="32"/>
      <c r="H429" s="33"/>
      <c r="I429" s="34" t="str">
        <f t="shared" ca="1" si="19"/>
        <v/>
      </c>
      <c r="J429" s="34" t="str">
        <f t="shared" si="20"/>
        <v/>
      </c>
    </row>
    <row r="430" spans="1:10" ht="19.5" customHeight="1" x14ac:dyDescent="0.25">
      <c r="A430" s="31" t="str">
        <f t="shared" si="18"/>
        <v/>
      </c>
      <c r="B430" s="32"/>
      <c r="C430" s="32"/>
      <c r="D430" s="32"/>
      <c r="E430" s="32"/>
      <c r="F430" s="32"/>
      <c r="G430" s="32"/>
      <c r="H430" s="33"/>
      <c r="I430" s="34" t="str">
        <f t="shared" ca="1" si="19"/>
        <v/>
      </c>
      <c r="J430" s="34" t="str">
        <f t="shared" si="20"/>
        <v/>
      </c>
    </row>
    <row r="431" spans="1:10" ht="19.5" customHeight="1" x14ac:dyDescent="0.25">
      <c r="A431" s="31" t="str">
        <f t="shared" si="18"/>
        <v/>
      </c>
      <c r="B431" s="32"/>
      <c r="C431" s="32"/>
      <c r="D431" s="32"/>
      <c r="E431" s="32"/>
      <c r="F431" s="32"/>
      <c r="G431" s="32"/>
      <c r="H431" s="33"/>
      <c r="I431" s="34" t="str">
        <f t="shared" ca="1" si="19"/>
        <v/>
      </c>
      <c r="J431" s="34" t="str">
        <f t="shared" si="20"/>
        <v/>
      </c>
    </row>
    <row r="432" spans="1:10" ht="19.5" customHeight="1" x14ac:dyDescent="0.25">
      <c r="A432" s="31" t="str">
        <f t="shared" si="18"/>
        <v/>
      </c>
      <c r="B432" s="32"/>
      <c r="C432" s="32"/>
      <c r="D432" s="32"/>
      <c r="E432" s="32"/>
      <c r="F432" s="32"/>
      <c r="G432" s="32"/>
      <c r="H432" s="33"/>
      <c r="I432" s="34" t="str">
        <f t="shared" ca="1" si="19"/>
        <v/>
      </c>
      <c r="J432" s="34" t="str">
        <f t="shared" si="20"/>
        <v/>
      </c>
    </row>
    <row r="433" spans="1:10" ht="19.5" customHeight="1" x14ac:dyDescent="0.25">
      <c r="A433" s="31" t="str">
        <f t="shared" si="18"/>
        <v/>
      </c>
      <c r="B433" s="32"/>
      <c r="C433" s="32"/>
      <c r="D433" s="32"/>
      <c r="E433" s="32"/>
      <c r="F433" s="32"/>
      <c r="G433" s="32"/>
      <c r="H433" s="33"/>
      <c r="I433" s="34" t="str">
        <f t="shared" ca="1" si="19"/>
        <v/>
      </c>
      <c r="J433" s="34" t="str">
        <f t="shared" si="20"/>
        <v/>
      </c>
    </row>
    <row r="434" spans="1:10" ht="19.5" customHeight="1" x14ac:dyDescent="0.25">
      <c r="A434" s="31" t="str">
        <f t="shared" si="18"/>
        <v/>
      </c>
      <c r="B434" s="32"/>
      <c r="C434" s="32"/>
      <c r="D434" s="32"/>
      <c r="E434" s="32"/>
      <c r="F434" s="32"/>
      <c r="G434" s="32"/>
      <c r="H434" s="33"/>
      <c r="I434" s="34" t="str">
        <f t="shared" ca="1" si="19"/>
        <v/>
      </c>
      <c r="J434" s="34" t="str">
        <f t="shared" si="20"/>
        <v/>
      </c>
    </row>
    <row r="435" spans="1:10" ht="19.5" customHeight="1" x14ac:dyDescent="0.25">
      <c r="A435" s="31" t="str">
        <f t="shared" si="18"/>
        <v/>
      </c>
      <c r="B435" s="32"/>
      <c r="C435" s="32"/>
      <c r="D435" s="32"/>
      <c r="E435" s="32"/>
      <c r="F435" s="32"/>
      <c r="G435" s="32"/>
      <c r="H435" s="33"/>
      <c r="I435" s="34" t="str">
        <f t="shared" ca="1" si="19"/>
        <v/>
      </c>
      <c r="J435" s="34" t="str">
        <f t="shared" si="20"/>
        <v/>
      </c>
    </row>
    <row r="436" spans="1:10" ht="19.5" customHeight="1" x14ac:dyDescent="0.25">
      <c r="A436" s="31" t="str">
        <f t="shared" si="18"/>
        <v/>
      </c>
      <c r="B436" s="32"/>
      <c r="C436" s="32"/>
      <c r="D436" s="32"/>
      <c r="E436" s="32"/>
      <c r="F436" s="32"/>
      <c r="G436" s="32"/>
      <c r="H436" s="33"/>
      <c r="I436" s="34" t="str">
        <f t="shared" ca="1" si="19"/>
        <v/>
      </c>
      <c r="J436" s="34" t="str">
        <f t="shared" si="20"/>
        <v/>
      </c>
    </row>
    <row r="437" spans="1:10" ht="19.5" customHeight="1" x14ac:dyDescent="0.25">
      <c r="A437" s="31" t="str">
        <f t="shared" si="18"/>
        <v/>
      </c>
      <c r="B437" s="32"/>
      <c r="C437" s="32"/>
      <c r="D437" s="32"/>
      <c r="E437" s="32"/>
      <c r="F437" s="32"/>
      <c r="G437" s="32"/>
      <c r="H437" s="33"/>
      <c r="I437" s="34" t="str">
        <f t="shared" ca="1" si="19"/>
        <v/>
      </c>
      <c r="J437" s="34" t="str">
        <f t="shared" si="20"/>
        <v/>
      </c>
    </row>
    <row r="438" spans="1:10" ht="19.5" customHeight="1" x14ac:dyDescent="0.25">
      <c r="A438" s="31" t="str">
        <f t="shared" si="18"/>
        <v/>
      </c>
      <c r="B438" s="32"/>
      <c r="C438" s="32"/>
      <c r="D438" s="32"/>
      <c r="E438" s="32"/>
      <c r="F438" s="32"/>
      <c r="G438" s="32"/>
      <c r="H438" s="33"/>
      <c r="I438" s="34" t="str">
        <f t="shared" ca="1" si="19"/>
        <v/>
      </c>
      <c r="J438" s="34" t="str">
        <f t="shared" si="20"/>
        <v/>
      </c>
    </row>
    <row r="439" spans="1:10" ht="19.5" customHeight="1" x14ac:dyDescent="0.25">
      <c r="A439" s="31" t="str">
        <f t="shared" si="18"/>
        <v/>
      </c>
      <c r="B439" s="32"/>
      <c r="C439" s="32"/>
      <c r="D439" s="32"/>
      <c r="E439" s="32"/>
      <c r="F439" s="32"/>
      <c r="G439" s="32"/>
      <c r="H439" s="33"/>
      <c r="I439" s="34" t="str">
        <f t="shared" ca="1" si="19"/>
        <v/>
      </c>
      <c r="J439" s="34" t="str">
        <f t="shared" si="20"/>
        <v/>
      </c>
    </row>
    <row r="440" spans="1:10" ht="19.5" customHeight="1" x14ac:dyDescent="0.25">
      <c r="A440" s="31" t="str">
        <f t="shared" si="18"/>
        <v/>
      </c>
      <c r="B440" s="32"/>
      <c r="C440" s="32"/>
      <c r="D440" s="32"/>
      <c r="E440" s="32"/>
      <c r="F440" s="32"/>
      <c r="G440" s="32"/>
      <c r="H440" s="33"/>
      <c r="I440" s="34" t="str">
        <f t="shared" ca="1" si="19"/>
        <v/>
      </c>
      <c r="J440" s="34" t="str">
        <f t="shared" si="20"/>
        <v/>
      </c>
    </row>
    <row r="441" spans="1:10" ht="19.5" customHeight="1" x14ac:dyDescent="0.25">
      <c r="A441" s="31" t="str">
        <f t="shared" si="18"/>
        <v/>
      </c>
      <c r="B441" s="32"/>
      <c r="C441" s="32"/>
      <c r="D441" s="32"/>
      <c r="E441" s="32"/>
      <c r="F441" s="32"/>
      <c r="G441" s="32"/>
      <c r="H441" s="33"/>
      <c r="I441" s="34" t="str">
        <f t="shared" ca="1" si="19"/>
        <v/>
      </c>
      <c r="J441" s="34" t="str">
        <f t="shared" si="20"/>
        <v/>
      </c>
    </row>
    <row r="442" spans="1:10" ht="19.5" customHeight="1" x14ac:dyDescent="0.25">
      <c r="A442" s="31" t="str">
        <f t="shared" si="18"/>
        <v/>
      </c>
      <c r="B442" s="32"/>
      <c r="C442" s="32"/>
      <c r="D442" s="32"/>
      <c r="E442" s="32"/>
      <c r="F442" s="32"/>
      <c r="G442" s="32"/>
      <c r="H442" s="33"/>
      <c r="I442" s="34" t="str">
        <f t="shared" ca="1" si="19"/>
        <v/>
      </c>
      <c r="J442" s="34" t="str">
        <f t="shared" si="20"/>
        <v/>
      </c>
    </row>
    <row r="443" spans="1:10" ht="19.5" customHeight="1" x14ac:dyDescent="0.25">
      <c r="A443" s="31" t="str">
        <f t="shared" si="18"/>
        <v/>
      </c>
      <c r="B443" s="32"/>
      <c r="C443" s="32"/>
      <c r="D443" s="32"/>
      <c r="E443" s="32"/>
      <c r="F443" s="32"/>
      <c r="G443" s="32"/>
      <c r="H443" s="33"/>
      <c r="I443" s="34" t="str">
        <f t="shared" ca="1" si="19"/>
        <v/>
      </c>
      <c r="J443" s="34" t="str">
        <f t="shared" si="20"/>
        <v/>
      </c>
    </row>
    <row r="444" spans="1:10" ht="19.5" customHeight="1" x14ac:dyDescent="0.25">
      <c r="A444" s="31" t="str">
        <f t="shared" si="18"/>
        <v/>
      </c>
      <c r="B444" s="32"/>
      <c r="C444" s="32"/>
      <c r="D444" s="32"/>
      <c r="E444" s="32"/>
      <c r="F444" s="32"/>
      <c r="G444" s="32"/>
      <c r="H444" s="33"/>
      <c r="I444" s="34" t="str">
        <f t="shared" ca="1" si="19"/>
        <v/>
      </c>
      <c r="J444" s="34" t="str">
        <f t="shared" si="20"/>
        <v/>
      </c>
    </row>
    <row r="445" spans="1:10" ht="19.5" customHeight="1" x14ac:dyDescent="0.25">
      <c r="A445" s="31" t="str">
        <f t="shared" si="18"/>
        <v/>
      </c>
      <c r="B445" s="32"/>
      <c r="C445" s="32"/>
      <c r="D445" s="32"/>
      <c r="E445" s="32"/>
      <c r="F445" s="32"/>
      <c r="G445" s="32"/>
      <c r="H445" s="33"/>
      <c r="I445" s="34" t="str">
        <f t="shared" ca="1" si="19"/>
        <v/>
      </c>
      <c r="J445" s="34" t="str">
        <f t="shared" si="20"/>
        <v/>
      </c>
    </row>
    <row r="446" spans="1:10" ht="19.5" customHeight="1" x14ac:dyDescent="0.25">
      <c r="A446" s="31" t="str">
        <f t="shared" si="18"/>
        <v/>
      </c>
      <c r="B446" s="32"/>
      <c r="C446" s="32"/>
      <c r="D446" s="32"/>
      <c r="E446" s="32"/>
      <c r="F446" s="32"/>
      <c r="G446" s="32"/>
      <c r="H446" s="33"/>
      <c r="I446" s="34" t="str">
        <f t="shared" ca="1" si="19"/>
        <v/>
      </c>
      <c r="J446" s="34" t="str">
        <f t="shared" si="20"/>
        <v/>
      </c>
    </row>
    <row r="447" spans="1:10" ht="19.5" customHeight="1" x14ac:dyDescent="0.25">
      <c r="A447" s="31" t="str">
        <f t="shared" si="18"/>
        <v/>
      </c>
      <c r="B447" s="32"/>
      <c r="C447" s="32"/>
      <c r="D447" s="32"/>
      <c r="E447" s="32"/>
      <c r="F447" s="32"/>
      <c r="G447" s="32"/>
      <c r="H447" s="33"/>
      <c r="I447" s="34" t="str">
        <f t="shared" ca="1" si="19"/>
        <v/>
      </c>
      <c r="J447" s="34" t="str">
        <f t="shared" si="20"/>
        <v/>
      </c>
    </row>
    <row r="448" spans="1:10" ht="19.5" customHeight="1" x14ac:dyDescent="0.25">
      <c r="A448" s="31" t="str">
        <f t="shared" si="18"/>
        <v/>
      </c>
      <c r="B448" s="32"/>
      <c r="C448" s="32"/>
      <c r="D448" s="32"/>
      <c r="E448" s="32"/>
      <c r="F448" s="32"/>
      <c r="G448" s="32"/>
      <c r="H448" s="33"/>
      <c r="I448" s="34" t="str">
        <f t="shared" ca="1" si="19"/>
        <v/>
      </c>
      <c r="J448" s="34" t="str">
        <f t="shared" si="20"/>
        <v/>
      </c>
    </row>
    <row r="449" spans="1:10" ht="19.5" customHeight="1" x14ac:dyDescent="0.25">
      <c r="A449" s="31" t="str">
        <f t="shared" si="18"/>
        <v/>
      </c>
      <c r="B449" s="32"/>
      <c r="C449" s="32"/>
      <c r="D449" s="32"/>
      <c r="E449" s="32"/>
      <c r="F449" s="32"/>
      <c r="G449" s="32"/>
      <c r="H449" s="33"/>
      <c r="I449" s="34" t="str">
        <f t="shared" ca="1" si="19"/>
        <v/>
      </c>
      <c r="J449" s="34" t="str">
        <f t="shared" si="20"/>
        <v/>
      </c>
    </row>
    <row r="450" spans="1:10" ht="19.5" customHeight="1" x14ac:dyDescent="0.25">
      <c r="A450" s="31" t="str">
        <f t="shared" si="18"/>
        <v/>
      </c>
      <c r="B450" s="32"/>
      <c r="C450" s="32"/>
      <c r="D450" s="32"/>
      <c r="E450" s="32"/>
      <c r="F450" s="32"/>
      <c r="G450" s="32"/>
      <c r="H450" s="33"/>
      <c r="I450" s="34" t="str">
        <f t="shared" ca="1" si="19"/>
        <v/>
      </c>
      <c r="J450" s="34" t="str">
        <f t="shared" si="20"/>
        <v/>
      </c>
    </row>
    <row r="451" spans="1:10" ht="19.5" customHeight="1" x14ac:dyDescent="0.25">
      <c r="A451" s="31" t="str">
        <f t="shared" si="18"/>
        <v/>
      </c>
      <c r="B451" s="32"/>
      <c r="C451" s="32"/>
      <c r="D451" s="32"/>
      <c r="E451" s="32"/>
      <c r="F451" s="32"/>
      <c r="G451" s="32"/>
      <c r="H451" s="33"/>
      <c r="I451" s="34" t="str">
        <f t="shared" ca="1" si="19"/>
        <v/>
      </c>
      <c r="J451" s="34" t="str">
        <f t="shared" si="20"/>
        <v/>
      </c>
    </row>
    <row r="452" spans="1:10" ht="19.5" customHeight="1" x14ac:dyDescent="0.25">
      <c r="A452" s="31" t="str">
        <f t="shared" si="18"/>
        <v/>
      </c>
      <c r="B452" s="32"/>
      <c r="C452" s="32"/>
      <c r="D452" s="32"/>
      <c r="E452" s="32"/>
      <c r="F452" s="32"/>
      <c r="G452" s="32"/>
      <c r="H452" s="33"/>
      <c r="I452" s="34" t="str">
        <f t="shared" ca="1" si="19"/>
        <v/>
      </c>
      <c r="J452" s="34" t="str">
        <f t="shared" si="20"/>
        <v/>
      </c>
    </row>
    <row r="453" spans="1:10" ht="19.5" customHeight="1" x14ac:dyDescent="0.25">
      <c r="A453" s="31" t="str">
        <f t="shared" ref="A453:A516" si="21">IF(B453="","","ACC"&amp;TEXT(ROW()-4,"0000"))</f>
        <v/>
      </c>
      <c r="B453" s="32"/>
      <c r="C453" s="32"/>
      <c r="D453" s="32"/>
      <c r="E453" s="32"/>
      <c r="F453" s="32"/>
      <c r="G453" s="32"/>
      <c r="H453" s="33"/>
      <c r="I453" s="34" t="str">
        <f t="shared" ref="I453:I516" ca="1" si="22">IF(B453="","",TEXT(TODAY(),"dd/mm/yyyy"))</f>
        <v/>
      </c>
      <c r="J453" s="34" t="str">
        <f t="shared" ref="J453:J516" si="23">IF(B453="","",IF(ISNUMBER(H453),IF(H453&gt;=10,"✅ Active","⚠️ Below Min Balance"),"Pending"))</f>
        <v/>
      </c>
    </row>
    <row r="454" spans="1:10" ht="19.5" customHeight="1" x14ac:dyDescent="0.25">
      <c r="A454" s="31" t="str">
        <f t="shared" si="21"/>
        <v/>
      </c>
      <c r="B454" s="32"/>
      <c r="C454" s="32"/>
      <c r="D454" s="32"/>
      <c r="E454" s="32"/>
      <c r="F454" s="32"/>
      <c r="G454" s="32"/>
      <c r="H454" s="33"/>
      <c r="I454" s="34" t="str">
        <f t="shared" ca="1" si="22"/>
        <v/>
      </c>
      <c r="J454" s="34" t="str">
        <f t="shared" si="23"/>
        <v/>
      </c>
    </row>
    <row r="455" spans="1:10" ht="19.5" customHeight="1" x14ac:dyDescent="0.25">
      <c r="A455" s="31" t="str">
        <f t="shared" si="21"/>
        <v/>
      </c>
      <c r="B455" s="32"/>
      <c r="C455" s="32"/>
      <c r="D455" s="32"/>
      <c r="E455" s="32"/>
      <c r="F455" s="32"/>
      <c r="G455" s="32"/>
      <c r="H455" s="33"/>
      <c r="I455" s="34" t="str">
        <f t="shared" ca="1" si="22"/>
        <v/>
      </c>
      <c r="J455" s="34" t="str">
        <f t="shared" si="23"/>
        <v/>
      </c>
    </row>
    <row r="456" spans="1:10" ht="19.5" customHeight="1" x14ac:dyDescent="0.25">
      <c r="A456" s="31" t="str">
        <f t="shared" si="21"/>
        <v/>
      </c>
      <c r="B456" s="32"/>
      <c r="C456" s="32"/>
      <c r="D456" s="32"/>
      <c r="E456" s="32"/>
      <c r="F456" s="32"/>
      <c r="G456" s="32"/>
      <c r="H456" s="33"/>
      <c r="I456" s="34" t="str">
        <f t="shared" ca="1" si="22"/>
        <v/>
      </c>
      <c r="J456" s="34" t="str">
        <f t="shared" si="23"/>
        <v/>
      </c>
    </row>
    <row r="457" spans="1:10" ht="19.5" customHeight="1" x14ac:dyDescent="0.25">
      <c r="A457" s="31" t="str">
        <f t="shared" si="21"/>
        <v/>
      </c>
      <c r="B457" s="32"/>
      <c r="C457" s="32"/>
      <c r="D457" s="32"/>
      <c r="E457" s="32"/>
      <c r="F457" s="32"/>
      <c r="G457" s="32"/>
      <c r="H457" s="33"/>
      <c r="I457" s="34" t="str">
        <f t="shared" ca="1" si="22"/>
        <v/>
      </c>
      <c r="J457" s="34" t="str">
        <f t="shared" si="23"/>
        <v/>
      </c>
    </row>
    <row r="458" spans="1:10" ht="19.5" customHeight="1" x14ac:dyDescent="0.25">
      <c r="A458" s="31" t="str">
        <f t="shared" si="21"/>
        <v/>
      </c>
      <c r="B458" s="32"/>
      <c r="C458" s="32"/>
      <c r="D458" s="32"/>
      <c r="E458" s="32"/>
      <c r="F458" s="32"/>
      <c r="G458" s="32"/>
      <c r="H458" s="33"/>
      <c r="I458" s="34" t="str">
        <f t="shared" ca="1" si="22"/>
        <v/>
      </c>
      <c r="J458" s="34" t="str">
        <f t="shared" si="23"/>
        <v/>
      </c>
    </row>
    <row r="459" spans="1:10" ht="19.5" customHeight="1" x14ac:dyDescent="0.25">
      <c r="A459" s="31" t="str">
        <f t="shared" si="21"/>
        <v/>
      </c>
      <c r="B459" s="32"/>
      <c r="C459" s="32"/>
      <c r="D459" s="32"/>
      <c r="E459" s="32"/>
      <c r="F459" s="32"/>
      <c r="G459" s="32"/>
      <c r="H459" s="33"/>
      <c r="I459" s="34" t="str">
        <f t="shared" ca="1" si="22"/>
        <v/>
      </c>
      <c r="J459" s="34" t="str">
        <f t="shared" si="23"/>
        <v/>
      </c>
    </row>
    <row r="460" spans="1:10" ht="19.5" customHeight="1" x14ac:dyDescent="0.25">
      <c r="A460" s="31" t="str">
        <f t="shared" si="21"/>
        <v/>
      </c>
      <c r="B460" s="32"/>
      <c r="C460" s="32"/>
      <c r="D460" s="32"/>
      <c r="E460" s="32"/>
      <c r="F460" s="32"/>
      <c r="G460" s="32"/>
      <c r="H460" s="33"/>
      <c r="I460" s="34" t="str">
        <f t="shared" ca="1" si="22"/>
        <v/>
      </c>
      <c r="J460" s="34" t="str">
        <f t="shared" si="23"/>
        <v/>
      </c>
    </row>
    <row r="461" spans="1:10" ht="19.5" customHeight="1" x14ac:dyDescent="0.25">
      <c r="A461" s="31" t="str">
        <f t="shared" si="21"/>
        <v/>
      </c>
      <c r="B461" s="32"/>
      <c r="C461" s="32"/>
      <c r="D461" s="32"/>
      <c r="E461" s="32"/>
      <c r="F461" s="32"/>
      <c r="G461" s="32"/>
      <c r="H461" s="33"/>
      <c r="I461" s="34" t="str">
        <f t="shared" ca="1" si="22"/>
        <v/>
      </c>
      <c r="J461" s="34" t="str">
        <f t="shared" si="23"/>
        <v/>
      </c>
    </row>
    <row r="462" spans="1:10" ht="19.5" customHeight="1" x14ac:dyDescent="0.25">
      <c r="A462" s="31" t="str">
        <f t="shared" si="21"/>
        <v/>
      </c>
      <c r="B462" s="32"/>
      <c r="C462" s="32"/>
      <c r="D462" s="32"/>
      <c r="E462" s="32"/>
      <c r="F462" s="32"/>
      <c r="G462" s="32"/>
      <c r="H462" s="33"/>
      <c r="I462" s="34" t="str">
        <f t="shared" ca="1" si="22"/>
        <v/>
      </c>
      <c r="J462" s="34" t="str">
        <f t="shared" si="23"/>
        <v/>
      </c>
    </row>
    <row r="463" spans="1:10" ht="19.5" customHeight="1" x14ac:dyDescent="0.25">
      <c r="A463" s="31" t="str">
        <f t="shared" si="21"/>
        <v/>
      </c>
      <c r="B463" s="32"/>
      <c r="C463" s="32"/>
      <c r="D463" s="32"/>
      <c r="E463" s="32"/>
      <c r="F463" s="32"/>
      <c r="G463" s="32"/>
      <c r="H463" s="33"/>
      <c r="I463" s="34" t="str">
        <f t="shared" ca="1" si="22"/>
        <v/>
      </c>
      <c r="J463" s="34" t="str">
        <f t="shared" si="23"/>
        <v/>
      </c>
    </row>
    <row r="464" spans="1:10" ht="19.5" customHeight="1" x14ac:dyDescent="0.25">
      <c r="A464" s="31" t="str">
        <f t="shared" si="21"/>
        <v/>
      </c>
      <c r="B464" s="32"/>
      <c r="C464" s="32"/>
      <c r="D464" s="32"/>
      <c r="E464" s="32"/>
      <c r="F464" s="32"/>
      <c r="G464" s="32"/>
      <c r="H464" s="33"/>
      <c r="I464" s="34" t="str">
        <f t="shared" ca="1" si="22"/>
        <v/>
      </c>
      <c r="J464" s="34" t="str">
        <f t="shared" si="23"/>
        <v/>
      </c>
    </row>
    <row r="465" spans="1:10" ht="19.5" customHeight="1" x14ac:dyDescent="0.25">
      <c r="A465" s="31" t="str">
        <f t="shared" si="21"/>
        <v/>
      </c>
      <c r="B465" s="32"/>
      <c r="C465" s="32"/>
      <c r="D465" s="32"/>
      <c r="E465" s="32"/>
      <c r="F465" s="32"/>
      <c r="G465" s="32"/>
      <c r="H465" s="33"/>
      <c r="I465" s="34" t="str">
        <f t="shared" ca="1" si="22"/>
        <v/>
      </c>
      <c r="J465" s="34" t="str">
        <f t="shared" si="23"/>
        <v/>
      </c>
    </row>
    <row r="466" spans="1:10" ht="19.5" customHeight="1" x14ac:dyDescent="0.25">
      <c r="A466" s="31" t="str">
        <f t="shared" si="21"/>
        <v/>
      </c>
      <c r="B466" s="32"/>
      <c r="C466" s="32"/>
      <c r="D466" s="32"/>
      <c r="E466" s="32"/>
      <c r="F466" s="32"/>
      <c r="G466" s="32"/>
      <c r="H466" s="33"/>
      <c r="I466" s="34" t="str">
        <f t="shared" ca="1" si="22"/>
        <v/>
      </c>
      <c r="J466" s="34" t="str">
        <f t="shared" si="23"/>
        <v/>
      </c>
    </row>
    <row r="467" spans="1:10" ht="19.5" customHeight="1" x14ac:dyDescent="0.25">
      <c r="A467" s="31" t="str">
        <f t="shared" si="21"/>
        <v/>
      </c>
      <c r="B467" s="32"/>
      <c r="C467" s="32"/>
      <c r="D467" s="32"/>
      <c r="E467" s="32"/>
      <c r="F467" s="32"/>
      <c r="G467" s="32"/>
      <c r="H467" s="33"/>
      <c r="I467" s="34" t="str">
        <f t="shared" ca="1" si="22"/>
        <v/>
      </c>
      <c r="J467" s="34" t="str">
        <f t="shared" si="23"/>
        <v/>
      </c>
    </row>
    <row r="468" spans="1:10" ht="19.5" customHeight="1" x14ac:dyDescent="0.25">
      <c r="A468" s="31" t="str">
        <f t="shared" si="21"/>
        <v/>
      </c>
      <c r="B468" s="32"/>
      <c r="C468" s="32"/>
      <c r="D468" s="32"/>
      <c r="E468" s="32"/>
      <c r="F468" s="32"/>
      <c r="G468" s="32"/>
      <c r="H468" s="33"/>
      <c r="I468" s="34" t="str">
        <f t="shared" ca="1" si="22"/>
        <v/>
      </c>
      <c r="J468" s="34" t="str">
        <f t="shared" si="23"/>
        <v/>
      </c>
    </row>
    <row r="469" spans="1:10" ht="19.5" customHeight="1" x14ac:dyDescent="0.25">
      <c r="A469" s="31" t="str">
        <f t="shared" si="21"/>
        <v/>
      </c>
      <c r="B469" s="32"/>
      <c r="C469" s="32"/>
      <c r="D469" s="32"/>
      <c r="E469" s="32"/>
      <c r="F469" s="32"/>
      <c r="G469" s="32"/>
      <c r="H469" s="33"/>
      <c r="I469" s="34" t="str">
        <f t="shared" ca="1" si="22"/>
        <v/>
      </c>
      <c r="J469" s="34" t="str">
        <f t="shared" si="23"/>
        <v/>
      </c>
    </row>
    <row r="470" spans="1:10" ht="19.5" customHeight="1" x14ac:dyDescent="0.25">
      <c r="A470" s="31" t="str">
        <f t="shared" si="21"/>
        <v/>
      </c>
      <c r="B470" s="32"/>
      <c r="C470" s="32"/>
      <c r="D470" s="32"/>
      <c r="E470" s="32"/>
      <c r="F470" s="32"/>
      <c r="G470" s="32"/>
      <c r="H470" s="33"/>
      <c r="I470" s="34" t="str">
        <f t="shared" ca="1" si="22"/>
        <v/>
      </c>
      <c r="J470" s="34" t="str">
        <f t="shared" si="23"/>
        <v/>
      </c>
    </row>
    <row r="471" spans="1:10" ht="19.5" customHeight="1" x14ac:dyDescent="0.25">
      <c r="A471" s="31" t="str">
        <f t="shared" si="21"/>
        <v/>
      </c>
      <c r="B471" s="32"/>
      <c r="C471" s="32"/>
      <c r="D471" s="32"/>
      <c r="E471" s="32"/>
      <c r="F471" s="32"/>
      <c r="G471" s="32"/>
      <c r="H471" s="33"/>
      <c r="I471" s="34" t="str">
        <f t="shared" ca="1" si="22"/>
        <v/>
      </c>
      <c r="J471" s="34" t="str">
        <f t="shared" si="23"/>
        <v/>
      </c>
    </row>
    <row r="472" spans="1:10" ht="19.5" customHeight="1" x14ac:dyDescent="0.25">
      <c r="A472" s="31" t="str">
        <f t="shared" si="21"/>
        <v/>
      </c>
      <c r="B472" s="32"/>
      <c r="C472" s="32"/>
      <c r="D472" s="32"/>
      <c r="E472" s="32"/>
      <c r="F472" s="32"/>
      <c r="G472" s="32"/>
      <c r="H472" s="33"/>
      <c r="I472" s="34" t="str">
        <f t="shared" ca="1" si="22"/>
        <v/>
      </c>
      <c r="J472" s="34" t="str">
        <f t="shared" si="23"/>
        <v/>
      </c>
    </row>
    <row r="473" spans="1:10" ht="19.5" customHeight="1" x14ac:dyDescent="0.25">
      <c r="A473" s="31" t="str">
        <f t="shared" si="21"/>
        <v/>
      </c>
      <c r="B473" s="32"/>
      <c r="C473" s="32"/>
      <c r="D473" s="32"/>
      <c r="E473" s="32"/>
      <c r="F473" s="32"/>
      <c r="G473" s="32"/>
      <c r="H473" s="33"/>
      <c r="I473" s="34" t="str">
        <f t="shared" ca="1" si="22"/>
        <v/>
      </c>
      <c r="J473" s="34" t="str">
        <f t="shared" si="23"/>
        <v/>
      </c>
    </row>
    <row r="474" spans="1:10" ht="19.5" customHeight="1" x14ac:dyDescent="0.25">
      <c r="A474" s="31" t="str">
        <f t="shared" si="21"/>
        <v/>
      </c>
      <c r="B474" s="32"/>
      <c r="C474" s="32"/>
      <c r="D474" s="32"/>
      <c r="E474" s="32"/>
      <c r="F474" s="32"/>
      <c r="G474" s="32"/>
      <c r="H474" s="33"/>
      <c r="I474" s="34" t="str">
        <f t="shared" ca="1" si="22"/>
        <v/>
      </c>
      <c r="J474" s="34" t="str">
        <f t="shared" si="23"/>
        <v/>
      </c>
    </row>
    <row r="475" spans="1:10" ht="19.5" customHeight="1" x14ac:dyDescent="0.25">
      <c r="A475" s="31" t="str">
        <f t="shared" si="21"/>
        <v/>
      </c>
      <c r="B475" s="32"/>
      <c r="C475" s="32"/>
      <c r="D475" s="32"/>
      <c r="E475" s="32"/>
      <c r="F475" s="32"/>
      <c r="G475" s="32"/>
      <c r="H475" s="33"/>
      <c r="I475" s="34" t="str">
        <f t="shared" ca="1" si="22"/>
        <v/>
      </c>
      <c r="J475" s="34" t="str">
        <f t="shared" si="23"/>
        <v/>
      </c>
    </row>
    <row r="476" spans="1:10" ht="19.5" customHeight="1" x14ac:dyDescent="0.25">
      <c r="A476" s="31" t="str">
        <f t="shared" si="21"/>
        <v/>
      </c>
      <c r="B476" s="32"/>
      <c r="C476" s="32"/>
      <c r="D476" s="32"/>
      <c r="E476" s="32"/>
      <c r="F476" s="32"/>
      <c r="G476" s="32"/>
      <c r="H476" s="33"/>
      <c r="I476" s="34" t="str">
        <f t="shared" ca="1" si="22"/>
        <v/>
      </c>
      <c r="J476" s="34" t="str">
        <f t="shared" si="23"/>
        <v/>
      </c>
    </row>
    <row r="477" spans="1:10" ht="19.5" customHeight="1" x14ac:dyDescent="0.25">
      <c r="A477" s="31" t="str">
        <f t="shared" si="21"/>
        <v/>
      </c>
      <c r="B477" s="32"/>
      <c r="C477" s="32"/>
      <c r="D477" s="32"/>
      <c r="E477" s="32"/>
      <c r="F477" s="32"/>
      <c r="G477" s="32"/>
      <c r="H477" s="33"/>
      <c r="I477" s="34" t="str">
        <f t="shared" ca="1" si="22"/>
        <v/>
      </c>
      <c r="J477" s="34" t="str">
        <f t="shared" si="23"/>
        <v/>
      </c>
    </row>
    <row r="478" spans="1:10" ht="19.5" customHeight="1" x14ac:dyDescent="0.25">
      <c r="A478" s="31" t="str">
        <f t="shared" si="21"/>
        <v/>
      </c>
      <c r="B478" s="32"/>
      <c r="C478" s="32"/>
      <c r="D478" s="32"/>
      <c r="E478" s="32"/>
      <c r="F478" s="32"/>
      <c r="G478" s="32"/>
      <c r="H478" s="33"/>
      <c r="I478" s="34" t="str">
        <f t="shared" ca="1" si="22"/>
        <v/>
      </c>
      <c r="J478" s="34" t="str">
        <f t="shared" si="23"/>
        <v/>
      </c>
    </row>
    <row r="479" spans="1:10" ht="19.5" customHeight="1" x14ac:dyDescent="0.25">
      <c r="A479" s="31" t="str">
        <f t="shared" si="21"/>
        <v/>
      </c>
      <c r="B479" s="32"/>
      <c r="C479" s="32"/>
      <c r="D479" s="32"/>
      <c r="E479" s="32"/>
      <c r="F479" s="32"/>
      <c r="G479" s="32"/>
      <c r="H479" s="33"/>
      <c r="I479" s="34" t="str">
        <f t="shared" ca="1" si="22"/>
        <v/>
      </c>
      <c r="J479" s="34" t="str">
        <f t="shared" si="23"/>
        <v/>
      </c>
    </row>
    <row r="480" spans="1:10" ht="19.5" customHeight="1" x14ac:dyDescent="0.25">
      <c r="A480" s="31" t="str">
        <f t="shared" si="21"/>
        <v/>
      </c>
      <c r="B480" s="32"/>
      <c r="C480" s="32"/>
      <c r="D480" s="32"/>
      <c r="E480" s="32"/>
      <c r="F480" s="32"/>
      <c r="G480" s="32"/>
      <c r="H480" s="33"/>
      <c r="I480" s="34" t="str">
        <f t="shared" ca="1" si="22"/>
        <v/>
      </c>
      <c r="J480" s="34" t="str">
        <f t="shared" si="23"/>
        <v/>
      </c>
    </row>
    <row r="481" spans="1:10" ht="19.5" customHeight="1" x14ac:dyDescent="0.25">
      <c r="A481" s="31" t="str">
        <f t="shared" si="21"/>
        <v/>
      </c>
      <c r="B481" s="32"/>
      <c r="C481" s="32"/>
      <c r="D481" s="32"/>
      <c r="E481" s="32"/>
      <c r="F481" s="32"/>
      <c r="G481" s="32"/>
      <c r="H481" s="33"/>
      <c r="I481" s="34" t="str">
        <f t="shared" ca="1" si="22"/>
        <v/>
      </c>
      <c r="J481" s="34" t="str">
        <f t="shared" si="23"/>
        <v/>
      </c>
    </row>
    <row r="482" spans="1:10" ht="19.5" customHeight="1" x14ac:dyDescent="0.25">
      <c r="A482" s="31" t="str">
        <f t="shared" si="21"/>
        <v/>
      </c>
      <c r="B482" s="32"/>
      <c r="C482" s="32"/>
      <c r="D482" s="32"/>
      <c r="E482" s="32"/>
      <c r="F482" s="32"/>
      <c r="G482" s="32"/>
      <c r="H482" s="33"/>
      <c r="I482" s="34" t="str">
        <f t="shared" ca="1" si="22"/>
        <v/>
      </c>
      <c r="J482" s="34" t="str">
        <f t="shared" si="23"/>
        <v/>
      </c>
    </row>
    <row r="483" spans="1:10" ht="19.5" customHeight="1" x14ac:dyDescent="0.25">
      <c r="A483" s="31" t="str">
        <f t="shared" si="21"/>
        <v/>
      </c>
      <c r="B483" s="32"/>
      <c r="C483" s="32"/>
      <c r="D483" s="32"/>
      <c r="E483" s="32"/>
      <c r="F483" s="32"/>
      <c r="G483" s="32"/>
      <c r="H483" s="33"/>
      <c r="I483" s="34" t="str">
        <f t="shared" ca="1" si="22"/>
        <v/>
      </c>
      <c r="J483" s="34" t="str">
        <f t="shared" si="23"/>
        <v/>
      </c>
    </row>
    <row r="484" spans="1:10" ht="19.5" customHeight="1" x14ac:dyDescent="0.25">
      <c r="A484" s="31" t="str">
        <f t="shared" si="21"/>
        <v/>
      </c>
      <c r="B484" s="32"/>
      <c r="C484" s="32"/>
      <c r="D484" s="32"/>
      <c r="E484" s="32"/>
      <c r="F484" s="32"/>
      <c r="G484" s="32"/>
      <c r="H484" s="33"/>
      <c r="I484" s="34" t="str">
        <f t="shared" ca="1" si="22"/>
        <v/>
      </c>
      <c r="J484" s="34" t="str">
        <f t="shared" si="23"/>
        <v/>
      </c>
    </row>
    <row r="485" spans="1:10" ht="19.5" customHeight="1" x14ac:dyDescent="0.25">
      <c r="A485" s="31" t="str">
        <f t="shared" si="21"/>
        <v/>
      </c>
      <c r="B485" s="32"/>
      <c r="C485" s="32"/>
      <c r="D485" s="32"/>
      <c r="E485" s="32"/>
      <c r="F485" s="32"/>
      <c r="G485" s="32"/>
      <c r="H485" s="33"/>
      <c r="I485" s="34" t="str">
        <f t="shared" ca="1" si="22"/>
        <v/>
      </c>
      <c r="J485" s="34" t="str">
        <f t="shared" si="23"/>
        <v/>
      </c>
    </row>
    <row r="486" spans="1:10" ht="19.5" customHeight="1" x14ac:dyDescent="0.25">
      <c r="A486" s="31" t="str">
        <f t="shared" si="21"/>
        <v/>
      </c>
      <c r="B486" s="32"/>
      <c r="C486" s="32"/>
      <c r="D486" s="32"/>
      <c r="E486" s="32"/>
      <c r="F486" s="32"/>
      <c r="G486" s="32"/>
      <c r="H486" s="33"/>
      <c r="I486" s="34" t="str">
        <f t="shared" ca="1" si="22"/>
        <v/>
      </c>
      <c r="J486" s="34" t="str">
        <f t="shared" si="23"/>
        <v/>
      </c>
    </row>
    <row r="487" spans="1:10" ht="19.5" customHeight="1" x14ac:dyDescent="0.25">
      <c r="A487" s="31" t="str">
        <f t="shared" si="21"/>
        <v/>
      </c>
      <c r="B487" s="32"/>
      <c r="C487" s="32"/>
      <c r="D487" s="32"/>
      <c r="E487" s="32"/>
      <c r="F487" s="32"/>
      <c r="G487" s="32"/>
      <c r="H487" s="33"/>
      <c r="I487" s="34" t="str">
        <f t="shared" ca="1" si="22"/>
        <v/>
      </c>
      <c r="J487" s="34" t="str">
        <f t="shared" si="23"/>
        <v/>
      </c>
    </row>
    <row r="488" spans="1:10" ht="19.5" customHeight="1" x14ac:dyDescent="0.25">
      <c r="A488" s="31" t="str">
        <f t="shared" si="21"/>
        <v/>
      </c>
      <c r="B488" s="32"/>
      <c r="C488" s="32"/>
      <c r="D488" s="32"/>
      <c r="E488" s="32"/>
      <c r="F488" s="32"/>
      <c r="G488" s="32"/>
      <c r="H488" s="33"/>
      <c r="I488" s="34" t="str">
        <f t="shared" ca="1" si="22"/>
        <v/>
      </c>
      <c r="J488" s="34" t="str">
        <f t="shared" si="23"/>
        <v/>
      </c>
    </row>
    <row r="489" spans="1:10" ht="19.5" customHeight="1" x14ac:dyDescent="0.25">
      <c r="A489" s="31" t="str">
        <f t="shared" si="21"/>
        <v/>
      </c>
      <c r="B489" s="32"/>
      <c r="C489" s="32"/>
      <c r="D489" s="32"/>
      <c r="E489" s="32"/>
      <c r="F489" s="32"/>
      <c r="G489" s="32"/>
      <c r="H489" s="33"/>
      <c r="I489" s="34" t="str">
        <f t="shared" ca="1" si="22"/>
        <v/>
      </c>
      <c r="J489" s="34" t="str">
        <f t="shared" si="23"/>
        <v/>
      </c>
    </row>
    <row r="490" spans="1:10" ht="19.5" customHeight="1" x14ac:dyDescent="0.25">
      <c r="A490" s="31" t="str">
        <f t="shared" si="21"/>
        <v/>
      </c>
      <c r="B490" s="32"/>
      <c r="C490" s="32"/>
      <c r="D490" s="32"/>
      <c r="E490" s="32"/>
      <c r="F490" s="32"/>
      <c r="G490" s="32"/>
      <c r="H490" s="33"/>
      <c r="I490" s="34" t="str">
        <f t="shared" ca="1" si="22"/>
        <v/>
      </c>
      <c r="J490" s="34" t="str">
        <f t="shared" si="23"/>
        <v/>
      </c>
    </row>
    <row r="491" spans="1:10" ht="19.5" customHeight="1" x14ac:dyDescent="0.25">
      <c r="A491" s="31" t="str">
        <f t="shared" si="21"/>
        <v/>
      </c>
      <c r="B491" s="32"/>
      <c r="C491" s="32"/>
      <c r="D491" s="32"/>
      <c r="E491" s="32"/>
      <c r="F491" s="32"/>
      <c r="G491" s="32"/>
      <c r="H491" s="33"/>
      <c r="I491" s="34" t="str">
        <f t="shared" ca="1" si="22"/>
        <v/>
      </c>
      <c r="J491" s="34" t="str">
        <f t="shared" si="23"/>
        <v/>
      </c>
    </row>
    <row r="492" spans="1:10" ht="19.5" customHeight="1" x14ac:dyDescent="0.25">
      <c r="A492" s="31" t="str">
        <f t="shared" si="21"/>
        <v/>
      </c>
      <c r="B492" s="32"/>
      <c r="C492" s="32"/>
      <c r="D492" s="32"/>
      <c r="E492" s="32"/>
      <c r="F492" s="32"/>
      <c r="G492" s="32"/>
      <c r="H492" s="33"/>
      <c r="I492" s="34" t="str">
        <f t="shared" ca="1" si="22"/>
        <v/>
      </c>
      <c r="J492" s="34" t="str">
        <f t="shared" si="23"/>
        <v/>
      </c>
    </row>
    <row r="493" spans="1:10" ht="19.5" customHeight="1" x14ac:dyDescent="0.25">
      <c r="A493" s="31" t="str">
        <f t="shared" si="21"/>
        <v/>
      </c>
      <c r="B493" s="32"/>
      <c r="C493" s="32"/>
      <c r="D493" s="32"/>
      <c r="E493" s="32"/>
      <c r="F493" s="32"/>
      <c r="G493" s="32"/>
      <c r="H493" s="33"/>
      <c r="I493" s="34" t="str">
        <f t="shared" ca="1" si="22"/>
        <v/>
      </c>
      <c r="J493" s="34" t="str">
        <f t="shared" si="23"/>
        <v/>
      </c>
    </row>
    <row r="494" spans="1:10" ht="19.5" customHeight="1" x14ac:dyDescent="0.25">
      <c r="A494" s="31" t="str">
        <f t="shared" si="21"/>
        <v/>
      </c>
      <c r="B494" s="32"/>
      <c r="C494" s="32"/>
      <c r="D494" s="32"/>
      <c r="E494" s="32"/>
      <c r="F494" s="32"/>
      <c r="G494" s="32"/>
      <c r="H494" s="33"/>
      <c r="I494" s="34" t="str">
        <f t="shared" ca="1" si="22"/>
        <v/>
      </c>
      <c r="J494" s="34" t="str">
        <f t="shared" si="23"/>
        <v/>
      </c>
    </row>
    <row r="495" spans="1:10" ht="19.5" customHeight="1" x14ac:dyDescent="0.25">
      <c r="A495" s="31" t="str">
        <f t="shared" si="21"/>
        <v/>
      </c>
      <c r="B495" s="32"/>
      <c r="C495" s="32"/>
      <c r="D495" s="32"/>
      <c r="E495" s="32"/>
      <c r="F495" s="32"/>
      <c r="G495" s="32"/>
      <c r="H495" s="33"/>
      <c r="I495" s="34" t="str">
        <f t="shared" ca="1" si="22"/>
        <v/>
      </c>
      <c r="J495" s="34" t="str">
        <f t="shared" si="23"/>
        <v/>
      </c>
    </row>
    <row r="496" spans="1:10" ht="19.5" customHeight="1" x14ac:dyDescent="0.25">
      <c r="A496" s="31" t="str">
        <f t="shared" si="21"/>
        <v/>
      </c>
      <c r="B496" s="32"/>
      <c r="C496" s="32"/>
      <c r="D496" s="32"/>
      <c r="E496" s="32"/>
      <c r="F496" s="32"/>
      <c r="G496" s="32"/>
      <c r="H496" s="33"/>
      <c r="I496" s="34" t="str">
        <f t="shared" ca="1" si="22"/>
        <v/>
      </c>
      <c r="J496" s="34" t="str">
        <f t="shared" si="23"/>
        <v/>
      </c>
    </row>
    <row r="497" spans="1:10" ht="19.5" customHeight="1" x14ac:dyDescent="0.25">
      <c r="A497" s="31" t="str">
        <f t="shared" si="21"/>
        <v/>
      </c>
      <c r="B497" s="32"/>
      <c r="C497" s="32"/>
      <c r="D497" s="32"/>
      <c r="E497" s="32"/>
      <c r="F497" s="32"/>
      <c r="G497" s="32"/>
      <c r="H497" s="33"/>
      <c r="I497" s="34" t="str">
        <f t="shared" ca="1" si="22"/>
        <v/>
      </c>
      <c r="J497" s="34" t="str">
        <f t="shared" si="23"/>
        <v/>
      </c>
    </row>
    <row r="498" spans="1:10" ht="19.5" customHeight="1" x14ac:dyDescent="0.25">
      <c r="A498" s="31" t="str">
        <f t="shared" si="21"/>
        <v/>
      </c>
      <c r="B498" s="32"/>
      <c r="C498" s="32"/>
      <c r="D498" s="32"/>
      <c r="E498" s="32"/>
      <c r="F498" s="32"/>
      <c r="G498" s="32"/>
      <c r="H498" s="33"/>
      <c r="I498" s="34" t="str">
        <f t="shared" ca="1" si="22"/>
        <v/>
      </c>
      <c r="J498" s="34" t="str">
        <f t="shared" si="23"/>
        <v/>
      </c>
    </row>
    <row r="499" spans="1:10" ht="19.5" customHeight="1" x14ac:dyDescent="0.25">
      <c r="A499" s="31" t="str">
        <f t="shared" si="21"/>
        <v/>
      </c>
      <c r="B499" s="32"/>
      <c r="C499" s="32"/>
      <c r="D499" s="32"/>
      <c r="E499" s="32"/>
      <c r="F499" s="32"/>
      <c r="G499" s="32"/>
      <c r="H499" s="33"/>
      <c r="I499" s="34" t="str">
        <f t="shared" ca="1" si="22"/>
        <v/>
      </c>
      <c r="J499" s="34" t="str">
        <f t="shared" si="23"/>
        <v/>
      </c>
    </row>
    <row r="500" spans="1:10" ht="19.5" customHeight="1" x14ac:dyDescent="0.25">
      <c r="A500" s="31" t="str">
        <f t="shared" si="21"/>
        <v/>
      </c>
      <c r="B500" s="32"/>
      <c r="C500" s="32"/>
      <c r="D500" s="32"/>
      <c r="E500" s="32"/>
      <c r="F500" s="32"/>
      <c r="G500" s="32"/>
      <c r="H500" s="33"/>
      <c r="I500" s="34" t="str">
        <f t="shared" ca="1" si="22"/>
        <v/>
      </c>
      <c r="J500" s="34" t="str">
        <f t="shared" si="23"/>
        <v/>
      </c>
    </row>
    <row r="501" spans="1:10" ht="19.5" customHeight="1" x14ac:dyDescent="0.25">
      <c r="A501" s="31" t="str">
        <f t="shared" si="21"/>
        <v/>
      </c>
      <c r="B501" s="32"/>
      <c r="C501" s="32"/>
      <c r="D501" s="32"/>
      <c r="E501" s="32"/>
      <c r="F501" s="32"/>
      <c r="G501" s="32"/>
      <c r="H501" s="33"/>
      <c r="I501" s="34" t="str">
        <f t="shared" ca="1" si="22"/>
        <v/>
      </c>
      <c r="J501" s="34" t="str">
        <f t="shared" si="23"/>
        <v/>
      </c>
    </row>
    <row r="502" spans="1:10" ht="19.5" customHeight="1" x14ac:dyDescent="0.25">
      <c r="A502" s="31" t="str">
        <f t="shared" si="21"/>
        <v/>
      </c>
      <c r="B502" s="32"/>
      <c r="C502" s="32"/>
      <c r="D502" s="32"/>
      <c r="E502" s="32"/>
      <c r="F502" s="32"/>
      <c r="G502" s="32"/>
      <c r="H502" s="33"/>
      <c r="I502" s="34" t="str">
        <f t="shared" ca="1" si="22"/>
        <v/>
      </c>
      <c r="J502" s="34" t="str">
        <f t="shared" si="23"/>
        <v/>
      </c>
    </row>
    <row r="503" spans="1:10" ht="19.5" customHeight="1" x14ac:dyDescent="0.25">
      <c r="A503" s="31" t="str">
        <f t="shared" si="21"/>
        <v/>
      </c>
      <c r="B503" s="32"/>
      <c r="C503" s="32"/>
      <c r="D503" s="32"/>
      <c r="E503" s="32"/>
      <c r="F503" s="32"/>
      <c r="G503" s="32"/>
      <c r="H503" s="33"/>
      <c r="I503" s="34" t="str">
        <f t="shared" ca="1" si="22"/>
        <v/>
      </c>
      <c r="J503" s="34" t="str">
        <f t="shared" si="23"/>
        <v/>
      </c>
    </row>
    <row r="504" spans="1:10" ht="19.5" customHeight="1" x14ac:dyDescent="0.25">
      <c r="A504" s="31" t="str">
        <f t="shared" si="21"/>
        <v/>
      </c>
      <c r="B504" s="32"/>
      <c r="C504" s="32"/>
      <c r="D504" s="32"/>
      <c r="E504" s="32"/>
      <c r="F504" s="32"/>
      <c r="G504" s="32"/>
      <c r="H504" s="33"/>
      <c r="I504" s="34" t="str">
        <f t="shared" ca="1" si="22"/>
        <v/>
      </c>
      <c r="J504" s="34" t="str">
        <f t="shared" si="23"/>
        <v/>
      </c>
    </row>
    <row r="505" spans="1:10" ht="15" customHeight="1" x14ac:dyDescent="0.25">
      <c r="A505" s="35" t="str">
        <f t="shared" si="21"/>
        <v/>
      </c>
      <c r="I505" s="36" t="str">
        <f t="shared" ca="1" si="22"/>
        <v/>
      </c>
      <c r="J505" s="36" t="str">
        <f t="shared" si="23"/>
        <v/>
      </c>
    </row>
    <row r="506" spans="1:10" ht="15" customHeight="1" x14ac:dyDescent="0.25">
      <c r="A506" s="35" t="str">
        <f t="shared" si="21"/>
        <v/>
      </c>
      <c r="I506" s="36" t="str">
        <f t="shared" ca="1" si="22"/>
        <v/>
      </c>
      <c r="J506" s="36" t="str">
        <f t="shared" si="23"/>
        <v/>
      </c>
    </row>
    <row r="507" spans="1:10" ht="15" customHeight="1" x14ac:dyDescent="0.25">
      <c r="A507" s="35" t="str">
        <f t="shared" si="21"/>
        <v/>
      </c>
      <c r="I507" s="36" t="str">
        <f t="shared" ca="1" si="22"/>
        <v/>
      </c>
      <c r="J507" s="36" t="str">
        <f t="shared" si="23"/>
        <v/>
      </c>
    </row>
    <row r="508" spans="1:10" ht="15" customHeight="1" x14ac:dyDescent="0.25">
      <c r="A508" s="35" t="str">
        <f t="shared" si="21"/>
        <v/>
      </c>
      <c r="I508" s="36" t="str">
        <f t="shared" ca="1" si="22"/>
        <v/>
      </c>
      <c r="J508" s="36" t="str">
        <f t="shared" si="23"/>
        <v/>
      </c>
    </row>
    <row r="509" spans="1:10" ht="15" customHeight="1" x14ac:dyDescent="0.25">
      <c r="A509" s="35" t="str">
        <f t="shared" si="21"/>
        <v/>
      </c>
      <c r="I509" s="36" t="str">
        <f t="shared" ca="1" si="22"/>
        <v/>
      </c>
      <c r="J509" s="36" t="str">
        <f t="shared" si="23"/>
        <v/>
      </c>
    </row>
    <row r="510" spans="1:10" ht="15" customHeight="1" x14ac:dyDescent="0.25">
      <c r="A510" s="35" t="str">
        <f t="shared" si="21"/>
        <v/>
      </c>
      <c r="I510" s="36" t="str">
        <f t="shared" ca="1" si="22"/>
        <v/>
      </c>
      <c r="J510" s="36" t="str">
        <f t="shared" si="23"/>
        <v/>
      </c>
    </row>
    <row r="511" spans="1:10" ht="15" customHeight="1" x14ac:dyDescent="0.25">
      <c r="A511" s="35" t="str">
        <f t="shared" si="21"/>
        <v/>
      </c>
      <c r="I511" s="36" t="str">
        <f t="shared" ca="1" si="22"/>
        <v/>
      </c>
      <c r="J511" s="36" t="str">
        <f t="shared" si="23"/>
        <v/>
      </c>
    </row>
    <row r="512" spans="1:10" ht="15" customHeight="1" x14ac:dyDescent="0.25">
      <c r="A512" s="35" t="str">
        <f t="shared" si="21"/>
        <v/>
      </c>
      <c r="I512" s="36" t="str">
        <f t="shared" ca="1" si="22"/>
        <v/>
      </c>
      <c r="J512" s="36" t="str">
        <f t="shared" si="23"/>
        <v/>
      </c>
    </row>
    <row r="513" spans="1:10" ht="15" customHeight="1" x14ac:dyDescent="0.25">
      <c r="A513" s="35" t="str">
        <f t="shared" si="21"/>
        <v/>
      </c>
      <c r="I513" s="36" t="str">
        <f t="shared" ca="1" si="22"/>
        <v/>
      </c>
      <c r="J513" s="36" t="str">
        <f t="shared" si="23"/>
        <v/>
      </c>
    </row>
    <row r="514" spans="1:10" ht="15" customHeight="1" x14ac:dyDescent="0.25">
      <c r="A514" s="35" t="str">
        <f t="shared" si="21"/>
        <v/>
      </c>
      <c r="I514" s="36" t="str">
        <f t="shared" ca="1" si="22"/>
        <v/>
      </c>
      <c r="J514" s="36" t="str">
        <f t="shared" si="23"/>
        <v/>
      </c>
    </row>
    <row r="515" spans="1:10" ht="15" customHeight="1" x14ac:dyDescent="0.25">
      <c r="A515" s="35" t="str">
        <f t="shared" si="21"/>
        <v/>
      </c>
      <c r="I515" s="36" t="str">
        <f t="shared" ca="1" si="22"/>
        <v/>
      </c>
      <c r="J515" s="36" t="str">
        <f t="shared" si="23"/>
        <v/>
      </c>
    </row>
    <row r="516" spans="1:10" ht="15" customHeight="1" x14ac:dyDescent="0.25">
      <c r="A516" s="35" t="str">
        <f t="shared" si="21"/>
        <v/>
      </c>
      <c r="I516" s="36" t="str">
        <f t="shared" ca="1" si="22"/>
        <v/>
      </c>
      <c r="J516" s="36" t="str">
        <f t="shared" si="23"/>
        <v/>
      </c>
    </row>
    <row r="517" spans="1:10" ht="15" customHeight="1" x14ac:dyDescent="0.25">
      <c r="A517" s="35" t="str">
        <f t="shared" ref="A517:A580" si="24">IF(B517="","","ACC"&amp;TEXT(ROW()-4,"0000"))</f>
        <v/>
      </c>
      <c r="I517" s="36" t="str">
        <f t="shared" ref="I517:I580" ca="1" si="25">IF(B517="","",TEXT(TODAY(),"dd/mm/yyyy"))</f>
        <v/>
      </c>
      <c r="J517" s="36" t="str">
        <f t="shared" ref="J517:J580" si="26">IF(B517="","",IF(ISNUMBER(H517),IF(H517&gt;=10,"✅ Active","⚠️ Below Min Balance"),"Pending"))</f>
        <v/>
      </c>
    </row>
    <row r="518" spans="1:10" ht="15" customHeight="1" x14ac:dyDescent="0.25">
      <c r="A518" s="35" t="str">
        <f t="shared" si="24"/>
        <v/>
      </c>
      <c r="I518" s="36" t="str">
        <f t="shared" ca="1" si="25"/>
        <v/>
      </c>
      <c r="J518" s="36" t="str">
        <f t="shared" si="26"/>
        <v/>
      </c>
    </row>
    <row r="519" spans="1:10" ht="15" customHeight="1" x14ac:dyDescent="0.25">
      <c r="A519" s="35" t="str">
        <f t="shared" si="24"/>
        <v/>
      </c>
      <c r="I519" s="36" t="str">
        <f t="shared" ca="1" si="25"/>
        <v/>
      </c>
      <c r="J519" s="36" t="str">
        <f t="shared" si="26"/>
        <v/>
      </c>
    </row>
    <row r="520" spans="1:10" ht="15" customHeight="1" x14ac:dyDescent="0.25">
      <c r="A520" s="35" t="str">
        <f t="shared" si="24"/>
        <v/>
      </c>
      <c r="I520" s="36" t="str">
        <f t="shared" ca="1" si="25"/>
        <v/>
      </c>
      <c r="J520" s="36" t="str">
        <f t="shared" si="26"/>
        <v/>
      </c>
    </row>
    <row r="521" spans="1:10" ht="15" customHeight="1" x14ac:dyDescent="0.25">
      <c r="A521" s="35" t="str">
        <f t="shared" si="24"/>
        <v/>
      </c>
      <c r="I521" s="36" t="str">
        <f t="shared" ca="1" si="25"/>
        <v/>
      </c>
      <c r="J521" s="36" t="str">
        <f t="shared" si="26"/>
        <v/>
      </c>
    </row>
    <row r="522" spans="1:10" ht="15" customHeight="1" x14ac:dyDescent="0.25">
      <c r="A522" s="35" t="str">
        <f t="shared" si="24"/>
        <v/>
      </c>
      <c r="I522" s="36" t="str">
        <f t="shared" ca="1" si="25"/>
        <v/>
      </c>
      <c r="J522" s="36" t="str">
        <f t="shared" si="26"/>
        <v/>
      </c>
    </row>
    <row r="523" spans="1:10" ht="15" customHeight="1" x14ac:dyDescent="0.25">
      <c r="A523" s="35" t="str">
        <f t="shared" si="24"/>
        <v/>
      </c>
      <c r="I523" s="36" t="str">
        <f t="shared" ca="1" si="25"/>
        <v/>
      </c>
      <c r="J523" s="36" t="str">
        <f t="shared" si="26"/>
        <v/>
      </c>
    </row>
    <row r="524" spans="1:10" ht="15" customHeight="1" x14ac:dyDescent="0.25">
      <c r="A524" s="35" t="str">
        <f t="shared" si="24"/>
        <v/>
      </c>
      <c r="I524" s="36" t="str">
        <f t="shared" ca="1" si="25"/>
        <v/>
      </c>
      <c r="J524" s="36" t="str">
        <f t="shared" si="26"/>
        <v/>
      </c>
    </row>
    <row r="525" spans="1:10" ht="15" customHeight="1" x14ac:dyDescent="0.25">
      <c r="A525" s="35" t="str">
        <f t="shared" si="24"/>
        <v/>
      </c>
      <c r="I525" s="36" t="str">
        <f t="shared" ca="1" si="25"/>
        <v/>
      </c>
      <c r="J525" s="36" t="str">
        <f t="shared" si="26"/>
        <v/>
      </c>
    </row>
    <row r="526" spans="1:10" ht="15" customHeight="1" x14ac:dyDescent="0.25">
      <c r="A526" s="35" t="str">
        <f t="shared" si="24"/>
        <v/>
      </c>
      <c r="I526" s="36" t="str">
        <f t="shared" ca="1" si="25"/>
        <v/>
      </c>
      <c r="J526" s="36" t="str">
        <f t="shared" si="26"/>
        <v/>
      </c>
    </row>
    <row r="527" spans="1:10" ht="15" customHeight="1" x14ac:dyDescent="0.25">
      <c r="A527" s="35" t="str">
        <f t="shared" si="24"/>
        <v/>
      </c>
      <c r="I527" s="36" t="str">
        <f t="shared" ca="1" si="25"/>
        <v/>
      </c>
      <c r="J527" s="36" t="str">
        <f t="shared" si="26"/>
        <v/>
      </c>
    </row>
    <row r="528" spans="1:10" ht="15" customHeight="1" x14ac:dyDescent="0.25">
      <c r="A528" s="35" t="str">
        <f t="shared" si="24"/>
        <v/>
      </c>
      <c r="I528" s="36" t="str">
        <f t="shared" ca="1" si="25"/>
        <v/>
      </c>
      <c r="J528" s="36" t="str">
        <f t="shared" si="26"/>
        <v/>
      </c>
    </row>
    <row r="529" spans="1:10" ht="15" customHeight="1" x14ac:dyDescent="0.25">
      <c r="A529" s="35" t="str">
        <f t="shared" si="24"/>
        <v/>
      </c>
      <c r="I529" s="36" t="str">
        <f t="shared" ca="1" si="25"/>
        <v/>
      </c>
      <c r="J529" s="36" t="str">
        <f t="shared" si="26"/>
        <v/>
      </c>
    </row>
    <row r="530" spans="1:10" ht="15" customHeight="1" x14ac:dyDescent="0.25">
      <c r="A530" s="35" t="str">
        <f t="shared" si="24"/>
        <v/>
      </c>
      <c r="I530" s="36" t="str">
        <f t="shared" ca="1" si="25"/>
        <v/>
      </c>
      <c r="J530" s="36" t="str">
        <f t="shared" si="26"/>
        <v/>
      </c>
    </row>
    <row r="531" spans="1:10" ht="15" customHeight="1" x14ac:dyDescent="0.25">
      <c r="A531" s="35" t="str">
        <f t="shared" si="24"/>
        <v/>
      </c>
      <c r="I531" s="36" t="str">
        <f t="shared" ca="1" si="25"/>
        <v/>
      </c>
      <c r="J531" s="36" t="str">
        <f t="shared" si="26"/>
        <v/>
      </c>
    </row>
    <row r="532" spans="1:10" ht="15" customHeight="1" x14ac:dyDescent="0.25">
      <c r="A532" s="35" t="str">
        <f t="shared" si="24"/>
        <v/>
      </c>
      <c r="I532" s="36" t="str">
        <f t="shared" ca="1" si="25"/>
        <v/>
      </c>
      <c r="J532" s="36" t="str">
        <f t="shared" si="26"/>
        <v/>
      </c>
    </row>
    <row r="533" spans="1:10" ht="15" customHeight="1" x14ac:dyDescent="0.25">
      <c r="A533" s="35" t="str">
        <f t="shared" si="24"/>
        <v/>
      </c>
      <c r="I533" s="36" t="str">
        <f t="shared" ca="1" si="25"/>
        <v/>
      </c>
      <c r="J533" s="36" t="str">
        <f t="shared" si="26"/>
        <v/>
      </c>
    </row>
    <row r="534" spans="1:10" ht="15" customHeight="1" x14ac:dyDescent="0.25">
      <c r="A534" s="35" t="str">
        <f t="shared" si="24"/>
        <v/>
      </c>
      <c r="I534" s="36" t="str">
        <f t="shared" ca="1" si="25"/>
        <v/>
      </c>
      <c r="J534" s="36" t="str">
        <f t="shared" si="26"/>
        <v/>
      </c>
    </row>
    <row r="535" spans="1:10" ht="15" customHeight="1" x14ac:dyDescent="0.25">
      <c r="A535" s="35" t="str">
        <f t="shared" si="24"/>
        <v/>
      </c>
      <c r="I535" s="36" t="str">
        <f t="shared" ca="1" si="25"/>
        <v/>
      </c>
      <c r="J535" s="36" t="str">
        <f t="shared" si="26"/>
        <v/>
      </c>
    </row>
    <row r="536" spans="1:10" ht="15" customHeight="1" x14ac:dyDescent="0.25">
      <c r="A536" s="35" t="str">
        <f t="shared" si="24"/>
        <v/>
      </c>
      <c r="I536" s="36" t="str">
        <f t="shared" ca="1" si="25"/>
        <v/>
      </c>
      <c r="J536" s="36" t="str">
        <f t="shared" si="26"/>
        <v/>
      </c>
    </row>
    <row r="537" spans="1:10" ht="15" customHeight="1" x14ac:dyDescent="0.25">
      <c r="A537" s="35" t="str">
        <f t="shared" si="24"/>
        <v/>
      </c>
      <c r="I537" s="36" t="str">
        <f t="shared" ca="1" si="25"/>
        <v/>
      </c>
      <c r="J537" s="36" t="str">
        <f t="shared" si="26"/>
        <v/>
      </c>
    </row>
    <row r="538" spans="1:10" ht="15" customHeight="1" x14ac:dyDescent="0.25">
      <c r="A538" s="35" t="str">
        <f t="shared" si="24"/>
        <v/>
      </c>
      <c r="I538" s="36" t="str">
        <f t="shared" ca="1" si="25"/>
        <v/>
      </c>
      <c r="J538" s="36" t="str">
        <f t="shared" si="26"/>
        <v/>
      </c>
    </row>
    <row r="539" spans="1:10" ht="15" customHeight="1" x14ac:dyDescent="0.25">
      <c r="A539" s="35" t="str">
        <f t="shared" si="24"/>
        <v/>
      </c>
      <c r="I539" s="36" t="str">
        <f t="shared" ca="1" si="25"/>
        <v/>
      </c>
      <c r="J539" s="36" t="str">
        <f t="shared" si="26"/>
        <v/>
      </c>
    </row>
    <row r="540" spans="1:10" ht="15" customHeight="1" x14ac:dyDescent="0.25">
      <c r="A540" s="35" t="str">
        <f t="shared" si="24"/>
        <v/>
      </c>
      <c r="I540" s="36" t="str">
        <f t="shared" ca="1" si="25"/>
        <v/>
      </c>
      <c r="J540" s="36" t="str">
        <f t="shared" si="26"/>
        <v/>
      </c>
    </row>
    <row r="541" spans="1:10" ht="15" customHeight="1" x14ac:dyDescent="0.25">
      <c r="A541" s="35" t="str">
        <f t="shared" si="24"/>
        <v/>
      </c>
      <c r="I541" s="36" t="str">
        <f t="shared" ca="1" si="25"/>
        <v/>
      </c>
      <c r="J541" s="36" t="str">
        <f t="shared" si="26"/>
        <v/>
      </c>
    </row>
    <row r="542" spans="1:10" ht="15" customHeight="1" x14ac:dyDescent="0.25">
      <c r="A542" s="35" t="str">
        <f t="shared" si="24"/>
        <v/>
      </c>
      <c r="I542" s="36" t="str">
        <f t="shared" ca="1" si="25"/>
        <v/>
      </c>
      <c r="J542" s="36" t="str">
        <f t="shared" si="26"/>
        <v/>
      </c>
    </row>
    <row r="543" spans="1:10" ht="15" customHeight="1" x14ac:dyDescent="0.25">
      <c r="A543" s="35" t="str">
        <f t="shared" si="24"/>
        <v/>
      </c>
      <c r="I543" s="36" t="str">
        <f t="shared" ca="1" si="25"/>
        <v/>
      </c>
      <c r="J543" s="36" t="str">
        <f t="shared" si="26"/>
        <v/>
      </c>
    </row>
    <row r="544" spans="1:10" ht="15" customHeight="1" x14ac:dyDescent="0.25">
      <c r="A544" s="35" t="str">
        <f t="shared" si="24"/>
        <v/>
      </c>
      <c r="I544" s="36" t="str">
        <f t="shared" ca="1" si="25"/>
        <v/>
      </c>
      <c r="J544" s="36" t="str">
        <f t="shared" si="26"/>
        <v/>
      </c>
    </row>
    <row r="545" spans="1:10" ht="15" customHeight="1" x14ac:dyDescent="0.25">
      <c r="A545" s="35" t="str">
        <f t="shared" si="24"/>
        <v/>
      </c>
      <c r="I545" s="36" t="str">
        <f t="shared" ca="1" si="25"/>
        <v/>
      </c>
      <c r="J545" s="36" t="str">
        <f t="shared" si="26"/>
        <v/>
      </c>
    </row>
    <row r="546" spans="1:10" ht="15" customHeight="1" x14ac:dyDescent="0.25">
      <c r="A546" s="35" t="str">
        <f t="shared" si="24"/>
        <v/>
      </c>
      <c r="I546" s="36" t="str">
        <f t="shared" ca="1" si="25"/>
        <v/>
      </c>
      <c r="J546" s="36" t="str">
        <f t="shared" si="26"/>
        <v/>
      </c>
    </row>
    <row r="547" spans="1:10" ht="15" customHeight="1" x14ac:dyDescent="0.25">
      <c r="A547" s="35" t="str">
        <f t="shared" si="24"/>
        <v/>
      </c>
      <c r="I547" s="36" t="str">
        <f t="shared" ca="1" si="25"/>
        <v/>
      </c>
      <c r="J547" s="36" t="str">
        <f t="shared" si="26"/>
        <v/>
      </c>
    </row>
    <row r="548" spans="1:10" ht="15" customHeight="1" x14ac:dyDescent="0.25">
      <c r="A548" s="35" t="str">
        <f t="shared" si="24"/>
        <v/>
      </c>
      <c r="I548" s="36" t="str">
        <f t="shared" ca="1" si="25"/>
        <v/>
      </c>
      <c r="J548" s="36" t="str">
        <f t="shared" si="26"/>
        <v/>
      </c>
    </row>
    <row r="549" spans="1:10" ht="15" customHeight="1" x14ac:dyDescent="0.25">
      <c r="A549" s="35" t="str">
        <f t="shared" si="24"/>
        <v/>
      </c>
      <c r="I549" s="36" t="str">
        <f t="shared" ca="1" si="25"/>
        <v/>
      </c>
      <c r="J549" s="36" t="str">
        <f t="shared" si="26"/>
        <v/>
      </c>
    </row>
    <row r="550" spans="1:10" ht="15" customHeight="1" x14ac:dyDescent="0.25">
      <c r="A550" s="35" t="str">
        <f t="shared" si="24"/>
        <v/>
      </c>
      <c r="I550" s="36" t="str">
        <f t="shared" ca="1" si="25"/>
        <v/>
      </c>
      <c r="J550" s="36" t="str">
        <f t="shared" si="26"/>
        <v/>
      </c>
    </row>
    <row r="551" spans="1:10" ht="15" customHeight="1" x14ac:dyDescent="0.25">
      <c r="A551" s="35" t="str">
        <f t="shared" si="24"/>
        <v/>
      </c>
      <c r="I551" s="36" t="str">
        <f t="shared" ca="1" si="25"/>
        <v/>
      </c>
      <c r="J551" s="36" t="str">
        <f t="shared" si="26"/>
        <v/>
      </c>
    </row>
    <row r="552" spans="1:10" ht="15" customHeight="1" x14ac:dyDescent="0.25">
      <c r="A552" s="35" t="str">
        <f t="shared" si="24"/>
        <v/>
      </c>
      <c r="I552" s="36" t="str">
        <f t="shared" ca="1" si="25"/>
        <v/>
      </c>
      <c r="J552" s="36" t="str">
        <f t="shared" si="26"/>
        <v/>
      </c>
    </row>
    <row r="553" spans="1:10" ht="15" customHeight="1" x14ac:dyDescent="0.25">
      <c r="A553" s="35" t="str">
        <f t="shared" si="24"/>
        <v/>
      </c>
      <c r="I553" s="36" t="str">
        <f t="shared" ca="1" si="25"/>
        <v/>
      </c>
      <c r="J553" s="36" t="str">
        <f t="shared" si="26"/>
        <v/>
      </c>
    </row>
    <row r="554" spans="1:10" ht="15" customHeight="1" x14ac:dyDescent="0.25">
      <c r="A554" s="35" t="str">
        <f t="shared" si="24"/>
        <v/>
      </c>
      <c r="I554" s="36" t="str">
        <f t="shared" ca="1" si="25"/>
        <v/>
      </c>
      <c r="J554" s="36" t="str">
        <f t="shared" si="26"/>
        <v/>
      </c>
    </row>
    <row r="555" spans="1:10" ht="15" customHeight="1" x14ac:dyDescent="0.25">
      <c r="A555" s="35" t="str">
        <f t="shared" si="24"/>
        <v/>
      </c>
      <c r="I555" s="36" t="str">
        <f t="shared" ca="1" si="25"/>
        <v/>
      </c>
      <c r="J555" s="36" t="str">
        <f t="shared" si="26"/>
        <v/>
      </c>
    </row>
    <row r="556" spans="1:10" ht="15" customHeight="1" x14ac:dyDescent="0.25">
      <c r="A556" s="35" t="str">
        <f t="shared" si="24"/>
        <v/>
      </c>
      <c r="I556" s="36" t="str">
        <f t="shared" ca="1" si="25"/>
        <v/>
      </c>
      <c r="J556" s="36" t="str">
        <f t="shared" si="26"/>
        <v/>
      </c>
    </row>
    <row r="557" spans="1:10" ht="15" customHeight="1" x14ac:dyDescent="0.25">
      <c r="A557" s="35" t="str">
        <f t="shared" si="24"/>
        <v/>
      </c>
      <c r="I557" s="36" t="str">
        <f t="shared" ca="1" si="25"/>
        <v/>
      </c>
      <c r="J557" s="36" t="str">
        <f t="shared" si="26"/>
        <v/>
      </c>
    </row>
    <row r="558" spans="1:10" ht="15" customHeight="1" x14ac:dyDescent="0.25">
      <c r="A558" s="35" t="str">
        <f t="shared" si="24"/>
        <v/>
      </c>
      <c r="I558" s="36" t="str">
        <f t="shared" ca="1" si="25"/>
        <v/>
      </c>
      <c r="J558" s="36" t="str">
        <f t="shared" si="26"/>
        <v/>
      </c>
    </row>
    <row r="559" spans="1:10" ht="15" customHeight="1" x14ac:dyDescent="0.25">
      <c r="A559" s="35" t="str">
        <f t="shared" si="24"/>
        <v/>
      </c>
      <c r="I559" s="36" t="str">
        <f t="shared" ca="1" si="25"/>
        <v/>
      </c>
      <c r="J559" s="36" t="str">
        <f t="shared" si="26"/>
        <v/>
      </c>
    </row>
    <row r="560" spans="1:10" ht="15" customHeight="1" x14ac:dyDescent="0.25">
      <c r="A560" s="35" t="str">
        <f t="shared" si="24"/>
        <v/>
      </c>
      <c r="I560" s="36" t="str">
        <f t="shared" ca="1" si="25"/>
        <v/>
      </c>
      <c r="J560" s="36" t="str">
        <f t="shared" si="26"/>
        <v/>
      </c>
    </row>
    <row r="561" spans="1:10" ht="15" customHeight="1" x14ac:dyDescent="0.25">
      <c r="A561" s="35" t="str">
        <f t="shared" si="24"/>
        <v/>
      </c>
      <c r="I561" s="36" t="str">
        <f t="shared" ca="1" si="25"/>
        <v/>
      </c>
      <c r="J561" s="36" t="str">
        <f t="shared" si="26"/>
        <v/>
      </c>
    </row>
    <row r="562" spans="1:10" ht="15" customHeight="1" x14ac:dyDescent="0.25">
      <c r="A562" s="35" t="str">
        <f t="shared" si="24"/>
        <v/>
      </c>
      <c r="I562" s="36" t="str">
        <f t="shared" ca="1" si="25"/>
        <v/>
      </c>
      <c r="J562" s="36" t="str">
        <f t="shared" si="26"/>
        <v/>
      </c>
    </row>
    <row r="563" spans="1:10" ht="15" customHeight="1" x14ac:dyDescent="0.25">
      <c r="A563" s="35" t="str">
        <f t="shared" si="24"/>
        <v/>
      </c>
      <c r="I563" s="36" t="str">
        <f t="shared" ca="1" si="25"/>
        <v/>
      </c>
      <c r="J563" s="36" t="str">
        <f t="shared" si="26"/>
        <v/>
      </c>
    </row>
    <row r="564" spans="1:10" ht="15" customHeight="1" x14ac:dyDescent="0.25">
      <c r="A564" s="35" t="str">
        <f t="shared" si="24"/>
        <v/>
      </c>
      <c r="I564" s="36" t="str">
        <f t="shared" ca="1" si="25"/>
        <v/>
      </c>
      <c r="J564" s="36" t="str">
        <f t="shared" si="26"/>
        <v/>
      </c>
    </row>
    <row r="565" spans="1:10" ht="15" customHeight="1" x14ac:dyDescent="0.25">
      <c r="A565" s="35" t="str">
        <f t="shared" si="24"/>
        <v/>
      </c>
      <c r="I565" s="36" t="str">
        <f t="shared" ca="1" si="25"/>
        <v/>
      </c>
      <c r="J565" s="36" t="str">
        <f t="shared" si="26"/>
        <v/>
      </c>
    </row>
    <row r="566" spans="1:10" ht="15" customHeight="1" x14ac:dyDescent="0.25">
      <c r="A566" s="35" t="str">
        <f t="shared" si="24"/>
        <v/>
      </c>
      <c r="I566" s="36" t="str">
        <f t="shared" ca="1" si="25"/>
        <v/>
      </c>
      <c r="J566" s="36" t="str">
        <f t="shared" si="26"/>
        <v/>
      </c>
    </row>
    <row r="567" spans="1:10" ht="15" customHeight="1" x14ac:dyDescent="0.25">
      <c r="A567" s="35" t="str">
        <f t="shared" si="24"/>
        <v/>
      </c>
      <c r="I567" s="36" t="str">
        <f t="shared" ca="1" si="25"/>
        <v/>
      </c>
      <c r="J567" s="36" t="str">
        <f t="shared" si="26"/>
        <v/>
      </c>
    </row>
    <row r="568" spans="1:10" ht="15" customHeight="1" x14ac:dyDescent="0.25">
      <c r="A568" s="35" t="str">
        <f t="shared" si="24"/>
        <v/>
      </c>
      <c r="I568" s="36" t="str">
        <f t="shared" ca="1" si="25"/>
        <v/>
      </c>
      <c r="J568" s="36" t="str">
        <f t="shared" si="26"/>
        <v/>
      </c>
    </row>
    <row r="569" spans="1:10" ht="15" customHeight="1" x14ac:dyDescent="0.25">
      <c r="A569" s="35" t="str">
        <f t="shared" si="24"/>
        <v/>
      </c>
      <c r="I569" s="36" t="str">
        <f t="shared" ca="1" si="25"/>
        <v/>
      </c>
      <c r="J569" s="36" t="str">
        <f t="shared" si="26"/>
        <v/>
      </c>
    </row>
    <row r="570" spans="1:10" ht="15" customHeight="1" x14ac:dyDescent="0.25">
      <c r="A570" s="35" t="str">
        <f t="shared" si="24"/>
        <v/>
      </c>
      <c r="I570" s="36" t="str">
        <f t="shared" ca="1" si="25"/>
        <v/>
      </c>
      <c r="J570" s="36" t="str">
        <f t="shared" si="26"/>
        <v/>
      </c>
    </row>
    <row r="571" spans="1:10" ht="15" customHeight="1" x14ac:dyDescent="0.25">
      <c r="A571" s="35" t="str">
        <f t="shared" si="24"/>
        <v/>
      </c>
      <c r="I571" s="36" t="str">
        <f t="shared" ca="1" si="25"/>
        <v/>
      </c>
      <c r="J571" s="36" t="str">
        <f t="shared" si="26"/>
        <v/>
      </c>
    </row>
    <row r="572" spans="1:10" ht="15" customHeight="1" x14ac:dyDescent="0.25">
      <c r="A572" s="35" t="str">
        <f t="shared" si="24"/>
        <v/>
      </c>
      <c r="I572" s="36" t="str">
        <f t="shared" ca="1" si="25"/>
        <v/>
      </c>
      <c r="J572" s="36" t="str">
        <f t="shared" si="26"/>
        <v/>
      </c>
    </row>
    <row r="573" spans="1:10" ht="15" customHeight="1" x14ac:dyDescent="0.25">
      <c r="A573" s="35" t="str">
        <f t="shared" si="24"/>
        <v/>
      </c>
      <c r="I573" s="36" t="str">
        <f t="shared" ca="1" si="25"/>
        <v/>
      </c>
      <c r="J573" s="36" t="str">
        <f t="shared" si="26"/>
        <v/>
      </c>
    </row>
    <row r="574" spans="1:10" ht="15" customHeight="1" x14ac:dyDescent="0.25">
      <c r="A574" s="35" t="str">
        <f t="shared" si="24"/>
        <v/>
      </c>
      <c r="I574" s="36" t="str">
        <f t="shared" ca="1" si="25"/>
        <v/>
      </c>
      <c r="J574" s="36" t="str">
        <f t="shared" si="26"/>
        <v/>
      </c>
    </row>
    <row r="575" spans="1:10" ht="15" customHeight="1" x14ac:dyDescent="0.25">
      <c r="A575" s="35" t="str">
        <f t="shared" si="24"/>
        <v/>
      </c>
      <c r="I575" s="36" t="str">
        <f t="shared" ca="1" si="25"/>
        <v/>
      </c>
      <c r="J575" s="36" t="str">
        <f t="shared" si="26"/>
        <v/>
      </c>
    </row>
    <row r="576" spans="1:10" ht="15" customHeight="1" x14ac:dyDescent="0.25">
      <c r="A576" s="35" t="str">
        <f t="shared" si="24"/>
        <v/>
      </c>
      <c r="I576" s="36" t="str">
        <f t="shared" ca="1" si="25"/>
        <v/>
      </c>
      <c r="J576" s="36" t="str">
        <f t="shared" si="26"/>
        <v/>
      </c>
    </row>
    <row r="577" spans="1:10" ht="15" customHeight="1" x14ac:dyDescent="0.25">
      <c r="A577" s="35" t="str">
        <f t="shared" si="24"/>
        <v/>
      </c>
      <c r="I577" s="36" t="str">
        <f t="shared" ca="1" si="25"/>
        <v/>
      </c>
      <c r="J577" s="36" t="str">
        <f t="shared" si="26"/>
        <v/>
      </c>
    </row>
    <row r="578" spans="1:10" ht="15" customHeight="1" x14ac:dyDescent="0.25">
      <c r="A578" s="35" t="str">
        <f t="shared" si="24"/>
        <v/>
      </c>
      <c r="I578" s="36" t="str">
        <f t="shared" ca="1" si="25"/>
        <v/>
      </c>
      <c r="J578" s="36" t="str">
        <f t="shared" si="26"/>
        <v/>
      </c>
    </row>
    <row r="579" spans="1:10" ht="15" customHeight="1" x14ac:dyDescent="0.25">
      <c r="A579" s="35" t="str">
        <f t="shared" si="24"/>
        <v/>
      </c>
      <c r="I579" s="36" t="str">
        <f t="shared" ca="1" si="25"/>
        <v/>
      </c>
      <c r="J579" s="36" t="str">
        <f t="shared" si="26"/>
        <v/>
      </c>
    </row>
    <row r="580" spans="1:10" ht="15" customHeight="1" x14ac:dyDescent="0.25">
      <c r="A580" s="35" t="str">
        <f t="shared" si="24"/>
        <v/>
      </c>
      <c r="I580" s="36" t="str">
        <f t="shared" ca="1" si="25"/>
        <v/>
      </c>
      <c r="J580" s="36" t="str">
        <f t="shared" si="26"/>
        <v/>
      </c>
    </row>
    <row r="581" spans="1:10" ht="15" customHeight="1" x14ac:dyDescent="0.25">
      <c r="A581" s="35" t="str">
        <f t="shared" ref="A581:A644" si="27">IF(B581="","","ACC"&amp;TEXT(ROW()-4,"0000"))</f>
        <v/>
      </c>
      <c r="I581" s="36" t="str">
        <f t="shared" ref="I581:I644" ca="1" si="28">IF(B581="","",TEXT(TODAY(),"dd/mm/yyyy"))</f>
        <v/>
      </c>
      <c r="J581" s="36" t="str">
        <f t="shared" ref="J581:J644" si="29">IF(B581="","",IF(ISNUMBER(H581),IF(H581&gt;=10,"✅ Active","⚠️ Below Min Balance"),"Pending"))</f>
        <v/>
      </c>
    </row>
    <row r="582" spans="1:10" ht="15" customHeight="1" x14ac:dyDescent="0.25">
      <c r="A582" s="35" t="str">
        <f t="shared" si="27"/>
        <v/>
      </c>
      <c r="I582" s="36" t="str">
        <f t="shared" ca="1" si="28"/>
        <v/>
      </c>
      <c r="J582" s="36" t="str">
        <f t="shared" si="29"/>
        <v/>
      </c>
    </row>
    <row r="583" spans="1:10" ht="15" customHeight="1" x14ac:dyDescent="0.25">
      <c r="A583" s="35" t="str">
        <f t="shared" si="27"/>
        <v/>
      </c>
      <c r="I583" s="36" t="str">
        <f t="shared" ca="1" si="28"/>
        <v/>
      </c>
      <c r="J583" s="36" t="str">
        <f t="shared" si="29"/>
        <v/>
      </c>
    </row>
    <row r="584" spans="1:10" ht="15" customHeight="1" x14ac:dyDescent="0.25">
      <c r="A584" s="35" t="str">
        <f t="shared" si="27"/>
        <v/>
      </c>
      <c r="I584" s="36" t="str">
        <f t="shared" ca="1" si="28"/>
        <v/>
      </c>
      <c r="J584" s="36" t="str">
        <f t="shared" si="29"/>
        <v/>
      </c>
    </row>
    <row r="585" spans="1:10" ht="15" customHeight="1" x14ac:dyDescent="0.25">
      <c r="A585" s="35" t="str">
        <f t="shared" si="27"/>
        <v/>
      </c>
      <c r="I585" s="36" t="str">
        <f t="shared" ca="1" si="28"/>
        <v/>
      </c>
      <c r="J585" s="36" t="str">
        <f t="shared" si="29"/>
        <v/>
      </c>
    </row>
    <row r="586" spans="1:10" ht="15" customHeight="1" x14ac:dyDescent="0.25">
      <c r="A586" s="35" t="str">
        <f t="shared" si="27"/>
        <v/>
      </c>
      <c r="I586" s="36" t="str">
        <f t="shared" ca="1" si="28"/>
        <v/>
      </c>
      <c r="J586" s="36" t="str">
        <f t="shared" si="29"/>
        <v/>
      </c>
    </row>
    <row r="587" spans="1:10" ht="15" customHeight="1" x14ac:dyDescent="0.25">
      <c r="A587" s="35" t="str">
        <f t="shared" si="27"/>
        <v/>
      </c>
      <c r="I587" s="36" t="str">
        <f t="shared" ca="1" si="28"/>
        <v/>
      </c>
      <c r="J587" s="36" t="str">
        <f t="shared" si="29"/>
        <v/>
      </c>
    </row>
    <row r="588" spans="1:10" ht="15" customHeight="1" x14ac:dyDescent="0.25">
      <c r="A588" s="35" t="str">
        <f t="shared" si="27"/>
        <v/>
      </c>
      <c r="I588" s="36" t="str">
        <f t="shared" ca="1" si="28"/>
        <v/>
      </c>
      <c r="J588" s="36" t="str">
        <f t="shared" si="29"/>
        <v/>
      </c>
    </row>
    <row r="589" spans="1:10" ht="15" customHeight="1" x14ac:dyDescent="0.25">
      <c r="A589" s="35" t="str">
        <f t="shared" si="27"/>
        <v/>
      </c>
      <c r="I589" s="36" t="str">
        <f t="shared" ca="1" si="28"/>
        <v/>
      </c>
      <c r="J589" s="36" t="str">
        <f t="shared" si="29"/>
        <v/>
      </c>
    </row>
    <row r="590" spans="1:10" ht="15" customHeight="1" x14ac:dyDescent="0.25">
      <c r="A590" s="35" t="str">
        <f t="shared" si="27"/>
        <v/>
      </c>
      <c r="I590" s="36" t="str">
        <f t="shared" ca="1" si="28"/>
        <v/>
      </c>
      <c r="J590" s="36" t="str">
        <f t="shared" si="29"/>
        <v/>
      </c>
    </row>
    <row r="591" spans="1:10" ht="15" customHeight="1" x14ac:dyDescent="0.25">
      <c r="A591" s="35" t="str">
        <f t="shared" si="27"/>
        <v/>
      </c>
      <c r="I591" s="36" t="str">
        <f t="shared" ca="1" si="28"/>
        <v/>
      </c>
      <c r="J591" s="36" t="str">
        <f t="shared" si="29"/>
        <v/>
      </c>
    </row>
    <row r="592" spans="1:10" ht="15" customHeight="1" x14ac:dyDescent="0.25">
      <c r="A592" s="35" t="str">
        <f t="shared" si="27"/>
        <v/>
      </c>
      <c r="I592" s="36" t="str">
        <f t="shared" ca="1" si="28"/>
        <v/>
      </c>
      <c r="J592" s="36" t="str">
        <f t="shared" si="29"/>
        <v/>
      </c>
    </row>
    <row r="593" spans="1:10" ht="15" customHeight="1" x14ac:dyDescent="0.25">
      <c r="A593" s="35" t="str">
        <f t="shared" si="27"/>
        <v/>
      </c>
      <c r="I593" s="36" t="str">
        <f t="shared" ca="1" si="28"/>
        <v/>
      </c>
      <c r="J593" s="36" t="str">
        <f t="shared" si="29"/>
        <v/>
      </c>
    </row>
    <row r="594" spans="1:10" ht="15" customHeight="1" x14ac:dyDescent="0.25">
      <c r="A594" s="35" t="str">
        <f t="shared" si="27"/>
        <v/>
      </c>
      <c r="I594" s="36" t="str">
        <f t="shared" ca="1" si="28"/>
        <v/>
      </c>
      <c r="J594" s="36" t="str">
        <f t="shared" si="29"/>
        <v/>
      </c>
    </row>
    <row r="595" spans="1:10" ht="15" customHeight="1" x14ac:dyDescent="0.25">
      <c r="A595" s="35" t="str">
        <f t="shared" si="27"/>
        <v/>
      </c>
      <c r="I595" s="36" t="str">
        <f t="shared" ca="1" si="28"/>
        <v/>
      </c>
      <c r="J595" s="36" t="str">
        <f t="shared" si="29"/>
        <v/>
      </c>
    </row>
    <row r="596" spans="1:10" ht="15" customHeight="1" x14ac:dyDescent="0.25">
      <c r="A596" s="35" t="str">
        <f t="shared" si="27"/>
        <v/>
      </c>
      <c r="I596" s="36" t="str">
        <f t="shared" ca="1" si="28"/>
        <v/>
      </c>
      <c r="J596" s="36" t="str">
        <f t="shared" si="29"/>
        <v/>
      </c>
    </row>
    <row r="597" spans="1:10" ht="15" customHeight="1" x14ac:dyDescent="0.25">
      <c r="A597" s="35" t="str">
        <f t="shared" si="27"/>
        <v/>
      </c>
      <c r="I597" s="36" t="str">
        <f t="shared" ca="1" si="28"/>
        <v/>
      </c>
      <c r="J597" s="36" t="str">
        <f t="shared" si="29"/>
        <v/>
      </c>
    </row>
    <row r="598" spans="1:10" ht="15" customHeight="1" x14ac:dyDescent="0.25">
      <c r="A598" s="35" t="str">
        <f t="shared" si="27"/>
        <v/>
      </c>
      <c r="I598" s="36" t="str">
        <f t="shared" ca="1" si="28"/>
        <v/>
      </c>
      <c r="J598" s="36" t="str">
        <f t="shared" si="29"/>
        <v/>
      </c>
    </row>
    <row r="599" spans="1:10" ht="15" customHeight="1" x14ac:dyDescent="0.25">
      <c r="A599" s="35" t="str">
        <f t="shared" si="27"/>
        <v/>
      </c>
      <c r="I599" s="36" t="str">
        <f t="shared" ca="1" si="28"/>
        <v/>
      </c>
      <c r="J599" s="36" t="str">
        <f t="shared" si="29"/>
        <v/>
      </c>
    </row>
    <row r="600" spans="1:10" ht="15" customHeight="1" x14ac:dyDescent="0.25">
      <c r="A600" s="35" t="str">
        <f t="shared" si="27"/>
        <v/>
      </c>
      <c r="I600" s="36" t="str">
        <f t="shared" ca="1" si="28"/>
        <v/>
      </c>
      <c r="J600" s="36" t="str">
        <f t="shared" si="29"/>
        <v/>
      </c>
    </row>
    <row r="601" spans="1:10" ht="15" customHeight="1" x14ac:dyDescent="0.25">
      <c r="A601" s="35" t="str">
        <f t="shared" si="27"/>
        <v/>
      </c>
      <c r="I601" s="36" t="str">
        <f t="shared" ca="1" si="28"/>
        <v/>
      </c>
      <c r="J601" s="36" t="str">
        <f t="shared" si="29"/>
        <v/>
      </c>
    </row>
    <row r="602" spans="1:10" ht="15" customHeight="1" x14ac:dyDescent="0.25">
      <c r="A602" s="35" t="str">
        <f t="shared" si="27"/>
        <v/>
      </c>
      <c r="I602" s="36" t="str">
        <f t="shared" ca="1" si="28"/>
        <v/>
      </c>
      <c r="J602" s="36" t="str">
        <f t="shared" si="29"/>
        <v/>
      </c>
    </row>
    <row r="603" spans="1:10" ht="15" customHeight="1" x14ac:dyDescent="0.25">
      <c r="A603" s="35" t="str">
        <f t="shared" si="27"/>
        <v/>
      </c>
      <c r="I603" s="36" t="str">
        <f t="shared" ca="1" si="28"/>
        <v/>
      </c>
      <c r="J603" s="36" t="str">
        <f t="shared" si="29"/>
        <v/>
      </c>
    </row>
    <row r="604" spans="1:10" ht="15" customHeight="1" x14ac:dyDescent="0.25">
      <c r="A604" s="35" t="str">
        <f t="shared" si="27"/>
        <v/>
      </c>
      <c r="I604" s="36" t="str">
        <f t="shared" ca="1" si="28"/>
        <v/>
      </c>
      <c r="J604" s="36" t="str">
        <f t="shared" si="29"/>
        <v/>
      </c>
    </row>
    <row r="605" spans="1:10" ht="15" customHeight="1" x14ac:dyDescent="0.25">
      <c r="A605" s="35" t="str">
        <f t="shared" si="27"/>
        <v/>
      </c>
      <c r="I605" s="36" t="str">
        <f t="shared" ca="1" si="28"/>
        <v/>
      </c>
      <c r="J605" s="36" t="str">
        <f t="shared" si="29"/>
        <v/>
      </c>
    </row>
    <row r="606" spans="1:10" ht="15" customHeight="1" x14ac:dyDescent="0.25">
      <c r="A606" s="35" t="str">
        <f t="shared" si="27"/>
        <v/>
      </c>
      <c r="I606" s="36" t="str">
        <f t="shared" ca="1" si="28"/>
        <v/>
      </c>
      <c r="J606" s="36" t="str">
        <f t="shared" si="29"/>
        <v/>
      </c>
    </row>
    <row r="607" spans="1:10" ht="15" customHeight="1" x14ac:dyDescent="0.25">
      <c r="A607" s="35" t="str">
        <f t="shared" si="27"/>
        <v/>
      </c>
      <c r="I607" s="36" t="str">
        <f t="shared" ca="1" si="28"/>
        <v/>
      </c>
      <c r="J607" s="36" t="str">
        <f t="shared" si="29"/>
        <v/>
      </c>
    </row>
    <row r="608" spans="1:10" ht="15" customHeight="1" x14ac:dyDescent="0.25">
      <c r="A608" s="35" t="str">
        <f t="shared" si="27"/>
        <v/>
      </c>
      <c r="I608" s="36" t="str">
        <f t="shared" ca="1" si="28"/>
        <v/>
      </c>
      <c r="J608" s="36" t="str">
        <f t="shared" si="29"/>
        <v/>
      </c>
    </row>
    <row r="609" spans="1:10" ht="15" customHeight="1" x14ac:dyDescent="0.25">
      <c r="A609" s="35" t="str">
        <f t="shared" si="27"/>
        <v/>
      </c>
      <c r="I609" s="36" t="str">
        <f t="shared" ca="1" si="28"/>
        <v/>
      </c>
      <c r="J609" s="36" t="str">
        <f t="shared" si="29"/>
        <v/>
      </c>
    </row>
    <row r="610" spans="1:10" ht="15" customHeight="1" x14ac:dyDescent="0.25">
      <c r="A610" s="35" t="str">
        <f t="shared" si="27"/>
        <v/>
      </c>
      <c r="I610" s="36" t="str">
        <f t="shared" ca="1" si="28"/>
        <v/>
      </c>
      <c r="J610" s="36" t="str">
        <f t="shared" si="29"/>
        <v/>
      </c>
    </row>
    <row r="611" spans="1:10" ht="15" customHeight="1" x14ac:dyDescent="0.25">
      <c r="A611" s="35" t="str">
        <f t="shared" si="27"/>
        <v/>
      </c>
      <c r="I611" s="36" t="str">
        <f t="shared" ca="1" si="28"/>
        <v/>
      </c>
      <c r="J611" s="36" t="str">
        <f t="shared" si="29"/>
        <v/>
      </c>
    </row>
    <row r="612" spans="1:10" ht="15" customHeight="1" x14ac:dyDescent="0.25">
      <c r="A612" s="35" t="str">
        <f t="shared" si="27"/>
        <v/>
      </c>
      <c r="I612" s="36" t="str">
        <f t="shared" ca="1" si="28"/>
        <v/>
      </c>
      <c r="J612" s="36" t="str">
        <f t="shared" si="29"/>
        <v/>
      </c>
    </row>
    <row r="613" spans="1:10" ht="15" customHeight="1" x14ac:dyDescent="0.25">
      <c r="A613" s="35" t="str">
        <f t="shared" si="27"/>
        <v/>
      </c>
      <c r="I613" s="36" t="str">
        <f t="shared" ca="1" si="28"/>
        <v/>
      </c>
      <c r="J613" s="36" t="str">
        <f t="shared" si="29"/>
        <v/>
      </c>
    </row>
    <row r="614" spans="1:10" ht="15" customHeight="1" x14ac:dyDescent="0.25">
      <c r="A614" s="35" t="str">
        <f t="shared" si="27"/>
        <v/>
      </c>
      <c r="I614" s="36" t="str">
        <f t="shared" ca="1" si="28"/>
        <v/>
      </c>
      <c r="J614" s="36" t="str">
        <f t="shared" si="29"/>
        <v/>
      </c>
    </row>
    <row r="615" spans="1:10" ht="15" customHeight="1" x14ac:dyDescent="0.25">
      <c r="A615" s="35" t="str">
        <f t="shared" si="27"/>
        <v/>
      </c>
      <c r="I615" s="36" t="str">
        <f t="shared" ca="1" si="28"/>
        <v/>
      </c>
      <c r="J615" s="36" t="str">
        <f t="shared" si="29"/>
        <v/>
      </c>
    </row>
    <row r="616" spans="1:10" ht="15" customHeight="1" x14ac:dyDescent="0.25">
      <c r="A616" s="35" t="str">
        <f t="shared" si="27"/>
        <v/>
      </c>
      <c r="I616" s="36" t="str">
        <f t="shared" ca="1" si="28"/>
        <v/>
      </c>
      <c r="J616" s="36" t="str">
        <f t="shared" si="29"/>
        <v/>
      </c>
    </row>
    <row r="617" spans="1:10" ht="15" customHeight="1" x14ac:dyDescent="0.25">
      <c r="A617" s="35" t="str">
        <f t="shared" si="27"/>
        <v/>
      </c>
      <c r="I617" s="36" t="str">
        <f t="shared" ca="1" si="28"/>
        <v/>
      </c>
      <c r="J617" s="36" t="str">
        <f t="shared" si="29"/>
        <v/>
      </c>
    </row>
    <row r="618" spans="1:10" ht="15" customHeight="1" x14ac:dyDescent="0.25">
      <c r="A618" s="35" t="str">
        <f t="shared" si="27"/>
        <v/>
      </c>
      <c r="I618" s="36" t="str">
        <f t="shared" ca="1" si="28"/>
        <v/>
      </c>
      <c r="J618" s="36" t="str">
        <f t="shared" si="29"/>
        <v/>
      </c>
    </row>
    <row r="619" spans="1:10" ht="15" customHeight="1" x14ac:dyDescent="0.25">
      <c r="A619" s="35" t="str">
        <f t="shared" si="27"/>
        <v/>
      </c>
      <c r="I619" s="36" t="str">
        <f t="shared" ca="1" si="28"/>
        <v/>
      </c>
      <c r="J619" s="36" t="str">
        <f t="shared" si="29"/>
        <v/>
      </c>
    </row>
    <row r="620" spans="1:10" ht="15" customHeight="1" x14ac:dyDescent="0.25">
      <c r="A620" s="35" t="str">
        <f t="shared" si="27"/>
        <v/>
      </c>
      <c r="I620" s="36" t="str">
        <f t="shared" ca="1" si="28"/>
        <v/>
      </c>
      <c r="J620" s="36" t="str">
        <f t="shared" si="29"/>
        <v/>
      </c>
    </row>
    <row r="621" spans="1:10" ht="15" customHeight="1" x14ac:dyDescent="0.25">
      <c r="A621" s="35" t="str">
        <f t="shared" si="27"/>
        <v/>
      </c>
      <c r="I621" s="36" t="str">
        <f t="shared" ca="1" si="28"/>
        <v/>
      </c>
      <c r="J621" s="36" t="str">
        <f t="shared" si="29"/>
        <v/>
      </c>
    </row>
    <row r="622" spans="1:10" ht="15" customHeight="1" x14ac:dyDescent="0.25">
      <c r="A622" s="35" t="str">
        <f t="shared" si="27"/>
        <v/>
      </c>
      <c r="I622" s="36" t="str">
        <f t="shared" ca="1" si="28"/>
        <v/>
      </c>
      <c r="J622" s="36" t="str">
        <f t="shared" si="29"/>
        <v/>
      </c>
    </row>
    <row r="623" spans="1:10" ht="15" customHeight="1" x14ac:dyDescent="0.25">
      <c r="A623" s="35" t="str">
        <f t="shared" si="27"/>
        <v/>
      </c>
      <c r="I623" s="36" t="str">
        <f t="shared" ca="1" si="28"/>
        <v/>
      </c>
      <c r="J623" s="36" t="str">
        <f t="shared" si="29"/>
        <v/>
      </c>
    </row>
    <row r="624" spans="1:10" ht="15" customHeight="1" x14ac:dyDescent="0.25">
      <c r="A624" s="35" t="str">
        <f t="shared" si="27"/>
        <v/>
      </c>
      <c r="I624" s="36" t="str">
        <f t="shared" ca="1" si="28"/>
        <v/>
      </c>
      <c r="J624" s="36" t="str">
        <f t="shared" si="29"/>
        <v/>
      </c>
    </row>
    <row r="625" spans="1:10" ht="15" customHeight="1" x14ac:dyDescent="0.25">
      <c r="A625" s="35" t="str">
        <f t="shared" si="27"/>
        <v/>
      </c>
      <c r="I625" s="36" t="str">
        <f t="shared" ca="1" si="28"/>
        <v/>
      </c>
      <c r="J625" s="36" t="str">
        <f t="shared" si="29"/>
        <v/>
      </c>
    </row>
    <row r="626" spans="1:10" ht="15" customHeight="1" x14ac:dyDescent="0.25">
      <c r="A626" s="35" t="str">
        <f t="shared" si="27"/>
        <v/>
      </c>
      <c r="I626" s="36" t="str">
        <f t="shared" ca="1" si="28"/>
        <v/>
      </c>
      <c r="J626" s="36" t="str">
        <f t="shared" si="29"/>
        <v/>
      </c>
    </row>
    <row r="627" spans="1:10" ht="15" customHeight="1" x14ac:dyDescent="0.25">
      <c r="A627" s="35" t="str">
        <f t="shared" si="27"/>
        <v/>
      </c>
      <c r="I627" s="36" t="str">
        <f t="shared" ca="1" si="28"/>
        <v/>
      </c>
      <c r="J627" s="36" t="str">
        <f t="shared" si="29"/>
        <v/>
      </c>
    </row>
    <row r="628" spans="1:10" ht="15" customHeight="1" x14ac:dyDescent="0.25">
      <c r="A628" s="35" t="str">
        <f t="shared" si="27"/>
        <v/>
      </c>
      <c r="I628" s="36" t="str">
        <f t="shared" ca="1" si="28"/>
        <v/>
      </c>
      <c r="J628" s="36" t="str">
        <f t="shared" si="29"/>
        <v/>
      </c>
    </row>
    <row r="629" spans="1:10" ht="15" customHeight="1" x14ac:dyDescent="0.25">
      <c r="A629" s="35" t="str">
        <f t="shared" si="27"/>
        <v/>
      </c>
      <c r="I629" s="36" t="str">
        <f t="shared" ca="1" si="28"/>
        <v/>
      </c>
      <c r="J629" s="36" t="str">
        <f t="shared" si="29"/>
        <v/>
      </c>
    </row>
    <row r="630" spans="1:10" ht="15" customHeight="1" x14ac:dyDescent="0.25">
      <c r="A630" s="35" t="str">
        <f t="shared" si="27"/>
        <v/>
      </c>
      <c r="I630" s="36" t="str">
        <f t="shared" ca="1" si="28"/>
        <v/>
      </c>
      <c r="J630" s="36" t="str">
        <f t="shared" si="29"/>
        <v/>
      </c>
    </row>
    <row r="631" spans="1:10" ht="15" customHeight="1" x14ac:dyDescent="0.25">
      <c r="A631" s="35" t="str">
        <f t="shared" si="27"/>
        <v/>
      </c>
      <c r="I631" s="36" t="str">
        <f t="shared" ca="1" si="28"/>
        <v/>
      </c>
      <c r="J631" s="36" t="str">
        <f t="shared" si="29"/>
        <v/>
      </c>
    </row>
    <row r="632" spans="1:10" ht="15" customHeight="1" x14ac:dyDescent="0.25">
      <c r="A632" s="35" t="str">
        <f t="shared" si="27"/>
        <v/>
      </c>
      <c r="I632" s="36" t="str">
        <f t="shared" ca="1" si="28"/>
        <v/>
      </c>
      <c r="J632" s="36" t="str">
        <f t="shared" si="29"/>
        <v/>
      </c>
    </row>
    <row r="633" spans="1:10" ht="15" customHeight="1" x14ac:dyDescent="0.25">
      <c r="A633" s="35" t="str">
        <f t="shared" si="27"/>
        <v/>
      </c>
      <c r="I633" s="36" t="str">
        <f t="shared" ca="1" si="28"/>
        <v/>
      </c>
      <c r="J633" s="36" t="str">
        <f t="shared" si="29"/>
        <v/>
      </c>
    </row>
    <row r="634" spans="1:10" ht="15" customHeight="1" x14ac:dyDescent="0.25">
      <c r="A634" s="35" t="str">
        <f t="shared" si="27"/>
        <v/>
      </c>
      <c r="I634" s="36" t="str">
        <f t="shared" ca="1" si="28"/>
        <v/>
      </c>
      <c r="J634" s="36" t="str">
        <f t="shared" si="29"/>
        <v/>
      </c>
    </row>
    <row r="635" spans="1:10" ht="15" customHeight="1" x14ac:dyDescent="0.25">
      <c r="A635" s="35" t="str">
        <f t="shared" si="27"/>
        <v/>
      </c>
      <c r="I635" s="36" t="str">
        <f t="shared" ca="1" si="28"/>
        <v/>
      </c>
      <c r="J635" s="36" t="str">
        <f t="shared" si="29"/>
        <v/>
      </c>
    </row>
    <row r="636" spans="1:10" ht="15" customHeight="1" x14ac:dyDescent="0.25">
      <c r="A636" s="35" t="str">
        <f t="shared" si="27"/>
        <v/>
      </c>
      <c r="I636" s="36" t="str">
        <f t="shared" ca="1" si="28"/>
        <v/>
      </c>
      <c r="J636" s="36" t="str">
        <f t="shared" si="29"/>
        <v/>
      </c>
    </row>
    <row r="637" spans="1:10" ht="15" customHeight="1" x14ac:dyDescent="0.25">
      <c r="A637" s="35" t="str">
        <f t="shared" si="27"/>
        <v/>
      </c>
      <c r="I637" s="36" t="str">
        <f t="shared" ca="1" si="28"/>
        <v/>
      </c>
      <c r="J637" s="36" t="str">
        <f t="shared" si="29"/>
        <v/>
      </c>
    </row>
    <row r="638" spans="1:10" ht="15" customHeight="1" x14ac:dyDescent="0.25">
      <c r="A638" s="35" t="str">
        <f t="shared" si="27"/>
        <v/>
      </c>
      <c r="I638" s="36" t="str">
        <f t="shared" ca="1" si="28"/>
        <v/>
      </c>
      <c r="J638" s="36" t="str">
        <f t="shared" si="29"/>
        <v/>
      </c>
    </row>
    <row r="639" spans="1:10" ht="15" customHeight="1" x14ac:dyDescent="0.25">
      <c r="A639" s="35" t="str">
        <f t="shared" si="27"/>
        <v/>
      </c>
      <c r="I639" s="36" t="str">
        <f t="shared" ca="1" si="28"/>
        <v/>
      </c>
      <c r="J639" s="36" t="str">
        <f t="shared" si="29"/>
        <v/>
      </c>
    </row>
    <row r="640" spans="1:10" ht="15" customHeight="1" x14ac:dyDescent="0.25">
      <c r="A640" s="35" t="str">
        <f t="shared" si="27"/>
        <v/>
      </c>
      <c r="I640" s="36" t="str">
        <f t="shared" ca="1" si="28"/>
        <v/>
      </c>
      <c r="J640" s="36" t="str">
        <f t="shared" si="29"/>
        <v/>
      </c>
    </row>
    <row r="641" spans="1:10" ht="15" customHeight="1" x14ac:dyDescent="0.25">
      <c r="A641" s="35" t="str">
        <f t="shared" si="27"/>
        <v/>
      </c>
      <c r="I641" s="36" t="str">
        <f t="shared" ca="1" si="28"/>
        <v/>
      </c>
      <c r="J641" s="36" t="str">
        <f t="shared" si="29"/>
        <v/>
      </c>
    </row>
    <row r="642" spans="1:10" ht="15" customHeight="1" x14ac:dyDescent="0.25">
      <c r="A642" s="35" t="str">
        <f t="shared" si="27"/>
        <v/>
      </c>
      <c r="I642" s="36" t="str">
        <f t="shared" ca="1" si="28"/>
        <v/>
      </c>
      <c r="J642" s="36" t="str">
        <f t="shared" si="29"/>
        <v/>
      </c>
    </row>
    <row r="643" spans="1:10" ht="15" customHeight="1" x14ac:dyDescent="0.25">
      <c r="A643" s="35" t="str">
        <f t="shared" si="27"/>
        <v/>
      </c>
      <c r="I643" s="36" t="str">
        <f t="shared" ca="1" si="28"/>
        <v/>
      </c>
      <c r="J643" s="36" t="str">
        <f t="shared" si="29"/>
        <v/>
      </c>
    </row>
    <row r="644" spans="1:10" ht="15" customHeight="1" x14ac:dyDescent="0.25">
      <c r="A644" s="35" t="str">
        <f t="shared" si="27"/>
        <v/>
      </c>
      <c r="I644" s="36" t="str">
        <f t="shared" ca="1" si="28"/>
        <v/>
      </c>
      <c r="J644" s="36" t="str">
        <f t="shared" si="29"/>
        <v/>
      </c>
    </row>
    <row r="645" spans="1:10" ht="15" customHeight="1" x14ac:dyDescent="0.25">
      <c r="A645" s="35" t="str">
        <f t="shared" ref="A645:A708" si="30">IF(B645="","","ACC"&amp;TEXT(ROW()-4,"0000"))</f>
        <v/>
      </c>
      <c r="I645" s="36" t="str">
        <f t="shared" ref="I645:I708" ca="1" si="31">IF(B645="","",TEXT(TODAY(),"dd/mm/yyyy"))</f>
        <v/>
      </c>
      <c r="J645" s="36" t="str">
        <f t="shared" ref="J645:J708" si="32">IF(B645="","",IF(ISNUMBER(H645),IF(H645&gt;=10,"✅ Active","⚠️ Below Min Balance"),"Pending"))</f>
        <v/>
      </c>
    </row>
    <row r="646" spans="1:10" ht="15" customHeight="1" x14ac:dyDescent="0.25">
      <c r="A646" s="35" t="str">
        <f t="shared" si="30"/>
        <v/>
      </c>
      <c r="I646" s="36" t="str">
        <f t="shared" ca="1" si="31"/>
        <v/>
      </c>
      <c r="J646" s="36" t="str">
        <f t="shared" si="32"/>
        <v/>
      </c>
    </row>
    <row r="647" spans="1:10" ht="15" customHeight="1" x14ac:dyDescent="0.25">
      <c r="A647" s="35" t="str">
        <f t="shared" si="30"/>
        <v/>
      </c>
      <c r="I647" s="36" t="str">
        <f t="shared" ca="1" si="31"/>
        <v/>
      </c>
      <c r="J647" s="36" t="str">
        <f t="shared" si="32"/>
        <v/>
      </c>
    </row>
    <row r="648" spans="1:10" ht="15" customHeight="1" x14ac:dyDescent="0.25">
      <c r="A648" s="35" t="str">
        <f t="shared" si="30"/>
        <v/>
      </c>
      <c r="I648" s="36" t="str">
        <f t="shared" ca="1" si="31"/>
        <v/>
      </c>
      <c r="J648" s="36" t="str">
        <f t="shared" si="32"/>
        <v/>
      </c>
    </row>
    <row r="649" spans="1:10" ht="15" customHeight="1" x14ac:dyDescent="0.25">
      <c r="A649" s="35" t="str">
        <f t="shared" si="30"/>
        <v/>
      </c>
      <c r="I649" s="36" t="str">
        <f t="shared" ca="1" si="31"/>
        <v/>
      </c>
      <c r="J649" s="36" t="str">
        <f t="shared" si="32"/>
        <v/>
      </c>
    </row>
    <row r="650" spans="1:10" ht="15" customHeight="1" x14ac:dyDescent="0.25">
      <c r="A650" s="35" t="str">
        <f t="shared" si="30"/>
        <v/>
      </c>
      <c r="I650" s="36" t="str">
        <f t="shared" ca="1" si="31"/>
        <v/>
      </c>
      <c r="J650" s="36" t="str">
        <f t="shared" si="32"/>
        <v/>
      </c>
    </row>
    <row r="651" spans="1:10" ht="15" customHeight="1" x14ac:dyDescent="0.25">
      <c r="A651" s="35" t="str">
        <f t="shared" si="30"/>
        <v/>
      </c>
      <c r="I651" s="36" t="str">
        <f t="shared" ca="1" si="31"/>
        <v/>
      </c>
      <c r="J651" s="36" t="str">
        <f t="shared" si="32"/>
        <v/>
      </c>
    </row>
    <row r="652" spans="1:10" ht="15" customHeight="1" x14ac:dyDescent="0.25">
      <c r="A652" s="35" t="str">
        <f t="shared" si="30"/>
        <v/>
      </c>
      <c r="I652" s="36" t="str">
        <f t="shared" ca="1" si="31"/>
        <v/>
      </c>
      <c r="J652" s="36" t="str">
        <f t="shared" si="32"/>
        <v/>
      </c>
    </row>
    <row r="653" spans="1:10" ht="15" customHeight="1" x14ac:dyDescent="0.25">
      <c r="A653" s="35" t="str">
        <f t="shared" si="30"/>
        <v/>
      </c>
      <c r="I653" s="36" t="str">
        <f t="shared" ca="1" si="31"/>
        <v/>
      </c>
      <c r="J653" s="36" t="str">
        <f t="shared" si="32"/>
        <v/>
      </c>
    </row>
    <row r="654" spans="1:10" ht="15" customHeight="1" x14ac:dyDescent="0.25">
      <c r="A654" s="35" t="str">
        <f t="shared" si="30"/>
        <v/>
      </c>
      <c r="I654" s="36" t="str">
        <f t="shared" ca="1" si="31"/>
        <v/>
      </c>
      <c r="J654" s="36" t="str">
        <f t="shared" si="32"/>
        <v/>
      </c>
    </row>
    <row r="655" spans="1:10" ht="15" customHeight="1" x14ac:dyDescent="0.25">
      <c r="A655" s="35" t="str">
        <f t="shared" si="30"/>
        <v/>
      </c>
      <c r="I655" s="36" t="str">
        <f t="shared" ca="1" si="31"/>
        <v/>
      </c>
      <c r="J655" s="36" t="str">
        <f t="shared" si="32"/>
        <v/>
      </c>
    </row>
    <row r="656" spans="1:10" ht="15" customHeight="1" x14ac:dyDescent="0.25">
      <c r="A656" s="35" t="str">
        <f t="shared" si="30"/>
        <v/>
      </c>
      <c r="I656" s="36" t="str">
        <f t="shared" ca="1" si="31"/>
        <v/>
      </c>
      <c r="J656" s="36" t="str">
        <f t="shared" si="32"/>
        <v/>
      </c>
    </row>
    <row r="657" spans="1:10" ht="15" customHeight="1" x14ac:dyDescent="0.25">
      <c r="A657" s="35" t="str">
        <f t="shared" si="30"/>
        <v/>
      </c>
      <c r="I657" s="36" t="str">
        <f t="shared" ca="1" si="31"/>
        <v/>
      </c>
      <c r="J657" s="36" t="str">
        <f t="shared" si="32"/>
        <v/>
      </c>
    </row>
    <row r="658" spans="1:10" ht="15" customHeight="1" x14ac:dyDescent="0.25">
      <c r="A658" s="35" t="str">
        <f t="shared" si="30"/>
        <v/>
      </c>
      <c r="I658" s="36" t="str">
        <f t="shared" ca="1" si="31"/>
        <v/>
      </c>
      <c r="J658" s="36" t="str">
        <f t="shared" si="32"/>
        <v/>
      </c>
    </row>
    <row r="659" spans="1:10" ht="15" customHeight="1" x14ac:dyDescent="0.25">
      <c r="A659" s="35" t="str">
        <f t="shared" si="30"/>
        <v/>
      </c>
      <c r="I659" s="36" t="str">
        <f t="shared" ca="1" si="31"/>
        <v/>
      </c>
      <c r="J659" s="36" t="str">
        <f t="shared" si="32"/>
        <v/>
      </c>
    </row>
    <row r="660" spans="1:10" ht="15" customHeight="1" x14ac:dyDescent="0.25">
      <c r="A660" s="35" t="str">
        <f t="shared" si="30"/>
        <v/>
      </c>
      <c r="I660" s="36" t="str">
        <f t="shared" ca="1" si="31"/>
        <v/>
      </c>
      <c r="J660" s="36" t="str">
        <f t="shared" si="32"/>
        <v/>
      </c>
    </row>
    <row r="661" spans="1:10" ht="15" customHeight="1" x14ac:dyDescent="0.25">
      <c r="A661" s="35" t="str">
        <f t="shared" si="30"/>
        <v/>
      </c>
      <c r="I661" s="36" t="str">
        <f t="shared" ca="1" si="31"/>
        <v/>
      </c>
      <c r="J661" s="36" t="str">
        <f t="shared" si="32"/>
        <v/>
      </c>
    </row>
    <row r="662" spans="1:10" ht="15" customHeight="1" x14ac:dyDescent="0.25">
      <c r="A662" s="35" t="str">
        <f t="shared" si="30"/>
        <v/>
      </c>
      <c r="I662" s="36" t="str">
        <f t="shared" ca="1" si="31"/>
        <v/>
      </c>
      <c r="J662" s="36" t="str">
        <f t="shared" si="32"/>
        <v/>
      </c>
    </row>
    <row r="663" spans="1:10" ht="15" customHeight="1" x14ac:dyDescent="0.25">
      <c r="A663" s="35" t="str">
        <f t="shared" si="30"/>
        <v/>
      </c>
      <c r="I663" s="36" t="str">
        <f t="shared" ca="1" si="31"/>
        <v/>
      </c>
      <c r="J663" s="36" t="str">
        <f t="shared" si="32"/>
        <v/>
      </c>
    </row>
    <row r="664" spans="1:10" ht="15" customHeight="1" x14ac:dyDescent="0.25">
      <c r="A664" s="35" t="str">
        <f t="shared" si="30"/>
        <v/>
      </c>
      <c r="I664" s="36" t="str">
        <f t="shared" ca="1" si="31"/>
        <v/>
      </c>
      <c r="J664" s="36" t="str">
        <f t="shared" si="32"/>
        <v/>
      </c>
    </row>
    <row r="665" spans="1:10" ht="15" customHeight="1" x14ac:dyDescent="0.25">
      <c r="A665" s="35" t="str">
        <f t="shared" si="30"/>
        <v/>
      </c>
      <c r="I665" s="36" t="str">
        <f t="shared" ca="1" si="31"/>
        <v/>
      </c>
      <c r="J665" s="36" t="str">
        <f t="shared" si="32"/>
        <v/>
      </c>
    </row>
    <row r="666" spans="1:10" ht="15" customHeight="1" x14ac:dyDescent="0.25">
      <c r="A666" s="35" t="str">
        <f t="shared" si="30"/>
        <v/>
      </c>
      <c r="I666" s="36" t="str">
        <f t="shared" ca="1" si="31"/>
        <v/>
      </c>
      <c r="J666" s="36" t="str">
        <f t="shared" si="32"/>
        <v/>
      </c>
    </row>
    <row r="667" spans="1:10" ht="15" customHeight="1" x14ac:dyDescent="0.25">
      <c r="A667" s="35" t="str">
        <f t="shared" si="30"/>
        <v/>
      </c>
      <c r="I667" s="36" t="str">
        <f t="shared" ca="1" si="31"/>
        <v/>
      </c>
      <c r="J667" s="36" t="str">
        <f t="shared" si="32"/>
        <v/>
      </c>
    </row>
    <row r="668" spans="1:10" ht="15" customHeight="1" x14ac:dyDescent="0.25">
      <c r="A668" s="35" t="str">
        <f t="shared" si="30"/>
        <v/>
      </c>
      <c r="I668" s="36" t="str">
        <f t="shared" ca="1" si="31"/>
        <v/>
      </c>
      <c r="J668" s="36" t="str">
        <f t="shared" si="32"/>
        <v/>
      </c>
    </row>
    <row r="669" spans="1:10" ht="15" customHeight="1" x14ac:dyDescent="0.25">
      <c r="A669" s="35" t="str">
        <f t="shared" si="30"/>
        <v/>
      </c>
      <c r="I669" s="36" t="str">
        <f t="shared" ca="1" si="31"/>
        <v/>
      </c>
      <c r="J669" s="36" t="str">
        <f t="shared" si="32"/>
        <v/>
      </c>
    </row>
    <row r="670" spans="1:10" ht="15" customHeight="1" x14ac:dyDescent="0.25">
      <c r="A670" s="35" t="str">
        <f t="shared" si="30"/>
        <v/>
      </c>
      <c r="I670" s="36" t="str">
        <f t="shared" ca="1" si="31"/>
        <v/>
      </c>
      <c r="J670" s="36" t="str">
        <f t="shared" si="32"/>
        <v/>
      </c>
    </row>
    <row r="671" spans="1:10" ht="15" customHeight="1" x14ac:dyDescent="0.25">
      <c r="A671" s="35" t="str">
        <f t="shared" si="30"/>
        <v/>
      </c>
      <c r="I671" s="36" t="str">
        <f t="shared" ca="1" si="31"/>
        <v/>
      </c>
      <c r="J671" s="36" t="str">
        <f t="shared" si="32"/>
        <v/>
      </c>
    </row>
    <row r="672" spans="1:10" ht="15" customHeight="1" x14ac:dyDescent="0.25">
      <c r="A672" s="35" t="str">
        <f t="shared" si="30"/>
        <v/>
      </c>
      <c r="I672" s="36" t="str">
        <f t="shared" ca="1" si="31"/>
        <v/>
      </c>
      <c r="J672" s="36" t="str">
        <f t="shared" si="32"/>
        <v/>
      </c>
    </row>
    <row r="673" spans="1:10" ht="15" customHeight="1" x14ac:dyDescent="0.25">
      <c r="A673" s="35" t="str">
        <f t="shared" si="30"/>
        <v/>
      </c>
      <c r="I673" s="36" t="str">
        <f t="shared" ca="1" si="31"/>
        <v/>
      </c>
      <c r="J673" s="36" t="str">
        <f t="shared" si="32"/>
        <v/>
      </c>
    </row>
    <row r="674" spans="1:10" ht="15" customHeight="1" x14ac:dyDescent="0.25">
      <c r="A674" s="35" t="str">
        <f t="shared" si="30"/>
        <v/>
      </c>
      <c r="I674" s="36" t="str">
        <f t="shared" ca="1" si="31"/>
        <v/>
      </c>
      <c r="J674" s="36" t="str">
        <f t="shared" si="32"/>
        <v/>
      </c>
    </row>
    <row r="675" spans="1:10" ht="15" customHeight="1" x14ac:dyDescent="0.25">
      <c r="A675" s="35" t="str">
        <f t="shared" si="30"/>
        <v/>
      </c>
      <c r="I675" s="36" t="str">
        <f t="shared" ca="1" si="31"/>
        <v/>
      </c>
      <c r="J675" s="36" t="str">
        <f t="shared" si="32"/>
        <v/>
      </c>
    </row>
    <row r="676" spans="1:10" ht="15" customHeight="1" x14ac:dyDescent="0.25">
      <c r="A676" s="35" t="str">
        <f t="shared" si="30"/>
        <v/>
      </c>
      <c r="I676" s="36" t="str">
        <f t="shared" ca="1" si="31"/>
        <v/>
      </c>
      <c r="J676" s="36" t="str">
        <f t="shared" si="32"/>
        <v/>
      </c>
    </row>
    <row r="677" spans="1:10" ht="15" customHeight="1" x14ac:dyDescent="0.25">
      <c r="A677" s="35" t="str">
        <f t="shared" si="30"/>
        <v/>
      </c>
      <c r="I677" s="36" t="str">
        <f t="shared" ca="1" si="31"/>
        <v/>
      </c>
      <c r="J677" s="36" t="str">
        <f t="shared" si="32"/>
        <v/>
      </c>
    </row>
    <row r="678" spans="1:10" ht="15" customHeight="1" x14ac:dyDescent="0.25">
      <c r="A678" s="35" t="str">
        <f t="shared" si="30"/>
        <v/>
      </c>
      <c r="I678" s="36" t="str">
        <f t="shared" ca="1" si="31"/>
        <v/>
      </c>
      <c r="J678" s="36" t="str">
        <f t="shared" si="32"/>
        <v/>
      </c>
    </row>
    <row r="679" spans="1:10" ht="15" customHeight="1" x14ac:dyDescent="0.25">
      <c r="A679" s="35" t="str">
        <f t="shared" si="30"/>
        <v/>
      </c>
      <c r="I679" s="36" t="str">
        <f t="shared" ca="1" si="31"/>
        <v/>
      </c>
      <c r="J679" s="36" t="str">
        <f t="shared" si="32"/>
        <v/>
      </c>
    </row>
    <row r="680" spans="1:10" ht="15" customHeight="1" x14ac:dyDescent="0.25">
      <c r="A680" s="35" t="str">
        <f t="shared" si="30"/>
        <v/>
      </c>
      <c r="I680" s="36" t="str">
        <f t="shared" ca="1" si="31"/>
        <v/>
      </c>
      <c r="J680" s="36" t="str">
        <f t="shared" si="32"/>
        <v/>
      </c>
    </row>
    <row r="681" spans="1:10" ht="15" customHeight="1" x14ac:dyDescent="0.25">
      <c r="A681" s="35" t="str">
        <f t="shared" si="30"/>
        <v/>
      </c>
      <c r="I681" s="36" t="str">
        <f t="shared" ca="1" si="31"/>
        <v/>
      </c>
      <c r="J681" s="36" t="str">
        <f t="shared" si="32"/>
        <v/>
      </c>
    </row>
    <row r="682" spans="1:10" ht="15" customHeight="1" x14ac:dyDescent="0.25">
      <c r="A682" s="35" t="str">
        <f t="shared" si="30"/>
        <v/>
      </c>
      <c r="I682" s="36" t="str">
        <f t="shared" ca="1" si="31"/>
        <v/>
      </c>
      <c r="J682" s="36" t="str">
        <f t="shared" si="32"/>
        <v/>
      </c>
    </row>
    <row r="683" spans="1:10" ht="15" customHeight="1" x14ac:dyDescent="0.25">
      <c r="A683" s="35" t="str">
        <f t="shared" si="30"/>
        <v/>
      </c>
      <c r="I683" s="36" t="str">
        <f t="shared" ca="1" si="31"/>
        <v/>
      </c>
      <c r="J683" s="36" t="str">
        <f t="shared" si="32"/>
        <v/>
      </c>
    </row>
    <row r="684" spans="1:10" ht="15" customHeight="1" x14ac:dyDescent="0.25">
      <c r="A684" s="35" t="str">
        <f t="shared" si="30"/>
        <v/>
      </c>
      <c r="I684" s="36" t="str">
        <f t="shared" ca="1" si="31"/>
        <v/>
      </c>
      <c r="J684" s="36" t="str">
        <f t="shared" si="32"/>
        <v/>
      </c>
    </row>
    <row r="685" spans="1:10" ht="15" customHeight="1" x14ac:dyDescent="0.25">
      <c r="A685" s="35" t="str">
        <f t="shared" si="30"/>
        <v/>
      </c>
      <c r="I685" s="36" t="str">
        <f t="shared" ca="1" si="31"/>
        <v/>
      </c>
      <c r="J685" s="36" t="str">
        <f t="shared" si="32"/>
        <v/>
      </c>
    </row>
    <row r="686" spans="1:10" ht="15" customHeight="1" x14ac:dyDescent="0.25">
      <c r="A686" s="35" t="str">
        <f t="shared" si="30"/>
        <v/>
      </c>
      <c r="I686" s="36" t="str">
        <f t="shared" ca="1" si="31"/>
        <v/>
      </c>
      <c r="J686" s="36" t="str">
        <f t="shared" si="32"/>
        <v/>
      </c>
    </row>
    <row r="687" spans="1:10" ht="15" customHeight="1" x14ac:dyDescent="0.25">
      <c r="A687" s="35" t="str">
        <f t="shared" si="30"/>
        <v/>
      </c>
      <c r="I687" s="36" t="str">
        <f t="shared" ca="1" si="31"/>
        <v/>
      </c>
      <c r="J687" s="36" t="str">
        <f t="shared" si="32"/>
        <v/>
      </c>
    </row>
    <row r="688" spans="1:10" ht="15" customHeight="1" x14ac:dyDescent="0.25">
      <c r="A688" s="35" t="str">
        <f t="shared" si="30"/>
        <v/>
      </c>
      <c r="I688" s="36" t="str">
        <f t="shared" ca="1" si="31"/>
        <v/>
      </c>
      <c r="J688" s="36" t="str">
        <f t="shared" si="32"/>
        <v/>
      </c>
    </row>
    <row r="689" spans="1:10" ht="15" customHeight="1" x14ac:dyDescent="0.25">
      <c r="A689" s="35" t="str">
        <f t="shared" si="30"/>
        <v/>
      </c>
      <c r="I689" s="36" t="str">
        <f t="shared" ca="1" si="31"/>
        <v/>
      </c>
      <c r="J689" s="36" t="str">
        <f t="shared" si="32"/>
        <v/>
      </c>
    </row>
    <row r="690" spans="1:10" ht="15" customHeight="1" x14ac:dyDescent="0.25">
      <c r="A690" s="35" t="str">
        <f t="shared" si="30"/>
        <v/>
      </c>
      <c r="I690" s="36" t="str">
        <f t="shared" ca="1" si="31"/>
        <v/>
      </c>
      <c r="J690" s="36" t="str">
        <f t="shared" si="32"/>
        <v/>
      </c>
    </row>
    <row r="691" spans="1:10" ht="15" customHeight="1" x14ac:dyDescent="0.25">
      <c r="A691" s="35" t="str">
        <f t="shared" si="30"/>
        <v/>
      </c>
      <c r="I691" s="36" t="str">
        <f t="shared" ca="1" si="31"/>
        <v/>
      </c>
      <c r="J691" s="36" t="str">
        <f t="shared" si="32"/>
        <v/>
      </c>
    </row>
    <row r="692" spans="1:10" ht="15" customHeight="1" x14ac:dyDescent="0.25">
      <c r="A692" s="35" t="str">
        <f t="shared" si="30"/>
        <v/>
      </c>
      <c r="I692" s="36" t="str">
        <f t="shared" ca="1" si="31"/>
        <v/>
      </c>
      <c r="J692" s="36" t="str">
        <f t="shared" si="32"/>
        <v/>
      </c>
    </row>
    <row r="693" spans="1:10" ht="15" customHeight="1" x14ac:dyDescent="0.25">
      <c r="A693" s="35" t="str">
        <f t="shared" si="30"/>
        <v/>
      </c>
      <c r="I693" s="36" t="str">
        <f t="shared" ca="1" si="31"/>
        <v/>
      </c>
      <c r="J693" s="36" t="str">
        <f t="shared" si="32"/>
        <v/>
      </c>
    </row>
    <row r="694" spans="1:10" ht="15" customHeight="1" x14ac:dyDescent="0.25">
      <c r="A694" s="35" t="str">
        <f t="shared" si="30"/>
        <v/>
      </c>
      <c r="I694" s="36" t="str">
        <f t="shared" ca="1" si="31"/>
        <v/>
      </c>
      <c r="J694" s="36" t="str">
        <f t="shared" si="32"/>
        <v/>
      </c>
    </row>
    <row r="695" spans="1:10" ht="15" customHeight="1" x14ac:dyDescent="0.25">
      <c r="A695" s="35" t="str">
        <f t="shared" si="30"/>
        <v/>
      </c>
      <c r="I695" s="36" t="str">
        <f t="shared" ca="1" si="31"/>
        <v/>
      </c>
      <c r="J695" s="36" t="str">
        <f t="shared" si="32"/>
        <v/>
      </c>
    </row>
    <row r="696" spans="1:10" ht="15" customHeight="1" x14ac:dyDescent="0.25">
      <c r="A696" s="35" t="str">
        <f t="shared" si="30"/>
        <v/>
      </c>
      <c r="I696" s="36" t="str">
        <f t="shared" ca="1" si="31"/>
        <v/>
      </c>
      <c r="J696" s="36" t="str">
        <f t="shared" si="32"/>
        <v/>
      </c>
    </row>
    <row r="697" spans="1:10" ht="15" customHeight="1" x14ac:dyDescent="0.25">
      <c r="A697" s="35" t="str">
        <f t="shared" si="30"/>
        <v/>
      </c>
      <c r="I697" s="36" t="str">
        <f t="shared" ca="1" si="31"/>
        <v/>
      </c>
      <c r="J697" s="36" t="str">
        <f t="shared" si="32"/>
        <v/>
      </c>
    </row>
    <row r="698" spans="1:10" ht="15" customHeight="1" x14ac:dyDescent="0.25">
      <c r="A698" s="35" t="str">
        <f t="shared" si="30"/>
        <v/>
      </c>
      <c r="I698" s="36" t="str">
        <f t="shared" ca="1" si="31"/>
        <v/>
      </c>
      <c r="J698" s="36" t="str">
        <f t="shared" si="32"/>
        <v/>
      </c>
    </row>
    <row r="699" spans="1:10" ht="15" customHeight="1" x14ac:dyDescent="0.25">
      <c r="A699" s="35" t="str">
        <f t="shared" si="30"/>
        <v/>
      </c>
      <c r="I699" s="36" t="str">
        <f t="shared" ca="1" si="31"/>
        <v/>
      </c>
      <c r="J699" s="36" t="str">
        <f t="shared" si="32"/>
        <v/>
      </c>
    </row>
    <row r="700" spans="1:10" ht="15" customHeight="1" x14ac:dyDescent="0.25">
      <c r="A700" s="35" t="str">
        <f t="shared" si="30"/>
        <v/>
      </c>
      <c r="I700" s="36" t="str">
        <f t="shared" ca="1" si="31"/>
        <v/>
      </c>
      <c r="J700" s="36" t="str">
        <f t="shared" si="32"/>
        <v/>
      </c>
    </row>
    <row r="701" spans="1:10" ht="15" customHeight="1" x14ac:dyDescent="0.25">
      <c r="A701" s="35" t="str">
        <f t="shared" si="30"/>
        <v/>
      </c>
      <c r="I701" s="36" t="str">
        <f t="shared" ca="1" si="31"/>
        <v/>
      </c>
      <c r="J701" s="36" t="str">
        <f t="shared" si="32"/>
        <v/>
      </c>
    </row>
    <row r="702" spans="1:10" ht="15" customHeight="1" x14ac:dyDescent="0.25">
      <c r="A702" s="35" t="str">
        <f t="shared" si="30"/>
        <v/>
      </c>
      <c r="I702" s="36" t="str">
        <f t="shared" ca="1" si="31"/>
        <v/>
      </c>
      <c r="J702" s="36" t="str">
        <f t="shared" si="32"/>
        <v/>
      </c>
    </row>
    <row r="703" spans="1:10" ht="15" customHeight="1" x14ac:dyDescent="0.25">
      <c r="A703" s="35" t="str">
        <f t="shared" si="30"/>
        <v/>
      </c>
      <c r="I703" s="36" t="str">
        <f t="shared" ca="1" si="31"/>
        <v/>
      </c>
      <c r="J703" s="36" t="str">
        <f t="shared" si="32"/>
        <v/>
      </c>
    </row>
    <row r="704" spans="1:10" ht="15" customHeight="1" x14ac:dyDescent="0.25">
      <c r="A704" s="35" t="str">
        <f t="shared" si="30"/>
        <v/>
      </c>
      <c r="I704" s="36" t="str">
        <f t="shared" ca="1" si="31"/>
        <v/>
      </c>
      <c r="J704" s="36" t="str">
        <f t="shared" si="32"/>
        <v/>
      </c>
    </row>
    <row r="705" spans="1:10" ht="15" customHeight="1" x14ac:dyDescent="0.25">
      <c r="A705" s="35" t="str">
        <f t="shared" si="30"/>
        <v/>
      </c>
      <c r="I705" s="36" t="str">
        <f t="shared" ca="1" si="31"/>
        <v/>
      </c>
      <c r="J705" s="36" t="str">
        <f t="shared" si="32"/>
        <v/>
      </c>
    </row>
    <row r="706" spans="1:10" ht="15" customHeight="1" x14ac:dyDescent="0.25">
      <c r="A706" s="35" t="str">
        <f t="shared" si="30"/>
        <v/>
      </c>
      <c r="I706" s="36" t="str">
        <f t="shared" ca="1" si="31"/>
        <v/>
      </c>
      <c r="J706" s="36" t="str">
        <f t="shared" si="32"/>
        <v/>
      </c>
    </row>
    <row r="707" spans="1:10" ht="15" customHeight="1" x14ac:dyDescent="0.25">
      <c r="A707" s="35" t="str">
        <f t="shared" si="30"/>
        <v/>
      </c>
      <c r="I707" s="36" t="str">
        <f t="shared" ca="1" si="31"/>
        <v/>
      </c>
      <c r="J707" s="36" t="str">
        <f t="shared" si="32"/>
        <v/>
      </c>
    </row>
    <row r="708" spans="1:10" ht="15" customHeight="1" x14ac:dyDescent="0.25">
      <c r="A708" s="35" t="str">
        <f t="shared" si="30"/>
        <v/>
      </c>
      <c r="I708" s="36" t="str">
        <f t="shared" ca="1" si="31"/>
        <v/>
      </c>
      <c r="J708" s="36" t="str">
        <f t="shared" si="32"/>
        <v/>
      </c>
    </row>
    <row r="709" spans="1:10" ht="15" customHeight="1" x14ac:dyDescent="0.25">
      <c r="A709" s="35" t="str">
        <f t="shared" ref="A709:A772" si="33">IF(B709="","","ACC"&amp;TEXT(ROW()-4,"0000"))</f>
        <v/>
      </c>
      <c r="I709" s="36" t="str">
        <f t="shared" ref="I709:I772" ca="1" si="34">IF(B709="","",TEXT(TODAY(),"dd/mm/yyyy"))</f>
        <v/>
      </c>
      <c r="J709" s="36" t="str">
        <f t="shared" ref="J709:J772" si="35">IF(B709="","",IF(ISNUMBER(H709),IF(H709&gt;=10,"✅ Active","⚠️ Below Min Balance"),"Pending"))</f>
        <v/>
      </c>
    </row>
    <row r="710" spans="1:10" ht="15" customHeight="1" x14ac:dyDescent="0.25">
      <c r="A710" s="35" t="str">
        <f t="shared" si="33"/>
        <v/>
      </c>
      <c r="I710" s="36" t="str">
        <f t="shared" ca="1" si="34"/>
        <v/>
      </c>
      <c r="J710" s="36" t="str">
        <f t="shared" si="35"/>
        <v/>
      </c>
    </row>
    <row r="711" spans="1:10" ht="15" customHeight="1" x14ac:dyDescent="0.25">
      <c r="A711" s="35" t="str">
        <f t="shared" si="33"/>
        <v/>
      </c>
      <c r="I711" s="36" t="str">
        <f t="shared" ca="1" si="34"/>
        <v/>
      </c>
      <c r="J711" s="36" t="str">
        <f t="shared" si="35"/>
        <v/>
      </c>
    </row>
    <row r="712" spans="1:10" ht="15" customHeight="1" x14ac:dyDescent="0.25">
      <c r="A712" s="35" t="str">
        <f t="shared" si="33"/>
        <v/>
      </c>
      <c r="I712" s="36" t="str">
        <f t="shared" ca="1" si="34"/>
        <v/>
      </c>
      <c r="J712" s="36" t="str">
        <f t="shared" si="35"/>
        <v/>
      </c>
    </row>
    <row r="713" spans="1:10" ht="15" customHeight="1" x14ac:dyDescent="0.25">
      <c r="A713" s="35" t="str">
        <f t="shared" si="33"/>
        <v/>
      </c>
      <c r="I713" s="36" t="str">
        <f t="shared" ca="1" si="34"/>
        <v/>
      </c>
      <c r="J713" s="36" t="str">
        <f t="shared" si="35"/>
        <v/>
      </c>
    </row>
    <row r="714" spans="1:10" ht="15" customHeight="1" x14ac:dyDescent="0.25">
      <c r="A714" s="35" t="str">
        <f t="shared" si="33"/>
        <v/>
      </c>
      <c r="I714" s="36" t="str">
        <f t="shared" ca="1" si="34"/>
        <v/>
      </c>
      <c r="J714" s="36" t="str">
        <f t="shared" si="35"/>
        <v/>
      </c>
    </row>
    <row r="715" spans="1:10" ht="15" customHeight="1" x14ac:dyDescent="0.25">
      <c r="A715" s="35" t="str">
        <f t="shared" si="33"/>
        <v/>
      </c>
      <c r="I715" s="36" t="str">
        <f t="shared" ca="1" si="34"/>
        <v/>
      </c>
      <c r="J715" s="36" t="str">
        <f t="shared" si="35"/>
        <v/>
      </c>
    </row>
    <row r="716" spans="1:10" ht="15" customHeight="1" x14ac:dyDescent="0.25">
      <c r="A716" s="35" t="str">
        <f t="shared" si="33"/>
        <v/>
      </c>
      <c r="I716" s="36" t="str">
        <f t="shared" ca="1" si="34"/>
        <v/>
      </c>
      <c r="J716" s="36" t="str">
        <f t="shared" si="35"/>
        <v/>
      </c>
    </row>
    <row r="717" spans="1:10" ht="15" customHeight="1" x14ac:dyDescent="0.25">
      <c r="A717" s="35" t="str">
        <f t="shared" si="33"/>
        <v/>
      </c>
      <c r="I717" s="36" t="str">
        <f t="shared" ca="1" si="34"/>
        <v/>
      </c>
      <c r="J717" s="36" t="str">
        <f t="shared" si="35"/>
        <v/>
      </c>
    </row>
    <row r="718" spans="1:10" ht="15" customHeight="1" x14ac:dyDescent="0.25">
      <c r="A718" s="35" t="str">
        <f t="shared" si="33"/>
        <v/>
      </c>
      <c r="I718" s="36" t="str">
        <f t="shared" ca="1" si="34"/>
        <v/>
      </c>
      <c r="J718" s="36" t="str">
        <f t="shared" si="35"/>
        <v/>
      </c>
    </row>
    <row r="719" spans="1:10" ht="15" customHeight="1" x14ac:dyDescent="0.25">
      <c r="A719" s="35" t="str">
        <f t="shared" si="33"/>
        <v/>
      </c>
      <c r="I719" s="36" t="str">
        <f t="shared" ca="1" si="34"/>
        <v/>
      </c>
      <c r="J719" s="36" t="str">
        <f t="shared" si="35"/>
        <v/>
      </c>
    </row>
    <row r="720" spans="1:10" ht="15" customHeight="1" x14ac:dyDescent="0.25">
      <c r="A720" s="35" t="str">
        <f t="shared" si="33"/>
        <v/>
      </c>
      <c r="I720" s="36" t="str">
        <f t="shared" ca="1" si="34"/>
        <v/>
      </c>
      <c r="J720" s="36" t="str">
        <f t="shared" si="35"/>
        <v/>
      </c>
    </row>
    <row r="721" spans="1:10" ht="15" customHeight="1" x14ac:dyDescent="0.25">
      <c r="A721" s="35" t="str">
        <f t="shared" si="33"/>
        <v/>
      </c>
      <c r="I721" s="36" t="str">
        <f t="shared" ca="1" si="34"/>
        <v/>
      </c>
      <c r="J721" s="36" t="str">
        <f t="shared" si="35"/>
        <v/>
      </c>
    </row>
    <row r="722" spans="1:10" ht="15" customHeight="1" x14ac:dyDescent="0.25">
      <c r="A722" s="35" t="str">
        <f t="shared" si="33"/>
        <v/>
      </c>
      <c r="I722" s="36" t="str">
        <f t="shared" ca="1" si="34"/>
        <v/>
      </c>
      <c r="J722" s="36" t="str">
        <f t="shared" si="35"/>
        <v/>
      </c>
    </row>
    <row r="723" spans="1:10" ht="15" customHeight="1" x14ac:dyDescent="0.25">
      <c r="A723" s="35" t="str">
        <f t="shared" si="33"/>
        <v/>
      </c>
      <c r="I723" s="36" t="str">
        <f t="shared" ca="1" si="34"/>
        <v/>
      </c>
      <c r="J723" s="36" t="str">
        <f t="shared" si="35"/>
        <v/>
      </c>
    </row>
    <row r="724" spans="1:10" ht="15" customHeight="1" x14ac:dyDescent="0.25">
      <c r="A724" s="35" t="str">
        <f t="shared" si="33"/>
        <v/>
      </c>
      <c r="I724" s="36" t="str">
        <f t="shared" ca="1" si="34"/>
        <v/>
      </c>
      <c r="J724" s="36" t="str">
        <f t="shared" si="35"/>
        <v/>
      </c>
    </row>
    <row r="725" spans="1:10" ht="15" customHeight="1" x14ac:dyDescent="0.25">
      <c r="A725" s="35" t="str">
        <f t="shared" si="33"/>
        <v/>
      </c>
      <c r="I725" s="36" t="str">
        <f t="shared" ca="1" si="34"/>
        <v/>
      </c>
      <c r="J725" s="36" t="str">
        <f t="shared" si="35"/>
        <v/>
      </c>
    </row>
    <row r="726" spans="1:10" ht="15" customHeight="1" x14ac:dyDescent="0.25">
      <c r="A726" s="35" t="str">
        <f t="shared" si="33"/>
        <v/>
      </c>
      <c r="I726" s="36" t="str">
        <f t="shared" ca="1" si="34"/>
        <v/>
      </c>
      <c r="J726" s="36" t="str">
        <f t="shared" si="35"/>
        <v/>
      </c>
    </row>
    <row r="727" spans="1:10" ht="15" customHeight="1" x14ac:dyDescent="0.25">
      <c r="A727" s="35" t="str">
        <f t="shared" si="33"/>
        <v/>
      </c>
      <c r="I727" s="36" t="str">
        <f t="shared" ca="1" si="34"/>
        <v/>
      </c>
      <c r="J727" s="36" t="str">
        <f t="shared" si="35"/>
        <v/>
      </c>
    </row>
    <row r="728" spans="1:10" ht="15" customHeight="1" x14ac:dyDescent="0.25">
      <c r="A728" s="35" t="str">
        <f t="shared" si="33"/>
        <v/>
      </c>
      <c r="I728" s="36" t="str">
        <f t="shared" ca="1" si="34"/>
        <v/>
      </c>
      <c r="J728" s="36" t="str">
        <f t="shared" si="35"/>
        <v/>
      </c>
    </row>
    <row r="729" spans="1:10" ht="15" customHeight="1" x14ac:dyDescent="0.25">
      <c r="A729" s="35" t="str">
        <f t="shared" si="33"/>
        <v/>
      </c>
      <c r="I729" s="36" t="str">
        <f t="shared" ca="1" si="34"/>
        <v/>
      </c>
      <c r="J729" s="36" t="str">
        <f t="shared" si="35"/>
        <v/>
      </c>
    </row>
    <row r="730" spans="1:10" ht="15" customHeight="1" x14ac:dyDescent="0.25">
      <c r="A730" s="35" t="str">
        <f t="shared" si="33"/>
        <v/>
      </c>
      <c r="I730" s="36" t="str">
        <f t="shared" ca="1" si="34"/>
        <v/>
      </c>
      <c r="J730" s="36" t="str">
        <f t="shared" si="35"/>
        <v/>
      </c>
    </row>
    <row r="731" spans="1:10" ht="15" customHeight="1" x14ac:dyDescent="0.25">
      <c r="A731" s="35" t="str">
        <f t="shared" si="33"/>
        <v/>
      </c>
      <c r="I731" s="36" t="str">
        <f t="shared" ca="1" si="34"/>
        <v/>
      </c>
      <c r="J731" s="36" t="str">
        <f t="shared" si="35"/>
        <v/>
      </c>
    </row>
    <row r="732" spans="1:10" ht="15" customHeight="1" x14ac:dyDescent="0.25">
      <c r="A732" s="35" t="str">
        <f t="shared" si="33"/>
        <v/>
      </c>
      <c r="I732" s="36" t="str">
        <f t="shared" ca="1" si="34"/>
        <v/>
      </c>
      <c r="J732" s="36" t="str">
        <f t="shared" si="35"/>
        <v/>
      </c>
    </row>
    <row r="733" spans="1:10" ht="15" customHeight="1" x14ac:dyDescent="0.25">
      <c r="A733" s="35" t="str">
        <f t="shared" si="33"/>
        <v/>
      </c>
      <c r="I733" s="36" t="str">
        <f t="shared" ca="1" si="34"/>
        <v/>
      </c>
      <c r="J733" s="36" t="str">
        <f t="shared" si="35"/>
        <v/>
      </c>
    </row>
    <row r="734" spans="1:10" ht="15" customHeight="1" x14ac:dyDescent="0.25">
      <c r="A734" s="35" t="str">
        <f t="shared" si="33"/>
        <v/>
      </c>
      <c r="I734" s="36" t="str">
        <f t="shared" ca="1" si="34"/>
        <v/>
      </c>
      <c r="J734" s="36" t="str">
        <f t="shared" si="35"/>
        <v/>
      </c>
    </row>
    <row r="735" spans="1:10" ht="15" customHeight="1" x14ac:dyDescent="0.25">
      <c r="A735" s="35" t="str">
        <f t="shared" si="33"/>
        <v/>
      </c>
      <c r="I735" s="36" t="str">
        <f t="shared" ca="1" si="34"/>
        <v/>
      </c>
      <c r="J735" s="36" t="str">
        <f t="shared" si="35"/>
        <v/>
      </c>
    </row>
    <row r="736" spans="1:10" ht="15" customHeight="1" x14ac:dyDescent="0.25">
      <c r="A736" s="35" t="str">
        <f t="shared" si="33"/>
        <v/>
      </c>
      <c r="I736" s="36" t="str">
        <f t="shared" ca="1" si="34"/>
        <v/>
      </c>
      <c r="J736" s="36" t="str">
        <f t="shared" si="35"/>
        <v/>
      </c>
    </row>
    <row r="737" spans="1:10" ht="15" customHeight="1" x14ac:dyDescent="0.25">
      <c r="A737" s="35" t="str">
        <f t="shared" si="33"/>
        <v/>
      </c>
      <c r="I737" s="36" t="str">
        <f t="shared" ca="1" si="34"/>
        <v/>
      </c>
      <c r="J737" s="36" t="str">
        <f t="shared" si="35"/>
        <v/>
      </c>
    </row>
    <row r="738" spans="1:10" ht="15" customHeight="1" x14ac:dyDescent="0.25">
      <c r="A738" s="35" t="str">
        <f t="shared" si="33"/>
        <v/>
      </c>
      <c r="I738" s="36" t="str">
        <f t="shared" ca="1" si="34"/>
        <v/>
      </c>
      <c r="J738" s="36" t="str">
        <f t="shared" si="35"/>
        <v/>
      </c>
    </row>
    <row r="739" spans="1:10" ht="15" customHeight="1" x14ac:dyDescent="0.25">
      <c r="A739" s="35" t="str">
        <f t="shared" si="33"/>
        <v/>
      </c>
      <c r="I739" s="36" t="str">
        <f t="shared" ca="1" si="34"/>
        <v/>
      </c>
      <c r="J739" s="36" t="str">
        <f t="shared" si="35"/>
        <v/>
      </c>
    </row>
    <row r="740" spans="1:10" ht="15" customHeight="1" x14ac:dyDescent="0.25">
      <c r="A740" s="35" t="str">
        <f t="shared" si="33"/>
        <v/>
      </c>
      <c r="I740" s="36" t="str">
        <f t="shared" ca="1" si="34"/>
        <v/>
      </c>
      <c r="J740" s="36" t="str">
        <f t="shared" si="35"/>
        <v/>
      </c>
    </row>
    <row r="741" spans="1:10" ht="15" customHeight="1" x14ac:dyDescent="0.25">
      <c r="A741" s="35" t="str">
        <f t="shared" si="33"/>
        <v/>
      </c>
      <c r="I741" s="36" t="str">
        <f t="shared" ca="1" si="34"/>
        <v/>
      </c>
      <c r="J741" s="36" t="str">
        <f t="shared" si="35"/>
        <v/>
      </c>
    </row>
    <row r="742" spans="1:10" ht="15" customHeight="1" x14ac:dyDescent="0.25">
      <c r="A742" s="35" t="str">
        <f t="shared" si="33"/>
        <v/>
      </c>
      <c r="I742" s="36" t="str">
        <f t="shared" ca="1" si="34"/>
        <v/>
      </c>
      <c r="J742" s="36" t="str">
        <f t="shared" si="35"/>
        <v/>
      </c>
    </row>
    <row r="743" spans="1:10" ht="15" customHeight="1" x14ac:dyDescent="0.25">
      <c r="A743" s="35" t="str">
        <f t="shared" si="33"/>
        <v/>
      </c>
      <c r="I743" s="36" t="str">
        <f t="shared" ca="1" si="34"/>
        <v/>
      </c>
      <c r="J743" s="36" t="str">
        <f t="shared" si="35"/>
        <v/>
      </c>
    </row>
    <row r="744" spans="1:10" ht="15" customHeight="1" x14ac:dyDescent="0.25">
      <c r="A744" s="35" t="str">
        <f t="shared" si="33"/>
        <v/>
      </c>
      <c r="I744" s="36" t="str">
        <f t="shared" ca="1" si="34"/>
        <v/>
      </c>
      <c r="J744" s="36" t="str">
        <f t="shared" si="35"/>
        <v/>
      </c>
    </row>
    <row r="745" spans="1:10" ht="15" customHeight="1" x14ac:dyDescent="0.25">
      <c r="A745" s="35" t="str">
        <f t="shared" si="33"/>
        <v/>
      </c>
      <c r="I745" s="36" t="str">
        <f t="shared" ca="1" si="34"/>
        <v/>
      </c>
      <c r="J745" s="36" t="str">
        <f t="shared" si="35"/>
        <v/>
      </c>
    </row>
    <row r="746" spans="1:10" ht="15" customHeight="1" x14ac:dyDescent="0.25">
      <c r="A746" s="35" t="str">
        <f t="shared" si="33"/>
        <v/>
      </c>
      <c r="I746" s="36" t="str">
        <f t="shared" ca="1" si="34"/>
        <v/>
      </c>
      <c r="J746" s="36" t="str">
        <f t="shared" si="35"/>
        <v/>
      </c>
    </row>
    <row r="747" spans="1:10" ht="15" customHeight="1" x14ac:dyDescent="0.25">
      <c r="A747" s="35" t="str">
        <f t="shared" si="33"/>
        <v/>
      </c>
      <c r="I747" s="36" t="str">
        <f t="shared" ca="1" si="34"/>
        <v/>
      </c>
      <c r="J747" s="36" t="str">
        <f t="shared" si="35"/>
        <v/>
      </c>
    </row>
    <row r="748" spans="1:10" ht="15" customHeight="1" x14ac:dyDescent="0.25">
      <c r="A748" s="35" t="str">
        <f t="shared" si="33"/>
        <v/>
      </c>
      <c r="I748" s="36" t="str">
        <f t="shared" ca="1" si="34"/>
        <v/>
      </c>
      <c r="J748" s="36" t="str">
        <f t="shared" si="35"/>
        <v/>
      </c>
    </row>
    <row r="749" spans="1:10" ht="15" customHeight="1" x14ac:dyDescent="0.25">
      <c r="A749" s="35" t="str">
        <f t="shared" si="33"/>
        <v/>
      </c>
      <c r="I749" s="36" t="str">
        <f t="shared" ca="1" si="34"/>
        <v/>
      </c>
      <c r="J749" s="36" t="str">
        <f t="shared" si="35"/>
        <v/>
      </c>
    </row>
    <row r="750" spans="1:10" ht="15" customHeight="1" x14ac:dyDescent="0.25">
      <c r="A750" s="35" t="str">
        <f t="shared" si="33"/>
        <v/>
      </c>
      <c r="I750" s="36" t="str">
        <f t="shared" ca="1" si="34"/>
        <v/>
      </c>
      <c r="J750" s="36" t="str">
        <f t="shared" si="35"/>
        <v/>
      </c>
    </row>
    <row r="751" spans="1:10" ht="15" customHeight="1" x14ac:dyDescent="0.25">
      <c r="A751" s="35" t="str">
        <f t="shared" si="33"/>
        <v/>
      </c>
      <c r="I751" s="36" t="str">
        <f t="shared" ca="1" si="34"/>
        <v/>
      </c>
      <c r="J751" s="36" t="str">
        <f t="shared" si="35"/>
        <v/>
      </c>
    </row>
    <row r="752" spans="1:10" ht="15" customHeight="1" x14ac:dyDescent="0.25">
      <c r="A752" s="35" t="str">
        <f t="shared" si="33"/>
        <v/>
      </c>
      <c r="I752" s="36" t="str">
        <f t="shared" ca="1" si="34"/>
        <v/>
      </c>
      <c r="J752" s="36" t="str">
        <f t="shared" si="35"/>
        <v/>
      </c>
    </row>
    <row r="753" spans="1:10" ht="15" customHeight="1" x14ac:dyDescent="0.25">
      <c r="A753" s="35" t="str">
        <f t="shared" si="33"/>
        <v/>
      </c>
      <c r="I753" s="36" t="str">
        <f t="shared" ca="1" si="34"/>
        <v/>
      </c>
      <c r="J753" s="36" t="str">
        <f t="shared" si="35"/>
        <v/>
      </c>
    </row>
    <row r="754" spans="1:10" ht="15" customHeight="1" x14ac:dyDescent="0.25">
      <c r="A754" s="35" t="str">
        <f t="shared" si="33"/>
        <v/>
      </c>
      <c r="I754" s="36" t="str">
        <f t="shared" ca="1" si="34"/>
        <v/>
      </c>
      <c r="J754" s="36" t="str">
        <f t="shared" si="35"/>
        <v/>
      </c>
    </row>
    <row r="755" spans="1:10" ht="15" customHeight="1" x14ac:dyDescent="0.25">
      <c r="A755" s="35" t="str">
        <f t="shared" si="33"/>
        <v/>
      </c>
      <c r="I755" s="36" t="str">
        <f t="shared" ca="1" si="34"/>
        <v/>
      </c>
      <c r="J755" s="36" t="str">
        <f t="shared" si="35"/>
        <v/>
      </c>
    </row>
    <row r="756" spans="1:10" ht="15" customHeight="1" x14ac:dyDescent="0.25">
      <c r="A756" s="35" t="str">
        <f t="shared" si="33"/>
        <v/>
      </c>
      <c r="I756" s="36" t="str">
        <f t="shared" ca="1" si="34"/>
        <v/>
      </c>
      <c r="J756" s="36" t="str">
        <f t="shared" si="35"/>
        <v/>
      </c>
    </row>
    <row r="757" spans="1:10" ht="15" customHeight="1" x14ac:dyDescent="0.25">
      <c r="A757" s="35" t="str">
        <f t="shared" si="33"/>
        <v/>
      </c>
      <c r="I757" s="36" t="str">
        <f t="shared" ca="1" si="34"/>
        <v/>
      </c>
      <c r="J757" s="36" t="str">
        <f t="shared" si="35"/>
        <v/>
      </c>
    </row>
    <row r="758" spans="1:10" ht="15" customHeight="1" x14ac:dyDescent="0.25">
      <c r="A758" s="35" t="str">
        <f t="shared" si="33"/>
        <v/>
      </c>
      <c r="I758" s="36" t="str">
        <f t="shared" ca="1" si="34"/>
        <v/>
      </c>
      <c r="J758" s="36" t="str">
        <f t="shared" si="35"/>
        <v/>
      </c>
    </row>
    <row r="759" spans="1:10" ht="15" customHeight="1" x14ac:dyDescent="0.25">
      <c r="A759" s="35" t="str">
        <f t="shared" si="33"/>
        <v/>
      </c>
      <c r="I759" s="36" t="str">
        <f t="shared" ca="1" si="34"/>
        <v/>
      </c>
      <c r="J759" s="36" t="str">
        <f t="shared" si="35"/>
        <v/>
      </c>
    </row>
    <row r="760" spans="1:10" ht="15" customHeight="1" x14ac:dyDescent="0.25">
      <c r="A760" s="35" t="str">
        <f t="shared" si="33"/>
        <v/>
      </c>
      <c r="I760" s="36" t="str">
        <f t="shared" ca="1" si="34"/>
        <v/>
      </c>
      <c r="J760" s="36" t="str">
        <f t="shared" si="35"/>
        <v/>
      </c>
    </row>
    <row r="761" spans="1:10" ht="15" customHeight="1" x14ac:dyDescent="0.25">
      <c r="A761" s="35" t="str">
        <f t="shared" si="33"/>
        <v/>
      </c>
      <c r="I761" s="36" t="str">
        <f t="shared" ca="1" si="34"/>
        <v/>
      </c>
      <c r="J761" s="36" t="str">
        <f t="shared" si="35"/>
        <v/>
      </c>
    </row>
    <row r="762" spans="1:10" ht="15" customHeight="1" x14ac:dyDescent="0.25">
      <c r="A762" s="35" t="str">
        <f t="shared" si="33"/>
        <v/>
      </c>
      <c r="I762" s="36" t="str">
        <f t="shared" ca="1" si="34"/>
        <v/>
      </c>
      <c r="J762" s="36" t="str">
        <f t="shared" si="35"/>
        <v/>
      </c>
    </row>
    <row r="763" spans="1:10" ht="15" customHeight="1" x14ac:dyDescent="0.25">
      <c r="A763" s="35" t="str">
        <f t="shared" si="33"/>
        <v/>
      </c>
      <c r="I763" s="36" t="str">
        <f t="shared" ca="1" si="34"/>
        <v/>
      </c>
      <c r="J763" s="36" t="str">
        <f t="shared" si="35"/>
        <v/>
      </c>
    </row>
    <row r="764" spans="1:10" ht="15" customHeight="1" x14ac:dyDescent="0.25">
      <c r="A764" s="35" t="str">
        <f t="shared" si="33"/>
        <v/>
      </c>
      <c r="I764" s="36" t="str">
        <f t="shared" ca="1" si="34"/>
        <v/>
      </c>
      <c r="J764" s="36" t="str">
        <f t="shared" si="35"/>
        <v/>
      </c>
    </row>
    <row r="765" spans="1:10" ht="15" customHeight="1" x14ac:dyDescent="0.25">
      <c r="A765" s="35" t="str">
        <f t="shared" si="33"/>
        <v/>
      </c>
      <c r="I765" s="36" t="str">
        <f t="shared" ca="1" si="34"/>
        <v/>
      </c>
      <c r="J765" s="36" t="str">
        <f t="shared" si="35"/>
        <v/>
      </c>
    </row>
    <row r="766" spans="1:10" ht="15" customHeight="1" x14ac:dyDescent="0.25">
      <c r="A766" s="35" t="str">
        <f t="shared" si="33"/>
        <v/>
      </c>
      <c r="I766" s="36" t="str">
        <f t="shared" ca="1" si="34"/>
        <v/>
      </c>
      <c r="J766" s="36" t="str">
        <f t="shared" si="35"/>
        <v/>
      </c>
    </row>
    <row r="767" spans="1:10" ht="15" customHeight="1" x14ac:dyDescent="0.25">
      <c r="A767" s="35" t="str">
        <f t="shared" si="33"/>
        <v/>
      </c>
      <c r="I767" s="36" t="str">
        <f t="shared" ca="1" si="34"/>
        <v/>
      </c>
      <c r="J767" s="36" t="str">
        <f t="shared" si="35"/>
        <v/>
      </c>
    </row>
    <row r="768" spans="1:10" ht="15" customHeight="1" x14ac:dyDescent="0.25">
      <c r="A768" s="35" t="str">
        <f t="shared" si="33"/>
        <v/>
      </c>
      <c r="I768" s="36" t="str">
        <f t="shared" ca="1" si="34"/>
        <v/>
      </c>
      <c r="J768" s="36" t="str">
        <f t="shared" si="35"/>
        <v/>
      </c>
    </row>
    <row r="769" spans="1:10" ht="15" customHeight="1" x14ac:dyDescent="0.25">
      <c r="A769" s="35" t="str">
        <f t="shared" si="33"/>
        <v/>
      </c>
      <c r="I769" s="36" t="str">
        <f t="shared" ca="1" si="34"/>
        <v/>
      </c>
      <c r="J769" s="36" t="str">
        <f t="shared" si="35"/>
        <v/>
      </c>
    </row>
    <row r="770" spans="1:10" ht="15" customHeight="1" x14ac:dyDescent="0.25">
      <c r="A770" s="35" t="str">
        <f t="shared" si="33"/>
        <v/>
      </c>
      <c r="I770" s="36" t="str">
        <f t="shared" ca="1" si="34"/>
        <v/>
      </c>
      <c r="J770" s="36" t="str">
        <f t="shared" si="35"/>
        <v/>
      </c>
    </row>
    <row r="771" spans="1:10" ht="15" customHeight="1" x14ac:dyDescent="0.25">
      <c r="A771" s="35" t="str">
        <f t="shared" si="33"/>
        <v/>
      </c>
      <c r="I771" s="36" t="str">
        <f t="shared" ca="1" si="34"/>
        <v/>
      </c>
      <c r="J771" s="36" t="str">
        <f t="shared" si="35"/>
        <v/>
      </c>
    </row>
    <row r="772" spans="1:10" ht="15" customHeight="1" x14ac:dyDescent="0.25">
      <c r="A772" s="35" t="str">
        <f t="shared" si="33"/>
        <v/>
      </c>
      <c r="I772" s="36" t="str">
        <f t="shared" ca="1" si="34"/>
        <v/>
      </c>
      <c r="J772" s="36" t="str">
        <f t="shared" si="35"/>
        <v/>
      </c>
    </row>
    <row r="773" spans="1:10" ht="15" customHeight="1" x14ac:dyDescent="0.25">
      <c r="A773" s="35" t="str">
        <f t="shared" ref="A773:A836" si="36">IF(B773="","","ACC"&amp;TEXT(ROW()-4,"0000"))</f>
        <v/>
      </c>
      <c r="I773" s="36" t="str">
        <f t="shared" ref="I773:I836" ca="1" si="37">IF(B773="","",TEXT(TODAY(),"dd/mm/yyyy"))</f>
        <v/>
      </c>
      <c r="J773" s="36" t="str">
        <f t="shared" ref="J773:J836" si="38">IF(B773="","",IF(ISNUMBER(H773),IF(H773&gt;=10,"✅ Active","⚠️ Below Min Balance"),"Pending"))</f>
        <v/>
      </c>
    </row>
    <row r="774" spans="1:10" ht="15" customHeight="1" x14ac:dyDescent="0.25">
      <c r="A774" s="35" t="str">
        <f t="shared" si="36"/>
        <v/>
      </c>
      <c r="I774" s="36" t="str">
        <f t="shared" ca="1" si="37"/>
        <v/>
      </c>
      <c r="J774" s="36" t="str">
        <f t="shared" si="38"/>
        <v/>
      </c>
    </row>
    <row r="775" spans="1:10" ht="15" customHeight="1" x14ac:dyDescent="0.25">
      <c r="A775" s="35" t="str">
        <f t="shared" si="36"/>
        <v/>
      </c>
      <c r="I775" s="36" t="str">
        <f t="shared" ca="1" si="37"/>
        <v/>
      </c>
      <c r="J775" s="36" t="str">
        <f t="shared" si="38"/>
        <v/>
      </c>
    </row>
    <row r="776" spans="1:10" ht="15" customHeight="1" x14ac:dyDescent="0.25">
      <c r="A776" s="35" t="str">
        <f t="shared" si="36"/>
        <v/>
      </c>
      <c r="I776" s="36" t="str">
        <f t="shared" ca="1" si="37"/>
        <v/>
      </c>
      <c r="J776" s="36" t="str">
        <f t="shared" si="38"/>
        <v/>
      </c>
    </row>
    <row r="777" spans="1:10" ht="15" customHeight="1" x14ac:dyDescent="0.25">
      <c r="A777" s="35" t="str">
        <f t="shared" si="36"/>
        <v/>
      </c>
      <c r="I777" s="36" t="str">
        <f t="shared" ca="1" si="37"/>
        <v/>
      </c>
      <c r="J777" s="36" t="str">
        <f t="shared" si="38"/>
        <v/>
      </c>
    </row>
    <row r="778" spans="1:10" ht="15" customHeight="1" x14ac:dyDescent="0.25">
      <c r="A778" s="35" t="str">
        <f t="shared" si="36"/>
        <v/>
      </c>
      <c r="I778" s="36" t="str">
        <f t="shared" ca="1" si="37"/>
        <v/>
      </c>
      <c r="J778" s="36" t="str">
        <f t="shared" si="38"/>
        <v/>
      </c>
    </row>
    <row r="779" spans="1:10" ht="15" customHeight="1" x14ac:dyDescent="0.25">
      <c r="A779" s="35" t="str">
        <f t="shared" si="36"/>
        <v/>
      </c>
      <c r="I779" s="36" t="str">
        <f t="shared" ca="1" si="37"/>
        <v/>
      </c>
      <c r="J779" s="36" t="str">
        <f t="shared" si="38"/>
        <v/>
      </c>
    </row>
    <row r="780" spans="1:10" ht="15" customHeight="1" x14ac:dyDescent="0.25">
      <c r="A780" s="35" t="str">
        <f t="shared" si="36"/>
        <v/>
      </c>
      <c r="I780" s="36" t="str">
        <f t="shared" ca="1" si="37"/>
        <v/>
      </c>
      <c r="J780" s="36" t="str">
        <f t="shared" si="38"/>
        <v/>
      </c>
    </row>
    <row r="781" spans="1:10" ht="15" customHeight="1" x14ac:dyDescent="0.25">
      <c r="A781" s="35" t="str">
        <f t="shared" si="36"/>
        <v/>
      </c>
      <c r="I781" s="36" t="str">
        <f t="shared" ca="1" si="37"/>
        <v/>
      </c>
      <c r="J781" s="36" t="str">
        <f t="shared" si="38"/>
        <v/>
      </c>
    </row>
    <row r="782" spans="1:10" ht="15" customHeight="1" x14ac:dyDescent="0.25">
      <c r="A782" s="35" t="str">
        <f t="shared" si="36"/>
        <v/>
      </c>
      <c r="I782" s="36" t="str">
        <f t="shared" ca="1" si="37"/>
        <v/>
      </c>
      <c r="J782" s="36" t="str">
        <f t="shared" si="38"/>
        <v/>
      </c>
    </row>
    <row r="783" spans="1:10" ht="15" customHeight="1" x14ac:dyDescent="0.25">
      <c r="A783" s="35" t="str">
        <f t="shared" si="36"/>
        <v/>
      </c>
      <c r="I783" s="36" t="str">
        <f t="shared" ca="1" si="37"/>
        <v/>
      </c>
      <c r="J783" s="36" t="str">
        <f t="shared" si="38"/>
        <v/>
      </c>
    </row>
    <row r="784" spans="1:10" ht="15" customHeight="1" x14ac:dyDescent="0.25">
      <c r="A784" s="35" t="str">
        <f t="shared" si="36"/>
        <v/>
      </c>
      <c r="I784" s="36" t="str">
        <f t="shared" ca="1" si="37"/>
        <v/>
      </c>
      <c r="J784" s="36" t="str">
        <f t="shared" si="38"/>
        <v/>
      </c>
    </row>
    <row r="785" spans="1:10" ht="15" customHeight="1" x14ac:dyDescent="0.25">
      <c r="A785" s="35" t="str">
        <f t="shared" si="36"/>
        <v/>
      </c>
      <c r="I785" s="36" t="str">
        <f t="shared" ca="1" si="37"/>
        <v/>
      </c>
      <c r="J785" s="36" t="str">
        <f t="shared" si="38"/>
        <v/>
      </c>
    </row>
    <row r="786" spans="1:10" ht="15" customHeight="1" x14ac:dyDescent="0.25">
      <c r="A786" s="35" t="str">
        <f t="shared" si="36"/>
        <v/>
      </c>
      <c r="I786" s="36" t="str">
        <f t="shared" ca="1" si="37"/>
        <v/>
      </c>
      <c r="J786" s="36" t="str">
        <f t="shared" si="38"/>
        <v/>
      </c>
    </row>
    <row r="787" spans="1:10" ht="15" customHeight="1" x14ac:dyDescent="0.25">
      <c r="A787" s="35" t="str">
        <f t="shared" si="36"/>
        <v/>
      </c>
      <c r="I787" s="36" t="str">
        <f t="shared" ca="1" si="37"/>
        <v/>
      </c>
      <c r="J787" s="36" t="str">
        <f t="shared" si="38"/>
        <v/>
      </c>
    </row>
    <row r="788" spans="1:10" ht="15" customHeight="1" x14ac:dyDescent="0.25">
      <c r="A788" s="35" t="str">
        <f t="shared" si="36"/>
        <v/>
      </c>
      <c r="I788" s="36" t="str">
        <f t="shared" ca="1" si="37"/>
        <v/>
      </c>
      <c r="J788" s="36" t="str">
        <f t="shared" si="38"/>
        <v/>
      </c>
    </row>
    <row r="789" spans="1:10" ht="15" customHeight="1" x14ac:dyDescent="0.25">
      <c r="A789" s="35" t="str">
        <f t="shared" si="36"/>
        <v/>
      </c>
      <c r="I789" s="36" t="str">
        <f t="shared" ca="1" si="37"/>
        <v/>
      </c>
      <c r="J789" s="36" t="str">
        <f t="shared" si="38"/>
        <v/>
      </c>
    </row>
    <row r="790" spans="1:10" ht="15" customHeight="1" x14ac:dyDescent="0.25">
      <c r="A790" s="35" t="str">
        <f t="shared" si="36"/>
        <v/>
      </c>
      <c r="I790" s="36" t="str">
        <f t="shared" ca="1" si="37"/>
        <v/>
      </c>
      <c r="J790" s="36" t="str">
        <f t="shared" si="38"/>
        <v/>
      </c>
    </row>
    <row r="791" spans="1:10" ht="15" customHeight="1" x14ac:dyDescent="0.25">
      <c r="A791" s="35" t="str">
        <f t="shared" si="36"/>
        <v/>
      </c>
      <c r="I791" s="36" t="str">
        <f t="shared" ca="1" si="37"/>
        <v/>
      </c>
      <c r="J791" s="36" t="str">
        <f t="shared" si="38"/>
        <v/>
      </c>
    </row>
    <row r="792" spans="1:10" ht="15" customHeight="1" x14ac:dyDescent="0.25">
      <c r="A792" s="35" t="str">
        <f t="shared" si="36"/>
        <v/>
      </c>
      <c r="I792" s="36" t="str">
        <f t="shared" ca="1" si="37"/>
        <v/>
      </c>
      <c r="J792" s="36" t="str">
        <f t="shared" si="38"/>
        <v/>
      </c>
    </row>
    <row r="793" spans="1:10" ht="15" customHeight="1" x14ac:dyDescent="0.25">
      <c r="A793" s="35" t="str">
        <f t="shared" si="36"/>
        <v/>
      </c>
      <c r="I793" s="36" t="str">
        <f t="shared" ca="1" si="37"/>
        <v/>
      </c>
      <c r="J793" s="36" t="str">
        <f t="shared" si="38"/>
        <v/>
      </c>
    </row>
    <row r="794" spans="1:10" ht="15" customHeight="1" x14ac:dyDescent="0.25">
      <c r="A794" s="35" t="str">
        <f t="shared" si="36"/>
        <v/>
      </c>
      <c r="I794" s="36" t="str">
        <f t="shared" ca="1" si="37"/>
        <v/>
      </c>
      <c r="J794" s="36" t="str">
        <f t="shared" si="38"/>
        <v/>
      </c>
    </row>
    <row r="795" spans="1:10" ht="15" customHeight="1" x14ac:dyDescent="0.25">
      <c r="A795" s="35" t="str">
        <f t="shared" si="36"/>
        <v/>
      </c>
      <c r="I795" s="36" t="str">
        <f t="shared" ca="1" si="37"/>
        <v/>
      </c>
      <c r="J795" s="36" t="str">
        <f t="shared" si="38"/>
        <v/>
      </c>
    </row>
    <row r="796" spans="1:10" ht="15" customHeight="1" x14ac:dyDescent="0.25">
      <c r="A796" s="35" t="str">
        <f t="shared" si="36"/>
        <v/>
      </c>
      <c r="I796" s="36" t="str">
        <f t="shared" ca="1" si="37"/>
        <v/>
      </c>
      <c r="J796" s="36" t="str">
        <f t="shared" si="38"/>
        <v/>
      </c>
    </row>
    <row r="797" spans="1:10" ht="15" customHeight="1" x14ac:dyDescent="0.25">
      <c r="A797" s="35" t="str">
        <f t="shared" si="36"/>
        <v/>
      </c>
      <c r="I797" s="36" t="str">
        <f t="shared" ca="1" si="37"/>
        <v/>
      </c>
      <c r="J797" s="36" t="str">
        <f t="shared" si="38"/>
        <v/>
      </c>
    </row>
    <row r="798" spans="1:10" ht="15" customHeight="1" x14ac:dyDescent="0.25">
      <c r="A798" s="35" t="str">
        <f t="shared" si="36"/>
        <v/>
      </c>
      <c r="I798" s="36" t="str">
        <f t="shared" ca="1" si="37"/>
        <v/>
      </c>
      <c r="J798" s="36" t="str">
        <f t="shared" si="38"/>
        <v/>
      </c>
    </row>
    <row r="799" spans="1:10" ht="15" customHeight="1" x14ac:dyDescent="0.25">
      <c r="A799" s="35" t="str">
        <f t="shared" si="36"/>
        <v/>
      </c>
      <c r="I799" s="36" t="str">
        <f t="shared" ca="1" si="37"/>
        <v/>
      </c>
      <c r="J799" s="36" t="str">
        <f t="shared" si="38"/>
        <v/>
      </c>
    </row>
    <row r="800" spans="1:10" ht="15" customHeight="1" x14ac:dyDescent="0.25">
      <c r="A800" s="35" t="str">
        <f t="shared" si="36"/>
        <v/>
      </c>
      <c r="I800" s="36" t="str">
        <f t="shared" ca="1" si="37"/>
        <v/>
      </c>
      <c r="J800" s="36" t="str">
        <f t="shared" si="38"/>
        <v/>
      </c>
    </row>
    <row r="801" spans="1:10" ht="15" customHeight="1" x14ac:dyDescent="0.25">
      <c r="A801" s="35" t="str">
        <f t="shared" si="36"/>
        <v/>
      </c>
      <c r="I801" s="36" t="str">
        <f t="shared" ca="1" si="37"/>
        <v/>
      </c>
      <c r="J801" s="36" t="str">
        <f t="shared" si="38"/>
        <v/>
      </c>
    </row>
    <row r="802" spans="1:10" ht="15" customHeight="1" x14ac:dyDescent="0.25">
      <c r="A802" s="35" t="str">
        <f t="shared" si="36"/>
        <v/>
      </c>
      <c r="I802" s="36" t="str">
        <f t="shared" ca="1" si="37"/>
        <v/>
      </c>
      <c r="J802" s="36" t="str">
        <f t="shared" si="38"/>
        <v/>
      </c>
    </row>
    <row r="803" spans="1:10" ht="15" customHeight="1" x14ac:dyDescent="0.25">
      <c r="A803" s="35" t="str">
        <f t="shared" si="36"/>
        <v/>
      </c>
      <c r="I803" s="36" t="str">
        <f t="shared" ca="1" si="37"/>
        <v/>
      </c>
      <c r="J803" s="36" t="str">
        <f t="shared" si="38"/>
        <v/>
      </c>
    </row>
    <row r="804" spans="1:10" ht="15" customHeight="1" x14ac:dyDescent="0.25">
      <c r="A804" s="35" t="str">
        <f t="shared" si="36"/>
        <v/>
      </c>
      <c r="I804" s="36" t="str">
        <f t="shared" ca="1" si="37"/>
        <v/>
      </c>
      <c r="J804" s="36" t="str">
        <f t="shared" si="38"/>
        <v/>
      </c>
    </row>
    <row r="805" spans="1:10" ht="15" customHeight="1" x14ac:dyDescent="0.25">
      <c r="A805" s="35" t="str">
        <f t="shared" si="36"/>
        <v/>
      </c>
      <c r="I805" s="36" t="str">
        <f t="shared" ca="1" si="37"/>
        <v/>
      </c>
      <c r="J805" s="36" t="str">
        <f t="shared" si="38"/>
        <v/>
      </c>
    </row>
    <row r="806" spans="1:10" ht="15" customHeight="1" x14ac:dyDescent="0.25">
      <c r="A806" s="35" t="str">
        <f t="shared" si="36"/>
        <v/>
      </c>
      <c r="I806" s="36" t="str">
        <f t="shared" ca="1" si="37"/>
        <v/>
      </c>
      <c r="J806" s="36" t="str">
        <f t="shared" si="38"/>
        <v/>
      </c>
    </row>
    <row r="807" spans="1:10" ht="15" customHeight="1" x14ac:dyDescent="0.25">
      <c r="A807" s="35" t="str">
        <f t="shared" si="36"/>
        <v/>
      </c>
      <c r="I807" s="36" t="str">
        <f t="shared" ca="1" si="37"/>
        <v/>
      </c>
      <c r="J807" s="36" t="str">
        <f t="shared" si="38"/>
        <v/>
      </c>
    </row>
    <row r="808" spans="1:10" ht="15" customHeight="1" x14ac:dyDescent="0.25">
      <c r="A808" s="35" t="str">
        <f t="shared" si="36"/>
        <v/>
      </c>
      <c r="I808" s="36" t="str">
        <f t="shared" ca="1" si="37"/>
        <v/>
      </c>
      <c r="J808" s="36" t="str">
        <f t="shared" si="38"/>
        <v/>
      </c>
    </row>
    <row r="809" spans="1:10" ht="15" customHeight="1" x14ac:dyDescent="0.25">
      <c r="A809" s="35" t="str">
        <f t="shared" si="36"/>
        <v/>
      </c>
      <c r="I809" s="36" t="str">
        <f t="shared" ca="1" si="37"/>
        <v/>
      </c>
      <c r="J809" s="36" t="str">
        <f t="shared" si="38"/>
        <v/>
      </c>
    </row>
    <row r="810" spans="1:10" ht="15" customHeight="1" x14ac:dyDescent="0.25">
      <c r="A810" s="35" t="str">
        <f t="shared" si="36"/>
        <v/>
      </c>
      <c r="I810" s="36" t="str">
        <f t="shared" ca="1" si="37"/>
        <v/>
      </c>
      <c r="J810" s="36" t="str">
        <f t="shared" si="38"/>
        <v/>
      </c>
    </row>
    <row r="811" spans="1:10" ht="15" customHeight="1" x14ac:dyDescent="0.25">
      <c r="A811" s="35" t="str">
        <f t="shared" si="36"/>
        <v/>
      </c>
      <c r="I811" s="36" t="str">
        <f t="shared" ca="1" si="37"/>
        <v/>
      </c>
      <c r="J811" s="36" t="str">
        <f t="shared" si="38"/>
        <v/>
      </c>
    </row>
    <row r="812" spans="1:10" ht="15" customHeight="1" x14ac:dyDescent="0.25">
      <c r="A812" s="35" t="str">
        <f t="shared" si="36"/>
        <v/>
      </c>
      <c r="I812" s="36" t="str">
        <f t="shared" ca="1" si="37"/>
        <v/>
      </c>
      <c r="J812" s="36" t="str">
        <f t="shared" si="38"/>
        <v/>
      </c>
    </row>
    <row r="813" spans="1:10" ht="15" customHeight="1" x14ac:dyDescent="0.25">
      <c r="A813" s="35" t="str">
        <f t="shared" si="36"/>
        <v/>
      </c>
      <c r="I813" s="36" t="str">
        <f t="shared" ca="1" si="37"/>
        <v/>
      </c>
      <c r="J813" s="36" t="str">
        <f t="shared" si="38"/>
        <v/>
      </c>
    </row>
    <row r="814" spans="1:10" ht="15" customHeight="1" x14ac:dyDescent="0.25">
      <c r="A814" s="35" t="str">
        <f t="shared" si="36"/>
        <v/>
      </c>
      <c r="I814" s="36" t="str">
        <f t="shared" ca="1" si="37"/>
        <v/>
      </c>
      <c r="J814" s="36" t="str">
        <f t="shared" si="38"/>
        <v/>
      </c>
    </row>
    <row r="815" spans="1:10" ht="15" customHeight="1" x14ac:dyDescent="0.25">
      <c r="A815" s="35" t="str">
        <f t="shared" si="36"/>
        <v/>
      </c>
      <c r="I815" s="36" t="str">
        <f t="shared" ca="1" si="37"/>
        <v/>
      </c>
      <c r="J815" s="36" t="str">
        <f t="shared" si="38"/>
        <v/>
      </c>
    </row>
    <row r="816" spans="1:10" ht="15" customHeight="1" x14ac:dyDescent="0.25">
      <c r="A816" s="35" t="str">
        <f t="shared" si="36"/>
        <v/>
      </c>
      <c r="I816" s="36" t="str">
        <f t="shared" ca="1" si="37"/>
        <v/>
      </c>
      <c r="J816" s="36" t="str">
        <f t="shared" si="38"/>
        <v/>
      </c>
    </row>
    <row r="817" spans="1:10" ht="15" customHeight="1" x14ac:dyDescent="0.25">
      <c r="A817" s="35" t="str">
        <f t="shared" si="36"/>
        <v/>
      </c>
      <c r="I817" s="36" t="str">
        <f t="shared" ca="1" si="37"/>
        <v/>
      </c>
      <c r="J817" s="36" t="str">
        <f t="shared" si="38"/>
        <v/>
      </c>
    </row>
    <row r="818" spans="1:10" ht="15" customHeight="1" x14ac:dyDescent="0.25">
      <c r="A818" s="35" t="str">
        <f t="shared" si="36"/>
        <v/>
      </c>
      <c r="I818" s="36" t="str">
        <f t="shared" ca="1" si="37"/>
        <v/>
      </c>
      <c r="J818" s="36" t="str">
        <f t="shared" si="38"/>
        <v/>
      </c>
    </row>
    <row r="819" spans="1:10" ht="15" customHeight="1" x14ac:dyDescent="0.25">
      <c r="A819" s="35" t="str">
        <f t="shared" si="36"/>
        <v/>
      </c>
      <c r="I819" s="36" t="str">
        <f t="shared" ca="1" si="37"/>
        <v/>
      </c>
      <c r="J819" s="36" t="str">
        <f t="shared" si="38"/>
        <v/>
      </c>
    </row>
    <row r="820" spans="1:10" ht="15" customHeight="1" x14ac:dyDescent="0.25">
      <c r="A820" s="35" t="str">
        <f t="shared" si="36"/>
        <v/>
      </c>
      <c r="I820" s="36" t="str">
        <f t="shared" ca="1" si="37"/>
        <v/>
      </c>
      <c r="J820" s="36" t="str">
        <f t="shared" si="38"/>
        <v/>
      </c>
    </row>
    <row r="821" spans="1:10" ht="15" customHeight="1" x14ac:dyDescent="0.25">
      <c r="A821" s="35" t="str">
        <f t="shared" si="36"/>
        <v/>
      </c>
      <c r="I821" s="36" t="str">
        <f t="shared" ca="1" si="37"/>
        <v/>
      </c>
      <c r="J821" s="36" t="str">
        <f t="shared" si="38"/>
        <v/>
      </c>
    </row>
    <row r="822" spans="1:10" ht="15" customHeight="1" x14ac:dyDescent="0.25">
      <c r="A822" s="35" t="str">
        <f t="shared" si="36"/>
        <v/>
      </c>
      <c r="I822" s="36" t="str">
        <f t="shared" ca="1" si="37"/>
        <v/>
      </c>
      <c r="J822" s="36" t="str">
        <f t="shared" si="38"/>
        <v/>
      </c>
    </row>
    <row r="823" spans="1:10" ht="15" customHeight="1" x14ac:dyDescent="0.25">
      <c r="A823" s="35" t="str">
        <f t="shared" si="36"/>
        <v/>
      </c>
      <c r="I823" s="36" t="str">
        <f t="shared" ca="1" si="37"/>
        <v/>
      </c>
      <c r="J823" s="36" t="str">
        <f t="shared" si="38"/>
        <v/>
      </c>
    </row>
    <row r="824" spans="1:10" ht="15" customHeight="1" x14ac:dyDescent="0.25">
      <c r="A824" s="35" t="str">
        <f t="shared" si="36"/>
        <v/>
      </c>
      <c r="I824" s="36" t="str">
        <f t="shared" ca="1" si="37"/>
        <v/>
      </c>
      <c r="J824" s="36" t="str">
        <f t="shared" si="38"/>
        <v/>
      </c>
    </row>
    <row r="825" spans="1:10" ht="15" customHeight="1" x14ac:dyDescent="0.25">
      <c r="A825" s="35" t="str">
        <f t="shared" si="36"/>
        <v/>
      </c>
      <c r="I825" s="36" t="str">
        <f t="shared" ca="1" si="37"/>
        <v/>
      </c>
      <c r="J825" s="36" t="str">
        <f t="shared" si="38"/>
        <v/>
      </c>
    </row>
    <row r="826" spans="1:10" ht="15" customHeight="1" x14ac:dyDescent="0.25">
      <c r="A826" s="35" t="str">
        <f t="shared" si="36"/>
        <v/>
      </c>
      <c r="I826" s="36" t="str">
        <f t="shared" ca="1" si="37"/>
        <v/>
      </c>
      <c r="J826" s="36" t="str">
        <f t="shared" si="38"/>
        <v/>
      </c>
    </row>
    <row r="827" spans="1:10" ht="15" customHeight="1" x14ac:dyDescent="0.25">
      <c r="A827" s="35" t="str">
        <f t="shared" si="36"/>
        <v/>
      </c>
      <c r="I827" s="36" t="str">
        <f t="shared" ca="1" si="37"/>
        <v/>
      </c>
      <c r="J827" s="36" t="str">
        <f t="shared" si="38"/>
        <v/>
      </c>
    </row>
    <row r="828" spans="1:10" ht="15" customHeight="1" x14ac:dyDescent="0.25">
      <c r="A828" s="35" t="str">
        <f t="shared" si="36"/>
        <v/>
      </c>
      <c r="I828" s="36" t="str">
        <f t="shared" ca="1" si="37"/>
        <v/>
      </c>
      <c r="J828" s="36" t="str">
        <f t="shared" si="38"/>
        <v/>
      </c>
    </row>
    <row r="829" spans="1:10" ht="15" customHeight="1" x14ac:dyDescent="0.25">
      <c r="A829" s="35" t="str">
        <f t="shared" si="36"/>
        <v/>
      </c>
      <c r="I829" s="36" t="str">
        <f t="shared" ca="1" si="37"/>
        <v/>
      </c>
      <c r="J829" s="36" t="str">
        <f t="shared" si="38"/>
        <v/>
      </c>
    </row>
    <row r="830" spans="1:10" ht="15" customHeight="1" x14ac:dyDescent="0.25">
      <c r="A830" s="35" t="str">
        <f t="shared" si="36"/>
        <v/>
      </c>
      <c r="I830" s="36" t="str">
        <f t="shared" ca="1" si="37"/>
        <v/>
      </c>
      <c r="J830" s="36" t="str">
        <f t="shared" si="38"/>
        <v/>
      </c>
    </row>
    <row r="831" spans="1:10" ht="15" customHeight="1" x14ac:dyDescent="0.25">
      <c r="A831" s="35" t="str">
        <f t="shared" si="36"/>
        <v/>
      </c>
      <c r="I831" s="36" t="str">
        <f t="shared" ca="1" si="37"/>
        <v/>
      </c>
      <c r="J831" s="36" t="str">
        <f t="shared" si="38"/>
        <v/>
      </c>
    </row>
    <row r="832" spans="1:10" ht="15" customHeight="1" x14ac:dyDescent="0.25">
      <c r="A832" s="35" t="str">
        <f t="shared" si="36"/>
        <v/>
      </c>
      <c r="I832" s="36" t="str">
        <f t="shared" ca="1" si="37"/>
        <v/>
      </c>
      <c r="J832" s="36" t="str">
        <f t="shared" si="38"/>
        <v/>
      </c>
    </row>
    <row r="833" spans="1:10" ht="15" customHeight="1" x14ac:dyDescent="0.25">
      <c r="A833" s="35" t="str">
        <f t="shared" si="36"/>
        <v/>
      </c>
      <c r="I833" s="36" t="str">
        <f t="shared" ca="1" si="37"/>
        <v/>
      </c>
      <c r="J833" s="36" t="str">
        <f t="shared" si="38"/>
        <v/>
      </c>
    </row>
    <row r="834" spans="1:10" ht="15" customHeight="1" x14ac:dyDescent="0.25">
      <c r="A834" s="35" t="str">
        <f t="shared" si="36"/>
        <v/>
      </c>
      <c r="I834" s="36" t="str">
        <f t="shared" ca="1" si="37"/>
        <v/>
      </c>
      <c r="J834" s="36" t="str">
        <f t="shared" si="38"/>
        <v/>
      </c>
    </row>
    <row r="835" spans="1:10" ht="15" customHeight="1" x14ac:dyDescent="0.25">
      <c r="A835" s="35" t="str">
        <f t="shared" si="36"/>
        <v/>
      </c>
      <c r="I835" s="36" t="str">
        <f t="shared" ca="1" si="37"/>
        <v/>
      </c>
      <c r="J835" s="36" t="str">
        <f t="shared" si="38"/>
        <v/>
      </c>
    </row>
    <row r="836" spans="1:10" ht="15" customHeight="1" x14ac:dyDescent="0.25">
      <c r="A836" s="35" t="str">
        <f t="shared" si="36"/>
        <v/>
      </c>
      <c r="I836" s="36" t="str">
        <f t="shared" ca="1" si="37"/>
        <v/>
      </c>
      <c r="J836" s="36" t="str">
        <f t="shared" si="38"/>
        <v/>
      </c>
    </row>
    <row r="837" spans="1:10" ht="15" customHeight="1" x14ac:dyDescent="0.25">
      <c r="A837" s="35" t="str">
        <f t="shared" ref="A837:A900" si="39">IF(B837="","","ACC"&amp;TEXT(ROW()-4,"0000"))</f>
        <v/>
      </c>
      <c r="I837" s="36" t="str">
        <f t="shared" ref="I837:I900" ca="1" si="40">IF(B837="","",TEXT(TODAY(),"dd/mm/yyyy"))</f>
        <v/>
      </c>
      <c r="J837" s="36" t="str">
        <f t="shared" ref="J837:J900" si="41">IF(B837="","",IF(ISNUMBER(H837),IF(H837&gt;=10,"✅ Active","⚠️ Below Min Balance"),"Pending"))</f>
        <v/>
      </c>
    </row>
    <row r="838" spans="1:10" ht="15" customHeight="1" x14ac:dyDescent="0.25">
      <c r="A838" s="35" t="str">
        <f t="shared" si="39"/>
        <v/>
      </c>
      <c r="I838" s="36" t="str">
        <f t="shared" ca="1" si="40"/>
        <v/>
      </c>
      <c r="J838" s="36" t="str">
        <f t="shared" si="41"/>
        <v/>
      </c>
    </row>
    <row r="839" spans="1:10" ht="15" customHeight="1" x14ac:dyDescent="0.25">
      <c r="A839" s="35" t="str">
        <f t="shared" si="39"/>
        <v/>
      </c>
      <c r="I839" s="36" t="str">
        <f t="shared" ca="1" si="40"/>
        <v/>
      </c>
      <c r="J839" s="36" t="str">
        <f t="shared" si="41"/>
        <v/>
      </c>
    </row>
    <row r="840" spans="1:10" ht="15" customHeight="1" x14ac:dyDescent="0.25">
      <c r="A840" s="35" t="str">
        <f t="shared" si="39"/>
        <v/>
      </c>
      <c r="I840" s="36" t="str">
        <f t="shared" ca="1" si="40"/>
        <v/>
      </c>
      <c r="J840" s="36" t="str">
        <f t="shared" si="41"/>
        <v/>
      </c>
    </row>
    <row r="841" spans="1:10" ht="15" customHeight="1" x14ac:dyDescent="0.25">
      <c r="A841" s="35" t="str">
        <f t="shared" si="39"/>
        <v/>
      </c>
      <c r="I841" s="36" t="str">
        <f t="shared" ca="1" si="40"/>
        <v/>
      </c>
      <c r="J841" s="36" t="str">
        <f t="shared" si="41"/>
        <v/>
      </c>
    </row>
    <row r="842" spans="1:10" ht="15" customHeight="1" x14ac:dyDescent="0.25">
      <c r="A842" s="35" t="str">
        <f t="shared" si="39"/>
        <v/>
      </c>
      <c r="I842" s="36" t="str">
        <f t="shared" ca="1" si="40"/>
        <v/>
      </c>
      <c r="J842" s="36" t="str">
        <f t="shared" si="41"/>
        <v/>
      </c>
    </row>
    <row r="843" spans="1:10" ht="15" customHeight="1" x14ac:dyDescent="0.25">
      <c r="A843" s="35" t="str">
        <f t="shared" si="39"/>
        <v/>
      </c>
      <c r="I843" s="36" t="str">
        <f t="shared" ca="1" si="40"/>
        <v/>
      </c>
      <c r="J843" s="36" t="str">
        <f t="shared" si="41"/>
        <v/>
      </c>
    </row>
    <row r="844" spans="1:10" ht="15" customHeight="1" x14ac:dyDescent="0.25">
      <c r="A844" s="35" t="str">
        <f t="shared" si="39"/>
        <v/>
      </c>
      <c r="I844" s="36" t="str">
        <f t="shared" ca="1" si="40"/>
        <v/>
      </c>
      <c r="J844" s="36" t="str">
        <f t="shared" si="41"/>
        <v/>
      </c>
    </row>
    <row r="845" spans="1:10" ht="15" customHeight="1" x14ac:dyDescent="0.25">
      <c r="A845" s="35" t="str">
        <f t="shared" si="39"/>
        <v/>
      </c>
      <c r="I845" s="36" t="str">
        <f t="shared" ca="1" si="40"/>
        <v/>
      </c>
      <c r="J845" s="36" t="str">
        <f t="shared" si="41"/>
        <v/>
      </c>
    </row>
    <row r="846" spans="1:10" ht="15" customHeight="1" x14ac:dyDescent="0.25">
      <c r="A846" s="35" t="str">
        <f t="shared" si="39"/>
        <v/>
      </c>
      <c r="I846" s="36" t="str">
        <f t="shared" ca="1" si="40"/>
        <v/>
      </c>
      <c r="J846" s="36" t="str">
        <f t="shared" si="41"/>
        <v/>
      </c>
    </row>
    <row r="847" spans="1:10" ht="15" customHeight="1" x14ac:dyDescent="0.25">
      <c r="A847" s="35" t="str">
        <f t="shared" si="39"/>
        <v/>
      </c>
      <c r="I847" s="36" t="str">
        <f t="shared" ca="1" si="40"/>
        <v/>
      </c>
      <c r="J847" s="36" t="str">
        <f t="shared" si="41"/>
        <v/>
      </c>
    </row>
    <row r="848" spans="1:10" ht="15" customHeight="1" x14ac:dyDescent="0.25">
      <c r="A848" s="35" t="str">
        <f t="shared" si="39"/>
        <v/>
      </c>
      <c r="I848" s="36" t="str">
        <f t="shared" ca="1" si="40"/>
        <v/>
      </c>
      <c r="J848" s="36" t="str">
        <f t="shared" si="41"/>
        <v/>
      </c>
    </row>
    <row r="849" spans="1:10" ht="15" customHeight="1" x14ac:dyDescent="0.25">
      <c r="A849" s="35" t="str">
        <f t="shared" si="39"/>
        <v/>
      </c>
      <c r="I849" s="36" t="str">
        <f t="shared" ca="1" si="40"/>
        <v/>
      </c>
      <c r="J849" s="36" t="str">
        <f t="shared" si="41"/>
        <v/>
      </c>
    </row>
    <row r="850" spans="1:10" ht="15" customHeight="1" x14ac:dyDescent="0.25">
      <c r="A850" s="35" t="str">
        <f t="shared" si="39"/>
        <v/>
      </c>
      <c r="I850" s="36" t="str">
        <f t="shared" ca="1" si="40"/>
        <v/>
      </c>
      <c r="J850" s="36" t="str">
        <f t="shared" si="41"/>
        <v/>
      </c>
    </row>
    <row r="851" spans="1:10" ht="15" customHeight="1" x14ac:dyDescent="0.25">
      <c r="A851" s="35" t="str">
        <f t="shared" si="39"/>
        <v/>
      </c>
      <c r="I851" s="36" t="str">
        <f t="shared" ca="1" si="40"/>
        <v/>
      </c>
      <c r="J851" s="36" t="str">
        <f t="shared" si="41"/>
        <v/>
      </c>
    </row>
    <row r="852" spans="1:10" ht="15" customHeight="1" x14ac:dyDescent="0.25">
      <c r="A852" s="35" t="str">
        <f t="shared" si="39"/>
        <v/>
      </c>
      <c r="I852" s="36" t="str">
        <f t="shared" ca="1" si="40"/>
        <v/>
      </c>
      <c r="J852" s="36" t="str">
        <f t="shared" si="41"/>
        <v/>
      </c>
    </row>
    <row r="853" spans="1:10" ht="15" customHeight="1" x14ac:dyDescent="0.25">
      <c r="A853" s="35" t="str">
        <f t="shared" si="39"/>
        <v/>
      </c>
      <c r="I853" s="36" t="str">
        <f t="shared" ca="1" si="40"/>
        <v/>
      </c>
      <c r="J853" s="36" t="str">
        <f t="shared" si="41"/>
        <v/>
      </c>
    </row>
    <row r="854" spans="1:10" ht="15" customHeight="1" x14ac:dyDescent="0.25">
      <c r="A854" s="35" t="str">
        <f t="shared" si="39"/>
        <v/>
      </c>
      <c r="I854" s="36" t="str">
        <f t="shared" ca="1" si="40"/>
        <v/>
      </c>
      <c r="J854" s="36" t="str">
        <f t="shared" si="41"/>
        <v/>
      </c>
    </row>
    <row r="855" spans="1:10" ht="15" customHeight="1" x14ac:dyDescent="0.25">
      <c r="A855" s="35" t="str">
        <f t="shared" si="39"/>
        <v/>
      </c>
      <c r="I855" s="36" t="str">
        <f t="shared" ca="1" si="40"/>
        <v/>
      </c>
      <c r="J855" s="36" t="str">
        <f t="shared" si="41"/>
        <v/>
      </c>
    </row>
    <row r="856" spans="1:10" ht="15" customHeight="1" x14ac:dyDescent="0.25">
      <c r="A856" s="35" t="str">
        <f t="shared" si="39"/>
        <v/>
      </c>
      <c r="I856" s="36" t="str">
        <f t="shared" ca="1" si="40"/>
        <v/>
      </c>
      <c r="J856" s="36" t="str">
        <f t="shared" si="41"/>
        <v/>
      </c>
    </row>
    <row r="857" spans="1:10" ht="15" customHeight="1" x14ac:dyDescent="0.25">
      <c r="A857" s="35" t="str">
        <f t="shared" si="39"/>
        <v/>
      </c>
      <c r="I857" s="36" t="str">
        <f t="shared" ca="1" si="40"/>
        <v/>
      </c>
      <c r="J857" s="36" t="str">
        <f t="shared" si="41"/>
        <v/>
      </c>
    </row>
    <row r="858" spans="1:10" ht="15" customHeight="1" x14ac:dyDescent="0.25">
      <c r="A858" s="35" t="str">
        <f t="shared" si="39"/>
        <v/>
      </c>
      <c r="I858" s="36" t="str">
        <f t="shared" ca="1" si="40"/>
        <v/>
      </c>
      <c r="J858" s="36" t="str">
        <f t="shared" si="41"/>
        <v/>
      </c>
    </row>
    <row r="859" spans="1:10" ht="15" customHeight="1" x14ac:dyDescent="0.25">
      <c r="A859" s="35" t="str">
        <f t="shared" si="39"/>
        <v/>
      </c>
      <c r="I859" s="36" t="str">
        <f t="shared" ca="1" si="40"/>
        <v/>
      </c>
      <c r="J859" s="36" t="str">
        <f t="shared" si="41"/>
        <v/>
      </c>
    </row>
    <row r="860" spans="1:10" ht="15" customHeight="1" x14ac:dyDescent="0.25">
      <c r="A860" s="35" t="str">
        <f t="shared" si="39"/>
        <v/>
      </c>
      <c r="I860" s="36" t="str">
        <f t="shared" ca="1" si="40"/>
        <v/>
      </c>
      <c r="J860" s="36" t="str">
        <f t="shared" si="41"/>
        <v/>
      </c>
    </row>
    <row r="861" spans="1:10" ht="15" customHeight="1" x14ac:dyDescent="0.25">
      <c r="A861" s="35" t="str">
        <f t="shared" si="39"/>
        <v/>
      </c>
      <c r="I861" s="36" t="str">
        <f t="shared" ca="1" si="40"/>
        <v/>
      </c>
      <c r="J861" s="36" t="str">
        <f t="shared" si="41"/>
        <v/>
      </c>
    </row>
    <row r="862" spans="1:10" ht="15" customHeight="1" x14ac:dyDescent="0.25">
      <c r="A862" s="35" t="str">
        <f t="shared" si="39"/>
        <v/>
      </c>
      <c r="I862" s="36" t="str">
        <f t="shared" ca="1" si="40"/>
        <v/>
      </c>
      <c r="J862" s="36" t="str">
        <f t="shared" si="41"/>
        <v/>
      </c>
    </row>
    <row r="863" spans="1:10" ht="15" customHeight="1" x14ac:dyDescent="0.25">
      <c r="A863" s="35" t="str">
        <f t="shared" si="39"/>
        <v/>
      </c>
      <c r="I863" s="36" t="str">
        <f t="shared" ca="1" si="40"/>
        <v/>
      </c>
      <c r="J863" s="36" t="str">
        <f t="shared" si="41"/>
        <v/>
      </c>
    </row>
    <row r="864" spans="1:10" ht="15" customHeight="1" x14ac:dyDescent="0.25">
      <c r="A864" s="35" t="str">
        <f t="shared" si="39"/>
        <v/>
      </c>
      <c r="I864" s="36" t="str">
        <f t="shared" ca="1" si="40"/>
        <v/>
      </c>
      <c r="J864" s="36" t="str">
        <f t="shared" si="41"/>
        <v/>
      </c>
    </row>
    <row r="865" spans="1:10" ht="15" customHeight="1" x14ac:dyDescent="0.25">
      <c r="A865" s="35" t="str">
        <f t="shared" si="39"/>
        <v/>
      </c>
      <c r="I865" s="36" t="str">
        <f t="shared" ca="1" si="40"/>
        <v/>
      </c>
      <c r="J865" s="36" t="str">
        <f t="shared" si="41"/>
        <v/>
      </c>
    </row>
    <row r="866" spans="1:10" ht="15" customHeight="1" x14ac:dyDescent="0.25">
      <c r="A866" s="35" t="str">
        <f t="shared" si="39"/>
        <v/>
      </c>
      <c r="I866" s="36" t="str">
        <f t="shared" ca="1" si="40"/>
        <v/>
      </c>
      <c r="J866" s="36" t="str">
        <f t="shared" si="41"/>
        <v/>
      </c>
    </row>
    <row r="867" spans="1:10" ht="15" customHeight="1" x14ac:dyDescent="0.25">
      <c r="A867" s="35" t="str">
        <f t="shared" si="39"/>
        <v/>
      </c>
      <c r="I867" s="36" t="str">
        <f t="shared" ca="1" si="40"/>
        <v/>
      </c>
      <c r="J867" s="36" t="str">
        <f t="shared" si="41"/>
        <v/>
      </c>
    </row>
    <row r="868" spans="1:10" ht="15" customHeight="1" x14ac:dyDescent="0.25">
      <c r="A868" s="35" t="str">
        <f t="shared" si="39"/>
        <v/>
      </c>
      <c r="I868" s="36" t="str">
        <f t="shared" ca="1" si="40"/>
        <v/>
      </c>
      <c r="J868" s="36" t="str">
        <f t="shared" si="41"/>
        <v/>
      </c>
    </row>
    <row r="869" spans="1:10" ht="15" customHeight="1" x14ac:dyDescent="0.25">
      <c r="A869" s="35" t="str">
        <f t="shared" si="39"/>
        <v/>
      </c>
      <c r="I869" s="36" t="str">
        <f t="shared" ca="1" si="40"/>
        <v/>
      </c>
      <c r="J869" s="36" t="str">
        <f t="shared" si="41"/>
        <v/>
      </c>
    </row>
    <row r="870" spans="1:10" ht="15" customHeight="1" x14ac:dyDescent="0.25">
      <c r="A870" s="35" t="str">
        <f t="shared" si="39"/>
        <v/>
      </c>
      <c r="I870" s="36" t="str">
        <f t="shared" ca="1" si="40"/>
        <v/>
      </c>
      <c r="J870" s="36" t="str">
        <f t="shared" si="41"/>
        <v/>
      </c>
    </row>
    <row r="871" spans="1:10" ht="15" customHeight="1" x14ac:dyDescent="0.25">
      <c r="A871" s="35" t="str">
        <f t="shared" si="39"/>
        <v/>
      </c>
      <c r="I871" s="36" t="str">
        <f t="shared" ca="1" si="40"/>
        <v/>
      </c>
      <c r="J871" s="36" t="str">
        <f t="shared" si="41"/>
        <v/>
      </c>
    </row>
    <row r="872" spans="1:10" ht="15" customHeight="1" x14ac:dyDescent="0.25">
      <c r="A872" s="35" t="str">
        <f t="shared" si="39"/>
        <v/>
      </c>
      <c r="I872" s="36" t="str">
        <f t="shared" ca="1" si="40"/>
        <v/>
      </c>
      <c r="J872" s="36" t="str">
        <f t="shared" si="41"/>
        <v/>
      </c>
    </row>
    <row r="873" spans="1:10" ht="15" customHeight="1" x14ac:dyDescent="0.25">
      <c r="A873" s="35" t="str">
        <f t="shared" si="39"/>
        <v/>
      </c>
      <c r="I873" s="36" t="str">
        <f t="shared" ca="1" si="40"/>
        <v/>
      </c>
      <c r="J873" s="36" t="str">
        <f t="shared" si="41"/>
        <v/>
      </c>
    </row>
    <row r="874" spans="1:10" ht="15" customHeight="1" x14ac:dyDescent="0.25">
      <c r="A874" s="35" t="str">
        <f t="shared" si="39"/>
        <v/>
      </c>
      <c r="I874" s="36" t="str">
        <f t="shared" ca="1" si="40"/>
        <v/>
      </c>
      <c r="J874" s="36" t="str">
        <f t="shared" si="41"/>
        <v/>
      </c>
    </row>
    <row r="875" spans="1:10" ht="15" customHeight="1" x14ac:dyDescent="0.25">
      <c r="A875" s="35" t="str">
        <f t="shared" si="39"/>
        <v/>
      </c>
      <c r="I875" s="36" t="str">
        <f t="shared" ca="1" si="40"/>
        <v/>
      </c>
      <c r="J875" s="36" t="str">
        <f t="shared" si="41"/>
        <v/>
      </c>
    </row>
    <row r="876" spans="1:10" ht="15" customHeight="1" x14ac:dyDescent="0.25">
      <c r="A876" s="35" t="str">
        <f t="shared" si="39"/>
        <v/>
      </c>
      <c r="I876" s="36" t="str">
        <f t="shared" ca="1" si="40"/>
        <v/>
      </c>
      <c r="J876" s="36" t="str">
        <f t="shared" si="41"/>
        <v/>
      </c>
    </row>
    <row r="877" spans="1:10" ht="15" customHeight="1" x14ac:dyDescent="0.25">
      <c r="A877" s="35" t="str">
        <f t="shared" si="39"/>
        <v/>
      </c>
      <c r="I877" s="36" t="str">
        <f t="shared" ca="1" si="40"/>
        <v/>
      </c>
      <c r="J877" s="36" t="str">
        <f t="shared" si="41"/>
        <v/>
      </c>
    </row>
    <row r="878" spans="1:10" ht="15" customHeight="1" x14ac:dyDescent="0.25">
      <c r="A878" s="35" t="str">
        <f t="shared" si="39"/>
        <v/>
      </c>
      <c r="I878" s="36" t="str">
        <f t="shared" ca="1" si="40"/>
        <v/>
      </c>
      <c r="J878" s="36" t="str">
        <f t="shared" si="41"/>
        <v/>
      </c>
    </row>
    <row r="879" spans="1:10" ht="15" customHeight="1" x14ac:dyDescent="0.25">
      <c r="A879" s="35" t="str">
        <f t="shared" si="39"/>
        <v/>
      </c>
      <c r="I879" s="36" t="str">
        <f t="shared" ca="1" si="40"/>
        <v/>
      </c>
      <c r="J879" s="36" t="str">
        <f t="shared" si="41"/>
        <v/>
      </c>
    </row>
    <row r="880" spans="1:10" ht="15" customHeight="1" x14ac:dyDescent="0.25">
      <c r="A880" s="35" t="str">
        <f t="shared" si="39"/>
        <v/>
      </c>
      <c r="I880" s="36" t="str">
        <f t="shared" ca="1" si="40"/>
        <v/>
      </c>
      <c r="J880" s="36" t="str">
        <f t="shared" si="41"/>
        <v/>
      </c>
    </row>
    <row r="881" spans="1:10" ht="15" customHeight="1" x14ac:dyDescent="0.25">
      <c r="A881" s="35" t="str">
        <f t="shared" si="39"/>
        <v/>
      </c>
      <c r="I881" s="36" t="str">
        <f t="shared" ca="1" si="40"/>
        <v/>
      </c>
      <c r="J881" s="36" t="str">
        <f t="shared" si="41"/>
        <v/>
      </c>
    </row>
    <row r="882" spans="1:10" ht="15" customHeight="1" x14ac:dyDescent="0.25">
      <c r="A882" s="35" t="str">
        <f t="shared" si="39"/>
        <v/>
      </c>
      <c r="I882" s="36" t="str">
        <f t="shared" ca="1" si="40"/>
        <v/>
      </c>
      <c r="J882" s="36" t="str">
        <f t="shared" si="41"/>
        <v/>
      </c>
    </row>
    <row r="883" spans="1:10" ht="15" customHeight="1" x14ac:dyDescent="0.25">
      <c r="A883" s="35" t="str">
        <f t="shared" si="39"/>
        <v/>
      </c>
      <c r="I883" s="36" t="str">
        <f t="shared" ca="1" si="40"/>
        <v/>
      </c>
      <c r="J883" s="36" t="str">
        <f t="shared" si="41"/>
        <v/>
      </c>
    </row>
    <row r="884" spans="1:10" ht="15" customHeight="1" x14ac:dyDescent="0.25">
      <c r="A884" s="35" t="str">
        <f t="shared" si="39"/>
        <v/>
      </c>
      <c r="I884" s="36" t="str">
        <f t="shared" ca="1" si="40"/>
        <v/>
      </c>
      <c r="J884" s="36" t="str">
        <f t="shared" si="41"/>
        <v/>
      </c>
    </row>
    <row r="885" spans="1:10" ht="15" customHeight="1" x14ac:dyDescent="0.25">
      <c r="A885" s="35" t="str">
        <f t="shared" si="39"/>
        <v/>
      </c>
      <c r="I885" s="36" t="str">
        <f t="shared" ca="1" si="40"/>
        <v/>
      </c>
      <c r="J885" s="36" t="str">
        <f t="shared" si="41"/>
        <v/>
      </c>
    </row>
    <row r="886" spans="1:10" ht="15" customHeight="1" x14ac:dyDescent="0.25">
      <c r="A886" s="35" t="str">
        <f t="shared" si="39"/>
        <v/>
      </c>
      <c r="I886" s="36" t="str">
        <f t="shared" ca="1" si="40"/>
        <v/>
      </c>
      <c r="J886" s="36" t="str">
        <f t="shared" si="41"/>
        <v/>
      </c>
    </row>
    <row r="887" spans="1:10" ht="15" customHeight="1" x14ac:dyDescent="0.25">
      <c r="A887" s="35" t="str">
        <f t="shared" si="39"/>
        <v/>
      </c>
      <c r="I887" s="36" t="str">
        <f t="shared" ca="1" si="40"/>
        <v/>
      </c>
      <c r="J887" s="36" t="str">
        <f t="shared" si="41"/>
        <v/>
      </c>
    </row>
    <row r="888" spans="1:10" ht="15" customHeight="1" x14ac:dyDescent="0.25">
      <c r="A888" s="35" t="str">
        <f t="shared" si="39"/>
        <v/>
      </c>
      <c r="I888" s="36" t="str">
        <f t="shared" ca="1" si="40"/>
        <v/>
      </c>
      <c r="J888" s="36" t="str">
        <f t="shared" si="41"/>
        <v/>
      </c>
    </row>
    <row r="889" spans="1:10" ht="15" customHeight="1" x14ac:dyDescent="0.25">
      <c r="A889" s="35" t="str">
        <f t="shared" si="39"/>
        <v/>
      </c>
      <c r="I889" s="36" t="str">
        <f t="shared" ca="1" si="40"/>
        <v/>
      </c>
      <c r="J889" s="36" t="str">
        <f t="shared" si="41"/>
        <v/>
      </c>
    </row>
    <row r="890" spans="1:10" ht="15" customHeight="1" x14ac:dyDescent="0.25">
      <c r="A890" s="35" t="str">
        <f t="shared" si="39"/>
        <v/>
      </c>
      <c r="I890" s="36" t="str">
        <f t="shared" ca="1" si="40"/>
        <v/>
      </c>
      <c r="J890" s="36" t="str">
        <f t="shared" si="41"/>
        <v/>
      </c>
    </row>
    <row r="891" spans="1:10" ht="15" customHeight="1" x14ac:dyDescent="0.25">
      <c r="A891" s="35" t="str">
        <f t="shared" si="39"/>
        <v/>
      </c>
      <c r="I891" s="36" t="str">
        <f t="shared" ca="1" si="40"/>
        <v/>
      </c>
      <c r="J891" s="36" t="str">
        <f t="shared" si="41"/>
        <v/>
      </c>
    </row>
    <row r="892" spans="1:10" ht="15" customHeight="1" x14ac:dyDescent="0.25">
      <c r="A892" s="35" t="str">
        <f t="shared" si="39"/>
        <v/>
      </c>
      <c r="I892" s="36" t="str">
        <f t="shared" ca="1" si="40"/>
        <v/>
      </c>
      <c r="J892" s="36" t="str">
        <f t="shared" si="41"/>
        <v/>
      </c>
    </row>
    <row r="893" spans="1:10" ht="15" customHeight="1" x14ac:dyDescent="0.25">
      <c r="A893" s="35" t="str">
        <f t="shared" si="39"/>
        <v/>
      </c>
      <c r="I893" s="36" t="str">
        <f t="shared" ca="1" si="40"/>
        <v/>
      </c>
      <c r="J893" s="36" t="str">
        <f t="shared" si="41"/>
        <v/>
      </c>
    </row>
    <row r="894" spans="1:10" ht="15" customHeight="1" x14ac:dyDescent="0.25">
      <c r="A894" s="35" t="str">
        <f t="shared" si="39"/>
        <v/>
      </c>
      <c r="I894" s="36" t="str">
        <f t="shared" ca="1" si="40"/>
        <v/>
      </c>
      <c r="J894" s="36" t="str">
        <f t="shared" si="41"/>
        <v/>
      </c>
    </row>
    <row r="895" spans="1:10" ht="15" customHeight="1" x14ac:dyDescent="0.25">
      <c r="A895" s="35" t="str">
        <f t="shared" si="39"/>
        <v/>
      </c>
      <c r="I895" s="36" t="str">
        <f t="shared" ca="1" si="40"/>
        <v/>
      </c>
      <c r="J895" s="36" t="str">
        <f t="shared" si="41"/>
        <v/>
      </c>
    </row>
    <row r="896" spans="1:10" ht="15" customHeight="1" x14ac:dyDescent="0.25">
      <c r="A896" s="35" t="str">
        <f t="shared" si="39"/>
        <v/>
      </c>
      <c r="I896" s="36" t="str">
        <f t="shared" ca="1" si="40"/>
        <v/>
      </c>
      <c r="J896" s="36" t="str">
        <f t="shared" si="41"/>
        <v/>
      </c>
    </row>
    <row r="897" spans="1:10" ht="15" customHeight="1" x14ac:dyDescent="0.25">
      <c r="A897" s="35" t="str">
        <f t="shared" si="39"/>
        <v/>
      </c>
      <c r="I897" s="36" t="str">
        <f t="shared" ca="1" si="40"/>
        <v/>
      </c>
      <c r="J897" s="36" t="str">
        <f t="shared" si="41"/>
        <v/>
      </c>
    </row>
    <row r="898" spans="1:10" ht="15" customHeight="1" x14ac:dyDescent="0.25">
      <c r="A898" s="35" t="str">
        <f t="shared" si="39"/>
        <v/>
      </c>
      <c r="I898" s="36" t="str">
        <f t="shared" ca="1" si="40"/>
        <v/>
      </c>
      <c r="J898" s="36" t="str">
        <f t="shared" si="41"/>
        <v/>
      </c>
    </row>
    <row r="899" spans="1:10" ht="15" customHeight="1" x14ac:dyDescent="0.25">
      <c r="A899" s="35" t="str">
        <f t="shared" si="39"/>
        <v/>
      </c>
      <c r="I899" s="36" t="str">
        <f t="shared" ca="1" si="40"/>
        <v/>
      </c>
      <c r="J899" s="36" t="str">
        <f t="shared" si="41"/>
        <v/>
      </c>
    </row>
    <row r="900" spans="1:10" ht="15" customHeight="1" x14ac:dyDescent="0.25">
      <c r="A900" s="35" t="str">
        <f t="shared" si="39"/>
        <v/>
      </c>
      <c r="I900" s="36" t="str">
        <f t="shared" ca="1" si="40"/>
        <v/>
      </c>
      <c r="J900" s="36" t="str">
        <f t="shared" si="41"/>
        <v/>
      </c>
    </row>
    <row r="901" spans="1:10" ht="15" customHeight="1" x14ac:dyDescent="0.25">
      <c r="A901" s="35" t="str">
        <f t="shared" ref="A901:A964" si="42">IF(B901="","","ACC"&amp;TEXT(ROW()-4,"0000"))</f>
        <v/>
      </c>
      <c r="I901" s="36" t="str">
        <f t="shared" ref="I901:I964" ca="1" si="43">IF(B901="","",TEXT(TODAY(),"dd/mm/yyyy"))</f>
        <v/>
      </c>
      <c r="J901" s="36" t="str">
        <f t="shared" ref="J901:J964" si="44">IF(B901="","",IF(ISNUMBER(H901),IF(H901&gt;=10,"✅ Active","⚠️ Below Min Balance"),"Pending"))</f>
        <v/>
      </c>
    </row>
    <row r="902" spans="1:10" ht="15" customHeight="1" x14ac:dyDescent="0.25">
      <c r="A902" s="35" t="str">
        <f t="shared" si="42"/>
        <v/>
      </c>
      <c r="I902" s="36" t="str">
        <f t="shared" ca="1" si="43"/>
        <v/>
      </c>
      <c r="J902" s="36" t="str">
        <f t="shared" si="44"/>
        <v/>
      </c>
    </row>
    <row r="903" spans="1:10" ht="15" customHeight="1" x14ac:dyDescent="0.25">
      <c r="A903" s="35" t="str">
        <f t="shared" si="42"/>
        <v/>
      </c>
      <c r="I903" s="36" t="str">
        <f t="shared" ca="1" si="43"/>
        <v/>
      </c>
      <c r="J903" s="36" t="str">
        <f t="shared" si="44"/>
        <v/>
      </c>
    </row>
    <row r="904" spans="1:10" ht="15" customHeight="1" x14ac:dyDescent="0.25">
      <c r="A904" s="35" t="str">
        <f t="shared" si="42"/>
        <v/>
      </c>
      <c r="I904" s="36" t="str">
        <f t="shared" ca="1" si="43"/>
        <v/>
      </c>
      <c r="J904" s="36" t="str">
        <f t="shared" si="44"/>
        <v/>
      </c>
    </row>
    <row r="905" spans="1:10" ht="15" customHeight="1" x14ac:dyDescent="0.25">
      <c r="A905" s="35" t="str">
        <f t="shared" si="42"/>
        <v/>
      </c>
      <c r="I905" s="36" t="str">
        <f t="shared" ca="1" si="43"/>
        <v/>
      </c>
      <c r="J905" s="36" t="str">
        <f t="shared" si="44"/>
        <v/>
      </c>
    </row>
    <row r="906" spans="1:10" ht="15" customHeight="1" x14ac:dyDescent="0.25">
      <c r="A906" s="35" t="str">
        <f t="shared" si="42"/>
        <v/>
      </c>
      <c r="I906" s="36" t="str">
        <f t="shared" ca="1" si="43"/>
        <v/>
      </c>
      <c r="J906" s="36" t="str">
        <f t="shared" si="44"/>
        <v/>
      </c>
    </row>
    <row r="907" spans="1:10" ht="15" customHeight="1" x14ac:dyDescent="0.25">
      <c r="A907" s="35" t="str">
        <f t="shared" si="42"/>
        <v/>
      </c>
      <c r="I907" s="36" t="str">
        <f t="shared" ca="1" si="43"/>
        <v/>
      </c>
      <c r="J907" s="36" t="str">
        <f t="shared" si="44"/>
        <v/>
      </c>
    </row>
    <row r="908" spans="1:10" ht="15" customHeight="1" x14ac:dyDescent="0.25">
      <c r="A908" s="35" t="str">
        <f t="shared" si="42"/>
        <v/>
      </c>
      <c r="I908" s="36" t="str">
        <f t="shared" ca="1" si="43"/>
        <v/>
      </c>
      <c r="J908" s="36" t="str">
        <f t="shared" si="44"/>
        <v/>
      </c>
    </row>
    <row r="909" spans="1:10" ht="15" customHeight="1" x14ac:dyDescent="0.25">
      <c r="A909" s="35" t="str">
        <f t="shared" si="42"/>
        <v/>
      </c>
      <c r="I909" s="36" t="str">
        <f t="shared" ca="1" si="43"/>
        <v/>
      </c>
      <c r="J909" s="36" t="str">
        <f t="shared" si="44"/>
        <v/>
      </c>
    </row>
    <row r="910" spans="1:10" ht="15" customHeight="1" x14ac:dyDescent="0.25">
      <c r="A910" s="35" t="str">
        <f t="shared" si="42"/>
        <v/>
      </c>
      <c r="I910" s="36" t="str">
        <f t="shared" ca="1" si="43"/>
        <v/>
      </c>
      <c r="J910" s="36" t="str">
        <f t="shared" si="44"/>
        <v/>
      </c>
    </row>
    <row r="911" spans="1:10" ht="15" customHeight="1" x14ac:dyDescent="0.25">
      <c r="A911" s="35" t="str">
        <f t="shared" si="42"/>
        <v/>
      </c>
      <c r="I911" s="36" t="str">
        <f t="shared" ca="1" si="43"/>
        <v/>
      </c>
      <c r="J911" s="36" t="str">
        <f t="shared" si="44"/>
        <v/>
      </c>
    </row>
    <row r="912" spans="1:10" ht="15" customHeight="1" x14ac:dyDescent="0.25">
      <c r="A912" s="35" t="str">
        <f t="shared" si="42"/>
        <v/>
      </c>
      <c r="I912" s="36" t="str">
        <f t="shared" ca="1" si="43"/>
        <v/>
      </c>
      <c r="J912" s="36" t="str">
        <f t="shared" si="44"/>
        <v/>
      </c>
    </row>
    <row r="913" spans="1:10" ht="15" customHeight="1" x14ac:dyDescent="0.25">
      <c r="A913" s="35" t="str">
        <f t="shared" si="42"/>
        <v/>
      </c>
      <c r="I913" s="36" t="str">
        <f t="shared" ca="1" si="43"/>
        <v/>
      </c>
      <c r="J913" s="36" t="str">
        <f t="shared" si="44"/>
        <v/>
      </c>
    </row>
    <row r="914" spans="1:10" ht="15" customHeight="1" x14ac:dyDescent="0.25">
      <c r="A914" s="35" t="str">
        <f t="shared" si="42"/>
        <v/>
      </c>
      <c r="I914" s="36" t="str">
        <f t="shared" ca="1" si="43"/>
        <v/>
      </c>
      <c r="J914" s="36" t="str">
        <f t="shared" si="44"/>
        <v/>
      </c>
    </row>
    <row r="915" spans="1:10" ht="15" customHeight="1" x14ac:dyDescent="0.25">
      <c r="A915" s="35" t="str">
        <f t="shared" si="42"/>
        <v/>
      </c>
      <c r="I915" s="36" t="str">
        <f t="shared" ca="1" si="43"/>
        <v/>
      </c>
      <c r="J915" s="36" t="str">
        <f t="shared" si="44"/>
        <v/>
      </c>
    </row>
    <row r="916" spans="1:10" ht="15" customHeight="1" x14ac:dyDescent="0.25">
      <c r="A916" s="35" t="str">
        <f t="shared" si="42"/>
        <v/>
      </c>
      <c r="I916" s="36" t="str">
        <f t="shared" ca="1" si="43"/>
        <v/>
      </c>
      <c r="J916" s="36" t="str">
        <f t="shared" si="44"/>
        <v/>
      </c>
    </row>
    <row r="917" spans="1:10" ht="15" customHeight="1" x14ac:dyDescent="0.25">
      <c r="A917" s="35" t="str">
        <f t="shared" si="42"/>
        <v/>
      </c>
      <c r="I917" s="36" t="str">
        <f t="shared" ca="1" si="43"/>
        <v/>
      </c>
      <c r="J917" s="36" t="str">
        <f t="shared" si="44"/>
        <v/>
      </c>
    </row>
    <row r="918" spans="1:10" ht="15" customHeight="1" x14ac:dyDescent="0.25">
      <c r="A918" s="35" t="str">
        <f t="shared" si="42"/>
        <v/>
      </c>
      <c r="I918" s="36" t="str">
        <f t="shared" ca="1" si="43"/>
        <v/>
      </c>
      <c r="J918" s="36" t="str">
        <f t="shared" si="44"/>
        <v/>
      </c>
    </row>
    <row r="919" spans="1:10" ht="15" customHeight="1" x14ac:dyDescent="0.25">
      <c r="A919" s="35" t="str">
        <f t="shared" si="42"/>
        <v/>
      </c>
      <c r="I919" s="36" t="str">
        <f t="shared" ca="1" si="43"/>
        <v/>
      </c>
      <c r="J919" s="36" t="str">
        <f t="shared" si="44"/>
        <v/>
      </c>
    </row>
    <row r="920" spans="1:10" ht="15" customHeight="1" x14ac:dyDescent="0.25">
      <c r="A920" s="35" t="str">
        <f t="shared" si="42"/>
        <v/>
      </c>
      <c r="I920" s="36" t="str">
        <f t="shared" ca="1" si="43"/>
        <v/>
      </c>
      <c r="J920" s="36" t="str">
        <f t="shared" si="44"/>
        <v/>
      </c>
    </row>
    <row r="921" spans="1:10" ht="15" customHeight="1" x14ac:dyDescent="0.25">
      <c r="A921" s="35" t="str">
        <f t="shared" si="42"/>
        <v/>
      </c>
      <c r="I921" s="36" t="str">
        <f t="shared" ca="1" si="43"/>
        <v/>
      </c>
      <c r="J921" s="36" t="str">
        <f t="shared" si="44"/>
        <v/>
      </c>
    </row>
    <row r="922" spans="1:10" ht="15" customHeight="1" x14ac:dyDescent="0.25">
      <c r="A922" s="35" t="str">
        <f t="shared" si="42"/>
        <v/>
      </c>
      <c r="I922" s="36" t="str">
        <f t="shared" ca="1" si="43"/>
        <v/>
      </c>
      <c r="J922" s="36" t="str">
        <f t="shared" si="44"/>
        <v/>
      </c>
    </row>
    <row r="923" spans="1:10" ht="15" customHeight="1" x14ac:dyDescent="0.25">
      <c r="A923" s="35" t="str">
        <f t="shared" si="42"/>
        <v/>
      </c>
      <c r="I923" s="36" t="str">
        <f t="shared" ca="1" si="43"/>
        <v/>
      </c>
      <c r="J923" s="36" t="str">
        <f t="shared" si="44"/>
        <v/>
      </c>
    </row>
    <row r="924" spans="1:10" ht="15" customHeight="1" x14ac:dyDescent="0.25">
      <c r="A924" s="35" t="str">
        <f t="shared" si="42"/>
        <v/>
      </c>
      <c r="I924" s="36" t="str">
        <f t="shared" ca="1" si="43"/>
        <v/>
      </c>
      <c r="J924" s="36" t="str">
        <f t="shared" si="44"/>
        <v/>
      </c>
    </row>
    <row r="925" spans="1:10" ht="15" customHeight="1" x14ac:dyDescent="0.25">
      <c r="A925" s="35" t="str">
        <f t="shared" si="42"/>
        <v/>
      </c>
      <c r="I925" s="36" t="str">
        <f t="shared" ca="1" si="43"/>
        <v/>
      </c>
      <c r="J925" s="36" t="str">
        <f t="shared" si="44"/>
        <v/>
      </c>
    </row>
    <row r="926" spans="1:10" ht="15" customHeight="1" x14ac:dyDescent="0.25">
      <c r="A926" s="35" t="str">
        <f t="shared" si="42"/>
        <v/>
      </c>
      <c r="I926" s="36" t="str">
        <f t="shared" ca="1" si="43"/>
        <v/>
      </c>
      <c r="J926" s="36" t="str">
        <f t="shared" si="44"/>
        <v/>
      </c>
    </row>
    <row r="927" spans="1:10" ht="15" customHeight="1" x14ac:dyDescent="0.25">
      <c r="A927" s="35" t="str">
        <f t="shared" si="42"/>
        <v/>
      </c>
      <c r="I927" s="36" t="str">
        <f t="shared" ca="1" si="43"/>
        <v/>
      </c>
      <c r="J927" s="36" t="str">
        <f t="shared" si="44"/>
        <v/>
      </c>
    </row>
    <row r="928" spans="1:10" ht="15" customHeight="1" x14ac:dyDescent="0.25">
      <c r="A928" s="35" t="str">
        <f t="shared" si="42"/>
        <v/>
      </c>
      <c r="I928" s="36" t="str">
        <f t="shared" ca="1" si="43"/>
        <v/>
      </c>
      <c r="J928" s="36" t="str">
        <f t="shared" si="44"/>
        <v/>
      </c>
    </row>
    <row r="929" spans="1:10" ht="15" customHeight="1" x14ac:dyDescent="0.25">
      <c r="A929" s="35" t="str">
        <f t="shared" si="42"/>
        <v/>
      </c>
      <c r="I929" s="36" t="str">
        <f t="shared" ca="1" si="43"/>
        <v/>
      </c>
      <c r="J929" s="36" t="str">
        <f t="shared" si="44"/>
        <v/>
      </c>
    </row>
    <row r="930" spans="1:10" ht="15" customHeight="1" x14ac:dyDescent="0.25">
      <c r="A930" s="35" t="str">
        <f t="shared" si="42"/>
        <v/>
      </c>
      <c r="I930" s="36" t="str">
        <f t="shared" ca="1" si="43"/>
        <v/>
      </c>
      <c r="J930" s="36" t="str">
        <f t="shared" si="44"/>
        <v/>
      </c>
    </row>
    <row r="931" spans="1:10" ht="15" customHeight="1" x14ac:dyDescent="0.25">
      <c r="A931" s="35" t="str">
        <f t="shared" si="42"/>
        <v/>
      </c>
      <c r="I931" s="36" t="str">
        <f t="shared" ca="1" si="43"/>
        <v/>
      </c>
      <c r="J931" s="36" t="str">
        <f t="shared" si="44"/>
        <v/>
      </c>
    </row>
    <row r="932" spans="1:10" ht="15" customHeight="1" x14ac:dyDescent="0.25">
      <c r="A932" s="35" t="str">
        <f t="shared" si="42"/>
        <v/>
      </c>
      <c r="I932" s="36" t="str">
        <f t="shared" ca="1" si="43"/>
        <v/>
      </c>
      <c r="J932" s="36" t="str">
        <f t="shared" si="44"/>
        <v/>
      </c>
    </row>
    <row r="933" spans="1:10" ht="15" customHeight="1" x14ac:dyDescent="0.25">
      <c r="A933" s="35" t="str">
        <f t="shared" si="42"/>
        <v/>
      </c>
      <c r="I933" s="36" t="str">
        <f t="shared" ca="1" si="43"/>
        <v/>
      </c>
      <c r="J933" s="36" t="str">
        <f t="shared" si="44"/>
        <v/>
      </c>
    </row>
    <row r="934" spans="1:10" ht="15" customHeight="1" x14ac:dyDescent="0.25">
      <c r="A934" s="35" t="str">
        <f t="shared" si="42"/>
        <v/>
      </c>
      <c r="I934" s="36" t="str">
        <f t="shared" ca="1" si="43"/>
        <v/>
      </c>
      <c r="J934" s="36" t="str">
        <f t="shared" si="44"/>
        <v/>
      </c>
    </row>
    <row r="935" spans="1:10" ht="15" customHeight="1" x14ac:dyDescent="0.25">
      <c r="A935" s="35" t="str">
        <f t="shared" si="42"/>
        <v/>
      </c>
      <c r="I935" s="36" t="str">
        <f t="shared" ca="1" si="43"/>
        <v/>
      </c>
      <c r="J935" s="36" t="str">
        <f t="shared" si="44"/>
        <v/>
      </c>
    </row>
    <row r="936" spans="1:10" ht="15" customHeight="1" x14ac:dyDescent="0.25">
      <c r="A936" s="35" t="str">
        <f t="shared" si="42"/>
        <v/>
      </c>
      <c r="I936" s="36" t="str">
        <f t="shared" ca="1" si="43"/>
        <v/>
      </c>
      <c r="J936" s="36" t="str">
        <f t="shared" si="44"/>
        <v/>
      </c>
    </row>
    <row r="937" spans="1:10" ht="15" customHeight="1" x14ac:dyDescent="0.25">
      <c r="A937" s="35" t="str">
        <f t="shared" si="42"/>
        <v/>
      </c>
      <c r="I937" s="36" t="str">
        <f t="shared" ca="1" si="43"/>
        <v/>
      </c>
      <c r="J937" s="36" t="str">
        <f t="shared" si="44"/>
        <v/>
      </c>
    </row>
    <row r="938" spans="1:10" ht="15" customHeight="1" x14ac:dyDescent="0.25">
      <c r="A938" s="35" t="str">
        <f t="shared" si="42"/>
        <v/>
      </c>
      <c r="I938" s="36" t="str">
        <f t="shared" ca="1" si="43"/>
        <v/>
      </c>
      <c r="J938" s="36" t="str">
        <f t="shared" si="44"/>
        <v/>
      </c>
    </row>
    <row r="939" spans="1:10" ht="15" customHeight="1" x14ac:dyDescent="0.25">
      <c r="A939" s="35" t="str">
        <f t="shared" si="42"/>
        <v/>
      </c>
      <c r="I939" s="36" t="str">
        <f t="shared" ca="1" si="43"/>
        <v/>
      </c>
      <c r="J939" s="36" t="str">
        <f t="shared" si="44"/>
        <v/>
      </c>
    </row>
    <row r="940" spans="1:10" ht="15" customHeight="1" x14ac:dyDescent="0.25">
      <c r="A940" s="35" t="str">
        <f t="shared" si="42"/>
        <v/>
      </c>
      <c r="I940" s="36" t="str">
        <f t="shared" ca="1" si="43"/>
        <v/>
      </c>
      <c r="J940" s="36" t="str">
        <f t="shared" si="44"/>
        <v/>
      </c>
    </row>
    <row r="941" spans="1:10" ht="15" customHeight="1" x14ac:dyDescent="0.25">
      <c r="A941" s="35" t="str">
        <f t="shared" si="42"/>
        <v/>
      </c>
      <c r="I941" s="36" t="str">
        <f t="shared" ca="1" si="43"/>
        <v/>
      </c>
      <c r="J941" s="36" t="str">
        <f t="shared" si="44"/>
        <v/>
      </c>
    </row>
    <row r="942" spans="1:10" ht="15" customHeight="1" x14ac:dyDescent="0.25">
      <c r="A942" s="35" t="str">
        <f t="shared" si="42"/>
        <v/>
      </c>
      <c r="I942" s="36" t="str">
        <f t="shared" ca="1" si="43"/>
        <v/>
      </c>
      <c r="J942" s="36" t="str">
        <f t="shared" si="44"/>
        <v/>
      </c>
    </row>
    <row r="943" spans="1:10" ht="15" customHeight="1" x14ac:dyDescent="0.25">
      <c r="A943" s="35" t="str">
        <f t="shared" si="42"/>
        <v/>
      </c>
      <c r="I943" s="36" t="str">
        <f t="shared" ca="1" si="43"/>
        <v/>
      </c>
      <c r="J943" s="36" t="str">
        <f t="shared" si="44"/>
        <v/>
      </c>
    </row>
    <row r="944" spans="1:10" ht="15" customHeight="1" x14ac:dyDescent="0.25">
      <c r="A944" s="35" t="str">
        <f t="shared" si="42"/>
        <v/>
      </c>
      <c r="I944" s="36" t="str">
        <f t="shared" ca="1" si="43"/>
        <v/>
      </c>
      <c r="J944" s="36" t="str">
        <f t="shared" si="44"/>
        <v/>
      </c>
    </row>
    <row r="945" spans="1:10" ht="15" customHeight="1" x14ac:dyDescent="0.25">
      <c r="A945" s="35" t="str">
        <f t="shared" si="42"/>
        <v/>
      </c>
      <c r="I945" s="36" t="str">
        <f t="shared" ca="1" si="43"/>
        <v/>
      </c>
      <c r="J945" s="36" t="str">
        <f t="shared" si="44"/>
        <v/>
      </c>
    </row>
    <row r="946" spans="1:10" ht="15" customHeight="1" x14ac:dyDescent="0.25">
      <c r="A946" s="35" t="str">
        <f t="shared" si="42"/>
        <v/>
      </c>
      <c r="I946" s="36" t="str">
        <f t="shared" ca="1" si="43"/>
        <v/>
      </c>
      <c r="J946" s="36" t="str">
        <f t="shared" si="44"/>
        <v/>
      </c>
    </row>
    <row r="947" spans="1:10" ht="15" customHeight="1" x14ac:dyDescent="0.25">
      <c r="A947" s="35" t="str">
        <f t="shared" si="42"/>
        <v/>
      </c>
      <c r="I947" s="36" t="str">
        <f t="shared" ca="1" si="43"/>
        <v/>
      </c>
      <c r="J947" s="36" t="str">
        <f t="shared" si="44"/>
        <v/>
      </c>
    </row>
    <row r="948" spans="1:10" ht="15" customHeight="1" x14ac:dyDescent="0.25">
      <c r="A948" s="35" t="str">
        <f t="shared" si="42"/>
        <v/>
      </c>
      <c r="I948" s="36" t="str">
        <f t="shared" ca="1" si="43"/>
        <v/>
      </c>
      <c r="J948" s="36" t="str">
        <f t="shared" si="44"/>
        <v/>
      </c>
    </row>
    <row r="949" spans="1:10" ht="15" customHeight="1" x14ac:dyDescent="0.25">
      <c r="A949" s="35" t="str">
        <f t="shared" si="42"/>
        <v/>
      </c>
      <c r="I949" s="36" t="str">
        <f t="shared" ca="1" si="43"/>
        <v/>
      </c>
      <c r="J949" s="36" t="str">
        <f t="shared" si="44"/>
        <v/>
      </c>
    </row>
    <row r="950" spans="1:10" ht="15" customHeight="1" x14ac:dyDescent="0.25">
      <c r="A950" s="35" t="str">
        <f t="shared" si="42"/>
        <v/>
      </c>
      <c r="I950" s="36" t="str">
        <f t="shared" ca="1" si="43"/>
        <v/>
      </c>
      <c r="J950" s="36" t="str">
        <f t="shared" si="44"/>
        <v/>
      </c>
    </row>
    <row r="951" spans="1:10" ht="15" customHeight="1" x14ac:dyDescent="0.25">
      <c r="A951" s="35" t="str">
        <f t="shared" si="42"/>
        <v/>
      </c>
      <c r="I951" s="36" t="str">
        <f t="shared" ca="1" si="43"/>
        <v/>
      </c>
      <c r="J951" s="36" t="str">
        <f t="shared" si="44"/>
        <v/>
      </c>
    </row>
    <row r="952" spans="1:10" ht="15" customHeight="1" x14ac:dyDescent="0.25">
      <c r="A952" s="35" t="str">
        <f t="shared" si="42"/>
        <v/>
      </c>
      <c r="I952" s="36" t="str">
        <f t="shared" ca="1" si="43"/>
        <v/>
      </c>
      <c r="J952" s="36" t="str">
        <f t="shared" si="44"/>
        <v/>
      </c>
    </row>
    <row r="953" spans="1:10" ht="15" customHeight="1" x14ac:dyDescent="0.25">
      <c r="A953" s="35" t="str">
        <f t="shared" si="42"/>
        <v/>
      </c>
      <c r="I953" s="36" t="str">
        <f t="shared" ca="1" si="43"/>
        <v/>
      </c>
      <c r="J953" s="36" t="str">
        <f t="shared" si="44"/>
        <v/>
      </c>
    </row>
    <row r="954" spans="1:10" ht="15" customHeight="1" x14ac:dyDescent="0.25">
      <c r="A954" s="35" t="str">
        <f t="shared" si="42"/>
        <v/>
      </c>
      <c r="I954" s="36" t="str">
        <f t="shared" ca="1" si="43"/>
        <v/>
      </c>
      <c r="J954" s="36" t="str">
        <f t="shared" si="44"/>
        <v/>
      </c>
    </row>
    <row r="955" spans="1:10" ht="15" customHeight="1" x14ac:dyDescent="0.25">
      <c r="A955" s="35" t="str">
        <f t="shared" si="42"/>
        <v/>
      </c>
      <c r="I955" s="36" t="str">
        <f t="shared" ca="1" si="43"/>
        <v/>
      </c>
      <c r="J955" s="36" t="str">
        <f t="shared" si="44"/>
        <v/>
      </c>
    </row>
    <row r="956" spans="1:10" ht="15" customHeight="1" x14ac:dyDescent="0.25">
      <c r="A956" s="35" t="str">
        <f t="shared" si="42"/>
        <v/>
      </c>
      <c r="I956" s="36" t="str">
        <f t="shared" ca="1" si="43"/>
        <v/>
      </c>
      <c r="J956" s="36" t="str">
        <f t="shared" si="44"/>
        <v/>
      </c>
    </row>
    <row r="957" spans="1:10" ht="15" customHeight="1" x14ac:dyDescent="0.25">
      <c r="A957" s="35" t="str">
        <f t="shared" si="42"/>
        <v/>
      </c>
      <c r="I957" s="36" t="str">
        <f t="shared" ca="1" si="43"/>
        <v/>
      </c>
      <c r="J957" s="36" t="str">
        <f t="shared" si="44"/>
        <v/>
      </c>
    </row>
    <row r="958" spans="1:10" ht="15" customHeight="1" x14ac:dyDescent="0.25">
      <c r="A958" s="35" t="str">
        <f t="shared" si="42"/>
        <v/>
      </c>
      <c r="I958" s="36" t="str">
        <f t="shared" ca="1" si="43"/>
        <v/>
      </c>
      <c r="J958" s="36" t="str">
        <f t="shared" si="44"/>
        <v/>
      </c>
    </row>
    <row r="959" spans="1:10" ht="15" customHeight="1" x14ac:dyDescent="0.25">
      <c r="A959" s="35" t="str">
        <f t="shared" si="42"/>
        <v/>
      </c>
      <c r="I959" s="36" t="str">
        <f t="shared" ca="1" si="43"/>
        <v/>
      </c>
      <c r="J959" s="36" t="str">
        <f t="shared" si="44"/>
        <v/>
      </c>
    </row>
    <row r="960" spans="1:10" ht="15" customHeight="1" x14ac:dyDescent="0.25">
      <c r="A960" s="35" t="str">
        <f t="shared" si="42"/>
        <v/>
      </c>
      <c r="I960" s="36" t="str">
        <f t="shared" ca="1" si="43"/>
        <v/>
      </c>
      <c r="J960" s="36" t="str">
        <f t="shared" si="44"/>
        <v/>
      </c>
    </row>
    <row r="961" spans="1:10" ht="15" customHeight="1" x14ac:dyDescent="0.25">
      <c r="A961" s="35" t="str">
        <f t="shared" si="42"/>
        <v/>
      </c>
      <c r="I961" s="36" t="str">
        <f t="shared" ca="1" si="43"/>
        <v/>
      </c>
      <c r="J961" s="36" t="str">
        <f t="shared" si="44"/>
        <v/>
      </c>
    </row>
    <row r="962" spans="1:10" ht="15" customHeight="1" x14ac:dyDescent="0.25">
      <c r="A962" s="35" t="str">
        <f t="shared" si="42"/>
        <v/>
      </c>
      <c r="I962" s="36" t="str">
        <f t="shared" ca="1" si="43"/>
        <v/>
      </c>
      <c r="J962" s="36" t="str">
        <f t="shared" si="44"/>
        <v/>
      </c>
    </row>
    <row r="963" spans="1:10" ht="15" customHeight="1" x14ac:dyDescent="0.25">
      <c r="A963" s="35" t="str">
        <f t="shared" si="42"/>
        <v/>
      </c>
      <c r="I963" s="36" t="str">
        <f t="shared" ca="1" si="43"/>
        <v/>
      </c>
      <c r="J963" s="36" t="str">
        <f t="shared" si="44"/>
        <v/>
      </c>
    </row>
    <row r="964" spans="1:10" ht="15" customHeight="1" x14ac:dyDescent="0.25">
      <c r="A964" s="35" t="str">
        <f t="shared" si="42"/>
        <v/>
      </c>
      <c r="I964" s="36" t="str">
        <f t="shared" ca="1" si="43"/>
        <v/>
      </c>
      <c r="J964" s="36" t="str">
        <f t="shared" si="44"/>
        <v/>
      </c>
    </row>
    <row r="965" spans="1:10" ht="15" customHeight="1" x14ac:dyDescent="0.25">
      <c r="A965" s="35" t="str">
        <f t="shared" ref="A965:A1028" si="45">IF(B965="","","ACC"&amp;TEXT(ROW()-4,"0000"))</f>
        <v/>
      </c>
      <c r="I965" s="36" t="str">
        <f t="shared" ref="I965:I1028" ca="1" si="46">IF(B965="","",TEXT(TODAY(),"dd/mm/yyyy"))</f>
        <v/>
      </c>
      <c r="J965" s="36" t="str">
        <f t="shared" ref="J965:J1028" si="47">IF(B965="","",IF(ISNUMBER(H965),IF(H965&gt;=10,"✅ Active","⚠️ Below Min Balance"),"Pending"))</f>
        <v/>
      </c>
    </row>
    <row r="966" spans="1:10" ht="15" customHeight="1" x14ac:dyDescent="0.25">
      <c r="A966" s="35" t="str">
        <f t="shared" si="45"/>
        <v/>
      </c>
      <c r="I966" s="36" t="str">
        <f t="shared" ca="1" si="46"/>
        <v/>
      </c>
      <c r="J966" s="36" t="str">
        <f t="shared" si="47"/>
        <v/>
      </c>
    </row>
    <row r="967" spans="1:10" ht="15" customHeight="1" x14ac:dyDescent="0.25">
      <c r="A967" s="35" t="str">
        <f t="shared" si="45"/>
        <v/>
      </c>
      <c r="I967" s="36" t="str">
        <f t="shared" ca="1" si="46"/>
        <v/>
      </c>
      <c r="J967" s="36" t="str">
        <f t="shared" si="47"/>
        <v/>
      </c>
    </row>
    <row r="968" spans="1:10" ht="15" customHeight="1" x14ac:dyDescent="0.25">
      <c r="A968" s="35" t="str">
        <f t="shared" si="45"/>
        <v/>
      </c>
      <c r="I968" s="36" t="str">
        <f t="shared" ca="1" si="46"/>
        <v/>
      </c>
      <c r="J968" s="36" t="str">
        <f t="shared" si="47"/>
        <v/>
      </c>
    </row>
    <row r="969" spans="1:10" ht="15" customHeight="1" x14ac:dyDescent="0.25">
      <c r="A969" s="35" t="str">
        <f t="shared" si="45"/>
        <v/>
      </c>
      <c r="I969" s="36" t="str">
        <f t="shared" ca="1" si="46"/>
        <v/>
      </c>
      <c r="J969" s="36" t="str">
        <f t="shared" si="47"/>
        <v/>
      </c>
    </row>
    <row r="970" spans="1:10" ht="15" customHeight="1" x14ac:dyDescent="0.25">
      <c r="A970" s="35" t="str">
        <f t="shared" si="45"/>
        <v/>
      </c>
      <c r="I970" s="36" t="str">
        <f t="shared" ca="1" si="46"/>
        <v/>
      </c>
      <c r="J970" s="36" t="str">
        <f t="shared" si="47"/>
        <v/>
      </c>
    </row>
    <row r="971" spans="1:10" ht="15" customHeight="1" x14ac:dyDescent="0.25">
      <c r="A971" s="35" t="str">
        <f t="shared" si="45"/>
        <v/>
      </c>
      <c r="I971" s="36" t="str">
        <f t="shared" ca="1" si="46"/>
        <v/>
      </c>
      <c r="J971" s="36" t="str">
        <f t="shared" si="47"/>
        <v/>
      </c>
    </row>
    <row r="972" spans="1:10" ht="15" customHeight="1" x14ac:dyDescent="0.25">
      <c r="A972" s="35" t="str">
        <f t="shared" si="45"/>
        <v/>
      </c>
      <c r="I972" s="36" t="str">
        <f t="shared" ca="1" si="46"/>
        <v/>
      </c>
      <c r="J972" s="36" t="str">
        <f t="shared" si="47"/>
        <v/>
      </c>
    </row>
    <row r="973" spans="1:10" ht="15" customHeight="1" x14ac:dyDescent="0.25">
      <c r="A973" s="35" t="str">
        <f t="shared" si="45"/>
        <v/>
      </c>
      <c r="I973" s="36" t="str">
        <f t="shared" ca="1" si="46"/>
        <v/>
      </c>
      <c r="J973" s="36" t="str">
        <f t="shared" si="47"/>
        <v/>
      </c>
    </row>
    <row r="974" spans="1:10" ht="15" customHeight="1" x14ac:dyDescent="0.25">
      <c r="A974" s="35" t="str">
        <f t="shared" si="45"/>
        <v/>
      </c>
      <c r="I974" s="36" t="str">
        <f t="shared" ca="1" si="46"/>
        <v/>
      </c>
      <c r="J974" s="36" t="str">
        <f t="shared" si="47"/>
        <v/>
      </c>
    </row>
    <row r="975" spans="1:10" ht="15" customHeight="1" x14ac:dyDescent="0.25">
      <c r="A975" s="35" t="str">
        <f t="shared" si="45"/>
        <v/>
      </c>
      <c r="I975" s="36" t="str">
        <f t="shared" ca="1" si="46"/>
        <v/>
      </c>
      <c r="J975" s="36" t="str">
        <f t="shared" si="47"/>
        <v/>
      </c>
    </row>
    <row r="976" spans="1:10" ht="15" customHeight="1" x14ac:dyDescent="0.25">
      <c r="A976" s="35" t="str">
        <f t="shared" si="45"/>
        <v/>
      </c>
      <c r="I976" s="36" t="str">
        <f t="shared" ca="1" si="46"/>
        <v/>
      </c>
      <c r="J976" s="36" t="str">
        <f t="shared" si="47"/>
        <v/>
      </c>
    </row>
    <row r="977" spans="1:10" ht="15" customHeight="1" x14ac:dyDescent="0.25">
      <c r="A977" s="35" t="str">
        <f t="shared" si="45"/>
        <v/>
      </c>
      <c r="I977" s="36" t="str">
        <f t="shared" ca="1" si="46"/>
        <v/>
      </c>
      <c r="J977" s="36" t="str">
        <f t="shared" si="47"/>
        <v/>
      </c>
    </row>
    <row r="978" spans="1:10" ht="15" customHeight="1" x14ac:dyDescent="0.25">
      <c r="A978" s="35" t="str">
        <f t="shared" si="45"/>
        <v/>
      </c>
      <c r="I978" s="36" t="str">
        <f t="shared" ca="1" si="46"/>
        <v/>
      </c>
      <c r="J978" s="36" t="str">
        <f t="shared" si="47"/>
        <v/>
      </c>
    </row>
    <row r="979" spans="1:10" ht="15" customHeight="1" x14ac:dyDescent="0.25">
      <c r="A979" s="35" t="str">
        <f t="shared" si="45"/>
        <v/>
      </c>
      <c r="I979" s="36" t="str">
        <f t="shared" ca="1" si="46"/>
        <v/>
      </c>
      <c r="J979" s="36" t="str">
        <f t="shared" si="47"/>
        <v/>
      </c>
    </row>
    <row r="980" spans="1:10" ht="15" customHeight="1" x14ac:dyDescent="0.25">
      <c r="A980" s="35" t="str">
        <f t="shared" si="45"/>
        <v/>
      </c>
      <c r="I980" s="36" t="str">
        <f t="shared" ca="1" si="46"/>
        <v/>
      </c>
      <c r="J980" s="36" t="str">
        <f t="shared" si="47"/>
        <v/>
      </c>
    </row>
    <row r="981" spans="1:10" ht="15" customHeight="1" x14ac:dyDescent="0.25">
      <c r="A981" s="35" t="str">
        <f t="shared" si="45"/>
        <v/>
      </c>
      <c r="I981" s="36" t="str">
        <f t="shared" ca="1" si="46"/>
        <v/>
      </c>
      <c r="J981" s="36" t="str">
        <f t="shared" si="47"/>
        <v/>
      </c>
    </row>
    <row r="982" spans="1:10" ht="15" customHeight="1" x14ac:dyDescent="0.25">
      <c r="A982" s="35" t="str">
        <f t="shared" si="45"/>
        <v/>
      </c>
      <c r="I982" s="36" t="str">
        <f t="shared" ca="1" si="46"/>
        <v/>
      </c>
      <c r="J982" s="36" t="str">
        <f t="shared" si="47"/>
        <v/>
      </c>
    </row>
    <row r="983" spans="1:10" ht="15" customHeight="1" x14ac:dyDescent="0.25">
      <c r="A983" s="35" t="str">
        <f t="shared" si="45"/>
        <v/>
      </c>
      <c r="I983" s="36" t="str">
        <f t="shared" ca="1" si="46"/>
        <v/>
      </c>
      <c r="J983" s="36" t="str">
        <f t="shared" si="47"/>
        <v/>
      </c>
    </row>
    <row r="984" spans="1:10" ht="15" customHeight="1" x14ac:dyDescent="0.25">
      <c r="A984" s="35" t="str">
        <f t="shared" si="45"/>
        <v/>
      </c>
      <c r="I984" s="36" t="str">
        <f t="shared" ca="1" si="46"/>
        <v/>
      </c>
      <c r="J984" s="36" t="str">
        <f t="shared" si="47"/>
        <v/>
      </c>
    </row>
    <row r="985" spans="1:10" ht="15" customHeight="1" x14ac:dyDescent="0.25">
      <c r="A985" s="35" t="str">
        <f t="shared" si="45"/>
        <v/>
      </c>
      <c r="I985" s="36" t="str">
        <f t="shared" ca="1" si="46"/>
        <v/>
      </c>
      <c r="J985" s="36" t="str">
        <f t="shared" si="47"/>
        <v/>
      </c>
    </row>
    <row r="986" spans="1:10" ht="15" customHeight="1" x14ac:dyDescent="0.25">
      <c r="A986" s="35" t="str">
        <f t="shared" si="45"/>
        <v/>
      </c>
      <c r="I986" s="36" t="str">
        <f t="shared" ca="1" si="46"/>
        <v/>
      </c>
      <c r="J986" s="36" t="str">
        <f t="shared" si="47"/>
        <v/>
      </c>
    </row>
    <row r="987" spans="1:10" ht="15" customHeight="1" x14ac:dyDescent="0.25">
      <c r="A987" s="35" t="str">
        <f t="shared" si="45"/>
        <v/>
      </c>
      <c r="I987" s="36" t="str">
        <f t="shared" ca="1" si="46"/>
        <v/>
      </c>
      <c r="J987" s="36" t="str">
        <f t="shared" si="47"/>
        <v/>
      </c>
    </row>
    <row r="988" spans="1:10" ht="15" customHeight="1" x14ac:dyDescent="0.25">
      <c r="A988" s="35" t="str">
        <f t="shared" si="45"/>
        <v/>
      </c>
      <c r="I988" s="36" t="str">
        <f t="shared" ca="1" si="46"/>
        <v/>
      </c>
      <c r="J988" s="36" t="str">
        <f t="shared" si="47"/>
        <v/>
      </c>
    </row>
    <row r="989" spans="1:10" ht="15" customHeight="1" x14ac:dyDescent="0.25">
      <c r="A989" s="35" t="str">
        <f t="shared" si="45"/>
        <v/>
      </c>
      <c r="I989" s="36" t="str">
        <f t="shared" ca="1" si="46"/>
        <v/>
      </c>
      <c r="J989" s="36" t="str">
        <f t="shared" si="47"/>
        <v/>
      </c>
    </row>
    <row r="990" spans="1:10" ht="15" customHeight="1" x14ac:dyDescent="0.25">
      <c r="A990" s="35" t="str">
        <f t="shared" si="45"/>
        <v/>
      </c>
      <c r="I990" s="36" t="str">
        <f t="shared" ca="1" si="46"/>
        <v/>
      </c>
      <c r="J990" s="36" t="str">
        <f t="shared" si="47"/>
        <v/>
      </c>
    </row>
    <row r="991" spans="1:10" ht="15" customHeight="1" x14ac:dyDescent="0.25">
      <c r="A991" s="35" t="str">
        <f t="shared" si="45"/>
        <v/>
      </c>
      <c r="I991" s="36" t="str">
        <f t="shared" ca="1" si="46"/>
        <v/>
      </c>
      <c r="J991" s="36" t="str">
        <f t="shared" si="47"/>
        <v/>
      </c>
    </row>
    <row r="992" spans="1:10" ht="15" customHeight="1" x14ac:dyDescent="0.25">
      <c r="A992" s="35" t="str">
        <f t="shared" si="45"/>
        <v/>
      </c>
      <c r="I992" s="36" t="str">
        <f t="shared" ca="1" si="46"/>
        <v/>
      </c>
      <c r="J992" s="36" t="str">
        <f t="shared" si="47"/>
        <v/>
      </c>
    </row>
    <row r="993" spans="1:10" ht="15" customHeight="1" x14ac:dyDescent="0.25">
      <c r="A993" s="35" t="str">
        <f t="shared" si="45"/>
        <v/>
      </c>
      <c r="I993" s="36" t="str">
        <f t="shared" ca="1" si="46"/>
        <v/>
      </c>
      <c r="J993" s="36" t="str">
        <f t="shared" si="47"/>
        <v/>
      </c>
    </row>
    <row r="994" spans="1:10" ht="15" customHeight="1" x14ac:dyDescent="0.25">
      <c r="A994" s="35" t="str">
        <f t="shared" si="45"/>
        <v/>
      </c>
      <c r="I994" s="36" t="str">
        <f t="shared" ca="1" si="46"/>
        <v/>
      </c>
      <c r="J994" s="36" t="str">
        <f t="shared" si="47"/>
        <v/>
      </c>
    </row>
    <row r="995" spans="1:10" ht="15" customHeight="1" x14ac:dyDescent="0.25">
      <c r="A995" s="35" t="str">
        <f t="shared" si="45"/>
        <v/>
      </c>
      <c r="I995" s="36" t="str">
        <f t="shared" ca="1" si="46"/>
        <v/>
      </c>
      <c r="J995" s="36" t="str">
        <f t="shared" si="47"/>
        <v/>
      </c>
    </row>
    <row r="996" spans="1:10" ht="15" customHeight="1" x14ac:dyDescent="0.25">
      <c r="A996" s="35" t="str">
        <f t="shared" si="45"/>
        <v/>
      </c>
      <c r="I996" s="36" t="str">
        <f t="shared" ca="1" si="46"/>
        <v/>
      </c>
      <c r="J996" s="36" t="str">
        <f t="shared" si="47"/>
        <v/>
      </c>
    </row>
    <row r="997" spans="1:10" ht="15" customHeight="1" x14ac:dyDescent="0.25">
      <c r="A997" s="35" t="str">
        <f t="shared" si="45"/>
        <v/>
      </c>
      <c r="I997" s="36" t="str">
        <f t="shared" ca="1" si="46"/>
        <v/>
      </c>
      <c r="J997" s="36" t="str">
        <f t="shared" si="47"/>
        <v/>
      </c>
    </row>
    <row r="998" spans="1:10" ht="15" customHeight="1" x14ac:dyDescent="0.25">
      <c r="A998" s="35" t="str">
        <f t="shared" si="45"/>
        <v/>
      </c>
      <c r="I998" s="36" t="str">
        <f t="shared" ca="1" si="46"/>
        <v/>
      </c>
      <c r="J998" s="36" t="str">
        <f t="shared" si="47"/>
        <v/>
      </c>
    </row>
    <row r="999" spans="1:10" ht="15" customHeight="1" x14ac:dyDescent="0.25">
      <c r="A999" s="35" t="str">
        <f t="shared" si="45"/>
        <v/>
      </c>
      <c r="I999" s="36" t="str">
        <f t="shared" ca="1" si="46"/>
        <v/>
      </c>
      <c r="J999" s="36" t="str">
        <f t="shared" si="47"/>
        <v/>
      </c>
    </row>
    <row r="1000" spans="1:10" ht="15" customHeight="1" x14ac:dyDescent="0.25">
      <c r="A1000" s="35" t="str">
        <f t="shared" si="45"/>
        <v/>
      </c>
      <c r="I1000" s="36" t="str">
        <f t="shared" ca="1" si="46"/>
        <v/>
      </c>
      <c r="J1000" s="36" t="str">
        <f t="shared" si="47"/>
        <v/>
      </c>
    </row>
    <row r="1001" spans="1:10" ht="15" customHeight="1" x14ac:dyDescent="0.25">
      <c r="A1001" s="35" t="str">
        <f t="shared" si="45"/>
        <v/>
      </c>
      <c r="I1001" s="36" t="str">
        <f t="shared" ca="1" si="46"/>
        <v/>
      </c>
      <c r="J1001" s="36" t="str">
        <f t="shared" si="47"/>
        <v/>
      </c>
    </row>
    <row r="1002" spans="1:10" ht="15" customHeight="1" x14ac:dyDescent="0.25">
      <c r="A1002" s="35" t="str">
        <f t="shared" si="45"/>
        <v/>
      </c>
      <c r="I1002" s="36" t="str">
        <f t="shared" ca="1" si="46"/>
        <v/>
      </c>
      <c r="J1002" s="36" t="str">
        <f t="shared" si="47"/>
        <v/>
      </c>
    </row>
    <row r="1003" spans="1:10" ht="15" customHeight="1" x14ac:dyDescent="0.25">
      <c r="A1003" s="35" t="str">
        <f t="shared" si="45"/>
        <v/>
      </c>
      <c r="I1003" s="36" t="str">
        <f t="shared" ca="1" si="46"/>
        <v/>
      </c>
      <c r="J1003" s="36" t="str">
        <f t="shared" si="47"/>
        <v/>
      </c>
    </row>
    <row r="1004" spans="1:10" ht="15" customHeight="1" x14ac:dyDescent="0.25">
      <c r="A1004" s="35" t="str">
        <f t="shared" si="45"/>
        <v/>
      </c>
      <c r="I1004" s="36" t="str">
        <f t="shared" ca="1" si="46"/>
        <v/>
      </c>
      <c r="J1004" s="36" t="str">
        <f t="shared" si="47"/>
        <v/>
      </c>
    </row>
    <row r="1005" spans="1:10" ht="15" customHeight="1" x14ac:dyDescent="0.25">
      <c r="A1005" s="35" t="str">
        <f t="shared" si="45"/>
        <v/>
      </c>
      <c r="I1005" s="36" t="str">
        <f t="shared" ca="1" si="46"/>
        <v/>
      </c>
      <c r="J1005" s="36" t="str">
        <f t="shared" si="47"/>
        <v/>
      </c>
    </row>
    <row r="1006" spans="1:10" ht="15" customHeight="1" x14ac:dyDescent="0.25">
      <c r="A1006" s="35" t="str">
        <f t="shared" si="45"/>
        <v/>
      </c>
      <c r="I1006" s="36" t="str">
        <f t="shared" ca="1" si="46"/>
        <v/>
      </c>
      <c r="J1006" s="36" t="str">
        <f t="shared" si="47"/>
        <v/>
      </c>
    </row>
    <row r="1007" spans="1:10" ht="15" customHeight="1" x14ac:dyDescent="0.25">
      <c r="A1007" s="35" t="str">
        <f t="shared" si="45"/>
        <v/>
      </c>
      <c r="I1007" s="36" t="str">
        <f t="shared" ca="1" si="46"/>
        <v/>
      </c>
      <c r="J1007" s="36" t="str">
        <f t="shared" si="47"/>
        <v/>
      </c>
    </row>
    <row r="1008" spans="1:10" ht="15" customHeight="1" x14ac:dyDescent="0.25">
      <c r="A1008" s="35" t="str">
        <f t="shared" si="45"/>
        <v/>
      </c>
      <c r="I1008" s="36" t="str">
        <f t="shared" ca="1" si="46"/>
        <v/>
      </c>
      <c r="J1008" s="36" t="str">
        <f t="shared" si="47"/>
        <v/>
      </c>
    </row>
    <row r="1009" spans="1:10" ht="15" customHeight="1" x14ac:dyDescent="0.25">
      <c r="A1009" s="35" t="str">
        <f t="shared" si="45"/>
        <v/>
      </c>
      <c r="I1009" s="36" t="str">
        <f t="shared" ca="1" si="46"/>
        <v/>
      </c>
      <c r="J1009" s="36" t="str">
        <f t="shared" si="47"/>
        <v/>
      </c>
    </row>
    <row r="1010" spans="1:10" ht="15" customHeight="1" x14ac:dyDescent="0.25">
      <c r="A1010" s="35" t="str">
        <f t="shared" si="45"/>
        <v/>
      </c>
      <c r="I1010" s="36" t="str">
        <f t="shared" ca="1" si="46"/>
        <v/>
      </c>
      <c r="J1010" s="36" t="str">
        <f t="shared" si="47"/>
        <v/>
      </c>
    </row>
    <row r="1011" spans="1:10" ht="15" customHeight="1" x14ac:dyDescent="0.25">
      <c r="A1011" s="35" t="str">
        <f t="shared" si="45"/>
        <v/>
      </c>
      <c r="I1011" s="36" t="str">
        <f t="shared" ca="1" si="46"/>
        <v/>
      </c>
      <c r="J1011" s="36" t="str">
        <f t="shared" si="47"/>
        <v/>
      </c>
    </row>
    <row r="1012" spans="1:10" ht="15" customHeight="1" x14ac:dyDescent="0.25">
      <c r="A1012" s="35" t="str">
        <f t="shared" si="45"/>
        <v/>
      </c>
      <c r="I1012" s="36" t="str">
        <f t="shared" ca="1" si="46"/>
        <v/>
      </c>
      <c r="J1012" s="36" t="str">
        <f t="shared" si="47"/>
        <v/>
      </c>
    </row>
    <row r="1013" spans="1:10" ht="15" customHeight="1" x14ac:dyDescent="0.25">
      <c r="A1013" s="35" t="str">
        <f t="shared" si="45"/>
        <v/>
      </c>
      <c r="I1013" s="36" t="str">
        <f t="shared" ca="1" si="46"/>
        <v/>
      </c>
      <c r="J1013" s="36" t="str">
        <f t="shared" si="47"/>
        <v/>
      </c>
    </row>
    <row r="1014" spans="1:10" ht="15" customHeight="1" x14ac:dyDescent="0.25">
      <c r="A1014" s="35" t="str">
        <f t="shared" si="45"/>
        <v/>
      </c>
      <c r="I1014" s="36" t="str">
        <f t="shared" ca="1" si="46"/>
        <v/>
      </c>
      <c r="J1014" s="36" t="str">
        <f t="shared" si="47"/>
        <v/>
      </c>
    </row>
    <row r="1015" spans="1:10" ht="15" customHeight="1" x14ac:dyDescent="0.25">
      <c r="A1015" s="35" t="str">
        <f t="shared" si="45"/>
        <v/>
      </c>
      <c r="I1015" s="36" t="str">
        <f t="shared" ca="1" si="46"/>
        <v/>
      </c>
      <c r="J1015" s="36" t="str">
        <f t="shared" si="47"/>
        <v/>
      </c>
    </row>
    <row r="1016" spans="1:10" ht="15" customHeight="1" x14ac:dyDescent="0.25">
      <c r="A1016" s="35" t="str">
        <f t="shared" si="45"/>
        <v/>
      </c>
      <c r="I1016" s="36" t="str">
        <f t="shared" ca="1" si="46"/>
        <v/>
      </c>
      <c r="J1016" s="36" t="str">
        <f t="shared" si="47"/>
        <v/>
      </c>
    </row>
    <row r="1017" spans="1:10" ht="15" customHeight="1" x14ac:dyDescent="0.25">
      <c r="A1017" s="35" t="str">
        <f t="shared" si="45"/>
        <v/>
      </c>
      <c r="I1017" s="36" t="str">
        <f t="shared" ca="1" si="46"/>
        <v/>
      </c>
      <c r="J1017" s="36" t="str">
        <f t="shared" si="47"/>
        <v/>
      </c>
    </row>
    <row r="1018" spans="1:10" ht="15" customHeight="1" x14ac:dyDescent="0.25">
      <c r="A1018" s="35" t="str">
        <f t="shared" si="45"/>
        <v/>
      </c>
      <c r="I1018" s="36" t="str">
        <f t="shared" ca="1" si="46"/>
        <v/>
      </c>
      <c r="J1018" s="36" t="str">
        <f t="shared" si="47"/>
        <v/>
      </c>
    </row>
    <row r="1019" spans="1:10" ht="15" customHeight="1" x14ac:dyDescent="0.25">
      <c r="A1019" s="35" t="str">
        <f t="shared" si="45"/>
        <v/>
      </c>
      <c r="I1019" s="36" t="str">
        <f t="shared" ca="1" si="46"/>
        <v/>
      </c>
      <c r="J1019" s="36" t="str">
        <f t="shared" si="47"/>
        <v/>
      </c>
    </row>
    <row r="1020" spans="1:10" ht="15" customHeight="1" x14ac:dyDescent="0.25">
      <c r="A1020" s="35" t="str">
        <f t="shared" si="45"/>
        <v/>
      </c>
      <c r="I1020" s="36" t="str">
        <f t="shared" ca="1" si="46"/>
        <v/>
      </c>
      <c r="J1020" s="36" t="str">
        <f t="shared" si="47"/>
        <v/>
      </c>
    </row>
    <row r="1021" spans="1:10" ht="15" customHeight="1" x14ac:dyDescent="0.25">
      <c r="A1021" s="35" t="str">
        <f t="shared" si="45"/>
        <v/>
      </c>
      <c r="I1021" s="36" t="str">
        <f t="shared" ca="1" si="46"/>
        <v/>
      </c>
      <c r="J1021" s="36" t="str">
        <f t="shared" si="47"/>
        <v/>
      </c>
    </row>
    <row r="1022" spans="1:10" ht="15" customHeight="1" x14ac:dyDescent="0.25">
      <c r="A1022" s="35" t="str">
        <f t="shared" si="45"/>
        <v/>
      </c>
      <c r="I1022" s="36" t="str">
        <f t="shared" ca="1" si="46"/>
        <v/>
      </c>
      <c r="J1022" s="36" t="str">
        <f t="shared" si="47"/>
        <v/>
      </c>
    </row>
    <row r="1023" spans="1:10" ht="15" customHeight="1" x14ac:dyDescent="0.25">
      <c r="A1023" s="35" t="str">
        <f t="shared" si="45"/>
        <v/>
      </c>
      <c r="I1023" s="36" t="str">
        <f t="shared" ca="1" si="46"/>
        <v/>
      </c>
      <c r="J1023" s="36" t="str">
        <f t="shared" si="47"/>
        <v/>
      </c>
    </row>
    <row r="1024" spans="1:10" ht="15" customHeight="1" x14ac:dyDescent="0.25">
      <c r="A1024" s="35" t="str">
        <f t="shared" si="45"/>
        <v/>
      </c>
      <c r="I1024" s="36" t="str">
        <f t="shared" ca="1" si="46"/>
        <v/>
      </c>
      <c r="J1024" s="36" t="str">
        <f t="shared" si="47"/>
        <v/>
      </c>
    </row>
    <row r="1025" spans="1:10" ht="15" customHeight="1" x14ac:dyDescent="0.25">
      <c r="A1025" s="35" t="str">
        <f t="shared" si="45"/>
        <v/>
      </c>
      <c r="I1025" s="36" t="str">
        <f t="shared" ca="1" si="46"/>
        <v/>
      </c>
      <c r="J1025" s="36" t="str">
        <f t="shared" si="47"/>
        <v/>
      </c>
    </row>
    <row r="1026" spans="1:10" ht="15" customHeight="1" x14ac:dyDescent="0.25">
      <c r="A1026" s="35" t="str">
        <f t="shared" si="45"/>
        <v/>
      </c>
      <c r="I1026" s="36" t="str">
        <f t="shared" ca="1" si="46"/>
        <v/>
      </c>
      <c r="J1026" s="36" t="str">
        <f t="shared" si="47"/>
        <v/>
      </c>
    </row>
    <row r="1027" spans="1:10" ht="15" customHeight="1" x14ac:dyDescent="0.25">
      <c r="A1027" s="35" t="str">
        <f t="shared" si="45"/>
        <v/>
      </c>
      <c r="I1027" s="36" t="str">
        <f t="shared" ca="1" si="46"/>
        <v/>
      </c>
      <c r="J1027" s="36" t="str">
        <f t="shared" si="47"/>
        <v/>
      </c>
    </row>
    <row r="1028" spans="1:10" ht="15" customHeight="1" x14ac:dyDescent="0.25">
      <c r="A1028" s="35" t="str">
        <f t="shared" si="45"/>
        <v/>
      </c>
      <c r="I1028" s="36" t="str">
        <f t="shared" ca="1" si="46"/>
        <v/>
      </c>
      <c r="J1028" s="36" t="str">
        <f t="shared" si="47"/>
        <v/>
      </c>
    </row>
    <row r="1029" spans="1:10" ht="15" customHeight="1" x14ac:dyDescent="0.25">
      <c r="A1029" s="35" t="str">
        <f t="shared" ref="A1029:A1092" si="48">IF(B1029="","","ACC"&amp;TEXT(ROW()-4,"0000"))</f>
        <v/>
      </c>
      <c r="I1029" s="36" t="str">
        <f t="shared" ref="I1029:I1092" ca="1" si="49">IF(B1029="","",TEXT(TODAY(),"dd/mm/yyyy"))</f>
        <v/>
      </c>
      <c r="J1029" s="36" t="str">
        <f t="shared" ref="J1029:J1092" si="50">IF(B1029="","",IF(ISNUMBER(H1029),IF(H1029&gt;=10,"✅ Active","⚠️ Below Min Balance"),"Pending"))</f>
        <v/>
      </c>
    </row>
    <row r="1030" spans="1:10" ht="15" customHeight="1" x14ac:dyDescent="0.25">
      <c r="A1030" s="35" t="str">
        <f t="shared" si="48"/>
        <v/>
      </c>
      <c r="I1030" s="36" t="str">
        <f t="shared" ca="1" si="49"/>
        <v/>
      </c>
      <c r="J1030" s="36" t="str">
        <f t="shared" si="50"/>
        <v/>
      </c>
    </row>
    <row r="1031" spans="1:10" ht="15" customHeight="1" x14ac:dyDescent="0.25">
      <c r="A1031" s="35" t="str">
        <f t="shared" si="48"/>
        <v/>
      </c>
      <c r="I1031" s="36" t="str">
        <f t="shared" ca="1" si="49"/>
        <v/>
      </c>
      <c r="J1031" s="36" t="str">
        <f t="shared" si="50"/>
        <v/>
      </c>
    </row>
    <row r="1032" spans="1:10" ht="15" customHeight="1" x14ac:dyDescent="0.25">
      <c r="A1032" s="35" t="str">
        <f t="shared" si="48"/>
        <v/>
      </c>
      <c r="I1032" s="36" t="str">
        <f t="shared" ca="1" si="49"/>
        <v/>
      </c>
      <c r="J1032" s="36" t="str">
        <f t="shared" si="50"/>
        <v/>
      </c>
    </row>
    <row r="1033" spans="1:10" ht="15" customHeight="1" x14ac:dyDescent="0.25">
      <c r="A1033" s="35" t="str">
        <f t="shared" si="48"/>
        <v/>
      </c>
      <c r="I1033" s="36" t="str">
        <f t="shared" ca="1" si="49"/>
        <v/>
      </c>
      <c r="J1033" s="36" t="str">
        <f t="shared" si="50"/>
        <v/>
      </c>
    </row>
    <row r="1034" spans="1:10" ht="15" customHeight="1" x14ac:dyDescent="0.25">
      <c r="A1034" s="35" t="str">
        <f t="shared" si="48"/>
        <v/>
      </c>
      <c r="I1034" s="36" t="str">
        <f t="shared" ca="1" si="49"/>
        <v/>
      </c>
      <c r="J1034" s="36" t="str">
        <f t="shared" si="50"/>
        <v/>
      </c>
    </row>
    <row r="1035" spans="1:10" ht="15" customHeight="1" x14ac:dyDescent="0.25">
      <c r="A1035" s="35" t="str">
        <f t="shared" si="48"/>
        <v/>
      </c>
      <c r="I1035" s="36" t="str">
        <f t="shared" ca="1" si="49"/>
        <v/>
      </c>
      <c r="J1035" s="36" t="str">
        <f t="shared" si="50"/>
        <v/>
      </c>
    </row>
    <row r="1036" spans="1:10" ht="15" customHeight="1" x14ac:dyDescent="0.25">
      <c r="A1036" s="35" t="str">
        <f t="shared" si="48"/>
        <v/>
      </c>
      <c r="I1036" s="36" t="str">
        <f t="shared" ca="1" si="49"/>
        <v/>
      </c>
      <c r="J1036" s="36" t="str">
        <f t="shared" si="50"/>
        <v/>
      </c>
    </row>
    <row r="1037" spans="1:10" ht="15" customHeight="1" x14ac:dyDescent="0.25">
      <c r="A1037" s="35" t="str">
        <f t="shared" si="48"/>
        <v/>
      </c>
      <c r="I1037" s="36" t="str">
        <f t="shared" ca="1" si="49"/>
        <v/>
      </c>
      <c r="J1037" s="36" t="str">
        <f t="shared" si="50"/>
        <v/>
      </c>
    </row>
    <row r="1038" spans="1:10" ht="15" customHeight="1" x14ac:dyDescent="0.25">
      <c r="A1038" s="35" t="str">
        <f t="shared" si="48"/>
        <v/>
      </c>
      <c r="I1038" s="36" t="str">
        <f t="shared" ca="1" si="49"/>
        <v/>
      </c>
      <c r="J1038" s="36" t="str">
        <f t="shared" si="50"/>
        <v/>
      </c>
    </row>
    <row r="1039" spans="1:10" ht="15" customHeight="1" x14ac:dyDescent="0.25">
      <c r="A1039" s="35" t="str">
        <f t="shared" si="48"/>
        <v/>
      </c>
      <c r="I1039" s="36" t="str">
        <f t="shared" ca="1" si="49"/>
        <v/>
      </c>
      <c r="J1039" s="36" t="str">
        <f t="shared" si="50"/>
        <v/>
      </c>
    </row>
    <row r="1040" spans="1:10" ht="15" customHeight="1" x14ac:dyDescent="0.25">
      <c r="A1040" s="35" t="str">
        <f t="shared" si="48"/>
        <v/>
      </c>
      <c r="I1040" s="36" t="str">
        <f t="shared" ca="1" si="49"/>
        <v/>
      </c>
      <c r="J1040" s="36" t="str">
        <f t="shared" si="50"/>
        <v/>
      </c>
    </row>
    <row r="1041" spans="1:10" ht="15" customHeight="1" x14ac:dyDescent="0.25">
      <c r="A1041" s="35" t="str">
        <f t="shared" si="48"/>
        <v/>
      </c>
      <c r="I1041" s="36" t="str">
        <f t="shared" ca="1" si="49"/>
        <v/>
      </c>
      <c r="J1041" s="36" t="str">
        <f t="shared" si="50"/>
        <v/>
      </c>
    </row>
    <row r="1042" spans="1:10" ht="15" customHeight="1" x14ac:dyDescent="0.25">
      <c r="A1042" s="35" t="str">
        <f t="shared" si="48"/>
        <v/>
      </c>
      <c r="I1042" s="36" t="str">
        <f t="shared" ca="1" si="49"/>
        <v/>
      </c>
      <c r="J1042" s="36" t="str">
        <f t="shared" si="50"/>
        <v/>
      </c>
    </row>
    <row r="1043" spans="1:10" ht="15" customHeight="1" x14ac:dyDescent="0.25">
      <c r="A1043" s="35" t="str">
        <f t="shared" si="48"/>
        <v/>
      </c>
      <c r="I1043" s="36" t="str">
        <f t="shared" ca="1" si="49"/>
        <v/>
      </c>
      <c r="J1043" s="36" t="str">
        <f t="shared" si="50"/>
        <v/>
      </c>
    </row>
    <row r="1044" spans="1:10" ht="15" customHeight="1" x14ac:dyDescent="0.25">
      <c r="A1044" s="35" t="str">
        <f t="shared" si="48"/>
        <v/>
      </c>
      <c r="I1044" s="36" t="str">
        <f t="shared" ca="1" si="49"/>
        <v/>
      </c>
      <c r="J1044" s="36" t="str">
        <f t="shared" si="50"/>
        <v/>
      </c>
    </row>
    <row r="1045" spans="1:10" ht="15" customHeight="1" x14ac:dyDescent="0.25">
      <c r="A1045" s="35" t="str">
        <f t="shared" si="48"/>
        <v/>
      </c>
      <c r="I1045" s="36" t="str">
        <f t="shared" ca="1" si="49"/>
        <v/>
      </c>
      <c r="J1045" s="36" t="str">
        <f t="shared" si="50"/>
        <v/>
      </c>
    </row>
    <row r="1046" spans="1:10" ht="15" customHeight="1" x14ac:dyDescent="0.25">
      <c r="A1046" s="35" t="str">
        <f t="shared" si="48"/>
        <v/>
      </c>
      <c r="I1046" s="36" t="str">
        <f t="shared" ca="1" si="49"/>
        <v/>
      </c>
      <c r="J1046" s="36" t="str">
        <f t="shared" si="50"/>
        <v/>
      </c>
    </row>
    <row r="1047" spans="1:10" ht="15" customHeight="1" x14ac:dyDescent="0.25">
      <c r="A1047" s="35" t="str">
        <f t="shared" si="48"/>
        <v/>
      </c>
      <c r="I1047" s="36" t="str">
        <f t="shared" ca="1" si="49"/>
        <v/>
      </c>
      <c r="J1047" s="36" t="str">
        <f t="shared" si="50"/>
        <v/>
      </c>
    </row>
    <row r="1048" spans="1:10" ht="15" customHeight="1" x14ac:dyDescent="0.25">
      <c r="A1048" s="35" t="str">
        <f t="shared" si="48"/>
        <v/>
      </c>
      <c r="I1048" s="36" t="str">
        <f t="shared" ca="1" si="49"/>
        <v/>
      </c>
      <c r="J1048" s="36" t="str">
        <f t="shared" si="50"/>
        <v/>
      </c>
    </row>
    <row r="1049" spans="1:10" ht="15" customHeight="1" x14ac:dyDescent="0.25">
      <c r="A1049" s="35" t="str">
        <f t="shared" si="48"/>
        <v/>
      </c>
      <c r="I1049" s="36" t="str">
        <f t="shared" ca="1" si="49"/>
        <v/>
      </c>
      <c r="J1049" s="36" t="str">
        <f t="shared" si="50"/>
        <v/>
      </c>
    </row>
    <row r="1050" spans="1:10" ht="15" customHeight="1" x14ac:dyDescent="0.25">
      <c r="A1050" s="35" t="str">
        <f t="shared" si="48"/>
        <v/>
      </c>
      <c r="I1050" s="36" t="str">
        <f t="shared" ca="1" si="49"/>
        <v/>
      </c>
      <c r="J1050" s="36" t="str">
        <f t="shared" si="50"/>
        <v/>
      </c>
    </row>
    <row r="1051" spans="1:10" ht="15" customHeight="1" x14ac:dyDescent="0.25">
      <c r="A1051" s="35" t="str">
        <f t="shared" si="48"/>
        <v/>
      </c>
      <c r="I1051" s="36" t="str">
        <f t="shared" ca="1" si="49"/>
        <v/>
      </c>
      <c r="J1051" s="36" t="str">
        <f t="shared" si="50"/>
        <v/>
      </c>
    </row>
    <row r="1052" spans="1:10" ht="15" customHeight="1" x14ac:dyDescent="0.25">
      <c r="A1052" s="35" t="str">
        <f t="shared" si="48"/>
        <v/>
      </c>
      <c r="I1052" s="36" t="str">
        <f t="shared" ca="1" si="49"/>
        <v/>
      </c>
      <c r="J1052" s="36" t="str">
        <f t="shared" si="50"/>
        <v/>
      </c>
    </row>
    <row r="1053" spans="1:10" ht="15" customHeight="1" x14ac:dyDescent="0.25">
      <c r="A1053" s="35" t="str">
        <f t="shared" si="48"/>
        <v/>
      </c>
      <c r="I1053" s="36" t="str">
        <f t="shared" ca="1" si="49"/>
        <v/>
      </c>
      <c r="J1053" s="36" t="str">
        <f t="shared" si="50"/>
        <v/>
      </c>
    </row>
    <row r="1054" spans="1:10" ht="15" customHeight="1" x14ac:dyDescent="0.25">
      <c r="A1054" s="35" t="str">
        <f t="shared" si="48"/>
        <v/>
      </c>
      <c r="I1054" s="36" t="str">
        <f t="shared" ca="1" si="49"/>
        <v/>
      </c>
      <c r="J1054" s="36" t="str">
        <f t="shared" si="50"/>
        <v/>
      </c>
    </row>
    <row r="1055" spans="1:10" ht="15" customHeight="1" x14ac:dyDescent="0.25">
      <c r="A1055" s="35" t="str">
        <f t="shared" si="48"/>
        <v/>
      </c>
      <c r="I1055" s="36" t="str">
        <f t="shared" ca="1" si="49"/>
        <v/>
      </c>
      <c r="J1055" s="36" t="str">
        <f t="shared" si="50"/>
        <v/>
      </c>
    </row>
    <row r="1056" spans="1:10" ht="15" customHeight="1" x14ac:dyDescent="0.25">
      <c r="A1056" s="35" t="str">
        <f t="shared" si="48"/>
        <v/>
      </c>
      <c r="I1056" s="36" t="str">
        <f t="shared" ca="1" si="49"/>
        <v/>
      </c>
      <c r="J1056" s="36" t="str">
        <f t="shared" si="50"/>
        <v/>
      </c>
    </row>
    <row r="1057" spans="1:10" ht="15" customHeight="1" x14ac:dyDescent="0.25">
      <c r="A1057" s="35" t="str">
        <f t="shared" si="48"/>
        <v/>
      </c>
      <c r="I1057" s="36" t="str">
        <f t="shared" ca="1" si="49"/>
        <v/>
      </c>
      <c r="J1057" s="36" t="str">
        <f t="shared" si="50"/>
        <v/>
      </c>
    </row>
    <row r="1058" spans="1:10" ht="15" customHeight="1" x14ac:dyDescent="0.25">
      <c r="A1058" s="35" t="str">
        <f t="shared" si="48"/>
        <v/>
      </c>
      <c r="I1058" s="36" t="str">
        <f t="shared" ca="1" si="49"/>
        <v/>
      </c>
      <c r="J1058" s="36" t="str">
        <f t="shared" si="50"/>
        <v/>
      </c>
    </row>
    <row r="1059" spans="1:10" ht="15" customHeight="1" x14ac:dyDescent="0.25">
      <c r="A1059" s="35" t="str">
        <f t="shared" si="48"/>
        <v/>
      </c>
      <c r="I1059" s="36" t="str">
        <f t="shared" ca="1" si="49"/>
        <v/>
      </c>
      <c r="J1059" s="36" t="str">
        <f t="shared" si="50"/>
        <v/>
      </c>
    </row>
    <row r="1060" spans="1:10" ht="15" customHeight="1" x14ac:dyDescent="0.25">
      <c r="A1060" s="35" t="str">
        <f t="shared" si="48"/>
        <v/>
      </c>
      <c r="I1060" s="36" t="str">
        <f t="shared" ca="1" si="49"/>
        <v/>
      </c>
      <c r="J1060" s="36" t="str">
        <f t="shared" si="50"/>
        <v/>
      </c>
    </row>
    <row r="1061" spans="1:10" ht="15" customHeight="1" x14ac:dyDescent="0.25">
      <c r="A1061" s="35" t="str">
        <f t="shared" si="48"/>
        <v/>
      </c>
      <c r="I1061" s="36" t="str">
        <f t="shared" ca="1" si="49"/>
        <v/>
      </c>
      <c r="J1061" s="36" t="str">
        <f t="shared" si="50"/>
        <v/>
      </c>
    </row>
    <row r="1062" spans="1:10" ht="15" customHeight="1" x14ac:dyDescent="0.25">
      <c r="A1062" s="35" t="str">
        <f t="shared" si="48"/>
        <v/>
      </c>
      <c r="I1062" s="36" t="str">
        <f t="shared" ca="1" si="49"/>
        <v/>
      </c>
      <c r="J1062" s="36" t="str">
        <f t="shared" si="50"/>
        <v/>
      </c>
    </row>
    <row r="1063" spans="1:10" ht="15" customHeight="1" x14ac:dyDescent="0.25">
      <c r="A1063" s="35" t="str">
        <f t="shared" si="48"/>
        <v/>
      </c>
      <c r="I1063" s="36" t="str">
        <f t="shared" ca="1" si="49"/>
        <v/>
      </c>
      <c r="J1063" s="36" t="str">
        <f t="shared" si="50"/>
        <v/>
      </c>
    </row>
    <row r="1064" spans="1:10" ht="15" customHeight="1" x14ac:dyDescent="0.25">
      <c r="A1064" s="35" t="str">
        <f t="shared" si="48"/>
        <v/>
      </c>
      <c r="I1064" s="36" t="str">
        <f t="shared" ca="1" si="49"/>
        <v/>
      </c>
      <c r="J1064" s="36" t="str">
        <f t="shared" si="50"/>
        <v/>
      </c>
    </row>
    <row r="1065" spans="1:10" ht="15" customHeight="1" x14ac:dyDescent="0.25">
      <c r="A1065" s="35" t="str">
        <f t="shared" si="48"/>
        <v/>
      </c>
      <c r="I1065" s="36" t="str">
        <f t="shared" ca="1" si="49"/>
        <v/>
      </c>
      <c r="J1065" s="36" t="str">
        <f t="shared" si="50"/>
        <v/>
      </c>
    </row>
    <row r="1066" spans="1:10" ht="15" customHeight="1" x14ac:dyDescent="0.25">
      <c r="A1066" s="35" t="str">
        <f t="shared" si="48"/>
        <v/>
      </c>
      <c r="I1066" s="36" t="str">
        <f t="shared" ca="1" si="49"/>
        <v/>
      </c>
      <c r="J1066" s="36" t="str">
        <f t="shared" si="50"/>
        <v/>
      </c>
    </row>
    <row r="1067" spans="1:10" ht="15" customHeight="1" x14ac:dyDescent="0.25">
      <c r="A1067" s="35" t="str">
        <f t="shared" si="48"/>
        <v/>
      </c>
      <c r="I1067" s="36" t="str">
        <f t="shared" ca="1" si="49"/>
        <v/>
      </c>
      <c r="J1067" s="36" t="str">
        <f t="shared" si="50"/>
        <v/>
      </c>
    </row>
    <row r="1068" spans="1:10" ht="15" customHeight="1" x14ac:dyDescent="0.25">
      <c r="A1068" s="35" t="str">
        <f t="shared" si="48"/>
        <v/>
      </c>
      <c r="I1068" s="36" t="str">
        <f t="shared" ca="1" si="49"/>
        <v/>
      </c>
      <c r="J1068" s="36" t="str">
        <f t="shared" si="50"/>
        <v/>
      </c>
    </row>
    <row r="1069" spans="1:10" ht="15" customHeight="1" x14ac:dyDescent="0.25">
      <c r="A1069" s="35" t="str">
        <f t="shared" si="48"/>
        <v/>
      </c>
      <c r="I1069" s="36" t="str">
        <f t="shared" ca="1" si="49"/>
        <v/>
      </c>
      <c r="J1069" s="36" t="str">
        <f t="shared" si="50"/>
        <v/>
      </c>
    </row>
    <row r="1070" spans="1:10" ht="15" customHeight="1" x14ac:dyDescent="0.25">
      <c r="A1070" s="35" t="str">
        <f t="shared" si="48"/>
        <v/>
      </c>
      <c r="I1070" s="36" t="str">
        <f t="shared" ca="1" si="49"/>
        <v/>
      </c>
      <c r="J1070" s="36" t="str">
        <f t="shared" si="50"/>
        <v/>
      </c>
    </row>
    <row r="1071" spans="1:10" ht="15" customHeight="1" x14ac:dyDescent="0.25">
      <c r="A1071" s="35" t="str">
        <f t="shared" si="48"/>
        <v/>
      </c>
      <c r="I1071" s="36" t="str">
        <f t="shared" ca="1" si="49"/>
        <v/>
      </c>
      <c r="J1071" s="36" t="str">
        <f t="shared" si="50"/>
        <v/>
      </c>
    </row>
    <row r="1072" spans="1:10" ht="15" customHeight="1" x14ac:dyDescent="0.25">
      <c r="A1072" s="35" t="str">
        <f t="shared" si="48"/>
        <v/>
      </c>
      <c r="I1072" s="36" t="str">
        <f t="shared" ca="1" si="49"/>
        <v/>
      </c>
      <c r="J1072" s="36" t="str">
        <f t="shared" si="50"/>
        <v/>
      </c>
    </row>
    <row r="1073" spans="1:10" ht="15" customHeight="1" x14ac:dyDescent="0.25">
      <c r="A1073" s="35" t="str">
        <f t="shared" si="48"/>
        <v/>
      </c>
      <c r="I1073" s="36" t="str">
        <f t="shared" ca="1" si="49"/>
        <v/>
      </c>
      <c r="J1073" s="36" t="str">
        <f t="shared" si="50"/>
        <v/>
      </c>
    </row>
    <row r="1074" spans="1:10" ht="15" customHeight="1" x14ac:dyDescent="0.25">
      <c r="A1074" s="35" t="str">
        <f t="shared" si="48"/>
        <v/>
      </c>
      <c r="I1074" s="36" t="str">
        <f t="shared" ca="1" si="49"/>
        <v/>
      </c>
      <c r="J1074" s="36" t="str">
        <f t="shared" si="50"/>
        <v/>
      </c>
    </row>
    <row r="1075" spans="1:10" ht="15" customHeight="1" x14ac:dyDescent="0.25">
      <c r="A1075" s="35" t="str">
        <f t="shared" si="48"/>
        <v/>
      </c>
      <c r="I1075" s="36" t="str">
        <f t="shared" ca="1" si="49"/>
        <v/>
      </c>
      <c r="J1075" s="36" t="str">
        <f t="shared" si="50"/>
        <v/>
      </c>
    </row>
    <row r="1076" spans="1:10" ht="15" customHeight="1" x14ac:dyDescent="0.25">
      <c r="A1076" s="35" t="str">
        <f t="shared" si="48"/>
        <v/>
      </c>
      <c r="I1076" s="36" t="str">
        <f t="shared" ca="1" si="49"/>
        <v/>
      </c>
      <c r="J1076" s="36" t="str">
        <f t="shared" si="50"/>
        <v/>
      </c>
    </row>
    <row r="1077" spans="1:10" ht="15" customHeight="1" x14ac:dyDescent="0.25">
      <c r="A1077" s="35" t="str">
        <f t="shared" si="48"/>
        <v/>
      </c>
      <c r="I1077" s="36" t="str">
        <f t="shared" ca="1" si="49"/>
        <v/>
      </c>
      <c r="J1077" s="36" t="str">
        <f t="shared" si="50"/>
        <v/>
      </c>
    </row>
    <row r="1078" spans="1:10" ht="15" customHeight="1" x14ac:dyDescent="0.25">
      <c r="A1078" s="35" t="str">
        <f t="shared" si="48"/>
        <v/>
      </c>
      <c r="I1078" s="36" t="str">
        <f t="shared" ca="1" si="49"/>
        <v/>
      </c>
      <c r="J1078" s="36" t="str">
        <f t="shared" si="50"/>
        <v/>
      </c>
    </row>
    <row r="1079" spans="1:10" ht="15" customHeight="1" x14ac:dyDescent="0.25">
      <c r="A1079" s="35" t="str">
        <f t="shared" si="48"/>
        <v/>
      </c>
      <c r="I1079" s="36" t="str">
        <f t="shared" ca="1" si="49"/>
        <v/>
      </c>
      <c r="J1079" s="36" t="str">
        <f t="shared" si="50"/>
        <v/>
      </c>
    </row>
    <row r="1080" spans="1:10" ht="15" customHeight="1" x14ac:dyDescent="0.25">
      <c r="A1080" s="35" t="str">
        <f t="shared" si="48"/>
        <v/>
      </c>
      <c r="I1080" s="36" t="str">
        <f t="shared" ca="1" si="49"/>
        <v/>
      </c>
      <c r="J1080" s="36" t="str">
        <f t="shared" si="50"/>
        <v/>
      </c>
    </row>
    <row r="1081" spans="1:10" ht="15" customHeight="1" x14ac:dyDescent="0.25">
      <c r="A1081" s="35" t="str">
        <f t="shared" si="48"/>
        <v/>
      </c>
      <c r="I1081" s="36" t="str">
        <f t="shared" ca="1" si="49"/>
        <v/>
      </c>
      <c r="J1081" s="36" t="str">
        <f t="shared" si="50"/>
        <v/>
      </c>
    </row>
    <row r="1082" spans="1:10" ht="15" customHeight="1" x14ac:dyDescent="0.25">
      <c r="A1082" s="35" t="str">
        <f t="shared" si="48"/>
        <v/>
      </c>
      <c r="I1082" s="36" t="str">
        <f t="shared" ca="1" si="49"/>
        <v/>
      </c>
      <c r="J1082" s="36" t="str">
        <f t="shared" si="50"/>
        <v/>
      </c>
    </row>
    <row r="1083" spans="1:10" ht="15" customHeight="1" x14ac:dyDescent="0.25">
      <c r="A1083" s="35" t="str">
        <f t="shared" si="48"/>
        <v/>
      </c>
      <c r="I1083" s="36" t="str">
        <f t="shared" ca="1" si="49"/>
        <v/>
      </c>
      <c r="J1083" s="36" t="str">
        <f t="shared" si="50"/>
        <v/>
      </c>
    </row>
    <row r="1084" spans="1:10" ht="15" customHeight="1" x14ac:dyDescent="0.25">
      <c r="A1084" s="35" t="str">
        <f t="shared" si="48"/>
        <v/>
      </c>
      <c r="I1084" s="36" t="str">
        <f t="shared" ca="1" si="49"/>
        <v/>
      </c>
      <c r="J1084" s="36" t="str">
        <f t="shared" si="50"/>
        <v/>
      </c>
    </row>
    <row r="1085" spans="1:10" ht="15" customHeight="1" x14ac:dyDescent="0.25">
      <c r="A1085" s="35" t="str">
        <f t="shared" si="48"/>
        <v/>
      </c>
      <c r="I1085" s="36" t="str">
        <f t="shared" ca="1" si="49"/>
        <v/>
      </c>
      <c r="J1085" s="36" t="str">
        <f t="shared" si="50"/>
        <v/>
      </c>
    </row>
    <row r="1086" spans="1:10" ht="15" customHeight="1" x14ac:dyDescent="0.25">
      <c r="A1086" s="35" t="str">
        <f t="shared" si="48"/>
        <v/>
      </c>
      <c r="I1086" s="36" t="str">
        <f t="shared" ca="1" si="49"/>
        <v/>
      </c>
      <c r="J1086" s="36" t="str">
        <f t="shared" si="50"/>
        <v/>
      </c>
    </row>
    <row r="1087" spans="1:10" ht="15" customHeight="1" x14ac:dyDescent="0.25">
      <c r="A1087" s="35" t="str">
        <f t="shared" si="48"/>
        <v/>
      </c>
      <c r="I1087" s="36" t="str">
        <f t="shared" ca="1" si="49"/>
        <v/>
      </c>
      <c r="J1087" s="36" t="str">
        <f t="shared" si="50"/>
        <v/>
      </c>
    </row>
    <row r="1088" spans="1:10" ht="15" customHeight="1" x14ac:dyDescent="0.25">
      <c r="A1088" s="35" t="str">
        <f t="shared" si="48"/>
        <v/>
      </c>
      <c r="I1088" s="36" t="str">
        <f t="shared" ca="1" si="49"/>
        <v/>
      </c>
      <c r="J1088" s="36" t="str">
        <f t="shared" si="50"/>
        <v/>
      </c>
    </row>
    <row r="1089" spans="1:10" ht="15" customHeight="1" x14ac:dyDescent="0.25">
      <c r="A1089" s="35" t="str">
        <f t="shared" si="48"/>
        <v/>
      </c>
      <c r="I1089" s="36" t="str">
        <f t="shared" ca="1" si="49"/>
        <v/>
      </c>
      <c r="J1089" s="36" t="str">
        <f t="shared" si="50"/>
        <v/>
      </c>
    </row>
    <row r="1090" spans="1:10" ht="15" customHeight="1" x14ac:dyDescent="0.25">
      <c r="A1090" s="35" t="str">
        <f t="shared" si="48"/>
        <v/>
      </c>
      <c r="I1090" s="36" t="str">
        <f t="shared" ca="1" si="49"/>
        <v/>
      </c>
      <c r="J1090" s="36" t="str">
        <f t="shared" si="50"/>
        <v/>
      </c>
    </row>
    <row r="1091" spans="1:10" ht="15" customHeight="1" x14ac:dyDescent="0.25">
      <c r="A1091" s="35" t="str">
        <f t="shared" si="48"/>
        <v/>
      </c>
      <c r="I1091" s="36" t="str">
        <f t="shared" ca="1" si="49"/>
        <v/>
      </c>
      <c r="J1091" s="36" t="str">
        <f t="shared" si="50"/>
        <v/>
      </c>
    </row>
    <row r="1092" spans="1:10" ht="15" customHeight="1" x14ac:dyDescent="0.25">
      <c r="A1092" s="35" t="str">
        <f t="shared" si="48"/>
        <v/>
      </c>
      <c r="I1092" s="36" t="str">
        <f t="shared" ca="1" si="49"/>
        <v/>
      </c>
      <c r="J1092" s="36" t="str">
        <f t="shared" si="50"/>
        <v/>
      </c>
    </row>
    <row r="1093" spans="1:10" ht="15" customHeight="1" x14ac:dyDescent="0.25">
      <c r="A1093" s="35" t="str">
        <f t="shared" ref="A1093:A1156" si="51">IF(B1093="","","ACC"&amp;TEXT(ROW()-4,"0000"))</f>
        <v/>
      </c>
      <c r="I1093" s="36" t="str">
        <f t="shared" ref="I1093:I1156" ca="1" si="52">IF(B1093="","",TEXT(TODAY(),"dd/mm/yyyy"))</f>
        <v/>
      </c>
      <c r="J1093" s="36" t="str">
        <f t="shared" ref="J1093:J1156" si="53">IF(B1093="","",IF(ISNUMBER(H1093),IF(H1093&gt;=10,"✅ Active","⚠️ Below Min Balance"),"Pending"))</f>
        <v/>
      </c>
    </row>
    <row r="1094" spans="1:10" ht="15" customHeight="1" x14ac:dyDescent="0.25">
      <c r="A1094" s="35" t="str">
        <f t="shared" si="51"/>
        <v/>
      </c>
      <c r="I1094" s="36" t="str">
        <f t="shared" ca="1" si="52"/>
        <v/>
      </c>
      <c r="J1094" s="36" t="str">
        <f t="shared" si="53"/>
        <v/>
      </c>
    </row>
    <row r="1095" spans="1:10" ht="15" customHeight="1" x14ac:dyDescent="0.25">
      <c r="A1095" s="35" t="str">
        <f t="shared" si="51"/>
        <v/>
      </c>
      <c r="I1095" s="36" t="str">
        <f t="shared" ca="1" si="52"/>
        <v/>
      </c>
      <c r="J1095" s="36" t="str">
        <f t="shared" si="53"/>
        <v/>
      </c>
    </row>
    <row r="1096" spans="1:10" ht="15" customHeight="1" x14ac:dyDescent="0.25">
      <c r="A1096" s="35" t="str">
        <f t="shared" si="51"/>
        <v/>
      </c>
      <c r="I1096" s="36" t="str">
        <f t="shared" ca="1" si="52"/>
        <v/>
      </c>
      <c r="J1096" s="36" t="str">
        <f t="shared" si="53"/>
        <v/>
      </c>
    </row>
    <row r="1097" spans="1:10" ht="15" customHeight="1" x14ac:dyDescent="0.25">
      <c r="A1097" s="35" t="str">
        <f t="shared" si="51"/>
        <v/>
      </c>
      <c r="I1097" s="36" t="str">
        <f t="shared" ca="1" si="52"/>
        <v/>
      </c>
      <c r="J1097" s="36" t="str">
        <f t="shared" si="53"/>
        <v/>
      </c>
    </row>
    <row r="1098" spans="1:10" ht="15" customHeight="1" x14ac:dyDescent="0.25">
      <c r="A1098" s="35" t="str">
        <f t="shared" si="51"/>
        <v/>
      </c>
      <c r="I1098" s="36" t="str">
        <f t="shared" ca="1" si="52"/>
        <v/>
      </c>
      <c r="J1098" s="36" t="str">
        <f t="shared" si="53"/>
        <v/>
      </c>
    </row>
    <row r="1099" spans="1:10" ht="15" customHeight="1" x14ac:dyDescent="0.25">
      <c r="A1099" s="35" t="str">
        <f t="shared" si="51"/>
        <v/>
      </c>
      <c r="I1099" s="36" t="str">
        <f t="shared" ca="1" si="52"/>
        <v/>
      </c>
      <c r="J1099" s="36" t="str">
        <f t="shared" si="53"/>
        <v/>
      </c>
    </row>
    <row r="1100" spans="1:10" ht="15" customHeight="1" x14ac:dyDescent="0.25">
      <c r="A1100" s="35" t="str">
        <f t="shared" si="51"/>
        <v/>
      </c>
      <c r="I1100" s="36" t="str">
        <f t="shared" ca="1" si="52"/>
        <v/>
      </c>
      <c r="J1100" s="36" t="str">
        <f t="shared" si="53"/>
        <v/>
      </c>
    </row>
    <row r="1101" spans="1:10" ht="15" customHeight="1" x14ac:dyDescent="0.25">
      <c r="A1101" s="35" t="str">
        <f t="shared" si="51"/>
        <v/>
      </c>
      <c r="I1101" s="36" t="str">
        <f t="shared" ca="1" si="52"/>
        <v/>
      </c>
      <c r="J1101" s="36" t="str">
        <f t="shared" si="53"/>
        <v/>
      </c>
    </row>
    <row r="1102" spans="1:10" ht="15" customHeight="1" x14ac:dyDescent="0.25">
      <c r="A1102" s="35" t="str">
        <f t="shared" si="51"/>
        <v/>
      </c>
      <c r="I1102" s="36" t="str">
        <f t="shared" ca="1" si="52"/>
        <v/>
      </c>
      <c r="J1102" s="36" t="str">
        <f t="shared" si="53"/>
        <v/>
      </c>
    </row>
    <row r="1103" spans="1:10" ht="15" customHeight="1" x14ac:dyDescent="0.25">
      <c r="A1103" s="35" t="str">
        <f t="shared" si="51"/>
        <v/>
      </c>
      <c r="I1103" s="36" t="str">
        <f t="shared" ca="1" si="52"/>
        <v/>
      </c>
      <c r="J1103" s="36" t="str">
        <f t="shared" si="53"/>
        <v/>
      </c>
    </row>
    <row r="1104" spans="1:10" ht="15" customHeight="1" x14ac:dyDescent="0.25">
      <c r="A1104" s="35" t="str">
        <f t="shared" si="51"/>
        <v/>
      </c>
      <c r="I1104" s="36" t="str">
        <f t="shared" ca="1" si="52"/>
        <v/>
      </c>
      <c r="J1104" s="36" t="str">
        <f t="shared" si="53"/>
        <v/>
      </c>
    </row>
    <row r="1105" spans="1:10" ht="15" customHeight="1" x14ac:dyDescent="0.25">
      <c r="A1105" s="35" t="str">
        <f t="shared" si="51"/>
        <v/>
      </c>
      <c r="I1105" s="36" t="str">
        <f t="shared" ca="1" si="52"/>
        <v/>
      </c>
      <c r="J1105" s="36" t="str">
        <f t="shared" si="53"/>
        <v/>
      </c>
    </row>
    <row r="1106" spans="1:10" ht="15" customHeight="1" x14ac:dyDescent="0.25">
      <c r="A1106" s="35" t="str">
        <f t="shared" si="51"/>
        <v/>
      </c>
      <c r="I1106" s="36" t="str">
        <f t="shared" ca="1" si="52"/>
        <v/>
      </c>
      <c r="J1106" s="36" t="str">
        <f t="shared" si="53"/>
        <v/>
      </c>
    </row>
    <row r="1107" spans="1:10" ht="15" customHeight="1" x14ac:dyDescent="0.25">
      <c r="A1107" s="35" t="str">
        <f t="shared" si="51"/>
        <v/>
      </c>
      <c r="I1107" s="36" t="str">
        <f t="shared" ca="1" si="52"/>
        <v/>
      </c>
      <c r="J1107" s="36" t="str">
        <f t="shared" si="53"/>
        <v/>
      </c>
    </row>
    <row r="1108" spans="1:10" ht="15" customHeight="1" x14ac:dyDescent="0.25">
      <c r="A1108" s="35" t="str">
        <f t="shared" si="51"/>
        <v/>
      </c>
      <c r="I1108" s="36" t="str">
        <f t="shared" ca="1" si="52"/>
        <v/>
      </c>
      <c r="J1108" s="36" t="str">
        <f t="shared" si="53"/>
        <v/>
      </c>
    </row>
    <row r="1109" spans="1:10" ht="15" customHeight="1" x14ac:dyDescent="0.25">
      <c r="A1109" s="35" t="str">
        <f t="shared" si="51"/>
        <v/>
      </c>
      <c r="I1109" s="36" t="str">
        <f t="shared" ca="1" si="52"/>
        <v/>
      </c>
      <c r="J1109" s="36" t="str">
        <f t="shared" si="53"/>
        <v/>
      </c>
    </row>
    <row r="1110" spans="1:10" ht="15" customHeight="1" x14ac:dyDescent="0.25">
      <c r="A1110" s="35" t="str">
        <f t="shared" si="51"/>
        <v/>
      </c>
      <c r="I1110" s="36" t="str">
        <f t="shared" ca="1" si="52"/>
        <v/>
      </c>
      <c r="J1110" s="36" t="str">
        <f t="shared" si="53"/>
        <v/>
      </c>
    </row>
    <row r="1111" spans="1:10" ht="15" customHeight="1" x14ac:dyDescent="0.25">
      <c r="A1111" s="35" t="str">
        <f t="shared" si="51"/>
        <v/>
      </c>
      <c r="I1111" s="36" t="str">
        <f t="shared" ca="1" si="52"/>
        <v/>
      </c>
      <c r="J1111" s="36" t="str">
        <f t="shared" si="53"/>
        <v/>
      </c>
    </row>
    <row r="1112" spans="1:10" ht="15" customHeight="1" x14ac:dyDescent="0.25">
      <c r="A1112" s="35" t="str">
        <f t="shared" si="51"/>
        <v/>
      </c>
      <c r="I1112" s="36" t="str">
        <f t="shared" ca="1" si="52"/>
        <v/>
      </c>
      <c r="J1112" s="36" t="str">
        <f t="shared" si="53"/>
        <v/>
      </c>
    </row>
    <row r="1113" spans="1:10" ht="15" customHeight="1" x14ac:dyDescent="0.25">
      <c r="A1113" s="35" t="str">
        <f t="shared" si="51"/>
        <v/>
      </c>
      <c r="I1113" s="36" t="str">
        <f t="shared" ca="1" si="52"/>
        <v/>
      </c>
      <c r="J1113" s="36" t="str">
        <f t="shared" si="53"/>
        <v/>
      </c>
    </row>
    <row r="1114" spans="1:10" ht="15" customHeight="1" x14ac:dyDescent="0.25">
      <c r="A1114" s="35" t="str">
        <f t="shared" si="51"/>
        <v/>
      </c>
      <c r="I1114" s="36" t="str">
        <f t="shared" ca="1" si="52"/>
        <v/>
      </c>
      <c r="J1114" s="36" t="str">
        <f t="shared" si="53"/>
        <v/>
      </c>
    </row>
    <row r="1115" spans="1:10" ht="15" customHeight="1" x14ac:dyDescent="0.25">
      <c r="A1115" s="35" t="str">
        <f t="shared" si="51"/>
        <v/>
      </c>
      <c r="I1115" s="36" t="str">
        <f t="shared" ca="1" si="52"/>
        <v/>
      </c>
      <c r="J1115" s="36" t="str">
        <f t="shared" si="53"/>
        <v/>
      </c>
    </row>
    <row r="1116" spans="1:10" ht="15" customHeight="1" x14ac:dyDescent="0.25">
      <c r="A1116" s="35" t="str">
        <f t="shared" si="51"/>
        <v/>
      </c>
      <c r="I1116" s="36" t="str">
        <f t="shared" ca="1" si="52"/>
        <v/>
      </c>
      <c r="J1116" s="36" t="str">
        <f t="shared" si="53"/>
        <v/>
      </c>
    </row>
    <row r="1117" spans="1:10" ht="15" customHeight="1" x14ac:dyDescent="0.25">
      <c r="A1117" s="35" t="str">
        <f t="shared" si="51"/>
        <v/>
      </c>
      <c r="I1117" s="36" t="str">
        <f t="shared" ca="1" si="52"/>
        <v/>
      </c>
      <c r="J1117" s="36" t="str">
        <f t="shared" si="53"/>
        <v/>
      </c>
    </row>
    <row r="1118" spans="1:10" ht="15" customHeight="1" x14ac:dyDescent="0.25">
      <c r="A1118" s="35" t="str">
        <f t="shared" si="51"/>
        <v/>
      </c>
      <c r="I1118" s="36" t="str">
        <f t="shared" ca="1" si="52"/>
        <v/>
      </c>
      <c r="J1118" s="36" t="str">
        <f t="shared" si="53"/>
        <v/>
      </c>
    </row>
    <row r="1119" spans="1:10" ht="15" customHeight="1" x14ac:dyDescent="0.25">
      <c r="A1119" s="35" t="str">
        <f t="shared" si="51"/>
        <v/>
      </c>
      <c r="I1119" s="36" t="str">
        <f t="shared" ca="1" si="52"/>
        <v/>
      </c>
      <c r="J1119" s="36" t="str">
        <f t="shared" si="53"/>
        <v/>
      </c>
    </row>
    <row r="1120" spans="1:10" ht="15" customHeight="1" x14ac:dyDescent="0.25">
      <c r="A1120" s="35" t="str">
        <f t="shared" si="51"/>
        <v/>
      </c>
      <c r="I1120" s="36" t="str">
        <f t="shared" ca="1" si="52"/>
        <v/>
      </c>
      <c r="J1120" s="36" t="str">
        <f t="shared" si="53"/>
        <v/>
      </c>
    </row>
    <row r="1121" spans="1:10" ht="15" customHeight="1" x14ac:dyDescent="0.25">
      <c r="A1121" s="35" t="str">
        <f t="shared" si="51"/>
        <v/>
      </c>
      <c r="I1121" s="36" t="str">
        <f t="shared" ca="1" si="52"/>
        <v/>
      </c>
      <c r="J1121" s="36" t="str">
        <f t="shared" si="53"/>
        <v/>
      </c>
    </row>
    <row r="1122" spans="1:10" ht="15" customHeight="1" x14ac:dyDescent="0.25">
      <c r="A1122" s="35" t="str">
        <f t="shared" si="51"/>
        <v/>
      </c>
      <c r="I1122" s="36" t="str">
        <f t="shared" ca="1" si="52"/>
        <v/>
      </c>
      <c r="J1122" s="36" t="str">
        <f t="shared" si="53"/>
        <v/>
      </c>
    </row>
    <row r="1123" spans="1:10" ht="15" customHeight="1" x14ac:dyDescent="0.25">
      <c r="A1123" s="35" t="str">
        <f t="shared" si="51"/>
        <v/>
      </c>
      <c r="I1123" s="36" t="str">
        <f t="shared" ca="1" si="52"/>
        <v/>
      </c>
      <c r="J1123" s="36" t="str">
        <f t="shared" si="53"/>
        <v/>
      </c>
    </row>
    <row r="1124" spans="1:10" ht="15" customHeight="1" x14ac:dyDescent="0.25">
      <c r="A1124" s="35" t="str">
        <f t="shared" si="51"/>
        <v/>
      </c>
      <c r="I1124" s="36" t="str">
        <f t="shared" ca="1" si="52"/>
        <v/>
      </c>
      <c r="J1124" s="36" t="str">
        <f t="shared" si="53"/>
        <v/>
      </c>
    </row>
    <row r="1125" spans="1:10" ht="15" customHeight="1" x14ac:dyDescent="0.25">
      <c r="A1125" s="35" t="str">
        <f t="shared" si="51"/>
        <v/>
      </c>
      <c r="I1125" s="36" t="str">
        <f t="shared" ca="1" si="52"/>
        <v/>
      </c>
      <c r="J1125" s="36" t="str">
        <f t="shared" si="53"/>
        <v/>
      </c>
    </row>
    <row r="1126" spans="1:10" ht="15" customHeight="1" x14ac:dyDescent="0.25">
      <c r="A1126" s="35" t="str">
        <f t="shared" si="51"/>
        <v/>
      </c>
      <c r="I1126" s="36" t="str">
        <f t="shared" ca="1" si="52"/>
        <v/>
      </c>
      <c r="J1126" s="36" t="str">
        <f t="shared" si="53"/>
        <v/>
      </c>
    </row>
    <row r="1127" spans="1:10" ht="15" customHeight="1" x14ac:dyDescent="0.25">
      <c r="A1127" s="35" t="str">
        <f t="shared" si="51"/>
        <v/>
      </c>
      <c r="I1127" s="36" t="str">
        <f t="shared" ca="1" si="52"/>
        <v/>
      </c>
      <c r="J1127" s="36" t="str">
        <f t="shared" si="53"/>
        <v/>
      </c>
    </row>
    <row r="1128" spans="1:10" ht="15" customHeight="1" x14ac:dyDescent="0.25">
      <c r="A1128" s="35" t="str">
        <f t="shared" si="51"/>
        <v/>
      </c>
      <c r="I1128" s="36" t="str">
        <f t="shared" ca="1" si="52"/>
        <v/>
      </c>
      <c r="J1128" s="36" t="str">
        <f t="shared" si="53"/>
        <v/>
      </c>
    </row>
    <row r="1129" spans="1:10" ht="15" customHeight="1" x14ac:dyDescent="0.25">
      <c r="A1129" s="35" t="str">
        <f t="shared" si="51"/>
        <v/>
      </c>
      <c r="I1129" s="36" t="str">
        <f t="shared" ca="1" si="52"/>
        <v/>
      </c>
      <c r="J1129" s="36" t="str">
        <f t="shared" si="53"/>
        <v/>
      </c>
    </row>
    <row r="1130" spans="1:10" ht="15" customHeight="1" x14ac:dyDescent="0.25">
      <c r="A1130" s="35" t="str">
        <f t="shared" si="51"/>
        <v/>
      </c>
      <c r="I1130" s="36" t="str">
        <f t="shared" ca="1" si="52"/>
        <v/>
      </c>
      <c r="J1130" s="36" t="str">
        <f t="shared" si="53"/>
        <v/>
      </c>
    </row>
    <row r="1131" spans="1:10" ht="15" customHeight="1" x14ac:dyDescent="0.25">
      <c r="A1131" s="35" t="str">
        <f t="shared" si="51"/>
        <v/>
      </c>
      <c r="I1131" s="36" t="str">
        <f t="shared" ca="1" si="52"/>
        <v/>
      </c>
      <c r="J1131" s="36" t="str">
        <f t="shared" si="53"/>
        <v/>
      </c>
    </row>
    <row r="1132" spans="1:10" ht="15" customHeight="1" x14ac:dyDescent="0.25">
      <c r="A1132" s="35" t="str">
        <f t="shared" si="51"/>
        <v/>
      </c>
      <c r="I1132" s="36" t="str">
        <f t="shared" ca="1" si="52"/>
        <v/>
      </c>
      <c r="J1132" s="36" t="str">
        <f t="shared" si="53"/>
        <v/>
      </c>
    </row>
    <row r="1133" spans="1:10" ht="15" customHeight="1" x14ac:dyDescent="0.25">
      <c r="A1133" s="35" t="str">
        <f t="shared" si="51"/>
        <v/>
      </c>
      <c r="I1133" s="36" t="str">
        <f t="shared" ca="1" si="52"/>
        <v/>
      </c>
      <c r="J1133" s="36" t="str">
        <f t="shared" si="53"/>
        <v/>
      </c>
    </row>
    <row r="1134" spans="1:10" ht="15" customHeight="1" x14ac:dyDescent="0.25">
      <c r="A1134" s="35" t="str">
        <f t="shared" si="51"/>
        <v/>
      </c>
      <c r="I1134" s="36" t="str">
        <f t="shared" ca="1" si="52"/>
        <v/>
      </c>
      <c r="J1134" s="36" t="str">
        <f t="shared" si="53"/>
        <v/>
      </c>
    </row>
    <row r="1135" spans="1:10" ht="15" customHeight="1" x14ac:dyDescent="0.25">
      <c r="A1135" s="35" t="str">
        <f t="shared" si="51"/>
        <v/>
      </c>
      <c r="I1135" s="36" t="str">
        <f t="shared" ca="1" si="52"/>
        <v/>
      </c>
      <c r="J1135" s="36" t="str">
        <f t="shared" si="53"/>
        <v/>
      </c>
    </row>
    <row r="1136" spans="1:10" ht="15" customHeight="1" x14ac:dyDescent="0.25">
      <c r="A1136" s="35" t="str">
        <f t="shared" si="51"/>
        <v/>
      </c>
      <c r="I1136" s="36" t="str">
        <f t="shared" ca="1" si="52"/>
        <v/>
      </c>
      <c r="J1136" s="36" t="str">
        <f t="shared" si="53"/>
        <v/>
      </c>
    </row>
    <row r="1137" spans="1:10" ht="15" customHeight="1" x14ac:dyDescent="0.25">
      <c r="A1137" s="35" t="str">
        <f t="shared" si="51"/>
        <v/>
      </c>
      <c r="I1137" s="36" t="str">
        <f t="shared" ca="1" si="52"/>
        <v/>
      </c>
      <c r="J1137" s="36" t="str">
        <f t="shared" si="53"/>
        <v/>
      </c>
    </row>
    <row r="1138" spans="1:10" ht="15" customHeight="1" x14ac:dyDescent="0.25">
      <c r="A1138" s="35" t="str">
        <f t="shared" si="51"/>
        <v/>
      </c>
      <c r="I1138" s="36" t="str">
        <f t="shared" ca="1" si="52"/>
        <v/>
      </c>
      <c r="J1138" s="36" t="str">
        <f t="shared" si="53"/>
        <v/>
      </c>
    </row>
    <row r="1139" spans="1:10" ht="15" customHeight="1" x14ac:dyDescent="0.25">
      <c r="A1139" s="35" t="str">
        <f t="shared" si="51"/>
        <v/>
      </c>
      <c r="I1139" s="36" t="str">
        <f t="shared" ca="1" si="52"/>
        <v/>
      </c>
      <c r="J1139" s="36" t="str">
        <f t="shared" si="53"/>
        <v/>
      </c>
    </row>
    <row r="1140" spans="1:10" ht="15" customHeight="1" x14ac:dyDescent="0.25">
      <c r="A1140" s="35" t="str">
        <f t="shared" si="51"/>
        <v/>
      </c>
      <c r="I1140" s="36" t="str">
        <f t="shared" ca="1" si="52"/>
        <v/>
      </c>
      <c r="J1140" s="36" t="str">
        <f t="shared" si="53"/>
        <v/>
      </c>
    </row>
    <row r="1141" spans="1:10" ht="15" customHeight="1" x14ac:dyDescent="0.25">
      <c r="A1141" s="35" t="str">
        <f t="shared" si="51"/>
        <v/>
      </c>
      <c r="I1141" s="36" t="str">
        <f t="shared" ca="1" si="52"/>
        <v/>
      </c>
      <c r="J1141" s="36" t="str">
        <f t="shared" si="53"/>
        <v/>
      </c>
    </row>
    <row r="1142" spans="1:10" ht="15" customHeight="1" x14ac:dyDescent="0.25">
      <c r="A1142" s="35" t="str">
        <f t="shared" si="51"/>
        <v/>
      </c>
      <c r="I1142" s="36" t="str">
        <f t="shared" ca="1" si="52"/>
        <v/>
      </c>
      <c r="J1142" s="36" t="str">
        <f t="shared" si="53"/>
        <v/>
      </c>
    </row>
    <row r="1143" spans="1:10" ht="15" customHeight="1" x14ac:dyDescent="0.25">
      <c r="A1143" s="35" t="str">
        <f t="shared" si="51"/>
        <v/>
      </c>
      <c r="I1143" s="36" t="str">
        <f t="shared" ca="1" si="52"/>
        <v/>
      </c>
      <c r="J1143" s="36" t="str">
        <f t="shared" si="53"/>
        <v/>
      </c>
    </row>
    <row r="1144" spans="1:10" ht="15" customHeight="1" x14ac:dyDescent="0.25">
      <c r="A1144" s="35" t="str">
        <f t="shared" si="51"/>
        <v/>
      </c>
      <c r="I1144" s="36" t="str">
        <f t="shared" ca="1" si="52"/>
        <v/>
      </c>
      <c r="J1144" s="36" t="str">
        <f t="shared" si="53"/>
        <v/>
      </c>
    </row>
    <row r="1145" spans="1:10" ht="15" customHeight="1" x14ac:dyDescent="0.25">
      <c r="A1145" s="35" t="str">
        <f t="shared" si="51"/>
        <v/>
      </c>
      <c r="I1145" s="36" t="str">
        <f t="shared" ca="1" si="52"/>
        <v/>
      </c>
      <c r="J1145" s="36" t="str">
        <f t="shared" si="53"/>
        <v/>
      </c>
    </row>
    <row r="1146" spans="1:10" ht="15" customHeight="1" x14ac:dyDescent="0.25">
      <c r="A1146" s="35" t="str">
        <f t="shared" si="51"/>
        <v/>
      </c>
      <c r="I1146" s="36" t="str">
        <f t="shared" ca="1" si="52"/>
        <v/>
      </c>
      <c r="J1146" s="36" t="str">
        <f t="shared" si="53"/>
        <v/>
      </c>
    </row>
    <row r="1147" spans="1:10" ht="15" customHeight="1" x14ac:dyDescent="0.25">
      <c r="A1147" s="35" t="str">
        <f t="shared" si="51"/>
        <v/>
      </c>
      <c r="I1147" s="36" t="str">
        <f t="shared" ca="1" si="52"/>
        <v/>
      </c>
      <c r="J1147" s="36" t="str">
        <f t="shared" si="53"/>
        <v/>
      </c>
    </row>
    <row r="1148" spans="1:10" ht="15" customHeight="1" x14ac:dyDescent="0.25">
      <c r="A1148" s="35" t="str">
        <f t="shared" si="51"/>
        <v/>
      </c>
      <c r="I1148" s="36" t="str">
        <f t="shared" ca="1" si="52"/>
        <v/>
      </c>
      <c r="J1148" s="36" t="str">
        <f t="shared" si="53"/>
        <v/>
      </c>
    </row>
    <row r="1149" spans="1:10" ht="15" customHeight="1" x14ac:dyDescent="0.25">
      <c r="A1149" s="35" t="str">
        <f t="shared" si="51"/>
        <v/>
      </c>
      <c r="I1149" s="36" t="str">
        <f t="shared" ca="1" si="52"/>
        <v/>
      </c>
      <c r="J1149" s="36" t="str">
        <f t="shared" si="53"/>
        <v/>
      </c>
    </row>
    <row r="1150" spans="1:10" ht="15" customHeight="1" x14ac:dyDescent="0.25">
      <c r="A1150" s="35" t="str">
        <f t="shared" si="51"/>
        <v/>
      </c>
      <c r="I1150" s="36" t="str">
        <f t="shared" ca="1" si="52"/>
        <v/>
      </c>
      <c r="J1150" s="36" t="str">
        <f t="shared" si="53"/>
        <v/>
      </c>
    </row>
    <row r="1151" spans="1:10" ht="15" customHeight="1" x14ac:dyDescent="0.25">
      <c r="A1151" s="35" t="str">
        <f t="shared" si="51"/>
        <v/>
      </c>
      <c r="I1151" s="36" t="str">
        <f t="shared" ca="1" si="52"/>
        <v/>
      </c>
      <c r="J1151" s="36" t="str">
        <f t="shared" si="53"/>
        <v/>
      </c>
    </row>
    <row r="1152" spans="1:10" ht="15" customHeight="1" x14ac:dyDescent="0.25">
      <c r="A1152" s="35" t="str">
        <f t="shared" si="51"/>
        <v/>
      </c>
      <c r="I1152" s="36" t="str">
        <f t="shared" ca="1" si="52"/>
        <v/>
      </c>
      <c r="J1152" s="36" t="str">
        <f t="shared" si="53"/>
        <v/>
      </c>
    </row>
    <row r="1153" spans="1:10" ht="15" customHeight="1" x14ac:dyDescent="0.25">
      <c r="A1153" s="35" t="str">
        <f t="shared" si="51"/>
        <v/>
      </c>
      <c r="I1153" s="36" t="str">
        <f t="shared" ca="1" si="52"/>
        <v/>
      </c>
      <c r="J1153" s="36" t="str">
        <f t="shared" si="53"/>
        <v/>
      </c>
    </row>
    <row r="1154" spans="1:10" ht="15" customHeight="1" x14ac:dyDescent="0.25">
      <c r="A1154" s="35" t="str">
        <f t="shared" si="51"/>
        <v/>
      </c>
      <c r="I1154" s="36" t="str">
        <f t="shared" ca="1" si="52"/>
        <v/>
      </c>
      <c r="J1154" s="36" t="str">
        <f t="shared" si="53"/>
        <v/>
      </c>
    </row>
    <row r="1155" spans="1:10" ht="15" customHeight="1" x14ac:dyDescent="0.25">
      <c r="A1155" s="35" t="str">
        <f t="shared" si="51"/>
        <v/>
      </c>
      <c r="I1155" s="36" t="str">
        <f t="shared" ca="1" si="52"/>
        <v/>
      </c>
      <c r="J1155" s="36" t="str">
        <f t="shared" si="53"/>
        <v/>
      </c>
    </row>
    <row r="1156" spans="1:10" ht="15" customHeight="1" x14ac:dyDescent="0.25">
      <c r="A1156" s="35" t="str">
        <f t="shared" si="51"/>
        <v/>
      </c>
      <c r="I1156" s="36" t="str">
        <f t="shared" ca="1" si="52"/>
        <v/>
      </c>
      <c r="J1156" s="36" t="str">
        <f t="shared" si="53"/>
        <v/>
      </c>
    </row>
    <row r="1157" spans="1:10" ht="15" customHeight="1" x14ac:dyDescent="0.25">
      <c r="A1157" s="35" t="str">
        <f t="shared" ref="A1157:A1220" si="54">IF(B1157="","","ACC"&amp;TEXT(ROW()-4,"0000"))</f>
        <v/>
      </c>
      <c r="I1157" s="36" t="str">
        <f t="shared" ref="I1157:I1220" ca="1" si="55">IF(B1157="","",TEXT(TODAY(),"dd/mm/yyyy"))</f>
        <v/>
      </c>
      <c r="J1157" s="36" t="str">
        <f t="shared" ref="J1157:J1220" si="56">IF(B1157="","",IF(ISNUMBER(H1157),IF(H1157&gt;=10,"✅ Active","⚠️ Below Min Balance"),"Pending"))</f>
        <v/>
      </c>
    </row>
    <row r="1158" spans="1:10" ht="15" customHeight="1" x14ac:dyDescent="0.25">
      <c r="A1158" s="35" t="str">
        <f t="shared" si="54"/>
        <v/>
      </c>
      <c r="I1158" s="36" t="str">
        <f t="shared" ca="1" si="55"/>
        <v/>
      </c>
      <c r="J1158" s="36" t="str">
        <f t="shared" si="56"/>
        <v/>
      </c>
    </row>
    <row r="1159" spans="1:10" ht="15" customHeight="1" x14ac:dyDescent="0.25">
      <c r="A1159" s="35" t="str">
        <f t="shared" si="54"/>
        <v/>
      </c>
      <c r="I1159" s="36" t="str">
        <f t="shared" ca="1" si="55"/>
        <v/>
      </c>
      <c r="J1159" s="36" t="str">
        <f t="shared" si="56"/>
        <v/>
      </c>
    </row>
    <row r="1160" spans="1:10" ht="15" customHeight="1" x14ac:dyDescent="0.25">
      <c r="A1160" s="35" t="str">
        <f t="shared" si="54"/>
        <v/>
      </c>
      <c r="I1160" s="36" t="str">
        <f t="shared" ca="1" si="55"/>
        <v/>
      </c>
      <c r="J1160" s="36" t="str">
        <f t="shared" si="56"/>
        <v/>
      </c>
    </row>
    <row r="1161" spans="1:10" ht="15" customHeight="1" x14ac:dyDescent="0.25">
      <c r="A1161" s="35" t="str">
        <f t="shared" si="54"/>
        <v/>
      </c>
      <c r="I1161" s="36" t="str">
        <f t="shared" ca="1" si="55"/>
        <v/>
      </c>
      <c r="J1161" s="36" t="str">
        <f t="shared" si="56"/>
        <v/>
      </c>
    </row>
    <row r="1162" spans="1:10" ht="15" customHeight="1" x14ac:dyDescent="0.25">
      <c r="A1162" s="35" t="str">
        <f t="shared" si="54"/>
        <v/>
      </c>
      <c r="I1162" s="36" t="str">
        <f t="shared" ca="1" si="55"/>
        <v/>
      </c>
      <c r="J1162" s="36" t="str">
        <f t="shared" si="56"/>
        <v/>
      </c>
    </row>
    <row r="1163" spans="1:10" ht="15" customHeight="1" x14ac:dyDescent="0.25">
      <c r="A1163" s="35" t="str">
        <f t="shared" si="54"/>
        <v/>
      </c>
      <c r="I1163" s="36" t="str">
        <f t="shared" ca="1" si="55"/>
        <v/>
      </c>
      <c r="J1163" s="36" t="str">
        <f t="shared" si="56"/>
        <v/>
      </c>
    </row>
    <row r="1164" spans="1:10" ht="15" customHeight="1" x14ac:dyDescent="0.25">
      <c r="A1164" s="35" t="str">
        <f t="shared" si="54"/>
        <v/>
      </c>
      <c r="I1164" s="36" t="str">
        <f t="shared" ca="1" si="55"/>
        <v/>
      </c>
      <c r="J1164" s="36" t="str">
        <f t="shared" si="56"/>
        <v/>
      </c>
    </row>
    <row r="1165" spans="1:10" ht="15" customHeight="1" x14ac:dyDescent="0.25">
      <c r="A1165" s="35" t="str">
        <f t="shared" si="54"/>
        <v/>
      </c>
      <c r="I1165" s="36" t="str">
        <f t="shared" ca="1" si="55"/>
        <v/>
      </c>
      <c r="J1165" s="36" t="str">
        <f t="shared" si="56"/>
        <v/>
      </c>
    </row>
    <row r="1166" spans="1:10" ht="15" customHeight="1" x14ac:dyDescent="0.25">
      <c r="A1166" s="35" t="str">
        <f t="shared" si="54"/>
        <v/>
      </c>
      <c r="I1166" s="36" t="str">
        <f t="shared" ca="1" si="55"/>
        <v/>
      </c>
      <c r="J1166" s="36" t="str">
        <f t="shared" si="56"/>
        <v/>
      </c>
    </row>
    <row r="1167" spans="1:10" ht="15" customHeight="1" x14ac:dyDescent="0.25">
      <c r="A1167" s="35" t="str">
        <f t="shared" si="54"/>
        <v/>
      </c>
      <c r="I1167" s="36" t="str">
        <f t="shared" ca="1" si="55"/>
        <v/>
      </c>
      <c r="J1167" s="36" t="str">
        <f t="shared" si="56"/>
        <v/>
      </c>
    </row>
    <row r="1168" spans="1:10" ht="15" customHeight="1" x14ac:dyDescent="0.25">
      <c r="A1168" s="35" t="str">
        <f t="shared" si="54"/>
        <v/>
      </c>
      <c r="I1168" s="36" t="str">
        <f t="shared" ca="1" si="55"/>
        <v/>
      </c>
      <c r="J1168" s="36" t="str">
        <f t="shared" si="56"/>
        <v/>
      </c>
    </row>
    <row r="1169" spans="1:10" ht="15" customHeight="1" x14ac:dyDescent="0.25">
      <c r="A1169" s="35" t="str">
        <f t="shared" si="54"/>
        <v/>
      </c>
      <c r="I1169" s="36" t="str">
        <f t="shared" ca="1" si="55"/>
        <v/>
      </c>
      <c r="J1169" s="36" t="str">
        <f t="shared" si="56"/>
        <v/>
      </c>
    </row>
    <row r="1170" spans="1:10" ht="15" customHeight="1" x14ac:dyDescent="0.25">
      <c r="A1170" s="35" t="str">
        <f t="shared" si="54"/>
        <v/>
      </c>
      <c r="I1170" s="36" t="str">
        <f t="shared" ca="1" si="55"/>
        <v/>
      </c>
      <c r="J1170" s="36" t="str">
        <f t="shared" si="56"/>
        <v/>
      </c>
    </row>
    <row r="1171" spans="1:10" ht="15" customHeight="1" x14ac:dyDescent="0.25">
      <c r="A1171" s="35" t="str">
        <f t="shared" si="54"/>
        <v/>
      </c>
      <c r="I1171" s="36" t="str">
        <f t="shared" ca="1" si="55"/>
        <v/>
      </c>
      <c r="J1171" s="36" t="str">
        <f t="shared" si="56"/>
        <v/>
      </c>
    </row>
    <row r="1172" spans="1:10" ht="15" customHeight="1" x14ac:dyDescent="0.25">
      <c r="A1172" s="35" t="str">
        <f t="shared" si="54"/>
        <v/>
      </c>
      <c r="I1172" s="36" t="str">
        <f t="shared" ca="1" si="55"/>
        <v/>
      </c>
      <c r="J1172" s="36" t="str">
        <f t="shared" si="56"/>
        <v/>
      </c>
    </row>
    <row r="1173" spans="1:10" ht="15" customHeight="1" x14ac:dyDescent="0.25">
      <c r="A1173" s="35" t="str">
        <f t="shared" si="54"/>
        <v/>
      </c>
      <c r="I1173" s="36" t="str">
        <f t="shared" ca="1" si="55"/>
        <v/>
      </c>
      <c r="J1173" s="36" t="str">
        <f t="shared" si="56"/>
        <v/>
      </c>
    </row>
    <row r="1174" spans="1:10" ht="15" customHeight="1" x14ac:dyDescent="0.25">
      <c r="A1174" s="35" t="str">
        <f t="shared" si="54"/>
        <v/>
      </c>
      <c r="I1174" s="36" t="str">
        <f t="shared" ca="1" si="55"/>
        <v/>
      </c>
      <c r="J1174" s="36" t="str">
        <f t="shared" si="56"/>
        <v/>
      </c>
    </row>
    <row r="1175" spans="1:10" ht="15" customHeight="1" x14ac:dyDescent="0.25">
      <c r="A1175" s="35" t="str">
        <f t="shared" si="54"/>
        <v/>
      </c>
      <c r="I1175" s="36" t="str">
        <f t="shared" ca="1" si="55"/>
        <v/>
      </c>
      <c r="J1175" s="36" t="str">
        <f t="shared" si="56"/>
        <v/>
      </c>
    </row>
    <row r="1176" spans="1:10" ht="15" customHeight="1" x14ac:dyDescent="0.25">
      <c r="A1176" s="35" t="str">
        <f t="shared" si="54"/>
        <v/>
      </c>
      <c r="I1176" s="36" t="str">
        <f t="shared" ca="1" si="55"/>
        <v/>
      </c>
      <c r="J1176" s="36" t="str">
        <f t="shared" si="56"/>
        <v/>
      </c>
    </row>
    <row r="1177" spans="1:10" ht="15" customHeight="1" x14ac:dyDescent="0.25">
      <c r="A1177" s="35" t="str">
        <f t="shared" si="54"/>
        <v/>
      </c>
      <c r="I1177" s="36" t="str">
        <f t="shared" ca="1" si="55"/>
        <v/>
      </c>
      <c r="J1177" s="36" t="str">
        <f t="shared" si="56"/>
        <v/>
      </c>
    </row>
    <row r="1178" spans="1:10" ht="15" customHeight="1" x14ac:dyDescent="0.25">
      <c r="A1178" s="35" t="str">
        <f t="shared" si="54"/>
        <v/>
      </c>
      <c r="I1178" s="36" t="str">
        <f t="shared" ca="1" si="55"/>
        <v/>
      </c>
      <c r="J1178" s="36" t="str">
        <f t="shared" si="56"/>
        <v/>
      </c>
    </row>
    <row r="1179" spans="1:10" ht="15" customHeight="1" x14ac:dyDescent="0.25">
      <c r="A1179" s="35" t="str">
        <f t="shared" si="54"/>
        <v/>
      </c>
      <c r="I1179" s="36" t="str">
        <f t="shared" ca="1" si="55"/>
        <v/>
      </c>
      <c r="J1179" s="36" t="str">
        <f t="shared" si="56"/>
        <v/>
      </c>
    </row>
    <row r="1180" spans="1:10" ht="15" customHeight="1" x14ac:dyDescent="0.25">
      <c r="A1180" s="35" t="str">
        <f t="shared" si="54"/>
        <v/>
      </c>
      <c r="I1180" s="36" t="str">
        <f t="shared" ca="1" si="55"/>
        <v/>
      </c>
      <c r="J1180" s="36" t="str">
        <f t="shared" si="56"/>
        <v/>
      </c>
    </row>
    <row r="1181" spans="1:10" ht="15" customHeight="1" x14ac:dyDescent="0.25">
      <c r="A1181" s="35" t="str">
        <f t="shared" si="54"/>
        <v/>
      </c>
      <c r="I1181" s="36" t="str">
        <f t="shared" ca="1" si="55"/>
        <v/>
      </c>
      <c r="J1181" s="36" t="str">
        <f t="shared" si="56"/>
        <v/>
      </c>
    </row>
    <row r="1182" spans="1:10" ht="15" customHeight="1" x14ac:dyDescent="0.25">
      <c r="A1182" s="35" t="str">
        <f t="shared" si="54"/>
        <v/>
      </c>
      <c r="I1182" s="36" t="str">
        <f t="shared" ca="1" si="55"/>
        <v/>
      </c>
      <c r="J1182" s="36" t="str">
        <f t="shared" si="56"/>
        <v/>
      </c>
    </row>
    <row r="1183" spans="1:10" ht="15" customHeight="1" x14ac:dyDescent="0.25">
      <c r="A1183" s="35" t="str">
        <f t="shared" si="54"/>
        <v/>
      </c>
      <c r="I1183" s="36" t="str">
        <f t="shared" ca="1" si="55"/>
        <v/>
      </c>
      <c r="J1183" s="36" t="str">
        <f t="shared" si="56"/>
        <v/>
      </c>
    </row>
    <row r="1184" spans="1:10" ht="15" customHeight="1" x14ac:dyDescent="0.25">
      <c r="A1184" s="35" t="str">
        <f t="shared" si="54"/>
        <v/>
      </c>
      <c r="I1184" s="36" t="str">
        <f t="shared" ca="1" si="55"/>
        <v/>
      </c>
      <c r="J1184" s="36" t="str">
        <f t="shared" si="56"/>
        <v/>
      </c>
    </row>
    <row r="1185" spans="1:10" ht="15" customHeight="1" x14ac:dyDescent="0.25">
      <c r="A1185" s="35" t="str">
        <f t="shared" si="54"/>
        <v/>
      </c>
      <c r="I1185" s="36" t="str">
        <f t="shared" ca="1" si="55"/>
        <v/>
      </c>
      <c r="J1185" s="36" t="str">
        <f t="shared" si="56"/>
        <v/>
      </c>
    </row>
    <row r="1186" spans="1:10" ht="15" customHeight="1" x14ac:dyDescent="0.25">
      <c r="A1186" s="35" t="str">
        <f t="shared" si="54"/>
        <v/>
      </c>
      <c r="I1186" s="36" t="str">
        <f t="shared" ca="1" si="55"/>
        <v/>
      </c>
      <c r="J1186" s="36" t="str">
        <f t="shared" si="56"/>
        <v/>
      </c>
    </row>
    <row r="1187" spans="1:10" ht="15" customHeight="1" x14ac:dyDescent="0.25">
      <c r="A1187" s="35" t="str">
        <f t="shared" si="54"/>
        <v/>
      </c>
      <c r="I1187" s="36" t="str">
        <f t="shared" ca="1" si="55"/>
        <v/>
      </c>
      <c r="J1187" s="36" t="str">
        <f t="shared" si="56"/>
        <v/>
      </c>
    </row>
    <row r="1188" spans="1:10" ht="15" customHeight="1" x14ac:dyDescent="0.25">
      <c r="A1188" s="35" t="str">
        <f t="shared" si="54"/>
        <v/>
      </c>
      <c r="I1188" s="36" t="str">
        <f t="shared" ca="1" si="55"/>
        <v/>
      </c>
      <c r="J1188" s="36" t="str">
        <f t="shared" si="56"/>
        <v/>
      </c>
    </row>
    <row r="1189" spans="1:10" ht="15" customHeight="1" x14ac:dyDescent="0.25">
      <c r="A1189" s="35" t="str">
        <f t="shared" si="54"/>
        <v/>
      </c>
      <c r="I1189" s="36" t="str">
        <f t="shared" ca="1" si="55"/>
        <v/>
      </c>
      <c r="J1189" s="36" t="str">
        <f t="shared" si="56"/>
        <v/>
      </c>
    </row>
    <row r="1190" spans="1:10" ht="15" customHeight="1" x14ac:dyDescent="0.25">
      <c r="A1190" s="35" t="str">
        <f t="shared" si="54"/>
        <v/>
      </c>
      <c r="I1190" s="36" t="str">
        <f t="shared" ca="1" si="55"/>
        <v/>
      </c>
      <c r="J1190" s="36" t="str">
        <f t="shared" si="56"/>
        <v/>
      </c>
    </row>
    <row r="1191" spans="1:10" ht="15" customHeight="1" x14ac:dyDescent="0.25">
      <c r="A1191" s="35" t="str">
        <f t="shared" si="54"/>
        <v/>
      </c>
      <c r="I1191" s="36" t="str">
        <f t="shared" ca="1" si="55"/>
        <v/>
      </c>
      <c r="J1191" s="36" t="str">
        <f t="shared" si="56"/>
        <v/>
      </c>
    </row>
    <row r="1192" spans="1:10" ht="15" customHeight="1" x14ac:dyDescent="0.25">
      <c r="A1192" s="35" t="str">
        <f t="shared" si="54"/>
        <v/>
      </c>
      <c r="I1192" s="36" t="str">
        <f t="shared" ca="1" si="55"/>
        <v/>
      </c>
      <c r="J1192" s="36" t="str">
        <f t="shared" si="56"/>
        <v/>
      </c>
    </row>
    <row r="1193" spans="1:10" ht="15" customHeight="1" x14ac:dyDescent="0.25">
      <c r="A1193" s="35" t="str">
        <f t="shared" si="54"/>
        <v/>
      </c>
      <c r="I1193" s="36" t="str">
        <f t="shared" ca="1" si="55"/>
        <v/>
      </c>
      <c r="J1193" s="36" t="str">
        <f t="shared" si="56"/>
        <v/>
      </c>
    </row>
    <row r="1194" spans="1:10" ht="15" customHeight="1" x14ac:dyDescent="0.25">
      <c r="A1194" s="35" t="str">
        <f t="shared" si="54"/>
        <v/>
      </c>
      <c r="I1194" s="36" t="str">
        <f t="shared" ca="1" si="55"/>
        <v/>
      </c>
      <c r="J1194" s="36" t="str">
        <f t="shared" si="56"/>
        <v/>
      </c>
    </row>
    <row r="1195" spans="1:10" ht="15" customHeight="1" x14ac:dyDescent="0.25">
      <c r="A1195" s="35" t="str">
        <f t="shared" si="54"/>
        <v/>
      </c>
      <c r="I1195" s="36" t="str">
        <f t="shared" ca="1" si="55"/>
        <v/>
      </c>
      <c r="J1195" s="36" t="str">
        <f t="shared" si="56"/>
        <v/>
      </c>
    </row>
    <row r="1196" spans="1:10" ht="15" customHeight="1" x14ac:dyDescent="0.25">
      <c r="A1196" s="35" t="str">
        <f t="shared" si="54"/>
        <v/>
      </c>
      <c r="I1196" s="36" t="str">
        <f t="shared" ca="1" si="55"/>
        <v/>
      </c>
      <c r="J1196" s="36" t="str">
        <f t="shared" si="56"/>
        <v/>
      </c>
    </row>
    <row r="1197" spans="1:10" ht="15" customHeight="1" x14ac:dyDescent="0.25">
      <c r="A1197" s="35" t="str">
        <f t="shared" si="54"/>
        <v/>
      </c>
      <c r="I1197" s="36" t="str">
        <f t="shared" ca="1" si="55"/>
        <v/>
      </c>
      <c r="J1197" s="36" t="str">
        <f t="shared" si="56"/>
        <v/>
      </c>
    </row>
    <row r="1198" spans="1:10" ht="15" customHeight="1" x14ac:dyDescent="0.25">
      <c r="A1198" s="35" t="str">
        <f t="shared" si="54"/>
        <v/>
      </c>
      <c r="I1198" s="36" t="str">
        <f t="shared" ca="1" si="55"/>
        <v/>
      </c>
      <c r="J1198" s="36" t="str">
        <f t="shared" si="56"/>
        <v/>
      </c>
    </row>
    <row r="1199" spans="1:10" ht="15" customHeight="1" x14ac:dyDescent="0.25">
      <c r="A1199" s="35" t="str">
        <f t="shared" si="54"/>
        <v/>
      </c>
      <c r="I1199" s="36" t="str">
        <f t="shared" ca="1" si="55"/>
        <v/>
      </c>
      <c r="J1199" s="36" t="str">
        <f t="shared" si="56"/>
        <v/>
      </c>
    </row>
    <row r="1200" spans="1:10" ht="15" customHeight="1" x14ac:dyDescent="0.25">
      <c r="A1200" s="35" t="str">
        <f t="shared" si="54"/>
        <v/>
      </c>
      <c r="I1200" s="36" t="str">
        <f t="shared" ca="1" si="55"/>
        <v/>
      </c>
      <c r="J1200" s="36" t="str">
        <f t="shared" si="56"/>
        <v/>
      </c>
    </row>
    <row r="1201" spans="1:10" ht="15" customHeight="1" x14ac:dyDescent="0.25">
      <c r="A1201" s="35" t="str">
        <f t="shared" si="54"/>
        <v/>
      </c>
      <c r="I1201" s="36" t="str">
        <f t="shared" ca="1" si="55"/>
        <v/>
      </c>
      <c r="J1201" s="36" t="str">
        <f t="shared" si="56"/>
        <v/>
      </c>
    </row>
    <row r="1202" spans="1:10" ht="15" customHeight="1" x14ac:dyDescent="0.25">
      <c r="A1202" s="35" t="str">
        <f t="shared" si="54"/>
        <v/>
      </c>
      <c r="I1202" s="36" t="str">
        <f t="shared" ca="1" si="55"/>
        <v/>
      </c>
      <c r="J1202" s="36" t="str">
        <f t="shared" si="56"/>
        <v/>
      </c>
    </row>
    <row r="1203" spans="1:10" ht="15" customHeight="1" x14ac:dyDescent="0.25">
      <c r="A1203" s="35" t="str">
        <f t="shared" si="54"/>
        <v/>
      </c>
      <c r="I1203" s="36" t="str">
        <f t="shared" ca="1" si="55"/>
        <v/>
      </c>
      <c r="J1203" s="36" t="str">
        <f t="shared" si="56"/>
        <v/>
      </c>
    </row>
    <row r="1204" spans="1:10" ht="15" customHeight="1" x14ac:dyDescent="0.25">
      <c r="A1204" s="35" t="str">
        <f t="shared" si="54"/>
        <v/>
      </c>
      <c r="I1204" s="36" t="str">
        <f t="shared" ca="1" si="55"/>
        <v/>
      </c>
      <c r="J1204" s="36" t="str">
        <f t="shared" si="56"/>
        <v/>
      </c>
    </row>
    <row r="1205" spans="1:10" ht="15" customHeight="1" x14ac:dyDescent="0.25">
      <c r="A1205" s="35" t="str">
        <f t="shared" si="54"/>
        <v/>
      </c>
      <c r="I1205" s="36" t="str">
        <f t="shared" ca="1" si="55"/>
        <v/>
      </c>
      <c r="J1205" s="36" t="str">
        <f t="shared" si="56"/>
        <v/>
      </c>
    </row>
    <row r="1206" spans="1:10" ht="15" customHeight="1" x14ac:dyDescent="0.25">
      <c r="A1206" s="35" t="str">
        <f t="shared" si="54"/>
        <v/>
      </c>
      <c r="I1206" s="36" t="str">
        <f t="shared" ca="1" si="55"/>
        <v/>
      </c>
      <c r="J1206" s="36" t="str">
        <f t="shared" si="56"/>
        <v/>
      </c>
    </row>
    <row r="1207" spans="1:10" ht="15" customHeight="1" x14ac:dyDescent="0.25">
      <c r="A1207" s="35" t="str">
        <f t="shared" si="54"/>
        <v/>
      </c>
      <c r="I1207" s="36" t="str">
        <f t="shared" ca="1" si="55"/>
        <v/>
      </c>
      <c r="J1207" s="36" t="str">
        <f t="shared" si="56"/>
        <v/>
      </c>
    </row>
    <row r="1208" spans="1:10" ht="15" customHeight="1" x14ac:dyDescent="0.25">
      <c r="A1208" s="35" t="str">
        <f t="shared" si="54"/>
        <v/>
      </c>
      <c r="I1208" s="36" t="str">
        <f t="shared" ca="1" si="55"/>
        <v/>
      </c>
      <c r="J1208" s="36" t="str">
        <f t="shared" si="56"/>
        <v/>
      </c>
    </row>
    <row r="1209" spans="1:10" ht="15" customHeight="1" x14ac:dyDescent="0.25">
      <c r="A1209" s="35" t="str">
        <f t="shared" si="54"/>
        <v/>
      </c>
      <c r="I1209" s="36" t="str">
        <f t="shared" ca="1" si="55"/>
        <v/>
      </c>
      <c r="J1209" s="36" t="str">
        <f t="shared" si="56"/>
        <v/>
      </c>
    </row>
    <row r="1210" spans="1:10" ht="15" customHeight="1" x14ac:dyDescent="0.25">
      <c r="A1210" s="35" t="str">
        <f t="shared" si="54"/>
        <v/>
      </c>
      <c r="I1210" s="36" t="str">
        <f t="shared" ca="1" si="55"/>
        <v/>
      </c>
      <c r="J1210" s="36" t="str">
        <f t="shared" si="56"/>
        <v/>
      </c>
    </row>
    <row r="1211" spans="1:10" ht="15" customHeight="1" x14ac:dyDescent="0.25">
      <c r="A1211" s="35" t="str">
        <f t="shared" si="54"/>
        <v/>
      </c>
      <c r="I1211" s="36" t="str">
        <f t="shared" ca="1" si="55"/>
        <v/>
      </c>
      <c r="J1211" s="36" t="str">
        <f t="shared" si="56"/>
        <v/>
      </c>
    </row>
    <row r="1212" spans="1:10" ht="15" customHeight="1" x14ac:dyDescent="0.25">
      <c r="A1212" s="35" t="str">
        <f t="shared" si="54"/>
        <v/>
      </c>
      <c r="I1212" s="36" t="str">
        <f t="shared" ca="1" si="55"/>
        <v/>
      </c>
      <c r="J1212" s="36" t="str">
        <f t="shared" si="56"/>
        <v/>
      </c>
    </row>
    <row r="1213" spans="1:10" ht="15" customHeight="1" x14ac:dyDescent="0.25">
      <c r="A1213" s="35" t="str">
        <f t="shared" si="54"/>
        <v/>
      </c>
      <c r="I1213" s="36" t="str">
        <f t="shared" ca="1" si="55"/>
        <v/>
      </c>
      <c r="J1213" s="36" t="str">
        <f t="shared" si="56"/>
        <v/>
      </c>
    </row>
    <row r="1214" spans="1:10" ht="15" customHeight="1" x14ac:dyDescent="0.25">
      <c r="A1214" s="35" t="str">
        <f t="shared" si="54"/>
        <v/>
      </c>
      <c r="I1214" s="36" t="str">
        <f t="shared" ca="1" si="55"/>
        <v/>
      </c>
      <c r="J1214" s="36" t="str">
        <f t="shared" si="56"/>
        <v/>
      </c>
    </row>
    <row r="1215" spans="1:10" ht="15" customHeight="1" x14ac:dyDescent="0.25">
      <c r="A1215" s="35" t="str">
        <f t="shared" si="54"/>
        <v/>
      </c>
      <c r="I1215" s="36" t="str">
        <f t="shared" ca="1" si="55"/>
        <v/>
      </c>
      <c r="J1215" s="36" t="str">
        <f t="shared" si="56"/>
        <v/>
      </c>
    </row>
    <row r="1216" spans="1:10" ht="15" customHeight="1" x14ac:dyDescent="0.25">
      <c r="A1216" s="35" t="str">
        <f t="shared" si="54"/>
        <v/>
      </c>
      <c r="I1216" s="36" t="str">
        <f t="shared" ca="1" si="55"/>
        <v/>
      </c>
      <c r="J1216" s="36" t="str">
        <f t="shared" si="56"/>
        <v/>
      </c>
    </row>
    <row r="1217" spans="1:10" ht="15" customHeight="1" x14ac:dyDescent="0.25">
      <c r="A1217" s="35" t="str">
        <f t="shared" si="54"/>
        <v/>
      </c>
      <c r="I1217" s="36" t="str">
        <f t="shared" ca="1" si="55"/>
        <v/>
      </c>
      <c r="J1217" s="36" t="str">
        <f t="shared" si="56"/>
        <v/>
      </c>
    </row>
    <row r="1218" spans="1:10" ht="15" customHeight="1" x14ac:dyDescent="0.25">
      <c r="A1218" s="35" t="str">
        <f t="shared" si="54"/>
        <v/>
      </c>
      <c r="I1218" s="36" t="str">
        <f t="shared" ca="1" si="55"/>
        <v/>
      </c>
      <c r="J1218" s="36" t="str">
        <f t="shared" si="56"/>
        <v/>
      </c>
    </row>
    <row r="1219" spans="1:10" ht="15" customHeight="1" x14ac:dyDescent="0.25">
      <c r="A1219" s="35" t="str">
        <f t="shared" si="54"/>
        <v/>
      </c>
      <c r="I1219" s="36" t="str">
        <f t="shared" ca="1" si="55"/>
        <v/>
      </c>
      <c r="J1219" s="36" t="str">
        <f t="shared" si="56"/>
        <v/>
      </c>
    </row>
    <row r="1220" spans="1:10" ht="15" customHeight="1" x14ac:dyDescent="0.25">
      <c r="A1220" s="35" t="str">
        <f t="shared" si="54"/>
        <v/>
      </c>
      <c r="I1220" s="36" t="str">
        <f t="shared" ca="1" si="55"/>
        <v/>
      </c>
      <c r="J1220" s="36" t="str">
        <f t="shared" si="56"/>
        <v/>
      </c>
    </row>
    <row r="1221" spans="1:10" ht="15" customHeight="1" x14ac:dyDescent="0.25">
      <c r="A1221" s="35" t="str">
        <f t="shared" ref="A1221:A1284" si="57">IF(B1221="","","ACC"&amp;TEXT(ROW()-4,"0000"))</f>
        <v/>
      </c>
      <c r="I1221" s="36" t="str">
        <f t="shared" ref="I1221:I1284" ca="1" si="58">IF(B1221="","",TEXT(TODAY(),"dd/mm/yyyy"))</f>
        <v/>
      </c>
      <c r="J1221" s="36" t="str">
        <f t="shared" ref="J1221:J1284" si="59">IF(B1221="","",IF(ISNUMBER(H1221),IF(H1221&gt;=10,"✅ Active","⚠️ Below Min Balance"),"Pending"))</f>
        <v/>
      </c>
    </row>
    <row r="1222" spans="1:10" ht="15" customHeight="1" x14ac:dyDescent="0.25">
      <c r="A1222" s="35" t="str">
        <f t="shared" si="57"/>
        <v/>
      </c>
      <c r="I1222" s="36" t="str">
        <f t="shared" ca="1" si="58"/>
        <v/>
      </c>
      <c r="J1222" s="36" t="str">
        <f t="shared" si="59"/>
        <v/>
      </c>
    </row>
    <row r="1223" spans="1:10" ht="15" customHeight="1" x14ac:dyDescent="0.25">
      <c r="A1223" s="35" t="str">
        <f t="shared" si="57"/>
        <v/>
      </c>
      <c r="I1223" s="36" t="str">
        <f t="shared" ca="1" si="58"/>
        <v/>
      </c>
      <c r="J1223" s="36" t="str">
        <f t="shared" si="59"/>
        <v/>
      </c>
    </row>
    <row r="1224" spans="1:10" ht="15" customHeight="1" x14ac:dyDescent="0.25">
      <c r="A1224" s="35" t="str">
        <f t="shared" si="57"/>
        <v/>
      </c>
      <c r="I1224" s="36" t="str">
        <f t="shared" ca="1" si="58"/>
        <v/>
      </c>
      <c r="J1224" s="36" t="str">
        <f t="shared" si="59"/>
        <v/>
      </c>
    </row>
    <row r="1225" spans="1:10" ht="15" customHeight="1" x14ac:dyDescent="0.25">
      <c r="A1225" s="35" t="str">
        <f t="shared" si="57"/>
        <v/>
      </c>
      <c r="I1225" s="36" t="str">
        <f t="shared" ca="1" si="58"/>
        <v/>
      </c>
      <c r="J1225" s="36" t="str">
        <f t="shared" si="59"/>
        <v/>
      </c>
    </row>
    <row r="1226" spans="1:10" ht="15" customHeight="1" x14ac:dyDescent="0.25">
      <c r="A1226" s="35" t="str">
        <f t="shared" si="57"/>
        <v/>
      </c>
      <c r="I1226" s="36" t="str">
        <f t="shared" ca="1" si="58"/>
        <v/>
      </c>
      <c r="J1226" s="36" t="str">
        <f t="shared" si="59"/>
        <v/>
      </c>
    </row>
    <row r="1227" spans="1:10" ht="15" customHeight="1" x14ac:dyDescent="0.25">
      <c r="A1227" s="35" t="str">
        <f t="shared" si="57"/>
        <v/>
      </c>
      <c r="I1227" s="36" t="str">
        <f t="shared" ca="1" si="58"/>
        <v/>
      </c>
      <c r="J1227" s="36" t="str">
        <f t="shared" si="59"/>
        <v/>
      </c>
    </row>
    <row r="1228" spans="1:10" ht="15" customHeight="1" x14ac:dyDescent="0.25">
      <c r="A1228" s="35" t="str">
        <f t="shared" si="57"/>
        <v/>
      </c>
      <c r="I1228" s="36" t="str">
        <f t="shared" ca="1" si="58"/>
        <v/>
      </c>
      <c r="J1228" s="36" t="str">
        <f t="shared" si="59"/>
        <v/>
      </c>
    </row>
    <row r="1229" spans="1:10" ht="15" customHeight="1" x14ac:dyDescent="0.25">
      <c r="A1229" s="35" t="str">
        <f t="shared" si="57"/>
        <v/>
      </c>
      <c r="I1229" s="36" t="str">
        <f t="shared" ca="1" si="58"/>
        <v/>
      </c>
      <c r="J1229" s="36" t="str">
        <f t="shared" si="59"/>
        <v/>
      </c>
    </row>
    <row r="1230" spans="1:10" ht="15" customHeight="1" x14ac:dyDescent="0.25">
      <c r="A1230" s="35" t="str">
        <f t="shared" si="57"/>
        <v/>
      </c>
      <c r="I1230" s="36" t="str">
        <f t="shared" ca="1" si="58"/>
        <v/>
      </c>
      <c r="J1230" s="36" t="str">
        <f t="shared" si="59"/>
        <v/>
      </c>
    </row>
    <row r="1231" spans="1:10" ht="15" customHeight="1" x14ac:dyDescent="0.25">
      <c r="A1231" s="35" t="str">
        <f t="shared" si="57"/>
        <v/>
      </c>
      <c r="I1231" s="36" t="str">
        <f t="shared" ca="1" si="58"/>
        <v/>
      </c>
      <c r="J1231" s="36" t="str">
        <f t="shared" si="59"/>
        <v/>
      </c>
    </row>
    <row r="1232" spans="1:10" ht="15" customHeight="1" x14ac:dyDescent="0.25">
      <c r="A1232" s="35" t="str">
        <f t="shared" si="57"/>
        <v/>
      </c>
      <c r="I1232" s="36" t="str">
        <f t="shared" ca="1" si="58"/>
        <v/>
      </c>
      <c r="J1232" s="36" t="str">
        <f t="shared" si="59"/>
        <v/>
      </c>
    </row>
    <row r="1233" spans="1:10" ht="15" customHeight="1" x14ac:dyDescent="0.25">
      <c r="A1233" s="35" t="str">
        <f t="shared" si="57"/>
        <v/>
      </c>
      <c r="I1233" s="36" t="str">
        <f t="shared" ca="1" si="58"/>
        <v/>
      </c>
      <c r="J1233" s="36" t="str">
        <f t="shared" si="59"/>
        <v/>
      </c>
    </row>
    <row r="1234" spans="1:10" ht="15" customHeight="1" x14ac:dyDescent="0.25">
      <c r="A1234" s="35" t="str">
        <f t="shared" si="57"/>
        <v/>
      </c>
      <c r="I1234" s="36" t="str">
        <f t="shared" ca="1" si="58"/>
        <v/>
      </c>
      <c r="J1234" s="36" t="str">
        <f t="shared" si="59"/>
        <v/>
      </c>
    </row>
    <row r="1235" spans="1:10" ht="15" customHeight="1" x14ac:dyDescent="0.25">
      <c r="A1235" s="35" t="str">
        <f t="shared" si="57"/>
        <v/>
      </c>
      <c r="I1235" s="36" t="str">
        <f t="shared" ca="1" si="58"/>
        <v/>
      </c>
      <c r="J1235" s="36" t="str">
        <f t="shared" si="59"/>
        <v/>
      </c>
    </row>
    <row r="1236" spans="1:10" ht="15" customHeight="1" x14ac:dyDescent="0.25">
      <c r="A1236" s="35" t="str">
        <f t="shared" si="57"/>
        <v/>
      </c>
      <c r="I1236" s="36" t="str">
        <f t="shared" ca="1" si="58"/>
        <v/>
      </c>
      <c r="J1236" s="36" t="str">
        <f t="shared" si="59"/>
        <v/>
      </c>
    </row>
    <row r="1237" spans="1:10" ht="15" customHeight="1" x14ac:dyDescent="0.25">
      <c r="A1237" s="35" t="str">
        <f t="shared" si="57"/>
        <v/>
      </c>
      <c r="I1237" s="36" t="str">
        <f t="shared" ca="1" si="58"/>
        <v/>
      </c>
      <c r="J1237" s="36" t="str">
        <f t="shared" si="59"/>
        <v/>
      </c>
    </row>
    <row r="1238" spans="1:10" ht="15" customHeight="1" x14ac:dyDescent="0.25">
      <c r="A1238" s="35" t="str">
        <f t="shared" si="57"/>
        <v/>
      </c>
      <c r="I1238" s="36" t="str">
        <f t="shared" ca="1" si="58"/>
        <v/>
      </c>
      <c r="J1238" s="36" t="str">
        <f t="shared" si="59"/>
        <v/>
      </c>
    </row>
    <row r="1239" spans="1:10" ht="15" customHeight="1" x14ac:dyDescent="0.25">
      <c r="A1239" s="35" t="str">
        <f t="shared" si="57"/>
        <v/>
      </c>
      <c r="I1239" s="36" t="str">
        <f t="shared" ca="1" si="58"/>
        <v/>
      </c>
      <c r="J1239" s="36" t="str">
        <f t="shared" si="59"/>
        <v/>
      </c>
    </row>
    <row r="1240" spans="1:10" ht="15" customHeight="1" x14ac:dyDescent="0.25">
      <c r="A1240" s="35" t="str">
        <f t="shared" si="57"/>
        <v/>
      </c>
      <c r="I1240" s="36" t="str">
        <f t="shared" ca="1" si="58"/>
        <v/>
      </c>
      <c r="J1240" s="36" t="str">
        <f t="shared" si="59"/>
        <v/>
      </c>
    </row>
    <row r="1241" spans="1:10" ht="15" customHeight="1" x14ac:dyDescent="0.25">
      <c r="A1241" s="35" t="str">
        <f t="shared" si="57"/>
        <v/>
      </c>
      <c r="I1241" s="36" t="str">
        <f t="shared" ca="1" si="58"/>
        <v/>
      </c>
      <c r="J1241" s="36" t="str">
        <f t="shared" si="59"/>
        <v/>
      </c>
    </row>
    <row r="1242" spans="1:10" ht="15" customHeight="1" x14ac:dyDescent="0.25">
      <c r="A1242" s="35" t="str">
        <f t="shared" si="57"/>
        <v/>
      </c>
      <c r="I1242" s="36" t="str">
        <f t="shared" ca="1" si="58"/>
        <v/>
      </c>
      <c r="J1242" s="36" t="str">
        <f t="shared" si="59"/>
        <v/>
      </c>
    </row>
    <row r="1243" spans="1:10" ht="15" customHeight="1" x14ac:dyDescent="0.25">
      <c r="A1243" s="35" t="str">
        <f t="shared" si="57"/>
        <v/>
      </c>
      <c r="I1243" s="36" t="str">
        <f t="shared" ca="1" si="58"/>
        <v/>
      </c>
      <c r="J1243" s="36" t="str">
        <f t="shared" si="59"/>
        <v/>
      </c>
    </row>
    <row r="1244" spans="1:10" ht="15" customHeight="1" x14ac:dyDescent="0.25">
      <c r="A1244" s="35" t="str">
        <f t="shared" si="57"/>
        <v/>
      </c>
      <c r="I1244" s="36" t="str">
        <f t="shared" ca="1" si="58"/>
        <v/>
      </c>
      <c r="J1244" s="36" t="str">
        <f t="shared" si="59"/>
        <v/>
      </c>
    </row>
    <row r="1245" spans="1:10" ht="15" customHeight="1" x14ac:dyDescent="0.25">
      <c r="A1245" s="35" t="str">
        <f t="shared" si="57"/>
        <v/>
      </c>
      <c r="I1245" s="36" t="str">
        <f t="shared" ca="1" si="58"/>
        <v/>
      </c>
      <c r="J1245" s="36" t="str">
        <f t="shared" si="59"/>
        <v/>
      </c>
    </row>
    <row r="1246" spans="1:10" ht="15" customHeight="1" x14ac:dyDescent="0.25">
      <c r="A1246" s="35" t="str">
        <f t="shared" si="57"/>
        <v/>
      </c>
      <c r="I1246" s="36" t="str">
        <f t="shared" ca="1" si="58"/>
        <v/>
      </c>
      <c r="J1246" s="36" t="str">
        <f t="shared" si="59"/>
        <v/>
      </c>
    </row>
    <row r="1247" spans="1:10" ht="15" customHeight="1" x14ac:dyDescent="0.25">
      <c r="A1247" s="35" t="str">
        <f t="shared" si="57"/>
        <v/>
      </c>
      <c r="I1247" s="36" t="str">
        <f t="shared" ca="1" si="58"/>
        <v/>
      </c>
      <c r="J1247" s="36" t="str">
        <f t="shared" si="59"/>
        <v/>
      </c>
    </row>
    <row r="1248" spans="1:10" ht="15" customHeight="1" x14ac:dyDescent="0.25">
      <c r="A1248" s="35" t="str">
        <f t="shared" si="57"/>
        <v/>
      </c>
      <c r="I1248" s="36" t="str">
        <f t="shared" ca="1" si="58"/>
        <v/>
      </c>
      <c r="J1248" s="36" t="str">
        <f t="shared" si="59"/>
        <v/>
      </c>
    </row>
    <row r="1249" spans="1:10" ht="15" customHeight="1" x14ac:dyDescent="0.25">
      <c r="A1249" s="35" t="str">
        <f t="shared" si="57"/>
        <v/>
      </c>
      <c r="I1249" s="36" t="str">
        <f t="shared" ca="1" si="58"/>
        <v/>
      </c>
      <c r="J1249" s="36" t="str">
        <f t="shared" si="59"/>
        <v/>
      </c>
    </row>
    <row r="1250" spans="1:10" ht="15" customHeight="1" x14ac:dyDescent="0.25">
      <c r="A1250" s="35" t="str">
        <f t="shared" si="57"/>
        <v/>
      </c>
      <c r="I1250" s="36" t="str">
        <f t="shared" ca="1" si="58"/>
        <v/>
      </c>
      <c r="J1250" s="36" t="str">
        <f t="shared" si="59"/>
        <v/>
      </c>
    </row>
    <row r="1251" spans="1:10" ht="15" customHeight="1" x14ac:dyDescent="0.25">
      <c r="A1251" s="35" t="str">
        <f t="shared" si="57"/>
        <v/>
      </c>
      <c r="I1251" s="36" t="str">
        <f t="shared" ca="1" si="58"/>
        <v/>
      </c>
      <c r="J1251" s="36" t="str">
        <f t="shared" si="59"/>
        <v/>
      </c>
    </row>
    <row r="1252" spans="1:10" ht="15" customHeight="1" x14ac:dyDescent="0.25">
      <c r="A1252" s="35" t="str">
        <f t="shared" si="57"/>
        <v/>
      </c>
      <c r="I1252" s="36" t="str">
        <f t="shared" ca="1" si="58"/>
        <v/>
      </c>
      <c r="J1252" s="36" t="str">
        <f t="shared" si="59"/>
        <v/>
      </c>
    </row>
    <row r="1253" spans="1:10" ht="15" customHeight="1" x14ac:dyDescent="0.25">
      <c r="A1253" s="35" t="str">
        <f t="shared" si="57"/>
        <v/>
      </c>
      <c r="I1253" s="36" t="str">
        <f t="shared" ca="1" si="58"/>
        <v/>
      </c>
      <c r="J1253" s="36" t="str">
        <f t="shared" si="59"/>
        <v/>
      </c>
    </row>
    <row r="1254" spans="1:10" ht="15" customHeight="1" x14ac:dyDescent="0.25">
      <c r="A1254" s="35" t="str">
        <f t="shared" si="57"/>
        <v/>
      </c>
      <c r="I1254" s="36" t="str">
        <f t="shared" ca="1" si="58"/>
        <v/>
      </c>
      <c r="J1254" s="36" t="str">
        <f t="shared" si="59"/>
        <v/>
      </c>
    </row>
    <row r="1255" spans="1:10" ht="15" customHeight="1" x14ac:dyDescent="0.25">
      <c r="A1255" s="35" t="str">
        <f t="shared" si="57"/>
        <v/>
      </c>
      <c r="I1255" s="36" t="str">
        <f t="shared" ca="1" si="58"/>
        <v/>
      </c>
      <c r="J1255" s="36" t="str">
        <f t="shared" si="59"/>
        <v/>
      </c>
    </row>
    <row r="1256" spans="1:10" ht="15" customHeight="1" x14ac:dyDescent="0.25">
      <c r="A1256" s="35" t="str">
        <f t="shared" si="57"/>
        <v/>
      </c>
      <c r="I1256" s="36" t="str">
        <f t="shared" ca="1" si="58"/>
        <v/>
      </c>
      <c r="J1256" s="36" t="str">
        <f t="shared" si="59"/>
        <v/>
      </c>
    </row>
    <row r="1257" spans="1:10" ht="15" customHeight="1" x14ac:dyDescent="0.25">
      <c r="A1257" s="35" t="str">
        <f t="shared" si="57"/>
        <v/>
      </c>
      <c r="I1257" s="36" t="str">
        <f t="shared" ca="1" si="58"/>
        <v/>
      </c>
      <c r="J1257" s="36" t="str">
        <f t="shared" si="59"/>
        <v/>
      </c>
    </row>
    <row r="1258" spans="1:10" ht="15" customHeight="1" x14ac:dyDescent="0.25">
      <c r="A1258" s="35" t="str">
        <f t="shared" si="57"/>
        <v/>
      </c>
      <c r="I1258" s="36" t="str">
        <f t="shared" ca="1" si="58"/>
        <v/>
      </c>
      <c r="J1258" s="36" t="str">
        <f t="shared" si="59"/>
        <v/>
      </c>
    </row>
    <row r="1259" spans="1:10" ht="15" customHeight="1" x14ac:dyDescent="0.25">
      <c r="A1259" s="35" t="str">
        <f t="shared" si="57"/>
        <v/>
      </c>
      <c r="I1259" s="36" t="str">
        <f t="shared" ca="1" si="58"/>
        <v/>
      </c>
      <c r="J1259" s="36" t="str">
        <f t="shared" si="59"/>
        <v/>
      </c>
    </row>
    <row r="1260" spans="1:10" ht="15" customHeight="1" x14ac:dyDescent="0.25">
      <c r="A1260" s="35" t="str">
        <f t="shared" si="57"/>
        <v/>
      </c>
      <c r="I1260" s="36" t="str">
        <f t="shared" ca="1" si="58"/>
        <v/>
      </c>
      <c r="J1260" s="36" t="str">
        <f t="shared" si="59"/>
        <v/>
      </c>
    </row>
    <row r="1261" spans="1:10" ht="15" customHeight="1" x14ac:dyDescent="0.25">
      <c r="A1261" s="35" t="str">
        <f t="shared" si="57"/>
        <v/>
      </c>
      <c r="I1261" s="36" t="str">
        <f t="shared" ca="1" si="58"/>
        <v/>
      </c>
      <c r="J1261" s="36" t="str">
        <f t="shared" si="59"/>
        <v/>
      </c>
    </row>
    <row r="1262" spans="1:10" ht="15" customHeight="1" x14ac:dyDescent="0.25">
      <c r="A1262" s="35" t="str">
        <f t="shared" si="57"/>
        <v/>
      </c>
      <c r="I1262" s="36" t="str">
        <f t="shared" ca="1" si="58"/>
        <v/>
      </c>
      <c r="J1262" s="36" t="str">
        <f t="shared" si="59"/>
        <v/>
      </c>
    </row>
    <row r="1263" spans="1:10" ht="15" customHeight="1" x14ac:dyDescent="0.25">
      <c r="A1263" s="35" t="str">
        <f t="shared" si="57"/>
        <v/>
      </c>
      <c r="I1263" s="36" t="str">
        <f t="shared" ca="1" si="58"/>
        <v/>
      </c>
      <c r="J1263" s="36" t="str">
        <f t="shared" si="59"/>
        <v/>
      </c>
    </row>
    <row r="1264" spans="1:10" ht="15" customHeight="1" x14ac:dyDescent="0.25">
      <c r="A1264" s="35" t="str">
        <f t="shared" si="57"/>
        <v/>
      </c>
      <c r="I1264" s="36" t="str">
        <f t="shared" ca="1" si="58"/>
        <v/>
      </c>
      <c r="J1264" s="36" t="str">
        <f t="shared" si="59"/>
        <v/>
      </c>
    </row>
    <row r="1265" spans="1:10" ht="15" customHeight="1" x14ac:dyDescent="0.25">
      <c r="A1265" s="35" t="str">
        <f t="shared" si="57"/>
        <v/>
      </c>
      <c r="I1265" s="36" t="str">
        <f t="shared" ca="1" si="58"/>
        <v/>
      </c>
      <c r="J1265" s="36" t="str">
        <f t="shared" si="59"/>
        <v/>
      </c>
    </row>
    <row r="1266" spans="1:10" ht="15" customHeight="1" x14ac:dyDescent="0.25">
      <c r="A1266" s="35" t="str">
        <f t="shared" si="57"/>
        <v/>
      </c>
      <c r="I1266" s="36" t="str">
        <f t="shared" ca="1" si="58"/>
        <v/>
      </c>
      <c r="J1266" s="36" t="str">
        <f t="shared" si="59"/>
        <v/>
      </c>
    </row>
    <row r="1267" spans="1:10" ht="15" customHeight="1" x14ac:dyDescent="0.25">
      <c r="A1267" s="35" t="str">
        <f t="shared" si="57"/>
        <v/>
      </c>
      <c r="I1267" s="36" t="str">
        <f t="shared" ca="1" si="58"/>
        <v/>
      </c>
      <c r="J1267" s="36" t="str">
        <f t="shared" si="59"/>
        <v/>
      </c>
    </row>
    <row r="1268" spans="1:10" ht="15" customHeight="1" x14ac:dyDescent="0.25">
      <c r="A1268" s="35" t="str">
        <f t="shared" si="57"/>
        <v/>
      </c>
      <c r="I1268" s="36" t="str">
        <f t="shared" ca="1" si="58"/>
        <v/>
      </c>
      <c r="J1268" s="36" t="str">
        <f t="shared" si="59"/>
        <v/>
      </c>
    </row>
    <row r="1269" spans="1:10" ht="15" customHeight="1" x14ac:dyDescent="0.25">
      <c r="A1269" s="35" t="str">
        <f t="shared" si="57"/>
        <v/>
      </c>
      <c r="I1269" s="36" t="str">
        <f t="shared" ca="1" si="58"/>
        <v/>
      </c>
      <c r="J1269" s="36" t="str">
        <f t="shared" si="59"/>
        <v/>
      </c>
    </row>
    <row r="1270" spans="1:10" ht="15" customHeight="1" x14ac:dyDescent="0.25">
      <c r="A1270" s="35" t="str">
        <f t="shared" si="57"/>
        <v/>
      </c>
      <c r="I1270" s="36" t="str">
        <f t="shared" ca="1" si="58"/>
        <v/>
      </c>
      <c r="J1270" s="36" t="str">
        <f t="shared" si="59"/>
        <v/>
      </c>
    </row>
    <row r="1271" spans="1:10" ht="15" customHeight="1" x14ac:dyDescent="0.25">
      <c r="A1271" s="35" t="str">
        <f t="shared" si="57"/>
        <v/>
      </c>
      <c r="I1271" s="36" t="str">
        <f t="shared" ca="1" si="58"/>
        <v/>
      </c>
      <c r="J1271" s="36" t="str">
        <f t="shared" si="59"/>
        <v/>
      </c>
    </row>
    <row r="1272" spans="1:10" ht="15" customHeight="1" x14ac:dyDescent="0.25">
      <c r="A1272" s="35" t="str">
        <f t="shared" si="57"/>
        <v/>
      </c>
      <c r="I1272" s="36" t="str">
        <f t="shared" ca="1" si="58"/>
        <v/>
      </c>
      <c r="J1272" s="36" t="str">
        <f t="shared" si="59"/>
        <v/>
      </c>
    </row>
    <row r="1273" spans="1:10" ht="15" customHeight="1" x14ac:dyDescent="0.25">
      <c r="A1273" s="35" t="str">
        <f t="shared" si="57"/>
        <v/>
      </c>
      <c r="I1273" s="36" t="str">
        <f t="shared" ca="1" si="58"/>
        <v/>
      </c>
      <c r="J1273" s="36" t="str">
        <f t="shared" si="59"/>
        <v/>
      </c>
    </row>
    <row r="1274" spans="1:10" ht="15" customHeight="1" x14ac:dyDescent="0.25">
      <c r="A1274" s="35" t="str">
        <f t="shared" si="57"/>
        <v/>
      </c>
      <c r="I1274" s="36" t="str">
        <f t="shared" ca="1" si="58"/>
        <v/>
      </c>
      <c r="J1274" s="36" t="str">
        <f t="shared" si="59"/>
        <v/>
      </c>
    </row>
    <row r="1275" spans="1:10" ht="15" customHeight="1" x14ac:dyDescent="0.25">
      <c r="A1275" s="35" t="str">
        <f t="shared" si="57"/>
        <v/>
      </c>
      <c r="I1275" s="36" t="str">
        <f t="shared" ca="1" si="58"/>
        <v/>
      </c>
      <c r="J1275" s="36" t="str">
        <f t="shared" si="59"/>
        <v/>
      </c>
    </row>
    <row r="1276" spans="1:10" ht="15" customHeight="1" x14ac:dyDescent="0.25">
      <c r="A1276" s="35" t="str">
        <f t="shared" si="57"/>
        <v/>
      </c>
      <c r="I1276" s="36" t="str">
        <f t="shared" ca="1" si="58"/>
        <v/>
      </c>
      <c r="J1276" s="36" t="str">
        <f t="shared" si="59"/>
        <v/>
      </c>
    </row>
    <row r="1277" spans="1:10" ht="15" customHeight="1" x14ac:dyDescent="0.25">
      <c r="A1277" s="35" t="str">
        <f t="shared" si="57"/>
        <v/>
      </c>
      <c r="I1277" s="36" t="str">
        <f t="shared" ca="1" si="58"/>
        <v/>
      </c>
      <c r="J1277" s="36" t="str">
        <f t="shared" si="59"/>
        <v/>
      </c>
    </row>
    <row r="1278" spans="1:10" ht="15" customHeight="1" x14ac:dyDescent="0.25">
      <c r="A1278" s="35" t="str">
        <f t="shared" si="57"/>
        <v/>
      </c>
      <c r="I1278" s="36" t="str">
        <f t="shared" ca="1" si="58"/>
        <v/>
      </c>
      <c r="J1278" s="36" t="str">
        <f t="shared" si="59"/>
        <v/>
      </c>
    </row>
    <row r="1279" spans="1:10" ht="15" customHeight="1" x14ac:dyDescent="0.25">
      <c r="A1279" s="35" t="str">
        <f t="shared" si="57"/>
        <v/>
      </c>
      <c r="I1279" s="36" t="str">
        <f t="shared" ca="1" si="58"/>
        <v/>
      </c>
      <c r="J1279" s="36" t="str">
        <f t="shared" si="59"/>
        <v/>
      </c>
    </row>
    <row r="1280" spans="1:10" ht="15" customHeight="1" x14ac:dyDescent="0.25">
      <c r="A1280" s="35" t="str">
        <f t="shared" si="57"/>
        <v/>
      </c>
      <c r="I1280" s="36" t="str">
        <f t="shared" ca="1" si="58"/>
        <v/>
      </c>
      <c r="J1280" s="36" t="str">
        <f t="shared" si="59"/>
        <v/>
      </c>
    </row>
    <row r="1281" spans="1:10" ht="15" customHeight="1" x14ac:dyDescent="0.25">
      <c r="A1281" s="35" t="str">
        <f t="shared" si="57"/>
        <v/>
      </c>
      <c r="I1281" s="36" t="str">
        <f t="shared" ca="1" si="58"/>
        <v/>
      </c>
      <c r="J1281" s="36" t="str">
        <f t="shared" si="59"/>
        <v/>
      </c>
    </row>
    <row r="1282" spans="1:10" ht="15" customHeight="1" x14ac:dyDescent="0.25">
      <c r="A1282" s="35" t="str">
        <f t="shared" si="57"/>
        <v/>
      </c>
      <c r="I1282" s="36" t="str">
        <f t="shared" ca="1" si="58"/>
        <v/>
      </c>
      <c r="J1282" s="36" t="str">
        <f t="shared" si="59"/>
        <v/>
      </c>
    </row>
    <row r="1283" spans="1:10" ht="15" customHeight="1" x14ac:dyDescent="0.25">
      <c r="A1283" s="35" t="str">
        <f t="shared" si="57"/>
        <v/>
      </c>
      <c r="I1283" s="36" t="str">
        <f t="shared" ca="1" si="58"/>
        <v/>
      </c>
      <c r="J1283" s="36" t="str">
        <f t="shared" si="59"/>
        <v/>
      </c>
    </row>
    <row r="1284" spans="1:10" ht="15" customHeight="1" x14ac:dyDescent="0.25">
      <c r="A1284" s="35" t="str">
        <f t="shared" si="57"/>
        <v/>
      </c>
      <c r="I1284" s="36" t="str">
        <f t="shared" ca="1" si="58"/>
        <v/>
      </c>
      <c r="J1284" s="36" t="str">
        <f t="shared" si="59"/>
        <v/>
      </c>
    </row>
    <row r="1285" spans="1:10" ht="15" customHeight="1" x14ac:dyDescent="0.25">
      <c r="A1285" s="35" t="str">
        <f t="shared" ref="A1285:A1348" si="60">IF(B1285="","","ACC"&amp;TEXT(ROW()-4,"0000"))</f>
        <v/>
      </c>
      <c r="I1285" s="36" t="str">
        <f t="shared" ref="I1285:I1348" ca="1" si="61">IF(B1285="","",TEXT(TODAY(),"dd/mm/yyyy"))</f>
        <v/>
      </c>
      <c r="J1285" s="36" t="str">
        <f t="shared" ref="J1285:J1348" si="62">IF(B1285="","",IF(ISNUMBER(H1285),IF(H1285&gt;=10,"✅ Active","⚠️ Below Min Balance"),"Pending"))</f>
        <v/>
      </c>
    </row>
    <row r="1286" spans="1:10" ht="15" customHeight="1" x14ac:dyDescent="0.25">
      <c r="A1286" s="35" t="str">
        <f t="shared" si="60"/>
        <v/>
      </c>
      <c r="I1286" s="36" t="str">
        <f t="shared" ca="1" si="61"/>
        <v/>
      </c>
      <c r="J1286" s="36" t="str">
        <f t="shared" si="62"/>
        <v/>
      </c>
    </row>
    <row r="1287" spans="1:10" ht="15" customHeight="1" x14ac:dyDescent="0.25">
      <c r="A1287" s="35" t="str">
        <f t="shared" si="60"/>
        <v/>
      </c>
      <c r="I1287" s="36" t="str">
        <f t="shared" ca="1" si="61"/>
        <v/>
      </c>
      <c r="J1287" s="36" t="str">
        <f t="shared" si="62"/>
        <v/>
      </c>
    </row>
    <row r="1288" spans="1:10" ht="15" customHeight="1" x14ac:dyDescent="0.25">
      <c r="A1288" s="35" t="str">
        <f t="shared" si="60"/>
        <v/>
      </c>
      <c r="I1288" s="36" t="str">
        <f t="shared" ca="1" si="61"/>
        <v/>
      </c>
      <c r="J1288" s="36" t="str">
        <f t="shared" si="62"/>
        <v/>
      </c>
    </row>
    <row r="1289" spans="1:10" ht="15" customHeight="1" x14ac:dyDescent="0.25">
      <c r="A1289" s="35" t="str">
        <f t="shared" si="60"/>
        <v/>
      </c>
      <c r="I1289" s="36" t="str">
        <f t="shared" ca="1" si="61"/>
        <v/>
      </c>
      <c r="J1289" s="36" t="str">
        <f t="shared" si="62"/>
        <v/>
      </c>
    </row>
    <row r="1290" spans="1:10" ht="15" customHeight="1" x14ac:dyDescent="0.25">
      <c r="A1290" s="35" t="str">
        <f t="shared" si="60"/>
        <v/>
      </c>
      <c r="I1290" s="36" t="str">
        <f t="shared" ca="1" si="61"/>
        <v/>
      </c>
      <c r="J1290" s="36" t="str">
        <f t="shared" si="62"/>
        <v/>
      </c>
    </row>
    <row r="1291" spans="1:10" ht="15" customHeight="1" x14ac:dyDescent="0.25">
      <c r="A1291" s="35" t="str">
        <f t="shared" si="60"/>
        <v/>
      </c>
      <c r="I1291" s="36" t="str">
        <f t="shared" ca="1" si="61"/>
        <v/>
      </c>
      <c r="J1291" s="36" t="str">
        <f t="shared" si="62"/>
        <v/>
      </c>
    </row>
    <row r="1292" spans="1:10" ht="15" customHeight="1" x14ac:dyDescent="0.25">
      <c r="A1292" s="35" t="str">
        <f t="shared" si="60"/>
        <v/>
      </c>
      <c r="I1292" s="36" t="str">
        <f t="shared" ca="1" si="61"/>
        <v/>
      </c>
      <c r="J1292" s="36" t="str">
        <f t="shared" si="62"/>
        <v/>
      </c>
    </row>
    <row r="1293" spans="1:10" ht="15" customHeight="1" x14ac:dyDescent="0.25">
      <c r="A1293" s="35" t="str">
        <f t="shared" si="60"/>
        <v/>
      </c>
      <c r="I1293" s="36" t="str">
        <f t="shared" ca="1" si="61"/>
        <v/>
      </c>
      <c r="J1293" s="36" t="str">
        <f t="shared" si="62"/>
        <v/>
      </c>
    </row>
    <row r="1294" spans="1:10" ht="15" customHeight="1" x14ac:dyDescent="0.25">
      <c r="A1294" s="35" t="str">
        <f t="shared" si="60"/>
        <v/>
      </c>
      <c r="I1294" s="36" t="str">
        <f t="shared" ca="1" si="61"/>
        <v/>
      </c>
      <c r="J1294" s="36" t="str">
        <f t="shared" si="62"/>
        <v/>
      </c>
    </row>
    <row r="1295" spans="1:10" ht="15" customHeight="1" x14ac:dyDescent="0.25">
      <c r="A1295" s="35" t="str">
        <f t="shared" si="60"/>
        <v/>
      </c>
      <c r="I1295" s="36" t="str">
        <f t="shared" ca="1" si="61"/>
        <v/>
      </c>
      <c r="J1295" s="36" t="str">
        <f t="shared" si="62"/>
        <v/>
      </c>
    </row>
    <row r="1296" spans="1:10" ht="15" customHeight="1" x14ac:dyDescent="0.25">
      <c r="A1296" s="35" t="str">
        <f t="shared" si="60"/>
        <v/>
      </c>
      <c r="I1296" s="36" t="str">
        <f t="shared" ca="1" si="61"/>
        <v/>
      </c>
      <c r="J1296" s="36" t="str">
        <f t="shared" si="62"/>
        <v/>
      </c>
    </row>
    <row r="1297" spans="1:10" ht="15" customHeight="1" x14ac:dyDescent="0.25">
      <c r="A1297" s="35" t="str">
        <f t="shared" si="60"/>
        <v/>
      </c>
      <c r="I1297" s="36" t="str">
        <f t="shared" ca="1" si="61"/>
        <v/>
      </c>
      <c r="J1297" s="36" t="str">
        <f t="shared" si="62"/>
        <v/>
      </c>
    </row>
    <row r="1298" spans="1:10" ht="15" customHeight="1" x14ac:dyDescent="0.25">
      <c r="A1298" s="35" t="str">
        <f t="shared" si="60"/>
        <v/>
      </c>
      <c r="I1298" s="36" t="str">
        <f t="shared" ca="1" si="61"/>
        <v/>
      </c>
      <c r="J1298" s="36" t="str">
        <f t="shared" si="62"/>
        <v/>
      </c>
    </row>
    <row r="1299" spans="1:10" ht="15" customHeight="1" x14ac:dyDescent="0.25">
      <c r="A1299" s="35" t="str">
        <f t="shared" si="60"/>
        <v/>
      </c>
      <c r="I1299" s="36" t="str">
        <f t="shared" ca="1" si="61"/>
        <v/>
      </c>
      <c r="J1299" s="36" t="str">
        <f t="shared" si="62"/>
        <v/>
      </c>
    </row>
    <row r="1300" spans="1:10" ht="15" customHeight="1" x14ac:dyDescent="0.25">
      <c r="A1300" s="35" t="str">
        <f t="shared" si="60"/>
        <v/>
      </c>
      <c r="I1300" s="36" t="str">
        <f t="shared" ca="1" si="61"/>
        <v/>
      </c>
      <c r="J1300" s="36" t="str">
        <f t="shared" si="62"/>
        <v/>
      </c>
    </row>
    <row r="1301" spans="1:10" ht="15" customHeight="1" x14ac:dyDescent="0.25">
      <c r="A1301" s="35" t="str">
        <f t="shared" si="60"/>
        <v/>
      </c>
      <c r="I1301" s="36" t="str">
        <f t="shared" ca="1" si="61"/>
        <v/>
      </c>
      <c r="J1301" s="36" t="str">
        <f t="shared" si="62"/>
        <v/>
      </c>
    </row>
    <row r="1302" spans="1:10" ht="15" customHeight="1" x14ac:dyDescent="0.25">
      <c r="A1302" s="35" t="str">
        <f t="shared" si="60"/>
        <v/>
      </c>
      <c r="I1302" s="36" t="str">
        <f t="shared" ca="1" si="61"/>
        <v/>
      </c>
      <c r="J1302" s="36" t="str">
        <f t="shared" si="62"/>
        <v/>
      </c>
    </row>
    <row r="1303" spans="1:10" ht="15" customHeight="1" x14ac:dyDescent="0.25">
      <c r="A1303" s="35" t="str">
        <f t="shared" si="60"/>
        <v/>
      </c>
      <c r="I1303" s="36" t="str">
        <f t="shared" ca="1" si="61"/>
        <v/>
      </c>
      <c r="J1303" s="36" t="str">
        <f t="shared" si="62"/>
        <v/>
      </c>
    </row>
    <row r="1304" spans="1:10" ht="15" customHeight="1" x14ac:dyDescent="0.25">
      <c r="A1304" s="35" t="str">
        <f t="shared" si="60"/>
        <v/>
      </c>
      <c r="I1304" s="36" t="str">
        <f t="shared" ca="1" si="61"/>
        <v/>
      </c>
      <c r="J1304" s="36" t="str">
        <f t="shared" si="62"/>
        <v/>
      </c>
    </row>
    <row r="1305" spans="1:10" ht="15" customHeight="1" x14ac:dyDescent="0.25">
      <c r="A1305" s="35" t="str">
        <f t="shared" si="60"/>
        <v/>
      </c>
      <c r="I1305" s="36" t="str">
        <f t="shared" ca="1" si="61"/>
        <v/>
      </c>
      <c r="J1305" s="36" t="str">
        <f t="shared" si="62"/>
        <v/>
      </c>
    </row>
    <row r="1306" spans="1:10" ht="15" customHeight="1" x14ac:dyDescent="0.25">
      <c r="A1306" s="35" t="str">
        <f t="shared" si="60"/>
        <v/>
      </c>
      <c r="I1306" s="36" t="str">
        <f t="shared" ca="1" si="61"/>
        <v/>
      </c>
      <c r="J1306" s="36" t="str">
        <f t="shared" si="62"/>
        <v/>
      </c>
    </row>
    <row r="1307" spans="1:10" ht="15" customHeight="1" x14ac:dyDescent="0.25">
      <c r="A1307" s="35" t="str">
        <f t="shared" si="60"/>
        <v/>
      </c>
      <c r="I1307" s="36" t="str">
        <f t="shared" ca="1" si="61"/>
        <v/>
      </c>
      <c r="J1307" s="36" t="str">
        <f t="shared" si="62"/>
        <v/>
      </c>
    </row>
    <row r="1308" spans="1:10" ht="15" customHeight="1" x14ac:dyDescent="0.25">
      <c r="A1308" s="35" t="str">
        <f t="shared" si="60"/>
        <v/>
      </c>
      <c r="I1308" s="36" t="str">
        <f t="shared" ca="1" si="61"/>
        <v/>
      </c>
      <c r="J1308" s="36" t="str">
        <f t="shared" si="62"/>
        <v/>
      </c>
    </row>
    <row r="1309" spans="1:10" ht="15" customHeight="1" x14ac:dyDescent="0.25">
      <c r="A1309" s="35" t="str">
        <f t="shared" si="60"/>
        <v/>
      </c>
      <c r="I1309" s="36" t="str">
        <f t="shared" ca="1" si="61"/>
        <v/>
      </c>
      <c r="J1309" s="36" t="str">
        <f t="shared" si="62"/>
        <v/>
      </c>
    </row>
    <row r="1310" spans="1:10" ht="15" customHeight="1" x14ac:dyDescent="0.25">
      <c r="A1310" s="35" t="str">
        <f t="shared" si="60"/>
        <v/>
      </c>
      <c r="I1310" s="36" t="str">
        <f t="shared" ca="1" si="61"/>
        <v/>
      </c>
      <c r="J1310" s="36" t="str">
        <f t="shared" si="62"/>
        <v/>
      </c>
    </row>
    <row r="1311" spans="1:10" ht="15" customHeight="1" x14ac:dyDescent="0.25">
      <c r="A1311" s="35" t="str">
        <f t="shared" si="60"/>
        <v/>
      </c>
      <c r="I1311" s="36" t="str">
        <f t="shared" ca="1" si="61"/>
        <v/>
      </c>
      <c r="J1311" s="36" t="str">
        <f t="shared" si="62"/>
        <v/>
      </c>
    </row>
    <row r="1312" spans="1:10" ht="15" customHeight="1" x14ac:dyDescent="0.25">
      <c r="A1312" s="35" t="str">
        <f t="shared" si="60"/>
        <v/>
      </c>
      <c r="I1312" s="36" t="str">
        <f t="shared" ca="1" si="61"/>
        <v/>
      </c>
      <c r="J1312" s="36" t="str">
        <f t="shared" si="62"/>
        <v/>
      </c>
    </row>
    <row r="1313" spans="1:10" ht="15" customHeight="1" x14ac:dyDescent="0.25">
      <c r="A1313" s="35" t="str">
        <f t="shared" si="60"/>
        <v/>
      </c>
      <c r="I1313" s="36" t="str">
        <f t="shared" ca="1" si="61"/>
        <v/>
      </c>
      <c r="J1313" s="36" t="str">
        <f t="shared" si="62"/>
        <v/>
      </c>
    </row>
    <row r="1314" spans="1:10" ht="15" customHeight="1" x14ac:dyDescent="0.25">
      <c r="A1314" s="35" t="str">
        <f t="shared" si="60"/>
        <v/>
      </c>
      <c r="I1314" s="36" t="str">
        <f t="shared" ca="1" si="61"/>
        <v/>
      </c>
      <c r="J1314" s="36" t="str">
        <f t="shared" si="62"/>
        <v/>
      </c>
    </row>
    <row r="1315" spans="1:10" ht="15" customHeight="1" x14ac:dyDescent="0.25">
      <c r="A1315" s="35" t="str">
        <f t="shared" si="60"/>
        <v/>
      </c>
      <c r="I1315" s="36" t="str">
        <f t="shared" ca="1" si="61"/>
        <v/>
      </c>
      <c r="J1315" s="36" t="str">
        <f t="shared" si="62"/>
        <v/>
      </c>
    </row>
    <row r="1316" spans="1:10" ht="15" customHeight="1" x14ac:dyDescent="0.25">
      <c r="A1316" s="35" t="str">
        <f t="shared" si="60"/>
        <v/>
      </c>
      <c r="I1316" s="36" t="str">
        <f t="shared" ca="1" si="61"/>
        <v/>
      </c>
      <c r="J1316" s="36" t="str">
        <f t="shared" si="62"/>
        <v/>
      </c>
    </row>
    <row r="1317" spans="1:10" ht="15" customHeight="1" x14ac:dyDescent="0.25">
      <c r="A1317" s="35" t="str">
        <f t="shared" si="60"/>
        <v/>
      </c>
      <c r="I1317" s="36" t="str">
        <f t="shared" ca="1" si="61"/>
        <v/>
      </c>
      <c r="J1317" s="36" t="str">
        <f t="shared" si="62"/>
        <v/>
      </c>
    </row>
    <row r="1318" spans="1:10" ht="15" customHeight="1" x14ac:dyDescent="0.25">
      <c r="A1318" s="35" t="str">
        <f t="shared" si="60"/>
        <v/>
      </c>
      <c r="I1318" s="36" t="str">
        <f t="shared" ca="1" si="61"/>
        <v/>
      </c>
      <c r="J1318" s="36" t="str">
        <f t="shared" si="62"/>
        <v/>
      </c>
    </row>
    <row r="1319" spans="1:10" ht="15" customHeight="1" x14ac:dyDescent="0.25">
      <c r="A1319" s="35" t="str">
        <f t="shared" si="60"/>
        <v/>
      </c>
      <c r="I1319" s="36" t="str">
        <f t="shared" ca="1" si="61"/>
        <v/>
      </c>
      <c r="J1319" s="36" t="str">
        <f t="shared" si="62"/>
        <v/>
      </c>
    </row>
    <row r="1320" spans="1:10" ht="15" customHeight="1" x14ac:dyDescent="0.25">
      <c r="A1320" s="35" t="str">
        <f t="shared" si="60"/>
        <v/>
      </c>
      <c r="I1320" s="36" t="str">
        <f t="shared" ca="1" si="61"/>
        <v/>
      </c>
      <c r="J1320" s="36" t="str">
        <f t="shared" si="62"/>
        <v/>
      </c>
    </row>
    <row r="1321" spans="1:10" ht="15" customHeight="1" x14ac:dyDescent="0.25">
      <c r="A1321" s="35" t="str">
        <f t="shared" si="60"/>
        <v/>
      </c>
      <c r="I1321" s="36" t="str">
        <f t="shared" ca="1" si="61"/>
        <v/>
      </c>
      <c r="J1321" s="36" t="str">
        <f t="shared" si="62"/>
        <v/>
      </c>
    </row>
    <row r="1322" spans="1:10" ht="15" customHeight="1" x14ac:dyDescent="0.25">
      <c r="A1322" s="35" t="str">
        <f t="shared" si="60"/>
        <v/>
      </c>
      <c r="I1322" s="36" t="str">
        <f t="shared" ca="1" si="61"/>
        <v/>
      </c>
      <c r="J1322" s="36" t="str">
        <f t="shared" si="62"/>
        <v/>
      </c>
    </row>
    <row r="1323" spans="1:10" ht="15" customHeight="1" x14ac:dyDescent="0.25">
      <c r="A1323" s="35" t="str">
        <f t="shared" si="60"/>
        <v/>
      </c>
      <c r="I1323" s="36" t="str">
        <f t="shared" ca="1" si="61"/>
        <v/>
      </c>
      <c r="J1323" s="36" t="str">
        <f t="shared" si="62"/>
        <v/>
      </c>
    </row>
    <row r="1324" spans="1:10" ht="15" customHeight="1" x14ac:dyDescent="0.25">
      <c r="A1324" s="35" t="str">
        <f t="shared" si="60"/>
        <v/>
      </c>
      <c r="I1324" s="36" t="str">
        <f t="shared" ca="1" si="61"/>
        <v/>
      </c>
      <c r="J1324" s="36" t="str">
        <f t="shared" si="62"/>
        <v/>
      </c>
    </row>
    <row r="1325" spans="1:10" ht="15" customHeight="1" x14ac:dyDescent="0.25">
      <c r="A1325" s="35" t="str">
        <f t="shared" si="60"/>
        <v/>
      </c>
      <c r="I1325" s="36" t="str">
        <f t="shared" ca="1" si="61"/>
        <v/>
      </c>
      <c r="J1325" s="36" t="str">
        <f t="shared" si="62"/>
        <v/>
      </c>
    </row>
    <row r="1326" spans="1:10" ht="15" customHeight="1" x14ac:dyDescent="0.25">
      <c r="A1326" s="35" t="str">
        <f t="shared" si="60"/>
        <v/>
      </c>
      <c r="I1326" s="36" t="str">
        <f t="shared" ca="1" si="61"/>
        <v/>
      </c>
      <c r="J1326" s="36" t="str">
        <f t="shared" si="62"/>
        <v/>
      </c>
    </row>
    <row r="1327" spans="1:10" ht="15" customHeight="1" x14ac:dyDescent="0.25">
      <c r="A1327" s="35" t="str">
        <f t="shared" si="60"/>
        <v/>
      </c>
      <c r="I1327" s="36" t="str">
        <f t="shared" ca="1" si="61"/>
        <v/>
      </c>
      <c r="J1327" s="36" t="str">
        <f t="shared" si="62"/>
        <v/>
      </c>
    </row>
    <row r="1328" spans="1:10" ht="15" customHeight="1" x14ac:dyDescent="0.25">
      <c r="A1328" s="35" t="str">
        <f t="shared" si="60"/>
        <v/>
      </c>
      <c r="I1328" s="36" t="str">
        <f t="shared" ca="1" si="61"/>
        <v/>
      </c>
      <c r="J1328" s="36" t="str">
        <f t="shared" si="62"/>
        <v/>
      </c>
    </row>
    <row r="1329" spans="1:10" ht="15" customHeight="1" x14ac:dyDescent="0.25">
      <c r="A1329" s="35" t="str">
        <f t="shared" si="60"/>
        <v/>
      </c>
      <c r="I1329" s="36" t="str">
        <f t="shared" ca="1" si="61"/>
        <v/>
      </c>
      <c r="J1329" s="36" t="str">
        <f t="shared" si="62"/>
        <v/>
      </c>
    </row>
    <row r="1330" spans="1:10" ht="15" customHeight="1" x14ac:dyDescent="0.25">
      <c r="A1330" s="35" t="str">
        <f t="shared" si="60"/>
        <v/>
      </c>
      <c r="I1330" s="36" t="str">
        <f t="shared" ca="1" si="61"/>
        <v/>
      </c>
      <c r="J1330" s="36" t="str">
        <f t="shared" si="62"/>
        <v/>
      </c>
    </row>
    <row r="1331" spans="1:10" ht="15" customHeight="1" x14ac:dyDescent="0.25">
      <c r="A1331" s="35" t="str">
        <f t="shared" si="60"/>
        <v/>
      </c>
      <c r="I1331" s="36" t="str">
        <f t="shared" ca="1" si="61"/>
        <v/>
      </c>
      <c r="J1331" s="36" t="str">
        <f t="shared" si="62"/>
        <v/>
      </c>
    </row>
    <row r="1332" spans="1:10" ht="15" customHeight="1" x14ac:dyDescent="0.25">
      <c r="A1332" s="35" t="str">
        <f t="shared" si="60"/>
        <v/>
      </c>
      <c r="I1332" s="36" t="str">
        <f t="shared" ca="1" si="61"/>
        <v/>
      </c>
      <c r="J1332" s="36" t="str">
        <f t="shared" si="62"/>
        <v/>
      </c>
    </row>
    <row r="1333" spans="1:10" ht="15" customHeight="1" x14ac:dyDescent="0.25">
      <c r="A1333" s="35" t="str">
        <f t="shared" si="60"/>
        <v/>
      </c>
      <c r="I1333" s="36" t="str">
        <f t="shared" ca="1" si="61"/>
        <v/>
      </c>
      <c r="J1333" s="36" t="str">
        <f t="shared" si="62"/>
        <v/>
      </c>
    </row>
    <row r="1334" spans="1:10" ht="15" customHeight="1" x14ac:dyDescent="0.25">
      <c r="A1334" s="35" t="str">
        <f t="shared" si="60"/>
        <v/>
      </c>
      <c r="I1334" s="36" t="str">
        <f t="shared" ca="1" si="61"/>
        <v/>
      </c>
      <c r="J1334" s="36" t="str">
        <f t="shared" si="62"/>
        <v/>
      </c>
    </row>
    <row r="1335" spans="1:10" ht="15" customHeight="1" x14ac:dyDescent="0.25">
      <c r="A1335" s="35" t="str">
        <f t="shared" si="60"/>
        <v/>
      </c>
      <c r="I1335" s="36" t="str">
        <f t="shared" ca="1" si="61"/>
        <v/>
      </c>
      <c r="J1335" s="36" t="str">
        <f t="shared" si="62"/>
        <v/>
      </c>
    </row>
    <row r="1336" spans="1:10" ht="15" customHeight="1" x14ac:dyDescent="0.25">
      <c r="A1336" s="35" t="str">
        <f t="shared" si="60"/>
        <v/>
      </c>
      <c r="I1336" s="36" t="str">
        <f t="shared" ca="1" si="61"/>
        <v/>
      </c>
      <c r="J1336" s="36" t="str">
        <f t="shared" si="62"/>
        <v/>
      </c>
    </row>
    <row r="1337" spans="1:10" ht="15" customHeight="1" x14ac:dyDescent="0.25">
      <c r="A1337" s="35" t="str">
        <f t="shared" si="60"/>
        <v/>
      </c>
      <c r="I1337" s="36" t="str">
        <f t="shared" ca="1" si="61"/>
        <v/>
      </c>
      <c r="J1337" s="36" t="str">
        <f t="shared" si="62"/>
        <v/>
      </c>
    </row>
    <row r="1338" spans="1:10" ht="15" customHeight="1" x14ac:dyDescent="0.25">
      <c r="A1338" s="35" t="str">
        <f t="shared" si="60"/>
        <v/>
      </c>
      <c r="I1338" s="36" t="str">
        <f t="shared" ca="1" si="61"/>
        <v/>
      </c>
      <c r="J1338" s="36" t="str">
        <f t="shared" si="62"/>
        <v/>
      </c>
    </row>
    <row r="1339" spans="1:10" ht="15" customHeight="1" x14ac:dyDescent="0.25">
      <c r="A1339" s="35" t="str">
        <f t="shared" si="60"/>
        <v/>
      </c>
      <c r="I1339" s="36" t="str">
        <f t="shared" ca="1" si="61"/>
        <v/>
      </c>
      <c r="J1339" s="36" t="str">
        <f t="shared" si="62"/>
        <v/>
      </c>
    </row>
    <row r="1340" spans="1:10" ht="15" customHeight="1" x14ac:dyDescent="0.25">
      <c r="A1340" s="35" t="str">
        <f t="shared" si="60"/>
        <v/>
      </c>
      <c r="I1340" s="36" t="str">
        <f t="shared" ca="1" si="61"/>
        <v/>
      </c>
      <c r="J1340" s="36" t="str">
        <f t="shared" si="62"/>
        <v/>
      </c>
    </row>
    <row r="1341" spans="1:10" ht="15" customHeight="1" x14ac:dyDescent="0.25">
      <c r="A1341" s="35" t="str">
        <f t="shared" si="60"/>
        <v/>
      </c>
      <c r="I1341" s="36" t="str">
        <f t="shared" ca="1" si="61"/>
        <v/>
      </c>
      <c r="J1341" s="36" t="str">
        <f t="shared" si="62"/>
        <v/>
      </c>
    </row>
    <row r="1342" spans="1:10" ht="15" customHeight="1" x14ac:dyDescent="0.25">
      <c r="A1342" s="35" t="str">
        <f t="shared" si="60"/>
        <v/>
      </c>
      <c r="I1342" s="36" t="str">
        <f t="shared" ca="1" si="61"/>
        <v/>
      </c>
      <c r="J1342" s="36" t="str">
        <f t="shared" si="62"/>
        <v/>
      </c>
    </row>
    <row r="1343" spans="1:10" ht="15" customHeight="1" x14ac:dyDescent="0.25">
      <c r="A1343" s="35" t="str">
        <f t="shared" si="60"/>
        <v/>
      </c>
      <c r="I1343" s="36" t="str">
        <f t="shared" ca="1" si="61"/>
        <v/>
      </c>
      <c r="J1343" s="36" t="str">
        <f t="shared" si="62"/>
        <v/>
      </c>
    </row>
    <row r="1344" spans="1:10" ht="15" customHeight="1" x14ac:dyDescent="0.25">
      <c r="A1344" s="35" t="str">
        <f t="shared" si="60"/>
        <v/>
      </c>
      <c r="I1344" s="36" t="str">
        <f t="shared" ca="1" si="61"/>
        <v/>
      </c>
      <c r="J1344" s="36" t="str">
        <f t="shared" si="62"/>
        <v/>
      </c>
    </row>
    <row r="1345" spans="1:10" ht="15" customHeight="1" x14ac:dyDescent="0.25">
      <c r="A1345" s="35" t="str">
        <f t="shared" si="60"/>
        <v/>
      </c>
      <c r="I1345" s="36" t="str">
        <f t="shared" ca="1" si="61"/>
        <v/>
      </c>
      <c r="J1345" s="36" t="str">
        <f t="shared" si="62"/>
        <v/>
      </c>
    </row>
    <row r="1346" spans="1:10" ht="15" customHeight="1" x14ac:dyDescent="0.25">
      <c r="A1346" s="35" t="str">
        <f t="shared" si="60"/>
        <v/>
      </c>
      <c r="I1346" s="36" t="str">
        <f t="shared" ca="1" si="61"/>
        <v/>
      </c>
      <c r="J1346" s="36" t="str">
        <f t="shared" si="62"/>
        <v/>
      </c>
    </row>
    <row r="1347" spans="1:10" ht="15" customHeight="1" x14ac:dyDescent="0.25">
      <c r="A1347" s="35" t="str">
        <f t="shared" si="60"/>
        <v/>
      </c>
      <c r="I1347" s="36" t="str">
        <f t="shared" ca="1" si="61"/>
        <v/>
      </c>
      <c r="J1347" s="36" t="str">
        <f t="shared" si="62"/>
        <v/>
      </c>
    </row>
    <row r="1348" spans="1:10" ht="15" customHeight="1" x14ac:dyDescent="0.25">
      <c r="A1348" s="35" t="str">
        <f t="shared" si="60"/>
        <v/>
      </c>
      <c r="I1348" s="36" t="str">
        <f t="shared" ca="1" si="61"/>
        <v/>
      </c>
      <c r="J1348" s="36" t="str">
        <f t="shared" si="62"/>
        <v/>
      </c>
    </row>
    <row r="1349" spans="1:10" ht="15" customHeight="1" x14ac:dyDescent="0.25">
      <c r="A1349" s="35" t="str">
        <f t="shared" ref="A1349:A1412" si="63">IF(B1349="","","ACC"&amp;TEXT(ROW()-4,"0000"))</f>
        <v/>
      </c>
      <c r="I1349" s="36" t="str">
        <f t="shared" ref="I1349:I1412" ca="1" si="64">IF(B1349="","",TEXT(TODAY(),"dd/mm/yyyy"))</f>
        <v/>
      </c>
      <c r="J1349" s="36" t="str">
        <f t="shared" ref="J1349:J1412" si="65">IF(B1349="","",IF(ISNUMBER(H1349),IF(H1349&gt;=10,"✅ Active","⚠️ Below Min Balance"),"Pending"))</f>
        <v/>
      </c>
    </row>
    <row r="1350" spans="1:10" ht="15" customHeight="1" x14ac:dyDescent="0.25">
      <c r="A1350" s="35" t="str">
        <f t="shared" si="63"/>
        <v/>
      </c>
      <c r="I1350" s="36" t="str">
        <f t="shared" ca="1" si="64"/>
        <v/>
      </c>
      <c r="J1350" s="36" t="str">
        <f t="shared" si="65"/>
        <v/>
      </c>
    </row>
    <row r="1351" spans="1:10" ht="15" customHeight="1" x14ac:dyDescent="0.25">
      <c r="A1351" s="35" t="str">
        <f t="shared" si="63"/>
        <v/>
      </c>
      <c r="I1351" s="36" t="str">
        <f t="shared" ca="1" si="64"/>
        <v/>
      </c>
      <c r="J1351" s="36" t="str">
        <f t="shared" si="65"/>
        <v/>
      </c>
    </row>
    <row r="1352" spans="1:10" ht="15" customHeight="1" x14ac:dyDescent="0.25">
      <c r="A1352" s="35" t="str">
        <f t="shared" si="63"/>
        <v/>
      </c>
      <c r="I1352" s="36" t="str">
        <f t="shared" ca="1" si="64"/>
        <v/>
      </c>
      <c r="J1352" s="36" t="str">
        <f t="shared" si="65"/>
        <v/>
      </c>
    </row>
    <row r="1353" spans="1:10" ht="15" customHeight="1" x14ac:dyDescent="0.25">
      <c r="A1353" s="35" t="str">
        <f t="shared" si="63"/>
        <v/>
      </c>
      <c r="I1353" s="36" t="str">
        <f t="shared" ca="1" si="64"/>
        <v/>
      </c>
      <c r="J1353" s="36" t="str">
        <f t="shared" si="65"/>
        <v/>
      </c>
    </row>
    <row r="1354" spans="1:10" ht="15" customHeight="1" x14ac:dyDescent="0.25">
      <c r="A1354" s="35" t="str">
        <f t="shared" si="63"/>
        <v/>
      </c>
      <c r="I1354" s="36" t="str">
        <f t="shared" ca="1" si="64"/>
        <v/>
      </c>
      <c r="J1354" s="36" t="str">
        <f t="shared" si="65"/>
        <v/>
      </c>
    </row>
    <row r="1355" spans="1:10" ht="15" customHeight="1" x14ac:dyDescent="0.25">
      <c r="A1355" s="35" t="str">
        <f t="shared" si="63"/>
        <v/>
      </c>
      <c r="I1355" s="36" t="str">
        <f t="shared" ca="1" si="64"/>
        <v/>
      </c>
      <c r="J1355" s="36" t="str">
        <f t="shared" si="65"/>
        <v/>
      </c>
    </row>
    <row r="1356" spans="1:10" ht="15" customHeight="1" x14ac:dyDescent="0.25">
      <c r="A1356" s="35" t="str">
        <f t="shared" si="63"/>
        <v/>
      </c>
      <c r="I1356" s="36" t="str">
        <f t="shared" ca="1" si="64"/>
        <v/>
      </c>
      <c r="J1356" s="36" t="str">
        <f t="shared" si="65"/>
        <v/>
      </c>
    </row>
    <row r="1357" spans="1:10" ht="15" customHeight="1" x14ac:dyDescent="0.25">
      <c r="A1357" s="35" t="str">
        <f t="shared" si="63"/>
        <v/>
      </c>
      <c r="I1357" s="36" t="str">
        <f t="shared" ca="1" si="64"/>
        <v/>
      </c>
      <c r="J1357" s="36" t="str">
        <f t="shared" si="65"/>
        <v/>
      </c>
    </row>
    <row r="1358" spans="1:10" ht="15" customHeight="1" x14ac:dyDescent="0.25">
      <c r="A1358" s="35" t="str">
        <f t="shared" si="63"/>
        <v/>
      </c>
      <c r="I1358" s="36" t="str">
        <f t="shared" ca="1" si="64"/>
        <v/>
      </c>
      <c r="J1358" s="36" t="str">
        <f t="shared" si="65"/>
        <v/>
      </c>
    </row>
    <row r="1359" spans="1:10" ht="15" customHeight="1" x14ac:dyDescent="0.25">
      <c r="A1359" s="35" t="str">
        <f t="shared" si="63"/>
        <v/>
      </c>
      <c r="I1359" s="36" t="str">
        <f t="shared" ca="1" si="64"/>
        <v/>
      </c>
      <c r="J1359" s="36" t="str">
        <f t="shared" si="65"/>
        <v/>
      </c>
    </row>
    <row r="1360" spans="1:10" ht="15" customHeight="1" x14ac:dyDescent="0.25">
      <c r="A1360" s="35" t="str">
        <f t="shared" si="63"/>
        <v/>
      </c>
      <c r="I1360" s="36" t="str">
        <f t="shared" ca="1" si="64"/>
        <v/>
      </c>
      <c r="J1360" s="36" t="str">
        <f t="shared" si="65"/>
        <v/>
      </c>
    </row>
    <row r="1361" spans="1:10" ht="15" customHeight="1" x14ac:dyDescent="0.25">
      <c r="A1361" s="35" t="str">
        <f t="shared" si="63"/>
        <v/>
      </c>
      <c r="I1361" s="36" t="str">
        <f t="shared" ca="1" si="64"/>
        <v/>
      </c>
      <c r="J1361" s="36" t="str">
        <f t="shared" si="65"/>
        <v/>
      </c>
    </row>
    <row r="1362" spans="1:10" ht="15" customHeight="1" x14ac:dyDescent="0.25">
      <c r="A1362" s="35" t="str">
        <f t="shared" si="63"/>
        <v/>
      </c>
      <c r="I1362" s="36" t="str">
        <f t="shared" ca="1" si="64"/>
        <v/>
      </c>
      <c r="J1362" s="36" t="str">
        <f t="shared" si="65"/>
        <v/>
      </c>
    </row>
    <row r="1363" spans="1:10" ht="15" customHeight="1" x14ac:dyDescent="0.25">
      <c r="A1363" s="35" t="str">
        <f t="shared" si="63"/>
        <v/>
      </c>
      <c r="I1363" s="36" t="str">
        <f t="shared" ca="1" si="64"/>
        <v/>
      </c>
      <c r="J1363" s="36" t="str">
        <f t="shared" si="65"/>
        <v/>
      </c>
    </row>
    <row r="1364" spans="1:10" ht="15" customHeight="1" x14ac:dyDescent="0.25">
      <c r="A1364" s="35" t="str">
        <f t="shared" si="63"/>
        <v/>
      </c>
      <c r="I1364" s="36" t="str">
        <f t="shared" ca="1" si="64"/>
        <v/>
      </c>
      <c r="J1364" s="36" t="str">
        <f t="shared" si="65"/>
        <v/>
      </c>
    </row>
    <row r="1365" spans="1:10" ht="15" customHeight="1" x14ac:dyDescent="0.25">
      <c r="A1365" s="35" t="str">
        <f t="shared" si="63"/>
        <v/>
      </c>
      <c r="I1365" s="36" t="str">
        <f t="shared" ca="1" si="64"/>
        <v/>
      </c>
      <c r="J1365" s="36" t="str">
        <f t="shared" si="65"/>
        <v/>
      </c>
    </row>
    <row r="1366" spans="1:10" ht="15" customHeight="1" x14ac:dyDescent="0.25">
      <c r="A1366" s="35" t="str">
        <f t="shared" si="63"/>
        <v/>
      </c>
      <c r="I1366" s="36" t="str">
        <f t="shared" ca="1" si="64"/>
        <v/>
      </c>
      <c r="J1366" s="36" t="str">
        <f t="shared" si="65"/>
        <v/>
      </c>
    </row>
    <row r="1367" spans="1:10" ht="15" customHeight="1" x14ac:dyDescent="0.25">
      <c r="A1367" s="35" t="str">
        <f t="shared" si="63"/>
        <v/>
      </c>
      <c r="I1367" s="36" t="str">
        <f t="shared" ca="1" si="64"/>
        <v/>
      </c>
      <c r="J1367" s="36" t="str">
        <f t="shared" si="65"/>
        <v/>
      </c>
    </row>
    <row r="1368" spans="1:10" ht="15" customHeight="1" x14ac:dyDescent="0.25">
      <c r="A1368" s="35" t="str">
        <f t="shared" si="63"/>
        <v/>
      </c>
      <c r="I1368" s="36" t="str">
        <f t="shared" ca="1" si="64"/>
        <v/>
      </c>
      <c r="J1368" s="36" t="str">
        <f t="shared" si="65"/>
        <v/>
      </c>
    </row>
    <row r="1369" spans="1:10" ht="15" customHeight="1" x14ac:dyDescent="0.25">
      <c r="A1369" s="35" t="str">
        <f t="shared" si="63"/>
        <v/>
      </c>
      <c r="I1369" s="36" t="str">
        <f t="shared" ca="1" si="64"/>
        <v/>
      </c>
      <c r="J1369" s="36" t="str">
        <f t="shared" si="65"/>
        <v/>
      </c>
    </row>
    <row r="1370" spans="1:10" ht="15" customHeight="1" x14ac:dyDescent="0.25">
      <c r="A1370" s="35" t="str">
        <f t="shared" si="63"/>
        <v/>
      </c>
      <c r="I1370" s="36" t="str">
        <f t="shared" ca="1" si="64"/>
        <v/>
      </c>
      <c r="J1370" s="36" t="str">
        <f t="shared" si="65"/>
        <v/>
      </c>
    </row>
    <row r="1371" spans="1:10" ht="15" customHeight="1" x14ac:dyDescent="0.25">
      <c r="A1371" s="35" t="str">
        <f t="shared" si="63"/>
        <v/>
      </c>
      <c r="I1371" s="36" t="str">
        <f t="shared" ca="1" si="64"/>
        <v/>
      </c>
      <c r="J1371" s="36" t="str">
        <f t="shared" si="65"/>
        <v/>
      </c>
    </row>
    <row r="1372" spans="1:10" ht="15" customHeight="1" x14ac:dyDescent="0.25">
      <c r="A1372" s="35" t="str">
        <f t="shared" si="63"/>
        <v/>
      </c>
      <c r="I1372" s="36" t="str">
        <f t="shared" ca="1" si="64"/>
        <v/>
      </c>
      <c r="J1372" s="36" t="str">
        <f t="shared" si="65"/>
        <v/>
      </c>
    </row>
    <row r="1373" spans="1:10" ht="15" customHeight="1" x14ac:dyDescent="0.25">
      <c r="A1373" s="35" t="str">
        <f t="shared" si="63"/>
        <v/>
      </c>
      <c r="I1373" s="36" t="str">
        <f t="shared" ca="1" si="64"/>
        <v/>
      </c>
      <c r="J1373" s="36" t="str">
        <f t="shared" si="65"/>
        <v/>
      </c>
    </row>
    <row r="1374" spans="1:10" ht="15" customHeight="1" x14ac:dyDescent="0.25">
      <c r="A1374" s="35" t="str">
        <f t="shared" si="63"/>
        <v/>
      </c>
      <c r="I1374" s="36" t="str">
        <f t="shared" ca="1" si="64"/>
        <v/>
      </c>
      <c r="J1374" s="36" t="str">
        <f t="shared" si="65"/>
        <v/>
      </c>
    </row>
    <row r="1375" spans="1:10" ht="15" customHeight="1" x14ac:dyDescent="0.25">
      <c r="A1375" s="35" t="str">
        <f t="shared" si="63"/>
        <v/>
      </c>
      <c r="I1375" s="36" t="str">
        <f t="shared" ca="1" si="64"/>
        <v/>
      </c>
      <c r="J1375" s="36" t="str">
        <f t="shared" si="65"/>
        <v/>
      </c>
    </row>
    <row r="1376" spans="1:10" ht="15" customHeight="1" x14ac:dyDescent="0.25">
      <c r="A1376" s="35" t="str">
        <f t="shared" si="63"/>
        <v/>
      </c>
      <c r="I1376" s="36" t="str">
        <f t="shared" ca="1" si="64"/>
        <v/>
      </c>
      <c r="J1376" s="36" t="str">
        <f t="shared" si="65"/>
        <v/>
      </c>
    </row>
    <row r="1377" spans="1:10" ht="15" customHeight="1" x14ac:dyDescent="0.25">
      <c r="A1377" s="35" t="str">
        <f t="shared" si="63"/>
        <v/>
      </c>
      <c r="I1377" s="36" t="str">
        <f t="shared" ca="1" si="64"/>
        <v/>
      </c>
      <c r="J1377" s="36" t="str">
        <f t="shared" si="65"/>
        <v/>
      </c>
    </row>
    <row r="1378" spans="1:10" ht="15" customHeight="1" x14ac:dyDescent="0.25">
      <c r="A1378" s="35" t="str">
        <f t="shared" si="63"/>
        <v/>
      </c>
      <c r="I1378" s="36" t="str">
        <f t="shared" ca="1" si="64"/>
        <v/>
      </c>
      <c r="J1378" s="36" t="str">
        <f t="shared" si="65"/>
        <v/>
      </c>
    </row>
    <row r="1379" spans="1:10" ht="15" customHeight="1" x14ac:dyDescent="0.25">
      <c r="A1379" s="35" t="str">
        <f t="shared" si="63"/>
        <v/>
      </c>
      <c r="I1379" s="36" t="str">
        <f t="shared" ca="1" si="64"/>
        <v/>
      </c>
      <c r="J1379" s="36" t="str">
        <f t="shared" si="65"/>
        <v/>
      </c>
    </row>
    <row r="1380" spans="1:10" ht="15" customHeight="1" x14ac:dyDescent="0.25">
      <c r="A1380" s="35" t="str">
        <f t="shared" si="63"/>
        <v/>
      </c>
      <c r="I1380" s="36" t="str">
        <f t="shared" ca="1" si="64"/>
        <v/>
      </c>
      <c r="J1380" s="36" t="str">
        <f t="shared" si="65"/>
        <v/>
      </c>
    </row>
    <row r="1381" spans="1:10" ht="15" customHeight="1" x14ac:dyDescent="0.25">
      <c r="A1381" s="35" t="str">
        <f t="shared" si="63"/>
        <v/>
      </c>
      <c r="I1381" s="36" t="str">
        <f t="shared" ca="1" si="64"/>
        <v/>
      </c>
      <c r="J1381" s="36" t="str">
        <f t="shared" si="65"/>
        <v/>
      </c>
    </row>
    <row r="1382" spans="1:10" ht="15" customHeight="1" x14ac:dyDescent="0.25">
      <c r="A1382" s="35" t="str">
        <f t="shared" si="63"/>
        <v/>
      </c>
      <c r="I1382" s="36" t="str">
        <f t="shared" ca="1" si="64"/>
        <v/>
      </c>
      <c r="J1382" s="36" t="str">
        <f t="shared" si="65"/>
        <v/>
      </c>
    </row>
    <row r="1383" spans="1:10" ht="15" customHeight="1" x14ac:dyDescent="0.25">
      <c r="A1383" s="35" t="str">
        <f t="shared" si="63"/>
        <v/>
      </c>
      <c r="I1383" s="36" t="str">
        <f t="shared" ca="1" si="64"/>
        <v/>
      </c>
      <c r="J1383" s="36" t="str">
        <f t="shared" si="65"/>
        <v/>
      </c>
    </row>
    <row r="1384" spans="1:10" ht="15" customHeight="1" x14ac:dyDescent="0.25">
      <c r="A1384" s="35" t="str">
        <f t="shared" si="63"/>
        <v/>
      </c>
      <c r="I1384" s="36" t="str">
        <f t="shared" ca="1" si="64"/>
        <v/>
      </c>
      <c r="J1384" s="36" t="str">
        <f t="shared" si="65"/>
        <v/>
      </c>
    </row>
    <row r="1385" spans="1:10" ht="15" customHeight="1" x14ac:dyDescent="0.25">
      <c r="A1385" s="35" t="str">
        <f t="shared" si="63"/>
        <v/>
      </c>
      <c r="I1385" s="36" t="str">
        <f t="shared" ca="1" si="64"/>
        <v/>
      </c>
      <c r="J1385" s="36" t="str">
        <f t="shared" si="65"/>
        <v/>
      </c>
    </row>
    <row r="1386" spans="1:10" ht="15" customHeight="1" x14ac:dyDescent="0.25">
      <c r="A1386" s="35" t="str">
        <f t="shared" si="63"/>
        <v/>
      </c>
      <c r="I1386" s="36" t="str">
        <f t="shared" ca="1" si="64"/>
        <v/>
      </c>
      <c r="J1386" s="36" t="str">
        <f t="shared" si="65"/>
        <v/>
      </c>
    </row>
    <row r="1387" spans="1:10" ht="15" customHeight="1" x14ac:dyDescent="0.25">
      <c r="A1387" s="35" t="str">
        <f t="shared" si="63"/>
        <v/>
      </c>
      <c r="I1387" s="36" t="str">
        <f t="shared" ca="1" si="64"/>
        <v/>
      </c>
      <c r="J1387" s="36" t="str">
        <f t="shared" si="65"/>
        <v/>
      </c>
    </row>
    <row r="1388" spans="1:10" ht="15" customHeight="1" x14ac:dyDescent="0.25">
      <c r="A1388" s="35" t="str">
        <f t="shared" si="63"/>
        <v/>
      </c>
      <c r="I1388" s="36" t="str">
        <f t="shared" ca="1" si="64"/>
        <v/>
      </c>
      <c r="J1388" s="36" t="str">
        <f t="shared" si="65"/>
        <v/>
      </c>
    </row>
    <row r="1389" spans="1:10" ht="15" customHeight="1" x14ac:dyDescent="0.25">
      <c r="A1389" s="35" t="str">
        <f t="shared" si="63"/>
        <v/>
      </c>
      <c r="I1389" s="36" t="str">
        <f t="shared" ca="1" si="64"/>
        <v/>
      </c>
      <c r="J1389" s="36" t="str">
        <f t="shared" si="65"/>
        <v/>
      </c>
    </row>
    <row r="1390" spans="1:10" ht="15" customHeight="1" x14ac:dyDescent="0.25">
      <c r="A1390" s="35" t="str">
        <f t="shared" si="63"/>
        <v/>
      </c>
      <c r="I1390" s="36" t="str">
        <f t="shared" ca="1" si="64"/>
        <v/>
      </c>
      <c r="J1390" s="36" t="str">
        <f t="shared" si="65"/>
        <v/>
      </c>
    </row>
    <row r="1391" spans="1:10" ht="15" customHeight="1" x14ac:dyDescent="0.25">
      <c r="A1391" s="35" t="str">
        <f t="shared" si="63"/>
        <v/>
      </c>
      <c r="I1391" s="36" t="str">
        <f t="shared" ca="1" si="64"/>
        <v/>
      </c>
      <c r="J1391" s="36" t="str">
        <f t="shared" si="65"/>
        <v/>
      </c>
    </row>
    <row r="1392" spans="1:10" ht="15" customHeight="1" x14ac:dyDescent="0.25">
      <c r="A1392" s="35" t="str">
        <f t="shared" si="63"/>
        <v/>
      </c>
      <c r="I1392" s="36" t="str">
        <f t="shared" ca="1" si="64"/>
        <v/>
      </c>
      <c r="J1392" s="36" t="str">
        <f t="shared" si="65"/>
        <v/>
      </c>
    </row>
    <row r="1393" spans="1:10" ht="15" customHeight="1" x14ac:dyDescent="0.25">
      <c r="A1393" s="35" t="str">
        <f t="shared" si="63"/>
        <v/>
      </c>
      <c r="I1393" s="36" t="str">
        <f t="shared" ca="1" si="64"/>
        <v/>
      </c>
      <c r="J1393" s="36" t="str">
        <f t="shared" si="65"/>
        <v/>
      </c>
    </row>
    <row r="1394" spans="1:10" ht="15" customHeight="1" x14ac:dyDescent="0.25">
      <c r="A1394" s="35" t="str">
        <f t="shared" si="63"/>
        <v/>
      </c>
      <c r="I1394" s="36" t="str">
        <f t="shared" ca="1" si="64"/>
        <v/>
      </c>
      <c r="J1394" s="36" t="str">
        <f t="shared" si="65"/>
        <v/>
      </c>
    </row>
    <row r="1395" spans="1:10" ht="15" customHeight="1" x14ac:dyDescent="0.25">
      <c r="A1395" s="35" t="str">
        <f t="shared" si="63"/>
        <v/>
      </c>
      <c r="I1395" s="36" t="str">
        <f t="shared" ca="1" si="64"/>
        <v/>
      </c>
      <c r="J1395" s="36" t="str">
        <f t="shared" si="65"/>
        <v/>
      </c>
    </row>
    <row r="1396" spans="1:10" ht="15" customHeight="1" x14ac:dyDescent="0.25">
      <c r="A1396" s="35" t="str">
        <f t="shared" si="63"/>
        <v/>
      </c>
      <c r="I1396" s="36" t="str">
        <f t="shared" ca="1" si="64"/>
        <v/>
      </c>
      <c r="J1396" s="36" t="str">
        <f t="shared" si="65"/>
        <v/>
      </c>
    </row>
    <row r="1397" spans="1:10" ht="15" customHeight="1" x14ac:dyDescent="0.25">
      <c r="A1397" s="35" t="str">
        <f t="shared" si="63"/>
        <v/>
      </c>
      <c r="I1397" s="36" t="str">
        <f t="shared" ca="1" si="64"/>
        <v/>
      </c>
      <c r="J1397" s="36" t="str">
        <f t="shared" si="65"/>
        <v/>
      </c>
    </row>
    <row r="1398" spans="1:10" ht="15" customHeight="1" x14ac:dyDescent="0.25">
      <c r="A1398" s="35" t="str">
        <f t="shared" si="63"/>
        <v/>
      </c>
      <c r="I1398" s="36" t="str">
        <f t="shared" ca="1" si="64"/>
        <v/>
      </c>
      <c r="J1398" s="36" t="str">
        <f t="shared" si="65"/>
        <v/>
      </c>
    </row>
    <row r="1399" spans="1:10" ht="15" customHeight="1" x14ac:dyDescent="0.25">
      <c r="A1399" s="35" t="str">
        <f t="shared" si="63"/>
        <v/>
      </c>
      <c r="I1399" s="36" t="str">
        <f t="shared" ca="1" si="64"/>
        <v/>
      </c>
      <c r="J1399" s="36" t="str">
        <f t="shared" si="65"/>
        <v/>
      </c>
    </row>
    <row r="1400" spans="1:10" ht="15" customHeight="1" x14ac:dyDescent="0.25">
      <c r="A1400" s="35" t="str">
        <f t="shared" si="63"/>
        <v/>
      </c>
      <c r="I1400" s="36" t="str">
        <f t="shared" ca="1" si="64"/>
        <v/>
      </c>
      <c r="J1400" s="36" t="str">
        <f t="shared" si="65"/>
        <v/>
      </c>
    </row>
    <row r="1401" spans="1:10" ht="15" customHeight="1" x14ac:dyDescent="0.25">
      <c r="A1401" s="35" t="str">
        <f t="shared" si="63"/>
        <v/>
      </c>
      <c r="I1401" s="36" t="str">
        <f t="shared" ca="1" si="64"/>
        <v/>
      </c>
      <c r="J1401" s="36" t="str">
        <f t="shared" si="65"/>
        <v/>
      </c>
    </row>
    <row r="1402" spans="1:10" ht="15" customHeight="1" x14ac:dyDescent="0.25">
      <c r="A1402" s="35" t="str">
        <f t="shared" si="63"/>
        <v/>
      </c>
      <c r="I1402" s="36" t="str">
        <f t="shared" ca="1" si="64"/>
        <v/>
      </c>
      <c r="J1402" s="36" t="str">
        <f t="shared" si="65"/>
        <v/>
      </c>
    </row>
    <row r="1403" spans="1:10" ht="15" customHeight="1" x14ac:dyDescent="0.25">
      <c r="A1403" s="35" t="str">
        <f t="shared" si="63"/>
        <v/>
      </c>
      <c r="I1403" s="36" t="str">
        <f t="shared" ca="1" si="64"/>
        <v/>
      </c>
      <c r="J1403" s="36" t="str">
        <f t="shared" si="65"/>
        <v/>
      </c>
    </row>
    <row r="1404" spans="1:10" ht="15" customHeight="1" x14ac:dyDescent="0.25">
      <c r="A1404" s="35" t="str">
        <f t="shared" si="63"/>
        <v/>
      </c>
      <c r="I1404" s="36" t="str">
        <f t="shared" ca="1" si="64"/>
        <v/>
      </c>
      <c r="J1404" s="36" t="str">
        <f t="shared" si="65"/>
        <v/>
      </c>
    </row>
    <row r="1405" spans="1:10" ht="15" customHeight="1" x14ac:dyDescent="0.25">
      <c r="A1405" s="35" t="str">
        <f t="shared" si="63"/>
        <v/>
      </c>
      <c r="I1405" s="36" t="str">
        <f t="shared" ca="1" si="64"/>
        <v/>
      </c>
      <c r="J1405" s="36" t="str">
        <f t="shared" si="65"/>
        <v/>
      </c>
    </row>
    <row r="1406" spans="1:10" ht="15" customHeight="1" x14ac:dyDescent="0.25">
      <c r="A1406" s="35" t="str">
        <f t="shared" si="63"/>
        <v/>
      </c>
      <c r="I1406" s="36" t="str">
        <f t="shared" ca="1" si="64"/>
        <v/>
      </c>
      <c r="J1406" s="36" t="str">
        <f t="shared" si="65"/>
        <v/>
      </c>
    </row>
    <row r="1407" spans="1:10" ht="15" customHeight="1" x14ac:dyDescent="0.25">
      <c r="A1407" s="35" t="str">
        <f t="shared" si="63"/>
        <v/>
      </c>
      <c r="I1407" s="36" t="str">
        <f t="shared" ca="1" si="64"/>
        <v/>
      </c>
      <c r="J1407" s="36" t="str">
        <f t="shared" si="65"/>
        <v/>
      </c>
    </row>
    <row r="1408" spans="1:10" ht="15" customHeight="1" x14ac:dyDescent="0.25">
      <c r="A1408" s="35" t="str">
        <f t="shared" si="63"/>
        <v/>
      </c>
      <c r="I1408" s="36" t="str">
        <f t="shared" ca="1" si="64"/>
        <v/>
      </c>
      <c r="J1408" s="36" t="str">
        <f t="shared" si="65"/>
        <v/>
      </c>
    </row>
    <row r="1409" spans="1:10" ht="15" customHeight="1" x14ac:dyDescent="0.25">
      <c r="A1409" s="35" t="str">
        <f t="shared" si="63"/>
        <v/>
      </c>
      <c r="I1409" s="36" t="str">
        <f t="shared" ca="1" si="64"/>
        <v/>
      </c>
      <c r="J1409" s="36" t="str">
        <f t="shared" si="65"/>
        <v/>
      </c>
    </row>
    <row r="1410" spans="1:10" ht="15" customHeight="1" x14ac:dyDescent="0.25">
      <c r="A1410" s="35" t="str">
        <f t="shared" si="63"/>
        <v/>
      </c>
      <c r="I1410" s="36" t="str">
        <f t="shared" ca="1" si="64"/>
        <v/>
      </c>
      <c r="J1410" s="36" t="str">
        <f t="shared" si="65"/>
        <v/>
      </c>
    </row>
    <row r="1411" spans="1:10" ht="15" customHeight="1" x14ac:dyDescent="0.25">
      <c r="A1411" s="35" t="str">
        <f t="shared" si="63"/>
        <v/>
      </c>
      <c r="I1411" s="36" t="str">
        <f t="shared" ca="1" si="64"/>
        <v/>
      </c>
      <c r="J1411" s="36" t="str">
        <f t="shared" si="65"/>
        <v/>
      </c>
    </row>
    <row r="1412" spans="1:10" ht="15" customHeight="1" x14ac:dyDescent="0.25">
      <c r="A1412" s="35" t="str">
        <f t="shared" si="63"/>
        <v/>
      </c>
      <c r="I1412" s="36" t="str">
        <f t="shared" ca="1" si="64"/>
        <v/>
      </c>
      <c r="J1412" s="36" t="str">
        <f t="shared" si="65"/>
        <v/>
      </c>
    </row>
    <row r="1413" spans="1:10" ht="15" customHeight="1" x14ac:dyDescent="0.25">
      <c r="A1413" s="35" t="str">
        <f t="shared" ref="A1413:A1476" si="66">IF(B1413="","","ACC"&amp;TEXT(ROW()-4,"0000"))</f>
        <v/>
      </c>
      <c r="I1413" s="36" t="str">
        <f t="shared" ref="I1413:I1476" ca="1" si="67">IF(B1413="","",TEXT(TODAY(),"dd/mm/yyyy"))</f>
        <v/>
      </c>
      <c r="J1413" s="36" t="str">
        <f t="shared" ref="J1413:J1476" si="68">IF(B1413="","",IF(ISNUMBER(H1413),IF(H1413&gt;=10,"✅ Active","⚠️ Below Min Balance"),"Pending"))</f>
        <v/>
      </c>
    </row>
    <row r="1414" spans="1:10" ht="15" customHeight="1" x14ac:dyDescent="0.25">
      <c r="A1414" s="35" t="str">
        <f t="shared" si="66"/>
        <v/>
      </c>
      <c r="I1414" s="36" t="str">
        <f t="shared" ca="1" si="67"/>
        <v/>
      </c>
      <c r="J1414" s="36" t="str">
        <f t="shared" si="68"/>
        <v/>
      </c>
    </row>
    <row r="1415" spans="1:10" ht="15" customHeight="1" x14ac:dyDescent="0.25">
      <c r="A1415" s="35" t="str">
        <f t="shared" si="66"/>
        <v/>
      </c>
      <c r="I1415" s="36" t="str">
        <f t="shared" ca="1" si="67"/>
        <v/>
      </c>
      <c r="J1415" s="36" t="str">
        <f t="shared" si="68"/>
        <v/>
      </c>
    </row>
    <row r="1416" spans="1:10" ht="15" customHeight="1" x14ac:dyDescent="0.25">
      <c r="A1416" s="35" t="str">
        <f t="shared" si="66"/>
        <v/>
      </c>
      <c r="I1416" s="36" t="str">
        <f t="shared" ca="1" si="67"/>
        <v/>
      </c>
      <c r="J1416" s="36" t="str">
        <f t="shared" si="68"/>
        <v/>
      </c>
    </row>
    <row r="1417" spans="1:10" ht="15" customHeight="1" x14ac:dyDescent="0.25">
      <c r="A1417" s="35" t="str">
        <f t="shared" si="66"/>
        <v/>
      </c>
      <c r="I1417" s="36" t="str">
        <f t="shared" ca="1" si="67"/>
        <v/>
      </c>
      <c r="J1417" s="36" t="str">
        <f t="shared" si="68"/>
        <v/>
      </c>
    </row>
    <row r="1418" spans="1:10" ht="15" customHeight="1" x14ac:dyDescent="0.25">
      <c r="A1418" s="35" t="str">
        <f t="shared" si="66"/>
        <v/>
      </c>
      <c r="I1418" s="36" t="str">
        <f t="shared" ca="1" si="67"/>
        <v/>
      </c>
      <c r="J1418" s="36" t="str">
        <f t="shared" si="68"/>
        <v/>
      </c>
    </row>
    <row r="1419" spans="1:10" ht="15" customHeight="1" x14ac:dyDescent="0.25">
      <c r="A1419" s="35" t="str">
        <f t="shared" si="66"/>
        <v/>
      </c>
      <c r="I1419" s="36" t="str">
        <f t="shared" ca="1" si="67"/>
        <v/>
      </c>
      <c r="J1419" s="36" t="str">
        <f t="shared" si="68"/>
        <v/>
      </c>
    </row>
    <row r="1420" spans="1:10" ht="15" customHeight="1" x14ac:dyDescent="0.25">
      <c r="A1420" s="35" t="str">
        <f t="shared" si="66"/>
        <v/>
      </c>
      <c r="I1420" s="36" t="str">
        <f t="shared" ca="1" si="67"/>
        <v/>
      </c>
      <c r="J1420" s="36" t="str">
        <f t="shared" si="68"/>
        <v/>
      </c>
    </row>
    <row r="1421" spans="1:10" ht="15" customHeight="1" x14ac:dyDescent="0.25">
      <c r="A1421" s="35" t="str">
        <f t="shared" si="66"/>
        <v/>
      </c>
      <c r="I1421" s="36" t="str">
        <f t="shared" ca="1" si="67"/>
        <v/>
      </c>
      <c r="J1421" s="36" t="str">
        <f t="shared" si="68"/>
        <v/>
      </c>
    </row>
    <row r="1422" spans="1:10" ht="15" customHeight="1" x14ac:dyDescent="0.25">
      <c r="A1422" s="35" t="str">
        <f t="shared" si="66"/>
        <v/>
      </c>
      <c r="I1422" s="36" t="str">
        <f t="shared" ca="1" si="67"/>
        <v/>
      </c>
      <c r="J1422" s="36" t="str">
        <f t="shared" si="68"/>
        <v/>
      </c>
    </row>
    <row r="1423" spans="1:10" ht="15" customHeight="1" x14ac:dyDescent="0.25">
      <c r="A1423" s="35" t="str">
        <f t="shared" si="66"/>
        <v/>
      </c>
      <c r="I1423" s="36" t="str">
        <f t="shared" ca="1" si="67"/>
        <v/>
      </c>
      <c r="J1423" s="36" t="str">
        <f t="shared" si="68"/>
        <v/>
      </c>
    </row>
    <row r="1424" spans="1:10" ht="15" customHeight="1" x14ac:dyDescent="0.25">
      <c r="A1424" s="35" t="str">
        <f t="shared" si="66"/>
        <v/>
      </c>
      <c r="I1424" s="36" t="str">
        <f t="shared" ca="1" si="67"/>
        <v/>
      </c>
      <c r="J1424" s="36" t="str">
        <f t="shared" si="68"/>
        <v/>
      </c>
    </row>
    <row r="1425" spans="1:10" ht="15" customHeight="1" x14ac:dyDescent="0.25">
      <c r="A1425" s="35" t="str">
        <f t="shared" si="66"/>
        <v/>
      </c>
      <c r="I1425" s="36" t="str">
        <f t="shared" ca="1" si="67"/>
        <v/>
      </c>
      <c r="J1425" s="36" t="str">
        <f t="shared" si="68"/>
        <v/>
      </c>
    </row>
    <row r="1426" spans="1:10" ht="15" customHeight="1" x14ac:dyDescent="0.25">
      <c r="A1426" s="35" t="str">
        <f t="shared" si="66"/>
        <v/>
      </c>
      <c r="I1426" s="36" t="str">
        <f t="shared" ca="1" si="67"/>
        <v/>
      </c>
      <c r="J1426" s="36" t="str">
        <f t="shared" si="68"/>
        <v/>
      </c>
    </row>
    <row r="1427" spans="1:10" ht="15" customHeight="1" x14ac:dyDescent="0.25">
      <c r="A1427" s="35" t="str">
        <f t="shared" si="66"/>
        <v/>
      </c>
      <c r="I1427" s="36" t="str">
        <f t="shared" ca="1" si="67"/>
        <v/>
      </c>
      <c r="J1427" s="36" t="str">
        <f t="shared" si="68"/>
        <v/>
      </c>
    </row>
    <row r="1428" spans="1:10" ht="15" customHeight="1" x14ac:dyDescent="0.25">
      <c r="A1428" s="35" t="str">
        <f t="shared" si="66"/>
        <v/>
      </c>
      <c r="I1428" s="36" t="str">
        <f t="shared" ca="1" si="67"/>
        <v/>
      </c>
      <c r="J1428" s="36" t="str">
        <f t="shared" si="68"/>
        <v/>
      </c>
    </row>
    <row r="1429" spans="1:10" ht="15" customHeight="1" x14ac:dyDescent="0.25">
      <c r="A1429" s="35" t="str">
        <f t="shared" si="66"/>
        <v/>
      </c>
      <c r="I1429" s="36" t="str">
        <f t="shared" ca="1" si="67"/>
        <v/>
      </c>
      <c r="J1429" s="36" t="str">
        <f t="shared" si="68"/>
        <v/>
      </c>
    </row>
    <row r="1430" spans="1:10" ht="15" customHeight="1" x14ac:dyDescent="0.25">
      <c r="A1430" s="35" t="str">
        <f t="shared" si="66"/>
        <v/>
      </c>
      <c r="I1430" s="36" t="str">
        <f t="shared" ca="1" si="67"/>
        <v/>
      </c>
      <c r="J1430" s="36" t="str">
        <f t="shared" si="68"/>
        <v/>
      </c>
    </row>
    <row r="1431" spans="1:10" ht="15" customHeight="1" x14ac:dyDescent="0.25">
      <c r="A1431" s="35" t="str">
        <f t="shared" si="66"/>
        <v/>
      </c>
      <c r="I1431" s="36" t="str">
        <f t="shared" ca="1" si="67"/>
        <v/>
      </c>
      <c r="J1431" s="36" t="str">
        <f t="shared" si="68"/>
        <v/>
      </c>
    </row>
    <row r="1432" spans="1:10" ht="15" customHeight="1" x14ac:dyDescent="0.25">
      <c r="A1432" s="35" t="str">
        <f t="shared" si="66"/>
        <v/>
      </c>
      <c r="I1432" s="36" t="str">
        <f t="shared" ca="1" si="67"/>
        <v/>
      </c>
      <c r="J1432" s="36" t="str">
        <f t="shared" si="68"/>
        <v/>
      </c>
    </row>
    <row r="1433" spans="1:10" ht="15" customHeight="1" x14ac:dyDescent="0.25">
      <c r="A1433" s="35" t="str">
        <f t="shared" si="66"/>
        <v/>
      </c>
      <c r="I1433" s="36" t="str">
        <f t="shared" ca="1" si="67"/>
        <v/>
      </c>
      <c r="J1433" s="36" t="str">
        <f t="shared" si="68"/>
        <v/>
      </c>
    </row>
    <row r="1434" spans="1:10" ht="15" customHeight="1" x14ac:dyDescent="0.25">
      <c r="A1434" s="35" t="str">
        <f t="shared" si="66"/>
        <v/>
      </c>
      <c r="I1434" s="36" t="str">
        <f t="shared" ca="1" si="67"/>
        <v/>
      </c>
      <c r="J1434" s="36" t="str">
        <f t="shared" si="68"/>
        <v/>
      </c>
    </row>
    <row r="1435" spans="1:10" ht="15" customHeight="1" x14ac:dyDescent="0.25">
      <c r="A1435" s="35" t="str">
        <f t="shared" si="66"/>
        <v/>
      </c>
      <c r="I1435" s="36" t="str">
        <f t="shared" ca="1" si="67"/>
        <v/>
      </c>
      <c r="J1435" s="36" t="str">
        <f t="shared" si="68"/>
        <v/>
      </c>
    </row>
    <row r="1436" spans="1:10" ht="15" customHeight="1" x14ac:dyDescent="0.25">
      <c r="A1436" s="35" t="str">
        <f t="shared" si="66"/>
        <v/>
      </c>
      <c r="I1436" s="36" t="str">
        <f t="shared" ca="1" si="67"/>
        <v/>
      </c>
      <c r="J1436" s="36" t="str">
        <f t="shared" si="68"/>
        <v/>
      </c>
    </row>
    <row r="1437" spans="1:10" ht="15" customHeight="1" x14ac:dyDescent="0.25">
      <c r="A1437" s="35" t="str">
        <f t="shared" si="66"/>
        <v/>
      </c>
      <c r="I1437" s="36" t="str">
        <f t="shared" ca="1" si="67"/>
        <v/>
      </c>
      <c r="J1437" s="36" t="str">
        <f t="shared" si="68"/>
        <v/>
      </c>
    </row>
    <row r="1438" spans="1:10" ht="15" customHeight="1" x14ac:dyDescent="0.25">
      <c r="A1438" s="35" t="str">
        <f t="shared" si="66"/>
        <v/>
      </c>
      <c r="I1438" s="36" t="str">
        <f t="shared" ca="1" si="67"/>
        <v/>
      </c>
      <c r="J1438" s="36" t="str">
        <f t="shared" si="68"/>
        <v/>
      </c>
    </row>
    <row r="1439" spans="1:10" ht="15" customHeight="1" x14ac:dyDescent="0.25">
      <c r="A1439" s="35" t="str">
        <f t="shared" si="66"/>
        <v/>
      </c>
      <c r="I1439" s="36" t="str">
        <f t="shared" ca="1" si="67"/>
        <v/>
      </c>
      <c r="J1439" s="36" t="str">
        <f t="shared" si="68"/>
        <v/>
      </c>
    </row>
    <row r="1440" spans="1:10" ht="15" customHeight="1" x14ac:dyDescent="0.25">
      <c r="A1440" s="35" t="str">
        <f t="shared" si="66"/>
        <v/>
      </c>
      <c r="I1440" s="36" t="str">
        <f t="shared" ca="1" si="67"/>
        <v/>
      </c>
      <c r="J1440" s="36" t="str">
        <f t="shared" si="68"/>
        <v/>
      </c>
    </row>
    <row r="1441" spans="1:10" ht="15" customHeight="1" x14ac:dyDescent="0.25">
      <c r="A1441" s="35" t="str">
        <f t="shared" si="66"/>
        <v/>
      </c>
      <c r="I1441" s="36" t="str">
        <f t="shared" ca="1" si="67"/>
        <v/>
      </c>
      <c r="J1441" s="36" t="str">
        <f t="shared" si="68"/>
        <v/>
      </c>
    </row>
    <row r="1442" spans="1:10" ht="15" customHeight="1" x14ac:dyDescent="0.25">
      <c r="A1442" s="35" t="str">
        <f t="shared" si="66"/>
        <v/>
      </c>
      <c r="I1442" s="36" t="str">
        <f t="shared" ca="1" si="67"/>
        <v/>
      </c>
      <c r="J1442" s="36" t="str">
        <f t="shared" si="68"/>
        <v/>
      </c>
    </row>
    <row r="1443" spans="1:10" ht="15" customHeight="1" x14ac:dyDescent="0.25">
      <c r="A1443" s="35" t="str">
        <f t="shared" si="66"/>
        <v/>
      </c>
      <c r="I1443" s="36" t="str">
        <f t="shared" ca="1" si="67"/>
        <v/>
      </c>
      <c r="J1443" s="36" t="str">
        <f t="shared" si="68"/>
        <v/>
      </c>
    </row>
    <row r="1444" spans="1:10" ht="15" customHeight="1" x14ac:dyDescent="0.25">
      <c r="A1444" s="35" t="str">
        <f t="shared" si="66"/>
        <v/>
      </c>
      <c r="I1444" s="36" t="str">
        <f t="shared" ca="1" si="67"/>
        <v/>
      </c>
      <c r="J1444" s="36" t="str">
        <f t="shared" si="68"/>
        <v/>
      </c>
    </row>
    <row r="1445" spans="1:10" ht="15" customHeight="1" x14ac:dyDescent="0.25">
      <c r="A1445" s="35" t="str">
        <f t="shared" si="66"/>
        <v/>
      </c>
      <c r="I1445" s="36" t="str">
        <f t="shared" ca="1" si="67"/>
        <v/>
      </c>
      <c r="J1445" s="36" t="str">
        <f t="shared" si="68"/>
        <v/>
      </c>
    </row>
    <row r="1446" spans="1:10" ht="15" customHeight="1" x14ac:dyDescent="0.25">
      <c r="A1446" s="35" t="str">
        <f t="shared" si="66"/>
        <v/>
      </c>
      <c r="I1446" s="36" t="str">
        <f t="shared" ca="1" si="67"/>
        <v/>
      </c>
      <c r="J1446" s="36" t="str">
        <f t="shared" si="68"/>
        <v/>
      </c>
    </row>
    <row r="1447" spans="1:10" ht="15" customHeight="1" x14ac:dyDescent="0.25">
      <c r="A1447" s="35" t="str">
        <f t="shared" si="66"/>
        <v/>
      </c>
      <c r="I1447" s="36" t="str">
        <f t="shared" ca="1" si="67"/>
        <v/>
      </c>
      <c r="J1447" s="36" t="str">
        <f t="shared" si="68"/>
        <v/>
      </c>
    </row>
    <row r="1448" spans="1:10" ht="15" customHeight="1" x14ac:dyDescent="0.25">
      <c r="A1448" s="35" t="str">
        <f t="shared" si="66"/>
        <v/>
      </c>
      <c r="I1448" s="36" t="str">
        <f t="shared" ca="1" si="67"/>
        <v/>
      </c>
      <c r="J1448" s="36" t="str">
        <f t="shared" si="68"/>
        <v/>
      </c>
    </row>
    <row r="1449" spans="1:10" ht="15" customHeight="1" x14ac:dyDescent="0.25">
      <c r="A1449" s="35" t="str">
        <f t="shared" si="66"/>
        <v/>
      </c>
      <c r="I1449" s="36" t="str">
        <f t="shared" ca="1" si="67"/>
        <v/>
      </c>
      <c r="J1449" s="36" t="str">
        <f t="shared" si="68"/>
        <v/>
      </c>
    </row>
    <row r="1450" spans="1:10" ht="15" customHeight="1" x14ac:dyDescent="0.25">
      <c r="A1450" s="35" t="str">
        <f t="shared" si="66"/>
        <v/>
      </c>
      <c r="I1450" s="36" t="str">
        <f t="shared" ca="1" si="67"/>
        <v/>
      </c>
      <c r="J1450" s="36" t="str">
        <f t="shared" si="68"/>
        <v/>
      </c>
    </row>
    <row r="1451" spans="1:10" ht="15" customHeight="1" x14ac:dyDescent="0.25">
      <c r="A1451" s="35" t="str">
        <f t="shared" si="66"/>
        <v/>
      </c>
      <c r="I1451" s="36" t="str">
        <f t="shared" ca="1" si="67"/>
        <v/>
      </c>
      <c r="J1451" s="36" t="str">
        <f t="shared" si="68"/>
        <v/>
      </c>
    </row>
    <row r="1452" spans="1:10" ht="15" customHeight="1" x14ac:dyDescent="0.25">
      <c r="A1452" s="35" t="str">
        <f t="shared" si="66"/>
        <v/>
      </c>
      <c r="I1452" s="36" t="str">
        <f t="shared" ca="1" si="67"/>
        <v/>
      </c>
      <c r="J1452" s="36" t="str">
        <f t="shared" si="68"/>
        <v/>
      </c>
    </row>
    <row r="1453" spans="1:10" ht="15" customHeight="1" x14ac:dyDescent="0.25">
      <c r="A1453" s="35" t="str">
        <f t="shared" si="66"/>
        <v/>
      </c>
      <c r="I1453" s="36" t="str">
        <f t="shared" ca="1" si="67"/>
        <v/>
      </c>
      <c r="J1453" s="36" t="str">
        <f t="shared" si="68"/>
        <v/>
      </c>
    </row>
    <row r="1454" spans="1:10" ht="15" customHeight="1" x14ac:dyDescent="0.25">
      <c r="A1454" s="35" t="str">
        <f t="shared" si="66"/>
        <v/>
      </c>
      <c r="I1454" s="36" t="str">
        <f t="shared" ca="1" si="67"/>
        <v/>
      </c>
      <c r="J1454" s="36" t="str">
        <f t="shared" si="68"/>
        <v/>
      </c>
    </row>
    <row r="1455" spans="1:10" ht="15" customHeight="1" x14ac:dyDescent="0.25">
      <c r="A1455" s="35" t="str">
        <f t="shared" si="66"/>
        <v/>
      </c>
      <c r="I1455" s="36" t="str">
        <f t="shared" ca="1" si="67"/>
        <v/>
      </c>
      <c r="J1455" s="36" t="str">
        <f t="shared" si="68"/>
        <v/>
      </c>
    </row>
    <row r="1456" spans="1:10" ht="15" customHeight="1" x14ac:dyDescent="0.25">
      <c r="A1456" s="35" t="str">
        <f t="shared" si="66"/>
        <v/>
      </c>
      <c r="I1456" s="36" t="str">
        <f t="shared" ca="1" si="67"/>
        <v/>
      </c>
      <c r="J1456" s="36" t="str">
        <f t="shared" si="68"/>
        <v/>
      </c>
    </row>
    <row r="1457" spans="1:10" ht="15" customHeight="1" x14ac:dyDescent="0.25">
      <c r="A1457" s="35" t="str">
        <f t="shared" si="66"/>
        <v/>
      </c>
      <c r="I1457" s="36" t="str">
        <f t="shared" ca="1" si="67"/>
        <v/>
      </c>
      <c r="J1457" s="36" t="str">
        <f t="shared" si="68"/>
        <v/>
      </c>
    </row>
    <row r="1458" spans="1:10" ht="15" customHeight="1" x14ac:dyDescent="0.25">
      <c r="A1458" s="35" t="str">
        <f t="shared" si="66"/>
        <v/>
      </c>
      <c r="I1458" s="36" t="str">
        <f t="shared" ca="1" si="67"/>
        <v/>
      </c>
      <c r="J1458" s="36" t="str">
        <f t="shared" si="68"/>
        <v/>
      </c>
    </row>
    <row r="1459" spans="1:10" ht="15" customHeight="1" x14ac:dyDescent="0.25">
      <c r="A1459" s="35" t="str">
        <f t="shared" si="66"/>
        <v/>
      </c>
      <c r="I1459" s="36" t="str">
        <f t="shared" ca="1" si="67"/>
        <v/>
      </c>
      <c r="J1459" s="36" t="str">
        <f t="shared" si="68"/>
        <v/>
      </c>
    </row>
    <row r="1460" spans="1:10" ht="15" customHeight="1" x14ac:dyDescent="0.25">
      <c r="A1460" s="35" t="str">
        <f t="shared" si="66"/>
        <v/>
      </c>
      <c r="I1460" s="36" t="str">
        <f t="shared" ca="1" si="67"/>
        <v/>
      </c>
      <c r="J1460" s="36" t="str">
        <f t="shared" si="68"/>
        <v/>
      </c>
    </row>
    <row r="1461" spans="1:10" ht="15" customHeight="1" x14ac:dyDescent="0.25">
      <c r="A1461" s="35" t="str">
        <f t="shared" si="66"/>
        <v/>
      </c>
      <c r="I1461" s="36" t="str">
        <f t="shared" ca="1" si="67"/>
        <v/>
      </c>
      <c r="J1461" s="36" t="str">
        <f t="shared" si="68"/>
        <v/>
      </c>
    </row>
    <row r="1462" spans="1:10" ht="15" customHeight="1" x14ac:dyDescent="0.25">
      <c r="A1462" s="35" t="str">
        <f t="shared" si="66"/>
        <v/>
      </c>
      <c r="I1462" s="36" t="str">
        <f t="shared" ca="1" si="67"/>
        <v/>
      </c>
      <c r="J1462" s="36" t="str">
        <f t="shared" si="68"/>
        <v/>
      </c>
    </row>
    <row r="1463" spans="1:10" ht="15" customHeight="1" x14ac:dyDescent="0.25">
      <c r="A1463" s="35" t="str">
        <f t="shared" si="66"/>
        <v/>
      </c>
      <c r="I1463" s="36" t="str">
        <f t="shared" ca="1" si="67"/>
        <v/>
      </c>
      <c r="J1463" s="36" t="str">
        <f t="shared" si="68"/>
        <v/>
      </c>
    </row>
    <row r="1464" spans="1:10" ht="15" customHeight="1" x14ac:dyDescent="0.25">
      <c r="A1464" s="35" t="str">
        <f t="shared" si="66"/>
        <v/>
      </c>
      <c r="I1464" s="36" t="str">
        <f t="shared" ca="1" si="67"/>
        <v/>
      </c>
      <c r="J1464" s="36" t="str">
        <f t="shared" si="68"/>
        <v/>
      </c>
    </row>
    <row r="1465" spans="1:10" ht="15" customHeight="1" x14ac:dyDescent="0.25">
      <c r="A1465" s="35" t="str">
        <f t="shared" si="66"/>
        <v/>
      </c>
      <c r="I1465" s="36" t="str">
        <f t="shared" ca="1" si="67"/>
        <v/>
      </c>
      <c r="J1465" s="36" t="str">
        <f t="shared" si="68"/>
        <v/>
      </c>
    </row>
    <row r="1466" spans="1:10" ht="15" customHeight="1" x14ac:dyDescent="0.25">
      <c r="A1466" s="35" t="str">
        <f t="shared" si="66"/>
        <v/>
      </c>
      <c r="I1466" s="36" t="str">
        <f t="shared" ca="1" si="67"/>
        <v/>
      </c>
      <c r="J1466" s="36" t="str">
        <f t="shared" si="68"/>
        <v/>
      </c>
    </row>
    <row r="1467" spans="1:10" ht="15" customHeight="1" x14ac:dyDescent="0.25">
      <c r="A1467" s="35" t="str">
        <f t="shared" si="66"/>
        <v/>
      </c>
      <c r="I1467" s="36" t="str">
        <f t="shared" ca="1" si="67"/>
        <v/>
      </c>
      <c r="J1467" s="36" t="str">
        <f t="shared" si="68"/>
        <v/>
      </c>
    </row>
    <row r="1468" spans="1:10" ht="15" customHeight="1" x14ac:dyDescent="0.25">
      <c r="A1468" s="35" t="str">
        <f t="shared" si="66"/>
        <v/>
      </c>
      <c r="I1468" s="36" t="str">
        <f t="shared" ca="1" si="67"/>
        <v/>
      </c>
      <c r="J1468" s="36" t="str">
        <f t="shared" si="68"/>
        <v/>
      </c>
    </row>
    <row r="1469" spans="1:10" ht="15" customHeight="1" x14ac:dyDescent="0.25">
      <c r="A1469" s="35" t="str">
        <f t="shared" si="66"/>
        <v/>
      </c>
      <c r="I1469" s="36" t="str">
        <f t="shared" ca="1" si="67"/>
        <v/>
      </c>
      <c r="J1469" s="36" t="str">
        <f t="shared" si="68"/>
        <v/>
      </c>
    </row>
    <row r="1470" spans="1:10" ht="15" customHeight="1" x14ac:dyDescent="0.25">
      <c r="A1470" s="35" t="str">
        <f t="shared" si="66"/>
        <v/>
      </c>
      <c r="I1470" s="36" t="str">
        <f t="shared" ca="1" si="67"/>
        <v/>
      </c>
      <c r="J1470" s="36" t="str">
        <f t="shared" si="68"/>
        <v/>
      </c>
    </row>
    <row r="1471" spans="1:10" ht="15" customHeight="1" x14ac:dyDescent="0.25">
      <c r="A1471" s="35" t="str">
        <f t="shared" si="66"/>
        <v/>
      </c>
      <c r="I1471" s="36" t="str">
        <f t="shared" ca="1" si="67"/>
        <v/>
      </c>
      <c r="J1471" s="36" t="str">
        <f t="shared" si="68"/>
        <v/>
      </c>
    </row>
    <row r="1472" spans="1:10" ht="15" customHeight="1" x14ac:dyDescent="0.25">
      <c r="A1472" s="35" t="str">
        <f t="shared" si="66"/>
        <v/>
      </c>
      <c r="I1472" s="36" t="str">
        <f t="shared" ca="1" si="67"/>
        <v/>
      </c>
      <c r="J1472" s="36" t="str">
        <f t="shared" si="68"/>
        <v/>
      </c>
    </row>
    <row r="1473" spans="1:10" ht="15" customHeight="1" x14ac:dyDescent="0.25">
      <c r="A1473" s="35" t="str">
        <f t="shared" si="66"/>
        <v/>
      </c>
      <c r="I1473" s="36" t="str">
        <f t="shared" ca="1" si="67"/>
        <v/>
      </c>
      <c r="J1473" s="36" t="str">
        <f t="shared" si="68"/>
        <v/>
      </c>
    </row>
    <row r="1474" spans="1:10" ht="15" customHeight="1" x14ac:dyDescent="0.25">
      <c r="A1474" s="35" t="str">
        <f t="shared" si="66"/>
        <v/>
      </c>
      <c r="I1474" s="36" t="str">
        <f t="shared" ca="1" si="67"/>
        <v/>
      </c>
      <c r="J1474" s="36" t="str">
        <f t="shared" si="68"/>
        <v/>
      </c>
    </row>
    <row r="1475" spans="1:10" ht="15" customHeight="1" x14ac:dyDescent="0.25">
      <c r="A1475" s="35" t="str">
        <f t="shared" si="66"/>
        <v/>
      </c>
      <c r="I1475" s="36" t="str">
        <f t="shared" ca="1" si="67"/>
        <v/>
      </c>
      <c r="J1475" s="36" t="str">
        <f t="shared" si="68"/>
        <v/>
      </c>
    </row>
    <row r="1476" spans="1:10" ht="15" customHeight="1" x14ac:dyDescent="0.25">
      <c r="A1476" s="35" t="str">
        <f t="shared" si="66"/>
        <v/>
      </c>
      <c r="I1476" s="36" t="str">
        <f t="shared" ca="1" si="67"/>
        <v/>
      </c>
      <c r="J1476" s="36" t="str">
        <f t="shared" si="68"/>
        <v/>
      </c>
    </row>
    <row r="1477" spans="1:10" ht="15" customHeight="1" x14ac:dyDescent="0.25">
      <c r="A1477" s="35" t="str">
        <f t="shared" ref="A1477:A1540" si="69">IF(B1477="","","ACC"&amp;TEXT(ROW()-4,"0000"))</f>
        <v/>
      </c>
      <c r="I1477" s="36" t="str">
        <f t="shared" ref="I1477:I1540" ca="1" si="70">IF(B1477="","",TEXT(TODAY(),"dd/mm/yyyy"))</f>
        <v/>
      </c>
      <c r="J1477" s="36" t="str">
        <f t="shared" ref="J1477:J1540" si="71">IF(B1477="","",IF(ISNUMBER(H1477),IF(H1477&gt;=10,"✅ Active","⚠️ Below Min Balance"),"Pending"))</f>
        <v/>
      </c>
    </row>
    <row r="1478" spans="1:10" ht="15" customHeight="1" x14ac:dyDescent="0.25">
      <c r="A1478" s="35" t="str">
        <f t="shared" si="69"/>
        <v/>
      </c>
      <c r="I1478" s="36" t="str">
        <f t="shared" ca="1" si="70"/>
        <v/>
      </c>
      <c r="J1478" s="36" t="str">
        <f t="shared" si="71"/>
        <v/>
      </c>
    </row>
    <row r="1479" spans="1:10" ht="15" customHeight="1" x14ac:dyDescent="0.25">
      <c r="A1479" s="35" t="str">
        <f t="shared" si="69"/>
        <v/>
      </c>
      <c r="I1479" s="36" t="str">
        <f t="shared" ca="1" si="70"/>
        <v/>
      </c>
      <c r="J1479" s="36" t="str">
        <f t="shared" si="71"/>
        <v/>
      </c>
    </row>
    <row r="1480" spans="1:10" ht="15" customHeight="1" x14ac:dyDescent="0.25">
      <c r="A1480" s="35" t="str">
        <f t="shared" si="69"/>
        <v/>
      </c>
      <c r="I1480" s="36" t="str">
        <f t="shared" ca="1" si="70"/>
        <v/>
      </c>
      <c r="J1480" s="36" t="str">
        <f t="shared" si="71"/>
        <v/>
      </c>
    </row>
    <row r="1481" spans="1:10" ht="15" customHeight="1" x14ac:dyDescent="0.25">
      <c r="A1481" s="35" t="str">
        <f t="shared" si="69"/>
        <v/>
      </c>
      <c r="I1481" s="36" t="str">
        <f t="shared" ca="1" si="70"/>
        <v/>
      </c>
      <c r="J1481" s="36" t="str">
        <f t="shared" si="71"/>
        <v/>
      </c>
    </row>
    <row r="1482" spans="1:10" ht="15" customHeight="1" x14ac:dyDescent="0.25">
      <c r="A1482" s="35" t="str">
        <f t="shared" si="69"/>
        <v/>
      </c>
      <c r="I1482" s="36" t="str">
        <f t="shared" ca="1" si="70"/>
        <v/>
      </c>
      <c r="J1482" s="36" t="str">
        <f t="shared" si="71"/>
        <v/>
      </c>
    </row>
    <row r="1483" spans="1:10" ht="15" customHeight="1" x14ac:dyDescent="0.25">
      <c r="A1483" s="35" t="str">
        <f t="shared" si="69"/>
        <v/>
      </c>
      <c r="I1483" s="36" t="str">
        <f t="shared" ca="1" si="70"/>
        <v/>
      </c>
      <c r="J1483" s="36" t="str">
        <f t="shared" si="71"/>
        <v/>
      </c>
    </row>
    <row r="1484" spans="1:10" ht="15" customHeight="1" x14ac:dyDescent="0.25">
      <c r="A1484" s="35" t="str">
        <f t="shared" si="69"/>
        <v/>
      </c>
      <c r="I1484" s="36" t="str">
        <f t="shared" ca="1" si="70"/>
        <v/>
      </c>
      <c r="J1484" s="36" t="str">
        <f t="shared" si="71"/>
        <v/>
      </c>
    </row>
    <row r="1485" spans="1:10" ht="15" customHeight="1" x14ac:dyDescent="0.25">
      <c r="A1485" s="35" t="str">
        <f t="shared" si="69"/>
        <v/>
      </c>
      <c r="I1485" s="36" t="str">
        <f t="shared" ca="1" si="70"/>
        <v/>
      </c>
      <c r="J1485" s="36" t="str">
        <f t="shared" si="71"/>
        <v/>
      </c>
    </row>
    <row r="1486" spans="1:10" ht="15" customHeight="1" x14ac:dyDescent="0.25">
      <c r="A1486" s="35" t="str">
        <f t="shared" si="69"/>
        <v/>
      </c>
      <c r="I1486" s="36" t="str">
        <f t="shared" ca="1" si="70"/>
        <v/>
      </c>
      <c r="J1486" s="36" t="str">
        <f t="shared" si="71"/>
        <v/>
      </c>
    </row>
    <row r="1487" spans="1:10" ht="15" customHeight="1" x14ac:dyDescent="0.25">
      <c r="A1487" s="35" t="str">
        <f t="shared" si="69"/>
        <v/>
      </c>
      <c r="I1487" s="36" t="str">
        <f t="shared" ca="1" si="70"/>
        <v/>
      </c>
      <c r="J1487" s="36" t="str">
        <f t="shared" si="71"/>
        <v/>
      </c>
    </row>
    <row r="1488" spans="1:10" ht="15" customHeight="1" x14ac:dyDescent="0.25">
      <c r="A1488" s="35" t="str">
        <f t="shared" si="69"/>
        <v/>
      </c>
      <c r="I1488" s="36" t="str">
        <f t="shared" ca="1" si="70"/>
        <v/>
      </c>
      <c r="J1488" s="36" t="str">
        <f t="shared" si="71"/>
        <v/>
      </c>
    </row>
    <row r="1489" spans="1:10" ht="15" customHeight="1" x14ac:dyDescent="0.25">
      <c r="A1489" s="35" t="str">
        <f t="shared" si="69"/>
        <v/>
      </c>
      <c r="I1489" s="36" t="str">
        <f t="shared" ca="1" si="70"/>
        <v/>
      </c>
      <c r="J1489" s="36" t="str">
        <f t="shared" si="71"/>
        <v/>
      </c>
    </row>
    <row r="1490" spans="1:10" ht="15" customHeight="1" x14ac:dyDescent="0.25">
      <c r="A1490" s="35" t="str">
        <f t="shared" si="69"/>
        <v/>
      </c>
      <c r="I1490" s="36" t="str">
        <f t="shared" ca="1" si="70"/>
        <v/>
      </c>
      <c r="J1490" s="36" t="str">
        <f t="shared" si="71"/>
        <v/>
      </c>
    </row>
    <row r="1491" spans="1:10" ht="15" customHeight="1" x14ac:dyDescent="0.25">
      <c r="A1491" s="35" t="str">
        <f t="shared" si="69"/>
        <v/>
      </c>
      <c r="I1491" s="36" t="str">
        <f t="shared" ca="1" si="70"/>
        <v/>
      </c>
      <c r="J1491" s="36" t="str">
        <f t="shared" si="71"/>
        <v/>
      </c>
    </row>
    <row r="1492" spans="1:10" ht="15" customHeight="1" x14ac:dyDescent="0.25">
      <c r="A1492" s="35" t="str">
        <f t="shared" si="69"/>
        <v/>
      </c>
      <c r="I1492" s="36" t="str">
        <f t="shared" ca="1" si="70"/>
        <v/>
      </c>
      <c r="J1492" s="36" t="str">
        <f t="shared" si="71"/>
        <v/>
      </c>
    </row>
    <row r="1493" spans="1:10" ht="15" customHeight="1" x14ac:dyDescent="0.25">
      <c r="A1493" s="35" t="str">
        <f t="shared" si="69"/>
        <v/>
      </c>
      <c r="I1493" s="36" t="str">
        <f t="shared" ca="1" si="70"/>
        <v/>
      </c>
      <c r="J1493" s="36" t="str">
        <f t="shared" si="71"/>
        <v/>
      </c>
    </row>
    <row r="1494" spans="1:10" ht="15" customHeight="1" x14ac:dyDescent="0.25">
      <c r="A1494" s="35" t="str">
        <f t="shared" si="69"/>
        <v/>
      </c>
      <c r="I1494" s="36" t="str">
        <f t="shared" ca="1" si="70"/>
        <v/>
      </c>
      <c r="J1494" s="36" t="str">
        <f t="shared" si="71"/>
        <v/>
      </c>
    </row>
    <row r="1495" spans="1:10" ht="15" customHeight="1" x14ac:dyDescent="0.25">
      <c r="A1495" s="35" t="str">
        <f t="shared" si="69"/>
        <v/>
      </c>
      <c r="I1495" s="36" t="str">
        <f t="shared" ca="1" si="70"/>
        <v/>
      </c>
      <c r="J1495" s="36" t="str">
        <f t="shared" si="71"/>
        <v/>
      </c>
    </row>
    <row r="1496" spans="1:10" ht="15" customHeight="1" x14ac:dyDescent="0.25">
      <c r="A1496" s="35" t="str">
        <f t="shared" si="69"/>
        <v/>
      </c>
      <c r="I1496" s="36" t="str">
        <f t="shared" ca="1" si="70"/>
        <v/>
      </c>
      <c r="J1496" s="36" t="str">
        <f t="shared" si="71"/>
        <v/>
      </c>
    </row>
    <row r="1497" spans="1:10" ht="15" customHeight="1" x14ac:dyDescent="0.25">
      <c r="A1497" s="35" t="str">
        <f t="shared" si="69"/>
        <v/>
      </c>
      <c r="I1497" s="36" t="str">
        <f t="shared" ca="1" si="70"/>
        <v/>
      </c>
      <c r="J1497" s="36" t="str">
        <f t="shared" si="71"/>
        <v/>
      </c>
    </row>
    <row r="1498" spans="1:10" ht="15" customHeight="1" x14ac:dyDescent="0.25">
      <c r="A1498" s="35" t="str">
        <f t="shared" si="69"/>
        <v/>
      </c>
      <c r="I1498" s="36" t="str">
        <f t="shared" ca="1" si="70"/>
        <v/>
      </c>
      <c r="J1498" s="36" t="str">
        <f t="shared" si="71"/>
        <v/>
      </c>
    </row>
    <row r="1499" spans="1:10" ht="15" customHeight="1" x14ac:dyDescent="0.25">
      <c r="A1499" s="35" t="str">
        <f t="shared" si="69"/>
        <v/>
      </c>
      <c r="I1499" s="36" t="str">
        <f t="shared" ca="1" si="70"/>
        <v/>
      </c>
      <c r="J1499" s="36" t="str">
        <f t="shared" si="71"/>
        <v/>
      </c>
    </row>
    <row r="1500" spans="1:10" ht="15" customHeight="1" x14ac:dyDescent="0.25">
      <c r="A1500" s="35" t="str">
        <f t="shared" si="69"/>
        <v/>
      </c>
      <c r="I1500" s="36" t="str">
        <f t="shared" ca="1" si="70"/>
        <v/>
      </c>
      <c r="J1500" s="36" t="str">
        <f t="shared" si="71"/>
        <v/>
      </c>
    </row>
    <row r="1501" spans="1:10" ht="15" customHeight="1" x14ac:dyDescent="0.25">
      <c r="A1501" s="35" t="str">
        <f t="shared" si="69"/>
        <v/>
      </c>
      <c r="I1501" s="36" t="str">
        <f t="shared" ca="1" si="70"/>
        <v/>
      </c>
      <c r="J1501" s="36" t="str">
        <f t="shared" si="71"/>
        <v/>
      </c>
    </row>
    <row r="1502" spans="1:10" ht="15" customHeight="1" x14ac:dyDescent="0.25">
      <c r="A1502" s="35" t="str">
        <f t="shared" si="69"/>
        <v/>
      </c>
      <c r="I1502" s="36" t="str">
        <f t="shared" ca="1" si="70"/>
        <v/>
      </c>
      <c r="J1502" s="36" t="str">
        <f t="shared" si="71"/>
        <v/>
      </c>
    </row>
    <row r="1503" spans="1:10" ht="15" customHeight="1" x14ac:dyDescent="0.25">
      <c r="A1503" s="35" t="str">
        <f t="shared" si="69"/>
        <v/>
      </c>
      <c r="I1503" s="36" t="str">
        <f t="shared" ca="1" si="70"/>
        <v/>
      </c>
      <c r="J1503" s="36" t="str">
        <f t="shared" si="71"/>
        <v/>
      </c>
    </row>
    <row r="1504" spans="1:10" ht="15" customHeight="1" x14ac:dyDescent="0.25">
      <c r="A1504" s="35" t="str">
        <f t="shared" si="69"/>
        <v/>
      </c>
      <c r="I1504" s="36" t="str">
        <f t="shared" ca="1" si="70"/>
        <v/>
      </c>
      <c r="J1504" s="36" t="str">
        <f t="shared" si="71"/>
        <v/>
      </c>
    </row>
    <row r="1505" spans="1:10" ht="15" customHeight="1" x14ac:dyDescent="0.25">
      <c r="A1505" s="35" t="str">
        <f t="shared" si="69"/>
        <v/>
      </c>
      <c r="I1505" s="36" t="str">
        <f t="shared" ca="1" si="70"/>
        <v/>
      </c>
      <c r="J1505" s="36" t="str">
        <f t="shared" si="71"/>
        <v/>
      </c>
    </row>
    <row r="1506" spans="1:10" ht="15" customHeight="1" x14ac:dyDescent="0.25">
      <c r="A1506" s="35" t="str">
        <f t="shared" si="69"/>
        <v/>
      </c>
      <c r="I1506" s="36" t="str">
        <f t="shared" ca="1" si="70"/>
        <v/>
      </c>
      <c r="J1506" s="36" t="str">
        <f t="shared" si="71"/>
        <v/>
      </c>
    </row>
    <row r="1507" spans="1:10" ht="15" customHeight="1" x14ac:dyDescent="0.25">
      <c r="A1507" s="35" t="str">
        <f t="shared" si="69"/>
        <v/>
      </c>
      <c r="I1507" s="36" t="str">
        <f t="shared" ca="1" si="70"/>
        <v/>
      </c>
      <c r="J1507" s="36" t="str">
        <f t="shared" si="71"/>
        <v/>
      </c>
    </row>
    <row r="1508" spans="1:10" ht="15" customHeight="1" x14ac:dyDescent="0.25">
      <c r="A1508" s="35" t="str">
        <f t="shared" si="69"/>
        <v/>
      </c>
      <c r="I1508" s="36" t="str">
        <f t="shared" ca="1" si="70"/>
        <v/>
      </c>
      <c r="J1508" s="36" t="str">
        <f t="shared" si="71"/>
        <v/>
      </c>
    </row>
    <row r="1509" spans="1:10" ht="15" customHeight="1" x14ac:dyDescent="0.25">
      <c r="A1509" s="35" t="str">
        <f t="shared" si="69"/>
        <v/>
      </c>
      <c r="I1509" s="36" t="str">
        <f t="shared" ca="1" si="70"/>
        <v/>
      </c>
      <c r="J1509" s="36" t="str">
        <f t="shared" si="71"/>
        <v/>
      </c>
    </row>
    <row r="1510" spans="1:10" ht="15" customHeight="1" x14ac:dyDescent="0.25">
      <c r="A1510" s="35" t="str">
        <f t="shared" si="69"/>
        <v/>
      </c>
      <c r="I1510" s="36" t="str">
        <f t="shared" ca="1" si="70"/>
        <v/>
      </c>
      <c r="J1510" s="36" t="str">
        <f t="shared" si="71"/>
        <v/>
      </c>
    </row>
    <row r="1511" spans="1:10" ht="15" customHeight="1" x14ac:dyDescent="0.25">
      <c r="A1511" s="35" t="str">
        <f t="shared" si="69"/>
        <v/>
      </c>
      <c r="I1511" s="36" t="str">
        <f t="shared" ca="1" si="70"/>
        <v/>
      </c>
      <c r="J1511" s="36" t="str">
        <f t="shared" si="71"/>
        <v/>
      </c>
    </row>
    <row r="1512" spans="1:10" ht="15" customHeight="1" x14ac:dyDescent="0.25">
      <c r="A1512" s="35" t="str">
        <f t="shared" si="69"/>
        <v/>
      </c>
      <c r="I1512" s="36" t="str">
        <f t="shared" ca="1" si="70"/>
        <v/>
      </c>
      <c r="J1512" s="36" t="str">
        <f t="shared" si="71"/>
        <v/>
      </c>
    </row>
    <row r="1513" spans="1:10" ht="15" customHeight="1" x14ac:dyDescent="0.25">
      <c r="A1513" s="35" t="str">
        <f t="shared" si="69"/>
        <v/>
      </c>
      <c r="I1513" s="36" t="str">
        <f t="shared" ca="1" si="70"/>
        <v/>
      </c>
      <c r="J1513" s="36" t="str">
        <f t="shared" si="71"/>
        <v/>
      </c>
    </row>
    <row r="1514" spans="1:10" ht="15" customHeight="1" x14ac:dyDescent="0.25">
      <c r="A1514" s="35" t="str">
        <f t="shared" si="69"/>
        <v/>
      </c>
      <c r="I1514" s="36" t="str">
        <f t="shared" ca="1" si="70"/>
        <v/>
      </c>
      <c r="J1514" s="36" t="str">
        <f t="shared" si="71"/>
        <v/>
      </c>
    </row>
    <row r="1515" spans="1:10" ht="15" customHeight="1" x14ac:dyDescent="0.25">
      <c r="A1515" s="35" t="str">
        <f t="shared" si="69"/>
        <v/>
      </c>
      <c r="I1515" s="36" t="str">
        <f t="shared" ca="1" si="70"/>
        <v/>
      </c>
      <c r="J1515" s="36" t="str">
        <f t="shared" si="71"/>
        <v/>
      </c>
    </row>
    <row r="1516" spans="1:10" ht="15" customHeight="1" x14ac:dyDescent="0.25">
      <c r="A1516" s="35" t="str">
        <f t="shared" si="69"/>
        <v/>
      </c>
      <c r="I1516" s="36" t="str">
        <f t="shared" ca="1" si="70"/>
        <v/>
      </c>
      <c r="J1516" s="36" t="str">
        <f t="shared" si="71"/>
        <v/>
      </c>
    </row>
    <row r="1517" spans="1:10" ht="15" customHeight="1" x14ac:dyDescent="0.25">
      <c r="A1517" s="35" t="str">
        <f t="shared" si="69"/>
        <v/>
      </c>
      <c r="I1517" s="36" t="str">
        <f t="shared" ca="1" si="70"/>
        <v/>
      </c>
      <c r="J1517" s="36" t="str">
        <f t="shared" si="71"/>
        <v/>
      </c>
    </row>
    <row r="1518" spans="1:10" ht="15" customHeight="1" x14ac:dyDescent="0.25">
      <c r="A1518" s="35" t="str">
        <f t="shared" si="69"/>
        <v/>
      </c>
      <c r="I1518" s="36" t="str">
        <f t="shared" ca="1" si="70"/>
        <v/>
      </c>
      <c r="J1518" s="36" t="str">
        <f t="shared" si="71"/>
        <v/>
      </c>
    </row>
    <row r="1519" spans="1:10" ht="15" customHeight="1" x14ac:dyDescent="0.25">
      <c r="A1519" s="35" t="str">
        <f t="shared" si="69"/>
        <v/>
      </c>
      <c r="I1519" s="36" t="str">
        <f t="shared" ca="1" si="70"/>
        <v/>
      </c>
      <c r="J1519" s="36" t="str">
        <f t="shared" si="71"/>
        <v/>
      </c>
    </row>
    <row r="1520" spans="1:10" ht="15" customHeight="1" x14ac:dyDescent="0.25">
      <c r="A1520" s="35" t="str">
        <f t="shared" si="69"/>
        <v/>
      </c>
      <c r="I1520" s="36" t="str">
        <f t="shared" ca="1" si="70"/>
        <v/>
      </c>
      <c r="J1520" s="36" t="str">
        <f t="shared" si="71"/>
        <v/>
      </c>
    </row>
    <row r="1521" spans="1:10" ht="15" customHeight="1" x14ac:dyDescent="0.25">
      <c r="A1521" s="35" t="str">
        <f t="shared" si="69"/>
        <v/>
      </c>
      <c r="I1521" s="36" t="str">
        <f t="shared" ca="1" si="70"/>
        <v/>
      </c>
      <c r="J1521" s="36" t="str">
        <f t="shared" si="71"/>
        <v/>
      </c>
    </row>
    <row r="1522" spans="1:10" ht="15" customHeight="1" x14ac:dyDescent="0.25">
      <c r="A1522" s="35" t="str">
        <f t="shared" si="69"/>
        <v/>
      </c>
      <c r="I1522" s="36" t="str">
        <f t="shared" ca="1" si="70"/>
        <v/>
      </c>
      <c r="J1522" s="36" t="str">
        <f t="shared" si="71"/>
        <v/>
      </c>
    </row>
    <row r="1523" spans="1:10" ht="15" customHeight="1" x14ac:dyDescent="0.25">
      <c r="A1523" s="35" t="str">
        <f t="shared" si="69"/>
        <v/>
      </c>
      <c r="I1523" s="36" t="str">
        <f t="shared" ca="1" si="70"/>
        <v/>
      </c>
      <c r="J1523" s="36" t="str">
        <f t="shared" si="71"/>
        <v/>
      </c>
    </row>
    <row r="1524" spans="1:10" ht="15" customHeight="1" x14ac:dyDescent="0.25">
      <c r="A1524" s="35" t="str">
        <f t="shared" si="69"/>
        <v/>
      </c>
      <c r="I1524" s="36" t="str">
        <f t="shared" ca="1" si="70"/>
        <v/>
      </c>
      <c r="J1524" s="36" t="str">
        <f t="shared" si="71"/>
        <v/>
      </c>
    </row>
    <row r="1525" spans="1:10" ht="15" customHeight="1" x14ac:dyDescent="0.25">
      <c r="A1525" s="35" t="str">
        <f t="shared" si="69"/>
        <v/>
      </c>
      <c r="I1525" s="36" t="str">
        <f t="shared" ca="1" si="70"/>
        <v/>
      </c>
      <c r="J1525" s="36" t="str">
        <f t="shared" si="71"/>
        <v/>
      </c>
    </row>
    <row r="1526" spans="1:10" ht="15" customHeight="1" x14ac:dyDescent="0.25">
      <c r="A1526" s="35" t="str">
        <f t="shared" si="69"/>
        <v/>
      </c>
      <c r="I1526" s="36" t="str">
        <f t="shared" ca="1" si="70"/>
        <v/>
      </c>
      <c r="J1526" s="36" t="str">
        <f t="shared" si="71"/>
        <v/>
      </c>
    </row>
    <row r="1527" spans="1:10" ht="15" customHeight="1" x14ac:dyDescent="0.25">
      <c r="A1527" s="35" t="str">
        <f t="shared" si="69"/>
        <v/>
      </c>
      <c r="I1527" s="36" t="str">
        <f t="shared" ca="1" si="70"/>
        <v/>
      </c>
      <c r="J1527" s="36" t="str">
        <f t="shared" si="71"/>
        <v/>
      </c>
    </row>
    <row r="1528" spans="1:10" ht="15" customHeight="1" x14ac:dyDescent="0.25">
      <c r="A1528" s="35" t="str">
        <f t="shared" si="69"/>
        <v/>
      </c>
      <c r="I1528" s="36" t="str">
        <f t="shared" ca="1" si="70"/>
        <v/>
      </c>
      <c r="J1528" s="36" t="str">
        <f t="shared" si="71"/>
        <v/>
      </c>
    </row>
    <row r="1529" spans="1:10" ht="15" customHeight="1" x14ac:dyDescent="0.25">
      <c r="A1529" s="35" t="str">
        <f t="shared" si="69"/>
        <v/>
      </c>
      <c r="I1529" s="36" t="str">
        <f t="shared" ca="1" si="70"/>
        <v/>
      </c>
      <c r="J1529" s="36" t="str">
        <f t="shared" si="71"/>
        <v/>
      </c>
    </row>
    <row r="1530" spans="1:10" ht="15" customHeight="1" x14ac:dyDescent="0.25">
      <c r="A1530" s="35" t="str">
        <f t="shared" si="69"/>
        <v/>
      </c>
      <c r="I1530" s="36" t="str">
        <f t="shared" ca="1" si="70"/>
        <v/>
      </c>
      <c r="J1530" s="36" t="str">
        <f t="shared" si="71"/>
        <v/>
      </c>
    </row>
    <row r="1531" spans="1:10" ht="15" customHeight="1" x14ac:dyDescent="0.25">
      <c r="A1531" s="35" t="str">
        <f t="shared" si="69"/>
        <v/>
      </c>
      <c r="I1531" s="36" t="str">
        <f t="shared" ca="1" si="70"/>
        <v/>
      </c>
      <c r="J1531" s="36" t="str">
        <f t="shared" si="71"/>
        <v/>
      </c>
    </row>
    <row r="1532" spans="1:10" ht="15" customHeight="1" x14ac:dyDescent="0.25">
      <c r="A1532" s="35" t="str">
        <f t="shared" si="69"/>
        <v/>
      </c>
      <c r="I1532" s="36" t="str">
        <f t="shared" ca="1" si="70"/>
        <v/>
      </c>
      <c r="J1532" s="36" t="str">
        <f t="shared" si="71"/>
        <v/>
      </c>
    </row>
    <row r="1533" spans="1:10" ht="15" customHeight="1" x14ac:dyDescent="0.25">
      <c r="A1533" s="35" t="str">
        <f t="shared" si="69"/>
        <v/>
      </c>
      <c r="I1533" s="36" t="str">
        <f t="shared" ca="1" si="70"/>
        <v/>
      </c>
      <c r="J1533" s="36" t="str">
        <f t="shared" si="71"/>
        <v/>
      </c>
    </row>
    <row r="1534" spans="1:10" ht="15" customHeight="1" x14ac:dyDescent="0.25">
      <c r="A1534" s="35" t="str">
        <f t="shared" si="69"/>
        <v/>
      </c>
      <c r="I1534" s="36" t="str">
        <f t="shared" ca="1" si="70"/>
        <v/>
      </c>
      <c r="J1534" s="36" t="str">
        <f t="shared" si="71"/>
        <v/>
      </c>
    </row>
    <row r="1535" spans="1:10" ht="15" customHeight="1" x14ac:dyDescent="0.25">
      <c r="A1535" s="35" t="str">
        <f t="shared" si="69"/>
        <v/>
      </c>
      <c r="I1535" s="36" t="str">
        <f t="shared" ca="1" si="70"/>
        <v/>
      </c>
      <c r="J1535" s="36" t="str">
        <f t="shared" si="71"/>
        <v/>
      </c>
    </row>
    <row r="1536" spans="1:10" ht="15" customHeight="1" x14ac:dyDescent="0.25">
      <c r="A1536" s="35" t="str">
        <f t="shared" si="69"/>
        <v/>
      </c>
      <c r="I1536" s="36" t="str">
        <f t="shared" ca="1" si="70"/>
        <v/>
      </c>
      <c r="J1536" s="36" t="str">
        <f t="shared" si="71"/>
        <v/>
      </c>
    </row>
    <row r="1537" spans="1:10" ht="15" customHeight="1" x14ac:dyDescent="0.25">
      <c r="A1537" s="35" t="str">
        <f t="shared" si="69"/>
        <v/>
      </c>
      <c r="I1537" s="36" t="str">
        <f t="shared" ca="1" si="70"/>
        <v/>
      </c>
      <c r="J1537" s="36" t="str">
        <f t="shared" si="71"/>
        <v/>
      </c>
    </row>
    <row r="1538" spans="1:10" ht="15" customHeight="1" x14ac:dyDescent="0.25">
      <c r="A1538" s="35" t="str">
        <f t="shared" si="69"/>
        <v/>
      </c>
      <c r="I1538" s="36" t="str">
        <f t="shared" ca="1" si="70"/>
        <v/>
      </c>
      <c r="J1538" s="36" t="str">
        <f t="shared" si="71"/>
        <v/>
      </c>
    </row>
    <row r="1539" spans="1:10" ht="15" customHeight="1" x14ac:dyDescent="0.25">
      <c r="A1539" s="35" t="str">
        <f t="shared" si="69"/>
        <v/>
      </c>
      <c r="I1539" s="36" t="str">
        <f t="shared" ca="1" si="70"/>
        <v/>
      </c>
      <c r="J1539" s="36" t="str">
        <f t="shared" si="71"/>
        <v/>
      </c>
    </row>
    <row r="1540" spans="1:10" ht="15" customHeight="1" x14ac:dyDescent="0.25">
      <c r="A1540" s="35" t="str">
        <f t="shared" si="69"/>
        <v/>
      </c>
      <c r="I1540" s="36" t="str">
        <f t="shared" ca="1" si="70"/>
        <v/>
      </c>
      <c r="J1540" s="36" t="str">
        <f t="shared" si="71"/>
        <v/>
      </c>
    </row>
    <row r="1541" spans="1:10" ht="15" customHeight="1" x14ac:dyDescent="0.25">
      <c r="A1541" s="35" t="str">
        <f t="shared" ref="A1541:A1604" si="72">IF(B1541="","","ACC"&amp;TEXT(ROW()-4,"0000"))</f>
        <v/>
      </c>
      <c r="I1541" s="36" t="str">
        <f t="shared" ref="I1541:I1604" ca="1" si="73">IF(B1541="","",TEXT(TODAY(),"dd/mm/yyyy"))</f>
        <v/>
      </c>
      <c r="J1541" s="36" t="str">
        <f t="shared" ref="J1541:J1604" si="74">IF(B1541="","",IF(ISNUMBER(H1541),IF(H1541&gt;=10,"✅ Active","⚠️ Below Min Balance"),"Pending"))</f>
        <v/>
      </c>
    </row>
    <row r="1542" spans="1:10" ht="15" customHeight="1" x14ac:dyDescent="0.25">
      <c r="A1542" s="35" t="str">
        <f t="shared" si="72"/>
        <v/>
      </c>
      <c r="I1542" s="36" t="str">
        <f t="shared" ca="1" si="73"/>
        <v/>
      </c>
      <c r="J1542" s="36" t="str">
        <f t="shared" si="74"/>
        <v/>
      </c>
    </row>
    <row r="1543" spans="1:10" ht="15" customHeight="1" x14ac:dyDescent="0.25">
      <c r="A1543" s="35" t="str">
        <f t="shared" si="72"/>
        <v/>
      </c>
      <c r="I1543" s="36" t="str">
        <f t="shared" ca="1" si="73"/>
        <v/>
      </c>
      <c r="J1543" s="36" t="str">
        <f t="shared" si="74"/>
        <v/>
      </c>
    </row>
    <row r="1544" spans="1:10" ht="15" customHeight="1" x14ac:dyDescent="0.25">
      <c r="A1544" s="35" t="str">
        <f t="shared" si="72"/>
        <v/>
      </c>
      <c r="I1544" s="36" t="str">
        <f t="shared" ca="1" si="73"/>
        <v/>
      </c>
      <c r="J1544" s="36" t="str">
        <f t="shared" si="74"/>
        <v/>
      </c>
    </row>
    <row r="1545" spans="1:10" ht="15" customHeight="1" x14ac:dyDescent="0.25">
      <c r="A1545" s="35" t="str">
        <f t="shared" si="72"/>
        <v/>
      </c>
      <c r="I1545" s="36" t="str">
        <f t="shared" ca="1" si="73"/>
        <v/>
      </c>
      <c r="J1545" s="36" t="str">
        <f t="shared" si="74"/>
        <v/>
      </c>
    </row>
    <row r="1546" spans="1:10" ht="15" customHeight="1" x14ac:dyDescent="0.25">
      <c r="A1546" s="35" t="str">
        <f t="shared" si="72"/>
        <v/>
      </c>
      <c r="I1546" s="36" t="str">
        <f t="shared" ca="1" si="73"/>
        <v/>
      </c>
      <c r="J1546" s="36" t="str">
        <f t="shared" si="74"/>
        <v/>
      </c>
    </row>
    <row r="1547" spans="1:10" ht="15" customHeight="1" x14ac:dyDescent="0.25">
      <c r="A1547" s="35" t="str">
        <f t="shared" si="72"/>
        <v/>
      </c>
      <c r="I1547" s="36" t="str">
        <f t="shared" ca="1" si="73"/>
        <v/>
      </c>
      <c r="J1547" s="36" t="str">
        <f t="shared" si="74"/>
        <v/>
      </c>
    </row>
    <row r="1548" spans="1:10" ht="15" customHeight="1" x14ac:dyDescent="0.25">
      <c r="A1548" s="35" t="str">
        <f t="shared" si="72"/>
        <v/>
      </c>
      <c r="I1548" s="36" t="str">
        <f t="shared" ca="1" si="73"/>
        <v/>
      </c>
      <c r="J1548" s="36" t="str">
        <f t="shared" si="74"/>
        <v/>
      </c>
    </row>
    <row r="1549" spans="1:10" ht="15" customHeight="1" x14ac:dyDescent="0.25">
      <c r="A1549" s="35" t="str">
        <f t="shared" si="72"/>
        <v/>
      </c>
      <c r="I1549" s="36" t="str">
        <f t="shared" ca="1" si="73"/>
        <v/>
      </c>
      <c r="J1549" s="36" t="str">
        <f t="shared" si="74"/>
        <v/>
      </c>
    </row>
    <row r="1550" spans="1:10" ht="15" customHeight="1" x14ac:dyDescent="0.25">
      <c r="A1550" s="35" t="str">
        <f t="shared" si="72"/>
        <v/>
      </c>
      <c r="I1550" s="36" t="str">
        <f t="shared" ca="1" si="73"/>
        <v/>
      </c>
      <c r="J1550" s="36" t="str">
        <f t="shared" si="74"/>
        <v/>
      </c>
    </row>
    <row r="1551" spans="1:10" ht="15" customHeight="1" x14ac:dyDescent="0.25">
      <c r="A1551" s="35" t="str">
        <f t="shared" si="72"/>
        <v/>
      </c>
      <c r="I1551" s="36" t="str">
        <f t="shared" ca="1" si="73"/>
        <v/>
      </c>
      <c r="J1551" s="36" t="str">
        <f t="shared" si="74"/>
        <v/>
      </c>
    </row>
    <row r="1552" spans="1:10" ht="15" customHeight="1" x14ac:dyDescent="0.25">
      <c r="A1552" s="35" t="str">
        <f t="shared" si="72"/>
        <v/>
      </c>
      <c r="I1552" s="36" t="str">
        <f t="shared" ca="1" si="73"/>
        <v/>
      </c>
      <c r="J1552" s="36" t="str">
        <f t="shared" si="74"/>
        <v/>
      </c>
    </row>
    <row r="1553" spans="1:10" ht="15" customHeight="1" x14ac:dyDescent="0.25">
      <c r="A1553" s="35" t="str">
        <f t="shared" si="72"/>
        <v/>
      </c>
      <c r="I1553" s="36" t="str">
        <f t="shared" ca="1" si="73"/>
        <v/>
      </c>
      <c r="J1553" s="36" t="str">
        <f t="shared" si="74"/>
        <v/>
      </c>
    </row>
    <row r="1554" spans="1:10" ht="15" customHeight="1" x14ac:dyDescent="0.25">
      <c r="A1554" s="35" t="str">
        <f t="shared" si="72"/>
        <v/>
      </c>
      <c r="I1554" s="36" t="str">
        <f t="shared" ca="1" si="73"/>
        <v/>
      </c>
      <c r="J1554" s="36" t="str">
        <f t="shared" si="74"/>
        <v/>
      </c>
    </row>
    <row r="1555" spans="1:10" ht="15" customHeight="1" x14ac:dyDescent="0.25">
      <c r="A1555" s="35" t="str">
        <f t="shared" si="72"/>
        <v/>
      </c>
      <c r="I1555" s="36" t="str">
        <f t="shared" ca="1" si="73"/>
        <v/>
      </c>
      <c r="J1555" s="36" t="str">
        <f t="shared" si="74"/>
        <v/>
      </c>
    </row>
    <row r="1556" spans="1:10" ht="15" customHeight="1" x14ac:dyDescent="0.25">
      <c r="A1556" s="35" t="str">
        <f t="shared" si="72"/>
        <v/>
      </c>
      <c r="I1556" s="36" t="str">
        <f t="shared" ca="1" si="73"/>
        <v/>
      </c>
      <c r="J1556" s="36" t="str">
        <f t="shared" si="74"/>
        <v/>
      </c>
    </row>
    <row r="1557" spans="1:10" ht="15" customHeight="1" x14ac:dyDescent="0.25">
      <c r="A1557" s="35" t="str">
        <f t="shared" si="72"/>
        <v/>
      </c>
      <c r="I1557" s="36" t="str">
        <f t="shared" ca="1" si="73"/>
        <v/>
      </c>
      <c r="J1557" s="36" t="str">
        <f t="shared" si="74"/>
        <v/>
      </c>
    </row>
    <row r="1558" spans="1:10" ht="15" customHeight="1" x14ac:dyDescent="0.25">
      <c r="A1558" s="35" t="str">
        <f t="shared" si="72"/>
        <v/>
      </c>
      <c r="I1558" s="36" t="str">
        <f t="shared" ca="1" si="73"/>
        <v/>
      </c>
      <c r="J1558" s="36" t="str">
        <f t="shared" si="74"/>
        <v/>
      </c>
    </row>
    <row r="1559" spans="1:10" ht="15" customHeight="1" x14ac:dyDescent="0.25">
      <c r="A1559" s="35" t="str">
        <f t="shared" si="72"/>
        <v/>
      </c>
      <c r="I1559" s="36" t="str">
        <f t="shared" ca="1" si="73"/>
        <v/>
      </c>
      <c r="J1559" s="36" t="str">
        <f t="shared" si="74"/>
        <v/>
      </c>
    </row>
    <row r="1560" spans="1:10" ht="15" customHeight="1" x14ac:dyDescent="0.25">
      <c r="A1560" s="35" t="str">
        <f t="shared" si="72"/>
        <v/>
      </c>
      <c r="I1560" s="36" t="str">
        <f t="shared" ca="1" si="73"/>
        <v/>
      </c>
      <c r="J1560" s="36" t="str">
        <f t="shared" si="74"/>
        <v/>
      </c>
    </row>
    <row r="1561" spans="1:10" ht="15" customHeight="1" x14ac:dyDescent="0.25">
      <c r="A1561" s="35" t="str">
        <f t="shared" si="72"/>
        <v/>
      </c>
      <c r="I1561" s="36" t="str">
        <f t="shared" ca="1" si="73"/>
        <v/>
      </c>
      <c r="J1561" s="36" t="str">
        <f t="shared" si="74"/>
        <v/>
      </c>
    </row>
    <row r="1562" spans="1:10" ht="15" customHeight="1" x14ac:dyDescent="0.25">
      <c r="A1562" s="35" t="str">
        <f t="shared" si="72"/>
        <v/>
      </c>
      <c r="I1562" s="36" t="str">
        <f t="shared" ca="1" si="73"/>
        <v/>
      </c>
      <c r="J1562" s="36" t="str">
        <f t="shared" si="74"/>
        <v/>
      </c>
    </row>
    <row r="1563" spans="1:10" ht="15" customHeight="1" x14ac:dyDescent="0.25">
      <c r="A1563" s="35" t="str">
        <f t="shared" si="72"/>
        <v/>
      </c>
      <c r="I1563" s="36" t="str">
        <f t="shared" ca="1" si="73"/>
        <v/>
      </c>
      <c r="J1563" s="36" t="str">
        <f t="shared" si="74"/>
        <v/>
      </c>
    </row>
    <row r="1564" spans="1:10" ht="15" customHeight="1" x14ac:dyDescent="0.25">
      <c r="A1564" s="35" t="str">
        <f t="shared" si="72"/>
        <v/>
      </c>
      <c r="I1564" s="36" t="str">
        <f t="shared" ca="1" si="73"/>
        <v/>
      </c>
      <c r="J1564" s="36" t="str">
        <f t="shared" si="74"/>
        <v/>
      </c>
    </row>
    <row r="1565" spans="1:10" ht="15" customHeight="1" x14ac:dyDescent="0.25">
      <c r="A1565" s="35" t="str">
        <f t="shared" si="72"/>
        <v/>
      </c>
      <c r="I1565" s="36" t="str">
        <f t="shared" ca="1" si="73"/>
        <v/>
      </c>
      <c r="J1565" s="36" t="str">
        <f t="shared" si="74"/>
        <v/>
      </c>
    </row>
    <row r="1566" spans="1:10" ht="15" customHeight="1" x14ac:dyDescent="0.25">
      <c r="A1566" s="35" t="str">
        <f t="shared" si="72"/>
        <v/>
      </c>
      <c r="I1566" s="36" t="str">
        <f t="shared" ca="1" si="73"/>
        <v/>
      </c>
      <c r="J1566" s="36" t="str">
        <f t="shared" si="74"/>
        <v/>
      </c>
    </row>
    <row r="1567" spans="1:10" ht="15" customHeight="1" x14ac:dyDescent="0.25">
      <c r="A1567" s="35" t="str">
        <f t="shared" si="72"/>
        <v/>
      </c>
      <c r="I1567" s="36" t="str">
        <f t="shared" ca="1" si="73"/>
        <v/>
      </c>
      <c r="J1567" s="36" t="str">
        <f t="shared" si="74"/>
        <v/>
      </c>
    </row>
    <row r="1568" spans="1:10" ht="15" customHeight="1" x14ac:dyDescent="0.25">
      <c r="A1568" s="35" t="str">
        <f t="shared" si="72"/>
        <v/>
      </c>
      <c r="I1568" s="36" t="str">
        <f t="shared" ca="1" si="73"/>
        <v/>
      </c>
      <c r="J1568" s="36" t="str">
        <f t="shared" si="74"/>
        <v/>
      </c>
    </row>
    <row r="1569" spans="1:10" ht="15" customHeight="1" x14ac:dyDescent="0.25">
      <c r="A1569" s="35" t="str">
        <f t="shared" si="72"/>
        <v/>
      </c>
      <c r="I1569" s="36" t="str">
        <f t="shared" ca="1" si="73"/>
        <v/>
      </c>
      <c r="J1569" s="36" t="str">
        <f t="shared" si="74"/>
        <v/>
      </c>
    </row>
    <row r="1570" spans="1:10" ht="15" customHeight="1" x14ac:dyDescent="0.25">
      <c r="A1570" s="35" t="str">
        <f t="shared" si="72"/>
        <v/>
      </c>
      <c r="I1570" s="36" t="str">
        <f t="shared" ca="1" si="73"/>
        <v/>
      </c>
      <c r="J1570" s="36" t="str">
        <f t="shared" si="74"/>
        <v/>
      </c>
    </row>
    <row r="1571" spans="1:10" ht="15" customHeight="1" x14ac:dyDescent="0.25">
      <c r="A1571" s="35" t="str">
        <f t="shared" si="72"/>
        <v/>
      </c>
      <c r="I1571" s="36" t="str">
        <f t="shared" ca="1" si="73"/>
        <v/>
      </c>
      <c r="J1571" s="36" t="str">
        <f t="shared" si="74"/>
        <v/>
      </c>
    </row>
    <row r="1572" spans="1:10" ht="15" customHeight="1" x14ac:dyDescent="0.25">
      <c r="A1572" s="35" t="str">
        <f t="shared" si="72"/>
        <v/>
      </c>
      <c r="I1572" s="36" t="str">
        <f t="shared" ca="1" si="73"/>
        <v/>
      </c>
      <c r="J1572" s="36" t="str">
        <f t="shared" si="74"/>
        <v/>
      </c>
    </row>
    <row r="1573" spans="1:10" ht="15" customHeight="1" x14ac:dyDescent="0.25">
      <c r="A1573" s="35" t="str">
        <f t="shared" si="72"/>
        <v/>
      </c>
      <c r="I1573" s="36" t="str">
        <f t="shared" ca="1" si="73"/>
        <v/>
      </c>
      <c r="J1573" s="36" t="str">
        <f t="shared" si="74"/>
        <v/>
      </c>
    </row>
    <row r="1574" spans="1:10" ht="15" customHeight="1" x14ac:dyDescent="0.25">
      <c r="A1574" s="35" t="str">
        <f t="shared" si="72"/>
        <v/>
      </c>
      <c r="I1574" s="36" t="str">
        <f t="shared" ca="1" si="73"/>
        <v/>
      </c>
      <c r="J1574" s="36" t="str">
        <f t="shared" si="74"/>
        <v/>
      </c>
    </row>
    <row r="1575" spans="1:10" ht="15" customHeight="1" x14ac:dyDescent="0.25">
      <c r="A1575" s="35" t="str">
        <f t="shared" si="72"/>
        <v/>
      </c>
      <c r="I1575" s="36" t="str">
        <f t="shared" ca="1" si="73"/>
        <v/>
      </c>
      <c r="J1575" s="36" t="str">
        <f t="shared" si="74"/>
        <v/>
      </c>
    </row>
    <row r="1576" spans="1:10" ht="15" customHeight="1" x14ac:dyDescent="0.25">
      <c r="A1576" s="35" t="str">
        <f t="shared" si="72"/>
        <v/>
      </c>
      <c r="I1576" s="36" t="str">
        <f t="shared" ca="1" si="73"/>
        <v/>
      </c>
      <c r="J1576" s="36" t="str">
        <f t="shared" si="74"/>
        <v/>
      </c>
    </row>
    <row r="1577" spans="1:10" ht="15" customHeight="1" x14ac:dyDescent="0.25">
      <c r="A1577" s="35" t="str">
        <f t="shared" si="72"/>
        <v/>
      </c>
      <c r="I1577" s="36" t="str">
        <f t="shared" ca="1" si="73"/>
        <v/>
      </c>
      <c r="J1577" s="36" t="str">
        <f t="shared" si="74"/>
        <v/>
      </c>
    </row>
    <row r="1578" spans="1:10" ht="15" customHeight="1" x14ac:dyDescent="0.25">
      <c r="A1578" s="35" t="str">
        <f t="shared" si="72"/>
        <v/>
      </c>
      <c r="I1578" s="36" t="str">
        <f t="shared" ca="1" si="73"/>
        <v/>
      </c>
      <c r="J1578" s="36" t="str">
        <f t="shared" si="74"/>
        <v/>
      </c>
    </row>
    <row r="1579" spans="1:10" ht="15" customHeight="1" x14ac:dyDescent="0.25">
      <c r="A1579" s="35" t="str">
        <f t="shared" si="72"/>
        <v/>
      </c>
      <c r="I1579" s="36" t="str">
        <f t="shared" ca="1" si="73"/>
        <v/>
      </c>
      <c r="J1579" s="36" t="str">
        <f t="shared" si="74"/>
        <v/>
      </c>
    </row>
    <row r="1580" spans="1:10" ht="15" customHeight="1" x14ac:dyDescent="0.25">
      <c r="A1580" s="35" t="str">
        <f t="shared" si="72"/>
        <v/>
      </c>
      <c r="I1580" s="36" t="str">
        <f t="shared" ca="1" si="73"/>
        <v/>
      </c>
      <c r="J1580" s="36" t="str">
        <f t="shared" si="74"/>
        <v/>
      </c>
    </row>
    <row r="1581" spans="1:10" ht="15" customHeight="1" x14ac:dyDescent="0.25">
      <c r="A1581" s="35" t="str">
        <f t="shared" si="72"/>
        <v/>
      </c>
      <c r="I1581" s="36" t="str">
        <f t="shared" ca="1" si="73"/>
        <v/>
      </c>
      <c r="J1581" s="36" t="str">
        <f t="shared" si="74"/>
        <v/>
      </c>
    </row>
    <row r="1582" spans="1:10" ht="15" customHeight="1" x14ac:dyDescent="0.25">
      <c r="A1582" s="35" t="str">
        <f t="shared" si="72"/>
        <v/>
      </c>
      <c r="I1582" s="36" t="str">
        <f t="shared" ca="1" si="73"/>
        <v/>
      </c>
      <c r="J1582" s="36" t="str">
        <f t="shared" si="74"/>
        <v/>
      </c>
    </row>
    <row r="1583" spans="1:10" ht="15" customHeight="1" x14ac:dyDescent="0.25">
      <c r="A1583" s="35" t="str">
        <f t="shared" si="72"/>
        <v/>
      </c>
      <c r="I1583" s="36" t="str">
        <f t="shared" ca="1" si="73"/>
        <v/>
      </c>
      <c r="J1583" s="36" t="str">
        <f t="shared" si="74"/>
        <v/>
      </c>
    </row>
    <row r="1584" spans="1:10" ht="15" customHeight="1" x14ac:dyDescent="0.25">
      <c r="A1584" s="35" t="str">
        <f t="shared" si="72"/>
        <v/>
      </c>
      <c r="I1584" s="36" t="str">
        <f t="shared" ca="1" si="73"/>
        <v/>
      </c>
      <c r="J1584" s="36" t="str">
        <f t="shared" si="74"/>
        <v/>
      </c>
    </row>
    <row r="1585" spans="1:10" ht="15" customHeight="1" x14ac:dyDescent="0.25">
      <c r="A1585" s="35" t="str">
        <f t="shared" si="72"/>
        <v/>
      </c>
      <c r="I1585" s="36" t="str">
        <f t="shared" ca="1" si="73"/>
        <v/>
      </c>
      <c r="J1585" s="36" t="str">
        <f t="shared" si="74"/>
        <v/>
      </c>
    </row>
    <row r="1586" spans="1:10" ht="15" customHeight="1" x14ac:dyDescent="0.25">
      <c r="A1586" s="35" t="str">
        <f t="shared" si="72"/>
        <v/>
      </c>
      <c r="I1586" s="36" t="str">
        <f t="shared" ca="1" si="73"/>
        <v/>
      </c>
      <c r="J1586" s="36" t="str">
        <f t="shared" si="74"/>
        <v/>
      </c>
    </row>
    <row r="1587" spans="1:10" ht="15" customHeight="1" x14ac:dyDescent="0.25">
      <c r="A1587" s="35" t="str">
        <f t="shared" si="72"/>
        <v/>
      </c>
      <c r="I1587" s="36" t="str">
        <f t="shared" ca="1" si="73"/>
        <v/>
      </c>
      <c r="J1587" s="36" t="str">
        <f t="shared" si="74"/>
        <v/>
      </c>
    </row>
    <row r="1588" spans="1:10" ht="15" customHeight="1" x14ac:dyDescent="0.25">
      <c r="A1588" s="35" t="str">
        <f t="shared" si="72"/>
        <v/>
      </c>
      <c r="I1588" s="36" t="str">
        <f t="shared" ca="1" si="73"/>
        <v/>
      </c>
      <c r="J1588" s="36" t="str">
        <f t="shared" si="74"/>
        <v/>
      </c>
    </row>
    <row r="1589" spans="1:10" ht="15" customHeight="1" x14ac:dyDescent="0.25">
      <c r="A1589" s="35" t="str">
        <f t="shared" si="72"/>
        <v/>
      </c>
      <c r="I1589" s="36" t="str">
        <f t="shared" ca="1" si="73"/>
        <v/>
      </c>
      <c r="J1589" s="36" t="str">
        <f t="shared" si="74"/>
        <v/>
      </c>
    </row>
    <row r="1590" spans="1:10" ht="15" customHeight="1" x14ac:dyDescent="0.25">
      <c r="A1590" s="35" t="str">
        <f t="shared" si="72"/>
        <v/>
      </c>
      <c r="I1590" s="36" t="str">
        <f t="shared" ca="1" si="73"/>
        <v/>
      </c>
      <c r="J1590" s="36" t="str">
        <f t="shared" si="74"/>
        <v/>
      </c>
    </row>
    <row r="1591" spans="1:10" ht="15" customHeight="1" x14ac:dyDescent="0.25">
      <c r="A1591" s="35" t="str">
        <f t="shared" si="72"/>
        <v/>
      </c>
      <c r="I1591" s="36" t="str">
        <f t="shared" ca="1" si="73"/>
        <v/>
      </c>
      <c r="J1591" s="36" t="str">
        <f t="shared" si="74"/>
        <v/>
      </c>
    </row>
    <row r="1592" spans="1:10" ht="15" customHeight="1" x14ac:dyDescent="0.25">
      <c r="A1592" s="35" t="str">
        <f t="shared" si="72"/>
        <v/>
      </c>
      <c r="I1592" s="36" t="str">
        <f t="shared" ca="1" si="73"/>
        <v/>
      </c>
      <c r="J1592" s="36" t="str">
        <f t="shared" si="74"/>
        <v/>
      </c>
    </row>
    <row r="1593" spans="1:10" ht="15" customHeight="1" x14ac:dyDescent="0.25">
      <c r="A1593" s="35" t="str">
        <f t="shared" si="72"/>
        <v/>
      </c>
      <c r="I1593" s="36" t="str">
        <f t="shared" ca="1" si="73"/>
        <v/>
      </c>
      <c r="J1593" s="36" t="str">
        <f t="shared" si="74"/>
        <v/>
      </c>
    </row>
    <row r="1594" spans="1:10" ht="15" customHeight="1" x14ac:dyDescent="0.25">
      <c r="A1594" s="35" t="str">
        <f t="shared" si="72"/>
        <v/>
      </c>
      <c r="I1594" s="36" t="str">
        <f t="shared" ca="1" si="73"/>
        <v/>
      </c>
      <c r="J1594" s="36" t="str">
        <f t="shared" si="74"/>
        <v/>
      </c>
    </row>
    <row r="1595" spans="1:10" ht="15" customHeight="1" x14ac:dyDescent="0.25">
      <c r="A1595" s="35" t="str">
        <f t="shared" si="72"/>
        <v/>
      </c>
      <c r="I1595" s="36" t="str">
        <f t="shared" ca="1" si="73"/>
        <v/>
      </c>
      <c r="J1595" s="36" t="str">
        <f t="shared" si="74"/>
        <v/>
      </c>
    </row>
    <row r="1596" spans="1:10" ht="15" customHeight="1" x14ac:dyDescent="0.25">
      <c r="A1596" s="35" t="str">
        <f t="shared" si="72"/>
        <v/>
      </c>
      <c r="I1596" s="36" t="str">
        <f t="shared" ca="1" si="73"/>
        <v/>
      </c>
      <c r="J1596" s="36" t="str">
        <f t="shared" si="74"/>
        <v/>
      </c>
    </row>
    <row r="1597" spans="1:10" ht="15" customHeight="1" x14ac:dyDescent="0.25">
      <c r="A1597" s="35" t="str">
        <f t="shared" si="72"/>
        <v/>
      </c>
      <c r="I1597" s="36" t="str">
        <f t="shared" ca="1" si="73"/>
        <v/>
      </c>
      <c r="J1597" s="36" t="str">
        <f t="shared" si="74"/>
        <v/>
      </c>
    </row>
    <row r="1598" spans="1:10" ht="15" customHeight="1" x14ac:dyDescent="0.25">
      <c r="A1598" s="35" t="str">
        <f t="shared" si="72"/>
        <v/>
      </c>
      <c r="I1598" s="36" t="str">
        <f t="shared" ca="1" si="73"/>
        <v/>
      </c>
      <c r="J1598" s="36" t="str">
        <f t="shared" si="74"/>
        <v/>
      </c>
    </row>
    <row r="1599" spans="1:10" ht="15" customHeight="1" x14ac:dyDescent="0.25">
      <c r="A1599" s="35" t="str">
        <f t="shared" si="72"/>
        <v/>
      </c>
      <c r="I1599" s="36" t="str">
        <f t="shared" ca="1" si="73"/>
        <v/>
      </c>
      <c r="J1599" s="36" t="str">
        <f t="shared" si="74"/>
        <v/>
      </c>
    </row>
    <row r="1600" spans="1:10" ht="15" customHeight="1" x14ac:dyDescent="0.25">
      <c r="A1600" s="35" t="str">
        <f t="shared" si="72"/>
        <v/>
      </c>
      <c r="I1600" s="36" t="str">
        <f t="shared" ca="1" si="73"/>
        <v/>
      </c>
      <c r="J1600" s="36" t="str">
        <f t="shared" si="74"/>
        <v/>
      </c>
    </row>
    <row r="1601" spans="1:10" ht="15" customHeight="1" x14ac:dyDescent="0.25">
      <c r="A1601" s="35" t="str">
        <f t="shared" si="72"/>
        <v/>
      </c>
      <c r="I1601" s="36" t="str">
        <f t="shared" ca="1" si="73"/>
        <v/>
      </c>
      <c r="J1601" s="36" t="str">
        <f t="shared" si="74"/>
        <v/>
      </c>
    </row>
    <row r="1602" spans="1:10" ht="15" customHeight="1" x14ac:dyDescent="0.25">
      <c r="A1602" s="35" t="str">
        <f t="shared" si="72"/>
        <v/>
      </c>
      <c r="I1602" s="36" t="str">
        <f t="shared" ca="1" si="73"/>
        <v/>
      </c>
      <c r="J1602" s="36" t="str">
        <f t="shared" si="74"/>
        <v/>
      </c>
    </row>
    <row r="1603" spans="1:10" ht="15" customHeight="1" x14ac:dyDescent="0.25">
      <c r="A1603" s="35" t="str">
        <f t="shared" si="72"/>
        <v/>
      </c>
      <c r="I1603" s="36" t="str">
        <f t="shared" ca="1" si="73"/>
        <v/>
      </c>
      <c r="J1603" s="36" t="str">
        <f t="shared" si="74"/>
        <v/>
      </c>
    </row>
    <row r="1604" spans="1:10" ht="15" customHeight="1" x14ac:dyDescent="0.25">
      <c r="A1604" s="35" t="str">
        <f t="shared" si="72"/>
        <v/>
      </c>
      <c r="I1604" s="36" t="str">
        <f t="shared" ca="1" si="73"/>
        <v/>
      </c>
      <c r="J1604" s="36" t="str">
        <f t="shared" si="74"/>
        <v/>
      </c>
    </row>
    <row r="1605" spans="1:10" ht="15" customHeight="1" x14ac:dyDescent="0.25">
      <c r="A1605" s="35" t="str">
        <f t="shared" ref="A1605:A1668" si="75">IF(B1605="","","ACC"&amp;TEXT(ROW()-4,"0000"))</f>
        <v/>
      </c>
      <c r="I1605" s="36" t="str">
        <f t="shared" ref="I1605:I1668" ca="1" si="76">IF(B1605="","",TEXT(TODAY(),"dd/mm/yyyy"))</f>
        <v/>
      </c>
      <c r="J1605" s="36" t="str">
        <f t="shared" ref="J1605:J1668" si="77">IF(B1605="","",IF(ISNUMBER(H1605),IF(H1605&gt;=10,"✅ Active","⚠️ Below Min Balance"),"Pending"))</f>
        <v/>
      </c>
    </row>
    <row r="1606" spans="1:10" ht="15" customHeight="1" x14ac:dyDescent="0.25">
      <c r="A1606" s="35" t="str">
        <f t="shared" si="75"/>
        <v/>
      </c>
      <c r="I1606" s="36" t="str">
        <f t="shared" ca="1" si="76"/>
        <v/>
      </c>
      <c r="J1606" s="36" t="str">
        <f t="shared" si="77"/>
        <v/>
      </c>
    </row>
    <row r="1607" spans="1:10" ht="15" customHeight="1" x14ac:dyDescent="0.25">
      <c r="A1607" s="35" t="str">
        <f t="shared" si="75"/>
        <v/>
      </c>
      <c r="I1607" s="36" t="str">
        <f t="shared" ca="1" si="76"/>
        <v/>
      </c>
      <c r="J1607" s="36" t="str">
        <f t="shared" si="77"/>
        <v/>
      </c>
    </row>
    <row r="1608" spans="1:10" ht="15" customHeight="1" x14ac:dyDescent="0.25">
      <c r="A1608" s="35" t="str">
        <f t="shared" si="75"/>
        <v/>
      </c>
      <c r="I1608" s="36" t="str">
        <f t="shared" ca="1" si="76"/>
        <v/>
      </c>
      <c r="J1608" s="36" t="str">
        <f t="shared" si="77"/>
        <v/>
      </c>
    </row>
    <row r="1609" spans="1:10" ht="15" customHeight="1" x14ac:dyDescent="0.25">
      <c r="A1609" s="35" t="str">
        <f t="shared" si="75"/>
        <v/>
      </c>
      <c r="I1609" s="36" t="str">
        <f t="shared" ca="1" si="76"/>
        <v/>
      </c>
      <c r="J1609" s="36" t="str">
        <f t="shared" si="77"/>
        <v/>
      </c>
    </row>
    <row r="1610" spans="1:10" ht="15" customHeight="1" x14ac:dyDescent="0.25">
      <c r="A1610" s="35" t="str">
        <f t="shared" si="75"/>
        <v/>
      </c>
      <c r="I1610" s="36" t="str">
        <f t="shared" ca="1" si="76"/>
        <v/>
      </c>
      <c r="J1610" s="36" t="str">
        <f t="shared" si="77"/>
        <v/>
      </c>
    </row>
    <row r="1611" spans="1:10" ht="15" customHeight="1" x14ac:dyDescent="0.25">
      <c r="A1611" s="35" t="str">
        <f t="shared" si="75"/>
        <v/>
      </c>
      <c r="I1611" s="36" t="str">
        <f t="shared" ca="1" si="76"/>
        <v/>
      </c>
      <c r="J1611" s="36" t="str">
        <f t="shared" si="77"/>
        <v/>
      </c>
    </row>
    <row r="1612" spans="1:10" ht="15" customHeight="1" x14ac:dyDescent="0.25">
      <c r="A1612" s="35" t="str">
        <f t="shared" si="75"/>
        <v/>
      </c>
      <c r="I1612" s="36" t="str">
        <f t="shared" ca="1" si="76"/>
        <v/>
      </c>
      <c r="J1612" s="36" t="str">
        <f t="shared" si="77"/>
        <v/>
      </c>
    </row>
    <row r="1613" spans="1:10" ht="15" customHeight="1" x14ac:dyDescent="0.25">
      <c r="A1613" s="35" t="str">
        <f t="shared" si="75"/>
        <v/>
      </c>
      <c r="I1613" s="36" t="str">
        <f t="shared" ca="1" si="76"/>
        <v/>
      </c>
      <c r="J1613" s="36" t="str">
        <f t="shared" si="77"/>
        <v/>
      </c>
    </row>
    <row r="1614" spans="1:10" ht="15" customHeight="1" x14ac:dyDescent="0.25">
      <c r="A1614" s="35" t="str">
        <f t="shared" si="75"/>
        <v/>
      </c>
      <c r="I1614" s="36" t="str">
        <f t="shared" ca="1" si="76"/>
        <v/>
      </c>
      <c r="J1614" s="36" t="str">
        <f t="shared" si="77"/>
        <v/>
      </c>
    </row>
    <row r="1615" spans="1:10" ht="15" customHeight="1" x14ac:dyDescent="0.25">
      <c r="A1615" s="35" t="str">
        <f t="shared" si="75"/>
        <v/>
      </c>
      <c r="I1615" s="36" t="str">
        <f t="shared" ca="1" si="76"/>
        <v/>
      </c>
      <c r="J1615" s="36" t="str">
        <f t="shared" si="77"/>
        <v/>
      </c>
    </row>
    <row r="1616" spans="1:10" ht="15" customHeight="1" x14ac:dyDescent="0.25">
      <c r="A1616" s="35" t="str">
        <f t="shared" si="75"/>
        <v/>
      </c>
      <c r="I1616" s="36" t="str">
        <f t="shared" ca="1" si="76"/>
        <v/>
      </c>
      <c r="J1616" s="36" t="str">
        <f t="shared" si="77"/>
        <v/>
      </c>
    </row>
    <row r="1617" spans="1:10" ht="15" customHeight="1" x14ac:dyDescent="0.25">
      <c r="A1617" s="35" t="str">
        <f t="shared" si="75"/>
        <v/>
      </c>
      <c r="I1617" s="36" t="str">
        <f t="shared" ca="1" si="76"/>
        <v/>
      </c>
      <c r="J1617" s="36" t="str">
        <f t="shared" si="77"/>
        <v/>
      </c>
    </row>
    <row r="1618" spans="1:10" ht="15" customHeight="1" x14ac:dyDescent="0.25">
      <c r="A1618" s="35" t="str">
        <f t="shared" si="75"/>
        <v/>
      </c>
      <c r="I1618" s="36" t="str">
        <f t="shared" ca="1" si="76"/>
        <v/>
      </c>
      <c r="J1618" s="36" t="str">
        <f t="shared" si="77"/>
        <v/>
      </c>
    </row>
    <row r="1619" spans="1:10" ht="15" customHeight="1" x14ac:dyDescent="0.25">
      <c r="A1619" s="35" t="str">
        <f t="shared" si="75"/>
        <v/>
      </c>
      <c r="I1619" s="36" t="str">
        <f t="shared" ca="1" si="76"/>
        <v/>
      </c>
      <c r="J1619" s="36" t="str">
        <f t="shared" si="77"/>
        <v/>
      </c>
    </row>
    <row r="1620" spans="1:10" ht="15" customHeight="1" x14ac:dyDescent="0.25">
      <c r="A1620" s="35" t="str">
        <f t="shared" si="75"/>
        <v/>
      </c>
      <c r="I1620" s="36" t="str">
        <f t="shared" ca="1" si="76"/>
        <v/>
      </c>
      <c r="J1620" s="36" t="str">
        <f t="shared" si="77"/>
        <v/>
      </c>
    </row>
    <row r="1621" spans="1:10" ht="15" customHeight="1" x14ac:dyDescent="0.25">
      <c r="A1621" s="35" t="str">
        <f t="shared" si="75"/>
        <v/>
      </c>
      <c r="I1621" s="36" t="str">
        <f t="shared" ca="1" si="76"/>
        <v/>
      </c>
      <c r="J1621" s="36" t="str">
        <f t="shared" si="77"/>
        <v/>
      </c>
    </row>
    <row r="1622" spans="1:10" ht="15" customHeight="1" x14ac:dyDescent="0.25">
      <c r="A1622" s="35" t="str">
        <f t="shared" si="75"/>
        <v/>
      </c>
      <c r="I1622" s="36" t="str">
        <f t="shared" ca="1" si="76"/>
        <v/>
      </c>
      <c r="J1622" s="36" t="str">
        <f t="shared" si="77"/>
        <v/>
      </c>
    </row>
    <row r="1623" spans="1:10" ht="15" customHeight="1" x14ac:dyDescent="0.25">
      <c r="A1623" s="35" t="str">
        <f t="shared" si="75"/>
        <v/>
      </c>
      <c r="I1623" s="36" t="str">
        <f t="shared" ca="1" si="76"/>
        <v/>
      </c>
      <c r="J1623" s="36" t="str">
        <f t="shared" si="77"/>
        <v/>
      </c>
    </row>
    <row r="1624" spans="1:10" ht="15" customHeight="1" x14ac:dyDescent="0.25">
      <c r="A1624" s="35" t="str">
        <f t="shared" si="75"/>
        <v/>
      </c>
      <c r="I1624" s="36" t="str">
        <f t="shared" ca="1" si="76"/>
        <v/>
      </c>
      <c r="J1624" s="36" t="str">
        <f t="shared" si="77"/>
        <v/>
      </c>
    </row>
    <row r="1625" spans="1:10" ht="15" customHeight="1" x14ac:dyDescent="0.25">
      <c r="A1625" s="35" t="str">
        <f t="shared" si="75"/>
        <v/>
      </c>
      <c r="I1625" s="36" t="str">
        <f t="shared" ca="1" si="76"/>
        <v/>
      </c>
      <c r="J1625" s="36" t="str">
        <f t="shared" si="77"/>
        <v/>
      </c>
    </row>
    <row r="1626" spans="1:10" ht="15" customHeight="1" x14ac:dyDescent="0.25">
      <c r="A1626" s="35" t="str">
        <f t="shared" si="75"/>
        <v/>
      </c>
      <c r="I1626" s="36" t="str">
        <f t="shared" ca="1" si="76"/>
        <v/>
      </c>
      <c r="J1626" s="36" t="str">
        <f t="shared" si="77"/>
        <v/>
      </c>
    </row>
    <row r="1627" spans="1:10" ht="15" customHeight="1" x14ac:dyDescent="0.25">
      <c r="A1627" s="35" t="str">
        <f t="shared" si="75"/>
        <v/>
      </c>
      <c r="I1627" s="36" t="str">
        <f t="shared" ca="1" si="76"/>
        <v/>
      </c>
      <c r="J1627" s="36" t="str">
        <f t="shared" si="77"/>
        <v/>
      </c>
    </row>
    <row r="1628" spans="1:10" ht="15" customHeight="1" x14ac:dyDescent="0.25">
      <c r="A1628" s="35" t="str">
        <f t="shared" si="75"/>
        <v/>
      </c>
      <c r="I1628" s="36" t="str">
        <f t="shared" ca="1" si="76"/>
        <v/>
      </c>
      <c r="J1628" s="36" t="str">
        <f t="shared" si="77"/>
        <v/>
      </c>
    </row>
    <row r="1629" spans="1:10" ht="15" customHeight="1" x14ac:dyDescent="0.25">
      <c r="A1629" s="35" t="str">
        <f t="shared" si="75"/>
        <v/>
      </c>
      <c r="I1629" s="36" t="str">
        <f t="shared" ca="1" si="76"/>
        <v/>
      </c>
      <c r="J1629" s="36" t="str">
        <f t="shared" si="77"/>
        <v/>
      </c>
    </row>
    <row r="1630" spans="1:10" ht="15" customHeight="1" x14ac:dyDescent="0.25">
      <c r="A1630" s="35" t="str">
        <f t="shared" si="75"/>
        <v/>
      </c>
      <c r="I1630" s="36" t="str">
        <f t="shared" ca="1" si="76"/>
        <v/>
      </c>
      <c r="J1630" s="36" t="str">
        <f t="shared" si="77"/>
        <v/>
      </c>
    </row>
    <row r="1631" spans="1:10" ht="15" customHeight="1" x14ac:dyDescent="0.25">
      <c r="A1631" s="35" t="str">
        <f t="shared" si="75"/>
        <v/>
      </c>
      <c r="I1631" s="36" t="str">
        <f t="shared" ca="1" si="76"/>
        <v/>
      </c>
      <c r="J1631" s="36" t="str">
        <f t="shared" si="77"/>
        <v/>
      </c>
    </row>
    <row r="1632" spans="1:10" ht="15" customHeight="1" x14ac:dyDescent="0.25">
      <c r="A1632" s="35" t="str">
        <f t="shared" si="75"/>
        <v/>
      </c>
      <c r="I1632" s="36" t="str">
        <f t="shared" ca="1" si="76"/>
        <v/>
      </c>
      <c r="J1632" s="36" t="str">
        <f t="shared" si="77"/>
        <v/>
      </c>
    </row>
    <row r="1633" spans="1:10" ht="15" customHeight="1" x14ac:dyDescent="0.25">
      <c r="A1633" s="35" t="str">
        <f t="shared" si="75"/>
        <v/>
      </c>
      <c r="I1633" s="36" t="str">
        <f t="shared" ca="1" si="76"/>
        <v/>
      </c>
      <c r="J1633" s="36" t="str">
        <f t="shared" si="77"/>
        <v/>
      </c>
    </row>
    <row r="1634" spans="1:10" ht="15" customHeight="1" x14ac:dyDescent="0.25">
      <c r="A1634" s="35" t="str">
        <f t="shared" si="75"/>
        <v/>
      </c>
      <c r="I1634" s="36" t="str">
        <f t="shared" ca="1" si="76"/>
        <v/>
      </c>
      <c r="J1634" s="36" t="str">
        <f t="shared" si="77"/>
        <v/>
      </c>
    </row>
    <row r="1635" spans="1:10" ht="15" customHeight="1" x14ac:dyDescent="0.25">
      <c r="A1635" s="35" t="str">
        <f t="shared" si="75"/>
        <v/>
      </c>
      <c r="I1635" s="36" t="str">
        <f t="shared" ca="1" si="76"/>
        <v/>
      </c>
      <c r="J1635" s="36" t="str">
        <f t="shared" si="77"/>
        <v/>
      </c>
    </row>
    <row r="1636" spans="1:10" ht="15" customHeight="1" x14ac:dyDescent="0.25">
      <c r="A1636" s="35" t="str">
        <f t="shared" si="75"/>
        <v/>
      </c>
      <c r="I1636" s="36" t="str">
        <f t="shared" ca="1" si="76"/>
        <v/>
      </c>
      <c r="J1636" s="36" t="str">
        <f t="shared" si="77"/>
        <v/>
      </c>
    </row>
    <row r="1637" spans="1:10" ht="15" customHeight="1" x14ac:dyDescent="0.25">
      <c r="A1637" s="35" t="str">
        <f t="shared" si="75"/>
        <v/>
      </c>
      <c r="I1637" s="36" t="str">
        <f t="shared" ca="1" si="76"/>
        <v/>
      </c>
      <c r="J1637" s="36" t="str">
        <f t="shared" si="77"/>
        <v/>
      </c>
    </row>
    <row r="1638" spans="1:10" ht="15" customHeight="1" x14ac:dyDescent="0.25">
      <c r="A1638" s="35" t="str">
        <f t="shared" si="75"/>
        <v/>
      </c>
      <c r="I1638" s="36" t="str">
        <f t="shared" ca="1" si="76"/>
        <v/>
      </c>
      <c r="J1638" s="36" t="str">
        <f t="shared" si="77"/>
        <v/>
      </c>
    </row>
    <row r="1639" spans="1:10" ht="15" customHeight="1" x14ac:dyDescent="0.25">
      <c r="A1639" s="35" t="str">
        <f t="shared" si="75"/>
        <v/>
      </c>
      <c r="I1639" s="36" t="str">
        <f t="shared" ca="1" si="76"/>
        <v/>
      </c>
      <c r="J1639" s="36" t="str">
        <f t="shared" si="77"/>
        <v/>
      </c>
    </row>
    <row r="1640" spans="1:10" ht="15" customHeight="1" x14ac:dyDescent="0.25">
      <c r="A1640" s="35" t="str">
        <f t="shared" si="75"/>
        <v/>
      </c>
      <c r="I1640" s="36" t="str">
        <f t="shared" ca="1" si="76"/>
        <v/>
      </c>
      <c r="J1640" s="36" t="str">
        <f t="shared" si="77"/>
        <v/>
      </c>
    </row>
    <row r="1641" spans="1:10" ht="15" customHeight="1" x14ac:dyDescent="0.25">
      <c r="A1641" s="35" t="str">
        <f t="shared" si="75"/>
        <v/>
      </c>
      <c r="I1641" s="36" t="str">
        <f t="shared" ca="1" si="76"/>
        <v/>
      </c>
      <c r="J1641" s="36" t="str">
        <f t="shared" si="77"/>
        <v/>
      </c>
    </row>
    <row r="1642" spans="1:10" ht="15" customHeight="1" x14ac:dyDescent="0.25">
      <c r="A1642" s="35" t="str">
        <f t="shared" si="75"/>
        <v/>
      </c>
      <c r="I1642" s="36" t="str">
        <f t="shared" ca="1" si="76"/>
        <v/>
      </c>
      <c r="J1642" s="36" t="str">
        <f t="shared" si="77"/>
        <v/>
      </c>
    </row>
    <row r="1643" spans="1:10" ht="15" customHeight="1" x14ac:dyDescent="0.25">
      <c r="A1643" s="35" t="str">
        <f t="shared" si="75"/>
        <v/>
      </c>
      <c r="I1643" s="36" t="str">
        <f t="shared" ca="1" si="76"/>
        <v/>
      </c>
      <c r="J1643" s="36" t="str">
        <f t="shared" si="77"/>
        <v/>
      </c>
    </row>
    <row r="1644" spans="1:10" ht="15" customHeight="1" x14ac:dyDescent="0.25">
      <c r="A1644" s="35" t="str">
        <f t="shared" si="75"/>
        <v/>
      </c>
      <c r="I1644" s="36" t="str">
        <f t="shared" ca="1" si="76"/>
        <v/>
      </c>
      <c r="J1644" s="36" t="str">
        <f t="shared" si="77"/>
        <v/>
      </c>
    </row>
    <row r="1645" spans="1:10" ht="15" customHeight="1" x14ac:dyDescent="0.25">
      <c r="A1645" s="35" t="str">
        <f t="shared" si="75"/>
        <v/>
      </c>
      <c r="I1645" s="36" t="str">
        <f t="shared" ca="1" si="76"/>
        <v/>
      </c>
      <c r="J1645" s="36" t="str">
        <f t="shared" si="77"/>
        <v/>
      </c>
    </row>
    <row r="1646" spans="1:10" ht="15" customHeight="1" x14ac:dyDescent="0.25">
      <c r="A1646" s="35" t="str">
        <f t="shared" si="75"/>
        <v/>
      </c>
      <c r="I1646" s="36" t="str">
        <f t="shared" ca="1" si="76"/>
        <v/>
      </c>
      <c r="J1646" s="36" t="str">
        <f t="shared" si="77"/>
        <v/>
      </c>
    </row>
    <row r="1647" spans="1:10" ht="15" customHeight="1" x14ac:dyDescent="0.25">
      <c r="A1647" s="35" t="str">
        <f t="shared" si="75"/>
        <v/>
      </c>
      <c r="I1647" s="36" t="str">
        <f t="shared" ca="1" si="76"/>
        <v/>
      </c>
      <c r="J1647" s="36" t="str">
        <f t="shared" si="77"/>
        <v/>
      </c>
    </row>
    <row r="1648" spans="1:10" ht="15" customHeight="1" x14ac:dyDescent="0.25">
      <c r="A1648" s="35" t="str">
        <f t="shared" si="75"/>
        <v/>
      </c>
      <c r="I1648" s="36" t="str">
        <f t="shared" ca="1" si="76"/>
        <v/>
      </c>
      <c r="J1648" s="36" t="str">
        <f t="shared" si="77"/>
        <v/>
      </c>
    </row>
    <row r="1649" spans="1:10" ht="15" customHeight="1" x14ac:dyDescent="0.25">
      <c r="A1649" s="35" t="str">
        <f t="shared" si="75"/>
        <v/>
      </c>
      <c r="I1649" s="36" t="str">
        <f t="shared" ca="1" si="76"/>
        <v/>
      </c>
      <c r="J1649" s="36" t="str">
        <f t="shared" si="77"/>
        <v/>
      </c>
    </row>
    <row r="1650" spans="1:10" ht="15" customHeight="1" x14ac:dyDescent="0.25">
      <c r="A1650" s="35" t="str">
        <f t="shared" si="75"/>
        <v/>
      </c>
      <c r="I1650" s="36" t="str">
        <f t="shared" ca="1" si="76"/>
        <v/>
      </c>
      <c r="J1650" s="36" t="str">
        <f t="shared" si="77"/>
        <v/>
      </c>
    </row>
    <row r="1651" spans="1:10" ht="15" customHeight="1" x14ac:dyDescent="0.25">
      <c r="A1651" s="35" t="str">
        <f t="shared" si="75"/>
        <v/>
      </c>
      <c r="I1651" s="36" t="str">
        <f t="shared" ca="1" si="76"/>
        <v/>
      </c>
      <c r="J1651" s="36" t="str">
        <f t="shared" si="77"/>
        <v/>
      </c>
    </row>
    <row r="1652" spans="1:10" ht="15" customHeight="1" x14ac:dyDescent="0.25">
      <c r="A1652" s="35" t="str">
        <f t="shared" si="75"/>
        <v/>
      </c>
      <c r="I1652" s="36" t="str">
        <f t="shared" ca="1" si="76"/>
        <v/>
      </c>
      <c r="J1652" s="36" t="str">
        <f t="shared" si="77"/>
        <v/>
      </c>
    </row>
    <row r="1653" spans="1:10" ht="15" customHeight="1" x14ac:dyDescent="0.25">
      <c r="A1653" s="35" t="str">
        <f t="shared" si="75"/>
        <v/>
      </c>
      <c r="I1653" s="36" t="str">
        <f t="shared" ca="1" si="76"/>
        <v/>
      </c>
      <c r="J1653" s="36" t="str">
        <f t="shared" si="77"/>
        <v/>
      </c>
    </row>
    <row r="1654" spans="1:10" ht="15" customHeight="1" x14ac:dyDescent="0.25">
      <c r="A1654" s="35" t="str">
        <f t="shared" si="75"/>
        <v/>
      </c>
      <c r="I1654" s="36" t="str">
        <f t="shared" ca="1" si="76"/>
        <v/>
      </c>
      <c r="J1654" s="36" t="str">
        <f t="shared" si="77"/>
        <v/>
      </c>
    </row>
    <row r="1655" spans="1:10" ht="15" customHeight="1" x14ac:dyDescent="0.25">
      <c r="A1655" s="35" t="str">
        <f t="shared" si="75"/>
        <v/>
      </c>
      <c r="I1655" s="36" t="str">
        <f t="shared" ca="1" si="76"/>
        <v/>
      </c>
      <c r="J1655" s="36" t="str">
        <f t="shared" si="77"/>
        <v/>
      </c>
    </row>
    <row r="1656" spans="1:10" ht="15" customHeight="1" x14ac:dyDescent="0.25">
      <c r="A1656" s="35" t="str">
        <f t="shared" si="75"/>
        <v/>
      </c>
      <c r="I1656" s="36" t="str">
        <f t="shared" ca="1" si="76"/>
        <v/>
      </c>
      <c r="J1656" s="36" t="str">
        <f t="shared" si="77"/>
        <v/>
      </c>
    </row>
    <row r="1657" spans="1:10" ht="15" customHeight="1" x14ac:dyDescent="0.25">
      <c r="A1657" s="35" t="str">
        <f t="shared" si="75"/>
        <v/>
      </c>
      <c r="I1657" s="36" t="str">
        <f t="shared" ca="1" si="76"/>
        <v/>
      </c>
      <c r="J1657" s="36" t="str">
        <f t="shared" si="77"/>
        <v/>
      </c>
    </row>
    <row r="1658" spans="1:10" ht="15" customHeight="1" x14ac:dyDescent="0.25">
      <c r="A1658" s="35" t="str">
        <f t="shared" si="75"/>
        <v/>
      </c>
      <c r="I1658" s="36" t="str">
        <f t="shared" ca="1" si="76"/>
        <v/>
      </c>
      <c r="J1658" s="36" t="str">
        <f t="shared" si="77"/>
        <v/>
      </c>
    </row>
    <row r="1659" spans="1:10" ht="15" customHeight="1" x14ac:dyDescent="0.25">
      <c r="A1659" s="35" t="str">
        <f t="shared" si="75"/>
        <v/>
      </c>
      <c r="I1659" s="36" t="str">
        <f t="shared" ca="1" si="76"/>
        <v/>
      </c>
      <c r="J1659" s="36" t="str">
        <f t="shared" si="77"/>
        <v/>
      </c>
    </row>
    <row r="1660" spans="1:10" ht="15" customHeight="1" x14ac:dyDescent="0.25">
      <c r="A1660" s="35" t="str">
        <f t="shared" si="75"/>
        <v/>
      </c>
      <c r="I1660" s="36" t="str">
        <f t="shared" ca="1" si="76"/>
        <v/>
      </c>
      <c r="J1660" s="36" t="str">
        <f t="shared" si="77"/>
        <v/>
      </c>
    </row>
    <row r="1661" spans="1:10" ht="15" customHeight="1" x14ac:dyDescent="0.25">
      <c r="A1661" s="35" t="str">
        <f t="shared" si="75"/>
        <v/>
      </c>
      <c r="I1661" s="36" t="str">
        <f t="shared" ca="1" si="76"/>
        <v/>
      </c>
      <c r="J1661" s="36" t="str">
        <f t="shared" si="77"/>
        <v/>
      </c>
    </row>
    <row r="1662" spans="1:10" ht="15" customHeight="1" x14ac:dyDescent="0.25">
      <c r="A1662" s="35" t="str">
        <f t="shared" si="75"/>
        <v/>
      </c>
      <c r="I1662" s="36" t="str">
        <f t="shared" ca="1" si="76"/>
        <v/>
      </c>
      <c r="J1662" s="36" t="str">
        <f t="shared" si="77"/>
        <v/>
      </c>
    </row>
    <row r="1663" spans="1:10" ht="15" customHeight="1" x14ac:dyDescent="0.25">
      <c r="A1663" s="35" t="str">
        <f t="shared" si="75"/>
        <v/>
      </c>
      <c r="I1663" s="36" t="str">
        <f t="shared" ca="1" si="76"/>
        <v/>
      </c>
      <c r="J1663" s="36" t="str">
        <f t="shared" si="77"/>
        <v/>
      </c>
    </row>
    <row r="1664" spans="1:10" ht="15" customHeight="1" x14ac:dyDescent="0.25">
      <c r="A1664" s="35" t="str">
        <f t="shared" si="75"/>
        <v/>
      </c>
      <c r="I1664" s="36" t="str">
        <f t="shared" ca="1" si="76"/>
        <v/>
      </c>
      <c r="J1664" s="36" t="str">
        <f t="shared" si="77"/>
        <v/>
      </c>
    </row>
    <row r="1665" spans="1:10" ht="15" customHeight="1" x14ac:dyDescent="0.25">
      <c r="A1665" s="35" t="str">
        <f t="shared" si="75"/>
        <v/>
      </c>
      <c r="I1665" s="36" t="str">
        <f t="shared" ca="1" si="76"/>
        <v/>
      </c>
      <c r="J1665" s="36" t="str">
        <f t="shared" si="77"/>
        <v/>
      </c>
    </row>
    <row r="1666" spans="1:10" ht="15" customHeight="1" x14ac:dyDescent="0.25">
      <c r="A1666" s="35" t="str">
        <f t="shared" si="75"/>
        <v/>
      </c>
      <c r="I1666" s="36" t="str">
        <f t="shared" ca="1" si="76"/>
        <v/>
      </c>
      <c r="J1666" s="36" t="str">
        <f t="shared" si="77"/>
        <v/>
      </c>
    </row>
    <row r="1667" spans="1:10" ht="15" customHeight="1" x14ac:dyDescent="0.25">
      <c r="A1667" s="35" t="str">
        <f t="shared" si="75"/>
        <v/>
      </c>
      <c r="I1667" s="36" t="str">
        <f t="shared" ca="1" si="76"/>
        <v/>
      </c>
      <c r="J1667" s="36" t="str">
        <f t="shared" si="77"/>
        <v/>
      </c>
    </row>
    <row r="1668" spans="1:10" ht="15" customHeight="1" x14ac:dyDescent="0.25">
      <c r="A1668" s="35" t="str">
        <f t="shared" si="75"/>
        <v/>
      </c>
      <c r="I1668" s="36" t="str">
        <f t="shared" ca="1" si="76"/>
        <v/>
      </c>
      <c r="J1668" s="36" t="str">
        <f t="shared" si="77"/>
        <v/>
      </c>
    </row>
    <row r="1669" spans="1:10" ht="15" customHeight="1" x14ac:dyDescent="0.25">
      <c r="A1669" s="35" t="str">
        <f t="shared" ref="A1669:A1732" si="78">IF(B1669="","","ACC"&amp;TEXT(ROW()-4,"0000"))</f>
        <v/>
      </c>
      <c r="I1669" s="36" t="str">
        <f t="shared" ref="I1669:I1732" ca="1" si="79">IF(B1669="","",TEXT(TODAY(),"dd/mm/yyyy"))</f>
        <v/>
      </c>
      <c r="J1669" s="36" t="str">
        <f t="shared" ref="J1669:J1732" si="80">IF(B1669="","",IF(ISNUMBER(H1669),IF(H1669&gt;=10,"✅ Active","⚠️ Below Min Balance"),"Pending"))</f>
        <v/>
      </c>
    </row>
    <row r="1670" spans="1:10" ht="15" customHeight="1" x14ac:dyDescent="0.25">
      <c r="A1670" s="35" t="str">
        <f t="shared" si="78"/>
        <v/>
      </c>
      <c r="I1670" s="36" t="str">
        <f t="shared" ca="1" si="79"/>
        <v/>
      </c>
      <c r="J1670" s="36" t="str">
        <f t="shared" si="80"/>
        <v/>
      </c>
    </row>
    <row r="1671" spans="1:10" ht="15" customHeight="1" x14ac:dyDescent="0.25">
      <c r="A1671" s="35" t="str">
        <f t="shared" si="78"/>
        <v/>
      </c>
      <c r="I1671" s="36" t="str">
        <f t="shared" ca="1" si="79"/>
        <v/>
      </c>
      <c r="J1671" s="36" t="str">
        <f t="shared" si="80"/>
        <v/>
      </c>
    </row>
    <row r="1672" spans="1:10" ht="15" customHeight="1" x14ac:dyDescent="0.25">
      <c r="A1672" s="35" t="str">
        <f t="shared" si="78"/>
        <v/>
      </c>
      <c r="I1672" s="36" t="str">
        <f t="shared" ca="1" si="79"/>
        <v/>
      </c>
      <c r="J1672" s="36" t="str">
        <f t="shared" si="80"/>
        <v/>
      </c>
    </row>
    <row r="1673" spans="1:10" ht="15" customHeight="1" x14ac:dyDescent="0.25">
      <c r="A1673" s="35" t="str">
        <f t="shared" si="78"/>
        <v/>
      </c>
      <c r="I1673" s="36" t="str">
        <f t="shared" ca="1" si="79"/>
        <v/>
      </c>
      <c r="J1673" s="36" t="str">
        <f t="shared" si="80"/>
        <v/>
      </c>
    </row>
    <row r="1674" spans="1:10" ht="15" customHeight="1" x14ac:dyDescent="0.25">
      <c r="A1674" s="35" t="str">
        <f t="shared" si="78"/>
        <v/>
      </c>
      <c r="I1674" s="36" t="str">
        <f t="shared" ca="1" si="79"/>
        <v/>
      </c>
      <c r="J1674" s="36" t="str">
        <f t="shared" si="80"/>
        <v/>
      </c>
    </row>
    <row r="1675" spans="1:10" ht="15" customHeight="1" x14ac:dyDescent="0.25">
      <c r="A1675" s="35" t="str">
        <f t="shared" si="78"/>
        <v/>
      </c>
      <c r="I1675" s="36" t="str">
        <f t="shared" ca="1" si="79"/>
        <v/>
      </c>
      <c r="J1675" s="36" t="str">
        <f t="shared" si="80"/>
        <v/>
      </c>
    </row>
    <row r="1676" spans="1:10" ht="15" customHeight="1" x14ac:dyDescent="0.25">
      <c r="A1676" s="35" t="str">
        <f t="shared" si="78"/>
        <v/>
      </c>
      <c r="I1676" s="36" t="str">
        <f t="shared" ca="1" si="79"/>
        <v/>
      </c>
      <c r="J1676" s="36" t="str">
        <f t="shared" si="80"/>
        <v/>
      </c>
    </row>
    <row r="1677" spans="1:10" ht="15" customHeight="1" x14ac:dyDescent="0.25">
      <c r="A1677" s="35" t="str">
        <f t="shared" si="78"/>
        <v/>
      </c>
      <c r="I1677" s="36" t="str">
        <f t="shared" ca="1" si="79"/>
        <v/>
      </c>
      <c r="J1677" s="36" t="str">
        <f t="shared" si="80"/>
        <v/>
      </c>
    </row>
    <row r="1678" spans="1:10" ht="15" customHeight="1" x14ac:dyDescent="0.25">
      <c r="A1678" s="35" t="str">
        <f t="shared" si="78"/>
        <v/>
      </c>
      <c r="I1678" s="36" t="str">
        <f t="shared" ca="1" si="79"/>
        <v/>
      </c>
      <c r="J1678" s="36" t="str">
        <f t="shared" si="80"/>
        <v/>
      </c>
    </row>
    <row r="1679" spans="1:10" ht="15" customHeight="1" x14ac:dyDescent="0.25">
      <c r="A1679" s="35" t="str">
        <f t="shared" si="78"/>
        <v/>
      </c>
      <c r="I1679" s="36" t="str">
        <f t="shared" ca="1" si="79"/>
        <v/>
      </c>
      <c r="J1679" s="36" t="str">
        <f t="shared" si="80"/>
        <v/>
      </c>
    </row>
    <row r="1680" spans="1:10" ht="15" customHeight="1" x14ac:dyDescent="0.25">
      <c r="A1680" s="35" t="str">
        <f t="shared" si="78"/>
        <v/>
      </c>
      <c r="I1680" s="36" t="str">
        <f t="shared" ca="1" si="79"/>
        <v/>
      </c>
      <c r="J1680" s="36" t="str">
        <f t="shared" si="80"/>
        <v/>
      </c>
    </row>
    <row r="1681" spans="1:10" ht="15" customHeight="1" x14ac:dyDescent="0.25">
      <c r="A1681" s="35" t="str">
        <f t="shared" si="78"/>
        <v/>
      </c>
      <c r="I1681" s="36" t="str">
        <f t="shared" ca="1" si="79"/>
        <v/>
      </c>
      <c r="J1681" s="36" t="str">
        <f t="shared" si="80"/>
        <v/>
      </c>
    </row>
    <row r="1682" spans="1:10" ht="15" customHeight="1" x14ac:dyDescent="0.25">
      <c r="A1682" s="35" t="str">
        <f t="shared" si="78"/>
        <v/>
      </c>
      <c r="I1682" s="36" t="str">
        <f t="shared" ca="1" si="79"/>
        <v/>
      </c>
      <c r="J1682" s="36" t="str">
        <f t="shared" si="80"/>
        <v/>
      </c>
    </row>
    <row r="1683" spans="1:10" ht="15" customHeight="1" x14ac:dyDescent="0.25">
      <c r="A1683" s="35" t="str">
        <f t="shared" si="78"/>
        <v/>
      </c>
      <c r="I1683" s="36" t="str">
        <f t="shared" ca="1" si="79"/>
        <v/>
      </c>
      <c r="J1683" s="36" t="str">
        <f t="shared" si="80"/>
        <v/>
      </c>
    </row>
    <row r="1684" spans="1:10" ht="15" customHeight="1" x14ac:dyDescent="0.25">
      <c r="A1684" s="35" t="str">
        <f t="shared" si="78"/>
        <v/>
      </c>
      <c r="I1684" s="36" t="str">
        <f t="shared" ca="1" si="79"/>
        <v/>
      </c>
      <c r="J1684" s="36" t="str">
        <f t="shared" si="80"/>
        <v/>
      </c>
    </row>
    <row r="1685" spans="1:10" ht="15" customHeight="1" x14ac:dyDescent="0.25">
      <c r="A1685" s="35" t="str">
        <f t="shared" si="78"/>
        <v/>
      </c>
      <c r="I1685" s="36" t="str">
        <f t="shared" ca="1" si="79"/>
        <v/>
      </c>
      <c r="J1685" s="36" t="str">
        <f t="shared" si="80"/>
        <v/>
      </c>
    </row>
    <row r="1686" spans="1:10" ht="15" customHeight="1" x14ac:dyDescent="0.25">
      <c r="A1686" s="35" t="str">
        <f t="shared" si="78"/>
        <v/>
      </c>
      <c r="I1686" s="36" t="str">
        <f t="shared" ca="1" si="79"/>
        <v/>
      </c>
      <c r="J1686" s="36" t="str">
        <f t="shared" si="80"/>
        <v/>
      </c>
    </row>
    <row r="1687" spans="1:10" ht="15" customHeight="1" x14ac:dyDescent="0.25">
      <c r="A1687" s="35" t="str">
        <f t="shared" si="78"/>
        <v/>
      </c>
      <c r="I1687" s="36" t="str">
        <f t="shared" ca="1" si="79"/>
        <v/>
      </c>
      <c r="J1687" s="36" t="str">
        <f t="shared" si="80"/>
        <v/>
      </c>
    </row>
    <row r="1688" spans="1:10" ht="15" customHeight="1" x14ac:dyDescent="0.25">
      <c r="A1688" s="35" t="str">
        <f t="shared" si="78"/>
        <v/>
      </c>
      <c r="I1688" s="36" t="str">
        <f t="shared" ca="1" si="79"/>
        <v/>
      </c>
      <c r="J1688" s="36" t="str">
        <f t="shared" si="80"/>
        <v/>
      </c>
    </row>
    <row r="1689" spans="1:10" ht="15" customHeight="1" x14ac:dyDescent="0.25">
      <c r="A1689" s="35" t="str">
        <f t="shared" si="78"/>
        <v/>
      </c>
      <c r="I1689" s="36" t="str">
        <f t="shared" ca="1" si="79"/>
        <v/>
      </c>
      <c r="J1689" s="36" t="str">
        <f t="shared" si="80"/>
        <v/>
      </c>
    </row>
    <row r="1690" spans="1:10" ht="15" customHeight="1" x14ac:dyDescent="0.25">
      <c r="A1690" s="35" t="str">
        <f t="shared" si="78"/>
        <v/>
      </c>
      <c r="I1690" s="36" t="str">
        <f t="shared" ca="1" si="79"/>
        <v/>
      </c>
      <c r="J1690" s="36" t="str">
        <f t="shared" si="80"/>
        <v/>
      </c>
    </row>
    <row r="1691" spans="1:10" ht="15" customHeight="1" x14ac:dyDescent="0.25">
      <c r="A1691" s="35" t="str">
        <f t="shared" si="78"/>
        <v/>
      </c>
      <c r="I1691" s="36" t="str">
        <f t="shared" ca="1" si="79"/>
        <v/>
      </c>
      <c r="J1691" s="36" t="str">
        <f t="shared" si="80"/>
        <v/>
      </c>
    </row>
    <row r="1692" spans="1:10" ht="15" customHeight="1" x14ac:dyDescent="0.25">
      <c r="A1692" s="35" t="str">
        <f t="shared" si="78"/>
        <v/>
      </c>
      <c r="I1692" s="36" t="str">
        <f t="shared" ca="1" si="79"/>
        <v/>
      </c>
      <c r="J1692" s="36" t="str">
        <f t="shared" si="80"/>
        <v/>
      </c>
    </row>
    <row r="1693" spans="1:10" ht="15" customHeight="1" x14ac:dyDescent="0.25">
      <c r="A1693" s="35" t="str">
        <f t="shared" si="78"/>
        <v/>
      </c>
      <c r="I1693" s="36" t="str">
        <f t="shared" ca="1" si="79"/>
        <v/>
      </c>
      <c r="J1693" s="36" t="str">
        <f t="shared" si="80"/>
        <v/>
      </c>
    </row>
    <row r="1694" spans="1:10" ht="15" customHeight="1" x14ac:dyDescent="0.25">
      <c r="A1694" s="35" t="str">
        <f t="shared" si="78"/>
        <v/>
      </c>
      <c r="I1694" s="36" t="str">
        <f t="shared" ca="1" si="79"/>
        <v/>
      </c>
      <c r="J1694" s="36" t="str">
        <f t="shared" si="80"/>
        <v/>
      </c>
    </row>
    <row r="1695" spans="1:10" ht="15" customHeight="1" x14ac:dyDescent="0.25">
      <c r="A1695" s="35" t="str">
        <f t="shared" si="78"/>
        <v/>
      </c>
      <c r="I1695" s="36" t="str">
        <f t="shared" ca="1" si="79"/>
        <v/>
      </c>
      <c r="J1695" s="36" t="str">
        <f t="shared" si="80"/>
        <v/>
      </c>
    </row>
    <row r="1696" spans="1:10" ht="15" customHeight="1" x14ac:dyDescent="0.25">
      <c r="A1696" s="35" t="str">
        <f t="shared" si="78"/>
        <v/>
      </c>
      <c r="I1696" s="36" t="str">
        <f t="shared" ca="1" si="79"/>
        <v/>
      </c>
      <c r="J1696" s="36" t="str">
        <f t="shared" si="80"/>
        <v/>
      </c>
    </row>
    <row r="1697" spans="1:10" ht="15" customHeight="1" x14ac:dyDescent="0.25">
      <c r="A1697" s="35" t="str">
        <f t="shared" si="78"/>
        <v/>
      </c>
      <c r="I1697" s="36" t="str">
        <f t="shared" ca="1" si="79"/>
        <v/>
      </c>
      <c r="J1697" s="36" t="str">
        <f t="shared" si="80"/>
        <v/>
      </c>
    </row>
    <row r="1698" spans="1:10" ht="15" customHeight="1" x14ac:dyDescent="0.25">
      <c r="A1698" s="35" t="str">
        <f t="shared" si="78"/>
        <v/>
      </c>
      <c r="I1698" s="36" t="str">
        <f t="shared" ca="1" si="79"/>
        <v/>
      </c>
      <c r="J1698" s="36" t="str">
        <f t="shared" si="80"/>
        <v/>
      </c>
    </row>
    <row r="1699" spans="1:10" ht="15" customHeight="1" x14ac:dyDescent="0.25">
      <c r="A1699" s="35" t="str">
        <f t="shared" si="78"/>
        <v/>
      </c>
      <c r="I1699" s="36" t="str">
        <f t="shared" ca="1" si="79"/>
        <v/>
      </c>
      <c r="J1699" s="36" t="str">
        <f t="shared" si="80"/>
        <v/>
      </c>
    </row>
    <row r="1700" spans="1:10" ht="15" customHeight="1" x14ac:dyDescent="0.25">
      <c r="A1700" s="35" t="str">
        <f t="shared" si="78"/>
        <v/>
      </c>
      <c r="I1700" s="36" t="str">
        <f t="shared" ca="1" si="79"/>
        <v/>
      </c>
      <c r="J1700" s="36" t="str">
        <f t="shared" si="80"/>
        <v/>
      </c>
    </row>
    <row r="1701" spans="1:10" ht="15" customHeight="1" x14ac:dyDescent="0.25">
      <c r="A1701" s="35" t="str">
        <f t="shared" si="78"/>
        <v/>
      </c>
      <c r="I1701" s="36" t="str">
        <f t="shared" ca="1" si="79"/>
        <v/>
      </c>
      <c r="J1701" s="36" t="str">
        <f t="shared" si="80"/>
        <v/>
      </c>
    </row>
    <row r="1702" spans="1:10" ht="15" customHeight="1" x14ac:dyDescent="0.25">
      <c r="A1702" s="35" t="str">
        <f t="shared" si="78"/>
        <v/>
      </c>
      <c r="I1702" s="36" t="str">
        <f t="shared" ca="1" si="79"/>
        <v/>
      </c>
      <c r="J1702" s="36" t="str">
        <f t="shared" si="80"/>
        <v/>
      </c>
    </row>
    <row r="1703" spans="1:10" ht="15" customHeight="1" x14ac:dyDescent="0.25">
      <c r="A1703" s="35" t="str">
        <f t="shared" si="78"/>
        <v/>
      </c>
      <c r="I1703" s="36" t="str">
        <f t="shared" ca="1" si="79"/>
        <v/>
      </c>
      <c r="J1703" s="36" t="str">
        <f t="shared" si="80"/>
        <v/>
      </c>
    </row>
    <row r="1704" spans="1:10" ht="15" customHeight="1" x14ac:dyDescent="0.25">
      <c r="A1704" s="35" t="str">
        <f t="shared" si="78"/>
        <v/>
      </c>
      <c r="I1704" s="36" t="str">
        <f t="shared" ca="1" si="79"/>
        <v/>
      </c>
      <c r="J1704" s="36" t="str">
        <f t="shared" si="80"/>
        <v/>
      </c>
    </row>
    <row r="1705" spans="1:10" ht="15" customHeight="1" x14ac:dyDescent="0.25">
      <c r="A1705" s="35" t="str">
        <f t="shared" si="78"/>
        <v/>
      </c>
      <c r="I1705" s="36" t="str">
        <f t="shared" ca="1" si="79"/>
        <v/>
      </c>
      <c r="J1705" s="36" t="str">
        <f t="shared" si="80"/>
        <v/>
      </c>
    </row>
    <row r="1706" spans="1:10" ht="15" customHeight="1" x14ac:dyDescent="0.25">
      <c r="A1706" s="35" t="str">
        <f t="shared" si="78"/>
        <v/>
      </c>
      <c r="I1706" s="36" t="str">
        <f t="shared" ca="1" si="79"/>
        <v/>
      </c>
      <c r="J1706" s="36" t="str">
        <f t="shared" si="80"/>
        <v/>
      </c>
    </row>
    <row r="1707" spans="1:10" ht="15" customHeight="1" x14ac:dyDescent="0.25">
      <c r="A1707" s="35" t="str">
        <f t="shared" si="78"/>
        <v/>
      </c>
      <c r="I1707" s="36" t="str">
        <f t="shared" ca="1" si="79"/>
        <v/>
      </c>
      <c r="J1707" s="36" t="str">
        <f t="shared" si="80"/>
        <v/>
      </c>
    </row>
    <row r="1708" spans="1:10" ht="15" customHeight="1" x14ac:dyDescent="0.25">
      <c r="A1708" s="35" t="str">
        <f t="shared" si="78"/>
        <v/>
      </c>
      <c r="I1708" s="36" t="str">
        <f t="shared" ca="1" si="79"/>
        <v/>
      </c>
      <c r="J1708" s="36" t="str">
        <f t="shared" si="80"/>
        <v/>
      </c>
    </row>
    <row r="1709" spans="1:10" ht="15" customHeight="1" x14ac:dyDescent="0.25">
      <c r="A1709" s="35" t="str">
        <f t="shared" si="78"/>
        <v/>
      </c>
      <c r="I1709" s="36" t="str">
        <f t="shared" ca="1" si="79"/>
        <v/>
      </c>
      <c r="J1709" s="36" t="str">
        <f t="shared" si="80"/>
        <v/>
      </c>
    </row>
    <row r="1710" spans="1:10" ht="15" customHeight="1" x14ac:dyDescent="0.25">
      <c r="A1710" s="35" t="str">
        <f t="shared" si="78"/>
        <v/>
      </c>
      <c r="I1710" s="36" t="str">
        <f t="shared" ca="1" si="79"/>
        <v/>
      </c>
      <c r="J1710" s="36" t="str">
        <f t="shared" si="80"/>
        <v/>
      </c>
    </row>
    <row r="1711" spans="1:10" ht="15" customHeight="1" x14ac:dyDescent="0.25">
      <c r="A1711" s="35" t="str">
        <f t="shared" si="78"/>
        <v/>
      </c>
      <c r="I1711" s="36" t="str">
        <f t="shared" ca="1" si="79"/>
        <v/>
      </c>
      <c r="J1711" s="36" t="str">
        <f t="shared" si="80"/>
        <v/>
      </c>
    </row>
    <row r="1712" spans="1:10" ht="15" customHeight="1" x14ac:dyDescent="0.25">
      <c r="A1712" s="35" t="str">
        <f t="shared" si="78"/>
        <v/>
      </c>
      <c r="I1712" s="36" t="str">
        <f t="shared" ca="1" si="79"/>
        <v/>
      </c>
      <c r="J1712" s="36" t="str">
        <f t="shared" si="80"/>
        <v/>
      </c>
    </row>
    <row r="1713" spans="1:10" ht="15" customHeight="1" x14ac:dyDescent="0.25">
      <c r="A1713" s="35" t="str">
        <f t="shared" si="78"/>
        <v/>
      </c>
      <c r="I1713" s="36" t="str">
        <f t="shared" ca="1" si="79"/>
        <v/>
      </c>
      <c r="J1713" s="36" t="str">
        <f t="shared" si="80"/>
        <v/>
      </c>
    </row>
    <row r="1714" spans="1:10" ht="15" customHeight="1" x14ac:dyDescent="0.25">
      <c r="A1714" s="35" t="str">
        <f t="shared" si="78"/>
        <v/>
      </c>
      <c r="I1714" s="36" t="str">
        <f t="shared" ca="1" si="79"/>
        <v/>
      </c>
      <c r="J1714" s="36" t="str">
        <f t="shared" si="80"/>
        <v/>
      </c>
    </row>
    <row r="1715" spans="1:10" ht="15" customHeight="1" x14ac:dyDescent="0.25">
      <c r="A1715" s="35" t="str">
        <f t="shared" si="78"/>
        <v/>
      </c>
      <c r="I1715" s="36" t="str">
        <f t="shared" ca="1" si="79"/>
        <v/>
      </c>
      <c r="J1715" s="36" t="str">
        <f t="shared" si="80"/>
        <v/>
      </c>
    </row>
    <row r="1716" spans="1:10" ht="15" customHeight="1" x14ac:dyDescent="0.25">
      <c r="A1716" s="35" t="str">
        <f t="shared" si="78"/>
        <v/>
      </c>
      <c r="I1716" s="36" t="str">
        <f t="shared" ca="1" si="79"/>
        <v/>
      </c>
      <c r="J1716" s="36" t="str">
        <f t="shared" si="80"/>
        <v/>
      </c>
    </row>
    <row r="1717" spans="1:10" ht="15" customHeight="1" x14ac:dyDescent="0.25">
      <c r="A1717" s="35" t="str">
        <f t="shared" si="78"/>
        <v/>
      </c>
      <c r="I1717" s="36" t="str">
        <f t="shared" ca="1" si="79"/>
        <v/>
      </c>
      <c r="J1717" s="36" t="str">
        <f t="shared" si="80"/>
        <v/>
      </c>
    </row>
    <row r="1718" spans="1:10" ht="15" customHeight="1" x14ac:dyDescent="0.25">
      <c r="A1718" s="35" t="str">
        <f t="shared" si="78"/>
        <v/>
      </c>
      <c r="I1718" s="36" t="str">
        <f t="shared" ca="1" si="79"/>
        <v/>
      </c>
      <c r="J1718" s="36" t="str">
        <f t="shared" si="80"/>
        <v/>
      </c>
    </row>
    <row r="1719" spans="1:10" ht="15" customHeight="1" x14ac:dyDescent="0.25">
      <c r="A1719" s="35" t="str">
        <f t="shared" si="78"/>
        <v/>
      </c>
      <c r="I1719" s="36" t="str">
        <f t="shared" ca="1" si="79"/>
        <v/>
      </c>
      <c r="J1719" s="36" t="str">
        <f t="shared" si="80"/>
        <v/>
      </c>
    </row>
    <row r="1720" spans="1:10" ht="15" customHeight="1" x14ac:dyDescent="0.25">
      <c r="A1720" s="35" t="str">
        <f t="shared" si="78"/>
        <v/>
      </c>
      <c r="I1720" s="36" t="str">
        <f t="shared" ca="1" si="79"/>
        <v/>
      </c>
      <c r="J1720" s="36" t="str">
        <f t="shared" si="80"/>
        <v/>
      </c>
    </row>
    <row r="1721" spans="1:10" ht="15" customHeight="1" x14ac:dyDescent="0.25">
      <c r="A1721" s="35" t="str">
        <f t="shared" si="78"/>
        <v/>
      </c>
      <c r="I1721" s="36" t="str">
        <f t="shared" ca="1" si="79"/>
        <v/>
      </c>
      <c r="J1721" s="36" t="str">
        <f t="shared" si="80"/>
        <v/>
      </c>
    </row>
    <row r="1722" spans="1:10" ht="15" customHeight="1" x14ac:dyDescent="0.25">
      <c r="A1722" s="35" t="str">
        <f t="shared" si="78"/>
        <v/>
      </c>
      <c r="I1722" s="36" t="str">
        <f t="shared" ca="1" si="79"/>
        <v/>
      </c>
      <c r="J1722" s="36" t="str">
        <f t="shared" si="80"/>
        <v/>
      </c>
    </row>
    <row r="1723" spans="1:10" ht="15" customHeight="1" x14ac:dyDescent="0.25">
      <c r="A1723" s="35" t="str">
        <f t="shared" si="78"/>
        <v/>
      </c>
      <c r="I1723" s="36" t="str">
        <f t="shared" ca="1" si="79"/>
        <v/>
      </c>
      <c r="J1723" s="36" t="str">
        <f t="shared" si="80"/>
        <v/>
      </c>
    </row>
    <row r="1724" spans="1:10" ht="15" customHeight="1" x14ac:dyDescent="0.25">
      <c r="A1724" s="35" t="str">
        <f t="shared" si="78"/>
        <v/>
      </c>
      <c r="I1724" s="36" t="str">
        <f t="shared" ca="1" si="79"/>
        <v/>
      </c>
      <c r="J1724" s="36" t="str">
        <f t="shared" si="80"/>
        <v/>
      </c>
    </row>
    <row r="1725" spans="1:10" ht="15" customHeight="1" x14ac:dyDescent="0.25">
      <c r="A1725" s="35" t="str">
        <f t="shared" si="78"/>
        <v/>
      </c>
      <c r="I1725" s="36" t="str">
        <f t="shared" ca="1" si="79"/>
        <v/>
      </c>
      <c r="J1725" s="36" t="str">
        <f t="shared" si="80"/>
        <v/>
      </c>
    </row>
    <row r="1726" spans="1:10" ht="15" customHeight="1" x14ac:dyDescent="0.25">
      <c r="A1726" s="35" t="str">
        <f t="shared" si="78"/>
        <v/>
      </c>
      <c r="I1726" s="36" t="str">
        <f t="shared" ca="1" si="79"/>
        <v/>
      </c>
      <c r="J1726" s="36" t="str">
        <f t="shared" si="80"/>
        <v/>
      </c>
    </row>
    <row r="1727" spans="1:10" ht="15" customHeight="1" x14ac:dyDescent="0.25">
      <c r="A1727" s="35" t="str">
        <f t="shared" si="78"/>
        <v/>
      </c>
      <c r="I1727" s="36" t="str">
        <f t="shared" ca="1" si="79"/>
        <v/>
      </c>
      <c r="J1727" s="36" t="str">
        <f t="shared" si="80"/>
        <v/>
      </c>
    </row>
    <row r="1728" spans="1:10" ht="15" customHeight="1" x14ac:dyDescent="0.25">
      <c r="A1728" s="35" t="str">
        <f t="shared" si="78"/>
        <v/>
      </c>
      <c r="I1728" s="36" t="str">
        <f t="shared" ca="1" si="79"/>
        <v/>
      </c>
      <c r="J1728" s="36" t="str">
        <f t="shared" si="80"/>
        <v/>
      </c>
    </row>
    <row r="1729" spans="1:10" ht="15" customHeight="1" x14ac:dyDescent="0.25">
      <c r="A1729" s="35" t="str">
        <f t="shared" si="78"/>
        <v/>
      </c>
      <c r="I1729" s="36" t="str">
        <f t="shared" ca="1" si="79"/>
        <v/>
      </c>
      <c r="J1729" s="36" t="str">
        <f t="shared" si="80"/>
        <v/>
      </c>
    </row>
    <row r="1730" spans="1:10" ht="15" customHeight="1" x14ac:dyDescent="0.25">
      <c r="A1730" s="35" t="str">
        <f t="shared" si="78"/>
        <v/>
      </c>
      <c r="I1730" s="36" t="str">
        <f t="shared" ca="1" si="79"/>
        <v/>
      </c>
      <c r="J1730" s="36" t="str">
        <f t="shared" si="80"/>
        <v/>
      </c>
    </row>
    <row r="1731" spans="1:10" ht="15" customHeight="1" x14ac:dyDescent="0.25">
      <c r="A1731" s="35" t="str">
        <f t="shared" si="78"/>
        <v/>
      </c>
      <c r="I1731" s="36" t="str">
        <f t="shared" ca="1" si="79"/>
        <v/>
      </c>
      <c r="J1731" s="36" t="str">
        <f t="shared" si="80"/>
        <v/>
      </c>
    </row>
    <row r="1732" spans="1:10" ht="15" customHeight="1" x14ac:dyDescent="0.25">
      <c r="A1732" s="35" t="str">
        <f t="shared" si="78"/>
        <v/>
      </c>
      <c r="I1732" s="36" t="str">
        <f t="shared" ca="1" si="79"/>
        <v/>
      </c>
      <c r="J1732" s="36" t="str">
        <f t="shared" si="80"/>
        <v/>
      </c>
    </row>
    <row r="1733" spans="1:10" ht="15" customHeight="1" x14ac:dyDescent="0.25">
      <c r="A1733" s="35" t="str">
        <f t="shared" ref="A1733:A1796" si="81">IF(B1733="","","ACC"&amp;TEXT(ROW()-4,"0000"))</f>
        <v/>
      </c>
      <c r="I1733" s="36" t="str">
        <f t="shared" ref="I1733:I1796" ca="1" si="82">IF(B1733="","",TEXT(TODAY(),"dd/mm/yyyy"))</f>
        <v/>
      </c>
      <c r="J1733" s="36" t="str">
        <f t="shared" ref="J1733:J1796" si="83">IF(B1733="","",IF(ISNUMBER(H1733),IF(H1733&gt;=10,"✅ Active","⚠️ Below Min Balance"),"Pending"))</f>
        <v/>
      </c>
    </row>
    <row r="1734" spans="1:10" ht="15" customHeight="1" x14ac:dyDescent="0.25">
      <c r="A1734" s="35" t="str">
        <f t="shared" si="81"/>
        <v/>
      </c>
      <c r="I1734" s="36" t="str">
        <f t="shared" ca="1" si="82"/>
        <v/>
      </c>
      <c r="J1734" s="36" t="str">
        <f t="shared" si="83"/>
        <v/>
      </c>
    </row>
    <row r="1735" spans="1:10" ht="15" customHeight="1" x14ac:dyDescent="0.25">
      <c r="A1735" s="35" t="str">
        <f t="shared" si="81"/>
        <v/>
      </c>
      <c r="I1735" s="36" t="str">
        <f t="shared" ca="1" si="82"/>
        <v/>
      </c>
      <c r="J1735" s="36" t="str">
        <f t="shared" si="83"/>
        <v/>
      </c>
    </row>
    <row r="1736" spans="1:10" ht="15" customHeight="1" x14ac:dyDescent="0.25">
      <c r="A1736" s="35" t="str">
        <f t="shared" si="81"/>
        <v/>
      </c>
      <c r="I1736" s="36" t="str">
        <f t="shared" ca="1" si="82"/>
        <v/>
      </c>
      <c r="J1736" s="36" t="str">
        <f t="shared" si="83"/>
        <v/>
      </c>
    </row>
    <row r="1737" spans="1:10" ht="15" customHeight="1" x14ac:dyDescent="0.25">
      <c r="A1737" s="35" t="str">
        <f t="shared" si="81"/>
        <v/>
      </c>
      <c r="I1737" s="36" t="str">
        <f t="shared" ca="1" si="82"/>
        <v/>
      </c>
      <c r="J1737" s="36" t="str">
        <f t="shared" si="83"/>
        <v/>
      </c>
    </row>
    <row r="1738" spans="1:10" ht="15" customHeight="1" x14ac:dyDescent="0.25">
      <c r="A1738" s="35" t="str">
        <f t="shared" si="81"/>
        <v/>
      </c>
      <c r="I1738" s="36" t="str">
        <f t="shared" ca="1" si="82"/>
        <v/>
      </c>
      <c r="J1738" s="36" t="str">
        <f t="shared" si="83"/>
        <v/>
      </c>
    </row>
    <row r="1739" spans="1:10" ht="15" customHeight="1" x14ac:dyDescent="0.25">
      <c r="A1739" s="35" t="str">
        <f t="shared" si="81"/>
        <v/>
      </c>
      <c r="I1739" s="36" t="str">
        <f t="shared" ca="1" si="82"/>
        <v/>
      </c>
      <c r="J1739" s="36" t="str">
        <f t="shared" si="83"/>
        <v/>
      </c>
    </row>
    <row r="1740" spans="1:10" ht="15" customHeight="1" x14ac:dyDescent="0.25">
      <c r="A1740" s="35" t="str">
        <f t="shared" si="81"/>
        <v/>
      </c>
      <c r="I1740" s="36" t="str">
        <f t="shared" ca="1" si="82"/>
        <v/>
      </c>
      <c r="J1740" s="36" t="str">
        <f t="shared" si="83"/>
        <v/>
      </c>
    </row>
    <row r="1741" spans="1:10" ht="15" customHeight="1" x14ac:dyDescent="0.25">
      <c r="A1741" s="35" t="str">
        <f t="shared" si="81"/>
        <v/>
      </c>
      <c r="I1741" s="36" t="str">
        <f t="shared" ca="1" si="82"/>
        <v/>
      </c>
      <c r="J1741" s="36" t="str">
        <f t="shared" si="83"/>
        <v/>
      </c>
    </row>
    <row r="1742" spans="1:10" ht="15" customHeight="1" x14ac:dyDescent="0.25">
      <c r="A1742" s="35" t="str">
        <f t="shared" si="81"/>
        <v/>
      </c>
      <c r="I1742" s="36" t="str">
        <f t="shared" ca="1" si="82"/>
        <v/>
      </c>
      <c r="J1742" s="36" t="str">
        <f t="shared" si="83"/>
        <v/>
      </c>
    </row>
    <row r="1743" spans="1:10" ht="15" customHeight="1" x14ac:dyDescent="0.25">
      <c r="A1743" s="35" t="str">
        <f t="shared" si="81"/>
        <v/>
      </c>
      <c r="I1743" s="36" t="str">
        <f t="shared" ca="1" si="82"/>
        <v/>
      </c>
      <c r="J1743" s="36" t="str">
        <f t="shared" si="83"/>
        <v/>
      </c>
    </row>
    <row r="1744" spans="1:10" ht="15" customHeight="1" x14ac:dyDescent="0.25">
      <c r="A1744" s="35" t="str">
        <f t="shared" si="81"/>
        <v/>
      </c>
      <c r="I1744" s="36" t="str">
        <f t="shared" ca="1" si="82"/>
        <v/>
      </c>
      <c r="J1744" s="36" t="str">
        <f t="shared" si="83"/>
        <v/>
      </c>
    </row>
    <row r="1745" spans="1:10" ht="15" customHeight="1" x14ac:dyDescent="0.25">
      <c r="A1745" s="35" t="str">
        <f t="shared" si="81"/>
        <v/>
      </c>
      <c r="I1745" s="36" t="str">
        <f t="shared" ca="1" si="82"/>
        <v/>
      </c>
      <c r="J1745" s="36" t="str">
        <f t="shared" si="83"/>
        <v/>
      </c>
    </row>
    <row r="1746" spans="1:10" ht="15" customHeight="1" x14ac:dyDescent="0.25">
      <c r="A1746" s="35" t="str">
        <f t="shared" si="81"/>
        <v/>
      </c>
      <c r="I1746" s="36" t="str">
        <f t="shared" ca="1" si="82"/>
        <v/>
      </c>
      <c r="J1746" s="36" t="str">
        <f t="shared" si="83"/>
        <v/>
      </c>
    </row>
    <row r="1747" spans="1:10" ht="15" customHeight="1" x14ac:dyDescent="0.25">
      <c r="A1747" s="35" t="str">
        <f t="shared" si="81"/>
        <v/>
      </c>
      <c r="I1747" s="36" t="str">
        <f t="shared" ca="1" si="82"/>
        <v/>
      </c>
      <c r="J1747" s="36" t="str">
        <f t="shared" si="83"/>
        <v/>
      </c>
    </row>
    <row r="1748" spans="1:10" ht="15" customHeight="1" x14ac:dyDescent="0.25">
      <c r="A1748" s="35" t="str">
        <f t="shared" si="81"/>
        <v/>
      </c>
      <c r="I1748" s="36" t="str">
        <f t="shared" ca="1" si="82"/>
        <v/>
      </c>
      <c r="J1748" s="36" t="str">
        <f t="shared" si="83"/>
        <v/>
      </c>
    </row>
    <row r="1749" spans="1:10" ht="15" customHeight="1" x14ac:dyDescent="0.25">
      <c r="A1749" s="35" t="str">
        <f t="shared" si="81"/>
        <v/>
      </c>
      <c r="I1749" s="36" t="str">
        <f t="shared" ca="1" si="82"/>
        <v/>
      </c>
      <c r="J1749" s="36" t="str">
        <f t="shared" si="83"/>
        <v/>
      </c>
    </row>
    <row r="1750" spans="1:10" ht="15" customHeight="1" x14ac:dyDescent="0.25">
      <c r="A1750" s="35" t="str">
        <f t="shared" si="81"/>
        <v/>
      </c>
      <c r="I1750" s="36" t="str">
        <f t="shared" ca="1" si="82"/>
        <v/>
      </c>
      <c r="J1750" s="36" t="str">
        <f t="shared" si="83"/>
        <v/>
      </c>
    </row>
    <row r="1751" spans="1:10" ht="15" customHeight="1" x14ac:dyDescent="0.25">
      <c r="A1751" s="35" t="str">
        <f t="shared" si="81"/>
        <v/>
      </c>
      <c r="I1751" s="36" t="str">
        <f t="shared" ca="1" si="82"/>
        <v/>
      </c>
      <c r="J1751" s="36" t="str">
        <f t="shared" si="83"/>
        <v/>
      </c>
    </row>
    <row r="1752" spans="1:10" ht="15" customHeight="1" x14ac:dyDescent="0.25">
      <c r="A1752" s="35" t="str">
        <f t="shared" si="81"/>
        <v/>
      </c>
      <c r="I1752" s="36" t="str">
        <f t="shared" ca="1" si="82"/>
        <v/>
      </c>
      <c r="J1752" s="36" t="str">
        <f t="shared" si="83"/>
        <v/>
      </c>
    </row>
    <row r="1753" spans="1:10" ht="15" customHeight="1" x14ac:dyDescent="0.25">
      <c r="A1753" s="35" t="str">
        <f t="shared" si="81"/>
        <v/>
      </c>
      <c r="I1753" s="36" t="str">
        <f t="shared" ca="1" si="82"/>
        <v/>
      </c>
      <c r="J1753" s="36" t="str">
        <f t="shared" si="83"/>
        <v/>
      </c>
    </row>
    <row r="1754" spans="1:10" ht="15" customHeight="1" x14ac:dyDescent="0.25">
      <c r="A1754" s="35" t="str">
        <f t="shared" si="81"/>
        <v/>
      </c>
      <c r="I1754" s="36" t="str">
        <f t="shared" ca="1" si="82"/>
        <v/>
      </c>
      <c r="J1754" s="36" t="str">
        <f t="shared" si="83"/>
        <v/>
      </c>
    </row>
    <row r="1755" spans="1:10" ht="15" customHeight="1" x14ac:dyDescent="0.25">
      <c r="A1755" s="35" t="str">
        <f t="shared" si="81"/>
        <v/>
      </c>
      <c r="I1755" s="36" t="str">
        <f t="shared" ca="1" si="82"/>
        <v/>
      </c>
      <c r="J1755" s="36" t="str">
        <f t="shared" si="83"/>
        <v/>
      </c>
    </row>
    <row r="1756" spans="1:10" ht="15" customHeight="1" x14ac:dyDescent="0.25">
      <c r="A1756" s="35" t="str">
        <f t="shared" si="81"/>
        <v/>
      </c>
      <c r="I1756" s="36" t="str">
        <f t="shared" ca="1" si="82"/>
        <v/>
      </c>
      <c r="J1756" s="36" t="str">
        <f t="shared" si="83"/>
        <v/>
      </c>
    </row>
    <row r="1757" spans="1:10" ht="15" customHeight="1" x14ac:dyDescent="0.25">
      <c r="A1757" s="35" t="str">
        <f t="shared" si="81"/>
        <v/>
      </c>
      <c r="I1757" s="36" t="str">
        <f t="shared" ca="1" si="82"/>
        <v/>
      </c>
      <c r="J1757" s="36" t="str">
        <f t="shared" si="83"/>
        <v/>
      </c>
    </row>
    <row r="1758" spans="1:10" ht="15" customHeight="1" x14ac:dyDescent="0.25">
      <c r="A1758" s="35" t="str">
        <f t="shared" si="81"/>
        <v/>
      </c>
      <c r="I1758" s="36" t="str">
        <f t="shared" ca="1" si="82"/>
        <v/>
      </c>
      <c r="J1758" s="36" t="str">
        <f t="shared" si="83"/>
        <v/>
      </c>
    </row>
    <row r="1759" spans="1:10" ht="15" customHeight="1" x14ac:dyDescent="0.25">
      <c r="A1759" s="35" t="str">
        <f t="shared" si="81"/>
        <v/>
      </c>
      <c r="I1759" s="36" t="str">
        <f t="shared" ca="1" si="82"/>
        <v/>
      </c>
      <c r="J1759" s="36" t="str">
        <f t="shared" si="83"/>
        <v/>
      </c>
    </row>
    <row r="1760" spans="1:10" ht="15" customHeight="1" x14ac:dyDescent="0.25">
      <c r="A1760" s="35" t="str">
        <f t="shared" si="81"/>
        <v/>
      </c>
      <c r="I1760" s="36" t="str">
        <f t="shared" ca="1" si="82"/>
        <v/>
      </c>
      <c r="J1760" s="36" t="str">
        <f t="shared" si="83"/>
        <v/>
      </c>
    </row>
    <row r="1761" spans="1:10" ht="15" customHeight="1" x14ac:dyDescent="0.25">
      <c r="A1761" s="35" t="str">
        <f t="shared" si="81"/>
        <v/>
      </c>
      <c r="I1761" s="36" t="str">
        <f t="shared" ca="1" si="82"/>
        <v/>
      </c>
      <c r="J1761" s="36" t="str">
        <f t="shared" si="83"/>
        <v/>
      </c>
    </row>
    <row r="1762" spans="1:10" ht="15" customHeight="1" x14ac:dyDescent="0.25">
      <c r="A1762" s="35" t="str">
        <f t="shared" si="81"/>
        <v/>
      </c>
      <c r="I1762" s="36" t="str">
        <f t="shared" ca="1" si="82"/>
        <v/>
      </c>
      <c r="J1762" s="36" t="str">
        <f t="shared" si="83"/>
        <v/>
      </c>
    </row>
    <row r="1763" spans="1:10" ht="15" customHeight="1" x14ac:dyDescent="0.25">
      <c r="A1763" s="35" t="str">
        <f t="shared" si="81"/>
        <v/>
      </c>
      <c r="I1763" s="36" t="str">
        <f t="shared" ca="1" si="82"/>
        <v/>
      </c>
      <c r="J1763" s="36" t="str">
        <f t="shared" si="83"/>
        <v/>
      </c>
    </row>
    <row r="1764" spans="1:10" ht="15" customHeight="1" x14ac:dyDescent="0.25">
      <c r="A1764" s="35" t="str">
        <f t="shared" si="81"/>
        <v/>
      </c>
      <c r="I1764" s="36" t="str">
        <f t="shared" ca="1" si="82"/>
        <v/>
      </c>
      <c r="J1764" s="36" t="str">
        <f t="shared" si="83"/>
        <v/>
      </c>
    </row>
    <row r="1765" spans="1:10" ht="15" customHeight="1" x14ac:dyDescent="0.25">
      <c r="A1765" s="35" t="str">
        <f t="shared" si="81"/>
        <v/>
      </c>
      <c r="I1765" s="36" t="str">
        <f t="shared" ca="1" si="82"/>
        <v/>
      </c>
      <c r="J1765" s="36" t="str">
        <f t="shared" si="83"/>
        <v/>
      </c>
    </row>
    <row r="1766" spans="1:10" ht="15" customHeight="1" x14ac:dyDescent="0.25">
      <c r="A1766" s="35" t="str">
        <f t="shared" si="81"/>
        <v/>
      </c>
      <c r="I1766" s="36" t="str">
        <f t="shared" ca="1" si="82"/>
        <v/>
      </c>
      <c r="J1766" s="36" t="str">
        <f t="shared" si="83"/>
        <v/>
      </c>
    </row>
    <row r="1767" spans="1:10" ht="15" customHeight="1" x14ac:dyDescent="0.25">
      <c r="A1767" s="35" t="str">
        <f t="shared" si="81"/>
        <v/>
      </c>
      <c r="I1767" s="36" t="str">
        <f t="shared" ca="1" si="82"/>
        <v/>
      </c>
      <c r="J1767" s="36" t="str">
        <f t="shared" si="83"/>
        <v/>
      </c>
    </row>
    <row r="1768" spans="1:10" ht="15" customHeight="1" x14ac:dyDescent="0.25">
      <c r="A1768" s="35" t="str">
        <f t="shared" si="81"/>
        <v/>
      </c>
      <c r="I1768" s="36" t="str">
        <f t="shared" ca="1" si="82"/>
        <v/>
      </c>
      <c r="J1768" s="36" t="str">
        <f t="shared" si="83"/>
        <v/>
      </c>
    </row>
    <row r="1769" spans="1:10" ht="15" customHeight="1" x14ac:dyDescent="0.25">
      <c r="A1769" s="35" t="str">
        <f t="shared" si="81"/>
        <v/>
      </c>
      <c r="I1769" s="36" t="str">
        <f t="shared" ca="1" si="82"/>
        <v/>
      </c>
      <c r="J1769" s="36" t="str">
        <f t="shared" si="83"/>
        <v/>
      </c>
    </row>
    <row r="1770" spans="1:10" ht="15" customHeight="1" x14ac:dyDescent="0.25">
      <c r="A1770" s="35" t="str">
        <f t="shared" si="81"/>
        <v/>
      </c>
      <c r="I1770" s="36" t="str">
        <f t="shared" ca="1" si="82"/>
        <v/>
      </c>
      <c r="J1770" s="36" t="str">
        <f t="shared" si="83"/>
        <v/>
      </c>
    </row>
    <row r="1771" spans="1:10" ht="15" customHeight="1" x14ac:dyDescent="0.25">
      <c r="A1771" s="35" t="str">
        <f t="shared" si="81"/>
        <v/>
      </c>
      <c r="I1771" s="36" t="str">
        <f t="shared" ca="1" si="82"/>
        <v/>
      </c>
      <c r="J1771" s="36" t="str">
        <f t="shared" si="83"/>
        <v/>
      </c>
    </row>
    <row r="1772" spans="1:10" ht="15" customHeight="1" x14ac:dyDescent="0.25">
      <c r="A1772" s="35" t="str">
        <f t="shared" si="81"/>
        <v/>
      </c>
      <c r="I1772" s="36" t="str">
        <f t="shared" ca="1" si="82"/>
        <v/>
      </c>
      <c r="J1772" s="36" t="str">
        <f t="shared" si="83"/>
        <v/>
      </c>
    </row>
    <row r="1773" spans="1:10" ht="15" customHeight="1" x14ac:dyDescent="0.25">
      <c r="A1773" s="35" t="str">
        <f t="shared" si="81"/>
        <v/>
      </c>
      <c r="I1773" s="36" t="str">
        <f t="shared" ca="1" si="82"/>
        <v/>
      </c>
      <c r="J1773" s="36" t="str">
        <f t="shared" si="83"/>
        <v/>
      </c>
    </row>
    <row r="1774" spans="1:10" ht="15" customHeight="1" x14ac:dyDescent="0.25">
      <c r="A1774" s="35" t="str">
        <f t="shared" si="81"/>
        <v/>
      </c>
      <c r="I1774" s="36" t="str">
        <f t="shared" ca="1" si="82"/>
        <v/>
      </c>
      <c r="J1774" s="36" t="str">
        <f t="shared" si="83"/>
        <v/>
      </c>
    </row>
    <row r="1775" spans="1:10" ht="15" customHeight="1" x14ac:dyDescent="0.25">
      <c r="A1775" s="35" t="str">
        <f t="shared" si="81"/>
        <v/>
      </c>
      <c r="I1775" s="36" t="str">
        <f t="shared" ca="1" si="82"/>
        <v/>
      </c>
      <c r="J1775" s="36" t="str">
        <f t="shared" si="83"/>
        <v/>
      </c>
    </row>
    <row r="1776" spans="1:10" ht="15" customHeight="1" x14ac:dyDescent="0.25">
      <c r="A1776" s="35" t="str">
        <f t="shared" si="81"/>
        <v/>
      </c>
      <c r="I1776" s="36" t="str">
        <f t="shared" ca="1" si="82"/>
        <v/>
      </c>
      <c r="J1776" s="36" t="str">
        <f t="shared" si="83"/>
        <v/>
      </c>
    </row>
    <row r="1777" spans="1:10" ht="15" customHeight="1" x14ac:dyDescent="0.25">
      <c r="A1777" s="35" t="str">
        <f t="shared" si="81"/>
        <v/>
      </c>
      <c r="I1777" s="36" t="str">
        <f t="shared" ca="1" si="82"/>
        <v/>
      </c>
      <c r="J1777" s="36" t="str">
        <f t="shared" si="83"/>
        <v/>
      </c>
    </row>
    <row r="1778" spans="1:10" ht="15" customHeight="1" x14ac:dyDescent="0.25">
      <c r="A1778" s="35" t="str">
        <f t="shared" si="81"/>
        <v/>
      </c>
      <c r="I1778" s="36" t="str">
        <f t="shared" ca="1" si="82"/>
        <v/>
      </c>
      <c r="J1778" s="36" t="str">
        <f t="shared" si="83"/>
        <v/>
      </c>
    </row>
    <row r="1779" spans="1:10" ht="15" customHeight="1" x14ac:dyDescent="0.25">
      <c r="A1779" s="35" t="str">
        <f t="shared" si="81"/>
        <v/>
      </c>
      <c r="I1779" s="36" t="str">
        <f t="shared" ca="1" si="82"/>
        <v/>
      </c>
      <c r="J1779" s="36" t="str">
        <f t="shared" si="83"/>
        <v/>
      </c>
    </row>
    <row r="1780" spans="1:10" ht="15" customHeight="1" x14ac:dyDescent="0.25">
      <c r="A1780" s="35" t="str">
        <f t="shared" si="81"/>
        <v/>
      </c>
      <c r="I1780" s="36" t="str">
        <f t="shared" ca="1" si="82"/>
        <v/>
      </c>
      <c r="J1780" s="36" t="str">
        <f t="shared" si="83"/>
        <v/>
      </c>
    </row>
    <row r="1781" spans="1:10" ht="15" customHeight="1" x14ac:dyDescent="0.25">
      <c r="A1781" s="35" t="str">
        <f t="shared" si="81"/>
        <v/>
      </c>
      <c r="I1781" s="36" t="str">
        <f t="shared" ca="1" si="82"/>
        <v/>
      </c>
      <c r="J1781" s="36" t="str">
        <f t="shared" si="83"/>
        <v/>
      </c>
    </row>
    <row r="1782" spans="1:10" ht="15" customHeight="1" x14ac:dyDescent="0.25">
      <c r="A1782" s="35" t="str">
        <f t="shared" si="81"/>
        <v/>
      </c>
      <c r="I1782" s="36" t="str">
        <f t="shared" ca="1" si="82"/>
        <v/>
      </c>
      <c r="J1782" s="36" t="str">
        <f t="shared" si="83"/>
        <v/>
      </c>
    </row>
    <row r="1783" spans="1:10" ht="15" customHeight="1" x14ac:dyDescent="0.25">
      <c r="A1783" s="35" t="str">
        <f t="shared" si="81"/>
        <v/>
      </c>
      <c r="I1783" s="36" t="str">
        <f t="shared" ca="1" si="82"/>
        <v/>
      </c>
      <c r="J1783" s="36" t="str">
        <f t="shared" si="83"/>
        <v/>
      </c>
    </row>
    <row r="1784" spans="1:10" ht="15" customHeight="1" x14ac:dyDescent="0.25">
      <c r="A1784" s="35" t="str">
        <f t="shared" si="81"/>
        <v/>
      </c>
      <c r="I1784" s="36" t="str">
        <f t="shared" ca="1" si="82"/>
        <v/>
      </c>
      <c r="J1784" s="36" t="str">
        <f t="shared" si="83"/>
        <v/>
      </c>
    </row>
    <row r="1785" spans="1:10" ht="15" customHeight="1" x14ac:dyDescent="0.25">
      <c r="A1785" s="35" t="str">
        <f t="shared" si="81"/>
        <v/>
      </c>
      <c r="I1785" s="36" t="str">
        <f t="shared" ca="1" si="82"/>
        <v/>
      </c>
      <c r="J1785" s="36" t="str">
        <f t="shared" si="83"/>
        <v/>
      </c>
    </row>
    <row r="1786" spans="1:10" ht="15" customHeight="1" x14ac:dyDescent="0.25">
      <c r="A1786" s="35" t="str">
        <f t="shared" si="81"/>
        <v/>
      </c>
      <c r="I1786" s="36" t="str">
        <f t="shared" ca="1" si="82"/>
        <v/>
      </c>
      <c r="J1786" s="36" t="str">
        <f t="shared" si="83"/>
        <v/>
      </c>
    </row>
    <row r="1787" spans="1:10" ht="15" customHeight="1" x14ac:dyDescent="0.25">
      <c r="A1787" s="35" t="str">
        <f t="shared" si="81"/>
        <v/>
      </c>
      <c r="I1787" s="36" t="str">
        <f t="shared" ca="1" si="82"/>
        <v/>
      </c>
      <c r="J1787" s="36" t="str">
        <f t="shared" si="83"/>
        <v/>
      </c>
    </row>
    <row r="1788" spans="1:10" ht="15" customHeight="1" x14ac:dyDescent="0.25">
      <c r="A1788" s="35" t="str">
        <f t="shared" si="81"/>
        <v/>
      </c>
      <c r="I1788" s="36" t="str">
        <f t="shared" ca="1" si="82"/>
        <v/>
      </c>
      <c r="J1788" s="36" t="str">
        <f t="shared" si="83"/>
        <v/>
      </c>
    </row>
    <row r="1789" spans="1:10" ht="15" customHeight="1" x14ac:dyDescent="0.25">
      <c r="A1789" s="35" t="str">
        <f t="shared" si="81"/>
        <v/>
      </c>
      <c r="I1789" s="36" t="str">
        <f t="shared" ca="1" si="82"/>
        <v/>
      </c>
      <c r="J1789" s="36" t="str">
        <f t="shared" si="83"/>
        <v/>
      </c>
    </row>
    <row r="1790" spans="1:10" ht="15" customHeight="1" x14ac:dyDescent="0.25">
      <c r="A1790" s="35" t="str">
        <f t="shared" si="81"/>
        <v/>
      </c>
      <c r="I1790" s="36" t="str">
        <f t="shared" ca="1" si="82"/>
        <v/>
      </c>
      <c r="J1790" s="36" t="str">
        <f t="shared" si="83"/>
        <v/>
      </c>
    </row>
    <row r="1791" spans="1:10" ht="15" customHeight="1" x14ac:dyDescent="0.25">
      <c r="A1791" s="35" t="str">
        <f t="shared" si="81"/>
        <v/>
      </c>
      <c r="I1791" s="36" t="str">
        <f t="shared" ca="1" si="82"/>
        <v/>
      </c>
      <c r="J1791" s="36" t="str">
        <f t="shared" si="83"/>
        <v/>
      </c>
    </row>
    <row r="1792" spans="1:10" ht="15" customHeight="1" x14ac:dyDescent="0.25">
      <c r="A1792" s="35" t="str">
        <f t="shared" si="81"/>
        <v/>
      </c>
      <c r="I1792" s="36" t="str">
        <f t="shared" ca="1" si="82"/>
        <v/>
      </c>
      <c r="J1792" s="36" t="str">
        <f t="shared" si="83"/>
        <v/>
      </c>
    </row>
    <row r="1793" spans="1:10" ht="15" customHeight="1" x14ac:dyDescent="0.25">
      <c r="A1793" s="35" t="str">
        <f t="shared" si="81"/>
        <v/>
      </c>
      <c r="I1793" s="36" t="str">
        <f t="shared" ca="1" si="82"/>
        <v/>
      </c>
      <c r="J1793" s="36" t="str">
        <f t="shared" si="83"/>
        <v/>
      </c>
    </row>
    <row r="1794" spans="1:10" ht="15" customHeight="1" x14ac:dyDescent="0.25">
      <c r="A1794" s="35" t="str">
        <f t="shared" si="81"/>
        <v/>
      </c>
      <c r="I1794" s="36" t="str">
        <f t="shared" ca="1" si="82"/>
        <v/>
      </c>
      <c r="J1794" s="36" t="str">
        <f t="shared" si="83"/>
        <v/>
      </c>
    </row>
    <row r="1795" spans="1:10" ht="15" customHeight="1" x14ac:dyDescent="0.25">
      <c r="A1795" s="35" t="str">
        <f t="shared" si="81"/>
        <v/>
      </c>
      <c r="I1795" s="36" t="str">
        <f t="shared" ca="1" si="82"/>
        <v/>
      </c>
      <c r="J1795" s="36" t="str">
        <f t="shared" si="83"/>
        <v/>
      </c>
    </row>
    <row r="1796" spans="1:10" ht="15" customHeight="1" x14ac:dyDescent="0.25">
      <c r="A1796" s="35" t="str">
        <f t="shared" si="81"/>
        <v/>
      </c>
      <c r="I1796" s="36" t="str">
        <f t="shared" ca="1" si="82"/>
        <v/>
      </c>
      <c r="J1796" s="36" t="str">
        <f t="shared" si="83"/>
        <v/>
      </c>
    </row>
    <row r="1797" spans="1:10" ht="15" customHeight="1" x14ac:dyDescent="0.25">
      <c r="A1797" s="35" t="str">
        <f t="shared" ref="A1797:A1860" si="84">IF(B1797="","","ACC"&amp;TEXT(ROW()-4,"0000"))</f>
        <v/>
      </c>
      <c r="I1797" s="36" t="str">
        <f t="shared" ref="I1797:I1860" ca="1" si="85">IF(B1797="","",TEXT(TODAY(),"dd/mm/yyyy"))</f>
        <v/>
      </c>
      <c r="J1797" s="36" t="str">
        <f t="shared" ref="J1797:J1860" si="86">IF(B1797="","",IF(ISNUMBER(H1797),IF(H1797&gt;=10,"✅ Active","⚠️ Below Min Balance"),"Pending"))</f>
        <v/>
      </c>
    </row>
    <row r="1798" spans="1:10" ht="15" customHeight="1" x14ac:dyDescent="0.25">
      <c r="A1798" s="35" t="str">
        <f t="shared" si="84"/>
        <v/>
      </c>
      <c r="I1798" s="36" t="str">
        <f t="shared" ca="1" si="85"/>
        <v/>
      </c>
      <c r="J1798" s="36" t="str">
        <f t="shared" si="86"/>
        <v/>
      </c>
    </row>
    <row r="1799" spans="1:10" ht="15" customHeight="1" x14ac:dyDescent="0.25">
      <c r="A1799" s="35" t="str">
        <f t="shared" si="84"/>
        <v/>
      </c>
      <c r="I1799" s="36" t="str">
        <f t="shared" ca="1" si="85"/>
        <v/>
      </c>
      <c r="J1799" s="36" t="str">
        <f t="shared" si="86"/>
        <v/>
      </c>
    </row>
    <row r="1800" spans="1:10" ht="15" customHeight="1" x14ac:dyDescent="0.25">
      <c r="A1800" s="35" t="str">
        <f t="shared" si="84"/>
        <v/>
      </c>
      <c r="I1800" s="36" t="str">
        <f t="shared" ca="1" si="85"/>
        <v/>
      </c>
      <c r="J1800" s="36" t="str">
        <f t="shared" si="86"/>
        <v/>
      </c>
    </row>
    <row r="1801" spans="1:10" ht="15" customHeight="1" x14ac:dyDescent="0.25">
      <c r="A1801" s="35" t="str">
        <f t="shared" si="84"/>
        <v/>
      </c>
      <c r="I1801" s="36" t="str">
        <f t="shared" ca="1" si="85"/>
        <v/>
      </c>
      <c r="J1801" s="36" t="str">
        <f t="shared" si="86"/>
        <v/>
      </c>
    </row>
    <row r="1802" spans="1:10" ht="15" customHeight="1" x14ac:dyDescent="0.25">
      <c r="A1802" s="35" t="str">
        <f t="shared" si="84"/>
        <v/>
      </c>
      <c r="I1802" s="36" t="str">
        <f t="shared" ca="1" si="85"/>
        <v/>
      </c>
      <c r="J1802" s="36" t="str">
        <f t="shared" si="86"/>
        <v/>
      </c>
    </row>
    <row r="1803" spans="1:10" ht="15" customHeight="1" x14ac:dyDescent="0.25">
      <c r="A1803" s="35" t="str">
        <f t="shared" si="84"/>
        <v/>
      </c>
      <c r="I1803" s="36" t="str">
        <f t="shared" ca="1" si="85"/>
        <v/>
      </c>
      <c r="J1803" s="36" t="str">
        <f t="shared" si="86"/>
        <v/>
      </c>
    </row>
    <row r="1804" spans="1:10" ht="15" customHeight="1" x14ac:dyDescent="0.25">
      <c r="A1804" s="35" t="str">
        <f t="shared" si="84"/>
        <v/>
      </c>
      <c r="I1804" s="36" t="str">
        <f t="shared" ca="1" si="85"/>
        <v/>
      </c>
      <c r="J1804" s="36" t="str">
        <f t="shared" si="86"/>
        <v/>
      </c>
    </row>
    <row r="1805" spans="1:10" ht="15" customHeight="1" x14ac:dyDescent="0.25">
      <c r="A1805" s="35" t="str">
        <f t="shared" si="84"/>
        <v/>
      </c>
      <c r="I1805" s="36" t="str">
        <f t="shared" ca="1" si="85"/>
        <v/>
      </c>
      <c r="J1805" s="36" t="str">
        <f t="shared" si="86"/>
        <v/>
      </c>
    </row>
    <row r="1806" spans="1:10" ht="15" customHeight="1" x14ac:dyDescent="0.25">
      <c r="A1806" s="35" t="str">
        <f t="shared" si="84"/>
        <v/>
      </c>
      <c r="I1806" s="36" t="str">
        <f t="shared" ca="1" si="85"/>
        <v/>
      </c>
      <c r="J1806" s="36" t="str">
        <f t="shared" si="86"/>
        <v/>
      </c>
    </row>
    <row r="1807" spans="1:10" ht="15" customHeight="1" x14ac:dyDescent="0.25">
      <c r="A1807" s="35" t="str">
        <f t="shared" si="84"/>
        <v/>
      </c>
      <c r="I1807" s="36" t="str">
        <f t="shared" ca="1" si="85"/>
        <v/>
      </c>
      <c r="J1807" s="36" t="str">
        <f t="shared" si="86"/>
        <v/>
      </c>
    </row>
    <row r="1808" spans="1:10" ht="15" customHeight="1" x14ac:dyDescent="0.25">
      <c r="A1808" s="35" t="str">
        <f t="shared" si="84"/>
        <v/>
      </c>
      <c r="I1808" s="36" t="str">
        <f t="shared" ca="1" si="85"/>
        <v/>
      </c>
      <c r="J1808" s="36" t="str">
        <f t="shared" si="86"/>
        <v/>
      </c>
    </row>
    <row r="1809" spans="1:10" ht="15" customHeight="1" x14ac:dyDescent="0.25">
      <c r="A1809" s="35" t="str">
        <f t="shared" si="84"/>
        <v/>
      </c>
      <c r="I1809" s="36" t="str">
        <f t="shared" ca="1" si="85"/>
        <v/>
      </c>
      <c r="J1809" s="36" t="str">
        <f t="shared" si="86"/>
        <v/>
      </c>
    </row>
    <row r="1810" spans="1:10" ht="15" customHeight="1" x14ac:dyDescent="0.25">
      <c r="A1810" s="35" t="str">
        <f t="shared" si="84"/>
        <v/>
      </c>
      <c r="I1810" s="36" t="str">
        <f t="shared" ca="1" si="85"/>
        <v/>
      </c>
      <c r="J1810" s="36" t="str">
        <f t="shared" si="86"/>
        <v/>
      </c>
    </row>
    <row r="1811" spans="1:10" ht="15" customHeight="1" x14ac:dyDescent="0.25">
      <c r="A1811" s="35" t="str">
        <f t="shared" si="84"/>
        <v/>
      </c>
      <c r="I1811" s="36" t="str">
        <f t="shared" ca="1" si="85"/>
        <v/>
      </c>
      <c r="J1811" s="36" t="str">
        <f t="shared" si="86"/>
        <v/>
      </c>
    </row>
    <row r="1812" spans="1:10" ht="15" customHeight="1" x14ac:dyDescent="0.25">
      <c r="A1812" s="35" t="str">
        <f t="shared" si="84"/>
        <v/>
      </c>
      <c r="I1812" s="36" t="str">
        <f t="shared" ca="1" si="85"/>
        <v/>
      </c>
      <c r="J1812" s="36" t="str">
        <f t="shared" si="86"/>
        <v/>
      </c>
    </row>
    <row r="1813" spans="1:10" ht="15" customHeight="1" x14ac:dyDescent="0.25">
      <c r="A1813" s="35" t="str">
        <f t="shared" si="84"/>
        <v/>
      </c>
      <c r="I1813" s="36" t="str">
        <f t="shared" ca="1" si="85"/>
        <v/>
      </c>
      <c r="J1813" s="36" t="str">
        <f t="shared" si="86"/>
        <v/>
      </c>
    </row>
    <row r="1814" spans="1:10" ht="15" customHeight="1" x14ac:dyDescent="0.25">
      <c r="A1814" s="35" t="str">
        <f t="shared" si="84"/>
        <v/>
      </c>
      <c r="I1814" s="36" t="str">
        <f t="shared" ca="1" si="85"/>
        <v/>
      </c>
      <c r="J1814" s="36" t="str">
        <f t="shared" si="86"/>
        <v/>
      </c>
    </row>
    <row r="1815" spans="1:10" ht="15" customHeight="1" x14ac:dyDescent="0.25">
      <c r="A1815" s="35" t="str">
        <f t="shared" si="84"/>
        <v/>
      </c>
      <c r="I1815" s="36" t="str">
        <f t="shared" ca="1" si="85"/>
        <v/>
      </c>
      <c r="J1815" s="36" t="str">
        <f t="shared" si="86"/>
        <v/>
      </c>
    </row>
    <row r="1816" spans="1:10" ht="15" customHeight="1" x14ac:dyDescent="0.25">
      <c r="A1816" s="35" t="str">
        <f t="shared" si="84"/>
        <v/>
      </c>
      <c r="I1816" s="36" t="str">
        <f t="shared" ca="1" si="85"/>
        <v/>
      </c>
      <c r="J1816" s="36" t="str">
        <f t="shared" si="86"/>
        <v/>
      </c>
    </row>
    <row r="1817" spans="1:10" ht="15" customHeight="1" x14ac:dyDescent="0.25">
      <c r="A1817" s="35" t="str">
        <f t="shared" si="84"/>
        <v/>
      </c>
      <c r="I1817" s="36" t="str">
        <f t="shared" ca="1" si="85"/>
        <v/>
      </c>
      <c r="J1817" s="36" t="str">
        <f t="shared" si="86"/>
        <v/>
      </c>
    </row>
    <row r="1818" spans="1:10" ht="15" customHeight="1" x14ac:dyDescent="0.25">
      <c r="A1818" s="35" t="str">
        <f t="shared" si="84"/>
        <v/>
      </c>
      <c r="I1818" s="36" t="str">
        <f t="shared" ca="1" si="85"/>
        <v/>
      </c>
      <c r="J1818" s="36" t="str">
        <f t="shared" si="86"/>
        <v/>
      </c>
    </row>
    <row r="1819" spans="1:10" ht="15" customHeight="1" x14ac:dyDescent="0.25">
      <c r="A1819" s="35" t="str">
        <f t="shared" si="84"/>
        <v/>
      </c>
      <c r="I1819" s="36" t="str">
        <f t="shared" ca="1" si="85"/>
        <v/>
      </c>
      <c r="J1819" s="36" t="str">
        <f t="shared" si="86"/>
        <v/>
      </c>
    </row>
    <row r="1820" spans="1:10" ht="15" customHeight="1" x14ac:dyDescent="0.25">
      <c r="A1820" s="35" t="str">
        <f t="shared" si="84"/>
        <v/>
      </c>
      <c r="I1820" s="36" t="str">
        <f t="shared" ca="1" si="85"/>
        <v/>
      </c>
      <c r="J1820" s="36" t="str">
        <f t="shared" si="86"/>
        <v/>
      </c>
    </row>
    <row r="1821" spans="1:10" ht="15" customHeight="1" x14ac:dyDescent="0.25">
      <c r="A1821" s="35" t="str">
        <f t="shared" si="84"/>
        <v/>
      </c>
      <c r="I1821" s="36" t="str">
        <f t="shared" ca="1" si="85"/>
        <v/>
      </c>
      <c r="J1821" s="36" t="str">
        <f t="shared" si="86"/>
        <v/>
      </c>
    </row>
    <row r="1822" spans="1:10" ht="15" customHeight="1" x14ac:dyDescent="0.25">
      <c r="A1822" s="35" t="str">
        <f t="shared" si="84"/>
        <v/>
      </c>
      <c r="I1822" s="36" t="str">
        <f t="shared" ca="1" si="85"/>
        <v/>
      </c>
      <c r="J1822" s="36" t="str">
        <f t="shared" si="86"/>
        <v/>
      </c>
    </row>
    <row r="1823" spans="1:10" ht="15" customHeight="1" x14ac:dyDescent="0.25">
      <c r="A1823" s="35" t="str">
        <f t="shared" si="84"/>
        <v/>
      </c>
      <c r="I1823" s="36" t="str">
        <f t="shared" ca="1" si="85"/>
        <v/>
      </c>
      <c r="J1823" s="36" t="str">
        <f t="shared" si="86"/>
        <v/>
      </c>
    </row>
    <row r="1824" spans="1:10" ht="15" customHeight="1" x14ac:dyDescent="0.25">
      <c r="A1824" s="35" t="str">
        <f t="shared" si="84"/>
        <v/>
      </c>
      <c r="I1824" s="36" t="str">
        <f t="shared" ca="1" si="85"/>
        <v/>
      </c>
      <c r="J1824" s="36" t="str">
        <f t="shared" si="86"/>
        <v/>
      </c>
    </row>
    <row r="1825" spans="1:10" ht="15" customHeight="1" x14ac:dyDescent="0.25">
      <c r="A1825" s="35" t="str">
        <f t="shared" si="84"/>
        <v/>
      </c>
      <c r="I1825" s="36" t="str">
        <f t="shared" ca="1" si="85"/>
        <v/>
      </c>
      <c r="J1825" s="36" t="str">
        <f t="shared" si="86"/>
        <v/>
      </c>
    </row>
    <row r="1826" spans="1:10" ht="15" customHeight="1" x14ac:dyDescent="0.25">
      <c r="A1826" s="35" t="str">
        <f t="shared" si="84"/>
        <v/>
      </c>
      <c r="I1826" s="36" t="str">
        <f t="shared" ca="1" si="85"/>
        <v/>
      </c>
      <c r="J1826" s="36" t="str">
        <f t="shared" si="86"/>
        <v/>
      </c>
    </row>
    <row r="1827" spans="1:10" ht="15" customHeight="1" x14ac:dyDescent="0.25">
      <c r="A1827" s="35" t="str">
        <f t="shared" si="84"/>
        <v/>
      </c>
      <c r="I1827" s="36" t="str">
        <f t="shared" ca="1" si="85"/>
        <v/>
      </c>
      <c r="J1827" s="36" t="str">
        <f t="shared" si="86"/>
        <v/>
      </c>
    </row>
    <row r="1828" spans="1:10" ht="15" customHeight="1" x14ac:dyDescent="0.25">
      <c r="A1828" s="35" t="str">
        <f t="shared" si="84"/>
        <v/>
      </c>
      <c r="I1828" s="36" t="str">
        <f t="shared" ca="1" si="85"/>
        <v/>
      </c>
      <c r="J1828" s="36" t="str">
        <f t="shared" si="86"/>
        <v/>
      </c>
    </row>
    <row r="1829" spans="1:10" ht="15" customHeight="1" x14ac:dyDescent="0.25">
      <c r="A1829" s="35" t="str">
        <f t="shared" si="84"/>
        <v/>
      </c>
      <c r="I1829" s="36" t="str">
        <f t="shared" ca="1" si="85"/>
        <v/>
      </c>
      <c r="J1829" s="36" t="str">
        <f t="shared" si="86"/>
        <v/>
      </c>
    </row>
    <row r="1830" spans="1:10" ht="15" customHeight="1" x14ac:dyDescent="0.25">
      <c r="A1830" s="35" t="str">
        <f t="shared" si="84"/>
        <v/>
      </c>
      <c r="I1830" s="36" t="str">
        <f t="shared" ca="1" si="85"/>
        <v/>
      </c>
      <c r="J1830" s="36" t="str">
        <f t="shared" si="86"/>
        <v/>
      </c>
    </row>
    <row r="1831" spans="1:10" ht="15" customHeight="1" x14ac:dyDescent="0.25">
      <c r="A1831" s="35" t="str">
        <f t="shared" si="84"/>
        <v/>
      </c>
      <c r="I1831" s="36" t="str">
        <f t="shared" ca="1" si="85"/>
        <v/>
      </c>
      <c r="J1831" s="36" t="str">
        <f t="shared" si="86"/>
        <v/>
      </c>
    </row>
    <row r="1832" spans="1:10" ht="15" customHeight="1" x14ac:dyDescent="0.25">
      <c r="A1832" s="35" t="str">
        <f t="shared" si="84"/>
        <v/>
      </c>
      <c r="I1832" s="36" t="str">
        <f t="shared" ca="1" si="85"/>
        <v/>
      </c>
      <c r="J1832" s="36" t="str">
        <f t="shared" si="86"/>
        <v/>
      </c>
    </row>
    <row r="1833" spans="1:10" ht="15" customHeight="1" x14ac:dyDescent="0.25">
      <c r="A1833" s="35" t="str">
        <f t="shared" si="84"/>
        <v/>
      </c>
      <c r="I1833" s="36" t="str">
        <f t="shared" ca="1" si="85"/>
        <v/>
      </c>
      <c r="J1833" s="36" t="str">
        <f t="shared" si="86"/>
        <v/>
      </c>
    </row>
    <row r="1834" spans="1:10" ht="15" customHeight="1" x14ac:dyDescent="0.25">
      <c r="A1834" s="35" t="str">
        <f t="shared" si="84"/>
        <v/>
      </c>
      <c r="I1834" s="36" t="str">
        <f t="shared" ca="1" si="85"/>
        <v/>
      </c>
      <c r="J1834" s="36" t="str">
        <f t="shared" si="86"/>
        <v/>
      </c>
    </row>
    <row r="1835" spans="1:10" ht="15" customHeight="1" x14ac:dyDescent="0.25">
      <c r="A1835" s="35" t="str">
        <f t="shared" si="84"/>
        <v/>
      </c>
      <c r="I1835" s="36" t="str">
        <f t="shared" ca="1" si="85"/>
        <v/>
      </c>
      <c r="J1835" s="36" t="str">
        <f t="shared" si="86"/>
        <v/>
      </c>
    </row>
    <row r="1836" spans="1:10" ht="15" customHeight="1" x14ac:dyDescent="0.25">
      <c r="A1836" s="35" t="str">
        <f t="shared" si="84"/>
        <v/>
      </c>
      <c r="I1836" s="36" t="str">
        <f t="shared" ca="1" si="85"/>
        <v/>
      </c>
      <c r="J1836" s="36" t="str">
        <f t="shared" si="86"/>
        <v/>
      </c>
    </row>
    <row r="1837" spans="1:10" ht="15" customHeight="1" x14ac:dyDescent="0.25">
      <c r="A1837" s="35" t="str">
        <f t="shared" si="84"/>
        <v/>
      </c>
      <c r="I1837" s="36" t="str">
        <f t="shared" ca="1" si="85"/>
        <v/>
      </c>
      <c r="J1837" s="36" t="str">
        <f t="shared" si="86"/>
        <v/>
      </c>
    </row>
    <row r="1838" spans="1:10" ht="15" customHeight="1" x14ac:dyDescent="0.25">
      <c r="A1838" s="35" t="str">
        <f t="shared" si="84"/>
        <v/>
      </c>
      <c r="I1838" s="36" t="str">
        <f t="shared" ca="1" si="85"/>
        <v/>
      </c>
      <c r="J1838" s="36" t="str">
        <f t="shared" si="86"/>
        <v/>
      </c>
    </row>
    <row r="1839" spans="1:10" ht="15" customHeight="1" x14ac:dyDescent="0.25">
      <c r="A1839" s="35" t="str">
        <f t="shared" si="84"/>
        <v/>
      </c>
      <c r="I1839" s="36" t="str">
        <f t="shared" ca="1" si="85"/>
        <v/>
      </c>
      <c r="J1839" s="36" t="str">
        <f t="shared" si="86"/>
        <v/>
      </c>
    </row>
    <row r="1840" spans="1:10" ht="15" customHeight="1" x14ac:dyDescent="0.25">
      <c r="A1840" s="35" t="str">
        <f t="shared" si="84"/>
        <v/>
      </c>
      <c r="I1840" s="36" t="str">
        <f t="shared" ca="1" si="85"/>
        <v/>
      </c>
      <c r="J1840" s="36" t="str">
        <f t="shared" si="86"/>
        <v/>
      </c>
    </row>
    <row r="1841" spans="1:10" ht="15" customHeight="1" x14ac:dyDescent="0.25">
      <c r="A1841" s="35" t="str">
        <f t="shared" si="84"/>
        <v/>
      </c>
      <c r="I1841" s="36" t="str">
        <f t="shared" ca="1" si="85"/>
        <v/>
      </c>
      <c r="J1841" s="36" t="str">
        <f t="shared" si="86"/>
        <v/>
      </c>
    </row>
    <row r="1842" spans="1:10" ht="15" customHeight="1" x14ac:dyDescent="0.25">
      <c r="A1842" s="35" t="str">
        <f t="shared" si="84"/>
        <v/>
      </c>
      <c r="I1842" s="36" t="str">
        <f t="shared" ca="1" si="85"/>
        <v/>
      </c>
      <c r="J1842" s="36" t="str">
        <f t="shared" si="86"/>
        <v/>
      </c>
    </row>
    <row r="1843" spans="1:10" ht="15" customHeight="1" x14ac:dyDescent="0.25">
      <c r="A1843" s="35" t="str">
        <f t="shared" si="84"/>
        <v/>
      </c>
      <c r="I1843" s="36" t="str">
        <f t="shared" ca="1" si="85"/>
        <v/>
      </c>
      <c r="J1843" s="36" t="str">
        <f t="shared" si="86"/>
        <v/>
      </c>
    </row>
    <row r="1844" spans="1:10" ht="15" customHeight="1" x14ac:dyDescent="0.25">
      <c r="A1844" s="35" t="str">
        <f t="shared" si="84"/>
        <v/>
      </c>
      <c r="I1844" s="36" t="str">
        <f t="shared" ca="1" si="85"/>
        <v/>
      </c>
      <c r="J1844" s="36" t="str">
        <f t="shared" si="86"/>
        <v/>
      </c>
    </row>
    <row r="1845" spans="1:10" ht="15" customHeight="1" x14ac:dyDescent="0.25">
      <c r="A1845" s="35" t="str">
        <f t="shared" si="84"/>
        <v/>
      </c>
      <c r="I1845" s="36" t="str">
        <f t="shared" ca="1" si="85"/>
        <v/>
      </c>
      <c r="J1845" s="36" t="str">
        <f t="shared" si="86"/>
        <v/>
      </c>
    </row>
    <row r="1846" spans="1:10" ht="15" customHeight="1" x14ac:dyDescent="0.25">
      <c r="A1846" s="35" t="str">
        <f t="shared" si="84"/>
        <v/>
      </c>
      <c r="I1846" s="36" t="str">
        <f t="shared" ca="1" si="85"/>
        <v/>
      </c>
      <c r="J1846" s="36" t="str">
        <f t="shared" si="86"/>
        <v/>
      </c>
    </row>
    <row r="1847" spans="1:10" ht="15" customHeight="1" x14ac:dyDescent="0.25">
      <c r="A1847" s="35" t="str">
        <f t="shared" si="84"/>
        <v/>
      </c>
      <c r="I1847" s="36" t="str">
        <f t="shared" ca="1" si="85"/>
        <v/>
      </c>
      <c r="J1847" s="36" t="str">
        <f t="shared" si="86"/>
        <v/>
      </c>
    </row>
    <row r="1848" spans="1:10" ht="15" customHeight="1" x14ac:dyDescent="0.25">
      <c r="A1848" s="35" t="str">
        <f t="shared" si="84"/>
        <v/>
      </c>
      <c r="I1848" s="36" t="str">
        <f t="shared" ca="1" si="85"/>
        <v/>
      </c>
      <c r="J1848" s="36" t="str">
        <f t="shared" si="86"/>
        <v/>
      </c>
    </row>
    <row r="1849" spans="1:10" ht="15" customHeight="1" x14ac:dyDescent="0.25">
      <c r="A1849" s="35" t="str">
        <f t="shared" si="84"/>
        <v/>
      </c>
      <c r="I1849" s="36" t="str">
        <f t="shared" ca="1" si="85"/>
        <v/>
      </c>
      <c r="J1849" s="36" t="str">
        <f t="shared" si="86"/>
        <v/>
      </c>
    </row>
    <row r="1850" spans="1:10" ht="15" customHeight="1" x14ac:dyDescent="0.25">
      <c r="A1850" s="35" t="str">
        <f t="shared" si="84"/>
        <v/>
      </c>
      <c r="I1850" s="36" t="str">
        <f t="shared" ca="1" si="85"/>
        <v/>
      </c>
      <c r="J1850" s="36" t="str">
        <f t="shared" si="86"/>
        <v/>
      </c>
    </row>
    <row r="1851" spans="1:10" ht="15" customHeight="1" x14ac:dyDescent="0.25">
      <c r="A1851" s="35" t="str">
        <f t="shared" si="84"/>
        <v/>
      </c>
      <c r="I1851" s="36" t="str">
        <f t="shared" ca="1" si="85"/>
        <v/>
      </c>
      <c r="J1851" s="36" t="str">
        <f t="shared" si="86"/>
        <v/>
      </c>
    </row>
    <row r="1852" spans="1:10" ht="15" customHeight="1" x14ac:dyDescent="0.25">
      <c r="A1852" s="35" t="str">
        <f t="shared" si="84"/>
        <v/>
      </c>
      <c r="I1852" s="36" t="str">
        <f t="shared" ca="1" si="85"/>
        <v/>
      </c>
      <c r="J1852" s="36" t="str">
        <f t="shared" si="86"/>
        <v/>
      </c>
    </row>
    <row r="1853" spans="1:10" ht="15" customHeight="1" x14ac:dyDescent="0.25">
      <c r="A1853" s="35" t="str">
        <f t="shared" si="84"/>
        <v/>
      </c>
      <c r="I1853" s="36" t="str">
        <f t="shared" ca="1" si="85"/>
        <v/>
      </c>
      <c r="J1853" s="36" t="str">
        <f t="shared" si="86"/>
        <v/>
      </c>
    </row>
    <row r="1854" spans="1:10" ht="15" customHeight="1" x14ac:dyDescent="0.25">
      <c r="A1854" s="35" t="str">
        <f t="shared" si="84"/>
        <v/>
      </c>
      <c r="I1854" s="36" t="str">
        <f t="shared" ca="1" si="85"/>
        <v/>
      </c>
      <c r="J1854" s="36" t="str">
        <f t="shared" si="86"/>
        <v/>
      </c>
    </row>
    <row r="1855" spans="1:10" ht="15" customHeight="1" x14ac:dyDescent="0.25">
      <c r="A1855" s="35" t="str">
        <f t="shared" si="84"/>
        <v/>
      </c>
      <c r="I1855" s="36" t="str">
        <f t="shared" ca="1" si="85"/>
        <v/>
      </c>
      <c r="J1855" s="36" t="str">
        <f t="shared" si="86"/>
        <v/>
      </c>
    </row>
    <row r="1856" spans="1:10" ht="15" customHeight="1" x14ac:dyDescent="0.25">
      <c r="A1856" s="35" t="str">
        <f t="shared" si="84"/>
        <v/>
      </c>
      <c r="I1856" s="36" t="str">
        <f t="shared" ca="1" si="85"/>
        <v/>
      </c>
      <c r="J1856" s="36" t="str">
        <f t="shared" si="86"/>
        <v/>
      </c>
    </row>
    <row r="1857" spans="1:10" ht="15" customHeight="1" x14ac:dyDescent="0.25">
      <c r="A1857" s="35" t="str">
        <f t="shared" si="84"/>
        <v/>
      </c>
      <c r="I1857" s="36" t="str">
        <f t="shared" ca="1" si="85"/>
        <v/>
      </c>
      <c r="J1857" s="36" t="str">
        <f t="shared" si="86"/>
        <v/>
      </c>
    </row>
    <row r="1858" spans="1:10" ht="15" customHeight="1" x14ac:dyDescent="0.25">
      <c r="A1858" s="35" t="str">
        <f t="shared" si="84"/>
        <v/>
      </c>
      <c r="I1858" s="36" t="str">
        <f t="shared" ca="1" si="85"/>
        <v/>
      </c>
      <c r="J1858" s="36" t="str">
        <f t="shared" si="86"/>
        <v/>
      </c>
    </row>
    <row r="1859" spans="1:10" ht="15" customHeight="1" x14ac:dyDescent="0.25">
      <c r="A1859" s="35" t="str">
        <f t="shared" si="84"/>
        <v/>
      </c>
      <c r="I1859" s="36" t="str">
        <f t="shared" ca="1" si="85"/>
        <v/>
      </c>
      <c r="J1859" s="36" t="str">
        <f t="shared" si="86"/>
        <v/>
      </c>
    </row>
    <row r="1860" spans="1:10" ht="15" customHeight="1" x14ac:dyDescent="0.25">
      <c r="A1860" s="35" t="str">
        <f t="shared" si="84"/>
        <v/>
      </c>
      <c r="I1860" s="36" t="str">
        <f t="shared" ca="1" si="85"/>
        <v/>
      </c>
      <c r="J1860" s="36" t="str">
        <f t="shared" si="86"/>
        <v/>
      </c>
    </row>
    <row r="1861" spans="1:10" ht="15" customHeight="1" x14ac:dyDescent="0.25">
      <c r="A1861" s="35" t="str">
        <f t="shared" ref="A1861:A1924" si="87">IF(B1861="","","ACC"&amp;TEXT(ROW()-4,"0000"))</f>
        <v/>
      </c>
      <c r="I1861" s="36" t="str">
        <f t="shared" ref="I1861:I1924" ca="1" si="88">IF(B1861="","",TEXT(TODAY(),"dd/mm/yyyy"))</f>
        <v/>
      </c>
      <c r="J1861" s="36" t="str">
        <f t="shared" ref="J1861:J1924" si="89">IF(B1861="","",IF(ISNUMBER(H1861),IF(H1861&gt;=10,"✅ Active","⚠️ Below Min Balance"),"Pending"))</f>
        <v/>
      </c>
    </row>
    <row r="1862" spans="1:10" ht="15" customHeight="1" x14ac:dyDescent="0.25">
      <c r="A1862" s="35" t="str">
        <f t="shared" si="87"/>
        <v/>
      </c>
      <c r="I1862" s="36" t="str">
        <f t="shared" ca="1" si="88"/>
        <v/>
      </c>
      <c r="J1862" s="36" t="str">
        <f t="shared" si="89"/>
        <v/>
      </c>
    </row>
    <row r="1863" spans="1:10" ht="15" customHeight="1" x14ac:dyDescent="0.25">
      <c r="A1863" s="35" t="str">
        <f t="shared" si="87"/>
        <v/>
      </c>
      <c r="I1863" s="36" t="str">
        <f t="shared" ca="1" si="88"/>
        <v/>
      </c>
      <c r="J1863" s="36" t="str">
        <f t="shared" si="89"/>
        <v/>
      </c>
    </row>
    <row r="1864" spans="1:10" ht="15" customHeight="1" x14ac:dyDescent="0.25">
      <c r="A1864" s="35" t="str">
        <f t="shared" si="87"/>
        <v/>
      </c>
      <c r="I1864" s="36" t="str">
        <f t="shared" ca="1" si="88"/>
        <v/>
      </c>
      <c r="J1864" s="36" t="str">
        <f t="shared" si="89"/>
        <v/>
      </c>
    </row>
    <row r="1865" spans="1:10" ht="15" customHeight="1" x14ac:dyDescent="0.25">
      <c r="A1865" s="35" t="str">
        <f t="shared" si="87"/>
        <v/>
      </c>
      <c r="I1865" s="36" t="str">
        <f t="shared" ca="1" si="88"/>
        <v/>
      </c>
      <c r="J1865" s="36" t="str">
        <f t="shared" si="89"/>
        <v/>
      </c>
    </row>
    <row r="1866" spans="1:10" ht="15" customHeight="1" x14ac:dyDescent="0.25">
      <c r="A1866" s="35" t="str">
        <f t="shared" si="87"/>
        <v/>
      </c>
      <c r="I1866" s="36" t="str">
        <f t="shared" ca="1" si="88"/>
        <v/>
      </c>
      <c r="J1866" s="36" t="str">
        <f t="shared" si="89"/>
        <v/>
      </c>
    </row>
    <row r="1867" spans="1:10" ht="15" customHeight="1" x14ac:dyDescent="0.25">
      <c r="A1867" s="35" t="str">
        <f t="shared" si="87"/>
        <v/>
      </c>
      <c r="I1867" s="36" t="str">
        <f t="shared" ca="1" si="88"/>
        <v/>
      </c>
      <c r="J1867" s="36" t="str">
        <f t="shared" si="89"/>
        <v/>
      </c>
    </row>
    <row r="1868" spans="1:10" ht="15" customHeight="1" x14ac:dyDescent="0.25">
      <c r="A1868" s="35" t="str">
        <f t="shared" si="87"/>
        <v/>
      </c>
      <c r="I1868" s="36" t="str">
        <f t="shared" ca="1" si="88"/>
        <v/>
      </c>
      <c r="J1868" s="36" t="str">
        <f t="shared" si="89"/>
        <v/>
      </c>
    </row>
    <row r="1869" spans="1:10" ht="15" customHeight="1" x14ac:dyDescent="0.25">
      <c r="A1869" s="35" t="str">
        <f t="shared" si="87"/>
        <v/>
      </c>
      <c r="I1869" s="36" t="str">
        <f t="shared" ca="1" si="88"/>
        <v/>
      </c>
      <c r="J1869" s="36" t="str">
        <f t="shared" si="89"/>
        <v/>
      </c>
    </row>
    <row r="1870" spans="1:10" ht="15" customHeight="1" x14ac:dyDescent="0.25">
      <c r="A1870" s="35" t="str">
        <f t="shared" si="87"/>
        <v/>
      </c>
      <c r="I1870" s="36" t="str">
        <f t="shared" ca="1" si="88"/>
        <v/>
      </c>
      <c r="J1870" s="36" t="str">
        <f t="shared" si="89"/>
        <v/>
      </c>
    </row>
    <row r="1871" spans="1:10" ht="15" customHeight="1" x14ac:dyDescent="0.25">
      <c r="A1871" s="35" t="str">
        <f t="shared" si="87"/>
        <v/>
      </c>
      <c r="I1871" s="36" t="str">
        <f t="shared" ca="1" si="88"/>
        <v/>
      </c>
      <c r="J1871" s="36" t="str">
        <f t="shared" si="89"/>
        <v/>
      </c>
    </row>
    <row r="1872" spans="1:10" ht="15" customHeight="1" x14ac:dyDescent="0.25">
      <c r="A1872" s="35" t="str">
        <f t="shared" si="87"/>
        <v/>
      </c>
      <c r="I1872" s="36" t="str">
        <f t="shared" ca="1" si="88"/>
        <v/>
      </c>
      <c r="J1872" s="36" t="str">
        <f t="shared" si="89"/>
        <v/>
      </c>
    </row>
    <row r="1873" spans="1:10" ht="15" customHeight="1" x14ac:dyDescent="0.25">
      <c r="A1873" s="35" t="str">
        <f t="shared" si="87"/>
        <v/>
      </c>
      <c r="I1873" s="36" t="str">
        <f t="shared" ca="1" si="88"/>
        <v/>
      </c>
      <c r="J1873" s="36" t="str">
        <f t="shared" si="89"/>
        <v/>
      </c>
    </row>
    <row r="1874" spans="1:10" ht="15" customHeight="1" x14ac:dyDescent="0.25">
      <c r="A1874" s="35" t="str">
        <f t="shared" si="87"/>
        <v/>
      </c>
      <c r="I1874" s="36" t="str">
        <f t="shared" ca="1" si="88"/>
        <v/>
      </c>
      <c r="J1874" s="36" t="str">
        <f t="shared" si="89"/>
        <v/>
      </c>
    </row>
    <row r="1875" spans="1:10" ht="15" customHeight="1" x14ac:dyDescent="0.25">
      <c r="A1875" s="35" t="str">
        <f t="shared" si="87"/>
        <v/>
      </c>
      <c r="I1875" s="36" t="str">
        <f t="shared" ca="1" si="88"/>
        <v/>
      </c>
      <c r="J1875" s="36" t="str">
        <f t="shared" si="89"/>
        <v/>
      </c>
    </row>
    <row r="1876" spans="1:10" ht="15" customHeight="1" x14ac:dyDescent="0.25">
      <c r="A1876" s="35" t="str">
        <f t="shared" si="87"/>
        <v/>
      </c>
      <c r="I1876" s="36" t="str">
        <f t="shared" ca="1" si="88"/>
        <v/>
      </c>
      <c r="J1876" s="36" t="str">
        <f t="shared" si="89"/>
        <v/>
      </c>
    </row>
    <row r="1877" spans="1:10" ht="15" customHeight="1" x14ac:dyDescent="0.25">
      <c r="A1877" s="35" t="str">
        <f t="shared" si="87"/>
        <v/>
      </c>
      <c r="I1877" s="36" t="str">
        <f t="shared" ca="1" si="88"/>
        <v/>
      </c>
      <c r="J1877" s="36" t="str">
        <f t="shared" si="89"/>
        <v/>
      </c>
    </row>
    <row r="1878" spans="1:10" ht="15" customHeight="1" x14ac:dyDescent="0.25">
      <c r="A1878" s="35" t="str">
        <f t="shared" si="87"/>
        <v/>
      </c>
      <c r="I1878" s="36" t="str">
        <f t="shared" ca="1" si="88"/>
        <v/>
      </c>
      <c r="J1878" s="36" t="str">
        <f t="shared" si="89"/>
        <v/>
      </c>
    </row>
    <row r="1879" spans="1:10" ht="15" customHeight="1" x14ac:dyDescent="0.25">
      <c r="A1879" s="35" t="str">
        <f t="shared" si="87"/>
        <v/>
      </c>
      <c r="I1879" s="36" t="str">
        <f t="shared" ca="1" si="88"/>
        <v/>
      </c>
      <c r="J1879" s="36" t="str">
        <f t="shared" si="89"/>
        <v/>
      </c>
    </row>
    <row r="1880" spans="1:10" ht="15" customHeight="1" x14ac:dyDescent="0.25">
      <c r="A1880" s="35" t="str">
        <f t="shared" si="87"/>
        <v/>
      </c>
      <c r="I1880" s="36" t="str">
        <f t="shared" ca="1" si="88"/>
        <v/>
      </c>
      <c r="J1880" s="36" t="str">
        <f t="shared" si="89"/>
        <v/>
      </c>
    </row>
    <row r="1881" spans="1:10" ht="15" customHeight="1" x14ac:dyDescent="0.25">
      <c r="A1881" s="35" t="str">
        <f t="shared" si="87"/>
        <v/>
      </c>
      <c r="I1881" s="36" t="str">
        <f t="shared" ca="1" si="88"/>
        <v/>
      </c>
      <c r="J1881" s="36" t="str">
        <f t="shared" si="89"/>
        <v/>
      </c>
    </row>
    <row r="1882" spans="1:10" ht="15" customHeight="1" x14ac:dyDescent="0.25">
      <c r="A1882" s="35" t="str">
        <f t="shared" si="87"/>
        <v/>
      </c>
      <c r="I1882" s="36" t="str">
        <f t="shared" ca="1" si="88"/>
        <v/>
      </c>
      <c r="J1882" s="36" t="str">
        <f t="shared" si="89"/>
        <v/>
      </c>
    </row>
    <row r="1883" spans="1:10" ht="15" customHeight="1" x14ac:dyDescent="0.25">
      <c r="A1883" s="35" t="str">
        <f t="shared" si="87"/>
        <v/>
      </c>
      <c r="I1883" s="36" t="str">
        <f t="shared" ca="1" si="88"/>
        <v/>
      </c>
      <c r="J1883" s="36" t="str">
        <f t="shared" si="89"/>
        <v/>
      </c>
    </row>
    <row r="1884" spans="1:10" ht="15" customHeight="1" x14ac:dyDescent="0.25">
      <c r="A1884" s="35" t="str">
        <f t="shared" si="87"/>
        <v/>
      </c>
      <c r="I1884" s="36" t="str">
        <f t="shared" ca="1" si="88"/>
        <v/>
      </c>
      <c r="J1884" s="36" t="str">
        <f t="shared" si="89"/>
        <v/>
      </c>
    </row>
    <row r="1885" spans="1:10" ht="15" customHeight="1" x14ac:dyDescent="0.25">
      <c r="A1885" s="35" t="str">
        <f t="shared" si="87"/>
        <v/>
      </c>
      <c r="I1885" s="36" t="str">
        <f t="shared" ca="1" si="88"/>
        <v/>
      </c>
      <c r="J1885" s="36" t="str">
        <f t="shared" si="89"/>
        <v/>
      </c>
    </row>
    <row r="1886" spans="1:10" ht="15" customHeight="1" x14ac:dyDescent="0.25">
      <c r="A1886" s="35" t="str">
        <f t="shared" si="87"/>
        <v/>
      </c>
      <c r="I1886" s="36" t="str">
        <f t="shared" ca="1" si="88"/>
        <v/>
      </c>
      <c r="J1886" s="36" t="str">
        <f t="shared" si="89"/>
        <v/>
      </c>
    </row>
    <row r="1887" spans="1:10" ht="15" customHeight="1" x14ac:dyDescent="0.25">
      <c r="A1887" s="35" t="str">
        <f t="shared" si="87"/>
        <v/>
      </c>
      <c r="I1887" s="36" t="str">
        <f t="shared" ca="1" si="88"/>
        <v/>
      </c>
      <c r="J1887" s="36" t="str">
        <f t="shared" si="89"/>
        <v/>
      </c>
    </row>
    <row r="1888" spans="1:10" ht="15" customHeight="1" x14ac:dyDescent="0.25">
      <c r="A1888" s="35" t="str">
        <f t="shared" si="87"/>
        <v/>
      </c>
      <c r="I1888" s="36" t="str">
        <f t="shared" ca="1" si="88"/>
        <v/>
      </c>
      <c r="J1888" s="36" t="str">
        <f t="shared" si="89"/>
        <v/>
      </c>
    </row>
    <row r="1889" spans="1:10" ht="15" customHeight="1" x14ac:dyDescent="0.25">
      <c r="A1889" s="35" t="str">
        <f t="shared" si="87"/>
        <v/>
      </c>
      <c r="I1889" s="36" t="str">
        <f t="shared" ca="1" si="88"/>
        <v/>
      </c>
      <c r="J1889" s="36" t="str">
        <f t="shared" si="89"/>
        <v/>
      </c>
    </row>
    <row r="1890" spans="1:10" ht="15" customHeight="1" x14ac:dyDescent="0.25">
      <c r="A1890" s="35" t="str">
        <f t="shared" si="87"/>
        <v/>
      </c>
      <c r="I1890" s="36" t="str">
        <f t="shared" ca="1" si="88"/>
        <v/>
      </c>
      <c r="J1890" s="36" t="str">
        <f t="shared" si="89"/>
        <v/>
      </c>
    </row>
    <row r="1891" spans="1:10" ht="15" customHeight="1" x14ac:dyDescent="0.25">
      <c r="A1891" s="35" t="str">
        <f t="shared" si="87"/>
        <v/>
      </c>
      <c r="I1891" s="36" t="str">
        <f t="shared" ca="1" si="88"/>
        <v/>
      </c>
      <c r="J1891" s="36" t="str">
        <f t="shared" si="89"/>
        <v/>
      </c>
    </row>
    <row r="1892" spans="1:10" ht="15" customHeight="1" x14ac:dyDescent="0.25">
      <c r="A1892" s="35" t="str">
        <f t="shared" si="87"/>
        <v/>
      </c>
      <c r="I1892" s="36" t="str">
        <f t="shared" ca="1" si="88"/>
        <v/>
      </c>
      <c r="J1892" s="36" t="str">
        <f t="shared" si="89"/>
        <v/>
      </c>
    </row>
    <row r="1893" spans="1:10" ht="15" customHeight="1" x14ac:dyDescent="0.25">
      <c r="A1893" s="35" t="str">
        <f t="shared" si="87"/>
        <v/>
      </c>
      <c r="I1893" s="36" t="str">
        <f t="shared" ca="1" si="88"/>
        <v/>
      </c>
      <c r="J1893" s="36" t="str">
        <f t="shared" si="89"/>
        <v/>
      </c>
    </row>
    <row r="1894" spans="1:10" ht="15" customHeight="1" x14ac:dyDescent="0.25">
      <c r="A1894" s="35" t="str">
        <f t="shared" si="87"/>
        <v/>
      </c>
      <c r="I1894" s="36" t="str">
        <f t="shared" ca="1" si="88"/>
        <v/>
      </c>
      <c r="J1894" s="36" t="str">
        <f t="shared" si="89"/>
        <v/>
      </c>
    </row>
    <row r="1895" spans="1:10" ht="15" customHeight="1" x14ac:dyDescent="0.25">
      <c r="A1895" s="35" t="str">
        <f t="shared" si="87"/>
        <v/>
      </c>
      <c r="I1895" s="36" t="str">
        <f t="shared" ca="1" si="88"/>
        <v/>
      </c>
      <c r="J1895" s="36" t="str">
        <f t="shared" si="89"/>
        <v/>
      </c>
    </row>
    <row r="1896" spans="1:10" ht="15" customHeight="1" x14ac:dyDescent="0.25">
      <c r="A1896" s="35" t="str">
        <f t="shared" si="87"/>
        <v/>
      </c>
      <c r="I1896" s="36" t="str">
        <f t="shared" ca="1" si="88"/>
        <v/>
      </c>
      <c r="J1896" s="36" t="str">
        <f t="shared" si="89"/>
        <v/>
      </c>
    </row>
    <row r="1897" spans="1:10" ht="15" customHeight="1" x14ac:dyDescent="0.25">
      <c r="A1897" s="35" t="str">
        <f t="shared" si="87"/>
        <v/>
      </c>
      <c r="I1897" s="36" t="str">
        <f t="shared" ca="1" si="88"/>
        <v/>
      </c>
      <c r="J1897" s="36" t="str">
        <f t="shared" si="89"/>
        <v/>
      </c>
    </row>
    <row r="1898" spans="1:10" ht="15" customHeight="1" x14ac:dyDescent="0.25">
      <c r="A1898" s="35" t="str">
        <f t="shared" si="87"/>
        <v/>
      </c>
      <c r="I1898" s="36" t="str">
        <f t="shared" ca="1" si="88"/>
        <v/>
      </c>
      <c r="J1898" s="36" t="str">
        <f t="shared" si="89"/>
        <v/>
      </c>
    </row>
    <row r="1899" spans="1:10" ht="15" customHeight="1" x14ac:dyDescent="0.25">
      <c r="A1899" s="35" t="str">
        <f t="shared" si="87"/>
        <v/>
      </c>
      <c r="I1899" s="36" t="str">
        <f t="shared" ca="1" si="88"/>
        <v/>
      </c>
      <c r="J1899" s="36" t="str">
        <f t="shared" si="89"/>
        <v/>
      </c>
    </row>
    <row r="1900" spans="1:10" ht="15" customHeight="1" x14ac:dyDescent="0.25">
      <c r="A1900" s="35" t="str">
        <f t="shared" si="87"/>
        <v/>
      </c>
      <c r="I1900" s="36" t="str">
        <f t="shared" ca="1" si="88"/>
        <v/>
      </c>
      <c r="J1900" s="36" t="str">
        <f t="shared" si="89"/>
        <v/>
      </c>
    </row>
    <row r="1901" spans="1:10" ht="15" customHeight="1" x14ac:dyDescent="0.25">
      <c r="A1901" s="35" t="str">
        <f t="shared" si="87"/>
        <v/>
      </c>
      <c r="I1901" s="36" t="str">
        <f t="shared" ca="1" si="88"/>
        <v/>
      </c>
      <c r="J1901" s="36" t="str">
        <f t="shared" si="89"/>
        <v/>
      </c>
    </row>
    <row r="1902" spans="1:10" ht="15" customHeight="1" x14ac:dyDescent="0.25">
      <c r="A1902" s="35" t="str">
        <f t="shared" si="87"/>
        <v/>
      </c>
      <c r="I1902" s="36" t="str">
        <f t="shared" ca="1" si="88"/>
        <v/>
      </c>
      <c r="J1902" s="36" t="str">
        <f t="shared" si="89"/>
        <v/>
      </c>
    </row>
    <row r="1903" spans="1:10" ht="15" customHeight="1" x14ac:dyDescent="0.25">
      <c r="A1903" s="35" t="str">
        <f t="shared" si="87"/>
        <v/>
      </c>
      <c r="I1903" s="36" t="str">
        <f t="shared" ca="1" si="88"/>
        <v/>
      </c>
      <c r="J1903" s="36" t="str">
        <f t="shared" si="89"/>
        <v/>
      </c>
    </row>
    <row r="1904" spans="1:10" ht="15" customHeight="1" x14ac:dyDescent="0.25">
      <c r="A1904" s="35" t="str">
        <f t="shared" si="87"/>
        <v/>
      </c>
      <c r="I1904" s="36" t="str">
        <f t="shared" ca="1" si="88"/>
        <v/>
      </c>
      <c r="J1904" s="36" t="str">
        <f t="shared" si="89"/>
        <v/>
      </c>
    </row>
    <row r="1905" spans="1:10" ht="15" customHeight="1" x14ac:dyDescent="0.25">
      <c r="A1905" s="35" t="str">
        <f t="shared" si="87"/>
        <v/>
      </c>
      <c r="I1905" s="36" t="str">
        <f t="shared" ca="1" si="88"/>
        <v/>
      </c>
      <c r="J1905" s="36" t="str">
        <f t="shared" si="89"/>
        <v/>
      </c>
    </row>
    <row r="1906" spans="1:10" ht="15" customHeight="1" x14ac:dyDescent="0.25">
      <c r="A1906" s="35" t="str">
        <f t="shared" si="87"/>
        <v/>
      </c>
      <c r="I1906" s="36" t="str">
        <f t="shared" ca="1" si="88"/>
        <v/>
      </c>
      <c r="J1906" s="36" t="str">
        <f t="shared" si="89"/>
        <v/>
      </c>
    </row>
    <row r="1907" spans="1:10" ht="15" customHeight="1" x14ac:dyDescent="0.25">
      <c r="A1907" s="35" t="str">
        <f t="shared" si="87"/>
        <v/>
      </c>
      <c r="I1907" s="36" t="str">
        <f t="shared" ca="1" si="88"/>
        <v/>
      </c>
      <c r="J1907" s="36" t="str">
        <f t="shared" si="89"/>
        <v/>
      </c>
    </row>
    <row r="1908" spans="1:10" ht="15" customHeight="1" x14ac:dyDescent="0.25">
      <c r="A1908" s="35" t="str">
        <f t="shared" si="87"/>
        <v/>
      </c>
      <c r="I1908" s="36" t="str">
        <f t="shared" ca="1" si="88"/>
        <v/>
      </c>
      <c r="J1908" s="36" t="str">
        <f t="shared" si="89"/>
        <v/>
      </c>
    </row>
    <row r="1909" spans="1:10" ht="15" customHeight="1" x14ac:dyDescent="0.25">
      <c r="A1909" s="35" t="str">
        <f t="shared" si="87"/>
        <v/>
      </c>
      <c r="I1909" s="36" t="str">
        <f t="shared" ca="1" si="88"/>
        <v/>
      </c>
      <c r="J1909" s="36" t="str">
        <f t="shared" si="89"/>
        <v/>
      </c>
    </row>
    <row r="1910" spans="1:10" ht="15" customHeight="1" x14ac:dyDescent="0.25">
      <c r="A1910" s="35" t="str">
        <f t="shared" si="87"/>
        <v/>
      </c>
      <c r="I1910" s="36" t="str">
        <f t="shared" ca="1" si="88"/>
        <v/>
      </c>
      <c r="J1910" s="36" t="str">
        <f t="shared" si="89"/>
        <v/>
      </c>
    </row>
    <row r="1911" spans="1:10" ht="15" customHeight="1" x14ac:dyDescent="0.25">
      <c r="A1911" s="35" t="str">
        <f t="shared" si="87"/>
        <v/>
      </c>
      <c r="I1911" s="36" t="str">
        <f t="shared" ca="1" si="88"/>
        <v/>
      </c>
      <c r="J1911" s="36" t="str">
        <f t="shared" si="89"/>
        <v/>
      </c>
    </row>
    <row r="1912" spans="1:10" ht="15" customHeight="1" x14ac:dyDescent="0.25">
      <c r="A1912" s="35" t="str">
        <f t="shared" si="87"/>
        <v/>
      </c>
      <c r="I1912" s="36" t="str">
        <f t="shared" ca="1" si="88"/>
        <v/>
      </c>
      <c r="J1912" s="36" t="str">
        <f t="shared" si="89"/>
        <v/>
      </c>
    </row>
    <row r="1913" spans="1:10" ht="15" customHeight="1" x14ac:dyDescent="0.25">
      <c r="A1913" s="35" t="str">
        <f t="shared" si="87"/>
        <v/>
      </c>
      <c r="I1913" s="36" t="str">
        <f t="shared" ca="1" si="88"/>
        <v/>
      </c>
      <c r="J1913" s="36" t="str">
        <f t="shared" si="89"/>
        <v/>
      </c>
    </row>
    <row r="1914" spans="1:10" ht="15" customHeight="1" x14ac:dyDescent="0.25">
      <c r="A1914" s="35" t="str">
        <f t="shared" si="87"/>
        <v/>
      </c>
      <c r="I1914" s="36" t="str">
        <f t="shared" ca="1" si="88"/>
        <v/>
      </c>
      <c r="J1914" s="36" t="str">
        <f t="shared" si="89"/>
        <v/>
      </c>
    </row>
    <row r="1915" spans="1:10" ht="15" customHeight="1" x14ac:dyDescent="0.25">
      <c r="A1915" s="35" t="str">
        <f t="shared" si="87"/>
        <v/>
      </c>
      <c r="I1915" s="36" t="str">
        <f t="shared" ca="1" si="88"/>
        <v/>
      </c>
      <c r="J1915" s="36" t="str">
        <f t="shared" si="89"/>
        <v/>
      </c>
    </row>
    <row r="1916" spans="1:10" ht="15" customHeight="1" x14ac:dyDescent="0.25">
      <c r="A1916" s="35" t="str">
        <f t="shared" si="87"/>
        <v/>
      </c>
      <c r="I1916" s="36" t="str">
        <f t="shared" ca="1" si="88"/>
        <v/>
      </c>
      <c r="J1916" s="36" t="str">
        <f t="shared" si="89"/>
        <v/>
      </c>
    </row>
    <row r="1917" spans="1:10" ht="15" customHeight="1" x14ac:dyDescent="0.25">
      <c r="A1917" s="35" t="str">
        <f t="shared" si="87"/>
        <v/>
      </c>
      <c r="I1917" s="36" t="str">
        <f t="shared" ca="1" si="88"/>
        <v/>
      </c>
      <c r="J1917" s="36" t="str">
        <f t="shared" si="89"/>
        <v/>
      </c>
    </row>
    <row r="1918" spans="1:10" ht="15" customHeight="1" x14ac:dyDescent="0.25">
      <c r="A1918" s="35" t="str">
        <f t="shared" si="87"/>
        <v/>
      </c>
      <c r="I1918" s="36" t="str">
        <f t="shared" ca="1" si="88"/>
        <v/>
      </c>
      <c r="J1918" s="36" t="str">
        <f t="shared" si="89"/>
        <v/>
      </c>
    </row>
    <row r="1919" spans="1:10" ht="15" customHeight="1" x14ac:dyDescent="0.25">
      <c r="A1919" s="35" t="str">
        <f t="shared" si="87"/>
        <v/>
      </c>
      <c r="I1919" s="36" t="str">
        <f t="shared" ca="1" si="88"/>
        <v/>
      </c>
      <c r="J1919" s="36" t="str">
        <f t="shared" si="89"/>
        <v/>
      </c>
    </row>
    <row r="1920" spans="1:10" ht="15" customHeight="1" x14ac:dyDescent="0.25">
      <c r="A1920" s="35" t="str">
        <f t="shared" si="87"/>
        <v/>
      </c>
      <c r="I1920" s="36" t="str">
        <f t="shared" ca="1" si="88"/>
        <v/>
      </c>
      <c r="J1920" s="36" t="str">
        <f t="shared" si="89"/>
        <v/>
      </c>
    </row>
    <row r="1921" spans="1:10" ht="15" customHeight="1" x14ac:dyDescent="0.25">
      <c r="A1921" s="35" t="str">
        <f t="shared" si="87"/>
        <v/>
      </c>
      <c r="I1921" s="36" t="str">
        <f t="shared" ca="1" si="88"/>
        <v/>
      </c>
      <c r="J1921" s="36" t="str">
        <f t="shared" si="89"/>
        <v/>
      </c>
    </row>
    <row r="1922" spans="1:10" ht="15" customHeight="1" x14ac:dyDescent="0.25">
      <c r="A1922" s="35" t="str">
        <f t="shared" si="87"/>
        <v/>
      </c>
      <c r="I1922" s="36" t="str">
        <f t="shared" ca="1" si="88"/>
        <v/>
      </c>
      <c r="J1922" s="36" t="str">
        <f t="shared" si="89"/>
        <v/>
      </c>
    </row>
    <row r="1923" spans="1:10" ht="15" customHeight="1" x14ac:dyDescent="0.25">
      <c r="A1923" s="35" t="str">
        <f t="shared" si="87"/>
        <v/>
      </c>
      <c r="I1923" s="36" t="str">
        <f t="shared" ca="1" si="88"/>
        <v/>
      </c>
      <c r="J1923" s="36" t="str">
        <f t="shared" si="89"/>
        <v/>
      </c>
    </row>
    <row r="1924" spans="1:10" ht="15" customHeight="1" x14ac:dyDescent="0.25">
      <c r="A1924" s="35" t="str">
        <f t="shared" si="87"/>
        <v/>
      </c>
      <c r="I1924" s="36" t="str">
        <f t="shared" ca="1" si="88"/>
        <v/>
      </c>
      <c r="J1924" s="36" t="str">
        <f t="shared" si="89"/>
        <v/>
      </c>
    </row>
    <row r="1925" spans="1:10" ht="15" customHeight="1" x14ac:dyDescent="0.25">
      <c r="A1925" s="35" t="str">
        <f t="shared" ref="A1925:A1988" si="90">IF(B1925="","","ACC"&amp;TEXT(ROW()-4,"0000"))</f>
        <v/>
      </c>
      <c r="I1925" s="36" t="str">
        <f t="shared" ref="I1925:I1988" ca="1" si="91">IF(B1925="","",TEXT(TODAY(),"dd/mm/yyyy"))</f>
        <v/>
      </c>
      <c r="J1925" s="36" t="str">
        <f t="shared" ref="J1925:J1988" si="92">IF(B1925="","",IF(ISNUMBER(H1925),IF(H1925&gt;=10,"✅ Active","⚠️ Below Min Balance"),"Pending"))</f>
        <v/>
      </c>
    </row>
    <row r="1926" spans="1:10" ht="15" customHeight="1" x14ac:dyDescent="0.25">
      <c r="A1926" s="35" t="str">
        <f t="shared" si="90"/>
        <v/>
      </c>
      <c r="I1926" s="36" t="str">
        <f t="shared" ca="1" si="91"/>
        <v/>
      </c>
      <c r="J1926" s="36" t="str">
        <f t="shared" si="92"/>
        <v/>
      </c>
    </row>
    <row r="1927" spans="1:10" ht="15" customHeight="1" x14ac:dyDescent="0.25">
      <c r="A1927" s="35" t="str">
        <f t="shared" si="90"/>
        <v/>
      </c>
      <c r="I1927" s="36" t="str">
        <f t="shared" ca="1" si="91"/>
        <v/>
      </c>
      <c r="J1927" s="36" t="str">
        <f t="shared" si="92"/>
        <v/>
      </c>
    </row>
    <row r="1928" spans="1:10" ht="15" customHeight="1" x14ac:dyDescent="0.25">
      <c r="A1928" s="35" t="str">
        <f t="shared" si="90"/>
        <v/>
      </c>
      <c r="I1928" s="36" t="str">
        <f t="shared" ca="1" si="91"/>
        <v/>
      </c>
      <c r="J1928" s="36" t="str">
        <f t="shared" si="92"/>
        <v/>
      </c>
    </row>
    <row r="1929" spans="1:10" ht="15" customHeight="1" x14ac:dyDescent="0.25">
      <c r="A1929" s="35" t="str">
        <f t="shared" si="90"/>
        <v/>
      </c>
      <c r="I1929" s="36" t="str">
        <f t="shared" ca="1" si="91"/>
        <v/>
      </c>
      <c r="J1929" s="36" t="str">
        <f t="shared" si="92"/>
        <v/>
      </c>
    </row>
    <row r="1930" spans="1:10" ht="15" customHeight="1" x14ac:dyDescent="0.25">
      <c r="A1930" s="35" t="str">
        <f t="shared" si="90"/>
        <v/>
      </c>
      <c r="I1930" s="36" t="str">
        <f t="shared" ca="1" si="91"/>
        <v/>
      </c>
      <c r="J1930" s="36" t="str">
        <f t="shared" si="92"/>
        <v/>
      </c>
    </row>
    <row r="1931" spans="1:10" ht="15" customHeight="1" x14ac:dyDescent="0.25">
      <c r="A1931" s="35" t="str">
        <f t="shared" si="90"/>
        <v/>
      </c>
      <c r="I1931" s="36" t="str">
        <f t="shared" ca="1" si="91"/>
        <v/>
      </c>
      <c r="J1931" s="36" t="str">
        <f t="shared" si="92"/>
        <v/>
      </c>
    </row>
    <row r="1932" spans="1:10" ht="15" customHeight="1" x14ac:dyDescent="0.25">
      <c r="A1932" s="35" t="str">
        <f t="shared" si="90"/>
        <v/>
      </c>
      <c r="I1932" s="36" t="str">
        <f t="shared" ca="1" si="91"/>
        <v/>
      </c>
      <c r="J1932" s="36" t="str">
        <f t="shared" si="92"/>
        <v/>
      </c>
    </row>
    <row r="1933" spans="1:10" ht="15" customHeight="1" x14ac:dyDescent="0.25">
      <c r="A1933" s="35" t="str">
        <f t="shared" si="90"/>
        <v/>
      </c>
      <c r="I1933" s="36" t="str">
        <f t="shared" ca="1" si="91"/>
        <v/>
      </c>
      <c r="J1933" s="36" t="str">
        <f t="shared" si="92"/>
        <v/>
      </c>
    </row>
    <row r="1934" spans="1:10" ht="15" customHeight="1" x14ac:dyDescent="0.25">
      <c r="A1934" s="35" t="str">
        <f t="shared" si="90"/>
        <v/>
      </c>
      <c r="I1934" s="36" t="str">
        <f t="shared" ca="1" si="91"/>
        <v/>
      </c>
      <c r="J1934" s="36" t="str">
        <f t="shared" si="92"/>
        <v/>
      </c>
    </row>
    <row r="1935" spans="1:10" ht="15" customHeight="1" x14ac:dyDescent="0.25">
      <c r="A1935" s="35" t="str">
        <f t="shared" si="90"/>
        <v/>
      </c>
      <c r="I1935" s="36" t="str">
        <f t="shared" ca="1" si="91"/>
        <v/>
      </c>
      <c r="J1935" s="36" t="str">
        <f t="shared" si="92"/>
        <v/>
      </c>
    </row>
    <row r="1936" spans="1:10" ht="15" customHeight="1" x14ac:dyDescent="0.25">
      <c r="A1936" s="35" t="str">
        <f t="shared" si="90"/>
        <v/>
      </c>
      <c r="I1936" s="36" t="str">
        <f t="shared" ca="1" si="91"/>
        <v/>
      </c>
      <c r="J1936" s="36" t="str">
        <f t="shared" si="92"/>
        <v/>
      </c>
    </row>
    <row r="1937" spans="1:10" ht="15" customHeight="1" x14ac:dyDescent="0.25">
      <c r="A1937" s="35" t="str">
        <f t="shared" si="90"/>
        <v/>
      </c>
      <c r="I1937" s="36" t="str">
        <f t="shared" ca="1" si="91"/>
        <v/>
      </c>
      <c r="J1937" s="36" t="str">
        <f t="shared" si="92"/>
        <v/>
      </c>
    </row>
    <row r="1938" spans="1:10" ht="15" customHeight="1" x14ac:dyDescent="0.25">
      <c r="A1938" s="35" t="str">
        <f t="shared" si="90"/>
        <v/>
      </c>
      <c r="I1938" s="36" t="str">
        <f t="shared" ca="1" si="91"/>
        <v/>
      </c>
      <c r="J1938" s="36" t="str">
        <f t="shared" si="92"/>
        <v/>
      </c>
    </row>
    <row r="1939" spans="1:10" ht="15" customHeight="1" x14ac:dyDescent="0.25">
      <c r="A1939" s="35" t="str">
        <f t="shared" si="90"/>
        <v/>
      </c>
      <c r="I1939" s="36" t="str">
        <f t="shared" ca="1" si="91"/>
        <v/>
      </c>
      <c r="J1939" s="36" t="str">
        <f t="shared" si="92"/>
        <v/>
      </c>
    </row>
    <row r="1940" spans="1:10" ht="15" customHeight="1" x14ac:dyDescent="0.25">
      <c r="A1940" s="35" t="str">
        <f t="shared" si="90"/>
        <v/>
      </c>
      <c r="I1940" s="36" t="str">
        <f t="shared" ca="1" si="91"/>
        <v/>
      </c>
      <c r="J1940" s="36" t="str">
        <f t="shared" si="92"/>
        <v/>
      </c>
    </row>
    <row r="1941" spans="1:10" ht="15" customHeight="1" x14ac:dyDescent="0.25">
      <c r="A1941" s="35" t="str">
        <f t="shared" si="90"/>
        <v/>
      </c>
      <c r="I1941" s="36" t="str">
        <f t="shared" ca="1" si="91"/>
        <v/>
      </c>
      <c r="J1941" s="36" t="str">
        <f t="shared" si="92"/>
        <v/>
      </c>
    </row>
    <row r="1942" spans="1:10" ht="15" customHeight="1" x14ac:dyDescent="0.25">
      <c r="A1942" s="35" t="str">
        <f t="shared" si="90"/>
        <v/>
      </c>
      <c r="I1942" s="36" t="str">
        <f t="shared" ca="1" si="91"/>
        <v/>
      </c>
      <c r="J1942" s="36" t="str">
        <f t="shared" si="92"/>
        <v/>
      </c>
    </row>
    <row r="1943" spans="1:10" ht="15" customHeight="1" x14ac:dyDescent="0.25">
      <c r="A1943" s="35" t="str">
        <f t="shared" si="90"/>
        <v/>
      </c>
      <c r="I1943" s="36" t="str">
        <f t="shared" ca="1" si="91"/>
        <v/>
      </c>
      <c r="J1943" s="36" t="str">
        <f t="shared" si="92"/>
        <v/>
      </c>
    </row>
    <row r="1944" spans="1:10" ht="15" customHeight="1" x14ac:dyDescent="0.25">
      <c r="A1944" s="35" t="str">
        <f t="shared" si="90"/>
        <v/>
      </c>
      <c r="I1944" s="36" t="str">
        <f t="shared" ca="1" si="91"/>
        <v/>
      </c>
      <c r="J1944" s="36" t="str">
        <f t="shared" si="92"/>
        <v/>
      </c>
    </row>
    <row r="1945" spans="1:10" ht="15" customHeight="1" x14ac:dyDescent="0.25">
      <c r="A1945" s="35" t="str">
        <f t="shared" si="90"/>
        <v/>
      </c>
      <c r="I1945" s="36" t="str">
        <f t="shared" ca="1" si="91"/>
        <v/>
      </c>
      <c r="J1945" s="36" t="str">
        <f t="shared" si="92"/>
        <v/>
      </c>
    </row>
    <row r="1946" spans="1:10" ht="15" customHeight="1" x14ac:dyDescent="0.25">
      <c r="A1946" s="35" t="str">
        <f t="shared" si="90"/>
        <v/>
      </c>
      <c r="I1946" s="36" t="str">
        <f t="shared" ca="1" si="91"/>
        <v/>
      </c>
      <c r="J1946" s="36" t="str">
        <f t="shared" si="92"/>
        <v/>
      </c>
    </row>
    <row r="1947" spans="1:10" ht="15" customHeight="1" x14ac:dyDescent="0.25">
      <c r="A1947" s="35" t="str">
        <f t="shared" si="90"/>
        <v/>
      </c>
      <c r="I1947" s="36" t="str">
        <f t="shared" ca="1" si="91"/>
        <v/>
      </c>
      <c r="J1947" s="36" t="str">
        <f t="shared" si="92"/>
        <v/>
      </c>
    </row>
    <row r="1948" spans="1:10" ht="15" customHeight="1" x14ac:dyDescent="0.25">
      <c r="A1948" s="35" t="str">
        <f t="shared" si="90"/>
        <v/>
      </c>
      <c r="I1948" s="36" t="str">
        <f t="shared" ca="1" si="91"/>
        <v/>
      </c>
      <c r="J1948" s="36" t="str">
        <f t="shared" si="92"/>
        <v/>
      </c>
    </row>
    <row r="1949" spans="1:10" ht="15" customHeight="1" x14ac:dyDescent="0.25">
      <c r="A1949" s="35" t="str">
        <f t="shared" si="90"/>
        <v/>
      </c>
      <c r="I1949" s="36" t="str">
        <f t="shared" ca="1" si="91"/>
        <v/>
      </c>
      <c r="J1949" s="36" t="str">
        <f t="shared" si="92"/>
        <v/>
      </c>
    </row>
    <row r="1950" spans="1:10" ht="15" customHeight="1" x14ac:dyDescent="0.25">
      <c r="A1950" s="35" t="str">
        <f t="shared" si="90"/>
        <v/>
      </c>
      <c r="I1950" s="36" t="str">
        <f t="shared" ca="1" si="91"/>
        <v/>
      </c>
      <c r="J1950" s="36" t="str">
        <f t="shared" si="92"/>
        <v/>
      </c>
    </row>
    <row r="1951" spans="1:10" ht="15" customHeight="1" x14ac:dyDescent="0.25">
      <c r="A1951" s="35" t="str">
        <f t="shared" si="90"/>
        <v/>
      </c>
      <c r="I1951" s="36" t="str">
        <f t="shared" ca="1" si="91"/>
        <v/>
      </c>
      <c r="J1951" s="36" t="str">
        <f t="shared" si="92"/>
        <v/>
      </c>
    </row>
    <row r="1952" spans="1:10" ht="15" customHeight="1" x14ac:dyDescent="0.25">
      <c r="A1952" s="35" t="str">
        <f t="shared" si="90"/>
        <v/>
      </c>
      <c r="I1952" s="36" t="str">
        <f t="shared" ca="1" si="91"/>
        <v/>
      </c>
      <c r="J1952" s="36" t="str">
        <f t="shared" si="92"/>
        <v/>
      </c>
    </row>
    <row r="1953" spans="1:10" ht="15" customHeight="1" x14ac:dyDescent="0.25">
      <c r="A1953" s="35" t="str">
        <f t="shared" si="90"/>
        <v/>
      </c>
      <c r="I1953" s="36" t="str">
        <f t="shared" ca="1" si="91"/>
        <v/>
      </c>
      <c r="J1953" s="36" t="str">
        <f t="shared" si="92"/>
        <v/>
      </c>
    </row>
    <row r="1954" spans="1:10" ht="15" customHeight="1" x14ac:dyDescent="0.25">
      <c r="A1954" s="35" t="str">
        <f t="shared" si="90"/>
        <v/>
      </c>
      <c r="I1954" s="36" t="str">
        <f t="shared" ca="1" si="91"/>
        <v/>
      </c>
      <c r="J1954" s="36" t="str">
        <f t="shared" si="92"/>
        <v/>
      </c>
    </row>
    <row r="1955" spans="1:10" ht="15" customHeight="1" x14ac:dyDescent="0.25">
      <c r="A1955" s="35" t="str">
        <f t="shared" si="90"/>
        <v/>
      </c>
      <c r="I1955" s="36" t="str">
        <f t="shared" ca="1" si="91"/>
        <v/>
      </c>
      <c r="J1955" s="36" t="str">
        <f t="shared" si="92"/>
        <v/>
      </c>
    </row>
    <row r="1956" spans="1:10" ht="15" customHeight="1" x14ac:dyDescent="0.25">
      <c r="A1956" s="35" t="str">
        <f t="shared" si="90"/>
        <v/>
      </c>
      <c r="I1956" s="36" t="str">
        <f t="shared" ca="1" si="91"/>
        <v/>
      </c>
      <c r="J1956" s="36" t="str">
        <f t="shared" si="92"/>
        <v/>
      </c>
    </row>
    <row r="1957" spans="1:10" ht="15" customHeight="1" x14ac:dyDescent="0.25">
      <c r="A1957" s="35" t="str">
        <f t="shared" si="90"/>
        <v/>
      </c>
      <c r="I1957" s="36" t="str">
        <f t="shared" ca="1" si="91"/>
        <v/>
      </c>
      <c r="J1957" s="36" t="str">
        <f t="shared" si="92"/>
        <v/>
      </c>
    </row>
    <row r="1958" spans="1:10" ht="15" customHeight="1" x14ac:dyDescent="0.25">
      <c r="A1958" s="35" t="str">
        <f t="shared" si="90"/>
        <v/>
      </c>
      <c r="I1958" s="36" t="str">
        <f t="shared" ca="1" si="91"/>
        <v/>
      </c>
      <c r="J1958" s="36" t="str">
        <f t="shared" si="92"/>
        <v/>
      </c>
    </row>
    <row r="1959" spans="1:10" ht="15" customHeight="1" x14ac:dyDescent="0.25">
      <c r="A1959" s="35" t="str">
        <f t="shared" si="90"/>
        <v/>
      </c>
      <c r="I1959" s="36" t="str">
        <f t="shared" ca="1" si="91"/>
        <v/>
      </c>
      <c r="J1959" s="36" t="str">
        <f t="shared" si="92"/>
        <v/>
      </c>
    </row>
    <row r="1960" spans="1:10" ht="15" customHeight="1" x14ac:dyDescent="0.25">
      <c r="A1960" s="35" t="str">
        <f t="shared" si="90"/>
        <v/>
      </c>
      <c r="I1960" s="36" t="str">
        <f t="shared" ca="1" si="91"/>
        <v/>
      </c>
      <c r="J1960" s="36" t="str">
        <f t="shared" si="92"/>
        <v/>
      </c>
    </row>
    <row r="1961" spans="1:10" ht="15" customHeight="1" x14ac:dyDescent="0.25">
      <c r="A1961" s="35" t="str">
        <f t="shared" si="90"/>
        <v/>
      </c>
      <c r="I1961" s="36" t="str">
        <f t="shared" ca="1" si="91"/>
        <v/>
      </c>
      <c r="J1961" s="36" t="str">
        <f t="shared" si="92"/>
        <v/>
      </c>
    </row>
    <row r="1962" spans="1:10" ht="15" customHeight="1" x14ac:dyDescent="0.25">
      <c r="A1962" s="35" t="str">
        <f t="shared" si="90"/>
        <v/>
      </c>
      <c r="I1962" s="36" t="str">
        <f t="shared" ca="1" si="91"/>
        <v/>
      </c>
      <c r="J1962" s="36" t="str">
        <f t="shared" si="92"/>
        <v/>
      </c>
    </row>
    <row r="1963" spans="1:10" ht="15" customHeight="1" x14ac:dyDescent="0.25">
      <c r="A1963" s="35" t="str">
        <f t="shared" si="90"/>
        <v/>
      </c>
      <c r="I1963" s="36" t="str">
        <f t="shared" ca="1" si="91"/>
        <v/>
      </c>
      <c r="J1963" s="36" t="str">
        <f t="shared" si="92"/>
        <v/>
      </c>
    </row>
    <row r="1964" spans="1:10" ht="15" customHeight="1" x14ac:dyDescent="0.25">
      <c r="A1964" s="35" t="str">
        <f t="shared" si="90"/>
        <v/>
      </c>
      <c r="I1964" s="36" t="str">
        <f t="shared" ca="1" si="91"/>
        <v/>
      </c>
      <c r="J1964" s="36" t="str">
        <f t="shared" si="92"/>
        <v/>
      </c>
    </row>
    <row r="1965" spans="1:10" ht="15" customHeight="1" x14ac:dyDescent="0.25">
      <c r="A1965" s="35" t="str">
        <f t="shared" si="90"/>
        <v/>
      </c>
      <c r="I1965" s="36" t="str">
        <f t="shared" ca="1" si="91"/>
        <v/>
      </c>
      <c r="J1965" s="36" t="str">
        <f t="shared" si="92"/>
        <v/>
      </c>
    </row>
    <row r="1966" spans="1:10" ht="15" customHeight="1" x14ac:dyDescent="0.25">
      <c r="A1966" s="35" t="str">
        <f t="shared" si="90"/>
        <v/>
      </c>
      <c r="I1966" s="36" t="str">
        <f t="shared" ca="1" si="91"/>
        <v/>
      </c>
      <c r="J1966" s="36" t="str">
        <f t="shared" si="92"/>
        <v/>
      </c>
    </row>
    <row r="1967" spans="1:10" ht="15" customHeight="1" x14ac:dyDescent="0.25">
      <c r="A1967" s="35" t="str">
        <f t="shared" si="90"/>
        <v/>
      </c>
      <c r="I1967" s="36" t="str">
        <f t="shared" ca="1" si="91"/>
        <v/>
      </c>
      <c r="J1967" s="36" t="str">
        <f t="shared" si="92"/>
        <v/>
      </c>
    </row>
    <row r="1968" spans="1:10" ht="15" customHeight="1" x14ac:dyDescent="0.25">
      <c r="A1968" s="35" t="str">
        <f t="shared" si="90"/>
        <v/>
      </c>
      <c r="I1968" s="36" t="str">
        <f t="shared" ca="1" si="91"/>
        <v/>
      </c>
      <c r="J1968" s="36" t="str">
        <f t="shared" si="92"/>
        <v/>
      </c>
    </row>
    <row r="1969" spans="1:10" ht="15" customHeight="1" x14ac:dyDescent="0.25">
      <c r="A1969" s="35" t="str">
        <f t="shared" si="90"/>
        <v/>
      </c>
      <c r="I1969" s="36" t="str">
        <f t="shared" ca="1" si="91"/>
        <v/>
      </c>
      <c r="J1969" s="36" t="str">
        <f t="shared" si="92"/>
        <v/>
      </c>
    </row>
    <row r="1970" spans="1:10" ht="15" customHeight="1" x14ac:dyDescent="0.25">
      <c r="A1970" s="35" t="str">
        <f t="shared" si="90"/>
        <v/>
      </c>
      <c r="I1970" s="36" t="str">
        <f t="shared" ca="1" si="91"/>
        <v/>
      </c>
      <c r="J1970" s="36" t="str">
        <f t="shared" si="92"/>
        <v/>
      </c>
    </row>
    <row r="1971" spans="1:10" ht="15" customHeight="1" x14ac:dyDescent="0.25">
      <c r="A1971" s="35" t="str">
        <f t="shared" si="90"/>
        <v/>
      </c>
      <c r="I1971" s="36" t="str">
        <f t="shared" ca="1" si="91"/>
        <v/>
      </c>
      <c r="J1971" s="36" t="str">
        <f t="shared" si="92"/>
        <v/>
      </c>
    </row>
    <row r="1972" spans="1:10" ht="15" customHeight="1" x14ac:dyDescent="0.25">
      <c r="A1972" s="35" t="str">
        <f t="shared" si="90"/>
        <v/>
      </c>
      <c r="I1972" s="36" t="str">
        <f t="shared" ca="1" si="91"/>
        <v/>
      </c>
      <c r="J1972" s="36" t="str">
        <f t="shared" si="92"/>
        <v/>
      </c>
    </row>
    <row r="1973" spans="1:10" ht="15" customHeight="1" x14ac:dyDescent="0.25">
      <c r="A1973" s="35" t="str">
        <f t="shared" si="90"/>
        <v/>
      </c>
      <c r="I1973" s="36" t="str">
        <f t="shared" ca="1" si="91"/>
        <v/>
      </c>
      <c r="J1973" s="36" t="str">
        <f t="shared" si="92"/>
        <v/>
      </c>
    </row>
    <row r="1974" spans="1:10" ht="15" customHeight="1" x14ac:dyDescent="0.25">
      <c r="A1974" s="35" t="str">
        <f t="shared" si="90"/>
        <v/>
      </c>
      <c r="I1974" s="36" t="str">
        <f t="shared" ca="1" si="91"/>
        <v/>
      </c>
      <c r="J1974" s="36" t="str">
        <f t="shared" si="92"/>
        <v/>
      </c>
    </row>
    <row r="1975" spans="1:10" ht="15" customHeight="1" x14ac:dyDescent="0.25">
      <c r="A1975" s="35" t="str">
        <f t="shared" si="90"/>
        <v/>
      </c>
      <c r="I1975" s="36" t="str">
        <f t="shared" ca="1" si="91"/>
        <v/>
      </c>
      <c r="J1975" s="36" t="str">
        <f t="shared" si="92"/>
        <v/>
      </c>
    </row>
    <row r="1976" spans="1:10" ht="15" customHeight="1" x14ac:dyDescent="0.25">
      <c r="A1976" s="35" t="str">
        <f t="shared" si="90"/>
        <v/>
      </c>
      <c r="I1976" s="36" t="str">
        <f t="shared" ca="1" si="91"/>
        <v/>
      </c>
      <c r="J1976" s="36" t="str">
        <f t="shared" si="92"/>
        <v/>
      </c>
    </row>
    <row r="1977" spans="1:10" ht="15" customHeight="1" x14ac:dyDescent="0.25">
      <c r="A1977" s="35" t="str">
        <f t="shared" si="90"/>
        <v/>
      </c>
      <c r="I1977" s="36" t="str">
        <f t="shared" ca="1" si="91"/>
        <v/>
      </c>
      <c r="J1977" s="36" t="str">
        <f t="shared" si="92"/>
        <v/>
      </c>
    </row>
    <row r="1978" spans="1:10" ht="15" customHeight="1" x14ac:dyDescent="0.25">
      <c r="A1978" s="35" t="str">
        <f t="shared" si="90"/>
        <v/>
      </c>
      <c r="I1978" s="36" t="str">
        <f t="shared" ca="1" si="91"/>
        <v/>
      </c>
      <c r="J1978" s="36" t="str">
        <f t="shared" si="92"/>
        <v/>
      </c>
    </row>
    <row r="1979" spans="1:10" ht="15" customHeight="1" x14ac:dyDescent="0.25">
      <c r="A1979" s="35" t="str">
        <f t="shared" si="90"/>
        <v/>
      </c>
      <c r="I1979" s="36" t="str">
        <f t="shared" ca="1" si="91"/>
        <v/>
      </c>
      <c r="J1979" s="36" t="str">
        <f t="shared" si="92"/>
        <v/>
      </c>
    </row>
    <row r="1980" spans="1:10" ht="15" customHeight="1" x14ac:dyDescent="0.25">
      <c r="A1980" s="35" t="str">
        <f t="shared" si="90"/>
        <v/>
      </c>
      <c r="I1980" s="36" t="str">
        <f t="shared" ca="1" si="91"/>
        <v/>
      </c>
      <c r="J1980" s="36" t="str">
        <f t="shared" si="92"/>
        <v/>
      </c>
    </row>
    <row r="1981" spans="1:10" ht="15" customHeight="1" x14ac:dyDescent="0.25">
      <c r="A1981" s="35" t="str">
        <f t="shared" si="90"/>
        <v/>
      </c>
      <c r="I1981" s="36" t="str">
        <f t="shared" ca="1" si="91"/>
        <v/>
      </c>
      <c r="J1981" s="36" t="str">
        <f t="shared" si="92"/>
        <v/>
      </c>
    </row>
    <row r="1982" spans="1:10" ht="15" customHeight="1" x14ac:dyDescent="0.25">
      <c r="A1982" s="35" t="str">
        <f t="shared" si="90"/>
        <v/>
      </c>
      <c r="I1982" s="36" t="str">
        <f t="shared" ca="1" si="91"/>
        <v/>
      </c>
      <c r="J1982" s="36" t="str">
        <f t="shared" si="92"/>
        <v/>
      </c>
    </row>
    <row r="1983" spans="1:10" ht="15" customHeight="1" x14ac:dyDescent="0.25">
      <c r="A1983" s="35" t="str">
        <f t="shared" si="90"/>
        <v/>
      </c>
      <c r="I1983" s="36" t="str">
        <f t="shared" ca="1" si="91"/>
        <v/>
      </c>
      <c r="J1983" s="36" t="str">
        <f t="shared" si="92"/>
        <v/>
      </c>
    </row>
    <row r="1984" spans="1:10" ht="15" customHeight="1" x14ac:dyDescent="0.25">
      <c r="A1984" s="35" t="str">
        <f t="shared" si="90"/>
        <v/>
      </c>
      <c r="I1984" s="36" t="str">
        <f t="shared" ca="1" si="91"/>
        <v/>
      </c>
      <c r="J1984" s="36" t="str">
        <f t="shared" si="92"/>
        <v/>
      </c>
    </row>
    <row r="1985" spans="1:10" ht="15" customHeight="1" x14ac:dyDescent="0.25">
      <c r="A1985" s="35" t="str">
        <f t="shared" si="90"/>
        <v/>
      </c>
      <c r="I1985" s="36" t="str">
        <f t="shared" ca="1" si="91"/>
        <v/>
      </c>
      <c r="J1985" s="36" t="str">
        <f t="shared" si="92"/>
        <v/>
      </c>
    </row>
    <row r="1986" spans="1:10" ht="15" customHeight="1" x14ac:dyDescent="0.25">
      <c r="A1986" s="35" t="str">
        <f t="shared" si="90"/>
        <v/>
      </c>
      <c r="I1986" s="36" t="str">
        <f t="shared" ca="1" si="91"/>
        <v/>
      </c>
      <c r="J1986" s="36" t="str">
        <f t="shared" si="92"/>
        <v/>
      </c>
    </row>
    <row r="1987" spans="1:10" ht="15" customHeight="1" x14ac:dyDescent="0.25">
      <c r="A1987" s="35" t="str">
        <f t="shared" si="90"/>
        <v/>
      </c>
      <c r="I1987" s="36" t="str">
        <f t="shared" ca="1" si="91"/>
        <v/>
      </c>
      <c r="J1987" s="36" t="str">
        <f t="shared" si="92"/>
        <v/>
      </c>
    </row>
    <row r="1988" spans="1:10" ht="15" customHeight="1" x14ac:dyDescent="0.25">
      <c r="A1988" s="35" t="str">
        <f t="shared" si="90"/>
        <v/>
      </c>
      <c r="I1988" s="36" t="str">
        <f t="shared" ca="1" si="91"/>
        <v/>
      </c>
      <c r="J1988" s="36" t="str">
        <f t="shared" si="92"/>
        <v/>
      </c>
    </row>
    <row r="1989" spans="1:10" ht="15" customHeight="1" x14ac:dyDescent="0.25">
      <c r="A1989" s="35" t="str">
        <f t="shared" ref="A1989:A2004" si="93">IF(B1989="","","ACC"&amp;TEXT(ROW()-4,"0000"))</f>
        <v/>
      </c>
      <c r="I1989" s="36" t="str">
        <f t="shared" ref="I1989:I2004" ca="1" si="94">IF(B1989="","",TEXT(TODAY(),"dd/mm/yyyy"))</f>
        <v/>
      </c>
      <c r="J1989" s="36" t="str">
        <f t="shared" ref="J1989:J2004" si="95">IF(B1989="","",IF(ISNUMBER(H1989),IF(H1989&gt;=10,"✅ Active","⚠️ Below Min Balance"),"Pending"))</f>
        <v/>
      </c>
    </row>
    <row r="1990" spans="1:10" ht="15" customHeight="1" x14ac:dyDescent="0.25">
      <c r="A1990" s="35" t="str">
        <f t="shared" si="93"/>
        <v/>
      </c>
      <c r="I1990" s="36" t="str">
        <f t="shared" ca="1" si="94"/>
        <v/>
      </c>
      <c r="J1990" s="36" t="str">
        <f t="shared" si="95"/>
        <v/>
      </c>
    </row>
    <row r="1991" spans="1:10" ht="15" customHeight="1" x14ac:dyDescent="0.25">
      <c r="A1991" s="35" t="str">
        <f t="shared" si="93"/>
        <v/>
      </c>
      <c r="I1991" s="36" t="str">
        <f t="shared" ca="1" si="94"/>
        <v/>
      </c>
      <c r="J1991" s="36" t="str">
        <f t="shared" si="95"/>
        <v/>
      </c>
    </row>
    <row r="1992" spans="1:10" ht="15" customHeight="1" x14ac:dyDescent="0.25">
      <c r="A1992" s="35" t="str">
        <f t="shared" si="93"/>
        <v/>
      </c>
      <c r="I1992" s="36" t="str">
        <f t="shared" ca="1" si="94"/>
        <v/>
      </c>
      <c r="J1992" s="36" t="str">
        <f t="shared" si="95"/>
        <v/>
      </c>
    </row>
    <row r="1993" spans="1:10" ht="15" customHeight="1" x14ac:dyDescent="0.25">
      <c r="A1993" s="35" t="str">
        <f t="shared" si="93"/>
        <v/>
      </c>
      <c r="I1993" s="36" t="str">
        <f t="shared" ca="1" si="94"/>
        <v/>
      </c>
      <c r="J1993" s="36" t="str">
        <f t="shared" si="95"/>
        <v/>
      </c>
    </row>
    <row r="1994" spans="1:10" ht="15" customHeight="1" x14ac:dyDescent="0.25">
      <c r="A1994" s="35" t="str">
        <f t="shared" si="93"/>
        <v/>
      </c>
      <c r="I1994" s="36" t="str">
        <f t="shared" ca="1" si="94"/>
        <v/>
      </c>
      <c r="J1994" s="36" t="str">
        <f t="shared" si="95"/>
        <v/>
      </c>
    </row>
    <row r="1995" spans="1:10" ht="15" customHeight="1" x14ac:dyDescent="0.25">
      <c r="A1995" s="35" t="str">
        <f t="shared" si="93"/>
        <v/>
      </c>
      <c r="I1995" s="36" t="str">
        <f t="shared" ca="1" si="94"/>
        <v/>
      </c>
      <c r="J1995" s="36" t="str">
        <f t="shared" si="95"/>
        <v/>
      </c>
    </row>
    <row r="1996" spans="1:10" ht="15" customHeight="1" x14ac:dyDescent="0.25">
      <c r="A1996" s="35" t="str">
        <f t="shared" si="93"/>
        <v/>
      </c>
      <c r="I1996" s="36" t="str">
        <f t="shared" ca="1" si="94"/>
        <v/>
      </c>
      <c r="J1996" s="36" t="str">
        <f t="shared" si="95"/>
        <v/>
      </c>
    </row>
    <row r="1997" spans="1:10" ht="15" customHeight="1" x14ac:dyDescent="0.25">
      <c r="A1997" s="35" t="str">
        <f t="shared" si="93"/>
        <v/>
      </c>
      <c r="I1997" s="36" t="str">
        <f t="shared" ca="1" si="94"/>
        <v/>
      </c>
      <c r="J1997" s="36" t="str">
        <f t="shared" si="95"/>
        <v/>
      </c>
    </row>
    <row r="1998" spans="1:10" ht="15" customHeight="1" x14ac:dyDescent="0.25">
      <c r="A1998" s="35" t="str">
        <f t="shared" si="93"/>
        <v/>
      </c>
      <c r="I1998" s="36" t="str">
        <f t="shared" ca="1" si="94"/>
        <v/>
      </c>
      <c r="J1998" s="36" t="str">
        <f t="shared" si="95"/>
        <v/>
      </c>
    </row>
    <row r="1999" spans="1:10" ht="15" customHeight="1" x14ac:dyDescent="0.25">
      <c r="A1999" s="35" t="str">
        <f t="shared" si="93"/>
        <v/>
      </c>
      <c r="I1999" s="36" t="str">
        <f t="shared" ca="1" si="94"/>
        <v/>
      </c>
      <c r="J1999" s="36" t="str">
        <f t="shared" si="95"/>
        <v/>
      </c>
    </row>
    <row r="2000" spans="1:10" ht="15" customHeight="1" x14ac:dyDescent="0.25">
      <c r="A2000" s="35" t="str">
        <f t="shared" si="93"/>
        <v/>
      </c>
      <c r="I2000" s="36" t="str">
        <f t="shared" ca="1" si="94"/>
        <v/>
      </c>
      <c r="J2000" s="36" t="str">
        <f t="shared" si="95"/>
        <v/>
      </c>
    </row>
    <row r="2001" spans="1:10" ht="15" customHeight="1" x14ac:dyDescent="0.25">
      <c r="A2001" s="35" t="str">
        <f t="shared" si="93"/>
        <v/>
      </c>
      <c r="I2001" s="36" t="str">
        <f t="shared" ca="1" si="94"/>
        <v/>
      </c>
      <c r="J2001" s="36" t="str">
        <f t="shared" si="95"/>
        <v/>
      </c>
    </row>
    <row r="2002" spans="1:10" ht="15" customHeight="1" x14ac:dyDescent="0.25">
      <c r="A2002" s="35" t="str">
        <f t="shared" si="93"/>
        <v/>
      </c>
      <c r="I2002" s="36" t="str">
        <f t="shared" ca="1" si="94"/>
        <v/>
      </c>
      <c r="J2002" s="36" t="str">
        <f t="shared" si="95"/>
        <v/>
      </c>
    </row>
    <row r="2003" spans="1:10" ht="15" customHeight="1" x14ac:dyDescent="0.25">
      <c r="A2003" s="35" t="str">
        <f t="shared" si="93"/>
        <v/>
      </c>
      <c r="I2003" s="36" t="str">
        <f t="shared" ca="1" si="94"/>
        <v/>
      </c>
      <c r="J2003" s="36" t="str">
        <f t="shared" si="95"/>
        <v/>
      </c>
    </row>
    <row r="2004" spans="1:10" ht="15" customHeight="1" x14ac:dyDescent="0.25">
      <c r="A2004" s="35" t="str">
        <f t="shared" si="93"/>
        <v/>
      </c>
      <c r="I2004" s="36" t="str">
        <f t="shared" ca="1" si="94"/>
        <v/>
      </c>
      <c r="J2004" s="36" t="str">
        <f t="shared" si="95"/>
        <v/>
      </c>
    </row>
    <row r="2005" spans="1:10" ht="15" customHeight="1" x14ac:dyDescent="0.25">
      <c r="A2005" s="84" t="s">
        <v>78</v>
      </c>
      <c r="B2005" s="84"/>
      <c r="C2005" s="84"/>
      <c r="D2005" s="84"/>
      <c r="E2005" s="84"/>
      <c r="F2005" s="84"/>
      <c r="G2005" s="84"/>
      <c r="H2005" s="84"/>
      <c r="I2005" s="84"/>
      <c r="J2005" s="84"/>
    </row>
  </sheetData>
  <mergeCells count="4">
    <mergeCell ref="A1:J1"/>
    <mergeCell ref="A2:J2"/>
    <mergeCell ref="A3:J3"/>
    <mergeCell ref="A2005:J200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N2003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N1"/>
    </sheetView>
  </sheetViews>
  <sheetFormatPr defaultColWidth="8.7109375" defaultRowHeight="15" x14ac:dyDescent="0.25"/>
  <cols>
    <col min="1" max="1" width="18" customWidth="1"/>
    <col min="2" max="2" width="28" customWidth="1"/>
    <col min="3" max="4" width="16" customWidth="1"/>
    <col min="5" max="5" width="18" customWidth="1"/>
    <col min="6" max="6" width="20" customWidth="1"/>
    <col min="7" max="8" width="22" customWidth="1"/>
    <col min="9" max="9" width="18" customWidth="1"/>
    <col min="10" max="11" width="22" customWidth="1"/>
    <col min="12" max="12" width="24" customWidth="1"/>
    <col min="13" max="13" width="22" customWidth="1"/>
    <col min="14" max="14" width="26" customWidth="1"/>
  </cols>
  <sheetData>
    <row r="1" spans="1:14" ht="33.75" customHeight="1" x14ac:dyDescent="0.25">
      <c r="A1" s="92" t="s">
        <v>79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ht="24" customHeight="1" x14ac:dyDescent="0.25">
      <c r="A2" s="102" t="s">
        <v>80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30" customHeight="1" x14ac:dyDescent="0.25">
      <c r="A3" s="11" t="s">
        <v>68</v>
      </c>
      <c r="B3" s="11" t="s">
        <v>81</v>
      </c>
      <c r="C3" s="11" t="s">
        <v>70</v>
      </c>
      <c r="D3" s="11" t="s">
        <v>71</v>
      </c>
      <c r="E3" s="11" t="s">
        <v>72</v>
      </c>
      <c r="F3" s="11" t="s">
        <v>73</v>
      </c>
      <c r="G3" s="11" t="s">
        <v>74</v>
      </c>
      <c r="H3" s="11" t="s">
        <v>75</v>
      </c>
      <c r="I3" s="11" t="s">
        <v>76</v>
      </c>
      <c r="J3" s="11" t="s">
        <v>77</v>
      </c>
      <c r="K3" s="11" t="s">
        <v>82</v>
      </c>
      <c r="L3" s="11" t="s">
        <v>83</v>
      </c>
      <c r="M3" s="11" t="s">
        <v>84</v>
      </c>
      <c r="N3" s="11" t="s">
        <v>85</v>
      </c>
    </row>
    <row r="4" spans="1:14" ht="19.5" customHeight="1" x14ac:dyDescent="0.25">
      <c r="A4" s="37" t="str">
        <f>'NEW ACCOUNT'!A5</f>
        <v>ACC0001</v>
      </c>
      <c r="B4" s="38" t="str">
        <f>IF('NEW ACCOUNT'!A5="","",'NEW ACCOUNT'!B5)</f>
        <v>FRANK ABBAN</v>
      </c>
      <c r="C4" s="38">
        <f>IF('NEW ACCOUNT'!A5="","",'NEW ACCOUNT'!C5)</f>
        <v>31930</v>
      </c>
      <c r="D4" s="38">
        <f>IF('NEW ACCOUNT'!A5="","",'NEW ACCOUNT'!D5)</f>
        <v>241911273</v>
      </c>
      <c r="E4" s="38" t="str">
        <f>IF('NEW ACCOUNT'!A5="","",'NEW ACCOUNT'!E5)</f>
        <v>mankessim</v>
      </c>
      <c r="F4" s="38" t="str">
        <f>IF('NEW ACCOUNT'!A5="","",'NEW ACCOUNT'!F5)</f>
        <v>developer</v>
      </c>
      <c r="G4" s="38">
        <f>IF('NEW ACCOUNT'!A5="","",'NEW ACCOUNT'!G5)</f>
        <v>1</v>
      </c>
      <c r="H4" s="38">
        <f>IF('NEW ACCOUNT'!A5="","",'NEW ACCOUNT'!H5)</f>
        <v>400</v>
      </c>
      <c r="I4" s="38" t="str">
        <f ca="1">IF('NEW ACCOUNT'!A5="","",'NEW ACCOUNT'!I5)</f>
        <v>25/04/2026</v>
      </c>
      <c r="J4" s="38" t="str">
        <f>IF('NEW ACCOUNT'!A5="","",'NEW ACCOUNT'!J5)</f>
        <v>✅ Active</v>
      </c>
      <c r="K4" s="39">
        <f>IFERROR(IF(A4="","",SUMIF(DB_Savings!$A:$A,A4,DB_Savings!$F:$F)),"")</f>
        <v>0</v>
      </c>
      <c r="L4" s="39">
        <f>IFERROR(IF(A4="","",SUMIF(DB_Withdrawals!$A:$A,A4,DB_Withdrawals!$G:$G)),"")</f>
        <v>0</v>
      </c>
      <c r="M4" s="39">
        <f>IFERROR(IF(A4="","",IFERROR(VALUE(H4),0)+IFERROR(SUMIF(DB_Savings!$A:$A,A4,DB_Savings!$F:$F),0)-IFERROR(SUMIF(DB_Withdrawals!$A:$A,A4,DB_Withdrawals!$G:$G),0)),"")</f>
        <v>400</v>
      </c>
      <c r="N4" s="39">
        <f>IFERROR(IF(A4="","",MAX(0,M4-System_Config!$B$9)),"")</f>
        <v>390</v>
      </c>
    </row>
    <row r="5" spans="1:14" ht="19.5" customHeight="1" x14ac:dyDescent="0.25">
      <c r="A5" s="37" t="str">
        <f>'NEW ACCOUNT'!A6</f>
        <v/>
      </c>
      <c r="B5" s="38" t="str">
        <f>IF('NEW ACCOUNT'!A6="","",'NEW ACCOUNT'!B6)</f>
        <v/>
      </c>
      <c r="C5" s="38" t="str">
        <f>IF('NEW ACCOUNT'!A6="","",'NEW ACCOUNT'!C6)</f>
        <v/>
      </c>
      <c r="D5" s="38" t="str">
        <f>IF('NEW ACCOUNT'!A6="","",'NEW ACCOUNT'!D6)</f>
        <v/>
      </c>
      <c r="E5" s="38" t="str">
        <f>IF('NEW ACCOUNT'!A6="","",'NEW ACCOUNT'!E6)</f>
        <v/>
      </c>
      <c r="F5" s="38" t="str">
        <f>IF('NEW ACCOUNT'!A6="","",'NEW ACCOUNT'!F6)</f>
        <v/>
      </c>
      <c r="G5" s="38" t="str">
        <f>IF('NEW ACCOUNT'!A6="","",'NEW ACCOUNT'!G6)</f>
        <v/>
      </c>
      <c r="H5" s="38" t="str">
        <f>IF('NEW ACCOUNT'!A6="","",'NEW ACCOUNT'!H6)</f>
        <v/>
      </c>
      <c r="I5" s="38" t="str">
        <f>IF('NEW ACCOUNT'!A6="","",'NEW ACCOUNT'!I6)</f>
        <v/>
      </c>
      <c r="J5" s="38" t="str">
        <f>IF('NEW ACCOUNT'!A6="","",'NEW ACCOUNT'!J6)</f>
        <v/>
      </c>
      <c r="K5" s="39" t="str">
        <f>IFERROR(IF(A5="","",SUMIF(DB_Savings!$A:$A,A5,DB_Savings!$F:$F)),"")</f>
        <v/>
      </c>
      <c r="L5" s="39" t="str">
        <f>IFERROR(IF(A5="","",SUMIF(DB_Withdrawals!$A:$A,A5,DB_Withdrawals!$G:$G)),"")</f>
        <v/>
      </c>
      <c r="M5" s="39" t="str">
        <f>IFERROR(IF(A5="","",IFERROR(VALUE(H5),0)+IFERROR(SUMIF(DB_Savings!$A:$A,A5,DB_Savings!$F:$F),0)-IFERROR(SUMIF(DB_Withdrawals!$A:$A,A5,DB_Withdrawals!$G:$G),0)),"")</f>
        <v/>
      </c>
      <c r="N5" s="39" t="str">
        <f>IFERROR(IF(A5="","",MAX(0,M5-System_Config!$B$9)),"")</f>
        <v/>
      </c>
    </row>
    <row r="6" spans="1:14" ht="19.5" customHeight="1" x14ac:dyDescent="0.25">
      <c r="A6" s="37" t="str">
        <f>'NEW ACCOUNT'!A7</f>
        <v/>
      </c>
      <c r="B6" s="38" t="str">
        <f>IF('NEW ACCOUNT'!A7="","",'NEW ACCOUNT'!B7)</f>
        <v/>
      </c>
      <c r="C6" s="38" t="str">
        <f>IF('NEW ACCOUNT'!A7="","",'NEW ACCOUNT'!C7)</f>
        <v/>
      </c>
      <c r="D6" s="38" t="str">
        <f>IF('NEW ACCOUNT'!A7="","",'NEW ACCOUNT'!D7)</f>
        <v/>
      </c>
      <c r="E6" s="38" t="str">
        <f>IF('NEW ACCOUNT'!A7="","",'NEW ACCOUNT'!E7)</f>
        <v/>
      </c>
      <c r="F6" s="38" t="str">
        <f>IF('NEW ACCOUNT'!A7="","",'NEW ACCOUNT'!F7)</f>
        <v/>
      </c>
      <c r="G6" s="38" t="str">
        <f>IF('NEW ACCOUNT'!A7="","",'NEW ACCOUNT'!G7)</f>
        <v/>
      </c>
      <c r="H6" s="38" t="str">
        <f>IF('NEW ACCOUNT'!A7="","",'NEW ACCOUNT'!H7)</f>
        <v/>
      </c>
      <c r="I6" s="38" t="str">
        <f>IF('NEW ACCOUNT'!A7="","",'NEW ACCOUNT'!I7)</f>
        <v/>
      </c>
      <c r="J6" s="38" t="str">
        <f>IF('NEW ACCOUNT'!A7="","",'NEW ACCOUNT'!J7)</f>
        <v/>
      </c>
      <c r="K6" s="39" t="str">
        <f>IFERROR(IF(A6="","",SUMIF(DB_Savings!$A:$A,A6,DB_Savings!$F:$F)),"")</f>
        <v/>
      </c>
      <c r="L6" s="39" t="str">
        <f>IFERROR(IF(A6="","",SUMIF(DB_Withdrawals!$A:$A,A6,DB_Withdrawals!$G:$G)),"")</f>
        <v/>
      </c>
      <c r="M6" s="39" t="str">
        <f>IFERROR(IF(A6="","",IFERROR(VALUE(H6),0)+IFERROR(SUMIF(DB_Savings!$A:$A,A6,DB_Savings!$F:$F),0)-IFERROR(SUMIF(DB_Withdrawals!$A:$A,A6,DB_Withdrawals!$G:$G),0)),"")</f>
        <v/>
      </c>
      <c r="N6" s="39" t="str">
        <f>IFERROR(IF(A6="","",MAX(0,M6-System_Config!$B$9)),"")</f>
        <v/>
      </c>
    </row>
    <row r="7" spans="1:14" ht="19.5" customHeight="1" x14ac:dyDescent="0.25">
      <c r="A7" s="37" t="str">
        <f>'NEW ACCOUNT'!A8</f>
        <v/>
      </c>
      <c r="B7" s="38" t="str">
        <f>IF('NEW ACCOUNT'!A8="","",'NEW ACCOUNT'!B8)</f>
        <v/>
      </c>
      <c r="C7" s="38" t="str">
        <f>IF('NEW ACCOUNT'!A8="","",'NEW ACCOUNT'!C8)</f>
        <v/>
      </c>
      <c r="D7" s="38" t="str">
        <f>IF('NEW ACCOUNT'!A8="","",'NEW ACCOUNT'!D8)</f>
        <v/>
      </c>
      <c r="E7" s="38" t="str">
        <f>IF('NEW ACCOUNT'!A8="","",'NEW ACCOUNT'!E8)</f>
        <v/>
      </c>
      <c r="F7" s="38" t="str">
        <f>IF('NEW ACCOUNT'!A8="","",'NEW ACCOUNT'!F8)</f>
        <v/>
      </c>
      <c r="G7" s="38" t="str">
        <f>IF('NEW ACCOUNT'!A8="","",'NEW ACCOUNT'!G8)</f>
        <v/>
      </c>
      <c r="H7" s="38" t="str">
        <f>IF('NEW ACCOUNT'!A8="","",'NEW ACCOUNT'!H8)</f>
        <v/>
      </c>
      <c r="I7" s="38" t="str">
        <f>IF('NEW ACCOUNT'!A8="","",'NEW ACCOUNT'!I8)</f>
        <v/>
      </c>
      <c r="J7" s="38" t="str">
        <f>IF('NEW ACCOUNT'!A8="","",'NEW ACCOUNT'!J8)</f>
        <v/>
      </c>
      <c r="K7" s="39" t="str">
        <f>IFERROR(IF(A7="","",SUMIF(DB_Savings!$A:$A,A7,DB_Savings!$F:$F)),"")</f>
        <v/>
      </c>
      <c r="L7" s="39" t="str">
        <f>IFERROR(IF(A7="","",SUMIF(DB_Withdrawals!$A:$A,A7,DB_Withdrawals!$G:$G)),"")</f>
        <v/>
      </c>
      <c r="M7" s="39" t="str">
        <f>IFERROR(IF(A7="","",IFERROR(VALUE(H7),0)+IFERROR(SUMIF(DB_Savings!$A:$A,A7,DB_Savings!$F:$F),0)-IFERROR(SUMIF(DB_Withdrawals!$A:$A,A7,DB_Withdrawals!$G:$G),0)),"")</f>
        <v/>
      </c>
      <c r="N7" s="39" t="str">
        <f>IFERROR(IF(A7="","",MAX(0,M7-System_Config!$B$9)),"")</f>
        <v/>
      </c>
    </row>
    <row r="8" spans="1:14" ht="19.5" customHeight="1" x14ac:dyDescent="0.25">
      <c r="A8" s="37" t="str">
        <f>'NEW ACCOUNT'!A9</f>
        <v/>
      </c>
      <c r="B8" s="38" t="str">
        <f>IF('NEW ACCOUNT'!A9="","",'NEW ACCOUNT'!B9)</f>
        <v/>
      </c>
      <c r="C8" s="38" t="str">
        <f>IF('NEW ACCOUNT'!A9="","",'NEW ACCOUNT'!C9)</f>
        <v/>
      </c>
      <c r="D8" s="38" t="str">
        <f>IF('NEW ACCOUNT'!A9="","",'NEW ACCOUNT'!D9)</f>
        <v/>
      </c>
      <c r="E8" s="38" t="str">
        <f>IF('NEW ACCOUNT'!A9="","",'NEW ACCOUNT'!E9)</f>
        <v/>
      </c>
      <c r="F8" s="38" t="str">
        <f>IF('NEW ACCOUNT'!A9="","",'NEW ACCOUNT'!F9)</f>
        <v/>
      </c>
      <c r="G8" s="38" t="str">
        <f>IF('NEW ACCOUNT'!A9="","",'NEW ACCOUNT'!G9)</f>
        <v/>
      </c>
      <c r="H8" s="38" t="str">
        <f>IF('NEW ACCOUNT'!A9="","",'NEW ACCOUNT'!H9)</f>
        <v/>
      </c>
      <c r="I8" s="38" t="str">
        <f>IF('NEW ACCOUNT'!A9="","",'NEW ACCOUNT'!I9)</f>
        <v/>
      </c>
      <c r="J8" s="38" t="str">
        <f>IF('NEW ACCOUNT'!A9="","",'NEW ACCOUNT'!J9)</f>
        <v/>
      </c>
      <c r="K8" s="39" t="str">
        <f>IFERROR(IF(A8="","",SUMIF(DB_Savings!$A:$A,A8,DB_Savings!$F:$F)),"")</f>
        <v/>
      </c>
      <c r="L8" s="39" t="str">
        <f>IFERROR(IF(A8="","",SUMIF(DB_Withdrawals!$A:$A,A8,DB_Withdrawals!$G:$G)),"")</f>
        <v/>
      </c>
      <c r="M8" s="39" t="str">
        <f>IFERROR(IF(A8="","",IFERROR(VALUE(H8),0)+IFERROR(SUMIF(DB_Savings!$A:$A,A8,DB_Savings!$F:$F),0)-IFERROR(SUMIF(DB_Withdrawals!$A:$A,A8,DB_Withdrawals!$G:$G),0)),"")</f>
        <v/>
      </c>
      <c r="N8" s="39" t="str">
        <f>IFERROR(IF(A8="","",MAX(0,M8-System_Config!$B$9)),"")</f>
        <v/>
      </c>
    </row>
    <row r="9" spans="1:14" ht="19.5" customHeight="1" x14ac:dyDescent="0.25">
      <c r="A9" s="37" t="str">
        <f>'NEW ACCOUNT'!A10</f>
        <v/>
      </c>
      <c r="B9" s="38" t="str">
        <f>IF('NEW ACCOUNT'!A10="","",'NEW ACCOUNT'!B10)</f>
        <v/>
      </c>
      <c r="C9" s="38" t="str">
        <f>IF('NEW ACCOUNT'!A10="","",'NEW ACCOUNT'!C10)</f>
        <v/>
      </c>
      <c r="D9" s="38" t="str">
        <f>IF('NEW ACCOUNT'!A10="","",'NEW ACCOUNT'!D10)</f>
        <v/>
      </c>
      <c r="E9" s="38" t="str">
        <f>IF('NEW ACCOUNT'!A10="","",'NEW ACCOUNT'!E10)</f>
        <v/>
      </c>
      <c r="F9" s="38" t="str">
        <f>IF('NEW ACCOUNT'!A10="","",'NEW ACCOUNT'!F10)</f>
        <v/>
      </c>
      <c r="G9" s="38" t="str">
        <f>IF('NEW ACCOUNT'!A10="","",'NEW ACCOUNT'!G10)</f>
        <v/>
      </c>
      <c r="H9" s="38" t="str">
        <f>IF('NEW ACCOUNT'!A10="","",'NEW ACCOUNT'!H10)</f>
        <v/>
      </c>
      <c r="I9" s="38" t="str">
        <f>IF('NEW ACCOUNT'!A10="","",'NEW ACCOUNT'!I10)</f>
        <v/>
      </c>
      <c r="J9" s="38" t="str">
        <f>IF('NEW ACCOUNT'!A10="","",'NEW ACCOUNT'!J10)</f>
        <v/>
      </c>
      <c r="K9" s="39" t="str">
        <f>IFERROR(IF(A9="","",SUMIF(DB_Savings!$A:$A,A9,DB_Savings!$F:$F)),"")</f>
        <v/>
      </c>
      <c r="L9" s="39" t="str">
        <f>IFERROR(IF(A9="","",SUMIF(DB_Withdrawals!$A:$A,A9,DB_Withdrawals!$G:$G)),"")</f>
        <v/>
      </c>
      <c r="M9" s="39" t="str">
        <f>IFERROR(IF(A9="","",IFERROR(VALUE(H9),0)+IFERROR(SUMIF(DB_Savings!$A:$A,A9,DB_Savings!$F:$F),0)-IFERROR(SUMIF(DB_Withdrawals!$A:$A,A9,DB_Withdrawals!$G:$G),0)),"")</f>
        <v/>
      </c>
      <c r="N9" s="39" t="str">
        <f>IFERROR(IF(A9="","",MAX(0,M9-System_Config!$B$9)),"")</f>
        <v/>
      </c>
    </row>
    <row r="10" spans="1:14" ht="19.5" customHeight="1" x14ac:dyDescent="0.25">
      <c r="A10" s="37" t="str">
        <f>'NEW ACCOUNT'!A11</f>
        <v/>
      </c>
      <c r="B10" s="38" t="str">
        <f>IF('NEW ACCOUNT'!A11="","",'NEW ACCOUNT'!B11)</f>
        <v/>
      </c>
      <c r="C10" s="38" t="str">
        <f>IF('NEW ACCOUNT'!A11="","",'NEW ACCOUNT'!C11)</f>
        <v/>
      </c>
      <c r="D10" s="38" t="str">
        <f>IF('NEW ACCOUNT'!A11="","",'NEW ACCOUNT'!D11)</f>
        <v/>
      </c>
      <c r="E10" s="38" t="str">
        <f>IF('NEW ACCOUNT'!A11="","",'NEW ACCOUNT'!E11)</f>
        <v/>
      </c>
      <c r="F10" s="38" t="str">
        <f>IF('NEW ACCOUNT'!A11="","",'NEW ACCOUNT'!F11)</f>
        <v/>
      </c>
      <c r="G10" s="38" t="str">
        <f>IF('NEW ACCOUNT'!A11="","",'NEW ACCOUNT'!G11)</f>
        <v/>
      </c>
      <c r="H10" s="38" t="str">
        <f>IF('NEW ACCOUNT'!A11="","",'NEW ACCOUNT'!H11)</f>
        <v/>
      </c>
      <c r="I10" s="38" t="str">
        <f>IF('NEW ACCOUNT'!A11="","",'NEW ACCOUNT'!I11)</f>
        <v/>
      </c>
      <c r="J10" s="38" t="str">
        <f>IF('NEW ACCOUNT'!A11="","",'NEW ACCOUNT'!J11)</f>
        <v/>
      </c>
      <c r="K10" s="39" t="str">
        <f>IFERROR(IF(A10="","",SUMIF(DB_Savings!$A:$A,A10,DB_Savings!$F:$F)),"")</f>
        <v/>
      </c>
      <c r="L10" s="39" t="str">
        <f>IFERROR(IF(A10="","",SUMIF(DB_Withdrawals!$A:$A,A10,DB_Withdrawals!$G:$G)),"")</f>
        <v/>
      </c>
      <c r="M10" s="39" t="str">
        <f>IFERROR(IF(A10="","",IFERROR(VALUE(H10),0)+IFERROR(SUMIF(DB_Savings!$A:$A,A10,DB_Savings!$F:$F),0)-IFERROR(SUMIF(DB_Withdrawals!$A:$A,A10,DB_Withdrawals!$G:$G),0)),"")</f>
        <v/>
      </c>
      <c r="N10" s="39" t="str">
        <f>IFERROR(IF(A10="","",MAX(0,M10-System_Config!$B$9)),"")</f>
        <v/>
      </c>
    </row>
    <row r="11" spans="1:14" ht="19.5" customHeight="1" x14ac:dyDescent="0.25">
      <c r="A11" s="37" t="str">
        <f>'NEW ACCOUNT'!A12</f>
        <v/>
      </c>
      <c r="B11" s="38" t="str">
        <f>IF('NEW ACCOUNT'!A12="","",'NEW ACCOUNT'!B12)</f>
        <v/>
      </c>
      <c r="C11" s="38" t="str">
        <f>IF('NEW ACCOUNT'!A12="","",'NEW ACCOUNT'!C12)</f>
        <v/>
      </c>
      <c r="D11" s="38" t="str">
        <f>IF('NEW ACCOUNT'!A12="","",'NEW ACCOUNT'!D12)</f>
        <v/>
      </c>
      <c r="E11" s="38" t="str">
        <f>IF('NEW ACCOUNT'!A12="","",'NEW ACCOUNT'!E12)</f>
        <v/>
      </c>
      <c r="F11" s="38" t="str">
        <f>IF('NEW ACCOUNT'!A12="","",'NEW ACCOUNT'!F12)</f>
        <v/>
      </c>
      <c r="G11" s="38" t="str">
        <f>IF('NEW ACCOUNT'!A12="","",'NEW ACCOUNT'!G12)</f>
        <v/>
      </c>
      <c r="H11" s="38" t="str">
        <f>IF('NEW ACCOUNT'!A12="","",'NEW ACCOUNT'!H12)</f>
        <v/>
      </c>
      <c r="I11" s="38" t="str">
        <f>IF('NEW ACCOUNT'!A12="","",'NEW ACCOUNT'!I12)</f>
        <v/>
      </c>
      <c r="J11" s="38" t="str">
        <f>IF('NEW ACCOUNT'!A12="","",'NEW ACCOUNT'!J12)</f>
        <v/>
      </c>
      <c r="K11" s="39" t="str">
        <f>IFERROR(IF(A11="","",SUMIF(DB_Savings!$A:$A,A11,DB_Savings!$F:$F)),"")</f>
        <v/>
      </c>
      <c r="L11" s="39" t="str">
        <f>IFERROR(IF(A11="","",SUMIF(DB_Withdrawals!$A:$A,A11,DB_Withdrawals!$G:$G)),"")</f>
        <v/>
      </c>
      <c r="M11" s="39" t="str">
        <f>IFERROR(IF(A11="","",IFERROR(VALUE(H11),0)+IFERROR(SUMIF(DB_Savings!$A:$A,A11,DB_Savings!$F:$F),0)-IFERROR(SUMIF(DB_Withdrawals!$A:$A,A11,DB_Withdrawals!$G:$G),0)),"")</f>
        <v/>
      </c>
      <c r="N11" s="39" t="str">
        <f>IFERROR(IF(A11="","",MAX(0,M11-System_Config!$B$9)),"")</f>
        <v/>
      </c>
    </row>
    <row r="12" spans="1:14" ht="19.5" customHeight="1" x14ac:dyDescent="0.25">
      <c r="A12" s="37" t="str">
        <f>'NEW ACCOUNT'!A13</f>
        <v/>
      </c>
      <c r="B12" s="38" t="str">
        <f>IF('NEW ACCOUNT'!A13="","",'NEW ACCOUNT'!B13)</f>
        <v/>
      </c>
      <c r="C12" s="38" t="str">
        <f>IF('NEW ACCOUNT'!A13="","",'NEW ACCOUNT'!C13)</f>
        <v/>
      </c>
      <c r="D12" s="38" t="str">
        <f>IF('NEW ACCOUNT'!A13="","",'NEW ACCOUNT'!D13)</f>
        <v/>
      </c>
      <c r="E12" s="38" t="str">
        <f>IF('NEW ACCOUNT'!A13="","",'NEW ACCOUNT'!E13)</f>
        <v/>
      </c>
      <c r="F12" s="38" t="str">
        <f>IF('NEW ACCOUNT'!A13="","",'NEW ACCOUNT'!F13)</f>
        <v/>
      </c>
      <c r="G12" s="38" t="str">
        <f>IF('NEW ACCOUNT'!A13="","",'NEW ACCOUNT'!G13)</f>
        <v/>
      </c>
      <c r="H12" s="38" t="str">
        <f>IF('NEW ACCOUNT'!A13="","",'NEW ACCOUNT'!H13)</f>
        <v/>
      </c>
      <c r="I12" s="38" t="str">
        <f>IF('NEW ACCOUNT'!A13="","",'NEW ACCOUNT'!I13)</f>
        <v/>
      </c>
      <c r="J12" s="38" t="str">
        <f>IF('NEW ACCOUNT'!A13="","",'NEW ACCOUNT'!J13)</f>
        <v/>
      </c>
      <c r="K12" s="39" t="str">
        <f>IFERROR(IF(A12="","",SUMIF(DB_Savings!$A:$A,A12,DB_Savings!$F:$F)),"")</f>
        <v/>
      </c>
      <c r="L12" s="39" t="str">
        <f>IFERROR(IF(A12="","",SUMIF(DB_Withdrawals!$A:$A,A12,DB_Withdrawals!$G:$G)),"")</f>
        <v/>
      </c>
      <c r="M12" s="39" t="str">
        <f>IFERROR(IF(A12="","",IFERROR(VALUE(H12),0)+IFERROR(SUMIF(DB_Savings!$A:$A,A12,DB_Savings!$F:$F),0)-IFERROR(SUMIF(DB_Withdrawals!$A:$A,A12,DB_Withdrawals!$G:$G),0)),"")</f>
        <v/>
      </c>
      <c r="N12" s="39" t="str">
        <f>IFERROR(IF(A12="","",MAX(0,M12-System_Config!$B$9)),"")</f>
        <v/>
      </c>
    </row>
    <row r="13" spans="1:14" ht="19.5" customHeight="1" x14ac:dyDescent="0.25">
      <c r="A13" s="37" t="str">
        <f>'NEW ACCOUNT'!A14</f>
        <v/>
      </c>
      <c r="B13" s="38" t="str">
        <f>IF('NEW ACCOUNT'!A14="","",'NEW ACCOUNT'!B14)</f>
        <v/>
      </c>
      <c r="C13" s="38" t="str">
        <f>IF('NEW ACCOUNT'!A14="","",'NEW ACCOUNT'!C14)</f>
        <v/>
      </c>
      <c r="D13" s="38" t="str">
        <f>IF('NEW ACCOUNT'!A14="","",'NEW ACCOUNT'!D14)</f>
        <v/>
      </c>
      <c r="E13" s="38" t="str">
        <f>IF('NEW ACCOUNT'!A14="","",'NEW ACCOUNT'!E14)</f>
        <v/>
      </c>
      <c r="F13" s="38" t="str">
        <f>IF('NEW ACCOUNT'!A14="","",'NEW ACCOUNT'!F14)</f>
        <v/>
      </c>
      <c r="G13" s="38" t="str">
        <f>IF('NEW ACCOUNT'!A14="","",'NEW ACCOUNT'!G14)</f>
        <v/>
      </c>
      <c r="H13" s="38" t="str">
        <f>IF('NEW ACCOUNT'!A14="","",'NEW ACCOUNT'!H14)</f>
        <v/>
      </c>
      <c r="I13" s="38" t="str">
        <f>IF('NEW ACCOUNT'!A14="","",'NEW ACCOUNT'!I14)</f>
        <v/>
      </c>
      <c r="J13" s="38" t="str">
        <f>IF('NEW ACCOUNT'!A14="","",'NEW ACCOUNT'!J14)</f>
        <v/>
      </c>
      <c r="K13" s="39" t="str">
        <f>IFERROR(IF(A13="","",SUMIF(DB_Savings!$A:$A,A13,DB_Savings!$F:$F)),"")</f>
        <v/>
      </c>
      <c r="L13" s="39" t="str">
        <f>IFERROR(IF(A13="","",SUMIF(DB_Withdrawals!$A:$A,A13,DB_Withdrawals!$G:$G)),"")</f>
        <v/>
      </c>
      <c r="M13" s="39" t="str">
        <f>IFERROR(IF(A13="","",IFERROR(VALUE(H13),0)+IFERROR(SUMIF(DB_Savings!$A:$A,A13,DB_Savings!$F:$F),0)-IFERROR(SUMIF(DB_Withdrawals!$A:$A,A13,DB_Withdrawals!$G:$G),0)),"")</f>
        <v/>
      </c>
      <c r="N13" s="39" t="str">
        <f>IFERROR(IF(A13="","",MAX(0,M13-System_Config!$B$9)),"")</f>
        <v/>
      </c>
    </row>
    <row r="14" spans="1:14" ht="19.5" customHeight="1" x14ac:dyDescent="0.25">
      <c r="A14" s="37" t="str">
        <f>'NEW ACCOUNT'!A15</f>
        <v/>
      </c>
      <c r="B14" s="38" t="str">
        <f>IF('NEW ACCOUNT'!A15="","",'NEW ACCOUNT'!B15)</f>
        <v/>
      </c>
      <c r="C14" s="38" t="str">
        <f>IF('NEW ACCOUNT'!A15="","",'NEW ACCOUNT'!C15)</f>
        <v/>
      </c>
      <c r="D14" s="38" t="str">
        <f>IF('NEW ACCOUNT'!A15="","",'NEW ACCOUNT'!D15)</f>
        <v/>
      </c>
      <c r="E14" s="38" t="str">
        <f>IF('NEW ACCOUNT'!A15="","",'NEW ACCOUNT'!E15)</f>
        <v/>
      </c>
      <c r="F14" s="38" t="str">
        <f>IF('NEW ACCOUNT'!A15="","",'NEW ACCOUNT'!F15)</f>
        <v/>
      </c>
      <c r="G14" s="38" t="str">
        <f>IF('NEW ACCOUNT'!A15="","",'NEW ACCOUNT'!G15)</f>
        <v/>
      </c>
      <c r="H14" s="38" t="str">
        <f>IF('NEW ACCOUNT'!A15="","",'NEW ACCOUNT'!H15)</f>
        <v/>
      </c>
      <c r="I14" s="38" t="str">
        <f>IF('NEW ACCOUNT'!A15="","",'NEW ACCOUNT'!I15)</f>
        <v/>
      </c>
      <c r="J14" s="38" t="str">
        <f>IF('NEW ACCOUNT'!A15="","",'NEW ACCOUNT'!J15)</f>
        <v/>
      </c>
      <c r="K14" s="39" t="str">
        <f>IFERROR(IF(A14="","",SUMIF(DB_Savings!$A:$A,A14,DB_Savings!$F:$F)),"")</f>
        <v/>
      </c>
      <c r="L14" s="39" t="str">
        <f>IFERROR(IF(A14="","",SUMIF(DB_Withdrawals!$A:$A,A14,DB_Withdrawals!$G:$G)),"")</f>
        <v/>
      </c>
      <c r="M14" s="39" t="str">
        <f>IFERROR(IF(A14="","",IFERROR(VALUE(H14),0)+IFERROR(SUMIF(DB_Savings!$A:$A,A14,DB_Savings!$F:$F),0)-IFERROR(SUMIF(DB_Withdrawals!$A:$A,A14,DB_Withdrawals!$G:$G),0)),"")</f>
        <v/>
      </c>
      <c r="N14" s="39" t="str">
        <f>IFERROR(IF(A14="","",MAX(0,M14-System_Config!$B$9)),"")</f>
        <v/>
      </c>
    </row>
    <row r="15" spans="1:14" ht="19.5" customHeight="1" x14ac:dyDescent="0.25">
      <c r="A15" s="37" t="str">
        <f>'NEW ACCOUNT'!A16</f>
        <v/>
      </c>
      <c r="B15" s="38" t="str">
        <f>IF('NEW ACCOUNT'!A16="","",'NEW ACCOUNT'!B16)</f>
        <v/>
      </c>
      <c r="C15" s="38" t="str">
        <f>IF('NEW ACCOUNT'!A16="","",'NEW ACCOUNT'!C16)</f>
        <v/>
      </c>
      <c r="D15" s="38" t="str">
        <f>IF('NEW ACCOUNT'!A16="","",'NEW ACCOUNT'!D16)</f>
        <v/>
      </c>
      <c r="E15" s="38" t="str">
        <f>IF('NEW ACCOUNT'!A16="","",'NEW ACCOUNT'!E16)</f>
        <v/>
      </c>
      <c r="F15" s="38" t="str">
        <f>IF('NEW ACCOUNT'!A16="","",'NEW ACCOUNT'!F16)</f>
        <v/>
      </c>
      <c r="G15" s="38" t="str">
        <f>IF('NEW ACCOUNT'!A16="","",'NEW ACCOUNT'!G16)</f>
        <v/>
      </c>
      <c r="H15" s="38" t="str">
        <f>IF('NEW ACCOUNT'!A16="","",'NEW ACCOUNT'!H16)</f>
        <v/>
      </c>
      <c r="I15" s="38" t="str">
        <f>IF('NEW ACCOUNT'!A16="","",'NEW ACCOUNT'!I16)</f>
        <v/>
      </c>
      <c r="J15" s="38" t="str">
        <f>IF('NEW ACCOUNT'!A16="","",'NEW ACCOUNT'!J16)</f>
        <v/>
      </c>
      <c r="K15" s="39" t="str">
        <f>IFERROR(IF(A15="","",SUMIF(DB_Savings!$A:$A,A15,DB_Savings!$F:$F)),"")</f>
        <v/>
      </c>
      <c r="L15" s="39" t="str">
        <f>IFERROR(IF(A15="","",SUMIF(DB_Withdrawals!$A:$A,A15,DB_Withdrawals!$G:$G)),"")</f>
        <v/>
      </c>
      <c r="M15" s="39" t="str">
        <f>IFERROR(IF(A15="","",IFERROR(VALUE(H15),0)+IFERROR(SUMIF(DB_Savings!$A:$A,A15,DB_Savings!$F:$F),0)-IFERROR(SUMIF(DB_Withdrawals!$A:$A,A15,DB_Withdrawals!$G:$G),0)),"")</f>
        <v/>
      </c>
      <c r="N15" s="39" t="str">
        <f>IFERROR(IF(A15="","",MAX(0,M15-System_Config!$B$9)),"")</f>
        <v/>
      </c>
    </row>
    <row r="16" spans="1:14" ht="19.5" customHeight="1" x14ac:dyDescent="0.25">
      <c r="A16" s="37" t="str">
        <f>'NEW ACCOUNT'!A17</f>
        <v/>
      </c>
      <c r="B16" s="38" t="str">
        <f>IF('NEW ACCOUNT'!A17="","",'NEW ACCOUNT'!B17)</f>
        <v/>
      </c>
      <c r="C16" s="38" t="str">
        <f>IF('NEW ACCOUNT'!A17="","",'NEW ACCOUNT'!C17)</f>
        <v/>
      </c>
      <c r="D16" s="38" t="str">
        <f>IF('NEW ACCOUNT'!A17="","",'NEW ACCOUNT'!D17)</f>
        <v/>
      </c>
      <c r="E16" s="38" t="str">
        <f>IF('NEW ACCOUNT'!A17="","",'NEW ACCOUNT'!E17)</f>
        <v/>
      </c>
      <c r="F16" s="38" t="str">
        <f>IF('NEW ACCOUNT'!A17="","",'NEW ACCOUNT'!F17)</f>
        <v/>
      </c>
      <c r="G16" s="38" t="str">
        <f>IF('NEW ACCOUNT'!A17="","",'NEW ACCOUNT'!G17)</f>
        <v/>
      </c>
      <c r="H16" s="38" t="str">
        <f>IF('NEW ACCOUNT'!A17="","",'NEW ACCOUNT'!H17)</f>
        <v/>
      </c>
      <c r="I16" s="38" t="str">
        <f>IF('NEW ACCOUNT'!A17="","",'NEW ACCOUNT'!I17)</f>
        <v/>
      </c>
      <c r="J16" s="38" t="str">
        <f>IF('NEW ACCOUNT'!A17="","",'NEW ACCOUNT'!J17)</f>
        <v/>
      </c>
      <c r="K16" s="39" t="str">
        <f>IFERROR(IF(A16="","",SUMIF(DB_Savings!$A:$A,A16,DB_Savings!$F:$F)),"")</f>
        <v/>
      </c>
      <c r="L16" s="39" t="str">
        <f>IFERROR(IF(A16="","",SUMIF(DB_Withdrawals!$A:$A,A16,DB_Withdrawals!$G:$G)),"")</f>
        <v/>
      </c>
      <c r="M16" s="39" t="str">
        <f>IFERROR(IF(A16="","",IFERROR(VALUE(H16),0)+IFERROR(SUMIF(DB_Savings!$A:$A,A16,DB_Savings!$F:$F),0)-IFERROR(SUMIF(DB_Withdrawals!$A:$A,A16,DB_Withdrawals!$G:$G),0)),"")</f>
        <v/>
      </c>
      <c r="N16" s="39" t="str">
        <f>IFERROR(IF(A16="","",MAX(0,M16-System_Config!$B$9)),"")</f>
        <v/>
      </c>
    </row>
    <row r="17" spans="1:14" ht="19.5" customHeight="1" x14ac:dyDescent="0.25">
      <c r="A17" s="37" t="str">
        <f>'NEW ACCOUNT'!A18</f>
        <v/>
      </c>
      <c r="B17" s="38" t="str">
        <f>IF('NEW ACCOUNT'!A18="","",'NEW ACCOUNT'!B18)</f>
        <v/>
      </c>
      <c r="C17" s="38" t="str">
        <f>IF('NEW ACCOUNT'!A18="","",'NEW ACCOUNT'!C18)</f>
        <v/>
      </c>
      <c r="D17" s="38" t="str">
        <f>IF('NEW ACCOUNT'!A18="","",'NEW ACCOUNT'!D18)</f>
        <v/>
      </c>
      <c r="E17" s="38" t="str">
        <f>IF('NEW ACCOUNT'!A18="","",'NEW ACCOUNT'!E18)</f>
        <v/>
      </c>
      <c r="F17" s="38" t="str">
        <f>IF('NEW ACCOUNT'!A18="","",'NEW ACCOUNT'!F18)</f>
        <v/>
      </c>
      <c r="G17" s="38" t="str">
        <f>IF('NEW ACCOUNT'!A18="","",'NEW ACCOUNT'!G18)</f>
        <v/>
      </c>
      <c r="H17" s="38" t="str">
        <f>IF('NEW ACCOUNT'!A18="","",'NEW ACCOUNT'!H18)</f>
        <v/>
      </c>
      <c r="I17" s="38" t="str">
        <f>IF('NEW ACCOUNT'!A18="","",'NEW ACCOUNT'!I18)</f>
        <v/>
      </c>
      <c r="J17" s="38" t="str">
        <f>IF('NEW ACCOUNT'!A18="","",'NEW ACCOUNT'!J18)</f>
        <v/>
      </c>
      <c r="K17" s="39" t="str">
        <f>IFERROR(IF(A17="","",SUMIF(DB_Savings!$A:$A,A17,DB_Savings!$F:$F)),"")</f>
        <v/>
      </c>
      <c r="L17" s="39" t="str">
        <f>IFERROR(IF(A17="","",SUMIF(DB_Withdrawals!$A:$A,A17,DB_Withdrawals!$G:$G)),"")</f>
        <v/>
      </c>
      <c r="M17" s="39" t="str">
        <f>IFERROR(IF(A17="","",IFERROR(VALUE(H17),0)+IFERROR(SUMIF(DB_Savings!$A:$A,A17,DB_Savings!$F:$F),0)-IFERROR(SUMIF(DB_Withdrawals!$A:$A,A17,DB_Withdrawals!$G:$G),0)),"")</f>
        <v/>
      </c>
      <c r="N17" s="39" t="str">
        <f>IFERROR(IF(A17="","",MAX(0,M17-System_Config!$B$9)),"")</f>
        <v/>
      </c>
    </row>
    <row r="18" spans="1:14" ht="19.5" customHeight="1" x14ac:dyDescent="0.25">
      <c r="A18" s="37" t="str">
        <f>'NEW ACCOUNT'!A19</f>
        <v/>
      </c>
      <c r="B18" s="38" t="str">
        <f>IF('NEW ACCOUNT'!A19="","",'NEW ACCOUNT'!B19)</f>
        <v/>
      </c>
      <c r="C18" s="38" t="str">
        <f>IF('NEW ACCOUNT'!A19="","",'NEW ACCOUNT'!C19)</f>
        <v/>
      </c>
      <c r="D18" s="38" t="str">
        <f>IF('NEW ACCOUNT'!A19="","",'NEW ACCOUNT'!D19)</f>
        <v/>
      </c>
      <c r="E18" s="38" t="str">
        <f>IF('NEW ACCOUNT'!A19="","",'NEW ACCOUNT'!E19)</f>
        <v/>
      </c>
      <c r="F18" s="38" t="str">
        <f>IF('NEW ACCOUNT'!A19="","",'NEW ACCOUNT'!F19)</f>
        <v/>
      </c>
      <c r="G18" s="38" t="str">
        <f>IF('NEW ACCOUNT'!A19="","",'NEW ACCOUNT'!G19)</f>
        <v/>
      </c>
      <c r="H18" s="38" t="str">
        <f>IF('NEW ACCOUNT'!A19="","",'NEW ACCOUNT'!H19)</f>
        <v/>
      </c>
      <c r="I18" s="38" t="str">
        <f>IF('NEW ACCOUNT'!A19="","",'NEW ACCOUNT'!I19)</f>
        <v/>
      </c>
      <c r="J18" s="38" t="str">
        <f>IF('NEW ACCOUNT'!A19="","",'NEW ACCOUNT'!J19)</f>
        <v/>
      </c>
      <c r="K18" s="39" t="str">
        <f>IFERROR(IF(A18="","",SUMIF(DB_Savings!$A:$A,A18,DB_Savings!$F:$F)),"")</f>
        <v/>
      </c>
      <c r="L18" s="39" t="str">
        <f>IFERROR(IF(A18="","",SUMIF(DB_Withdrawals!$A:$A,A18,DB_Withdrawals!$G:$G)),"")</f>
        <v/>
      </c>
      <c r="M18" s="39" t="str">
        <f>IFERROR(IF(A18="","",IFERROR(VALUE(H18),0)+IFERROR(SUMIF(DB_Savings!$A:$A,A18,DB_Savings!$F:$F),0)-IFERROR(SUMIF(DB_Withdrawals!$A:$A,A18,DB_Withdrawals!$G:$G),0)),"")</f>
        <v/>
      </c>
      <c r="N18" s="39" t="str">
        <f>IFERROR(IF(A18="","",MAX(0,M18-System_Config!$B$9)),"")</f>
        <v/>
      </c>
    </row>
    <row r="19" spans="1:14" ht="19.5" customHeight="1" x14ac:dyDescent="0.25">
      <c r="A19" s="37" t="str">
        <f>'NEW ACCOUNT'!A20</f>
        <v/>
      </c>
      <c r="B19" s="38" t="str">
        <f>IF('NEW ACCOUNT'!A20="","",'NEW ACCOUNT'!B20)</f>
        <v/>
      </c>
      <c r="C19" s="38" t="str">
        <f>IF('NEW ACCOUNT'!A20="","",'NEW ACCOUNT'!C20)</f>
        <v/>
      </c>
      <c r="D19" s="38" t="str">
        <f>IF('NEW ACCOUNT'!A20="","",'NEW ACCOUNT'!D20)</f>
        <v/>
      </c>
      <c r="E19" s="38" t="str">
        <f>IF('NEW ACCOUNT'!A20="","",'NEW ACCOUNT'!E20)</f>
        <v/>
      </c>
      <c r="F19" s="38" t="str">
        <f>IF('NEW ACCOUNT'!A20="","",'NEW ACCOUNT'!F20)</f>
        <v/>
      </c>
      <c r="G19" s="38" t="str">
        <f>IF('NEW ACCOUNT'!A20="","",'NEW ACCOUNT'!G20)</f>
        <v/>
      </c>
      <c r="H19" s="38" t="str">
        <f>IF('NEW ACCOUNT'!A20="","",'NEW ACCOUNT'!H20)</f>
        <v/>
      </c>
      <c r="I19" s="38" t="str">
        <f>IF('NEW ACCOUNT'!A20="","",'NEW ACCOUNT'!I20)</f>
        <v/>
      </c>
      <c r="J19" s="38" t="str">
        <f>IF('NEW ACCOUNT'!A20="","",'NEW ACCOUNT'!J20)</f>
        <v/>
      </c>
      <c r="K19" s="39" t="str">
        <f>IFERROR(IF(A19="","",SUMIF(DB_Savings!$A:$A,A19,DB_Savings!$F:$F)),"")</f>
        <v/>
      </c>
      <c r="L19" s="39" t="str">
        <f>IFERROR(IF(A19="","",SUMIF(DB_Withdrawals!$A:$A,A19,DB_Withdrawals!$G:$G)),"")</f>
        <v/>
      </c>
      <c r="M19" s="39" t="str">
        <f>IFERROR(IF(A19="","",IFERROR(VALUE(H19),0)+IFERROR(SUMIF(DB_Savings!$A:$A,A19,DB_Savings!$F:$F),0)-IFERROR(SUMIF(DB_Withdrawals!$A:$A,A19,DB_Withdrawals!$G:$G),0)),"")</f>
        <v/>
      </c>
      <c r="N19" s="39" t="str">
        <f>IFERROR(IF(A19="","",MAX(0,M19-System_Config!$B$9)),"")</f>
        <v/>
      </c>
    </row>
    <row r="20" spans="1:14" ht="19.5" customHeight="1" x14ac:dyDescent="0.25">
      <c r="A20" s="37" t="str">
        <f>'NEW ACCOUNT'!A21</f>
        <v/>
      </c>
      <c r="B20" s="38" t="str">
        <f>IF('NEW ACCOUNT'!A21="","",'NEW ACCOUNT'!B21)</f>
        <v/>
      </c>
      <c r="C20" s="38" t="str">
        <f>IF('NEW ACCOUNT'!A21="","",'NEW ACCOUNT'!C21)</f>
        <v/>
      </c>
      <c r="D20" s="38" t="str">
        <f>IF('NEW ACCOUNT'!A21="","",'NEW ACCOUNT'!D21)</f>
        <v/>
      </c>
      <c r="E20" s="38" t="str">
        <f>IF('NEW ACCOUNT'!A21="","",'NEW ACCOUNT'!E21)</f>
        <v/>
      </c>
      <c r="F20" s="38" t="str">
        <f>IF('NEW ACCOUNT'!A21="","",'NEW ACCOUNT'!F21)</f>
        <v/>
      </c>
      <c r="G20" s="38" t="str">
        <f>IF('NEW ACCOUNT'!A21="","",'NEW ACCOUNT'!G21)</f>
        <v/>
      </c>
      <c r="H20" s="38" t="str">
        <f>IF('NEW ACCOUNT'!A21="","",'NEW ACCOUNT'!H21)</f>
        <v/>
      </c>
      <c r="I20" s="38" t="str">
        <f>IF('NEW ACCOUNT'!A21="","",'NEW ACCOUNT'!I21)</f>
        <v/>
      </c>
      <c r="J20" s="38" t="str">
        <f>IF('NEW ACCOUNT'!A21="","",'NEW ACCOUNT'!J21)</f>
        <v/>
      </c>
      <c r="K20" s="39" t="str">
        <f>IFERROR(IF(A20="","",SUMIF(DB_Savings!$A:$A,A20,DB_Savings!$F:$F)),"")</f>
        <v/>
      </c>
      <c r="L20" s="39" t="str">
        <f>IFERROR(IF(A20="","",SUMIF(DB_Withdrawals!$A:$A,A20,DB_Withdrawals!$G:$G)),"")</f>
        <v/>
      </c>
      <c r="M20" s="39" t="str">
        <f>IFERROR(IF(A20="","",IFERROR(VALUE(H20),0)+IFERROR(SUMIF(DB_Savings!$A:$A,A20,DB_Savings!$F:$F),0)-IFERROR(SUMIF(DB_Withdrawals!$A:$A,A20,DB_Withdrawals!$G:$G),0)),"")</f>
        <v/>
      </c>
      <c r="N20" s="39" t="str">
        <f>IFERROR(IF(A20="","",MAX(0,M20-System_Config!$B$9)),"")</f>
        <v/>
      </c>
    </row>
    <row r="21" spans="1:14" ht="19.5" customHeight="1" x14ac:dyDescent="0.25">
      <c r="A21" s="37" t="str">
        <f>'NEW ACCOUNT'!A22</f>
        <v/>
      </c>
      <c r="B21" s="38" t="str">
        <f>IF('NEW ACCOUNT'!A22="","",'NEW ACCOUNT'!B22)</f>
        <v/>
      </c>
      <c r="C21" s="38" t="str">
        <f>IF('NEW ACCOUNT'!A22="","",'NEW ACCOUNT'!C22)</f>
        <v/>
      </c>
      <c r="D21" s="38" t="str">
        <f>IF('NEW ACCOUNT'!A22="","",'NEW ACCOUNT'!D22)</f>
        <v/>
      </c>
      <c r="E21" s="38" t="str">
        <f>IF('NEW ACCOUNT'!A22="","",'NEW ACCOUNT'!E22)</f>
        <v/>
      </c>
      <c r="F21" s="38" t="str">
        <f>IF('NEW ACCOUNT'!A22="","",'NEW ACCOUNT'!F22)</f>
        <v/>
      </c>
      <c r="G21" s="38" t="str">
        <f>IF('NEW ACCOUNT'!A22="","",'NEW ACCOUNT'!G22)</f>
        <v/>
      </c>
      <c r="H21" s="38" t="str">
        <f>IF('NEW ACCOUNT'!A22="","",'NEW ACCOUNT'!H22)</f>
        <v/>
      </c>
      <c r="I21" s="38" t="str">
        <f>IF('NEW ACCOUNT'!A22="","",'NEW ACCOUNT'!I22)</f>
        <v/>
      </c>
      <c r="J21" s="38" t="str">
        <f>IF('NEW ACCOUNT'!A22="","",'NEW ACCOUNT'!J22)</f>
        <v/>
      </c>
      <c r="K21" s="39" t="str">
        <f>IFERROR(IF(A21="","",SUMIF(DB_Savings!$A:$A,A21,DB_Savings!$F:$F)),"")</f>
        <v/>
      </c>
      <c r="L21" s="39" t="str">
        <f>IFERROR(IF(A21="","",SUMIF(DB_Withdrawals!$A:$A,A21,DB_Withdrawals!$G:$G)),"")</f>
        <v/>
      </c>
      <c r="M21" s="39" t="str">
        <f>IFERROR(IF(A21="","",IFERROR(VALUE(H21),0)+IFERROR(SUMIF(DB_Savings!$A:$A,A21,DB_Savings!$F:$F),0)-IFERROR(SUMIF(DB_Withdrawals!$A:$A,A21,DB_Withdrawals!$G:$G),0)),"")</f>
        <v/>
      </c>
      <c r="N21" s="39" t="str">
        <f>IFERROR(IF(A21="","",MAX(0,M21-System_Config!$B$9)),"")</f>
        <v/>
      </c>
    </row>
    <row r="22" spans="1:14" ht="19.5" customHeight="1" x14ac:dyDescent="0.25">
      <c r="A22" s="37" t="str">
        <f>'NEW ACCOUNT'!A23</f>
        <v/>
      </c>
      <c r="B22" s="38" t="str">
        <f>IF('NEW ACCOUNT'!A23="","",'NEW ACCOUNT'!B23)</f>
        <v/>
      </c>
      <c r="C22" s="38" t="str">
        <f>IF('NEW ACCOUNT'!A23="","",'NEW ACCOUNT'!C23)</f>
        <v/>
      </c>
      <c r="D22" s="38" t="str">
        <f>IF('NEW ACCOUNT'!A23="","",'NEW ACCOUNT'!D23)</f>
        <v/>
      </c>
      <c r="E22" s="38" t="str">
        <f>IF('NEW ACCOUNT'!A23="","",'NEW ACCOUNT'!E23)</f>
        <v/>
      </c>
      <c r="F22" s="38" t="str">
        <f>IF('NEW ACCOUNT'!A23="","",'NEW ACCOUNT'!F23)</f>
        <v/>
      </c>
      <c r="G22" s="38" t="str">
        <f>IF('NEW ACCOUNT'!A23="","",'NEW ACCOUNT'!G23)</f>
        <v/>
      </c>
      <c r="H22" s="38" t="str">
        <f>IF('NEW ACCOUNT'!A23="","",'NEW ACCOUNT'!H23)</f>
        <v/>
      </c>
      <c r="I22" s="38" t="str">
        <f>IF('NEW ACCOUNT'!A23="","",'NEW ACCOUNT'!I23)</f>
        <v/>
      </c>
      <c r="J22" s="38" t="str">
        <f>IF('NEW ACCOUNT'!A23="","",'NEW ACCOUNT'!J23)</f>
        <v/>
      </c>
      <c r="K22" s="39" t="str">
        <f>IFERROR(IF(A22="","",SUMIF(DB_Savings!$A:$A,A22,DB_Savings!$F:$F)),"")</f>
        <v/>
      </c>
      <c r="L22" s="39" t="str">
        <f>IFERROR(IF(A22="","",SUMIF(DB_Withdrawals!$A:$A,A22,DB_Withdrawals!$G:$G)),"")</f>
        <v/>
      </c>
      <c r="M22" s="39" t="str">
        <f>IFERROR(IF(A22="","",IFERROR(VALUE(H22),0)+IFERROR(SUMIF(DB_Savings!$A:$A,A22,DB_Savings!$F:$F),0)-IFERROR(SUMIF(DB_Withdrawals!$A:$A,A22,DB_Withdrawals!$G:$G),0)),"")</f>
        <v/>
      </c>
      <c r="N22" s="39" t="str">
        <f>IFERROR(IF(A22="","",MAX(0,M22-System_Config!$B$9)),"")</f>
        <v/>
      </c>
    </row>
    <row r="23" spans="1:14" ht="19.5" customHeight="1" x14ac:dyDescent="0.25">
      <c r="A23" s="37" t="str">
        <f>'NEW ACCOUNT'!A24</f>
        <v/>
      </c>
      <c r="B23" s="38" t="str">
        <f>IF('NEW ACCOUNT'!A24="","",'NEW ACCOUNT'!B24)</f>
        <v/>
      </c>
      <c r="C23" s="38" t="str">
        <f>IF('NEW ACCOUNT'!A24="","",'NEW ACCOUNT'!C24)</f>
        <v/>
      </c>
      <c r="D23" s="38" t="str">
        <f>IF('NEW ACCOUNT'!A24="","",'NEW ACCOUNT'!D24)</f>
        <v/>
      </c>
      <c r="E23" s="38" t="str">
        <f>IF('NEW ACCOUNT'!A24="","",'NEW ACCOUNT'!E24)</f>
        <v/>
      </c>
      <c r="F23" s="38" t="str">
        <f>IF('NEW ACCOUNT'!A24="","",'NEW ACCOUNT'!F24)</f>
        <v/>
      </c>
      <c r="G23" s="38" t="str">
        <f>IF('NEW ACCOUNT'!A24="","",'NEW ACCOUNT'!G24)</f>
        <v/>
      </c>
      <c r="H23" s="38" t="str">
        <f>IF('NEW ACCOUNT'!A24="","",'NEW ACCOUNT'!H24)</f>
        <v/>
      </c>
      <c r="I23" s="38" t="str">
        <f>IF('NEW ACCOUNT'!A24="","",'NEW ACCOUNT'!I24)</f>
        <v/>
      </c>
      <c r="J23" s="38" t="str">
        <f>IF('NEW ACCOUNT'!A24="","",'NEW ACCOUNT'!J24)</f>
        <v/>
      </c>
      <c r="K23" s="39" t="str">
        <f>IFERROR(IF(A23="","",SUMIF(DB_Savings!$A:$A,A23,DB_Savings!$F:$F)),"")</f>
        <v/>
      </c>
      <c r="L23" s="39" t="str">
        <f>IFERROR(IF(A23="","",SUMIF(DB_Withdrawals!$A:$A,A23,DB_Withdrawals!$G:$G)),"")</f>
        <v/>
      </c>
      <c r="M23" s="39" t="str">
        <f>IFERROR(IF(A23="","",IFERROR(VALUE(H23),0)+IFERROR(SUMIF(DB_Savings!$A:$A,A23,DB_Savings!$F:$F),0)-IFERROR(SUMIF(DB_Withdrawals!$A:$A,A23,DB_Withdrawals!$G:$G),0)),"")</f>
        <v/>
      </c>
      <c r="N23" s="39" t="str">
        <f>IFERROR(IF(A23="","",MAX(0,M23-System_Config!$B$9)),"")</f>
        <v/>
      </c>
    </row>
    <row r="24" spans="1:14" ht="19.5" customHeight="1" x14ac:dyDescent="0.25">
      <c r="A24" s="37" t="str">
        <f>'NEW ACCOUNT'!A25</f>
        <v/>
      </c>
      <c r="B24" s="38" t="str">
        <f>IF('NEW ACCOUNT'!A25="","",'NEW ACCOUNT'!B25)</f>
        <v/>
      </c>
      <c r="C24" s="38" t="str">
        <f>IF('NEW ACCOUNT'!A25="","",'NEW ACCOUNT'!C25)</f>
        <v/>
      </c>
      <c r="D24" s="38" t="str">
        <f>IF('NEW ACCOUNT'!A25="","",'NEW ACCOUNT'!D25)</f>
        <v/>
      </c>
      <c r="E24" s="38" t="str">
        <f>IF('NEW ACCOUNT'!A25="","",'NEW ACCOUNT'!E25)</f>
        <v/>
      </c>
      <c r="F24" s="38" t="str">
        <f>IF('NEW ACCOUNT'!A25="","",'NEW ACCOUNT'!F25)</f>
        <v/>
      </c>
      <c r="G24" s="38" t="str">
        <f>IF('NEW ACCOUNT'!A25="","",'NEW ACCOUNT'!G25)</f>
        <v/>
      </c>
      <c r="H24" s="38" t="str">
        <f>IF('NEW ACCOUNT'!A25="","",'NEW ACCOUNT'!H25)</f>
        <v/>
      </c>
      <c r="I24" s="38" t="str">
        <f>IF('NEW ACCOUNT'!A25="","",'NEW ACCOUNT'!I25)</f>
        <v/>
      </c>
      <c r="J24" s="38" t="str">
        <f>IF('NEW ACCOUNT'!A25="","",'NEW ACCOUNT'!J25)</f>
        <v/>
      </c>
      <c r="K24" s="39" t="str">
        <f>IFERROR(IF(A24="","",SUMIF(DB_Savings!$A:$A,A24,DB_Savings!$F:$F)),"")</f>
        <v/>
      </c>
      <c r="L24" s="39" t="str">
        <f>IFERROR(IF(A24="","",SUMIF(DB_Withdrawals!$A:$A,A24,DB_Withdrawals!$G:$G)),"")</f>
        <v/>
      </c>
      <c r="M24" s="39" t="str">
        <f>IFERROR(IF(A24="","",IFERROR(VALUE(H24),0)+IFERROR(SUMIF(DB_Savings!$A:$A,A24,DB_Savings!$F:$F),0)-IFERROR(SUMIF(DB_Withdrawals!$A:$A,A24,DB_Withdrawals!$G:$G),0)),"")</f>
        <v/>
      </c>
      <c r="N24" s="39" t="str">
        <f>IFERROR(IF(A24="","",MAX(0,M24-System_Config!$B$9)),"")</f>
        <v/>
      </c>
    </row>
    <row r="25" spans="1:14" ht="19.5" customHeight="1" x14ac:dyDescent="0.25">
      <c r="A25" s="37" t="str">
        <f>'NEW ACCOUNT'!A26</f>
        <v/>
      </c>
      <c r="B25" s="38" t="str">
        <f>IF('NEW ACCOUNT'!A26="","",'NEW ACCOUNT'!B26)</f>
        <v/>
      </c>
      <c r="C25" s="38" t="str">
        <f>IF('NEW ACCOUNT'!A26="","",'NEW ACCOUNT'!C26)</f>
        <v/>
      </c>
      <c r="D25" s="38" t="str">
        <f>IF('NEW ACCOUNT'!A26="","",'NEW ACCOUNT'!D26)</f>
        <v/>
      </c>
      <c r="E25" s="38" t="str">
        <f>IF('NEW ACCOUNT'!A26="","",'NEW ACCOUNT'!E26)</f>
        <v/>
      </c>
      <c r="F25" s="38" t="str">
        <f>IF('NEW ACCOUNT'!A26="","",'NEW ACCOUNT'!F26)</f>
        <v/>
      </c>
      <c r="G25" s="38" t="str">
        <f>IF('NEW ACCOUNT'!A26="","",'NEW ACCOUNT'!G26)</f>
        <v/>
      </c>
      <c r="H25" s="38" t="str">
        <f>IF('NEW ACCOUNT'!A26="","",'NEW ACCOUNT'!H26)</f>
        <v/>
      </c>
      <c r="I25" s="38" t="str">
        <f>IF('NEW ACCOUNT'!A26="","",'NEW ACCOUNT'!I26)</f>
        <v/>
      </c>
      <c r="J25" s="38" t="str">
        <f>IF('NEW ACCOUNT'!A26="","",'NEW ACCOUNT'!J26)</f>
        <v/>
      </c>
      <c r="K25" s="39" t="str">
        <f>IFERROR(IF(A25="","",SUMIF(DB_Savings!$A:$A,A25,DB_Savings!$F:$F)),"")</f>
        <v/>
      </c>
      <c r="L25" s="39" t="str">
        <f>IFERROR(IF(A25="","",SUMIF(DB_Withdrawals!$A:$A,A25,DB_Withdrawals!$G:$G)),"")</f>
        <v/>
      </c>
      <c r="M25" s="39" t="str">
        <f>IFERROR(IF(A25="","",IFERROR(VALUE(H25),0)+IFERROR(SUMIF(DB_Savings!$A:$A,A25,DB_Savings!$F:$F),0)-IFERROR(SUMIF(DB_Withdrawals!$A:$A,A25,DB_Withdrawals!$G:$G),0)),"")</f>
        <v/>
      </c>
      <c r="N25" s="39" t="str">
        <f>IFERROR(IF(A25="","",MAX(0,M25-System_Config!$B$9)),"")</f>
        <v/>
      </c>
    </row>
    <row r="26" spans="1:14" ht="19.5" customHeight="1" x14ac:dyDescent="0.25">
      <c r="A26" s="37" t="str">
        <f>'NEW ACCOUNT'!A27</f>
        <v/>
      </c>
      <c r="B26" s="38" t="str">
        <f>IF('NEW ACCOUNT'!A27="","",'NEW ACCOUNT'!B27)</f>
        <v/>
      </c>
      <c r="C26" s="38" t="str">
        <f>IF('NEW ACCOUNT'!A27="","",'NEW ACCOUNT'!C27)</f>
        <v/>
      </c>
      <c r="D26" s="38" t="str">
        <f>IF('NEW ACCOUNT'!A27="","",'NEW ACCOUNT'!D27)</f>
        <v/>
      </c>
      <c r="E26" s="38" t="str">
        <f>IF('NEW ACCOUNT'!A27="","",'NEW ACCOUNT'!E27)</f>
        <v/>
      </c>
      <c r="F26" s="38" t="str">
        <f>IF('NEW ACCOUNT'!A27="","",'NEW ACCOUNT'!F27)</f>
        <v/>
      </c>
      <c r="G26" s="38" t="str">
        <f>IF('NEW ACCOUNT'!A27="","",'NEW ACCOUNT'!G27)</f>
        <v/>
      </c>
      <c r="H26" s="38" t="str">
        <f>IF('NEW ACCOUNT'!A27="","",'NEW ACCOUNT'!H27)</f>
        <v/>
      </c>
      <c r="I26" s="38" t="str">
        <f>IF('NEW ACCOUNT'!A27="","",'NEW ACCOUNT'!I27)</f>
        <v/>
      </c>
      <c r="J26" s="38" t="str">
        <f>IF('NEW ACCOUNT'!A27="","",'NEW ACCOUNT'!J27)</f>
        <v/>
      </c>
      <c r="K26" s="39" t="str">
        <f>IFERROR(IF(A26="","",SUMIF(DB_Savings!$A:$A,A26,DB_Savings!$F:$F)),"")</f>
        <v/>
      </c>
      <c r="L26" s="39" t="str">
        <f>IFERROR(IF(A26="","",SUMIF(DB_Withdrawals!$A:$A,A26,DB_Withdrawals!$G:$G)),"")</f>
        <v/>
      </c>
      <c r="M26" s="39" t="str">
        <f>IFERROR(IF(A26="","",IFERROR(VALUE(H26),0)+IFERROR(SUMIF(DB_Savings!$A:$A,A26,DB_Savings!$F:$F),0)-IFERROR(SUMIF(DB_Withdrawals!$A:$A,A26,DB_Withdrawals!$G:$G),0)),"")</f>
        <v/>
      </c>
      <c r="N26" s="39" t="str">
        <f>IFERROR(IF(A26="","",MAX(0,M26-System_Config!$B$9)),"")</f>
        <v/>
      </c>
    </row>
    <row r="27" spans="1:14" ht="19.5" customHeight="1" x14ac:dyDescent="0.25">
      <c r="A27" s="37" t="str">
        <f>'NEW ACCOUNT'!A28</f>
        <v/>
      </c>
      <c r="B27" s="38" t="str">
        <f>IF('NEW ACCOUNT'!A28="","",'NEW ACCOUNT'!B28)</f>
        <v/>
      </c>
      <c r="C27" s="38" t="str">
        <f>IF('NEW ACCOUNT'!A28="","",'NEW ACCOUNT'!C28)</f>
        <v/>
      </c>
      <c r="D27" s="38" t="str">
        <f>IF('NEW ACCOUNT'!A28="","",'NEW ACCOUNT'!D28)</f>
        <v/>
      </c>
      <c r="E27" s="38" t="str">
        <f>IF('NEW ACCOUNT'!A28="","",'NEW ACCOUNT'!E28)</f>
        <v/>
      </c>
      <c r="F27" s="38" t="str">
        <f>IF('NEW ACCOUNT'!A28="","",'NEW ACCOUNT'!F28)</f>
        <v/>
      </c>
      <c r="G27" s="38" t="str">
        <f>IF('NEW ACCOUNT'!A28="","",'NEW ACCOUNT'!G28)</f>
        <v/>
      </c>
      <c r="H27" s="38" t="str">
        <f>IF('NEW ACCOUNT'!A28="","",'NEW ACCOUNT'!H28)</f>
        <v/>
      </c>
      <c r="I27" s="38" t="str">
        <f>IF('NEW ACCOUNT'!A28="","",'NEW ACCOUNT'!I28)</f>
        <v/>
      </c>
      <c r="J27" s="38" t="str">
        <f>IF('NEW ACCOUNT'!A28="","",'NEW ACCOUNT'!J28)</f>
        <v/>
      </c>
      <c r="K27" s="39" t="str">
        <f>IFERROR(IF(A27="","",SUMIF(DB_Savings!$A:$A,A27,DB_Savings!$F:$F)),"")</f>
        <v/>
      </c>
      <c r="L27" s="39" t="str">
        <f>IFERROR(IF(A27="","",SUMIF(DB_Withdrawals!$A:$A,A27,DB_Withdrawals!$G:$G)),"")</f>
        <v/>
      </c>
      <c r="M27" s="39" t="str">
        <f>IFERROR(IF(A27="","",IFERROR(VALUE(H27),0)+IFERROR(SUMIF(DB_Savings!$A:$A,A27,DB_Savings!$F:$F),0)-IFERROR(SUMIF(DB_Withdrawals!$A:$A,A27,DB_Withdrawals!$G:$G),0)),"")</f>
        <v/>
      </c>
      <c r="N27" s="39" t="str">
        <f>IFERROR(IF(A27="","",MAX(0,M27-System_Config!$B$9)),"")</f>
        <v/>
      </c>
    </row>
    <row r="28" spans="1:14" ht="19.5" customHeight="1" x14ac:dyDescent="0.25">
      <c r="A28" s="37" t="str">
        <f>'NEW ACCOUNT'!A29</f>
        <v/>
      </c>
      <c r="B28" s="38" t="str">
        <f>IF('NEW ACCOUNT'!A29="","",'NEW ACCOUNT'!B29)</f>
        <v/>
      </c>
      <c r="C28" s="38" t="str">
        <f>IF('NEW ACCOUNT'!A29="","",'NEW ACCOUNT'!C29)</f>
        <v/>
      </c>
      <c r="D28" s="38" t="str">
        <f>IF('NEW ACCOUNT'!A29="","",'NEW ACCOUNT'!D29)</f>
        <v/>
      </c>
      <c r="E28" s="38" t="str">
        <f>IF('NEW ACCOUNT'!A29="","",'NEW ACCOUNT'!E29)</f>
        <v/>
      </c>
      <c r="F28" s="38" t="str">
        <f>IF('NEW ACCOUNT'!A29="","",'NEW ACCOUNT'!F29)</f>
        <v/>
      </c>
      <c r="G28" s="38" t="str">
        <f>IF('NEW ACCOUNT'!A29="","",'NEW ACCOUNT'!G29)</f>
        <v/>
      </c>
      <c r="H28" s="38" t="str">
        <f>IF('NEW ACCOUNT'!A29="","",'NEW ACCOUNT'!H29)</f>
        <v/>
      </c>
      <c r="I28" s="38" t="str">
        <f>IF('NEW ACCOUNT'!A29="","",'NEW ACCOUNT'!I29)</f>
        <v/>
      </c>
      <c r="J28" s="38" t="str">
        <f>IF('NEW ACCOUNT'!A29="","",'NEW ACCOUNT'!J29)</f>
        <v/>
      </c>
      <c r="K28" s="39" t="str">
        <f>IFERROR(IF(A28="","",SUMIF(DB_Savings!$A:$A,A28,DB_Savings!$F:$F)),"")</f>
        <v/>
      </c>
      <c r="L28" s="39" t="str">
        <f>IFERROR(IF(A28="","",SUMIF(DB_Withdrawals!$A:$A,A28,DB_Withdrawals!$G:$G)),"")</f>
        <v/>
      </c>
      <c r="M28" s="39" t="str">
        <f>IFERROR(IF(A28="","",IFERROR(VALUE(H28),0)+IFERROR(SUMIF(DB_Savings!$A:$A,A28,DB_Savings!$F:$F),0)-IFERROR(SUMIF(DB_Withdrawals!$A:$A,A28,DB_Withdrawals!$G:$G),0)),"")</f>
        <v/>
      </c>
      <c r="N28" s="39" t="str">
        <f>IFERROR(IF(A28="","",MAX(0,M28-System_Config!$B$9)),"")</f>
        <v/>
      </c>
    </row>
    <row r="29" spans="1:14" ht="19.5" customHeight="1" x14ac:dyDescent="0.25">
      <c r="A29" s="37" t="str">
        <f>'NEW ACCOUNT'!A30</f>
        <v/>
      </c>
      <c r="B29" s="38" t="str">
        <f>IF('NEW ACCOUNT'!A30="","",'NEW ACCOUNT'!B30)</f>
        <v/>
      </c>
      <c r="C29" s="38" t="str">
        <f>IF('NEW ACCOUNT'!A30="","",'NEW ACCOUNT'!C30)</f>
        <v/>
      </c>
      <c r="D29" s="38" t="str">
        <f>IF('NEW ACCOUNT'!A30="","",'NEW ACCOUNT'!D30)</f>
        <v/>
      </c>
      <c r="E29" s="38" t="str">
        <f>IF('NEW ACCOUNT'!A30="","",'NEW ACCOUNT'!E30)</f>
        <v/>
      </c>
      <c r="F29" s="38" t="str">
        <f>IF('NEW ACCOUNT'!A30="","",'NEW ACCOUNT'!F30)</f>
        <v/>
      </c>
      <c r="G29" s="38" t="str">
        <f>IF('NEW ACCOUNT'!A30="","",'NEW ACCOUNT'!G30)</f>
        <v/>
      </c>
      <c r="H29" s="38" t="str">
        <f>IF('NEW ACCOUNT'!A30="","",'NEW ACCOUNT'!H30)</f>
        <v/>
      </c>
      <c r="I29" s="38" t="str">
        <f>IF('NEW ACCOUNT'!A30="","",'NEW ACCOUNT'!I30)</f>
        <v/>
      </c>
      <c r="J29" s="38" t="str">
        <f>IF('NEW ACCOUNT'!A30="","",'NEW ACCOUNT'!J30)</f>
        <v/>
      </c>
      <c r="K29" s="39" t="str">
        <f>IFERROR(IF(A29="","",SUMIF(DB_Savings!$A:$A,A29,DB_Savings!$F:$F)),"")</f>
        <v/>
      </c>
      <c r="L29" s="39" t="str">
        <f>IFERROR(IF(A29="","",SUMIF(DB_Withdrawals!$A:$A,A29,DB_Withdrawals!$G:$G)),"")</f>
        <v/>
      </c>
      <c r="M29" s="39" t="str">
        <f>IFERROR(IF(A29="","",IFERROR(VALUE(H29),0)+IFERROR(SUMIF(DB_Savings!$A:$A,A29,DB_Savings!$F:$F),0)-IFERROR(SUMIF(DB_Withdrawals!$A:$A,A29,DB_Withdrawals!$G:$G),0)),"")</f>
        <v/>
      </c>
      <c r="N29" s="39" t="str">
        <f>IFERROR(IF(A29="","",MAX(0,M29-System_Config!$B$9)),"")</f>
        <v/>
      </c>
    </row>
    <row r="30" spans="1:14" ht="19.5" customHeight="1" x14ac:dyDescent="0.25">
      <c r="A30" s="37" t="str">
        <f>'NEW ACCOUNT'!A31</f>
        <v/>
      </c>
      <c r="B30" s="38" t="str">
        <f>IF('NEW ACCOUNT'!A31="","",'NEW ACCOUNT'!B31)</f>
        <v/>
      </c>
      <c r="C30" s="38" t="str">
        <f>IF('NEW ACCOUNT'!A31="","",'NEW ACCOUNT'!C31)</f>
        <v/>
      </c>
      <c r="D30" s="38" t="str">
        <f>IF('NEW ACCOUNT'!A31="","",'NEW ACCOUNT'!D31)</f>
        <v/>
      </c>
      <c r="E30" s="38" t="str">
        <f>IF('NEW ACCOUNT'!A31="","",'NEW ACCOUNT'!E31)</f>
        <v/>
      </c>
      <c r="F30" s="38" t="str">
        <f>IF('NEW ACCOUNT'!A31="","",'NEW ACCOUNT'!F31)</f>
        <v/>
      </c>
      <c r="G30" s="38" t="str">
        <f>IF('NEW ACCOUNT'!A31="","",'NEW ACCOUNT'!G31)</f>
        <v/>
      </c>
      <c r="H30" s="38" t="str">
        <f>IF('NEW ACCOUNT'!A31="","",'NEW ACCOUNT'!H31)</f>
        <v/>
      </c>
      <c r="I30" s="38" t="str">
        <f>IF('NEW ACCOUNT'!A31="","",'NEW ACCOUNT'!I31)</f>
        <v/>
      </c>
      <c r="J30" s="38" t="str">
        <f>IF('NEW ACCOUNT'!A31="","",'NEW ACCOUNT'!J31)</f>
        <v/>
      </c>
      <c r="K30" s="39" t="str">
        <f>IFERROR(IF(A30="","",SUMIF(DB_Savings!$A:$A,A30,DB_Savings!$F:$F)),"")</f>
        <v/>
      </c>
      <c r="L30" s="39" t="str">
        <f>IFERROR(IF(A30="","",SUMIF(DB_Withdrawals!$A:$A,A30,DB_Withdrawals!$G:$G)),"")</f>
        <v/>
      </c>
      <c r="M30" s="39" t="str">
        <f>IFERROR(IF(A30="","",IFERROR(VALUE(H30),0)+IFERROR(SUMIF(DB_Savings!$A:$A,A30,DB_Savings!$F:$F),0)-IFERROR(SUMIF(DB_Withdrawals!$A:$A,A30,DB_Withdrawals!$G:$G),0)),"")</f>
        <v/>
      </c>
      <c r="N30" s="39" t="str">
        <f>IFERROR(IF(A30="","",MAX(0,M30-System_Config!$B$9)),"")</f>
        <v/>
      </c>
    </row>
    <row r="31" spans="1:14" ht="19.5" customHeight="1" x14ac:dyDescent="0.25">
      <c r="A31" s="37" t="str">
        <f>'NEW ACCOUNT'!A32</f>
        <v/>
      </c>
      <c r="B31" s="38" t="str">
        <f>IF('NEW ACCOUNT'!A32="","",'NEW ACCOUNT'!B32)</f>
        <v/>
      </c>
      <c r="C31" s="38" t="str">
        <f>IF('NEW ACCOUNT'!A32="","",'NEW ACCOUNT'!C32)</f>
        <v/>
      </c>
      <c r="D31" s="38" t="str">
        <f>IF('NEW ACCOUNT'!A32="","",'NEW ACCOUNT'!D32)</f>
        <v/>
      </c>
      <c r="E31" s="38" t="str">
        <f>IF('NEW ACCOUNT'!A32="","",'NEW ACCOUNT'!E32)</f>
        <v/>
      </c>
      <c r="F31" s="38" t="str">
        <f>IF('NEW ACCOUNT'!A32="","",'NEW ACCOUNT'!F32)</f>
        <v/>
      </c>
      <c r="G31" s="38" t="str">
        <f>IF('NEW ACCOUNT'!A32="","",'NEW ACCOUNT'!G32)</f>
        <v/>
      </c>
      <c r="H31" s="38" t="str">
        <f>IF('NEW ACCOUNT'!A32="","",'NEW ACCOUNT'!H32)</f>
        <v/>
      </c>
      <c r="I31" s="38" t="str">
        <f>IF('NEW ACCOUNT'!A32="","",'NEW ACCOUNT'!I32)</f>
        <v/>
      </c>
      <c r="J31" s="38" t="str">
        <f>IF('NEW ACCOUNT'!A32="","",'NEW ACCOUNT'!J32)</f>
        <v/>
      </c>
      <c r="K31" s="39" t="str">
        <f>IFERROR(IF(A31="","",SUMIF(DB_Savings!$A:$A,A31,DB_Savings!$F:$F)),"")</f>
        <v/>
      </c>
      <c r="L31" s="39" t="str">
        <f>IFERROR(IF(A31="","",SUMIF(DB_Withdrawals!$A:$A,A31,DB_Withdrawals!$G:$G)),"")</f>
        <v/>
      </c>
      <c r="M31" s="39" t="str">
        <f>IFERROR(IF(A31="","",IFERROR(VALUE(H31),0)+IFERROR(SUMIF(DB_Savings!$A:$A,A31,DB_Savings!$F:$F),0)-IFERROR(SUMIF(DB_Withdrawals!$A:$A,A31,DB_Withdrawals!$G:$G),0)),"")</f>
        <v/>
      </c>
      <c r="N31" s="39" t="str">
        <f>IFERROR(IF(A31="","",MAX(0,M31-System_Config!$B$9)),"")</f>
        <v/>
      </c>
    </row>
    <row r="32" spans="1:14" ht="19.5" customHeight="1" x14ac:dyDescent="0.25">
      <c r="A32" s="37" t="str">
        <f>'NEW ACCOUNT'!A33</f>
        <v/>
      </c>
      <c r="B32" s="38" t="str">
        <f>IF('NEW ACCOUNT'!A33="","",'NEW ACCOUNT'!B33)</f>
        <v/>
      </c>
      <c r="C32" s="38" t="str">
        <f>IF('NEW ACCOUNT'!A33="","",'NEW ACCOUNT'!C33)</f>
        <v/>
      </c>
      <c r="D32" s="38" t="str">
        <f>IF('NEW ACCOUNT'!A33="","",'NEW ACCOUNT'!D33)</f>
        <v/>
      </c>
      <c r="E32" s="38" t="str">
        <f>IF('NEW ACCOUNT'!A33="","",'NEW ACCOUNT'!E33)</f>
        <v/>
      </c>
      <c r="F32" s="38" t="str">
        <f>IF('NEW ACCOUNT'!A33="","",'NEW ACCOUNT'!F33)</f>
        <v/>
      </c>
      <c r="G32" s="38" t="str">
        <f>IF('NEW ACCOUNT'!A33="","",'NEW ACCOUNT'!G33)</f>
        <v/>
      </c>
      <c r="H32" s="38" t="str">
        <f>IF('NEW ACCOUNT'!A33="","",'NEW ACCOUNT'!H33)</f>
        <v/>
      </c>
      <c r="I32" s="38" t="str">
        <f>IF('NEW ACCOUNT'!A33="","",'NEW ACCOUNT'!I33)</f>
        <v/>
      </c>
      <c r="J32" s="38" t="str">
        <f>IF('NEW ACCOUNT'!A33="","",'NEW ACCOUNT'!J33)</f>
        <v/>
      </c>
      <c r="K32" s="39" t="str">
        <f>IFERROR(IF(A32="","",SUMIF(DB_Savings!$A:$A,A32,DB_Savings!$F:$F)),"")</f>
        <v/>
      </c>
      <c r="L32" s="39" t="str">
        <f>IFERROR(IF(A32="","",SUMIF(DB_Withdrawals!$A:$A,A32,DB_Withdrawals!$G:$G)),"")</f>
        <v/>
      </c>
      <c r="M32" s="39" t="str">
        <f>IFERROR(IF(A32="","",IFERROR(VALUE(H32),0)+IFERROR(SUMIF(DB_Savings!$A:$A,A32,DB_Savings!$F:$F),0)-IFERROR(SUMIF(DB_Withdrawals!$A:$A,A32,DB_Withdrawals!$G:$G),0)),"")</f>
        <v/>
      </c>
      <c r="N32" s="39" t="str">
        <f>IFERROR(IF(A32="","",MAX(0,M32-System_Config!$B$9)),"")</f>
        <v/>
      </c>
    </row>
    <row r="33" spans="1:14" ht="19.5" customHeight="1" x14ac:dyDescent="0.25">
      <c r="A33" s="37" t="str">
        <f>'NEW ACCOUNT'!A34</f>
        <v/>
      </c>
      <c r="B33" s="38" t="str">
        <f>IF('NEW ACCOUNT'!A34="","",'NEW ACCOUNT'!B34)</f>
        <v/>
      </c>
      <c r="C33" s="38" t="str">
        <f>IF('NEW ACCOUNT'!A34="","",'NEW ACCOUNT'!C34)</f>
        <v/>
      </c>
      <c r="D33" s="38" t="str">
        <f>IF('NEW ACCOUNT'!A34="","",'NEW ACCOUNT'!D34)</f>
        <v/>
      </c>
      <c r="E33" s="38" t="str">
        <f>IF('NEW ACCOUNT'!A34="","",'NEW ACCOUNT'!E34)</f>
        <v/>
      </c>
      <c r="F33" s="38" t="str">
        <f>IF('NEW ACCOUNT'!A34="","",'NEW ACCOUNT'!F34)</f>
        <v/>
      </c>
      <c r="G33" s="38" t="str">
        <f>IF('NEW ACCOUNT'!A34="","",'NEW ACCOUNT'!G34)</f>
        <v/>
      </c>
      <c r="H33" s="38" t="str">
        <f>IF('NEW ACCOUNT'!A34="","",'NEW ACCOUNT'!H34)</f>
        <v/>
      </c>
      <c r="I33" s="38" t="str">
        <f>IF('NEW ACCOUNT'!A34="","",'NEW ACCOUNT'!I34)</f>
        <v/>
      </c>
      <c r="J33" s="38" t="str">
        <f>IF('NEW ACCOUNT'!A34="","",'NEW ACCOUNT'!J34)</f>
        <v/>
      </c>
      <c r="K33" s="39" t="str">
        <f>IFERROR(IF(A33="","",SUMIF(DB_Savings!$A:$A,A33,DB_Savings!$F:$F)),"")</f>
        <v/>
      </c>
      <c r="L33" s="39" t="str">
        <f>IFERROR(IF(A33="","",SUMIF(DB_Withdrawals!$A:$A,A33,DB_Withdrawals!$G:$G)),"")</f>
        <v/>
      </c>
      <c r="M33" s="39" t="str">
        <f>IFERROR(IF(A33="","",IFERROR(VALUE(H33),0)+IFERROR(SUMIF(DB_Savings!$A:$A,A33,DB_Savings!$F:$F),0)-IFERROR(SUMIF(DB_Withdrawals!$A:$A,A33,DB_Withdrawals!$G:$G),0)),"")</f>
        <v/>
      </c>
      <c r="N33" s="39" t="str">
        <f>IFERROR(IF(A33="","",MAX(0,M33-System_Config!$B$9)),"")</f>
        <v/>
      </c>
    </row>
    <row r="34" spans="1:14" ht="19.5" customHeight="1" x14ac:dyDescent="0.25">
      <c r="A34" s="37" t="str">
        <f>'NEW ACCOUNT'!A35</f>
        <v/>
      </c>
      <c r="B34" s="38" t="str">
        <f>IF('NEW ACCOUNT'!A35="","",'NEW ACCOUNT'!B35)</f>
        <v/>
      </c>
      <c r="C34" s="38" t="str">
        <f>IF('NEW ACCOUNT'!A35="","",'NEW ACCOUNT'!C35)</f>
        <v/>
      </c>
      <c r="D34" s="38" t="str">
        <f>IF('NEW ACCOUNT'!A35="","",'NEW ACCOUNT'!D35)</f>
        <v/>
      </c>
      <c r="E34" s="38" t="str">
        <f>IF('NEW ACCOUNT'!A35="","",'NEW ACCOUNT'!E35)</f>
        <v/>
      </c>
      <c r="F34" s="38" t="str">
        <f>IF('NEW ACCOUNT'!A35="","",'NEW ACCOUNT'!F35)</f>
        <v/>
      </c>
      <c r="G34" s="38" t="str">
        <f>IF('NEW ACCOUNT'!A35="","",'NEW ACCOUNT'!G35)</f>
        <v/>
      </c>
      <c r="H34" s="38" t="str">
        <f>IF('NEW ACCOUNT'!A35="","",'NEW ACCOUNT'!H35)</f>
        <v/>
      </c>
      <c r="I34" s="38" t="str">
        <f>IF('NEW ACCOUNT'!A35="","",'NEW ACCOUNT'!I35)</f>
        <v/>
      </c>
      <c r="J34" s="38" t="str">
        <f>IF('NEW ACCOUNT'!A35="","",'NEW ACCOUNT'!J35)</f>
        <v/>
      </c>
      <c r="K34" s="39" t="str">
        <f>IFERROR(IF(A34="","",SUMIF(DB_Savings!$A:$A,A34,DB_Savings!$F:$F)),"")</f>
        <v/>
      </c>
      <c r="L34" s="39" t="str">
        <f>IFERROR(IF(A34="","",SUMIF(DB_Withdrawals!$A:$A,A34,DB_Withdrawals!$G:$G)),"")</f>
        <v/>
      </c>
      <c r="M34" s="39" t="str">
        <f>IFERROR(IF(A34="","",IFERROR(VALUE(H34),0)+IFERROR(SUMIF(DB_Savings!$A:$A,A34,DB_Savings!$F:$F),0)-IFERROR(SUMIF(DB_Withdrawals!$A:$A,A34,DB_Withdrawals!$G:$G),0)),"")</f>
        <v/>
      </c>
      <c r="N34" s="39" t="str">
        <f>IFERROR(IF(A34="","",MAX(0,M34-System_Config!$B$9)),"")</f>
        <v/>
      </c>
    </row>
    <row r="35" spans="1:14" ht="19.5" customHeight="1" x14ac:dyDescent="0.25">
      <c r="A35" s="37" t="str">
        <f>'NEW ACCOUNT'!A36</f>
        <v/>
      </c>
      <c r="B35" s="38" t="str">
        <f>IF('NEW ACCOUNT'!A36="","",'NEW ACCOUNT'!B36)</f>
        <v/>
      </c>
      <c r="C35" s="38" t="str">
        <f>IF('NEW ACCOUNT'!A36="","",'NEW ACCOUNT'!C36)</f>
        <v/>
      </c>
      <c r="D35" s="38" t="str">
        <f>IF('NEW ACCOUNT'!A36="","",'NEW ACCOUNT'!D36)</f>
        <v/>
      </c>
      <c r="E35" s="38" t="str">
        <f>IF('NEW ACCOUNT'!A36="","",'NEW ACCOUNT'!E36)</f>
        <v/>
      </c>
      <c r="F35" s="38" t="str">
        <f>IF('NEW ACCOUNT'!A36="","",'NEW ACCOUNT'!F36)</f>
        <v/>
      </c>
      <c r="G35" s="38" t="str">
        <f>IF('NEW ACCOUNT'!A36="","",'NEW ACCOUNT'!G36)</f>
        <v/>
      </c>
      <c r="H35" s="38" t="str">
        <f>IF('NEW ACCOUNT'!A36="","",'NEW ACCOUNT'!H36)</f>
        <v/>
      </c>
      <c r="I35" s="38" t="str">
        <f>IF('NEW ACCOUNT'!A36="","",'NEW ACCOUNT'!I36)</f>
        <v/>
      </c>
      <c r="J35" s="38" t="str">
        <f>IF('NEW ACCOUNT'!A36="","",'NEW ACCOUNT'!J36)</f>
        <v/>
      </c>
      <c r="K35" s="39" t="str">
        <f>IFERROR(IF(A35="","",SUMIF(DB_Savings!$A:$A,A35,DB_Savings!$F:$F)),"")</f>
        <v/>
      </c>
      <c r="L35" s="39" t="str">
        <f>IFERROR(IF(A35="","",SUMIF(DB_Withdrawals!$A:$A,A35,DB_Withdrawals!$G:$G)),"")</f>
        <v/>
      </c>
      <c r="M35" s="39" t="str">
        <f>IFERROR(IF(A35="","",IFERROR(VALUE(H35),0)+IFERROR(SUMIF(DB_Savings!$A:$A,A35,DB_Savings!$F:$F),0)-IFERROR(SUMIF(DB_Withdrawals!$A:$A,A35,DB_Withdrawals!$G:$G),0)),"")</f>
        <v/>
      </c>
      <c r="N35" s="39" t="str">
        <f>IFERROR(IF(A35="","",MAX(0,M35-System_Config!$B$9)),"")</f>
        <v/>
      </c>
    </row>
    <row r="36" spans="1:14" ht="19.5" customHeight="1" x14ac:dyDescent="0.25">
      <c r="A36" s="37" t="str">
        <f>'NEW ACCOUNT'!A37</f>
        <v/>
      </c>
      <c r="B36" s="38" t="str">
        <f>IF('NEW ACCOUNT'!A37="","",'NEW ACCOUNT'!B37)</f>
        <v/>
      </c>
      <c r="C36" s="38" t="str">
        <f>IF('NEW ACCOUNT'!A37="","",'NEW ACCOUNT'!C37)</f>
        <v/>
      </c>
      <c r="D36" s="38" t="str">
        <f>IF('NEW ACCOUNT'!A37="","",'NEW ACCOUNT'!D37)</f>
        <v/>
      </c>
      <c r="E36" s="38" t="str">
        <f>IF('NEW ACCOUNT'!A37="","",'NEW ACCOUNT'!E37)</f>
        <v/>
      </c>
      <c r="F36" s="38" t="str">
        <f>IF('NEW ACCOUNT'!A37="","",'NEW ACCOUNT'!F37)</f>
        <v/>
      </c>
      <c r="G36" s="38" t="str">
        <f>IF('NEW ACCOUNT'!A37="","",'NEW ACCOUNT'!G37)</f>
        <v/>
      </c>
      <c r="H36" s="38" t="str">
        <f>IF('NEW ACCOUNT'!A37="","",'NEW ACCOUNT'!H37)</f>
        <v/>
      </c>
      <c r="I36" s="38" t="str">
        <f>IF('NEW ACCOUNT'!A37="","",'NEW ACCOUNT'!I37)</f>
        <v/>
      </c>
      <c r="J36" s="38" t="str">
        <f>IF('NEW ACCOUNT'!A37="","",'NEW ACCOUNT'!J37)</f>
        <v/>
      </c>
      <c r="K36" s="39" t="str">
        <f>IFERROR(IF(A36="","",SUMIF(DB_Savings!$A:$A,A36,DB_Savings!$F:$F)),"")</f>
        <v/>
      </c>
      <c r="L36" s="39" t="str">
        <f>IFERROR(IF(A36="","",SUMIF(DB_Withdrawals!$A:$A,A36,DB_Withdrawals!$G:$G)),"")</f>
        <v/>
      </c>
      <c r="M36" s="39" t="str">
        <f>IFERROR(IF(A36="","",IFERROR(VALUE(H36),0)+IFERROR(SUMIF(DB_Savings!$A:$A,A36,DB_Savings!$F:$F),0)-IFERROR(SUMIF(DB_Withdrawals!$A:$A,A36,DB_Withdrawals!$G:$G),0)),"")</f>
        <v/>
      </c>
      <c r="N36" s="39" t="str">
        <f>IFERROR(IF(A36="","",MAX(0,M36-System_Config!$B$9)),"")</f>
        <v/>
      </c>
    </row>
    <row r="37" spans="1:14" ht="19.5" customHeight="1" x14ac:dyDescent="0.25">
      <c r="A37" s="37" t="str">
        <f>'NEW ACCOUNT'!A38</f>
        <v/>
      </c>
      <c r="B37" s="38" t="str">
        <f>IF('NEW ACCOUNT'!A38="","",'NEW ACCOUNT'!B38)</f>
        <v/>
      </c>
      <c r="C37" s="38" t="str">
        <f>IF('NEW ACCOUNT'!A38="","",'NEW ACCOUNT'!C38)</f>
        <v/>
      </c>
      <c r="D37" s="38" t="str">
        <f>IF('NEW ACCOUNT'!A38="","",'NEW ACCOUNT'!D38)</f>
        <v/>
      </c>
      <c r="E37" s="38" t="str">
        <f>IF('NEW ACCOUNT'!A38="","",'NEW ACCOUNT'!E38)</f>
        <v/>
      </c>
      <c r="F37" s="38" t="str">
        <f>IF('NEW ACCOUNT'!A38="","",'NEW ACCOUNT'!F38)</f>
        <v/>
      </c>
      <c r="G37" s="38" t="str">
        <f>IF('NEW ACCOUNT'!A38="","",'NEW ACCOUNT'!G38)</f>
        <v/>
      </c>
      <c r="H37" s="38" t="str">
        <f>IF('NEW ACCOUNT'!A38="","",'NEW ACCOUNT'!H38)</f>
        <v/>
      </c>
      <c r="I37" s="38" t="str">
        <f>IF('NEW ACCOUNT'!A38="","",'NEW ACCOUNT'!I38)</f>
        <v/>
      </c>
      <c r="J37" s="38" t="str">
        <f>IF('NEW ACCOUNT'!A38="","",'NEW ACCOUNT'!J38)</f>
        <v/>
      </c>
      <c r="K37" s="39" t="str">
        <f>IFERROR(IF(A37="","",SUMIF(DB_Savings!$A:$A,A37,DB_Savings!$F:$F)),"")</f>
        <v/>
      </c>
      <c r="L37" s="39" t="str">
        <f>IFERROR(IF(A37="","",SUMIF(DB_Withdrawals!$A:$A,A37,DB_Withdrawals!$G:$G)),"")</f>
        <v/>
      </c>
      <c r="M37" s="39" t="str">
        <f>IFERROR(IF(A37="","",IFERROR(VALUE(H37),0)+IFERROR(SUMIF(DB_Savings!$A:$A,A37,DB_Savings!$F:$F),0)-IFERROR(SUMIF(DB_Withdrawals!$A:$A,A37,DB_Withdrawals!$G:$G),0)),"")</f>
        <v/>
      </c>
      <c r="N37" s="39" t="str">
        <f>IFERROR(IF(A37="","",MAX(0,M37-System_Config!$B$9)),"")</f>
        <v/>
      </c>
    </row>
    <row r="38" spans="1:14" ht="19.5" customHeight="1" x14ac:dyDescent="0.25">
      <c r="A38" s="37" t="str">
        <f>'NEW ACCOUNT'!A39</f>
        <v/>
      </c>
      <c r="B38" s="38" t="str">
        <f>IF('NEW ACCOUNT'!A39="","",'NEW ACCOUNT'!B39)</f>
        <v/>
      </c>
      <c r="C38" s="38" t="str">
        <f>IF('NEW ACCOUNT'!A39="","",'NEW ACCOUNT'!C39)</f>
        <v/>
      </c>
      <c r="D38" s="38" t="str">
        <f>IF('NEW ACCOUNT'!A39="","",'NEW ACCOUNT'!D39)</f>
        <v/>
      </c>
      <c r="E38" s="38" t="str">
        <f>IF('NEW ACCOUNT'!A39="","",'NEW ACCOUNT'!E39)</f>
        <v/>
      </c>
      <c r="F38" s="38" t="str">
        <f>IF('NEW ACCOUNT'!A39="","",'NEW ACCOUNT'!F39)</f>
        <v/>
      </c>
      <c r="G38" s="38" t="str">
        <f>IF('NEW ACCOUNT'!A39="","",'NEW ACCOUNT'!G39)</f>
        <v/>
      </c>
      <c r="H38" s="38" t="str">
        <f>IF('NEW ACCOUNT'!A39="","",'NEW ACCOUNT'!H39)</f>
        <v/>
      </c>
      <c r="I38" s="38" t="str">
        <f>IF('NEW ACCOUNT'!A39="","",'NEW ACCOUNT'!I39)</f>
        <v/>
      </c>
      <c r="J38" s="38" t="str">
        <f>IF('NEW ACCOUNT'!A39="","",'NEW ACCOUNT'!J39)</f>
        <v/>
      </c>
      <c r="K38" s="39" t="str">
        <f>IFERROR(IF(A38="","",SUMIF(DB_Savings!$A:$A,A38,DB_Savings!$F:$F)),"")</f>
        <v/>
      </c>
      <c r="L38" s="39" t="str">
        <f>IFERROR(IF(A38="","",SUMIF(DB_Withdrawals!$A:$A,A38,DB_Withdrawals!$G:$G)),"")</f>
        <v/>
      </c>
      <c r="M38" s="39" t="str">
        <f>IFERROR(IF(A38="","",IFERROR(VALUE(H38),0)+IFERROR(SUMIF(DB_Savings!$A:$A,A38,DB_Savings!$F:$F),0)-IFERROR(SUMIF(DB_Withdrawals!$A:$A,A38,DB_Withdrawals!$G:$G),0)),"")</f>
        <v/>
      </c>
      <c r="N38" s="39" t="str">
        <f>IFERROR(IF(A38="","",MAX(0,M38-System_Config!$B$9)),"")</f>
        <v/>
      </c>
    </row>
    <row r="39" spans="1:14" ht="19.5" customHeight="1" x14ac:dyDescent="0.25">
      <c r="A39" s="37" t="str">
        <f>'NEW ACCOUNT'!A40</f>
        <v/>
      </c>
      <c r="B39" s="38" t="str">
        <f>IF('NEW ACCOUNT'!A40="","",'NEW ACCOUNT'!B40)</f>
        <v/>
      </c>
      <c r="C39" s="38" t="str">
        <f>IF('NEW ACCOUNT'!A40="","",'NEW ACCOUNT'!C40)</f>
        <v/>
      </c>
      <c r="D39" s="38" t="str">
        <f>IF('NEW ACCOUNT'!A40="","",'NEW ACCOUNT'!D40)</f>
        <v/>
      </c>
      <c r="E39" s="38" t="str">
        <f>IF('NEW ACCOUNT'!A40="","",'NEW ACCOUNT'!E40)</f>
        <v/>
      </c>
      <c r="F39" s="38" t="str">
        <f>IF('NEW ACCOUNT'!A40="","",'NEW ACCOUNT'!F40)</f>
        <v/>
      </c>
      <c r="G39" s="38" t="str">
        <f>IF('NEW ACCOUNT'!A40="","",'NEW ACCOUNT'!G40)</f>
        <v/>
      </c>
      <c r="H39" s="38" t="str">
        <f>IF('NEW ACCOUNT'!A40="","",'NEW ACCOUNT'!H40)</f>
        <v/>
      </c>
      <c r="I39" s="38" t="str">
        <f>IF('NEW ACCOUNT'!A40="","",'NEW ACCOUNT'!I40)</f>
        <v/>
      </c>
      <c r="J39" s="38" t="str">
        <f>IF('NEW ACCOUNT'!A40="","",'NEW ACCOUNT'!J40)</f>
        <v/>
      </c>
      <c r="K39" s="39" t="str">
        <f>IFERROR(IF(A39="","",SUMIF(DB_Savings!$A:$A,A39,DB_Savings!$F:$F)),"")</f>
        <v/>
      </c>
      <c r="L39" s="39" t="str">
        <f>IFERROR(IF(A39="","",SUMIF(DB_Withdrawals!$A:$A,A39,DB_Withdrawals!$G:$G)),"")</f>
        <v/>
      </c>
      <c r="M39" s="39" t="str">
        <f>IFERROR(IF(A39="","",IFERROR(VALUE(H39),0)+IFERROR(SUMIF(DB_Savings!$A:$A,A39,DB_Savings!$F:$F),0)-IFERROR(SUMIF(DB_Withdrawals!$A:$A,A39,DB_Withdrawals!$G:$G),0)),"")</f>
        <v/>
      </c>
      <c r="N39" s="39" t="str">
        <f>IFERROR(IF(A39="","",MAX(0,M39-System_Config!$B$9)),"")</f>
        <v/>
      </c>
    </row>
    <row r="40" spans="1:14" ht="19.5" customHeight="1" x14ac:dyDescent="0.25">
      <c r="A40" s="37" t="str">
        <f>'NEW ACCOUNT'!A41</f>
        <v/>
      </c>
      <c r="B40" s="38" t="str">
        <f>IF('NEW ACCOUNT'!A41="","",'NEW ACCOUNT'!B41)</f>
        <v/>
      </c>
      <c r="C40" s="38" t="str">
        <f>IF('NEW ACCOUNT'!A41="","",'NEW ACCOUNT'!C41)</f>
        <v/>
      </c>
      <c r="D40" s="38" t="str">
        <f>IF('NEW ACCOUNT'!A41="","",'NEW ACCOUNT'!D41)</f>
        <v/>
      </c>
      <c r="E40" s="38" t="str">
        <f>IF('NEW ACCOUNT'!A41="","",'NEW ACCOUNT'!E41)</f>
        <v/>
      </c>
      <c r="F40" s="38" t="str">
        <f>IF('NEW ACCOUNT'!A41="","",'NEW ACCOUNT'!F41)</f>
        <v/>
      </c>
      <c r="G40" s="38" t="str">
        <f>IF('NEW ACCOUNT'!A41="","",'NEW ACCOUNT'!G41)</f>
        <v/>
      </c>
      <c r="H40" s="38" t="str">
        <f>IF('NEW ACCOUNT'!A41="","",'NEW ACCOUNT'!H41)</f>
        <v/>
      </c>
      <c r="I40" s="38" t="str">
        <f>IF('NEW ACCOUNT'!A41="","",'NEW ACCOUNT'!I41)</f>
        <v/>
      </c>
      <c r="J40" s="38" t="str">
        <f>IF('NEW ACCOUNT'!A41="","",'NEW ACCOUNT'!J41)</f>
        <v/>
      </c>
      <c r="K40" s="39" t="str">
        <f>IFERROR(IF(A40="","",SUMIF(DB_Savings!$A:$A,A40,DB_Savings!$F:$F)),"")</f>
        <v/>
      </c>
      <c r="L40" s="39" t="str">
        <f>IFERROR(IF(A40="","",SUMIF(DB_Withdrawals!$A:$A,A40,DB_Withdrawals!$G:$G)),"")</f>
        <v/>
      </c>
      <c r="M40" s="39" t="str">
        <f>IFERROR(IF(A40="","",IFERROR(VALUE(H40),0)+IFERROR(SUMIF(DB_Savings!$A:$A,A40,DB_Savings!$F:$F),0)-IFERROR(SUMIF(DB_Withdrawals!$A:$A,A40,DB_Withdrawals!$G:$G),0)),"")</f>
        <v/>
      </c>
      <c r="N40" s="39" t="str">
        <f>IFERROR(IF(A40="","",MAX(0,M40-System_Config!$B$9)),"")</f>
        <v/>
      </c>
    </row>
    <row r="41" spans="1:14" ht="19.5" customHeight="1" x14ac:dyDescent="0.25">
      <c r="A41" s="37" t="str">
        <f>'NEW ACCOUNT'!A42</f>
        <v/>
      </c>
      <c r="B41" s="38" t="str">
        <f>IF('NEW ACCOUNT'!A42="","",'NEW ACCOUNT'!B42)</f>
        <v/>
      </c>
      <c r="C41" s="38" t="str">
        <f>IF('NEW ACCOUNT'!A42="","",'NEW ACCOUNT'!C42)</f>
        <v/>
      </c>
      <c r="D41" s="38" t="str">
        <f>IF('NEW ACCOUNT'!A42="","",'NEW ACCOUNT'!D42)</f>
        <v/>
      </c>
      <c r="E41" s="38" t="str">
        <f>IF('NEW ACCOUNT'!A42="","",'NEW ACCOUNT'!E42)</f>
        <v/>
      </c>
      <c r="F41" s="38" t="str">
        <f>IF('NEW ACCOUNT'!A42="","",'NEW ACCOUNT'!F42)</f>
        <v/>
      </c>
      <c r="G41" s="38" t="str">
        <f>IF('NEW ACCOUNT'!A42="","",'NEW ACCOUNT'!G42)</f>
        <v/>
      </c>
      <c r="H41" s="38" t="str">
        <f>IF('NEW ACCOUNT'!A42="","",'NEW ACCOUNT'!H42)</f>
        <v/>
      </c>
      <c r="I41" s="38" t="str">
        <f>IF('NEW ACCOUNT'!A42="","",'NEW ACCOUNT'!I42)</f>
        <v/>
      </c>
      <c r="J41" s="38" t="str">
        <f>IF('NEW ACCOUNT'!A42="","",'NEW ACCOUNT'!J42)</f>
        <v/>
      </c>
      <c r="K41" s="39" t="str">
        <f>IFERROR(IF(A41="","",SUMIF(DB_Savings!$A:$A,A41,DB_Savings!$F:$F)),"")</f>
        <v/>
      </c>
      <c r="L41" s="39" t="str">
        <f>IFERROR(IF(A41="","",SUMIF(DB_Withdrawals!$A:$A,A41,DB_Withdrawals!$G:$G)),"")</f>
        <v/>
      </c>
      <c r="M41" s="39" t="str">
        <f>IFERROR(IF(A41="","",IFERROR(VALUE(H41),0)+IFERROR(SUMIF(DB_Savings!$A:$A,A41,DB_Savings!$F:$F),0)-IFERROR(SUMIF(DB_Withdrawals!$A:$A,A41,DB_Withdrawals!$G:$G),0)),"")</f>
        <v/>
      </c>
      <c r="N41" s="39" t="str">
        <f>IFERROR(IF(A41="","",MAX(0,M41-System_Config!$B$9)),"")</f>
        <v/>
      </c>
    </row>
    <row r="42" spans="1:14" ht="19.5" customHeight="1" x14ac:dyDescent="0.25">
      <c r="A42" s="37" t="str">
        <f>'NEW ACCOUNT'!A43</f>
        <v/>
      </c>
      <c r="B42" s="38" t="str">
        <f>IF('NEW ACCOUNT'!A43="","",'NEW ACCOUNT'!B43)</f>
        <v/>
      </c>
      <c r="C42" s="38" t="str">
        <f>IF('NEW ACCOUNT'!A43="","",'NEW ACCOUNT'!C43)</f>
        <v/>
      </c>
      <c r="D42" s="38" t="str">
        <f>IF('NEW ACCOUNT'!A43="","",'NEW ACCOUNT'!D43)</f>
        <v/>
      </c>
      <c r="E42" s="38" t="str">
        <f>IF('NEW ACCOUNT'!A43="","",'NEW ACCOUNT'!E43)</f>
        <v/>
      </c>
      <c r="F42" s="38" t="str">
        <f>IF('NEW ACCOUNT'!A43="","",'NEW ACCOUNT'!F43)</f>
        <v/>
      </c>
      <c r="G42" s="38" t="str">
        <f>IF('NEW ACCOUNT'!A43="","",'NEW ACCOUNT'!G43)</f>
        <v/>
      </c>
      <c r="H42" s="38" t="str">
        <f>IF('NEW ACCOUNT'!A43="","",'NEW ACCOUNT'!H43)</f>
        <v/>
      </c>
      <c r="I42" s="38" t="str">
        <f>IF('NEW ACCOUNT'!A43="","",'NEW ACCOUNT'!I43)</f>
        <v/>
      </c>
      <c r="J42" s="38" t="str">
        <f>IF('NEW ACCOUNT'!A43="","",'NEW ACCOUNT'!J43)</f>
        <v/>
      </c>
      <c r="K42" s="39" t="str">
        <f>IFERROR(IF(A42="","",SUMIF(DB_Savings!$A:$A,A42,DB_Savings!$F:$F)),"")</f>
        <v/>
      </c>
      <c r="L42" s="39" t="str">
        <f>IFERROR(IF(A42="","",SUMIF(DB_Withdrawals!$A:$A,A42,DB_Withdrawals!$G:$G)),"")</f>
        <v/>
      </c>
      <c r="M42" s="39" t="str">
        <f>IFERROR(IF(A42="","",IFERROR(VALUE(H42),0)+IFERROR(SUMIF(DB_Savings!$A:$A,A42,DB_Savings!$F:$F),0)-IFERROR(SUMIF(DB_Withdrawals!$A:$A,A42,DB_Withdrawals!$G:$G),0)),"")</f>
        <v/>
      </c>
      <c r="N42" s="39" t="str">
        <f>IFERROR(IF(A42="","",MAX(0,M42-System_Config!$B$9)),"")</f>
        <v/>
      </c>
    </row>
    <row r="43" spans="1:14" ht="19.5" customHeight="1" x14ac:dyDescent="0.25">
      <c r="A43" s="37" t="str">
        <f>'NEW ACCOUNT'!A44</f>
        <v/>
      </c>
      <c r="B43" s="38" t="str">
        <f>IF('NEW ACCOUNT'!A44="","",'NEW ACCOUNT'!B44)</f>
        <v/>
      </c>
      <c r="C43" s="38" t="str">
        <f>IF('NEW ACCOUNT'!A44="","",'NEW ACCOUNT'!C44)</f>
        <v/>
      </c>
      <c r="D43" s="38" t="str">
        <f>IF('NEW ACCOUNT'!A44="","",'NEW ACCOUNT'!D44)</f>
        <v/>
      </c>
      <c r="E43" s="38" t="str">
        <f>IF('NEW ACCOUNT'!A44="","",'NEW ACCOUNT'!E44)</f>
        <v/>
      </c>
      <c r="F43" s="38" t="str">
        <f>IF('NEW ACCOUNT'!A44="","",'NEW ACCOUNT'!F44)</f>
        <v/>
      </c>
      <c r="G43" s="38" t="str">
        <f>IF('NEW ACCOUNT'!A44="","",'NEW ACCOUNT'!G44)</f>
        <v/>
      </c>
      <c r="H43" s="38" t="str">
        <f>IF('NEW ACCOUNT'!A44="","",'NEW ACCOUNT'!H44)</f>
        <v/>
      </c>
      <c r="I43" s="38" t="str">
        <f>IF('NEW ACCOUNT'!A44="","",'NEW ACCOUNT'!I44)</f>
        <v/>
      </c>
      <c r="J43" s="38" t="str">
        <f>IF('NEW ACCOUNT'!A44="","",'NEW ACCOUNT'!J44)</f>
        <v/>
      </c>
      <c r="K43" s="39" t="str">
        <f>IFERROR(IF(A43="","",SUMIF(DB_Savings!$A:$A,A43,DB_Savings!$F:$F)),"")</f>
        <v/>
      </c>
      <c r="L43" s="39" t="str">
        <f>IFERROR(IF(A43="","",SUMIF(DB_Withdrawals!$A:$A,A43,DB_Withdrawals!$G:$G)),"")</f>
        <v/>
      </c>
      <c r="M43" s="39" t="str">
        <f>IFERROR(IF(A43="","",IFERROR(VALUE(H43),0)+IFERROR(SUMIF(DB_Savings!$A:$A,A43,DB_Savings!$F:$F),0)-IFERROR(SUMIF(DB_Withdrawals!$A:$A,A43,DB_Withdrawals!$G:$G),0)),"")</f>
        <v/>
      </c>
      <c r="N43" s="39" t="str">
        <f>IFERROR(IF(A43="","",MAX(0,M43-System_Config!$B$9)),"")</f>
        <v/>
      </c>
    </row>
    <row r="44" spans="1:14" ht="19.5" customHeight="1" x14ac:dyDescent="0.25">
      <c r="A44" s="37" t="str">
        <f>'NEW ACCOUNT'!A45</f>
        <v/>
      </c>
      <c r="B44" s="38" t="str">
        <f>IF('NEW ACCOUNT'!A45="","",'NEW ACCOUNT'!B45)</f>
        <v/>
      </c>
      <c r="C44" s="38" t="str">
        <f>IF('NEW ACCOUNT'!A45="","",'NEW ACCOUNT'!C45)</f>
        <v/>
      </c>
      <c r="D44" s="38" t="str">
        <f>IF('NEW ACCOUNT'!A45="","",'NEW ACCOUNT'!D45)</f>
        <v/>
      </c>
      <c r="E44" s="38" t="str">
        <f>IF('NEW ACCOUNT'!A45="","",'NEW ACCOUNT'!E45)</f>
        <v/>
      </c>
      <c r="F44" s="38" t="str">
        <f>IF('NEW ACCOUNT'!A45="","",'NEW ACCOUNT'!F45)</f>
        <v/>
      </c>
      <c r="G44" s="38" t="str">
        <f>IF('NEW ACCOUNT'!A45="","",'NEW ACCOUNT'!G45)</f>
        <v/>
      </c>
      <c r="H44" s="38" t="str">
        <f>IF('NEW ACCOUNT'!A45="","",'NEW ACCOUNT'!H45)</f>
        <v/>
      </c>
      <c r="I44" s="38" t="str">
        <f>IF('NEW ACCOUNT'!A45="","",'NEW ACCOUNT'!I45)</f>
        <v/>
      </c>
      <c r="J44" s="38" t="str">
        <f>IF('NEW ACCOUNT'!A45="","",'NEW ACCOUNT'!J45)</f>
        <v/>
      </c>
      <c r="K44" s="39" t="str">
        <f>IFERROR(IF(A44="","",SUMIF(DB_Savings!$A:$A,A44,DB_Savings!$F:$F)),"")</f>
        <v/>
      </c>
      <c r="L44" s="39" t="str">
        <f>IFERROR(IF(A44="","",SUMIF(DB_Withdrawals!$A:$A,A44,DB_Withdrawals!$G:$G)),"")</f>
        <v/>
      </c>
      <c r="M44" s="39" t="str">
        <f>IFERROR(IF(A44="","",IFERROR(VALUE(H44),0)+IFERROR(SUMIF(DB_Savings!$A:$A,A44,DB_Savings!$F:$F),0)-IFERROR(SUMIF(DB_Withdrawals!$A:$A,A44,DB_Withdrawals!$G:$G),0)),"")</f>
        <v/>
      </c>
      <c r="N44" s="39" t="str">
        <f>IFERROR(IF(A44="","",MAX(0,M44-System_Config!$B$9)),"")</f>
        <v/>
      </c>
    </row>
    <row r="45" spans="1:14" ht="19.5" customHeight="1" x14ac:dyDescent="0.25">
      <c r="A45" s="37" t="str">
        <f>'NEW ACCOUNT'!A46</f>
        <v/>
      </c>
      <c r="B45" s="38" t="str">
        <f>IF('NEW ACCOUNT'!A46="","",'NEW ACCOUNT'!B46)</f>
        <v/>
      </c>
      <c r="C45" s="38" t="str">
        <f>IF('NEW ACCOUNT'!A46="","",'NEW ACCOUNT'!C46)</f>
        <v/>
      </c>
      <c r="D45" s="38" t="str">
        <f>IF('NEW ACCOUNT'!A46="","",'NEW ACCOUNT'!D46)</f>
        <v/>
      </c>
      <c r="E45" s="38" t="str">
        <f>IF('NEW ACCOUNT'!A46="","",'NEW ACCOUNT'!E46)</f>
        <v/>
      </c>
      <c r="F45" s="38" t="str">
        <f>IF('NEW ACCOUNT'!A46="","",'NEW ACCOUNT'!F46)</f>
        <v/>
      </c>
      <c r="G45" s="38" t="str">
        <f>IF('NEW ACCOUNT'!A46="","",'NEW ACCOUNT'!G46)</f>
        <v/>
      </c>
      <c r="H45" s="38" t="str">
        <f>IF('NEW ACCOUNT'!A46="","",'NEW ACCOUNT'!H46)</f>
        <v/>
      </c>
      <c r="I45" s="38" t="str">
        <f>IF('NEW ACCOUNT'!A46="","",'NEW ACCOUNT'!I46)</f>
        <v/>
      </c>
      <c r="J45" s="38" t="str">
        <f>IF('NEW ACCOUNT'!A46="","",'NEW ACCOUNT'!J46)</f>
        <v/>
      </c>
      <c r="K45" s="39" t="str">
        <f>IFERROR(IF(A45="","",SUMIF(DB_Savings!$A:$A,A45,DB_Savings!$F:$F)),"")</f>
        <v/>
      </c>
      <c r="L45" s="39" t="str">
        <f>IFERROR(IF(A45="","",SUMIF(DB_Withdrawals!$A:$A,A45,DB_Withdrawals!$G:$G)),"")</f>
        <v/>
      </c>
      <c r="M45" s="39" t="str">
        <f>IFERROR(IF(A45="","",IFERROR(VALUE(H45),0)+IFERROR(SUMIF(DB_Savings!$A:$A,A45,DB_Savings!$F:$F),0)-IFERROR(SUMIF(DB_Withdrawals!$A:$A,A45,DB_Withdrawals!$G:$G),0)),"")</f>
        <v/>
      </c>
      <c r="N45" s="39" t="str">
        <f>IFERROR(IF(A45="","",MAX(0,M45-System_Config!$B$9)),"")</f>
        <v/>
      </c>
    </row>
    <row r="46" spans="1:14" ht="19.5" customHeight="1" x14ac:dyDescent="0.25">
      <c r="A46" s="37" t="str">
        <f>'NEW ACCOUNT'!A47</f>
        <v/>
      </c>
      <c r="B46" s="38" t="str">
        <f>IF('NEW ACCOUNT'!A47="","",'NEW ACCOUNT'!B47)</f>
        <v/>
      </c>
      <c r="C46" s="38" t="str">
        <f>IF('NEW ACCOUNT'!A47="","",'NEW ACCOUNT'!C47)</f>
        <v/>
      </c>
      <c r="D46" s="38" t="str">
        <f>IF('NEW ACCOUNT'!A47="","",'NEW ACCOUNT'!D47)</f>
        <v/>
      </c>
      <c r="E46" s="38" t="str">
        <f>IF('NEW ACCOUNT'!A47="","",'NEW ACCOUNT'!E47)</f>
        <v/>
      </c>
      <c r="F46" s="38" t="str">
        <f>IF('NEW ACCOUNT'!A47="","",'NEW ACCOUNT'!F47)</f>
        <v/>
      </c>
      <c r="G46" s="38" t="str">
        <f>IF('NEW ACCOUNT'!A47="","",'NEW ACCOUNT'!G47)</f>
        <v/>
      </c>
      <c r="H46" s="38" t="str">
        <f>IF('NEW ACCOUNT'!A47="","",'NEW ACCOUNT'!H47)</f>
        <v/>
      </c>
      <c r="I46" s="38" t="str">
        <f>IF('NEW ACCOUNT'!A47="","",'NEW ACCOUNT'!I47)</f>
        <v/>
      </c>
      <c r="J46" s="38" t="str">
        <f>IF('NEW ACCOUNT'!A47="","",'NEW ACCOUNT'!J47)</f>
        <v/>
      </c>
      <c r="K46" s="39" t="str">
        <f>IFERROR(IF(A46="","",SUMIF(DB_Savings!$A:$A,A46,DB_Savings!$F:$F)),"")</f>
        <v/>
      </c>
      <c r="L46" s="39" t="str">
        <f>IFERROR(IF(A46="","",SUMIF(DB_Withdrawals!$A:$A,A46,DB_Withdrawals!$G:$G)),"")</f>
        <v/>
      </c>
      <c r="M46" s="39" t="str">
        <f>IFERROR(IF(A46="","",IFERROR(VALUE(H46),0)+IFERROR(SUMIF(DB_Savings!$A:$A,A46,DB_Savings!$F:$F),0)-IFERROR(SUMIF(DB_Withdrawals!$A:$A,A46,DB_Withdrawals!$G:$G),0)),"")</f>
        <v/>
      </c>
      <c r="N46" s="39" t="str">
        <f>IFERROR(IF(A46="","",MAX(0,M46-System_Config!$B$9)),"")</f>
        <v/>
      </c>
    </row>
    <row r="47" spans="1:14" ht="19.5" customHeight="1" x14ac:dyDescent="0.25">
      <c r="A47" s="37" t="str">
        <f>'NEW ACCOUNT'!A48</f>
        <v/>
      </c>
      <c r="B47" s="38" t="str">
        <f>IF('NEW ACCOUNT'!A48="","",'NEW ACCOUNT'!B48)</f>
        <v/>
      </c>
      <c r="C47" s="38" t="str">
        <f>IF('NEW ACCOUNT'!A48="","",'NEW ACCOUNT'!C48)</f>
        <v/>
      </c>
      <c r="D47" s="38" t="str">
        <f>IF('NEW ACCOUNT'!A48="","",'NEW ACCOUNT'!D48)</f>
        <v/>
      </c>
      <c r="E47" s="38" t="str">
        <f>IF('NEW ACCOUNT'!A48="","",'NEW ACCOUNT'!E48)</f>
        <v/>
      </c>
      <c r="F47" s="38" t="str">
        <f>IF('NEW ACCOUNT'!A48="","",'NEW ACCOUNT'!F48)</f>
        <v/>
      </c>
      <c r="G47" s="38" t="str">
        <f>IF('NEW ACCOUNT'!A48="","",'NEW ACCOUNT'!G48)</f>
        <v/>
      </c>
      <c r="H47" s="38" t="str">
        <f>IF('NEW ACCOUNT'!A48="","",'NEW ACCOUNT'!H48)</f>
        <v/>
      </c>
      <c r="I47" s="38" t="str">
        <f>IF('NEW ACCOUNT'!A48="","",'NEW ACCOUNT'!I48)</f>
        <v/>
      </c>
      <c r="J47" s="38" t="str">
        <f>IF('NEW ACCOUNT'!A48="","",'NEW ACCOUNT'!J48)</f>
        <v/>
      </c>
      <c r="K47" s="39" t="str">
        <f>IFERROR(IF(A47="","",SUMIF(DB_Savings!$A:$A,A47,DB_Savings!$F:$F)),"")</f>
        <v/>
      </c>
      <c r="L47" s="39" t="str">
        <f>IFERROR(IF(A47="","",SUMIF(DB_Withdrawals!$A:$A,A47,DB_Withdrawals!$G:$G)),"")</f>
        <v/>
      </c>
      <c r="M47" s="39" t="str">
        <f>IFERROR(IF(A47="","",IFERROR(VALUE(H47),0)+IFERROR(SUMIF(DB_Savings!$A:$A,A47,DB_Savings!$F:$F),0)-IFERROR(SUMIF(DB_Withdrawals!$A:$A,A47,DB_Withdrawals!$G:$G),0)),"")</f>
        <v/>
      </c>
      <c r="N47" s="39" t="str">
        <f>IFERROR(IF(A47="","",MAX(0,M47-System_Config!$B$9)),"")</f>
        <v/>
      </c>
    </row>
    <row r="48" spans="1:14" ht="19.5" customHeight="1" x14ac:dyDescent="0.25">
      <c r="A48" s="37" t="str">
        <f>'NEW ACCOUNT'!A49</f>
        <v/>
      </c>
      <c r="B48" s="38" t="str">
        <f>IF('NEW ACCOUNT'!A49="","",'NEW ACCOUNT'!B49)</f>
        <v/>
      </c>
      <c r="C48" s="38" t="str">
        <f>IF('NEW ACCOUNT'!A49="","",'NEW ACCOUNT'!C49)</f>
        <v/>
      </c>
      <c r="D48" s="38" t="str">
        <f>IF('NEW ACCOUNT'!A49="","",'NEW ACCOUNT'!D49)</f>
        <v/>
      </c>
      <c r="E48" s="38" t="str">
        <f>IF('NEW ACCOUNT'!A49="","",'NEW ACCOUNT'!E49)</f>
        <v/>
      </c>
      <c r="F48" s="38" t="str">
        <f>IF('NEW ACCOUNT'!A49="","",'NEW ACCOUNT'!F49)</f>
        <v/>
      </c>
      <c r="G48" s="38" t="str">
        <f>IF('NEW ACCOUNT'!A49="","",'NEW ACCOUNT'!G49)</f>
        <v/>
      </c>
      <c r="H48" s="38" t="str">
        <f>IF('NEW ACCOUNT'!A49="","",'NEW ACCOUNT'!H49)</f>
        <v/>
      </c>
      <c r="I48" s="38" t="str">
        <f>IF('NEW ACCOUNT'!A49="","",'NEW ACCOUNT'!I49)</f>
        <v/>
      </c>
      <c r="J48" s="38" t="str">
        <f>IF('NEW ACCOUNT'!A49="","",'NEW ACCOUNT'!J49)</f>
        <v/>
      </c>
      <c r="K48" s="39" t="str">
        <f>IFERROR(IF(A48="","",SUMIF(DB_Savings!$A:$A,A48,DB_Savings!$F:$F)),"")</f>
        <v/>
      </c>
      <c r="L48" s="39" t="str">
        <f>IFERROR(IF(A48="","",SUMIF(DB_Withdrawals!$A:$A,A48,DB_Withdrawals!$G:$G)),"")</f>
        <v/>
      </c>
      <c r="M48" s="39" t="str">
        <f>IFERROR(IF(A48="","",IFERROR(VALUE(H48),0)+IFERROR(SUMIF(DB_Savings!$A:$A,A48,DB_Savings!$F:$F),0)-IFERROR(SUMIF(DB_Withdrawals!$A:$A,A48,DB_Withdrawals!$G:$G),0)),"")</f>
        <v/>
      </c>
      <c r="N48" s="39" t="str">
        <f>IFERROR(IF(A48="","",MAX(0,M48-System_Config!$B$9)),"")</f>
        <v/>
      </c>
    </row>
    <row r="49" spans="1:14" ht="19.5" customHeight="1" x14ac:dyDescent="0.25">
      <c r="A49" s="37" t="str">
        <f>'NEW ACCOUNT'!A50</f>
        <v/>
      </c>
      <c r="B49" s="38" t="str">
        <f>IF('NEW ACCOUNT'!A50="","",'NEW ACCOUNT'!B50)</f>
        <v/>
      </c>
      <c r="C49" s="38" t="str">
        <f>IF('NEW ACCOUNT'!A50="","",'NEW ACCOUNT'!C50)</f>
        <v/>
      </c>
      <c r="D49" s="38" t="str">
        <f>IF('NEW ACCOUNT'!A50="","",'NEW ACCOUNT'!D50)</f>
        <v/>
      </c>
      <c r="E49" s="38" t="str">
        <f>IF('NEW ACCOUNT'!A50="","",'NEW ACCOUNT'!E50)</f>
        <v/>
      </c>
      <c r="F49" s="38" t="str">
        <f>IF('NEW ACCOUNT'!A50="","",'NEW ACCOUNT'!F50)</f>
        <v/>
      </c>
      <c r="G49" s="38" t="str">
        <f>IF('NEW ACCOUNT'!A50="","",'NEW ACCOUNT'!G50)</f>
        <v/>
      </c>
      <c r="H49" s="38" t="str">
        <f>IF('NEW ACCOUNT'!A50="","",'NEW ACCOUNT'!H50)</f>
        <v/>
      </c>
      <c r="I49" s="38" t="str">
        <f>IF('NEW ACCOUNT'!A50="","",'NEW ACCOUNT'!I50)</f>
        <v/>
      </c>
      <c r="J49" s="38" t="str">
        <f>IF('NEW ACCOUNT'!A50="","",'NEW ACCOUNT'!J50)</f>
        <v/>
      </c>
      <c r="K49" s="39" t="str">
        <f>IFERROR(IF(A49="","",SUMIF(DB_Savings!$A:$A,A49,DB_Savings!$F:$F)),"")</f>
        <v/>
      </c>
      <c r="L49" s="39" t="str">
        <f>IFERROR(IF(A49="","",SUMIF(DB_Withdrawals!$A:$A,A49,DB_Withdrawals!$G:$G)),"")</f>
        <v/>
      </c>
      <c r="M49" s="39" t="str">
        <f>IFERROR(IF(A49="","",IFERROR(VALUE(H49),0)+IFERROR(SUMIF(DB_Savings!$A:$A,A49,DB_Savings!$F:$F),0)-IFERROR(SUMIF(DB_Withdrawals!$A:$A,A49,DB_Withdrawals!$G:$G),0)),"")</f>
        <v/>
      </c>
      <c r="N49" s="39" t="str">
        <f>IFERROR(IF(A49="","",MAX(0,M49-System_Config!$B$9)),"")</f>
        <v/>
      </c>
    </row>
    <row r="50" spans="1:14" ht="19.5" customHeight="1" x14ac:dyDescent="0.25">
      <c r="A50" s="37" t="str">
        <f>'NEW ACCOUNT'!A51</f>
        <v/>
      </c>
      <c r="B50" s="38" t="str">
        <f>IF('NEW ACCOUNT'!A51="","",'NEW ACCOUNT'!B51)</f>
        <v/>
      </c>
      <c r="C50" s="38" t="str">
        <f>IF('NEW ACCOUNT'!A51="","",'NEW ACCOUNT'!C51)</f>
        <v/>
      </c>
      <c r="D50" s="38" t="str">
        <f>IF('NEW ACCOUNT'!A51="","",'NEW ACCOUNT'!D51)</f>
        <v/>
      </c>
      <c r="E50" s="38" t="str">
        <f>IF('NEW ACCOUNT'!A51="","",'NEW ACCOUNT'!E51)</f>
        <v/>
      </c>
      <c r="F50" s="38" t="str">
        <f>IF('NEW ACCOUNT'!A51="","",'NEW ACCOUNT'!F51)</f>
        <v/>
      </c>
      <c r="G50" s="38" t="str">
        <f>IF('NEW ACCOUNT'!A51="","",'NEW ACCOUNT'!G51)</f>
        <v/>
      </c>
      <c r="H50" s="38" t="str">
        <f>IF('NEW ACCOUNT'!A51="","",'NEW ACCOUNT'!H51)</f>
        <v/>
      </c>
      <c r="I50" s="38" t="str">
        <f>IF('NEW ACCOUNT'!A51="","",'NEW ACCOUNT'!I51)</f>
        <v/>
      </c>
      <c r="J50" s="38" t="str">
        <f>IF('NEW ACCOUNT'!A51="","",'NEW ACCOUNT'!J51)</f>
        <v/>
      </c>
      <c r="K50" s="39" t="str">
        <f>IFERROR(IF(A50="","",SUMIF(DB_Savings!$A:$A,A50,DB_Savings!$F:$F)),"")</f>
        <v/>
      </c>
      <c r="L50" s="39" t="str">
        <f>IFERROR(IF(A50="","",SUMIF(DB_Withdrawals!$A:$A,A50,DB_Withdrawals!$G:$G)),"")</f>
        <v/>
      </c>
      <c r="M50" s="39" t="str">
        <f>IFERROR(IF(A50="","",IFERROR(VALUE(H50),0)+IFERROR(SUMIF(DB_Savings!$A:$A,A50,DB_Savings!$F:$F),0)-IFERROR(SUMIF(DB_Withdrawals!$A:$A,A50,DB_Withdrawals!$G:$G),0)),"")</f>
        <v/>
      </c>
      <c r="N50" s="39" t="str">
        <f>IFERROR(IF(A50="","",MAX(0,M50-System_Config!$B$9)),"")</f>
        <v/>
      </c>
    </row>
    <row r="51" spans="1:14" ht="19.5" customHeight="1" x14ac:dyDescent="0.25">
      <c r="A51" s="37" t="str">
        <f>'NEW ACCOUNT'!A52</f>
        <v/>
      </c>
      <c r="B51" s="38" t="str">
        <f>IF('NEW ACCOUNT'!A52="","",'NEW ACCOUNT'!B52)</f>
        <v/>
      </c>
      <c r="C51" s="38" t="str">
        <f>IF('NEW ACCOUNT'!A52="","",'NEW ACCOUNT'!C52)</f>
        <v/>
      </c>
      <c r="D51" s="38" t="str">
        <f>IF('NEW ACCOUNT'!A52="","",'NEW ACCOUNT'!D52)</f>
        <v/>
      </c>
      <c r="E51" s="38" t="str">
        <f>IF('NEW ACCOUNT'!A52="","",'NEW ACCOUNT'!E52)</f>
        <v/>
      </c>
      <c r="F51" s="38" t="str">
        <f>IF('NEW ACCOUNT'!A52="","",'NEW ACCOUNT'!F52)</f>
        <v/>
      </c>
      <c r="G51" s="38" t="str">
        <f>IF('NEW ACCOUNT'!A52="","",'NEW ACCOUNT'!G52)</f>
        <v/>
      </c>
      <c r="H51" s="38" t="str">
        <f>IF('NEW ACCOUNT'!A52="","",'NEW ACCOUNT'!H52)</f>
        <v/>
      </c>
      <c r="I51" s="38" t="str">
        <f>IF('NEW ACCOUNT'!A52="","",'NEW ACCOUNT'!I52)</f>
        <v/>
      </c>
      <c r="J51" s="38" t="str">
        <f>IF('NEW ACCOUNT'!A52="","",'NEW ACCOUNT'!J52)</f>
        <v/>
      </c>
      <c r="K51" s="39" t="str">
        <f>IFERROR(IF(A51="","",SUMIF(DB_Savings!$A:$A,A51,DB_Savings!$F:$F)),"")</f>
        <v/>
      </c>
      <c r="L51" s="39" t="str">
        <f>IFERROR(IF(A51="","",SUMIF(DB_Withdrawals!$A:$A,A51,DB_Withdrawals!$G:$G)),"")</f>
        <v/>
      </c>
      <c r="M51" s="39" t="str">
        <f>IFERROR(IF(A51="","",IFERROR(VALUE(H51),0)+IFERROR(SUMIF(DB_Savings!$A:$A,A51,DB_Savings!$F:$F),0)-IFERROR(SUMIF(DB_Withdrawals!$A:$A,A51,DB_Withdrawals!$G:$G),0)),"")</f>
        <v/>
      </c>
      <c r="N51" s="39" t="str">
        <f>IFERROR(IF(A51="","",MAX(0,M51-System_Config!$B$9)),"")</f>
        <v/>
      </c>
    </row>
    <row r="52" spans="1:14" ht="19.5" customHeight="1" x14ac:dyDescent="0.25">
      <c r="A52" s="37" t="str">
        <f>'NEW ACCOUNT'!A53</f>
        <v/>
      </c>
      <c r="B52" s="38" t="str">
        <f>IF('NEW ACCOUNT'!A53="","",'NEW ACCOUNT'!B53)</f>
        <v/>
      </c>
      <c r="C52" s="38" t="str">
        <f>IF('NEW ACCOUNT'!A53="","",'NEW ACCOUNT'!C53)</f>
        <v/>
      </c>
      <c r="D52" s="38" t="str">
        <f>IF('NEW ACCOUNT'!A53="","",'NEW ACCOUNT'!D53)</f>
        <v/>
      </c>
      <c r="E52" s="38" t="str">
        <f>IF('NEW ACCOUNT'!A53="","",'NEW ACCOUNT'!E53)</f>
        <v/>
      </c>
      <c r="F52" s="38" t="str">
        <f>IF('NEW ACCOUNT'!A53="","",'NEW ACCOUNT'!F53)</f>
        <v/>
      </c>
      <c r="G52" s="38" t="str">
        <f>IF('NEW ACCOUNT'!A53="","",'NEW ACCOUNT'!G53)</f>
        <v/>
      </c>
      <c r="H52" s="38" t="str">
        <f>IF('NEW ACCOUNT'!A53="","",'NEW ACCOUNT'!H53)</f>
        <v/>
      </c>
      <c r="I52" s="38" t="str">
        <f>IF('NEW ACCOUNT'!A53="","",'NEW ACCOUNT'!I53)</f>
        <v/>
      </c>
      <c r="J52" s="38" t="str">
        <f>IF('NEW ACCOUNT'!A53="","",'NEW ACCOUNT'!J53)</f>
        <v/>
      </c>
      <c r="K52" s="39" t="str">
        <f>IFERROR(IF(A52="","",SUMIF(DB_Savings!$A:$A,A52,DB_Savings!$F:$F)),"")</f>
        <v/>
      </c>
      <c r="L52" s="39" t="str">
        <f>IFERROR(IF(A52="","",SUMIF(DB_Withdrawals!$A:$A,A52,DB_Withdrawals!$G:$G)),"")</f>
        <v/>
      </c>
      <c r="M52" s="39" t="str">
        <f>IFERROR(IF(A52="","",IFERROR(VALUE(H52),0)+IFERROR(SUMIF(DB_Savings!$A:$A,A52,DB_Savings!$F:$F),0)-IFERROR(SUMIF(DB_Withdrawals!$A:$A,A52,DB_Withdrawals!$G:$G),0)),"")</f>
        <v/>
      </c>
      <c r="N52" s="39" t="str">
        <f>IFERROR(IF(A52="","",MAX(0,M52-System_Config!$B$9)),"")</f>
        <v/>
      </c>
    </row>
    <row r="53" spans="1:14" ht="19.5" customHeight="1" x14ac:dyDescent="0.25">
      <c r="A53" s="37" t="str">
        <f>'NEW ACCOUNT'!A54</f>
        <v/>
      </c>
      <c r="B53" s="38" t="str">
        <f>IF('NEW ACCOUNT'!A54="","",'NEW ACCOUNT'!B54)</f>
        <v/>
      </c>
      <c r="C53" s="38" t="str">
        <f>IF('NEW ACCOUNT'!A54="","",'NEW ACCOUNT'!C54)</f>
        <v/>
      </c>
      <c r="D53" s="38" t="str">
        <f>IF('NEW ACCOUNT'!A54="","",'NEW ACCOUNT'!D54)</f>
        <v/>
      </c>
      <c r="E53" s="38" t="str">
        <f>IF('NEW ACCOUNT'!A54="","",'NEW ACCOUNT'!E54)</f>
        <v/>
      </c>
      <c r="F53" s="38" t="str">
        <f>IF('NEW ACCOUNT'!A54="","",'NEW ACCOUNT'!F54)</f>
        <v/>
      </c>
      <c r="G53" s="38" t="str">
        <f>IF('NEW ACCOUNT'!A54="","",'NEW ACCOUNT'!G54)</f>
        <v/>
      </c>
      <c r="H53" s="38" t="str">
        <f>IF('NEW ACCOUNT'!A54="","",'NEW ACCOUNT'!H54)</f>
        <v/>
      </c>
      <c r="I53" s="38" t="str">
        <f>IF('NEW ACCOUNT'!A54="","",'NEW ACCOUNT'!I54)</f>
        <v/>
      </c>
      <c r="J53" s="38" t="str">
        <f>IF('NEW ACCOUNT'!A54="","",'NEW ACCOUNT'!J54)</f>
        <v/>
      </c>
      <c r="K53" s="39" t="str">
        <f>IFERROR(IF(A53="","",SUMIF(DB_Savings!$A:$A,A53,DB_Savings!$F:$F)),"")</f>
        <v/>
      </c>
      <c r="L53" s="39" t="str">
        <f>IFERROR(IF(A53="","",SUMIF(DB_Withdrawals!$A:$A,A53,DB_Withdrawals!$G:$G)),"")</f>
        <v/>
      </c>
      <c r="M53" s="39" t="str">
        <f>IFERROR(IF(A53="","",IFERROR(VALUE(H53),0)+IFERROR(SUMIF(DB_Savings!$A:$A,A53,DB_Savings!$F:$F),0)-IFERROR(SUMIF(DB_Withdrawals!$A:$A,A53,DB_Withdrawals!$G:$G),0)),"")</f>
        <v/>
      </c>
      <c r="N53" s="39" t="str">
        <f>IFERROR(IF(A53="","",MAX(0,M53-System_Config!$B$9)),"")</f>
        <v/>
      </c>
    </row>
    <row r="54" spans="1:14" ht="19.5" customHeight="1" x14ac:dyDescent="0.25">
      <c r="A54" s="37" t="str">
        <f>'NEW ACCOUNT'!A55</f>
        <v/>
      </c>
      <c r="B54" s="38" t="str">
        <f>IF('NEW ACCOUNT'!A55="","",'NEW ACCOUNT'!B55)</f>
        <v/>
      </c>
      <c r="C54" s="38" t="str">
        <f>IF('NEW ACCOUNT'!A55="","",'NEW ACCOUNT'!C55)</f>
        <v/>
      </c>
      <c r="D54" s="38" t="str">
        <f>IF('NEW ACCOUNT'!A55="","",'NEW ACCOUNT'!D55)</f>
        <v/>
      </c>
      <c r="E54" s="38" t="str">
        <f>IF('NEW ACCOUNT'!A55="","",'NEW ACCOUNT'!E55)</f>
        <v/>
      </c>
      <c r="F54" s="38" t="str">
        <f>IF('NEW ACCOUNT'!A55="","",'NEW ACCOUNT'!F55)</f>
        <v/>
      </c>
      <c r="G54" s="38" t="str">
        <f>IF('NEW ACCOUNT'!A55="","",'NEW ACCOUNT'!G55)</f>
        <v/>
      </c>
      <c r="H54" s="38" t="str">
        <f>IF('NEW ACCOUNT'!A55="","",'NEW ACCOUNT'!H55)</f>
        <v/>
      </c>
      <c r="I54" s="38" t="str">
        <f>IF('NEW ACCOUNT'!A55="","",'NEW ACCOUNT'!I55)</f>
        <v/>
      </c>
      <c r="J54" s="38" t="str">
        <f>IF('NEW ACCOUNT'!A55="","",'NEW ACCOUNT'!J55)</f>
        <v/>
      </c>
      <c r="K54" s="39" t="str">
        <f>IFERROR(IF(A54="","",SUMIF(DB_Savings!$A:$A,A54,DB_Savings!$F:$F)),"")</f>
        <v/>
      </c>
      <c r="L54" s="39" t="str">
        <f>IFERROR(IF(A54="","",SUMIF(DB_Withdrawals!$A:$A,A54,DB_Withdrawals!$G:$G)),"")</f>
        <v/>
      </c>
      <c r="M54" s="39" t="str">
        <f>IFERROR(IF(A54="","",IFERROR(VALUE(H54),0)+IFERROR(SUMIF(DB_Savings!$A:$A,A54,DB_Savings!$F:$F),0)-IFERROR(SUMIF(DB_Withdrawals!$A:$A,A54,DB_Withdrawals!$G:$G),0)),"")</f>
        <v/>
      </c>
      <c r="N54" s="39" t="str">
        <f>IFERROR(IF(A54="","",MAX(0,M54-System_Config!$B$9)),"")</f>
        <v/>
      </c>
    </row>
    <row r="55" spans="1:14" ht="19.5" customHeight="1" x14ac:dyDescent="0.25">
      <c r="A55" s="37" t="str">
        <f>'NEW ACCOUNT'!A56</f>
        <v/>
      </c>
      <c r="B55" s="38" t="str">
        <f>IF('NEW ACCOUNT'!A56="","",'NEW ACCOUNT'!B56)</f>
        <v/>
      </c>
      <c r="C55" s="38" t="str">
        <f>IF('NEW ACCOUNT'!A56="","",'NEW ACCOUNT'!C56)</f>
        <v/>
      </c>
      <c r="D55" s="38" t="str">
        <f>IF('NEW ACCOUNT'!A56="","",'NEW ACCOUNT'!D56)</f>
        <v/>
      </c>
      <c r="E55" s="38" t="str">
        <f>IF('NEW ACCOUNT'!A56="","",'NEW ACCOUNT'!E56)</f>
        <v/>
      </c>
      <c r="F55" s="38" t="str">
        <f>IF('NEW ACCOUNT'!A56="","",'NEW ACCOUNT'!F56)</f>
        <v/>
      </c>
      <c r="G55" s="38" t="str">
        <f>IF('NEW ACCOUNT'!A56="","",'NEW ACCOUNT'!G56)</f>
        <v/>
      </c>
      <c r="H55" s="38" t="str">
        <f>IF('NEW ACCOUNT'!A56="","",'NEW ACCOUNT'!H56)</f>
        <v/>
      </c>
      <c r="I55" s="38" t="str">
        <f>IF('NEW ACCOUNT'!A56="","",'NEW ACCOUNT'!I56)</f>
        <v/>
      </c>
      <c r="J55" s="38" t="str">
        <f>IF('NEW ACCOUNT'!A56="","",'NEW ACCOUNT'!J56)</f>
        <v/>
      </c>
      <c r="K55" s="39" t="str">
        <f>IFERROR(IF(A55="","",SUMIF(DB_Savings!$A:$A,A55,DB_Savings!$F:$F)),"")</f>
        <v/>
      </c>
      <c r="L55" s="39" t="str">
        <f>IFERROR(IF(A55="","",SUMIF(DB_Withdrawals!$A:$A,A55,DB_Withdrawals!$G:$G)),"")</f>
        <v/>
      </c>
      <c r="M55" s="39" t="str">
        <f>IFERROR(IF(A55="","",IFERROR(VALUE(H55),0)+IFERROR(SUMIF(DB_Savings!$A:$A,A55,DB_Savings!$F:$F),0)-IFERROR(SUMIF(DB_Withdrawals!$A:$A,A55,DB_Withdrawals!$G:$G),0)),"")</f>
        <v/>
      </c>
      <c r="N55" s="39" t="str">
        <f>IFERROR(IF(A55="","",MAX(0,M55-System_Config!$B$9)),"")</f>
        <v/>
      </c>
    </row>
    <row r="56" spans="1:14" ht="19.5" customHeight="1" x14ac:dyDescent="0.25">
      <c r="A56" s="37" t="str">
        <f>'NEW ACCOUNT'!A57</f>
        <v/>
      </c>
      <c r="B56" s="38" t="str">
        <f>IF('NEW ACCOUNT'!A57="","",'NEW ACCOUNT'!B57)</f>
        <v/>
      </c>
      <c r="C56" s="38" t="str">
        <f>IF('NEW ACCOUNT'!A57="","",'NEW ACCOUNT'!C57)</f>
        <v/>
      </c>
      <c r="D56" s="38" t="str">
        <f>IF('NEW ACCOUNT'!A57="","",'NEW ACCOUNT'!D57)</f>
        <v/>
      </c>
      <c r="E56" s="38" t="str">
        <f>IF('NEW ACCOUNT'!A57="","",'NEW ACCOUNT'!E57)</f>
        <v/>
      </c>
      <c r="F56" s="38" t="str">
        <f>IF('NEW ACCOUNT'!A57="","",'NEW ACCOUNT'!F57)</f>
        <v/>
      </c>
      <c r="G56" s="38" t="str">
        <f>IF('NEW ACCOUNT'!A57="","",'NEW ACCOUNT'!G57)</f>
        <v/>
      </c>
      <c r="H56" s="38" t="str">
        <f>IF('NEW ACCOUNT'!A57="","",'NEW ACCOUNT'!H57)</f>
        <v/>
      </c>
      <c r="I56" s="38" t="str">
        <f>IF('NEW ACCOUNT'!A57="","",'NEW ACCOUNT'!I57)</f>
        <v/>
      </c>
      <c r="J56" s="38" t="str">
        <f>IF('NEW ACCOUNT'!A57="","",'NEW ACCOUNT'!J57)</f>
        <v/>
      </c>
      <c r="K56" s="39" t="str">
        <f>IFERROR(IF(A56="","",SUMIF(DB_Savings!$A:$A,A56,DB_Savings!$F:$F)),"")</f>
        <v/>
      </c>
      <c r="L56" s="39" t="str">
        <f>IFERROR(IF(A56="","",SUMIF(DB_Withdrawals!$A:$A,A56,DB_Withdrawals!$G:$G)),"")</f>
        <v/>
      </c>
      <c r="M56" s="39" t="str">
        <f>IFERROR(IF(A56="","",IFERROR(VALUE(H56),0)+IFERROR(SUMIF(DB_Savings!$A:$A,A56,DB_Savings!$F:$F),0)-IFERROR(SUMIF(DB_Withdrawals!$A:$A,A56,DB_Withdrawals!$G:$G),0)),"")</f>
        <v/>
      </c>
      <c r="N56" s="39" t="str">
        <f>IFERROR(IF(A56="","",MAX(0,M56-System_Config!$B$9)),"")</f>
        <v/>
      </c>
    </row>
    <row r="57" spans="1:14" ht="19.5" customHeight="1" x14ac:dyDescent="0.25">
      <c r="A57" s="37" t="str">
        <f>'NEW ACCOUNT'!A58</f>
        <v/>
      </c>
      <c r="B57" s="38" t="str">
        <f>IF('NEW ACCOUNT'!A58="","",'NEW ACCOUNT'!B58)</f>
        <v/>
      </c>
      <c r="C57" s="38" t="str">
        <f>IF('NEW ACCOUNT'!A58="","",'NEW ACCOUNT'!C58)</f>
        <v/>
      </c>
      <c r="D57" s="38" t="str">
        <f>IF('NEW ACCOUNT'!A58="","",'NEW ACCOUNT'!D58)</f>
        <v/>
      </c>
      <c r="E57" s="38" t="str">
        <f>IF('NEW ACCOUNT'!A58="","",'NEW ACCOUNT'!E58)</f>
        <v/>
      </c>
      <c r="F57" s="38" t="str">
        <f>IF('NEW ACCOUNT'!A58="","",'NEW ACCOUNT'!F58)</f>
        <v/>
      </c>
      <c r="G57" s="38" t="str">
        <f>IF('NEW ACCOUNT'!A58="","",'NEW ACCOUNT'!G58)</f>
        <v/>
      </c>
      <c r="H57" s="38" t="str">
        <f>IF('NEW ACCOUNT'!A58="","",'NEW ACCOUNT'!H58)</f>
        <v/>
      </c>
      <c r="I57" s="38" t="str">
        <f>IF('NEW ACCOUNT'!A58="","",'NEW ACCOUNT'!I58)</f>
        <v/>
      </c>
      <c r="J57" s="38" t="str">
        <f>IF('NEW ACCOUNT'!A58="","",'NEW ACCOUNT'!J58)</f>
        <v/>
      </c>
      <c r="K57" s="39" t="str">
        <f>IFERROR(IF(A57="","",SUMIF(DB_Savings!$A:$A,A57,DB_Savings!$F:$F)),"")</f>
        <v/>
      </c>
      <c r="L57" s="39" t="str">
        <f>IFERROR(IF(A57="","",SUMIF(DB_Withdrawals!$A:$A,A57,DB_Withdrawals!$G:$G)),"")</f>
        <v/>
      </c>
      <c r="M57" s="39" t="str">
        <f>IFERROR(IF(A57="","",IFERROR(VALUE(H57),0)+IFERROR(SUMIF(DB_Savings!$A:$A,A57,DB_Savings!$F:$F),0)-IFERROR(SUMIF(DB_Withdrawals!$A:$A,A57,DB_Withdrawals!$G:$G),0)),"")</f>
        <v/>
      </c>
      <c r="N57" s="39" t="str">
        <f>IFERROR(IF(A57="","",MAX(0,M57-System_Config!$B$9)),"")</f>
        <v/>
      </c>
    </row>
    <row r="58" spans="1:14" ht="19.5" customHeight="1" x14ac:dyDescent="0.25">
      <c r="A58" s="37" t="str">
        <f>'NEW ACCOUNT'!A59</f>
        <v/>
      </c>
      <c r="B58" s="38" t="str">
        <f>IF('NEW ACCOUNT'!A59="","",'NEW ACCOUNT'!B59)</f>
        <v/>
      </c>
      <c r="C58" s="38" t="str">
        <f>IF('NEW ACCOUNT'!A59="","",'NEW ACCOUNT'!C59)</f>
        <v/>
      </c>
      <c r="D58" s="38" t="str">
        <f>IF('NEW ACCOUNT'!A59="","",'NEW ACCOUNT'!D59)</f>
        <v/>
      </c>
      <c r="E58" s="38" t="str">
        <f>IF('NEW ACCOUNT'!A59="","",'NEW ACCOUNT'!E59)</f>
        <v/>
      </c>
      <c r="F58" s="38" t="str">
        <f>IF('NEW ACCOUNT'!A59="","",'NEW ACCOUNT'!F59)</f>
        <v/>
      </c>
      <c r="G58" s="38" t="str">
        <f>IF('NEW ACCOUNT'!A59="","",'NEW ACCOUNT'!G59)</f>
        <v/>
      </c>
      <c r="H58" s="38" t="str">
        <f>IF('NEW ACCOUNT'!A59="","",'NEW ACCOUNT'!H59)</f>
        <v/>
      </c>
      <c r="I58" s="38" t="str">
        <f>IF('NEW ACCOUNT'!A59="","",'NEW ACCOUNT'!I59)</f>
        <v/>
      </c>
      <c r="J58" s="38" t="str">
        <f>IF('NEW ACCOUNT'!A59="","",'NEW ACCOUNT'!J59)</f>
        <v/>
      </c>
      <c r="K58" s="39" t="str">
        <f>IFERROR(IF(A58="","",SUMIF(DB_Savings!$A:$A,A58,DB_Savings!$F:$F)),"")</f>
        <v/>
      </c>
      <c r="L58" s="39" t="str">
        <f>IFERROR(IF(A58="","",SUMIF(DB_Withdrawals!$A:$A,A58,DB_Withdrawals!$G:$G)),"")</f>
        <v/>
      </c>
      <c r="M58" s="39" t="str">
        <f>IFERROR(IF(A58="","",IFERROR(VALUE(H58),0)+IFERROR(SUMIF(DB_Savings!$A:$A,A58,DB_Savings!$F:$F),0)-IFERROR(SUMIF(DB_Withdrawals!$A:$A,A58,DB_Withdrawals!$G:$G),0)),"")</f>
        <v/>
      </c>
      <c r="N58" s="39" t="str">
        <f>IFERROR(IF(A58="","",MAX(0,M58-System_Config!$B$9)),"")</f>
        <v/>
      </c>
    </row>
    <row r="59" spans="1:14" ht="19.5" customHeight="1" x14ac:dyDescent="0.25">
      <c r="A59" s="37" t="str">
        <f>'NEW ACCOUNT'!A60</f>
        <v/>
      </c>
      <c r="B59" s="38" t="str">
        <f>IF('NEW ACCOUNT'!A60="","",'NEW ACCOUNT'!B60)</f>
        <v/>
      </c>
      <c r="C59" s="38" t="str">
        <f>IF('NEW ACCOUNT'!A60="","",'NEW ACCOUNT'!C60)</f>
        <v/>
      </c>
      <c r="D59" s="38" t="str">
        <f>IF('NEW ACCOUNT'!A60="","",'NEW ACCOUNT'!D60)</f>
        <v/>
      </c>
      <c r="E59" s="38" t="str">
        <f>IF('NEW ACCOUNT'!A60="","",'NEW ACCOUNT'!E60)</f>
        <v/>
      </c>
      <c r="F59" s="38" t="str">
        <f>IF('NEW ACCOUNT'!A60="","",'NEW ACCOUNT'!F60)</f>
        <v/>
      </c>
      <c r="G59" s="38" t="str">
        <f>IF('NEW ACCOUNT'!A60="","",'NEW ACCOUNT'!G60)</f>
        <v/>
      </c>
      <c r="H59" s="38" t="str">
        <f>IF('NEW ACCOUNT'!A60="","",'NEW ACCOUNT'!H60)</f>
        <v/>
      </c>
      <c r="I59" s="38" t="str">
        <f>IF('NEW ACCOUNT'!A60="","",'NEW ACCOUNT'!I60)</f>
        <v/>
      </c>
      <c r="J59" s="38" t="str">
        <f>IF('NEW ACCOUNT'!A60="","",'NEW ACCOUNT'!J60)</f>
        <v/>
      </c>
      <c r="K59" s="39" t="str">
        <f>IFERROR(IF(A59="","",SUMIF(DB_Savings!$A:$A,A59,DB_Savings!$F:$F)),"")</f>
        <v/>
      </c>
      <c r="L59" s="39" t="str">
        <f>IFERROR(IF(A59="","",SUMIF(DB_Withdrawals!$A:$A,A59,DB_Withdrawals!$G:$G)),"")</f>
        <v/>
      </c>
      <c r="M59" s="39" t="str">
        <f>IFERROR(IF(A59="","",IFERROR(VALUE(H59),0)+IFERROR(SUMIF(DB_Savings!$A:$A,A59,DB_Savings!$F:$F),0)-IFERROR(SUMIF(DB_Withdrawals!$A:$A,A59,DB_Withdrawals!$G:$G),0)),"")</f>
        <v/>
      </c>
      <c r="N59" s="39" t="str">
        <f>IFERROR(IF(A59="","",MAX(0,M59-System_Config!$B$9)),"")</f>
        <v/>
      </c>
    </row>
    <row r="60" spans="1:14" ht="19.5" customHeight="1" x14ac:dyDescent="0.25">
      <c r="A60" s="37" t="str">
        <f>'NEW ACCOUNT'!A61</f>
        <v/>
      </c>
      <c r="B60" s="38" t="str">
        <f>IF('NEW ACCOUNT'!A61="","",'NEW ACCOUNT'!B61)</f>
        <v/>
      </c>
      <c r="C60" s="38" t="str">
        <f>IF('NEW ACCOUNT'!A61="","",'NEW ACCOUNT'!C61)</f>
        <v/>
      </c>
      <c r="D60" s="38" t="str">
        <f>IF('NEW ACCOUNT'!A61="","",'NEW ACCOUNT'!D61)</f>
        <v/>
      </c>
      <c r="E60" s="38" t="str">
        <f>IF('NEW ACCOUNT'!A61="","",'NEW ACCOUNT'!E61)</f>
        <v/>
      </c>
      <c r="F60" s="38" t="str">
        <f>IF('NEW ACCOUNT'!A61="","",'NEW ACCOUNT'!F61)</f>
        <v/>
      </c>
      <c r="G60" s="38" t="str">
        <f>IF('NEW ACCOUNT'!A61="","",'NEW ACCOUNT'!G61)</f>
        <v/>
      </c>
      <c r="H60" s="38" t="str">
        <f>IF('NEW ACCOUNT'!A61="","",'NEW ACCOUNT'!H61)</f>
        <v/>
      </c>
      <c r="I60" s="38" t="str">
        <f>IF('NEW ACCOUNT'!A61="","",'NEW ACCOUNT'!I61)</f>
        <v/>
      </c>
      <c r="J60" s="38" t="str">
        <f>IF('NEW ACCOUNT'!A61="","",'NEW ACCOUNT'!J61)</f>
        <v/>
      </c>
      <c r="K60" s="39" t="str">
        <f>IFERROR(IF(A60="","",SUMIF(DB_Savings!$A:$A,A60,DB_Savings!$F:$F)),"")</f>
        <v/>
      </c>
      <c r="L60" s="39" t="str">
        <f>IFERROR(IF(A60="","",SUMIF(DB_Withdrawals!$A:$A,A60,DB_Withdrawals!$G:$G)),"")</f>
        <v/>
      </c>
      <c r="M60" s="39" t="str">
        <f>IFERROR(IF(A60="","",IFERROR(VALUE(H60),0)+IFERROR(SUMIF(DB_Savings!$A:$A,A60,DB_Savings!$F:$F),0)-IFERROR(SUMIF(DB_Withdrawals!$A:$A,A60,DB_Withdrawals!$G:$G),0)),"")</f>
        <v/>
      </c>
      <c r="N60" s="39" t="str">
        <f>IFERROR(IF(A60="","",MAX(0,M60-System_Config!$B$9)),"")</f>
        <v/>
      </c>
    </row>
    <row r="61" spans="1:14" ht="19.5" customHeight="1" x14ac:dyDescent="0.25">
      <c r="A61" s="37" t="str">
        <f>'NEW ACCOUNT'!A62</f>
        <v/>
      </c>
      <c r="B61" s="38" t="str">
        <f>IF('NEW ACCOUNT'!A62="","",'NEW ACCOUNT'!B62)</f>
        <v/>
      </c>
      <c r="C61" s="38" t="str">
        <f>IF('NEW ACCOUNT'!A62="","",'NEW ACCOUNT'!C62)</f>
        <v/>
      </c>
      <c r="D61" s="38" t="str">
        <f>IF('NEW ACCOUNT'!A62="","",'NEW ACCOUNT'!D62)</f>
        <v/>
      </c>
      <c r="E61" s="38" t="str">
        <f>IF('NEW ACCOUNT'!A62="","",'NEW ACCOUNT'!E62)</f>
        <v/>
      </c>
      <c r="F61" s="38" t="str">
        <f>IF('NEW ACCOUNT'!A62="","",'NEW ACCOUNT'!F62)</f>
        <v/>
      </c>
      <c r="G61" s="38" t="str">
        <f>IF('NEW ACCOUNT'!A62="","",'NEW ACCOUNT'!G62)</f>
        <v/>
      </c>
      <c r="H61" s="38" t="str">
        <f>IF('NEW ACCOUNT'!A62="","",'NEW ACCOUNT'!H62)</f>
        <v/>
      </c>
      <c r="I61" s="38" t="str">
        <f>IF('NEW ACCOUNT'!A62="","",'NEW ACCOUNT'!I62)</f>
        <v/>
      </c>
      <c r="J61" s="38" t="str">
        <f>IF('NEW ACCOUNT'!A62="","",'NEW ACCOUNT'!J62)</f>
        <v/>
      </c>
      <c r="K61" s="39" t="str">
        <f>IFERROR(IF(A61="","",SUMIF(DB_Savings!$A:$A,A61,DB_Savings!$F:$F)),"")</f>
        <v/>
      </c>
      <c r="L61" s="39" t="str">
        <f>IFERROR(IF(A61="","",SUMIF(DB_Withdrawals!$A:$A,A61,DB_Withdrawals!$G:$G)),"")</f>
        <v/>
      </c>
      <c r="M61" s="39" t="str">
        <f>IFERROR(IF(A61="","",IFERROR(VALUE(H61),0)+IFERROR(SUMIF(DB_Savings!$A:$A,A61,DB_Savings!$F:$F),0)-IFERROR(SUMIF(DB_Withdrawals!$A:$A,A61,DB_Withdrawals!$G:$G),0)),"")</f>
        <v/>
      </c>
      <c r="N61" s="39" t="str">
        <f>IFERROR(IF(A61="","",MAX(0,M61-System_Config!$B$9)),"")</f>
        <v/>
      </c>
    </row>
    <row r="62" spans="1:14" ht="19.5" customHeight="1" x14ac:dyDescent="0.25">
      <c r="A62" s="37" t="str">
        <f>'NEW ACCOUNT'!A63</f>
        <v/>
      </c>
      <c r="B62" s="38" t="str">
        <f>IF('NEW ACCOUNT'!A63="","",'NEW ACCOUNT'!B63)</f>
        <v/>
      </c>
      <c r="C62" s="38" t="str">
        <f>IF('NEW ACCOUNT'!A63="","",'NEW ACCOUNT'!C63)</f>
        <v/>
      </c>
      <c r="D62" s="38" t="str">
        <f>IF('NEW ACCOUNT'!A63="","",'NEW ACCOUNT'!D63)</f>
        <v/>
      </c>
      <c r="E62" s="38" t="str">
        <f>IF('NEW ACCOUNT'!A63="","",'NEW ACCOUNT'!E63)</f>
        <v/>
      </c>
      <c r="F62" s="38" t="str">
        <f>IF('NEW ACCOUNT'!A63="","",'NEW ACCOUNT'!F63)</f>
        <v/>
      </c>
      <c r="G62" s="38" t="str">
        <f>IF('NEW ACCOUNT'!A63="","",'NEW ACCOUNT'!G63)</f>
        <v/>
      </c>
      <c r="H62" s="38" t="str">
        <f>IF('NEW ACCOUNT'!A63="","",'NEW ACCOUNT'!H63)</f>
        <v/>
      </c>
      <c r="I62" s="38" t="str">
        <f>IF('NEW ACCOUNT'!A63="","",'NEW ACCOUNT'!I63)</f>
        <v/>
      </c>
      <c r="J62" s="38" t="str">
        <f>IF('NEW ACCOUNT'!A63="","",'NEW ACCOUNT'!J63)</f>
        <v/>
      </c>
      <c r="K62" s="39" t="str">
        <f>IFERROR(IF(A62="","",SUMIF(DB_Savings!$A:$A,A62,DB_Savings!$F:$F)),"")</f>
        <v/>
      </c>
      <c r="L62" s="39" t="str">
        <f>IFERROR(IF(A62="","",SUMIF(DB_Withdrawals!$A:$A,A62,DB_Withdrawals!$G:$G)),"")</f>
        <v/>
      </c>
      <c r="M62" s="39" t="str">
        <f>IFERROR(IF(A62="","",IFERROR(VALUE(H62),0)+IFERROR(SUMIF(DB_Savings!$A:$A,A62,DB_Savings!$F:$F),0)-IFERROR(SUMIF(DB_Withdrawals!$A:$A,A62,DB_Withdrawals!$G:$G),0)),"")</f>
        <v/>
      </c>
      <c r="N62" s="39" t="str">
        <f>IFERROR(IF(A62="","",MAX(0,M62-System_Config!$B$9)),"")</f>
        <v/>
      </c>
    </row>
    <row r="63" spans="1:14" ht="19.5" customHeight="1" x14ac:dyDescent="0.25">
      <c r="A63" s="37" t="str">
        <f>'NEW ACCOUNT'!A64</f>
        <v/>
      </c>
      <c r="B63" s="38" t="str">
        <f>IF('NEW ACCOUNT'!A64="","",'NEW ACCOUNT'!B64)</f>
        <v/>
      </c>
      <c r="C63" s="38" t="str">
        <f>IF('NEW ACCOUNT'!A64="","",'NEW ACCOUNT'!C64)</f>
        <v/>
      </c>
      <c r="D63" s="38" t="str">
        <f>IF('NEW ACCOUNT'!A64="","",'NEW ACCOUNT'!D64)</f>
        <v/>
      </c>
      <c r="E63" s="38" t="str">
        <f>IF('NEW ACCOUNT'!A64="","",'NEW ACCOUNT'!E64)</f>
        <v/>
      </c>
      <c r="F63" s="38" t="str">
        <f>IF('NEW ACCOUNT'!A64="","",'NEW ACCOUNT'!F64)</f>
        <v/>
      </c>
      <c r="G63" s="38" t="str">
        <f>IF('NEW ACCOUNT'!A64="","",'NEW ACCOUNT'!G64)</f>
        <v/>
      </c>
      <c r="H63" s="38" t="str">
        <f>IF('NEW ACCOUNT'!A64="","",'NEW ACCOUNT'!H64)</f>
        <v/>
      </c>
      <c r="I63" s="38" t="str">
        <f>IF('NEW ACCOUNT'!A64="","",'NEW ACCOUNT'!I64)</f>
        <v/>
      </c>
      <c r="J63" s="38" t="str">
        <f>IF('NEW ACCOUNT'!A64="","",'NEW ACCOUNT'!J64)</f>
        <v/>
      </c>
      <c r="K63" s="39" t="str">
        <f>IFERROR(IF(A63="","",SUMIF(DB_Savings!$A:$A,A63,DB_Savings!$F:$F)),"")</f>
        <v/>
      </c>
      <c r="L63" s="39" t="str">
        <f>IFERROR(IF(A63="","",SUMIF(DB_Withdrawals!$A:$A,A63,DB_Withdrawals!$G:$G)),"")</f>
        <v/>
      </c>
      <c r="M63" s="39" t="str">
        <f>IFERROR(IF(A63="","",IFERROR(VALUE(H63),0)+IFERROR(SUMIF(DB_Savings!$A:$A,A63,DB_Savings!$F:$F),0)-IFERROR(SUMIF(DB_Withdrawals!$A:$A,A63,DB_Withdrawals!$G:$G),0)),"")</f>
        <v/>
      </c>
      <c r="N63" s="39" t="str">
        <f>IFERROR(IF(A63="","",MAX(0,M63-System_Config!$B$9)),"")</f>
        <v/>
      </c>
    </row>
    <row r="64" spans="1:14" ht="19.5" customHeight="1" x14ac:dyDescent="0.25">
      <c r="A64" s="37" t="str">
        <f>'NEW ACCOUNT'!A65</f>
        <v/>
      </c>
      <c r="B64" s="38" t="str">
        <f>IF('NEW ACCOUNT'!A65="","",'NEW ACCOUNT'!B65)</f>
        <v/>
      </c>
      <c r="C64" s="38" t="str">
        <f>IF('NEW ACCOUNT'!A65="","",'NEW ACCOUNT'!C65)</f>
        <v/>
      </c>
      <c r="D64" s="38" t="str">
        <f>IF('NEW ACCOUNT'!A65="","",'NEW ACCOUNT'!D65)</f>
        <v/>
      </c>
      <c r="E64" s="38" t="str">
        <f>IF('NEW ACCOUNT'!A65="","",'NEW ACCOUNT'!E65)</f>
        <v/>
      </c>
      <c r="F64" s="38" t="str">
        <f>IF('NEW ACCOUNT'!A65="","",'NEW ACCOUNT'!F65)</f>
        <v/>
      </c>
      <c r="G64" s="38" t="str">
        <f>IF('NEW ACCOUNT'!A65="","",'NEW ACCOUNT'!G65)</f>
        <v/>
      </c>
      <c r="H64" s="38" t="str">
        <f>IF('NEW ACCOUNT'!A65="","",'NEW ACCOUNT'!H65)</f>
        <v/>
      </c>
      <c r="I64" s="38" t="str">
        <f>IF('NEW ACCOUNT'!A65="","",'NEW ACCOUNT'!I65)</f>
        <v/>
      </c>
      <c r="J64" s="38" t="str">
        <f>IF('NEW ACCOUNT'!A65="","",'NEW ACCOUNT'!J65)</f>
        <v/>
      </c>
      <c r="K64" s="39" t="str">
        <f>IFERROR(IF(A64="","",SUMIF(DB_Savings!$A:$A,A64,DB_Savings!$F:$F)),"")</f>
        <v/>
      </c>
      <c r="L64" s="39" t="str">
        <f>IFERROR(IF(A64="","",SUMIF(DB_Withdrawals!$A:$A,A64,DB_Withdrawals!$G:$G)),"")</f>
        <v/>
      </c>
      <c r="M64" s="39" t="str">
        <f>IFERROR(IF(A64="","",IFERROR(VALUE(H64),0)+IFERROR(SUMIF(DB_Savings!$A:$A,A64,DB_Savings!$F:$F),0)-IFERROR(SUMIF(DB_Withdrawals!$A:$A,A64,DB_Withdrawals!$G:$G),0)),"")</f>
        <v/>
      </c>
      <c r="N64" s="39" t="str">
        <f>IFERROR(IF(A64="","",MAX(0,M64-System_Config!$B$9)),"")</f>
        <v/>
      </c>
    </row>
    <row r="65" spans="1:14" ht="19.5" customHeight="1" x14ac:dyDescent="0.25">
      <c r="A65" s="37" t="str">
        <f>'NEW ACCOUNT'!A66</f>
        <v/>
      </c>
      <c r="B65" s="38" t="str">
        <f>IF('NEW ACCOUNT'!A66="","",'NEW ACCOUNT'!B66)</f>
        <v/>
      </c>
      <c r="C65" s="38" t="str">
        <f>IF('NEW ACCOUNT'!A66="","",'NEW ACCOUNT'!C66)</f>
        <v/>
      </c>
      <c r="D65" s="38" t="str">
        <f>IF('NEW ACCOUNT'!A66="","",'NEW ACCOUNT'!D66)</f>
        <v/>
      </c>
      <c r="E65" s="38" t="str">
        <f>IF('NEW ACCOUNT'!A66="","",'NEW ACCOUNT'!E66)</f>
        <v/>
      </c>
      <c r="F65" s="38" t="str">
        <f>IF('NEW ACCOUNT'!A66="","",'NEW ACCOUNT'!F66)</f>
        <v/>
      </c>
      <c r="G65" s="38" t="str">
        <f>IF('NEW ACCOUNT'!A66="","",'NEW ACCOUNT'!G66)</f>
        <v/>
      </c>
      <c r="H65" s="38" t="str">
        <f>IF('NEW ACCOUNT'!A66="","",'NEW ACCOUNT'!H66)</f>
        <v/>
      </c>
      <c r="I65" s="38" t="str">
        <f>IF('NEW ACCOUNT'!A66="","",'NEW ACCOUNT'!I66)</f>
        <v/>
      </c>
      <c r="J65" s="38" t="str">
        <f>IF('NEW ACCOUNT'!A66="","",'NEW ACCOUNT'!J66)</f>
        <v/>
      </c>
      <c r="K65" s="39" t="str">
        <f>IFERROR(IF(A65="","",SUMIF(DB_Savings!$A:$A,A65,DB_Savings!$F:$F)),"")</f>
        <v/>
      </c>
      <c r="L65" s="39" t="str">
        <f>IFERROR(IF(A65="","",SUMIF(DB_Withdrawals!$A:$A,A65,DB_Withdrawals!$G:$G)),"")</f>
        <v/>
      </c>
      <c r="M65" s="39" t="str">
        <f>IFERROR(IF(A65="","",IFERROR(VALUE(H65),0)+IFERROR(SUMIF(DB_Savings!$A:$A,A65,DB_Savings!$F:$F),0)-IFERROR(SUMIF(DB_Withdrawals!$A:$A,A65,DB_Withdrawals!$G:$G),0)),"")</f>
        <v/>
      </c>
      <c r="N65" s="39" t="str">
        <f>IFERROR(IF(A65="","",MAX(0,M65-System_Config!$B$9)),"")</f>
        <v/>
      </c>
    </row>
    <row r="66" spans="1:14" ht="19.5" customHeight="1" x14ac:dyDescent="0.25">
      <c r="A66" s="37" t="str">
        <f>'NEW ACCOUNT'!A67</f>
        <v/>
      </c>
      <c r="B66" s="38" t="str">
        <f>IF('NEW ACCOUNT'!A67="","",'NEW ACCOUNT'!B67)</f>
        <v/>
      </c>
      <c r="C66" s="38" t="str">
        <f>IF('NEW ACCOUNT'!A67="","",'NEW ACCOUNT'!C67)</f>
        <v/>
      </c>
      <c r="D66" s="38" t="str">
        <f>IF('NEW ACCOUNT'!A67="","",'NEW ACCOUNT'!D67)</f>
        <v/>
      </c>
      <c r="E66" s="38" t="str">
        <f>IF('NEW ACCOUNT'!A67="","",'NEW ACCOUNT'!E67)</f>
        <v/>
      </c>
      <c r="F66" s="38" t="str">
        <f>IF('NEW ACCOUNT'!A67="","",'NEW ACCOUNT'!F67)</f>
        <v/>
      </c>
      <c r="G66" s="38" t="str">
        <f>IF('NEW ACCOUNT'!A67="","",'NEW ACCOUNT'!G67)</f>
        <v/>
      </c>
      <c r="H66" s="38" t="str">
        <f>IF('NEW ACCOUNT'!A67="","",'NEW ACCOUNT'!H67)</f>
        <v/>
      </c>
      <c r="I66" s="38" t="str">
        <f>IF('NEW ACCOUNT'!A67="","",'NEW ACCOUNT'!I67)</f>
        <v/>
      </c>
      <c r="J66" s="38" t="str">
        <f>IF('NEW ACCOUNT'!A67="","",'NEW ACCOUNT'!J67)</f>
        <v/>
      </c>
      <c r="K66" s="39" t="str">
        <f>IFERROR(IF(A66="","",SUMIF(DB_Savings!$A:$A,A66,DB_Savings!$F:$F)),"")</f>
        <v/>
      </c>
      <c r="L66" s="39" t="str">
        <f>IFERROR(IF(A66="","",SUMIF(DB_Withdrawals!$A:$A,A66,DB_Withdrawals!$G:$G)),"")</f>
        <v/>
      </c>
      <c r="M66" s="39" t="str">
        <f>IFERROR(IF(A66="","",IFERROR(VALUE(H66),0)+IFERROR(SUMIF(DB_Savings!$A:$A,A66,DB_Savings!$F:$F),0)-IFERROR(SUMIF(DB_Withdrawals!$A:$A,A66,DB_Withdrawals!$G:$G),0)),"")</f>
        <v/>
      </c>
      <c r="N66" s="39" t="str">
        <f>IFERROR(IF(A66="","",MAX(0,M66-System_Config!$B$9)),"")</f>
        <v/>
      </c>
    </row>
    <row r="67" spans="1:14" ht="19.5" customHeight="1" x14ac:dyDescent="0.25">
      <c r="A67" s="37" t="str">
        <f>'NEW ACCOUNT'!A68</f>
        <v/>
      </c>
      <c r="B67" s="38" t="str">
        <f>IF('NEW ACCOUNT'!A68="","",'NEW ACCOUNT'!B68)</f>
        <v/>
      </c>
      <c r="C67" s="38" t="str">
        <f>IF('NEW ACCOUNT'!A68="","",'NEW ACCOUNT'!C68)</f>
        <v/>
      </c>
      <c r="D67" s="38" t="str">
        <f>IF('NEW ACCOUNT'!A68="","",'NEW ACCOUNT'!D68)</f>
        <v/>
      </c>
      <c r="E67" s="38" t="str">
        <f>IF('NEW ACCOUNT'!A68="","",'NEW ACCOUNT'!E68)</f>
        <v/>
      </c>
      <c r="F67" s="38" t="str">
        <f>IF('NEW ACCOUNT'!A68="","",'NEW ACCOUNT'!F68)</f>
        <v/>
      </c>
      <c r="G67" s="38" t="str">
        <f>IF('NEW ACCOUNT'!A68="","",'NEW ACCOUNT'!G68)</f>
        <v/>
      </c>
      <c r="H67" s="38" t="str">
        <f>IF('NEW ACCOUNT'!A68="","",'NEW ACCOUNT'!H68)</f>
        <v/>
      </c>
      <c r="I67" s="38" t="str">
        <f>IF('NEW ACCOUNT'!A68="","",'NEW ACCOUNT'!I68)</f>
        <v/>
      </c>
      <c r="J67" s="38" t="str">
        <f>IF('NEW ACCOUNT'!A68="","",'NEW ACCOUNT'!J68)</f>
        <v/>
      </c>
      <c r="K67" s="39" t="str">
        <f>IFERROR(IF(A67="","",SUMIF(DB_Savings!$A:$A,A67,DB_Savings!$F:$F)),"")</f>
        <v/>
      </c>
      <c r="L67" s="39" t="str">
        <f>IFERROR(IF(A67="","",SUMIF(DB_Withdrawals!$A:$A,A67,DB_Withdrawals!$G:$G)),"")</f>
        <v/>
      </c>
      <c r="M67" s="39" t="str">
        <f>IFERROR(IF(A67="","",IFERROR(VALUE(H67),0)+IFERROR(SUMIF(DB_Savings!$A:$A,A67,DB_Savings!$F:$F),0)-IFERROR(SUMIF(DB_Withdrawals!$A:$A,A67,DB_Withdrawals!$G:$G),0)),"")</f>
        <v/>
      </c>
      <c r="N67" s="39" t="str">
        <f>IFERROR(IF(A67="","",MAX(0,M67-System_Config!$B$9)),"")</f>
        <v/>
      </c>
    </row>
    <row r="68" spans="1:14" ht="19.5" customHeight="1" x14ac:dyDescent="0.25">
      <c r="A68" s="37" t="str">
        <f>'NEW ACCOUNT'!A69</f>
        <v/>
      </c>
      <c r="B68" s="38" t="str">
        <f>IF('NEW ACCOUNT'!A69="","",'NEW ACCOUNT'!B69)</f>
        <v/>
      </c>
      <c r="C68" s="38" t="str">
        <f>IF('NEW ACCOUNT'!A69="","",'NEW ACCOUNT'!C69)</f>
        <v/>
      </c>
      <c r="D68" s="38" t="str">
        <f>IF('NEW ACCOUNT'!A69="","",'NEW ACCOUNT'!D69)</f>
        <v/>
      </c>
      <c r="E68" s="38" t="str">
        <f>IF('NEW ACCOUNT'!A69="","",'NEW ACCOUNT'!E69)</f>
        <v/>
      </c>
      <c r="F68" s="38" t="str">
        <f>IF('NEW ACCOUNT'!A69="","",'NEW ACCOUNT'!F69)</f>
        <v/>
      </c>
      <c r="G68" s="38" t="str">
        <f>IF('NEW ACCOUNT'!A69="","",'NEW ACCOUNT'!G69)</f>
        <v/>
      </c>
      <c r="H68" s="38" t="str">
        <f>IF('NEW ACCOUNT'!A69="","",'NEW ACCOUNT'!H69)</f>
        <v/>
      </c>
      <c r="I68" s="38" t="str">
        <f>IF('NEW ACCOUNT'!A69="","",'NEW ACCOUNT'!I69)</f>
        <v/>
      </c>
      <c r="J68" s="38" t="str">
        <f>IF('NEW ACCOUNT'!A69="","",'NEW ACCOUNT'!J69)</f>
        <v/>
      </c>
      <c r="K68" s="39" t="str">
        <f>IFERROR(IF(A68="","",SUMIF(DB_Savings!$A:$A,A68,DB_Savings!$F:$F)),"")</f>
        <v/>
      </c>
      <c r="L68" s="39" t="str">
        <f>IFERROR(IF(A68="","",SUMIF(DB_Withdrawals!$A:$A,A68,DB_Withdrawals!$G:$G)),"")</f>
        <v/>
      </c>
      <c r="M68" s="39" t="str">
        <f>IFERROR(IF(A68="","",IFERROR(VALUE(H68),0)+IFERROR(SUMIF(DB_Savings!$A:$A,A68,DB_Savings!$F:$F),0)-IFERROR(SUMIF(DB_Withdrawals!$A:$A,A68,DB_Withdrawals!$G:$G),0)),"")</f>
        <v/>
      </c>
      <c r="N68" s="39" t="str">
        <f>IFERROR(IF(A68="","",MAX(0,M68-System_Config!$B$9)),"")</f>
        <v/>
      </c>
    </row>
    <row r="69" spans="1:14" ht="19.5" customHeight="1" x14ac:dyDescent="0.25">
      <c r="A69" s="37" t="str">
        <f>'NEW ACCOUNT'!A70</f>
        <v/>
      </c>
      <c r="B69" s="38" t="str">
        <f>IF('NEW ACCOUNT'!A70="","",'NEW ACCOUNT'!B70)</f>
        <v/>
      </c>
      <c r="C69" s="38" t="str">
        <f>IF('NEW ACCOUNT'!A70="","",'NEW ACCOUNT'!C70)</f>
        <v/>
      </c>
      <c r="D69" s="38" t="str">
        <f>IF('NEW ACCOUNT'!A70="","",'NEW ACCOUNT'!D70)</f>
        <v/>
      </c>
      <c r="E69" s="38" t="str">
        <f>IF('NEW ACCOUNT'!A70="","",'NEW ACCOUNT'!E70)</f>
        <v/>
      </c>
      <c r="F69" s="38" t="str">
        <f>IF('NEW ACCOUNT'!A70="","",'NEW ACCOUNT'!F70)</f>
        <v/>
      </c>
      <c r="G69" s="38" t="str">
        <f>IF('NEW ACCOUNT'!A70="","",'NEW ACCOUNT'!G70)</f>
        <v/>
      </c>
      <c r="H69" s="38" t="str">
        <f>IF('NEW ACCOUNT'!A70="","",'NEW ACCOUNT'!H70)</f>
        <v/>
      </c>
      <c r="I69" s="38" t="str">
        <f>IF('NEW ACCOUNT'!A70="","",'NEW ACCOUNT'!I70)</f>
        <v/>
      </c>
      <c r="J69" s="38" t="str">
        <f>IF('NEW ACCOUNT'!A70="","",'NEW ACCOUNT'!J70)</f>
        <v/>
      </c>
      <c r="K69" s="39" t="str">
        <f>IFERROR(IF(A69="","",SUMIF(DB_Savings!$A:$A,A69,DB_Savings!$F:$F)),"")</f>
        <v/>
      </c>
      <c r="L69" s="39" t="str">
        <f>IFERROR(IF(A69="","",SUMIF(DB_Withdrawals!$A:$A,A69,DB_Withdrawals!$G:$G)),"")</f>
        <v/>
      </c>
      <c r="M69" s="39" t="str">
        <f>IFERROR(IF(A69="","",IFERROR(VALUE(H69),0)+IFERROR(SUMIF(DB_Savings!$A:$A,A69,DB_Savings!$F:$F),0)-IFERROR(SUMIF(DB_Withdrawals!$A:$A,A69,DB_Withdrawals!$G:$G),0)),"")</f>
        <v/>
      </c>
      <c r="N69" s="39" t="str">
        <f>IFERROR(IF(A69="","",MAX(0,M69-System_Config!$B$9)),"")</f>
        <v/>
      </c>
    </row>
    <row r="70" spans="1:14" ht="19.5" customHeight="1" x14ac:dyDescent="0.25">
      <c r="A70" s="37" t="str">
        <f>'NEW ACCOUNT'!A71</f>
        <v/>
      </c>
      <c r="B70" s="38" t="str">
        <f>IF('NEW ACCOUNT'!A71="","",'NEW ACCOUNT'!B71)</f>
        <v/>
      </c>
      <c r="C70" s="38" t="str">
        <f>IF('NEW ACCOUNT'!A71="","",'NEW ACCOUNT'!C71)</f>
        <v/>
      </c>
      <c r="D70" s="38" t="str">
        <f>IF('NEW ACCOUNT'!A71="","",'NEW ACCOUNT'!D71)</f>
        <v/>
      </c>
      <c r="E70" s="38" t="str">
        <f>IF('NEW ACCOUNT'!A71="","",'NEW ACCOUNT'!E71)</f>
        <v/>
      </c>
      <c r="F70" s="38" t="str">
        <f>IF('NEW ACCOUNT'!A71="","",'NEW ACCOUNT'!F71)</f>
        <v/>
      </c>
      <c r="G70" s="38" t="str">
        <f>IF('NEW ACCOUNT'!A71="","",'NEW ACCOUNT'!G71)</f>
        <v/>
      </c>
      <c r="H70" s="38" t="str">
        <f>IF('NEW ACCOUNT'!A71="","",'NEW ACCOUNT'!H71)</f>
        <v/>
      </c>
      <c r="I70" s="38" t="str">
        <f>IF('NEW ACCOUNT'!A71="","",'NEW ACCOUNT'!I71)</f>
        <v/>
      </c>
      <c r="J70" s="38" t="str">
        <f>IF('NEW ACCOUNT'!A71="","",'NEW ACCOUNT'!J71)</f>
        <v/>
      </c>
      <c r="K70" s="39" t="str">
        <f>IFERROR(IF(A70="","",SUMIF(DB_Savings!$A:$A,A70,DB_Savings!$F:$F)),"")</f>
        <v/>
      </c>
      <c r="L70" s="39" t="str">
        <f>IFERROR(IF(A70="","",SUMIF(DB_Withdrawals!$A:$A,A70,DB_Withdrawals!$G:$G)),"")</f>
        <v/>
      </c>
      <c r="M70" s="39" t="str">
        <f>IFERROR(IF(A70="","",IFERROR(VALUE(H70),0)+IFERROR(SUMIF(DB_Savings!$A:$A,A70,DB_Savings!$F:$F),0)-IFERROR(SUMIF(DB_Withdrawals!$A:$A,A70,DB_Withdrawals!$G:$G),0)),"")</f>
        <v/>
      </c>
      <c r="N70" s="39" t="str">
        <f>IFERROR(IF(A70="","",MAX(0,M70-System_Config!$B$9)),"")</f>
        <v/>
      </c>
    </row>
    <row r="71" spans="1:14" ht="19.5" customHeight="1" x14ac:dyDescent="0.25">
      <c r="A71" s="37" t="str">
        <f>'NEW ACCOUNT'!A72</f>
        <v/>
      </c>
      <c r="B71" s="38" t="str">
        <f>IF('NEW ACCOUNT'!A72="","",'NEW ACCOUNT'!B72)</f>
        <v/>
      </c>
      <c r="C71" s="38" t="str">
        <f>IF('NEW ACCOUNT'!A72="","",'NEW ACCOUNT'!C72)</f>
        <v/>
      </c>
      <c r="D71" s="38" t="str">
        <f>IF('NEW ACCOUNT'!A72="","",'NEW ACCOUNT'!D72)</f>
        <v/>
      </c>
      <c r="E71" s="38" t="str">
        <f>IF('NEW ACCOUNT'!A72="","",'NEW ACCOUNT'!E72)</f>
        <v/>
      </c>
      <c r="F71" s="38" t="str">
        <f>IF('NEW ACCOUNT'!A72="","",'NEW ACCOUNT'!F72)</f>
        <v/>
      </c>
      <c r="G71" s="38" t="str">
        <f>IF('NEW ACCOUNT'!A72="","",'NEW ACCOUNT'!G72)</f>
        <v/>
      </c>
      <c r="H71" s="38" t="str">
        <f>IF('NEW ACCOUNT'!A72="","",'NEW ACCOUNT'!H72)</f>
        <v/>
      </c>
      <c r="I71" s="38" t="str">
        <f>IF('NEW ACCOUNT'!A72="","",'NEW ACCOUNT'!I72)</f>
        <v/>
      </c>
      <c r="J71" s="38" t="str">
        <f>IF('NEW ACCOUNT'!A72="","",'NEW ACCOUNT'!J72)</f>
        <v/>
      </c>
      <c r="K71" s="39" t="str">
        <f>IFERROR(IF(A71="","",SUMIF(DB_Savings!$A:$A,A71,DB_Savings!$F:$F)),"")</f>
        <v/>
      </c>
      <c r="L71" s="39" t="str">
        <f>IFERROR(IF(A71="","",SUMIF(DB_Withdrawals!$A:$A,A71,DB_Withdrawals!$G:$G)),"")</f>
        <v/>
      </c>
      <c r="M71" s="39" t="str">
        <f>IFERROR(IF(A71="","",IFERROR(VALUE(H71),0)+IFERROR(SUMIF(DB_Savings!$A:$A,A71,DB_Savings!$F:$F),0)-IFERROR(SUMIF(DB_Withdrawals!$A:$A,A71,DB_Withdrawals!$G:$G),0)),"")</f>
        <v/>
      </c>
      <c r="N71" s="39" t="str">
        <f>IFERROR(IF(A71="","",MAX(0,M71-System_Config!$B$9)),"")</f>
        <v/>
      </c>
    </row>
    <row r="72" spans="1:14" ht="19.5" customHeight="1" x14ac:dyDescent="0.25">
      <c r="A72" s="37" t="str">
        <f>'NEW ACCOUNT'!A73</f>
        <v/>
      </c>
      <c r="B72" s="38" t="str">
        <f>IF('NEW ACCOUNT'!A73="","",'NEW ACCOUNT'!B73)</f>
        <v/>
      </c>
      <c r="C72" s="38" t="str">
        <f>IF('NEW ACCOUNT'!A73="","",'NEW ACCOUNT'!C73)</f>
        <v/>
      </c>
      <c r="D72" s="38" t="str">
        <f>IF('NEW ACCOUNT'!A73="","",'NEW ACCOUNT'!D73)</f>
        <v/>
      </c>
      <c r="E72" s="38" t="str">
        <f>IF('NEW ACCOUNT'!A73="","",'NEW ACCOUNT'!E73)</f>
        <v/>
      </c>
      <c r="F72" s="38" t="str">
        <f>IF('NEW ACCOUNT'!A73="","",'NEW ACCOUNT'!F73)</f>
        <v/>
      </c>
      <c r="G72" s="38" t="str">
        <f>IF('NEW ACCOUNT'!A73="","",'NEW ACCOUNT'!G73)</f>
        <v/>
      </c>
      <c r="H72" s="38" t="str">
        <f>IF('NEW ACCOUNT'!A73="","",'NEW ACCOUNT'!H73)</f>
        <v/>
      </c>
      <c r="I72" s="38" t="str">
        <f>IF('NEW ACCOUNT'!A73="","",'NEW ACCOUNT'!I73)</f>
        <v/>
      </c>
      <c r="J72" s="38" t="str">
        <f>IF('NEW ACCOUNT'!A73="","",'NEW ACCOUNT'!J73)</f>
        <v/>
      </c>
      <c r="K72" s="39" t="str">
        <f>IFERROR(IF(A72="","",SUMIF(DB_Savings!$A:$A,A72,DB_Savings!$F:$F)),"")</f>
        <v/>
      </c>
      <c r="L72" s="39" t="str">
        <f>IFERROR(IF(A72="","",SUMIF(DB_Withdrawals!$A:$A,A72,DB_Withdrawals!$G:$G)),"")</f>
        <v/>
      </c>
      <c r="M72" s="39" t="str">
        <f>IFERROR(IF(A72="","",IFERROR(VALUE(H72),0)+IFERROR(SUMIF(DB_Savings!$A:$A,A72,DB_Savings!$F:$F),0)-IFERROR(SUMIF(DB_Withdrawals!$A:$A,A72,DB_Withdrawals!$G:$G),0)),"")</f>
        <v/>
      </c>
      <c r="N72" s="39" t="str">
        <f>IFERROR(IF(A72="","",MAX(0,M72-System_Config!$B$9)),"")</f>
        <v/>
      </c>
    </row>
    <row r="73" spans="1:14" ht="19.5" customHeight="1" x14ac:dyDescent="0.25">
      <c r="A73" s="37" t="str">
        <f>'NEW ACCOUNT'!A74</f>
        <v/>
      </c>
      <c r="B73" s="38" t="str">
        <f>IF('NEW ACCOUNT'!A74="","",'NEW ACCOUNT'!B74)</f>
        <v/>
      </c>
      <c r="C73" s="38" t="str">
        <f>IF('NEW ACCOUNT'!A74="","",'NEW ACCOUNT'!C74)</f>
        <v/>
      </c>
      <c r="D73" s="38" t="str">
        <f>IF('NEW ACCOUNT'!A74="","",'NEW ACCOUNT'!D74)</f>
        <v/>
      </c>
      <c r="E73" s="38" t="str">
        <f>IF('NEW ACCOUNT'!A74="","",'NEW ACCOUNT'!E74)</f>
        <v/>
      </c>
      <c r="F73" s="38" t="str">
        <f>IF('NEW ACCOUNT'!A74="","",'NEW ACCOUNT'!F74)</f>
        <v/>
      </c>
      <c r="G73" s="38" t="str">
        <f>IF('NEW ACCOUNT'!A74="","",'NEW ACCOUNT'!G74)</f>
        <v/>
      </c>
      <c r="H73" s="38" t="str">
        <f>IF('NEW ACCOUNT'!A74="","",'NEW ACCOUNT'!H74)</f>
        <v/>
      </c>
      <c r="I73" s="38" t="str">
        <f>IF('NEW ACCOUNT'!A74="","",'NEW ACCOUNT'!I74)</f>
        <v/>
      </c>
      <c r="J73" s="38" t="str">
        <f>IF('NEW ACCOUNT'!A74="","",'NEW ACCOUNT'!J74)</f>
        <v/>
      </c>
      <c r="K73" s="39" t="str">
        <f>IFERROR(IF(A73="","",SUMIF(DB_Savings!$A:$A,A73,DB_Savings!$F:$F)),"")</f>
        <v/>
      </c>
      <c r="L73" s="39" t="str">
        <f>IFERROR(IF(A73="","",SUMIF(DB_Withdrawals!$A:$A,A73,DB_Withdrawals!$G:$G)),"")</f>
        <v/>
      </c>
      <c r="M73" s="39" t="str">
        <f>IFERROR(IF(A73="","",IFERROR(VALUE(H73),0)+IFERROR(SUMIF(DB_Savings!$A:$A,A73,DB_Savings!$F:$F),0)-IFERROR(SUMIF(DB_Withdrawals!$A:$A,A73,DB_Withdrawals!$G:$G),0)),"")</f>
        <v/>
      </c>
      <c r="N73" s="39" t="str">
        <f>IFERROR(IF(A73="","",MAX(0,M73-System_Config!$B$9)),"")</f>
        <v/>
      </c>
    </row>
    <row r="74" spans="1:14" ht="19.5" customHeight="1" x14ac:dyDescent="0.25">
      <c r="A74" s="37" t="str">
        <f>'NEW ACCOUNT'!A75</f>
        <v/>
      </c>
      <c r="B74" s="38" t="str">
        <f>IF('NEW ACCOUNT'!A75="","",'NEW ACCOUNT'!B75)</f>
        <v/>
      </c>
      <c r="C74" s="38" t="str">
        <f>IF('NEW ACCOUNT'!A75="","",'NEW ACCOUNT'!C75)</f>
        <v/>
      </c>
      <c r="D74" s="38" t="str">
        <f>IF('NEW ACCOUNT'!A75="","",'NEW ACCOUNT'!D75)</f>
        <v/>
      </c>
      <c r="E74" s="38" t="str">
        <f>IF('NEW ACCOUNT'!A75="","",'NEW ACCOUNT'!E75)</f>
        <v/>
      </c>
      <c r="F74" s="38" t="str">
        <f>IF('NEW ACCOUNT'!A75="","",'NEW ACCOUNT'!F75)</f>
        <v/>
      </c>
      <c r="G74" s="38" t="str">
        <f>IF('NEW ACCOUNT'!A75="","",'NEW ACCOUNT'!G75)</f>
        <v/>
      </c>
      <c r="H74" s="38" t="str">
        <f>IF('NEW ACCOUNT'!A75="","",'NEW ACCOUNT'!H75)</f>
        <v/>
      </c>
      <c r="I74" s="38" t="str">
        <f>IF('NEW ACCOUNT'!A75="","",'NEW ACCOUNT'!I75)</f>
        <v/>
      </c>
      <c r="J74" s="38" t="str">
        <f>IF('NEW ACCOUNT'!A75="","",'NEW ACCOUNT'!J75)</f>
        <v/>
      </c>
      <c r="K74" s="39" t="str">
        <f>IFERROR(IF(A74="","",SUMIF(DB_Savings!$A:$A,A74,DB_Savings!$F:$F)),"")</f>
        <v/>
      </c>
      <c r="L74" s="39" t="str">
        <f>IFERROR(IF(A74="","",SUMIF(DB_Withdrawals!$A:$A,A74,DB_Withdrawals!$G:$G)),"")</f>
        <v/>
      </c>
      <c r="M74" s="39" t="str">
        <f>IFERROR(IF(A74="","",IFERROR(VALUE(H74),0)+IFERROR(SUMIF(DB_Savings!$A:$A,A74,DB_Savings!$F:$F),0)-IFERROR(SUMIF(DB_Withdrawals!$A:$A,A74,DB_Withdrawals!$G:$G),0)),"")</f>
        <v/>
      </c>
      <c r="N74" s="39" t="str">
        <f>IFERROR(IF(A74="","",MAX(0,M74-System_Config!$B$9)),"")</f>
        <v/>
      </c>
    </row>
    <row r="75" spans="1:14" ht="19.5" customHeight="1" x14ac:dyDescent="0.25">
      <c r="A75" s="37" t="str">
        <f>'NEW ACCOUNT'!A76</f>
        <v/>
      </c>
      <c r="B75" s="38" t="str">
        <f>IF('NEW ACCOUNT'!A76="","",'NEW ACCOUNT'!B76)</f>
        <v/>
      </c>
      <c r="C75" s="38" t="str">
        <f>IF('NEW ACCOUNT'!A76="","",'NEW ACCOUNT'!C76)</f>
        <v/>
      </c>
      <c r="D75" s="38" t="str">
        <f>IF('NEW ACCOUNT'!A76="","",'NEW ACCOUNT'!D76)</f>
        <v/>
      </c>
      <c r="E75" s="38" t="str">
        <f>IF('NEW ACCOUNT'!A76="","",'NEW ACCOUNT'!E76)</f>
        <v/>
      </c>
      <c r="F75" s="38" t="str">
        <f>IF('NEW ACCOUNT'!A76="","",'NEW ACCOUNT'!F76)</f>
        <v/>
      </c>
      <c r="G75" s="38" t="str">
        <f>IF('NEW ACCOUNT'!A76="","",'NEW ACCOUNT'!G76)</f>
        <v/>
      </c>
      <c r="H75" s="38" t="str">
        <f>IF('NEW ACCOUNT'!A76="","",'NEW ACCOUNT'!H76)</f>
        <v/>
      </c>
      <c r="I75" s="38" t="str">
        <f>IF('NEW ACCOUNT'!A76="","",'NEW ACCOUNT'!I76)</f>
        <v/>
      </c>
      <c r="J75" s="38" t="str">
        <f>IF('NEW ACCOUNT'!A76="","",'NEW ACCOUNT'!J76)</f>
        <v/>
      </c>
      <c r="K75" s="39" t="str">
        <f>IFERROR(IF(A75="","",SUMIF(DB_Savings!$A:$A,A75,DB_Savings!$F:$F)),"")</f>
        <v/>
      </c>
      <c r="L75" s="39" t="str">
        <f>IFERROR(IF(A75="","",SUMIF(DB_Withdrawals!$A:$A,A75,DB_Withdrawals!$G:$G)),"")</f>
        <v/>
      </c>
      <c r="M75" s="39" t="str">
        <f>IFERROR(IF(A75="","",IFERROR(VALUE(H75),0)+IFERROR(SUMIF(DB_Savings!$A:$A,A75,DB_Savings!$F:$F),0)-IFERROR(SUMIF(DB_Withdrawals!$A:$A,A75,DB_Withdrawals!$G:$G),0)),"")</f>
        <v/>
      </c>
      <c r="N75" s="39" t="str">
        <f>IFERROR(IF(A75="","",MAX(0,M75-System_Config!$B$9)),"")</f>
        <v/>
      </c>
    </row>
    <row r="76" spans="1:14" ht="19.5" customHeight="1" x14ac:dyDescent="0.25">
      <c r="A76" s="37" t="str">
        <f>'NEW ACCOUNT'!A77</f>
        <v/>
      </c>
      <c r="B76" s="38" t="str">
        <f>IF('NEW ACCOUNT'!A77="","",'NEW ACCOUNT'!B77)</f>
        <v/>
      </c>
      <c r="C76" s="38" t="str">
        <f>IF('NEW ACCOUNT'!A77="","",'NEW ACCOUNT'!C77)</f>
        <v/>
      </c>
      <c r="D76" s="38" t="str">
        <f>IF('NEW ACCOUNT'!A77="","",'NEW ACCOUNT'!D77)</f>
        <v/>
      </c>
      <c r="E76" s="38" t="str">
        <f>IF('NEW ACCOUNT'!A77="","",'NEW ACCOUNT'!E77)</f>
        <v/>
      </c>
      <c r="F76" s="38" t="str">
        <f>IF('NEW ACCOUNT'!A77="","",'NEW ACCOUNT'!F77)</f>
        <v/>
      </c>
      <c r="G76" s="38" t="str">
        <f>IF('NEW ACCOUNT'!A77="","",'NEW ACCOUNT'!G77)</f>
        <v/>
      </c>
      <c r="H76" s="38" t="str">
        <f>IF('NEW ACCOUNT'!A77="","",'NEW ACCOUNT'!H77)</f>
        <v/>
      </c>
      <c r="I76" s="38" t="str">
        <f>IF('NEW ACCOUNT'!A77="","",'NEW ACCOUNT'!I77)</f>
        <v/>
      </c>
      <c r="J76" s="38" t="str">
        <f>IF('NEW ACCOUNT'!A77="","",'NEW ACCOUNT'!J77)</f>
        <v/>
      </c>
      <c r="K76" s="39" t="str">
        <f>IFERROR(IF(A76="","",SUMIF(DB_Savings!$A:$A,A76,DB_Savings!$F:$F)),"")</f>
        <v/>
      </c>
      <c r="L76" s="39" t="str">
        <f>IFERROR(IF(A76="","",SUMIF(DB_Withdrawals!$A:$A,A76,DB_Withdrawals!$G:$G)),"")</f>
        <v/>
      </c>
      <c r="M76" s="39" t="str">
        <f>IFERROR(IF(A76="","",IFERROR(VALUE(H76),0)+IFERROR(SUMIF(DB_Savings!$A:$A,A76,DB_Savings!$F:$F),0)-IFERROR(SUMIF(DB_Withdrawals!$A:$A,A76,DB_Withdrawals!$G:$G),0)),"")</f>
        <v/>
      </c>
      <c r="N76" s="39" t="str">
        <f>IFERROR(IF(A76="","",MAX(0,M76-System_Config!$B$9)),"")</f>
        <v/>
      </c>
    </row>
    <row r="77" spans="1:14" ht="19.5" customHeight="1" x14ac:dyDescent="0.25">
      <c r="A77" s="37" t="str">
        <f>'NEW ACCOUNT'!A78</f>
        <v/>
      </c>
      <c r="B77" s="38" t="str">
        <f>IF('NEW ACCOUNT'!A78="","",'NEW ACCOUNT'!B78)</f>
        <v/>
      </c>
      <c r="C77" s="38" t="str">
        <f>IF('NEW ACCOUNT'!A78="","",'NEW ACCOUNT'!C78)</f>
        <v/>
      </c>
      <c r="D77" s="38" t="str">
        <f>IF('NEW ACCOUNT'!A78="","",'NEW ACCOUNT'!D78)</f>
        <v/>
      </c>
      <c r="E77" s="38" t="str">
        <f>IF('NEW ACCOUNT'!A78="","",'NEW ACCOUNT'!E78)</f>
        <v/>
      </c>
      <c r="F77" s="38" t="str">
        <f>IF('NEW ACCOUNT'!A78="","",'NEW ACCOUNT'!F78)</f>
        <v/>
      </c>
      <c r="G77" s="38" t="str">
        <f>IF('NEW ACCOUNT'!A78="","",'NEW ACCOUNT'!G78)</f>
        <v/>
      </c>
      <c r="H77" s="38" t="str">
        <f>IF('NEW ACCOUNT'!A78="","",'NEW ACCOUNT'!H78)</f>
        <v/>
      </c>
      <c r="I77" s="38" t="str">
        <f>IF('NEW ACCOUNT'!A78="","",'NEW ACCOUNT'!I78)</f>
        <v/>
      </c>
      <c r="J77" s="38" t="str">
        <f>IF('NEW ACCOUNT'!A78="","",'NEW ACCOUNT'!J78)</f>
        <v/>
      </c>
      <c r="K77" s="39" t="str">
        <f>IFERROR(IF(A77="","",SUMIF(DB_Savings!$A:$A,A77,DB_Savings!$F:$F)),"")</f>
        <v/>
      </c>
      <c r="L77" s="39" t="str">
        <f>IFERROR(IF(A77="","",SUMIF(DB_Withdrawals!$A:$A,A77,DB_Withdrawals!$G:$G)),"")</f>
        <v/>
      </c>
      <c r="M77" s="39" t="str">
        <f>IFERROR(IF(A77="","",IFERROR(VALUE(H77),0)+IFERROR(SUMIF(DB_Savings!$A:$A,A77,DB_Savings!$F:$F),0)-IFERROR(SUMIF(DB_Withdrawals!$A:$A,A77,DB_Withdrawals!$G:$G),0)),"")</f>
        <v/>
      </c>
      <c r="N77" s="39" t="str">
        <f>IFERROR(IF(A77="","",MAX(0,M77-System_Config!$B$9)),"")</f>
        <v/>
      </c>
    </row>
    <row r="78" spans="1:14" ht="19.5" customHeight="1" x14ac:dyDescent="0.25">
      <c r="A78" s="37" t="str">
        <f>'NEW ACCOUNT'!A79</f>
        <v/>
      </c>
      <c r="B78" s="38" t="str">
        <f>IF('NEW ACCOUNT'!A79="","",'NEW ACCOUNT'!B79)</f>
        <v/>
      </c>
      <c r="C78" s="38" t="str">
        <f>IF('NEW ACCOUNT'!A79="","",'NEW ACCOUNT'!C79)</f>
        <v/>
      </c>
      <c r="D78" s="38" t="str">
        <f>IF('NEW ACCOUNT'!A79="","",'NEW ACCOUNT'!D79)</f>
        <v/>
      </c>
      <c r="E78" s="38" t="str">
        <f>IF('NEW ACCOUNT'!A79="","",'NEW ACCOUNT'!E79)</f>
        <v/>
      </c>
      <c r="F78" s="38" t="str">
        <f>IF('NEW ACCOUNT'!A79="","",'NEW ACCOUNT'!F79)</f>
        <v/>
      </c>
      <c r="G78" s="38" t="str">
        <f>IF('NEW ACCOUNT'!A79="","",'NEW ACCOUNT'!G79)</f>
        <v/>
      </c>
      <c r="H78" s="38" t="str">
        <f>IF('NEW ACCOUNT'!A79="","",'NEW ACCOUNT'!H79)</f>
        <v/>
      </c>
      <c r="I78" s="38" t="str">
        <f>IF('NEW ACCOUNT'!A79="","",'NEW ACCOUNT'!I79)</f>
        <v/>
      </c>
      <c r="J78" s="38" t="str">
        <f>IF('NEW ACCOUNT'!A79="","",'NEW ACCOUNT'!J79)</f>
        <v/>
      </c>
      <c r="K78" s="39" t="str">
        <f>IFERROR(IF(A78="","",SUMIF(DB_Savings!$A:$A,A78,DB_Savings!$F:$F)),"")</f>
        <v/>
      </c>
      <c r="L78" s="39" t="str">
        <f>IFERROR(IF(A78="","",SUMIF(DB_Withdrawals!$A:$A,A78,DB_Withdrawals!$G:$G)),"")</f>
        <v/>
      </c>
      <c r="M78" s="39" t="str">
        <f>IFERROR(IF(A78="","",IFERROR(VALUE(H78),0)+IFERROR(SUMIF(DB_Savings!$A:$A,A78,DB_Savings!$F:$F),0)-IFERROR(SUMIF(DB_Withdrawals!$A:$A,A78,DB_Withdrawals!$G:$G),0)),"")</f>
        <v/>
      </c>
      <c r="N78" s="39" t="str">
        <f>IFERROR(IF(A78="","",MAX(0,M78-System_Config!$B$9)),"")</f>
        <v/>
      </c>
    </row>
    <row r="79" spans="1:14" ht="19.5" customHeight="1" x14ac:dyDescent="0.25">
      <c r="A79" s="37" t="str">
        <f>'NEW ACCOUNT'!A80</f>
        <v/>
      </c>
      <c r="B79" s="38" t="str">
        <f>IF('NEW ACCOUNT'!A80="","",'NEW ACCOUNT'!B80)</f>
        <v/>
      </c>
      <c r="C79" s="38" t="str">
        <f>IF('NEW ACCOUNT'!A80="","",'NEW ACCOUNT'!C80)</f>
        <v/>
      </c>
      <c r="D79" s="38" t="str">
        <f>IF('NEW ACCOUNT'!A80="","",'NEW ACCOUNT'!D80)</f>
        <v/>
      </c>
      <c r="E79" s="38" t="str">
        <f>IF('NEW ACCOUNT'!A80="","",'NEW ACCOUNT'!E80)</f>
        <v/>
      </c>
      <c r="F79" s="38" t="str">
        <f>IF('NEW ACCOUNT'!A80="","",'NEW ACCOUNT'!F80)</f>
        <v/>
      </c>
      <c r="G79" s="38" t="str">
        <f>IF('NEW ACCOUNT'!A80="","",'NEW ACCOUNT'!G80)</f>
        <v/>
      </c>
      <c r="H79" s="38" t="str">
        <f>IF('NEW ACCOUNT'!A80="","",'NEW ACCOUNT'!H80)</f>
        <v/>
      </c>
      <c r="I79" s="38" t="str">
        <f>IF('NEW ACCOUNT'!A80="","",'NEW ACCOUNT'!I80)</f>
        <v/>
      </c>
      <c r="J79" s="38" t="str">
        <f>IF('NEW ACCOUNT'!A80="","",'NEW ACCOUNT'!J80)</f>
        <v/>
      </c>
      <c r="K79" s="39" t="str">
        <f>IFERROR(IF(A79="","",SUMIF(DB_Savings!$A:$A,A79,DB_Savings!$F:$F)),"")</f>
        <v/>
      </c>
      <c r="L79" s="39" t="str">
        <f>IFERROR(IF(A79="","",SUMIF(DB_Withdrawals!$A:$A,A79,DB_Withdrawals!$G:$G)),"")</f>
        <v/>
      </c>
      <c r="M79" s="39" t="str">
        <f>IFERROR(IF(A79="","",IFERROR(VALUE(H79),0)+IFERROR(SUMIF(DB_Savings!$A:$A,A79,DB_Savings!$F:$F),0)-IFERROR(SUMIF(DB_Withdrawals!$A:$A,A79,DB_Withdrawals!$G:$G),0)),"")</f>
        <v/>
      </c>
      <c r="N79" s="39" t="str">
        <f>IFERROR(IF(A79="","",MAX(0,M79-System_Config!$B$9)),"")</f>
        <v/>
      </c>
    </row>
    <row r="80" spans="1:14" ht="19.5" customHeight="1" x14ac:dyDescent="0.25">
      <c r="A80" s="37" t="str">
        <f>'NEW ACCOUNT'!A81</f>
        <v/>
      </c>
      <c r="B80" s="38" t="str">
        <f>IF('NEW ACCOUNT'!A81="","",'NEW ACCOUNT'!B81)</f>
        <v/>
      </c>
      <c r="C80" s="38" t="str">
        <f>IF('NEW ACCOUNT'!A81="","",'NEW ACCOUNT'!C81)</f>
        <v/>
      </c>
      <c r="D80" s="38" t="str">
        <f>IF('NEW ACCOUNT'!A81="","",'NEW ACCOUNT'!D81)</f>
        <v/>
      </c>
      <c r="E80" s="38" t="str">
        <f>IF('NEW ACCOUNT'!A81="","",'NEW ACCOUNT'!E81)</f>
        <v/>
      </c>
      <c r="F80" s="38" t="str">
        <f>IF('NEW ACCOUNT'!A81="","",'NEW ACCOUNT'!F81)</f>
        <v/>
      </c>
      <c r="G80" s="38" t="str">
        <f>IF('NEW ACCOUNT'!A81="","",'NEW ACCOUNT'!G81)</f>
        <v/>
      </c>
      <c r="H80" s="38" t="str">
        <f>IF('NEW ACCOUNT'!A81="","",'NEW ACCOUNT'!H81)</f>
        <v/>
      </c>
      <c r="I80" s="38" t="str">
        <f>IF('NEW ACCOUNT'!A81="","",'NEW ACCOUNT'!I81)</f>
        <v/>
      </c>
      <c r="J80" s="38" t="str">
        <f>IF('NEW ACCOUNT'!A81="","",'NEW ACCOUNT'!J81)</f>
        <v/>
      </c>
      <c r="K80" s="39" t="str">
        <f>IFERROR(IF(A80="","",SUMIF(DB_Savings!$A:$A,A80,DB_Savings!$F:$F)),"")</f>
        <v/>
      </c>
      <c r="L80" s="39" t="str">
        <f>IFERROR(IF(A80="","",SUMIF(DB_Withdrawals!$A:$A,A80,DB_Withdrawals!$G:$G)),"")</f>
        <v/>
      </c>
      <c r="M80" s="39" t="str">
        <f>IFERROR(IF(A80="","",IFERROR(VALUE(H80),0)+IFERROR(SUMIF(DB_Savings!$A:$A,A80,DB_Savings!$F:$F),0)-IFERROR(SUMIF(DB_Withdrawals!$A:$A,A80,DB_Withdrawals!$G:$G),0)),"")</f>
        <v/>
      </c>
      <c r="N80" s="39" t="str">
        <f>IFERROR(IF(A80="","",MAX(0,M80-System_Config!$B$9)),"")</f>
        <v/>
      </c>
    </row>
    <row r="81" spans="1:14" ht="19.5" customHeight="1" x14ac:dyDescent="0.25">
      <c r="A81" s="37" t="str">
        <f>'NEW ACCOUNT'!A82</f>
        <v/>
      </c>
      <c r="B81" s="38" t="str">
        <f>IF('NEW ACCOUNT'!A82="","",'NEW ACCOUNT'!B82)</f>
        <v/>
      </c>
      <c r="C81" s="38" t="str">
        <f>IF('NEW ACCOUNT'!A82="","",'NEW ACCOUNT'!C82)</f>
        <v/>
      </c>
      <c r="D81" s="38" t="str">
        <f>IF('NEW ACCOUNT'!A82="","",'NEW ACCOUNT'!D82)</f>
        <v/>
      </c>
      <c r="E81" s="38" t="str">
        <f>IF('NEW ACCOUNT'!A82="","",'NEW ACCOUNT'!E82)</f>
        <v/>
      </c>
      <c r="F81" s="38" t="str">
        <f>IF('NEW ACCOUNT'!A82="","",'NEW ACCOUNT'!F82)</f>
        <v/>
      </c>
      <c r="G81" s="38" t="str">
        <f>IF('NEW ACCOUNT'!A82="","",'NEW ACCOUNT'!G82)</f>
        <v/>
      </c>
      <c r="H81" s="38" t="str">
        <f>IF('NEW ACCOUNT'!A82="","",'NEW ACCOUNT'!H82)</f>
        <v/>
      </c>
      <c r="I81" s="38" t="str">
        <f>IF('NEW ACCOUNT'!A82="","",'NEW ACCOUNT'!I82)</f>
        <v/>
      </c>
      <c r="J81" s="38" t="str">
        <f>IF('NEW ACCOUNT'!A82="","",'NEW ACCOUNT'!J82)</f>
        <v/>
      </c>
      <c r="K81" s="39" t="str">
        <f>IFERROR(IF(A81="","",SUMIF(DB_Savings!$A:$A,A81,DB_Savings!$F:$F)),"")</f>
        <v/>
      </c>
      <c r="L81" s="39" t="str">
        <f>IFERROR(IF(A81="","",SUMIF(DB_Withdrawals!$A:$A,A81,DB_Withdrawals!$G:$G)),"")</f>
        <v/>
      </c>
      <c r="M81" s="39" t="str">
        <f>IFERROR(IF(A81="","",IFERROR(VALUE(H81),0)+IFERROR(SUMIF(DB_Savings!$A:$A,A81,DB_Savings!$F:$F),0)-IFERROR(SUMIF(DB_Withdrawals!$A:$A,A81,DB_Withdrawals!$G:$G),0)),"")</f>
        <v/>
      </c>
      <c r="N81" s="39" t="str">
        <f>IFERROR(IF(A81="","",MAX(0,M81-System_Config!$B$9)),"")</f>
        <v/>
      </c>
    </row>
    <row r="82" spans="1:14" ht="19.5" customHeight="1" x14ac:dyDescent="0.25">
      <c r="A82" s="37" t="str">
        <f>'NEW ACCOUNT'!A83</f>
        <v/>
      </c>
      <c r="B82" s="38" t="str">
        <f>IF('NEW ACCOUNT'!A83="","",'NEW ACCOUNT'!B83)</f>
        <v/>
      </c>
      <c r="C82" s="38" t="str">
        <f>IF('NEW ACCOUNT'!A83="","",'NEW ACCOUNT'!C83)</f>
        <v/>
      </c>
      <c r="D82" s="38" t="str">
        <f>IF('NEW ACCOUNT'!A83="","",'NEW ACCOUNT'!D83)</f>
        <v/>
      </c>
      <c r="E82" s="38" t="str">
        <f>IF('NEW ACCOUNT'!A83="","",'NEW ACCOUNT'!E83)</f>
        <v/>
      </c>
      <c r="F82" s="38" t="str">
        <f>IF('NEW ACCOUNT'!A83="","",'NEW ACCOUNT'!F83)</f>
        <v/>
      </c>
      <c r="G82" s="38" t="str">
        <f>IF('NEW ACCOUNT'!A83="","",'NEW ACCOUNT'!G83)</f>
        <v/>
      </c>
      <c r="H82" s="38" t="str">
        <f>IF('NEW ACCOUNT'!A83="","",'NEW ACCOUNT'!H83)</f>
        <v/>
      </c>
      <c r="I82" s="38" t="str">
        <f>IF('NEW ACCOUNT'!A83="","",'NEW ACCOUNT'!I83)</f>
        <v/>
      </c>
      <c r="J82" s="38" t="str">
        <f>IF('NEW ACCOUNT'!A83="","",'NEW ACCOUNT'!J83)</f>
        <v/>
      </c>
      <c r="K82" s="39" t="str">
        <f>IFERROR(IF(A82="","",SUMIF(DB_Savings!$A:$A,A82,DB_Savings!$F:$F)),"")</f>
        <v/>
      </c>
      <c r="L82" s="39" t="str">
        <f>IFERROR(IF(A82="","",SUMIF(DB_Withdrawals!$A:$A,A82,DB_Withdrawals!$G:$G)),"")</f>
        <v/>
      </c>
      <c r="M82" s="39" t="str">
        <f>IFERROR(IF(A82="","",IFERROR(VALUE(H82),0)+IFERROR(SUMIF(DB_Savings!$A:$A,A82,DB_Savings!$F:$F),0)-IFERROR(SUMIF(DB_Withdrawals!$A:$A,A82,DB_Withdrawals!$G:$G),0)),"")</f>
        <v/>
      </c>
      <c r="N82" s="39" t="str">
        <f>IFERROR(IF(A82="","",MAX(0,M82-System_Config!$B$9)),"")</f>
        <v/>
      </c>
    </row>
    <row r="83" spans="1:14" ht="19.5" customHeight="1" x14ac:dyDescent="0.25">
      <c r="A83" s="37" t="str">
        <f>'NEW ACCOUNT'!A84</f>
        <v/>
      </c>
      <c r="B83" s="38" t="str">
        <f>IF('NEW ACCOUNT'!A84="","",'NEW ACCOUNT'!B84)</f>
        <v/>
      </c>
      <c r="C83" s="38" t="str">
        <f>IF('NEW ACCOUNT'!A84="","",'NEW ACCOUNT'!C84)</f>
        <v/>
      </c>
      <c r="D83" s="38" t="str">
        <f>IF('NEW ACCOUNT'!A84="","",'NEW ACCOUNT'!D84)</f>
        <v/>
      </c>
      <c r="E83" s="38" t="str">
        <f>IF('NEW ACCOUNT'!A84="","",'NEW ACCOUNT'!E84)</f>
        <v/>
      </c>
      <c r="F83" s="38" t="str">
        <f>IF('NEW ACCOUNT'!A84="","",'NEW ACCOUNT'!F84)</f>
        <v/>
      </c>
      <c r="G83" s="38" t="str">
        <f>IF('NEW ACCOUNT'!A84="","",'NEW ACCOUNT'!G84)</f>
        <v/>
      </c>
      <c r="H83" s="38" t="str">
        <f>IF('NEW ACCOUNT'!A84="","",'NEW ACCOUNT'!H84)</f>
        <v/>
      </c>
      <c r="I83" s="38" t="str">
        <f>IF('NEW ACCOUNT'!A84="","",'NEW ACCOUNT'!I84)</f>
        <v/>
      </c>
      <c r="J83" s="38" t="str">
        <f>IF('NEW ACCOUNT'!A84="","",'NEW ACCOUNT'!J84)</f>
        <v/>
      </c>
      <c r="K83" s="39" t="str">
        <f>IFERROR(IF(A83="","",SUMIF(DB_Savings!$A:$A,A83,DB_Savings!$F:$F)),"")</f>
        <v/>
      </c>
      <c r="L83" s="39" t="str">
        <f>IFERROR(IF(A83="","",SUMIF(DB_Withdrawals!$A:$A,A83,DB_Withdrawals!$G:$G)),"")</f>
        <v/>
      </c>
      <c r="M83" s="39" t="str">
        <f>IFERROR(IF(A83="","",IFERROR(VALUE(H83),0)+IFERROR(SUMIF(DB_Savings!$A:$A,A83,DB_Savings!$F:$F),0)-IFERROR(SUMIF(DB_Withdrawals!$A:$A,A83,DB_Withdrawals!$G:$G),0)),"")</f>
        <v/>
      </c>
      <c r="N83" s="39" t="str">
        <f>IFERROR(IF(A83="","",MAX(0,M83-System_Config!$B$9)),"")</f>
        <v/>
      </c>
    </row>
    <row r="84" spans="1:14" ht="19.5" customHeight="1" x14ac:dyDescent="0.25">
      <c r="A84" s="37" t="str">
        <f>'NEW ACCOUNT'!A85</f>
        <v/>
      </c>
      <c r="B84" s="38" t="str">
        <f>IF('NEW ACCOUNT'!A85="","",'NEW ACCOUNT'!B85)</f>
        <v/>
      </c>
      <c r="C84" s="38" t="str">
        <f>IF('NEW ACCOUNT'!A85="","",'NEW ACCOUNT'!C85)</f>
        <v/>
      </c>
      <c r="D84" s="38" t="str">
        <f>IF('NEW ACCOUNT'!A85="","",'NEW ACCOUNT'!D85)</f>
        <v/>
      </c>
      <c r="E84" s="38" t="str">
        <f>IF('NEW ACCOUNT'!A85="","",'NEW ACCOUNT'!E85)</f>
        <v/>
      </c>
      <c r="F84" s="38" t="str">
        <f>IF('NEW ACCOUNT'!A85="","",'NEW ACCOUNT'!F85)</f>
        <v/>
      </c>
      <c r="G84" s="38" t="str">
        <f>IF('NEW ACCOUNT'!A85="","",'NEW ACCOUNT'!G85)</f>
        <v/>
      </c>
      <c r="H84" s="38" t="str">
        <f>IF('NEW ACCOUNT'!A85="","",'NEW ACCOUNT'!H85)</f>
        <v/>
      </c>
      <c r="I84" s="38" t="str">
        <f>IF('NEW ACCOUNT'!A85="","",'NEW ACCOUNT'!I85)</f>
        <v/>
      </c>
      <c r="J84" s="38" t="str">
        <f>IF('NEW ACCOUNT'!A85="","",'NEW ACCOUNT'!J85)</f>
        <v/>
      </c>
      <c r="K84" s="39" t="str">
        <f>IFERROR(IF(A84="","",SUMIF(DB_Savings!$A:$A,A84,DB_Savings!$F:$F)),"")</f>
        <v/>
      </c>
      <c r="L84" s="39" t="str">
        <f>IFERROR(IF(A84="","",SUMIF(DB_Withdrawals!$A:$A,A84,DB_Withdrawals!$G:$G)),"")</f>
        <v/>
      </c>
      <c r="M84" s="39" t="str">
        <f>IFERROR(IF(A84="","",IFERROR(VALUE(H84),0)+IFERROR(SUMIF(DB_Savings!$A:$A,A84,DB_Savings!$F:$F),0)-IFERROR(SUMIF(DB_Withdrawals!$A:$A,A84,DB_Withdrawals!$G:$G),0)),"")</f>
        <v/>
      </c>
      <c r="N84" s="39" t="str">
        <f>IFERROR(IF(A84="","",MAX(0,M84-System_Config!$B$9)),"")</f>
        <v/>
      </c>
    </row>
    <row r="85" spans="1:14" ht="19.5" customHeight="1" x14ac:dyDescent="0.25">
      <c r="A85" s="37" t="str">
        <f>'NEW ACCOUNT'!A86</f>
        <v/>
      </c>
      <c r="B85" s="38" t="str">
        <f>IF('NEW ACCOUNT'!A86="","",'NEW ACCOUNT'!B86)</f>
        <v/>
      </c>
      <c r="C85" s="38" t="str">
        <f>IF('NEW ACCOUNT'!A86="","",'NEW ACCOUNT'!C86)</f>
        <v/>
      </c>
      <c r="D85" s="38" t="str">
        <f>IF('NEW ACCOUNT'!A86="","",'NEW ACCOUNT'!D86)</f>
        <v/>
      </c>
      <c r="E85" s="38" t="str">
        <f>IF('NEW ACCOUNT'!A86="","",'NEW ACCOUNT'!E86)</f>
        <v/>
      </c>
      <c r="F85" s="38" t="str">
        <f>IF('NEW ACCOUNT'!A86="","",'NEW ACCOUNT'!F86)</f>
        <v/>
      </c>
      <c r="G85" s="38" t="str">
        <f>IF('NEW ACCOUNT'!A86="","",'NEW ACCOUNT'!G86)</f>
        <v/>
      </c>
      <c r="H85" s="38" t="str">
        <f>IF('NEW ACCOUNT'!A86="","",'NEW ACCOUNT'!H86)</f>
        <v/>
      </c>
      <c r="I85" s="38" t="str">
        <f>IF('NEW ACCOUNT'!A86="","",'NEW ACCOUNT'!I86)</f>
        <v/>
      </c>
      <c r="J85" s="38" t="str">
        <f>IF('NEW ACCOUNT'!A86="","",'NEW ACCOUNT'!J86)</f>
        <v/>
      </c>
      <c r="K85" s="39" t="str">
        <f>IFERROR(IF(A85="","",SUMIF(DB_Savings!$A:$A,A85,DB_Savings!$F:$F)),"")</f>
        <v/>
      </c>
      <c r="L85" s="39" t="str">
        <f>IFERROR(IF(A85="","",SUMIF(DB_Withdrawals!$A:$A,A85,DB_Withdrawals!$G:$G)),"")</f>
        <v/>
      </c>
      <c r="M85" s="39" t="str">
        <f>IFERROR(IF(A85="","",IFERROR(VALUE(H85),0)+IFERROR(SUMIF(DB_Savings!$A:$A,A85,DB_Savings!$F:$F),0)-IFERROR(SUMIF(DB_Withdrawals!$A:$A,A85,DB_Withdrawals!$G:$G),0)),"")</f>
        <v/>
      </c>
      <c r="N85" s="39" t="str">
        <f>IFERROR(IF(A85="","",MAX(0,M85-System_Config!$B$9)),"")</f>
        <v/>
      </c>
    </row>
    <row r="86" spans="1:14" ht="19.5" customHeight="1" x14ac:dyDescent="0.25">
      <c r="A86" s="37" t="str">
        <f>'NEW ACCOUNT'!A87</f>
        <v/>
      </c>
      <c r="B86" s="38" t="str">
        <f>IF('NEW ACCOUNT'!A87="","",'NEW ACCOUNT'!B87)</f>
        <v/>
      </c>
      <c r="C86" s="38" t="str">
        <f>IF('NEW ACCOUNT'!A87="","",'NEW ACCOUNT'!C87)</f>
        <v/>
      </c>
      <c r="D86" s="38" t="str">
        <f>IF('NEW ACCOUNT'!A87="","",'NEW ACCOUNT'!D87)</f>
        <v/>
      </c>
      <c r="E86" s="38" t="str">
        <f>IF('NEW ACCOUNT'!A87="","",'NEW ACCOUNT'!E87)</f>
        <v/>
      </c>
      <c r="F86" s="38" t="str">
        <f>IF('NEW ACCOUNT'!A87="","",'NEW ACCOUNT'!F87)</f>
        <v/>
      </c>
      <c r="G86" s="38" t="str">
        <f>IF('NEW ACCOUNT'!A87="","",'NEW ACCOUNT'!G87)</f>
        <v/>
      </c>
      <c r="H86" s="38" t="str">
        <f>IF('NEW ACCOUNT'!A87="","",'NEW ACCOUNT'!H87)</f>
        <v/>
      </c>
      <c r="I86" s="38" t="str">
        <f>IF('NEW ACCOUNT'!A87="","",'NEW ACCOUNT'!I87)</f>
        <v/>
      </c>
      <c r="J86" s="38" t="str">
        <f>IF('NEW ACCOUNT'!A87="","",'NEW ACCOUNT'!J87)</f>
        <v/>
      </c>
      <c r="K86" s="39" t="str">
        <f>IFERROR(IF(A86="","",SUMIF(DB_Savings!$A:$A,A86,DB_Savings!$F:$F)),"")</f>
        <v/>
      </c>
      <c r="L86" s="39" t="str">
        <f>IFERROR(IF(A86="","",SUMIF(DB_Withdrawals!$A:$A,A86,DB_Withdrawals!$G:$G)),"")</f>
        <v/>
      </c>
      <c r="M86" s="39" t="str">
        <f>IFERROR(IF(A86="","",IFERROR(VALUE(H86),0)+IFERROR(SUMIF(DB_Savings!$A:$A,A86,DB_Savings!$F:$F),0)-IFERROR(SUMIF(DB_Withdrawals!$A:$A,A86,DB_Withdrawals!$G:$G),0)),"")</f>
        <v/>
      </c>
      <c r="N86" s="39" t="str">
        <f>IFERROR(IF(A86="","",MAX(0,M86-System_Config!$B$9)),"")</f>
        <v/>
      </c>
    </row>
    <row r="87" spans="1:14" ht="19.5" customHeight="1" x14ac:dyDescent="0.25">
      <c r="A87" s="37" t="str">
        <f>'NEW ACCOUNT'!A88</f>
        <v/>
      </c>
      <c r="B87" s="38" t="str">
        <f>IF('NEW ACCOUNT'!A88="","",'NEW ACCOUNT'!B88)</f>
        <v/>
      </c>
      <c r="C87" s="38" t="str">
        <f>IF('NEW ACCOUNT'!A88="","",'NEW ACCOUNT'!C88)</f>
        <v/>
      </c>
      <c r="D87" s="38" t="str">
        <f>IF('NEW ACCOUNT'!A88="","",'NEW ACCOUNT'!D88)</f>
        <v/>
      </c>
      <c r="E87" s="38" t="str">
        <f>IF('NEW ACCOUNT'!A88="","",'NEW ACCOUNT'!E88)</f>
        <v/>
      </c>
      <c r="F87" s="38" t="str">
        <f>IF('NEW ACCOUNT'!A88="","",'NEW ACCOUNT'!F88)</f>
        <v/>
      </c>
      <c r="G87" s="38" t="str">
        <f>IF('NEW ACCOUNT'!A88="","",'NEW ACCOUNT'!G88)</f>
        <v/>
      </c>
      <c r="H87" s="38" t="str">
        <f>IF('NEW ACCOUNT'!A88="","",'NEW ACCOUNT'!H88)</f>
        <v/>
      </c>
      <c r="I87" s="38" t="str">
        <f>IF('NEW ACCOUNT'!A88="","",'NEW ACCOUNT'!I88)</f>
        <v/>
      </c>
      <c r="J87" s="38" t="str">
        <f>IF('NEW ACCOUNT'!A88="","",'NEW ACCOUNT'!J88)</f>
        <v/>
      </c>
      <c r="K87" s="39" t="str">
        <f>IFERROR(IF(A87="","",SUMIF(DB_Savings!$A:$A,A87,DB_Savings!$F:$F)),"")</f>
        <v/>
      </c>
      <c r="L87" s="39" t="str">
        <f>IFERROR(IF(A87="","",SUMIF(DB_Withdrawals!$A:$A,A87,DB_Withdrawals!$G:$G)),"")</f>
        <v/>
      </c>
      <c r="M87" s="39" t="str">
        <f>IFERROR(IF(A87="","",IFERROR(VALUE(H87),0)+IFERROR(SUMIF(DB_Savings!$A:$A,A87,DB_Savings!$F:$F),0)-IFERROR(SUMIF(DB_Withdrawals!$A:$A,A87,DB_Withdrawals!$G:$G),0)),"")</f>
        <v/>
      </c>
      <c r="N87" s="39" t="str">
        <f>IFERROR(IF(A87="","",MAX(0,M87-System_Config!$B$9)),"")</f>
        <v/>
      </c>
    </row>
    <row r="88" spans="1:14" ht="19.5" customHeight="1" x14ac:dyDescent="0.25">
      <c r="A88" s="37" t="str">
        <f>'NEW ACCOUNT'!A89</f>
        <v/>
      </c>
      <c r="B88" s="38" t="str">
        <f>IF('NEW ACCOUNT'!A89="","",'NEW ACCOUNT'!B89)</f>
        <v/>
      </c>
      <c r="C88" s="38" t="str">
        <f>IF('NEW ACCOUNT'!A89="","",'NEW ACCOUNT'!C89)</f>
        <v/>
      </c>
      <c r="D88" s="38" t="str">
        <f>IF('NEW ACCOUNT'!A89="","",'NEW ACCOUNT'!D89)</f>
        <v/>
      </c>
      <c r="E88" s="38" t="str">
        <f>IF('NEW ACCOUNT'!A89="","",'NEW ACCOUNT'!E89)</f>
        <v/>
      </c>
      <c r="F88" s="38" t="str">
        <f>IF('NEW ACCOUNT'!A89="","",'NEW ACCOUNT'!F89)</f>
        <v/>
      </c>
      <c r="G88" s="38" t="str">
        <f>IF('NEW ACCOUNT'!A89="","",'NEW ACCOUNT'!G89)</f>
        <v/>
      </c>
      <c r="H88" s="38" t="str">
        <f>IF('NEW ACCOUNT'!A89="","",'NEW ACCOUNT'!H89)</f>
        <v/>
      </c>
      <c r="I88" s="38" t="str">
        <f>IF('NEW ACCOUNT'!A89="","",'NEW ACCOUNT'!I89)</f>
        <v/>
      </c>
      <c r="J88" s="38" t="str">
        <f>IF('NEW ACCOUNT'!A89="","",'NEW ACCOUNT'!J89)</f>
        <v/>
      </c>
      <c r="K88" s="39" t="str">
        <f>IFERROR(IF(A88="","",SUMIF(DB_Savings!$A:$A,A88,DB_Savings!$F:$F)),"")</f>
        <v/>
      </c>
      <c r="L88" s="39" t="str">
        <f>IFERROR(IF(A88="","",SUMIF(DB_Withdrawals!$A:$A,A88,DB_Withdrawals!$G:$G)),"")</f>
        <v/>
      </c>
      <c r="M88" s="39" t="str">
        <f>IFERROR(IF(A88="","",IFERROR(VALUE(H88),0)+IFERROR(SUMIF(DB_Savings!$A:$A,A88,DB_Savings!$F:$F),0)-IFERROR(SUMIF(DB_Withdrawals!$A:$A,A88,DB_Withdrawals!$G:$G),0)),"")</f>
        <v/>
      </c>
      <c r="N88" s="39" t="str">
        <f>IFERROR(IF(A88="","",MAX(0,M88-System_Config!$B$9)),"")</f>
        <v/>
      </c>
    </row>
    <row r="89" spans="1:14" ht="19.5" customHeight="1" x14ac:dyDescent="0.25">
      <c r="A89" s="37" t="str">
        <f>'NEW ACCOUNT'!A90</f>
        <v/>
      </c>
      <c r="B89" s="38" t="str">
        <f>IF('NEW ACCOUNT'!A90="","",'NEW ACCOUNT'!B90)</f>
        <v/>
      </c>
      <c r="C89" s="38" t="str">
        <f>IF('NEW ACCOUNT'!A90="","",'NEW ACCOUNT'!C90)</f>
        <v/>
      </c>
      <c r="D89" s="38" t="str">
        <f>IF('NEW ACCOUNT'!A90="","",'NEW ACCOUNT'!D90)</f>
        <v/>
      </c>
      <c r="E89" s="38" t="str">
        <f>IF('NEW ACCOUNT'!A90="","",'NEW ACCOUNT'!E90)</f>
        <v/>
      </c>
      <c r="F89" s="38" t="str">
        <f>IF('NEW ACCOUNT'!A90="","",'NEW ACCOUNT'!F90)</f>
        <v/>
      </c>
      <c r="G89" s="38" t="str">
        <f>IF('NEW ACCOUNT'!A90="","",'NEW ACCOUNT'!G90)</f>
        <v/>
      </c>
      <c r="H89" s="38" t="str">
        <f>IF('NEW ACCOUNT'!A90="","",'NEW ACCOUNT'!H90)</f>
        <v/>
      </c>
      <c r="I89" s="38" t="str">
        <f>IF('NEW ACCOUNT'!A90="","",'NEW ACCOUNT'!I90)</f>
        <v/>
      </c>
      <c r="J89" s="38" t="str">
        <f>IF('NEW ACCOUNT'!A90="","",'NEW ACCOUNT'!J90)</f>
        <v/>
      </c>
      <c r="K89" s="39" t="str">
        <f>IFERROR(IF(A89="","",SUMIF(DB_Savings!$A:$A,A89,DB_Savings!$F:$F)),"")</f>
        <v/>
      </c>
      <c r="L89" s="39" t="str">
        <f>IFERROR(IF(A89="","",SUMIF(DB_Withdrawals!$A:$A,A89,DB_Withdrawals!$G:$G)),"")</f>
        <v/>
      </c>
      <c r="M89" s="39" t="str">
        <f>IFERROR(IF(A89="","",IFERROR(VALUE(H89),0)+IFERROR(SUMIF(DB_Savings!$A:$A,A89,DB_Savings!$F:$F),0)-IFERROR(SUMIF(DB_Withdrawals!$A:$A,A89,DB_Withdrawals!$G:$G),0)),"")</f>
        <v/>
      </c>
      <c r="N89" s="39" t="str">
        <f>IFERROR(IF(A89="","",MAX(0,M89-System_Config!$B$9)),"")</f>
        <v/>
      </c>
    </row>
    <row r="90" spans="1:14" ht="19.5" customHeight="1" x14ac:dyDescent="0.25">
      <c r="A90" s="37" t="str">
        <f>'NEW ACCOUNT'!A91</f>
        <v/>
      </c>
      <c r="B90" s="38" t="str">
        <f>IF('NEW ACCOUNT'!A91="","",'NEW ACCOUNT'!B91)</f>
        <v/>
      </c>
      <c r="C90" s="38" t="str">
        <f>IF('NEW ACCOUNT'!A91="","",'NEW ACCOUNT'!C91)</f>
        <v/>
      </c>
      <c r="D90" s="38" t="str">
        <f>IF('NEW ACCOUNT'!A91="","",'NEW ACCOUNT'!D91)</f>
        <v/>
      </c>
      <c r="E90" s="38" t="str">
        <f>IF('NEW ACCOUNT'!A91="","",'NEW ACCOUNT'!E91)</f>
        <v/>
      </c>
      <c r="F90" s="38" t="str">
        <f>IF('NEW ACCOUNT'!A91="","",'NEW ACCOUNT'!F91)</f>
        <v/>
      </c>
      <c r="G90" s="38" t="str">
        <f>IF('NEW ACCOUNT'!A91="","",'NEW ACCOUNT'!G91)</f>
        <v/>
      </c>
      <c r="H90" s="38" t="str">
        <f>IF('NEW ACCOUNT'!A91="","",'NEW ACCOUNT'!H91)</f>
        <v/>
      </c>
      <c r="I90" s="38" t="str">
        <f>IF('NEW ACCOUNT'!A91="","",'NEW ACCOUNT'!I91)</f>
        <v/>
      </c>
      <c r="J90" s="38" t="str">
        <f>IF('NEW ACCOUNT'!A91="","",'NEW ACCOUNT'!J91)</f>
        <v/>
      </c>
      <c r="K90" s="39" t="str">
        <f>IFERROR(IF(A90="","",SUMIF(DB_Savings!$A:$A,A90,DB_Savings!$F:$F)),"")</f>
        <v/>
      </c>
      <c r="L90" s="39" t="str">
        <f>IFERROR(IF(A90="","",SUMIF(DB_Withdrawals!$A:$A,A90,DB_Withdrawals!$G:$G)),"")</f>
        <v/>
      </c>
      <c r="M90" s="39" t="str">
        <f>IFERROR(IF(A90="","",IFERROR(VALUE(H90),0)+IFERROR(SUMIF(DB_Savings!$A:$A,A90,DB_Savings!$F:$F),0)-IFERROR(SUMIF(DB_Withdrawals!$A:$A,A90,DB_Withdrawals!$G:$G),0)),"")</f>
        <v/>
      </c>
      <c r="N90" s="39" t="str">
        <f>IFERROR(IF(A90="","",MAX(0,M90-System_Config!$B$9)),"")</f>
        <v/>
      </c>
    </row>
    <row r="91" spans="1:14" ht="19.5" customHeight="1" x14ac:dyDescent="0.25">
      <c r="A91" s="37" t="str">
        <f>'NEW ACCOUNT'!A92</f>
        <v/>
      </c>
      <c r="B91" s="38" t="str">
        <f>IF('NEW ACCOUNT'!A92="","",'NEW ACCOUNT'!B92)</f>
        <v/>
      </c>
      <c r="C91" s="38" t="str">
        <f>IF('NEW ACCOUNT'!A92="","",'NEW ACCOUNT'!C92)</f>
        <v/>
      </c>
      <c r="D91" s="38" t="str">
        <f>IF('NEW ACCOUNT'!A92="","",'NEW ACCOUNT'!D92)</f>
        <v/>
      </c>
      <c r="E91" s="38" t="str">
        <f>IF('NEW ACCOUNT'!A92="","",'NEW ACCOUNT'!E92)</f>
        <v/>
      </c>
      <c r="F91" s="38" t="str">
        <f>IF('NEW ACCOUNT'!A92="","",'NEW ACCOUNT'!F92)</f>
        <v/>
      </c>
      <c r="G91" s="38" t="str">
        <f>IF('NEW ACCOUNT'!A92="","",'NEW ACCOUNT'!G92)</f>
        <v/>
      </c>
      <c r="H91" s="38" t="str">
        <f>IF('NEW ACCOUNT'!A92="","",'NEW ACCOUNT'!H92)</f>
        <v/>
      </c>
      <c r="I91" s="38" t="str">
        <f>IF('NEW ACCOUNT'!A92="","",'NEW ACCOUNT'!I92)</f>
        <v/>
      </c>
      <c r="J91" s="38" t="str">
        <f>IF('NEW ACCOUNT'!A92="","",'NEW ACCOUNT'!J92)</f>
        <v/>
      </c>
      <c r="K91" s="39" t="str">
        <f>IFERROR(IF(A91="","",SUMIF(DB_Savings!$A:$A,A91,DB_Savings!$F:$F)),"")</f>
        <v/>
      </c>
      <c r="L91" s="39" t="str">
        <f>IFERROR(IF(A91="","",SUMIF(DB_Withdrawals!$A:$A,A91,DB_Withdrawals!$G:$G)),"")</f>
        <v/>
      </c>
      <c r="M91" s="39" t="str">
        <f>IFERROR(IF(A91="","",IFERROR(VALUE(H91),0)+IFERROR(SUMIF(DB_Savings!$A:$A,A91,DB_Savings!$F:$F),0)-IFERROR(SUMIF(DB_Withdrawals!$A:$A,A91,DB_Withdrawals!$G:$G),0)),"")</f>
        <v/>
      </c>
      <c r="N91" s="39" t="str">
        <f>IFERROR(IF(A91="","",MAX(0,M91-System_Config!$B$9)),"")</f>
        <v/>
      </c>
    </row>
    <row r="92" spans="1:14" ht="19.5" customHeight="1" x14ac:dyDescent="0.25">
      <c r="A92" s="37" t="str">
        <f>'NEW ACCOUNT'!A93</f>
        <v/>
      </c>
      <c r="B92" s="38" t="str">
        <f>IF('NEW ACCOUNT'!A93="","",'NEW ACCOUNT'!B93)</f>
        <v/>
      </c>
      <c r="C92" s="38" t="str">
        <f>IF('NEW ACCOUNT'!A93="","",'NEW ACCOUNT'!C93)</f>
        <v/>
      </c>
      <c r="D92" s="38" t="str">
        <f>IF('NEW ACCOUNT'!A93="","",'NEW ACCOUNT'!D93)</f>
        <v/>
      </c>
      <c r="E92" s="38" t="str">
        <f>IF('NEW ACCOUNT'!A93="","",'NEW ACCOUNT'!E93)</f>
        <v/>
      </c>
      <c r="F92" s="38" t="str">
        <f>IF('NEW ACCOUNT'!A93="","",'NEW ACCOUNT'!F93)</f>
        <v/>
      </c>
      <c r="G92" s="38" t="str">
        <f>IF('NEW ACCOUNT'!A93="","",'NEW ACCOUNT'!G93)</f>
        <v/>
      </c>
      <c r="H92" s="38" t="str">
        <f>IF('NEW ACCOUNT'!A93="","",'NEW ACCOUNT'!H93)</f>
        <v/>
      </c>
      <c r="I92" s="38" t="str">
        <f>IF('NEW ACCOUNT'!A93="","",'NEW ACCOUNT'!I93)</f>
        <v/>
      </c>
      <c r="J92" s="38" t="str">
        <f>IF('NEW ACCOUNT'!A93="","",'NEW ACCOUNT'!J93)</f>
        <v/>
      </c>
      <c r="K92" s="39" t="str">
        <f>IFERROR(IF(A92="","",SUMIF(DB_Savings!$A:$A,A92,DB_Savings!$F:$F)),"")</f>
        <v/>
      </c>
      <c r="L92" s="39" t="str">
        <f>IFERROR(IF(A92="","",SUMIF(DB_Withdrawals!$A:$A,A92,DB_Withdrawals!$G:$G)),"")</f>
        <v/>
      </c>
      <c r="M92" s="39" t="str">
        <f>IFERROR(IF(A92="","",IFERROR(VALUE(H92),0)+IFERROR(SUMIF(DB_Savings!$A:$A,A92,DB_Savings!$F:$F),0)-IFERROR(SUMIF(DB_Withdrawals!$A:$A,A92,DB_Withdrawals!$G:$G),0)),"")</f>
        <v/>
      </c>
      <c r="N92" s="39" t="str">
        <f>IFERROR(IF(A92="","",MAX(0,M92-System_Config!$B$9)),"")</f>
        <v/>
      </c>
    </row>
    <row r="93" spans="1:14" ht="19.5" customHeight="1" x14ac:dyDescent="0.25">
      <c r="A93" s="37" t="str">
        <f>'NEW ACCOUNT'!A94</f>
        <v/>
      </c>
      <c r="B93" s="38" t="str">
        <f>IF('NEW ACCOUNT'!A94="","",'NEW ACCOUNT'!B94)</f>
        <v/>
      </c>
      <c r="C93" s="38" t="str">
        <f>IF('NEW ACCOUNT'!A94="","",'NEW ACCOUNT'!C94)</f>
        <v/>
      </c>
      <c r="D93" s="38" t="str">
        <f>IF('NEW ACCOUNT'!A94="","",'NEW ACCOUNT'!D94)</f>
        <v/>
      </c>
      <c r="E93" s="38" t="str">
        <f>IF('NEW ACCOUNT'!A94="","",'NEW ACCOUNT'!E94)</f>
        <v/>
      </c>
      <c r="F93" s="38" t="str">
        <f>IF('NEW ACCOUNT'!A94="","",'NEW ACCOUNT'!F94)</f>
        <v/>
      </c>
      <c r="G93" s="38" t="str">
        <f>IF('NEW ACCOUNT'!A94="","",'NEW ACCOUNT'!G94)</f>
        <v/>
      </c>
      <c r="H93" s="38" t="str">
        <f>IF('NEW ACCOUNT'!A94="","",'NEW ACCOUNT'!H94)</f>
        <v/>
      </c>
      <c r="I93" s="38" t="str">
        <f>IF('NEW ACCOUNT'!A94="","",'NEW ACCOUNT'!I94)</f>
        <v/>
      </c>
      <c r="J93" s="38" t="str">
        <f>IF('NEW ACCOUNT'!A94="","",'NEW ACCOUNT'!J94)</f>
        <v/>
      </c>
      <c r="K93" s="39" t="str">
        <f>IFERROR(IF(A93="","",SUMIF(DB_Savings!$A:$A,A93,DB_Savings!$F:$F)),"")</f>
        <v/>
      </c>
      <c r="L93" s="39" t="str">
        <f>IFERROR(IF(A93="","",SUMIF(DB_Withdrawals!$A:$A,A93,DB_Withdrawals!$G:$G)),"")</f>
        <v/>
      </c>
      <c r="M93" s="39" t="str">
        <f>IFERROR(IF(A93="","",IFERROR(VALUE(H93),0)+IFERROR(SUMIF(DB_Savings!$A:$A,A93,DB_Savings!$F:$F),0)-IFERROR(SUMIF(DB_Withdrawals!$A:$A,A93,DB_Withdrawals!$G:$G),0)),"")</f>
        <v/>
      </c>
      <c r="N93" s="39" t="str">
        <f>IFERROR(IF(A93="","",MAX(0,M93-System_Config!$B$9)),"")</f>
        <v/>
      </c>
    </row>
    <row r="94" spans="1:14" ht="19.5" customHeight="1" x14ac:dyDescent="0.25">
      <c r="A94" s="37" t="str">
        <f>'NEW ACCOUNT'!A95</f>
        <v/>
      </c>
      <c r="B94" s="38" t="str">
        <f>IF('NEW ACCOUNT'!A95="","",'NEW ACCOUNT'!B95)</f>
        <v/>
      </c>
      <c r="C94" s="38" t="str">
        <f>IF('NEW ACCOUNT'!A95="","",'NEW ACCOUNT'!C95)</f>
        <v/>
      </c>
      <c r="D94" s="38" t="str">
        <f>IF('NEW ACCOUNT'!A95="","",'NEW ACCOUNT'!D95)</f>
        <v/>
      </c>
      <c r="E94" s="38" t="str">
        <f>IF('NEW ACCOUNT'!A95="","",'NEW ACCOUNT'!E95)</f>
        <v/>
      </c>
      <c r="F94" s="38" t="str">
        <f>IF('NEW ACCOUNT'!A95="","",'NEW ACCOUNT'!F95)</f>
        <v/>
      </c>
      <c r="G94" s="38" t="str">
        <f>IF('NEW ACCOUNT'!A95="","",'NEW ACCOUNT'!G95)</f>
        <v/>
      </c>
      <c r="H94" s="38" t="str">
        <f>IF('NEW ACCOUNT'!A95="","",'NEW ACCOUNT'!H95)</f>
        <v/>
      </c>
      <c r="I94" s="38" t="str">
        <f>IF('NEW ACCOUNT'!A95="","",'NEW ACCOUNT'!I95)</f>
        <v/>
      </c>
      <c r="J94" s="38" t="str">
        <f>IF('NEW ACCOUNT'!A95="","",'NEW ACCOUNT'!J95)</f>
        <v/>
      </c>
      <c r="K94" s="39" t="str">
        <f>IFERROR(IF(A94="","",SUMIF(DB_Savings!$A:$A,A94,DB_Savings!$F:$F)),"")</f>
        <v/>
      </c>
      <c r="L94" s="39" t="str">
        <f>IFERROR(IF(A94="","",SUMIF(DB_Withdrawals!$A:$A,A94,DB_Withdrawals!$G:$G)),"")</f>
        <v/>
      </c>
      <c r="M94" s="39" t="str">
        <f>IFERROR(IF(A94="","",IFERROR(VALUE(H94),0)+IFERROR(SUMIF(DB_Savings!$A:$A,A94,DB_Savings!$F:$F),0)-IFERROR(SUMIF(DB_Withdrawals!$A:$A,A94,DB_Withdrawals!$G:$G),0)),"")</f>
        <v/>
      </c>
      <c r="N94" s="39" t="str">
        <f>IFERROR(IF(A94="","",MAX(0,M94-System_Config!$B$9)),"")</f>
        <v/>
      </c>
    </row>
    <row r="95" spans="1:14" ht="19.5" customHeight="1" x14ac:dyDescent="0.25">
      <c r="A95" s="37" t="str">
        <f>'NEW ACCOUNT'!A96</f>
        <v/>
      </c>
      <c r="B95" s="38" t="str">
        <f>IF('NEW ACCOUNT'!A96="","",'NEW ACCOUNT'!B96)</f>
        <v/>
      </c>
      <c r="C95" s="38" t="str">
        <f>IF('NEW ACCOUNT'!A96="","",'NEW ACCOUNT'!C96)</f>
        <v/>
      </c>
      <c r="D95" s="38" t="str">
        <f>IF('NEW ACCOUNT'!A96="","",'NEW ACCOUNT'!D96)</f>
        <v/>
      </c>
      <c r="E95" s="38" t="str">
        <f>IF('NEW ACCOUNT'!A96="","",'NEW ACCOUNT'!E96)</f>
        <v/>
      </c>
      <c r="F95" s="38" t="str">
        <f>IF('NEW ACCOUNT'!A96="","",'NEW ACCOUNT'!F96)</f>
        <v/>
      </c>
      <c r="G95" s="38" t="str">
        <f>IF('NEW ACCOUNT'!A96="","",'NEW ACCOUNT'!G96)</f>
        <v/>
      </c>
      <c r="H95" s="38" t="str">
        <f>IF('NEW ACCOUNT'!A96="","",'NEW ACCOUNT'!H96)</f>
        <v/>
      </c>
      <c r="I95" s="38" t="str">
        <f>IF('NEW ACCOUNT'!A96="","",'NEW ACCOUNT'!I96)</f>
        <v/>
      </c>
      <c r="J95" s="38" t="str">
        <f>IF('NEW ACCOUNT'!A96="","",'NEW ACCOUNT'!J96)</f>
        <v/>
      </c>
      <c r="K95" s="39" t="str">
        <f>IFERROR(IF(A95="","",SUMIF(DB_Savings!$A:$A,A95,DB_Savings!$F:$F)),"")</f>
        <v/>
      </c>
      <c r="L95" s="39" t="str">
        <f>IFERROR(IF(A95="","",SUMIF(DB_Withdrawals!$A:$A,A95,DB_Withdrawals!$G:$G)),"")</f>
        <v/>
      </c>
      <c r="M95" s="39" t="str">
        <f>IFERROR(IF(A95="","",IFERROR(VALUE(H95),0)+IFERROR(SUMIF(DB_Savings!$A:$A,A95,DB_Savings!$F:$F),0)-IFERROR(SUMIF(DB_Withdrawals!$A:$A,A95,DB_Withdrawals!$G:$G),0)),"")</f>
        <v/>
      </c>
      <c r="N95" s="39" t="str">
        <f>IFERROR(IF(A95="","",MAX(0,M95-System_Config!$B$9)),"")</f>
        <v/>
      </c>
    </row>
    <row r="96" spans="1:14" ht="19.5" customHeight="1" x14ac:dyDescent="0.25">
      <c r="A96" s="37" t="str">
        <f>'NEW ACCOUNT'!A97</f>
        <v/>
      </c>
      <c r="B96" s="38" t="str">
        <f>IF('NEW ACCOUNT'!A97="","",'NEW ACCOUNT'!B97)</f>
        <v/>
      </c>
      <c r="C96" s="38" t="str">
        <f>IF('NEW ACCOUNT'!A97="","",'NEW ACCOUNT'!C97)</f>
        <v/>
      </c>
      <c r="D96" s="38" t="str">
        <f>IF('NEW ACCOUNT'!A97="","",'NEW ACCOUNT'!D97)</f>
        <v/>
      </c>
      <c r="E96" s="38" t="str">
        <f>IF('NEW ACCOUNT'!A97="","",'NEW ACCOUNT'!E97)</f>
        <v/>
      </c>
      <c r="F96" s="38" t="str">
        <f>IF('NEW ACCOUNT'!A97="","",'NEW ACCOUNT'!F97)</f>
        <v/>
      </c>
      <c r="G96" s="38" t="str">
        <f>IF('NEW ACCOUNT'!A97="","",'NEW ACCOUNT'!G97)</f>
        <v/>
      </c>
      <c r="H96" s="38" t="str">
        <f>IF('NEW ACCOUNT'!A97="","",'NEW ACCOUNT'!H97)</f>
        <v/>
      </c>
      <c r="I96" s="38" t="str">
        <f>IF('NEW ACCOUNT'!A97="","",'NEW ACCOUNT'!I97)</f>
        <v/>
      </c>
      <c r="J96" s="38" t="str">
        <f>IF('NEW ACCOUNT'!A97="","",'NEW ACCOUNT'!J97)</f>
        <v/>
      </c>
      <c r="K96" s="39" t="str">
        <f>IFERROR(IF(A96="","",SUMIF(DB_Savings!$A:$A,A96,DB_Savings!$F:$F)),"")</f>
        <v/>
      </c>
      <c r="L96" s="39" t="str">
        <f>IFERROR(IF(A96="","",SUMIF(DB_Withdrawals!$A:$A,A96,DB_Withdrawals!$G:$G)),"")</f>
        <v/>
      </c>
      <c r="M96" s="39" t="str">
        <f>IFERROR(IF(A96="","",IFERROR(VALUE(H96),0)+IFERROR(SUMIF(DB_Savings!$A:$A,A96,DB_Savings!$F:$F),0)-IFERROR(SUMIF(DB_Withdrawals!$A:$A,A96,DB_Withdrawals!$G:$G),0)),"")</f>
        <v/>
      </c>
      <c r="N96" s="39" t="str">
        <f>IFERROR(IF(A96="","",MAX(0,M96-System_Config!$B$9)),"")</f>
        <v/>
      </c>
    </row>
    <row r="97" spans="1:14" ht="19.5" customHeight="1" x14ac:dyDescent="0.25">
      <c r="A97" s="37" t="str">
        <f>'NEW ACCOUNT'!A98</f>
        <v/>
      </c>
      <c r="B97" s="38" t="str">
        <f>IF('NEW ACCOUNT'!A98="","",'NEW ACCOUNT'!B98)</f>
        <v/>
      </c>
      <c r="C97" s="38" t="str">
        <f>IF('NEW ACCOUNT'!A98="","",'NEW ACCOUNT'!C98)</f>
        <v/>
      </c>
      <c r="D97" s="38" t="str">
        <f>IF('NEW ACCOUNT'!A98="","",'NEW ACCOUNT'!D98)</f>
        <v/>
      </c>
      <c r="E97" s="38" t="str">
        <f>IF('NEW ACCOUNT'!A98="","",'NEW ACCOUNT'!E98)</f>
        <v/>
      </c>
      <c r="F97" s="38" t="str">
        <f>IF('NEW ACCOUNT'!A98="","",'NEW ACCOUNT'!F98)</f>
        <v/>
      </c>
      <c r="G97" s="38" t="str">
        <f>IF('NEW ACCOUNT'!A98="","",'NEW ACCOUNT'!G98)</f>
        <v/>
      </c>
      <c r="H97" s="38" t="str">
        <f>IF('NEW ACCOUNT'!A98="","",'NEW ACCOUNT'!H98)</f>
        <v/>
      </c>
      <c r="I97" s="38" t="str">
        <f>IF('NEW ACCOUNT'!A98="","",'NEW ACCOUNT'!I98)</f>
        <v/>
      </c>
      <c r="J97" s="38" t="str">
        <f>IF('NEW ACCOUNT'!A98="","",'NEW ACCOUNT'!J98)</f>
        <v/>
      </c>
      <c r="K97" s="39" t="str">
        <f>IFERROR(IF(A97="","",SUMIF(DB_Savings!$A:$A,A97,DB_Savings!$F:$F)),"")</f>
        <v/>
      </c>
      <c r="L97" s="39" t="str">
        <f>IFERROR(IF(A97="","",SUMIF(DB_Withdrawals!$A:$A,A97,DB_Withdrawals!$G:$G)),"")</f>
        <v/>
      </c>
      <c r="M97" s="39" t="str">
        <f>IFERROR(IF(A97="","",IFERROR(VALUE(H97),0)+IFERROR(SUMIF(DB_Savings!$A:$A,A97,DB_Savings!$F:$F),0)-IFERROR(SUMIF(DB_Withdrawals!$A:$A,A97,DB_Withdrawals!$G:$G),0)),"")</f>
        <v/>
      </c>
      <c r="N97" s="39" t="str">
        <f>IFERROR(IF(A97="","",MAX(0,M97-System_Config!$B$9)),"")</f>
        <v/>
      </c>
    </row>
    <row r="98" spans="1:14" ht="19.5" customHeight="1" x14ac:dyDescent="0.25">
      <c r="A98" s="37" t="str">
        <f>'NEW ACCOUNT'!A99</f>
        <v/>
      </c>
      <c r="B98" s="38" t="str">
        <f>IF('NEW ACCOUNT'!A99="","",'NEW ACCOUNT'!B99)</f>
        <v/>
      </c>
      <c r="C98" s="38" t="str">
        <f>IF('NEW ACCOUNT'!A99="","",'NEW ACCOUNT'!C99)</f>
        <v/>
      </c>
      <c r="D98" s="38" t="str">
        <f>IF('NEW ACCOUNT'!A99="","",'NEW ACCOUNT'!D99)</f>
        <v/>
      </c>
      <c r="E98" s="38" t="str">
        <f>IF('NEW ACCOUNT'!A99="","",'NEW ACCOUNT'!E99)</f>
        <v/>
      </c>
      <c r="F98" s="38" t="str">
        <f>IF('NEW ACCOUNT'!A99="","",'NEW ACCOUNT'!F99)</f>
        <v/>
      </c>
      <c r="G98" s="38" t="str">
        <f>IF('NEW ACCOUNT'!A99="","",'NEW ACCOUNT'!G99)</f>
        <v/>
      </c>
      <c r="H98" s="38" t="str">
        <f>IF('NEW ACCOUNT'!A99="","",'NEW ACCOUNT'!H99)</f>
        <v/>
      </c>
      <c r="I98" s="38" t="str">
        <f>IF('NEW ACCOUNT'!A99="","",'NEW ACCOUNT'!I99)</f>
        <v/>
      </c>
      <c r="J98" s="38" t="str">
        <f>IF('NEW ACCOUNT'!A99="","",'NEW ACCOUNT'!J99)</f>
        <v/>
      </c>
      <c r="K98" s="39" t="str">
        <f>IFERROR(IF(A98="","",SUMIF(DB_Savings!$A:$A,A98,DB_Savings!$F:$F)),"")</f>
        <v/>
      </c>
      <c r="L98" s="39" t="str">
        <f>IFERROR(IF(A98="","",SUMIF(DB_Withdrawals!$A:$A,A98,DB_Withdrawals!$G:$G)),"")</f>
        <v/>
      </c>
      <c r="M98" s="39" t="str">
        <f>IFERROR(IF(A98="","",IFERROR(VALUE(H98),0)+IFERROR(SUMIF(DB_Savings!$A:$A,A98,DB_Savings!$F:$F),0)-IFERROR(SUMIF(DB_Withdrawals!$A:$A,A98,DB_Withdrawals!$G:$G),0)),"")</f>
        <v/>
      </c>
      <c r="N98" s="39" t="str">
        <f>IFERROR(IF(A98="","",MAX(0,M98-System_Config!$B$9)),"")</f>
        <v/>
      </c>
    </row>
    <row r="99" spans="1:14" ht="19.5" customHeight="1" x14ac:dyDescent="0.25">
      <c r="A99" s="37" t="str">
        <f>'NEW ACCOUNT'!A100</f>
        <v/>
      </c>
      <c r="B99" s="38" t="str">
        <f>IF('NEW ACCOUNT'!A100="","",'NEW ACCOUNT'!B100)</f>
        <v/>
      </c>
      <c r="C99" s="38" t="str">
        <f>IF('NEW ACCOUNT'!A100="","",'NEW ACCOUNT'!C100)</f>
        <v/>
      </c>
      <c r="D99" s="38" t="str">
        <f>IF('NEW ACCOUNT'!A100="","",'NEW ACCOUNT'!D100)</f>
        <v/>
      </c>
      <c r="E99" s="38" t="str">
        <f>IF('NEW ACCOUNT'!A100="","",'NEW ACCOUNT'!E100)</f>
        <v/>
      </c>
      <c r="F99" s="38" t="str">
        <f>IF('NEW ACCOUNT'!A100="","",'NEW ACCOUNT'!F100)</f>
        <v/>
      </c>
      <c r="G99" s="38" t="str">
        <f>IF('NEW ACCOUNT'!A100="","",'NEW ACCOUNT'!G100)</f>
        <v/>
      </c>
      <c r="H99" s="38" t="str">
        <f>IF('NEW ACCOUNT'!A100="","",'NEW ACCOUNT'!H100)</f>
        <v/>
      </c>
      <c r="I99" s="38" t="str">
        <f>IF('NEW ACCOUNT'!A100="","",'NEW ACCOUNT'!I100)</f>
        <v/>
      </c>
      <c r="J99" s="38" t="str">
        <f>IF('NEW ACCOUNT'!A100="","",'NEW ACCOUNT'!J100)</f>
        <v/>
      </c>
      <c r="K99" s="39" t="str">
        <f>IFERROR(IF(A99="","",SUMIF(DB_Savings!$A:$A,A99,DB_Savings!$F:$F)),"")</f>
        <v/>
      </c>
      <c r="L99" s="39" t="str">
        <f>IFERROR(IF(A99="","",SUMIF(DB_Withdrawals!$A:$A,A99,DB_Withdrawals!$G:$G)),"")</f>
        <v/>
      </c>
      <c r="M99" s="39" t="str">
        <f>IFERROR(IF(A99="","",IFERROR(VALUE(H99),0)+IFERROR(SUMIF(DB_Savings!$A:$A,A99,DB_Savings!$F:$F),0)-IFERROR(SUMIF(DB_Withdrawals!$A:$A,A99,DB_Withdrawals!$G:$G),0)),"")</f>
        <v/>
      </c>
      <c r="N99" s="39" t="str">
        <f>IFERROR(IF(A99="","",MAX(0,M99-System_Config!$B$9)),"")</f>
        <v/>
      </c>
    </row>
    <row r="100" spans="1:14" ht="19.5" customHeight="1" x14ac:dyDescent="0.25">
      <c r="A100" s="37" t="str">
        <f>'NEW ACCOUNT'!A101</f>
        <v/>
      </c>
      <c r="B100" s="38" t="str">
        <f>IF('NEW ACCOUNT'!A101="","",'NEW ACCOUNT'!B101)</f>
        <v/>
      </c>
      <c r="C100" s="38" t="str">
        <f>IF('NEW ACCOUNT'!A101="","",'NEW ACCOUNT'!C101)</f>
        <v/>
      </c>
      <c r="D100" s="38" t="str">
        <f>IF('NEW ACCOUNT'!A101="","",'NEW ACCOUNT'!D101)</f>
        <v/>
      </c>
      <c r="E100" s="38" t="str">
        <f>IF('NEW ACCOUNT'!A101="","",'NEW ACCOUNT'!E101)</f>
        <v/>
      </c>
      <c r="F100" s="38" t="str">
        <f>IF('NEW ACCOUNT'!A101="","",'NEW ACCOUNT'!F101)</f>
        <v/>
      </c>
      <c r="G100" s="38" t="str">
        <f>IF('NEW ACCOUNT'!A101="","",'NEW ACCOUNT'!G101)</f>
        <v/>
      </c>
      <c r="H100" s="38" t="str">
        <f>IF('NEW ACCOUNT'!A101="","",'NEW ACCOUNT'!H101)</f>
        <v/>
      </c>
      <c r="I100" s="38" t="str">
        <f>IF('NEW ACCOUNT'!A101="","",'NEW ACCOUNT'!I101)</f>
        <v/>
      </c>
      <c r="J100" s="38" t="str">
        <f>IF('NEW ACCOUNT'!A101="","",'NEW ACCOUNT'!J101)</f>
        <v/>
      </c>
      <c r="K100" s="39" t="str">
        <f>IFERROR(IF(A100="","",SUMIF(DB_Savings!$A:$A,A100,DB_Savings!$F:$F)),"")</f>
        <v/>
      </c>
      <c r="L100" s="39" t="str">
        <f>IFERROR(IF(A100="","",SUMIF(DB_Withdrawals!$A:$A,A100,DB_Withdrawals!$G:$G)),"")</f>
        <v/>
      </c>
      <c r="M100" s="39" t="str">
        <f>IFERROR(IF(A100="","",IFERROR(VALUE(H100),0)+IFERROR(SUMIF(DB_Savings!$A:$A,A100,DB_Savings!$F:$F),0)-IFERROR(SUMIF(DB_Withdrawals!$A:$A,A100,DB_Withdrawals!$G:$G),0)),"")</f>
        <v/>
      </c>
      <c r="N100" s="39" t="str">
        <f>IFERROR(IF(A100="","",MAX(0,M100-System_Config!$B$9)),"")</f>
        <v/>
      </c>
    </row>
    <row r="101" spans="1:14" ht="19.5" customHeight="1" x14ac:dyDescent="0.25">
      <c r="A101" s="37" t="str">
        <f>'NEW ACCOUNT'!A102</f>
        <v/>
      </c>
      <c r="B101" s="38" t="str">
        <f>IF('NEW ACCOUNT'!A102="","",'NEW ACCOUNT'!B102)</f>
        <v/>
      </c>
      <c r="C101" s="38" t="str">
        <f>IF('NEW ACCOUNT'!A102="","",'NEW ACCOUNT'!C102)</f>
        <v/>
      </c>
      <c r="D101" s="38" t="str">
        <f>IF('NEW ACCOUNT'!A102="","",'NEW ACCOUNT'!D102)</f>
        <v/>
      </c>
      <c r="E101" s="38" t="str">
        <f>IF('NEW ACCOUNT'!A102="","",'NEW ACCOUNT'!E102)</f>
        <v/>
      </c>
      <c r="F101" s="38" t="str">
        <f>IF('NEW ACCOUNT'!A102="","",'NEW ACCOUNT'!F102)</f>
        <v/>
      </c>
      <c r="G101" s="38" t="str">
        <f>IF('NEW ACCOUNT'!A102="","",'NEW ACCOUNT'!G102)</f>
        <v/>
      </c>
      <c r="H101" s="38" t="str">
        <f>IF('NEW ACCOUNT'!A102="","",'NEW ACCOUNT'!H102)</f>
        <v/>
      </c>
      <c r="I101" s="38" t="str">
        <f>IF('NEW ACCOUNT'!A102="","",'NEW ACCOUNT'!I102)</f>
        <v/>
      </c>
      <c r="J101" s="38" t="str">
        <f>IF('NEW ACCOUNT'!A102="","",'NEW ACCOUNT'!J102)</f>
        <v/>
      </c>
      <c r="K101" s="39" t="str">
        <f>IFERROR(IF(A101="","",SUMIF(DB_Savings!$A:$A,A101,DB_Savings!$F:$F)),"")</f>
        <v/>
      </c>
      <c r="L101" s="39" t="str">
        <f>IFERROR(IF(A101="","",SUMIF(DB_Withdrawals!$A:$A,A101,DB_Withdrawals!$G:$G)),"")</f>
        <v/>
      </c>
      <c r="M101" s="39" t="str">
        <f>IFERROR(IF(A101="","",IFERROR(VALUE(H101),0)+IFERROR(SUMIF(DB_Savings!$A:$A,A101,DB_Savings!$F:$F),0)-IFERROR(SUMIF(DB_Withdrawals!$A:$A,A101,DB_Withdrawals!$G:$G),0)),"")</f>
        <v/>
      </c>
      <c r="N101" s="39" t="str">
        <f>IFERROR(IF(A101="","",MAX(0,M101-System_Config!$B$9)),"")</f>
        <v/>
      </c>
    </row>
    <row r="102" spans="1:14" ht="19.5" customHeight="1" x14ac:dyDescent="0.25">
      <c r="A102" s="37" t="str">
        <f>'NEW ACCOUNT'!A103</f>
        <v/>
      </c>
      <c r="B102" s="38" t="str">
        <f>IF('NEW ACCOUNT'!A103="","",'NEW ACCOUNT'!B103)</f>
        <v/>
      </c>
      <c r="C102" s="38" t="str">
        <f>IF('NEW ACCOUNT'!A103="","",'NEW ACCOUNT'!C103)</f>
        <v/>
      </c>
      <c r="D102" s="38" t="str">
        <f>IF('NEW ACCOUNT'!A103="","",'NEW ACCOUNT'!D103)</f>
        <v/>
      </c>
      <c r="E102" s="38" t="str">
        <f>IF('NEW ACCOUNT'!A103="","",'NEW ACCOUNT'!E103)</f>
        <v/>
      </c>
      <c r="F102" s="38" t="str">
        <f>IF('NEW ACCOUNT'!A103="","",'NEW ACCOUNT'!F103)</f>
        <v/>
      </c>
      <c r="G102" s="38" t="str">
        <f>IF('NEW ACCOUNT'!A103="","",'NEW ACCOUNT'!G103)</f>
        <v/>
      </c>
      <c r="H102" s="38" t="str">
        <f>IF('NEW ACCOUNT'!A103="","",'NEW ACCOUNT'!H103)</f>
        <v/>
      </c>
      <c r="I102" s="38" t="str">
        <f>IF('NEW ACCOUNT'!A103="","",'NEW ACCOUNT'!I103)</f>
        <v/>
      </c>
      <c r="J102" s="38" t="str">
        <f>IF('NEW ACCOUNT'!A103="","",'NEW ACCOUNT'!J103)</f>
        <v/>
      </c>
      <c r="K102" s="39" t="str">
        <f>IFERROR(IF(A102="","",SUMIF(DB_Savings!$A:$A,A102,DB_Savings!$F:$F)),"")</f>
        <v/>
      </c>
      <c r="L102" s="39" t="str">
        <f>IFERROR(IF(A102="","",SUMIF(DB_Withdrawals!$A:$A,A102,DB_Withdrawals!$G:$G)),"")</f>
        <v/>
      </c>
      <c r="M102" s="39" t="str">
        <f>IFERROR(IF(A102="","",IFERROR(VALUE(H102),0)+IFERROR(SUMIF(DB_Savings!$A:$A,A102,DB_Savings!$F:$F),0)-IFERROR(SUMIF(DB_Withdrawals!$A:$A,A102,DB_Withdrawals!$G:$G),0)),"")</f>
        <v/>
      </c>
      <c r="N102" s="39" t="str">
        <f>IFERROR(IF(A102="","",MAX(0,M102-System_Config!$B$9)),"")</f>
        <v/>
      </c>
    </row>
    <row r="103" spans="1:14" ht="19.5" customHeight="1" x14ac:dyDescent="0.25">
      <c r="A103" s="37" t="str">
        <f>'NEW ACCOUNT'!A104</f>
        <v/>
      </c>
      <c r="B103" s="38" t="str">
        <f>IF('NEW ACCOUNT'!A104="","",'NEW ACCOUNT'!B104)</f>
        <v/>
      </c>
      <c r="C103" s="38" t="str">
        <f>IF('NEW ACCOUNT'!A104="","",'NEW ACCOUNT'!C104)</f>
        <v/>
      </c>
      <c r="D103" s="38" t="str">
        <f>IF('NEW ACCOUNT'!A104="","",'NEW ACCOUNT'!D104)</f>
        <v/>
      </c>
      <c r="E103" s="38" t="str">
        <f>IF('NEW ACCOUNT'!A104="","",'NEW ACCOUNT'!E104)</f>
        <v/>
      </c>
      <c r="F103" s="38" t="str">
        <f>IF('NEW ACCOUNT'!A104="","",'NEW ACCOUNT'!F104)</f>
        <v/>
      </c>
      <c r="G103" s="38" t="str">
        <f>IF('NEW ACCOUNT'!A104="","",'NEW ACCOUNT'!G104)</f>
        <v/>
      </c>
      <c r="H103" s="38" t="str">
        <f>IF('NEW ACCOUNT'!A104="","",'NEW ACCOUNT'!H104)</f>
        <v/>
      </c>
      <c r="I103" s="38" t="str">
        <f>IF('NEW ACCOUNT'!A104="","",'NEW ACCOUNT'!I104)</f>
        <v/>
      </c>
      <c r="J103" s="38" t="str">
        <f>IF('NEW ACCOUNT'!A104="","",'NEW ACCOUNT'!J104)</f>
        <v/>
      </c>
      <c r="K103" s="39" t="str">
        <f>IFERROR(IF(A103="","",SUMIF(DB_Savings!$A:$A,A103,DB_Savings!$F:$F)),"")</f>
        <v/>
      </c>
      <c r="L103" s="39" t="str">
        <f>IFERROR(IF(A103="","",SUMIF(DB_Withdrawals!$A:$A,A103,DB_Withdrawals!$G:$G)),"")</f>
        <v/>
      </c>
      <c r="M103" s="39" t="str">
        <f>IFERROR(IF(A103="","",IFERROR(VALUE(H103),0)+IFERROR(SUMIF(DB_Savings!$A:$A,A103,DB_Savings!$F:$F),0)-IFERROR(SUMIF(DB_Withdrawals!$A:$A,A103,DB_Withdrawals!$G:$G),0)),"")</f>
        <v/>
      </c>
      <c r="N103" s="39" t="str">
        <f>IFERROR(IF(A103="","",MAX(0,M103-System_Config!$B$9)),"")</f>
        <v/>
      </c>
    </row>
    <row r="104" spans="1:14" ht="19.5" customHeight="1" x14ac:dyDescent="0.25">
      <c r="A104" s="37" t="str">
        <f>'NEW ACCOUNT'!A105</f>
        <v/>
      </c>
      <c r="B104" s="38" t="str">
        <f>IF('NEW ACCOUNT'!A105="","",'NEW ACCOUNT'!B105)</f>
        <v/>
      </c>
      <c r="C104" s="38" t="str">
        <f>IF('NEW ACCOUNT'!A105="","",'NEW ACCOUNT'!C105)</f>
        <v/>
      </c>
      <c r="D104" s="38" t="str">
        <f>IF('NEW ACCOUNT'!A105="","",'NEW ACCOUNT'!D105)</f>
        <v/>
      </c>
      <c r="E104" s="38" t="str">
        <f>IF('NEW ACCOUNT'!A105="","",'NEW ACCOUNT'!E105)</f>
        <v/>
      </c>
      <c r="F104" s="38" t="str">
        <f>IF('NEW ACCOUNT'!A105="","",'NEW ACCOUNT'!F105)</f>
        <v/>
      </c>
      <c r="G104" s="38" t="str">
        <f>IF('NEW ACCOUNT'!A105="","",'NEW ACCOUNT'!G105)</f>
        <v/>
      </c>
      <c r="H104" s="38" t="str">
        <f>IF('NEW ACCOUNT'!A105="","",'NEW ACCOUNT'!H105)</f>
        <v/>
      </c>
      <c r="I104" s="38" t="str">
        <f>IF('NEW ACCOUNT'!A105="","",'NEW ACCOUNT'!I105)</f>
        <v/>
      </c>
      <c r="J104" s="38" t="str">
        <f>IF('NEW ACCOUNT'!A105="","",'NEW ACCOUNT'!J105)</f>
        <v/>
      </c>
      <c r="K104" s="39" t="str">
        <f>IFERROR(IF(A104="","",SUMIF(DB_Savings!$A:$A,A104,DB_Savings!$F:$F)),"")</f>
        <v/>
      </c>
      <c r="L104" s="39" t="str">
        <f>IFERROR(IF(A104="","",SUMIF(DB_Withdrawals!$A:$A,A104,DB_Withdrawals!$G:$G)),"")</f>
        <v/>
      </c>
      <c r="M104" s="39" t="str">
        <f>IFERROR(IF(A104="","",IFERROR(VALUE(H104),0)+IFERROR(SUMIF(DB_Savings!$A:$A,A104,DB_Savings!$F:$F),0)-IFERROR(SUMIF(DB_Withdrawals!$A:$A,A104,DB_Withdrawals!$G:$G),0)),"")</f>
        <v/>
      </c>
      <c r="N104" s="39" t="str">
        <f>IFERROR(IF(A104="","",MAX(0,M104-System_Config!$B$9)),"")</f>
        <v/>
      </c>
    </row>
    <row r="105" spans="1:14" ht="19.5" customHeight="1" x14ac:dyDescent="0.25">
      <c r="A105" s="37" t="str">
        <f>'NEW ACCOUNT'!A106</f>
        <v/>
      </c>
      <c r="B105" s="38" t="str">
        <f>IF('NEW ACCOUNT'!A106="","",'NEW ACCOUNT'!B106)</f>
        <v/>
      </c>
      <c r="C105" s="38" t="str">
        <f>IF('NEW ACCOUNT'!A106="","",'NEW ACCOUNT'!C106)</f>
        <v/>
      </c>
      <c r="D105" s="38" t="str">
        <f>IF('NEW ACCOUNT'!A106="","",'NEW ACCOUNT'!D106)</f>
        <v/>
      </c>
      <c r="E105" s="38" t="str">
        <f>IF('NEW ACCOUNT'!A106="","",'NEW ACCOUNT'!E106)</f>
        <v/>
      </c>
      <c r="F105" s="38" t="str">
        <f>IF('NEW ACCOUNT'!A106="","",'NEW ACCOUNT'!F106)</f>
        <v/>
      </c>
      <c r="G105" s="38" t="str">
        <f>IF('NEW ACCOUNT'!A106="","",'NEW ACCOUNT'!G106)</f>
        <v/>
      </c>
      <c r="H105" s="38" t="str">
        <f>IF('NEW ACCOUNT'!A106="","",'NEW ACCOUNT'!H106)</f>
        <v/>
      </c>
      <c r="I105" s="38" t="str">
        <f>IF('NEW ACCOUNT'!A106="","",'NEW ACCOUNT'!I106)</f>
        <v/>
      </c>
      <c r="J105" s="38" t="str">
        <f>IF('NEW ACCOUNT'!A106="","",'NEW ACCOUNT'!J106)</f>
        <v/>
      </c>
      <c r="K105" s="39" t="str">
        <f>IFERROR(IF(A105="","",SUMIF(DB_Savings!$A:$A,A105,DB_Savings!$F:$F)),"")</f>
        <v/>
      </c>
      <c r="L105" s="39" t="str">
        <f>IFERROR(IF(A105="","",SUMIF(DB_Withdrawals!$A:$A,A105,DB_Withdrawals!$G:$G)),"")</f>
        <v/>
      </c>
      <c r="M105" s="39" t="str">
        <f>IFERROR(IF(A105="","",IFERROR(VALUE(H105),0)+IFERROR(SUMIF(DB_Savings!$A:$A,A105,DB_Savings!$F:$F),0)-IFERROR(SUMIF(DB_Withdrawals!$A:$A,A105,DB_Withdrawals!$G:$G),0)),"")</f>
        <v/>
      </c>
      <c r="N105" s="39" t="str">
        <f>IFERROR(IF(A105="","",MAX(0,M105-System_Config!$B$9)),"")</f>
        <v/>
      </c>
    </row>
    <row r="106" spans="1:14" ht="19.5" customHeight="1" x14ac:dyDescent="0.25">
      <c r="A106" s="37" t="str">
        <f>'NEW ACCOUNT'!A107</f>
        <v/>
      </c>
      <c r="B106" s="38" t="str">
        <f>IF('NEW ACCOUNT'!A107="","",'NEW ACCOUNT'!B107)</f>
        <v/>
      </c>
      <c r="C106" s="38" t="str">
        <f>IF('NEW ACCOUNT'!A107="","",'NEW ACCOUNT'!C107)</f>
        <v/>
      </c>
      <c r="D106" s="38" t="str">
        <f>IF('NEW ACCOUNT'!A107="","",'NEW ACCOUNT'!D107)</f>
        <v/>
      </c>
      <c r="E106" s="38" t="str">
        <f>IF('NEW ACCOUNT'!A107="","",'NEW ACCOUNT'!E107)</f>
        <v/>
      </c>
      <c r="F106" s="38" t="str">
        <f>IF('NEW ACCOUNT'!A107="","",'NEW ACCOUNT'!F107)</f>
        <v/>
      </c>
      <c r="G106" s="38" t="str">
        <f>IF('NEW ACCOUNT'!A107="","",'NEW ACCOUNT'!G107)</f>
        <v/>
      </c>
      <c r="H106" s="38" t="str">
        <f>IF('NEW ACCOUNT'!A107="","",'NEW ACCOUNT'!H107)</f>
        <v/>
      </c>
      <c r="I106" s="38" t="str">
        <f>IF('NEW ACCOUNT'!A107="","",'NEW ACCOUNT'!I107)</f>
        <v/>
      </c>
      <c r="J106" s="38" t="str">
        <f>IF('NEW ACCOUNT'!A107="","",'NEW ACCOUNT'!J107)</f>
        <v/>
      </c>
      <c r="K106" s="39" t="str">
        <f>IFERROR(IF(A106="","",SUMIF(DB_Savings!$A:$A,A106,DB_Savings!$F:$F)),"")</f>
        <v/>
      </c>
      <c r="L106" s="39" t="str">
        <f>IFERROR(IF(A106="","",SUMIF(DB_Withdrawals!$A:$A,A106,DB_Withdrawals!$G:$G)),"")</f>
        <v/>
      </c>
      <c r="M106" s="39" t="str">
        <f>IFERROR(IF(A106="","",IFERROR(VALUE(H106),0)+IFERROR(SUMIF(DB_Savings!$A:$A,A106,DB_Savings!$F:$F),0)-IFERROR(SUMIF(DB_Withdrawals!$A:$A,A106,DB_Withdrawals!$G:$G),0)),"")</f>
        <v/>
      </c>
      <c r="N106" s="39" t="str">
        <f>IFERROR(IF(A106="","",MAX(0,M106-System_Config!$B$9)),"")</f>
        <v/>
      </c>
    </row>
    <row r="107" spans="1:14" ht="19.5" customHeight="1" x14ac:dyDescent="0.25">
      <c r="A107" s="37" t="str">
        <f>'NEW ACCOUNT'!A108</f>
        <v/>
      </c>
      <c r="B107" s="38" t="str">
        <f>IF('NEW ACCOUNT'!A108="","",'NEW ACCOUNT'!B108)</f>
        <v/>
      </c>
      <c r="C107" s="38" t="str">
        <f>IF('NEW ACCOUNT'!A108="","",'NEW ACCOUNT'!C108)</f>
        <v/>
      </c>
      <c r="D107" s="38" t="str">
        <f>IF('NEW ACCOUNT'!A108="","",'NEW ACCOUNT'!D108)</f>
        <v/>
      </c>
      <c r="E107" s="38" t="str">
        <f>IF('NEW ACCOUNT'!A108="","",'NEW ACCOUNT'!E108)</f>
        <v/>
      </c>
      <c r="F107" s="38" t="str">
        <f>IF('NEW ACCOUNT'!A108="","",'NEW ACCOUNT'!F108)</f>
        <v/>
      </c>
      <c r="G107" s="38" t="str">
        <f>IF('NEW ACCOUNT'!A108="","",'NEW ACCOUNT'!G108)</f>
        <v/>
      </c>
      <c r="H107" s="38" t="str">
        <f>IF('NEW ACCOUNT'!A108="","",'NEW ACCOUNT'!H108)</f>
        <v/>
      </c>
      <c r="I107" s="38" t="str">
        <f>IF('NEW ACCOUNT'!A108="","",'NEW ACCOUNT'!I108)</f>
        <v/>
      </c>
      <c r="J107" s="38" t="str">
        <f>IF('NEW ACCOUNT'!A108="","",'NEW ACCOUNT'!J108)</f>
        <v/>
      </c>
      <c r="K107" s="39" t="str">
        <f>IFERROR(IF(A107="","",SUMIF(DB_Savings!$A:$A,A107,DB_Savings!$F:$F)),"")</f>
        <v/>
      </c>
      <c r="L107" s="39" t="str">
        <f>IFERROR(IF(A107="","",SUMIF(DB_Withdrawals!$A:$A,A107,DB_Withdrawals!$G:$G)),"")</f>
        <v/>
      </c>
      <c r="M107" s="39" t="str">
        <f>IFERROR(IF(A107="","",IFERROR(VALUE(H107),0)+IFERROR(SUMIF(DB_Savings!$A:$A,A107,DB_Savings!$F:$F),0)-IFERROR(SUMIF(DB_Withdrawals!$A:$A,A107,DB_Withdrawals!$G:$G),0)),"")</f>
        <v/>
      </c>
      <c r="N107" s="39" t="str">
        <f>IFERROR(IF(A107="","",MAX(0,M107-System_Config!$B$9)),"")</f>
        <v/>
      </c>
    </row>
    <row r="108" spans="1:14" ht="19.5" customHeight="1" x14ac:dyDescent="0.25">
      <c r="A108" s="37" t="str">
        <f>'NEW ACCOUNT'!A109</f>
        <v/>
      </c>
      <c r="B108" s="38" t="str">
        <f>IF('NEW ACCOUNT'!A109="","",'NEW ACCOUNT'!B109)</f>
        <v/>
      </c>
      <c r="C108" s="38" t="str">
        <f>IF('NEW ACCOUNT'!A109="","",'NEW ACCOUNT'!C109)</f>
        <v/>
      </c>
      <c r="D108" s="38" t="str">
        <f>IF('NEW ACCOUNT'!A109="","",'NEW ACCOUNT'!D109)</f>
        <v/>
      </c>
      <c r="E108" s="38" t="str">
        <f>IF('NEW ACCOUNT'!A109="","",'NEW ACCOUNT'!E109)</f>
        <v/>
      </c>
      <c r="F108" s="38" t="str">
        <f>IF('NEW ACCOUNT'!A109="","",'NEW ACCOUNT'!F109)</f>
        <v/>
      </c>
      <c r="G108" s="38" t="str">
        <f>IF('NEW ACCOUNT'!A109="","",'NEW ACCOUNT'!G109)</f>
        <v/>
      </c>
      <c r="H108" s="38" t="str">
        <f>IF('NEW ACCOUNT'!A109="","",'NEW ACCOUNT'!H109)</f>
        <v/>
      </c>
      <c r="I108" s="38" t="str">
        <f>IF('NEW ACCOUNT'!A109="","",'NEW ACCOUNT'!I109)</f>
        <v/>
      </c>
      <c r="J108" s="38" t="str">
        <f>IF('NEW ACCOUNT'!A109="","",'NEW ACCOUNT'!J109)</f>
        <v/>
      </c>
      <c r="K108" s="39" t="str">
        <f>IFERROR(IF(A108="","",SUMIF(DB_Savings!$A:$A,A108,DB_Savings!$F:$F)),"")</f>
        <v/>
      </c>
      <c r="L108" s="39" t="str">
        <f>IFERROR(IF(A108="","",SUMIF(DB_Withdrawals!$A:$A,A108,DB_Withdrawals!$G:$G)),"")</f>
        <v/>
      </c>
      <c r="M108" s="39" t="str">
        <f>IFERROR(IF(A108="","",IFERROR(VALUE(H108),0)+IFERROR(SUMIF(DB_Savings!$A:$A,A108,DB_Savings!$F:$F),0)-IFERROR(SUMIF(DB_Withdrawals!$A:$A,A108,DB_Withdrawals!$G:$G),0)),"")</f>
        <v/>
      </c>
      <c r="N108" s="39" t="str">
        <f>IFERROR(IF(A108="","",MAX(0,M108-System_Config!$B$9)),"")</f>
        <v/>
      </c>
    </row>
    <row r="109" spans="1:14" ht="19.5" customHeight="1" x14ac:dyDescent="0.25">
      <c r="A109" s="37" t="str">
        <f>'NEW ACCOUNT'!A110</f>
        <v/>
      </c>
      <c r="B109" s="38" t="str">
        <f>IF('NEW ACCOUNT'!A110="","",'NEW ACCOUNT'!B110)</f>
        <v/>
      </c>
      <c r="C109" s="38" t="str">
        <f>IF('NEW ACCOUNT'!A110="","",'NEW ACCOUNT'!C110)</f>
        <v/>
      </c>
      <c r="D109" s="38" t="str">
        <f>IF('NEW ACCOUNT'!A110="","",'NEW ACCOUNT'!D110)</f>
        <v/>
      </c>
      <c r="E109" s="38" t="str">
        <f>IF('NEW ACCOUNT'!A110="","",'NEW ACCOUNT'!E110)</f>
        <v/>
      </c>
      <c r="F109" s="38" t="str">
        <f>IF('NEW ACCOUNT'!A110="","",'NEW ACCOUNT'!F110)</f>
        <v/>
      </c>
      <c r="G109" s="38" t="str">
        <f>IF('NEW ACCOUNT'!A110="","",'NEW ACCOUNT'!G110)</f>
        <v/>
      </c>
      <c r="H109" s="38" t="str">
        <f>IF('NEW ACCOUNT'!A110="","",'NEW ACCOUNT'!H110)</f>
        <v/>
      </c>
      <c r="I109" s="38" t="str">
        <f>IF('NEW ACCOUNT'!A110="","",'NEW ACCOUNT'!I110)</f>
        <v/>
      </c>
      <c r="J109" s="38" t="str">
        <f>IF('NEW ACCOUNT'!A110="","",'NEW ACCOUNT'!J110)</f>
        <v/>
      </c>
      <c r="K109" s="39" t="str">
        <f>IFERROR(IF(A109="","",SUMIF(DB_Savings!$A:$A,A109,DB_Savings!$F:$F)),"")</f>
        <v/>
      </c>
      <c r="L109" s="39" t="str">
        <f>IFERROR(IF(A109="","",SUMIF(DB_Withdrawals!$A:$A,A109,DB_Withdrawals!$G:$G)),"")</f>
        <v/>
      </c>
      <c r="M109" s="39" t="str">
        <f>IFERROR(IF(A109="","",IFERROR(VALUE(H109),0)+IFERROR(SUMIF(DB_Savings!$A:$A,A109,DB_Savings!$F:$F),0)-IFERROR(SUMIF(DB_Withdrawals!$A:$A,A109,DB_Withdrawals!$G:$G),0)),"")</f>
        <v/>
      </c>
      <c r="N109" s="39" t="str">
        <f>IFERROR(IF(A109="","",MAX(0,M109-System_Config!$B$9)),"")</f>
        <v/>
      </c>
    </row>
    <row r="110" spans="1:14" ht="19.5" customHeight="1" x14ac:dyDescent="0.25">
      <c r="A110" s="37" t="str">
        <f>'NEW ACCOUNT'!A111</f>
        <v/>
      </c>
      <c r="B110" s="38" t="str">
        <f>IF('NEW ACCOUNT'!A111="","",'NEW ACCOUNT'!B111)</f>
        <v/>
      </c>
      <c r="C110" s="38" t="str">
        <f>IF('NEW ACCOUNT'!A111="","",'NEW ACCOUNT'!C111)</f>
        <v/>
      </c>
      <c r="D110" s="38" t="str">
        <f>IF('NEW ACCOUNT'!A111="","",'NEW ACCOUNT'!D111)</f>
        <v/>
      </c>
      <c r="E110" s="38" t="str">
        <f>IF('NEW ACCOUNT'!A111="","",'NEW ACCOUNT'!E111)</f>
        <v/>
      </c>
      <c r="F110" s="38" t="str">
        <f>IF('NEW ACCOUNT'!A111="","",'NEW ACCOUNT'!F111)</f>
        <v/>
      </c>
      <c r="G110" s="38" t="str">
        <f>IF('NEW ACCOUNT'!A111="","",'NEW ACCOUNT'!G111)</f>
        <v/>
      </c>
      <c r="H110" s="38" t="str">
        <f>IF('NEW ACCOUNT'!A111="","",'NEW ACCOUNT'!H111)</f>
        <v/>
      </c>
      <c r="I110" s="38" t="str">
        <f>IF('NEW ACCOUNT'!A111="","",'NEW ACCOUNT'!I111)</f>
        <v/>
      </c>
      <c r="J110" s="38" t="str">
        <f>IF('NEW ACCOUNT'!A111="","",'NEW ACCOUNT'!J111)</f>
        <v/>
      </c>
      <c r="K110" s="39" t="str">
        <f>IFERROR(IF(A110="","",SUMIF(DB_Savings!$A:$A,A110,DB_Savings!$F:$F)),"")</f>
        <v/>
      </c>
      <c r="L110" s="39" t="str">
        <f>IFERROR(IF(A110="","",SUMIF(DB_Withdrawals!$A:$A,A110,DB_Withdrawals!$G:$G)),"")</f>
        <v/>
      </c>
      <c r="M110" s="39" t="str">
        <f>IFERROR(IF(A110="","",IFERROR(VALUE(H110),0)+IFERROR(SUMIF(DB_Savings!$A:$A,A110,DB_Savings!$F:$F),0)-IFERROR(SUMIF(DB_Withdrawals!$A:$A,A110,DB_Withdrawals!$G:$G),0)),"")</f>
        <v/>
      </c>
      <c r="N110" s="39" t="str">
        <f>IFERROR(IF(A110="","",MAX(0,M110-System_Config!$B$9)),"")</f>
        <v/>
      </c>
    </row>
    <row r="111" spans="1:14" ht="19.5" customHeight="1" x14ac:dyDescent="0.25">
      <c r="A111" s="37" t="str">
        <f>'NEW ACCOUNT'!A112</f>
        <v/>
      </c>
      <c r="B111" s="38" t="str">
        <f>IF('NEW ACCOUNT'!A112="","",'NEW ACCOUNT'!B112)</f>
        <v/>
      </c>
      <c r="C111" s="38" t="str">
        <f>IF('NEW ACCOUNT'!A112="","",'NEW ACCOUNT'!C112)</f>
        <v/>
      </c>
      <c r="D111" s="38" t="str">
        <f>IF('NEW ACCOUNT'!A112="","",'NEW ACCOUNT'!D112)</f>
        <v/>
      </c>
      <c r="E111" s="38" t="str">
        <f>IF('NEW ACCOUNT'!A112="","",'NEW ACCOUNT'!E112)</f>
        <v/>
      </c>
      <c r="F111" s="38" t="str">
        <f>IF('NEW ACCOUNT'!A112="","",'NEW ACCOUNT'!F112)</f>
        <v/>
      </c>
      <c r="G111" s="38" t="str">
        <f>IF('NEW ACCOUNT'!A112="","",'NEW ACCOUNT'!G112)</f>
        <v/>
      </c>
      <c r="H111" s="38" t="str">
        <f>IF('NEW ACCOUNT'!A112="","",'NEW ACCOUNT'!H112)</f>
        <v/>
      </c>
      <c r="I111" s="38" t="str">
        <f>IF('NEW ACCOUNT'!A112="","",'NEW ACCOUNT'!I112)</f>
        <v/>
      </c>
      <c r="J111" s="38" t="str">
        <f>IF('NEW ACCOUNT'!A112="","",'NEW ACCOUNT'!J112)</f>
        <v/>
      </c>
      <c r="K111" s="39" t="str">
        <f>IFERROR(IF(A111="","",SUMIF(DB_Savings!$A:$A,A111,DB_Savings!$F:$F)),"")</f>
        <v/>
      </c>
      <c r="L111" s="39" t="str">
        <f>IFERROR(IF(A111="","",SUMIF(DB_Withdrawals!$A:$A,A111,DB_Withdrawals!$G:$G)),"")</f>
        <v/>
      </c>
      <c r="M111" s="39" t="str">
        <f>IFERROR(IF(A111="","",IFERROR(VALUE(H111),0)+IFERROR(SUMIF(DB_Savings!$A:$A,A111,DB_Savings!$F:$F),0)-IFERROR(SUMIF(DB_Withdrawals!$A:$A,A111,DB_Withdrawals!$G:$G),0)),"")</f>
        <v/>
      </c>
      <c r="N111" s="39" t="str">
        <f>IFERROR(IF(A111="","",MAX(0,M111-System_Config!$B$9)),"")</f>
        <v/>
      </c>
    </row>
    <row r="112" spans="1:14" ht="19.5" customHeight="1" x14ac:dyDescent="0.25">
      <c r="A112" s="37" t="str">
        <f>'NEW ACCOUNT'!A113</f>
        <v/>
      </c>
      <c r="B112" s="38" t="str">
        <f>IF('NEW ACCOUNT'!A113="","",'NEW ACCOUNT'!B113)</f>
        <v/>
      </c>
      <c r="C112" s="38" t="str">
        <f>IF('NEW ACCOUNT'!A113="","",'NEW ACCOUNT'!C113)</f>
        <v/>
      </c>
      <c r="D112" s="38" t="str">
        <f>IF('NEW ACCOUNT'!A113="","",'NEW ACCOUNT'!D113)</f>
        <v/>
      </c>
      <c r="E112" s="38" t="str">
        <f>IF('NEW ACCOUNT'!A113="","",'NEW ACCOUNT'!E113)</f>
        <v/>
      </c>
      <c r="F112" s="38" t="str">
        <f>IF('NEW ACCOUNT'!A113="","",'NEW ACCOUNT'!F113)</f>
        <v/>
      </c>
      <c r="G112" s="38" t="str">
        <f>IF('NEW ACCOUNT'!A113="","",'NEW ACCOUNT'!G113)</f>
        <v/>
      </c>
      <c r="H112" s="38" t="str">
        <f>IF('NEW ACCOUNT'!A113="","",'NEW ACCOUNT'!H113)</f>
        <v/>
      </c>
      <c r="I112" s="38" t="str">
        <f>IF('NEW ACCOUNT'!A113="","",'NEW ACCOUNT'!I113)</f>
        <v/>
      </c>
      <c r="J112" s="38" t="str">
        <f>IF('NEW ACCOUNT'!A113="","",'NEW ACCOUNT'!J113)</f>
        <v/>
      </c>
      <c r="K112" s="39" t="str">
        <f>IFERROR(IF(A112="","",SUMIF(DB_Savings!$A:$A,A112,DB_Savings!$F:$F)),"")</f>
        <v/>
      </c>
      <c r="L112" s="39" t="str">
        <f>IFERROR(IF(A112="","",SUMIF(DB_Withdrawals!$A:$A,A112,DB_Withdrawals!$G:$G)),"")</f>
        <v/>
      </c>
      <c r="M112" s="39" t="str">
        <f>IFERROR(IF(A112="","",IFERROR(VALUE(H112),0)+IFERROR(SUMIF(DB_Savings!$A:$A,A112,DB_Savings!$F:$F),0)-IFERROR(SUMIF(DB_Withdrawals!$A:$A,A112,DB_Withdrawals!$G:$G),0)),"")</f>
        <v/>
      </c>
      <c r="N112" s="39" t="str">
        <f>IFERROR(IF(A112="","",MAX(0,M112-System_Config!$B$9)),"")</f>
        <v/>
      </c>
    </row>
    <row r="113" spans="1:14" ht="19.5" customHeight="1" x14ac:dyDescent="0.25">
      <c r="A113" s="37" t="str">
        <f>'NEW ACCOUNT'!A114</f>
        <v/>
      </c>
      <c r="B113" s="38" t="str">
        <f>IF('NEW ACCOUNT'!A114="","",'NEW ACCOUNT'!B114)</f>
        <v/>
      </c>
      <c r="C113" s="38" t="str">
        <f>IF('NEW ACCOUNT'!A114="","",'NEW ACCOUNT'!C114)</f>
        <v/>
      </c>
      <c r="D113" s="38" t="str">
        <f>IF('NEW ACCOUNT'!A114="","",'NEW ACCOUNT'!D114)</f>
        <v/>
      </c>
      <c r="E113" s="38" t="str">
        <f>IF('NEW ACCOUNT'!A114="","",'NEW ACCOUNT'!E114)</f>
        <v/>
      </c>
      <c r="F113" s="38" t="str">
        <f>IF('NEW ACCOUNT'!A114="","",'NEW ACCOUNT'!F114)</f>
        <v/>
      </c>
      <c r="G113" s="38" t="str">
        <f>IF('NEW ACCOUNT'!A114="","",'NEW ACCOUNT'!G114)</f>
        <v/>
      </c>
      <c r="H113" s="38" t="str">
        <f>IF('NEW ACCOUNT'!A114="","",'NEW ACCOUNT'!H114)</f>
        <v/>
      </c>
      <c r="I113" s="38" t="str">
        <f>IF('NEW ACCOUNT'!A114="","",'NEW ACCOUNT'!I114)</f>
        <v/>
      </c>
      <c r="J113" s="38" t="str">
        <f>IF('NEW ACCOUNT'!A114="","",'NEW ACCOUNT'!J114)</f>
        <v/>
      </c>
      <c r="K113" s="39" t="str">
        <f>IFERROR(IF(A113="","",SUMIF(DB_Savings!$A:$A,A113,DB_Savings!$F:$F)),"")</f>
        <v/>
      </c>
      <c r="L113" s="39" t="str">
        <f>IFERROR(IF(A113="","",SUMIF(DB_Withdrawals!$A:$A,A113,DB_Withdrawals!$G:$G)),"")</f>
        <v/>
      </c>
      <c r="M113" s="39" t="str">
        <f>IFERROR(IF(A113="","",IFERROR(VALUE(H113),0)+IFERROR(SUMIF(DB_Savings!$A:$A,A113,DB_Savings!$F:$F),0)-IFERROR(SUMIF(DB_Withdrawals!$A:$A,A113,DB_Withdrawals!$G:$G),0)),"")</f>
        <v/>
      </c>
      <c r="N113" s="39" t="str">
        <f>IFERROR(IF(A113="","",MAX(0,M113-System_Config!$B$9)),"")</f>
        <v/>
      </c>
    </row>
    <row r="114" spans="1:14" ht="19.5" customHeight="1" x14ac:dyDescent="0.25">
      <c r="A114" s="37" t="str">
        <f>'NEW ACCOUNT'!A115</f>
        <v/>
      </c>
      <c r="B114" s="38" t="str">
        <f>IF('NEW ACCOUNT'!A115="","",'NEW ACCOUNT'!B115)</f>
        <v/>
      </c>
      <c r="C114" s="38" t="str">
        <f>IF('NEW ACCOUNT'!A115="","",'NEW ACCOUNT'!C115)</f>
        <v/>
      </c>
      <c r="D114" s="38" t="str">
        <f>IF('NEW ACCOUNT'!A115="","",'NEW ACCOUNT'!D115)</f>
        <v/>
      </c>
      <c r="E114" s="38" t="str">
        <f>IF('NEW ACCOUNT'!A115="","",'NEW ACCOUNT'!E115)</f>
        <v/>
      </c>
      <c r="F114" s="38" t="str">
        <f>IF('NEW ACCOUNT'!A115="","",'NEW ACCOUNT'!F115)</f>
        <v/>
      </c>
      <c r="G114" s="38" t="str">
        <f>IF('NEW ACCOUNT'!A115="","",'NEW ACCOUNT'!G115)</f>
        <v/>
      </c>
      <c r="H114" s="38" t="str">
        <f>IF('NEW ACCOUNT'!A115="","",'NEW ACCOUNT'!H115)</f>
        <v/>
      </c>
      <c r="I114" s="38" t="str">
        <f>IF('NEW ACCOUNT'!A115="","",'NEW ACCOUNT'!I115)</f>
        <v/>
      </c>
      <c r="J114" s="38" t="str">
        <f>IF('NEW ACCOUNT'!A115="","",'NEW ACCOUNT'!J115)</f>
        <v/>
      </c>
      <c r="K114" s="39" t="str">
        <f>IFERROR(IF(A114="","",SUMIF(DB_Savings!$A:$A,A114,DB_Savings!$F:$F)),"")</f>
        <v/>
      </c>
      <c r="L114" s="39" t="str">
        <f>IFERROR(IF(A114="","",SUMIF(DB_Withdrawals!$A:$A,A114,DB_Withdrawals!$G:$G)),"")</f>
        <v/>
      </c>
      <c r="M114" s="39" t="str">
        <f>IFERROR(IF(A114="","",IFERROR(VALUE(H114),0)+IFERROR(SUMIF(DB_Savings!$A:$A,A114,DB_Savings!$F:$F),0)-IFERROR(SUMIF(DB_Withdrawals!$A:$A,A114,DB_Withdrawals!$G:$G),0)),"")</f>
        <v/>
      </c>
      <c r="N114" s="39" t="str">
        <f>IFERROR(IF(A114="","",MAX(0,M114-System_Config!$B$9)),"")</f>
        <v/>
      </c>
    </row>
    <row r="115" spans="1:14" ht="19.5" customHeight="1" x14ac:dyDescent="0.25">
      <c r="A115" s="37" t="str">
        <f>'NEW ACCOUNT'!A116</f>
        <v/>
      </c>
      <c r="B115" s="38" t="str">
        <f>IF('NEW ACCOUNT'!A116="","",'NEW ACCOUNT'!B116)</f>
        <v/>
      </c>
      <c r="C115" s="38" t="str">
        <f>IF('NEW ACCOUNT'!A116="","",'NEW ACCOUNT'!C116)</f>
        <v/>
      </c>
      <c r="D115" s="38" t="str">
        <f>IF('NEW ACCOUNT'!A116="","",'NEW ACCOUNT'!D116)</f>
        <v/>
      </c>
      <c r="E115" s="38" t="str">
        <f>IF('NEW ACCOUNT'!A116="","",'NEW ACCOUNT'!E116)</f>
        <v/>
      </c>
      <c r="F115" s="38" t="str">
        <f>IF('NEW ACCOUNT'!A116="","",'NEW ACCOUNT'!F116)</f>
        <v/>
      </c>
      <c r="G115" s="38" t="str">
        <f>IF('NEW ACCOUNT'!A116="","",'NEW ACCOUNT'!G116)</f>
        <v/>
      </c>
      <c r="H115" s="38" t="str">
        <f>IF('NEW ACCOUNT'!A116="","",'NEW ACCOUNT'!H116)</f>
        <v/>
      </c>
      <c r="I115" s="38" t="str">
        <f>IF('NEW ACCOUNT'!A116="","",'NEW ACCOUNT'!I116)</f>
        <v/>
      </c>
      <c r="J115" s="38" t="str">
        <f>IF('NEW ACCOUNT'!A116="","",'NEW ACCOUNT'!J116)</f>
        <v/>
      </c>
      <c r="K115" s="39" t="str">
        <f>IFERROR(IF(A115="","",SUMIF(DB_Savings!$A:$A,A115,DB_Savings!$F:$F)),"")</f>
        <v/>
      </c>
      <c r="L115" s="39" t="str">
        <f>IFERROR(IF(A115="","",SUMIF(DB_Withdrawals!$A:$A,A115,DB_Withdrawals!$G:$G)),"")</f>
        <v/>
      </c>
      <c r="M115" s="39" t="str">
        <f>IFERROR(IF(A115="","",IFERROR(VALUE(H115),0)+IFERROR(SUMIF(DB_Savings!$A:$A,A115,DB_Savings!$F:$F),0)-IFERROR(SUMIF(DB_Withdrawals!$A:$A,A115,DB_Withdrawals!$G:$G),0)),"")</f>
        <v/>
      </c>
      <c r="N115" s="39" t="str">
        <f>IFERROR(IF(A115="","",MAX(0,M115-System_Config!$B$9)),"")</f>
        <v/>
      </c>
    </row>
    <row r="116" spans="1:14" ht="19.5" customHeight="1" x14ac:dyDescent="0.25">
      <c r="A116" s="37" t="str">
        <f>'NEW ACCOUNT'!A117</f>
        <v/>
      </c>
      <c r="B116" s="38" t="str">
        <f>IF('NEW ACCOUNT'!A117="","",'NEW ACCOUNT'!B117)</f>
        <v/>
      </c>
      <c r="C116" s="38" t="str">
        <f>IF('NEW ACCOUNT'!A117="","",'NEW ACCOUNT'!C117)</f>
        <v/>
      </c>
      <c r="D116" s="38" t="str">
        <f>IF('NEW ACCOUNT'!A117="","",'NEW ACCOUNT'!D117)</f>
        <v/>
      </c>
      <c r="E116" s="38" t="str">
        <f>IF('NEW ACCOUNT'!A117="","",'NEW ACCOUNT'!E117)</f>
        <v/>
      </c>
      <c r="F116" s="38" t="str">
        <f>IF('NEW ACCOUNT'!A117="","",'NEW ACCOUNT'!F117)</f>
        <v/>
      </c>
      <c r="G116" s="38" t="str">
        <f>IF('NEW ACCOUNT'!A117="","",'NEW ACCOUNT'!G117)</f>
        <v/>
      </c>
      <c r="H116" s="38" t="str">
        <f>IF('NEW ACCOUNT'!A117="","",'NEW ACCOUNT'!H117)</f>
        <v/>
      </c>
      <c r="I116" s="38" t="str">
        <f>IF('NEW ACCOUNT'!A117="","",'NEW ACCOUNT'!I117)</f>
        <v/>
      </c>
      <c r="J116" s="38" t="str">
        <f>IF('NEW ACCOUNT'!A117="","",'NEW ACCOUNT'!J117)</f>
        <v/>
      </c>
      <c r="K116" s="39" t="str">
        <f>IFERROR(IF(A116="","",SUMIF(DB_Savings!$A:$A,A116,DB_Savings!$F:$F)),"")</f>
        <v/>
      </c>
      <c r="L116" s="39" t="str">
        <f>IFERROR(IF(A116="","",SUMIF(DB_Withdrawals!$A:$A,A116,DB_Withdrawals!$G:$G)),"")</f>
        <v/>
      </c>
      <c r="M116" s="39" t="str">
        <f>IFERROR(IF(A116="","",IFERROR(VALUE(H116),0)+IFERROR(SUMIF(DB_Savings!$A:$A,A116,DB_Savings!$F:$F),0)-IFERROR(SUMIF(DB_Withdrawals!$A:$A,A116,DB_Withdrawals!$G:$G),0)),"")</f>
        <v/>
      </c>
      <c r="N116" s="39" t="str">
        <f>IFERROR(IF(A116="","",MAX(0,M116-System_Config!$B$9)),"")</f>
        <v/>
      </c>
    </row>
    <row r="117" spans="1:14" ht="19.5" customHeight="1" x14ac:dyDescent="0.25">
      <c r="A117" s="37" t="str">
        <f>'NEW ACCOUNT'!A118</f>
        <v/>
      </c>
      <c r="B117" s="38" t="str">
        <f>IF('NEW ACCOUNT'!A118="","",'NEW ACCOUNT'!B118)</f>
        <v/>
      </c>
      <c r="C117" s="38" t="str">
        <f>IF('NEW ACCOUNT'!A118="","",'NEW ACCOUNT'!C118)</f>
        <v/>
      </c>
      <c r="D117" s="38" t="str">
        <f>IF('NEW ACCOUNT'!A118="","",'NEW ACCOUNT'!D118)</f>
        <v/>
      </c>
      <c r="E117" s="38" t="str">
        <f>IF('NEW ACCOUNT'!A118="","",'NEW ACCOUNT'!E118)</f>
        <v/>
      </c>
      <c r="F117" s="38" t="str">
        <f>IF('NEW ACCOUNT'!A118="","",'NEW ACCOUNT'!F118)</f>
        <v/>
      </c>
      <c r="G117" s="38" t="str">
        <f>IF('NEW ACCOUNT'!A118="","",'NEW ACCOUNT'!G118)</f>
        <v/>
      </c>
      <c r="H117" s="38" t="str">
        <f>IF('NEW ACCOUNT'!A118="","",'NEW ACCOUNT'!H118)</f>
        <v/>
      </c>
      <c r="I117" s="38" t="str">
        <f>IF('NEW ACCOUNT'!A118="","",'NEW ACCOUNT'!I118)</f>
        <v/>
      </c>
      <c r="J117" s="38" t="str">
        <f>IF('NEW ACCOUNT'!A118="","",'NEW ACCOUNT'!J118)</f>
        <v/>
      </c>
      <c r="K117" s="39" t="str">
        <f>IFERROR(IF(A117="","",SUMIF(DB_Savings!$A:$A,A117,DB_Savings!$F:$F)),"")</f>
        <v/>
      </c>
      <c r="L117" s="39" t="str">
        <f>IFERROR(IF(A117="","",SUMIF(DB_Withdrawals!$A:$A,A117,DB_Withdrawals!$G:$G)),"")</f>
        <v/>
      </c>
      <c r="M117" s="39" t="str">
        <f>IFERROR(IF(A117="","",IFERROR(VALUE(H117),0)+IFERROR(SUMIF(DB_Savings!$A:$A,A117,DB_Savings!$F:$F),0)-IFERROR(SUMIF(DB_Withdrawals!$A:$A,A117,DB_Withdrawals!$G:$G),0)),"")</f>
        <v/>
      </c>
      <c r="N117" s="39" t="str">
        <f>IFERROR(IF(A117="","",MAX(0,M117-System_Config!$B$9)),"")</f>
        <v/>
      </c>
    </row>
    <row r="118" spans="1:14" ht="19.5" customHeight="1" x14ac:dyDescent="0.25">
      <c r="A118" s="37" t="str">
        <f>'NEW ACCOUNT'!A119</f>
        <v/>
      </c>
      <c r="B118" s="38" t="str">
        <f>IF('NEW ACCOUNT'!A119="","",'NEW ACCOUNT'!B119)</f>
        <v/>
      </c>
      <c r="C118" s="38" t="str">
        <f>IF('NEW ACCOUNT'!A119="","",'NEW ACCOUNT'!C119)</f>
        <v/>
      </c>
      <c r="D118" s="38" t="str">
        <f>IF('NEW ACCOUNT'!A119="","",'NEW ACCOUNT'!D119)</f>
        <v/>
      </c>
      <c r="E118" s="38" t="str">
        <f>IF('NEW ACCOUNT'!A119="","",'NEW ACCOUNT'!E119)</f>
        <v/>
      </c>
      <c r="F118" s="38" t="str">
        <f>IF('NEW ACCOUNT'!A119="","",'NEW ACCOUNT'!F119)</f>
        <v/>
      </c>
      <c r="G118" s="38" t="str">
        <f>IF('NEW ACCOUNT'!A119="","",'NEW ACCOUNT'!G119)</f>
        <v/>
      </c>
      <c r="H118" s="38" t="str">
        <f>IF('NEW ACCOUNT'!A119="","",'NEW ACCOUNT'!H119)</f>
        <v/>
      </c>
      <c r="I118" s="38" t="str">
        <f>IF('NEW ACCOUNT'!A119="","",'NEW ACCOUNT'!I119)</f>
        <v/>
      </c>
      <c r="J118" s="38" t="str">
        <f>IF('NEW ACCOUNT'!A119="","",'NEW ACCOUNT'!J119)</f>
        <v/>
      </c>
      <c r="K118" s="39" t="str">
        <f>IFERROR(IF(A118="","",SUMIF(DB_Savings!$A:$A,A118,DB_Savings!$F:$F)),"")</f>
        <v/>
      </c>
      <c r="L118" s="39" t="str">
        <f>IFERROR(IF(A118="","",SUMIF(DB_Withdrawals!$A:$A,A118,DB_Withdrawals!$G:$G)),"")</f>
        <v/>
      </c>
      <c r="M118" s="39" t="str">
        <f>IFERROR(IF(A118="","",IFERROR(VALUE(H118),0)+IFERROR(SUMIF(DB_Savings!$A:$A,A118,DB_Savings!$F:$F),0)-IFERROR(SUMIF(DB_Withdrawals!$A:$A,A118,DB_Withdrawals!$G:$G),0)),"")</f>
        <v/>
      </c>
      <c r="N118" s="39" t="str">
        <f>IFERROR(IF(A118="","",MAX(0,M118-System_Config!$B$9)),"")</f>
        <v/>
      </c>
    </row>
    <row r="119" spans="1:14" ht="19.5" customHeight="1" x14ac:dyDescent="0.25">
      <c r="A119" s="37" t="str">
        <f>'NEW ACCOUNT'!A120</f>
        <v/>
      </c>
      <c r="B119" s="38" t="str">
        <f>IF('NEW ACCOUNT'!A120="","",'NEW ACCOUNT'!B120)</f>
        <v/>
      </c>
      <c r="C119" s="38" t="str">
        <f>IF('NEW ACCOUNT'!A120="","",'NEW ACCOUNT'!C120)</f>
        <v/>
      </c>
      <c r="D119" s="38" t="str">
        <f>IF('NEW ACCOUNT'!A120="","",'NEW ACCOUNT'!D120)</f>
        <v/>
      </c>
      <c r="E119" s="38" t="str">
        <f>IF('NEW ACCOUNT'!A120="","",'NEW ACCOUNT'!E120)</f>
        <v/>
      </c>
      <c r="F119" s="38" t="str">
        <f>IF('NEW ACCOUNT'!A120="","",'NEW ACCOUNT'!F120)</f>
        <v/>
      </c>
      <c r="G119" s="38" t="str">
        <f>IF('NEW ACCOUNT'!A120="","",'NEW ACCOUNT'!G120)</f>
        <v/>
      </c>
      <c r="H119" s="38" t="str">
        <f>IF('NEW ACCOUNT'!A120="","",'NEW ACCOUNT'!H120)</f>
        <v/>
      </c>
      <c r="I119" s="38" t="str">
        <f>IF('NEW ACCOUNT'!A120="","",'NEW ACCOUNT'!I120)</f>
        <v/>
      </c>
      <c r="J119" s="38" t="str">
        <f>IF('NEW ACCOUNT'!A120="","",'NEW ACCOUNT'!J120)</f>
        <v/>
      </c>
      <c r="K119" s="39" t="str">
        <f>IFERROR(IF(A119="","",SUMIF(DB_Savings!$A:$A,A119,DB_Savings!$F:$F)),"")</f>
        <v/>
      </c>
      <c r="L119" s="39" t="str">
        <f>IFERROR(IF(A119="","",SUMIF(DB_Withdrawals!$A:$A,A119,DB_Withdrawals!$G:$G)),"")</f>
        <v/>
      </c>
      <c r="M119" s="39" t="str">
        <f>IFERROR(IF(A119="","",IFERROR(VALUE(H119),0)+IFERROR(SUMIF(DB_Savings!$A:$A,A119,DB_Savings!$F:$F),0)-IFERROR(SUMIF(DB_Withdrawals!$A:$A,A119,DB_Withdrawals!$G:$G),0)),"")</f>
        <v/>
      </c>
      <c r="N119" s="39" t="str">
        <f>IFERROR(IF(A119="","",MAX(0,M119-System_Config!$B$9)),"")</f>
        <v/>
      </c>
    </row>
    <row r="120" spans="1:14" ht="19.5" customHeight="1" x14ac:dyDescent="0.25">
      <c r="A120" s="37" t="str">
        <f>'NEW ACCOUNT'!A121</f>
        <v/>
      </c>
      <c r="B120" s="38" t="str">
        <f>IF('NEW ACCOUNT'!A121="","",'NEW ACCOUNT'!B121)</f>
        <v/>
      </c>
      <c r="C120" s="38" t="str">
        <f>IF('NEW ACCOUNT'!A121="","",'NEW ACCOUNT'!C121)</f>
        <v/>
      </c>
      <c r="D120" s="38" t="str">
        <f>IF('NEW ACCOUNT'!A121="","",'NEW ACCOUNT'!D121)</f>
        <v/>
      </c>
      <c r="E120" s="38" t="str">
        <f>IF('NEW ACCOUNT'!A121="","",'NEW ACCOUNT'!E121)</f>
        <v/>
      </c>
      <c r="F120" s="38" t="str">
        <f>IF('NEW ACCOUNT'!A121="","",'NEW ACCOUNT'!F121)</f>
        <v/>
      </c>
      <c r="G120" s="38" t="str">
        <f>IF('NEW ACCOUNT'!A121="","",'NEW ACCOUNT'!G121)</f>
        <v/>
      </c>
      <c r="H120" s="38" t="str">
        <f>IF('NEW ACCOUNT'!A121="","",'NEW ACCOUNT'!H121)</f>
        <v/>
      </c>
      <c r="I120" s="38" t="str">
        <f>IF('NEW ACCOUNT'!A121="","",'NEW ACCOUNT'!I121)</f>
        <v/>
      </c>
      <c r="J120" s="38" t="str">
        <f>IF('NEW ACCOUNT'!A121="","",'NEW ACCOUNT'!J121)</f>
        <v/>
      </c>
      <c r="K120" s="39" t="str">
        <f>IFERROR(IF(A120="","",SUMIF(DB_Savings!$A:$A,A120,DB_Savings!$F:$F)),"")</f>
        <v/>
      </c>
      <c r="L120" s="39" t="str">
        <f>IFERROR(IF(A120="","",SUMIF(DB_Withdrawals!$A:$A,A120,DB_Withdrawals!$G:$G)),"")</f>
        <v/>
      </c>
      <c r="M120" s="39" t="str">
        <f>IFERROR(IF(A120="","",IFERROR(VALUE(H120),0)+IFERROR(SUMIF(DB_Savings!$A:$A,A120,DB_Savings!$F:$F),0)-IFERROR(SUMIF(DB_Withdrawals!$A:$A,A120,DB_Withdrawals!$G:$G),0)),"")</f>
        <v/>
      </c>
      <c r="N120" s="39" t="str">
        <f>IFERROR(IF(A120="","",MAX(0,M120-System_Config!$B$9)),"")</f>
        <v/>
      </c>
    </row>
    <row r="121" spans="1:14" ht="19.5" customHeight="1" x14ac:dyDescent="0.25">
      <c r="A121" s="37" t="str">
        <f>'NEW ACCOUNT'!A122</f>
        <v/>
      </c>
      <c r="B121" s="38" t="str">
        <f>IF('NEW ACCOUNT'!A122="","",'NEW ACCOUNT'!B122)</f>
        <v/>
      </c>
      <c r="C121" s="38" t="str">
        <f>IF('NEW ACCOUNT'!A122="","",'NEW ACCOUNT'!C122)</f>
        <v/>
      </c>
      <c r="D121" s="38" t="str">
        <f>IF('NEW ACCOUNT'!A122="","",'NEW ACCOUNT'!D122)</f>
        <v/>
      </c>
      <c r="E121" s="38" t="str">
        <f>IF('NEW ACCOUNT'!A122="","",'NEW ACCOUNT'!E122)</f>
        <v/>
      </c>
      <c r="F121" s="38" t="str">
        <f>IF('NEW ACCOUNT'!A122="","",'NEW ACCOUNT'!F122)</f>
        <v/>
      </c>
      <c r="G121" s="38" t="str">
        <f>IF('NEW ACCOUNT'!A122="","",'NEW ACCOUNT'!G122)</f>
        <v/>
      </c>
      <c r="H121" s="38" t="str">
        <f>IF('NEW ACCOUNT'!A122="","",'NEW ACCOUNT'!H122)</f>
        <v/>
      </c>
      <c r="I121" s="38" t="str">
        <f>IF('NEW ACCOUNT'!A122="","",'NEW ACCOUNT'!I122)</f>
        <v/>
      </c>
      <c r="J121" s="38" t="str">
        <f>IF('NEW ACCOUNT'!A122="","",'NEW ACCOUNT'!J122)</f>
        <v/>
      </c>
      <c r="K121" s="39" t="str">
        <f>IFERROR(IF(A121="","",SUMIF(DB_Savings!$A:$A,A121,DB_Savings!$F:$F)),"")</f>
        <v/>
      </c>
      <c r="L121" s="39" t="str">
        <f>IFERROR(IF(A121="","",SUMIF(DB_Withdrawals!$A:$A,A121,DB_Withdrawals!$G:$G)),"")</f>
        <v/>
      </c>
      <c r="M121" s="39" t="str">
        <f>IFERROR(IF(A121="","",IFERROR(VALUE(H121),0)+IFERROR(SUMIF(DB_Savings!$A:$A,A121,DB_Savings!$F:$F),0)-IFERROR(SUMIF(DB_Withdrawals!$A:$A,A121,DB_Withdrawals!$G:$G),0)),"")</f>
        <v/>
      </c>
      <c r="N121" s="39" t="str">
        <f>IFERROR(IF(A121="","",MAX(0,M121-System_Config!$B$9)),"")</f>
        <v/>
      </c>
    </row>
    <row r="122" spans="1:14" ht="19.5" customHeight="1" x14ac:dyDescent="0.25">
      <c r="A122" s="37" t="str">
        <f>'NEW ACCOUNT'!A123</f>
        <v/>
      </c>
      <c r="B122" s="38" t="str">
        <f>IF('NEW ACCOUNT'!A123="","",'NEW ACCOUNT'!B123)</f>
        <v/>
      </c>
      <c r="C122" s="38" t="str">
        <f>IF('NEW ACCOUNT'!A123="","",'NEW ACCOUNT'!C123)</f>
        <v/>
      </c>
      <c r="D122" s="38" t="str">
        <f>IF('NEW ACCOUNT'!A123="","",'NEW ACCOUNT'!D123)</f>
        <v/>
      </c>
      <c r="E122" s="38" t="str">
        <f>IF('NEW ACCOUNT'!A123="","",'NEW ACCOUNT'!E123)</f>
        <v/>
      </c>
      <c r="F122" s="38" t="str">
        <f>IF('NEW ACCOUNT'!A123="","",'NEW ACCOUNT'!F123)</f>
        <v/>
      </c>
      <c r="G122" s="38" t="str">
        <f>IF('NEW ACCOUNT'!A123="","",'NEW ACCOUNT'!G123)</f>
        <v/>
      </c>
      <c r="H122" s="38" t="str">
        <f>IF('NEW ACCOUNT'!A123="","",'NEW ACCOUNT'!H123)</f>
        <v/>
      </c>
      <c r="I122" s="38" t="str">
        <f>IF('NEW ACCOUNT'!A123="","",'NEW ACCOUNT'!I123)</f>
        <v/>
      </c>
      <c r="J122" s="38" t="str">
        <f>IF('NEW ACCOUNT'!A123="","",'NEW ACCOUNT'!J123)</f>
        <v/>
      </c>
      <c r="K122" s="39" t="str">
        <f>IFERROR(IF(A122="","",SUMIF(DB_Savings!$A:$A,A122,DB_Savings!$F:$F)),"")</f>
        <v/>
      </c>
      <c r="L122" s="39" t="str">
        <f>IFERROR(IF(A122="","",SUMIF(DB_Withdrawals!$A:$A,A122,DB_Withdrawals!$G:$G)),"")</f>
        <v/>
      </c>
      <c r="M122" s="39" t="str">
        <f>IFERROR(IF(A122="","",IFERROR(VALUE(H122),0)+IFERROR(SUMIF(DB_Savings!$A:$A,A122,DB_Savings!$F:$F),0)-IFERROR(SUMIF(DB_Withdrawals!$A:$A,A122,DB_Withdrawals!$G:$G),0)),"")</f>
        <v/>
      </c>
      <c r="N122" s="39" t="str">
        <f>IFERROR(IF(A122="","",MAX(0,M122-System_Config!$B$9)),"")</f>
        <v/>
      </c>
    </row>
    <row r="123" spans="1:14" ht="19.5" customHeight="1" x14ac:dyDescent="0.25">
      <c r="A123" s="37" t="str">
        <f>'NEW ACCOUNT'!A124</f>
        <v/>
      </c>
      <c r="B123" s="38" t="str">
        <f>IF('NEW ACCOUNT'!A124="","",'NEW ACCOUNT'!B124)</f>
        <v/>
      </c>
      <c r="C123" s="38" t="str">
        <f>IF('NEW ACCOUNT'!A124="","",'NEW ACCOUNT'!C124)</f>
        <v/>
      </c>
      <c r="D123" s="38" t="str">
        <f>IF('NEW ACCOUNT'!A124="","",'NEW ACCOUNT'!D124)</f>
        <v/>
      </c>
      <c r="E123" s="38" t="str">
        <f>IF('NEW ACCOUNT'!A124="","",'NEW ACCOUNT'!E124)</f>
        <v/>
      </c>
      <c r="F123" s="38" t="str">
        <f>IF('NEW ACCOUNT'!A124="","",'NEW ACCOUNT'!F124)</f>
        <v/>
      </c>
      <c r="G123" s="38" t="str">
        <f>IF('NEW ACCOUNT'!A124="","",'NEW ACCOUNT'!G124)</f>
        <v/>
      </c>
      <c r="H123" s="38" t="str">
        <f>IF('NEW ACCOUNT'!A124="","",'NEW ACCOUNT'!H124)</f>
        <v/>
      </c>
      <c r="I123" s="38" t="str">
        <f>IF('NEW ACCOUNT'!A124="","",'NEW ACCOUNT'!I124)</f>
        <v/>
      </c>
      <c r="J123" s="38" t="str">
        <f>IF('NEW ACCOUNT'!A124="","",'NEW ACCOUNT'!J124)</f>
        <v/>
      </c>
      <c r="K123" s="39" t="str">
        <f>IFERROR(IF(A123="","",SUMIF(DB_Savings!$A:$A,A123,DB_Savings!$F:$F)),"")</f>
        <v/>
      </c>
      <c r="L123" s="39" t="str">
        <f>IFERROR(IF(A123="","",SUMIF(DB_Withdrawals!$A:$A,A123,DB_Withdrawals!$G:$G)),"")</f>
        <v/>
      </c>
      <c r="M123" s="39" t="str">
        <f>IFERROR(IF(A123="","",IFERROR(VALUE(H123),0)+IFERROR(SUMIF(DB_Savings!$A:$A,A123,DB_Savings!$F:$F),0)-IFERROR(SUMIF(DB_Withdrawals!$A:$A,A123,DB_Withdrawals!$G:$G),0)),"")</f>
        <v/>
      </c>
      <c r="N123" s="39" t="str">
        <f>IFERROR(IF(A123="","",MAX(0,M123-System_Config!$B$9)),"")</f>
        <v/>
      </c>
    </row>
    <row r="124" spans="1:14" ht="19.5" customHeight="1" x14ac:dyDescent="0.25">
      <c r="A124" s="37" t="str">
        <f>'NEW ACCOUNT'!A125</f>
        <v/>
      </c>
      <c r="B124" s="38" t="str">
        <f>IF('NEW ACCOUNT'!A125="","",'NEW ACCOUNT'!B125)</f>
        <v/>
      </c>
      <c r="C124" s="38" t="str">
        <f>IF('NEW ACCOUNT'!A125="","",'NEW ACCOUNT'!C125)</f>
        <v/>
      </c>
      <c r="D124" s="38" t="str">
        <f>IF('NEW ACCOUNT'!A125="","",'NEW ACCOUNT'!D125)</f>
        <v/>
      </c>
      <c r="E124" s="38" t="str">
        <f>IF('NEW ACCOUNT'!A125="","",'NEW ACCOUNT'!E125)</f>
        <v/>
      </c>
      <c r="F124" s="38" t="str">
        <f>IF('NEW ACCOUNT'!A125="","",'NEW ACCOUNT'!F125)</f>
        <v/>
      </c>
      <c r="G124" s="38" t="str">
        <f>IF('NEW ACCOUNT'!A125="","",'NEW ACCOUNT'!G125)</f>
        <v/>
      </c>
      <c r="H124" s="38" t="str">
        <f>IF('NEW ACCOUNT'!A125="","",'NEW ACCOUNT'!H125)</f>
        <v/>
      </c>
      <c r="I124" s="38" t="str">
        <f>IF('NEW ACCOUNT'!A125="","",'NEW ACCOUNT'!I125)</f>
        <v/>
      </c>
      <c r="J124" s="38" t="str">
        <f>IF('NEW ACCOUNT'!A125="","",'NEW ACCOUNT'!J125)</f>
        <v/>
      </c>
      <c r="K124" s="39" t="str">
        <f>IFERROR(IF(A124="","",SUMIF(DB_Savings!$A:$A,A124,DB_Savings!$F:$F)),"")</f>
        <v/>
      </c>
      <c r="L124" s="39" t="str">
        <f>IFERROR(IF(A124="","",SUMIF(DB_Withdrawals!$A:$A,A124,DB_Withdrawals!$G:$G)),"")</f>
        <v/>
      </c>
      <c r="M124" s="39" t="str">
        <f>IFERROR(IF(A124="","",IFERROR(VALUE(H124),0)+IFERROR(SUMIF(DB_Savings!$A:$A,A124,DB_Savings!$F:$F),0)-IFERROR(SUMIF(DB_Withdrawals!$A:$A,A124,DB_Withdrawals!$G:$G),0)),"")</f>
        <v/>
      </c>
      <c r="N124" s="39" t="str">
        <f>IFERROR(IF(A124="","",MAX(0,M124-System_Config!$B$9)),"")</f>
        <v/>
      </c>
    </row>
    <row r="125" spans="1:14" ht="19.5" customHeight="1" x14ac:dyDescent="0.25">
      <c r="A125" s="37" t="str">
        <f>'NEW ACCOUNT'!A126</f>
        <v/>
      </c>
      <c r="B125" s="38" t="str">
        <f>IF('NEW ACCOUNT'!A126="","",'NEW ACCOUNT'!B126)</f>
        <v/>
      </c>
      <c r="C125" s="38" t="str">
        <f>IF('NEW ACCOUNT'!A126="","",'NEW ACCOUNT'!C126)</f>
        <v/>
      </c>
      <c r="D125" s="38" t="str">
        <f>IF('NEW ACCOUNT'!A126="","",'NEW ACCOUNT'!D126)</f>
        <v/>
      </c>
      <c r="E125" s="38" t="str">
        <f>IF('NEW ACCOUNT'!A126="","",'NEW ACCOUNT'!E126)</f>
        <v/>
      </c>
      <c r="F125" s="38" t="str">
        <f>IF('NEW ACCOUNT'!A126="","",'NEW ACCOUNT'!F126)</f>
        <v/>
      </c>
      <c r="G125" s="38" t="str">
        <f>IF('NEW ACCOUNT'!A126="","",'NEW ACCOUNT'!G126)</f>
        <v/>
      </c>
      <c r="H125" s="38" t="str">
        <f>IF('NEW ACCOUNT'!A126="","",'NEW ACCOUNT'!H126)</f>
        <v/>
      </c>
      <c r="I125" s="38" t="str">
        <f>IF('NEW ACCOUNT'!A126="","",'NEW ACCOUNT'!I126)</f>
        <v/>
      </c>
      <c r="J125" s="38" t="str">
        <f>IF('NEW ACCOUNT'!A126="","",'NEW ACCOUNT'!J126)</f>
        <v/>
      </c>
      <c r="K125" s="39" t="str">
        <f>IFERROR(IF(A125="","",SUMIF(DB_Savings!$A:$A,A125,DB_Savings!$F:$F)),"")</f>
        <v/>
      </c>
      <c r="L125" s="39" t="str">
        <f>IFERROR(IF(A125="","",SUMIF(DB_Withdrawals!$A:$A,A125,DB_Withdrawals!$G:$G)),"")</f>
        <v/>
      </c>
      <c r="M125" s="39" t="str">
        <f>IFERROR(IF(A125="","",IFERROR(VALUE(H125),0)+IFERROR(SUMIF(DB_Savings!$A:$A,A125,DB_Savings!$F:$F),0)-IFERROR(SUMIF(DB_Withdrawals!$A:$A,A125,DB_Withdrawals!$G:$G),0)),"")</f>
        <v/>
      </c>
      <c r="N125" s="39" t="str">
        <f>IFERROR(IF(A125="","",MAX(0,M125-System_Config!$B$9)),"")</f>
        <v/>
      </c>
    </row>
    <row r="126" spans="1:14" ht="19.5" customHeight="1" x14ac:dyDescent="0.25">
      <c r="A126" s="37" t="str">
        <f>'NEW ACCOUNT'!A127</f>
        <v/>
      </c>
      <c r="B126" s="38" t="str">
        <f>IF('NEW ACCOUNT'!A127="","",'NEW ACCOUNT'!B127)</f>
        <v/>
      </c>
      <c r="C126" s="38" t="str">
        <f>IF('NEW ACCOUNT'!A127="","",'NEW ACCOUNT'!C127)</f>
        <v/>
      </c>
      <c r="D126" s="38" t="str">
        <f>IF('NEW ACCOUNT'!A127="","",'NEW ACCOUNT'!D127)</f>
        <v/>
      </c>
      <c r="E126" s="38" t="str">
        <f>IF('NEW ACCOUNT'!A127="","",'NEW ACCOUNT'!E127)</f>
        <v/>
      </c>
      <c r="F126" s="38" t="str">
        <f>IF('NEW ACCOUNT'!A127="","",'NEW ACCOUNT'!F127)</f>
        <v/>
      </c>
      <c r="G126" s="38" t="str">
        <f>IF('NEW ACCOUNT'!A127="","",'NEW ACCOUNT'!G127)</f>
        <v/>
      </c>
      <c r="H126" s="38" t="str">
        <f>IF('NEW ACCOUNT'!A127="","",'NEW ACCOUNT'!H127)</f>
        <v/>
      </c>
      <c r="I126" s="38" t="str">
        <f>IF('NEW ACCOUNT'!A127="","",'NEW ACCOUNT'!I127)</f>
        <v/>
      </c>
      <c r="J126" s="38" t="str">
        <f>IF('NEW ACCOUNT'!A127="","",'NEW ACCOUNT'!J127)</f>
        <v/>
      </c>
      <c r="K126" s="39" t="str">
        <f>IFERROR(IF(A126="","",SUMIF(DB_Savings!$A:$A,A126,DB_Savings!$F:$F)),"")</f>
        <v/>
      </c>
      <c r="L126" s="39" t="str">
        <f>IFERROR(IF(A126="","",SUMIF(DB_Withdrawals!$A:$A,A126,DB_Withdrawals!$G:$G)),"")</f>
        <v/>
      </c>
      <c r="M126" s="39" t="str">
        <f>IFERROR(IF(A126="","",IFERROR(VALUE(H126),0)+IFERROR(SUMIF(DB_Savings!$A:$A,A126,DB_Savings!$F:$F),0)-IFERROR(SUMIF(DB_Withdrawals!$A:$A,A126,DB_Withdrawals!$G:$G),0)),"")</f>
        <v/>
      </c>
      <c r="N126" s="39" t="str">
        <f>IFERROR(IF(A126="","",MAX(0,M126-System_Config!$B$9)),"")</f>
        <v/>
      </c>
    </row>
    <row r="127" spans="1:14" ht="19.5" customHeight="1" x14ac:dyDescent="0.25">
      <c r="A127" s="37" t="str">
        <f>'NEW ACCOUNT'!A128</f>
        <v/>
      </c>
      <c r="B127" s="38" t="str">
        <f>IF('NEW ACCOUNT'!A128="","",'NEW ACCOUNT'!B128)</f>
        <v/>
      </c>
      <c r="C127" s="38" t="str">
        <f>IF('NEW ACCOUNT'!A128="","",'NEW ACCOUNT'!C128)</f>
        <v/>
      </c>
      <c r="D127" s="38" t="str">
        <f>IF('NEW ACCOUNT'!A128="","",'NEW ACCOUNT'!D128)</f>
        <v/>
      </c>
      <c r="E127" s="38" t="str">
        <f>IF('NEW ACCOUNT'!A128="","",'NEW ACCOUNT'!E128)</f>
        <v/>
      </c>
      <c r="F127" s="38" t="str">
        <f>IF('NEW ACCOUNT'!A128="","",'NEW ACCOUNT'!F128)</f>
        <v/>
      </c>
      <c r="G127" s="38" t="str">
        <f>IF('NEW ACCOUNT'!A128="","",'NEW ACCOUNT'!G128)</f>
        <v/>
      </c>
      <c r="H127" s="38" t="str">
        <f>IF('NEW ACCOUNT'!A128="","",'NEW ACCOUNT'!H128)</f>
        <v/>
      </c>
      <c r="I127" s="38" t="str">
        <f>IF('NEW ACCOUNT'!A128="","",'NEW ACCOUNT'!I128)</f>
        <v/>
      </c>
      <c r="J127" s="38" t="str">
        <f>IF('NEW ACCOUNT'!A128="","",'NEW ACCOUNT'!J128)</f>
        <v/>
      </c>
      <c r="K127" s="39" t="str">
        <f>IFERROR(IF(A127="","",SUMIF(DB_Savings!$A:$A,A127,DB_Savings!$F:$F)),"")</f>
        <v/>
      </c>
      <c r="L127" s="39" t="str">
        <f>IFERROR(IF(A127="","",SUMIF(DB_Withdrawals!$A:$A,A127,DB_Withdrawals!$G:$G)),"")</f>
        <v/>
      </c>
      <c r="M127" s="39" t="str">
        <f>IFERROR(IF(A127="","",IFERROR(VALUE(H127),0)+IFERROR(SUMIF(DB_Savings!$A:$A,A127,DB_Savings!$F:$F),0)-IFERROR(SUMIF(DB_Withdrawals!$A:$A,A127,DB_Withdrawals!$G:$G),0)),"")</f>
        <v/>
      </c>
      <c r="N127" s="39" t="str">
        <f>IFERROR(IF(A127="","",MAX(0,M127-System_Config!$B$9)),"")</f>
        <v/>
      </c>
    </row>
    <row r="128" spans="1:14" ht="19.5" customHeight="1" x14ac:dyDescent="0.25">
      <c r="A128" s="37" t="str">
        <f>'NEW ACCOUNT'!A129</f>
        <v/>
      </c>
      <c r="B128" s="38" t="str">
        <f>IF('NEW ACCOUNT'!A129="","",'NEW ACCOUNT'!B129)</f>
        <v/>
      </c>
      <c r="C128" s="38" t="str">
        <f>IF('NEW ACCOUNT'!A129="","",'NEW ACCOUNT'!C129)</f>
        <v/>
      </c>
      <c r="D128" s="38" t="str">
        <f>IF('NEW ACCOUNT'!A129="","",'NEW ACCOUNT'!D129)</f>
        <v/>
      </c>
      <c r="E128" s="38" t="str">
        <f>IF('NEW ACCOUNT'!A129="","",'NEW ACCOUNT'!E129)</f>
        <v/>
      </c>
      <c r="F128" s="38" t="str">
        <f>IF('NEW ACCOUNT'!A129="","",'NEW ACCOUNT'!F129)</f>
        <v/>
      </c>
      <c r="G128" s="38" t="str">
        <f>IF('NEW ACCOUNT'!A129="","",'NEW ACCOUNT'!G129)</f>
        <v/>
      </c>
      <c r="H128" s="38" t="str">
        <f>IF('NEW ACCOUNT'!A129="","",'NEW ACCOUNT'!H129)</f>
        <v/>
      </c>
      <c r="I128" s="38" t="str">
        <f>IF('NEW ACCOUNT'!A129="","",'NEW ACCOUNT'!I129)</f>
        <v/>
      </c>
      <c r="J128" s="38" t="str">
        <f>IF('NEW ACCOUNT'!A129="","",'NEW ACCOUNT'!J129)</f>
        <v/>
      </c>
      <c r="K128" s="39" t="str">
        <f>IFERROR(IF(A128="","",SUMIF(DB_Savings!$A:$A,A128,DB_Savings!$F:$F)),"")</f>
        <v/>
      </c>
      <c r="L128" s="39" t="str">
        <f>IFERROR(IF(A128="","",SUMIF(DB_Withdrawals!$A:$A,A128,DB_Withdrawals!$G:$G)),"")</f>
        <v/>
      </c>
      <c r="M128" s="39" t="str">
        <f>IFERROR(IF(A128="","",IFERROR(VALUE(H128),0)+IFERROR(SUMIF(DB_Savings!$A:$A,A128,DB_Savings!$F:$F),0)-IFERROR(SUMIF(DB_Withdrawals!$A:$A,A128,DB_Withdrawals!$G:$G),0)),"")</f>
        <v/>
      </c>
      <c r="N128" s="39" t="str">
        <f>IFERROR(IF(A128="","",MAX(0,M128-System_Config!$B$9)),"")</f>
        <v/>
      </c>
    </row>
    <row r="129" spans="1:14" ht="19.5" customHeight="1" x14ac:dyDescent="0.25">
      <c r="A129" s="37" t="str">
        <f>'NEW ACCOUNT'!A130</f>
        <v/>
      </c>
      <c r="B129" s="38" t="str">
        <f>IF('NEW ACCOUNT'!A130="","",'NEW ACCOUNT'!B130)</f>
        <v/>
      </c>
      <c r="C129" s="38" t="str">
        <f>IF('NEW ACCOUNT'!A130="","",'NEW ACCOUNT'!C130)</f>
        <v/>
      </c>
      <c r="D129" s="38" t="str">
        <f>IF('NEW ACCOUNT'!A130="","",'NEW ACCOUNT'!D130)</f>
        <v/>
      </c>
      <c r="E129" s="38" t="str">
        <f>IF('NEW ACCOUNT'!A130="","",'NEW ACCOUNT'!E130)</f>
        <v/>
      </c>
      <c r="F129" s="38" t="str">
        <f>IF('NEW ACCOUNT'!A130="","",'NEW ACCOUNT'!F130)</f>
        <v/>
      </c>
      <c r="G129" s="38" t="str">
        <f>IF('NEW ACCOUNT'!A130="","",'NEW ACCOUNT'!G130)</f>
        <v/>
      </c>
      <c r="H129" s="38" t="str">
        <f>IF('NEW ACCOUNT'!A130="","",'NEW ACCOUNT'!H130)</f>
        <v/>
      </c>
      <c r="I129" s="38" t="str">
        <f>IF('NEW ACCOUNT'!A130="","",'NEW ACCOUNT'!I130)</f>
        <v/>
      </c>
      <c r="J129" s="38" t="str">
        <f>IF('NEW ACCOUNT'!A130="","",'NEW ACCOUNT'!J130)</f>
        <v/>
      </c>
      <c r="K129" s="39" t="str">
        <f>IFERROR(IF(A129="","",SUMIF(DB_Savings!$A:$A,A129,DB_Savings!$F:$F)),"")</f>
        <v/>
      </c>
      <c r="L129" s="39" t="str">
        <f>IFERROR(IF(A129="","",SUMIF(DB_Withdrawals!$A:$A,A129,DB_Withdrawals!$G:$G)),"")</f>
        <v/>
      </c>
      <c r="M129" s="39" t="str">
        <f>IFERROR(IF(A129="","",IFERROR(VALUE(H129),0)+IFERROR(SUMIF(DB_Savings!$A:$A,A129,DB_Savings!$F:$F),0)-IFERROR(SUMIF(DB_Withdrawals!$A:$A,A129,DB_Withdrawals!$G:$G),0)),"")</f>
        <v/>
      </c>
      <c r="N129" s="39" t="str">
        <f>IFERROR(IF(A129="","",MAX(0,M129-System_Config!$B$9)),"")</f>
        <v/>
      </c>
    </row>
    <row r="130" spans="1:14" ht="19.5" customHeight="1" x14ac:dyDescent="0.25">
      <c r="A130" s="37" t="str">
        <f>'NEW ACCOUNT'!A131</f>
        <v/>
      </c>
      <c r="B130" s="38" t="str">
        <f>IF('NEW ACCOUNT'!A131="","",'NEW ACCOUNT'!B131)</f>
        <v/>
      </c>
      <c r="C130" s="38" t="str">
        <f>IF('NEW ACCOUNT'!A131="","",'NEW ACCOUNT'!C131)</f>
        <v/>
      </c>
      <c r="D130" s="38" t="str">
        <f>IF('NEW ACCOUNT'!A131="","",'NEW ACCOUNT'!D131)</f>
        <v/>
      </c>
      <c r="E130" s="38" t="str">
        <f>IF('NEW ACCOUNT'!A131="","",'NEW ACCOUNT'!E131)</f>
        <v/>
      </c>
      <c r="F130" s="38" t="str">
        <f>IF('NEW ACCOUNT'!A131="","",'NEW ACCOUNT'!F131)</f>
        <v/>
      </c>
      <c r="G130" s="38" t="str">
        <f>IF('NEW ACCOUNT'!A131="","",'NEW ACCOUNT'!G131)</f>
        <v/>
      </c>
      <c r="H130" s="38" t="str">
        <f>IF('NEW ACCOUNT'!A131="","",'NEW ACCOUNT'!H131)</f>
        <v/>
      </c>
      <c r="I130" s="38" t="str">
        <f>IF('NEW ACCOUNT'!A131="","",'NEW ACCOUNT'!I131)</f>
        <v/>
      </c>
      <c r="J130" s="38" t="str">
        <f>IF('NEW ACCOUNT'!A131="","",'NEW ACCOUNT'!J131)</f>
        <v/>
      </c>
      <c r="K130" s="39" t="str">
        <f>IFERROR(IF(A130="","",SUMIF(DB_Savings!$A:$A,A130,DB_Savings!$F:$F)),"")</f>
        <v/>
      </c>
      <c r="L130" s="39" t="str">
        <f>IFERROR(IF(A130="","",SUMIF(DB_Withdrawals!$A:$A,A130,DB_Withdrawals!$G:$G)),"")</f>
        <v/>
      </c>
      <c r="M130" s="39" t="str">
        <f>IFERROR(IF(A130="","",IFERROR(VALUE(H130),0)+IFERROR(SUMIF(DB_Savings!$A:$A,A130,DB_Savings!$F:$F),0)-IFERROR(SUMIF(DB_Withdrawals!$A:$A,A130,DB_Withdrawals!$G:$G),0)),"")</f>
        <v/>
      </c>
      <c r="N130" s="39" t="str">
        <f>IFERROR(IF(A130="","",MAX(0,M130-System_Config!$B$9)),"")</f>
        <v/>
      </c>
    </row>
    <row r="131" spans="1:14" ht="19.5" customHeight="1" x14ac:dyDescent="0.25">
      <c r="A131" s="37" t="str">
        <f>'NEW ACCOUNT'!A132</f>
        <v/>
      </c>
      <c r="B131" s="38" t="str">
        <f>IF('NEW ACCOUNT'!A132="","",'NEW ACCOUNT'!B132)</f>
        <v/>
      </c>
      <c r="C131" s="38" t="str">
        <f>IF('NEW ACCOUNT'!A132="","",'NEW ACCOUNT'!C132)</f>
        <v/>
      </c>
      <c r="D131" s="38" t="str">
        <f>IF('NEW ACCOUNT'!A132="","",'NEW ACCOUNT'!D132)</f>
        <v/>
      </c>
      <c r="E131" s="38" t="str">
        <f>IF('NEW ACCOUNT'!A132="","",'NEW ACCOUNT'!E132)</f>
        <v/>
      </c>
      <c r="F131" s="38" t="str">
        <f>IF('NEW ACCOUNT'!A132="","",'NEW ACCOUNT'!F132)</f>
        <v/>
      </c>
      <c r="G131" s="38" t="str">
        <f>IF('NEW ACCOUNT'!A132="","",'NEW ACCOUNT'!G132)</f>
        <v/>
      </c>
      <c r="H131" s="38" t="str">
        <f>IF('NEW ACCOUNT'!A132="","",'NEW ACCOUNT'!H132)</f>
        <v/>
      </c>
      <c r="I131" s="38" t="str">
        <f>IF('NEW ACCOUNT'!A132="","",'NEW ACCOUNT'!I132)</f>
        <v/>
      </c>
      <c r="J131" s="38" t="str">
        <f>IF('NEW ACCOUNT'!A132="","",'NEW ACCOUNT'!J132)</f>
        <v/>
      </c>
      <c r="K131" s="39" t="str">
        <f>IFERROR(IF(A131="","",SUMIF(DB_Savings!$A:$A,A131,DB_Savings!$F:$F)),"")</f>
        <v/>
      </c>
      <c r="L131" s="39" t="str">
        <f>IFERROR(IF(A131="","",SUMIF(DB_Withdrawals!$A:$A,A131,DB_Withdrawals!$G:$G)),"")</f>
        <v/>
      </c>
      <c r="M131" s="39" t="str">
        <f>IFERROR(IF(A131="","",IFERROR(VALUE(H131),0)+IFERROR(SUMIF(DB_Savings!$A:$A,A131,DB_Savings!$F:$F),0)-IFERROR(SUMIF(DB_Withdrawals!$A:$A,A131,DB_Withdrawals!$G:$G),0)),"")</f>
        <v/>
      </c>
      <c r="N131" s="39" t="str">
        <f>IFERROR(IF(A131="","",MAX(0,M131-System_Config!$B$9)),"")</f>
        <v/>
      </c>
    </row>
    <row r="132" spans="1:14" ht="19.5" customHeight="1" x14ac:dyDescent="0.25">
      <c r="A132" s="37" t="str">
        <f>'NEW ACCOUNT'!A133</f>
        <v/>
      </c>
      <c r="B132" s="38" t="str">
        <f>IF('NEW ACCOUNT'!A133="","",'NEW ACCOUNT'!B133)</f>
        <v/>
      </c>
      <c r="C132" s="38" t="str">
        <f>IF('NEW ACCOUNT'!A133="","",'NEW ACCOUNT'!C133)</f>
        <v/>
      </c>
      <c r="D132" s="38" t="str">
        <f>IF('NEW ACCOUNT'!A133="","",'NEW ACCOUNT'!D133)</f>
        <v/>
      </c>
      <c r="E132" s="38" t="str">
        <f>IF('NEW ACCOUNT'!A133="","",'NEW ACCOUNT'!E133)</f>
        <v/>
      </c>
      <c r="F132" s="38" t="str">
        <f>IF('NEW ACCOUNT'!A133="","",'NEW ACCOUNT'!F133)</f>
        <v/>
      </c>
      <c r="G132" s="38" t="str">
        <f>IF('NEW ACCOUNT'!A133="","",'NEW ACCOUNT'!G133)</f>
        <v/>
      </c>
      <c r="H132" s="38" t="str">
        <f>IF('NEW ACCOUNT'!A133="","",'NEW ACCOUNT'!H133)</f>
        <v/>
      </c>
      <c r="I132" s="38" t="str">
        <f>IF('NEW ACCOUNT'!A133="","",'NEW ACCOUNT'!I133)</f>
        <v/>
      </c>
      <c r="J132" s="38" t="str">
        <f>IF('NEW ACCOUNT'!A133="","",'NEW ACCOUNT'!J133)</f>
        <v/>
      </c>
      <c r="K132" s="39" t="str">
        <f>IFERROR(IF(A132="","",SUMIF(DB_Savings!$A:$A,A132,DB_Savings!$F:$F)),"")</f>
        <v/>
      </c>
      <c r="L132" s="39" t="str">
        <f>IFERROR(IF(A132="","",SUMIF(DB_Withdrawals!$A:$A,A132,DB_Withdrawals!$G:$G)),"")</f>
        <v/>
      </c>
      <c r="M132" s="39" t="str">
        <f>IFERROR(IF(A132="","",IFERROR(VALUE(H132),0)+IFERROR(SUMIF(DB_Savings!$A:$A,A132,DB_Savings!$F:$F),0)-IFERROR(SUMIF(DB_Withdrawals!$A:$A,A132,DB_Withdrawals!$G:$G),0)),"")</f>
        <v/>
      </c>
      <c r="N132" s="39" t="str">
        <f>IFERROR(IF(A132="","",MAX(0,M132-System_Config!$B$9)),"")</f>
        <v/>
      </c>
    </row>
    <row r="133" spans="1:14" ht="19.5" customHeight="1" x14ac:dyDescent="0.25">
      <c r="A133" s="37" t="str">
        <f>'NEW ACCOUNT'!A134</f>
        <v/>
      </c>
      <c r="B133" s="38" t="str">
        <f>IF('NEW ACCOUNT'!A134="","",'NEW ACCOUNT'!B134)</f>
        <v/>
      </c>
      <c r="C133" s="38" t="str">
        <f>IF('NEW ACCOUNT'!A134="","",'NEW ACCOUNT'!C134)</f>
        <v/>
      </c>
      <c r="D133" s="38" t="str">
        <f>IF('NEW ACCOUNT'!A134="","",'NEW ACCOUNT'!D134)</f>
        <v/>
      </c>
      <c r="E133" s="38" t="str">
        <f>IF('NEW ACCOUNT'!A134="","",'NEW ACCOUNT'!E134)</f>
        <v/>
      </c>
      <c r="F133" s="38" t="str">
        <f>IF('NEW ACCOUNT'!A134="","",'NEW ACCOUNT'!F134)</f>
        <v/>
      </c>
      <c r="G133" s="38" t="str">
        <f>IF('NEW ACCOUNT'!A134="","",'NEW ACCOUNT'!G134)</f>
        <v/>
      </c>
      <c r="H133" s="38" t="str">
        <f>IF('NEW ACCOUNT'!A134="","",'NEW ACCOUNT'!H134)</f>
        <v/>
      </c>
      <c r="I133" s="38" t="str">
        <f>IF('NEW ACCOUNT'!A134="","",'NEW ACCOUNT'!I134)</f>
        <v/>
      </c>
      <c r="J133" s="38" t="str">
        <f>IF('NEW ACCOUNT'!A134="","",'NEW ACCOUNT'!J134)</f>
        <v/>
      </c>
      <c r="K133" s="39" t="str">
        <f>IFERROR(IF(A133="","",SUMIF(DB_Savings!$A:$A,A133,DB_Savings!$F:$F)),"")</f>
        <v/>
      </c>
      <c r="L133" s="39" t="str">
        <f>IFERROR(IF(A133="","",SUMIF(DB_Withdrawals!$A:$A,A133,DB_Withdrawals!$G:$G)),"")</f>
        <v/>
      </c>
      <c r="M133" s="39" t="str">
        <f>IFERROR(IF(A133="","",IFERROR(VALUE(H133),0)+IFERROR(SUMIF(DB_Savings!$A:$A,A133,DB_Savings!$F:$F),0)-IFERROR(SUMIF(DB_Withdrawals!$A:$A,A133,DB_Withdrawals!$G:$G),0)),"")</f>
        <v/>
      </c>
      <c r="N133" s="39" t="str">
        <f>IFERROR(IF(A133="","",MAX(0,M133-System_Config!$B$9)),"")</f>
        <v/>
      </c>
    </row>
    <row r="134" spans="1:14" ht="19.5" customHeight="1" x14ac:dyDescent="0.25">
      <c r="A134" s="37" t="str">
        <f>'NEW ACCOUNT'!A135</f>
        <v/>
      </c>
      <c r="B134" s="38" t="str">
        <f>IF('NEW ACCOUNT'!A135="","",'NEW ACCOUNT'!B135)</f>
        <v/>
      </c>
      <c r="C134" s="38" t="str">
        <f>IF('NEW ACCOUNT'!A135="","",'NEW ACCOUNT'!C135)</f>
        <v/>
      </c>
      <c r="D134" s="38" t="str">
        <f>IF('NEW ACCOUNT'!A135="","",'NEW ACCOUNT'!D135)</f>
        <v/>
      </c>
      <c r="E134" s="38" t="str">
        <f>IF('NEW ACCOUNT'!A135="","",'NEW ACCOUNT'!E135)</f>
        <v/>
      </c>
      <c r="F134" s="38" t="str">
        <f>IF('NEW ACCOUNT'!A135="","",'NEW ACCOUNT'!F135)</f>
        <v/>
      </c>
      <c r="G134" s="38" t="str">
        <f>IF('NEW ACCOUNT'!A135="","",'NEW ACCOUNT'!G135)</f>
        <v/>
      </c>
      <c r="H134" s="38" t="str">
        <f>IF('NEW ACCOUNT'!A135="","",'NEW ACCOUNT'!H135)</f>
        <v/>
      </c>
      <c r="I134" s="38" t="str">
        <f>IF('NEW ACCOUNT'!A135="","",'NEW ACCOUNT'!I135)</f>
        <v/>
      </c>
      <c r="J134" s="38" t="str">
        <f>IF('NEW ACCOUNT'!A135="","",'NEW ACCOUNT'!J135)</f>
        <v/>
      </c>
      <c r="K134" s="39" t="str">
        <f>IFERROR(IF(A134="","",SUMIF(DB_Savings!$A:$A,A134,DB_Savings!$F:$F)),"")</f>
        <v/>
      </c>
      <c r="L134" s="39" t="str">
        <f>IFERROR(IF(A134="","",SUMIF(DB_Withdrawals!$A:$A,A134,DB_Withdrawals!$G:$G)),"")</f>
        <v/>
      </c>
      <c r="M134" s="39" t="str">
        <f>IFERROR(IF(A134="","",IFERROR(VALUE(H134),0)+IFERROR(SUMIF(DB_Savings!$A:$A,A134,DB_Savings!$F:$F),0)-IFERROR(SUMIF(DB_Withdrawals!$A:$A,A134,DB_Withdrawals!$G:$G),0)),"")</f>
        <v/>
      </c>
      <c r="N134" s="39" t="str">
        <f>IFERROR(IF(A134="","",MAX(0,M134-System_Config!$B$9)),"")</f>
        <v/>
      </c>
    </row>
    <row r="135" spans="1:14" ht="19.5" customHeight="1" x14ac:dyDescent="0.25">
      <c r="A135" s="37" t="str">
        <f>'NEW ACCOUNT'!A136</f>
        <v/>
      </c>
      <c r="B135" s="38" t="str">
        <f>IF('NEW ACCOUNT'!A136="","",'NEW ACCOUNT'!B136)</f>
        <v/>
      </c>
      <c r="C135" s="38" t="str">
        <f>IF('NEW ACCOUNT'!A136="","",'NEW ACCOUNT'!C136)</f>
        <v/>
      </c>
      <c r="D135" s="38" t="str">
        <f>IF('NEW ACCOUNT'!A136="","",'NEW ACCOUNT'!D136)</f>
        <v/>
      </c>
      <c r="E135" s="38" t="str">
        <f>IF('NEW ACCOUNT'!A136="","",'NEW ACCOUNT'!E136)</f>
        <v/>
      </c>
      <c r="F135" s="38" t="str">
        <f>IF('NEW ACCOUNT'!A136="","",'NEW ACCOUNT'!F136)</f>
        <v/>
      </c>
      <c r="G135" s="38" t="str">
        <f>IF('NEW ACCOUNT'!A136="","",'NEW ACCOUNT'!G136)</f>
        <v/>
      </c>
      <c r="H135" s="38" t="str">
        <f>IF('NEW ACCOUNT'!A136="","",'NEW ACCOUNT'!H136)</f>
        <v/>
      </c>
      <c r="I135" s="38" t="str">
        <f>IF('NEW ACCOUNT'!A136="","",'NEW ACCOUNT'!I136)</f>
        <v/>
      </c>
      <c r="J135" s="38" t="str">
        <f>IF('NEW ACCOUNT'!A136="","",'NEW ACCOUNT'!J136)</f>
        <v/>
      </c>
      <c r="K135" s="39" t="str">
        <f>IFERROR(IF(A135="","",SUMIF(DB_Savings!$A:$A,A135,DB_Savings!$F:$F)),"")</f>
        <v/>
      </c>
      <c r="L135" s="39" t="str">
        <f>IFERROR(IF(A135="","",SUMIF(DB_Withdrawals!$A:$A,A135,DB_Withdrawals!$G:$G)),"")</f>
        <v/>
      </c>
      <c r="M135" s="39" t="str">
        <f>IFERROR(IF(A135="","",IFERROR(VALUE(H135),0)+IFERROR(SUMIF(DB_Savings!$A:$A,A135,DB_Savings!$F:$F),0)-IFERROR(SUMIF(DB_Withdrawals!$A:$A,A135,DB_Withdrawals!$G:$G),0)),"")</f>
        <v/>
      </c>
      <c r="N135" s="39" t="str">
        <f>IFERROR(IF(A135="","",MAX(0,M135-System_Config!$B$9)),"")</f>
        <v/>
      </c>
    </row>
    <row r="136" spans="1:14" ht="19.5" customHeight="1" x14ac:dyDescent="0.25">
      <c r="A136" s="37" t="str">
        <f>'NEW ACCOUNT'!A137</f>
        <v/>
      </c>
      <c r="B136" s="38" t="str">
        <f>IF('NEW ACCOUNT'!A137="","",'NEW ACCOUNT'!B137)</f>
        <v/>
      </c>
      <c r="C136" s="38" t="str">
        <f>IF('NEW ACCOUNT'!A137="","",'NEW ACCOUNT'!C137)</f>
        <v/>
      </c>
      <c r="D136" s="38" t="str">
        <f>IF('NEW ACCOUNT'!A137="","",'NEW ACCOUNT'!D137)</f>
        <v/>
      </c>
      <c r="E136" s="38" t="str">
        <f>IF('NEW ACCOUNT'!A137="","",'NEW ACCOUNT'!E137)</f>
        <v/>
      </c>
      <c r="F136" s="38" t="str">
        <f>IF('NEW ACCOUNT'!A137="","",'NEW ACCOUNT'!F137)</f>
        <v/>
      </c>
      <c r="G136" s="38" t="str">
        <f>IF('NEW ACCOUNT'!A137="","",'NEW ACCOUNT'!G137)</f>
        <v/>
      </c>
      <c r="H136" s="38" t="str">
        <f>IF('NEW ACCOUNT'!A137="","",'NEW ACCOUNT'!H137)</f>
        <v/>
      </c>
      <c r="I136" s="38" t="str">
        <f>IF('NEW ACCOUNT'!A137="","",'NEW ACCOUNT'!I137)</f>
        <v/>
      </c>
      <c r="J136" s="38" t="str">
        <f>IF('NEW ACCOUNT'!A137="","",'NEW ACCOUNT'!J137)</f>
        <v/>
      </c>
      <c r="K136" s="39" t="str">
        <f>IFERROR(IF(A136="","",SUMIF(DB_Savings!$A:$A,A136,DB_Savings!$F:$F)),"")</f>
        <v/>
      </c>
      <c r="L136" s="39" t="str">
        <f>IFERROR(IF(A136="","",SUMIF(DB_Withdrawals!$A:$A,A136,DB_Withdrawals!$G:$G)),"")</f>
        <v/>
      </c>
      <c r="M136" s="39" t="str">
        <f>IFERROR(IF(A136="","",IFERROR(VALUE(H136),0)+IFERROR(SUMIF(DB_Savings!$A:$A,A136,DB_Savings!$F:$F),0)-IFERROR(SUMIF(DB_Withdrawals!$A:$A,A136,DB_Withdrawals!$G:$G),0)),"")</f>
        <v/>
      </c>
      <c r="N136" s="39" t="str">
        <f>IFERROR(IF(A136="","",MAX(0,M136-System_Config!$B$9)),"")</f>
        <v/>
      </c>
    </row>
    <row r="137" spans="1:14" ht="19.5" customHeight="1" x14ac:dyDescent="0.25">
      <c r="A137" s="37" t="str">
        <f>'NEW ACCOUNT'!A138</f>
        <v/>
      </c>
      <c r="B137" s="38" t="str">
        <f>IF('NEW ACCOUNT'!A138="","",'NEW ACCOUNT'!B138)</f>
        <v/>
      </c>
      <c r="C137" s="38" t="str">
        <f>IF('NEW ACCOUNT'!A138="","",'NEW ACCOUNT'!C138)</f>
        <v/>
      </c>
      <c r="D137" s="38" t="str">
        <f>IF('NEW ACCOUNT'!A138="","",'NEW ACCOUNT'!D138)</f>
        <v/>
      </c>
      <c r="E137" s="38" t="str">
        <f>IF('NEW ACCOUNT'!A138="","",'NEW ACCOUNT'!E138)</f>
        <v/>
      </c>
      <c r="F137" s="38" t="str">
        <f>IF('NEW ACCOUNT'!A138="","",'NEW ACCOUNT'!F138)</f>
        <v/>
      </c>
      <c r="G137" s="38" t="str">
        <f>IF('NEW ACCOUNT'!A138="","",'NEW ACCOUNT'!G138)</f>
        <v/>
      </c>
      <c r="H137" s="38" t="str">
        <f>IF('NEW ACCOUNT'!A138="","",'NEW ACCOUNT'!H138)</f>
        <v/>
      </c>
      <c r="I137" s="38" t="str">
        <f>IF('NEW ACCOUNT'!A138="","",'NEW ACCOUNT'!I138)</f>
        <v/>
      </c>
      <c r="J137" s="38" t="str">
        <f>IF('NEW ACCOUNT'!A138="","",'NEW ACCOUNT'!J138)</f>
        <v/>
      </c>
      <c r="K137" s="39" t="str">
        <f>IFERROR(IF(A137="","",SUMIF(DB_Savings!$A:$A,A137,DB_Savings!$F:$F)),"")</f>
        <v/>
      </c>
      <c r="L137" s="39" t="str">
        <f>IFERROR(IF(A137="","",SUMIF(DB_Withdrawals!$A:$A,A137,DB_Withdrawals!$G:$G)),"")</f>
        <v/>
      </c>
      <c r="M137" s="39" t="str">
        <f>IFERROR(IF(A137="","",IFERROR(VALUE(H137),0)+IFERROR(SUMIF(DB_Savings!$A:$A,A137,DB_Savings!$F:$F),0)-IFERROR(SUMIF(DB_Withdrawals!$A:$A,A137,DB_Withdrawals!$G:$G),0)),"")</f>
        <v/>
      </c>
      <c r="N137" s="39" t="str">
        <f>IFERROR(IF(A137="","",MAX(0,M137-System_Config!$B$9)),"")</f>
        <v/>
      </c>
    </row>
    <row r="138" spans="1:14" ht="19.5" customHeight="1" x14ac:dyDescent="0.25">
      <c r="A138" s="37" t="str">
        <f>'NEW ACCOUNT'!A139</f>
        <v/>
      </c>
      <c r="B138" s="38" t="str">
        <f>IF('NEW ACCOUNT'!A139="","",'NEW ACCOUNT'!B139)</f>
        <v/>
      </c>
      <c r="C138" s="38" t="str">
        <f>IF('NEW ACCOUNT'!A139="","",'NEW ACCOUNT'!C139)</f>
        <v/>
      </c>
      <c r="D138" s="38" t="str">
        <f>IF('NEW ACCOUNT'!A139="","",'NEW ACCOUNT'!D139)</f>
        <v/>
      </c>
      <c r="E138" s="38" t="str">
        <f>IF('NEW ACCOUNT'!A139="","",'NEW ACCOUNT'!E139)</f>
        <v/>
      </c>
      <c r="F138" s="38" t="str">
        <f>IF('NEW ACCOUNT'!A139="","",'NEW ACCOUNT'!F139)</f>
        <v/>
      </c>
      <c r="G138" s="38" t="str">
        <f>IF('NEW ACCOUNT'!A139="","",'NEW ACCOUNT'!G139)</f>
        <v/>
      </c>
      <c r="H138" s="38" t="str">
        <f>IF('NEW ACCOUNT'!A139="","",'NEW ACCOUNT'!H139)</f>
        <v/>
      </c>
      <c r="I138" s="38" t="str">
        <f>IF('NEW ACCOUNT'!A139="","",'NEW ACCOUNT'!I139)</f>
        <v/>
      </c>
      <c r="J138" s="38" t="str">
        <f>IF('NEW ACCOUNT'!A139="","",'NEW ACCOUNT'!J139)</f>
        <v/>
      </c>
      <c r="K138" s="39" t="str">
        <f>IFERROR(IF(A138="","",SUMIF(DB_Savings!$A:$A,A138,DB_Savings!$F:$F)),"")</f>
        <v/>
      </c>
      <c r="L138" s="39" t="str">
        <f>IFERROR(IF(A138="","",SUMIF(DB_Withdrawals!$A:$A,A138,DB_Withdrawals!$G:$G)),"")</f>
        <v/>
      </c>
      <c r="M138" s="39" t="str">
        <f>IFERROR(IF(A138="","",IFERROR(VALUE(H138),0)+IFERROR(SUMIF(DB_Savings!$A:$A,A138,DB_Savings!$F:$F),0)-IFERROR(SUMIF(DB_Withdrawals!$A:$A,A138,DB_Withdrawals!$G:$G),0)),"")</f>
        <v/>
      </c>
      <c r="N138" s="39" t="str">
        <f>IFERROR(IF(A138="","",MAX(0,M138-System_Config!$B$9)),"")</f>
        <v/>
      </c>
    </row>
    <row r="139" spans="1:14" ht="19.5" customHeight="1" x14ac:dyDescent="0.25">
      <c r="A139" s="37" t="str">
        <f>'NEW ACCOUNT'!A140</f>
        <v/>
      </c>
      <c r="B139" s="38" t="str">
        <f>IF('NEW ACCOUNT'!A140="","",'NEW ACCOUNT'!B140)</f>
        <v/>
      </c>
      <c r="C139" s="38" t="str">
        <f>IF('NEW ACCOUNT'!A140="","",'NEW ACCOUNT'!C140)</f>
        <v/>
      </c>
      <c r="D139" s="38" t="str">
        <f>IF('NEW ACCOUNT'!A140="","",'NEW ACCOUNT'!D140)</f>
        <v/>
      </c>
      <c r="E139" s="38" t="str">
        <f>IF('NEW ACCOUNT'!A140="","",'NEW ACCOUNT'!E140)</f>
        <v/>
      </c>
      <c r="F139" s="38" t="str">
        <f>IF('NEW ACCOUNT'!A140="","",'NEW ACCOUNT'!F140)</f>
        <v/>
      </c>
      <c r="G139" s="38" t="str">
        <f>IF('NEW ACCOUNT'!A140="","",'NEW ACCOUNT'!G140)</f>
        <v/>
      </c>
      <c r="H139" s="38" t="str">
        <f>IF('NEW ACCOUNT'!A140="","",'NEW ACCOUNT'!H140)</f>
        <v/>
      </c>
      <c r="I139" s="38" t="str">
        <f>IF('NEW ACCOUNT'!A140="","",'NEW ACCOUNT'!I140)</f>
        <v/>
      </c>
      <c r="J139" s="38" t="str">
        <f>IF('NEW ACCOUNT'!A140="","",'NEW ACCOUNT'!J140)</f>
        <v/>
      </c>
      <c r="K139" s="39" t="str">
        <f>IFERROR(IF(A139="","",SUMIF(DB_Savings!$A:$A,A139,DB_Savings!$F:$F)),"")</f>
        <v/>
      </c>
      <c r="L139" s="39" t="str">
        <f>IFERROR(IF(A139="","",SUMIF(DB_Withdrawals!$A:$A,A139,DB_Withdrawals!$G:$G)),"")</f>
        <v/>
      </c>
      <c r="M139" s="39" t="str">
        <f>IFERROR(IF(A139="","",IFERROR(VALUE(H139),0)+IFERROR(SUMIF(DB_Savings!$A:$A,A139,DB_Savings!$F:$F),0)-IFERROR(SUMIF(DB_Withdrawals!$A:$A,A139,DB_Withdrawals!$G:$G),0)),"")</f>
        <v/>
      </c>
      <c r="N139" s="39" t="str">
        <f>IFERROR(IF(A139="","",MAX(0,M139-System_Config!$B$9)),"")</f>
        <v/>
      </c>
    </row>
    <row r="140" spans="1:14" ht="19.5" customHeight="1" x14ac:dyDescent="0.25">
      <c r="A140" s="37" t="str">
        <f>'NEW ACCOUNT'!A141</f>
        <v/>
      </c>
      <c r="B140" s="38" t="str">
        <f>IF('NEW ACCOUNT'!A141="","",'NEW ACCOUNT'!B141)</f>
        <v/>
      </c>
      <c r="C140" s="38" t="str">
        <f>IF('NEW ACCOUNT'!A141="","",'NEW ACCOUNT'!C141)</f>
        <v/>
      </c>
      <c r="D140" s="38" t="str">
        <f>IF('NEW ACCOUNT'!A141="","",'NEW ACCOUNT'!D141)</f>
        <v/>
      </c>
      <c r="E140" s="38" t="str">
        <f>IF('NEW ACCOUNT'!A141="","",'NEW ACCOUNT'!E141)</f>
        <v/>
      </c>
      <c r="F140" s="38" t="str">
        <f>IF('NEW ACCOUNT'!A141="","",'NEW ACCOUNT'!F141)</f>
        <v/>
      </c>
      <c r="G140" s="38" t="str">
        <f>IF('NEW ACCOUNT'!A141="","",'NEW ACCOUNT'!G141)</f>
        <v/>
      </c>
      <c r="H140" s="38" t="str">
        <f>IF('NEW ACCOUNT'!A141="","",'NEW ACCOUNT'!H141)</f>
        <v/>
      </c>
      <c r="I140" s="38" t="str">
        <f>IF('NEW ACCOUNT'!A141="","",'NEW ACCOUNT'!I141)</f>
        <v/>
      </c>
      <c r="J140" s="38" t="str">
        <f>IF('NEW ACCOUNT'!A141="","",'NEW ACCOUNT'!J141)</f>
        <v/>
      </c>
      <c r="K140" s="39" t="str">
        <f>IFERROR(IF(A140="","",SUMIF(DB_Savings!$A:$A,A140,DB_Savings!$F:$F)),"")</f>
        <v/>
      </c>
      <c r="L140" s="39" t="str">
        <f>IFERROR(IF(A140="","",SUMIF(DB_Withdrawals!$A:$A,A140,DB_Withdrawals!$G:$G)),"")</f>
        <v/>
      </c>
      <c r="M140" s="39" t="str">
        <f>IFERROR(IF(A140="","",IFERROR(VALUE(H140),0)+IFERROR(SUMIF(DB_Savings!$A:$A,A140,DB_Savings!$F:$F),0)-IFERROR(SUMIF(DB_Withdrawals!$A:$A,A140,DB_Withdrawals!$G:$G),0)),"")</f>
        <v/>
      </c>
      <c r="N140" s="39" t="str">
        <f>IFERROR(IF(A140="","",MAX(0,M140-System_Config!$B$9)),"")</f>
        <v/>
      </c>
    </row>
    <row r="141" spans="1:14" ht="19.5" customHeight="1" x14ac:dyDescent="0.25">
      <c r="A141" s="37" t="str">
        <f>'NEW ACCOUNT'!A142</f>
        <v/>
      </c>
      <c r="B141" s="38" t="str">
        <f>IF('NEW ACCOUNT'!A142="","",'NEW ACCOUNT'!B142)</f>
        <v/>
      </c>
      <c r="C141" s="38" t="str">
        <f>IF('NEW ACCOUNT'!A142="","",'NEW ACCOUNT'!C142)</f>
        <v/>
      </c>
      <c r="D141" s="38" t="str">
        <f>IF('NEW ACCOUNT'!A142="","",'NEW ACCOUNT'!D142)</f>
        <v/>
      </c>
      <c r="E141" s="38" t="str">
        <f>IF('NEW ACCOUNT'!A142="","",'NEW ACCOUNT'!E142)</f>
        <v/>
      </c>
      <c r="F141" s="38" t="str">
        <f>IF('NEW ACCOUNT'!A142="","",'NEW ACCOUNT'!F142)</f>
        <v/>
      </c>
      <c r="G141" s="38" t="str">
        <f>IF('NEW ACCOUNT'!A142="","",'NEW ACCOUNT'!G142)</f>
        <v/>
      </c>
      <c r="H141" s="38" t="str">
        <f>IF('NEW ACCOUNT'!A142="","",'NEW ACCOUNT'!H142)</f>
        <v/>
      </c>
      <c r="I141" s="38" t="str">
        <f>IF('NEW ACCOUNT'!A142="","",'NEW ACCOUNT'!I142)</f>
        <v/>
      </c>
      <c r="J141" s="38" t="str">
        <f>IF('NEW ACCOUNT'!A142="","",'NEW ACCOUNT'!J142)</f>
        <v/>
      </c>
      <c r="K141" s="39" t="str">
        <f>IFERROR(IF(A141="","",SUMIF(DB_Savings!$A:$A,A141,DB_Savings!$F:$F)),"")</f>
        <v/>
      </c>
      <c r="L141" s="39" t="str">
        <f>IFERROR(IF(A141="","",SUMIF(DB_Withdrawals!$A:$A,A141,DB_Withdrawals!$G:$G)),"")</f>
        <v/>
      </c>
      <c r="M141" s="39" t="str">
        <f>IFERROR(IF(A141="","",IFERROR(VALUE(H141),0)+IFERROR(SUMIF(DB_Savings!$A:$A,A141,DB_Savings!$F:$F),0)-IFERROR(SUMIF(DB_Withdrawals!$A:$A,A141,DB_Withdrawals!$G:$G),0)),"")</f>
        <v/>
      </c>
      <c r="N141" s="39" t="str">
        <f>IFERROR(IF(A141="","",MAX(0,M141-System_Config!$B$9)),"")</f>
        <v/>
      </c>
    </row>
    <row r="142" spans="1:14" ht="19.5" customHeight="1" x14ac:dyDescent="0.25">
      <c r="A142" s="37" t="str">
        <f>'NEW ACCOUNT'!A143</f>
        <v/>
      </c>
      <c r="B142" s="38" t="str">
        <f>IF('NEW ACCOUNT'!A143="","",'NEW ACCOUNT'!B143)</f>
        <v/>
      </c>
      <c r="C142" s="38" t="str">
        <f>IF('NEW ACCOUNT'!A143="","",'NEW ACCOUNT'!C143)</f>
        <v/>
      </c>
      <c r="D142" s="38" t="str">
        <f>IF('NEW ACCOUNT'!A143="","",'NEW ACCOUNT'!D143)</f>
        <v/>
      </c>
      <c r="E142" s="38" t="str">
        <f>IF('NEW ACCOUNT'!A143="","",'NEW ACCOUNT'!E143)</f>
        <v/>
      </c>
      <c r="F142" s="38" t="str">
        <f>IF('NEW ACCOUNT'!A143="","",'NEW ACCOUNT'!F143)</f>
        <v/>
      </c>
      <c r="G142" s="38" t="str">
        <f>IF('NEW ACCOUNT'!A143="","",'NEW ACCOUNT'!G143)</f>
        <v/>
      </c>
      <c r="H142" s="38" t="str">
        <f>IF('NEW ACCOUNT'!A143="","",'NEW ACCOUNT'!H143)</f>
        <v/>
      </c>
      <c r="I142" s="38" t="str">
        <f>IF('NEW ACCOUNT'!A143="","",'NEW ACCOUNT'!I143)</f>
        <v/>
      </c>
      <c r="J142" s="38" t="str">
        <f>IF('NEW ACCOUNT'!A143="","",'NEW ACCOUNT'!J143)</f>
        <v/>
      </c>
      <c r="K142" s="39" t="str">
        <f>IFERROR(IF(A142="","",SUMIF(DB_Savings!$A:$A,A142,DB_Savings!$F:$F)),"")</f>
        <v/>
      </c>
      <c r="L142" s="39" t="str">
        <f>IFERROR(IF(A142="","",SUMIF(DB_Withdrawals!$A:$A,A142,DB_Withdrawals!$G:$G)),"")</f>
        <v/>
      </c>
      <c r="M142" s="39" t="str">
        <f>IFERROR(IF(A142="","",IFERROR(VALUE(H142),0)+IFERROR(SUMIF(DB_Savings!$A:$A,A142,DB_Savings!$F:$F),0)-IFERROR(SUMIF(DB_Withdrawals!$A:$A,A142,DB_Withdrawals!$G:$G),0)),"")</f>
        <v/>
      </c>
      <c r="N142" s="39" t="str">
        <f>IFERROR(IF(A142="","",MAX(0,M142-System_Config!$B$9)),"")</f>
        <v/>
      </c>
    </row>
    <row r="143" spans="1:14" ht="19.5" customHeight="1" x14ac:dyDescent="0.25">
      <c r="A143" s="37" t="str">
        <f>'NEW ACCOUNT'!A144</f>
        <v/>
      </c>
      <c r="B143" s="38" t="str">
        <f>IF('NEW ACCOUNT'!A144="","",'NEW ACCOUNT'!B144)</f>
        <v/>
      </c>
      <c r="C143" s="38" t="str">
        <f>IF('NEW ACCOUNT'!A144="","",'NEW ACCOUNT'!C144)</f>
        <v/>
      </c>
      <c r="D143" s="38" t="str">
        <f>IF('NEW ACCOUNT'!A144="","",'NEW ACCOUNT'!D144)</f>
        <v/>
      </c>
      <c r="E143" s="38" t="str">
        <f>IF('NEW ACCOUNT'!A144="","",'NEW ACCOUNT'!E144)</f>
        <v/>
      </c>
      <c r="F143" s="38" t="str">
        <f>IF('NEW ACCOUNT'!A144="","",'NEW ACCOUNT'!F144)</f>
        <v/>
      </c>
      <c r="G143" s="38" t="str">
        <f>IF('NEW ACCOUNT'!A144="","",'NEW ACCOUNT'!G144)</f>
        <v/>
      </c>
      <c r="H143" s="38" t="str">
        <f>IF('NEW ACCOUNT'!A144="","",'NEW ACCOUNT'!H144)</f>
        <v/>
      </c>
      <c r="I143" s="38" t="str">
        <f>IF('NEW ACCOUNT'!A144="","",'NEW ACCOUNT'!I144)</f>
        <v/>
      </c>
      <c r="J143" s="38" t="str">
        <f>IF('NEW ACCOUNT'!A144="","",'NEW ACCOUNT'!J144)</f>
        <v/>
      </c>
      <c r="K143" s="39" t="str">
        <f>IFERROR(IF(A143="","",SUMIF(DB_Savings!$A:$A,A143,DB_Savings!$F:$F)),"")</f>
        <v/>
      </c>
      <c r="L143" s="39" t="str">
        <f>IFERROR(IF(A143="","",SUMIF(DB_Withdrawals!$A:$A,A143,DB_Withdrawals!$G:$G)),"")</f>
        <v/>
      </c>
      <c r="M143" s="39" t="str">
        <f>IFERROR(IF(A143="","",IFERROR(VALUE(H143),0)+IFERROR(SUMIF(DB_Savings!$A:$A,A143,DB_Savings!$F:$F),0)-IFERROR(SUMIF(DB_Withdrawals!$A:$A,A143,DB_Withdrawals!$G:$G),0)),"")</f>
        <v/>
      </c>
      <c r="N143" s="39" t="str">
        <f>IFERROR(IF(A143="","",MAX(0,M143-System_Config!$B$9)),"")</f>
        <v/>
      </c>
    </row>
    <row r="144" spans="1:14" ht="19.5" customHeight="1" x14ac:dyDescent="0.25">
      <c r="A144" s="37" t="str">
        <f>'NEW ACCOUNT'!A145</f>
        <v/>
      </c>
      <c r="B144" s="38" t="str">
        <f>IF('NEW ACCOUNT'!A145="","",'NEW ACCOUNT'!B145)</f>
        <v/>
      </c>
      <c r="C144" s="38" t="str">
        <f>IF('NEW ACCOUNT'!A145="","",'NEW ACCOUNT'!C145)</f>
        <v/>
      </c>
      <c r="D144" s="38" t="str">
        <f>IF('NEW ACCOUNT'!A145="","",'NEW ACCOUNT'!D145)</f>
        <v/>
      </c>
      <c r="E144" s="38" t="str">
        <f>IF('NEW ACCOUNT'!A145="","",'NEW ACCOUNT'!E145)</f>
        <v/>
      </c>
      <c r="F144" s="38" t="str">
        <f>IF('NEW ACCOUNT'!A145="","",'NEW ACCOUNT'!F145)</f>
        <v/>
      </c>
      <c r="G144" s="38" t="str">
        <f>IF('NEW ACCOUNT'!A145="","",'NEW ACCOUNT'!G145)</f>
        <v/>
      </c>
      <c r="H144" s="38" t="str">
        <f>IF('NEW ACCOUNT'!A145="","",'NEW ACCOUNT'!H145)</f>
        <v/>
      </c>
      <c r="I144" s="38" t="str">
        <f>IF('NEW ACCOUNT'!A145="","",'NEW ACCOUNT'!I145)</f>
        <v/>
      </c>
      <c r="J144" s="38" t="str">
        <f>IF('NEW ACCOUNT'!A145="","",'NEW ACCOUNT'!J145)</f>
        <v/>
      </c>
      <c r="K144" s="39" t="str">
        <f>IFERROR(IF(A144="","",SUMIF(DB_Savings!$A:$A,A144,DB_Savings!$F:$F)),"")</f>
        <v/>
      </c>
      <c r="L144" s="39" t="str">
        <f>IFERROR(IF(A144="","",SUMIF(DB_Withdrawals!$A:$A,A144,DB_Withdrawals!$G:$G)),"")</f>
        <v/>
      </c>
      <c r="M144" s="39" t="str">
        <f>IFERROR(IF(A144="","",IFERROR(VALUE(H144),0)+IFERROR(SUMIF(DB_Savings!$A:$A,A144,DB_Savings!$F:$F),0)-IFERROR(SUMIF(DB_Withdrawals!$A:$A,A144,DB_Withdrawals!$G:$G),0)),"")</f>
        <v/>
      </c>
      <c r="N144" s="39" t="str">
        <f>IFERROR(IF(A144="","",MAX(0,M144-System_Config!$B$9)),"")</f>
        <v/>
      </c>
    </row>
    <row r="145" spans="1:14" ht="19.5" customHeight="1" x14ac:dyDescent="0.25">
      <c r="A145" s="37" t="str">
        <f>'NEW ACCOUNT'!A146</f>
        <v/>
      </c>
      <c r="B145" s="38" t="str">
        <f>IF('NEW ACCOUNT'!A146="","",'NEW ACCOUNT'!B146)</f>
        <v/>
      </c>
      <c r="C145" s="38" t="str">
        <f>IF('NEW ACCOUNT'!A146="","",'NEW ACCOUNT'!C146)</f>
        <v/>
      </c>
      <c r="D145" s="38" t="str">
        <f>IF('NEW ACCOUNT'!A146="","",'NEW ACCOUNT'!D146)</f>
        <v/>
      </c>
      <c r="E145" s="38" t="str">
        <f>IF('NEW ACCOUNT'!A146="","",'NEW ACCOUNT'!E146)</f>
        <v/>
      </c>
      <c r="F145" s="38" t="str">
        <f>IF('NEW ACCOUNT'!A146="","",'NEW ACCOUNT'!F146)</f>
        <v/>
      </c>
      <c r="G145" s="38" t="str">
        <f>IF('NEW ACCOUNT'!A146="","",'NEW ACCOUNT'!G146)</f>
        <v/>
      </c>
      <c r="H145" s="38" t="str">
        <f>IF('NEW ACCOUNT'!A146="","",'NEW ACCOUNT'!H146)</f>
        <v/>
      </c>
      <c r="I145" s="38" t="str">
        <f>IF('NEW ACCOUNT'!A146="","",'NEW ACCOUNT'!I146)</f>
        <v/>
      </c>
      <c r="J145" s="38" t="str">
        <f>IF('NEW ACCOUNT'!A146="","",'NEW ACCOUNT'!J146)</f>
        <v/>
      </c>
      <c r="K145" s="39" t="str">
        <f>IFERROR(IF(A145="","",SUMIF(DB_Savings!$A:$A,A145,DB_Savings!$F:$F)),"")</f>
        <v/>
      </c>
      <c r="L145" s="39" t="str">
        <f>IFERROR(IF(A145="","",SUMIF(DB_Withdrawals!$A:$A,A145,DB_Withdrawals!$G:$G)),"")</f>
        <v/>
      </c>
      <c r="M145" s="39" t="str">
        <f>IFERROR(IF(A145="","",IFERROR(VALUE(H145),0)+IFERROR(SUMIF(DB_Savings!$A:$A,A145,DB_Savings!$F:$F),0)-IFERROR(SUMIF(DB_Withdrawals!$A:$A,A145,DB_Withdrawals!$G:$G),0)),"")</f>
        <v/>
      </c>
      <c r="N145" s="39" t="str">
        <f>IFERROR(IF(A145="","",MAX(0,M145-System_Config!$B$9)),"")</f>
        <v/>
      </c>
    </row>
    <row r="146" spans="1:14" ht="19.5" customHeight="1" x14ac:dyDescent="0.25">
      <c r="A146" s="37" t="str">
        <f>'NEW ACCOUNT'!A147</f>
        <v/>
      </c>
      <c r="B146" s="38" t="str">
        <f>IF('NEW ACCOUNT'!A147="","",'NEW ACCOUNT'!B147)</f>
        <v/>
      </c>
      <c r="C146" s="38" t="str">
        <f>IF('NEW ACCOUNT'!A147="","",'NEW ACCOUNT'!C147)</f>
        <v/>
      </c>
      <c r="D146" s="38" t="str">
        <f>IF('NEW ACCOUNT'!A147="","",'NEW ACCOUNT'!D147)</f>
        <v/>
      </c>
      <c r="E146" s="38" t="str">
        <f>IF('NEW ACCOUNT'!A147="","",'NEW ACCOUNT'!E147)</f>
        <v/>
      </c>
      <c r="F146" s="38" t="str">
        <f>IF('NEW ACCOUNT'!A147="","",'NEW ACCOUNT'!F147)</f>
        <v/>
      </c>
      <c r="G146" s="38" t="str">
        <f>IF('NEW ACCOUNT'!A147="","",'NEW ACCOUNT'!G147)</f>
        <v/>
      </c>
      <c r="H146" s="38" t="str">
        <f>IF('NEW ACCOUNT'!A147="","",'NEW ACCOUNT'!H147)</f>
        <v/>
      </c>
      <c r="I146" s="38" t="str">
        <f>IF('NEW ACCOUNT'!A147="","",'NEW ACCOUNT'!I147)</f>
        <v/>
      </c>
      <c r="J146" s="38" t="str">
        <f>IF('NEW ACCOUNT'!A147="","",'NEW ACCOUNT'!J147)</f>
        <v/>
      </c>
      <c r="K146" s="39" t="str">
        <f>IFERROR(IF(A146="","",SUMIF(DB_Savings!$A:$A,A146,DB_Savings!$F:$F)),"")</f>
        <v/>
      </c>
      <c r="L146" s="39" t="str">
        <f>IFERROR(IF(A146="","",SUMIF(DB_Withdrawals!$A:$A,A146,DB_Withdrawals!$G:$G)),"")</f>
        <v/>
      </c>
      <c r="M146" s="39" t="str">
        <f>IFERROR(IF(A146="","",IFERROR(VALUE(H146),0)+IFERROR(SUMIF(DB_Savings!$A:$A,A146,DB_Savings!$F:$F),0)-IFERROR(SUMIF(DB_Withdrawals!$A:$A,A146,DB_Withdrawals!$G:$G),0)),"")</f>
        <v/>
      </c>
      <c r="N146" s="39" t="str">
        <f>IFERROR(IF(A146="","",MAX(0,M146-System_Config!$B$9)),"")</f>
        <v/>
      </c>
    </row>
    <row r="147" spans="1:14" ht="19.5" customHeight="1" x14ac:dyDescent="0.25">
      <c r="A147" s="37" t="str">
        <f>'NEW ACCOUNT'!A148</f>
        <v/>
      </c>
      <c r="B147" s="38" t="str">
        <f>IF('NEW ACCOUNT'!A148="","",'NEW ACCOUNT'!B148)</f>
        <v/>
      </c>
      <c r="C147" s="38" t="str">
        <f>IF('NEW ACCOUNT'!A148="","",'NEW ACCOUNT'!C148)</f>
        <v/>
      </c>
      <c r="D147" s="38" t="str">
        <f>IF('NEW ACCOUNT'!A148="","",'NEW ACCOUNT'!D148)</f>
        <v/>
      </c>
      <c r="E147" s="38" t="str">
        <f>IF('NEW ACCOUNT'!A148="","",'NEW ACCOUNT'!E148)</f>
        <v/>
      </c>
      <c r="F147" s="38" t="str">
        <f>IF('NEW ACCOUNT'!A148="","",'NEW ACCOUNT'!F148)</f>
        <v/>
      </c>
      <c r="G147" s="38" t="str">
        <f>IF('NEW ACCOUNT'!A148="","",'NEW ACCOUNT'!G148)</f>
        <v/>
      </c>
      <c r="H147" s="38" t="str">
        <f>IF('NEW ACCOUNT'!A148="","",'NEW ACCOUNT'!H148)</f>
        <v/>
      </c>
      <c r="I147" s="38" t="str">
        <f>IF('NEW ACCOUNT'!A148="","",'NEW ACCOUNT'!I148)</f>
        <v/>
      </c>
      <c r="J147" s="38" t="str">
        <f>IF('NEW ACCOUNT'!A148="","",'NEW ACCOUNT'!J148)</f>
        <v/>
      </c>
      <c r="K147" s="39" t="str">
        <f>IFERROR(IF(A147="","",SUMIF(DB_Savings!$A:$A,A147,DB_Savings!$F:$F)),"")</f>
        <v/>
      </c>
      <c r="L147" s="39" t="str">
        <f>IFERROR(IF(A147="","",SUMIF(DB_Withdrawals!$A:$A,A147,DB_Withdrawals!$G:$G)),"")</f>
        <v/>
      </c>
      <c r="M147" s="39" t="str">
        <f>IFERROR(IF(A147="","",IFERROR(VALUE(H147),0)+IFERROR(SUMIF(DB_Savings!$A:$A,A147,DB_Savings!$F:$F),0)-IFERROR(SUMIF(DB_Withdrawals!$A:$A,A147,DB_Withdrawals!$G:$G),0)),"")</f>
        <v/>
      </c>
      <c r="N147" s="39" t="str">
        <f>IFERROR(IF(A147="","",MAX(0,M147-System_Config!$B$9)),"")</f>
        <v/>
      </c>
    </row>
    <row r="148" spans="1:14" ht="19.5" customHeight="1" x14ac:dyDescent="0.25">
      <c r="A148" s="37" t="str">
        <f>'NEW ACCOUNT'!A149</f>
        <v/>
      </c>
      <c r="B148" s="38" t="str">
        <f>IF('NEW ACCOUNT'!A149="","",'NEW ACCOUNT'!B149)</f>
        <v/>
      </c>
      <c r="C148" s="38" t="str">
        <f>IF('NEW ACCOUNT'!A149="","",'NEW ACCOUNT'!C149)</f>
        <v/>
      </c>
      <c r="D148" s="38" t="str">
        <f>IF('NEW ACCOUNT'!A149="","",'NEW ACCOUNT'!D149)</f>
        <v/>
      </c>
      <c r="E148" s="38" t="str">
        <f>IF('NEW ACCOUNT'!A149="","",'NEW ACCOUNT'!E149)</f>
        <v/>
      </c>
      <c r="F148" s="38" t="str">
        <f>IF('NEW ACCOUNT'!A149="","",'NEW ACCOUNT'!F149)</f>
        <v/>
      </c>
      <c r="G148" s="38" t="str">
        <f>IF('NEW ACCOUNT'!A149="","",'NEW ACCOUNT'!G149)</f>
        <v/>
      </c>
      <c r="H148" s="38" t="str">
        <f>IF('NEW ACCOUNT'!A149="","",'NEW ACCOUNT'!H149)</f>
        <v/>
      </c>
      <c r="I148" s="38" t="str">
        <f>IF('NEW ACCOUNT'!A149="","",'NEW ACCOUNT'!I149)</f>
        <v/>
      </c>
      <c r="J148" s="38" t="str">
        <f>IF('NEW ACCOUNT'!A149="","",'NEW ACCOUNT'!J149)</f>
        <v/>
      </c>
      <c r="K148" s="39" t="str">
        <f>IFERROR(IF(A148="","",SUMIF(DB_Savings!$A:$A,A148,DB_Savings!$F:$F)),"")</f>
        <v/>
      </c>
      <c r="L148" s="39" t="str">
        <f>IFERROR(IF(A148="","",SUMIF(DB_Withdrawals!$A:$A,A148,DB_Withdrawals!$G:$G)),"")</f>
        <v/>
      </c>
      <c r="M148" s="39" t="str">
        <f>IFERROR(IF(A148="","",IFERROR(VALUE(H148),0)+IFERROR(SUMIF(DB_Savings!$A:$A,A148,DB_Savings!$F:$F),0)-IFERROR(SUMIF(DB_Withdrawals!$A:$A,A148,DB_Withdrawals!$G:$G),0)),"")</f>
        <v/>
      </c>
      <c r="N148" s="39" t="str">
        <f>IFERROR(IF(A148="","",MAX(0,M148-System_Config!$B$9)),"")</f>
        <v/>
      </c>
    </row>
    <row r="149" spans="1:14" ht="19.5" customHeight="1" x14ac:dyDescent="0.25">
      <c r="A149" s="37" t="str">
        <f>'NEW ACCOUNT'!A150</f>
        <v/>
      </c>
      <c r="B149" s="38" t="str">
        <f>IF('NEW ACCOUNT'!A150="","",'NEW ACCOUNT'!B150)</f>
        <v/>
      </c>
      <c r="C149" s="38" t="str">
        <f>IF('NEW ACCOUNT'!A150="","",'NEW ACCOUNT'!C150)</f>
        <v/>
      </c>
      <c r="D149" s="38" t="str">
        <f>IF('NEW ACCOUNT'!A150="","",'NEW ACCOUNT'!D150)</f>
        <v/>
      </c>
      <c r="E149" s="38" t="str">
        <f>IF('NEW ACCOUNT'!A150="","",'NEW ACCOUNT'!E150)</f>
        <v/>
      </c>
      <c r="F149" s="38" t="str">
        <f>IF('NEW ACCOUNT'!A150="","",'NEW ACCOUNT'!F150)</f>
        <v/>
      </c>
      <c r="G149" s="38" t="str">
        <f>IF('NEW ACCOUNT'!A150="","",'NEW ACCOUNT'!G150)</f>
        <v/>
      </c>
      <c r="H149" s="38" t="str">
        <f>IF('NEW ACCOUNT'!A150="","",'NEW ACCOUNT'!H150)</f>
        <v/>
      </c>
      <c r="I149" s="38" t="str">
        <f>IF('NEW ACCOUNT'!A150="","",'NEW ACCOUNT'!I150)</f>
        <v/>
      </c>
      <c r="J149" s="38" t="str">
        <f>IF('NEW ACCOUNT'!A150="","",'NEW ACCOUNT'!J150)</f>
        <v/>
      </c>
      <c r="K149" s="39" t="str">
        <f>IFERROR(IF(A149="","",SUMIF(DB_Savings!$A:$A,A149,DB_Savings!$F:$F)),"")</f>
        <v/>
      </c>
      <c r="L149" s="39" t="str">
        <f>IFERROR(IF(A149="","",SUMIF(DB_Withdrawals!$A:$A,A149,DB_Withdrawals!$G:$G)),"")</f>
        <v/>
      </c>
      <c r="M149" s="39" t="str">
        <f>IFERROR(IF(A149="","",IFERROR(VALUE(H149),0)+IFERROR(SUMIF(DB_Savings!$A:$A,A149,DB_Savings!$F:$F),0)-IFERROR(SUMIF(DB_Withdrawals!$A:$A,A149,DB_Withdrawals!$G:$G),0)),"")</f>
        <v/>
      </c>
      <c r="N149" s="39" t="str">
        <f>IFERROR(IF(A149="","",MAX(0,M149-System_Config!$B$9)),"")</f>
        <v/>
      </c>
    </row>
    <row r="150" spans="1:14" ht="19.5" customHeight="1" x14ac:dyDescent="0.25">
      <c r="A150" s="37" t="str">
        <f>'NEW ACCOUNT'!A151</f>
        <v/>
      </c>
      <c r="B150" s="38" t="str">
        <f>IF('NEW ACCOUNT'!A151="","",'NEW ACCOUNT'!B151)</f>
        <v/>
      </c>
      <c r="C150" s="38" t="str">
        <f>IF('NEW ACCOUNT'!A151="","",'NEW ACCOUNT'!C151)</f>
        <v/>
      </c>
      <c r="D150" s="38" t="str">
        <f>IF('NEW ACCOUNT'!A151="","",'NEW ACCOUNT'!D151)</f>
        <v/>
      </c>
      <c r="E150" s="38" t="str">
        <f>IF('NEW ACCOUNT'!A151="","",'NEW ACCOUNT'!E151)</f>
        <v/>
      </c>
      <c r="F150" s="38" t="str">
        <f>IF('NEW ACCOUNT'!A151="","",'NEW ACCOUNT'!F151)</f>
        <v/>
      </c>
      <c r="G150" s="38" t="str">
        <f>IF('NEW ACCOUNT'!A151="","",'NEW ACCOUNT'!G151)</f>
        <v/>
      </c>
      <c r="H150" s="38" t="str">
        <f>IF('NEW ACCOUNT'!A151="","",'NEW ACCOUNT'!H151)</f>
        <v/>
      </c>
      <c r="I150" s="38" t="str">
        <f>IF('NEW ACCOUNT'!A151="","",'NEW ACCOUNT'!I151)</f>
        <v/>
      </c>
      <c r="J150" s="38" t="str">
        <f>IF('NEW ACCOUNT'!A151="","",'NEW ACCOUNT'!J151)</f>
        <v/>
      </c>
      <c r="K150" s="39" t="str">
        <f>IFERROR(IF(A150="","",SUMIF(DB_Savings!$A:$A,A150,DB_Savings!$F:$F)),"")</f>
        <v/>
      </c>
      <c r="L150" s="39" t="str">
        <f>IFERROR(IF(A150="","",SUMIF(DB_Withdrawals!$A:$A,A150,DB_Withdrawals!$G:$G)),"")</f>
        <v/>
      </c>
      <c r="M150" s="39" t="str">
        <f>IFERROR(IF(A150="","",IFERROR(VALUE(H150),0)+IFERROR(SUMIF(DB_Savings!$A:$A,A150,DB_Savings!$F:$F),0)-IFERROR(SUMIF(DB_Withdrawals!$A:$A,A150,DB_Withdrawals!$G:$G),0)),"")</f>
        <v/>
      </c>
      <c r="N150" s="39" t="str">
        <f>IFERROR(IF(A150="","",MAX(0,M150-System_Config!$B$9)),"")</f>
        <v/>
      </c>
    </row>
    <row r="151" spans="1:14" ht="19.5" customHeight="1" x14ac:dyDescent="0.25">
      <c r="A151" s="37" t="str">
        <f>'NEW ACCOUNT'!A152</f>
        <v/>
      </c>
      <c r="B151" s="38" t="str">
        <f>IF('NEW ACCOUNT'!A152="","",'NEW ACCOUNT'!B152)</f>
        <v/>
      </c>
      <c r="C151" s="38" t="str">
        <f>IF('NEW ACCOUNT'!A152="","",'NEW ACCOUNT'!C152)</f>
        <v/>
      </c>
      <c r="D151" s="38" t="str">
        <f>IF('NEW ACCOUNT'!A152="","",'NEW ACCOUNT'!D152)</f>
        <v/>
      </c>
      <c r="E151" s="38" t="str">
        <f>IF('NEW ACCOUNT'!A152="","",'NEW ACCOUNT'!E152)</f>
        <v/>
      </c>
      <c r="F151" s="38" t="str">
        <f>IF('NEW ACCOUNT'!A152="","",'NEW ACCOUNT'!F152)</f>
        <v/>
      </c>
      <c r="G151" s="38" t="str">
        <f>IF('NEW ACCOUNT'!A152="","",'NEW ACCOUNT'!G152)</f>
        <v/>
      </c>
      <c r="H151" s="38" t="str">
        <f>IF('NEW ACCOUNT'!A152="","",'NEW ACCOUNT'!H152)</f>
        <v/>
      </c>
      <c r="I151" s="38" t="str">
        <f>IF('NEW ACCOUNT'!A152="","",'NEW ACCOUNT'!I152)</f>
        <v/>
      </c>
      <c r="J151" s="38" t="str">
        <f>IF('NEW ACCOUNT'!A152="","",'NEW ACCOUNT'!J152)</f>
        <v/>
      </c>
      <c r="K151" s="39" t="str">
        <f>IFERROR(IF(A151="","",SUMIF(DB_Savings!$A:$A,A151,DB_Savings!$F:$F)),"")</f>
        <v/>
      </c>
      <c r="L151" s="39" t="str">
        <f>IFERROR(IF(A151="","",SUMIF(DB_Withdrawals!$A:$A,A151,DB_Withdrawals!$G:$G)),"")</f>
        <v/>
      </c>
      <c r="M151" s="39" t="str">
        <f>IFERROR(IF(A151="","",IFERROR(VALUE(H151),0)+IFERROR(SUMIF(DB_Savings!$A:$A,A151,DB_Savings!$F:$F),0)-IFERROR(SUMIF(DB_Withdrawals!$A:$A,A151,DB_Withdrawals!$G:$G),0)),"")</f>
        <v/>
      </c>
      <c r="N151" s="39" t="str">
        <f>IFERROR(IF(A151="","",MAX(0,M151-System_Config!$B$9)),"")</f>
        <v/>
      </c>
    </row>
    <row r="152" spans="1:14" ht="19.5" customHeight="1" x14ac:dyDescent="0.25">
      <c r="A152" s="37" t="str">
        <f>'NEW ACCOUNT'!A153</f>
        <v/>
      </c>
      <c r="B152" s="38" t="str">
        <f>IF('NEW ACCOUNT'!A153="","",'NEW ACCOUNT'!B153)</f>
        <v/>
      </c>
      <c r="C152" s="38" t="str">
        <f>IF('NEW ACCOUNT'!A153="","",'NEW ACCOUNT'!C153)</f>
        <v/>
      </c>
      <c r="D152" s="38" t="str">
        <f>IF('NEW ACCOUNT'!A153="","",'NEW ACCOUNT'!D153)</f>
        <v/>
      </c>
      <c r="E152" s="38" t="str">
        <f>IF('NEW ACCOUNT'!A153="","",'NEW ACCOUNT'!E153)</f>
        <v/>
      </c>
      <c r="F152" s="38" t="str">
        <f>IF('NEW ACCOUNT'!A153="","",'NEW ACCOUNT'!F153)</f>
        <v/>
      </c>
      <c r="G152" s="38" t="str">
        <f>IF('NEW ACCOUNT'!A153="","",'NEW ACCOUNT'!G153)</f>
        <v/>
      </c>
      <c r="H152" s="38" t="str">
        <f>IF('NEW ACCOUNT'!A153="","",'NEW ACCOUNT'!H153)</f>
        <v/>
      </c>
      <c r="I152" s="38" t="str">
        <f>IF('NEW ACCOUNT'!A153="","",'NEW ACCOUNT'!I153)</f>
        <v/>
      </c>
      <c r="J152" s="38" t="str">
        <f>IF('NEW ACCOUNT'!A153="","",'NEW ACCOUNT'!J153)</f>
        <v/>
      </c>
      <c r="K152" s="39" t="str">
        <f>IFERROR(IF(A152="","",SUMIF(DB_Savings!$A:$A,A152,DB_Savings!$F:$F)),"")</f>
        <v/>
      </c>
      <c r="L152" s="39" t="str">
        <f>IFERROR(IF(A152="","",SUMIF(DB_Withdrawals!$A:$A,A152,DB_Withdrawals!$G:$G)),"")</f>
        <v/>
      </c>
      <c r="M152" s="39" t="str">
        <f>IFERROR(IF(A152="","",IFERROR(VALUE(H152),0)+IFERROR(SUMIF(DB_Savings!$A:$A,A152,DB_Savings!$F:$F),0)-IFERROR(SUMIF(DB_Withdrawals!$A:$A,A152,DB_Withdrawals!$G:$G),0)),"")</f>
        <v/>
      </c>
      <c r="N152" s="39" t="str">
        <f>IFERROR(IF(A152="","",MAX(0,M152-System_Config!$B$9)),"")</f>
        <v/>
      </c>
    </row>
    <row r="153" spans="1:14" ht="19.5" customHeight="1" x14ac:dyDescent="0.25">
      <c r="A153" s="37" t="str">
        <f>'NEW ACCOUNT'!A154</f>
        <v/>
      </c>
      <c r="B153" s="38" t="str">
        <f>IF('NEW ACCOUNT'!A154="","",'NEW ACCOUNT'!B154)</f>
        <v/>
      </c>
      <c r="C153" s="38" t="str">
        <f>IF('NEW ACCOUNT'!A154="","",'NEW ACCOUNT'!C154)</f>
        <v/>
      </c>
      <c r="D153" s="38" t="str">
        <f>IF('NEW ACCOUNT'!A154="","",'NEW ACCOUNT'!D154)</f>
        <v/>
      </c>
      <c r="E153" s="38" t="str">
        <f>IF('NEW ACCOUNT'!A154="","",'NEW ACCOUNT'!E154)</f>
        <v/>
      </c>
      <c r="F153" s="38" t="str">
        <f>IF('NEW ACCOUNT'!A154="","",'NEW ACCOUNT'!F154)</f>
        <v/>
      </c>
      <c r="G153" s="38" t="str">
        <f>IF('NEW ACCOUNT'!A154="","",'NEW ACCOUNT'!G154)</f>
        <v/>
      </c>
      <c r="H153" s="38" t="str">
        <f>IF('NEW ACCOUNT'!A154="","",'NEW ACCOUNT'!H154)</f>
        <v/>
      </c>
      <c r="I153" s="38" t="str">
        <f>IF('NEW ACCOUNT'!A154="","",'NEW ACCOUNT'!I154)</f>
        <v/>
      </c>
      <c r="J153" s="38" t="str">
        <f>IF('NEW ACCOUNT'!A154="","",'NEW ACCOUNT'!J154)</f>
        <v/>
      </c>
      <c r="K153" s="39" t="str">
        <f>IFERROR(IF(A153="","",SUMIF(DB_Savings!$A:$A,A153,DB_Savings!$F:$F)),"")</f>
        <v/>
      </c>
      <c r="L153" s="39" t="str">
        <f>IFERROR(IF(A153="","",SUMIF(DB_Withdrawals!$A:$A,A153,DB_Withdrawals!$G:$G)),"")</f>
        <v/>
      </c>
      <c r="M153" s="39" t="str">
        <f>IFERROR(IF(A153="","",IFERROR(VALUE(H153),0)+IFERROR(SUMIF(DB_Savings!$A:$A,A153,DB_Savings!$F:$F),0)-IFERROR(SUMIF(DB_Withdrawals!$A:$A,A153,DB_Withdrawals!$G:$G),0)),"")</f>
        <v/>
      </c>
      <c r="N153" s="39" t="str">
        <f>IFERROR(IF(A153="","",MAX(0,M153-System_Config!$B$9)),"")</f>
        <v/>
      </c>
    </row>
    <row r="154" spans="1:14" ht="19.5" customHeight="1" x14ac:dyDescent="0.25">
      <c r="A154" s="37" t="str">
        <f>'NEW ACCOUNT'!A155</f>
        <v/>
      </c>
      <c r="B154" s="38" t="str">
        <f>IF('NEW ACCOUNT'!A155="","",'NEW ACCOUNT'!B155)</f>
        <v/>
      </c>
      <c r="C154" s="38" t="str">
        <f>IF('NEW ACCOUNT'!A155="","",'NEW ACCOUNT'!C155)</f>
        <v/>
      </c>
      <c r="D154" s="38" t="str">
        <f>IF('NEW ACCOUNT'!A155="","",'NEW ACCOUNT'!D155)</f>
        <v/>
      </c>
      <c r="E154" s="38" t="str">
        <f>IF('NEW ACCOUNT'!A155="","",'NEW ACCOUNT'!E155)</f>
        <v/>
      </c>
      <c r="F154" s="38" t="str">
        <f>IF('NEW ACCOUNT'!A155="","",'NEW ACCOUNT'!F155)</f>
        <v/>
      </c>
      <c r="G154" s="38" t="str">
        <f>IF('NEW ACCOUNT'!A155="","",'NEW ACCOUNT'!G155)</f>
        <v/>
      </c>
      <c r="H154" s="38" t="str">
        <f>IF('NEW ACCOUNT'!A155="","",'NEW ACCOUNT'!H155)</f>
        <v/>
      </c>
      <c r="I154" s="38" t="str">
        <f>IF('NEW ACCOUNT'!A155="","",'NEW ACCOUNT'!I155)</f>
        <v/>
      </c>
      <c r="J154" s="38" t="str">
        <f>IF('NEW ACCOUNT'!A155="","",'NEW ACCOUNT'!J155)</f>
        <v/>
      </c>
      <c r="K154" s="39" t="str">
        <f>IFERROR(IF(A154="","",SUMIF(DB_Savings!$A:$A,A154,DB_Savings!$F:$F)),"")</f>
        <v/>
      </c>
      <c r="L154" s="39" t="str">
        <f>IFERROR(IF(A154="","",SUMIF(DB_Withdrawals!$A:$A,A154,DB_Withdrawals!$G:$G)),"")</f>
        <v/>
      </c>
      <c r="M154" s="39" t="str">
        <f>IFERROR(IF(A154="","",IFERROR(VALUE(H154),0)+IFERROR(SUMIF(DB_Savings!$A:$A,A154,DB_Savings!$F:$F),0)-IFERROR(SUMIF(DB_Withdrawals!$A:$A,A154,DB_Withdrawals!$G:$G),0)),"")</f>
        <v/>
      </c>
      <c r="N154" s="39" t="str">
        <f>IFERROR(IF(A154="","",MAX(0,M154-System_Config!$B$9)),"")</f>
        <v/>
      </c>
    </row>
    <row r="155" spans="1:14" ht="19.5" customHeight="1" x14ac:dyDescent="0.25">
      <c r="A155" s="37" t="str">
        <f>'NEW ACCOUNT'!A156</f>
        <v/>
      </c>
      <c r="B155" s="38" t="str">
        <f>IF('NEW ACCOUNT'!A156="","",'NEW ACCOUNT'!B156)</f>
        <v/>
      </c>
      <c r="C155" s="38" t="str">
        <f>IF('NEW ACCOUNT'!A156="","",'NEW ACCOUNT'!C156)</f>
        <v/>
      </c>
      <c r="D155" s="38" t="str">
        <f>IF('NEW ACCOUNT'!A156="","",'NEW ACCOUNT'!D156)</f>
        <v/>
      </c>
      <c r="E155" s="38" t="str">
        <f>IF('NEW ACCOUNT'!A156="","",'NEW ACCOUNT'!E156)</f>
        <v/>
      </c>
      <c r="F155" s="38" t="str">
        <f>IF('NEW ACCOUNT'!A156="","",'NEW ACCOUNT'!F156)</f>
        <v/>
      </c>
      <c r="G155" s="38" t="str">
        <f>IF('NEW ACCOUNT'!A156="","",'NEW ACCOUNT'!G156)</f>
        <v/>
      </c>
      <c r="H155" s="38" t="str">
        <f>IF('NEW ACCOUNT'!A156="","",'NEW ACCOUNT'!H156)</f>
        <v/>
      </c>
      <c r="I155" s="38" t="str">
        <f>IF('NEW ACCOUNT'!A156="","",'NEW ACCOUNT'!I156)</f>
        <v/>
      </c>
      <c r="J155" s="38" t="str">
        <f>IF('NEW ACCOUNT'!A156="","",'NEW ACCOUNT'!J156)</f>
        <v/>
      </c>
      <c r="K155" s="39" t="str">
        <f>IFERROR(IF(A155="","",SUMIF(DB_Savings!$A:$A,A155,DB_Savings!$F:$F)),"")</f>
        <v/>
      </c>
      <c r="L155" s="39" t="str">
        <f>IFERROR(IF(A155="","",SUMIF(DB_Withdrawals!$A:$A,A155,DB_Withdrawals!$G:$G)),"")</f>
        <v/>
      </c>
      <c r="M155" s="39" t="str">
        <f>IFERROR(IF(A155="","",IFERROR(VALUE(H155),0)+IFERROR(SUMIF(DB_Savings!$A:$A,A155,DB_Savings!$F:$F),0)-IFERROR(SUMIF(DB_Withdrawals!$A:$A,A155,DB_Withdrawals!$G:$G),0)),"")</f>
        <v/>
      </c>
      <c r="N155" s="39" t="str">
        <f>IFERROR(IF(A155="","",MAX(0,M155-System_Config!$B$9)),"")</f>
        <v/>
      </c>
    </row>
    <row r="156" spans="1:14" ht="19.5" customHeight="1" x14ac:dyDescent="0.25">
      <c r="A156" s="37" t="str">
        <f>'NEW ACCOUNT'!A157</f>
        <v/>
      </c>
      <c r="B156" s="38" t="str">
        <f>IF('NEW ACCOUNT'!A157="","",'NEW ACCOUNT'!B157)</f>
        <v/>
      </c>
      <c r="C156" s="38" t="str">
        <f>IF('NEW ACCOUNT'!A157="","",'NEW ACCOUNT'!C157)</f>
        <v/>
      </c>
      <c r="D156" s="38" t="str">
        <f>IF('NEW ACCOUNT'!A157="","",'NEW ACCOUNT'!D157)</f>
        <v/>
      </c>
      <c r="E156" s="38" t="str">
        <f>IF('NEW ACCOUNT'!A157="","",'NEW ACCOUNT'!E157)</f>
        <v/>
      </c>
      <c r="F156" s="38" t="str">
        <f>IF('NEW ACCOUNT'!A157="","",'NEW ACCOUNT'!F157)</f>
        <v/>
      </c>
      <c r="G156" s="38" t="str">
        <f>IF('NEW ACCOUNT'!A157="","",'NEW ACCOUNT'!G157)</f>
        <v/>
      </c>
      <c r="H156" s="38" t="str">
        <f>IF('NEW ACCOUNT'!A157="","",'NEW ACCOUNT'!H157)</f>
        <v/>
      </c>
      <c r="I156" s="38" t="str">
        <f>IF('NEW ACCOUNT'!A157="","",'NEW ACCOUNT'!I157)</f>
        <v/>
      </c>
      <c r="J156" s="38" t="str">
        <f>IF('NEW ACCOUNT'!A157="","",'NEW ACCOUNT'!J157)</f>
        <v/>
      </c>
      <c r="K156" s="39" t="str">
        <f>IFERROR(IF(A156="","",SUMIF(DB_Savings!$A:$A,A156,DB_Savings!$F:$F)),"")</f>
        <v/>
      </c>
      <c r="L156" s="39" t="str">
        <f>IFERROR(IF(A156="","",SUMIF(DB_Withdrawals!$A:$A,A156,DB_Withdrawals!$G:$G)),"")</f>
        <v/>
      </c>
      <c r="M156" s="39" t="str">
        <f>IFERROR(IF(A156="","",IFERROR(VALUE(H156),0)+IFERROR(SUMIF(DB_Savings!$A:$A,A156,DB_Savings!$F:$F),0)-IFERROR(SUMIF(DB_Withdrawals!$A:$A,A156,DB_Withdrawals!$G:$G),0)),"")</f>
        <v/>
      </c>
      <c r="N156" s="39" t="str">
        <f>IFERROR(IF(A156="","",MAX(0,M156-System_Config!$B$9)),"")</f>
        <v/>
      </c>
    </row>
    <row r="157" spans="1:14" ht="19.5" customHeight="1" x14ac:dyDescent="0.25">
      <c r="A157" s="37" t="str">
        <f>'NEW ACCOUNT'!A158</f>
        <v/>
      </c>
      <c r="B157" s="38" t="str">
        <f>IF('NEW ACCOUNT'!A158="","",'NEW ACCOUNT'!B158)</f>
        <v/>
      </c>
      <c r="C157" s="38" t="str">
        <f>IF('NEW ACCOUNT'!A158="","",'NEW ACCOUNT'!C158)</f>
        <v/>
      </c>
      <c r="D157" s="38" t="str">
        <f>IF('NEW ACCOUNT'!A158="","",'NEW ACCOUNT'!D158)</f>
        <v/>
      </c>
      <c r="E157" s="38" t="str">
        <f>IF('NEW ACCOUNT'!A158="","",'NEW ACCOUNT'!E158)</f>
        <v/>
      </c>
      <c r="F157" s="38" t="str">
        <f>IF('NEW ACCOUNT'!A158="","",'NEW ACCOUNT'!F158)</f>
        <v/>
      </c>
      <c r="G157" s="38" t="str">
        <f>IF('NEW ACCOUNT'!A158="","",'NEW ACCOUNT'!G158)</f>
        <v/>
      </c>
      <c r="H157" s="38" t="str">
        <f>IF('NEW ACCOUNT'!A158="","",'NEW ACCOUNT'!H158)</f>
        <v/>
      </c>
      <c r="I157" s="38" t="str">
        <f>IF('NEW ACCOUNT'!A158="","",'NEW ACCOUNT'!I158)</f>
        <v/>
      </c>
      <c r="J157" s="38" t="str">
        <f>IF('NEW ACCOUNT'!A158="","",'NEW ACCOUNT'!J158)</f>
        <v/>
      </c>
      <c r="K157" s="39" t="str">
        <f>IFERROR(IF(A157="","",SUMIF(DB_Savings!$A:$A,A157,DB_Savings!$F:$F)),"")</f>
        <v/>
      </c>
      <c r="L157" s="39" t="str">
        <f>IFERROR(IF(A157="","",SUMIF(DB_Withdrawals!$A:$A,A157,DB_Withdrawals!$G:$G)),"")</f>
        <v/>
      </c>
      <c r="M157" s="39" t="str">
        <f>IFERROR(IF(A157="","",IFERROR(VALUE(H157),0)+IFERROR(SUMIF(DB_Savings!$A:$A,A157,DB_Savings!$F:$F),0)-IFERROR(SUMIF(DB_Withdrawals!$A:$A,A157,DB_Withdrawals!$G:$G),0)),"")</f>
        <v/>
      </c>
      <c r="N157" s="39" t="str">
        <f>IFERROR(IF(A157="","",MAX(0,M157-System_Config!$B$9)),"")</f>
        <v/>
      </c>
    </row>
    <row r="158" spans="1:14" ht="19.5" customHeight="1" x14ac:dyDescent="0.25">
      <c r="A158" s="37" t="str">
        <f>'NEW ACCOUNT'!A159</f>
        <v/>
      </c>
      <c r="B158" s="38" t="str">
        <f>IF('NEW ACCOUNT'!A159="","",'NEW ACCOUNT'!B159)</f>
        <v/>
      </c>
      <c r="C158" s="38" t="str">
        <f>IF('NEW ACCOUNT'!A159="","",'NEW ACCOUNT'!C159)</f>
        <v/>
      </c>
      <c r="D158" s="38" t="str">
        <f>IF('NEW ACCOUNT'!A159="","",'NEW ACCOUNT'!D159)</f>
        <v/>
      </c>
      <c r="E158" s="38" t="str">
        <f>IF('NEW ACCOUNT'!A159="","",'NEW ACCOUNT'!E159)</f>
        <v/>
      </c>
      <c r="F158" s="38" t="str">
        <f>IF('NEW ACCOUNT'!A159="","",'NEW ACCOUNT'!F159)</f>
        <v/>
      </c>
      <c r="G158" s="38" t="str">
        <f>IF('NEW ACCOUNT'!A159="","",'NEW ACCOUNT'!G159)</f>
        <v/>
      </c>
      <c r="H158" s="38" t="str">
        <f>IF('NEW ACCOUNT'!A159="","",'NEW ACCOUNT'!H159)</f>
        <v/>
      </c>
      <c r="I158" s="38" t="str">
        <f>IF('NEW ACCOUNT'!A159="","",'NEW ACCOUNT'!I159)</f>
        <v/>
      </c>
      <c r="J158" s="38" t="str">
        <f>IF('NEW ACCOUNT'!A159="","",'NEW ACCOUNT'!J159)</f>
        <v/>
      </c>
      <c r="K158" s="39" t="str">
        <f>IFERROR(IF(A158="","",SUMIF(DB_Savings!$A:$A,A158,DB_Savings!$F:$F)),"")</f>
        <v/>
      </c>
      <c r="L158" s="39" t="str">
        <f>IFERROR(IF(A158="","",SUMIF(DB_Withdrawals!$A:$A,A158,DB_Withdrawals!$G:$G)),"")</f>
        <v/>
      </c>
      <c r="M158" s="39" t="str">
        <f>IFERROR(IF(A158="","",IFERROR(VALUE(H158),0)+IFERROR(SUMIF(DB_Savings!$A:$A,A158,DB_Savings!$F:$F),0)-IFERROR(SUMIF(DB_Withdrawals!$A:$A,A158,DB_Withdrawals!$G:$G),0)),"")</f>
        <v/>
      </c>
      <c r="N158" s="39" t="str">
        <f>IFERROR(IF(A158="","",MAX(0,M158-System_Config!$B$9)),"")</f>
        <v/>
      </c>
    </row>
    <row r="159" spans="1:14" ht="19.5" customHeight="1" x14ac:dyDescent="0.25">
      <c r="A159" s="37" t="str">
        <f>'NEW ACCOUNT'!A160</f>
        <v/>
      </c>
      <c r="B159" s="38" t="str">
        <f>IF('NEW ACCOUNT'!A160="","",'NEW ACCOUNT'!B160)</f>
        <v/>
      </c>
      <c r="C159" s="38" t="str">
        <f>IF('NEW ACCOUNT'!A160="","",'NEW ACCOUNT'!C160)</f>
        <v/>
      </c>
      <c r="D159" s="38" t="str">
        <f>IF('NEW ACCOUNT'!A160="","",'NEW ACCOUNT'!D160)</f>
        <v/>
      </c>
      <c r="E159" s="38" t="str">
        <f>IF('NEW ACCOUNT'!A160="","",'NEW ACCOUNT'!E160)</f>
        <v/>
      </c>
      <c r="F159" s="38" t="str">
        <f>IF('NEW ACCOUNT'!A160="","",'NEW ACCOUNT'!F160)</f>
        <v/>
      </c>
      <c r="G159" s="38" t="str">
        <f>IF('NEW ACCOUNT'!A160="","",'NEW ACCOUNT'!G160)</f>
        <v/>
      </c>
      <c r="H159" s="38" t="str">
        <f>IF('NEW ACCOUNT'!A160="","",'NEW ACCOUNT'!H160)</f>
        <v/>
      </c>
      <c r="I159" s="38" t="str">
        <f>IF('NEW ACCOUNT'!A160="","",'NEW ACCOUNT'!I160)</f>
        <v/>
      </c>
      <c r="J159" s="38" t="str">
        <f>IF('NEW ACCOUNT'!A160="","",'NEW ACCOUNT'!J160)</f>
        <v/>
      </c>
      <c r="K159" s="39" t="str">
        <f>IFERROR(IF(A159="","",SUMIF(DB_Savings!$A:$A,A159,DB_Savings!$F:$F)),"")</f>
        <v/>
      </c>
      <c r="L159" s="39" t="str">
        <f>IFERROR(IF(A159="","",SUMIF(DB_Withdrawals!$A:$A,A159,DB_Withdrawals!$G:$G)),"")</f>
        <v/>
      </c>
      <c r="M159" s="39" t="str">
        <f>IFERROR(IF(A159="","",IFERROR(VALUE(H159),0)+IFERROR(SUMIF(DB_Savings!$A:$A,A159,DB_Savings!$F:$F),0)-IFERROR(SUMIF(DB_Withdrawals!$A:$A,A159,DB_Withdrawals!$G:$G),0)),"")</f>
        <v/>
      </c>
      <c r="N159" s="39" t="str">
        <f>IFERROR(IF(A159="","",MAX(0,M159-System_Config!$B$9)),"")</f>
        <v/>
      </c>
    </row>
    <row r="160" spans="1:14" ht="19.5" customHeight="1" x14ac:dyDescent="0.25">
      <c r="A160" s="37" t="str">
        <f>'NEW ACCOUNT'!A161</f>
        <v/>
      </c>
      <c r="B160" s="38" t="str">
        <f>IF('NEW ACCOUNT'!A161="","",'NEW ACCOUNT'!B161)</f>
        <v/>
      </c>
      <c r="C160" s="38" t="str">
        <f>IF('NEW ACCOUNT'!A161="","",'NEW ACCOUNT'!C161)</f>
        <v/>
      </c>
      <c r="D160" s="38" t="str">
        <f>IF('NEW ACCOUNT'!A161="","",'NEW ACCOUNT'!D161)</f>
        <v/>
      </c>
      <c r="E160" s="38" t="str">
        <f>IF('NEW ACCOUNT'!A161="","",'NEW ACCOUNT'!E161)</f>
        <v/>
      </c>
      <c r="F160" s="38" t="str">
        <f>IF('NEW ACCOUNT'!A161="","",'NEW ACCOUNT'!F161)</f>
        <v/>
      </c>
      <c r="G160" s="38" t="str">
        <f>IF('NEW ACCOUNT'!A161="","",'NEW ACCOUNT'!G161)</f>
        <v/>
      </c>
      <c r="H160" s="38" t="str">
        <f>IF('NEW ACCOUNT'!A161="","",'NEW ACCOUNT'!H161)</f>
        <v/>
      </c>
      <c r="I160" s="38" t="str">
        <f>IF('NEW ACCOUNT'!A161="","",'NEW ACCOUNT'!I161)</f>
        <v/>
      </c>
      <c r="J160" s="38" t="str">
        <f>IF('NEW ACCOUNT'!A161="","",'NEW ACCOUNT'!J161)</f>
        <v/>
      </c>
      <c r="K160" s="39" t="str">
        <f>IFERROR(IF(A160="","",SUMIF(DB_Savings!$A:$A,A160,DB_Savings!$F:$F)),"")</f>
        <v/>
      </c>
      <c r="L160" s="39" t="str">
        <f>IFERROR(IF(A160="","",SUMIF(DB_Withdrawals!$A:$A,A160,DB_Withdrawals!$G:$G)),"")</f>
        <v/>
      </c>
      <c r="M160" s="39" t="str">
        <f>IFERROR(IF(A160="","",IFERROR(VALUE(H160),0)+IFERROR(SUMIF(DB_Savings!$A:$A,A160,DB_Savings!$F:$F),0)-IFERROR(SUMIF(DB_Withdrawals!$A:$A,A160,DB_Withdrawals!$G:$G),0)),"")</f>
        <v/>
      </c>
      <c r="N160" s="39" t="str">
        <f>IFERROR(IF(A160="","",MAX(0,M160-System_Config!$B$9)),"")</f>
        <v/>
      </c>
    </row>
    <row r="161" spans="1:14" ht="19.5" customHeight="1" x14ac:dyDescent="0.25">
      <c r="A161" s="37" t="str">
        <f>'NEW ACCOUNT'!A162</f>
        <v/>
      </c>
      <c r="B161" s="38" t="str">
        <f>IF('NEW ACCOUNT'!A162="","",'NEW ACCOUNT'!B162)</f>
        <v/>
      </c>
      <c r="C161" s="38" t="str">
        <f>IF('NEW ACCOUNT'!A162="","",'NEW ACCOUNT'!C162)</f>
        <v/>
      </c>
      <c r="D161" s="38" t="str">
        <f>IF('NEW ACCOUNT'!A162="","",'NEW ACCOUNT'!D162)</f>
        <v/>
      </c>
      <c r="E161" s="38" t="str">
        <f>IF('NEW ACCOUNT'!A162="","",'NEW ACCOUNT'!E162)</f>
        <v/>
      </c>
      <c r="F161" s="38" t="str">
        <f>IF('NEW ACCOUNT'!A162="","",'NEW ACCOUNT'!F162)</f>
        <v/>
      </c>
      <c r="G161" s="38" t="str">
        <f>IF('NEW ACCOUNT'!A162="","",'NEW ACCOUNT'!G162)</f>
        <v/>
      </c>
      <c r="H161" s="38" t="str">
        <f>IF('NEW ACCOUNT'!A162="","",'NEW ACCOUNT'!H162)</f>
        <v/>
      </c>
      <c r="I161" s="38" t="str">
        <f>IF('NEW ACCOUNT'!A162="","",'NEW ACCOUNT'!I162)</f>
        <v/>
      </c>
      <c r="J161" s="38" t="str">
        <f>IF('NEW ACCOUNT'!A162="","",'NEW ACCOUNT'!J162)</f>
        <v/>
      </c>
      <c r="K161" s="39" t="str">
        <f>IFERROR(IF(A161="","",SUMIF(DB_Savings!$A:$A,A161,DB_Savings!$F:$F)),"")</f>
        <v/>
      </c>
      <c r="L161" s="39" t="str">
        <f>IFERROR(IF(A161="","",SUMIF(DB_Withdrawals!$A:$A,A161,DB_Withdrawals!$G:$G)),"")</f>
        <v/>
      </c>
      <c r="M161" s="39" t="str">
        <f>IFERROR(IF(A161="","",IFERROR(VALUE(H161),0)+IFERROR(SUMIF(DB_Savings!$A:$A,A161,DB_Savings!$F:$F),0)-IFERROR(SUMIF(DB_Withdrawals!$A:$A,A161,DB_Withdrawals!$G:$G),0)),"")</f>
        <v/>
      </c>
      <c r="N161" s="39" t="str">
        <f>IFERROR(IF(A161="","",MAX(0,M161-System_Config!$B$9)),"")</f>
        <v/>
      </c>
    </row>
    <row r="162" spans="1:14" ht="19.5" customHeight="1" x14ac:dyDescent="0.25">
      <c r="A162" s="37" t="str">
        <f>'NEW ACCOUNT'!A163</f>
        <v/>
      </c>
      <c r="B162" s="38" t="str">
        <f>IF('NEW ACCOUNT'!A163="","",'NEW ACCOUNT'!B163)</f>
        <v/>
      </c>
      <c r="C162" s="38" t="str">
        <f>IF('NEW ACCOUNT'!A163="","",'NEW ACCOUNT'!C163)</f>
        <v/>
      </c>
      <c r="D162" s="38" t="str">
        <f>IF('NEW ACCOUNT'!A163="","",'NEW ACCOUNT'!D163)</f>
        <v/>
      </c>
      <c r="E162" s="38" t="str">
        <f>IF('NEW ACCOUNT'!A163="","",'NEW ACCOUNT'!E163)</f>
        <v/>
      </c>
      <c r="F162" s="38" t="str">
        <f>IF('NEW ACCOUNT'!A163="","",'NEW ACCOUNT'!F163)</f>
        <v/>
      </c>
      <c r="G162" s="38" t="str">
        <f>IF('NEW ACCOUNT'!A163="","",'NEW ACCOUNT'!G163)</f>
        <v/>
      </c>
      <c r="H162" s="38" t="str">
        <f>IF('NEW ACCOUNT'!A163="","",'NEW ACCOUNT'!H163)</f>
        <v/>
      </c>
      <c r="I162" s="38" t="str">
        <f>IF('NEW ACCOUNT'!A163="","",'NEW ACCOUNT'!I163)</f>
        <v/>
      </c>
      <c r="J162" s="38" t="str">
        <f>IF('NEW ACCOUNT'!A163="","",'NEW ACCOUNT'!J163)</f>
        <v/>
      </c>
      <c r="K162" s="39" t="str">
        <f>IFERROR(IF(A162="","",SUMIF(DB_Savings!$A:$A,A162,DB_Savings!$F:$F)),"")</f>
        <v/>
      </c>
      <c r="L162" s="39" t="str">
        <f>IFERROR(IF(A162="","",SUMIF(DB_Withdrawals!$A:$A,A162,DB_Withdrawals!$G:$G)),"")</f>
        <v/>
      </c>
      <c r="M162" s="39" t="str">
        <f>IFERROR(IF(A162="","",IFERROR(VALUE(H162),0)+IFERROR(SUMIF(DB_Savings!$A:$A,A162,DB_Savings!$F:$F),0)-IFERROR(SUMIF(DB_Withdrawals!$A:$A,A162,DB_Withdrawals!$G:$G),0)),"")</f>
        <v/>
      </c>
      <c r="N162" s="39" t="str">
        <f>IFERROR(IF(A162="","",MAX(0,M162-System_Config!$B$9)),"")</f>
        <v/>
      </c>
    </row>
    <row r="163" spans="1:14" ht="19.5" customHeight="1" x14ac:dyDescent="0.25">
      <c r="A163" s="37" t="str">
        <f>'NEW ACCOUNT'!A164</f>
        <v/>
      </c>
      <c r="B163" s="38" t="str">
        <f>IF('NEW ACCOUNT'!A164="","",'NEW ACCOUNT'!B164)</f>
        <v/>
      </c>
      <c r="C163" s="38" t="str">
        <f>IF('NEW ACCOUNT'!A164="","",'NEW ACCOUNT'!C164)</f>
        <v/>
      </c>
      <c r="D163" s="38" t="str">
        <f>IF('NEW ACCOUNT'!A164="","",'NEW ACCOUNT'!D164)</f>
        <v/>
      </c>
      <c r="E163" s="38" t="str">
        <f>IF('NEW ACCOUNT'!A164="","",'NEW ACCOUNT'!E164)</f>
        <v/>
      </c>
      <c r="F163" s="38" t="str">
        <f>IF('NEW ACCOUNT'!A164="","",'NEW ACCOUNT'!F164)</f>
        <v/>
      </c>
      <c r="G163" s="38" t="str">
        <f>IF('NEW ACCOUNT'!A164="","",'NEW ACCOUNT'!G164)</f>
        <v/>
      </c>
      <c r="H163" s="38" t="str">
        <f>IF('NEW ACCOUNT'!A164="","",'NEW ACCOUNT'!H164)</f>
        <v/>
      </c>
      <c r="I163" s="38" t="str">
        <f>IF('NEW ACCOUNT'!A164="","",'NEW ACCOUNT'!I164)</f>
        <v/>
      </c>
      <c r="J163" s="38" t="str">
        <f>IF('NEW ACCOUNT'!A164="","",'NEW ACCOUNT'!J164)</f>
        <v/>
      </c>
      <c r="K163" s="39" t="str">
        <f>IFERROR(IF(A163="","",SUMIF(DB_Savings!$A:$A,A163,DB_Savings!$F:$F)),"")</f>
        <v/>
      </c>
      <c r="L163" s="39" t="str">
        <f>IFERROR(IF(A163="","",SUMIF(DB_Withdrawals!$A:$A,A163,DB_Withdrawals!$G:$G)),"")</f>
        <v/>
      </c>
      <c r="M163" s="39" t="str">
        <f>IFERROR(IF(A163="","",IFERROR(VALUE(H163),0)+IFERROR(SUMIF(DB_Savings!$A:$A,A163,DB_Savings!$F:$F),0)-IFERROR(SUMIF(DB_Withdrawals!$A:$A,A163,DB_Withdrawals!$G:$G),0)),"")</f>
        <v/>
      </c>
      <c r="N163" s="39" t="str">
        <f>IFERROR(IF(A163="","",MAX(0,M163-System_Config!$B$9)),"")</f>
        <v/>
      </c>
    </row>
    <row r="164" spans="1:14" ht="19.5" customHeight="1" x14ac:dyDescent="0.25">
      <c r="A164" s="37" t="str">
        <f>'NEW ACCOUNT'!A165</f>
        <v/>
      </c>
      <c r="B164" s="38" t="str">
        <f>IF('NEW ACCOUNT'!A165="","",'NEW ACCOUNT'!B165)</f>
        <v/>
      </c>
      <c r="C164" s="38" t="str">
        <f>IF('NEW ACCOUNT'!A165="","",'NEW ACCOUNT'!C165)</f>
        <v/>
      </c>
      <c r="D164" s="38" t="str">
        <f>IF('NEW ACCOUNT'!A165="","",'NEW ACCOUNT'!D165)</f>
        <v/>
      </c>
      <c r="E164" s="38" t="str">
        <f>IF('NEW ACCOUNT'!A165="","",'NEW ACCOUNT'!E165)</f>
        <v/>
      </c>
      <c r="F164" s="38" t="str">
        <f>IF('NEW ACCOUNT'!A165="","",'NEW ACCOUNT'!F165)</f>
        <v/>
      </c>
      <c r="G164" s="38" t="str">
        <f>IF('NEW ACCOUNT'!A165="","",'NEW ACCOUNT'!G165)</f>
        <v/>
      </c>
      <c r="H164" s="38" t="str">
        <f>IF('NEW ACCOUNT'!A165="","",'NEW ACCOUNT'!H165)</f>
        <v/>
      </c>
      <c r="I164" s="38" t="str">
        <f>IF('NEW ACCOUNT'!A165="","",'NEW ACCOUNT'!I165)</f>
        <v/>
      </c>
      <c r="J164" s="38" t="str">
        <f>IF('NEW ACCOUNT'!A165="","",'NEW ACCOUNT'!J165)</f>
        <v/>
      </c>
      <c r="K164" s="39" t="str">
        <f>IFERROR(IF(A164="","",SUMIF(DB_Savings!$A:$A,A164,DB_Savings!$F:$F)),"")</f>
        <v/>
      </c>
      <c r="L164" s="39" t="str">
        <f>IFERROR(IF(A164="","",SUMIF(DB_Withdrawals!$A:$A,A164,DB_Withdrawals!$G:$G)),"")</f>
        <v/>
      </c>
      <c r="M164" s="39" t="str">
        <f>IFERROR(IF(A164="","",IFERROR(VALUE(H164),0)+IFERROR(SUMIF(DB_Savings!$A:$A,A164,DB_Savings!$F:$F),0)-IFERROR(SUMIF(DB_Withdrawals!$A:$A,A164,DB_Withdrawals!$G:$G),0)),"")</f>
        <v/>
      </c>
      <c r="N164" s="39" t="str">
        <f>IFERROR(IF(A164="","",MAX(0,M164-System_Config!$B$9)),"")</f>
        <v/>
      </c>
    </row>
    <row r="165" spans="1:14" ht="19.5" customHeight="1" x14ac:dyDescent="0.25">
      <c r="A165" s="37" t="str">
        <f>'NEW ACCOUNT'!A166</f>
        <v/>
      </c>
      <c r="B165" s="38" t="str">
        <f>IF('NEW ACCOUNT'!A166="","",'NEW ACCOUNT'!B166)</f>
        <v/>
      </c>
      <c r="C165" s="38" t="str">
        <f>IF('NEW ACCOUNT'!A166="","",'NEW ACCOUNT'!C166)</f>
        <v/>
      </c>
      <c r="D165" s="38" t="str">
        <f>IF('NEW ACCOUNT'!A166="","",'NEW ACCOUNT'!D166)</f>
        <v/>
      </c>
      <c r="E165" s="38" t="str">
        <f>IF('NEW ACCOUNT'!A166="","",'NEW ACCOUNT'!E166)</f>
        <v/>
      </c>
      <c r="F165" s="38" t="str">
        <f>IF('NEW ACCOUNT'!A166="","",'NEW ACCOUNT'!F166)</f>
        <v/>
      </c>
      <c r="G165" s="38" t="str">
        <f>IF('NEW ACCOUNT'!A166="","",'NEW ACCOUNT'!G166)</f>
        <v/>
      </c>
      <c r="H165" s="38" t="str">
        <f>IF('NEW ACCOUNT'!A166="","",'NEW ACCOUNT'!H166)</f>
        <v/>
      </c>
      <c r="I165" s="38" t="str">
        <f>IF('NEW ACCOUNT'!A166="","",'NEW ACCOUNT'!I166)</f>
        <v/>
      </c>
      <c r="J165" s="38" t="str">
        <f>IF('NEW ACCOUNT'!A166="","",'NEW ACCOUNT'!J166)</f>
        <v/>
      </c>
      <c r="K165" s="39" t="str">
        <f>IFERROR(IF(A165="","",SUMIF(DB_Savings!$A:$A,A165,DB_Savings!$F:$F)),"")</f>
        <v/>
      </c>
      <c r="L165" s="39" t="str">
        <f>IFERROR(IF(A165="","",SUMIF(DB_Withdrawals!$A:$A,A165,DB_Withdrawals!$G:$G)),"")</f>
        <v/>
      </c>
      <c r="M165" s="39" t="str">
        <f>IFERROR(IF(A165="","",IFERROR(VALUE(H165),0)+IFERROR(SUMIF(DB_Savings!$A:$A,A165,DB_Savings!$F:$F),0)-IFERROR(SUMIF(DB_Withdrawals!$A:$A,A165,DB_Withdrawals!$G:$G),0)),"")</f>
        <v/>
      </c>
      <c r="N165" s="39" t="str">
        <f>IFERROR(IF(A165="","",MAX(0,M165-System_Config!$B$9)),"")</f>
        <v/>
      </c>
    </row>
    <row r="166" spans="1:14" ht="19.5" customHeight="1" x14ac:dyDescent="0.25">
      <c r="A166" s="37" t="str">
        <f>'NEW ACCOUNT'!A167</f>
        <v/>
      </c>
      <c r="B166" s="38" t="str">
        <f>IF('NEW ACCOUNT'!A167="","",'NEW ACCOUNT'!B167)</f>
        <v/>
      </c>
      <c r="C166" s="38" t="str">
        <f>IF('NEW ACCOUNT'!A167="","",'NEW ACCOUNT'!C167)</f>
        <v/>
      </c>
      <c r="D166" s="38" t="str">
        <f>IF('NEW ACCOUNT'!A167="","",'NEW ACCOUNT'!D167)</f>
        <v/>
      </c>
      <c r="E166" s="38" t="str">
        <f>IF('NEW ACCOUNT'!A167="","",'NEW ACCOUNT'!E167)</f>
        <v/>
      </c>
      <c r="F166" s="38" t="str">
        <f>IF('NEW ACCOUNT'!A167="","",'NEW ACCOUNT'!F167)</f>
        <v/>
      </c>
      <c r="G166" s="38" t="str">
        <f>IF('NEW ACCOUNT'!A167="","",'NEW ACCOUNT'!G167)</f>
        <v/>
      </c>
      <c r="H166" s="38" t="str">
        <f>IF('NEW ACCOUNT'!A167="","",'NEW ACCOUNT'!H167)</f>
        <v/>
      </c>
      <c r="I166" s="38" t="str">
        <f>IF('NEW ACCOUNT'!A167="","",'NEW ACCOUNT'!I167)</f>
        <v/>
      </c>
      <c r="J166" s="38" t="str">
        <f>IF('NEW ACCOUNT'!A167="","",'NEW ACCOUNT'!J167)</f>
        <v/>
      </c>
      <c r="K166" s="39" t="str">
        <f>IFERROR(IF(A166="","",SUMIF(DB_Savings!$A:$A,A166,DB_Savings!$F:$F)),"")</f>
        <v/>
      </c>
      <c r="L166" s="39" t="str">
        <f>IFERROR(IF(A166="","",SUMIF(DB_Withdrawals!$A:$A,A166,DB_Withdrawals!$G:$G)),"")</f>
        <v/>
      </c>
      <c r="M166" s="39" t="str">
        <f>IFERROR(IF(A166="","",IFERROR(VALUE(H166),0)+IFERROR(SUMIF(DB_Savings!$A:$A,A166,DB_Savings!$F:$F),0)-IFERROR(SUMIF(DB_Withdrawals!$A:$A,A166,DB_Withdrawals!$G:$G),0)),"")</f>
        <v/>
      </c>
      <c r="N166" s="39" t="str">
        <f>IFERROR(IF(A166="","",MAX(0,M166-System_Config!$B$9)),"")</f>
        <v/>
      </c>
    </row>
    <row r="167" spans="1:14" ht="19.5" customHeight="1" x14ac:dyDescent="0.25">
      <c r="A167" s="37" t="str">
        <f>'NEW ACCOUNT'!A168</f>
        <v/>
      </c>
      <c r="B167" s="38" t="str">
        <f>IF('NEW ACCOUNT'!A168="","",'NEW ACCOUNT'!B168)</f>
        <v/>
      </c>
      <c r="C167" s="38" t="str">
        <f>IF('NEW ACCOUNT'!A168="","",'NEW ACCOUNT'!C168)</f>
        <v/>
      </c>
      <c r="D167" s="38" t="str">
        <f>IF('NEW ACCOUNT'!A168="","",'NEW ACCOUNT'!D168)</f>
        <v/>
      </c>
      <c r="E167" s="38" t="str">
        <f>IF('NEW ACCOUNT'!A168="","",'NEW ACCOUNT'!E168)</f>
        <v/>
      </c>
      <c r="F167" s="38" t="str">
        <f>IF('NEW ACCOUNT'!A168="","",'NEW ACCOUNT'!F168)</f>
        <v/>
      </c>
      <c r="G167" s="38" t="str">
        <f>IF('NEW ACCOUNT'!A168="","",'NEW ACCOUNT'!G168)</f>
        <v/>
      </c>
      <c r="H167" s="38" t="str">
        <f>IF('NEW ACCOUNT'!A168="","",'NEW ACCOUNT'!H168)</f>
        <v/>
      </c>
      <c r="I167" s="38" t="str">
        <f>IF('NEW ACCOUNT'!A168="","",'NEW ACCOUNT'!I168)</f>
        <v/>
      </c>
      <c r="J167" s="38" t="str">
        <f>IF('NEW ACCOUNT'!A168="","",'NEW ACCOUNT'!J168)</f>
        <v/>
      </c>
      <c r="K167" s="39" t="str">
        <f>IFERROR(IF(A167="","",SUMIF(DB_Savings!$A:$A,A167,DB_Savings!$F:$F)),"")</f>
        <v/>
      </c>
      <c r="L167" s="39" t="str">
        <f>IFERROR(IF(A167="","",SUMIF(DB_Withdrawals!$A:$A,A167,DB_Withdrawals!$G:$G)),"")</f>
        <v/>
      </c>
      <c r="M167" s="39" t="str">
        <f>IFERROR(IF(A167="","",IFERROR(VALUE(H167),0)+IFERROR(SUMIF(DB_Savings!$A:$A,A167,DB_Savings!$F:$F),0)-IFERROR(SUMIF(DB_Withdrawals!$A:$A,A167,DB_Withdrawals!$G:$G),0)),"")</f>
        <v/>
      </c>
      <c r="N167" s="39" t="str">
        <f>IFERROR(IF(A167="","",MAX(0,M167-System_Config!$B$9)),"")</f>
        <v/>
      </c>
    </row>
    <row r="168" spans="1:14" ht="19.5" customHeight="1" x14ac:dyDescent="0.25">
      <c r="A168" s="37" t="str">
        <f>'NEW ACCOUNT'!A169</f>
        <v/>
      </c>
      <c r="B168" s="38" t="str">
        <f>IF('NEW ACCOUNT'!A169="","",'NEW ACCOUNT'!B169)</f>
        <v/>
      </c>
      <c r="C168" s="38" t="str">
        <f>IF('NEW ACCOUNT'!A169="","",'NEW ACCOUNT'!C169)</f>
        <v/>
      </c>
      <c r="D168" s="38" t="str">
        <f>IF('NEW ACCOUNT'!A169="","",'NEW ACCOUNT'!D169)</f>
        <v/>
      </c>
      <c r="E168" s="38" t="str">
        <f>IF('NEW ACCOUNT'!A169="","",'NEW ACCOUNT'!E169)</f>
        <v/>
      </c>
      <c r="F168" s="38" t="str">
        <f>IF('NEW ACCOUNT'!A169="","",'NEW ACCOUNT'!F169)</f>
        <v/>
      </c>
      <c r="G168" s="38" t="str">
        <f>IF('NEW ACCOUNT'!A169="","",'NEW ACCOUNT'!G169)</f>
        <v/>
      </c>
      <c r="H168" s="38" t="str">
        <f>IF('NEW ACCOUNT'!A169="","",'NEW ACCOUNT'!H169)</f>
        <v/>
      </c>
      <c r="I168" s="38" t="str">
        <f>IF('NEW ACCOUNT'!A169="","",'NEW ACCOUNT'!I169)</f>
        <v/>
      </c>
      <c r="J168" s="38" t="str">
        <f>IF('NEW ACCOUNT'!A169="","",'NEW ACCOUNT'!J169)</f>
        <v/>
      </c>
      <c r="K168" s="39" t="str">
        <f>IFERROR(IF(A168="","",SUMIF(DB_Savings!$A:$A,A168,DB_Savings!$F:$F)),"")</f>
        <v/>
      </c>
      <c r="L168" s="39" t="str">
        <f>IFERROR(IF(A168="","",SUMIF(DB_Withdrawals!$A:$A,A168,DB_Withdrawals!$G:$G)),"")</f>
        <v/>
      </c>
      <c r="M168" s="39" t="str">
        <f>IFERROR(IF(A168="","",IFERROR(VALUE(H168),0)+IFERROR(SUMIF(DB_Savings!$A:$A,A168,DB_Savings!$F:$F),0)-IFERROR(SUMIF(DB_Withdrawals!$A:$A,A168,DB_Withdrawals!$G:$G),0)),"")</f>
        <v/>
      </c>
      <c r="N168" s="39" t="str">
        <f>IFERROR(IF(A168="","",MAX(0,M168-System_Config!$B$9)),"")</f>
        <v/>
      </c>
    </row>
    <row r="169" spans="1:14" ht="19.5" customHeight="1" x14ac:dyDescent="0.25">
      <c r="A169" s="37" t="str">
        <f>'NEW ACCOUNT'!A170</f>
        <v/>
      </c>
      <c r="B169" s="38" t="str">
        <f>IF('NEW ACCOUNT'!A170="","",'NEW ACCOUNT'!B170)</f>
        <v/>
      </c>
      <c r="C169" s="38" t="str">
        <f>IF('NEW ACCOUNT'!A170="","",'NEW ACCOUNT'!C170)</f>
        <v/>
      </c>
      <c r="D169" s="38" t="str">
        <f>IF('NEW ACCOUNT'!A170="","",'NEW ACCOUNT'!D170)</f>
        <v/>
      </c>
      <c r="E169" s="38" t="str">
        <f>IF('NEW ACCOUNT'!A170="","",'NEW ACCOUNT'!E170)</f>
        <v/>
      </c>
      <c r="F169" s="38" t="str">
        <f>IF('NEW ACCOUNT'!A170="","",'NEW ACCOUNT'!F170)</f>
        <v/>
      </c>
      <c r="G169" s="38" t="str">
        <f>IF('NEW ACCOUNT'!A170="","",'NEW ACCOUNT'!G170)</f>
        <v/>
      </c>
      <c r="H169" s="38" t="str">
        <f>IF('NEW ACCOUNT'!A170="","",'NEW ACCOUNT'!H170)</f>
        <v/>
      </c>
      <c r="I169" s="38" t="str">
        <f>IF('NEW ACCOUNT'!A170="","",'NEW ACCOUNT'!I170)</f>
        <v/>
      </c>
      <c r="J169" s="38" t="str">
        <f>IF('NEW ACCOUNT'!A170="","",'NEW ACCOUNT'!J170)</f>
        <v/>
      </c>
      <c r="K169" s="39" t="str">
        <f>IFERROR(IF(A169="","",SUMIF(DB_Savings!$A:$A,A169,DB_Savings!$F:$F)),"")</f>
        <v/>
      </c>
      <c r="L169" s="39" t="str">
        <f>IFERROR(IF(A169="","",SUMIF(DB_Withdrawals!$A:$A,A169,DB_Withdrawals!$G:$G)),"")</f>
        <v/>
      </c>
      <c r="M169" s="39" t="str">
        <f>IFERROR(IF(A169="","",IFERROR(VALUE(H169),0)+IFERROR(SUMIF(DB_Savings!$A:$A,A169,DB_Savings!$F:$F),0)-IFERROR(SUMIF(DB_Withdrawals!$A:$A,A169,DB_Withdrawals!$G:$G),0)),"")</f>
        <v/>
      </c>
      <c r="N169" s="39" t="str">
        <f>IFERROR(IF(A169="","",MAX(0,M169-System_Config!$B$9)),"")</f>
        <v/>
      </c>
    </row>
    <row r="170" spans="1:14" ht="19.5" customHeight="1" x14ac:dyDescent="0.25">
      <c r="A170" s="37" t="str">
        <f>'NEW ACCOUNT'!A171</f>
        <v/>
      </c>
      <c r="B170" s="38" t="str">
        <f>IF('NEW ACCOUNT'!A171="","",'NEW ACCOUNT'!B171)</f>
        <v/>
      </c>
      <c r="C170" s="38" t="str">
        <f>IF('NEW ACCOUNT'!A171="","",'NEW ACCOUNT'!C171)</f>
        <v/>
      </c>
      <c r="D170" s="38" t="str">
        <f>IF('NEW ACCOUNT'!A171="","",'NEW ACCOUNT'!D171)</f>
        <v/>
      </c>
      <c r="E170" s="38" t="str">
        <f>IF('NEW ACCOUNT'!A171="","",'NEW ACCOUNT'!E171)</f>
        <v/>
      </c>
      <c r="F170" s="38" t="str">
        <f>IF('NEW ACCOUNT'!A171="","",'NEW ACCOUNT'!F171)</f>
        <v/>
      </c>
      <c r="G170" s="38" t="str">
        <f>IF('NEW ACCOUNT'!A171="","",'NEW ACCOUNT'!G171)</f>
        <v/>
      </c>
      <c r="H170" s="38" t="str">
        <f>IF('NEW ACCOUNT'!A171="","",'NEW ACCOUNT'!H171)</f>
        <v/>
      </c>
      <c r="I170" s="38" t="str">
        <f>IF('NEW ACCOUNT'!A171="","",'NEW ACCOUNT'!I171)</f>
        <v/>
      </c>
      <c r="J170" s="38" t="str">
        <f>IF('NEW ACCOUNT'!A171="","",'NEW ACCOUNT'!J171)</f>
        <v/>
      </c>
      <c r="K170" s="39" t="str">
        <f>IFERROR(IF(A170="","",SUMIF(DB_Savings!$A:$A,A170,DB_Savings!$F:$F)),"")</f>
        <v/>
      </c>
      <c r="L170" s="39" t="str">
        <f>IFERROR(IF(A170="","",SUMIF(DB_Withdrawals!$A:$A,A170,DB_Withdrawals!$G:$G)),"")</f>
        <v/>
      </c>
      <c r="M170" s="39" t="str">
        <f>IFERROR(IF(A170="","",IFERROR(VALUE(H170),0)+IFERROR(SUMIF(DB_Savings!$A:$A,A170,DB_Savings!$F:$F),0)-IFERROR(SUMIF(DB_Withdrawals!$A:$A,A170,DB_Withdrawals!$G:$G),0)),"")</f>
        <v/>
      </c>
      <c r="N170" s="39" t="str">
        <f>IFERROR(IF(A170="","",MAX(0,M170-System_Config!$B$9)),"")</f>
        <v/>
      </c>
    </row>
    <row r="171" spans="1:14" ht="19.5" customHeight="1" x14ac:dyDescent="0.25">
      <c r="A171" s="37" t="str">
        <f>'NEW ACCOUNT'!A172</f>
        <v/>
      </c>
      <c r="B171" s="38" t="str">
        <f>IF('NEW ACCOUNT'!A172="","",'NEW ACCOUNT'!B172)</f>
        <v/>
      </c>
      <c r="C171" s="38" t="str">
        <f>IF('NEW ACCOUNT'!A172="","",'NEW ACCOUNT'!C172)</f>
        <v/>
      </c>
      <c r="D171" s="38" t="str">
        <f>IF('NEW ACCOUNT'!A172="","",'NEW ACCOUNT'!D172)</f>
        <v/>
      </c>
      <c r="E171" s="38" t="str">
        <f>IF('NEW ACCOUNT'!A172="","",'NEW ACCOUNT'!E172)</f>
        <v/>
      </c>
      <c r="F171" s="38" t="str">
        <f>IF('NEW ACCOUNT'!A172="","",'NEW ACCOUNT'!F172)</f>
        <v/>
      </c>
      <c r="G171" s="38" t="str">
        <f>IF('NEW ACCOUNT'!A172="","",'NEW ACCOUNT'!G172)</f>
        <v/>
      </c>
      <c r="H171" s="38" t="str">
        <f>IF('NEW ACCOUNT'!A172="","",'NEW ACCOUNT'!H172)</f>
        <v/>
      </c>
      <c r="I171" s="38" t="str">
        <f>IF('NEW ACCOUNT'!A172="","",'NEW ACCOUNT'!I172)</f>
        <v/>
      </c>
      <c r="J171" s="38" t="str">
        <f>IF('NEW ACCOUNT'!A172="","",'NEW ACCOUNT'!J172)</f>
        <v/>
      </c>
      <c r="K171" s="39" t="str">
        <f>IFERROR(IF(A171="","",SUMIF(DB_Savings!$A:$A,A171,DB_Savings!$F:$F)),"")</f>
        <v/>
      </c>
      <c r="L171" s="39" t="str">
        <f>IFERROR(IF(A171="","",SUMIF(DB_Withdrawals!$A:$A,A171,DB_Withdrawals!$G:$G)),"")</f>
        <v/>
      </c>
      <c r="M171" s="39" t="str">
        <f>IFERROR(IF(A171="","",IFERROR(VALUE(H171),0)+IFERROR(SUMIF(DB_Savings!$A:$A,A171,DB_Savings!$F:$F),0)-IFERROR(SUMIF(DB_Withdrawals!$A:$A,A171,DB_Withdrawals!$G:$G),0)),"")</f>
        <v/>
      </c>
      <c r="N171" s="39" t="str">
        <f>IFERROR(IF(A171="","",MAX(0,M171-System_Config!$B$9)),"")</f>
        <v/>
      </c>
    </row>
    <row r="172" spans="1:14" ht="19.5" customHeight="1" x14ac:dyDescent="0.25">
      <c r="A172" s="37" t="str">
        <f>'NEW ACCOUNT'!A173</f>
        <v/>
      </c>
      <c r="B172" s="38" t="str">
        <f>IF('NEW ACCOUNT'!A173="","",'NEW ACCOUNT'!B173)</f>
        <v/>
      </c>
      <c r="C172" s="38" t="str">
        <f>IF('NEW ACCOUNT'!A173="","",'NEW ACCOUNT'!C173)</f>
        <v/>
      </c>
      <c r="D172" s="38" t="str">
        <f>IF('NEW ACCOUNT'!A173="","",'NEW ACCOUNT'!D173)</f>
        <v/>
      </c>
      <c r="E172" s="38" t="str">
        <f>IF('NEW ACCOUNT'!A173="","",'NEW ACCOUNT'!E173)</f>
        <v/>
      </c>
      <c r="F172" s="38" t="str">
        <f>IF('NEW ACCOUNT'!A173="","",'NEW ACCOUNT'!F173)</f>
        <v/>
      </c>
      <c r="G172" s="38" t="str">
        <f>IF('NEW ACCOUNT'!A173="","",'NEW ACCOUNT'!G173)</f>
        <v/>
      </c>
      <c r="H172" s="38" t="str">
        <f>IF('NEW ACCOUNT'!A173="","",'NEW ACCOUNT'!H173)</f>
        <v/>
      </c>
      <c r="I172" s="38" t="str">
        <f>IF('NEW ACCOUNT'!A173="","",'NEW ACCOUNT'!I173)</f>
        <v/>
      </c>
      <c r="J172" s="38" t="str">
        <f>IF('NEW ACCOUNT'!A173="","",'NEW ACCOUNT'!J173)</f>
        <v/>
      </c>
      <c r="K172" s="39" t="str">
        <f>IFERROR(IF(A172="","",SUMIF(DB_Savings!$A:$A,A172,DB_Savings!$F:$F)),"")</f>
        <v/>
      </c>
      <c r="L172" s="39" t="str">
        <f>IFERROR(IF(A172="","",SUMIF(DB_Withdrawals!$A:$A,A172,DB_Withdrawals!$G:$G)),"")</f>
        <v/>
      </c>
      <c r="M172" s="39" t="str">
        <f>IFERROR(IF(A172="","",IFERROR(VALUE(H172),0)+IFERROR(SUMIF(DB_Savings!$A:$A,A172,DB_Savings!$F:$F),0)-IFERROR(SUMIF(DB_Withdrawals!$A:$A,A172,DB_Withdrawals!$G:$G),0)),"")</f>
        <v/>
      </c>
      <c r="N172" s="39" t="str">
        <f>IFERROR(IF(A172="","",MAX(0,M172-System_Config!$B$9)),"")</f>
        <v/>
      </c>
    </row>
    <row r="173" spans="1:14" ht="19.5" customHeight="1" x14ac:dyDescent="0.25">
      <c r="A173" s="37" t="str">
        <f>'NEW ACCOUNT'!A174</f>
        <v/>
      </c>
      <c r="B173" s="38" t="str">
        <f>IF('NEW ACCOUNT'!A174="","",'NEW ACCOUNT'!B174)</f>
        <v/>
      </c>
      <c r="C173" s="38" t="str">
        <f>IF('NEW ACCOUNT'!A174="","",'NEW ACCOUNT'!C174)</f>
        <v/>
      </c>
      <c r="D173" s="38" t="str">
        <f>IF('NEW ACCOUNT'!A174="","",'NEW ACCOUNT'!D174)</f>
        <v/>
      </c>
      <c r="E173" s="38" t="str">
        <f>IF('NEW ACCOUNT'!A174="","",'NEW ACCOUNT'!E174)</f>
        <v/>
      </c>
      <c r="F173" s="38" t="str">
        <f>IF('NEW ACCOUNT'!A174="","",'NEW ACCOUNT'!F174)</f>
        <v/>
      </c>
      <c r="G173" s="38" t="str">
        <f>IF('NEW ACCOUNT'!A174="","",'NEW ACCOUNT'!G174)</f>
        <v/>
      </c>
      <c r="H173" s="38" t="str">
        <f>IF('NEW ACCOUNT'!A174="","",'NEW ACCOUNT'!H174)</f>
        <v/>
      </c>
      <c r="I173" s="38" t="str">
        <f>IF('NEW ACCOUNT'!A174="","",'NEW ACCOUNT'!I174)</f>
        <v/>
      </c>
      <c r="J173" s="38" t="str">
        <f>IF('NEW ACCOUNT'!A174="","",'NEW ACCOUNT'!J174)</f>
        <v/>
      </c>
      <c r="K173" s="39" t="str">
        <f>IFERROR(IF(A173="","",SUMIF(DB_Savings!$A:$A,A173,DB_Savings!$F:$F)),"")</f>
        <v/>
      </c>
      <c r="L173" s="39" t="str">
        <f>IFERROR(IF(A173="","",SUMIF(DB_Withdrawals!$A:$A,A173,DB_Withdrawals!$G:$G)),"")</f>
        <v/>
      </c>
      <c r="M173" s="39" t="str">
        <f>IFERROR(IF(A173="","",IFERROR(VALUE(H173),0)+IFERROR(SUMIF(DB_Savings!$A:$A,A173,DB_Savings!$F:$F),0)-IFERROR(SUMIF(DB_Withdrawals!$A:$A,A173,DB_Withdrawals!$G:$G),0)),"")</f>
        <v/>
      </c>
      <c r="N173" s="39" t="str">
        <f>IFERROR(IF(A173="","",MAX(0,M173-System_Config!$B$9)),"")</f>
        <v/>
      </c>
    </row>
    <row r="174" spans="1:14" ht="19.5" customHeight="1" x14ac:dyDescent="0.25">
      <c r="A174" s="37" t="str">
        <f>'NEW ACCOUNT'!A175</f>
        <v/>
      </c>
      <c r="B174" s="38" t="str">
        <f>IF('NEW ACCOUNT'!A175="","",'NEW ACCOUNT'!B175)</f>
        <v/>
      </c>
      <c r="C174" s="38" t="str">
        <f>IF('NEW ACCOUNT'!A175="","",'NEW ACCOUNT'!C175)</f>
        <v/>
      </c>
      <c r="D174" s="38" t="str">
        <f>IF('NEW ACCOUNT'!A175="","",'NEW ACCOUNT'!D175)</f>
        <v/>
      </c>
      <c r="E174" s="38" t="str">
        <f>IF('NEW ACCOUNT'!A175="","",'NEW ACCOUNT'!E175)</f>
        <v/>
      </c>
      <c r="F174" s="38" t="str">
        <f>IF('NEW ACCOUNT'!A175="","",'NEW ACCOUNT'!F175)</f>
        <v/>
      </c>
      <c r="G174" s="38" t="str">
        <f>IF('NEW ACCOUNT'!A175="","",'NEW ACCOUNT'!G175)</f>
        <v/>
      </c>
      <c r="H174" s="38" t="str">
        <f>IF('NEW ACCOUNT'!A175="","",'NEW ACCOUNT'!H175)</f>
        <v/>
      </c>
      <c r="I174" s="38" t="str">
        <f>IF('NEW ACCOUNT'!A175="","",'NEW ACCOUNT'!I175)</f>
        <v/>
      </c>
      <c r="J174" s="38" t="str">
        <f>IF('NEW ACCOUNT'!A175="","",'NEW ACCOUNT'!J175)</f>
        <v/>
      </c>
      <c r="K174" s="39" t="str">
        <f>IFERROR(IF(A174="","",SUMIF(DB_Savings!$A:$A,A174,DB_Savings!$F:$F)),"")</f>
        <v/>
      </c>
      <c r="L174" s="39" t="str">
        <f>IFERROR(IF(A174="","",SUMIF(DB_Withdrawals!$A:$A,A174,DB_Withdrawals!$G:$G)),"")</f>
        <v/>
      </c>
      <c r="M174" s="39" t="str">
        <f>IFERROR(IF(A174="","",IFERROR(VALUE(H174),0)+IFERROR(SUMIF(DB_Savings!$A:$A,A174,DB_Savings!$F:$F),0)-IFERROR(SUMIF(DB_Withdrawals!$A:$A,A174,DB_Withdrawals!$G:$G),0)),"")</f>
        <v/>
      </c>
      <c r="N174" s="39" t="str">
        <f>IFERROR(IF(A174="","",MAX(0,M174-System_Config!$B$9)),"")</f>
        <v/>
      </c>
    </row>
    <row r="175" spans="1:14" ht="19.5" customHeight="1" x14ac:dyDescent="0.25">
      <c r="A175" s="37" t="str">
        <f>'NEW ACCOUNT'!A176</f>
        <v/>
      </c>
      <c r="B175" s="38" t="str">
        <f>IF('NEW ACCOUNT'!A176="","",'NEW ACCOUNT'!B176)</f>
        <v/>
      </c>
      <c r="C175" s="38" t="str">
        <f>IF('NEW ACCOUNT'!A176="","",'NEW ACCOUNT'!C176)</f>
        <v/>
      </c>
      <c r="D175" s="38" t="str">
        <f>IF('NEW ACCOUNT'!A176="","",'NEW ACCOUNT'!D176)</f>
        <v/>
      </c>
      <c r="E175" s="38" t="str">
        <f>IF('NEW ACCOUNT'!A176="","",'NEW ACCOUNT'!E176)</f>
        <v/>
      </c>
      <c r="F175" s="38" t="str">
        <f>IF('NEW ACCOUNT'!A176="","",'NEW ACCOUNT'!F176)</f>
        <v/>
      </c>
      <c r="G175" s="38" t="str">
        <f>IF('NEW ACCOUNT'!A176="","",'NEW ACCOUNT'!G176)</f>
        <v/>
      </c>
      <c r="H175" s="38" t="str">
        <f>IF('NEW ACCOUNT'!A176="","",'NEW ACCOUNT'!H176)</f>
        <v/>
      </c>
      <c r="I175" s="38" t="str">
        <f>IF('NEW ACCOUNT'!A176="","",'NEW ACCOUNT'!I176)</f>
        <v/>
      </c>
      <c r="J175" s="38" t="str">
        <f>IF('NEW ACCOUNT'!A176="","",'NEW ACCOUNT'!J176)</f>
        <v/>
      </c>
      <c r="K175" s="39" t="str">
        <f>IFERROR(IF(A175="","",SUMIF(DB_Savings!$A:$A,A175,DB_Savings!$F:$F)),"")</f>
        <v/>
      </c>
      <c r="L175" s="39" t="str">
        <f>IFERROR(IF(A175="","",SUMIF(DB_Withdrawals!$A:$A,A175,DB_Withdrawals!$G:$G)),"")</f>
        <v/>
      </c>
      <c r="M175" s="39" t="str">
        <f>IFERROR(IF(A175="","",IFERROR(VALUE(H175),0)+IFERROR(SUMIF(DB_Savings!$A:$A,A175,DB_Savings!$F:$F),0)-IFERROR(SUMIF(DB_Withdrawals!$A:$A,A175,DB_Withdrawals!$G:$G),0)),"")</f>
        <v/>
      </c>
      <c r="N175" s="39" t="str">
        <f>IFERROR(IF(A175="","",MAX(0,M175-System_Config!$B$9)),"")</f>
        <v/>
      </c>
    </row>
    <row r="176" spans="1:14" ht="19.5" customHeight="1" x14ac:dyDescent="0.25">
      <c r="A176" s="37" t="str">
        <f>'NEW ACCOUNT'!A177</f>
        <v/>
      </c>
      <c r="B176" s="38" t="str">
        <f>IF('NEW ACCOUNT'!A177="","",'NEW ACCOUNT'!B177)</f>
        <v/>
      </c>
      <c r="C176" s="38" t="str">
        <f>IF('NEW ACCOUNT'!A177="","",'NEW ACCOUNT'!C177)</f>
        <v/>
      </c>
      <c r="D176" s="38" t="str">
        <f>IF('NEW ACCOUNT'!A177="","",'NEW ACCOUNT'!D177)</f>
        <v/>
      </c>
      <c r="E176" s="38" t="str">
        <f>IF('NEW ACCOUNT'!A177="","",'NEW ACCOUNT'!E177)</f>
        <v/>
      </c>
      <c r="F176" s="38" t="str">
        <f>IF('NEW ACCOUNT'!A177="","",'NEW ACCOUNT'!F177)</f>
        <v/>
      </c>
      <c r="G176" s="38" t="str">
        <f>IF('NEW ACCOUNT'!A177="","",'NEW ACCOUNT'!G177)</f>
        <v/>
      </c>
      <c r="H176" s="38" t="str">
        <f>IF('NEW ACCOUNT'!A177="","",'NEW ACCOUNT'!H177)</f>
        <v/>
      </c>
      <c r="I176" s="38" t="str">
        <f>IF('NEW ACCOUNT'!A177="","",'NEW ACCOUNT'!I177)</f>
        <v/>
      </c>
      <c r="J176" s="38" t="str">
        <f>IF('NEW ACCOUNT'!A177="","",'NEW ACCOUNT'!J177)</f>
        <v/>
      </c>
      <c r="K176" s="39" t="str">
        <f>IFERROR(IF(A176="","",SUMIF(DB_Savings!$A:$A,A176,DB_Savings!$F:$F)),"")</f>
        <v/>
      </c>
      <c r="L176" s="39" t="str">
        <f>IFERROR(IF(A176="","",SUMIF(DB_Withdrawals!$A:$A,A176,DB_Withdrawals!$G:$G)),"")</f>
        <v/>
      </c>
      <c r="M176" s="39" t="str">
        <f>IFERROR(IF(A176="","",IFERROR(VALUE(H176),0)+IFERROR(SUMIF(DB_Savings!$A:$A,A176,DB_Savings!$F:$F),0)-IFERROR(SUMIF(DB_Withdrawals!$A:$A,A176,DB_Withdrawals!$G:$G),0)),"")</f>
        <v/>
      </c>
      <c r="N176" s="39" t="str">
        <f>IFERROR(IF(A176="","",MAX(0,M176-System_Config!$B$9)),"")</f>
        <v/>
      </c>
    </row>
    <row r="177" spans="1:14" ht="19.5" customHeight="1" x14ac:dyDescent="0.25">
      <c r="A177" s="37" t="str">
        <f>'NEW ACCOUNT'!A178</f>
        <v/>
      </c>
      <c r="B177" s="38" t="str">
        <f>IF('NEW ACCOUNT'!A178="","",'NEW ACCOUNT'!B178)</f>
        <v/>
      </c>
      <c r="C177" s="38" t="str">
        <f>IF('NEW ACCOUNT'!A178="","",'NEW ACCOUNT'!C178)</f>
        <v/>
      </c>
      <c r="D177" s="38" t="str">
        <f>IF('NEW ACCOUNT'!A178="","",'NEW ACCOUNT'!D178)</f>
        <v/>
      </c>
      <c r="E177" s="38" t="str">
        <f>IF('NEW ACCOUNT'!A178="","",'NEW ACCOUNT'!E178)</f>
        <v/>
      </c>
      <c r="F177" s="38" t="str">
        <f>IF('NEW ACCOUNT'!A178="","",'NEW ACCOUNT'!F178)</f>
        <v/>
      </c>
      <c r="G177" s="38" t="str">
        <f>IF('NEW ACCOUNT'!A178="","",'NEW ACCOUNT'!G178)</f>
        <v/>
      </c>
      <c r="H177" s="38" t="str">
        <f>IF('NEW ACCOUNT'!A178="","",'NEW ACCOUNT'!H178)</f>
        <v/>
      </c>
      <c r="I177" s="38" t="str">
        <f>IF('NEW ACCOUNT'!A178="","",'NEW ACCOUNT'!I178)</f>
        <v/>
      </c>
      <c r="J177" s="38" t="str">
        <f>IF('NEW ACCOUNT'!A178="","",'NEW ACCOUNT'!J178)</f>
        <v/>
      </c>
      <c r="K177" s="39" t="str">
        <f>IFERROR(IF(A177="","",SUMIF(DB_Savings!$A:$A,A177,DB_Savings!$F:$F)),"")</f>
        <v/>
      </c>
      <c r="L177" s="39" t="str">
        <f>IFERROR(IF(A177="","",SUMIF(DB_Withdrawals!$A:$A,A177,DB_Withdrawals!$G:$G)),"")</f>
        <v/>
      </c>
      <c r="M177" s="39" t="str">
        <f>IFERROR(IF(A177="","",IFERROR(VALUE(H177),0)+IFERROR(SUMIF(DB_Savings!$A:$A,A177,DB_Savings!$F:$F),0)-IFERROR(SUMIF(DB_Withdrawals!$A:$A,A177,DB_Withdrawals!$G:$G),0)),"")</f>
        <v/>
      </c>
      <c r="N177" s="39" t="str">
        <f>IFERROR(IF(A177="","",MAX(0,M177-System_Config!$B$9)),"")</f>
        <v/>
      </c>
    </row>
    <row r="178" spans="1:14" ht="19.5" customHeight="1" x14ac:dyDescent="0.25">
      <c r="A178" s="37" t="str">
        <f>'NEW ACCOUNT'!A179</f>
        <v/>
      </c>
      <c r="B178" s="38" t="str">
        <f>IF('NEW ACCOUNT'!A179="","",'NEW ACCOUNT'!B179)</f>
        <v/>
      </c>
      <c r="C178" s="38" t="str">
        <f>IF('NEW ACCOUNT'!A179="","",'NEW ACCOUNT'!C179)</f>
        <v/>
      </c>
      <c r="D178" s="38" t="str">
        <f>IF('NEW ACCOUNT'!A179="","",'NEW ACCOUNT'!D179)</f>
        <v/>
      </c>
      <c r="E178" s="38" t="str">
        <f>IF('NEW ACCOUNT'!A179="","",'NEW ACCOUNT'!E179)</f>
        <v/>
      </c>
      <c r="F178" s="38" t="str">
        <f>IF('NEW ACCOUNT'!A179="","",'NEW ACCOUNT'!F179)</f>
        <v/>
      </c>
      <c r="G178" s="38" t="str">
        <f>IF('NEW ACCOUNT'!A179="","",'NEW ACCOUNT'!G179)</f>
        <v/>
      </c>
      <c r="H178" s="38" t="str">
        <f>IF('NEW ACCOUNT'!A179="","",'NEW ACCOUNT'!H179)</f>
        <v/>
      </c>
      <c r="I178" s="38" t="str">
        <f>IF('NEW ACCOUNT'!A179="","",'NEW ACCOUNT'!I179)</f>
        <v/>
      </c>
      <c r="J178" s="38" t="str">
        <f>IF('NEW ACCOUNT'!A179="","",'NEW ACCOUNT'!J179)</f>
        <v/>
      </c>
      <c r="K178" s="39" t="str">
        <f>IFERROR(IF(A178="","",SUMIF(DB_Savings!$A:$A,A178,DB_Savings!$F:$F)),"")</f>
        <v/>
      </c>
      <c r="L178" s="39" t="str">
        <f>IFERROR(IF(A178="","",SUMIF(DB_Withdrawals!$A:$A,A178,DB_Withdrawals!$G:$G)),"")</f>
        <v/>
      </c>
      <c r="M178" s="39" t="str">
        <f>IFERROR(IF(A178="","",IFERROR(VALUE(H178),0)+IFERROR(SUMIF(DB_Savings!$A:$A,A178,DB_Savings!$F:$F),0)-IFERROR(SUMIF(DB_Withdrawals!$A:$A,A178,DB_Withdrawals!$G:$G),0)),"")</f>
        <v/>
      </c>
      <c r="N178" s="39" t="str">
        <f>IFERROR(IF(A178="","",MAX(0,M178-System_Config!$B$9)),"")</f>
        <v/>
      </c>
    </row>
    <row r="179" spans="1:14" ht="19.5" customHeight="1" x14ac:dyDescent="0.25">
      <c r="A179" s="37" t="str">
        <f>'NEW ACCOUNT'!A180</f>
        <v/>
      </c>
      <c r="B179" s="38" t="str">
        <f>IF('NEW ACCOUNT'!A180="","",'NEW ACCOUNT'!B180)</f>
        <v/>
      </c>
      <c r="C179" s="38" t="str">
        <f>IF('NEW ACCOUNT'!A180="","",'NEW ACCOUNT'!C180)</f>
        <v/>
      </c>
      <c r="D179" s="38" t="str">
        <f>IF('NEW ACCOUNT'!A180="","",'NEW ACCOUNT'!D180)</f>
        <v/>
      </c>
      <c r="E179" s="38" t="str">
        <f>IF('NEW ACCOUNT'!A180="","",'NEW ACCOUNT'!E180)</f>
        <v/>
      </c>
      <c r="F179" s="38" t="str">
        <f>IF('NEW ACCOUNT'!A180="","",'NEW ACCOUNT'!F180)</f>
        <v/>
      </c>
      <c r="G179" s="38" t="str">
        <f>IF('NEW ACCOUNT'!A180="","",'NEW ACCOUNT'!G180)</f>
        <v/>
      </c>
      <c r="H179" s="38" t="str">
        <f>IF('NEW ACCOUNT'!A180="","",'NEW ACCOUNT'!H180)</f>
        <v/>
      </c>
      <c r="I179" s="38" t="str">
        <f>IF('NEW ACCOUNT'!A180="","",'NEW ACCOUNT'!I180)</f>
        <v/>
      </c>
      <c r="J179" s="38" t="str">
        <f>IF('NEW ACCOUNT'!A180="","",'NEW ACCOUNT'!J180)</f>
        <v/>
      </c>
      <c r="K179" s="39" t="str">
        <f>IFERROR(IF(A179="","",SUMIF(DB_Savings!$A:$A,A179,DB_Savings!$F:$F)),"")</f>
        <v/>
      </c>
      <c r="L179" s="39" t="str">
        <f>IFERROR(IF(A179="","",SUMIF(DB_Withdrawals!$A:$A,A179,DB_Withdrawals!$G:$G)),"")</f>
        <v/>
      </c>
      <c r="M179" s="39" t="str">
        <f>IFERROR(IF(A179="","",IFERROR(VALUE(H179),0)+IFERROR(SUMIF(DB_Savings!$A:$A,A179,DB_Savings!$F:$F),0)-IFERROR(SUMIF(DB_Withdrawals!$A:$A,A179,DB_Withdrawals!$G:$G),0)),"")</f>
        <v/>
      </c>
      <c r="N179" s="39" t="str">
        <f>IFERROR(IF(A179="","",MAX(0,M179-System_Config!$B$9)),"")</f>
        <v/>
      </c>
    </row>
    <row r="180" spans="1:14" ht="19.5" customHeight="1" x14ac:dyDescent="0.25">
      <c r="A180" s="37" t="str">
        <f>'NEW ACCOUNT'!A181</f>
        <v/>
      </c>
      <c r="B180" s="38" t="str">
        <f>IF('NEW ACCOUNT'!A181="","",'NEW ACCOUNT'!B181)</f>
        <v/>
      </c>
      <c r="C180" s="38" t="str">
        <f>IF('NEW ACCOUNT'!A181="","",'NEW ACCOUNT'!C181)</f>
        <v/>
      </c>
      <c r="D180" s="38" t="str">
        <f>IF('NEW ACCOUNT'!A181="","",'NEW ACCOUNT'!D181)</f>
        <v/>
      </c>
      <c r="E180" s="38" t="str">
        <f>IF('NEW ACCOUNT'!A181="","",'NEW ACCOUNT'!E181)</f>
        <v/>
      </c>
      <c r="F180" s="38" t="str">
        <f>IF('NEW ACCOUNT'!A181="","",'NEW ACCOUNT'!F181)</f>
        <v/>
      </c>
      <c r="G180" s="38" t="str">
        <f>IF('NEW ACCOUNT'!A181="","",'NEW ACCOUNT'!G181)</f>
        <v/>
      </c>
      <c r="H180" s="38" t="str">
        <f>IF('NEW ACCOUNT'!A181="","",'NEW ACCOUNT'!H181)</f>
        <v/>
      </c>
      <c r="I180" s="38" t="str">
        <f>IF('NEW ACCOUNT'!A181="","",'NEW ACCOUNT'!I181)</f>
        <v/>
      </c>
      <c r="J180" s="38" t="str">
        <f>IF('NEW ACCOUNT'!A181="","",'NEW ACCOUNT'!J181)</f>
        <v/>
      </c>
      <c r="K180" s="39" t="str">
        <f>IFERROR(IF(A180="","",SUMIF(DB_Savings!$A:$A,A180,DB_Savings!$F:$F)),"")</f>
        <v/>
      </c>
      <c r="L180" s="39" t="str">
        <f>IFERROR(IF(A180="","",SUMIF(DB_Withdrawals!$A:$A,A180,DB_Withdrawals!$G:$G)),"")</f>
        <v/>
      </c>
      <c r="M180" s="39" t="str">
        <f>IFERROR(IF(A180="","",IFERROR(VALUE(H180),0)+IFERROR(SUMIF(DB_Savings!$A:$A,A180,DB_Savings!$F:$F),0)-IFERROR(SUMIF(DB_Withdrawals!$A:$A,A180,DB_Withdrawals!$G:$G),0)),"")</f>
        <v/>
      </c>
      <c r="N180" s="39" t="str">
        <f>IFERROR(IF(A180="","",MAX(0,M180-System_Config!$B$9)),"")</f>
        <v/>
      </c>
    </row>
    <row r="181" spans="1:14" ht="19.5" customHeight="1" x14ac:dyDescent="0.25">
      <c r="A181" s="37" t="str">
        <f>'NEW ACCOUNT'!A182</f>
        <v/>
      </c>
      <c r="B181" s="38" t="str">
        <f>IF('NEW ACCOUNT'!A182="","",'NEW ACCOUNT'!B182)</f>
        <v/>
      </c>
      <c r="C181" s="38" t="str">
        <f>IF('NEW ACCOUNT'!A182="","",'NEW ACCOUNT'!C182)</f>
        <v/>
      </c>
      <c r="D181" s="38" t="str">
        <f>IF('NEW ACCOUNT'!A182="","",'NEW ACCOUNT'!D182)</f>
        <v/>
      </c>
      <c r="E181" s="38" t="str">
        <f>IF('NEW ACCOUNT'!A182="","",'NEW ACCOUNT'!E182)</f>
        <v/>
      </c>
      <c r="F181" s="38" t="str">
        <f>IF('NEW ACCOUNT'!A182="","",'NEW ACCOUNT'!F182)</f>
        <v/>
      </c>
      <c r="G181" s="38" t="str">
        <f>IF('NEW ACCOUNT'!A182="","",'NEW ACCOUNT'!G182)</f>
        <v/>
      </c>
      <c r="H181" s="38" t="str">
        <f>IF('NEW ACCOUNT'!A182="","",'NEW ACCOUNT'!H182)</f>
        <v/>
      </c>
      <c r="I181" s="38" t="str">
        <f>IF('NEW ACCOUNT'!A182="","",'NEW ACCOUNT'!I182)</f>
        <v/>
      </c>
      <c r="J181" s="38" t="str">
        <f>IF('NEW ACCOUNT'!A182="","",'NEW ACCOUNT'!J182)</f>
        <v/>
      </c>
      <c r="K181" s="39" t="str">
        <f>IFERROR(IF(A181="","",SUMIF(DB_Savings!$A:$A,A181,DB_Savings!$F:$F)),"")</f>
        <v/>
      </c>
      <c r="L181" s="39" t="str">
        <f>IFERROR(IF(A181="","",SUMIF(DB_Withdrawals!$A:$A,A181,DB_Withdrawals!$G:$G)),"")</f>
        <v/>
      </c>
      <c r="M181" s="39" t="str">
        <f>IFERROR(IF(A181="","",IFERROR(VALUE(H181),0)+IFERROR(SUMIF(DB_Savings!$A:$A,A181,DB_Savings!$F:$F),0)-IFERROR(SUMIF(DB_Withdrawals!$A:$A,A181,DB_Withdrawals!$G:$G),0)),"")</f>
        <v/>
      </c>
      <c r="N181" s="39" t="str">
        <f>IFERROR(IF(A181="","",MAX(0,M181-System_Config!$B$9)),"")</f>
        <v/>
      </c>
    </row>
    <row r="182" spans="1:14" ht="19.5" customHeight="1" x14ac:dyDescent="0.25">
      <c r="A182" s="37" t="str">
        <f>'NEW ACCOUNT'!A183</f>
        <v/>
      </c>
      <c r="B182" s="38" t="str">
        <f>IF('NEW ACCOUNT'!A183="","",'NEW ACCOUNT'!B183)</f>
        <v/>
      </c>
      <c r="C182" s="38" t="str">
        <f>IF('NEW ACCOUNT'!A183="","",'NEW ACCOUNT'!C183)</f>
        <v/>
      </c>
      <c r="D182" s="38" t="str">
        <f>IF('NEW ACCOUNT'!A183="","",'NEW ACCOUNT'!D183)</f>
        <v/>
      </c>
      <c r="E182" s="38" t="str">
        <f>IF('NEW ACCOUNT'!A183="","",'NEW ACCOUNT'!E183)</f>
        <v/>
      </c>
      <c r="F182" s="38" t="str">
        <f>IF('NEW ACCOUNT'!A183="","",'NEW ACCOUNT'!F183)</f>
        <v/>
      </c>
      <c r="G182" s="38" t="str">
        <f>IF('NEW ACCOUNT'!A183="","",'NEW ACCOUNT'!G183)</f>
        <v/>
      </c>
      <c r="H182" s="38" t="str">
        <f>IF('NEW ACCOUNT'!A183="","",'NEW ACCOUNT'!H183)</f>
        <v/>
      </c>
      <c r="I182" s="38" t="str">
        <f>IF('NEW ACCOUNT'!A183="","",'NEW ACCOUNT'!I183)</f>
        <v/>
      </c>
      <c r="J182" s="38" t="str">
        <f>IF('NEW ACCOUNT'!A183="","",'NEW ACCOUNT'!J183)</f>
        <v/>
      </c>
      <c r="K182" s="39" t="str">
        <f>IFERROR(IF(A182="","",SUMIF(DB_Savings!$A:$A,A182,DB_Savings!$F:$F)),"")</f>
        <v/>
      </c>
      <c r="L182" s="39" t="str">
        <f>IFERROR(IF(A182="","",SUMIF(DB_Withdrawals!$A:$A,A182,DB_Withdrawals!$G:$G)),"")</f>
        <v/>
      </c>
      <c r="M182" s="39" t="str">
        <f>IFERROR(IF(A182="","",IFERROR(VALUE(H182),0)+IFERROR(SUMIF(DB_Savings!$A:$A,A182,DB_Savings!$F:$F),0)-IFERROR(SUMIF(DB_Withdrawals!$A:$A,A182,DB_Withdrawals!$G:$G),0)),"")</f>
        <v/>
      </c>
      <c r="N182" s="39" t="str">
        <f>IFERROR(IF(A182="","",MAX(0,M182-System_Config!$B$9)),"")</f>
        <v/>
      </c>
    </row>
    <row r="183" spans="1:14" ht="19.5" customHeight="1" x14ac:dyDescent="0.25">
      <c r="A183" s="37" t="str">
        <f>'NEW ACCOUNT'!A184</f>
        <v/>
      </c>
      <c r="B183" s="38" t="str">
        <f>IF('NEW ACCOUNT'!A184="","",'NEW ACCOUNT'!B184)</f>
        <v/>
      </c>
      <c r="C183" s="38" t="str">
        <f>IF('NEW ACCOUNT'!A184="","",'NEW ACCOUNT'!C184)</f>
        <v/>
      </c>
      <c r="D183" s="38" t="str">
        <f>IF('NEW ACCOUNT'!A184="","",'NEW ACCOUNT'!D184)</f>
        <v/>
      </c>
      <c r="E183" s="38" t="str">
        <f>IF('NEW ACCOUNT'!A184="","",'NEW ACCOUNT'!E184)</f>
        <v/>
      </c>
      <c r="F183" s="38" t="str">
        <f>IF('NEW ACCOUNT'!A184="","",'NEW ACCOUNT'!F184)</f>
        <v/>
      </c>
      <c r="G183" s="38" t="str">
        <f>IF('NEW ACCOUNT'!A184="","",'NEW ACCOUNT'!G184)</f>
        <v/>
      </c>
      <c r="H183" s="38" t="str">
        <f>IF('NEW ACCOUNT'!A184="","",'NEW ACCOUNT'!H184)</f>
        <v/>
      </c>
      <c r="I183" s="38" t="str">
        <f>IF('NEW ACCOUNT'!A184="","",'NEW ACCOUNT'!I184)</f>
        <v/>
      </c>
      <c r="J183" s="38" t="str">
        <f>IF('NEW ACCOUNT'!A184="","",'NEW ACCOUNT'!J184)</f>
        <v/>
      </c>
      <c r="K183" s="39" t="str">
        <f>IFERROR(IF(A183="","",SUMIF(DB_Savings!$A:$A,A183,DB_Savings!$F:$F)),"")</f>
        <v/>
      </c>
      <c r="L183" s="39" t="str">
        <f>IFERROR(IF(A183="","",SUMIF(DB_Withdrawals!$A:$A,A183,DB_Withdrawals!$G:$G)),"")</f>
        <v/>
      </c>
      <c r="M183" s="39" t="str">
        <f>IFERROR(IF(A183="","",IFERROR(VALUE(H183),0)+IFERROR(SUMIF(DB_Savings!$A:$A,A183,DB_Savings!$F:$F),0)-IFERROR(SUMIF(DB_Withdrawals!$A:$A,A183,DB_Withdrawals!$G:$G),0)),"")</f>
        <v/>
      </c>
      <c r="N183" s="39" t="str">
        <f>IFERROR(IF(A183="","",MAX(0,M183-System_Config!$B$9)),"")</f>
        <v/>
      </c>
    </row>
    <row r="184" spans="1:14" ht="19.5" customHeight="1" x14ac:dyDescent="0.25">
      <c r="A184" s="37" t="str">
        <f>'NEW ACCOUNT'!A185</f>
        <v/>
      </c>
      <c r="B184" s="38" t="str">
        <f>IF('NEW ACCOUNT'!A185="","",'NEW ACCOUNT'!B185)</f>
        <v/>
      </c>
      <c r="C184" s="38" t="str">
        <f>IF('NEW ACCOUNT'!A185="","",'NEW ACCOUNT'!C185)</f>
        <v/>
      </c>
      <c r="D184" s="38" t="str">
        <f>IF('NEW ACCOUNT'!A185="","",'NEW ACCOUNT'!D185)</f>
        <v/>
      </c>
      <c r="E184" s="38" t="str">
        <f>IF('NEW ACCOUNT'!A185="","",'NEW ACCOUNT'!E185)</f>
        <v/>
      </c>
      <c r="F184" s="38" t="str">
        <f>IF('NEW ACCOUNT'!A185="","",'NEW ACCOUNT'!F185)</f>
        <v/>
      </c>
      <c r="G184" s="38" t="str">
        <f>IF('NEW ACCOUNT'!A185="","",'NEW ACCOUNT'!G185)</f>
        <v/>
      </c>
      <c r="H184" s="38" t="str">
        <f>IF('NEW ACCOUNT'!A185="","",'NEW ACCOUNT'!H185)</f>
        <v/>
      </c>
      <c r="I184" s="38" t="str">
        <f>IF('NEW ACCOUNT'!A185="","",'NEW ACCOUNT'!I185)</f>
        <v/>
      </c>
      <c r="J184" s="38" t="str">
        <f>IF('NEW ACCOUNT'!A185="","",'NEW ACCOUNT'!J185)</f>
        <v/>
      </c>
      <c r="K184" s="39" t="str">
        <f>IFERROR(IF(A184="","",SUMIF(DB_Savings!$A:$A,A184,DB_Savings!$F:$F)),"")</f>
        <v/>
      </c>
      <c r="L184" s="39" t="str">
        <f>IFERROR(IF(A184="","",SUMIF(DB_Withdrawals!$A:$A,A184,DB_Withdrawals!$G:$G)),"")</f>
        <v/>
      </c>
      <c r="M184" s="39" t="str">
        <f>IFERROR(IF(A184="","",IFERROR(VALUE(H184),0)+IFERROR(SUMIF(DB_Savings!$A:$A,A184,DB_Savings!$F:$F),0)-IFERROR(SUMIF(DB_Withdrawals!$A:$A,A184,DB_Withdrawals!$G:$G),0)),"")</f>
        <v/>
      </c>
      <c r="N184" s="39" t="str">
        <f>IFERROR(IF(A184="","",MAX(0,M184-System_Config!$B$9)),"")</f>
        <v/>
      </c>
    </row>
    <row r="185" spans="1:14" ht="19.5" customHeight="1" x14ac:dyDescent="0.25">
      <c r="A185" s="37" t="str">
        <f>'NEW ACCOUNT'!A186</f>
        <v/>
      </c>
      <c r="B185" s="38" t="str">
        <f>IF('NEW ACCOUNT'!A186="","",'NEW ACCOUNT'!B186)</f>
        <v/>
      </c>
      <c r="C185" s="38" t="str">
        <f>IF('NEW ACCOUNT'!A186="","",'NEW ACCOUNT'!C186)</f>
        <v/>
      </c>
      <c r="D185" s="38" t="str">
        <f>IF('NEW ACCOUNT'!A186="","",'NEW ACCOUNT'!D186)</f>
        <v/>
      </c>
      <c r="E185" s="38" t="str">
        <f>IF('NEW ACCOUNT'!A186="","",'NEW ACCOUNT'!E186)</f>
        <v/>
      </c>
      <c r="F185" s="38" t="str">
        <f>IF('NEW ACCOUNT'!A186="","",'NEW ACCOUNT'!F186)</f>
        <v/>
      </c>
      <c r="G185" s="38" t="str">
        <f>IF('NEW ACCOUNT'!A186="","",'NEW ACCOUNT'!G186)</f>
        <v/>
      </c>
      <c r="H185" s="38" t="str">
        <f>IF('NEW ACCOUNT'!A186="","",'NEW ACCOUNT'!H186)</f>
        <v/>
      </c>
      <c r="I185" s="38" t="str">
        <f>IF('NEW ACCOUNT'!A186="","",'NEW ACCOUNT'!I186)</f>
        <v/>
      </c>
      <c r="J185" s="38" t="str">
        <f>IF('NEW ACCOUNT'!A186="","",'NEW ACCOUNT'!J186)</f>
        <v/>
      </c>
      <c r="K185" s="39" t="str">
        <f>IFERROR(IF(A185="","",SUMIF(DB_Savings!$A:$A,A185,DB_Savings!$F:$F)),"")</f>
        <v/>
      </c>
      <c r="L185" s="39" t="str">
        <f>IFERROR(IF(A185="","",SUMIF(DB_Withdrawals!$A:$A,A185,DB_Withdrawals!$G:$G)),"")</f>
        <v/>
      </c>
      <c r="M185" s="39" t="str">
        <f>IFERROR(IF(A185="","",IFERROR(VALUE(H185),0)+IFERROR(SUMIF(DB_Savings!$A:$A,A185,DB_Savings!$F:$F),0)-IFERROR(SUMIF(DB_Withdrawals!$A:$A,A185,DB_Withdrawals!$G:$G),0)),"")</f>
        <v/>
      </c>
      <c r="N185" s="39" t="str">
        <f>IFERROR(IF(A185="","",MAX(0,M185-System_Config!$B$9)),"")</f>
        <v/>
      </c>
    </row>
    <row r="186" spans="1:14" ht="19.5" customHeight="1" x14ac:dyDescent="0.25">
      <c r="A186" s="37" t="str">
        <f>'NEW ACCOUNT'!A187</f>
        <v/>
      </c>
      <c r="B186" s="38" t="str">
        <f>IF('NEW ACCOUNT'!A187="","",'NEW ACCOUNT'!B187)</f>
        <v/>
      </c>
      <c r="C186" s="38" t="str">
        <f>IF('NEW ACCOUNT'!A187="","",'NEW ACCOUNT'!C187)</f>
        <v/>
      </c>
      <c r="D186" s="38" t="str">
        <f>IF('NEW ACCOUNT'!A187="","",'NEW ACCOUNT'!D187)</f>
        <v/>
      </c>
      <c r="E186" s="38" t="str">
        <f>IF('NEW ACCOUNT'!A187="","",'NEW ACCOUNT'!E187)</f>
        <v/>
      </c>
      <c r="F186" s="38" t="str">
        <f>IF('NEW ACCOUNT'!A187="","",'NEW ACCOUNT'!F187)</f>
        <v/>
      </c>
      <c r="G186" s="38" t="str">
        <f>IF('NEW ACCOUNT'!A187="","",'NEW ACCOUNT'!G187)</f>
        <v/>
      </c>
      <c r="H186" s="38" t="str">
        <f>IF('NEW ACCOUNT'!A187="","",'NEW ACCOUNT'!H187)</f>
        <v/>
      </c>
      <c r="I186" s="38" t="str">
        <f>IF('NEW ACCOUNT'!A187="","",'NEW ACCOUNT'!I187)</f>
        <v/>
      </c>
      <c r="J186" s="38" t="str">
        <f>IF('NEW ACCOUNT'!A187="","",'NEW ACCOUNT'!J187)</f>
        <v/>
      </c>
      <c r="K186" s="39" t="str">
        <f>IFERROR(IF(A186="","",SUMIF(DB_Savings!$A:$A,A186,DB_Savings!$F:$F)),"")</f>
        <v/>
      </c>
      <c r="L186" s="39" t="str">
        <f>IFERROR(IF(A186="","",SUMIF(DB_Withdrawals!$A:$A,A186,DB_Withdrawals!$G:$G)),"")</f>
        <v/>
      </c>
      <c r="M186" s="39" t="str">
        <f>IFERROR(IF(A186="","",IFERROR(VALUE(H186),0)+IFERROR(SUMIF(DB_Savings!$A:$A,A186,DB_Savings!$F:$F),0)-IFERROR(SUMIF(DB_Withdrawals!$A:$A,A186,DB_Withdrawals!$G:$G),0)),"")</f>
        <v/>
      </c>
      <c r="N186" s="39" t="str">
        <f>IFERROR(IF(A186="","",MAX(0,M186-System_Config!$B$9)),"")</f>
        <v/>
      </c>
    </row>
    <row r="187" spans="1:14" ht="19.5" customHeight="1" x14ac:dyDescent="0.25">
      <c r="A187" s="37" t="str">
        <f>'NEW ACCOUNT'!A188</f>
        <v/>
      </c>
      <c r="B187" s="38" t="str">
        <f>IF('NEW ACCOUNT'!A188="","",'NEW ACCOUNT'!B188)</f>
        <v/>
      </c>
      <c r="C187" s="38" t="str">
        <f>IF('NEW ACCOUNT'!A188="","",'NEW ACCOUNT'!C188)</f>
        <v/>
      </c>
      <c r="D187" s="38" t="str">
        <f>IF('NEW ACCOUNT'!A188="","",'NEW ACCOUNT'!D188)</f>
        <v/>
      </c>
      <c r="E187" s="38" t="str">
        <f>IF('NEW ACCOUNT'!A188="","",'NEW ACCOUNT'!E188)</f>
        <v/>
      </c>
      <c r="F187" s="38" t="str">
        <f>IF('NEW ACCOUNT'!A188="","",'NEW ACCOUNT'!F188)</f>
        <v/>
      </c>
      <c r="G187" s="38" t="str">
        <f>IF('NEW ACCOUNT'!A188="","",'NEW ACCOUNT'!G188)</f>
        <v/>
      </c>
      <c r="H187" s="38" t="str">
        <f>IF('NEW ACCOUNT'!A188="","",'NEW ACCOUNT'!H188)</f>
        <v/>
      </c>
      <c r="I187" s="38" t="str">
        <f>IF('NEW ACCOUNT'!A188="","",'NEW ACCOUNT'!I188)</f>
        <v/>
      </c>
      <c r="J187" s="38" t="str">
        <f>IF('NEW ACCOUNT'!A188="","",'NEW ACCOUNT'!J188)</f>
        <v/>
      </c>
      <c r="K187" s="39" t="str">
        <f>IFERROR(IF(A187="","",SUMIF(DB_Savings!$A:$A,A187,DB_Savings!$F:$F)),"")</f>
        <v/>
      </c>
      <c r="L187" s="39" t="str">
        <f>IFERROR(IF(A187="","",SUMIF(DB_Withdrawals!$A:$A,A187,DB_Withdrawals!$G:$G)),"")</f>
        <v/>
      </c>
      <c r="M187" s="39" t="str">
        <f>IFERROR(IF(A187="","",IFERROR(VALUE(H187),0)+IFERROR(SUMIF(DB_Savings!$A:$A,A187,DB_Savings!$F:$F),0)-IFERROR(SUMIF(DB_Withdrawals!$A:$A,A187,DB_Withdrawals!$G:$G),0)),"")</f>
        <v/>
      </c>
      <c r="N187" s="39" t="str">
        <f>IFERROR(IF(A187="","",MAX(0,M187-System_Config!$B$9)),"")</f>
        <v/>
      </c>
    </row>
    <row r="188" spans="1:14" ht="19.5" customHeight="1" x14ac:dyDescent="0.25">
      <c r="A188" s="37" t="str">
        <f>'NEW ACCOUNT'!A189</f>
        <v/>
      </c>
      <c r="B188" s="38" t="str">
        <f>IF('NEW ACCOUNT'!A189="","",'NEW ACCOUNT'!B189)</f>
        <v/>
      </c>
      <c r="C188" s="38" t="str">
        <f>IF('NEW ACCOUNT'!A189="","",'NEW ACCOUNT'!C189)</f>
        <v/>
      </c>
      <c r="D188" s="38" t="str">
        <f>IF('NEW ACCOUNT'!A189="","",'NEW ACCOUNT'!D189)</f>
        <v/>
      </c>
      <c r="E188" s="38" t="str">
        <f>IF('NEW ACCOUNT'!A189="","",'NEW ACCOUNT'!E189)</f>
        <v/>
      </c>
      <c r="F188" s="38" t="str">
        <f>IF('NEW ACCOUNT'!A189="","",'NEW ACCOUNT'!F189)</f>
        <v/>
      </c>
      <c r="G188" s="38" t="str">
        <f>IF('NEW ACCOUNT'!A189="","",'NEW ACCOUNT'!G189)</f>
        <v/>
      </c>
      <c r="H188" s="38" t="str">
        <f>IF('NEW ACCOUNT'!A189="","",'NEW ACCOUNT'!H189)</f>
        <v/>
      </c>
      <c r="I188" s="38" t="str">
        <f>IF('NEW ACCOUNT'!A189="","",'NEW ACCOUNT'!I189)</f>
        <v/>
      </c>
      <c r="J188" s="38" t="str">
        <f>IF('NEW ACCOUNT'!A189="","",'NEW ACCOUNT'!J189)</f>
        <v/>
      </c>
      <c r="K188" s="39" t="str">
        <f>IFERROR(IF(A188="","",SUMIF(DB_Savings!$A:$A,A188,DB_Savings!$F:$F)),"")</f>
        <v/>
      </c>
      <c r="L188" s="39" t="str">
        <f>IFERROR(IF(A188="","",SUMIF(DB_Withdrawals!$A:$A,A188,DB_Withdrawals!$G:$G)),"")</f>
        <v/>
      </c>
      <c r="M188" s="39" t="str">
        <f>IFERROR(IF(A188="","",IFERROR(VALUE(H188),0)+IFERROR(SUMIF(DB_Savings!$A:$A,A188,DB_Savings!$F:$F),0)-IFERROR(SUMIF(DB_Withdrawals!$A:$A,A188,DB_Withdrawals!$G:$G),0)),"")</f>
        <v/>
      </c>
      <c r="N188" s="39" t="str">
        <f>IFERROR(IF(A188="","",MAX(0,M188-System_Config!$B$9)),"")</f>
        <v/>
      </c>
    </row>
    <row r="189" spans="1:14" ht="19.5" customHeight="1" x14ac:dyDescent="0.25">
      <c r="A189" s="37" t="str">
        <f>'NEW ACCOUNT'!A190</f>
        <v/>
      </c>
      <c r="B189" s="38" t="str">
        <f>IF('NEW ACCOUNT'!A190="","",'NEW ACCOUNT'!B190)</f>
        <v/>
      </c>
      <c r="C189" s="38" t="str">
        <f>IF('NEW ACCOUNT'!A190="","",'NEW ACCOUNT'!C190)</f>
        <v/>
      </c>
      <c r="D189" s="38" t="str">
        <f>IF('NEW ACCOUNT'!A190="","",'NEW ACCOUNT'!D190)</f>
        <v/>
      </c>
      <c r="E189" s="38" t="str">
        <f>IF('NEW ACCOUNT'!A190="","",'NEW ACCOUNT'!E190)</f>
        <v/>
      </c>
      <c r="F189" s="38" t="str">
        <f>IF('NEW ACCOUNT'!A190="","",'NEW ACCOUNT'!F190)</f>
        <v/>
      </c>
      <c r="G189" s="38" t="str">
        <f>IF('NEW ACCOUNT'!A190="","",'NEW ACCOUNT'!G190)</f>
        <v/>
      </c>
      <c r="H189" s="38" t="str">
        <f>IF('NEW ACCOUNT'!A190="","",'NEW ACCOUNT'!H190)</f>
        <v/>
      </c>
      <c r="I189" s="38" t="str">
        <f>IF('NEW ACCOUNT'!A190="","",'NEW ACCOUNT'!I190)</f>
        <v/>
      </c>
      <c r="J189" s="38" t="str">
        <f>IF('NEW ACCOUNT'!A190="","",'NEW ACCOUNT'!J190)</f>
        <v/>
      </c>
      <c r="K189" s="39" t="str">
        <f>IFERROR(IF(A189="","",SUMIF(DB_Savings!$A:$A,A189,DB_Savings!$F:$F)),"")</f>
        <v/>
      </c>
      <c r="L189" s="39" t="str">
        <f>IFERROR(IF(A189="","",SUMIF(DB_Withdrawals!$A:$A,A189,DB_Withdrawals!$G:$G)),"")</f>
        <v/>
      </c>
      <c r="M189" s="39" t="str">
        <f>IFERROR(IF(A189="","",IFERROR(VALUE(H189),0)+IFERROR(SUMIF(DB_Savings!$A:$A,A189,DB_Savings!$F:$F),0)-IFERROR(SUMIF(DB_Withdrawals!$A:$A,A189,DB_Withdrawals!$G:$G),0)),"")</f>
        <v/>
      </c>
      <c r="N189" s="39" t="str">
        <f>IFERROR(IF(A189="","",MAX(0,M189-System_Config!$B$9)),"")</f>
        <v/>
      </c>
    </row>
    <row r="190" spans="1:14" ht="19.5" customHeight="1" x14ac:dyDescent="0.25">
      <c r="A190" s="37" t="str">
        <f>'NEW ACCOUNT'!A191</f>
        <v/>
      </c>
      <c r="B190" s="38" t="str">
        <f>IF('NEW ACCOUNT'!A191="","",'NEW ACCOUNT'!B191)</f>
        <v/>
      </c>
      <c r="C190" s="38" t="str">
        <f>IF('NEW ACCOUNT'!A191="","",'NEW ACCOUNT'!C191)</f>
        <v/>
      </c>
      <c r="D190" s="38" t="str">
        <f>IF('NEW ACCOUNT'!A191="","",'NEW ACCOUNT'!D191)</f>
        <v/>
      </c>
      <c r="E190" s="38" t="str">
        <f>IF('NEW ACCOUNT'!A191="","",'NEW ACCOUNT'!E191)</f>
        <v/>
      </c>
      <c r="F190" s="38" t="str">
        <f>IF('NEW ACCOUNT'!A191="","",'NEW ACCOUNT'!F191)</f>
        <v/>
      </c>
      <c r="G190" s="38" t="str">
        <f>IF('NEW ACCOUNT'!A191="","",'NEW ACCOUNT'!G191)</f>
        <v/>
      </c>
      <c r="H190" s="38" t="str">
        <f>IF('NEW ACCOUNT'!A191="","",'NEW ACCOUNT'!H191)</f>
        <v/>
      </c>
      <c r="I190" s="38" t="str">
        <f>IF('NEW ACCOUNT'!A191="","",'NEW ACCOUNT'!I191)</f>
        <v/>
      </c>
      <c r="J190" s="38" t="str">
        <f>IF('NEW ACCOUNT'!A191="","",'NEW ACCOUNT'!J191)</f>
        <v/>
      </c>
      <c r="K190" s="39" t="str">
        <f>IFERROR(IF(A190="","",SUMIF(DB_Savings!$A:$A,A190,DB_Savings!$F:$F)),"")</f>
        <v/>
      </c>
      <c r="L190" s="39" t="str">
        <f>IFERROR(IF(A190="","",SUMIF(DB_Withdrawals!$A:$A,A190,DB_Withdrawals!$G:$G)),"")</f>
        <v/>
      </c>
      <c r="M190" s="39" t="str">
        <f>IFERROR(IF(A190="","",IFERROR(VALUE(H190),0)+IFERROR(SUMIF(DB_Savings!$A:$A,A190,DB_Savings!$F:$F),0)-IFERROR(SUMIF(DB_Withdrawals!$A:$A,A190,DB_Withdrawals!$G:$G),0)),"")</f>
        <v/>
      </c>
      <c r="N190" s="39" t="str">
        <f>IFERROR(IF(A190="","",MAX(0,M190-System_Config!$B$9)),"")</f>
        <v/>
      </c>
    </row>
    <row r="191" spans="1:14" ht="19.5" customHeight="1" x14ac:dyDescent="0.25">
      <c r="A191" s="37" t="str">
        <f>'NEW ACCOUNT'!A192</f>
        <v/>
      </c>
      <c r="B191" s="38" t="str">
        <f>IF('NEW ACCOUNT'!A192="","",'NEW ACCOUNT'!B192)</f>
        <v/>
      </c>
      <c r="C191" s="38" t="str">
        <f>IF('NEW ACCOUNT'!A192="","",'NEW ACCOUNT'!C192)</f>
        <v/>
      </c>
      <c r="D191" s="38" t="str">
        <f>IF('NEW ACCOUNT'!A192="","",'NEW ACCOUNT'!D192)</f>
        <v/>
      </c>
      <c r="E191" s="38" t="str">
        <f>IF('NEW ACCOUNT'!A192="","",'NEW ACCOUNT'!E192)</f>
        <v/>
      </c>
      <c r="F191" s="38" t="str">
        <f>IF('NEW ACCOUNT'!A192="","",'NEW ACCOUNT'!F192)</f>
        <v/>
      </c>
      <c r="G191" s="38" t="str">
        <f>IF('NEW ACCOUNT'!A192="","",'NEW ACCOUNT'!G192)</f>
        <v/>
      </c>
      <c r="H191" s="38" t="str">
        <f>IF('NEW ACCOUNT'!A192="","",'NEW ACCOUNT'!H192)</f>
        <v/>
      </c>
      <c r="I191" s="38" t="str">
        <f>IF('NEW ACCOUNT'!A192="","",'NEW ACCOUNT'!I192)</f>
        <v/>
      </c>
      <c r="J191" s="38" t="str">
        <f>IF('NEW ACCOUNT'!A192="","",'NEW ACCOUNT'!J192)</f>
        <v/>
      </c>
      <c r="K191" s="39" t="str">
        <f>IFERROR(IF(A191="","",SUMIF(DB_Savings!$A:$A,A191,DB_Savings!$F:$F)),"")</f>
        <v/>
      </c>
      <c r="L191" s="39" t="str">
        <f>IFERROR(IF(A191="","",SUMIF(DB_Withdrawals!$A:$A,A191,DB_Withdrawals!$G:$G)),"")</f>
        <v/>
      </c>
      <c r="M191" s="39" t="str">
        <f>IFERROR(IF(A191="","",IFERROR(VALUE(H191),0)+IFERROR(SUMIF(DB_Savings!$A:$A,A191,DB_Savings!$F:$F),0)-IFERROR(SUMIF(DB_Withdrawals!$A:$A,A191,DB_Withdrawals!$G:$G),0)),"")</f>
        <v/>
      </c>
      <c r="N191" s="39" t="str">
        <f>IFERROR(IF(A191="","",MAX(0,M191-System_Config!$B$9)),"")</f>
        <v/>
      </c>
    </row>
    <row r="192" spans="1:14" ht="19.5" customHeight="1" x14ac:dyDescent="0.25">
      <c r="A192" s="37" t="str">
        <f>'NEW ACCOUNT'!A193</f>
        <v/>
      </c>
      <c r="B192" s="38" t="str">
        <f>IF('NEW ACCOUNT'!A193="","",'NEW ACCOUNT'!B193)</f>
        <v/>
      </c>
      <c r="C192" s="38" t="str">
        <f>IF('NEW ACCOUNT'!A193="","",'NEW ACCOUNT'!C193)</f>
        <v/>
      </c>
      <c r="D192" s="38" t="str">
        <f>IF('NEW ACCOUNT'!A193="","",'NEW ACCOUNT'!D193)</f>
        <v/>
      </c>
      <c r="E192" s="38" t="str">
        <f>IF('NEW ACCOUNT'!A193="","",'NEW ACCOUNT'!E193)</f>
        <v/>
      </c>
      <c r="F192" s="38" t="str">
        <f>IF('NEW ACCOUNT'!A193="","",'NEW ACCOUNT'!F193)</f>
        <v/>
      </c>
      <c r="G192" s="38" t="str">
        <f>IF('NEW ACCOUNT'!A193="","",'NEW ACCOUNT'!G193)</f>
        <v/>
      </c>
      <c r="H192" s="38" t="str">
        <f>IF('NEW ACCOUNT'!A193="","",'NEW ACCOUNT'!H193)</f>
        <v/>
      </c>
      <c r="I192" s="38" t="str">
        <f>IF('NEW ACCOUNT'!A193="","",'NEW ACCOUNT'!I193)</f>
        <v/>
      </c>
      <c r="J192" s="38" t="str">
        <f>IF('NEW ACCOUNT'!A193="","",'NEW ACCOUNT'!J193)</f>
        <v/>
      </c>
      <c r="K192" s="39" t="str">
        <f>IFERROR(IF(A192="","",SUMIF(DB_Savings!$A:$A,A192,DB_Savings!$F:$F)),"")</f>
        <v/>
      </c>
      <c r="L192" s="39" t="str">
        <f>IFERROR(IF(A192="","",SUMIF(DB_Withdrawals!$A:$A,A192,DB_Withdrawals!$G:$G)),"")</f>
        <v/>
      </c>
      <c r="M192" s="39" t="str">
        <f>IFERROR(IF(A192="","",IFERROR(VALUE(H192),0)+IFERROR(SUMIF(DB_Savings!$A:$A,A192,DB_Savings!$F:$F),0)-IFERROR(SUMIF(DB_Withdrawals!$A:$A,A192,DB_Withdrawals!$G:$G),0)),"")</f>
        <v/>
      </c>
      <c r="N192" s="39" t="str">
        <f>IFERROR(IF(A192="","",MAX(0,M192-System_Config!$B$9)),"")</f>
        <v/>
      </c>
    </row>
    <row r="193" spans="1:14" ht="19.5" customHeight="1" x14ac:dyDescent="0.25">
      <c r="A193" s="37" t="str">
        <f>'NEW ACCOUNT'!A194</f>
        <v/>
      </c>
      <c r="B193" s="38" t="str">
        <f>IF('NEW ACCOUNT'!A194="","",'NEW ACCOUNT'!B194)</f>
        <v/>
      </c>
      <c r="C193" s="38" t="str">
        <f>IF('NEW ACCOUNT'!A194="","",'NEW ACCOUNT'!C194)</f>
        <v/>
      </c>
      <c r="D193" s="38" t="str">
        <f>IF('NEW ACCOUNT'!A194="","",'NEW ACCOUNT'!D194)</f>
        <v/>
      </c>
      <c r="E193" s="38" t="str">
        <f>IF('NEW ACCOUNT'!A194="","",'NEW ACCOUNT'!E194)</f>
        <v/>
      </c>
      <c r="F193" s="38" t="str">
        <f>IF('NEW ACCOUNT'!A194="","",'NEW ACCOUNT'!F194)</f>
        <v/>
      </c>
      <c r="G193" s="38" t="str">
        <f>IF('NEW ACCOUNT'!A194="","",'NEW ACCOUNT'!G194)</f>
        <v/>
      </c>
      <c r="H193" s="38" t="str">
        <f>IF('NEW ACCOUNT'!A194="","",'NEW ACCOUNT'!H194)</f>
        <v/>
      </c>
      <c r="I193" s="38" t="str">
        <f>IF('NEW ACCOUNT'!A194="","",'NEW ACCOUNT'!I194)</f>
        <v/>
      </c>
      <c r="J193" s="38" t="str">
        <f>IF('NEW ACCOUNT'!A194="","",'NEW ACCOUNT'!J194)</f>
        <v/>
      </c>
      <c r="K193" s="39" t="str">
        <f>IFERROR(IF(A193="","",SUMIF(DB_Savings!$A:$A,A193,DB_Savings!$F:$F)),"")</f>
        <v/>
      </c>
      <c r="L193" s="39" t="str">
        <f>IFERROR(IF(A193="","",SUMIF(DB_Withdrawals!$A:$A,A193,DB_Withdrawals!$G:$G)),"")</f>
        <v/>
      </c>
      <c r="M193" s="39" t="str">
        <f>IFERROR(IF(A193="","",IFERROR(VALUE(H193),0)+IFERROR(SUMIF(DB_Savings!$A:$A,A193,DB_Savings!$F:$F),0)-IFERROR(SUMIF(DB_Withdrawals!$A:$A,A193,DB_Withdrawals!$G:$G),0)),"")</f>
        <v/>
      </c>
      <c r="N193" s="39" t="str">
        <f>IFERROR(IF(A193="","",MAX(0,M193-System_Config!$B$9)),"")</f>
        <v/>
      </c>
    </row>
    <row r="194" spans="1:14" ht="19.5" customHeight="1" x14ac:dyDescent="0.25">
      <c r="A194" s="37" t="str">
        <f>'NEW ACCOUNT'!A195</f>
        <v/>
      </c>
      <c r="B194" s="38" t="str">
        <f>IF('NEW ACCOUNT'!A195="","",'NEW ACCOUNT'!B195)</f>
        <v/>
      </c>
      <c r="C194" s="38" t="str">
        <f>IF('NEW ACCOUNT'!A195="","",'NEW ACCOUNT'!C195)</f>
        <v/>
      </c>
      <c r="D194" s="38" t="str">
        <f>IF('NEW ACCOUNT'!A195="","",'NEW ACCOUNT'!D195)</f>
        <v/>
      </c>
      <c r="E194" s="38" t="str">
        <f>IF('NEW ACCOUNT'!A195="","",'NEW ACCOUNT'!E195)</f>
        <v/>
      </c>
      <c r="F194" s="38" t="str">
        <f>IF('NEW ACCOUNT'!A195="","",'NEW ACCOUNT'!F195)</f>
        <v/>
      </c>
      <c r="G194" s="38" t="str">
        <f>IF('NEW ACCOUNT'!A195="","",'NEW ACCOUNT'!G195)</f>
        <v/>
      </c>
      <c r="H194" s="38" t="str">
        <f>IF('NEW ACCOUNT'!A195="","",'NEW ACCOUNT'!H195)</f>
        <v/>
      </c>
      <c r="I194" s="38" t="str">
        <f>IF('NEW ACCOUNT'!A195="","",'NEW ACCOUNT'!I195)</f>
        <v/>
      </c>
      <c r="J194" s="38" t="str">
        <f>IF('NEW ACCOUNT'!A195="","",'NEW ACCOUNT'!J195)</f>
        <v/>
      </c>
      <c r="K194" s="39" t="str">
        <f>IFERROR(IF(A194="","",SUMIF(DB_Savings!$A:$A,A194,DB_Savings!$F:$F)),"")</f>
        <v/>
      </c>
      <c r="L194" s="39" t="str">
        <f>IFERROR(IF(A194="","",SUMIF(DB_Withdrawals!$A:$A,A194,DB_Withdrawals!$G:$G)),"")</f>
        <v/>
      </c>
      <c r="M194" s="39" t="str">
        <f>IFERROR(IF(A194="","",IFERROR(VALUE(H194),0)+IFERROR(SUMIF(DB_Savings!$A:$A,A194,DB_Savings!$F:$F),0)-IFERROR(SUMIF(DB_Withdrawals!$A:$A,A194,DB_Withdrawals!$G:$G),0)),"")</f>
        <v/>
      </c>
      <c r="N194" s="39" t="str">
        <f>IFERROR(IF(A194="","",MAX(0,M194-System_Config!$B$9)),"")</f>
        <v/>
      </c>
    </row>
    <row r="195" spans="1:14" ht="19.5" customHeight="1" x14ac:dyDescent="0.25">
      <c r="A195" s="37" t="str">
        <f>'NEW ACCOUNT'!A196</f>
        <v/>
      </c>
      <c r="B195" s="38" t="str">
        <f>IF('NEW ACCOUNT'!A196="","",'NEW ACCOUNT'!B196)</f>
        <v/>
      </c>
      <c r="C195" s="38" t="str">
        <f>IF('NEW ACCOUNT'!A196="","",'NEW ACCOUNT'!C196)</f>
        <v/>
      </c>
      <c r="D195" s="38" t="str">
        <f>IF('NEW ACCOUNT'!A196="","",'NEW ACCOUNT'!D196)</f>
        <v/>
      </c>
      <c r="E195" s="38" t="str">
        <f>IF('NEW ACCOUNT'!A196="","",'NEW ACCOUNT'!E196)</f>
        <v/>
      </c>
      <c r="F195" s="38" t="str">
        <f>IF('NEW ACCOUNT'!A196="","",'NEW ACCOUNT'!F196)</f>
        <v/>
      </c>
      <c r="G195" s="38" t="str">
        <f>IF('NEW ACCOUNT'!A196="","",'NEW ACCOUNT'!G196)</f>
        <v/>
      </c>
      <c r="H195" s="38" t="str">
        <f>IF('NEW ACCOUNT'!A196="","",'NEW ACCOUNT'!H196)</f>
        <v/>
      </c>
      <c r="I195" s="38" t="str">
        <f>IF('NEW ACCOUNT'!A196="","",'NEW ACCOUNT'!I196)</f>
        <v/>
      </c>
      <c r="J195" s="38" t="str">
        <f>IF('NEW ACCOUNT'!A196="","",'NEW ACCOUNT'!J196)</f>
        <v/>
      </c>
      <c r="K195" s="39" t="str">
        <f>IFERROR(IF(A195="","",SUMIF(DB_Savings!$A:$A,A195,DB_Savings!$F:$F)),"")</f>
        <v/>
      </c>
      <c r="L195" s="39" t="str">
        <f>IFERROR(IF(A195="","",SUMIF(DB_Withdrawals!$A:$A,A195,DB_Withdrawals!$G:$G)),"")</f>
        <v/>
      </c>
      <c r="M195" s="39" t="str">
        <f>IFERROR(IF(A195="","",IFERROR(VALUE(H195),0)+IFERROR(SUMIF(DB_Savings!$A:$A,A195,DB_Savings!$F:$F),0)-IFERROR(SUMIF(DB_Withdrawals!$A:$A,A195,DB_Withdrawals!$G:$G),0)),"")</f>
        <v/>
      </c>
      <c r="N195" s="39" t="str">
        <f>IFERROR(IF(A195="","",MAX(0,M195-System_Config!$B$9)),"")</f>
        <v/>
      </c>
    </row>
    <row r="196" spans="1:14" ht="19.5" customHeight="1" x14ac:dyDescent="0.25">
      <c r="A196" s="37" t="str">
        <f>'NEW ACCOUNT'!A197</f>
        <v/>
      </c>
      <c r="B196" s="38" t="str">
        <f>IF('NEW ACCOUNT'!A197="","",'NEW ACCOUNT'!B197)</f>
        <v/>
      </c>
      <c r="C196" s="38" t="str">
        <f>IF('NEW ACCOUNT'!A197="","",'NEW ACCOUNT'!C197)</f>
        <v/>
      </c>
      <c r="D196" s="38" t="str">
        <f>IF('NEW ACCOUNT'!A197="","",'NEW ACCOUNT'!D197)</f>
        <v/>
      </c>
      <c r="E196" s="38" t="str">
        <f>IF('NEW ACCOUNT'!A197="","",'NEW ACCOUNT'!E197)</f>
        <v/>
      </c>
      <c r="F196" s="38" t="str">
        <f>IF('NEW ACCOUNT'!A197="","",'NEW ACCOUNT'!F197)</f>
        <v/>
      </c>
      <c r="G196" s="38" t="str">
        <f>IF('NEW ACCOUNT'!A197="","",'NEW ACCOUNT'!G197)</f>
        <v/>
      </c>
      <c r="H196" s="38" t="str">
        <f>IF('NEW ACCOUNT'!A197="","",'NEW ACCOUNT'!H197)</f>
        <v/>
      </c>
      <c r="I196" s="38" t="str">
        <f>IF('NEW ACCOUNT'!A197="","",'NEW ACCOUNT'!I197)</f>
        <v/>
      </c>
      <c r="J196" s="38" t="str">
        <f>IF('NEW ACCOUNT'!A197="","",'NEW ACCOUNT'!J197)</f>
        <v/>
      </c>
      <c r="K196" s="39" t="str">
        <f>IFERROR(IF(A196="","",SUMIF(DB_Savings!$A:$A,A196,DB_Savings!$F:$F)),"")</f>
        <v/>
      </c>
      <c r="L196" s="39" t="str">
        <f>IFERROR(IF(A196="","",SUMIF(DB_Withdrawals!$A:$A,A196,DB_Withdrawals!$G:$G)),"")</f>
        <v/>
      </c>
      <c r="M196" s="39" t="str">
        <f>IFERROR(IF(A196="","",IFERROR(VALUE(H196),0)+IFERROR(SUMIF(DB_Savings!$A:$A,A196,DB_Savings!$F:$F),0)-IFERROR(SUMIF(DB_Withdrawals!$A:$A,A196,DB_Withdrawals!$G:$G),0)),"")</f>
        <v/>
      </c>
      <c r="N196" s="39" t="str">
        <f>IFERROR(IF(A196="","",MAX(0,M196-System_Config!$B$9)),"")</f>
        <v/>
      </c>
    </row>
    <row r="197" spans="1:14" ht="19.5" customHeight="1" x14ac:dyDescent="0.25">
      <c r="A197" s="37" t="str">
        <f>'NEW ACCOUNT'!A198</f>
        <v/>
      </c>
      <c r="B197" s="38" t="str">
        <f>IF('NEW ACCOUNT'!A198="","",'NEW ACCOUNT'!B198)</f>
        <v/>
      </c>
      <c r="C197" s="38" t="str">
        <f>IF('NEW ACCOUNT'!A198="","",'NEW ACCOUNT'!C198)</f>
        <v/>
      </c>
      <c r="D197" s="38" t="str">
        <f>IF('NEW ACCOUNT'!A198="","",'NEW ACCOUNT'!D198)</f>
        <v/>
      </c>
      <c r="E197" s="38" t="str">
        <f>IF('NEW ACCOUNT'!A198="","",'NEW ACCOUNT'!E198)</f>
        <v/>
      </c>
      <c r="F197" s="38" t="str">
        <f>IF('NEW ACCOUNT'!A198="","",'NEW ACCOUNT'!F198)</f>
        <v/>
      </c>
      <c r="G197" s="38" t="str">
        <f>IF('NEW ACCOUNT'!A198="","",'NEW ACCOUNT'!G198)</f>
        <v/>
      </c>
      <c r="H197" s="38" t="str">
        <f>IF('NEW ACCOUNT'!A198="","",'NEW ACCOUNT'!H198)</f>
        <v/>
      </c>
      <c r="I197" s="38" t="str">
        <f>IF('NEW ACCOUNT'!A198="","",'NEW ACCOUNT'!I198)</f>
        <v/>
      </c>
      <c r="J197" s="38" t="str">
        <f>IF('NEW ACCOUNT'!A198="","",'NEW ACCOUNT'!J198)</f>
        <v/>
      </c>
      <c r="K197" s="39" t="str">
        <f>IFERROR(IF(A197="","",SUMIF(DB_Savings!$A:$A,A197,DB_Savings!$F:$F)),"")</f>
        <v/>
      </c>
      <c r="L197" s="39" t="str">
        <f>IFERROR(IF(A197="","",SUMIF(DB_Withdrawals!$A:$A,A197,DB_Withdrawals!$G:$G)),"")</f>
        <v/>
      </c>
      <c r="M197" s="39" t="str">
        <f>IFERROR(IF(A197="","",IFERROR(VALUE(H197),0)+IFERROR(SUMIF(DB_Savings!$A:$A,A197,DB_Savings!$F:$F),0)-IFERROR(SUMIF(DB_Withdrawals!$A:$A,A197,DB_Withdrawals!$G:$G),0)),"")</f>
        <v/>
      </c>
      <c r="N197" s="39" t="str">
        <f>IFERROR(IF(A197="","",MAX(0,M197-System_Config!$B$9)),"")</f>
        <v/>
      </c>
    </row>
    <row r="198" spans="1:14" ht="19.5" customHeight="1" x14ac:dyDescent="0.25">
      <c r="A198" s="37" t="str">
        <f>'NEW ACCOUNT'!A199</f>
        <v/>
      </c>
      <c r="B198" s="38" t="str">
        <f>IF('NEW ACCOUNT'!A199="","",'NEW ACCOUNT'!B199)</f>
        <v/>
      </c>
      <c r="C198" s="38" t="str">
        <f>IF('NEW ACCOUNT'!A199="","",'NEW ACCOUNT'!C199)</f>
        <v/>
      </c>
      <c r="D198" s="38" t="str">
        <f>IF('NEW ACCOUNT'!A199="","",'NEW ACCOUNT'!D199)</f>
        <v/>
      </c>
      <c r="E198" s="38" t="str">
        <f>IF('NEW ACCOUNT'!A199="","",'NEW ACCOUNT'!E199)</f>
        <v/>
      </c>
      <c r="F198" s="38" t="str">
        <f>IF('NEW ACCOUNT'!A199="","",'NEW ACCOUNT'!F199)</f>
        <v/>
      </c>
      <c r="G198" s="38" t="str">
        <f>IF('NEW ACCOUNT'!A199="","",'NEW ACCOUNT'!G199)</f>
        <v/>
      </c>
      <c r="H198" s="38" t="str">
        <f>IF('NEW ACCOUNT'!A199="","",'NEW ACCOUNT'!H199)</f>
        <v/>
      </c>
      <c r="I198" s="38" t="str">
        <f>IF('NEW ACCOUNT'!A199="","",'NEW ACCOUNT'!I199)</f>
        <v/>
      </c>
      <c r="J198" s="38" t="str">
        <f>IF('NEW ACCOUNT'!A199="","",'NEW ACCOUNT'!J199)</f>
        <v/>
      </c>
      <c r="K198" s="39" t="str">
        <f>IFERROR(IF(A198="","",SUMIF(DB_Savings!$A:$A,A198,DB_Savings!$F:$F)),"")</f>
        <v/>
      </c>
      <c r="L198" s="39" t="str">
        <f>IFERROR(IF(A198="","",SUMIF(DB_Withdrawals!$A:$A,A198,DB_Withdrawals!$G:$G)),"")</f>
        <v/>
      </c>
      <c r="M198" s="39" t="str">
        <f>IFERROR(IF(A198="","",IFERROR(VALUE(H198),0)+IFERROR(SUMIF(DB_Savings!$A:$A,A198,DB_Savings!$F:$F),0)-IFERROR(SUMIF(DB_Withdrawals!$A:$A,A198,DB_Withdrawals!$G:$G),0)),"")</f>
        <v/>
      </c>
      <c r="N198" s="39" t="str">
        <f>IFERROR(IF(A198="","",MAX(0,M198-System_Config!$B$9)),"")</f>
        <v/>
      </c>
    </row>
    <row r="199" spans="1:14" ht="19.5" customHeight="1" x14ac:dyDescent="0.25">
      <c r="A199" s="37" t="str">
        <f>'NEW ACCOUNT'!A200</f>
        <v/>
      </c>
      <c r="B199" s="38" t="str">
        <f>IF('NEW ACCOUNT'!A200="","",'NEW ACCOUNT'!B200)</f>
        <v/>
      </c>
      <c r="C199" s="38" t="str">
        <f>IF('NEW ACCOUNT'!A200="","",'NEW ACCOUNT'!C200)</f>
        <v/>
      </c>
      <c r="D199" s="38" t="str">
        <f>IF('NEW ACCOUNT'!A200="","",'NEW ACCOUNT'!D200)</f>
        <v/>
      </c>
      <c r="E199" s="38" t="str">
        <f>IF('NEW ACCOUNT'!A200="","",'NEW ACCOUNT'!E200)</f>
        <v/>
      </c>
      <c r="F199" s="38" t="str">
        <f>IF('NEW ACCOUNT'!A200="","",'NEW ACCOUNT'!F200)</f>
        <v/>
      </c>
      <c r="G199" s="38" t="str">
        <f>IF('NEW ACCOUNT'!A200="","",'NEW ACCOUNT'!G200)</f>
        <v/>
      </c>
      <c r="H199" s="38" t="str">
        <f>IF('NEW ACCOUNT'!A200="","",'NEW ACCOUNT'!H200)</f>
        <v/>
      </c>
      <c r="I199" s="38" t="str">
        <f>IF('NEW ACCOUNT'!A200="","",'NEW ACCOUNT'!I200)</f>
        <v/>
      </c>
      <c r="J199" s="38" t="str">
        <f>IF('NEW ACCOUNT'!A200="","",'NEW ACCOUNT'!J200)</f>
        <v/>
      </c>
      <c r="K199" s="39" t="str">
        <f>IFERROR(IF(A199="","",SUMIF(DB_Savings!$A:$A,A199,DB_Savings!$F:$F)),"")</f>
        <v/>
      </c>
      <c r="L199" s="39" t="str">
        <f>IFERROR(IF(A199="","",SUMIF(DB_Withdrawals!$A:$A,A199,DB_Withdrawals!$G:$G)),"")</f>
        <v/>
      </c>
      <c r="M199" s="39" t="str">
        <f>IFERROR(IF(A199="","",IFERROR(VALUE(H199),0)+IFERROR(SUMIF(DB_Savings!$A:$A,A199,DB_Savings!$F:$F),0)-IFERROR(SUMIF(DB_Withdrawals!$A:$A,A199,DB_Withdrawals!$G:$G),0)),"")</f>
        <v/>
      </c>
      <c r="N199" s="39" t="str">
        <f>IFERROR(IF(A199="","",MAX(0,M199-System_Config!$B$9)),"")</f>
        <v/>
      </c>
    </row>
    <row r="200" spans="1:14" ht="19.5" customHeight="1" x14ac:dyDescent="0.25">
      <c r="A200" s="37" t="str">
        <f>'NEW ACCOUNT'!A201</f>
        <v/>
      </c>
      <c r="B200" s="38" t="str">
        <f>IF('NEW ACCOUNT'!A201="","",'NEW ACCOUNT'!B201)</f>
        <v/>
      </c>
      <c r="C200" s="38" t="str">
        <f>IF('NEW ACCOUNT'!A201="","",'NEW ACCOUNT'!C201)</f>
        <v/>
      </c>
      <c r="D200" s="38" t="str">
        <f>IF('NEW ACCOUNT'!A201="","",'NEW ACCOUNT'!D201)</f>
        <v/>
      </c>
      <c r="E200" s="38" t="str">
        <f>IF('NEW ACCOUNT'!A201="","",'NEW ACCOUNT'!E201)</f>
        <v/>
      </c>
      <c r="F200" s="38" t="str">
        <f>IF('NEW ACCOUNT'!A201="","",'NEW ACCOUNT'!F201)</f>
        <v/>
      </c>
      <c r="G200" s="38" t="str">
        <f>IF('NEW ACCOUNT'!A201="","",'NEW ACCOUNT'!G201)</f>
        <v/>
      </c>
      <c r="H200" s="38" t="str">
        <f>IF('NEW ACCOUNT'!A201="","",'NEW ACCOUNT'!H201)</f>
        <v/>
      </c>
      <c r="I200" s="38" t="str">
        <f>IF('NEW ACCOUNT'!A201="","",'NEW ACCOUNT'!I201)</f>
        <v/>
      </c>
      <c r="J200" s="38" t="str">
        <f>IF('NEW ACCOUNT'!A201="","",'NEW ACCOUNT'!J201)</f>
        <v/>
      </c>
      <c r="K200" s="39" t="str">
        <f>IFERROR(IF(A200="","",SUMIF(DB_Savings!$A:$A,A200,DB_Savings!$F:$F)),"")</f>
        <v/>
      </c>
      <c r="L200" s="39" t="str">
        <f>IFERROR(IF(A200="","",SUMIF(DB_Withdrawals!$A:$A,A200,DB_Withdrawals!$G:$G)),"")</f>
        <v/>
      </c>
      <c r="M200" s="39" t="str">
        <f>IFERROR(IF(A200="","",IFERROR(VALUE(H200),0)+IFERROR(SUMIF(DB_Savings!$A:$A,A200,DB_Savings!$F:$F),0)-IFERROR(SUMIF(DB_Withdrawals!$A:$A,A200,DB_Withdrawals!$G:$G),0)),"")</f>
        <v/>
      </c>
      <c r="N200" s="39" t="str">
        <f>IFERROR(IF(A200="","",MAX(0,M200-System_Config!$B$9)),"")</f>
        <v/>
      </c>
    </row>
    <row r="201" spans="1:14" ht="19.5" customHeight="1" x14ac:dyDescent="0.25">
      <c r="A201" s="37" t="str">
        <f>'NEW ACCOUNT'!A202</f>
        <v/>
      </c>
      <c r="B201" s="38" t="str">
        <f>IF('NEW ACCOUNT'!A202="","",'NEW ACCOUNT'!B202)</f>
        <v/>
      </c>
      <c r="C201" s="38" t="str">
        <f>IF('NEW ACCOUNT'!A202="","",'NEW ACCOUNT'!C202)</f>
        <v/>
      </c>
      <c r="D201" s="38" t="str">
        <f>IF('NEW ACCOUNT'!A202="","",'NEW ACCOUNT'!D202)</f>
        <v/>
      </c>
      <c r="E201" s="38" t="str">
        <f>IF('NEW ACCOUNT'!A202="","",'NEW ACCOUNT'!E202)</f>
        <v/>
      </c>
      <c r="F201" s="38" t="str">
        <f>IF('NEW ACCOUNT'!A202="","",'NEW ACCOUNT'!F202)</f>
        <v/>
      </c>
      <c r="G201" s="38" t="str">
        <f>IF('NEW ACCOUNT'!A202="","",'NEW ACCOUNT'!G202)</f>
        <v/>
      </c>
      <c r="H201" s="38" t="str">
        <f>IF('NEW ACCOUNT'!A202="","",'NEW ACCOUNT'!H202)</f>
        <v/>
      </c>
      <c r="I201" s="38" t="str">
        <f>IF('NEW ACCOUNT'!A202="","",'NEW ACCOUNT'!I202)</f>
        <v/>
      </c>
      <c r="J201" s="38" t="str">
        <f>IF('NEW ACCOUNT'!A202="","",'NEW ACCOUNT'!J202)</f>
        <v/>
      </c>
      <c r="K201" s="39" t="str">
        <f>IFERROR(IF(A201="","",SUMIF(DB_Savings!$A:$A,A201,DB_Savings!$F:$F)),"")</f>
        <v/>
      </c>
      <c r="L201" s="39" t="str">
        <f>IFERROR(IF(A201="","",SUMIF(DB_Withdrawals!$A:$A,A201,DB_Withdrawals!$G:$G)),"")</f>
        <v/>
      </c>
      <c r="M201" s="39" t="str">
        <f>IFERROR(IF(A201="","",IFERROR(VALUE(H201),0)+IFERROR(SUMIF(DB_Savings!$A:$A,A201,DB_Savings!$F:$F),0)-IFERROR(SUMIF(DB_Withdrawals!$A:$A,A201,DB_Withdrawals!$G:$G),0)),"")</f>
        <v/>
      </c>
      <c r="N201" s="39" t="str">
        <f>IFERROR(IF(A201="","",MAX(0,M201-System_Config!$B$9)),"")</f>
        <v/>
      </c>
    </row>
    <row r="202" spans="1:14" ht="19.5" customHeight="1" x14ac:dyDescent="0.25">
      <c r="A202" s="37" t="str">
        <f>'NEW ACCOUNT'!A203</f>
        <v/>
      </c>
      <c r="B202" s="38" t="str">
        <f>IF('NEW ACCOUNT'!A203="","",'NEW ACCOUNT'!B203)</f>
        <v/>
      </c>
      <c r="C202" s="38" t="str">
        <f>IF('NEW ACCOUNT'!A203="","",'NEW ACCOUNT'!C203)</f>
        <v/>
      </c>
      <c r="D202" s="38" t="str">
        <f>IF('NEW ACCOUNT'!A203="","",'NEW ACCOUNT'!D203)</f>
        <v/>
      </c>
      <c r="E202" s="38" t="str">
        <f>IF('NEW ACCOUNT'!A203="","",'NEW ACCOUNT'!E203)</f>
        <v/>
      </c>
      <c r="F202" s="38" t="str">
        <f>IF('NEW ACCOUNT'!A203="","",'NEW ACCOUNT'!F203)</f>
        <v/>
      </c>
      <c r="G202" s="38" t="str">
        <f>IF('NEW ACCOUNT'!A203="","",'NEW ACCOUNT'!G203)</f>
        <v/>
      </c>
      <c r="H202" s="38" t="str">
        <f>IF('NEW ACCOUNT'!A203="","",'NEW ACCOUNT'!H203)</f>
        <v/>
      </c>
      <c r="I202" s="38" t="str">
        <f>IF('NEW ACCOUNT'!A203="","",'NEW ACCOUNT'!I203)</f>
        <v/>
      </c>
      <c r="J202" s="38" t="str">
        <f>IF('NEW ACCOUNT'!A203="","",'NEW ACCOUNT'!J203)</f>
        <v/>
      </c>
      <c r="K202" s="39" t="str">
        <f>IFERROR(IF(A202="","",SUMIF(DB_Savings!$A:$A,A202,DB_Savings!$F:$F)),"")</f>
        <v/>
      </c>
      <c r="L202" s="39" t="str">
        <f>IFERROR(IF(A202="","",SUMIF(DB_Withdrawals!$A:$A,A202,DB_Withdrawals!$G:$G)),"")</f>
        <v/>
      </c>
      <c r="M202" s="39" t="str">
        <f>IFERROR(IF(A202="","",IFERROR(VALUE(H202),0)+IFERROR(SUMIF(DB_Savings!$A:$A,A202,DB_Savings!$F:$F),0)-IFERROR(SUMIF(DB_Withdrawals!$A:$A,A202,DB_Withdrawals!$G:$G),0)),"")</f>
        <v/>
      </c>
      <c r="N202" s="39" t="str">
        <f>IFERROR(IF(A202="","",MAX(0,M202-System_Config!$B$9)),"")</f>
        <v/>
      </c>
    </row>
    <row r="203" spans="1:14" ht="19.5" customHeight="1" x14ac:dyDescent="0.25">
      <c r="A203" s="37" t="str">
        <f>'NEW ACCOUNT'!A204</f>
        <v/>
      </c>
      <c r="B203" s="38" t="str">
        <f>IF('NEW ACCOUNT'!A204="","",'NEW ACCOUNT'!B204)</f>
        <v/>
      </c>
      <c r="C203" s="38" t="str">
        <f>IF('NEW ACCOUNT'!A204="","",'NEW ACCOUNT'!C204)</f>
        <v/>
      </c>
      <c r="D203" s="38" t="str">
        <f>IF('NEW ACCOUNT'!A204="","",'NEW ACCOUNT'!D204)</f>
        <v/>
      </c>
      <c r="E203" s="38" t="str">
        <f>IF('NEW ACCOUNT'!A204="","",'NEW ACCOUNT'!E204)</f>
        <v/>
      </c>
      <c r="F203" s="38" t="str">
        <f>IF('NEW ACCOUNT'!A204="","",'NEW ACCOUNT'!F204)</f>
        <v/>
      </c>
      <c r="G203" s="38" t="str">
        <f>IF('NEW ACCOUNT'!A204="","",'NEW ACCOUNT'!G204)</f>
        <v/>
      </c>
      <c r="H203" s="38" t="str">
        <f>IF('NEW ACCOUNT'!A204="","",'NEW ACCOUNT'!H204)</f>
        <v/>
      </c>
      <c r="I203" s="38" t="str">
        <f>IF('NEW ACCOUNT'!A204="","",'NEW ACCOUNT'!I204)</f>
        <v/>
      </c>
      <c r="J203" s="38" t="str">
        <f>IF('NEW ACCOUNT'!A204="","",'NEW ACCOUNT'!J204)</f>
        <v/>
      </c>
      <c r="K203" s="39" t="str">
        <f>IFERROR(IF(A203="","",SUMIF(DB_Savings!$A:$A,A203,DB_Savings!$F:$F)),"")</f>
        <v/>
      </c>
      <c r="L203" s="39" t="str">
        <f>IFERROR(IF(A203="","",SUMIF(DB_Withdrawals!$A:$A,A203,DB_Withdrawals!$G:$G)),"")</f>
        <v/>
      </c>
      <c r="M203" s="39" t="str">
        <f>IFERROR(IF(A203="","",IFERROR(VALUE(H203),0)+IFERROR(SUMIF(DB_Savings!$A:$A,A203,DB_Savings!$F:$F),0)-IFERROR(SUMIF(DB_Withdrawals!$A:$A,A203,DB_Withdrawals!$G:$G),0)),"")</f>
        <v/>
      </c>
      <c r="N203" s="39" t="str">
        <f>IFERROR(IF(A203="","",MAX(0,M203-System_Config!$B$9)),"")</f>
        <v/>
      </c>
    </row>
    <row r="204" spans="1:14" ht="19.5" customHeight="1" x14ac:dyDescent="0.25">
      <c r="A204" s="37" t="str">
        <f>'NEW ACCOUNT'!A205</f>
        <v/>
      </c>
      <c r="B204" s="38" t="str">
        <f>IF('NEW ACCOUNT'!A205="","",'NEW ACCOUNT'!B205)</f>
        <v/>
      </c>
      <c r="C204" s="38" t="str">
        <f>IF('NEW ACCOUNT'!A205="","",'NEW ACCOUNT'!C205)</f>
        <v/>
      </c>
      <c r="D204" s="38" t="str">
        <f>IF('NEW ACCOUNT'!A205="","",'NEW ACCOUNT'!D205)</f>
        <v/>
      </c>
      <c r="E204" s="38" t="str">
        <f>IF('NEW ACCOUNT'!A205="","",'NEW ACCOUNT'!E205)</f>
        <v/>
      </c>
      <c r="F204" s="38" t="str">
        <f>IF('NEW ACCOUNT'!A205="","",'NEW ACCOUNT'!F205)</f>
        <v/>
      </c>
      <c r="G204" s="38" t="str">
        <f>IF('NEW ACCOUNT'!A205="","",'NEW ACCOUNT'!G205)</f>
        <v/>
      </c>
      <c r="H204" s="38" t="str">
        <f>IF('NEW ACCOUNT'!A205="","",'NEW ACCOUNT'!H205)</f>
        <v/>
      </c>
      <c r="I204" s="38" t="str">
        <f>IF('NEW ACCOUNT'!A205="","",'NEW ACCOUNT'!I205)</f>
        <v/>
      </c>
      <c r="J204" s="38" t="str">
        <f>IF('NEW ACCOUNT'!A205="","",'NEW ACCOUNT'!J205)</f>
        <v/>
      </c>
      <c r="K204" s="39" t="str">
        <f>IFERROR(IF(A204="","",SUMIF(DB_Savings!$A:$A,A204,DB_Savings!$F:$F)),"")</f>
        <v/>
      </c>
      <c r="L204" s="39" t="str">
        <f>IFERROR(IF(A204="","",SUMIF(DB_Withdrawals!$A:$A,A204,DB_Withdrawals!$G:$G)),"")</f>
        <v/>
      </c>
      <c r="M204" s="39" t="str">
        <f>IFERROR(IF(A204="","",IFERROR(VALUE(H204),0)+IFERROR(SUMIF(DB_Savings!$A:$A,A204,DB_Savings!$F:$F),0)-IFERROR(SUMIF(DB_Withdrawals!$A:$A,A204,DB_Withdrawals!$G:$G),0)),"")</f>
        <v/>
      </c>
      <c r="N204" s="39" t="str">
        <f>IFERROR(IF(A204="","",MAX(0,M204-System_Config!$B$9)),"")</f>
        <v/>
      </c>
    </row>
    <row r="205" spans="1:14" ht="19.5" customHeight="1" x14ac:dyDescent="0.25">
      <c r="A205" s="37" t="str">
        <f>'NEW ACCOUNT'!A206</f>
        <v/>
      </c>
      <c r="B205" s="38" t="str">
        <f>IF('NEW ACCOUNT'!A206="","",'NEW ACCOUNT'!B206)</f>
        <v/>
      </c>
      <c r="C205" s="38" t="str">
        <f>IF('NEW ACCOUNT'!A206="","",'NEW ACCOUNT'!C206)</f>
        <v/>
      </c>
      <c r="D205" s="38" t="str">
        <f>IF('NEW ACCOUNT'!A206="","",'NEW ACCOUNT'!D206)</f>
        <v/>
      </c>
      <c r="E205" s="38" t="str">
        <f>IF('NEW ACCOUNT'!A206="","",'NEW ACCOUNT'!E206)</f>
        <v/>
      </c>
      <c r="F205" s="38" t="str">
        <f>IF('NEW ACCOUNT'!A206="","",'NEW ACCOUNT'!F206)</f>
        <v/>
      </c>
      <c r="G205" s="38" t="str">
        <f>IF('NEW ACCOUNT'!A206="","",'NEW ACCOUNT'!G206)</f>
        <v/>
      </c>
      <c r="H205" s="38" t="str">
        <f>IF('NEW ACCOUNT'!A206="","",'NEW ACCOUNT'!H206)</f>
        <v/>
      </c>
      <c r="I205" s="38" t="str">
        <f>IF('NEW ACCOUNT'!A206="","",'NEW ACCOUNT'!I206)</f>
        <v/>
      </c>
      <c r="J205" s="38" t="str">
        <f>IF('NEW ACCOUNT'!A206="","",'NEW ACCOUNT'!J206)</f>
        <v/>
      </c>
      <c r="K205" s="39" t="str">
        <f>IFERROR(IF(A205="","",SUMIF(DB_Savings!$A:$A,A205,DB_Savings!$F:$F)),"")</f>
        <v/>
      </c>
      <c r="L205" s="39" t="str">
        <f>IFERROR(IF(A205="","",SUMIF(DB_Withdrawals!$A:$A,A205,DB_Withdrawals!$G:$G)),"")</f>
        <v/>
      </c>
      <c r="M205" s="39" t="str">
        <f>IFERROR(IF(A205="","",IFERROR(VALUE(H205),0)+IFERROR(SUMIF(DB_Savings!$A:$A,A205,DB_Savings!$F:$F),0)-IFERROR(SUMIF(DB_Withdrawals!$A:$A,A205,DB_Withdrawals!$G:$G),0)),"")</f>
        <v/>
      </c>
      <c r="N205" s="39" t="str">
        <f>IFERROR(IF(A205="","",MAX(0,M205-System_Config!$B$9)),"")</f>
        <v/>
      </c>
    </row>
    <row r="206" spans="1:14" ht="19.5" customHeight="1" x14ac:dyDescent="0.25">
      <c r="A206" s="37" t="str">
        <f>'NEW ACCOUNT'!A207</f>
        <v/>
      </c>
      <c r="B206" s="38" t="str">
        <f>IF('NEW ACCOUNT'!A207="","",'NEW ACCOUNT'!B207)</f>
        <v/>
      </c>
      <c r="C206" s="38" t="str">
        <f>IF('NEW ACCOUNT'!A207="","",'NEW ACCOUNT'!C207)</f>
        <v/>
      </c>
      <c r="D206" s="38" t="str">
        <f>IF('NEW ACCOUNT'!A207="","",'NEW ACCOUNT'!D207)</f>
        <v/>
      </c>
      <c r="E206" s="38" t="str">
        <f>IF('NEW ACCOUNT'!A207="","",'NEW ACCOUNT'!E207)</f>
        <v/>
      </c>
      <c r="F206" s="38" t="str">
        <f>IF('NEW ACCOUNT'!A207="","",'NEW ACCOUNT'!F207)</f>
        <v/>
      </c>
      <c r="G206" s="38" t="str">
        <f>IF('NEW ACCOUNT'!A207="","",'NEW ACCOUNT'!G207)</f>
        <v/>
      </c>
      <c r="H206" s="38" t="str">
        <f>IF('NEW ACCOUNT'!A207="","",'NEW ACCOUNT'!H207)</f>
        <v/>
      </c>
      <c r="I206" s="38" t="str">
        <f>IF('NEW ACCOUNT'!A207="","",'NEW ACCOUNT'!I207)</f>
        <v/>
      </c>
      <c r="J206" s="38" t="str">
        <f>IF('NEW ACCOUNT'!A207="","",'NEW ACCOUNT'!J207)</f>
        <v/>
      </c>
      <c r="K206" s="39" t="str">
        <f>IFERROR(IF(A206="","",SUMIF(DB_Savings!$A:$A,A206,DB_Savings!$F:$F)),"")</f>
        <v/>
      </c>
      <c r="L206" s="39" t="str">
        <f>IFERROR(IF(A206="","",SUMIF(DB_Withdrawals!$A:$A,A206,DB_Withdrawals!$G:$G)),"")</f>
        <v/>
      </c>
      <c r="M206" s="39" t="str">
        <f>IFERROR(IF(A206="","",IFERROR(VALUE(H206),0)+IFERROR(SUMIF(DB_Savings!$A:$A,A206,DB_Savings!$F:$F),0)-IFERROR(SUMIF(DB_Withdrawals!$A:$A,A206,DB_Withdrawals!$G:$G),0)),"")</f>
        <v/>
      </c>
      <c r="N206" s="39" t="str">
        <f>IFERROR(IF(A206="","",MAX(0,M206-System_Config!$B$9)),"")</f>
        <v/>
      </c>
    </row>
    <row r="207" spans="1:14" ht="19.5" customHeight="1" x14ac:dyDescent="0.25">
      <c r="A207" s="37" t="str">
        <f>'NEW ACCOUNT'!A208</f>
        <v/>
      </c>
      <c r="B207" s="38" t="str">
        <f>IF('NEW ACCOUNT'!A208="","",'NEW ACCOUNT'!B208)</f>
        <v/>
      </c>
      <c r="C207" s="38" t="str">
        <f>IF('NEW ACCOUNT'!A208="","",'NEW ACCOUNT'!C208)</f>
        <v/>
      </c>
      <c r="D207" s="38" t="str">
        <f>IF('NEW ACCOUNT'!A208="","",'NEW ACCOUNT'!D208)</f>
        <v/>
      </c>
      <c r="E207" s="38" t="str">
        <f>IF('NEW ACCOUNT'!A208="","",'NEW ACCOUNT'!E208)</f>
        <v/>
      </c>
      <c r="F207" s="38" t="str">
        <f>IF('NEW ACCOUNT'!A208="","",'NEW ACCOUNT'!F208)</f>
        <v/>
      </c>
      <c r="G207" s="38" t="str">
        <f>IF('NEW ACCOUNT'!A208="","",'NEW ACCOUNT'!G208)</f>
        <v/>
      </c>
      <c r="H207" s="38" t="str">
        <f>IF('NEW ACCOUNT'!A208="","",'NEW ACCOUNT'!H208)</f>
        <v/>
      </c>
      <c r="I207" s="38" t="str">
        <f>IF('NEW ACCOUNT'!A208="","",'NEW ACCOUNT'!I208)</f>
        <v/>
      </c>
      <c r="J207" s="38" t="str">
        <f>IF('NEW ACCOUNT'!A208="","",'NEW ACCOUNT'!J208)</f>
        <v/>
      </c>
      <c r="K207" s="39" t="str">
        <f>IFERROR(IF(A207="","",SUMIF(DB_Savings!$A:$A,A207,DB_Savings!$F:$F)),"")</f>
        <v/>
      </c>
      <c r="L207" s="39" t="str">
        <f>IFERROR(IF(A207="","",SUMIF(DB_Withdrawals!$A:$A,A207,DB_Withdrawals!$G:$G)),"")</f>
        <v/>
      </c>
      <c r="M207" s="39" t="str">
        <f>IFERROR(IF(A207="","",IFERROR(VALUE(H207),0)+IFERROR(SUMIF(DB_Savings!$A:$A,A207,DB_Savings!$F:$F),0)-IFERROR(SUMIF(DB_Withdrawals!$A:$A,A207,DB_Withdrawals!$G:$G),0)),"")</f>
        <v/>
      </c>
      <c r="N207" s="39" t="str">
        <f>IFERROR(IF(A207="","",MAX(0,M207-System_Config!$B$9)),"")</f>
        <v/>
      </c>
    </row>
    <row r="208" spans="1:14" ht="19.5" customHeight="1" x14ac:dyDescent="0.25">
      <c r="A208" s="37" t="str">
        <f>'NEW ACCOUNT'!A209</f>
        <v/>
      </c>
      <c r="B208" s="38" t="str">
        <f>IF('NEW ACCOUNT'!A209="","",'NEW ACCOUNT'!B209)</f>
        <v/>
      </c>
      <c r="C208" s="38" t="str">
        <f>IF('NEW ACCOUNT'!A209="","",'NEW ACCOUNT'!C209)</f>
        <v/>
      </c>
      <c r="D208" s="38" t="str">
        <f>IF('NEW ACCOUNT'!A209="","",'NEW ACCOUNT'!D209)</f>
        <v/>
      </c>
      <c r="E208" s="38" t="str">
        <f>IF('NEW ACCOUNT'!A209="","",'NEW ACCOUNT'!E209)</f>
        <v/>
      </c>
      <c r="F208" s="38" t="str">
        <f>IF('NEW ACCOUNT'!A209="","",'NEW ACCOUNT'!F209)</f>
        <v/>
      </c>
      <c r="G208" s="38" t="str">
        <f>IF('NEW ACCOUNT'!A209="","",'NEW ACCOUNT'!G209)</f>
        <v/>
      </c>
      <c r="H208" s="38" t="str">
        <f>IF('NEW ACCOUNT'!A209="","",'NEW ACCOUNT'!H209)</f>
        <v/>
      </c>
      <c r="I208" s="38" t="str">
        <f>IF('NEW ACCOUNT'!A209="","",'NEW ACCOUNT'!I209)</f>
        <v/>
      </c>
      <c r="J208" s="38" t="str">
        <f>IF('NEW ACCOUNT'!A209="","",'NEW ACCOUNT'!J209)</f>
        <v/>
      </c>
      <c r="K208" s="39" t="str">
        <f>IFERROR(IF(A208="","",SUMIF(DB_Savings!$A:$A,A208,DB_Savings!$F:$F)),"")</f>
        <v/>
      </c>
      <c r="L208" s="39" t="str">
        <f>IFERROR(IF(A208="","",SUMIF(DB_Withdrawals!$A:$A,A208,DB_Withdrawals!$G:$G)),"")</f>
        <v/>
      </c>
      <c r="M208" s="39" t="str">
        <f>IFERROR(IF(A208="","",IFERROR(VALUE(H208),0)+IFERROR(SUMIF(DB_Savings!$A:$A,A208,DB_Savings!$F:$F),0)-IFERROR(SUMIF(DB_Withdrawals!$A:$A,A208,DB_Withdrawals!$G:$G),0)),"")</f>
        <v/>
      </c>
      <c r="N208" s="39" t="str">
        <f>IFERROR(IF(A208="","",MAX(0,M208-System_Config!$B$9)),"")</f>
        <v/>
      </c>
    </row>
    <row r="209" spans="1:14" ht="19.5" customHeight="1" x14ac:dyDescent="0.25">
      <c r="A209" s="37" t="str">
        <f>'NEW ACCOUNT'!A210</f>
        <v/>
      </c>
      <c r="B209" s="38" t="str">
        <f>IF('NEW ACCOUNT'!A210="","",'NEW ACCOUNT'!B210)</f>
        <v/>
      </c>
      <c r="C209" s="38" t="str">
        <f>IF('NEW ACCOUNT'!A210="","",'NEW ACCOUNT'!C210)</f>
        <v/>
      </c>
      <c r="D209" s="38" t="str">
        <f>IF('NEW ACCOUNT'!A210="","",'NEW ACCOUNT'!D210)</f>
        <v/>
      </c>
      <c r="E209" s="38" t="str">
        <f>IF('NEW ACCOUNT'!A210="","",'NEW ACCOUNT'!E210)</f>
        <v/>
      </c>
      <c r="F209" s="38" t="str">
        <f>IF('NEW ACCOUNT'!A210="","",'NEW ACCOUNT'!F210)</f>
        <v/>
      </c>
      <c r="G209" s="38" t="str">
        <f>IF('NEW ACCOUNT'!A210="","",'NEW ACCOUNT'!G210)</f>
        <v/>
      </c>
      <c r="H209" s="38" t="str">
        <f>IF('NEW ACCOUNT'!A210="","",'NEW ACCOUNT'!H210)</f>
        <v/>
      </c>
      <c r="I209" s="38" t="str">
        <f>IF('NEW ACCOUNT'!A210="","",'NEW ACCOUNT'!I210)</f>
        <v/>
      </c>
      <c r="J209" s="38" t="str">
        <f>IF('NEW ACCOUNT'!A210="","",'NEW ACCOUNT'!J210)</f>
        <v/>
      </c>
      <c r="K209" s="39" t="str">
        <f>IFERROR(IF(A209="","",SUMIF(DB_Savings!$A:$A,A209,DB_Savings!$F:$F)),"")</f>
        <v/>
      </c>
      <c r="L209" s="39" t="str">
        <f>IFERROR(IF(A209="","",SUMIF(DB_Withdrawals!$A:$A,A209,DB_Withdrawals!$G:$G)),"")</f>
        <v/>
      </c>
      <c r="M209" s="39" t="str">
        <f>IFERROR(IF(A209="","",IFERROR(VALUE(H209),0)+IFERROR(SUMIF(DB_Savings!$A:$A,A209,DB_Savings!$F:$F),0)-IFERROR(SUMIF(DB_Withdrawals!$A:$A,A209,DB_Withdrawals!$G:$G),0)),"")</f>
        <v/>
      </c>
      <c r="N209" s="39" t="str">
        <f>IFERROR(IF(A209="","",MAX(0,M209-System_Config!$B$9)),"")</f>
        <v/>
      </c>
    </row>
    <row r="210" spans="1:14" ht="19.5" customHeight="1" x14ac:dyDescent="0.25">
      <c r="A210" s="37" t="str">
        <f>'NEW ACCOUNT'!A211</f>
        <v/>
      </c>
      <c r="B210" s="38" t="str">
        <f>IF('NEW ACCOUNT'!A211="","",'NEW ACCOUNT'!B211)</f>
        <v/>
      </c>
      <c r="C210" s="38" t="str">
        <f>IF('NEW ACCOUNT'!A211="","",'NEW ACCOUNT'!C211)</f>
        <v/>
      </c>
      <c r="D210" s="38" t="str">
        <f>IF('NEW ACCOUNT'!A211="","",'NEW ACCOUNT'!D211)</f>
        <v/>
      </c>
      <c r="E210" s="38" t="str">
        <f>IF('NEW ACCOUNT'!A211="","",'NEW ACCOUNT'!E211)</f>
        <v/>
      </c>
      <c r="F210" s="38" t="str">
        <f>IF('NEW ACCOUNT'!A211="","",'NEW ACCOUNT'!F211)</f>
        <v/>
      </c>
      <c r="G210" s="38" t="str">
        <f>IF('NEW ACCOUNT'!A211="","",'NEW ACCOUNT'!G211)</f>
        <v/>
      </c>
      <c r="H210" s="38" t="str">
        <f>IF('NEW ACCOUNT'!A211="","",'NEW ACCOUNT'!H211)</f>
        <v/>
      </c>
      <c r="I210" s="38" t="str">
        <f>IF('NEW ACCOUNT'!A211="","",'NEW ACCOUNT'!I211)</f>
        <v/>
      </c>
      <c r="J210" s="38" t="str">
        <f>IF('NEW ACCOUNT'!A211="","",'NEW ACCOUNT'!J211)</f>
        <v/>
      </c>
      <c r="K210" s="39" t="str">
        <f>IFERROR(IF(A210="","",SUMIF(DB_Savings!$A:$A,A210,DB_Savings!$F:$F)),"")</f>
        <v/>
      </c>
      <c r="L210" s="39" t="str">
        <f>IFERROR(IF(A210="","",SUMIF(DB_Withdrawals!$A:$A,A210,DB_Withdrawals!$G:$G)),"")</f>
        <v/>
      </c>
      <c r="M210" s="39" t="str">
        <f>IFERROR(IF(A210="","",IFERROR(VALUE(H210),0)+IFERROR(SUMIF(DB_Savings!$A:$A,A210,DB_Savings!$F:$F),0)-IFERROR(SUMIF(DB_Withdrawals!$A:$A,A210,DB_Withdrawals!$G:$G),0)),"")</f>
        <v/>
      </c>
      <c r="N210" s="39" t="str">
        <f>IFERROR(IF(A210="","",MAX(0,M210-System_Config!$B$9)),"")</f>
        <v/>
      </c>
    </row>
    <row r="211" spans="1:14" ht="19.5" customHeight="1" x14ac:dyDescent="0.25">
      <c r="A211" s="37" t="str">
        <f>'NEW ACCOUNT'!A212</f>
        <v/>
      </c>
      <c r="B211" s="38" t="str">
        <f>IF('NEW ACCOUNT'!A212="","",'NEW ACCOUNT'!B212)</f>
        <v/>
      </c>
      <c r="C211" s="38" t="str">
        <f>IF('NEW ACCOUNT'!A212="","",'NEW ACCOUNT'!C212)</f>
        <v/>
      </c>
      <c r="D211" s="38" t="str">
        <f>IF('NEW ACCOUNT'!A212="","",'NEW ACCOUNT'!D212)</f>
        <v/>
      </c>
      <c r="E211" s="38" t="str">
        <f>IF('NEW ACCOUNT'!A212="","",'NEW ACCOUNT'!E212)</f>
        <v/>
      </c>
      <c r="F211" s="38" t="str">
        <f>IF('NEW ACCOUNT'!A212="","",'NEW ACCOUNT'!F212)</f>
        <v/>
      </c>
      <c r="G211" s="38" t="str">
        <f>IF('NEW ACCOUNT'!A212="","",'NEW ACCOUNT'!G212)</f>
        <v/>
      </c>
      <c r="H211" s="38" t="str">
        <f>IF('NEW ACCOUNT'!A212="","",'NEW ACCOUNT'!H212)</f>
        <v/>
      </c>
      <c r="I211" s="38" t="str">
        <f>IF('NEW ACCOUNT'!A212="","",'NEW ACCOUNT'!I212)</f>
        <v/>
      </c>
      <c r="J211" s="38" t="str">
        <f>IF('NEW ACCOUNT'!A212="","",'NEW ACCOUNT'!J212)</f>
        <v/>
      </c>
      <c r="K211" s="39" t="str">
        <f>IFERROR(IF(A211="","",SUMIF(DB_Savings!$A:$A,A211,DB_Savings!$F:$F)),"")</f>
        <v/>
      </c>
      <c r="L211" s="39" t="str">
        <f>IFERROR(IF(A211="","",SUMIF(DB_Withdrawals!$A:$A,A211,DB_Withdrawals!$G:$G)),"")</f>
        <v/>
      </c>
      <c r="M211" s="39" t="str">
        <f>IFERROR(IF(A211="","",IFERROR(VALUE(H211),0)+IFERROR(SUMIF(DB_Savings!$A:$A,A211,DB_Savings!$F:$F),0)-IFERROR(SUMIF(DB_Withdrawals!$A:$A,A211,DB_Withdrawals!$G:$G),0)),"")</f>
        <v/>
      </c>
      <c r="N211" s="39" t="str">
        <f>IFERROR(IF(A211="","",MAX(0,M211-System_Config!$B$9)),"")</f>
        <v/>
      </c>
    </row>
    <row r="212" spans="1:14" ht="19.5" customHeight="1" x14ac:dyDescent="0.25">
      <c r="A212" s="37" t="str">
        <f>'NEW ACCOUNT'!A213</f>
        <v/>
      </c>
      <c r="B212" s="38" t="str">
        <f>IF('NEW ACCOUNT'!A213="","",'NEW ACCOUNT'!B213)</f>
        <v/>
      </c>
      <c r="C212" s="38" t="str">
        <f>IF('NEW ACCOUNT'!A213="","",'NEW ACCOUNT'!C213)</f>
        <v/>
      </c>
      <c r="D212" s="38" t="str">
        <f>IF('NEW ACCOUNT'!A213="","",'NEW ACCOUNT'!D213)</f>
        <v/>
      </c>
      <c r="E212" s="38" t="str">
        <f>IF('NEW ACCOUNT'!A213="","",'NEW ACCOUNT'!E213)</f>
        <v/>
      </c>
      <c r="F212" s="38" t="str">
        <f>IF('NEW ACCOUNT'!A213="","",'NEW ACCOUNT'!F213)</f>
        <v/>
      </c>
      <c r="G212" s="38" t="str">
        <f>IF('NEW ACCOUNT'!A213="","",'NEW ACCOUNT'!G213)</f>
        <v/>
      </c>
      <c r="H212" s="38" t="str">
        <f>IF('NEW ACCOUNT'!A213="","",'NEW ACCOUNT'!H213)</f>
        <v/>
      </c>
      <c r="I212" s="38" t="str">
        <f>IF('NEW ACCOUNT'!A213="","",'NEW ACCOUNT'!I213)</f>
        <v/>
      </c>
      <c r="J212" s="38" t="str">
        <f>IF('NEW ACCOUNT'!A213="","",'NEW ACCOUNT'!J213)</f>
        <v/>
      </c>
      <c r="K212" s="39" t="str">
        <f>IFERROR(IF(A212="","",SUMIF(DB_Savings!$A:$A,A212,DB_Savings!$F:$F)),"")</f>
        <v/>
      </c>
      <c r="L212" s="39" t="str">
        <f>IFERROR(IF(A212="","",SUMIF(DB_Withdrawals!$A:$A,A212,DB_Withdrawals!$G:$G)),"")</f>
        <v/>
      </c>
      <c r="M212" s="39" t="str">
        <f>IFERROR(IF(A212="","",IFERROR(VALUE(H212),0)+IFERROR(SUMIF(DB_Savings!$A:$A,A212,DB_Savings!$F:$F),0)-IFERROR(SUMIF(DB_Withdrawals!$A:$A,A212,DB_Withdrawals!$G:$G),0)),"")</f>
        <v/>
      </c>
      <c r="N212" s="39" t="str">
        <f>IFERROR(IF(A212="","",MAX(0,M212-System_Config!$B$9)),"")</f>
        <v/>
      </c>
    </row>
    <row r="213" spans="1:14" ht="19.5" customHeight="1" x14ac:dyDescent="0.25">
      <c r="A213" s="37" t="str">
        <f>'NEW ACCOUNT'!A214</f>
        <v/>
      </c>
      <c r="B213" s="38" t="str">
        <f>IF('NEW ACCOUNT'!A214="","",'NEW ACCOUNT'!B214)</f>
        <v/>
      </c>
      <c r="C213" s="38" t="str">
        <f>IF('NEW ACCOUNT'!A214="","",'NEW ACCOUNT'!C214)</f>
        <v/>
      </c>
      <c r="D213" s="38" t="str">
        <f>IF('NEW ACCOUNT'!A214="","",'NEW ACCOUNT'!D214)</f>
        <v/>
      </c>
      <c r="E213" s="38" t="str">
        <f>IF('NEW ACCOUNT'!A214="","",'NEW ACCOUNT'!E214)</f>
        <v/>
      </c>
      <c r="F213" s="38" t="str">
        <f>IF('NEW ACCOUNT'!A214="","",'NEW ACCOUNT'!F214)</f>
        <v/>
      </c>
      <c r="G213" s="38" t="str">
        <f>IF('NEW ACCOUNT'!A214="","",'NEW ACCOUNT'!G214)</f>
        <v/>
      </c>
      <c r="H213" s="38" t="str">
        <f>IF('NEW ACCOUNT'!A214="","",'NEW ACCOUNT'!H214)</f>
        <v/>
      </c>
      <c r="I213" s="38" t="str">
        <f>IF('NEW ACCOUNT'!A214="","",'NEW ACCOUNT'!I214)</f>
        <v/>
      </c>
      <c r="J213" s="38" t="str">
        <f>IF('NEW ACCOUNT'!A214="","",'NEW ACCOUNT'!J214)</f>
        <v/>
      </c>
      <c r="K213" s="39" t="str">
        <f>IFERROR(IF(A213="","",SUMIF(DB_Savings!$A:$A,A213,DB_Savings!$F:$F)),"")</f>
        <v/>
      </c>
      <c r="L213" s="39" t="str">
        <f>IFERROR(IF(A213="","",SUMIF(DB_Withdrawals!$A:$A,A213,DB_Withdrawals!$G:$G)),"")</f>
        <v/>
      </c>
      <c r="M213" s="39" t="str">
        <f>IFERROR(IF(A213="","",IFERROR(VALUE(H213),0)+IFERROR(SUMIF(DB_Savings!$A:$A,A213,DB_Savings!$F:$F),0)-IFERROR(SUMIF(DB_Withdrawals!$A:$A,A213,DB_Withdrawals!$G:$G),0)),"")</f>
        <v/>
      </c>
      <c r="N213" s="39" t="str">
        <f>IFERROR(IF(A213="","",MAX(0,M213-System_Config!$B$9)),"")</f>
        <v/>
      </c>
    </row>
    <row r="214" spans="1:14" ht="19.5" customHeight="1" x14ac:dyDescent="0.25">
      <c r="A214" s="37" t="str">
        <f>'NEW ACCOUNT'!A215</f>
        <v/>
      </c>
      <c r="B214" s="38" t="str">
        <f>IF('NEW ACCOUNT'!A215="","",'NEW ACCOUNT'!B215)</f>
        <v/>
      </c>
      <c r="C214" s="38" t="str">
        <f>IF('NEW ACCOUNT'!A215="","",'NEW ACCOUNT'!C215)</f>
        <v/>
      </c>
      <c r="D214" s="38" t="str">
        <f>IF('NEW ACCOUNT'!A215="","",'NEW ACCOUNT'!D215)</f>
        <v/>
      </c>
      <c r="E214" s="38" t="str">
        <f>IF('NEW ACCOUNT'!A215="","",'NEW ACCOUNT'!E215)</f>
        <v/>
      </c>
      <c r="F214" s="38" t="str">
        <f>IF('NEW ACCOUNT'!A215="","",'NEW ACCOUNT'!F215)</f>
        <v/>
      </c>
      <c r="G214" s="38" t="str">
        <f>IF('NEW ACCOUNT'!A215="","",'NEW ACCOUNT'!G215)</f>
        <v/>
      </c>
      <c r="H214" s="38" t="str">
        <f>IF('NEW ACCOUNT'!A215="","",'NEW ACCOUNT'!H215)</f>
        <v/>
      </c>
      <c r="I214" s="38" t="str">
        <f>IF('NEW ACCOUNT'!A215="","",'NEW ACCOUNT'!I215)</f>
        <v/>
      </c>
      <c r="J214" s="38" t="str">
        <f>IF('NEW ACCOUNT'!A215="","",'NEW ACCOUNT'!J215)</f>
        <v/>
      </c>
      <c r="K214" s="39" t="str">
        <f>IFERROR(IF(A214="","",SUMIF(DB_Savings!$A:$A,A214,DB_Savings!$F:$F)),"")</f>
        <v/>
      </c>
      <c r="L214" s="39" t="str">
        <f>IFERROR(IF(A214="","",SUMIF(DB_Withdrawals!$A:$A,A214,DB_Withdrawals!$G:$G)),"")</f>
        <v/>
      </c>
      <c r="M214" s="39" t="str">
        <f>IFERROR(IF(A214="","",IFERROR(VALUE(H214),0)+IFERROR(SUMIF(DB_Savings!$A:$A,A214,DB_Savings!$F:$F),0)-IFERROR(SUMIF(DB_Withdrawals!$A:$A,A214,DB_Withdrawals!$G:$G),0)),"")</f>
        <v/>
      </c>
      <c r="N214" s="39" t="str">
        <f>IFERROR(IF(A214="","",MAX(0,M214-System_Config!$B$9)),"")</f>
        <v/>
      </c>
    </row>
    <row r="215" spans="1:14" ht="19.5" customHeight="1" x14ac:dyDescent="0.25">
      <c r="A215" s="37" t="str">
        <f>'NEW ACCOUNT'!A216</f>
        <v/>
      </c>
      <c r="B215" s="38" t="str">
        <f>IF('NEW ACCOUNT'!A216="","",'NEW ACCOUNT'!B216)</f>
        <v/>
      </c>
      <c r="C215" s="38" t="str">
        <f>IF('NEW ACCOUNT'!A216="","",'NEW ACCOUNT'!C216)</f>
        <v/>
      </c>
      <c r="D215" s="38" t="str">
        <f>IF('NEW ACCOUNT'!A216="","",'NEW ACCOUNT'!D216)</f>
        <v/>
      </c>
      <c r="E215" s="38" t="str">
        <f>IF('NEW ACCOUNT'!A216="","",'NEW ACCOUNT'!E216)</f>
        <v/>
      </c>
      <c r="F215" s="38" t="str">
        <f>IF('NEW ACCOUNT'!A216="","",'NEW ACCOUNT'!F216)</f>
        <v/>
      </c>
      <c r="G215" s="38" t="str">
        <f>IF('NEW ACCOUNT'!A216="","",'NEW ACCOUNT'!G216)</f>
        <v/>
      </c>
      <c r="H215" s="38" t="str">
        <f>IF('NEW ACCOUNT'!A216="","",'NEW ACCOUNT'!H216)</f>
        <v/>
      </c>
      <c r="I215" s="38" t="str">
        <f>IF('NEW ACCOUNT'!A216="","",'NEW ACCOUNT'!I216)</f>
        <v/>
      </c>
      <c r="J215" s="38" t="str">
        <f>IF('NEW ACCOUNT'!A216="","",'NEW ACCOUNT'!J216)</f>
        <v/>
      </c>
      <c r="K215" s="39" t="str">
        <f>IFERROR(IF(A215="","",SUMIF(DB_Savings!$A:$A,A215,DB_Savings!$F:$F)),"")</f>
        <v/>
      </c>
      <c r="L215" s="39" t="str">
        <f>IFERROR(IF(A215="","",SUMIF(DB_Withdrawals!$A:$A,A215,DB_Withdrawals!$G:$G)),"")</f>
        <v/>
      </c>
      <c r="M215" s="39" t="str">
        <f>IFERROR(IF(A215="","",IFERROR(VALUE(H215),0)+IFERROR(SUMIF(DB_Savings!$A:$A,A215,DB_Savings!$F:$F),0)-IFERROR(SUMIF(DB_Withdrawals!$A:$A,A215,DB_Withdrawals!$G:$G),0)),"")</f>
        <v/>
      </c>
      <c r="N215" s="39" t="str">
        <f>IFERROR(IF(A215="","",MAX(0,M215-System_Config!$B$9)),"")</f>
        <v/>
      </c>
    </row>
    <row r="216" spans="1:14" ht="19.5" customHeight="1" x14ac:dyDescent="0.25">
      <c r="A216" s="37" t="str">
        <f>'NEW ACCOUNT'!A217</f>
        <v/>
      </c>
      <c r="B216" s="38" t="str">
        <f>IF('NEW ACCOUNT'!A217="","",'NEW ACCOUNT'!B217)</f>
        <v/>
      </c>
      <c r="C216" s="38" t="str">
        <f>IF('NEW ACCOUNT'!A217="","",'NEW ACCOUNT'!C217)</f>
        <v/>
      </c>
      <c r="D216" s="38" t="str">
        <f>IF('NEW ACCOUNT'!A217="","",'NEW ACCOUNT'!D217)</f>
        <v/>
      </c>
      <c r="E216" s="38" t="str">
        <f>IF('NEW ACCOUNT'!A217="","",'NEW ACCOUNT'!E217)</f>
        <v/>
      </c>
      <c r="F216" s="38" t="str">
        <f>IF('NEW ACCOUNT'!A217="","",'NEW ACCOUNT'!F217)</f>
        <v/>
      </c>
      <c r="G216" s="38" t="str">
        <f>IF('NEW ACCOUNT'!A217="","",'NEW ACCOUNT'!G217)</f>
        <v/>
      </c>
      <c r="H216" s="38" t="str">
        <f>IF('NEW ACCOUNT'!A217="","",'NEW ACCOUNT'!H217)</f>
        <v/>
      </c>
      <c r="I216" s="38" t="str">
        <f>IF('NEW ACCOUNT'!A217="","",'NEW ACCOUNT'!I217)</f>
        <v/>
      </c>
      <c r="J216" s="38" t="str">
        <f>IF('NEW ACCOUNT'!A217="","",'NEW ACCOUNT'!J217)</f>
        <v/>
      </c>
      <c r="K216" s="39" t="str">
        <f>IFERROR(IF(A216="","",SUMIF(DB_Savings!$A:$A,A216,DB_Savings!$F:$F)),"")</f>
        <v/>
      </c>
      <c r="L216" s="39" t="str">
        <f>IFERROR(IF(A216="","",SUMIF(DB_Withdrawals!$A:$A,A216,DB_Withdrawals!$G:$G)),"")</f>
        <v/>
      </c>
      <c r="M216" s="39" t="str">
        <f>IFERROR(IF(A216="","",IFERROR(VALUE(H216),0)+IFERROR(SUMIF(DB_Savings!$A:$A,A216,DB_Savings!$F:$F),0)-IFERROR(SUMIF(DB_Withdrawals!$A:$A,A216,DB_Withdrawals!$G:$G),0)),"")</f>
        <v/>
      </c>
      <c r="N216" s="39" t="str">
        <f>IFERROR(IF(A216="","",MAX(0,M216-System_Config!$B$9)),"")</f>
        <v/>
      </c>
    </row>
    <row r="217" spans="1:14" ht="19.5" customHeight="1" x14ac:dyDescent="0.25">
      <c r="A217" s="37" t="str">
        <f>'NEW ACCOUNT'!A218</f>
        <v/>
      </c>
      <c r="B217" s="38" t="str">
        <f>IF('NEW ACCOUNT'!A218="","",'NEW ACCOUNT'!B218)</f>
        <v/>
      </c>
      <c r="C217" s="38" t="str">
        <f>IF('NEW ACCOUNT'!A218="","",'NEW ACCOUNT'!C218)</f>
        <v/>
      </c>
      <c r="D217" s="38" t="str">
        <f>IF('NEW ACCOUNT'!A218="","",'NEW ACCOUNT'!D218)</f>
        <v/>
      </c>
      <c r="E217" s="38" t="str">
        <f>IF('NEW ACCOUNT'!A218="","",'NEW ACCOUNT'!E218)</f>
        <v/>
      </c>
      <c r="F217" s="38" t="str">
        <f>IF('NEW ACCOUNT'!A218="","",'NEW ACCOUNT'!F218)</f>
        <v/>
      </c>
      <c r="G217" s="38" t="str">
        <f>IF('NEW ACCOUNT'!A218="","",'NEW ACCOUNT'!G218)</f>
        <v/>
      </c>
      <c r="H217" s="38" t="str">
        <f>IF('NEW ACCOUNT'!A218="","",'NEW ACCOUNT'!H218)</f>
        <v/>
      </c>
      <c r="I217" s="38" t="str">
        <f>IF('NEW ACCOUNT'!A218="","",'NEW ACCOUNT'!I218)</f>
        <v/>
      </c>
      <c r="J217" s="38" t="str">
        <f>IF('NEW ACCOUNT'!A218="","",'NEW ACCOUNT'!J218)</f>
        <v/>
      </c>
      <c r="K217" s="39" t="str">
        <f>IFERROR(IF(A217="","",SUMIF(DB_Savings!$A:$A,A217,DB_Savings!$F:$F)),"")</f>
        <v/>
      </c>
      <c r="L217" s="39" t="str">
        <f>IFERROR(IF(A217="","",SUMIF(DB_Withdrawals!$A:$A,A217,DB_Withdrawals!$G:$G)),"")</f>
        <v/>
      </c>
      <c r="M217" s="39" t="str">
        <f>IFERROR(IF(A217="","",IFERROR(VALUE(H217),0)+IFERROR(SUMIF(DB_Savings!$A:$A,A217,DB_Savings!$F:$F),0)-IFERROR(SUMIF(DB_Withdrawals!$A:$A,A217,DB_Withdrawals!$G:$G),0)),"")</f>
        <v/>
      </c>
      <c r="N217" s="39" t="str">
        <f>IFERROR(IF(A217="","",MAX(0,M217-System_Config!$B$9)),"")</f>
        <v/>
      </c>
    </row>
    <row r="218" spans="1:14" ht="19.5" customHeight="1" x14ac:dyDescent="0.25">
      <c r="A218" s="37" t="str">
        <f>'NEW ACCOUNT'!A219</f>
        <v/>
      </c>
      <c r="B218" s="38" t="str">
        <f>IF('NEW ACCOUNT'!A219="","",'NEW ACCOUNT'!B219)</f>
        <v/>
      </c>
      <c r="C218" s="38" t="str">
        <f>IF('NEW ACCOUNT'!A219="","",'NEW ACCOUNT'!C219)</f>
        <v/>
      </c>
      <c r="D218" s="38" t="str">
        <f>IF('NEW ACCOUNT'!A219="","",'NEW ACCOUNT'!D219)</f>
        <v/>
      </c>
      <c r="E218" s="38" t="str">
        <f>IF('NEW ACCOUNT'!A219="","",'NEW ACCOUNT'!E219)</f>
        <v/>
      </c>
      <c r="F218" s="38" t="str">
        <f>IF('NEW ACCOUNT'!A219="","",'NEW ACCOUNT'!F219)</f>
        <v/>
      </c>
      <c r="G218" s="38" t="str">
        <f>IF('NEW ACCOUNT'!A219="","",'NEW ACCOUNT'!G219)</f>
        <v/>
      </c>
      <c r="H218" s="38" t="str">
        <f>IF('NEW ACCOUNT'!A219="","",'NEW ACCOUNT'!H219)</f>
        <v/>
      </c>
      <c r="I218" s="38" t="str">
        <f>IF('NEW ACCOUNT'!A219="","",'NEW ACCOUNT'!I219)</f>
        <v/>
      </c>
      <c r="J218" s="38" t="str">
        <f>IF('NEW ACCOUNT'!A219="","",'NEW ACCOUNT'!J219)</f>
        <v/>
      </c>
      <c r="K218" s="39" t="str">
        <f>IFERROR(IF(A218="","",SUMIF(DB_Savings!$A:$A,A218,DB_Savings!$F:$F)),"")</f>
        <v/>
      </c>
      <c r="L218" s="39" t="str">
        <f>IFERROR(IF(A218="","",SUMIF(DB_Withdrawals!$A:$A,A218,DB_Withdrawals!$G:$G)),"")</f>
        <v/>
      </c>
      <c r="M218" s="39" t="str">
        <f>IFERROR(IF(A218="","",IFERROR(VALUE(H218),0)+IFERROR(SUMIF(DB_Savings!$A:$A,A218,DB_Savings!$F:$F),0)-IFERROR(SUMIF(DB_Withdrawals!$A:$A,A218,DB_Withdrawals!$G:$G),0)),"")</f>
        <v/>
      </c>
      <c r="N218" s="39" t="str">
        <f>IFERROR(IF(A218="","",MAX(0,M218-System_Config!$B$9)),"")</f>
        <v/>
      </c>
    </row>
    <row r="219" spans="1:14" ht="19.5" customHeight="1" x14ac:dyDescent="0.25">
      <c r="A219" s="37" t="str">
        <f>'NEW ACCOUNT'!A220</f>
        <v/>
      </c>
      <c r="B219" s="38" t="str">
        <f>IF('NEW ACCOUNT'!A220="","",'NEW ACCOUNT'!B220)</f>
        <v/>
      </c>
      <c r="C219" s="38" t="str">
        <f>IF('NEW ACCOUNT'!A220="","",'NEW ACCOUNT'!C220)</f>
        <v/>
      </c>
      <c r="D219" s="38" t="str">
        <f>IF('NEW ACCOUNT'!A220="","",'NEW ACCOUNT'!D220)</f>
        <v/>
      </c>
      <c r="E219" s="38" t="str">
        <f>IF('NEW ACCOUNT'!A220="","",'NEW ACCOUNT'!E220)</f>
        <v/>
      </c>
      <c r="F219" s="38" t="str">
        <f>IF('NEW ACCOUNT'!A220="","",'NEW ACCOUNT'!F220)</f>
        <v/>
      </c>
      <c r="G219" s="38" t="str">
        <f>IF('NEW ACCOUNT'!A220="","",'NEW ACCOUNT'!G220)</f>
        <v/>
      </c>
      <c r="H219" s="38" t="str">
        <f>IF('NEW ACCOUNT'!A220="","",'NEW ACCOUNT'!H220)</f>
        <v/>
      </c>
      <c r="I219" s="38" t="str">
        <f>IF('NEW ACCOUNT'!A220="","",'NEW ACCOUNT'!I220)</f>
        <v/>
      </c>
      <c r="J219" s="38" t="str">
        <f>IF('NEW ACCOUNT'!A220="","",'NEW ACCOUNT'!J220)</f>
        <v/>
      </c>
      <c r="K219" s="39" t="str">
        <f>IFERROR(IF(A219="","",SUMIF(DB_Savings!$A:$A,A219,DB_Savings!$F:$F)),"")</f>
        <v/>
      </c>
      <c r="L219" s="39" t="str">
        <f>IFERROR(IF(A219="","",SUMIF(DB_Withdrawals!$A:$A,A219,DB_Withdrawals!$G:$G)),"")</f>
        <v/>
      </c>
      <c r="M219" s="39" t="str">
        <f>IFERROR(IF(A219="","",IFERROR(VALUE(H219),0)+IFERROR(SUMIF(DB_Savings!$A:$A,A219,DB_Savings!$F:$F),0)-IFERROR(SUMIF(DB_Withdrawals!$A:$A,A219,DB_Withdrawals!$G:$G),0)),"")</f>
        <v/>
      </c>
      <c r="N219" s="39" t="str">
        <f>IFERROR(IF(A219="","",MAX(0,M219-System_Config!$B$9)),"")</f>
        <v/>
      </c>
    </row>
    <row r="220" spans="1:14" ht="19.5" customHeight="1" x14ac:dyDescent="0.25">
      <c r="A220" s="37" t="str">
        <f>'NEW ACCOUNT'!A221</f>
        <v/>
      </c>
      <c r="B220" s="38" t="str">
        <f>IF('NEW ACCOUNT'!A221="","",'NEW ACCOUNT'!B221)</f>
        <v/>
      </c>
      <c r="C220" s="38" t="str">
        <f>IF('NEW ACCOUNT'!A221="","",'NEW ACCOUNT'!C221)</f>
        <v/>
      </c>
      <c r="D220" s="38" t="str">
        <f>IF('NEW ACCOUNT'!A221="","",'NEW ACCOUNT'!D221)</f>
        <v/>
      </c>
      <c r="E220" s="38" t="str">
        <f>IF('NEW ACCOUNT'!A221="","",'NEW ACCOUNT'!E221)</f>
        <v/>
      </c>
      <c r="F220" s="38" t="str">
        <f>IF('NEW ACCOUNT'!A221="","",'NEW ACCOUNT'!F221)</f>
        <v/>
      </c>
      <c r="G220" s="38" t="str">
        <f>IF('NEW ACCOUNT'!A221="","",'NEW ACCOUNT'!G221)</f>
        <v/>
      </c>
      <c r="H220" s="38" t="str">
        <f>IF('NEW ACCOUNT'!A221="","",'NEW ACCOUNT'!H221)</f>
        <v/>
      </c>
      <c r="I220" s="38" t="str">
        <f>IF('NEW ACCOUNT'!A221="","",'NEW ACCOUNT'!I221)</f>
        <v/>
      </c>
      <c r="J220" s="38" t="str">
        <f>IF('NEW ACCOUNT'!A221="","",'NEW ACCOUNT'!J221)</f>
        <v/>
      </c>
      <c r="K220" s="39" t="str">
        <f>IFERROR(IF(A220="","",SUMIF(DB_Savings!$A:$A,A220,DB_Savings!$F:$F)),"")</f>
        <v/>
      </c>
      <c r="L220" s="39" t="str">
        <f>IFERROR(IF(A220="","",SUMIF(DB_Withdrawals!$A:$A,A220,DB_Withdrawals!$G:$G)),"")</f>
        <v/>
      </c>
      <c r="M220" s="39" t="str">
        <f>IFERROR(IF(A220="","",IFERROR(VALUE(H220),0)+IFERROR(SUMIF(DB_Savings!$A:$A,A220,DB_Savings!$F:$F),0)-IFERROR(SUMIF(DB_Withdrawals!$A:$A,A220,DB_Withdrawals!$G:$G),0)),"")</f>
        <v/>
      </c>
      <c r="N220" s="39" t="str">
        <f>IFERROR(IF(A220="","",MAX(0,M220-System_Config!$B$9)),"")</f>
        <v/>
      </c>
    </row>
    <row r="221" spans="1:14" ht="19.5" customHeight="1" x14ac:dyDescent="0.25">
      <c r="A221" s="37" t="str">
        <f>'NEW ACCOUNT'!A222</f>
        <v/>
      </c>
      <c r="B221" s="38" t="str">
        <f>IF('NEW ACCOUNT'!A222="","",'NEW ACCOUNT'!B222)</f>
        <v/>
      </c>
      <c r="C221" s="38" t="str">
        <f>IF('NEW ACCOUNT'!A222="","",'NEW ACCOUNT'!C222)</f>
        <v/>
      </c>
      <c r="D221" s="38" t="str">
        <f>IF('NEW ACCOUNT'!A222="","",'NEW ACCOUNT'!D222)</f>
        <v/>
      </c>
      <c r="E221" s="38" t="str">
        <f>IF('NEW ACCOUNT'!A222="","",'NEW ACCOUNT'!E222)</f>
        <v/>
      </c>
      <c r="F221" s="38" t="str">
        <f>IF('NEW ACCOUNT'!A222="","",'NEW ACCOUNT'!F222)</f>
        <v/>
      </c>
      <c r="G221" s="38" t="str">
        <f>IF('NEW ACCOUNT'!A222="","",'NEW ACCOUNT'!G222)</f>
        <v/>
      </c>
      <c r="H221" s="38" t="str">
        <f>IF('NEW ACCOUNT'!A222="","",'NEW ACCOUNT'!H222)</f>
        <v/>
      </c>
      <c r="I221" s="38" t="str">
        <f>IF('NEW ACCOUNT'!A222="","",'NEW ACCOUNT'!I222)</f>
        <v/>
      </c>
      <c r="J221" s="38" t="str">
        <f>IF('NEW ACCOUNT'!A222="","",'NEW ACCOUNT'!J222)</f>
        <v/>
      </c>
      <c r="K221" s="39" t="str">
        <f>IFERROR(IF(A221="","",SUMIF(DB_Savings!$A:$A,A221,DB_Savings!$F:$F)),"")</f>
        <v/>
      </c>
      <c r="L221" s="39" t="str">
        <f>IFERROR(IF(A221="","",SUMIF(DB_Withdrawals!$A:$A,A221,DB_Withdrawals!$G:$G)),"")</f>
        <v/>
      </c>
      <c r="M221" s="39" t="str">
        <f>IFERROR(IF(A221="","",IFERROR(VALUE(H221),0)+IFERROR(SUMIF(DB_Savings!$A:$A,A221,DB_Savings!$F:$F),0)-IFERROR(SUMIF(DB_Withdrawals!$A:$A,A221,DB_Withdrawals!$G:$G),0)),"")</f>
        <v/>
      </c>
      <c r="N221" s="39" t="str">
        <f>IFERROR(IF(A221="","",MAX(0,M221-System_Config!$B$9)),"")</f>
        <v/>
      </c>
    </row>
    <row r="222" spans="1:14" ht="19.5" customHeight="1" x14ac:dyDescent="0.25">
      <c r="A222" s="37" t="str">
        <f>'NEW ACCOUNT'!A223</f>
        <v/>
      </c>
      <c r="B222" s="38" t="str">
        <f>IF('NEW ACCOUNT'!A223="","",'NEW ACCOUNT'!B223)</f>
        <v/>
      </c>
      <c r="C222" s="38" t="str">
        <f>IF('NEW ACCOUNT'!A223="","",'NEW ACCOUNT'!C223)</f>
        <v/>
      </c>
      <c r="D222" s="38" t="str">
        <f>IF('NEW ACCOUNT'!A223="","",'NEW ACCOUNT'!D223)</f>
        <v/>
      </c>
      <c r="E222" s="38" t="str">
        <f>IF('NEW ACCOUNT'!A223="","",'NEW ACCOUNT'!E223)</f>
        <v/>
      </c>
      <c r="F222" s="38" t="str">
        <f>IF('NEW ACCOUNT'!A223="","",'NEW ACCOUNT'!F223)</f>
        <v/>
      </c>
      <c r="G222" s="38" t="str">
        <f>IF('NEW ACCOUNT'!A223="","",'NEW ACCOUNT'!G223)</f>
        <v/>
      </c>
      <c r="H222" s="38" t="str">
        <f>IF('NEW ACCOUNT'!A223="","",'NEW ACCOUNT'!H223)</f>
        <v/>
      </c>
      <c r="I222" s="38" t="str">
        <f>IF('NEW ACCOUNT'!A223="","",'NEW ACCOUNT'!I223)</f>
        <v/>
      </c>
      <c r="J222" s="38" t="str">
        <f>IF('NEW ACCOUNT'!A223="","",'NEW ACCOUNT'!J223)</f>
        <v/>
      </c>
      <c r="K222" s="39" t="str">
        <f>IFERROR(IF(A222="","",SUMIF(DB_Savings!$A:$A,A222,DB_Savings!$F:$F)),"")</f>
        <v/>
      </c>
      <c r="L222" s="39" t="str">
        <f>IFERROR(IF(A222="","",SUMIF(DB_Withdrawals!$A:$A,A222,DB_Withdrawals!$G:$G)),"")</f>
        <v/>
      </c>
      <c r="M222" s="39" t="str">
        <f>IFERROR(IF(A222="","",IFERROR(VALUE(H222),0)+IFERROR(SUMIF(DB_Savings!$A:$A,A222,DB_Savings!$F:$F),0)-IFERROR(SUMIF(DB_Withdrawals!$A:$A,A222,DB_Withdrawals!$G:$G),0)),"")</f>
        <v/>
      </c>
      <c r="N222" s="39" t="str">
        <f>IFERROR(IF(A222="","",MAX(0,M222-System_Config!$B$9)),"")</f>
        <v/>
      </c>
    </row>
    <row r="223" spans="1:14" ht="19.5" customHeight="1" x14ac:dyDescent="0.25">
      <c r="A223" s="37" t="str">
        <f>'NEW ACCOUNT'!A224</f>
        <v/>
      </c>
      <c r="B223" s="38" t="str">
        <f>IF('NEW ACCOUNT'!A224="","",'NEW ACCOUNT'!B224)</f>
        <v/>
      </c>
      <c r="C223" s="38" t="str">
        <f>IF('NEW ACCOUNT'!A224="","",'NEW ACCOUNT'!C224)</f>
        <v/>
      </c>
      <c r="D223" s="38" t="str">
        <f>IF('NEW ACCOUNT'!A224="","",'NEW ACCOUNT'!D224)</f>
        <v/>
      </c>
      <c r="E223" s="38" t="str">
        <f>IF('NEW ACCOUNT'!A224="","",'NEW ACCOUNT'!E224)</f>
        <v/>
      </c>
      <c r="F223" s="38" t="str">
        <f>IF('NEW ACCOUNT'!A224="","",'NEW ACCOUNT'!F224)</f>
        <v/>
      </c>
      <c r="G223" s="38" t="str">
        <f>IF('NEW ACCOUNT'!A224="","",'NEW ACCOUNT'!G224)</f>
        <v/>
      </c>
      <c r="H223" s="38" t="str">
        <f>IF('NEW ACCOUNT'!A224="","",'NEW ACCOUNT'!H224)</f>
        <v/>
      </c>
      <c r="I223" s="38" t="str">
        <f>IF('NEW ACCOUNT'!A224="","",'NEW ACCOUNT'!I224)</f>
        <v/>
      </c>
      <c r="J223" s="38" t="str">
        <f>IF('NEW ACCOUNT'!A224="","",'NEW ACCOUNT'!J224)</f>
        <v/>
      </c>
      <c r="K223" s="39" t="str">
        <f>IFERROR(IF(A223="","",SUMIF(DB_Savings!$A:$A,A223,DB_Savings!$F:$F)),"")</f>
        <v/>
      </c>
      <c r="L223" s="39" t="str">
        <f>IFERROR(IF(A223="","",SUMIF(DB_Withdrawals!$A:$A,A223,DB_Withdrawals!$G:$G)),"")</f>
        <v/>
      </c>
      <c r="M223" s="39" t="str">
        <f>IFERROR(IF(A223="","",IFERROR(VALUE(H223),0)+IFERROR(SUMIF(DB_Savings!$A:$A,A223,DB_Savings!$F:$F),0)-IFERROR(SUMIF(DB_Withdrawals!$A:$A,A223,DB_Withdrawals!$G:$G),0)),"")</f>
        <v/>
      </c>
      <c r="N223" s="39" t="str">
        <f>IFERROR(IF(A223="","",MAX(0,M223-System_Config!$B$9)),"")</f>
        <v/>
      </c>
    </row>
    <row r="224" spans="1:14" ht="19.5" customHeight="1" x14ac:dyDescent="0.25">
      <c r="A224" s="37" t="str">
        <f>'NEW ACCOUNT'!A225</f>
        <v/>
      </c>
      <c r="B224" s="38" t="str">
        <f>IF('NEW ACCOUNT'!A225="","",'NEW ACCOUNT'!B225)</f>
        <v/>
      </c>
      <c r="C224" s="38" t="str">
        <f>IF('NEW ACCOUNT'!A225="","",'NEW ACCOUNT'!C225)</f>
        <v/>
      </c>
      <c r="D224" s="38" t="str">
        <f>IF('NEW ACCOUNT'!A225="","",'NEW ACCOUNT'!D225)</f>
        <v/>
      </c>
      <c r="E224" s="38" t="str">
        <f>IF('NEW ACCOUNT'!A225="","",'NEW ACCOUNT'!E225)</f>
        <v/>
      </c>
      <c r="F224" s="38" t="str">
        <f>IF('NEW ACCOUNT'!A225="","",'NEW ACCOUNT'!F225)</f>
        <v/>
      </c>
      <c r="G224" s="38" t="str">
        <f>IF('NEW ACCOUNT'!A225="","",'NEW ACCOUNT'!G225)</f>
        <v/>
      </c>
      <c r="H224" s="38" t="str">
        <f>IF('NEW ACCOUNT'!A225="","",'NEW ACCOUNT'!H225)</f>
        <v/>
      </c>
      <c r="I224" s="38" t="str">
        <f>IF('NEW ACCOUNT'!A225="","",'NEW ACCOUNT'!I225)</f>
        <v/>
      </c>
      <c r="J224" s="38" t="str">
        <f>IF('NEW ACCOUNT'!A225="","",'NEW ACCOUNT'!J225)</f>
        <v/>
      </c>
      <c r="K224" s="39" t="str">
        <f>IFERROR(IF(A224="","",SUMIF(DB_Savings!$A:$A,A224,DB_Savings!$F:$F)),"")</f>
        <v/>
      </c>
      <c r="L224" s="39" t="str">
        <f>IFERROR(IF(A224="","",SUMIF(DB_Withdrawals!$A:$A,A224,DB_Withdrawals!$G:$G)),"")</f>
        <v/>
      </c>
      <c r="M224" s="39" t="str">
        <f>IFERROR(IF(A224="","",IFERROR(VALUE(H224),0)+IFERROR(SUMIF(DB_Savings!$A:$A,A224,DB_Savings!$F:$F),0)-IFERROR(SUMIF(DB_Withdrawals!$A:$A,A224,DB_Withdrawals!$G:$G),0)),"")</f>
        <v/>
      </c>
      <c r="N224" s="39" t="str">
        <f>IFERROR(IF(A224="","",MAX(0,M224-System_Config!$B$9)),"")</f>
        <v/>
      </c>
    </row>
    <row r="225" spans="1:14" ht="19.5" customHeight="1" x14ac:dyDescent="0.25">
      <c r="A225" s="37" t="str">
        <f>'NEW ACCOUNT'!A226</f>
        <v/>
      </c>
      <c r="B225" s="38" t="str">
        <f>IF('NEW ACCOUNT'!A226="","",'NEW ACCOUNT'!B226)</f>
        <v/>
      </c>
      <c r="C225" s="38" t="str">
        <f>IF('NEW ACCOUNT'!A226="","",'NEW ACCOUNT'!C226)</f>
        <v/>
      </c>
      <c r="D225" s="38" t="str">
        <f>IF('NEW ACCOUNT'!A226="","",'NEW ACCOUNT'!D226)</f>
        <v/>
      </c>
      <c r="E225" s="38" t="str">
        <f>IF('NEW ACCOUNT'!A226="","",'NEW ACCOUNT'!E226)</f>
        <v/>
      </c>
      <c r="F225" s="38" t="str">
        <f>IF('NEW ACCOUNT'!A226="","",'NEW ACCOUNT'!F226)</f>
        <v/>
      </c>
      <c r="G225" s="38" t="str">
        <f>IF('NEW ACCOUNT'!A226="","",'NEW ACCOUNT'!G226)</f>
        <v/>
      </c>
      <c r="H225" s="38" t="str">
        <f>IF('NEW ACCOUNT'!A226="","",'NEW ACCOUNT'!H226)</f>
        <v/>
      </c>
      <c r="I225" s="38" t="str">
        <f>IF('NEW ACCOUNT'!A226="","",'NEW ACCOUNT'!I226)</f>
        <v/>
      </c>
      <c r="J225" s="38" t="str">
        <f>IF('NEW ACCOUNT'!A226="","",'NEW ACCOUNT'!J226)</f>
        <v/>
      </c>
      <c r="K225" s="39" t="str">
        <f>IFERROR(IF(A225="","",SUMIF(DB_Savings!$A:$A,A225,DB_Savings!$F:$F)),"")</f>
        <v/>
      </c>
      <c r="L225" s="39" t="str">
        <f>IFERROR(IF(A225="","",SUMIF(DB_Withdrawals!$A:$A,A225,DB_Withdrawals!$G:$G)),"")</f>
        <v/>
      </c>
      <c r="M225" s="39" t="str">
        <f>IFERROR(IF(A225="","",IFERROR(VALUE(H225),0)+IFERROR(SUMIF(DB_Savings!$A:$A,A225,DB_Savings!$F:$F),0)-IFERROR(SUMIF(DB_Withdrawals!$A:$A,A225,DB_Withdrawals!$G:$G),0)),"")</f>
        <v/>
      </c>
      <c r="N225" s="39" t="str">
        <f>IFERROR(IF(A225="","",MAX(0,M225-System_Config!$B$9)),"")</f>
        <v/>
      </c>
    </row>
    <row r="226" spans="1:14" ht="19.5" customHeight="1" x14ac:dyDescent="0.25">
      <c r="A226" s="37" t="str">
        <f>'NEW ACCOUNT'!A227</f>
        <v/>
      </c>
      <c r="B226" s="38" t="str">
        <f>IF('NEW ACCOUNT'!A227="","",'NEW ACCOUNT'!B227)</f>
        <v/>
      </c>
      <c r="C226" s="38" t="str">
        <f>IF('NEW ACCOUNT'!A227="","",'NEW ACCOUNT'!C227)</f>
        <v/>
      </c>
      <c r="D226" s="38" t="str">
        <f>IF('NEW ACCOUNT'!A227="","",'NEW ACCOUNT'!D227)</f>
        <v/>
      </c>
      <c r="E226" s="38" t="str">
        <f>IF('NEW ACCOUNT'!A227="","",'NEW ACCOUNT'!E227)</f>
        <v/>
      </c>
      <c r="F226" s="38" t="str">
        <f>IF('NEW ACCOUNT'!A227="","",'NEW ACCOUNT'!F227)</f>
        <v/>
      </c>
      <c r="G226" s="38" t="str">
        <f>IF('NEW ACCOUNT'!A227="","",'NEW ACCOUNT'!G227)</f>
        <v/>
      </c>
      <c r="H226" s="38" t="str">
        <f>IF('NEW ACCOUNT'!A227="","",'NEW ACCOUNT'!H227)</f>
        <v/>
      </c>
      <c r="I226" s="38" t="str">
        <f>IF('NEW ACCOUNT'!A227="","",'NEW ACCOUNT'!I227)</f>
        <v/>
      </c>
      <c r="J226" s="38" t="str">
        <f>IF('NEW ACCOUNT'!A227="","",'NEW ACCOUNT'!J227)</f>
        <v/>
      </c>
      <c r="K226" s="39" t="str">
        <f>IFERROR(IF(A226="","",SUMIF(DB_Savings!$A:$A,A226,DB_Savings!$F:$F)),"")</f>
        <v/>
      </c>
      <c r="L226" s="39" t="str">
        <f>IFERROR(IF(A226="","",SUMIF(DB_Withdrawals!$A:$A,A226,DB_Withdrawals!$G:$G)),"")</f>
        <v/>
      </c>
      <c r="M226" s="39" t="str">
        <f>IFERROR(IF(A226="","",IFERROR(VALUE(H226),0)+IFERROR(SUMIF(DB_Savings!$A:$A,A226,DB_Savings!$F:$F),0)-IFERROR(SUMIF(DB_Withdrawals!$A:$A,A226,DB_Withdrawals!$G:$G),0)),"")</f>
        <v/>
      </c>
      <c r="N226" s="39" t="str">
        <f>IFERROR(IF(A226="","",MAX(0,M226-System_Config!$B$9)),"")</f>
        <v/>
      </c>
    </row>
    <row r="227" spans="1:14" ht="19.5" customHeight="1" x14ac:dyDescent="0.25">
      <c r="A227" s="37" t="str">
        <f>'NEW ACCOUNT'!A228</f>
        <v/>
      </c>
      <c r="B227" s="38" t="str">
        <f>IF('NEW ACCOUNT'!A228="","",'NEW ACCOUNT'!B228)</f>
        <v/>
      </c>
      <c r="C227" s="38" t="str">
        <f>IF('NEW ACCOUNT'!A228="","",'NEW ACCOUNT'!C228)</f>
        <v/>
      </c>
      <c r="D227" s="38" t="str">
        <f>IF('NEW ACCOUNT'!A228="","",'NEW ACCOUNT'!D228)</f>
        <v/>
      </c>
      <c r="E227" s="38" t="str">
        <f>IF('NEW ACCOUNT'!A228="","",'NEW ACCOUNT'!E228)</f>
        <v/>
      </c>
      <c r="F227" s="38" t="str">
        <f>IF('NEW ACCOUNT'!A228="","",'NEW ACCOUNT'!F228)</f>
        <v/>
      </c>
      <c r="G227" s="38" t="str">
        <f>IF('NEW ACCOUNT'!A228="","",'NEW ACCOUNT'!G228)</f>
        <v/>
      </c>
      <c r="H227" s="38" t="str">
        <f>IF('NEW ACCOUNT'!A228="","",'NEW ACCOUNT'!H228)</f>
        <v/>
      </c>
      <c r="I227" s="38" t="str">
        <f>IF('NEW ACCOUNT'!A228="","",'NEW ACCOUNT'!I228)</f>
        <v/>
      </c>
      <c r="J227" s="38" t="str">
        <f>IF('NEW ACCOUNT'!A228="","",'NEW ACCOUNT'!J228)</f>
        <v/>
      </c>
      <c r="K227" s="39" t="str">
        <f>IFERROR(IF(A227="","",SUMIF(DB_Savings!$A:$A,A227,DB_Savings!$F:$F)),"")</f>
        <v/>
      </c>
      <c r="L227" s="39" t="str">
        <f>IFERROR(IF(A227="","",SUMIF(DB_Withdrawals!$A:$A,A227,DB_Withdrawals!$G:$G)),"")</f>
        <v/>
      </c>
      <c r="M227" s="39" t="str">
        <f>IFERROR(IF(A227="","",IFERROR(VALUE(H227),0)+IFERROR(SUMIF(DB_Savings!$A:$A,A227,DB_Savings!$F:$F),0)-IFERROR(SUMIF(DB_Withdrawals!$A:$A,A227,DB_Withdrawals!$G:$G),0)),"")</f>
        <v/>
      </c>
      <c r="N227" s="39" t="str">
        <f>IFERROR(IF(A227="","",MAX(0,M227-System_Config!$B$9)),"")</f>
        <v/>
      </c>
    </row>
    <row r="228" spans="1:14" ht="19.5" customHeight="1" x14ac:dyDescent="0.25">
      <c r="A228" s="37" t="str">
        <f>'NEW ACCOUNT'!A229</f>
        <v/>
      </c>
      <c r="B228" s="38" t="str">
        <f>IF('NEW ACCOUNT'!A229="","",'NEW ACCOUNT'!B229)</f>
        <v/>
      </c>
      <c r="C228" s="38" t="str">
        <f>IF('NEW ACCOUNT'!A229="","",'NEW ACCOUNT'!C229)</f>
        <v/>
      </c>
      <c r="D228" s="38" t="str">
        <f>IF('NEW ACCOUNT'!A229="","",'NEW ACCOUNT'!D229)</f>
        <v/>
      </c>
      <c r="E228" s="38" t="str">
        <f>IF('NEW ACCOUNT'!A229="","",'NEW ACCOUNT'!E229)</f>
        <v/>
      </c>
      <c r="F228" s="38" t="str">
        <f>IF('NEW ACCOUNT'!A229="","",'NEW ACCOUNT'!F229)</f>
        <v/>
      </c>
      <c r="G228" s="38" t="str">
        <f>IF('NEW ACCOUNT'!A229="","",'NEW ACCOUNT'!G229)</f>
        <v/>
      </c>
      <c r="H228" s="38" t="str">
        <f>IF('NEW ACCOUNT'!A229="","",'NEW ACCOUNT'!H229)</f>
        <v/>
      </c>
      <c r="I228" s="38" t="str">
        <f>IF('NEW ACCOUNT'!A229="","",'NEW ACCOUNT'!I229)</f>
        <v/>
      </c>
      <c r="J228" s="38" t="str">
        <f>IF('NEW ACCOUNT'!A229="","",'NEW ACCOUNT'!J229)</f>
        <v/>
      </c>
      <c r="K228" s="39" t="str">
        <f>IFERROR(IF(A228="","",SUMIF(DB_Savings!$A:$A,A228,DB_Savings!$F:$F)),"")</f>
        <v/>
      </c>
      <c r="L228" s="39" t="str">
        <f>IFERROR(IF(A228="","",SUMIF(DB_Withdrawals!$A:$A,A228,DB_Withdrawals!$G:$G)),"")</f>
        <v/>
      </c>
      <c r="M228" s="39" t="str">
        <f>IFERROR(IF(A228="","",IFERROR(VALUE(H228),0)+IFERROR(SUMIF(DB_Savings!$A:$A,A228,DB_Savings!$F:$F),0)-IFERROR(SUMIF(DB_Withdrawals!$A:$A,A228,DB_Withdrawals!$G:$G),0)),"")</f>
        <v/>
      </c>
      <c r="N228" s="39" t="str">
        <f>IFERROR(IF(A228="","",MAX(0,M228-System_Config!$B$9)),"")</f>
        <v/>
      </c>
    </row>
    <row r="229" spans="1:14" ht="19.5" customHeight="1" x14ac:dyDescent="0.25">
      <c r="A229" s="37" t="str">
        <f>'NEW ACCOUNT'!A230</f>
        <v/>
      </c>
      <c r="B229" s="38" t="str">
        <f>IF('NEW ACCOUNT'!A230="","",'NEW ACCOUNT'!B230)</f>
        <v/>
      </c>
      <c r="C229" s="38" t="str">
        <f>IF('NEW ACCOUNT'!A230="","",'NEW ACCOUNT'!C230)</f>
        <v/>
      </c>
      <c r="D229" s="38" t="str">
        <f>IF('NEW ACCOUNT'!A230="","",'NEW ACCOUNT'!D230)</f>
        <v/>
      </c>
      <c r="E229" s="38" t="str">
        <f>IF('NEW ACCOUNT'!A230="","",'NEW ACCOUNT'!E230)</f>
        <v/>
      </c>
      <c r="F229" s="38" t="str">
        <f>IF('NEW ACCOUNT'!A230="","",'NEW ACCOUNT'!F230)</f>
        <v/>
      </c>
      <c r="G229" s="38" t="str">
        <f>IF('NEW ACCOUNT'!A230="","",'NEW ACCOUNT'!G230)</f>
        <v/>
      </c>
      <c r="H229" s="38" t="str">
        <f>IF('NEW ACCOUNT'!A230="","",'NEW ACCOUNT'!H230)</f>
        <v/>
      </c>
      <c r="I229" s="38" t="str">
        <f>IF('NEW ACCOUNT'!A230="","",'NEW ACCOUNT'!I230)</f>
        <v/>
      </c>
      <c r="J229" s="38" t="str">
        <f>IF('NEW ACCOUNT'!A230="","",'NEW ACCOUNT'!J230)</f>
        <v/>
      </c>
      <c r="K229" s="39" t="str">
        <f>IFERROR(IF(A229="","",SUMIF(DB_Savings!$A:$A,A229,DB_Savings!$F:$F)),"")</f>
        <v/>
      </c>
      <c r="L229" s="39" t="str">
        <f>IFERROR(IF(A229="","",SUMIF(DB_Withdrawals!$A:$A,A229,DB_Withdrawals!$G:$G)),"")</f>
        <v/>
      </c>
      <c r="M229" s="39" t="str">
        <f>IFERROR(IF(A229="","",IFERROR(VALUE(H229),0)+IFERROR(SUMIF(DB_Savings!$A:$A,A229,DB_Savings!$F:$F),0)-IFERROR(SUMIF(DB_Withdrawals!$A:$A,A229,DB_Withdrawals!$G:$G),0)),"")</f>
        <v/>
      </c>
      <c r="N229" s="39" t="str">
        <f>IFERROR(IF(A229="","",MAX(0,M229-System_Config!$B$9)),"")</f>
        <v/>
      </c>
    </row>
    <row r="230" spans="1:14" ht="19.5" customHeight="1" x14ac:dyDescent="0.25">
      <c r="A230" s="37" t="str">
        <f>'NEW ACCOUNT'!A231</f>
        <v/>
      </c>
      <c r="B230" s="38" t="str">
        <f>IF('NEW ACCOUNT'!A231="","",'NEW ACCOUNT'!B231)</f>
        <v/>
      </c>
      <c r="C230" s="38" t="str">
        <f>IF('NEW ACCOUNT'!A231="","",'NEW ACCOUNT'!C231)</f>
        <v/>
      </c>
      <c r="D230" s="38" t="str">
        <f>IF('NEW ACCOUNT'!A231="","",'NEW ACCOUNT'!D231)</f>
        <v/>
      </c>
      <c r="E230" s="38" t="str">
        <f>IF('NEW ACCOUNT'!A231="","",'NEW ACCOUNT'!E231)</f>
        <v/>
      </c>
      <c r="F230" s="38" t="str">
        <f>IF('NEW ACCOUNT'!A231="","",'NEW ACCOUNT'!F231)</f>
        <v/>
      </c>
      <c r="G230" s="38" t="str">
        <f>IF('NEW ACCOUNT'!A231="","",'NEW ACCOUNT'!G231)</f>
        <v/>
      </c>
      <c r="H230" s="38" t="str">
        <f>IF('NEW ACCOUNT'!A231="","",'NEW ACCOUNT'!H231)</f>
        <v/>
      </c>
      <c r="I230" s="38" t="str">
        <f>IF('NEW ACCOUNT'!A231="","",'NEW ACCOUNT'!I231)</f>
        <v/>
      </c>
      <c r="J230" s="38" t="str">
        <f>IF('NEW ACCOUNT'!A231="","",'NEW ACCOUNT'!J231)</f>
        <v/>
      </c>
      <c r="K230" s="39" t="str">
        <f>IFERROR(IF(A230="","",SUMIF(DB_Savings!$A:$A,A230,DB_Savings!$F:$F)),"")</f>
        <v/>
      </c>
      <c r="L230" s="39" t="str">
        <f>IFERROR(IF(A230="","",SUMIF(DB_Withdrawals!$A:$A,A230,DB_Withdrawals!$G:$G)),"")</f>
        <v/>
      </c>
      <c r="M230" s="39" t="str">
        <f>IFERROR(IF(A230="","",IFERROR(VALUE(H230),0)+IFERROR(SUMIF(DB_Savings!$A:$A,A230,DB_Savings!$F:$F),0)-IFERROR(SUMIF(DB_Withdrawals!$A:$A,A230,DB_Withdrawals!$G:$G),0)),"")</f>
        <v/>
      </c>
      <c r="N230" s="39" t="str">
        <f>IFERROR(IF(A230="","",MAX(0,M230-System_Config!$B$9)),"")</f>
        <v/>
      </c>
    </row>
    <row r="231" spans="1:14" ht="19.5" customHeight="1" x14ac:dyDescent="0.25">
      <c r="A231" s="37" t="str">
        <f>'NEW ACCOUNT'!A232</f>
        <v/>
      </c>
      <c r="B231" s="38" t="str">
        <f>IF('NEW ACCOUNT'!A232="","",'NEW ACCOUNT'!B232)</f>
        <v/>
      </c>
      <c r="C231" s="38" t="str">
        <f>IF('NEW ACCOUNT'!A232="","",'NEW ACCOUNT'!C232)</f>
        <v/>
      </c>
      <c r="D231" s="38" t="str">
        <f>IF('NEW ACCOUNT'!A232="","",'NEW ACCOUNT'!D232)</f>
        <v/>
      </c>
      <c r="E231" s="38" t="str">
        <f>IF('NEW ACCOUNT'!A232="","",'NEW ACCOUNT'!E232)</f>
        <v/>
      </c>
      <c r="F231" s="38" t="str">
        <f>IF('NEW ACCOUNT'!A232="","",'NEW ACCOUNT'!F232)</f>
        <v/>
      </c>
      <c r="G231" s="38" t="str">
        <f>IF('NEW ACCOUNT'!A232="","",'NEW ACCOUNT'!G232)</f>
        <v/>
      </c>
      <c r="H231" s="38" t="str">
        <f>IF('NEW ACCOUNT'!A232="","",'NEW ACCOUNT'!H232)</f>
        <v/>
      </c>
      <c r="I231" s="38" t="str">
        <f>IF('NEW ACCOUNT'!A232="","",'NEW ACCOUNT'!I232)</f>
        <v/>
      </c>
      <c r="J231" s="38" t="str">
        <f>IF('NEW ACCOUNT'!A232="","",'NEW ACCOUNT'!J232)</f>
        <v/>
      </c>
      <c r="K231" s="39" t="str">
        <f>IFERROR(IF(A231="","",SUMIF(DB_Savings!$A:$A,A231,DB_Savings!$F:$F)),"")</f>
        <v/>
      </c>
      <c r="L231" s="39" t="str">
        <f>IFERROR(IF(A231="","",SUMIF(DB_Withdrawals!$A:$A,A231,DB_Withdrawals!$G:$G)),"")</f>
        <v/>
      </c>
      <c r="M231" s="39" t="str">
        <f>IFERROR(IF(A231="","",IFERROR(VALUE(H231),0)+IFERROR(SUMIF(DB_Savings!$A:$A,A231,DB_Savings!$F:$F),0)-IFERROR(SUMIF(DB_Withdrawals!$A:$A,A231,DB_Withdrawals!$G:$G),0)),"")</f>
        <v/>
      </c>
      <c r="N231" s="39" t="str">
        <f>IFERROR(IF(A231="","",MAX(0,M231-System_Config!$B$9)),"")</f>
        <v/>
      </c>
    </row>
    <row r="232" spans="1:14" ht="19.5" customHeight="1" x14ac:dyDescent="0.25">
      <c r="A232" s="37" t="str">
        <f>'NEW ACCOUNT'!A233</f>
        <v/>
      </c>
      <c r="B232" s="38" t="str">
        <f>IF('NEW ACCOUNT'!A233="","",'NEW ACCOUNT'!B233)</f>
        <v/>
      </c>
      <c r="C232" s="38" t="str">
        <f>IF('NEW ACCOUNT'!A233="","",'NEW ACCOUNT'!C233)</f>
        <v/>
      </c>
      <c r="D232" s="38" t="str">
        <f>IF('NEW ACCOUNT'!A233="","",'NEW ACCOUNT'!D233)</f>
        <v/>
      </c>
      <c r="E232" s="38" t="str">
        <f>IF('NEW ACCOUNT'!A233="","",'NEW ACCOUNT'!E233)</f>
        <v/>
      </c>
      <c r="F232" s="38" t="str">
        <f>IF('NEW ACCOUNT'!A233="","",'NEW ACCOUNT'!F233)</f>
        <v/>
      </c>
      <c r="G232" s="38" t="str">
        <f>IF('NEW ACCOUNT'!A233="","",'NEW ACCOUNT'!G233)</f>
        <v/>
      </c>
      <c r="H232" s="38" t="str">
        <f>IF('NEW ACCOUNT'!A233="","",'NEW ACCOUNT'!H233)</f>
        <v/>
      </c>
      <c r="I232" s="38" t="str">
        <f>IF('NEW ACCOUNT'!A233="","",'NEW ACCOUNT'!I233)</f>
        <v/>
      </c>
      <c r="J232" s="38" t="str">
        <f>IF('NEW ACCOUNT'!A233="","",'NEW ACCOUNT'!J233)</f>
        <v/>
      </c>
      <c r="K232" s="39" t="str">
        <f>IFERROR(IF(A232="","",SUMIF(DB_Savings!$A:$A,A232,DB_Savings!$F:$F)),"")</f>
        <v/>
      </c>
      <c r="L232" s="39" t="str">
        <f>IFERROR(IF(A232="","",SUMIF(DB_Withdrawals!$A:$A,A232,DB_Withdrawals!$G:$G)),"")</f>
        <v/>
      </c>
      <c r="M232" s="39" t="str">
        <f>IFERROR(IF(A232="","",IFERROR(VALUE(H232),0)+IFERROR(SUMIF(DB_Savings!$A:$A,A232,DB_Savings!$F:$F),0)-IFERROR(SUMIF(DB_Withdrawals!$A:$A,A232,DB_Withdrawals!$G:$G),0)),"")</f>
        <v/>
      </c>
      <c r="N232" s="39" t="str">
        <f>IFERROR(IF(A232="","",MAX(0,M232-System_Config!$B$9)),"")</f>
        <v/>
      </c>
    </row>
    <row r="233" spans="1:14" ht="19.5" customHeight="1" x14ac:dyDescent="0.25">
      <c r="A233" s="37" t="str">
        <f>'NEW ACCOUNT'!A234</f>
        <v/>
      </c>
      <c r="B233" s="38" t="str">
        <f>IF('NEW ACCOUNT'!A234="","",'NEW ACCOUNT'!B234)</f>
        <v/>
      </c>
      <c r="C233" s="38" t="str">
        <f>IF('NEW ACCOUNT'!A234="","",'NEW ACCOUNT'!C234)</f>
        <v/>
      </c>
      <c r="D233" s="38" t="str">
        <f>IF('NEW ACCOUNT'!A234="","",'NEW ACCOUNT'!D234)</f>
        <v/>
      </c>
      <c r="E233" s="38" t="str">
        <f>IF('NEW ACCOUNT'!A234="","",'NEW ACCOUNT'!E234)</f>
        <v/>
      </c>
      <c r="F233" s="38" t="str">
        <f>IF('NEW ACCOUNT'!A234="","",'NEW ACCOUNT'!F234)</f>
        <v/>
      </c>
      <c r="G233" s="38" t="str">
        <f>IF('NEW ACCOUNT'!A234="","",'NEW ACCOUNT'!G234)</f>
        <v/>
      </c>
      <c r="H233" s="38" t="str">
        <f>IF('NEW ACCOUNT'!A234="","",'NEW ACCOUNT'!H234)</f>
        <v/>
      </c>
      <c r="I233" s="38" t="str">
        <f>IF('NEW ACCOUNT'!A234="","",'NEW ACCOUNT'!I234)</f>
        <v/>
      </c>
      <c r="J233" s="38" t="str">
        <f>IF('NEW ACCOUNT'!A234="","",'NEW ACCOUNT'!J234)</f>
        <v/>
      </c>
      <c r="K233" s="39" t="str">
        <f>IFERROR(IF(A233="","",SUMIF(DB_Savings!$A:$A,A233,DB_Savings!$F:$F)),"")</f>
        <v/>
      </c>
      <c r="L233" s="39" t="str">
        <f>IFERROR(IF(A233="","",SUMIF(DB_Withdrawals!$A:$A,A233,DB_Withdrawals!$G:$G)),"")</f>
        <v/>
      </c>
      <c r="M233" s="39" t="str">
        <f>IFERROR(IF(A233="","",IFERROR(VALUE(H233),0)+IFERROR(SUMIF(DB_Savings!$A:$A,A233,DB_Savings!$F:$F),0)-IFERROR(SUMIF(DB_Withdrawals!$A:$A,A233,DB_Withdrawals!$G:$G),0)),"")</f>
        <v/>
      </c>
      <c r="N233" s="39" t="str">
        <f>IFERROR(IF(A233="","",MAX(0,M233-System_Config!$B$9)),"")</f>
        <v/>
      </c>
    </row>
    <row r="234" spans="1:14" ht="19.5" customHeight="1" x14ac:dyDescent="0.25">
      <c r="A234" s="37" t="str">
        <f>'NEW ACCOUNT'!A235</f>
        <v/>
      </c>
      <c r="B234" s="38" t="str">
        <f>IF('NEW ACCOUNT'!A235="","",'NEW ACCOUNT'!B235)</f>
        <v/>
      </c>
      <c r="C234" s="38" t="str">
        <f>IF('NEW ACCOUNT'!A235="","",'NEW ACCOUNT'!C235)</f>
        <v/>
      </c>
      <c r="D234" s="38" t="str">
        <f>IF('NEW ACCOUNT'!A235="","",'NEW ACCOUNT'!D235)</f>
        <v/>
      </c>
      <c r="E234" s="38" t="str">
        <f>IF('NEW ACCOUNT'!A235="","",'NEW ACCOUNT'!E235)</f>
        <v/>
      </c>
      <c r="F234" s="38" t="str">
        <f>IF('NEW ACCOUNT'!A235="","",'NEW ACCOUNT'!F235)</f>
        <v/>
      </c>
      <c r="G234" s="38" t="str">
        <f>IF('NEW ACCOUNT'!A235="","",'NEW ACCOUNT'!G235)</f>
        <v/>
      </c>
      <c r="H234" s="38" t="str">
        <f>IF('NEW ACCOUNT'!A235="","",'NEW ACCOUNT'!H235)</f>
        <v/>
      </c>
      <c r="I234" s="38" t="str">
        <f>IF('NEW ACCOUNT'!A235="","",'NEW ACCOUNT'!I235)</f>
        <v/>
      </c>
      <c r="J234" s="38" t="str">
        <f>IF('NEW ACCOUNT'!A235="","",'NEW ACCOUNT'!J235)</f>
        <v/>
      </c>
      <c r="K234" s="39" t="str">
        <f>IFERROR(IF(A234="","",SUMIF(DB_Savings!$A:$A,A234,DB_Savings!$F:$F)),"")</f>
        <v/>
      </c>
      <c r="L234" s="39" t="str">
        <f>IFERROR(IF(A234="","",SUMIF(DB_Withdrawals!$A:$A,A234,DB_Withdrawals!$G:$G)),"")</f>
        <v/>
      </c>
      <c r="M234" s="39" t="str">
        <f>IFERROR(IF(A234="","",IFERROR(VALUE(H234),0)+IFERROR(SUMIF(DB_Savings!$A:$A,A234,DB_Savings!$F:$F),0)-IFERROR(SUMIF(DB_Withdrawals!$A:$A,A234,DB_Withdrawals!$G:$G),0)),"")</f>
        <v/>
      </c>
      <c r="N234" s="39" t="str">
        <f>IFERROR(IF(A234="","",MAX(0,M234-System_Config!$B$9)),"")</f>
        <v/>
      </c>
    </row>
    <row r="235" spans="1:14" ht="19.5" customHeight="1" x14ac:dyDescent="0.25">
      <c r="A235" s="37" t="str">
        <f>'NEW ACCOUNT'!A236</f>
        <v/>
      </c>
      <c r="B235" s="38" t="str">
        <f>IF('NEW ACCOUNT'!A236="","",'NEW ACCOUNT'!B236)</f>
        <v/>
      </c>
      <c r="C235" s="38" t="str">
        <f>IF('NEW ACCOUNT'!A236="","",'NEW ACCOUNT'!C236)</f>
        <v/>
      </c>
      <c r="D235" s="38" t="str">
        <f>IF('NEW ACCOUNT'!A236="","",'NEW ACCOUNT'!D236)</f>
        <v/>
      </c>
      <c r="E235" s="38" t="str">
        <f>IF('NEW ACCOUNT'!A236="","",'NEW ACCOUNT'!E236)</f>
        <v/>
      </c>
      <c r="F235" s="38" t="str">
        <f>IF('NEW ACCOUNT'!A236="","",'NEW ACCOUNT'!F236)</f>
        <v/>
      </c>
      <c r="G235" s="38" t="str">
        <f>IF('NEW ACCOUNT'!A236="","",'NEW ACCOUNT'!G236)</f>
        <v/>
      </c>
      <c r="H235" s="38" t="str">
        <f>IF('NEW ACCOUNT'!A236="","",'NEW ACCOUNT'!H236)</f>
        <v/>
      </c>
      <c r="I235" s="38" t="str">
        <f>IF('NEW ACCOUNT'!A236="","",'NEW ACCOUNT'!I236)</f>
        <v/>
      </c>
      <c r="J235" s="38" t="str">
        <f>IF('NEW ACCOUNT'!A236="","",'NEW ACCOUNT'!J236)</f>
        <v/>
      </c>
      <c r="K235" s="39" t="str">
        <f>IFERROR(IF(A235="","",SUMIF(DB_Savings!$A:$A,A235,DB_Savings!$F:$F)),"")</f>
        <v/>
      </c>
      <c r="L235" s="39" t="str">
        <f>IFERROR(IF(A235="","",SUMIF(DB_Withdrawals!$A:$A,A235,DB_Withdrawals!$G:$G)),"")</f>
        <v/>
      </c>
      <c r="M235" s="39" t="str">
        <f>IFERROR(IF(A235="","",IFERROR(VALUE(H235),0)+IFERROR(SUMIF(DB_Savings!$A:$A,A235,DB_Savings!$F:$F),0)-IFERROR(SUMIF(DB_Withdrawals!$A:$A,A235,DB_Withdrawals!$G:$G),0)),"")</f>
        <v/>
      </c>
      <c r="N235" s="39" t="str">
        <f>IFERROR(IF(A235="","",MAX(0,M235-System_Config!$B$9)),"")</f>
        <v/>
      </c>
    </row>
    <row r="236" spans="1:14" ht="19.5" customHeight="1" x14ac:dyDescent="0.25">
      <c r="A236" s="37" t="str">
        <f>'NEW ACCOUNT'!A237</f>
        <v/>
      </c>
      <c r="B236" s="38" t="str">
        <f>IF('NEW ACCOUNT'!A237="","",'NEW ACCOUNT'!B237)</f>
        <v/>
      </c>
      <c r="C236" s="38" t="str">
        <f>IF('NEW ACCOUNT'!A237="","",'NEW ACCOUNT'!C237)</f>
        <v/>
      </c>
      <c r="D236" s="38" t="str">
        <f>IF('NEW ACCOUNT'!A237="","",'NEW ACCOUNT'!D237)</f>
        <v/>
      </c>
      <c r="E236" s="38" t="str">
        <f>IF('NEW ACCOUNT'!A237="","",'NEW ACCOUNT'!E237)</f>
        <v/>
      </c>
      <c r="F236" s="38" t="str">
        <f>IF('NEW ACCOUNT'!A237="","",'NEW ACCOUNT'!F237)</f>
        <v/>
      </c>
      <c r="G236" s="38" t="str">
        <f>IF('NEW ACCOUNT'!A237="","",'NEW ACCOUNT'!G237)</f>
        <v/>
      </c>
      <c r="H236" s="38" t="str">
        <f>IF('NEW ACCOUNT'!A237="","",'NEW ACCOUNT'!H237)</f>
        <v/>
      </c>
      <c r="I236" s="38" t="str">
        <f>IF('NEW ACCOUNT'!A237="","",'NEW ACCOUNT'!I237)</f>
        <v/>
      </c>
      <c r="J236" s="38" t="str">
        <f>IF('NEW ACCOUNT'!A237="","",'NEW ACCOUNT'!J237)</f>
        <v/>
      </c>
      <c r="K236" s="39" t="str">
        <f>IFERROR(IF(A236="","",SUMIF(DB_Savings!$A:$A,A236,DB_Savings!$F:$F)),"")</f>
        <v/>
      </c>
      <c r="L236" s="39" t="str">
        <f>IFERROR(IF(A236="","",SUMIF(DB_Withdrawals!$A:$A,A236,DB_Withdrawals!$G:$G)),"")</f>
        <v/>
      </c>
      <c r="M236" s="39" t="str">
        <f>IFERROR(IF(A236="","",IFERROR(VALUE(H236),0)+IFERROR(SUMIF(DB_Savings!$A:$A,A236,DB_Savings!$F:$F),0)-IFERROR(SUMIF(DB_Withdrawals!$A:$A,A236,DB_Withdrawals!$G:$G),0)),"")</f>
        <v/>
      </c>
      <c r="N236" s="39" t="str">
        <f>IFERROR(IF(A236="","",MAX(0,M236-System_Config!$B$9)),"")</f>
        <v/>
      </c>
    </row>
    <row r="237" spans="1:14" ht="19.5" customHeight="1" x14ac:dyDescent="0.25">
      <c r="A237" s="37" t="str">
        <f>'NEW ACCOUNT'!A238</f>
        <v/>
      </c>
      <c r="B237" s="38" t="str">
        <f>IF('NEW ACCOUNT'!A238="","",'NEW ACCOUNT'!B238)</f>
        <v/>
      </c>
      <c r="C237" s="38" t="str">
        <f>IF('NEW ACCOUNT'!A238="","",'NEW ACCOUNT'!C238)</f>
        <v/>
      </c>
      <c r="D237" s="38" t="str">
        <f>IF('NEW ACCOUNT'!A238="","",'NEW ACCOUNT'!D238)</f>
        <v/>
      </c>
      <c r="E237" s="38" t="str">
        <f>IF('NEW ACCOUNT'!A238="","",'NEW ACCOUNT'!E238)</f>
        <v/>
      </c>
      <c r="F237" s="38" t="str">
        <f>IF('NEW ACCOUNT'!A238="","",'NEW ACCOUNT'!F238)</f>
        <v/>
      </c>
      <c r="G237" s="38" t="str">
        <f>IF('NEW ACCOUNT'!A238="","",'NEW ACCOUNT'!G238)</f>
        <v/>
      </c>
      <c r="H237" s="38" t="str">
        <f>IF('NEW ACCOUNT'!A238="","",'NEW ACCOUNT'!H238)</f>
        <v/>
      </c>
      <c r="I237" s="38" t="str">
        <f>IF('NEW ACCOUNT'!A238="","",'NEW ACCOUNT'!I238)</f>
        <v/>
      </c>
      <c r="J237" s="38" t="str">
        <f>IF('NEW ACCOUNT'!A238="","",'NEW ACCOUNT'!J238)</f>
        <v/>
      </c>
      <c r="K237" s="39" t="str">
        <f>IFERROR(IF(A237="","",SUMIF(DB_Savings!$A:$A,A237,DB_Savings!$F:$F)),"")</f>
        <v/>
      </c>
      <c r="L237" s="39" t="str">
        <f>IFERROR(IF(A237="","",SUMIF(DB_Withdrawals!$A:$A,A237,DB_Withdrawals!$G:$G)),"")</f>
        <v/>
      </c>
      <c r="M237" s="39" t="str">
        <f>IFERROR(IF(A237="","",IFERROR(VALUE(H237),0)+IFERROR(SUMIF(DB_Savings!$A:$A,A237,DB_Savings!$F:$F),0)-IFERROR(SUMIF(DB_Withdrawals!$A:$A,A237,DB_Withdrawals!$G:$G),0)),"")</f>
        <v/>
      </c>
      <c r="N237" s="39" t="str">
        <f>IFERROR(IF(A237="","",MAX(0,M237-System_Config!$B$9)),"")</f>
        <v/>
      </c>
    </row>
    <row r="238" spans="1:14" ht="19.5" customHeight="1" x14ac:dyDescent="0.25">
      <c r="A238" s="37" t="str">
        <f>'NEW ACCOUNT'!A239</f>
        <v/>
      </c>
      <c r="B238" s="38" t="str">
        <f>IF('NEW ACCOUNT'!A239="","",'NEW ACCOUNT'!B239)</f>
        <v/>
      </c>
      <c r="C238" s="38" t="str">
        <f>IF('NEW ACCOUNT'!A239="","",'NEW ACCOUNT'!C239)</f>
        <v/>
      </c>
      <c r="D238" s="38" t="str">
        <f>IF('NEW ACCOUNT'!A239="","",'NEW ACCOUNT'!D239)</f>
        <v/>
      </c>
      <c r="E238" s="38" t="str">
        <f>IF('NEW ACCOUNT'!A239="","",'NEW ACCOUNT'!E239)</f>
        <v/>
      </c>
      <c r="F238" s="38" t="str">
        <f>IF('NEW ACCOUNT'!A239="","",'NEW ACCOUNT'!F239)</f>
        <v/>
      </c>
      <c r="G238" s="38" t="str">
        <f>IF('NEW ACCOUNT'!A239="","",'NEW ACCOUNT'!G239)</f>
        <v/>
      </c>
      <c r="H238" s="38" t="str">
        <f>IF('NEW ACCOUNT'!A239="","",'NEW ACCOUNT'!H239)</f>
        <v/>
      </c>
      <c r="I238" s="38" t="str">
        <f>IF('NEW ACCOUNT'!A239="","",'NEW ACCOUNT'!I239)</f>
        <v/>
      </c>
      <c r="J238" s="38" t="str">
        <f>IF('NEW ACCOUNT'!A239="","",'NEW ACCOUNT'!J239)</f>
        <v/>
      </c>
      <c r="K238" s="39" t="str">
        <f>IFERROR(IF(A238="","",SUMIF(DB_Savings!$A:$A,A238,DB_Savings!$F:$F)),"")</f>
        <v/>
      </c>
      <c r="L238" s="39" t="str">
        <f>IFERROR(IF(A238="","",SUMIF(DB_Withdrawals!$A:$A,A238,DB_Withdrawals!$G:$G)),"")</f>
        <v/>
      </c>
      <c r="M238" s="39" t="str">
        <f>IFERROR(IF(A238="","",IFERROR(VALUE(H238),0)+IFERROR(SUMIF(DB_Savings!$A:$A,A238,DB_Savings!$F:$F),0)-IFERROR(SUMIF(DB_Withdrawals!$A:$A,A238,DB_Withdrawals!$G:$G),0)),"")</f>
        <v/>
      </c>
      <c r="N238" s="39" t="str">
        <f>IFERROR(IF(A238="","",MAX(0,M238-System_Config!$B$9)),"")</f>
        <v/>
      </c>
    </row>
    <row r="239" spans="1:14" ht="19.5" customHeight="1" x14ac:dyDescent="0.25">
      <c r="A239" s="37" t="str">
        <f>'NEW ACCOUNT'!A240</f>
        <v/>
      </c>
      <c r="B239" s="38" t="str">
        <f>IF('NEW ACCOUNT'!A240="","",'NEW ACCOUNT'!B240)</f>
        <v/>
      </c>
      <c r="C239" s="38" t="str">
        <f>IF('NEW ACCOUNT'!A240="","",'NEW ACCOUNT'!C240)</f>
        <v/>
      </c>
      <c r="D239" s="38" t="str">
        <f>IF('NEW ACCOUNT'!A240="","",'NEW ACCOUNT'!D240)</f>
        <v/>
      </c>
      <c r="E239" s="38" t="str">
        <f>IF('NEW ACCOUNT'!A240="","",'NEW ACCOUNT'!E240)</f>
        <v/>
      </c>
      <c r="F239" s="38" t="str">
        <f>IF('NEW ACCOUNT'!A240="","",'NEW ACCOUNT'!F240)</f>
        <v/>
      </c>
      <c r="G239" s="38" t="str">
        <f>IF('NEW ACCOUNT'!A240="","",'NEW ACCOUNT'!G240)</f>
        <v/>
      </c>
      <c r="H239" s="38" t="str">
        <f>IF('NEW ACCOUNT'!A240="","",'NEW ACCOUNT'!H240)</f>
        <v/>
      </c>
      <c r="I239" s="38" t="str">
        <f>IF('NEW ACCOUNT'!A240="","",'NEW ACCOUNT'!I240)</f>
        <v/>
      </c>
      <c r="J239" s="38" t="str">
        <f>IF('NEW ACCOUNT'!A240="","",'NEW ACCOUNT'!J240)</f>
        <v/>
      </c>
      <c r="K239" s="39" t="str">
        <f>IFERROR(IF(A239="","",SUMIF(DB_Savings!$A:$A,A239,DB_Savings!$F:$F)),"")</f>
        <v/>
      </c>
      <c r="L239" s="39" t="str">
        <f>IFERROR(IF(A239="","",SUMIF(DB_Withdrawals!$A:$A,A239,DB_Withdrawals!$G:$G)),"")</f>
        <v/>
      </c>
      <c r="M239" s="39" t="str">
        <f>IFERROR(IF(A239="","",IFERROR(VALUE(H239),0)+IFERROR(SUMIF(DB_Savings!$A:$A,A239,DB_Savings!$F:$F),0)-IFERROR(SUMIF(DB_Withdrawals!$A:$A,A239,DB_Withdrawals!$G:$G),0)),"")</f>
        <v/>
      </c>
      <c r="N239" s="39" t="str">
        <f>IFERROR(IF(A239="","",MAX(0,M239-System_Config!$B$9)),"")</f>
        <v/>
      </c>
    </row>
    <row r="240" spans="1:14" ht="19.5" customHeight="1" x14ac:dyDescent="0.25">
      <c r="A240" s="37" t="str">
        <f>'NEW ACCOUNT'!A241</f>
        <v/>
      </c>
      <c r="B240" s="38" t="str">
        <f>IF('NEW ACCOUNT'!A241="","",'NEW ACCOUNT'!B241)</f>
        <v/>
      </c>
      <c r="C240" s="38" t="str">
        <f>IF('NEW ACCOUNT'!A241="","",'NEW ACCOUNT'!C241)</f>
        <v/>
      </c>
      <c r="D240" s="38" t="str">
        <f>IF('NEW ACCOUNT'!A241="","",'NEW ACCOUNT'!D241)</f>
        <v/>
      </c>
      <c r="E240" s="38" t="str">
        <f>IF('NEW ACCOUNT'!A241="","",'NEW ACCOUNT'!E241)</f>
        <v/>
      </c>
      <c r="F240" s="38" t="str">
        <f>IF('NEW ACCOUNT'!A241="","",'NEW ACCOUNT'!F241)</f>
        <v/>
      </c>
      <c r="G240" s="38" t="str">
        <f>IF('NEW ACCOUNT'!A241="","",'NEW ACCOUNT'!G241)</f>
        <v/>
      </c>
      <c r="H240" s="38" t="str">
        <f>IF('NEW ACCOUNT'!A241="","",'NEW ACCOUNT'!H241)</f>
        <v/>
      </c>
      <c r="I240" s="38" t="str">
        <f>IF('NEW ACCOUNT'!A241="","",'NEW ACCOUNT'!I241)</f>
        <v/>
      </c>
      <c r="J240" s="38" t="str">
        <f>IF('NEW ACCOUNT'!A241="","",'NEW ACCOUNT'!J241)</f>
        <v/>
      </c>
      <c r="K240" s="39" t="str">
        <f>IFERROR(IF(A240="","",SUMIF(DB_Savings!$A:$A,A240,DB_Savings!$F:$F)),"")</f>
        <v/>
      </c>
      <c r="L240" s="39" t="str">
        <f>IFERROR(IF(A240="","",SUMIF(DB_Withdrawals!$A:$A,A240,DB_Withdrawals!$G:$G)),"")</f>
        <v/>
      </c>
      <c r="M240" s="39" t="str">
        <f>IFERROR(IF(A240="","",IFERROR(VALUE(H240),0)+IFERROR(SUMIF(DB_Savings!$A:$A,A240,DB_Savings!$F:$F),0)-IFERROR(SUMIF(DB_Withdrawals!$A:$A,A240,DB_Withdrawals!$G:$G),0)),"")</f>
        <v/>
      </c>
      <c r="N240" s="39" t="str">
        <f>IFERROR(IF(A240="","",MAX(0,M240-System_Config!$B$9)),"")</f>
        <v/>
      </c>
    </row>
    <row r="241" spans="1:14" ht="19.5" customHeight="1" x14ac:dyDescent="0.25">
      <c r="A241" s="37" t="str">
        <f>'NEW ACCOUNT'!A242</f>
        <v/>
      </c>
      <c r="B241" s="38" t="str">
        <f>IF('NEW ACCOUNT'!A242="","",'NEW ACCOUNT'!B242)</f>
        <v/>
      </c>
      <c r="C241" s="38" t="str">
        <f>IF('NEW ACCOUNT'!A242="","",'NEW ACCOUNT'!C242)</f>
        <v/>
      </c>
      <c r="D241" s="38" t="str">
        <f>IF('NEW ACCOUNT'!A242="","",'NEW ACCOUNT'!D242)</f>
        <v/>
      </c>
      <c r="E241" s="38" t="str">
        <f>IF('NEW ACCOUNT'!A242="","",'NEW ACCOUNT'!E242)</f>
        <v/>
      </c>
      <c r="F241" s="38" t="str">
        <f>IF('NEW ACCOUNT'!A242="","",'NEW ACCOUNT'!F242)</f>
        <v/>
      </c>
      <c r="G241" s="38" t="str">
        <f>IF('NEW ACCOUNT'!A242="","",'NEW ACCOUNT'!G242)</f>
        <v/>
      </c>
      <c r="H241" s="38" t="str">
        <f>IF('NEW ACCOUNT'!A242="","",'NEW ACCOUNT'!H242)</f>
        <v/>
      </c>
      <c r="I241" s="38" t="str">
        <f>IF('NEW ACCOUNT'!A242="","",'NEW ACCOUNT'!I242)</f>
        <v/>
      </c>
      <c r="J241" s="38" t="str">
        <f>IF('NEW ACCOUNT'!A242="","",'NEW ACCOUNT'!J242)</f>
        <v/>
      </c>
      <c r="K241" s="39" t="str">
        <f>IFERROR(IF(A241="","",SUMIF(DB_Savings!$A:$A,A241,DB_Savings!$F:$F)),"")</f>
        <v/>
      </c>
      <c r="L241" s="39" t="str">
        <f>IFERROR(IF(A241="","",SUMIF(DB_Withdrawals!$A:$A,A241,DB_Withdrawals!$G:$G)),"")</f>
        <v/>
      </c>
      <c r="M241" s="39" t="str">
        <f>IFERROR(IF(A241="","",IFERROR(VALUE(H241),0)+IFERROR(SUMIF(DB_Savings!$A:$A,A241,DB_Savings!$F:$F),0)-IFERROR(SUMIF(DB_Withdrawals!$A:$A,A241,DB_Withdrawals!$G:$G),0)),"")</f>
        <v/>
      </c>
      <c r="N241" s="39" t="str">
        <f>IFERROR(IF(A241="","",MAX(0,M241-System_Config!$B$9)),"")</f>
        <v/>
      </c>
    </row>
    <row r="242" spans="1:14" ht="19.5" customHeight="1" x14ac:dyDescent="0.25">
      <c r="A242" s="37" t="str">
        <f>'NEW ACCOUNT'!A243</f>
        <v/>
      </c>
      <c r="B242" s="38" t="str">
        <f>IF('NEW ACCOUNT'!A243="","",'NEW ACCOUNT'!B243)</f>
        <v/>
      </c>
      <c r="C242" s="38" t="str">
        <f>IF('NEW ACCOUNT'!A243="","",'NEW ACCOUNT'!C243)</f>
        <v/>
      </c>
      <c r="D242" s="38" t="str">
        <f>IF('NEW ACCOUNT'!A243="","",'NEW ACCOUNT'!D243)</f>
        <v/>
      </c>
      <c r="E242" s="38" t="str">
        <f>IF('NEW ACCOUNT'!A243="","",'NEW ACCOUNT'!E243)</f>
        <v/>
      </c>
      <c r="F242" s="38" t="str">
        <f>IF('NEW ACCOUNT'!A243="","",'NEW ACCOUNT'!F243)</f>
        <v/>
      </c>
      <c r="G242" s="38" t="str">
        <f>IF('NEW ACCOUNT'!A243="","",'NEW ACCOUNT'!G243)</f>
        <v/>
      </c>
      <c r="H242" s="38" t="str">
        <f>IF('NEW ACCOUNT'!A243="","",'NEW ACCOUNT'!H243)</f>
        <v/>
      </c>
      <c r="I242" s="38" t="str">
        <f>IF('NEW ACCOUNT'!A243="","",'NEW ACCOUNT'!I243)</f>
        <v/>
      </c>
      <c r="J242" s="38" t="str">
        <f>IF('NEW ACCOUNT'!A243="","",'NEW ACCOUNT'!J243)</f>
        <v/>
      </c>
      <c r="K242" s="39" t="str">
        <f>IFERROR(IF(A242="","",SUMIF(DB_Savings!$A:$A,A242,DB_Savings!$F:$F)),"")</f>
        <v/>
      </c>
      <c r="L242" s="39" t="str">
        <f>IFERROR(IF(A242="","",SUMIF(DB_Withdrawals!$A:$A,A242,DB_Withdrawals!$G:$G)),"")</f>
        <v/>
      </c>
      <c r="M242" s="39" t="str">
        <f>IFERROR(IF(A242="","",IFERROR(VALUE(H242),0)+IFERROR(SUMIF(DB_Savings!$A:$A,A242,DB_Savings!$F:$F),0)-IFERROR(SUMIF(DB_Withdrawals!$A:$A,A242,DB_Withdrawals!$G:$G),0)),"")</f>
        <v/>
      </c>
      <c r="N242" s="39" t="str">
        <f>IFERROR(IF(A242="","",MAX(0,M242-System_Config!$B$9)),"")</f>
        <v/>
      </c>
    </row>
    <row r="243" spans="1:14" ht="19.5" customHeight="1" x14ac:dyDescent="0.25">
      <c r="A243" s="37" t="str">
        <f>'NEW ACCOUNT'!A244</f>
        <v/>
      </c>
      <c r="B243" s="38" t="str">
        <f>IF('NEW ACCOUNT'!A244="","",'NEW ACCOUNT'!B244)</f>
        <v/>
      </c>
      <c r="C243" s="38" t="str">
        <f>IF('NEW ACCOUNT'!A244="","",'NEW ACCOUNT'!C244)</f>
        <v/>
      </c>
      <c r="D243" s="38" t="str">
        <f>IF('NEW ACCOUNT'!A244="","",'NEW ACCOUNT'!D244)</f>
        <v/>
      </c>
      <c r="E243" s="38" t="str">
        <f>IF('NEW ACCOUNT'!A244="","",'NEW ACCOUNT'!E244)</f>
        <v/>
      </c>
      <c r="F243" s="38" t="str">
        <f>IF('NEW ACCOUNT'!A244="","",'NEW ACCOUNT'!F244)</f>
        <v/>
      </c>
      <c r="G243" s="38" t="str">
        <f>IF('NEW ACCOUNT'!A244="","",'NEW ACCOUNT'!G244)</f>
        <v/>
      </c>
      <c r="H243" s="38" t="str">
        <f>IF('NEW ACCOUNT'!A244="","",'NEW ACCOUNT'!H244)</f>
        <v/>
      </c>
      <c r="I243" s="38" t="str">
        <f>IF('NEW ACCOUNT'!A244="","",'NEW ACCOUNT'!I244)</f>
        <v/>
      </c>
      <c r="J243" s="38" t="str">
        <f>IF('NEW ACCOUNT'!A244="","",'NEW ACCOUNT'!J244)</f>
        <v/>
      </c>
      <c r="K243" s="39" t="str">
        <f>IFERROR(IF(A243="","",SUMIF(DB_Savings!$A:$A,A243,DB_Savings!$F:$F)),"")</f>
        <v/>
      </c>
      <c r="L243" s="39" t="str">
        <f>IFERROR(IF(A243="","",SUMIF(DB_Withdrawals!$A:$A,A243,DB_Withdrawals!$G:$G)),"")</f>
        <v/>
      </c>
      <c r="M243" s="39" t="str">
        <f>IFERROR(IF(A243="","",IFERROR(VALUE(H243),0)+IFERROR(SUMIF(DB_Savings!$A:$A,A243,DB_Savings!$F:$F),0)-IFERROR(SUMIF(DB_Withdrawals!$A:$A,A243,DB_Withdrawals!$G:$G),0)),"")</f>
        <v/>
      </c>
      <c r="N243" s="39" t="str">
        <f>IFERROR(IF(A243="","",MAX(0,M243-System_Config!$B$9)),"")</f>
        <v/>
      </c>
    </row>
    <row r="244" spans="1:14" ht="19.5" customHeight="1" x14ac:dyDescent="0.25">
      <c r="A244" s="37" t="str">
        <f>'NEW ACCOUNT'!A245</f>
        <v/>
      </c>
      <c r="B244" s="38" t="str">
        <f>IF('NEW ACCOUNT'!A245="","",'NEW ACCOUNT'!B245)</f>
        <v/>
      </c>
      <c r="C244" s="38" t="str">
        <f>IF('NEW ACCOUNT'!A245="","",'NEW ACCOUNT'!C245)</f>
        <v/>
      </c>
      <c r="D244" s="38" t="str">
        <f>IF('NEW ACCOUNT'!A245="","",'NEW ACCOUNT'!D245)</f>
        <v/>
      </c>
      <c r="E244" s="38" t="str">
        <f>IF('NEW ACCOUNT'!A245="","",'NEW ACCOUNT'!E245)</f>
        <v/>
      </c>
      <c r="F244" s="38" t="str">
        <f>IF('NEW ACCOUNT'!A245="","",'NEW ACCOUNT'!F245)</f>
        <v/>
      </c>
      <c r="G244" s="38" t="str">
        <f>IF('NEW ACCOUNT'!A245="","",'NEW ACCOUNT'!G245)</f>
        <v/>
      </c>
      <c r="H244" s="38" t="str">
        <f>IF('NEW ACCOUNT'!A245="","",'NEW ACCOUNT'!H245)</f>
        <v/>
      </c>
      <c r="I244" s="38" t="str">
        <f>IF('NEW ACCOUNT'!A245="","",'NEW ACCOUNT'!I245)</f>
        <v/>
      </c>
      <c r="J244" s="38" t="str">
        <f>IF('NEW ACCOUNT'!A245="","",'NEW ACCOUNT'!J245)</f>
        <v/>
      </c>
      <c r="K244" s="39" t="str">
        <f>IFERROR(IF(A244="","",SUMIF(DB_Savings!$A:$A,A244,DB_Savings!$F:$F)),"")</f>
        <v/>
      </c>
      <c r="L244" s="39" t="str">
        <f>IFERROR(IF(A244="","",SUMIF(DB_Withdrawals!$A:$A,A244,DB_Withdrawals!$G:$G)),"")</f>
        <v/>
      </c>
      <c r="M244" s="39" t="str">
        <f>IFERROR(IF(A244="","",IFERROR(VALUE(H244),0)+IFERROR(SUMIF(DB_Savings!$A:$A,A244,DB_Savings!$F:$F),0)-IFERROR(SUMIF(DB_Withdrawals!$A:$A,A244,DB_Withdrawals!$G:$G),0)),"")</f>
        <v/>
      </c>
      <c r="N244" s="39" t="str">
        <f>IFERROR(IF(A244="","",MAX(0,M244-System_Config!$B$9)),"")</f>
        <v/>
      </c>
    </row>
    <row r="245" spans="1:14" ht="19.5" customHeight="1" x14ac:dyDescent="0.25">
      <c r="A245" s="37" t="str">
        <f>'NEW ACCOUNT'!A246</f>
        <v/>
      </c>
      <c r="B245" s="38" t="str">
        <f>IF('NEW ACCOUNT'!A246="","",'NEW ACCOUNT'!B246)</f>
        <v/>
      </c>
      <c r="C245" s="38" t="str">
        <f>IF('NEW ACCOUNT'!A246="","",'NEW ACCOUNT'!C246)</f>
        <v/>
      </c>
      <c r="D245" s="38" t="str">
        <f>IF('NEW ACCOUNT'!A246="","",'NEW ACCOUNT'!D246)</f>
        <v/>
      </c>
      <c r="E245" s="38" t="str">
        <f>IF('NEW ACCOUNT'!A246="","",'NEW ACCOUNT'!E246)</f>
        <v/>
      </c>
      <c r="F245" s="38" t="str">
        <f>IF('NEW ACCOUNT'!A246="","",'NEW ACCOUNT'!F246)</f>
        <v/>
      </c>
      <c r="G245" s="38" t="str">
        <f>IF('NEW ACCOUNT'!A246="","",'NEW ACCOUNT'!G246)</f>
        <v/>
      </c>
      <c r="H245" s="38" t="str">
        <f>IF('NEW ACCOUNT'!A246="","",'NEW ACCOUNT'!H246)</f>
        <v/>
      </c>
      <c r="I245" s="38" t="str">
        <f>IF('NEW ACCOUNT'!A246="","",'NEW ACCOUNT'!I246)</f>
        <v/>
      </c>
      <c r="J245" s="38" t="str">
        <f>IF('NEW ACCOUNT'!A246="","",'NEW ACCOUNT'!J246)</f>
        <v/>
      </c>
      <c r="K245" s="39" t="str">
        <f>IFERROR(IF(A245="","",SUMIF(DB_Savings!$A:$A,A245,DB_Savings!$F:$F)),"")</f>
        <v/>
      </c>
      <c r="L245" s="39" t="str">
        <f>IFERROR(IF(A245="","",SUMIF(DB_Withdrawals!$A:$A,A245,DB_Withdrawals!$G:$G)),"")</f>
        <v/>
      </c>
      <c r="M245" s="39" t="str">
        <f>IFERROR(IF(A245="","",IFERROR(VALUE(H245),0)+IFERROR(SUMIF(DB_Savings!$A:$A,A245,DB_Savings!$F:$F),0)-IFERROR(SUMIF(DB_Withdrawals!$A:$A,A245,DB_Withdrawals!$G:$G),0)),"")</f>
        <v/>
      </c>
      <c r="N245" s="39" t="str">
        <f>IFERROR(IF(A245="","",MAX(0,M245-System_Config!$B$9)),"")</f>
        <v/>
      </c>
    </row>
    <row r="246" spans="1:14" ht="19.5" customHeight="1" x14ac:dyDescent="0.25">
      <c r="A246" s="37" t="str">
        <f>'NEW ACCOUNT'!A247</f>
        <v/>
      </c>
      <c r="B246" s="38" t="str">
        <f>IF('NEW ACCOUNT'!A247="","",'NEW ACCOUNT'!B247)</f>
        <v/>
      </c>
      <c r="C246" s="38" t="str">
        <f>IF('NEW ACCOUNT'!A247="","",'NEW ACCOUNT'!C247)</f>
        <v/>
      </c>
      <c r="D246" s="38" t="str">
        <f>IF('NEW ACCOUNT'!A247="","",'NEW ACCOUNT'!D247)</f>
        <v/>
      </c>
      <c r="E246" s="38" t="str">
        <f>IF('NEW ACCOUNT'!A247="","",'NEW ACCOUNT'!E247)</f>
        <v/>
      </c>
      <c r="F246" s="38" t="str">
        <f>IF('NEW ACCOUNT'!A247="","",'NEW ACCOUNT'!F247)</f>
        <v/>
      </c>
      <c r="G246" s="38" t="str">
        <f>IF('NEW ACCOUNT'!A247="","",'NEW ACCOUNT'!G247)</f>
        <v/>
      </c>
      <c r="H246" s="38" t="str">
        <f>IF('NEW ACCOUNT'!A247="","",'NEW ACCOUNT'!H247)</f>
        <v/>
      </c>
      <c r="I246" s="38" t="str">
        <f>IF('NEW ACCOUNT'!A247="","",'NEW ACCOUNT'!I247)</f>
        <v/>
      </c>
      <c r="J246" s="38" t="str">
        <f>IF('NEW ACCOUNT'!A247="","",'NEW ACCOUNT'!J247)</f>
        <v/>
      </c>
      <c r="K246" s="39" t="str">
        <f>IFERROR(IF(A246="","",SUMIF(DB_Savings!$A:$A,A246,DB_Savings!$F:$F)),"")</f>
        <v/>
      </c>
      <c r="L246" s="39" t="str">
        <f>IFERROR(IF(A246="","",SUMIF(DB_Withdrawals!$A:$A,A246,DB_Withdrawals!$G:$G)),"")</f>
        <v/>
      </c>
      <c r="M246" s="39" t="str">
        <f>IFERROR(IF(A246="","",IFERROR(VALUE(H246),0)+IFERROR(SUMIF(DB_Savings!$A:$A,A246,DB_Savings!$F:$F),0)-IFERROR(SUMIF(DB_Withdrawals!$A:$A,A246,DB_Withdrawals!$G:$G),0)),"")</f>
        <v/>
      </c>
      <c r="N246" s="39" t="str">
        <f>IFERROR(IF(A246="","",MAX(0,M246-System_Config!$B$9)),"")</f>
        <v/>
      </c>
    </row>
    <row r="247" spans="1:14" ht="19.5" customHeight="1" x14ac:dyDescent="0.25">
      <c r="A247" s="37" t="str">
        <f>'NEW ACCOUNT'!A248</f>
        <v/>
      </c>
      <c r="B247" s="38" t="str">
        <f>IF('NEW ACCOUNT'!A248="","",'NEW ACCOUNT'!B248)</f>
        <v/>
      </c>
      <c r="C247" s="38" t="str">
        <f>IF('NEW ACCOUNT'!A248="","",'NEW ACCOUNT'!C248)</f>
        <v/>
      </c>
      <c r="D247" s="38" t="str">
        <f>IF('NEW ACCOUNT'!A248="","",'NEW ACCOUNT'!D248)</f>
        <v/>
      </c>
      <c r="E247" s="38" t="str">
        <f>IF('NEW ACCOUNT'!A248="","",'NEW ACCOUNT'!E248)</f>
        <v/>
      </c>
      <c r="F247" s="38" t="str">
        <f>IF('NEW ACCOUNT'!A248="","",'NEW ACCOUNT'!F248)</f>
        <v/>
      </c>
      <c r="G247" s="38" t="str">
        <f>IF('NEW ACCOUNT'!A248="","",'NEW ACCOUNT'!G248)</f>
        <v/>
      </c>
      <c r="H247" s="38" t="str">
        <f>IF('NEW ACCOUNT'!A248="","",'NEW ACCOUNT'!H248)</f>
        <v/>
      </c>
      <c r="I247" s="38" t="str">
        <f>IF('NEW ACCOUNT'!A248="","",'NEW ACCOUNT'!I248)</f>
        <v/>
      </c>
      <c r="J247" s="38" t="str">
        <f>IF('NEW ACCOUNT'!A248="","",'NEW ACCOUNT'!J248)</f>
        <v/>
      </c>
      <c r="K247" s="39" t="str">
        <f>IFERROR(IF(A247="","",SUMIF(DB_Savings!$A:$A,A247,DB_Savings!$F:$F)),"")</f>
        <v/>
      </c>
      <c r="L247" s="39" t="str">
        <f>IFERROR(IF(A247="","",SUMIF(DB_Withdrawals!$A:$A,A247,DB_Withdrawals!$G:$G)),"")</f>
        <v/>
      </c>
      <c r="M247" s="39" t="str">
        <f>IFERROR(IF(A247="","",IFERROR(VALUE(H247),0)+IFERROR(SUMIF(DB_Savings!$A:$A,A247,DB_Savings!$F:$F),0)-IFERROR(SUMIF(DB_Withdrawals!$A:$A,A247,DB_Withdrawals!$G:$G),0)),"")</f>
        <v/>
      </c>
      <c r="N247" s="39" t="str">
        <f>IFERROR(IF(A247="","",MAX(0,M247-System_Config!$B$9)),"")</f>
        <v/>
      </c>
    </row>
    <row r="248" spans="1:14" ht="19.5" customHeight="1" x14ac:dyDescent="0.25">
      <c r="A248" s="37" t="str">
        <f>'NEW ACCOUNT'!A249</f>
        <v/>
      </c>
      <c r="B248" s="38" t="str">
        <f>IF('NEW ACCOUNT'!A249="","",'NEW ACCOUNT'!B249)</f>
        <v/>
      </c>
      <c r="C248" s="38" t="str">
        <f>IF('NEW ACCOUNT'!A249="","",'NEW ACCOUNT'!C249)</f>
        <v/>
      </c>
      <c r="D248" s="38" t="str">
        <f>IF('NEW ACCOUNT'!A249="","",'NEW ACCOUNT'!D249)</f>
        <v/>
      </c>
      <c r="E248" s="38" t="str">
        <f>IF('NEW ACCOUNT'!A249="","",'NEW ACCOUNT'!E249)</f>
        <v/>
      </c>
      <c r="F248" s="38" t="str">
        <f>IF('NEW ACCOUNT'!A249="","",'NEW ACCOUNT'!F249)</f>
        <v/>
      </c>
      <c r="G248" s="38" t="str">
        <f>IF('NEW ACCOUNT'!A249="","",'NEW ACCOUNT'!G249)</f>
        <v/>
      </c>
      <c r="H248" s="38" t="str">
        <f>IF('NEW ACCOUNT'!A249="","",'NEW ACCOUNT'!H249)</f>
        <v/>
      </c>
      <c r="I248" s="38" t="str">
        <f>IF('NEW ACCOUNT'!A249="","",'NEW ACCOUNT'!I249)</f>
        <v/>
      </c>
      <c r="J248" s="38" t="str">
        <f>IF('NEW ACCOUNT'!A249="","",'NEW ACCOUNT'!J249)</f>
        <v/>
      </c>
      <c r="K248" s="39" t="str">
        <f>IFERROR(IF(A248="","",SUMIF(DB_Savings!$A:$A,A248,DB_Savings!$F:$F)),"")</f>
        <v/>
      </c>
      <c r="L248" s="39" t="str">
        <f>IFERROR(IF(A248="","",SUMIF(DB_Withdrawals!$A:$A,A248,DB_Withdrawals!$G:$G)),"")</f>
        <v/>
      </c>
      <c r="M248" s="39" t="str">
        <f>IFERROR(IF(A248="","",IFERROR(VALUE(H248),0)+IFERROR(SUMIF(DB_Savings!$A:$A,A248,DB_Savings!$F:$F),0)-IFERROR(SUMIF(DB_Withdrawals!$A:$A,A248,DB_Withdrawals!$G:$G),0)),"")</f>
        <v/>
      </c>
      <c r="N248" s="39" t="str">
        <f>IFERROR(IF(A248="","",MAX(0,M248-System_Config!$B$9)),"")</f>
        <v/>
      </c>
    </row>
    <row r="249" spans="1:14" ht="19.5" customHeight="1" x14ac:dyDescent="0.25">
      <c r="A249" s="37" t="str">
        <f>'NEW ACCOUNT'!A250</f>
        <v/>
      </c>
      <c r="B249" s="38" t="str">
        <f>IF('NEW ACCOUNT'!A250="","",'NEW ACCOUNT'!B250)</f>
        <v/>
      </c>
      <c r="C249" s="38" t="str">
        <f>IF('NEW ACCOUNT'!A250="","",'NEW ACCOUNT'!C250)</f>
        <v/>
      </c>
      <c r="D249" s="38" t="str">
        <f>IF('NEW ACCOUNT'!A250="","",'NEW ACCOUNT'!D250)</f>
        <v/>
      </c>
      <c r="E249" s="38" t="str">
        <f>IF('NEW ACCOUNT'!A250="","",'NEW ACCOUNT'!E250)</f>
        <v/>
      </c>
      <c r="F249" s="38" t="str">
        <f>IF('NEW ACCOUNT'!A250="","",'NEW ACCOUNT'!F250)</f>
        <v/>
      </c>
      <c r="G249" s="38" t="str">
        <f>IF('NEW ACCOUNT'!A250="","",'NEW ACCOUNT'!G250)</f>
        <v/>
      </c>
      <c r="H249" s="38" t="str">
        <f>IF('NEW ACCOUNT'!A250="","",'NEW ACCOUNT'!H250)</f>
        <v/>
      </c>
      <c r="I249" s="38" t="str">
        <f>IF('NEW ACCOUNT'!A250="","",'NEW ACCOUNT'!I250)</f>
        <v/>
      </c>
      <c r="J249" s="38" t="str">
        <f>IF('NEW ACCOUNT'!A250="","",'NEW ACCOUNT'!J250)</f>
        <v/>
      </c>
      <c r="K249" s="39" t="str">
        <f>IFERROR(IF(A249="","",SUMIF(DB_Savings!$A:$A,A249,DB_Savings!$F:$F)),"")</f>
        <v/>
      </c>
      <c r="L249" s="39" t="str">
        <f>IFERROR(IF(A249="","",SUMIF(DB_Withdrawals!$A:$A,A249,DB_Withdrawals!$G:$G)),"")</f>
        <v/>
      </c>
      <c r="M249" s="39" t="str">
        <f>IFERROR(IF(A249="","",IFERROR(VALUE(H249),0)+IFERROR(SUMIF(DB_Savings!$A:$A,A249,DB_Savings!$F:$F),0)-IFERROR(SUMIF(DB_Withdrawals!$A:$A,A249,DB_Withdrawals!$G:$G),0)),"")</f>
        <v/>
      </c>
      <c r="N249" s="39" t="str">
        <f>IFERROR(IF(A249="","",MAX(0,M249-System_Config!$B$9)),"")</f>
        <v/>
      </c>
    </row>
    <row r="250" spans="1:14" ht="19.5" customHeight="1" x14ac:dyDescent="0.25">
      <c r="A250" s="37" t="str">
        <f>'NEW ACCOUNT'!A251</f>
        <v/>
      </c>
      <c r="B250" s="38" t="str">
        <f>IF('NEW ACCOUNT'!A251="","",'NEW ACCOUNT'!B251)</f>
        <v/>
      </c>
      <c r="C250" s="38" t="str">
        <f>IF('NEW ACCOUNT'!A251="","",'NEW ACCOUNT'!C251)</f>
        <v/>
      </c>
      <c r="D250" s="38" t="str">
        <f>IF('NEW ACCOUNT'!A251="","",'NEW ACCOUNT'!D251)</f>
        <v/>
      </c>
      <c r="E250" s="38" t="str">
        <f>IF('NEW ACCOUNT'!A251="","",'NEW ACCOUNT'!E251)</f>
        <v/>
      </c>
      <c r="F250" s="38" t="str">
        <f>IF('NEW ACCOUNT'!A251="","",'NEW ACCOUNT'!F251)</f>
        <v/>
      </c>
      <c r="G250" s="38" t="str">
        <f>IF('NEW ACCOUNT'!A251="","",'NEW ACCOUNT'!G251)</f>
        <v/>
      </c>
      <c r="H250" s="38" t="str">
        <f>IF('NEW ACCOUNT'!A251="","",'NEW ACCOUNT'!H251)</f>
        <v/>
      </c>
      <c r="I250" s="38" t="str">
        <f>IF('NEW ACCOUNT'!A251="","",'NEW ACCOUNT'!I251)</f>
        <v/>
      </c>
      <c r="J250" s="38" t="str">
        <f>IF('NEW ACCOUNT'!A251="","",'NEW ACCOUNT'!J251)</f>
        <v/>
      </c>
      <c r="K250" s="39" t="str">
        <f>IFERROR(IF(A250="","",SUMIF(DB_Savings!$A:$A,A250,DB_Savings!$F:$F)),"")</f>
        <v/>
      </c>
      <c r="L250" s="39" t="str">
        <f>IFERROR(IF(A250="","",SUMIF(DB_Withdrawals!$A:$A,A250,DB_Withdrawals!$G:$G)),"")</f>
        <v/>
      </c>
      <c r="M250" s="39" t="str">
        <f>IFERROR(IF(A250="","",IFERROR(VALUE(H250),0)+IFERROR(SUMIF(DB_Savings!$A:$A,A250,DB_Savings!$F:$F),0)-IFERROR(SUMIF(DB_Withdrawals!$A:$A,A250,DB_Withdrawals!$G:$G),0)),"")</f>
        <v/>
      </c>
      <c r="N250" s="39" t="str">
        <f>IFERROR(IF(A250="","",MAX(0,M250-System_Config!$B$9)),"")</f>
        <v/>
      </c>
    </row>
    <row r="251" spans="1:14" ht="19.5" customHeight="1" x14ac:dyDescent="0.25">
      <c r="A251" s="37" t="str">
        <f>'NEW ACCOUNT'!A252</f>
        <v/>
      </c>
      <c r="B251" s="38" t="str">
        <f>IF('NEW ACCOUNT'!A252="","",'NEW ACCOUNT'!B252)</f>
        <v/>
      </c>
      <c r="C251" s="38" t="str">
        <f>IF('NEW ACCOUNT'!A252="","",'NEW ACCOUNT'!C252)</f>
        <v/>
      </c>
      <c r="D251" s="38" t="str">
        <f>IF('NEW ACCOUNT'!A252="","",'NEW ACCOUNT'!D252)</f>
        <v/>
      </c>
      <c r="E251" s="38" t="str">
        <f>IF('NEW ACCOUNT'!A252="","",'NEW ACCOUNT'!E252)</f>
        <v/>
      </c>
      <c r="F251" s="38" t="str">
        <f>IF('NEW ACCOUNT'!A252="","",'NEW ACCOUNT'!F252)</f>
        <v/>
      </c>
      <c r="G251" s="38" t="str">
        <f>IF('NEW ACCOUNT'!A252="","",'NEW ACCOUNT'!G252)</f>
        <v/>
      </c>
      <c r="H251" s="38" t="str">
        <f>IF('NEW ACCOUNT'!A252="","",'NEW ACCOUNT'!H252)</f>
        <v/>
      </c>
      <c r="I251" s="38" t="str">
        <f>IF('NEW ACCOUNT'!A252="","",'NEW ACCOUNT'!I252)</f>
        <v/>
      </c>
      <c r="J251" s="38" t="str">
        <f>IF('NEW ACCOUNT'!A252="","",'NEW ACCOUNT'!J252)</f>
        <v/>
      </c>
      <c r="K251" s="39" t="str">
        <f>IFERROR(IF(A251="","",SUMIF(DB_Savings!$A:$A,A251,DB_Savings!$F:$F)),"")</f>
        <v/>
      </c>
      <c r="L251" s="39" t="str">
        <f>IFERROR(IF(A251="","",SUMIF(DB_Withdrawals!$A:$A,A251,DB_Withdrawals!$G:$G)),"")</f>
        <v/>
      </c>
      <c r="M251" s="39" t="str">
        <f>IFERROR(IF(A251="","",IFERROR(VALUE(H251),0)+IFERROR(SUMIF(DB_Savings!$A:$A,A251,DB_Savings!$F:$F),0)-IFERROR(SUMIF(DB_Withdrawals!$A:$A,A251,DB_Withdrawals!$G:$G),0)),"")</f>
        <v/>
      </c>
      <c r="N251" s="39" t="str">
        <f>IFERROR(IF(A251="","",MAX(0,M251-System_Config!$B$9)),"")</f>
        <v/>
      </c>
    </row>
    <row r="252" spans="1:14" ht="19.5" customHeight="1" x14ac:dyDescent="0.25">
      <c r="A252" s="37" t="str">
        <f>'NEW ACCOUNT'!A253</f>
        <v/>
      </c>
      <c r="B252" s="38" t="str">
        <f>IF('NEW ACCOUNT'!A253="","",'NEW ACCOUNT'!B253)</f>
        <v/>
      </c>
      <c r="C252" s="38" t="str">
        <f>IF('NEW ACCOUNT'!A253="","",'NEW ACCOUNT'!C253)</f>
        <v/>
      </c>
      <c r="D252" s="38" t="str">
        <f>IF('NEW ACCOUNT'!A253="","",'NEW ACCOUNT'!D253)</f>
        <v/>
      </c>
      <c r="E252" s="38" t="str">
        <f>IF('NEW ACCOUNT'!A253="","",'NEW ACCOUNT'!E253)</f>
        <v/>
      </c>
      <c r="F252" s="38" t="str">
        <f>IF('NEW ACCOUNT'!A253="","",'NEW ACCOUNT'!F253)</f>
        <v/>
      </c>
      <c r="G252" s="38" t="str">
        <f>IF('NEW ACCOUNT'!A253="","",'NEW ACCOUNT'!G253)</f>
        <v/>
      </c>
      <c r="H252" s="38" t="str">
        <f>IF('NEW ACCOUNT'!A253="","",'NEW ACCOUNT'!H253)</f>
        <v/>
      </c>
      <c r="I252" s="38" t="str">
        <f>IF('NEW ACCOUNT'!A253="","",'NEW ACCOUNT'!I253)</f>
        <v/>
      </c>
      <c r="J252" s="38" t="str">
        <f>IF('NEW ACCOUNT'!A253="","",'NEW ACCOUNT'!J253)</f>
        <v/>
      </c>
      <c r="K252" s="39" t="str">
        <f>IFERROR(IF(A252="","",SUMIF(DB_Savings!$A:$A,A252,DB_Savings!$F:$F)),"")</f>
        <v/>
      </c>
      <c r="L252" s="39" t="str">
        <f>IFERROR(IF(A252="","",SUMIF(DB_Withdrawals!$A:$A,A252,DB_Withdrawals!$G:$G)),"")</f>
        <v/>
      </c>
      <c r="M252" s="39" t="str">
        <f>IFERROR(IF(A252="","",IFERROR(VALUE(H252),0)+IFERROR(SUMIF(DB_Savings!$A:$A,A252,DB_Savings!$F:$F),0)-IFERROR(SUMIF(DB_Withdrawals!$A:$A,A252,DB_Withdrawals!$G:$G),0)),"")</f>
        <v/>
      </c>
      <c r="N252" s="39" t="str">
        <f>IFERROR(IF(A252="","",MAX(0,M252-System_Config!$B$9)),"")</f>
        <v/>
      </c>
    </row>
    <row r="253" spans="1:14" ht="19.5" customHeight="1" x14ac:dyDescent="0.25">
      <c r="A253" s="37" t="str">
        <f>'NEW ACCOUNT'!A254</f>
        <v/>
      </c>
      <c r="B253" s="38" t="str">
        <f>IF('NEW ACCOUNT'!A254="","",'NEW ACCOUNT'!B254)</f>
        <v/>
      </c>
      <c r="C253" s="38" t="str">
        <f>IF('NEW ACCOUNT'!A254="","",'NEW ACCOUNT'!C254)</f>
        <v/>
      </c>
      <c r="D253" s="38" t="str">
        <f>IF('NEW ACCOUNT'!A254="","",'NEW ACCOUNT'!D254)</f>
        <v/>
      </c>
      <c r="E253" s="38" t="str">
        <f>IF('NEW ACCOUNT'!A254="","",'NEW ACCOUNT'!E254)</f>
        <v/>
      </c>
      <c r="F253" s="38" t="str">
        <f>IF('NEW ACCOUNT'!A254="","",'NEW ACCOUNT'!F254)</f>
        <v/>
      </c>
      <c r="G253" s="38" t="str">
        <f>IF('NEW ACCOUNT'!A254="","",'NEW ACCOUNT'!G254)</f>
        <v/>
      </c>
      <c r="H253" s="38" t="str">
        <f>IF('NEW ACCOUNT'!A254="","",'NEW ACCOUNT'!H254)</f>
        <v/>
      </c>
      <c r="I253" s="38" t="str">
        <f>IF('NEW ACCOUNT'!A254="","",'NEW ACCOUNT'!I254)</f>
        <v/>
      </c>
      <c r="J253" s="38" t="str">
        <f>IF('NEW ACCOUNT'!A254="","",'NEW ACCOUNT'!J254)</f>
        <v/>
      </c>
      <c r="K253" s="39" t="str">
        <f>IFERROR(IF(A253="","",SUMIF(DB_Savings!$A:$A,A253,DB_Savings!$F:$F)),"")</f>
        <v/>
      </c>
      <c r="L253" s="39" t="str">
        <f>IFERROR(IF(A253="","",SUMIF(DB_Withdrawals!$A:$A,A253,DB_Withdrawals!$G:$G)),"")</f>
        <v/>
      </c>
      <c r="M253" s="39" t="str">
        <f>IFERROR(IF(A253="","",IFERROR(VALUE(H253),0)+IFERROR(SUMIF(DB_Savings!$A:$A,A253,DB_Savings!$F:$F),0)-IFERROR(SUMIF(DB_Withdrawals!$A:$A,A253,DB_Withdrawals!$G:$G),0)),"")</f>
        <v/>
      </c>
      <c r="N253" s="39" t="str">
        <f>IFERROR(IF(A253="","",MAX(0,M253-System_Config!$B$9)),"")</f>
        <v/>
      </c>
    </row>
    <row r="254" spans="1:14" ht="19.5" customHeight="1" x14ac:dyDescent="0.25">
      <c r="A254" s="37" t="str">
        <f>'NEW ACCOUNT'!A255</f>
        <v/>
      </c>
      <c r="B254" s="38" t="str">
        <f>IF('NEW ACCOUNT'!A255="","",'NEW ACCOUNT'!B255)</f>
        <v/>
      </c>
      <c r="C254" s="38" t="str">
        <f>IF('NEW ACCOUNT'!A255="","",'NEW ACCOUNT'!C255)</f>
        <v/>
      </c>
      <c r="D254" s="38" t="str">
        <f>IF('NEW ACCOUNT'!A255="","",'NEW ACCOUNT'!D255)</f>
        <v/>
      </c>
      <c r="E254" s="38" t="str">
        <f>IF('NEW ACCOUNT'!A255="","",'NEW ACCOUNT'!E255)</f>
        <v/>
      </c>
      <c r="F254" s="38" t="str">
        <f>IF('NEW ACCOUNT'!A255="","",'NEW ACCOUNT'!F255)</f>
        <v/>
      </c>
      <c r="G254" s="38" t="str">
        <f>IF('NEW ACCOUNT'!A255="","",'NEW ACCOUNT'!G255)</f>
        <v/>
      </c>
      <c r="H254" s="38" t="str">
        <f>IF('NEW ACCOUNT'!A255="","",'NEW ACCOUNT'!H255)</f>
        <v/>
      </c>
      <c r="I254" s="38" t="str">
        <f>IF('NEW ACCOUNT'!A255="","",'NEW ACCOUNT'!I255)</f>
        <v/>
      </c>
      <c r="J254" s="38" t="str">
        <f>IF('NEW ACCOUNT'!A255="","",'NEW ACCOUNT'!J255)</f>
        <v/>
      </c>
      <c r="K254" s="39" t="str">
        <f>IFERROR(IF(A254="","",SUMIF(DB_Savings!$A:$A,A254,DB_Savings!$F:$F)),"")</f>
        <v/>
      </c>
      <c r="L254" s="39" t="str">
        <f>IFERROR(IF(A254="","",SUMIF(DB_Withdrawals!$A:$A,A254,DB_Withdrawals!$G:$G)),"")</f>
        <v/>
      </c>
      <c r="M254" s="39" t="str">
        <f>IFERROR(IF(A254="","",IFERROR(VALUE(H254),0)+IFERROR(SUMIF(DB_Savings!$A:$A,A254,DB_Savings!$F:$F),0)-IFERROR(SUMIF(DB_Withdrawals!$A:$A,A254,DB_Withdrawals!$G:$G),0)),"")</f>
        <v/>
      </c>
      <c r="N254" s="39" t="str">
        <f>IFERROR(IF(A254="","",MAX(0,M254-System_Config!$B$9)),"")</f>
        <v/>
      </c>
    </row>
    <row r="255" spans="1:14" ht="19.5" customHeight="1" x14ac:dyDescent="0.25">
      <c r="A255" s="37" t="str">
        <f>'NEW ACCOUNT'!A256</f>
        <v/>
      </c>
      <c r="B255" s="38" t="str">
        <f>IF('NEW ACCOUNT'!A256="","",'NEW ACCOUNT'!B256)</f>
        <v/>
      </c>
      <c r="C255" s="38" t="str">
        <f>IF('NEW ACCOUNT'!A256="","",'NEW ACCOUNT'!C256)</f>
        <v/>
      </c>
      <c r="D255" s="38" t="str">
        <f>IF('NEW ACCOUNT'!A256="","",'NEW ACCOUNT'!D256)</f>
        <v/>
      </c>
      <c r="E255" s="38" t="str">
        <f>IF('NEW ACCOUNT'!A256="","",'NEW ACCOUNT'!E256)</f>
        <v/>
      </c>
      <c r="F255" s="38" t="str">
        <f>IF('NEW ACCOUNT'!A256="","",'NEW ACCOUNT'!F256)</f>
        <v/>
      </c>
      <c r="G255" s="38" t="str">
        <f>IF('NEW ACCOUNT'!A256="","",'NEW ACCOUNT'!G256)</f>
        <v/>
      </c>
      <c r="H255" s="38" t="str">
        <f>IF('NEW ACCOUNT'!A256="","",'NEW ACCOUNT'!H256)</f>
        <v/>
      </c>
      <c r="I255" s="38" t="str">
        <f>IF('NEW ACCOUNT'!A256="","",'NEW ACCOUNT'!I256)</f>
        <v/>
      </c>
      <c r="J255" s="38" t="str">
        <f>IF('NEW ACCOUNT'!A256="","",'NEW ACCOUNT'!J256)</f>
        <v/>
      </c>
      <c r="K255" s="39" t="str">
        <f>IFERROR(IF(A255="","",SUMIF(DB_Savings!$A:$A,A255,DB_Savings!$F:$F)),"")</f>
        <v/>
      </c>
      <c r="L255" s="39" t="str">
        <f>IFERROR(IF(A255="","",SUMIF(DB_Withdrawals!$A:$A,A255,DB_Withdrawals!$G:$G)),"")</f>
        <v/>
      </c>
      <c r="M255" s="39" t="str">
        <f>IFERROR(IF(A255="","",IFERROR(VALUE(H255),0)+IFERROR(SUMIF(DB_Savings!$A:$A,A255,DB_Savings!$F:$F),0)-IFERROR(SUMIF(DB_Withdrawals!$A:$A,A255,DB_Withdrawals!$G:$G),0)),"")</f>
        <v/>
      </c>
      <c r="N255" s="39" t="str">
        <f>IFERROR(IF(A255="","",MAX(0,M255-System_Config!$B$9)),"")</f>
        <v/>
      </c>
    </row>
    <row r="256" spans="1:14" ht="19.5" customHeight="1" x14ac:dyDescent="0.25">
      <c r="A256" s="37" t="str">
        <f>'NEW ACCOUNT'!A257</f>
        <v/>
      </c>
      <c r="B256" s="38" t="str">
        <f>IF('NEW ACCOUNT'!A257="","",'NEW ACCOUNT'!B257)</f>
        <v/>
      </c>
      <c r="C256" s="38" t="str">
        <f>IF('NEW ACCOUNT'!A257="","",'NEW ACCOUNT'!C257)</f>
        <v/>
      </c>
      <c r="D256" s="38" t="str">
        <f>IF('NEW ACCOUNT'!A257="","",'NEW ACCOUNT'!D257)</f>
        <v/>
      </c>
      <c r="E256" s="38" t="str">
        <f>IF('NEW ACCOUNT'!A257="","",'NEW ACCOUNT'!E257)</f>
        <v/>
      </c>
      <c r="F256" s="38" t="str">
        <f>IF('NEW ACCOUNT'!A257="","",'NEW ACCOUNT'!F257)</f>
        <v/>
      </c>
      <c r="G256" s="38" t="str">
        <f>IF('NEW ACCOUNT'!A257="","",'NEW ACCOUNT'!G257)</f>
        <v/>
      </c>
      <c r="H256" s="38" t="str">
        <f>IF('NEW ACCOUNT'!A257="","",'NEW ACCOUNT'!H257)</f>
        <v/>
      </c>
      <c r="I256" s="38" t="str">
        <f>IF('NEW ACCOUNT'!A257="","",'NEW ACCOUNT'!I257)</f>
        <v/>
      </c>
      <c r="J256" s="38" t="str">
        <f>IF('NEW ACCOUNT'!A257="","",'NEW ACCOUNT'!J257)</f>
        <v/>
      </c>
      <c r="K256" s="39" t="str">
        <f>IFERROR(IF(A256="","",SUMIF(DB_Savings!$A:$A,A256,DB_Savings!$F:$F)),"")</f>
        <v/>
      </c>
      <c r="L256" s="39" t="str">
        <f>IFERROR(IF(A256="","",SUMIF(DB_Withdrawals!$A:$A,A256,DB_Withdrawals!$G:$G)),"")</f>
        <v/>
      </c>
      <c r="M256" s="39" t="str">
        <f>IFERROR(IF(A256="","",IFERROR(VALUE(H256),0)+IFERROR(SUMIF(DB_Savings!$A:$A,A256,DB_Savings!$F:$F),0)-IFERROR(SUMIF(DB_Withdrawals!$A:$A,A256,DB_Withdrawals!$G:$G),0)),"")</f>
        <v/>
      </c>
      <c r="N256" s="39" t="str">
        <f>IFERROR(IF(A256="","",MAX(0,M256-System_Config!$B$9)),"")</f>
        <v/>
      </c>
    </row>
    <row r="257" spans="1:14" ht="19.5" customHeight="1" x14ac:dyDescent="0.25">
      <c r="A257" s="37" t="str">
        <f>'NEW ACCOUNT'!A258</f>
        <v/>
      </c>
      <c r="B257" s="38" t="str">
        <f>IF('NEW ACCOUNT'!A258="","",'NEW ACCOUNT'!B258)</f>
        <v/>
      </c>
      <c r="C257" s="38" t="str">
        <f>IF('NEW ACCOUNT'!A258="","",'NEW ACCOUNT'!C258)</f>
        <v/>
      </c>
      <c r="D257" s="38" t="str">
        <f>IF('NEW ACCOUNT'!A258="","",'NEW ACCOUNT'!D258)</f>
        <v/>
      </c>
      <c r="E257" s="38" t="str">
        <f>IF('NEW ACCOUNT'!A258="","",'NEW ACCOUNT'!E258)</f>
        <v/>
      </c>
      <c r="F257" s="38" t="str">
        <f>IF('NEW ACCOUNT'!A258="","",'NEW ACCOUNT'!F258)</f>
        <v/>
      </c>
      <c r="G257" s="38" t="str">
        <f>IF('NEW ACCOUNT'!A258="","",'NEW ACCOUNT'!G258)</f>
        <v/>
      </c>
      <c r="H257" s="38" t="str">
        <f>IF('NEW ACCOUNT'!A258="","",'NEW ACCOUNT'!H258)</f>
        <v/>
      </c>
      <c r="I257" s="38" t="str">
        <f>IF('NEW ACCOUNT'!A258="","",'NEW ACCOUNT'!I258)</f>
        <v/>
      </c>
      <c r="J257" s="38" t="str">
        <f>IF('NEW ACCOUNT'!A258="","",'NEW ACCOUNT'!J258)</f>
        <v/>
      </c>
      <c r="K257" s="39" t="str">
        <f>IFERROR(IF(A257="","",SUMIF(DB_Savings!$A:$A,A257,DB_Savings!$F:$F)),"")</f>
        <v/>
      </c>
      <c r="L257" s="39" t="str">
        <f>IFERROR(IF(A257="","",SUMIF(DB_Withdrawals!$A:$A,A257,DB_Withdrawals!$G:$G)),"")</f>
        <v/>
      </c>
      <c r="M257" s="39" t="str">
        <f>IFERROR(IF(A257="","",IFERROR(VALUE(H257),0)+IFERROR(SUMIF(DB_Savings!$A:$A,A257,DB_Savings!$F:$F),0)-IFERROR(SUMIF(DB_Withdrawals!$A:$A,A257,DB_Withdrawals!$G:$G),0)),"")</f>
        <v/>
      </c>
      <c r="N257" s="39" t="str">
        <f>IFERROR(IF(A257="","",MAX(0,M257-System_Config!$B$9)),"")</f>
        <v/>
      </c>
    </row>
    <row r="258" spans="1:14" ht="19.5" customHeight="1" x14ac:dyDescent="0.25">
      <c r="A258" s="37" t="str">
        <f>'NEW ACCOUNT'!A259</f>
        <v/>
      </c>
      <c r="B258" s="38" t="str">
        <f>IF('NEW ACCOUNT'!A259="","",'NEW ACCOUNT'!B259)</f>
        <v/>
      </c>
      <c r="C258" s="38" t="str">
        <f>IF('NEW ACCOUNT'!A259="","",'NEW ACCOUNT'!C259)</f>
        <v/>
      </c>
      <c r="D258" s="38" t="str">
        <f>IF('NEW ACCOUNT'!A259="","",'NEW ACCOUNT'!D259)</f>
        <v/>
      </c>
      <c r="E258" s="38" t="str">
        <f>IF('NEW ACCOUNT'!A259="","",'NEW ACCOUNT'!E259)</f>
        <v/>
      </c>
      <c r="F258" s="38" t="str">
        <f>IF('NEW ACCOUNT'!A259="","",'NEW ACCOUNT'!F259)</f>
        <v/>
      </c>
      <c r="G258" s="38" t="str">
        <f>IF('NEW ACCOUNT'!A259="","",'NEW ACCOUNT'!G259)</f>
        <v/>
      </c>
      <c r="H258" s="38" t="str">
        <f>IF('NEW ACCOUNT'!A259="","",'NEW ACCOUNT'!H259)</f>
        <v/>
      </c>
      <c r="I258" s="38" t="str">
        <f>IF('NEW ACCOUNT'!A259="","",'NEW ACCOUNT'!I259)</f>
        <v/>
      </c>
      <c r="J258" s="38" t="str">
        <f>IF('NEW ACCOUNT'!A259="","",'NEW ACCOUNT'!J259)</f>
        <v/>
      </c>
      <c r="K258" s="39" t="str">
        <f>IFERROR(IF(A258="","",SUMIF(DB_Savings!$A:$A,A258,DB_Savings!$F:$F)),"")</f>
        <v/>
      </c>
      <c r="L258" s="39" t="str">
        <f>IFERROR(IF(A258="","",SUMIF(DB_Withdrawals!$A:$A,A258,DB_Withdrawals!$G:$G)),"")</f>
        <v/>
      </c>
      <c r="M258" s="39" t="str">
        <f>IFERROR(IF(A258="","",IFERROR(VALUE(H258),0)+IFERROR(SUMIF(DB_Savings!$A:$A,A258,DB_Savings!$F:$F),0)-IFERROR(SUMIF(DB_Withdrawals!$A:$A,A258,DB_Withdrawals!$G:$G),0)),"")</f>
        <v/>
      </c>
      <c r="N258" s="39" t="str">
        <f>IFERROR(IF(A258="","",MAX(0,M258-System_Config!$B$9)),"")</f>
        <v/>
      </c>
    </row>
    <row r="259" spans="1:14" ht="19.5" customHeight="1" x14ac:dyDescent="0.25">
      <c r="A259" s="37" t="str">
        <f>'NEW ACCOUNT'!A260</f>
        <v/>
      </c>
      <c r="B259" s="38" t="str">
        <f>IF('NEW ACCOUNT'!A260="","",'NEW ACCOUNT'!B260)</f>
        <v/>
      </c>
      <c r="C259" s="38" t="str">
        <f>IF('NEW ACCOUNT'!A260="","",'NEW ACCOUNT'!C260)</f>
        <v/>
      </c>
      <c r="D259" s="38" t="str">
        <f>IF('NEW ACCOUNT'!A260="","",'NEW ACCOUNT'!D260)</f>
        <v/>
      </c>
      <c r="E259" s="38" t="str">
        <f>IF('NEW ACCOUNT'!A260="","",'NEW ACCOUNT'!E260)</f>
        <v/>
      </c>
      <c r="F259" s="38" t="str">
        <f>IF('NEW ACCOUNT'!A260="","",'NEW ACCOUNT'!F260)</f>
        <v/>
      </c>
      <c r="G259" s="38" t="str">
        <f>IF('NEW ACCOUNT'!A260="","",'NEW ACCOUNT'!G260)</f>
        <v/>
      </c>
      <c r="H259" s="38" t="str">
        <f>IF('NEW ACCOUNT'!A260="","",'NEW ACCOUNT'!H260)</f>
        <v/>
      </c>
      <c r="I259" s="38" t="str">
        <f>IF('NEW ACCOUNT'!A260="","",'NEW ACCOUNT'!I260)</f>
        <v/>
      </c>
      <c r="J259" s="38" t="str">
        <f>IF('NEW ACCOUNT'!A260="","",'NEW ACCOUNT'!J260)</f>
        <v/>
      </c>
      <c r="K259" s="39" t="str">
        <f>IFERROR(IF(A259="","",SUMIF(DB_Savings!$A:$A,A259,DB_Savings!$F:$F)),"")</f>
        <v/>
      </c>
      <c r="L259" s="39" t="str">
        <f>IFERROR(IF(A259="","",SUMIF(DB_Withdrawals!$A:$A,A259,DB_Withdrawals!$G:$G)),"")</f>
        <v/>
      </c>
      <c r="M259" s="39" t="str">
        <f>IFERROR(IF(A259="","",IFERROR(VALUE(H259),0)+IFERROR(SUMIF(DB_Savings!$A:$A,A259,DB_Savings!$F:$F),0)-IFERROR(SUMIF(DB_Withdrawals!$A:$A,A259,DB_Withdrawals!$G:$G),0)),"")</f>
        <v/>
      </c>
      <c r="N259" s="39" t="str">
        <f>IFERROR(IF(A259="","",MAX(0,M259-System_Config!$B$9)),"")</f>
        <v/>
      </c>
    </row>
    <row r="260" spans="1:14" ht="19.5" customHeight="1" x14ac:dyDescent="0.25">
      <c r="A260" s="37" t="str">
        <f>'NEW ACCOUNT'!A261</f>
        <v/>
      </c>
      <c r="B260" s="38" t="str">
        <f>IF('NEW ACCOUNT'!A261="","",'NEW ACCOUNT'!B261)</f>
        <v/>
      </c>
      <c r="C260" s="38" t="str">
        <f>IF('NEW ACCOUNT'!A261="","",'NEW ACCOUNT'!C261)</f>
        <v/>
      </c>
      <c r="D260" s="38" t="str">
        <f>IF('NEW ACCOUNT'!A261="","",'NEW ACCOUNT'!D261)</f>
        <v/>
      </c>
      <c r="E260" s="38" t="str">
        <f>IF('NEW ACCOUNT'!A261="","",'NEW ACCOUNT'!E261)</f>
        <v/>
      </c>
      <c r="F260" s="38" t="str">
        <f>IF('NEW ACCOUNT'!A261="","",'NEW ACCOUNT'!F261)</f>
        <v/>
      </c>
      <c r="G260" s="38" t="str">
        <f>IF('NEW ACCOUNT'!A261="","",'NEW ACCOUNT'!G261)</f>
        <v/>
      </c>
      <c r="H260" s="38" t="str">
        <f>IF('NEW ACCOUNT'!A261="","",'NEW ACCOUNT'!H261)</f>
        <v/>
      </c>
      <c r="I260" s="38" t="str">
        <f>IF('NEW ACCOUNT'!A261="","",'NEW ACCOUNT'!I261)</f>
        <v/>
      </c>
      <c r="J260" s="38" t="str">
        <f>IF('NEW ACCOUNT'!A261="","",'NEW ACCOUNT'!J261)</f>
        <v/>
      </c>
      <c r="K260" s="39" t="str">
        <f>IFERROR(IF(A260="","",SUMIF(DB_Savings!$A:$A,A260,DB_Savings!$F:$F)),"")</f>
        <v/>
      </c>
      <c r="L260" s="39" t="str">
        <f>IFERROR(IF(A260="","",SUMIF(DB_Withdrawals!$A:$A,A260,DB_Withdrawals!$G:$G)),"")</f>
        <v/>
      </c>
      <c r="M260" s="39" t="str">
        <f>IFERROR(IF(A260="","",IFERROR(VALUE(H260),0)+IFERROR(SUMIF(DB_Savings!$A:$A,A260,DB_Savings!$F:$F),0)-IFERROR(SUMIF(DB_Withdrawals!$A:$A,A260,DB_Withdrawals!$G:$G),0)),"")</f>
        <v/>
      </c>
      <c r="N260" s="39" t="str">
        <f>IFERROR(IF(A260="","",MAX(0,M260-System_Config!$B$9)),"")</f>
        <v/>
      </c>
    </row>
    <row r="261" spans="1:14" ht="19.5" customHeight="1" x14ac:dyDescent="0.25">
      <c r="A261" s="37" t="str">
        <f>'NEW ACCOUNT'!A262</f>
        <v/>
      </c>
      <c r="B261" s="38" t="str">
        <f>IF('NEW ACCOUNT'!A262="","",'NEW ACCOUNT'!B262)</f>
        <v/>
      </c>
      <c r="C261" s="38" t="str">
        <f>IF('NEW ACCOUNT'!A262="","",'NEW ACCOUNT'!C262)</f>
        <v/>
      </c>
      <c r="D261" s="38" t="str">
        <f>IF('NEW ACCOUNT'!A262="","",'NEW ACCOUNT'!D262)</f>
        <v/>
      </c>
      <c r="E261" s="38" t="str">
        <f>IF('NEW ACCOUNT'!A262="","",'NEW ACCOUNT'!E262)</f>
        <v/>
      </c>
      <c r="F261" s="38" t="str">
        <f>IF('NEW ACCOUNT'!A262="","",'NEW ACCOUNT'!F262)</f>
        <v/>
      </c>
      <c r="G261" s="38" t="str">
        <f>IF('NEW ACCOUNT'!A262="","",'NEW ACCOUNT'!G262)</f>
        <v/>
      </c>
      <c r="H261" s="38" t="str">
        <f>IF('NEW ACCOUNT'!A262="","",'NEW ACCOUNT'!H262)</f>
        <v/>
      </c>
      <c r="I261" s="38" t="str">
        <f>IF('NEW ACCOUNT'!A262="","",'NEW ACCOUNT'!I262)</f>
        <v/>
      </c>
      <c r="J261" s="38" t="str">
        <f>IF('NEW ACCOUNT'!A262="","",'NEW ACCOUNT'!J262)</f>
        <v/>
      </c>
      <c r="K261" s="39" t="str">
        <f>IFERROR(IF(A261="","",SUMIF(DB_Savings!$A:$A,A261,DB_Savings!$F:$F)),"")</f>
        <v/>
      </c>
      <c r="L261" s="39" t="str">
        <f>IFERROR(IF(A261="","",SUMIF(DB_Withdrawals!$A:$A,A261,DB_Withdrawals!$G:$G)),"")</f>
        <v/>
      </c>
      <c r="M261" s="39" t="str">
        <f>IFERROR(IF(A261="","",IFERROR(VALUE(H261),0)+IFERROR(SUMIF(DB_Savings!$A:$A,A261,DB_Savings!$F:$F),0)-IFERROR(SUMIF(DB_Withdrawals!$A:$A,A261,DB_Withdrawals!$G:$G),0)),"")</f>
        <v/>
      </c>
      <c r="N261" s="39" t="str">
        <f>IFERROR(IF(A261="","",MAX(0,M261-System_Config!$B$9)),"")</f>
        <v/>
      </c>
    </row>
    <row r="262" spans="1:14" ht="19.5" customHeight="1" x14ac:dyDescent="0.25">
      <c r="A262" s="37" t="str">
        <f>'NEW ACCOUNT'!A263</f>
        <v/>
      </c>
      <c r="B262" s="38" t="str">
        <f>IF('NEW ACCOUNT'!A263="","",'NEW ACCOUNT'!B263)</f>
        <v/>
      </c>
      <c r="C262" s="38" t="str">
        <f>IF('NEW ACCOUNT'!A263="","",'NEW ACCOUNT'!C263)</f>
        <v/>
      </c>
      <c r="D262" s="38" t="str">
        <f>IF('NEW ACCOUNT'!A263="","",'NEW ACCOUNT'!D263)</f>
        <v/>
      </c>
      <c r="E262" s="38" t="str">
        <f>IF('NEW ACCOUNT'!A263="","",'NEW ACCOUNT'!E263)</f>
        <v/>
      </c>
      <c r="F262" s="38" t="str">
        <f>IF('NEW ACCOUNT'!A263="","",'NEW ACCOUNT'!F263)</f>
        <v/>
      </c>
      <c r="G262" s="38" t="str">
        <f>IF('NEW ACCOUNT'!A263="","",'NEW ACCOUNT'!G263)</f>
        <v/>
      </c>
      <c r="H262" s="38" t="str">
        <f>IF('NEW ACCOUNT'!A263="","",'NEW ACCOUNT'!H263)</f>
        <v/>
      </c>
      <c r="I262" s="38" t="str">
        <f>IF('NEW ACCOUNT'!A263="","",'NEW ACCOUNT'!I263)</f>
        <v/>
      </c>
      <c r="J262" s="38" t="str">
        <f>IF('NEW ACCOUNT'!A263="","",'NEW ACCOUNT'!J263)</f>
        <v/>
      </c>
      <c r="K262" s="39" t="str">
        <f>IFERROR(IF(A262="","",SUMIF(DB_Savings!$A:$A,A262,DB_Savings!$F:$F)),"")</f>
        <v/>
      </c>
      <c r="L262" s="39" t="str">
        <f>IFERROR(IF(A262="","",SUMIF(DB_Withdrawals!$A:$A,A262,DB_Withdrawals!$G:$G)),"")</f>
        <v/>
      </c>
      <c r="M262" s="39" t="str">
        <f>IFERROR(IF(A262="","",IFERROR(VALUE(H262),0)+IFERROR(SUMIF(DB_Savings!$A:$A,A262,DB_Savings!$F:$F),0)-IFERROR(SUMIF(DB_Withdrawals!$A:$A,A262,DB_Withdrawals!$G:$G),0)),"")</f>
        <v/>
      </c>
      <c r="N262" s="39" t="str">
        <f>IFERROR(IF(A262="","",MAX(0,M262-System_Config!$B$9)),"")</f>
        <v/>
      </c>
    </row>
    <row r="263" spans="1:14" ht="19.5" customHeight="1" x14ac:dyDescent="0.25">
      <c r="A263" s="37" t="str">
        <f>'NEW ACCOUNT'!A264</f>
        <v/>
      </c>
      <c r="B263" s="38" t="str">
        <f>IF('NEW ACCOUNT'!A264="","",'NEW ACCOUNT'!B264)</f>
        <v/>
      </c>
      <c r="C263" s="38" t="str">
        <f>IF('NEW ACCOUNT'!A264="","",'NEW ACCOUNT'!C264)</f>
        <v/>
      </c>
      <c r="D263" s="38" t="str">
        <f>IF('NEW ACCOUNT'!A264="","",'NEW ACCOUNT'!D264)</f>
        <v/>
      </c>
      <c r="E263" s="38" t="str">
        <f>IF('NEW ACCOUNT'!A264="","",'NEW ACCOUNT'!E264)</f>
        <v/>
      </c>
      <c r="F263" s="38" t="str">
        <f>IF('NEW ACCOUNT'!A264="","",'NEW ACCOUNT'!F264)</f>
        <v/>
      </c>
      <c r="G263" s="38" t="str">
        <f>IF('NEW ACCOUNT'!A264="","",'NEW ACCOUNT'!G264)</f>
        <v/>
      </c>
      <c r="H263" s="38" t="str">
        <f>IF('NEW ACCOUNT'!A264="","",'NEW ACCOUNT'!H264)</f>
        <v/>
      </c>
      <c r="I263" s="38" t="str">
        <f>IF('NEW ACCOUNT'!A264="","",'NEW ACCOUNT'!I264)</f>
        <v/>
      </c>
      <c r="J263" s="38" t="str">
        <f>IF('NEW ACCOUNT'!A264="","",'NEW ACCOUNT'!J264)</f>
        <v/>
      </c>
      <c r="K263" s="39" t="str">
        <f>IFERROR(IF(A263="","",SUMIF(DB_Savings!$A:$A,A263,DB_Savings!$F:$F)),"")</f>
        <v/>
      </c>
      <c r="L263" s="39" t="str">
        <f>IFERROR(IF(A263="","",SUMIF(DB_Withdrawals!$A:$A,A263,DB_Withdrawals!$G:$G)),"")</f>
        <v/>
      </c>
      <c r="M263" s="39" t="str">
        <f>IFERROR(IF(A263="","",IFERROR(VALUE(H263),0)+IFERROR(SUMIF(DB_Savings!$A:$A,A263,DB_Savings!$F:$F),0)-IFERROR(SUMIF(DB_Withdrawals!$A:$A,A263,DB_Withdrawals!$G:$G),0)),"")</f>
        <v/>
      </c>
      <c r="N263" s="39" t="str">
        <f>IFERROR(IF(A263="","",MAX(0,M263-System_Config!$B$9)),"")</f>
        <v/>
      </c>
    </row>
    <row r="264" spans="1:14" ht="19.5" customHeight="1" x14ac:dyDescent="0.25">
      <c r="A264" s="37" t="str">
        <f>'NEW ACCOUNT'!A265</f>
        <v/>
      </c>
      <c r="B264" s="38" t="str">
        <f>IF('NEW ACCOUNT'!A265="","",'NEW ACCOUNT'!B265)</f>
        <v/>
      </c>
      <c r="C264" s="38" t="str">
        <f>IF('NEW ACCOUNT'!A265="","",'NEW ACCOUNT'!C265)</f>
        <v/>
      </c>
      <c r="D264" s="38" t="str">
        <f>IF('NEW ACCOUNT'!A265="","",'NEW ACCOUNT'!D265)</f>
        <v/>
      </c>
      <c r="E264" s="38" t="str">
        <f>IF('NEW ACCOUNT'!A265="","",'NEW ACCOUNT'!E265)</f>
        <v/>
      </c>
      <c r="F264" s="38" t="str">
        <f>IF('NEW ACCOUNT'!A265="","",'NEW ACCOUNT'!F265)</f>
        <v/>
      </c>
      <c r="G264" s="38" t="str">
        <f>IF('NEW ACCOUNT'!A265="","",'NEW ACCOUNT'!G265)</f>
        <v/>
      </c>
      <c r="H264" s="38" t="str">
        <f>IF('NEW ACCOUNT'!A265="","",'NEW ACCOUNT'!H265)</f>
        <v/>
      </c>
      <c r="I264" s="38" t="str">
        <f>IF('NEW ACCOUNT'!A265="","",'NEW ACCOUNT'!I265)</f>
        <v/>
      </c>
      <c r="J264" s="38" t="str">
        <f>IF('NEW ACCOUNT'!A265="","",'NEW ACCOUNT'!J265)</f>
        <v/>
      </c>
      <c r="K264" s="39" t="str">
        <f>IFERROR(IF(A264="","",SUMIF(DB_Savings!$A:$A,A264,DB_Savings!$F:$F)),"")</f>
        <v/>
      </c>
      <c r="L264" s="39" t="str">
        <f>IFERROR(IF(A264="","",SUMIF(DB_Withdrawals!$A:$A,A264,DB_Withdrawals!$G:$G)),"")</f>
        <v/>
      </c>
      <c r="M264" s="39" t="str">
        <f>IFERROR(IF(A264="","",IFERROR(VALUE(H264),0)+IFERROR(SUMIF(DB_Savings!$A:$A,A264,DB_Savings!$F:$F),0)-IFERROR(SUMIF(DB_Withdrawals!$A:$A,A264,DB_Withdrawals!$G:$G),0)),"")</f>
        <v/>
      </c>
      <c r="N264" s="39" t="str">
        <f>IFERROR(IF(A264="","",MAX(0,M264-System_Config!$B$9)),"")</f>
        <v/>
      </c>
    </row>
    <row r="265" spans="1:14" ht="19.5" customHeight="1" x14ac:dyDescent="0.25">
      <c r="A265" s="37" t="str">
        <f>'NEW ACCOUNT'!A266</f>
        <v/>
      </c>
      <c r="B265" s="38" t="str">
        <f>IF('NEW ACCOUNT'!A266="","",'NEW ACCOUNT'!B266)</f>
        <v/>
      </c>
      <c r="C265" s="38" t="str">
        <f>IF('NEW ACCOUNT'!A266="","",'NEW ACCOUNT'!C266)</f>
        <v/>
      </c>
      <c r="D265" s="38" t="str">
        <f>IF('NEW ACCOUNT'!A266="","",'NEW ACCOUNT'!D266)</f>
        <v/>
      </c>
      <c r="E265" s="38" t="str">
        <f>IF('NEW ACCOUNT'!A266="","",'NEW ACCOUNT'!E266)</f>
        <v/>
      </c>
      <c r="F265" s="38" t="str">
        <f>IF('NEW ACCOUNT'!A266="","",'NEW ACCOUNT'!F266)</f>
        <v/>
      </c>
      <c r="G265" s="38" t="str">
        <f>IF('NEW ACCOUNT'!A266="","",'NEW ACCOUNT'!G266)</f>
        <v/>
      </c>
      <c r="H265" s="38" t="str">
        <f>IF('NEW ACCOUNT'!A266="","",'NEW ACCOUNT'!H266)</f>
        <v/>
      </c>
      <c r="I265" s="38" t="str">
        <f>IF('NEW ACCOUNT'!A266="","",'NEW ACCOUNT'!I266)</f>
        <v/>
      </c>
      <c r="J265" s="38" t="str">
        <f>IF('NEW ACCOUNT'!A266="","",'NEW ACCOUNT'!J266)</f>
        <v/>
      </c>
      <c r="K265" s="39" t="str">
        <f>IFERROR(IF(A265="","",SUMIF(DB_Savings!$A:$A,A265,DB_Savings!$F:$F)),"")</f>
        <v/>
      </c>
      <c r="L265" s="39" t="str">
        <f>IFERROR(IF(A265="","",SUMIF(DB_Withdrawals!$A:$A,A265,DB_Withdrawals!$G:$G)),"")</f>
        <v/>
      </c>
      <c r="M265" s="39" t="str">
        <f>IFERROR(IF(A265="","",IFERROR(VALUE(H265),0)+IFERROR(SUMIF(DB_Savings!$A:$A,A265,DB_Savings!$F:$F),0)-IFERROR(SUMIF(DB_Withdrawals!$A:$A,A265,DB_Withdrawals!$G:$G),0)),"")</f>
        <v/>
      </c>
      <c r="N265" s="39" t="str">
        <f>IFERROR(IF(A265="","",MAX(0,M265-System_Config!$B$9)),"")</f>
        <v/>
      </c>
    </row>
    <row r="266" spans="1:14" ht="19.5" customHeight="1" x14ac:dyDescent="0.25">
      <c r="A266" s="37" t="str">
        <f>'NEW ACCOUNT'!A267</f>
        <v/>
      </c>
      <c r="B266" s="38" t="str">
        <f>IF('NEW ACCOUNT'!A267="","",'NEW ACCOUNT'!B267)</f>
        <v/>
      </c>
      <c r="C266" s="38" t="str">
        <f>IF('NEW ACCOUNT'!A267="","",'NEW ACCOUNT'!C267)</f>
        <v/>
      </c>
      <c r="D266" s="38" t="str">
        <f>IF('NEW ACCOUNT'!A267="","",'NEW ACCOUNT'!D267)</f>
        <v/>
      </c>
      <c r="E266" s="38" t="str">
        <f>IF('NEW ACCOUNT'!A267="","",'NEW ACCOUNT'!E267)</f>
        <v/>
      </c>
      <c r="F266" s="38" t="str">
        <f>IF('NEW ACCOUNT'!A267="","",'NEW ACCOUNT'!F267)</f>
        <v/>
      </c>
      <c r="G266" s="38" t="str">
        <f>IF('NEW ACCOUNT'!A267="","",'NEW ACCOUNT'!G267)</f>
        <v/>
      </c>
      <c r="H266" s="38" t="str">
        <f>IF('NEW ACCOUNT'!A267="","",'NEW ACCOUNT'!H267)</f>
        <v/>
      </c>
      <c r="I266" s="38" t="str">
        <f>IF('NEW ACCOUNT'!A267="","",'NEW ACCOUNT'!I267)</f>
        <v/>
      </c>
      <c r="J266" s="38" t="str">
        <f>IF('NEW ACCOUNT'!A267="","",'NEW ACCOUNT'!J267)</f>
        <v/>
      </c>
      <c r="K266" s="39" t="str">
        <f>IFERROR(IF(A266="","",SUMIF(DB_Savings!$A:$A,A266,DB_Savings!$F:$F)),"")</f>
        <v/>
      </c>
      <c r="L266" s="39" t="str">
        <f>IFERROR(IF(A266="","",SUMIF(DB_Withdrawals!$A:$A,A266,DB_Withdrawals!$G:$G)),"")</f>
        <v/>
      </c>
      <c r="M266" s="39" t="str">
        <f>IFERROR(IF(A266="","",IFERROR(VALUE(H266),0)+IFERROR(SUMIF(DB_Savings!$A:$A,A266,DB_Savings!$F:$F),0)-IFERROR(SUMIF(DB_Withdrawals!$A:$A,A266,DB_Withdrawals!$G:$G),0)),"")</f>
        <v/>
      </c>
      <c r="N266" s="39" t="str">
        <f>IFERROR(IF(A266="","",MAX(0,M266-System_Config!$B$9)),"")</f>
        <v/>
      </c>
    </row>
    <row r="267" spans="1:14" ht="19.5" customHeight="1" x14ac:dyDescent="0.25">
      <c r="A267" s="37" t="str">
        <f>'NEW ACCOUNT'!A268</f>
        <v/>
      </c>
      <c r="B267" s="38" t="str">
        <f>IF('NEW ACCOUNT'!A268="","",'NEW ACCOUNT'!B268)</f>
        <v/>
      </c>
      <c r="C267" s="38" t="str">
        <f>IF('NEW ACCOUNT'!A268="","",'NEW ACCOUNT'!C268)</f>
        <v/>
      </c>
      <c r="D267" s="38" t="str">
        <f>IF('NEW ACCOUNT'!A268="","",'NEW ACCOUNT'!D268)</f>
        <v/>
      </c>
      <c r="E267" s="38" t="str">
        <f>IF('NEW ACCOUNT'!A268="","",'NEW ACCOUNT'!E268)</f>
        <v/>
      </c>
      <c r="F267" s="38" t="str">
        <f>IF('NEW ACCOUNT'!A268="","",'NEW ACCOUNT'!F268)</f>
        <v/>
      </c>
      <c r="G267" s="38" t="str">
        <f>IF('NEW ACCOUNT'!A268="","",'NEW ACCOUNT'!G268)</f>
        <v/>
      </c>
      <c r="H267" s="38" t="str">
        <f>IF('NEW ACCOUNT'!A268="","",'NEW ACCOUNT'!H268)</f>
        <v/>
      </c>
      <c r="I267" s="38" t="str">
        <f>IF('NEW ACCOUNT'!A268="","",'NEW ACCOUNT'!I268)</f>
        <v/>
      </c>
      <c r="J267" s="38" t="str">
        <f>IF('NEW ACCOUNT'!A268="","",'NEW ACCOUNT'!J268)</f>
        <v/>
      </c>
      <c r="K267" s="39" t="str">
        <f>IFERROR(IF(A267="","",SUMIF(DB_Savings!$A:$A,A267,DB_Savings!$F:$F)),"")</f>
        <v/>
      </c>
      <c r="L267" s="39" t="str">
        <f>IFERROR(IF(A267="","",SUMIF(DB_Withdrawals!$A:$A,A267,DB_Withdrawals!$G:$G)),"")</f>
        <v/>
      </c>
      <c r="M267" s="39" t="str">
        <f>IFERROR(IF(A267="","",IFERROR(VALUE(H267),0)+IFERROR(SUMIF(DB_Savings!$A:$A,A267,DB_Savings!$F:$F),0)-IFERROR(SUMIF(DB_Withdrawals!$A:$A,A267,DB_Withdrawals!$G:$G),0)),"")</f>
        <v/>
      </c>
      <c r="N267" s="39" t="str">
        <f>IFERROR(IF(A267="","",MAX(0,M267-System_Config!$B$9)),"")</f>
        <v/>
      </c>
    </row>
    <row r="268" spans="1:14" ht="19.5" customHeight="1" x14ac:dyDescent="0.25">
      <c r="A268" s="37" t="str">
        <f>'NEW ACCOUNT'!A269</f>
        <v/>
      </c>
      <c r="B268" s="38" t="str">
        <f>IF('NEW ACCOUNT'!A269="","",'NEW ACCOUNT'!B269)</f>
        <v/>
      </c>
      <c r="C268" s="38" t="str">
        <f>IF('NEW ACCOUNT'!A269="","",'NEW ACCOUNT'!C269)</f>
        <v/>
      </c>
      <c r="D268" s="38" t="str">
        <f>IF('NEW ACCOUNT'!A269="","",'NEW ACCOUNT'!D269)</f>
        <v/>
      </c>
      <c r="E268" s="38" t="str">
        <f>IF('NEW ACCOUNT'!A269="","",'NEW ACCOUNT'!E269)</f>
        <v/>
      </c>
      <c r="F268" s="38" t="str">
        <f>IF('NEW ACCOUNT'!A269="","",'NEW ACCOUNT'!F269)</f>
        <v/>
      </c>
      <c r="G268" s="38" t="str">
        <f>IF('NEW ACCOUNT'!A269="","",'NEW ACCOUNT'!G269)</f>
        <v/>
      </c>
      <c r="H268" s="38" t="str">
        <f>IF('NEW ACCOUNT'!A269="","",'NEW ACCOUNT'!H269)</f>
        <v/>
      </c>
      <c r="I268" s="38" t="str">
        <f>IF('NEW ACCOUNT'!A269="","",'NEW ACCOUNT'!I269)</f>
        <v/>
      </c>
      <c r="J268" s="38" t="str">
        <f>IF('NEW ACCOUNT'!A269="","",'NEW ACCOUNT'!J269)</f>
        <v/>
      </c>
      <c r="K268" s="39" t="str">
        <f>IFERROR(IF(A268="","",SUMIF(DB_Savings!$A:$A,A268,DB_Savings!$F:$F)),"")</f>
        <v/>
      </c>
      <c r="L268" s="39" t="str">
        <f>IFERROR(IF(A268="","",SUMIF(DB_Withdrawals!$A:$A,A268,DB_Withdrawals!$G:$G)),"")</f>
        <v/>
      </c>
      <c r="M268" s="39" t="str">
        <f>IFERROR(IF(A268="","",IFERROR(VALUE(H268),0)+IFERROR(SUMIF(DB_Savings!$A:$A,A268,DB_Savings!$F:$F),0)-IFERROR(SUMIF(DB_Withdrawals!$A:$A,A268,DB_Withdrawals!$G:$G),0)),"")</f>
        <v/>
      </c>
      <c r="N268" s="39" t="str">
        <f>IFERROR(IF(A268="","",MAX(0,M268-System_Config!$B$9)),"")</f>
        <v/>
      </c>
    </row>
    <row r="269" spans="1:14" ht="19.5" customHeight="1" x14ac:dyDescent="0.25">
      <c r="A269" s="37" t="str">
        <f>'NEW ACCOUNT'!A270</f>
        <v/>
      </c>
      <c r="B269" s="38" t="str">
        <f>IF('NEW ACCOUNT'!A270="","",'NEW ACCOUNT'!B270)</f>
        <v/>
      </c>
      <c r="C269" s="38" t="str">
        <f>IF('NEW ACCOUNT'!A270="","",'NEW ACCOUNT'!C270)</f>
        <v/>
      </c>
      <c r="D269" s="38" t="str">
        <f>IF('NEW ACCOUNT'!A270="","",'NEW ACCOUNT'!D270)</f>
        <v/>
      </c>
      <c r="E269" s="38" t="str">
        <f>IF('NEW ACCOUNT'!A270="","",'NEW ACCOUNT'!E270)</f>
        <v/>
      </c>
      <c r="F269" s="38" t="str">
        <f>IF('NEW ACCOUNT'!A270="","",'NEW ACCOUNT'!F270)</f>
        <v/>
      </c>
      <c r="G269" s="38" t="str">
        <f>IF('NEW ACCOUNT'!A270="","",'NEW ACCOUNT'!G270)</f>
        <v/>
      </c>
      <c r="H269" s="38" t="str">
        <f>IF('NEW ACCOUNT'!A270="","",'NEW ACCOUNT'!H270)</f>
        <v/>
      </c>
      <c r="I269" s="38" t="str">
        <f>IF('NEW ACCOUNT'!A270="","",'NEW ACCOUNT'!I270)</f>
        <v/>
      </c>
      <c r="J269" s="38" t="str">
        <f>IF('NEW ACCOUNT'!A270="","",'NEW ACCOUNT'!J270)</f>
        <v/>
      </c>
      <c r="K269" s="39" t="str">
        <f>IFERROR(IF(A269="","",SUMIF(DB_Savings!$A:$A,A269,DB_Savings!$F:$F)),"")</f>
        <v/>
      </c>
      <c r="L269" s="39" t="str">
        <f>IFERROR(IF(A269="","",SUMIF(DB_Withdrawals!$A:$A,A269,DB_Withdrawals!$G:$G)),"")</f>
        <v/>
      </c>
      <c r="M269" s="39" t="str">
        <f>IFERROR(IF(A269="","",IFERROR(VALUE(H269),0)+IFERROR(SUMIF(DB_Savings!$A:$A,A269,DB_Savings!$F:$F),0)-IFERROR(SUMIF(DB_Withdrawals!$A:$A,A269,DB_Withdrawals!$G:$G),0)),"")</f>
        <v/>
      </c>
      <c r="N269" s="39" t="str">
        <f>IFERROR(IF(A269="","",MAX(0,M269-System_Config!$B$9)),"")</f>
        <v/>
      </c>
    </row>
    <row r="270" spans="1:14" ht="19.5" customHeight="1" x14ac:dyDescent="0.25">
      <c r="A270" s="37" t="str">
        <f>'NEW ACCOUNT'!A271</f>
        <v/>
      </c>
      <c r="B270" s="38" t="str">
        <f>IF('NEW ACCOUNT'!A271="","",'NEW ACCOUNT'!B271)</f>
        <v/>
      </c>
      <c r="C270" s="38" t="str">
        <f>IF('NEW ACCOUNT'!A271="","",'NEW ACCOUNT'!C271)</f>
        <v/>
      </c>
      <c r="D270" s="38" t="str">
        <f>IF('NEW ACCOUNT'!A271="","",'NEW ACCOUNT'!D271)</f>
        <v/>
      </c>
      <c r="E270" s="38" t="str">
        <f>IF('NEW ACCOUNT'!A271="","",'NEW ACCOUNT'!E271)</f>
        <v/>
      </c>
      <c r="F270" s="38" t="str">
        <f>IF('NEW ACCOUNT'!A271="","",'NEW ACCOUNT'!F271)</f>
        <v/>
      </c>
      <c r="G270" s="38" t="str">
        <f>IF('NEW ACCOUNT'!A271="","",'NEW ACCOUNT'!G271)</f>
        <v/>
      </c>
      <c r="H270" s="38" t="str">
        <f>IF('NEW ACCOUNT'!A271="","",'NEW ACCOUNT'!H271)</f>
        <v/>
      </c>
      <c r="I270" s="38" t="str">
        <f>IF('NEW ACCOUNT'!A271="","",'NEW ACCOUNT'!I271)</f>
        <v/>
      </c>
      <c r="J270" s="38" t="str">
        <f>IF('NEW ACCOUNT'!A271="","",'NEW ACCOUNT'!J271)</f>
        <v/>
      </c>
      <c r="K270" s="39" t="str">
        <f>IFERROR(IF(A270="","",SUMIF(DB_Savings!$A:$A,A270,DB_Savings!$F:$F)),"")</f>
        <v/>
      </c>
      <c r="L270" s="39" t="str">
        <f>IFERROR(IF(A270="","",SUMIF(DB_Withdrawals!$A:$A,A270,DB_Withdrawals!$G:$G)),"")</f>
        <v/>
      </c>
      <c r="M270" s="39" t="str">
        <f>IFERROR(IF(A270="","",IFERROR(VALUE(H270),0)+IFERROR(SUMIF(DB_Savings!$A:$A,A270,DB_Savings!$F:$F),0)-IFERROR(SUMIF(DB_Withdrawals!$A:$A,A270,DB_Withdrawals!$G:$G),0)),"")</f>
        <v/>
      </c>
      <c r="N270" s="39" t="str">
        <f>IFERROR(IF(A270="","",MAX(0,M270-System_Config!$B$9)),"")</f>
        <v/>
      </c>
    </row>
    <row r="271" spans="1:14" ht="19.5" customHeight="1" x14ac:dyDescent="0.25">
      <c r="A271" s="37" t="str">
        <f>'NEW ACCOUNT'!A272</f>
        <v/>
      </c>
      <c r="B271" s="38" t="str">
        <f>IF('NEW ACCOUNT'!A272="","",'NEW ACCOUNT'!B272)</f>
        <v/>
      </c>
      <c r="C271" s="38" t="str">
        <f>IF('NEW ACCOUNT'!A272="","",'NEW ACCOUNT'!C272)</f>
        <v/>
      </c>
      <c r="D271" s="38" t="str">
        <f>IF('NEW ACCOUNT'!A272="","",'NEW ACCOUNT'!D272)</f>
        <v/>
      </c>
      <c r="E271" s="38" t="str">
        <f>IF('NEW ACCOUNT'!A272="","",'NEW ACCOUNT'!E272)</f>
        <v/>
      </c>
      <c r="F271" s="38" t="str">
        <f>IF('NEW ACCOUNT'!A272="","",'NEW ACCOUNT'!F272)</f>
        <v/>
      </c>
      <c r="G271" s="38" t="str">
        <f>IF('NEW ACCOUNT'!A272="","",'NEW ACCOUNT'!G272)</f>
        <v/>
      </c>
      <c r="H271" s="38" t="str">
        <f>IF('NEW ACCOUNT'!A272="","",'NEW ACCOUNT'!H272)</f>
        <v/>
      </c>
      <c r="I271" s="38" t="str">
        <f>IF('NEW ACCOUNT'!A272="","",'NEW ACCOUNT'!I272)</f>
        <v/>
      </c>
      <c r="J271" s="38" t="str">
        <f>IF('NEW ACCOUNT'!A272="","",'NEW ACCOUNT'!J272)</f>
        <v/>
      </c>
      <c r="K271" s="39" t="str">
        <f>IFERROR(IF(A271="","",SUMIF(DB_Savings!$A:$A,A271,DB_Savings!$F:$F)),"")</f>
        <v/>
      </c>
      <c r="L271" s="39" t="str">
        <f>IFERROR(IF(A271="","",SUMIF(DB_Withdrawals!$A:$A,A271,DB_Withdrawals!$G:$G)),"")</f>
        <v/>
      </c>
      <c r="M271" s="39" t="str">
        <f>IFERROR(IF(A271="","",IFERROR(VALUE(H271),0)+IFERROR(SUMIF(DB_Savings!$A:$A,A271,DB_Savings!$F:$F),0)-IFERROR(SUMIF(DB_Withdrawals!$A:$A,A271,DB_Withdrawals!$G:$G),0)),"")</f>
        <v/>
      </c>
      <c r="N271" s="39" t="str">
        <f>IFERROR(IF(A271="","",MAX(0,M271-System_Config!$B$9)),"")</f>
        <v/>
      </c>
    </row>
    <row r="272" spans="1:14" ht="19.5" customHeight="1" x14ac:dyDescent="0.25">
      <c r="A272" s="37" t="str">
        <f>'NEW ACCOUNT'!A273</f>
        <v/>
      </c>
      <c r="B272" s="38" t="str">
        <f>IF('NEW ACCOUNT'!A273="","",'NEW ACCOUNT'!B273)</f>
        <v/>
      </c>
      <c r="C272" s="38" t="str">
        <f>IF('NEW ACCOUNT'!A273="","",'NEW ACCOUNT'!C273)</f>
        <v/>
      </c>
      <c r="D272" s="38" t="str">
        <f>IF('NEW ACCOUNT'!A273="","",'NEW ACCOUNT'!D273)</f>
        <v/>
      </c>
      <c r="E272" s="38" t="str">
        <f>IF('NEW ACCOUNT'!A273="","",'NEW ACCOUNT'!E273)</f>
        <v/>
      </c>
      <c r="F272" s="38" t="str">
        <f>IF('NEW ACCOUNT'!A273="","",'NEW ACCOUNT'!F273)</f>
        <v/>
      </c>
      <c r="G272" s="38" t="str">
        <f>IF('NEW ACCOUNT'!A273="","",'NEW ACCOUNT'!G273)</f>
        <v/>
      </c>
      <c r="H272" s="38" t="str">
        <f>IF('NEW ACCOUNT'!A273="","",'NEW ACCOUNT'!H273)</f>
        <v/>
      </c>
      <c r="I272" s="38" t="str">
        <f>IF('NEW ACCOUNT'!A273="","",'NEW ACCOUNT'!I273)</f>
        <v/>
      </c>
      <c r="J272" s="38" t="str">
        <f>IF('NEW ACCOUNT'!A273="","",'NEW ACCOUNT'!J273)</f>
        <v/>
      </c>
      <c r="K272" s="39" t="str">
        <f>IFERROR(IF(A272="","",SUMIF(DB_Savings!$A:$A,A272,DB_Savings!$F:$F)),"")</f>
        <v/>
      </c>
      <c r="L272" s="39" t="str">
        <f>IFERROR(IF(A272="","",SUMIF(DB_Withdrawals!$A:$A,A272,DB_Withdrawals!$G:$G)),"")</f>
        <v/>
      </c>
      <c r="M272" s="39" t="str">
        <f>IFERROR(IF(A272="","",IFERROR(VALUE(H272),0)+IFERROR(SUMIF(DB_Savings!$A:$A,A272,DB_Savings!$F:$F),0)-IFERROR(SUMIF(DB_Withdrawals!$A:$A,A272,DB_Withdrawals!$G:$G),0)),"")</f>
        <v/>
      </c>
      <c r="N272" s="39" t="str">
        <f>IFERROR(IF(A272="","",MAX(0,M272-System_Config!$B$9)),"")</f>
        <v/>
      </c>
    </row>
    <row r="273" spans="1:14" ht="19.5" customHeight="1" x14ac:dyDescent="0.25">
      <c r="A273" s="37" t="str">
        <f>'NEW ACCOUNT'!A274</f>
        <v/>
      </c>
      <c r="B273" s="38" t="str">
        <f>IF('NEW ACCOUNT'!A274="","",'NEW ACCOUNT'!B274)</f>
        <v/>
      </c>
      <c r="C273" s="38" t="str">
        <f>IF('NEW ACCOUNT'!A274="","",'NEW ACCOUNT'!C274)</f>
        <v/>
      </c>
      <c r="D273" s="38" t="str">
        <f>IF('NEW ACCOUNT'!A274="","",'NEW ACCOUNT'!D274)</f>
        <v/>
      </c>
      <c r="E273" s="38" t="str">
        <f>IF('NEW ACCOUNT'!A274="","",'NEW ACCOUNT'!E274)</f>
        <v/>
      </c>
      <c r="F273" s="38" t="str">
        <f>IF('NEW ACCOUNT'!A274="","",'NEW ACCOUNT'!F274)</f>
        <v/>
      </c>
      <c r="G273" s="38" t="str">
        <f>IF('NEW ACCOUNT'!A274="","",'NEW ACCOUNT'!G274)</f>
        <v/>
      </c>
      <c r="H273" s="38" t="str">
        <f>IF('NEW ACCOUNT'!A274="","",'NEW ACCOUNT'!H274)</f>
        <v/>
      </c>
      <c r="I273" s="38" t="str">
        <f>IF('NEW ACCOUNT'!A274="","",'NEW ACCOUNT'!I274)</f>
        <v/>
      </c>
      <c r="J273" s="38" t="str">
        <f>IF('NEW ACCOUNT'!A274="","",'NEW ACCOUNT'!J274)</f>
        <v/>
      </c>
      <c r="K273" s="39" t="str">
        <f>IFERROR(IF(A273="","",SUMIF(DB_Savings!$A:$A,A273,DB_Savings!$F:$F)),"")</f>
        <v/>
      </c>
      <c r="L273" s="39" t="str">
        <f>IFERROR(IF(A273="","",SUMIF(DB_Withdrawals!$A:$A,A273,DB_Withdrawals!$G:$G)),"")</f>
        <v/>
      </c>
      <c r="M273" s="39" t="str">
        <f>IFERROR(IF(A273="","",IFERROR(VALUE(H273),0)+IFERROR(SUMIF(DB_Savings!$A:$A,A273,DB_Savings!$F:$F),0)-IFERROR(SUMIF(DB_Withdrawals!$A:$A,A273,DB_Withdrawals!$G:$G),0)),"")</f>
        <v/>
      </c>
      <c r="N273" s="39" t="str">
        <f>IFERROR(IF(A273="","",MAX(0,M273-System_Config!$B$9)),"")</f>
        <v/>
      </c>
    </row>
    <row r="274" spans="1:14" ht="19.5" customHeight="1" x14ac:dyDescent="0.25">
      <c r="A274" s="37" t="str">
        <f>'NEW ACCOUNT'!A275</f>
        <v/>
      </c>
      <c r="B274" s="38" t="str">
        <f>IF('NEW ACCOUNT'!A275="","",'NEW ACCOUNT'!B275)</f>
        <v/>
      </c>
      <c r="C274" s="38" t="str">
        <f>IF('NEW ACCOUNT'!A275="","",'NEW ACCOUNT'!C275)</f>
        <v/>
      </c>
      <c r="D274" s="38" t="str">
        <f>IF('NEW ACCOUNT'!A275="","",'NEW ACCOUNT'!D275)</f>
        <v/>
      </c>
      <c r="E274" s="38" t="str">
        <f>IF('NEW ACCOUNT'!A275="","",'NEW ACCOUNT'!E275)</f>
        <v/>
      </c>
      <c r="F274" s="38" t="str">
        <f>IF('NEW ACCOUNT'!A275="","",'NEW ACCOUNT'!F275)</f>
        <v/>
      </c>
      <c r="G274" s="38" t="str">
        <f>IF('NEW ACCOUNT'!A275="","",'NEW ACCOUNT'!G275)</f>
        <v/>
      </c>
      <c r="H274" s="38" t="str">
        <f>IF('NEW ACCOUNT'!A275="","",'NEW ACCOUNT'!H275)</f>
        <v/>
      </c>
      <c r="I274" s="38" t="str">
        <f>IF('NEW ACCOUNT'!A275="","",'NEW ACCOUNT'!I275)</f>
        <v/>
      </c>
      <c r="J274" s="38" t="str">
        <f>IF('NEW ACCOUNT'!A275="","",'NEW ACCOUNT'!J275)</f>
        <v/>
      </c>
      <c r="K274" s="39" t="str">
        <f>IFERROR(IF(A274="","",SUMIF(DB_Savings!$A:$A,A274,DB_Savings!$F:$F)),"")</f>
        <v/>
      </c>
      <c r="L274" s="39" t="str">
        <f>IFERROR(IF(A274="","",SUMIF(DB_Withdrawals!$A:$A,A274,DB_Withdrawals!$G:$G)),"")</f>
        <v/>
      </c>
      <c r="M274" s="39" t="str">
        <f>IFERROR(IF(A274="","",IFERROR(VALUE(H274),0)+IFERROR(SUMIF(DB_Savings!$A:$A,A274,DB_Savings!$F:$F),0)-IFERROR(SUMIF(DB_Withdrawals!$A:$A,A274,DB_Withdrawals!$G:$G),0)),"")</f>
        <v/>
      </c>
      <c r="N274" s="39" t="str">
        <f>IFERROR(IF(A274="","",MAX(0,M274-System_Config!$B$9)),"")</f>
        <v/>
      </c>
    </row>
    <row r="275" spans="1:14" ht="19.5" customHeight="1" x14ac:dyDescent="0.25">
      <c r="A275" s="37" t="str">
        <f>'NEW ACCOUNT'!A276</f>
        <v/>
      </c>
      <c r="B275" s="38" t="str">
        <f>IF('NEW ACCOUNT'!A276="","",'NEW ACCOUNT'!B276)</f>
        <v/>
      </c>
      <c r="C275" s="38" t="str">
        <f>IF('NEW ACCOUNT'!A276="","",'NEW ACCOUNT'!C276)</f>
        <v/>
      </c>
      <c r="D275" s="38" t="str">
        <f>IF('NEW ACCOUNT'!A276="","",'NEW ACCOUNT'!D276)</f>
        <v/>
      </c>
      <c r="E275" s="38" t="str">
        <f>IF('NEW ACCOUNT'!A276="","",'NEW ACCOUNT'!E276)</f>
        <v/>
      </c>
      <c r="F275" s="38" t="str">
        <f>IF('NEW ACCOUNT'!A276="","",'NEW ACCOUNT'!F276)</f>
        <v/>
      </c>
      <c r="G275" s="38" t="str">
        <f>IF('NEW ACCOUNT'!A276="","",'NEW ACCOUNT'!G276)</f>
        <v/>
      </c>
      <c r="H275" s="38" t="str">
        <f>IF('NEW ACCOUNT'!A276="","",'NEW ACCOUNT'!H276)</f>
        <v/>
      </c>
      <c r="I275" s="38" t="str">
        <f>IF('NEW ACCOUNT'!A276="","",'NEW ACCOUNT'!I276)</f>
        <v/>
      </c>
      <c r="J275" s="38" t="str">
        <f>IF('NEW ACCOUNT'!A276="","",'NEW ACCOUNT'!J276)</f>
        <v/>
      </c>
      <c r="K275" s="39" t="str">
        <f>IFERROR(IF(A275="","",SUMIF(DB_Savings!$A:$A,A275,DB_Savings!$F:$F)),"")</f>
        <v/>
      </c>
      <c r="L275" s="39" t="str">
        <f>IFERROR(IF(A275="","",SUMIF(DB_Withdrawals!$A:$A,A275,DB_Withdrawals!$G:$G)),"")</f>
        <v/>
      </c>
      <c r="M275" s="39" t="str">
        <f>IFERROR(IF(A275="","",IFERROR(VALUE(H275),0)+IFERROR(SUMIF(DB_Savings!$A:$A,A275,DB_Savings!$F:$F),0)-IFERROR(SUMIF(DB_Withdrawals!$A:$A,A275,DB_Withdrawals!$G:$G),0)),"")</f>
        <v/>
      </c>
      <c r="N275" s="39" t="str">
        <f>IFERROR(IF(A275="","",MAX(0,M275-System_Config!$B$9)),"")</f>
        <v/>
      </c>
    </row>
    <row r="276" spans="1:14" ht="19.5" customHeight="1" x14ac:dyDescent="0.25">
      <c r="A276" s="37" t="str">
        <f>'NEW ACCOUNT'!A277</f>
        <v/>
      </c>
      <c r="B276" s="38" t="str">
        <f>IF('NEW ACCOUNT'!A277="","",'NEW ACCOUNT'!B277)</f>
        <v/>
      </c>
      <c r="C276" s="38" t="str">
        <f>IF('NEW ACCOUNT'!A277="","",'NEW ACCOUNT'!C277)</f>
        <v/>
      </c>
      <c r="D276" s="38" t="str">
        <f>IF('NEW ACCOUNT'!A277="","",'NEW ACCOUNT'!D277)</f>
        <v/>
      </c>
      <c r="E276" s="38" t="str">
        <f>IF('NEW ACCOUNT'!A277="","",'NEW ACCOUNT'!E277)</f>
        <v/>
      </c>
      <c r="F276" s="38" t="str">
        <f>IF('NEW ACCOUNT'!A277="","",'NEW ACCOUNT'!F277)</f>
        <v/>
      </c>
      <c r="G276" s="38" t="str">
        <f>IF('NEW ACCOUNT'!A277="","",'NEW ACCOUNT'!G277)</f>
        <v/>
      </c>
      <c r="H276" s="38" t="str">
        <f>IF('NEW ACCOUNT'!A277="","",'NEW ACCOUNT'!H277)</f>
        <v/>
      </c>
      <c r="I276" s="38" t="str">
        <f>IF('NEW ACCOUNT'!A277="","",'NEW ACCOUNT'!I277)</f>
        <v/>
      </c>
      <c r="J276" s="38" t="str">
        <f>IF('NEW ACCOUNT'!A277="","",'NEW ACCOUNT'!J277)</f>
        <v/>
      </c>
      <c r="K276" s="39" t="str">
        <f>IFERROR(IF(A276="","",SUMIF(DB_Savings!$A:$A,A276,DB_Savings!$F:$F)),"")</f>
        <v/>
      </c>
      <c r="L276" s="39" t="str">
        <f>IFERROR(IF(A276="","",SUMIF(DB_Withdrawals!$A:$A,A276,DB_Withdrawals!$G:$G)),"")</f>
        <v/>
      </c>
      <c r="M276" s="39" t="str">
        <f>IFERROR(IF(A276="","",IFERROR(VALUE(H276),0)+IFERROR(SUMIF(DB_Savings!$A:$A,A276,DB_Savings!$F:$F),0)-IFERROR(SUMIF(DB_Withdrawals!$A:$A,A276,DB_Withdrawals!$G:$G),0)),"")</f>
        <v/>
      </c>
      <c r="N276" s="39" t="str">
        <f>IFERROR(IF(A276="","",MAX(0,M276-System_Config!$B$9)),"")</f>
        <v/>
      </c>
    </row>
    <row r="277" spans="1:14" ht="19.5" customHeight="1" x14ac:dyDescent="0.25">
      <c r="A277" s="37" t="str">
        <f>'NEW ACCOUNT'!A278</f>
        <v/>
      </c>
      <c r="B277" s="38" t="str">
        <f>IF('NEW ACCOUNT'!A278="","",'NEW ACCOUNT'!B278)</f>
        <v/>
      </c>
      <c r="C277" s="38" t="str">
        <f>IF('NEW ACCOUNT'!A278="","",'NEW ACCOUNT'!C278)</f>
        <v/>
      </c>
      <c r="D277" s="38" t="str">
        <f>IF('NEW ACCOUNT'!A278="","",'NEW ACCOUNT'!D278)</f>
        <v/>
      </c>
      <c r="E277" s="38" t="str">
        <f>IF('NEW ACCOUNT'!A278="","",'NEW ACCOUNT'!E278)</f>
        <v/>
      </c>
      <c r="F277" s="38" t="str">
        <f>IF('NEW ACCOUNT'!A278="","",'NEW ACCOUNT'!F278)</f>
        <v/>
      </c>
      <c r="G277" s="38" t="str">
        <f>IF('NEW ACCOUNT'!A278="","",'NEW ACCOUNT'!G278)</f>
        <v/>
      </c>
      <c r="H277" s="38" t="str">
        <f>IF('NEW ACCOUNT'!A278="","",'NEW ACCOUNT'!H278)</f>
        <v/>
      </c>
      <c r="I277" s="38" t="str">
        <f>IF('NEW ACCOUNT'!A278="","",'NEW ACCOUNT'!I278)</f>
        <v/>
      </c>
      <c r="J277" s="38" t="str">
        <f>IF('NEW ACCOUNT'!A278="","",'NEW ACCOUNT'!J278)</f>
        <v/>
      </c>
      <c r="K277" s="39" t="str">
        <f>IFERROR(IF(A277="","",SUMIF(DB_Savings!$A:$A,A277,DB_Savings!$F:$F)),"")</f>
        <v/>
      </c>
      <c r="L277" s="39" t="str">
        <f>IFERROR(IF(A277="","",SUMIF(DB_Withdrawals!$A:$A,A277,DB_Withdrawals!$G:$G)),"")</f>
        <v/>
      </c>
      <c r="M277" s="39" t="str">
        <f>IFERROR(IF(A277="","",IFERROR(VALUE(H277),0)+IFERROR(SUMIF(DB_Savings!$A:$A,A277,DB_Savings!$F:$F),0)-IFERROR(SUMIF(DB_Withdrawals!$A:$A,A277,DB_Withdrawals!$G:$G),0)),"")</f>
        <v/>
      </c>
      <c r="N277" s="39" t="str">
        <f>IFERROR(IF(A277="","",MAX(0,M277-System_Config!$B$9)),"")</f>
        <v/>
      </c>
    </row>
    <row r="278" spans="1:14" ht="19.5" customHeight="1" x14ac:dyDescent="0.25">
      <c r="A278" s="37" t="str">
        <f>'NEW ACCOUNT'!A279</f>
        <v/>
      </c>
      <c r="B278" s="38" t="str">
        <f>IF('NEW ACCOUNT'!A279="","",'NEW ACCOUNT'!B279)</f>
        <v/>
      </c>
      <c r="C278" s="38" t="str">
        <f>IF('NEW ACCOUNT'!A279="","",'NEW ACCOUNT'!C279)</f>
        <v/>
      </c>
      <c r="D278" s="38" t="str">
        <f>IF('NEW ACCOUNT'!A279="","",'NEW ACCOUNT'!D279)</f>
        <v/>
      </c>
      <c r="E278" s="38" t="str">
        <f>IF('NEW ACCOUNT'!A279="","",'NEW ACCOUNT'!E279)</f>
        <v/>
      </c>
      <c r="F278" s="38" t="str">
        <f>IF('NEW ACCOUNT'!A279="","",'NEW ACCOUNT'!F279)</f>
        <v/>
      </c>
      <c r="G278" s="38" t="str">
        <f>IF('NEW ACCOUNT'!A279="","",'NEW ACCOUNT'!G279)</f>
        <v/>
      </c>
      <c r="H278" s="38" t="str">
        <f>IF('NEW ACCOUNT'!A279="","",'NEW ACCOUNT'!H279)</f>
        <v/>
      </c>
      <c r="I278" s="38" t="str">
        <f>IF('NEW ACCOUNT'!A279="","",'NEW ACCOUNT'!I279)</f>
        <v/>
      </c>
      <c r="J278" s="38" t="str">
        <f>IF('NEW ACCOUNT'!A279="","",'NEW ACCOUNT'!J279)</f>
        <v/>
      </c>
      <c r="K278" s="39" t="str">
        <f>IFERROR(IF(A278="","",SUMIF(DB_Savings!$A:$A,A278,DB_Savings!$F:$F)),"")</f>
        <v/>
      </c>
      <c r="L278" s="39" t="str">
        <f>IFERROR(IF(A278="","",SUMIF(DB_Withdrawals!$A:$A,A278,DB_Withdrawals!$G:$G)),"")</f>
        <v/>
      </c>
      <c r="M278" s="39" t="str">
        <f>IFERROR(IF(A278="","",IFERROR(VALUE(H278),0)+IFERROR(SUMIF(DB_Savings!$A:$A,A278,DB_Savings!$F:$F),0)-IFERROR(SUMIF(DB_Withdrawals!$A:$A,A278,DB_Withdrawals!$G:$G),0)),"")</f>
        <v/>
      </c>
      <c r="N278" s="39" t="str">
        <f>IFERROR(IF(A278="","",MAX(0,M278-System_Config!$B$9)),"")</f>
        <v/>
      </c>
    </row>
    <row r="279" spans="1:14" ht="19.5" customHeight="1" x14ac:dyDescent="0.25">
      <c r="A279" s="37" t="str">
        <f>'NEW ACCOUNT'!A280</f>
        <v/>
      </c>
      <c r="B279" s="38" t="str">
        <f>IF('NEW ACCOUNT'!A280="","",'NEW ACCOUNT'!B280)</f>
        <v/>
      </c>
      <c r="C279" s="38" t="str">
        <f>IF('NEW ACCOUNT'!A280="","",'NEW ACCOUNT'!C280)</f>
        <v/>
      </c>
      <c r="D279" s="38" t="str">
        <f>IF('NEW ACCOUNT'!A280="","",'NEW ACCOUNT'!D280)</f>
        <v/>
      </c>
      <c r="E279" s="38" t="str">
        <f>IF('NEW ACCOUNT'!A280="","",'NEW ACCOUNT'!E280)</f>
        <v/>
      </c>
      <c r="F279" s="38" t="str">
        <f>IF('NEW ACCOUNT'!A280="","",'NEW ACCOUNT'!F280)</f>
        <v/>
      </c>
      <c r="G279" s="38" t="str">
        <f>IF('NEW ACCOUNT'!A280="","",'NEW ACCOUNT'!G280)</f>
        <v/>
      </c>
      <c r="H279" s="38" t="str">
        <f>IF('NEW ACCOUNT'!A280="","",'NEW ACCOUNT'!H280)</f>
        <v/>
      </c>
      <c r="I279" s="38" t="str">
        <f>IF('NEW ACCOUNT'!A280="","",'NEW ACCOUNT'!I280)</f>
        <v/>
      </c>
      <c r="J279" s="38" t="str">
        <f>IF('NEW ACCOUNT'!A280="","",'NEW ACCOUNT'!J280)</f>
        <v/>
      </c>
      <c r="K279" s="39" t="str">
        <f>IFERROR(IF(A279="","",SUMIF(DB_Savings!$A:$A,A279,DB_Savings!$F:$F)),"")</f>
        <v/>
      </c>
      <c r="L279" s="39" t="str">
        <f>IFERROR(IF(A279="","",SUMIF(DB_Withdrawals!$A:$A,A279,DB_Withdrawals!$G:$G)),"")</f>
        <v/>
      </c>
      <c r="M279" s="39" t="str">
        <f>IFERROR(IF(A279="","",IFERROR(VALUE(H279),0)+IFERROR(SUMIF(DB_Savings!$A:$A,A279,DB_Savings!$F:$F),0)-IFERROR(SUMIF(DB_Withdrawals!$A:$A,A279,DB_Withdrawals!$G:$G),0)),"")</f>
        <v/>
      </c>
      <c r="N279" s="39" t="str">
        <f>IFERROR(IF(A279="","",MAX(0,M279-System_Config!$B$9)),"")</f>
        <v/>
      </c>
    </row>
    <row r="280" spans="1:14" ht="19.5" customHeight="1" x14ac:dyDescent="0.25">
      <c r="A280" s="37" t="str">
        <f>'NEW ACCOUNT'!A281</f>
        <v/>
      </c>
      <c r="B280" s="38" t="str">
        <f>IF('NEW ACCOUNT'!A281="","",'NEW ACCOUNT'!B281)</f>
        <v/>
      </c>
      <c r="C280" s="38" t="str">
        <f>IF('NEW ACCOUNT'!A281="","",'NEW ACCOUNT'!C281)</f>
        <v/>
      </c>
      <c r="D280" s="38" t="str">
        <f>IF('NEW ACCOUNT'!A281="","",'NEW ACCOUNT'!D281)</f>
        <v/>
      </c>
      <c r="E280" s="38" t="str">
        <f>IF('NEW ACCOUNT'!A281="","",'NEW ACCOUNT'!E281)</f>
        <v/>
      </c>
      <c r="F280" s="38" t="str">
        <f>IF('NEW ACCOUNT'!A281="","",'NEW ACCOUNT'!F281)</f>
        <v/>
      </c>
      <c r="G280" s="38" t="str">
        <f>IF('NEW ACCOUNT'!A281="","",'NEW ACCOUNT'!G281)</f>
        <v/>
      </c>
      <c r="H280" s="38" t="str">
        <f>IF('NEW ACCOUNT'!A281="","",'NEW ACCOUNT'!H281)</f>
        <v/>
      </c>
      <c r="I280" s="38" t="str">
        <f>IF('NEW ACCOUNT'!A281="","",'NEW ACCOUNT'!I281)</f>
        <v/>
      </c>
      <c r="J280" s="38" t="str">
        <f>IF('NEW ACCOUNT'!A281="","",'NEW ACCOUNT'!J281)</f>
        <v/>
      </c>
      <c r="K280" s="39" t="str">
        <f>IFERROR(IF(A280="","",SUMIF(DB_Savings!$A:$A,A280,DB_Savings!$F:$F)),"")</f>
        <v/>
      </c>
      <c r="L280" s="39" t="str">
        <f>IFERROR(IF(A280="","",SUMIF(DB_Withdrawals!$A:$A,A280,DB_Withdrawals!$G:$G)),"")</f>
        <v/>
      </c>
      <c r="M280" s="39" t="str">
        <f>IFERROR(IF(A280="","",IFERROR(VALUE(H280),0)+IFERROR(SUMIF(DB_Savings!$A:$A,A280,DB_Savings!$F:$F),0)-IFERROR(SUMIF(DB_Withdrawals!$A:$A,A280,DB_Withdrawals!$G:$G),0)),"")</f>
        <v/>
      </c>
      <c r="N280" s="39" t="str">
        <f>IFERROR(IF(A280="","",MAX(0,M280-System_Config!$B$9)),"")</f>
        <v/>
      </c>
    </row>
    <row r="281" spans="1:14" ht="19.5" customHeight="1" x14ac:dyDescent="0.25">
      <c r="A281" s="37" t="str">
        <f>'NEW ACCOUNT'!A282</f>
        <v/>
      </c>
      <c r="B281" s="38" t="str">
        <f>IF('NEW ACCOUNT'!A282="","",'NEW ACCOUNT'!B282)</f>
        <v/>
      </c>
      <c r="C281" s="38" t="str">
        <f>IF('NEW ACCOUNT'!A282="","",'NEW ACCOUNT'!C282)</f>
        <v/>
      </c>
      <c r="D281" s="38" t="str">
        <f>IF('NEW ACCOUNT'!A282="","",'NEW ACCOUNT'!D282)</f>
        <v/>
      </c>
      <c r="E281" s="38" t="str">
        <f>IF('NEW ACCOUNT'!A282="","",'NEW ACCOUNT'!E282)</f>
        <v/>
      </c>
      <c r="F281" s="38" t="str">
        <f>IF('NEW ACCOUNT'!A282="","",'NEW ACCOUNT'!F282)</f>
        <v/>
      </c>
      <c r="G281" s="38" t="str">
        <f>IF('NEW ACCOUNT'!A282="","",'NEW ACCOUNT'!G282)</f>
        <v/>
      </c>
      <c r="H281" s="38" t="str">
        <f>IF('NEW ACCOUNT'!A282="","",'NEW ACCOUNT'!H282)</f>
        <v/>
      </c>
      <c r="I281" s="38" t="str">
        <f>IF('NEW ACCOUNT'!A282="","",'NEW ACCOUNT'!I282)</f>
        <v/>
      </c>
      <c r="J281" s="38" t="str">
        <f>IF('NEW ACCOUNT'!A282="","",'NEW ACCOUNT'!J282)</f>
        <v/>
      </c>
      <c r="K281" s="39" t="str">
        <f>IFERROR(IF(A281="","",SUMIF(DB_Savings!$A:$A,A281,DB_Savings!$F:$F)),"")</f>
        <v/>
      </c>
      <c r="L281" s="39" t="str">
        <f>IFERROR(IF(A281="","",SUMIF(DB_Withdrawals!$A:$A,A281,DB_Withdrawals!$G:$G)),"")</f>
        <v/>
      </c>
      <c r="M281" s="39" t="str">
        <f>IFERROR(IF(A281="","",IFERROR(VALUE(H281),0)+IFERROR(SUMIF(DB_Savings!$A:$A,A281,DB_Savings!$F:$F),0)-IFERROR(SUMIF(DB_Withdrawals!$A:$A,A281,DB_Withdrawals!$G:$G),0)),"")</f>
        <v/>
      </c>
      <c r="N281" s="39" t="str">
        <f>IFERROR(IF(A281="","",MAX(0,M281-System_Config!$B$9)),"")</f>
        <v/>
      </c>
    </row>
    <row r="282" spans="1:14" ht="19.5" customHeight="1" x14ac:dyDescent="0.25">
      <c r="A282" s="37" t="str">
        <f>'NEW ACCOUNT'!A283</f>
        <v/>
      </c>
      <c r="B282" s="38" t="str">
        <f>IF('NEW ACCOUNT'!A283="","",'NEW ACCOUNT'!B283)</f>
        <v/>
      </c>
      <c r="C282" s="38" t="str">
        <f>IF('NEW ACCOUNT'!A283="","",'NEW ACCOUNT'!C283)</f>
        <v/>
      </c>
      <c r="D282" s="38" t="str">
        <f>IF('NEW ACCOUNT'!A283="","",'NEW ACCOUNT'!D283)</f>
        <v/>
      </c>
      <c r="E282" s="38" t="str">
        <f>IF('NEW ACCOUNT'!A283="","",'NEW ACCOUNT'!E283)</f>
        <v/>
      </c>
      <c r="F282" s="38" t="str">
        <f>IF('NEW ACCOUNT'!A283="","",'NEW ACCOUNT'!F283)</f>
        <v/>
      </c>
      <c r="G282" s="38" t="str">
        <f>IF('NEW ACCOUNT'!A283="","",'NEW ACCOUNT'!G283)</f>
        <v/>
      </c>
      <c r="H282" s="38" t="str">
        <f>IF('NEW ACCOUNT'!A283="","",'NEW ACCOUNT'!H283)</f>
        <v/>
      </c>
      <c r="I282" s="38" t="str">
        <f>IF('NEW ACCOUNT'!A283="","",'NEW ACCOUNT'!I283)</f>
        <v/>
      </c>
      <c r="J282" s="38" t="str">
        <f>IF('NEW ACCOUNT'!A283="","",'NEW ACCOUNT'!J283)</f>
        <v/>
      </c>
      <c r="K282" s="39" t="str">
        <f>IFERROR(IF(A282="","",SUMIF(DB_Savings!$A:$A,A282,DB_Savings!$F:$F)),"")</f>
        <v/>
      </c>
      <c r="L282" s="39" t="str">
        <f>IFERROR(IF(A282="","",SUMIF(DB_Withdrawals!$A:$A,A282,DB_Withdrawals!$G:$G)),"")</f>
        <v/>
      </c>
      <c r="M282" s="39" t="str">
        <f>IFERROR(IF(A282="","",IFERROR(VALUE(H282),0)+IFERROR(SUMIF(DB_Savings!$A:$A,A282,DB_Savings!$F:$F),0)-IFERROR(SUMIF(DB_Withdrawals!$A:$A,A282,DB_Withdrawals!$G:$G),0)),"")</f>
        <v/>
      </c>
      <c r="N282" s="39" t="str">
        <f>IFERROR(IF(A282="","",MAX(0,M282-System_Config!$B$9)),"")</f>
        <v/>
      </c>
    </row>
    <row r="283" spans="1:14" ht="19.5" customHeight="1" x14ac:dyDescent="0.25">
      <c r="A283" s="37" t="str">
        <f>'NEW ACCOUNT'!A284</f>
        <v/>
      </c>
      <c r="B283" s="38" t="str">
        <f>IF('NEW ACCOUNT'!A284="","",'NEW ACCOUNT'!B284)</f>
        <v/>
      </c>
      <c r="C283" s="38" t="str">
        <f>IF('NEW ACCOUNT'!A284="","",'NEW ACCOUNT'!C284)</f>
        <v/>
      </c>
      <c r="D283" s="38" t="str">
        <f>IF('NEW ACCOUNT'!A284="","",'NEW ACCOUNT'!D284)</f>
        <v/>
      </c>
      <c r="E283" s="38" t="str">
        <f>IF('NEW ACCOUNT'!A284="","",'NEW ACCOUNT'!E284)</f>
        <v/>
      </c>
      <c r="F283" s="38" t="str">
        <f>IF('NEW ACCOUNT'!A284="","",'NEW ACCOUNT'!F284)</f>
        <v/>
      </c>
      <c r="G283" s="38" t="str">
        <f>IF('NEW ACCOUNT'!A284="","",'NEW ACCOUNT'!G284)</f>
        <v/>
      </c>
      <c r="H283" s="38" t="str">
        <f>IF('NEW ACCOUNT'!A284="","",'NEW ACCOUNT'!H284)</f>
        <v/>
      </c>
      <c r="I283" s="38" t="str">
        <f>IF('NEW ACCOUNT'!A284="","",'NEW ACCOUNT'!I284)</f>
        <v/>
      </c>
      <c r="J283" s="38" t="str">
        <f>IF('NEW ACCOUNT'!A284="","",'NEW ACCOUNT'!J284)</f>
        <v/>
      </c>
      <c r="K283" s="39" t="str">
        <f>IFERROR(IF(A283="","",SUMIF(DB_Savings!$A:$A,A283,DB_Savings!$F:$F)),"")</f>
        <v/>
      </c>
      <c r="L283" s="39" t="str">
        <f>IFERROR(IF(A283="","",SUMIF(DB_Withdrawals!$A:$A,A283,DB_Withdrawals!$G:$G)),"")</f>
        <v/>
      </c>
      <c r="M283" s="39" t="str">
        <f>IFERROR(IF(A283="","",IFERROR(VALUE(H283),0)+IFERROR(SUMIF(DB_Savings!$A:$A,A283,DB_Savings!$F:$F),0)-IFERROR(SUMIF(DB_Withdrawals!$A:$A,A283,DB_Withdrawals!$G:$G),0)),"")</f>
        <v/>
      </c>
      <c r="N283" s="39" t="str">
        <f>IFERROR(IF(A283="","",MAX(0,M283-System_Config!$B$9)),"")</f>
        <v/>
      </c>
    </row>
    <row r="284" spans="1:14" ht="19.5" customHeight="1" x14ac:dyDescent="0.25">
      <c r="A284" s="37" t="str">
        <f>'NEW ACCOUNT'!A285</f>
        <v/>
      </c>
      <c r="B284" s="38" t="str">
        <f>IF('NEW ACCOUNT'!A285="","",'NEW ACCOUNT'!B285)</f>
        <v/>
      </c>
      <c r="C284" s="38" t="str">
        <f>IF('NEW ACCOUNT'!A285="","",'NEW ACCOUNT'!C285)</f>
        <v/>
      </c>
      <c r="D284" s="38" t="str">
        <f>IF('NEW ACCOUNT'!A285="","",'NEW ACCOUNT'!D285)</f>
        <v/>
      </c>
      <c r="E284" s="38" t="str">
        <f>IF('NEW ACCOUNT'!A285="","",'NEW ACCOUNT'!E285)</f>
        <v/>
      </c>
      <c r="F284" s="38" t="str">
        <f>IF('NEW ACCOUNT'!A285="","",'NEW ACCOUNT'!F285)</f>
        <v/>
      </c>
      <c r="G284" s="38" t="str">
        <f>IF('NEW ACCOUNT'!A285="","",'NEW ACCOUNT'!G285)</f>
        <v/>
      </c>
      <c r="H284" s="38" t="str">
        <f>IF('NEW ACCOUNT'!A285="","",'NEW ACCOUNT'!H285)</f>
        <v/>
      </c>
      <c r="I284" s="38" t="str">
        <f>IF('NEW ACCOUNT'!A285="","",'NEW ACCOUNT'!I285)</f>
        <v/>
      </c>
      <c r="J284" s="38" t="str">
        <f>IF('NEW ACCOUNT'!A285="","",'NEW ACCOUNT'!J285)</f>
        <v/>
      </c>
      <c r="K284" s="39" t="str">
        <f>IFERROR(IF(A284="","",SUMIF(DB_Savings!$A:$A,A284,DB_Savings!$F:$F)),"")</f>
        <v/>
      </c>
      <c r="L284" s="39" t="str">
        <f>IFERROR(IF(A284="","",SUMIF(DB_Withdrawals!$A:$A,A284,DB_Withdrawals!$G:$G)),"")</f>
        <v/>
      </c>
      <c r="M284" s="39" t="str">
        <f>IFERROR(IF(A284="","",IFERROR(VALUE(H284),0)+IFERROR(SUMIF(DB_Savings!$A:$A,A284,DB_Savings!$F:$F),0)-IFERROR(SUMIF(DB_Withdrawals!$A:$A,A284,DB_Withdrawals!$G:$G),0)),"")</f>
        <v/>
      </c>
      <c r="N284" s="39" t="str">
        <f>IFERROR(IF(A284="","",MAX(0,M284-System_Config!$B$9)),"")</f>
        <v/>
      </c>
    </row>
    <row r="285" spans="1:14" ht="19.5" customHeight="1" x14ac:dyDescent="0.25">
      <c r="A285" s="37" t="str">
        <f>'NEW ACCOUNT'!A286</f>
        <v/>
      </c>
      <c r="B285" s="38" t="str">
        <f>IF('NEW ACCOUNT'!A286="","",'NEW ACCOUNT'!B286)</f>
        <v/>
      </c>
      <c r="C285" s="38" t="str">
        <f>IF('NEW ACCOUNT'!A286="","",'NEW ACCOUNT'!C286)</f>
        <v/>
      </c>
      <c r="D285" s="38" t="str">
        <f>IF('NEW ACCOUNT'!A286="","",'NEW ACCOUNT'!D286)</f>
        <v/>
      </c>
      <c r="E285" s="38" t="str">
        <f>IF('NEW ACCOUNT'!A286="","",'NEW ACCOUNT'!E286)</f>
        <v/>
      </c>
      <c r="F285" s="38" t="str">
        <f>IF('NEW ACCOUNT'!A286="","",'NEW ACCOUNT'!F286)</f>
        <v/>
      </c>
      <c r="G285" s="38" t="str">
        <f>IF('NEW ACCOUNT'!A286="","",'NEW ACCOUNT'!G286)</f>
        <v/>
      </c>
      <c r="H285" s="38" t="str">
        <f>IF('NEW ACCOUNT'!A286="","",'NEW ACCOUNT'!H286)</f>
        <v/>
      </c>
      <c r="I285" s="38" t="str">
        <f>IF('NEW ACCOUNT'!A286="","",'NEW ACCOUNT'!I286)</f>
        <v/>
      </c>
      <c r="J285" s="38" t="str">
        <f>IF('NEW ACCOUNT'!A286="","",'NEW ACCOUNT'!J286)</f>
        <v/>
      </c>
      <c r="K285" s="39" t="str">
        <f>IFERROR(IF(A285="","",SUMIF(DB_Savings!$A:$A,A285,DB_Savings!$F:$F)),"")</f>
        <v/>
      </c>
      <c r="L285" s="39" t="str">
        <f>IFERROR(IF(A285="","",SUMIF(DB_Withdrawals!$A:$A,A285,DB_Withdrawals!$G:$G)),"")</f>
        <v/>
      </c>
      <c r="M285" s="39" t="str">
        <f>IFERROR(IF(A285="","",IFERROR(VALUE(H285),0)+IFERROR(SUMIF(DB_Savings!$A:$A,A285,DB_Savings!$F:$F),0)-IFERROR(SUMIF(DB_Withdrawals!$A:$A,A285,DB_Withdrawals!$G:$G),0)),"")</f>
        <v/>
      </c>
      <c r="N285" s="39" t="str">
        <f>IFERROR(IF(A285="","",MAX(0,M285-System_Config!$B$9)),"")</f>
        <v/>
      </c>
    </row>
    <row r="286" spans="1:14" ht="19.5" customHeight="1" x14ac:dyDescent="0.25">
      <c r="A286" s="37" t="str">
        <f>'NEW ACCOUNT'!A287</f>
        <v/>
      </c>
      <c r="B286" s="38" t="str">
        <f>IF('NEW ACCOUNT'!A287="","",'NEW ACCOUNT'!B287)</f>
        <v/>
      </c>
      <c r="C286" s="38" t="str">
        <f>IF('NEW ACCOUNT'!A287="","",'NEW ACCOUNT'!C287)</f>
        <v/>
      </c>
      <c r="D286" s="38" t="str">
        <f>IF('NEW ACCOUNT'!A287="","",'NEW ACCOUNT'!D287)</f>
        <v/>
      </c>
      <c r="E286" s="38" t="str">
        <f>IF('NEW ACCOUNT'!A287="","",'NEW ACCOUNT'!E287)</f>
        <v/>
      </c>
      <c r="F286" s="38" t="str">
        <f>IF('NEW ACCOUNT'!A287="","",'NEW ACCOUNT'!F287)</f>
        <v/>
      </c>
      <c r="G286" s="38" t="str">
        <f>IF('NEW ACCOUNT'!A287="","",'NEW ACCOUNT'!G287)</f>
        <v/>
      </c>
      <c r="H286" s="38" t="str">
        <f>IF('NEW ACCOUNT'!A287="","",'NEW ACCOUNT'!H287)</f>
        <v/>
      </c>
      <c r="I286" s="38" t="str">
        <f>IF('NEW ACCOUNT'!A287="","",'NEW ACCOUNT'!I287)</f>
        <v/>
      </c>
      <c r="J286" s="38" t="str">
        <f>IF('NEW ACCOUNT'!A287="","",'NEW ACCOUNT'!J287)</f>
        <v/>
      </c>
      <c r="K286" s="39" t="str">
        <f>IFERROR(IF(A286="","",SUMIF(DB_Savings!$A:$A,A286,DB_Savings!$F:$F)),"")</f>
        <v/>
      </c>
      <c r="L286" s="39" t="str">
        <f>IFERROR(IF(A286="","",SUMIF(DB_Withdrawals!$A:$A,A286,DB_Withdrawals!$G:$G)),"")</f>
        <v/>
      </c>
      <c r="M286" s="39" t="str">
        <f>IFERROR(IF(A286="","",IFERROR(VALUE(H286),0)+IFERROR(SUMIF(DB_Savings!$A:$A,A286,DB_Savings!$F:$F),0)-IFERROR(SUMIF(DB_Withdrawals!$A:$A,A286,DB_Withdrawals!$G:$G),0)),"")</f>
        <v/>
      </c>
      <c r="N286" s="39" t="str">
        <f>IFERROR(IF(A286="","",MAX(0,M286-System_Config!$B$9)),"")</f>
        <v/>
      </c>
    </row>
    <row r="287" spans="1:14" ht="19.5" customHeight="1" x14ac:dyDescent="0.25">
      <c r="A287" s="37" t="str">
        <f>'NEW ACCOUNT'!A288</f>
        <v/>
      </c>
      <c r="B287" s="38" t="str">
        <f>IF('NEW ACCOUNT'!A288="","",'NEW ACCOUNT'!B288)</f>
        <v/>
      </c>
      <c r="C287" s="38" t="str">
        <f>IF('NEW ACCOUNT'!A288="","",'NEW ACCOUNT'!C288)</f>
        <v/>
      </c>
      <c r="D287" s="38" t="str">
        <f>IF('NEW ACCOUNT'!A288="","",'NEW ACCOUNT'!D288)</f>
        <v/>
      </c>
      <c r="E287" s="38" t="str">
        <f>IF('NEW ACCOUNT'!A288="","",'NEW ACCOUNT'!E288)</f>
        <v/>
      </c>
      <c r="F287" s="38" t="str">
        <f>IF('NEW ACCOUNT'!A288="","",'NEW ACCOUNT'!F288)</f>
        <v/>
      </c>
      <c r="G287" s="38" t="str">
        <f>IF('NEW ACCOUNT'!A288="","",'NEW ACCOUNT'!G288)</f>
        <v/>
      </c>
      <c r="H287" s="38" t="str">
        <f>IF('NEW ACCOUNT'!A288="","",'NEW ACCOUNT'!H288)</f>
        <v/>
      </c>
      <c r="I287" s="38" t="str">
        <f>IF('NEW ACCOUNT'!A288="","",'NEW ACCOUNT'!I288)</f>
        <v/>
      </c>
      <c r="J287" s="38" t="str">
        <f>IF('NEW ACCOUNT'!A288="","",'NEW ACCOUNT'!J288)</f>
        <v/>
      </c>
      <c r="K287" s="39" t="str">
        <f>IFERROR(IF(A287="","",SUMIF(DB_Savings!$A:$A,A287,DB_Savings!$F:$F)),"")</f>
        <v/>
      </c>
      <c r="L287" s="39" t="str">
        <f>IFERROR(IF(A287="","",SUMIF(DB_Withdrawals!$A:$A,A287,DB_Withdrawals!$G:$G)),"")</f>
        <v/>
      </c>
      <c r="M287" s="39" t="str">
        <f>IFERROR(IF(A287="","",IFERROR(VALUE(H287),0)+IFERROR(SUMIF(DB_Savings!$A:$A,A287,DB_Savings!$F:$F),0)-IFERROR(SUMIF(DB_Withdrawals!$A:$A,A287,DB_Withdrawals!$G:$G),0)),"")</f>
        <v/>
      </c>
      <c r="N287" s="39" t="str">
        <f>IFERROR(IF(A287="","",MAX(0,M287-System_Config!$B$9)),"")</f>
        <v/>
      </c>
    </row>
    <row r="288" spans="1:14" ht="19.5" customHeight="1" x14ac:dyDescent="0.25">
      <c r="A288" s="37" t="str">
        <f>'NEW ACCOUNT'!A289</f>
        <v/>
      </c>
      <c r="B288" s="38" t="str">
        <f>IF('NEW ACCOUNT'!A289="","",'NEW ACCOUNT'!B289)</f>
        <v/>
      </c>
      <c r="C288" s="38" t="str">
        <f>IF('NEW ACCOUNT'!A289="","",'NEW ACCOUNT'!C289)</f>
        <v/>
      </c>
      <c r="D288" s="38" t="str">
        <f>IF('NEW ACCOUNT'!A289="","",'NEW ACCOUNT'!D289)</f>
        <v/>
      </c>
      <c r="E288" s="38" t="str">
        <f>IF('NEW ACCOUNT'!A289="","",'NEW ACCOUNT'!E289)</f>
        <v/>
      </c>
      <c r="F288" s="38" t="str">
        <f>IF('NEW ACCOUNT'!A289="","",'NEW ACCOUNT'!F289)</f>
        <v/>
      </c>
      <c r="G288" s="38" t="str">
        <f>IF('NEW ACCOUNT'!A289="","",'NEW ACCOUNT'!G289)</f>
        <v/>
      </c>
      <c r="H288" s="38" t="str">
        <f>IF('NEW ACCOUNT'!A289="","",'NEW ACCOUNT'!H289)</f>
        <v/>
      </c>
      <c r="I288" s="38" t="str">
        <f>IF('NEW ACCOUNT'!A289="","",'NEW ACCOUNT'!I289)</f>
        <v/>
      </c>
      <c r="J288" s="38" t="str">
        <f>IF('NEW ACCOUNT'!A289="","",'NEW ACCOUNT'!J289)</f>
        <v/>
      </c>
      <c r="K288" s="39" t="str">
        <f>IFERROR(IF(A288="","",SUMIF(DB_Savings!$A:$A,A288,DB_Savings!$F:$F)),"")</f>
        <v/>
      </c>
      <c r="L288" s="39" t="str">
        <f>IFERROR(IF(A288="","",SUMIF(DB_Withdrawals!$A:$A,A288,DB_Withdrawals!$G:$G)),"")</f>
        <v/>
      </c>
      <c r="M288" s="39" t="str">
        <f>IFERROR(IF(A288="","",IFERROR(VALUE(H288),0)+IFERROR(SUMIF(DB_Savings!$A:$A,A288,DB_Savings!$F:$F),0)-IFERROR(SUMIF(DB_Withdrawals!$A:$A,A288,DB_Withdrawals!$G:$G),0)),"")</f>
        <v/>
      </c>
      <c r="N288" s="39" t="str">
        <f>IFERROR(IF(A288="","",MAX(0,M288-System_Config!$B$9)),"")</f>
        <v/>
      </c>
    </row>
    <row r="289" spans="1:14" ht="19.5" customHeight="1" x14ac:dyDescent="0.25">
      <c r="A289" s="37" t="str">
        <f>'NEW ACCOUNT'!A290</f>
        <v/>
      </c>
      <c r="B289" s="38" t="str">
        <f>IF('NEW ACCOUNT'!A290="","",'NEW ACCOUNT'!B290)</f>
        <v/>
      </c>
      <c r="C289" s="38" t="str">
        <f>IF('NEW ACCOUNT'!A290="","",'NEW ACCOUNT'!C290)</f>
        <v/>
      </c>
      <c r="D289" s="38" t="str">
        <f>IF('NEW ACCOUNT'!A290="","",'NEW ACCOUNT'!D290)</f>
        <v/>
      </c>
      <c r="E289" s="38" t="str">
        <f>IF('NEW ACCOUNT'!A290="","",'NEW ACCOUNT'!E290)</f>
        <v/>
      </c>
      <c r="F289" s="38" t="str">
        <f>IF('NEW ACCOUNT'!A290="","",'NEW ACCOUNT'!F290)</f>
        <v/>
      </c>
      <c r="G289" s="38" t="str">
        <f>IF('NEW ACCOUNT'!A290="","",'NEW ACCOUNT'!G290)</f>
        <v/>
      </c>
      <c r="H289" s="38" t="str">
        <f>IF('NEW ACCOUNT'!A290="","",'NEW ACCOUNT'!H290)</f>
        <v/>
      </c>
      <c r="I289" s="38" t="str">
        <f>IF('NEW ACCOUNT'!A290="","",'NEW ACCOUNT'!I290)</f>
        <v/>
      </c>
      <c r="J289" s="38" t="str">
        <f>IF('NEW ACCOUNT'!A290="","",'NEW ACCOUNT'!J290)</f>
        <v/>
      </c>
      <c r="K289" s="39" t="str">
        <f>IFERROR(IF(A289="","",SUMIF(DB_Savings!$A:$A,A289,DB_Savings!$F:$F)),"")</f>
        <v/>
      </c>
      <c r="L289" s="39" t="str">
        <f>IFERROR(IF(A289="","",SUMIF(DB_Withdrawals!$A:$A,A289,DB_Withdrawals!$G:$G)),"")</f>
        <v/>
      </c>
      <c r="M289" s="39" t="str">
        <f>IFERROR(IF(A289="","",IFERROR(VALUE(H289),0)+IFERROR(SUMIF(DB_Savings!$A:$A,A289,DB_Savings!$F:$F),0)-IFERROR(SUMIF(DB_Withdrawals!$A:$A,A289,DB_Withdrawals!$G:$G),0)),"")</f>
        <v/>
      </c>
      <c r="N289" s="39" t="str">
        <f>IFERROR(IF(A289="","",MAX(0,M289-System_Config!$B$9)),"")</f>
        <v/>
      </c>
    </row>
    <row r="290" spans="1:14" ht="19.5" customHeight="1" x14ac:dyDescent="0.25">
      <c r="A290" s="37" t="str">
        <f>'NEW ACCOUNT'!A291</f>
        <v/>
      </c>
      <c r="B290" s="38" t="str">
        <f>IF('NEW ACCOUNT'!A291="","",'NEW ACCOUNT'!B291)</f>
        <v/>
      </c>
      <c r="C290" s="38" t="str">
        <f>IF('NEW ACCOUNT'!A291="","",'NEW ACCOUNT'!C291)</f>
        <v/>
      </c>
      <c r="D290" s="38" t="str">
        <f>IF('NEW ACCOUNT'!A291="","",'NEW ACCOUNT'!D291)</f>
        <v/>
      </c>
      <c r="E290" s="38" t="str">
        <f>IF('NEW ACCOUNT'!A291="","",'NEW ACCOUNT'!E291)</f>
        <v/>
      </c>
      <c r="F290" s="38" t="str">
        <f>IF('NEW ACCOUNT'!A291="","",'NEW ACCOUNT'!F291)</f>
        <v/>
      </c>
      <c r="G290" s="38" t="str">
        <f>IF('NEW ACCOUNT'!A291="","",'NEW ACCOUNT'!G291)</f>
        <v/>
      </c>
      <c r="H290" s="38" t="str">
        <f>IF('NEW ACCOUNT'!A291="","",'NEW ACCOUNT'!H291)</f>
        <v/>
      </c>
      <c r="I290" s="38" t="str">
        <f>IF('NEW ACCOUNT'!A291="","",'NEW ACCOUNT'!I291)</f>
        <v/>
      </c>
      <c r="J290" s="38" t="str">
        <f>IF('NEW ACCOUNT'!A291="","",'NEW ACCOUNT'!J291)</f>
        <v/>
      </c>
      <c r="K290" s="39" t="str">
        <f>IFERROR(IF(A290="","",SUMIF(DB_Savings!$A:$A,A290,DB_Savings!$F:$F)),"")</f>
        <v/>
      </c>
      <c r="L290" s="39" t="str">
        <f>IFERROR(IF(A290="","",SUMIF(DB_Withdrawals!$A:$A,A290,DB_Withdrawals!$G:$G)),"")</f>
        <v/>
      </c>
      <c r="M290" s="39" t="str">
        <f>IFERROR(IF(A290="","",IFERROR(VALUE(H290),0)+IFERROR(SUMIF(DB_Savings!$A:$A,A290,DB_Savings!$F:$F),0)-IFERROR(SUMIF(DB_Withdrawals!$A:$A,A290,DB_Withdrawals!$G:$G),0)),"")</f>
        <v/>
      </c>
      <c r="N290" s="39" t="str">
        <f>IFERROR(IF(A290="","",MAX(0,M290-System_Config!$B$9)),"")</f>
        <v/>
      </c>
    </row>
    <row r="291" spans="1:14" ht="19.5" customHeight="1" x14ac:dyDescent="0.25">
      <c r="A291" s="37" t="str">
        <f>'NEW ACCOUNT'!A292</f>
        <v/>
      </c>
      <c r="B291" s="38" t="str">
        <f>IF('NEW ACCOUNT'!A292="","",'NEW ACCOUNT'!B292)</f>
        <v/>
      </c>
      <c r="C291" s="38" t="str">
        <f>IF('NEW ACCOUNT'!A292="","",'NEW ACCOUNT'!C292)</f>
        <v/>
      </c>
      <c r="D291" s="38" t="str">
        <f>IF('NEW ACCOUNT'!A292="","",'NEW ACCOUNT'!D292)</f>
        <v/>
      </c>
      <c r="E291" s="38" t="str">
        <f>IF('NEW ACCOUNT'!A292="","",'NEW ACCOUNT'!E292)</f>
        <v/>
      </c>
      <c r="F291" s="38" t="str">
        <f>IF('NEW ACCOUNT'!A292="","",'NEW ACCOUNT'!F292)</f>
        <v/>
      </c>
      <c r="G291" s="38" t="str">
        <f>IF('NEW ACCOUNT'!A292="","",'NEW ACCOUNT'!G292)</f>
        <v/>
      </c>
      <c r="H291" s="38" t="str">
        <f>IF('NEW ACCOUNT'!A292="","",'NEW ACCOUNT'!H292)</f>
        <v/>
      </c>
      <c r="I291" s="38" t="str">
        <f>IF('NEW ACCOUNT'!A292="","",'NEW ACCOUNT'!I292)</f>
        <v/>
      </c>
      <c r="J291" s="38" t="str">
        <f>IF('NEW ACCOUNT'!A292="","",'NEW ACCOUNT'!J292)</f>
        <v/>
      </c>
      <c r="K291" s="39" t="str">
        <f>IFERROR(IF(A291="","",SUMIF(DB_Savings!$A:$A,A291,DB_Savings!$F:$F)),"")</f>
        <v/>
      </c>
      <c r="L291" s="39" t="str">
        <f>IFERROR(IF(A291="","",SUMIF(DB_Withdrawals!$A:$A,A291,DB_Withdrawals!$G:$G)),"")</f>
        <v/>
      </c>
      <c r="M291" s="39" t="str">
        <f>IFERROR(IF(A291="","",IFERROR(VALUE(H291),0)+IFERROR(SUMIF(DB_Savings!$A:$A,A291,DB_Savings!$F:$F),0)-IFERROR(SUMIF(DB_Withdrawals!$A:$A,A291,DB_Withdrawals!$G:$G),0)),"")</f>
        <v/>
      </c>
      <c r="N291" s="39" t="str">
        <f>IFERROR(IF(A291="","",MAX(0,M291-System_Config!$B$9)),"")</f>
        <v/>
      </c>
    </row>
    <row r="292" spans="1:14" ht="19.5" customHeight="1" x14ac:dyDescent="0.25">
      <c r="A292" s="37" t="str">
        <f>'NEW ACCOUNT'!A293</f>
        <v/>
      </c>
      <c r="B292" s="38" t="str">
        <f>IF('NEW ACCOUNT'!A293="","",'NEW ACCOUNT'!B293)</f>
        <v/>
      </c>
      <c r="C292" s="38" t="str">
        <f>IF('NEW ACCOUNT'!A293="","",'NEW ACCOUNT'!C293)</f>
        <v/>
      </c>
      <c r="D292" s="38" t="str">
        <f>IF('NEW ACCOUNT'!A293="","",'NEW ACCOUNT'!D293)</f>
        <v/>
      </c>
      <c r="E292" s="38" t="str">
        <f>IF('NEW ACCOUNT'!A293="","",'NEW ACCOUNT'!E293)</f>
        <v/>
      </c>
      <c r="F292" s="38" t="str">
        <f>IF('NEW ACCOUNT'!A293="","",'NEW ACCOUNT'!F293)</f>
        <v/>
      </c>
      <c r="G292" s="38" t="str">
        <f>IF('NEW ACCOUNT'!A293="","",'NEW ACCOUNT'!G293)</f>
        <v/>
      </c>
      <c r="H292" s="38" t="str">
        <f>IF('NEW ACCOUNT'!A293="","",'NEW ACCOUNT'!H293)</f>
        <v/>
      </c>
      <c r="I292" s="38" t="str">
        <f>IF('NEW ACCOUNT'!A293="","",'NEW ACCOUNT'!I293)</f>
        <v/>
      </c>
      <c r="J292" s="38" t="str">
        <f>IF('NEW ACCOUNT'!A293="","",'NEW ACCOUNT'!J293)</f>
        <v/>
      </c>
      <c r="K292" s="39" t="str">
        <f>IFERROR(IF(A292="","",SUMIF(DB_Savings!$A:$A,A292,DB_Savings!$F:$F)),"")</f>
        <v/>
      </c>
      <c r="L292" s="39" t="str">
        <f>IFERROR(IF(A292="","",SUMIF(DB_Withdrawals!$A:$A,A292,DB_Withdrawals!$G:$G)),"")</f>
        <v/>
      </c>
      <c r="M292" s="39" t="str">
        <f>IFERROR(IF(A292="","",IFERROR(VALUE(H292),0)+IFERROR(SUMIF(DB_Savings!$A:$A,A292,DB_Savings!$F:$F),0)-IFERROR(SUMIF(DB_Withdrawals!$A:$A,A292,DB_Withdrawals!$G:$G),0)),"")</f>
        <v/>
      </c>
      <c r="N292" s="39" t="str">
        <f>IFERROR(IF(A292="","",MAX(0,M292-System_Config!$B$9)),"")</f>
        <v/>
      </c>
    </row>
    <row r="293" spans="1:14" ht="19.5" customHeight="1" x14ac:dyDescent="0.25">
      <c r="A293" s="37" t="str">
        <f>'NEW ACCOUNT'!A294</f>
        <v/>
      </c>
      <c r="B293" s="38" t="str">
        <f>IF('NEW ACCOUNT'!A294="","",'NEW ACCOUNT'!B294)</f>
        <v/>
      </c>
      <c r="C293" s="38" t="str">
        <f>IF('NEW ACCOUNT'!A294="","",'NEW ACCOUNT'!C294)</f>
        <v/>
      </c>
      <c r="D293" s="38" t="str">
        <f>IF('NEW ACCOUNT'!A294="","",'NEW ACCOUNT'!D294)</f>
        <v/>
      </c>
      <c r="E293" s="38" t="str">
        <f>IF('NEW ACCOUNT'!A294="","",'NEW ACCOUNT'!E294)</f>
        <v/>
      </c>
      <c r="F293" s="38" t="str">
        <f>IF('NEW ACCOUNT'!A294="","",'NEW ACCOUNT'!F294)</f>
        <v/>
      </c>
      <c r="G293" s="38" t="str">
        <f>IF('NEW ACCOUNT'!A294="","",'NEW ACCOUNT'!G294)</f>
        <v/>
      </c>
      <c r="H293" s="38" t="str">
        <f>IF('NEW ACCOUNT'!A294="","",'NEW ACCOUNT'!H294)</f>
        <v/>
      </c>
      <c r="I293" s="38" t="str">
        <f>IF('NEW ACCOUNT'!A294="","",'NEW ACCOUNT'!I294)</f>
        <v/>
      </c>
      <c r="J293" s="38" t="str">
        <f>IF('NEW ACCOUNT'!A294="","",'NEW ACCOUNT'!J294)</f>
        <v/>
      </c>
      <c r="K293" s="39" t="str">
        <f>IFERROR(IF(A293="","",SUMIF(DB_Savings!$A:$A,A293,DB_Savings!$F:$F)),"")</f>
        <v/>
      </c>
      <c r="L293" s="39" t="str">
        <f>IFERROR(IF(A293="","",SUMIF(DB_Withdrawals!$A:$A,A293,DB_Withdrawals!$G:$G)),"")</f>
        <v/>
      </c>
      <c r="M293" s="39" t="str">
        <f>IFERROR(IF(A293="","",IFERROR(VALUE(H293),0)+IFERROR(SUMIF(DB_Savings!$A:$A,A293,DB_Savings!$F:$F),0)-IFERROR(SUMIF(DB_Withdrawals!$A:$A,A293,DB_Withdrawals!$G:$G),0)),"")</f>
        <v/>
      </c>
      <c r="N293" s="39" t="str">
        <f>IFERROR(IF(A293="","",MAX(0,M293-System_Config!$B$9)),"")</f>
        <v/>
      </c>
    </row>
    <row r="294" spans="1:14" ht="19.5" customHeight="1" x14ac:dyDescent="0.25">
      <c r="A294" s="37" t="str">
        <f>'NEW ACCOUNT'!A295</f>
        <v/>
      </c>
      <c r="B294" s="38" t="str">
        <f>IF('NEW ACCOUNT'!A295="","",'NEW ACCOUNT'!B295)</f>
        <v/>
      </c>
      <c r="C294" s="38" t="str">
        <f>IF('NEW ACCOUNT'!A295="","",'NEW ACCOUNT'!C295)</f>
        <v/>
      </c>
      <c r="D294" s="38" t="str">
        <f>IF('NEW ACCOUNT'!A295="","",'NEW ACCOUNT'!D295)</f>
        <v/>
      </c>
      <c r="E294" s="38" t="str">
        <f>IF('NEW ACCOUNT'!A295="","",'NEW ACCOUNT'!E295)</f>
        <v/>
      </c>
      <c r="F294" s="38" t="str">
        <f>IF('NEW ACCOUNT'!A295="","",'NEW ACCOUNT'!F295)</f>
        <v/>
      </c>
      <c r="G294" s="38" t="str">
        <f>IF('NEW ACCOUNT'!A295="","",'NEW ACCOUNT'!G295)</f>
        <v/>
      </c>
      <c r="H294" s="38" t="str">
        <f>IF('NEW ACCOUNT'!A295="","",'NEW ACCOUNT'!H295)</f>
        <v/>
      </c>
      <c r="I294" s="38" t="str">
        <f>IF('NEW ACCOUNT'!A295="","",'NEW ACCOUNT'!I295)</f>
        <v/>
      </c>
      <c r="J294" s="38" t="str">
        <f>IF('NEW ACCOUNT'!A295="","",'NEW ACCOUNT'!J295)</f>
        <v/>
      </c>
      <c r="K294" s="39" t="str">
        <f>IFERROR(IF(A294="","",SUMIF(DB_Savings!$A:$A,A294,DB_Savings!$F:$F)),"")</f>
        <v/>
      </c>
      <c r="L294" s="39" t="str">
        <f>IFERROR(IF(A294="","",SUMIF(DB_Withdrawals!$A:$A,A294,DB_Withdrawals!$G:$G)),"")</f>
        <v/>
      </c>
      <c r="M294" s="39" t="str">
        <f>IFERROR(IF(A294="","",IFERROR(VALUE(H294),0)+IFERROR(SUMIF(DB_Savings!$A:$A,A294,DB_Savings!$F:$F),0)-IFERROR(SUMIF(DB_Withdrawals!$A:$A,A294,DB_Withdrawals!$G:$G),0)),"")</f>
        <v/>
      </c>
      <c r="N294" s="39" t="str">
        <f>IFERROR(IF(A294="","",MAX(0,M294-System_Config!$B$9)),"")</f>
        <v/>
      </c>
    </row>
    <row r="295" spans="1:14" ht="19.5" customHeight="1" x14ac:dyDescent="0.25">
      <c r="A295" s="37" t="str">
        <f>'NEW ACCOUNT'!A296</f>
        <v/>
      </c>
      <c r="B295" s="38" t="str">
        <f>IF('NEW ACCOUNT'!A296="","",'NEW ACCOUNT'!B296)</f>
        <v/>
      </c>
      <c r="C295" s="38" t="str">
        <f>IF('NEW ACCOUNT'!A296="","",'NEW ACCOUNT'!C296)</f>
        <v/>
      </c>
      <c r="D295" s="38" t="str">
        <f>IF('NEW ACCOUNT'!A296="","",'NEW ACCOUNT'!D296)</f>
        <v/>
      </c>
      <c r="E295" s="38" t="str">
        <f>IF('NEW ACCOUNT'!A296="","",'NEW ACCOUNT'!E296)</f>
        <v/>
      </c>
      <c r="F295" s="38" t="str">
        <f>IF('NEW ACCOUNT'!A296="","",'NEW ACCOUNT'!F296)</f>
        <v/>
      </c>
      <c r="G295" s="38" t="str">
        <f>IF('NEW ACCOUNT'!A296="","",'NEW ACCOUNT'!G296)</f>
        <v/>
      </c>
      <c r="H295" s="38" t="str">
        <f>IF('NEW ACCOUNT'!A296="","",'NEW ACCOUNT'!H296)</f>
        <v/>
      </c>
      <c r="I295" s="38" t="str">
        <f>IF('NEW ACCOUNT'!A296="","",'NEW ACCOUNT'!I296)</f>
        <v/>
      </c>
      <c r="J295" s="38" t="str">
        <f>IF('NEW ACCOUNT'!A296="","",'NEW ACCOUNT'!J296)</f>
        <v/>
      </c>
      <c r="K295" s="39" t="str">
        <f>IFERROR(IF(A295="","",SUMIF(DB_Savings!$A:$A,A295,DB_Savings!$F:$F)),"")</f>
        <v/>
      </c>
      <c r="L295" s="39" t="str">
        <f>IFERROR(IF(A295="","",SUMIF(DB_Withdrawals!$A:$A,A295,DB_Withdrawals!$G:$G)),"")</f>
        <v/>
      </c>
      <c r="M295" s="39" t="str">
        <f>IFERROR(IF(A295="","",IFERROR(VALUE(H295),0)+IFERROR(SUMIF(DB_Savings!$A:$A,A295,DB_Savings!$F:$F),0)-IFERROR(SUMIF(DB_Withdrawals!$A:$A,A295,DB_Withdrawals!$G:$G),0)),"")</f>
        <v/>
      </c>
      <c r="N295" s="39" t="str">
        <f>IFERROR(IF(A295="","",MAX(0,M295-System_Config!$B$9)),"")</f>
        <v/>
      </c>
    </row>
    <row r="296" spans="1:14" ht="19.5" customHeight="1" x14ac:dyDescent="0.25">
      <c r="A296" s="37" t="str">
        <f>'NEW ACCOUNT'!A297</f>
        <v/>
      </c>
      <c r="B296" s="38" t="str">
        <f>IF('NEW ACCOUNT'!A297="","",'NEW ACCOUNT'!B297)</f>
        <v/>
      </c>
      <c r="C296" s="38" t="str">
        <f>IF('NEW ACCOUNT'!A297="","",'NEW ACCOUNT'!C297)</f>
        <v/>
      </c>
      <c r="D296" s="38" t="str">
        <f>IF('NEW ACCOUNT'!A297="","",'NEW ACCOUNT'!D297)</f>
        <v/>
      </c>
      <c r="E296" s="38" t="str">
        <f>IF('NEW ACCOUNT'!A297="","",'NEW ACCOUNT'!E297)</f>
        <v/>
      </c>
      <c r="F296" s="38" t="str">
        <f>IF('NEW ACCOUNT'!A297="","",'NEW ACCOUNT'!F297)</f>
        <v/>
      </c>
      <c r="G296" s="38" t="str">
        <f>IF('NEW ACCOUNT'!A297="","",'NEW ACCOUNT'!G297)</f>
        <v/>
      </c>
      <c r="H296" s="38" t="str">
        <f>IF('NEW ACCOUNT'!A297="","",'NEW ACCOUNT'!H297)</f>
        <v/>
      </c>
      <c r="I296" s="38" t="str">
        <f>IF('NEW ACCOUNT'!A297="","",'NEW ACCOUNT'!I297)</f>
        <v/>
      </c>
      <c r="J296" s="38" t="str">
        <f>IF('NEW ACCOUNT'!A297="","",'NEW ACCOUNT'!J297)</f>
        <v/>
      </c>
      <c r="K296" s="39" t="str">
        <f>IFERROR(IF(A296="","",SUMIF(DB_Savings!$A:$A,A296,DB_Savings!$F:$F)),"")</f>
        <v/>
      </c>
      <c r="L296" s="39" t="str">
        <f>IFERROR(IF(A296="","",SUMIF(DB_Withdrawals!$A:$A,A296,DB_Withdrawals!$G:$G)),"")</f>
        <v/>
      </c>
      <c r="M296" s="39" t="str">
        <f>IFERROR(IF(A296="","",IFERROR(VALUE(H296),0)+IFERROR(SUMIF(DB_Savings!$A:$A,A296,DB_Savings!$F:$F),0)-IFERROR(SUMIF(DB_Withdrawals!$A:$A,A296,DB_Withdrawals!$G:$G),0)),"")</f>
        <v/>
      </c>
      <c r="N296" s="39" t="str">
        <f>IFERROR(IF(A296="","",MAX(0,M296-System_Config!$B$9)),"")</f>
        <v/>
      </c>
    </row>
    <row r="297" spans="1:14" ht="19.5" customHeight="1" x14ac:dyDescent="0.25">
      <c r="A297" s="37" t="str">
        <f>'NEW ACCOUNT'!A298</f>
        <v/>
      </c>
      <c r="B297" s="38" t="str">
        <f>IF('NEW ACCOUNT'!A298="","",'NEW ACCOUNT'!B298)</f>
        <v/>
      </c>
      <c r="C297" s="38" t="str">
        <f>IF('NEW ACCOUNT'!A298="","",'NEW ACCOUNT'!C298)</f>
        <v/>
      </c>
      <c r="D297" s="38" t="str">
        <f>IF('NEW ACCOUNT'!A298="","",'NEW ACCOUNT'!D298)</f>
        <v/>
      </c>
      <c r="E297" s="38" t="str">
        <f>IF('NEW ACCOUNT'!A298="","",'NEW ACCOUNT'!E298)</f>
        <v/>
      </c>
      <c r="F297" s="38" t="str">
        <f>IF('NEW ACCOUNT'!A298="","",'NEW ACCOUNT'!F298)</f>
        <v/>
      </c>
      <c r="G297" s="38" t="str">
        <f>IF('NEW ACCOUNT'!A298="","",'NEW ACCOUNT'!G298)</f>
        <v/>
      </c>
      <c r="H297" s="38" t="str">
        <f>IF('NEW ACCOUNT'!A298="","",'NEW ACCOUNT'!H298)</f>
        <v/>
      </c>
      <c r="I297" s="38" t="str">
        <f>IF('NEW ACCOUNT'!A298="","",'NEW ACCOUNT'!I298)</f>
        <v/>
      </c>
      <c r="J297" s="38" t="str">
        <f>IF('NEW ACCOUNT'!A298="","",'NEW ACCOUNT'!J298)</f>
        <v/>
      </c>
      <c r="K297" s="39" t="str">
        <f>IFERROR(IF(A297="","",SUMIF(DB_Savings!$A:$A,A297,DB_Savings!$F:$F)),"")</f>
        <v/>
      </c>
      <c r="L297" s="39" t="str">
        <f>IFERROR(IF(A297="","",SUMIF(DB_Withdrawals!$A:$A,A297,DB_Withdrawals!$G:$G)),"")</f>
        <v/>
      </c>
      <c r="M297" s="39" t="str">
        <f>IFERROR(IF(A297="","",IFERROR(VALUE(H297),0)+IFERROR(SUMIF(DB_Savings!$A:$A,A297,DB_Savings!$F:$F),0)-IFERROR(SUMIF(DB_Withdrawals!$A:$A,A297,DB_Withdrawals!$G:$G),0)),"")</f>
        <v/>
      </c>
      <c r="N297" s="39" t="str">
        <f>IFERROR(IF(A297="","",MAX(0,M297-System_Config!$B$9)),"")</f>
        <v/>
      </c>
    </row>
    <row r="298" spans="1:14" ht="19.5" customHeight="1" x14ac:dyDescent="0.25">
      <c r="A298" s="37" t="str">
        <f>'NEW ACCOUNT'!A299</f>
        <v/>
      </c>
      <c r="B298" s="38" t="str">
        <f>IF('NEW ACCOUNT'!A299="","",'NEW ACCOUNT'!B299)</f>
        <v/>
      </c>
      <c r="C298" s="38" t="str">
        <f>IF('NEW ACCOUNT'!A299="","",'NEW ACCOUNT'!C299)</f>
        <v/>
      </c>
      <c r="D298" s="38" t="str">
        <f>IF('NEW ACCOUNT'!A299="","",'NEW ACCOUNT'!D299)</f>
        <v/>
      </c>
      <c r="E298" s="38" t="str">
        <f>IF('NEW ACCOUNT'!A299="","",'NEW ACCOUNT'!E299)</f>
        <v/>
      </c>
      <c r="F298" s="38" t="str">
        <f>IF('NEW ACCOUNT'!A299="","",'NEW ACCOUNT'!F299)</f>
        <v/>
      </c>
      <c r="G298" s="38" t="str">
        <f>IF('NEW ACCOUNT'!A299="","",'NEW ACCOUNT'!G299)</f>
        <v/>
      </c>
      <c r="H298" s="38" t="str">
        <f>IF('NEW ACCOUNT'!A299="","",'NEW ACCOUNT'!H299)</f>
        <v/>
      </c>
      <c r="I298" s="38" t="str">
        <f>IF('NEW ACCOUNT'!A299="","",'NEW ACCOUNT'!I299)</f>
        <v/>
      </c>
      <c r="J298" s="38" t="str">
        <f>IF('NEW ACCOUNT'!A299="","",'NEW ACCOUNT'!J299)</f>
        <v/>
      </c>
      <c r="K298" s="39" t="str">
        <f>IFERROR(IF(A298="","",SUMIF(DB_Savings!$A:$A,A298,DB_Savings!$F:$F)),"")</f>
        <v/>
      </c>
      <c r="L298" s="39" t="str">
        <f>IFERROR(IF(A298="","",SUMIF(DB_Withdrawals!$A:$A,A298,DB_Withdrawals!$G:$G)),"")</f>
        <v/>
      </c>
      <c r="M298" s="39" t="str">
        <f>IFERROR(IF(A298="","",IFERROR(VALUE(H298),0)+IFERROR(SUMIF(DB_Savings!$A:$A,A298,DB_Savings!$F:$F),0)-IFERROR(SUMIF(DB_Withdrawals!$A:$A,A298,DB_Withdrawals!$G:$G),0)),"")</f>
        <v/>
      </c>
      <c r="N298" s="39" t="str">
        <f>IFERROR(IF(A298="","",MAX(0,M298-System_Config!$B$9)),"")</f>
        <v/>
      </c>
    </row>
    <row r="299" spans="1:14" ht="19.5" customHeight="1" x14ac:dyDescent="0.25">
      <c r="A299" s="37" t="str">
        <f>'NEW ACCOUNT'!A300</f>
        <v/>
      </c>
      <c r="B299" s="38" t="str">
        <f>IF('NEW ACCOUNT'!A300="","",'NEW ACCOUNT'!B300)</f>
        <v/>
      </c>
      <c r="C299" s="38" t="str">
        <f>IF('NEW ACCOUNT'!A300="","",'NEW ACCOUNT'!C300)</f>
        <v/>
      </c>
      <c r="D299" s="38" t="str">
        <f>IF('NEW ACCOUNT'!A300="","",'NEW ACCOUNT'!D300)</f>
        <v/>
      </c>
      <c r="E299" s="38" t="str">
        <f>IF('NEW ACCOUNT'!A300="","",'NEW ACCOUNT'!E300)</f>
        <v/>
      </c>
      <c r="F299" s="38" t="str">
        <f>IF('NEW ACCOUNT'!A300="","",'NEW ACCOUNT'!F300)</f>
        <v/>
      </c>
      <c r="G299" s="38" t="str">
        <f>IF('NEW ACCOUNT'!A300="","",'NEW ACCOUNT'!G300)</f>
        <v/>
      </c>
      <c r="H299" s="38" t="str">
        <f>IF('NEW ACCOUNT'!A300="","",'NEW ACCOUNT'!H300)</f>
        <v/>
      </c>
      <c r="I299" s="38" t="str">
        <f>IF('NEW ACCOUNT'!A300="","",'NEW ACCOUNT'!I300)</f>
        <v/>
      </c>
      <c r="J299" s="38" t="str">
        <f>IF('NEW ACCOUNT'!A300="","",'NEW ACCOUNT'!J300)</f>
        <v/>
      </c>
      <c r="K299" s="39" t="str">
        <f>IFERROR(IF(A299="","",SUMIF(DB_Savings!$A:$A,A299,DB_Savings!$F:$F)),"")</f>
        <v/>
      </c>
      <c r="L299" s="39" t="str">
        <f>IFERROR(IF(A299="","",SUMIF(DB_Withdrawals!$A:$A,A299,DB_Withdrawals!$G:$G)),"")</f>
        <v/>
      </c>
      <c r="M299" s="39" t="str">
        <f>IFERROR(IF(A299="","",IFERROR(VALUE(H299),0)+IFERROR(SUMIF(DB_Savings!$A:$A,A299,DB_Savings!$F:$F),0)-IFERROR(SUMIF(DB_Withdrawals!$A:$A,A299,DB_Withdrawals!$G:$G),0)),"")</f>
        <v/>
      </c>
      <c r="N299" s="39" t="str">
        <f>IFERROR(IF(A299="","",MAX(0,M299-System_Config!$B$9)),"")</f>
        <v/>
      </c>
    </row>
    <row r="300" spans="1:14" ht="19.5" customHeight="1" x14ac:dyDescent="0.25">
      <c r="A300" s="37" t="str">
        <f>'NEW ACCOUNT'!A301</f>
        <v/>
      </c>
      <c r="B300" s="38" t="str">
        <f>IF('NEW ACCOUNT'!A301="","",'NEW ACCOUNT'!B301)</f>
        <v/>
      </c>
      <c r="C300" s="38" t="str">
        <f>IF('NEW ACCOUNT'!A301="","",'NEW ACCOUNT'!C301)</f>
        <v/>
      </c>
      <c r="D300" s="38" t="str">
        <f>IF('NEW ACCOUNT'!A301="","",'NEW ACCOUNT'!D301)</f>
        <v/>
      </c>
      <c r="E300" s="38" t="str">
        <f>IF('NEW ACCOUNT'!A301="","",'NEW ACCOUNT'!E301)</f>
        <v/>
      </c>
      <c r="F300" s="38" t="str">
        <f>IF('NEW ACCOUNT'!A301="","",'NEW ACCOUNT'!F301)</f>
        <v/>
      </c>
      <c r="G300" s="38" t="str">
        <f>IF('NEW ACCOUNT'!A301="","",'NEW ACCOUNT'!G301)</f>
        <v/>
      </c>
      <c r="H300" s="38" t="str">
        <f>IF('NEW ACCOUNT'!A301="","",'NEW ACCOUNT'!H301)</f>
        <v/>
      </c>
      <c r="I300" s="38" t="str">
        <f>IF('NEW ACCOUNT'!A301="","",'NEW ACCOUNT'!I301)</f>
        <v/>
      </c>
      <c r="J300" s="38" t="str">
        <f>IF('NEW ACCOUNT'!A301="","",'NEW ACCOUNT'!J301)</f>
        <v/>
      </c>
      <c r="K300" s="39" t="str">
        <f>IFERROR(IF(A300="","",SUMIF(DB_Savings!$A:$A,A300,DB_Savings!$F:$F)),"")</f>
        <v/>
      </c>
      <c r="L300" s="39" t="str">
        <f>IFERROR(IF(A300="","",SUMIF(DB_Withdrawals!$A:$A,A300,DB_Withdrawals!$G:$G)),"")</f>
        <v/>
      </c>
      <c r="M300" s="39" t="str">
        <f>IFERROR(IF(A300="","",IFERROR(VALUE(H300),0)+IFERROR(SUMIF(DB_Savings!$A:$A,A300,DB_Savings!$F:$F),0)-IFERROR(SUMIF(DB_Withdrawals!$A:$A,A300,DB_Withdrawals!$G:$G),0)),"")</f>
        <v/>
      </c>
      <c r="N300" s="39" t="str">
        <f>IFERROR(IF(A300="","",MAX(0,M300-System_Config!$B$9)),"")</f>
        <v/>
      </c>
    </row>
    <row r="301" spans="1:14" ht="19.5" customHeight="1" x14ac:dyDescent="0.25">
      <c r="A301" s="37" t="str">
        <f>'NEW ACCOUNT'!A302</f>
        <v/>
      </c>
      <c r="B301" s="38" t="str">
        <f>IF('NEW ACCOUNT'!A302="","",'NEW ACCOUNT'!B302)</f>
        <v/>
      </c>
      <c r="C301" s="38" t="str">
        <f>IF('NEW ACCOUNT'!A302="","",'NEW ACCOUNT'!C302)</f>
        <v/>
      </c>
      <c r="D301" s="38" t="str">
        <f>IF('NEW ACCOUNT'!A302="","",'NEW ACCOUNT'!D302)</f>
        <v/>
      </c>
      <c r="E301" s="38" t="str">
        <f>IF('NEW ACCOUNT'!A302="","",'NEW ACCOUNT'!E302)</f>
        <v/>
      </c>
      <c r="F301" s="38" t="str">
        <f>IF('NEW ACCOUNT'!A302="","",'NEW ACCOUNT'!F302)</f>
        <v/>
      </c>
      <c r="G301" s="38" t="str">
        <f>IF('NEW ACCOUNT'!A302="","",'NEW ACCOUNT'!G302)</f>
        <v/>
      </c>
      <c r="H301" s="38" t="str">
        <f>IF('NEW ACCOUNT'!A302="","",'NEW ACCOUNT'!H302)</f>
        <v/>
      </c>
      <c r="I301" s="38" t="str">
        <f>IF('NEW ACCOUNT'!A302="","",'NEW ACCOUNT'!I302)</f>
        <v/>
      </c>
      <c r="J301" s="38" t="str">
        <f>IF('NEW ACCOUNT'!A302="","",'NEW ACCOUNT'!J302)</f>
        <v/>
      </c>
      <c r="K301" s="39" t="str">
        <f>IFERROR(IF(A301="","",SUMIF(DB_Savings!$A:$A,A301,DB_Savings!$F:$F)),"")</f>
        <v/>
      </c>
      <c r="L301" s="39" t="str">
        <f>IFERROR(IF(A301="","",SUMIF(DB_Withdrawals!$A:$A,A301,DB_Withdrawals!$G:$G)),"")</f>
        <v/>
      </c>
      <c r="M301" s="39" t="str">
        <f>IFERROR(IF(A301="","",IFERROR(VALUE(H301),0)+IFERROR(SUMIF(DB_Savings!$A:$A,A301,DB_Savings!$F:$F),0)-IFERROR(SUMIF(DB_Withdrawals!$A:$A,A301,DB_Withdrawals!$G:$G),0)),"")</f>
        <v/>
      </c>
      <c r="N301" s="39" t="str">
        <f>IFERROR(IF(A301="","",MAX(0,M301-System_Config!$B$9)),"")</f>
        <v/>
      </c>
    </row>
    <row r="302" spans="1:14" ht="19.5" customHeight="1" x14ac:dyDescent="0.25">
      <c r="A302" s="37" t="str">
        <f>'NEW ACCOUNT'!A303</f>
        <v/>
      </c>
      <c r="B302" s="38" t="str">
        <f>IF('NEW ACCOUNT'!A303="","",'NEW ACCOUNT'!B303)</f>
        <v/>
      </c>
      <c r="C302" s="38" t="str">
        <f>IF('NEW ACCOUNT'!A303="","",'NEW ACCOUNT'!C303)</f>
        <v/>
      </c>
      <c r="D302" s="38" t="str">
        <f>IF('NEW ACCOUNT'!A303="","",'NEW ACCOUNT'!D303)</f>
        <v/>
      </c>
      <c r="E302" s="38" t="str">
        <f>IF('NEW ACCOUNT'!A303="","",'NEW ACCOUNT'!E303)</f>
        <v/>
      </c>
      <c r="F302" s="38" t="str">
        <f>IF('NEW ACCOUNT'!A303="","",'NEW ACCOUNT'!F303)</f>
        <v/>
      </c>
      <c r="G302" s="38" t="str">
        <f>IF('NEW ACCOUNT'!A303="","",'NEW ACCOUNT'!G303)</f>
        <v/>
      </c>
      <c r="H302" s="38" t="str">
        <f>IF('NEW ACCOUNT'!A303="","",'NEW ACCOUNT'!H303)</f>
        <v/>
      </c>
      <c r="I302" s="38" t="str">
        <f>IF('NEW ACCOUNT'!A303="","",'NEW ACCOUNT'!I303)</f>
        <v/>
      </c>
      <c r="J302" s="38" t="str">
        <f>IF('NEW ACCOUNT'!A303="","",'NEW ACCOUNT'!J303)</f>
        <v/>
      </c>
      <c r="K302" s="39" t="str">
        <f>IFERROR(IF(A302="","",SUMIF(DB_Savings!$A:$A,A302,DB_Savings!$F:$F)),"")</f>
        <v/>
      </c>
      <c r="L302" s="39" t="str">
        <f>IFERROR(IF(A302="","",SUMIF(DB_Withdrawals!$A:$A,A302,DB_Withdrawals!$G:$G)),"")</f>
        <v/>
      </c>
      <c r="M302" s="39" t="str">
        <f>IFERROR(IF(A302="","",IFERROR(VALUE(H302),0)+IFERROR(SUMIF(DB_Savings!$A:$A,A302,DB_Savings!$F:$F),0)-IFERROR(SUMIF(DB_Withdrawals!$A:$A,A302,DB_Withdrawals!$G:$G),0)),"")</f>
        <v/>
      </c>
      <c r="N302" s="39" t="str">
        <f>IFERROR(IF(A302="","",MAX(0,M302-System_Config!$B$9)),"")</f>
        <v/>
      </c>
    </row>
    <row r="303" spans="1:14" ht="19.5" customHeight="1" x14ac:dyDescent="0.25">
      <c r="A303" s="37" t="str">
        <f>'NEW ACCOUNT'!A304</f>
        <v/>
      </c>
      <c r="B303" s="38" t="str">
        <f>IF('NEW ACCOUNT'!A304="","",'NEW ACCOUNT'!B304)</f>
        <v/>
      </c>
      <c r="C303" s="38" t="str">
        <f>IF('NEW ACCOUNT'!A304="","",'NEW ACCOUNT'!C304)</f>
        <v/>
      </c>
      <c r="D303" s="38" t="str">
        <f>IF('NEW ACCOUNT'!A304="","",'NEW ACCOUNT'!D304)</f>
        <v/>
      </c>
      <c r="E303" s="38" t="str">
        <f>IF('NEW ACCOUNT'!A304="","",'NEW ACCOUNT'!E304)</f>
        <v/>
      </c>
      <c r="F303" s="38" t="str">
        <f>IF('NEW ACCOUNT'!A304="","",'NEW ACCOUNT'!F304)</f>
        <v/>
      </c>
      <c r="G303" s="38" t="str">
        <f>IF('NEW ACCOUNT'!A304="","",'NEW ACCOUNT'!G304)</f>
        <v/>
      </c>
      <c r="H303" s="38" t="str">
        <f>IF('NEW ACCOUNT'!A304="","",'NEW ACCOUNT'!H304)</f>
        <v/>
      </c>
      <c r="I303" s="38" t="str">
        <f>IF('NEW ACCOUNT'!A304="","",'NEW ACCOUNT'!I304)</f>
        <v/>
      </c>
      <c r="J303" s="38" t="str">
        <f>IF('NEW ACCOUNT'!A304="","",'NEW ACCOUNT'!J304)</f>
        <v/>
      </c>
      <c r="K303" s="39" t="str">
        <f>IFERROR(IF(A303="","",SUMIF(DB_Savings!$A:$A,A303,DB_Savings!$F:$F)),"")</f>
        <v/>
      </c>
      <c r="L303" s="39" t="str">
        <f>IFERROR(IF(A303="","",SUMIF(DB_Withdrawals!$A:$A,A303,DB_Withdrawals!$G:$G)),"")</f>
        <v/>
      </c>
      <c r="M303" s="39" t="str">
        <f>IFERROR(IF(A303="","",IFERROR(VALUE(H303),0)+IFERROR(SUMIF(DB_Savings!$A:$A,A303,DB_Savings!$F:$F),0)-IFERROR(SUMIF(DB_Withdrawals!$A:$A,A303,DB_Withdrawals!$G:$G),0)),"")</f>
        <v/>
      </c>
      <c r="N303" s="39" t="str">
        <f>IFERROR(IF(A303="","",MAX(0,M303-System_Config!$B$9)),"")</f>
        <v/>
      </c>
    </row>
    <row r="304" spans="1:14" ht="19.5" customHeight="1" x14ac:dyDescent="0.25">
      <c r="A304" s="37" t="str">
        <f>'NEW ACCOUNT'!A305</f>
        <v/>
      </c>
      <c r="B304" s="38" t="str">
        <f>IF('NEW ACCOUNT'!A305="","",'NEW ACCOUNT'!B305)</f>
        <v/>
      </c>
      <c r="C304" s="38" t="str">
        <f>IF('NEW ACCOUNT'!A305="","",'NEW ACCOUNT'!C305)</f>
        <v/>
      </c>
      <c r="D304" s="38" t="str">
        <f>IF('NEW ACCOUNT'!A305="","",'NEW ACCOUNT'!D305)</f>
        <v/>
      </c>
      <c r="E304" s="38" t="str">
        <f>IF('NEW ACCOUNT'!A305="","",'NEW ACCOUNT'!E305)</f>
        <v/>
      </c>
      <c r="F304" s="38" t="str">
        <f>IF('NEW ACCOUNT'!A305="","",'NEW ACCOUNT'!F305)</f>
        <v/>
      </c>
      <c r="G304" s="38" t="str">
        <f>IF('NEW ACCOUNT'!A305="","",'NEW ACCOUNT'!G305)</f>
        <v/>
      </c>
      <c r="H304" s="38" t="str">
        <f>IF('NEW ACCOUNT'!A305="","",'NEW ACCOUNT'!H305)</f>
        <v/>
      </c>
      <c r="I304" s="38" t="str">
        <f>IF('NEW ACCOUNT'!A305="","",'NEW ACCOUNT'!I305)</f>
        <v/>
      </c>
      <c r="J304" s="38" t="str">
        <f>IF('NEW ACCOUNT'!A305="","",'NEW ACCOUNT'!J305)</f>
        <v/>
      </c>
      <c r="K304" s="39" t="str">
        <f>IFERROR(IF(A304="","",SUMIF(DB_Savings!$A:$A,A304,DB_Savings!$F:$F)),"")</f>
        <v/>
      </c>
      <c r="L304" s="39" t="str">
        <f>IFERROR(IF(A304="","",SUMIF(DB_Withdrawals!$A:$A,A304,DB_Withdrawals!$G:$G)),"")</f>
        <v/>
      </c>
      <c r="M304" s="39" t="str">
        <f>IFERROR(IF(A304="","",IFERROR(VALUE(H304),0)+IFERROR(SUMIF(DB_Savings!$A:$A,A304,DB_Savings!$F:$F),0)-IFERROR(SUMIF(DB_Withdrawals!$A:$A,A304,DB_Withdrawals!$G:$G),0)),"")</f>
        <v/>
      </c>
      <c r="N304" s="39" t="str">
        <f>IFERROR(IF(A304="","",MAX(0,M304-System_Config!$B$9)),"")</f>
        <v/>
      </c>
    </row>
    <row r="305" spans="1:14" ht="19.5" customHeight="1" x14ac:dyDescent="0.25">
      <c r="A305" s="37" t="str">
        <f>'NEW ACCOUNT'!A306</f>
        <v/>
      </c>
      <c r="B305" s="38" t="str">
        <f>IF('NEW ACCOUNT'!A306="","",'NEW ACCOUNT'!B306)</f>
        <v/>
      </c>
      <c r="C305" s="38" t="str">
        <f>IF('NEW ACCOUNT'!A306="","",'NEW ACCOUNT'!C306)</f>
        <v/>
      </c>
      <c r="D305" s="38" t="str">
        <f>IF('NEW ACCOUNT'!A306="","",'NEW ACCOUNT'!D306)</f>
        <v/>
      </c>
      <c r="E305" s="38" t="str">
        <f>IF('NEW ACCOUNT'!A306="","",'NEW ACCOUNT'!E306)</f>
        <v/>
      </c>
      <c r="F305" s="38" t="str">
        <f>IF('NEW ACCOUNT'!A306="","",'NEW ACCOUNT'!F306)</f>
        <v/>
      </c>
      <c r="G305" s="38" t="str">
        <f>IF('NEW ACCOUNT'!A306="","",'NEW ACCOUNT'!G306)</f>
        <v/>
      </c>
      <c r="H305" s="38" t="str">
        <f>IF('NEW ACCOUNT'!A306="","",'NEW ACCOUNT'!H306)</f>
        <v/>
      </c>
      <c r="I305" s="38" t="str">
        <f>IF('NEW ACCOUNT'!A306="","",'NEW ACCOUNT'!I306)</f>
        <v/>
      </c>
      <c r="J305" s="38" t="str">
        <f>IF('NEW ACCOUNT'!A306="","",'NEW ACCOUNT'!J306)</f>
        <v/>
      </c>
      <c r="K305" s="39" t="str">
        <f>IFERROR(IF(A305="","",SUMIF(DB_Savings!$A:$A,A305,DB_Savings!$F:$F)),"")</f>
        <v/>
      </c>
      <c r="L305" s="39" t="str">
        <f>IFERROR(IF(A305="","",SUMIF(DB_Withdrawals!$A:$A,A305,DB_Withdrawals!$G:$G)),"")</f>
        <v/>
      </c>
      <c r="M305" s="39" t="str">
        <f>IFERROR(IF(A305="","",IFERROR(VALUE(H305),0)+IFERROR(SUMIF(DB_Savings!$A:$A,A305,DB_Savings!$F:$F),0)-IFERROR(SUMIF(DB_Withdrawals!$A:$A,A305,DB_Withdrawals!$G:$G),0)),"")</f>
        <v/>
      </c>
      <c r="N305" s="39" t="str">
        <f>IFERROR(IF(A305="","",MAX(0,M305-System_Config!$B$9)),"")</f>
        <v/>
      </c>
    </row>
    <row r="306" spans="1:14" ht="19.5" customHeight="1" x14ac:dyDescent="0.25">
      <c r="A306" s="37" t="str">
        <f>'NEW ACCOUNT'!A307</f>
        <v/>
      </c>
      <c r="B306" s="38" t="str">
        <f>IF('NEW ACCOUNT'!A307="","",'NEW ACCOUNT'!B307)</f>
        <v/>
      </c>
      <c r="C306" s="38" t="str">
        <f>IF('NEW ACCOUNT'!A307="","",'NEW ACCOUNT'!C307)</f>
        <v/>
      </c>
      <c r="D306" s="38" t="str">
        <f>IF('NEW ACCOUNT'!A307="","",'NEW ACCOUNT'!D307)</f>
        <v/>
      </c>
      <c r="E306" s="38" t="str">
        <f>IF('NEW ACCOUNT'!A307="","",'NEW ACCOUNT'!E307)</f>
        <v/>
      </c>
      <c r="F306" s="38" t="str">
        <f>IF('NEW ACCOUNT'!A307="","",'NEW ACCOUNT'!F307)</f>
        <v/>
      </c>
      <c r="G306" s="38" t="str">
        <f>IF('NEW ACCOUNT'!A307="","",'NEW ACCOUNT'!G307)</f>
        <v/>
      </c>
      <c r="H306" s="38" t="str">
        <f>IF('NEW ACCOUNT'!A307="","",'NEW ACCOUNT'!H307)</f>
        <v/>
      </c>
      <c r="I306" s="38" t="str">
        <f>IF('NEW ACCOUNT'!A307="","",'NEW ACCOUNT'!I307)</f>
        <v/>
      </c>
      <c r="J306" s="38" t="str">
        <f>IF('NEW ACCOUNT'!A307="","",'NEW ACCOUNT'!J307)</f>
        <v/>
      </c>
      <c r="K306" s="39" t="str">
        <f>IFERROR(IF(A306="","",SUMIF(DB_Savings!$A:$A,A306,DB_Savings!$F:$F)),"")</f>
        <v/>
      </c>
      <c r="L306" s="39" t="str">
        <f>IFERROR(IF(A306="","",SUMIF(DB_Withdrawals!$A:$A,A306,DB_Withdrawals!$G:$G)),"")</f>
        <v/>
      </c>
      <c r="M306" s="39" t="str">
        <f>IFERROR(IF(A306="","",IFERROR(VALUE(H306),0)+IFERROR(SUMIF(DB_Savings!$A:$A,A306,DB_Savings!$F:$F),0)-IFERROR(SUMIF(DB_Withdrawals!$A:$A,A306,DB_Withdrawals!$G:$G),0)),"")</f>
        <v/>
      </c>
      <c r="N306" s="39" t="str">
        <f>IFERROR(IF(A306="","",MAX(0,M306-System_Config!$B$9)),"")</f>
        <v/>
      </c>
    </row>
    <row r="307" spans="1:14" ht="19.5" customHeight="1" x14ac:dyDescent="0.25">
      <c r="A307" s="37" t="str">
        <f>'NEW ACCOUNT'!A308</f>
        <v/>
      </c>
      <c r="B307" s="38" t="str">
        <f>IF('NEW ACCOUNT'!A308="","",'NEW ACCOUNT'!B308)</f>
        <v/>
      </c>
      <c r="C307" s="38" t="str">
        <f>IF('NEW ACCOUNT'!A308="","",'NEW ACCOUNT'!C308)</f>
        <v/>
      </c>
      <c r="D307" s="38" t="str">
        <f>IF('NEW ACCOUNT'!A308="","",'NEW ACCOUNT'!D308)</f>
        <v/>
      </c>
      <c r="E307" s="38" t="str">
        <f>IF('NEW ACCOUNT'!A308="","",'NEW ACCOUNT'!E308)</f>
        <v/>
      </c>
      <c r="F307" s="38" t="str">
        <f>IF('NEW ACCOUNT'!A308="","",'NEW ACCOUNT'!F308)</f>
        <v/>
      </c>
      <c r="G307" s="38" t="str">
        <f>IF('NEW ACCOUNT'!A308="","",'NEW ACCOUNT'!G308)</f>
        <v/>
      </c>
      <c r="H307" s="38" t="str">
        <f>IF('NEW ACCOUNT'!A308="","",'NEW ACCOUNT'!H308)</f>
        <v/>
      </c>
      <c r="I307" s="38" t="str">
        <f>IF('NEW ACCOUNT'!A308="","",'NEW ACCOUNT'!I308)</f>
        <v/>
      </c>
      <c r="J307" s="38" t="str">
        <f>IF('NEW ACCOUNT'!A308="","",'NEW ACCOUNT'!J308)</f>
        <v/>
      </c>
      <c r="K307" s="39" t="str">
        <f>IFERROR(IF(A307="","",SUMIF(DB_Savings!$A:$A,A307,DB_Savings!$F:$F)),"")</f>
        <v/>
      </c>
      <c r="L307" s="39" t="str">
        <f>IFERROR(IF(A307="","",SUMIF(DB_Withdrawals!$A:$A,A307,DB_Withdrawals!$G:$G)),"")</f>
        <v/>
      </c>
      <c r="M307" s="39" t="str">
        <f>IFERROR(IF(A307="","",IFERROR(VALUE(H307),0)+IFERROR(SUMIF(DB_Savings!$A:$A,A307,DB_Savings!$F:$F),0)-IFERROR(SUMIF(DB_Withdrawals!$A:$A,A307,DB_Withdrawals!$G:$G),0)),"")</f>
        <v/>
      </c>
      <c r="N307" s="39" t="str">
        <f>IFERROR(IF(A307="","",MAX(0,M307-System_Config!$B$9)),"")</f>
        <v/>
      </c>
    </row>
    <row r="308" spans="1:14" ht="19.5" customHeight="1" x14ac:dyDescent="0.25">
      <c r="A308" s="37" t="str">
        <f>'NEW ACCOUNT'!A309</f>
        <v/>
      </c>
      <c r="B308" s="38" t="str">
        <f>IF('NEW ACCOUNT'!A309="","",'NEW ACCOUNT'!B309)</f>
        <v/>
      </c>
      <c r="C308" s="38" t="str">
        <f>IF('NEW ACCOUNT'!A309="","",'NEW ACCOUNT'!C309)</f>
        <v/>
      </c>
      <c r="D308" s="38" t="str">
        <f>IF('NEW ACCOUNT'!A309="","",'NEW ACCOUNT'!D309)</f>
        <v/>
      </c>
      <c r="E308" s="38" t="str">
        <f>IF('NEW ACCOUNT'!A309="","",'NEW ACCOUNT'!E309)</f>
        <v/>
      </c>
      <c r="F308" s="38" t="str">
        <f>IF('NEW ACCOUNT'!A309="","",'NEW ACCOUNT'!F309)</f>
        <v/>
      </c>
      <c r="G308" s="38" t="str">
        <f>IF('NEW ACCOUNT'!A309="","",'NEW ACCOUNT'!G309)</f>
        <v/>
      </c>
      <c r="H308" s="38" t="str">
        <f>IF('NEW ACCOUNT'!A309="","",'NEW ACCOUNT'!H309)</f>
        <v/>
      </c>
      <c r="I308" s="38" t="str">
        <f>IF('NEW ACCOUNT'!A309="","",'NEW ACCOUNT'!I309)</f>
        <v/>
      </c>
      <c r="J308" s="38" t="str">
        <f>IF('NEW ACCOUNT'!A309="","",'NEW ACCOUNT'!J309)</f>
        <v/>
      </c>
      <c r="K308" s="39" t="str">
        <f>IFERROR(IF(A308="","",SUMIF(DB_Savings!$A:$A,A308,DB_Savings!$F:$F)),"")</f>
        <v/>
      </c>
      <c r="L308" s="39" t="str">
        <f>IFERROR(IF(A308="","",SUMIF(DB_Withdrawals!$A:$A,A308,DB_Withdrawals!$G:$G)),"")</f>
        <v/>
      </c>
      <c r="M308" s="39" t="str">
        <f>IFERROR(IF(A308="","",IFERROR(VALUE(H308),0)+IFERROR(SUMIF(DB_Savings!$A:$A,A308,DB_Savings!$F:$F),0)-IFERROR(SUMIF(DB_Withdrawals!$A:$A,A308,DB_Withdrawals!$G:$G),0)),"")</f>
        <v/>
      </c>
      <c r="N308" s="39" t="str">
        <f>IFERROR(IF(A308="","",MAX(0,M308-System_Config!$B$9)),"")</f>
        <v/>
      </c>
    </row>
    <row r="309" spans="1:14" ht="19.5" customHeight="1" x14ac:dyDescent="0.25">
      <c r="A309" s="37" t="str">
        <f>'NEW ACCOUNT'!A310</f>
        <v/>
      </c>
      <c r="B309" s="38" t="str">
        <f>IF('NEW ACCOUNT'!A310="","",'NEW ACCOUNT'!B310)</f>
        <v/>
      </c>
      <c r="C309" s="38" t="str">
        <f>IF('NEW ACCOUNT'!A310="","",'NEW ACCOUNT'!C310)</f>
        <v/>
      </c>
      <c r="D309" s="38" t="str">
        <f>IF('NEW ACCOUNT'!A310="","",'NEW ACCOUNT'!D310)</f>
        <v/>
      </c>
      <c r="E309" s="38" t="str">
        <f>IF('NEW ACCOUNT'!A310="","",'NEW ACCOUNT'!E310)</f>
        <v/>
      </c>
      <c r="F309" s="38" t="str">
        <f>IF('NEW ACCOUNT'!A310="","",'NEW ACCOUNT'!F310)</f>
        <v/>
      </c>
      <c r="G309" s="38" t="str">
        <f>IF('NEW ACCOUNT'!A310="","",'NEW ACCOUNT'!G310)</f>
        <v/>
      </c>
      <c r="H309" s="38" t="str">
        <f>IF('NEW ACCOUNT'!A310="","",'NEW ACCOUNT'!H310)</f>
        <v/>
      </c>
      <c r="I309" s="38" t="str">
        <f>IF('NEW ACCOUNT'!A310="","",'NEW ACCOUNT'!I310)</f>
        <v/>
      </c>
      <c r="J309" s="38" t="str">
        <f>IF('NEW ACCOUNT'!A310="","",'NEW ACCOUNT'!J310)</f>
        <v/>
      </c>
      <c r="K309" s="39" t="str">
        <f>IFERROR(IF(A309="","",SUMIF(DB_Savings!$A:$A,A309,DB_Savings!$F:$F)),"")</f>
        <v/>
      </c>
      <c r="L309" s="39" t="str">
        <f>IFERROR(IF(A309="","",SUMIF(DB_Withdrawals!$A:$A,A309,DB_Withdrawals!$G:$G)),"")</f>
        <v/>
      </c>
      <c r="M309" s="39" t="str">
        <f>IFERROR(IF(A309="","",IFERROR(VALUE(H309),0)+IFERROR(SUMIF(DB_Savings!$A:$A,A309,DB_Savings!$F:$F),0)-IFERROR(SUMIF(DB_Withdrawals!$A:$A,A309,DB_Withdrawals!$G:$G),0)),"")</f>
        <v/>
      </c>
      <c r="N309" s="39" t="str">
        <f>IFERROR(IF(A309="","",MAX(0,M309-System_Config!$B$9)),"")</f>
        <v/>
      </c>
    </row>
    <row r="310" spans="1:14" ht="19.5" customHeight="1" x14ac:dyDescent="0.25">
      <c r="A310" s="37" t="str">
        <f>'NEW ACCOUNT'!A311</f>
        <v/>
      </c>
      <c r="B310" s="38" t="str">
        <f>IF('NEW ACCOUNT'!A311="","",'NEW ACCOUNT'!B311)</f>
        <v/>
      </c>
      <c r="C310" s="38" t="str">
        <f>IF('NEW ACCOUNT'!A311="","",'NEW ACCOUNT'!C311)</f>
        <v/>
      </c>
      <c r="D310" s="38" t="str">
        <f>IF('NEW ACCOUNT'!A311="","",'NEW ACCOUNT'!D311)</f>
        <v/>
      </c>
      <c r="E310" s="38" t="str">
        <f>IF('NEW ACCOUNT'!A311="","",'NEW ACCOUNT'!E311)</f>
        <v/>
      </c>
      <c r="F310" s="38" t="str">
        <f>IF('NEW ACCOUNT'!A311="","",'NEW ACCOUNT'!F311)</f>
        <v/>
      </c>
      <c r="G310" s="38" t="str">
        <f>IF('NEW ACCOUNT'!A311="","",'NEW ACCOUNT'!G311)</f>
        <v/>
      </c>
      <c r="H310" s="38" t="str">
        <f>IF('NEW ACCOUNT'!A311="","",'NEW ACCOUNT'!H311)</f>
        <v/>
      </c>
      <c r="I310" s="38" t="str">
        <f>IF('NEW ACCOUNT'!A311="","",'NEW ACCOUNT'!I311)</f>
        <v/>
      </c>
      <c r="J310" s="38" t="str">
        <f>IF('NEW ACCOUNT'!A311="","",'NEW ACCOUNT'!J311)</f>
        <v/>
      </c>
      <c r="K310" s="39" t="str">
        <f>IFERROR(IF(A310="","",SUMIF(DB_Savings!$A:$A,A310,DB_Savings!$F:$F)),"")</f>
        <v/>
      </c>
      <c r="L310" s="39" t="str">
        <f>IFERROR(IF(A310="","",SUMIF(DB_Withdrawals!$A:$A,A310,DB_Withdrawals!$G:$G)),"")</f>
        <v/>
      </c>
      <c r="M310" s="39" t="str">
        <f>IFERROR(IF(A310="","",IFERROR(VALUE(H310),0)+IFERROR(SUMIF(DB_Savings!$A:$A,A310,DB_Savings!$F:$F),0)-IFERROR(SUMIF(DB_Withdrawals!$A:$A,A310,DB_Withdrawals!$G:$G),0)),"")</f>
        <v/>
      </c>
      <c r="N310" s="39" t="str">
        <f>IFERROR(IF(A310="","",MAX(0,M310-System_Config!$B$9)),"")</f>
        <v/>
      </c>
    </row>
    <row r="311" spans="1:14" ht="19.5" customHeight="1" x14ac:dyDescent="0.25">
      <c r="A311" s="37" t="str">
        <f>'NEW ACCOUNT'!A312</f>
        <v/>
      </c>
      <c r="B311" s="38" t="str">
        <f>IF('NEW ACCOUNT'!A312="","",'NEW ACCOUNT'!B312)</f>
        <v/>
      </c>
      <c r="C311" s="38" t="str">
        <f>IF('NEW ACCOUNT'!A312="","",'NEW ACCOUNT'!C312)</f>
        <v/>
      </c>
      <c r="D311" s="38" t="str">
        <f>IF('NEW ACCOUNT'!A312="","",'NEW ACCOUNT'!D312)</f>
        <v/>
      </c>
      <c r="E311" s="38" t="str">
        <f>IF('NEW ACCOUNT'!A312="","",'NEW ACCOUNT'!E312)</f>
        <v/>
      </c>
      <c r="F311" s="38" t="str">
        <f>IF('NEW ACCOUNT'!A312="","",'NEW ACCOUNT'!F312)</f>
        <v/>
      </c>
      <c r="G311" s="38" t="str">
        <f>IF('NEW ACCOUNT'!A312="","",'NEW ACCOUNT'!G312)</f>
        <v/>
      </c>
      <c r="H311" s="38" t="str">
        <f>IF('NEW ACCOUNT'!A312="","",'NEW ACCOUNT'!H312)</f>
        <v/>
      </c>
      <c r="I311" s="38" t="str">
        <f>IF('NEW ACCOUNT'!A312="","",'NEW ACCOUNT'!I312)</f>
        <v/>
      </c>
      <c r="J311" s="38" t="str">
        <f>IF('NEW ACCOUNT'!A312="","",'NEW ACCOUNT'!J312)</f>
        <v/>
      </c>
      <c r="K311" s="39" t="str">
        <f>IFERROR(IF(A311="","",SUMIF(DB_Savings!$A:$A,A311,DB_Savings!$F:$F)),"")</f>
        <v/>
      </c>
      <c r="L311" s="39" t="str">
        <f>IFERROR(IF(A311="","",SUMIF(DB_Withdrawals!$A:$A,A311,DB_Withdrawals!$G:$G)),"")</f>
        <v/>
      </c>
      <c r="M311" s="39" t="str">
        <f>IFERROR(IF(A311="","",IFERROR(VALUE(H311),0)+IFERROR(SUMIF(DB_Savings!$A:$A,A311,DB_Savings!$F:$F),0)-IFERROR(SUMIF(DB_Withdrawals!$A:$A,A311,DB_Withdrawals!$G:$G),0)),"")</f>
        <v/>
      </c>
      <c r="N311" s="39" t="str">
        <f>IFERROR(IF(A311="","",MAX(0,M311-System_Config!$B$9)),"")</f>
        <v/>
      </c>
    </row>
    <row r="312" spans="1:14" ht="19.5" customHeight="1" x14ac:dyDescent="0.25">
      <c r="A312" s="37" t="str">
        <f>'NEW ACCOUNT'!A313</f>
        <v/>
      </c>
      <c r="B312" s="38" t="str">
        <f>IF('NEW ACCOUNT'!A313="","",'NEW ACCOUNT'!B313)</f>
        <v/>
      </c>
      <c r="C312" s="38" t="str">
        <f>IF('NEW ACCOUNT'!A313="","",'NEW ACCOUNT'!C313)</f>
        <v/>
      </c>
      <c r="D312" s="38" t="str">
        <f>IF('NEW ACCOUNT'!A313="","",'NEW ACCOUNT'!D313)</f>
        <v/>
      </c>
      <c r="E312" s="38" t="str">
        <f>IF('NEW ACCOUNT'!A313="","",'NEW ACCOUNT'!E313)</f>
        <v/>
      </c>
      <c r="F312" s="38" t="str">
        <f>IF('NEW ACCOUNT'!A313="","",'NEW ACCOUNT'!F313)</f>
        <v/>
      </c>
      <c r="G312" s="38" t="str">
        <f>IF('NEW ACCOUNT'!A313="","",'NEW ACCOUNT'!G313)</f>
        <v/>
      </c>
      <c r="H312" s="38" t="str">
        <f>IF('NEW ACCOUNT'!A313="","",'NEW ACCOUNT'!H313)</f>
        <v/>
      </c>
      <c r="I312" s="38" t="str">
        <f>IF('NEW ACCOUNT'!A313="","",'NEW ACCOUNT'!I313)</f>
        <v/>
      </c>
      <c r="J312" s="38" t="str">
        <f>IF('NEW ACCOUNT'!A313="","",'NEW ACCOUNT'!J313)</f>
        <v/>
      </c>
      <c r="K312" s="39" t="str">
        <f>IFERROR(IF(A312="","",SUMIF(DB_Savings!$A:$A,A312,DB_Savings!$F:$F)),"")</f>
        <v/>
      </c>
      <c r="L312" s="39" t="str">
        <f>IFERROR(IF(A312="","",SUMIF(DB_Withdrawals!$A:$A,A312,DB_Withdrawals!$G:$G)),"")</f>
        <v/>
      </c>
      <c r="M312" s="39" t="str">
        <f>IFERROR(IF(A312="","",IFERROR(VALUE(H312),0)+IFERROR(SUMIF(DB_Savings!$A:$A,A312,DB_Savings!$F:$F),0)-IFERROR(SUMIF(DB_Withdrawals!$A:$A,A312,DB_Withdrawals!$G:$G),0)),"")</f>
        <v/>
      </c>
      <c r="N312" s="39" t="str">
        <f>IFERROR(IF(A312="","",MAX(0,M312-System_Config!$B$9)),"")</f>
        <v/>
      </c>
    </row>
    <row r="313" spans="1:14" ht="19.5" customHeight="1" x14ac:dyDescent="0.25">
      <c r="A313" s="37" t="str">
        <f>'NEW ACCOUNT'!A314</f>
        <v/>
      </c>
      <c r="B313" s="38" t="str">
        <f>IF('NEW ACCOUNT'!A314="","",'NEW ACCOUNT'!B314)</f>
        <v/>
      </c>
      <c r="C313" s="38" t="str">
        <f>IF('NEW ACCOUNT'!A314="","",'NEW ACCOUNT'!C314)</f>
        <v/>
      </c>
      <c r="D313" s="38" t="str">
        <f>IF('NEW ACCOUNT'!A314="","",'NEW ACCOUNT'!D314)</f>
        <v/>
      </c>
      <c r="E313" s="38" t="str">
        <f>IF('NEW ACCOUNT'!A314="","",'NEW ACCOUNT'!E314)</f>
        <v/>
      </c>
      <c r="F313" s="38" t="str">
        <f>IF('NEW ACCOUNT'!A314="","",'NEW ACCOUNT'!F314)</f>
        <v/>
      </c>
      <c r="G313" s="38" t="str">
        <f>IF('NEW ACCOUNT'!A314="","",'NEW ACCOUNT'!G314)</f>
        <v/>
      </c>
      <c r="H313" s="38" t="str">
        <f>IF('NEW ACCOUNT'!A314="","",'NEW ACCOUNT'!H314)</f>
        <v/>
      </c>
      <c r="I313" s="38" t="str">
        <f>IF('NEW ACCOUNT'!A314="","",'NEW ACCOUNT'!I314)</f>
        <v/>
      </c>
      <c r="J313" s="38" t="str">
        <f>IF('NEW ACCOUNT'!A314="","",'NEW ACCOUNT'!J314)</f>
        <v/>
      </c>
      <c r="K313" s="39" t="str">
        <f>IFERROR(IF(A313="","",SUMIF(DB_Savings!$A:$A,A313,DB_Savings!$F:$F)),"")</f>
        <v/>
      </c>
      <c r="L313" s="39" t="str">
        <f>IFERROR(IF(A313="","",SUMIF(DB_Withdrawals!$A:$A,A313,DB_Withdrawals!$G:$G)),"")</f>
        <v/>
      </c>
      <c r="M313" s="39" t="str">
        <f>IFERROR(IF(A313="","",IFERROR(VALUE(H313),0)+IFERROR(SUMIF(DB_Savings!$A:$A,A313,DB_Savings!$F:$F),0)-IFERROR(SUMIF(DB_Withdrawals!$A:$A,A313,DB_Withdrawals!$G:$G),0)),"")</f>
        <v/>
      </c>
      <c r="N313" s="39" t="str">
        <f>IFERROR(IF(A313="","",MAX(0,M313-System_Config!$B$9)),"")</f>
        <v/>
      </c>
    </row>
    <row r="314" spans="1:14" ht="19.5" customHeight="1" x14ac:dyDescent="0.25">
      <c r="A314" s="37" t="str">
        <f>'NEW ACCOUNT'!A315</f>
        <v/>
      </c>
      <c r="B314" s="38" t="str">
        <f>IF('NEW ACCOUNT'!A315="","",'NEW ACCOUNT'!B315)</f>
        <v/>
      </c>
      <c r="C314" s="38" t="str">
        <f>IF('NEW ACCOUNT'!A315="","",'NEW ACCOUNT'!C315)</f>
        <v/>
      </c>
      <c r="D314" s="38" t="str">
        <f>IF('NEW ACCOUNT'!A315="","",'NEW ACCOUNT'!D315)</f>
        <v/>
      </c>
      <c r="E314" s="38" t="str">
        <f>IF('NEW ACCOUNT'!A315="","",'NEW ACCOUNT'!E315)</f>
        <v/>
      </c>
      <c r="F314" s="38" t="str">
        <f>IF('NEW ACCOUNT'!A315="","",'NEW ACCOUNT'!F315)</f>
        <v/>
      </c>
      <c r="G314" s="38" t="str">
        <f>IF('NEW ACCOUNT'!A315="","",'NEW ACCOUNT'!G315)</f>
        <v/>
      </c>
      <c r="H314" s="38" t="str">
        <f>IF('NEW ACCOUNT'!A315="","",'NEW ACCOUNT'!H315)</f>
        <v/>
      </c>
      <c r="I314" s="38" t="str">
        <f>IF('NEW ACCOUNT'!A315="","",'NEW ACCOUNT'!I315)</f>
        <v/>
      </c>
      <c r="J314" s="38" t="str">
        <f>IF('NEW ACCOUNT'!A315="","",'NEW ACCOUNT'!J315)</f>
        <v/>
      </c>
      <c r="K314" s="39" t="str">
        <f>IFERROR(IF(A314="","",SUMIF(DB_Savings!$A:$A,A314,DB_Savings!$F:$F)),"")</f>
        <v/>
      </c>
      <c r="L314" s="39" t="str">
        <f>IFERROR(IF(A314="","",SUMIF(DB_Withdrawals!$A:$A,A314,DB_Withdrawals!$G:$G)),"")</f>
        <v/>
      </c>
      <c r="M314" s="39" t="str">
        <f>IFERROR(IF(A314="","",IFERROR(VALUE(H314),0)+IFERROR(SUMIF(DB_Savings!$A:$A,A314,DB_Savings!$F:$F),0)-IFERROR(SUMIF(DB_Withdrawals!$A:$A,A314,DB_Withdrawals!$G:$G),0)),"")</f>
        <v/>
      </c>
      <c r="N314" s="39" t="str">
        <f>IFERROR(IF(A314="","",MAX(0,M314-System_Config!$B$9)),"")</f>
        <v/>
      </c>
    </row>
    <row r="315" spans="1:14" ht="19.5" customHeight="1" x14ac:dyDescent="0.25">
      <c r="A315" s="37" t="str">
        <f>'NEW ACCOUNT'!A316</f>
        <v/>
      </c>
      <c r="B315" s="38" t="str">
        <f>IF('NEW ACCOUNT'!A316="","",'NEW ACCOUNT'!B316)</f>
        <v/>
      </c>
      <c r="C315" s="38" t="str">
        <f>IF('NEW ACCOUNT'!A316="","",'NEW ACCOUNT'!C316)</f>
        <v/>
      </c>
      <c r="D315" s="38" t="str">
        <f>IF('NEW ACCOUNT'!A316="","",'NEW ACCOUNT'!D316)</f>
        <v/>
      </c>
      <c r="E315" s="38" t="str">
        <f>IF('NEW ACCOUNT'!A316="","",'NEW ACCOUNT'!E316)</f>
        <v/>
      </c>
      <c r="F315" s="38" t="str">
        <f>IF('NEW ACCOUNT'!A316="","",'NEW ACCOUNT'!F316)</f>
        <v/>
      </c>
      <c r="G315" s="38" t="str">
        <f>IF('NEW ACCOUNT'!A316="","",'NEW ACCOUNT'!G316)</f>
        <v/>
      </c>
      <c r="H315" s="38" t="str">
        <f>IF('NEW ACCOUNT'!A316="","",'NEW ACCOUNT'!H316)</f>
        <v/>
      </c>
      <c r="I315" s="38" t="str">
        <f>IF('NEW ACCOUNT'!A316="","",'NEW ACCOUNT'!I316)</f>
        <v/>
      </c>
      <c r="J315" s="38" t="str">
        <f>IF('NEW ACCOUNT'!A316="","",'NEW ACCOUNT'!J316)</f>
        <v/>
      </c>
      <c r="K315" s="39" t="str">
        <f>IFERROR(IF(A315="","",SUMIF(DB_Savings!$A:$A,A315,DB_Savings!$F:$F)),"")</f>
        <v/>
      </c>
      <c r="L315" s="39" t="str">
        <f>IFERROR(IF(A315="","",SUMIF(DB_Withdrawals!$A:$A,A315,DB_Withdrawals!$G:$G)),"")</f>
        <v/>
      </c>
      <c r="M315" s="39" t="str">
        <f>IFERROR(IF(A315="","",IFERROR(VALUE(H315),0)+IFERROR(SUMIF(DB_Savings!$A:$A,A315,DB_Savings!$F:$F),0)-IFERROR(SUMIF(DB_Withdrawals!$A:$A,A315,DB_Withdrawals!$G:$G),0)),"")</f>
        <v/>
      </c>
      <c r="N315" s="39" t="str">
        <f>IFERROR(IF(A315="","",MAX(0,M315-System_Config!$B$9)),"")</f>
        <v/>
      </c>
    </row>
    <row r="316" spans="1:14" ht="19.5" customHeight="1" x14ac:dyDescent="0.25">
      <c r="A316" s="37" t="str">
        <f>'NEW ACCOUNT'!A317</f>
        <v/>
      </c>
      <c r="B316" s="38" t="str">
        <f>IF('NEW ACCOUNT'!A317="","",'NEW ACCOUNT'!B317)</f>
        <v/>
      </c>
      <c r="C316" s="38" t="str">
        <f>IF('NEW ACCOUNT'!A317="","",'NEW ACCOUNT'!C317)</f>
        <v/>
      </c>
      <c r="D316" s="38" t="str">
        <f>IF('NEW ACCOUNT'!A317="","",'NEW ACCOUNT'!D317)</f>
        <v/>
      </c>
      <c r="E316" s="38" t="str">
        <f>IF('NEW ACCOUNT'!A317="","",'NEW ACCOUNT'!E317)</f>
        <v/>
      </c>
      <c r="F316" s="38" t="str">
        <f>IF('NEW ACCOUNT'!A317="","",'NEW ACCOUNT'!F317)</f>
        <v/>
      </c>
      <c r="G316" s="38" t="str">
        <f>IF('NEW ACCOUNT'!A317="","",'NEW ACCOUNT'!G317)</f>
        <v/>
      </c>
      <c r="H316" s="38" t="str">
        <f>IF('NEW ACCOUNT'!A317="","",'NEW ACCOUNT'!H317)</f>
        <v/>
      </c>
      <c r="I316" s="38" t="str">
        <f>IF('NEW ACCOUNT'!A317="","",'NEW ACCOUNT'!I317)</f>
        <v/>
      </c>
      <c r="J316" s="38" t="str">
        <f>IF('NEW ACCOUNT'!A317="","",'NEW ACCOUNT'!J317)</f>
        <v/>
      </c>
      <c r="K316" s="39" t="str">
        <f>IFERROR(IF(A316="","",SUMIF(DB_Savings!$A:$A,A316,DB_Savings!$F:$F)),"")</f>
        <v/>
      </c>
      <c r="L316" s="39" t="str">
        <f>IFERROR(IF(A316="","",SUMIF(DB_Withdrawals!$A:$A,A316,DB_Withdrawals!$G:$G)),"")</f>
        <v/>
      </c>
      <c r="M316" s="39" t="str">
        <f>IFERROR(IF(A316="","",IFERROR(VALUE(H316),0)+IFERROR(SUMIF(DB_Savings!$A:$A,A316,DB_Savings!$F:$F),0)-IFERROR(SUMIF(DB_Withdrawals!$A:$A,A316,DB_Withdrawals!$G:$G),0)),"")</f>
        <v/>
      </c>
      <c r="N316" s="39" t="str">
        <f>IFERROR(IF(A316="","",MAX(0,M316-System_Config!$B$9)),"")</f>
        <v/>
      </c>
    </row>
    <row r="317" spans="1:14" ht="19.5" customHeight="1" x14ac:dyDescent="0.25">
      <c r="A317" s="37" t="str">
        <f>'NEW ACCOUNT'!A318</f>
        <v/>
      </c>
      <c r="B317" s="38" t="str">
        <f>IF('NEW ACCOUNT'!A318="","",'NEW ACCOUNT'!B318)</f>
        <v/>
      </c>
      <c r="C317" s="38" t="str">
        <f>IF('NEW ACCOUNT'!A318="","",'NEW ACCOUNT'!C318)</f>
        <v/>
      </c>
      <c r="D317" s="38" t="str">
        <f>IF('NEW ACCOUNT'!A318="","",'NEW ACCOUNT'!D318)</f>
        <v/>
      </c>
      <c r="E317" s="38" t="str">
        <f>IF('NEW ACCOUNT'!A318="","",'NEW ACCOUNT'!E318)</f>
        <v/>
      </c>
      <c r="F317" s="38" t="str">
        <f>IF('NEW ACCOUNT'!A318="","",'NEW ACCOUNT'!F318)</f>
        <v/>
      </c>
      <c r="G317" s="38" t="str">
        <f>IF('NEW ACCOUNT'!A318="","",'NEW ACCOUNT'!G318)</f>
        <v/>
      </c>
      <c r="H317" s="38" t="str">
        <f>IF('NEW ACCOUNT'!A318="","",'NEW ACCOUNT'!H318)</f>
        <v/>
      </c>
      <c r="I317" s="38" t="str">
        <f>IF('NEW ACCOUNT'!A318="","",'NEW ACCOUNT'!I318)</f>
        <v/>
      </c>
      <c r="J317" s="38" t="str">
        <f>IF('NEW ACCOUNT'!A318="","",'NEW ACCOUNT'!J318)</f>
        <v/>
      </c>
      <c r="K317" s="39" t="str">
        <f>IFERROR(IF(A317="","",SUMIF(DB_Savings!$A:$A,A317,DB_Savings!$F:$F)),"")</f>
        <v/>
      </c>
      <c r="L317" s="39" t="str">
        <f>IFERROR(IF(A317="","",SUMIF(DB_Withdrawals!$A:$A,A317,DB_Withdrawals!$G:$G)),"")</f>
        <v/>
      </c>
      <c r="M317" s="39" t="str">
        <f>IFERROR(IF(A317="","",IFERROR(VALUE(H317),0)+IFERROR(SUMIF(DB_Savings!$A:$A,A317,DB_Savings!$F:$F),0)-IFERROR(SUMIF(DB_Withdrawals!$A:$A,A317,DB_Withdrawals!$G:$G),0)),"")</f>
        <v/>
      </c>
      <c r="N317" s="39" t="str">
        <f>IFERROR(IF(A317="","",MAX(0,M317-System_Config!$B$9)),"")</f>
        <v/>
      </c>
    </row>
    <row r="318" spans="1:14" ht="19.5" customHeight="1" x14ac:dyDescent="0.25">
      <c r="A318" s="37" t="str">
        <f>'NEW ACCOUNT'!A319</f>
        <v/>
      </c>
      <c r="B318" s="38" t="str">
        <f>IF('NEW ACCOUNT'!A319="","",'NEW ACCOUNT'!B319)</f>
        <v/>
      </c>
      <c r="C318" s="38" t="str">
        <f>IF('NEW ACCOUNT'!A319="","",'NEW ACCOUNT'!C319)</f>
        <v/>
      </c>
      <c r="D318" s="38" t="str">
        <f>IF('NEW ACCOUNT'!A319="","",'NEW ACCOUNT'!D319)</f>
        <v/>
      </c>
      <c r="E318" s="38" t="str">
        <f>IF('NEW ACCOUNT'!A319="","",'NEW ACCOUNT'!E319)</f>
        <v/>
      </c>
      <c r="F318" s="38" t="str">
        <f>IF('NEW ACCOUNT'!A319="","",'NEW ACCOUNT'!F319)</f>
        <v/>
      </c>
      <c r="G318" s="38" t="str">
        <f>IF('NEW ACCOUNT'!A319="","",'NEW ACCOUNT'!G319)</f>
        <v/>
      </c>
      <c r="H318" s="38" t="str">
        <f>IF('NEW ACCOUNT'!A319="","",'NEW ACCOUNT'!H319)</f>
        <v/>
      </c>
      <c r="I318" s="38" t="str">
        <f>IF('NEW ACCOUNT'!A319="","",'NEW ACCOUNT'!I319)</f>
        <v/>
      </c>
      <c r="J318" s="38" t="str">
        <f>IF('NEW ACCOUNT'!A319="","",'NEW ACCOUNT'!J319)</f>
        <v/>
      </c>
      <c r="K318" s="39" t="str">
        <f>IFERROR(IF(A318="","",SUMIF(DB_Savings!$A:$A,A318,DB_Savings!$F:$F)),"")</f>
        <v/>
      </c>
      <c r="L318" s="39" t="str">
        <f>IFERROR(IF(A318="","",SUMIF(DB_Withdrawals!$A:$A,A318,DB_Withdrawals!$G:$G)),"")</f>
        <v/>
      </c>
      <c r="M318" s="39" t="str">
        <f>IFERROR(IF(A318="","",IFERROR(VALUE(H318),0)+IFERROR(SUMIF(DB_Savings!$A:$A,A318,DB_Savings!$F:$F),0)-IFERROR(SUMIF(DB_Withdrawals!$A:$A,A318,DB_Withdrawals!$G:$G),0)),"")</f>
        <v/>
      </c>
      <c r="N318" s="39" t="str">
        <f>IFERROR(IF(A318="","",MAX(0,M318-System_Config!$B$9)),"")</f>
        <v/>
      </c>
    </row>
    <row r="319" spans="1:14" ht="19.5" customHeight="1" x14ac:dyDescent="0.25">
      <c r="A319" s="37" t="str">
        <f>'NEW ACCOUNT'!A320</f>
        <v/>
      </c>
      <c r="B319" s="38" t="str">
        <f>IF('NEW ACCOUNT'!A320="","",'NEW ACCOUNT'!B320)</f>
        <v/>
      </c>
      <c r="C319" s="38" t="str">
        <f>IF('NEW ACCOUNT'!A320="","",'NEW ACCOUNT'!C320)</f>
        <v/>
      </c>
      <c r="D319" s="38" t="str">
        <f>IF('NEW ACCOUNT'!A320="","",'NEW ACCOUNT'!D320)</f>
        <v/>
      </c>
      <c r="E319" s="38" t="str">
        <f>IF('NEW ACCOUNT'!A320="","",'NEW ACCOUNT'!E320)</f>
        <v/>
      </c>
      <c r="F319" s="38" t="str">
        <f>IF('NEW ACCOUNT'!A320="","",'NEW ACCOUNT'!F320)</f>
        <v/>
      </c>
      <c r="G319" s="38" t="str">
        <f>IF('NEW ACCOUNT'!A320="","",'NEW ACCOUNT'!G320)</f>
        <v/>
      </c>
      <c r="H319" s="38" t="str">
        <f>IF('NEW ACCOUNT'!A320="","",'NEW ACCOUNT'!H320)</f>
        <v/>
      </c>
      <c r="I319" s="38" t="str">
        <f>IF('NEW ACCOUNT'!A320="","",'NEW ACCOUNT'!I320)</f>
        <v/>
      </c>
      <c r="J319" s="38" t="str">
        <f>IF('NEW ACCOUNT'!A320="","",'NEW ACCOUNT'!J320)</f>
        <v/>
      </c>
      <c r="K319" s="39" t="str">
        <f>IFERROR(IF(A319="","",SUMIF(DB_Savings!$A:$A,A319,DB_Savings!$F:$F)),"")</f>
        <v/>
      </c>
      <c r="L319" s="39" t="str">
        <f>IFERROR(IF(A319="","",SUMIF(DB_Withdrawals!$A:$A,A319,DB_Withdrawals!$G:$G)),"")</f>
        <v/>
      </c>
      <c r="M319" s="39" t="str">
        <f>IFERROR(IF(A319="","",IFERROR(VALUE(H319),0)+IFERROR(SUMIF(DB_Savings!$A:$A,A319,DB_Savings!$F:$F),0)-IFERROR(SUMIF(DB_Withdrawals!$A:$A,A319,DB_Withdrawals!$G:$G),0)),"")</f>
        <v/>
      </c>
      <c r="N319" s="39" t="str">
        <f>IFERROR(IF(A319="","",MAX(0,M319-System_Config!$B$9)),"")</f>
        <v/>
      </c>
    </row>
    <row r="320" spans="1:14" ht="19.5" customHeight="1" x14ac:dyDescent="0.25">
      <c r="A320" s="37" t="str">
        <f>'NEW ACCOUNT'!A321</f>
        <v/>
      </c>
      <c r="B320" s="38" t="str">
        <f>IF('NEW ACCOUNT'!A321="","",'NEW ACCOUNT'!B321)</f>
        <v/>
      </c>
      <c r="C320" s="38" t="str">
        <f>IF('NEW ACCOUNT'!A321="","",'NEW ACCOUNT'!C321)</f>
        <v/>
      </c>
      <c r="D320" s="38" t="str">
        <f>IF('NEW ACCOUNT'!A321="","",'NEW ACCOUNT'!D321)</f>
        <v/>
      </c>
      <c r="E320" s="38" t="str">
        <f>IF('NEW ACCOUNT'!A321="","",'NEW ACCOUNT'!E321)</f>
        <v/>
      </c>
      <c r="F320" s="38" t="str">
        <f>IF('NEW ACCOUNT'!A321="","",'NEW ACCOUNT'!F321)</f>
        <v/>
      </c>
      <c r="G320" s="38" t="str">
        <f>IF('NEW ACCOUNT'!A321="","",'NEW ACCOUNT'!G321)</f>
        <v/>
      </c>
      <c r="H320" s="38" t="str">
        <f>IF('NEW ACCOUNT'!A321="","",'NEW ACCOUNT'!H321)</f>
        <v/>
      </c>
      <c r="I320" s="38" t="str">
        <f>IF('NEW ACCOUNT'!A321="","",'NEW ACCOUNT'!I321)</f>
        <v/>
      </c>
      <c r="J320" s="38" t="str">
        <f>IF('NEW ACCOUNT'!A321="","",'NEW ACCOUNT'!J321)</f>
        <v/>
      </c>
      <c r="K320" s="39" t="str">
        <f>IFERROR(IF(A320="","",SUMIF(DB_Savings!$A:$A,A320,DB_Savings!$F:$F)),"")</f>
        <v/>
      </c>
      <c r="L320" s="39" t="str">
        <f>IFERROR(IF(A320="","",SUMIF(DB_Withdrawals!$A:$A,A320,DB_Withdrawals!$G:$G)),"")</f>
        <v/>
      </c>
      <c r="M320" s="39" t="str">
        <f>IFERROR(IF(A320="","",IFERROR(VALUE(H320),0)+IFERROR(SUMIF(DB_Savings!$A:$A,A320,DB_Savings!$F:$F),0)-IFERROR(SUMIF(DB_Withdrawals!$A:$A,A320,DB_Withdrawals!$G:$G),0)),"")</f>
        <v/>
      </c>
      <c r="N320" s="39" t="str">
        <f>IFERROR(IF(A320="","",MAX(0,M320-System_Config!$B$9)),"")</f>
        <v/>
      </c>
    </row>
    <row r="321" spans="1:14" ht="19.5" customHeight="1" x14ac:dyDescent="0.25">
      <c r="A321" s="37" t="str">
        <f>'NEW ACCOUNT'!A322</f>
        <v/>
      </c>
      <c r="B321" s="38" t="str">
        <f>IF('NEW ACCOUNT'!A322="","",'NEW ACCOUNT'!B322)</f>
        <v/>
      </c>
      <c r="C321" s="38" t="str">
        <f>IF('NEW ACCOUNT'!A322="","",'NEW ACCOUNT'!C322)</f>
        <v/>
      </c>
      <c r="D321" s="38" t="str">
        <f>IF('NEW ACCOUNT'!A322="","",'NEW ACCOUNT'!D322)</f>
        <v/>
      </c>
      <c r="E321" s="38" t="str">
        <f>IF('NEW ACCOUNT'!A322="","",'NEW ACCOUNT'!E322)</f>
        <v/>
      </c>
      <c r="F321" s="38" t="str">
        <f>IF('NEW ACCOUNT'!A322="","",'NEW ACCOUNT'!F322)</f>
        <v/>
      </c>
      <c r="G321" s="38" t="str">
        <f>IF('NEW ACCOUNT'!A322="","",'NEW ACCOUNT'!G322)</f>
        <v/>
      </c>
      <c r="H321" s="38" t="str">
        <f>IF('NEW ACCOUNT'!A322="","",'NEW ACCOUNT'!H322)</f>
        <v/>
      </c>
      <c r="I321" s="38" t="str">
        <f>IF('NEW ACCOUNT'!A322="","",'NEW ACCOUNT'!I322)</f>
        <v/>
      </c>
      <c r="J321" s="38" t="str">
        <f>IF('NEW ACCOUNT'!A322="","",'NEW ACCOUNT'!J322)</f>
        <v/>
      </c>
      <c r="K321" s="39" t="str">
        <f>IFERROR(IF(A321="","",SUMIF(DB_Savings!$A:$A,A321,DB_Savings!$F:$F)),"")</f>
        <v/>
      </c>
      <c r="L321" s="39" t="str">
        <f>IFERROR(IF(A321="","",SUMIF(DB_Withdrawals!$A:$A,A321,DB_Withdrawals!$G:$G)),"")</f>
        <v/>
      </c>
      <c r="M321" s="39" t="str">
        <f>IFERROR(IF(A321="","",IFERROR(VALUE(H321),0)+IFERROR(SUMIF(DB_Savings!$A:$A,A321,DB_Savings!$F:$F),0)-IFERROR(SUMIF(DB_Withdrawals!$A:$A,A321,DB_Withdrawals!$G:$G),0)),"")</f>
        <v/>
      </c>
      <c r="N321" s="39" t="str">
        <f>IFERROR(IF(A321="","",MAX(0,M321-System_Config!$B$9)),"")</f>
        <v/>
      </c>
    </row>
    <row r="322" spans="1:14" ht="19.5" customHeight="1" x14ac:dyDescent="0.25">
      <c r="A322" s="37" t="str">
        <f>'NEW ACCOUNT'!A323</f>
        <v/>
      </c>
      <c r="B322" s="38" t="str">
        <f>IF('NEW ACCOUNT'!A323="","",'NEW ACCOUNT'!B323)</f>
        <v/>
      </c>
      <c r="C322" s="38" t="str">
        <f>IF('NEW ACCOUNT'!A323="","",'NEW ACCOUNT'!C323)</f>
        <v/>
      </c>
      <c r="D322" s="38" t="str">
        <f>IF('NEW ACCOUNT'!A323="","",'NEW ACCOUNT'!D323)</f>
        <v/>
      </c>
      <c r="E322" s="38" t="str">
        <f>IF('NEW ACCOUNT'!A323="","",'NEW ACCOUNT'!E323)</f>
        <v/>
      </c>
      <c r="F322" s="38" t="str">
        <f>IF('NEW ACCOUNT'!A323="","",'NEW ACCOUNT'!F323)</f>
        <v/>
      </c>
      <c r="G322" s="38" t="str">
        <f>IF('NEW ACCOUNT'!A323="","",'NEW ACCOUNT'!G323)</f>
        <v/>
      </c>
      <c r="H322" s="38" t="str">
        <f>IF('NEW ACCOUNT'!A323="","",'NEW ACCOUNT'!H323)</f>
        <v/>
      </c>
      <c r="I322" s="38" t="str">
        <f>IF('NEW ACCOUNT'!A323="","",'NEW ACCOUNT'!I323)</f>
        <v/>
      </c>
      <c r="J322" s="38" t="str">
        <f>IF('NEW ACCOUNT'!A323="","",'NEW ACCOUNT'!J323)</f>
        <v/>
      </c>
      <c r="K322" s="39" t="str">
        <f>IFERROR(IF(A322="","",SUMIF(DB_Savings!$A:$A,A322,DB_Savings!$F:$F)),"")</f>
        <v/>
      </c>
      <c r="L322" s="39" t="str">
        <f>IFERROR(IF(A322="","",SUMIF(DB_Withdrawals!$A:$A,A322,DB_Withdrawals!$G:$G)),"")</f>
        <v/>
      </c>
      <c r="M322" s="39" t="str">
        <f>IFERROR(IF(A322="","",IFERROR(VALUE(H322),0)+IFERROR(SUMIF(DB_Savings!$A:$A,A322,DB_Savings!$F:$F),0)-IFERROR(SUMIF(DB_Withdrawals!$A:$A,A322,DB_Withdrawals!$G:$G),0)),"")</f>
        <v/>
      </c>
      <c r="N322" s="39" t="str">
        <f>IFERROR(IF(A322="","",MAX(0,M322-System_Config!$B$9)),"")</f>
        <v/>
      </c>
    </row>
    <row r="323" spans="1:14" ht="19.5" customHeight="1" x14ac:dyDescent="0.25">
      <c r="A323" s="37" t="str">
        <f>'NEW ACCOUNT'!A324</f>
        <v/>
      </c>
      <c r="B323" s="38" t="str">
        <f>IF('NEW ACCOUNT'!A324="","",'NEW ACCOUNT'!B324)</f>
        <v/>
      </c>
      <c r="C323" s="38" t="str">
        <f>IF('NEW ACCOUNT'!A324="","",'NEW ACCOUNT'!C324)</f>
        <v/>
      </c>
      <c r="D323" s="38" t="str">
        <f>IF('NEW ACCOUNT'!A324="","",'NEW ACCOUNT'!D324)</f>
        <v/>
      </c>
      <c r="E323" s="38" t="str">
        <f>IF('NEW ACCOUNT'!A324="","",'NEW ACCOUNT'!E324)</f>
        <v/>
      </c>
      <c r="F323" s="38" t="str">
        <f>IF('NEW ACCOUNT'!A324="","",'NEW ACCOUNT'!F324)</f>
        <v/>
      </c>
      <c r="G323" s="38" t="str">
        <f>IF('NEW ACCOUNT'!A324="","",'NEW ACCOUNT'!G324)</f>
        <v/>
      </c>
      <c r="H323" s="38" t="str">
        <f>IF('NEW ACCOUNT'!A324="","",'NEW ACCOUNT'!H324)</f>
        <v/>
      </c>
      <c r="I323" s="38" t="str">
        <f>IF('NEW ACCOUNT'!A324="","",'NEW ACCOUNT'!I324)</f>
        <v/>
      </c>
      <c r="J323" s="38" t="str">
        <f>IF('NEW ACCOUNT'!A324="","",'NEW ACCOUNT'!J324)</f>
        <v/>
      </c>
      <c r="K323" s="39" t="str">
        <f>IFERROR(IF(A323="","",SUMIF(DB_Savings!$A:$A,A323,DB_Savings!$F:$F)),"")</f>
        <v/>
      </c>
      <c r="L323" s="39" t="str">
        <f>IFERROR(IF(A323="","",SUMIF(DB_Withdrawals!$A:$A,A323,DB_Withdrawals!$G:$G)),"")</f>
        <v/>
      </c>
      <c r="M323" s="39" t="str">
        <f>IFERROR(IF(A323="","",IFERROR(VALUE(H323),0)+IFERROR(SUMIF(DB_Savings!$A:$A,A323,DB_Savings!$F:$F),0)-IFERROR(SUMIF(DB_Withdrawals!$A:$A,A323,DB_Withdrawals!$G:$G),0)),"")</f>
        <v/>
      </c>
      <c r="N323" s="39" t="str">
        <f>IFERROR(IF(A323="","",MAX(0,M323-System_Config!$B$9)),"")</f>
        <v/>
      </c>
    </row>
    <row r="324" spans="1:14" ht="19.5" customHeight="1" x14ac:dyDescent="0.25">
      <c r="A324" s="37" t="str">
        <f>'NEW ACCOUNT'!A325</f>
        <v/>
      </c>
      <c r="B324" s="38" t="str">
        <f>IF('NEW ACCOUNT'!A325="","",'NEW ACCOUNT'!B325)</f>
        <v/>
      </c>
      <c r="C324" s="38" t="str">
        <f>IF('NEW ACCOUNT'!A325="","",'NEW ACCOUNT'!C325)</f>
        <v/>
      </c>
      <c r="D324" s="38" t="str">
        <f>IF('NEW ACCOUNT'!A325="","",'NEW ACCOUNT'!D325)</f>
        <v/>
      </c>
      <c r="E324" s="38" t="str">
        <f>IF('NEW ACCOUNT'!A325="","",'NEW ACCOUNT'!E325)</f>
        <v/>
      </c>
      <c r="F324" s="38" t="str">
        <f>IF('NEW ACCOUNT'!A325="","",'NEW ACCOUNT'!F325)</f>
        <v/>
      </c>
      <c r="G324" s="38" t="str">
        <f>IF('NEW ACCOUNT'!A325="","",'NEW ACCOUNT'!G325)</f>
        <v/>
      </c>
      <c r="H324" s="38" t="str">
        <f>IF('NEW ACCOUNT'!A325="","",'NEW ACCOUNT'!H325)</f>
        <v/>
      </c>
      <c r="I324" s="38" t="str">
        <f>IF('NEW ACCOUNT'!A325="","",'NEW ACCOUNT'!I325)</f>
        <v/>
      </c>
      <c r="J324" s="38" t="str">
        <f>IF('NEW ACCOUNT'!A325="","",'NEW ACCOUNT'!J325)</f>
        <v/>
      </c>
      <c r="K324" s="39" t="str">
        <f>IFERROR(IF(A324="","",SUMIF(DB_Savings!$A:$A,A324,DB_Savings!$F:$F)),"")</f>
        <v/>
      </c>
      <c r="L324" s="39" t="str">
        <f>IFERROR(IF(A324="","",SUMIF(DB_Withdrawals!$A:$A,A324,DB_Withdrawals!$G:$G)),"")</f>
        <v/>
      </c>
      <c r="M324" s="39" t="str">
        <f>IFERROR(IF(A324="","",IFERROR(VALUE(H324),0)+IFERROR(SUMIF(DB_Savings!$A:$A,A324,DB_Savings!$F:$F),0)-IFERROR(SUMIF(DB_Withdrawals!$A:$A,A324,DB_Withdrawals!$G:$G),0)),"")</f>
        <v/>
      </c>
      <c r="N324" s="39" t="str">
        <f>IFERROR(IF(A324="","",MAX(0,M324-System_Config!$B$9)),"")</f>
        <v/>
      </c>
    </row>
    <row r="325" spans="1:14" ht="19.5" customHeight="1" x14ac:dyDescent="0.25">
      <c r="A325" s="37" t="str">
        <f>'NEW ACCOUNT'!A326</f>
        <v/>
      </c>
      <c r="B325" s="38" t="str">
        <f>IF('NEW ACCOUNT'!A326="","",'NEW ACCOUNT'!B326)</f>
        <v/>
      </c>
      <c r="C325" s="38" t="str">
        <f>IF('NEW ACCOUNT'!A326="","",'NEW ACCOUNT'!C326)</f>
        <v/>
      </c>
      <c r="D325" s="38" t="str">
        <f>IF('NEW ACCOUNT'!A326="","",'NEW ACCOUNT'!D326)</f>
        <v/>
      </c>
      <c r="E325" s="38" t="str">
        <f>IF('NEW ACCOUNT'!A326="","",'NEW ACCOUNT'!E326)</f>
        <v/>
      </c>
      <c r="F325" s="38" t="str">
        <f>IF('NEW ACCOUNT'!A326="","",'NEW ACCOUNT'!F326)</f>
        <v/>
      </c>
      <c r="G325" s="38" t="str">
        <f>IF('NEW ACCOUNT'!A326="","",'NEW ACCOUNT'!G326)</f>
        <v/>
      </c>
      <c r="H325" s="38" t="str">
        <f>IF('NEW ACCOUNT'!A326="","",'NEW ACCOUNT'!H326)</f>
        <v/>
      </c>
      <c r="I325" s="38" t="str">
        <f>IF('NEW ACCOUNT'!A326="","",'NEW ACCOUNT'!I326)</f>
        <v/>
      </c>
      <c r="J325" s="38" t="str">
        <f>IF('NEW ACCOUNT'!A326="","",'NEW ACCOUNT'!J326)</f>
        <v/>
      </c>
      <c r="K325" s="39" t="str">
        <f>IFERROR(IF(A325="","",SUMIF(DB_Savings!$A:$A,A325,DB_Savings!$F:$F)),"")</f>
        <v/>
      </c>
      <c r="L325" s="39" t="str">
        <f>IFERROR(IF(A325="","",SUMIF(DB_Withdrawals!$A:$A,A325,DB_Withdrawals!$G:$G)),"")</f>
        <v/>
      </c>
      <c r="M325" s="39" t="str">
        <f>IFERROR(IF(A325="","",IFERROR(VALUE(H325),0)+IFERROR(SUMIF(DB_Savings!$A:$A,A325,DB_Savings!$F:$F),0)-IFERROR(SUMIF(DB_Withdrawals!$A:$A,A325,DB_Withdrawals!$G:$G),0)),"")</f>
        <v/>
      </c>
      <c r="N325" s="39" t="str">
        <f>IFERROR(IF(A325="","",MAX(0,M325-System_Config!$B$9)),"")</f>
        <v/>
      </c>
    </row>
    <row r="326" spans="1:14" ht="19.5" customHeight="1" x14ac:dyDescent="0.25">
      <c r="A326" s="37" t="str">
        <f>'NEW ACCOUNT'!A327</f>
        <v/>
      </c>
      <c r="B326" s="38" t="str">
        <f>IF('NEW ACCOUNT'!A327="","",'NEW ACCOUNT'!B327)</f>
        <v/>
      </c>
      <c r="C326" s="38" t="str">
        <f>IF('NEW ACCOUNT'!A327="","",'NEW ACCOUNT'!C327)</f>
        <v/>
      </c>
      <c r="D326" s="38" t="str">
        <f>IF('NEW ACCOUNT'!A327="","",'NEW ACCOUNT'!D327)</f>
        <v/>
      </c>
      <c r="E326" s="38" t="str">
        <f>IF('NEW ACCOUNT'!A327="","",'NEW ACCOUNT'!E327)</f>
        <v/>
      </c>
      <c r="F326" s="38" t="str">
        <f>IF('NEW ACCOUNT'!A327="","",'NEW ACCOUNT'!F327)</f>
        <v/>
      </c>
      <c r="G326" s="38" t="str">
        <f>IF('NEW ACCOUNT'!A327="","",'NEW ACCOUNT'!G327)</f>
        <v/>
      </c>
      <c r="H326" s="38" t="str">
        <f>IF('NEW ACCOUNT'!A327="","",'NEW ACCOUNT'!H327)</f>
        <v/>
      </c>
      <c r="I326" s="38" t="str">
        <f>IF('NEW ACCOUNT'!A327="","",'NEW ACCOUNT'!I327)</f>
        <v/>
      </c>
      <c r="J326" s="38" t="str">
        <f>IF('NEW ACCOUNT'!A327="","",'NEW ACCOUNT'!J327)</f>
        <v/>
      </c>
      <c r="K326" s="39" t="str">
        <f>IFERROR(IF(A326="","",SUMIF(DB_Savings!$A:$A,A326,DB_Savings!$F:$F)),"")</f>
        <v/>
      </c>
      <c r="L326" s="39" t="str">
        <f>IFERROR(IF(A326="","",SUMIF(DB_Withdrawals!$A:$A,A326,DB_Withdrawals!$G:$G)),"")</f>
        <v/>
      </c>
      <c r="M326" s="39" t="str">
        <f>IFERROR(IF(A326="","",IFERROR(VALUE(H326),0)+IFERROR(SUMIF(DB_Savings!$A:$A,A326,DB_Savings!$F:$F),0)-IFERROR(SUMIF(DB_Withdrawals!$A:$A,A326,DB_Withdrawals!$G:$G),0)),"")</f>
        <v/>
      </c>
      <c r="N326" s="39" t="str">
        <f>IFERROR(IF(A326="","",MAX(0,M326-System_Config!$B$9)),"")</f>
        <v/>
      </c>
    </row>
    <row r="327" spans="1:14" ht="19.5" customHeight="1" x14ac:dyDescent="0.25">
      <c r="A327" s="37" t="str">
        <f>'NEW ACCOUNT'!A328</f>
        <v/>
      </c>
      <c r="B327" s="38" t="str">
        <f>IF('NEW ACCOUNT'!A328="","",'NEW ACCOUNT'!B328)</f>
        <v/>
      </c>
      <c r="C327" s="38" t="str">
        <f>IF('NEW ACCOUNT'!A328="","",'NEW ACCOUNT'!C328)</f>
        <v/>
      </c>
      <c r="D327" s="38" t="str">
        <f>IF('NEW ACCOUNT'!A328="","",'NEW ACCOUNT'!D328)</f>
        <v/>
      </c>
      <c r="E327" s="38" t="str">
        <f>IF('NEW ACCOUNT'!A328="","",'NEW ACCOUNT'!E328)</f>
        <v/>
      </c>
      <c r="F327" s="38" t="str">
        <f>IF('NEW ACCOUNT'!A328="","",'NEW ACCOUNT'!F328)</f>
        <v/>
      </c>
      <c r="G327" s="38" t="str">
        <f>IF('NEW ACCOUNT'!A328="","",'NEW ACCOUNT'!G328)</f>
        <v/>
      </c>
      <c r="H327" s="38" t="str">
        <f>IF('NEW ACCOUNT'!A328="","",'NEW ACCOUNT'!H328)</f>
        <v/>
      </c>
      <c r="I327" s="38" t="str">
        <f>IF('NEW ACCOUNT'!A328="","",'NEW ACCOUNT'!I328)</f>
        <v/>
      </c>
      <c r="J327" s="38" t="str">
        <f>IF('NEW ACCOUNT'!A328="","",'NEW ACCOUNT'!J328)</f>
        <v/>
      </c>
      <c r="K327" s="39" t="str">
        <f>IFERROR(IF(A327="","",SUMIF(DB_Savings!$A:$A,A327,DB_Savings!$F:$F)),"")</f>
        <v/>
      </c>
      <c r="L327" s="39" t="str">
        <f>IFERROR(IF(A327="","",SUMIF(DB_Withdrawals!$A:$A,A327,DB_Withdrawals!$G:$G)),"")</f>
        <v/>
      </c>
      <c r="M327" s="39" t="str">
        <f>IFERROR(IF(A327="","",IFERROR(VALUE(H327),0)+IFERROR(SUMIF(DB_Savings!$A:$A,A327,DB_Savings!$F:$F),0)-IFERROR(SUMIF(DB_Withdrawals!$A:$A,A327,DB_Withdrawals!$G:$G),0)),"")</f>
        <v/>
      </c>
      <c r="N327" s="39" t="str">
        <f>IFERROR(IF(A327="","",MAX(0,M327-System_Config!$B$9)),"")</f>
        <v/>
      </c>
    </row>
    <row r="328" spans="1:14" ht="19.5" customHeight="1" x14ac:dyDescent="0.25">
      <c r="A328" s="37" t="str">
        <f>'NEW ACCOUNT'!A329</f>
        <v/>
      </c>
      <c r="B328" s="38" t="str">
        <f>IF('NEW ACCOUNT'!A329="","",'NEW ACCOUNT'!B329)</f>
        <v/>
      </c>
      <c r="C328" s="38" t="str">
        <f>IF('NEW ACCOUNT'!A329="","",'NEW ACCOUNT'!C329)</f>
        <v/>
      </c>
      <c r="D328" s="38" t="str">
        <f>IF('NEW ACCOUNT'!A329="","",'NEW ACCOUNT'!D329)</f>
        <v/>
      </c>
      <c r="E328" s="38" t="str">
        <f>IF('NEW ACCOUNT'!A329="","",'NEW ACCOUNT'!E329)</f>
        <v/>
      </c>
      <c r="F328" s="38" t="str">
        <f>IF('NEW ACCOUNT'!A329="","",'NEW ACCOUNT'!F329)</f>
        <v/>
      </c>
      <c r="G328" s="38" t="str">
        <f>IF('NEW ACCOUNT'!A329="","",'NEW ACCOUNT'!G329)</f>
        <v/>
      </c>
      <c r="H328" s="38" t="str">
        <f>IF('NEW ACCOUNT'!A329="","",'NEW ACCOUNT'!H329)</f>
        <v/>
      </c>
      <c r="I328" s="38" t="str">
        <f>IF('NEW ACCOUNT'!A329="","",'NEW ACCOUNT'!I329)</f>
        <v/>
      </c>
      <c r="J328" s="38" t="str">
        <f>IF('NEW ACCOUNT'!A329="","",'NEW ACCOUNT'!J329)</f>
        <v/>
      </c>
      <c r="K328" s="39" t="str">
        <f>IFERROR(IF(A328="","",SUMIF(DB_Savings!$A:$A,A328,DB_Savings!$F:$F)),"")</f>
        <v/>
      </c>
      <c r="L328" s="39" t="str">
        <f>IFERROR(IF(A328="","",SUMIF(DB_Withdrawals!$A:$A,A328,DB_Withdrawals!$G:$G)),"")</f>
        <v/>
      </c>
      <c r="M328" s="39" t="str">
        <f>IFERROR(IF(A328="","",IFERROR(VALUE(H328),0)+IFERROR(SUMIF(DB_Savings!$A:$A,A328,DB_Savings!$F:$F),0)-IFERROR(SUMIF(DB_Withdrawals!$A:$A,A328,DB_Withdrawals!$G:$G),0)),"")</f>
        <v/>
      </c>
      <c r="N328" s="39" t="str">
        <f>IFERROR(IF(A328="","",MAX(0,M328-System_Config!$B$9)),"")</f>
        <v/>
      </c>
    </row>
    <row r="329" spans="1:14" ht="19.5" customHeight="1" x14ac:dyDescent="0.25">
      <c r="A329" s="37" t="str">
        <f>'NEW ACCOUNT'!A330</f>
        <v/>
      </c>
      <c r="B329" s="38" t="str">
        <f>IF('NEW ACCOUNT'!A330="","",'NEW ACCOUNT'!B330)</f>
        <v/>
      </c>
      <c r="C329" s="38" t="str">
        <f>IF('NEW ACCOUNT'!A330="","",'NEW ACCOUNT'!C330)</f>
        <v/>
      </c>
      <c r="D329" s="38" t="str">
        <f>IF('NEW ACCOUNT'!A330="","",'NEW ACCOUNT'!D330)</f>
        <v/>
      </c>
      <c r="E329" s="38" t="str">
        <f>IF('NEW ACCOUNT'!A330="","",'NEW ACCOUNT'!E330)</f>
        <v/>
      </c>
      <c r="F329" s="38" t="str">
        <f>IF('NEW ACCOUNT'!A330="","",'NEW ACCOUNT'!F330)</f>
        <v/>
      </c>
      <c r="G329" s="38" t="str">
        <f>IF('NEW ACCOUNT'!A330="","",'NEW ACCOUNT'!G330)</f>
        <v/>
      </c>
      <c r="H329" s="38" t="str">
        <f>IF('NEW ACCOUNT'!A330="","",'NEW ACCOUNT'!H330)</f>
        <v/>
      </c>
      <c r="I329" s="38" t="str">
        <f>IF('NEW ACCOUNT'!A330="","",'NEW ACCOUNT'!I330)</f>
        <v/>
      </c>
      <c r="J329" s="38" t="str">
        <f>IF('NEW ACCOUNT'!A330="","",'NEW ACCOUNT'!J330)</f>
        <v/>
      </c>
      <c r="K329" s="39" t="str">
        <f>IFERROR(IF(A329="","",SUMIF(DB_Savings!$A:$A,A329,DB_Savings!$F:$F)),"")</f>
        <v/>
      </c>
      <c r="L329" s="39" t="str">
        <f>IFERROR(IF(A329="","",SUMIF(DB_Withdrawals!$A:$A,A329,DB_Withdrawals!$G:$G)),"")</f>
        <v/>
      </c>
      <c r="M329" s="39" t="str">
        <f>IFERROR(IF(A329="","",IFERROR(VALUE(H329),0)+IFERROR(SUMIF(DB_Savings!$A:$A,A329,DB_Savings!$F:$F),0)-IFERROR(SUMIF(DB_Withdrawals!$A:$A,A329,DB_Withdrawals!$G:$G),0)),"")</f>
        <v/>
      </c>
      <c r="N329" s="39" t="str">
        <f>IFERROR(IF(A329="","",MAX(0,M329-System_Config!$B$9)),"")</f>
        <v/>
      </c>
    </row>
    <row r="330" spans="1:14" ht="19.5" customHeight="1" x14ac:dyDescent="0.25">
      <c r="A330" s="37" t="str">
        <f>'NEW ACCOUNT'!A331</f>
        <v/>
      </c>
      <c r="B330" s="38" t="str">
        <f>IF('NEW ACCOUNT'!A331="","",'NEW ACCOUNT'!B331)</f>
        <v/>
      </c>
      <c r="C330" s="38" t="str">
        <f>IF('NEW ACCOUNT'!A331="","",'NEW ACCOUNT'!C331)</f>
        <v/>
      </c>
      <c r="D330" s="38" t="str">
        <f>IF('NEW ACCOUNT'!A331="","",'NEW ACCOUNT'!D331)</f>
        <v/>
      </c>
      <c r="E330" s="38" t="str">
        <f>IF('NEW ACCOUNT'!A331="","",'NEW ACCOUNT'!E331)</f>
        <v/>
      </c>
      <c r="F330" s="38" t="str">
        <f>IF('NEW ACCOUNT'!A331="","",'NEW ACCOUNT'!F331)</f>
        <v/>
      </c>
      <c r="G330" s="38" t="str">
        <f>IF('NEW ACCOUNT'!A331="","",'NEW ACCOUNT'!G331)</f>
        <v/>
      </c>
      <c r="H330" s="38" t="str">
        <f>IF('NEW ACCOUNT'!A331="","",'NEW ACCOUNT'!H331)</f>
        <v/>
      </c>
      <c r="I330" s="38" t="str">
        <f>IF('NEW ACCOUNT'!A331="","",'NEW ACCOUNT'!I331)</f>
        <v/>
      </c>
      <c r="J330" s="38" t="str">
        <f>IF('NEW ACCOUNT'!A331="","",'NEW ACCOUNT'!J331)</f>
        <v/>
      </c>
      <c r="K330" s="39" t="str">
        <f>IFERROR(IF(A330="","",SUMIF(DB_Savings!$A:$A,A330,DB_Savings!$F:$F)),"")</f>
        <v/>
      </c>
      <c r="L330" s="39" t="str">
        <f>IFERROR(IF(A330="","",SUMIF(DB_Withdrawals!$A:$A,A330,DB_Withdrawals!$G:$G)),"")</f>
        <v/>
      </c>
      <c r="M330" s="39" t="str">
        <f>IFERROR(IF(A330="","",IFERROR(VALUE(H330),0)+IFERROR(SUMIF(DB_Savings!$A:$A,A330,DB_Savings!$F:$F),0)-IFERROR(SUMIF(DB_Withdrawals!$A:$A,A330,DB_Withdrawals!$G:$G),0)),"")</f>
        <v/>
      </c>
      <c r="N330" s="39" t="str">
        <f>IFERROR(IF(A330="","",MAX(0,M330-System_Config!$B$9)),"")</f>
        <v/>
      </c>
    </row>
    <row r="331" spans="1:14" ht="19.5" customHeight="1" x14ac:dyDescent="0.25">
      <c r="A331" s="37" t="str">
        <f>'NEW ACCOUNT'!A332</f>
        <v/>
      </c>
      <c r="B331" s="38" t="str">
        <f>IF('NEW ACCOUNT'!A332="","",'NEW ACCOUNT'!B332)</f>
        <v/>
      </c>
      <c r="C331" s="38" t="str">
        <f>IF('NEW ACCOUNT'!A332="","",'NEW ACCOUNT'!C332)</f>
        <v/>
      </c>
      <c r="D331" s="38" t="str">
        <f>IF('NEW ACCOUNT'!A332="","",'NEW ACCOUNT'!D332)</f>
        <v/>
      </c>
      <c r="E331" s="38" t="str">
        <f>IF('NEW ACCOUNT'!A332="","",'NEW ACCOUNT'!E332)</f>
        <v/>
      </c>
      <c r="F331" s="38" t="str">
        <f>IF('NEW ACCOUNT'!A332="","",'NEW ACCOUNT'!F332)</f>
        <v/>
      </c>
      <c r="G331" s="38" t="str">
        <f>IF('NEW ACCOUNT'!A332="","",'NEW ACCOUNT'!G332)</f>
        <v/>
      </c>
      <c r="H331" s="38" t="str">
        <f>IF('NEW ACCOUNT'!A332="","",'NEW ACCOUNT'!H332)</f>
        <v/>
      </c>
      <c r="I331" s="38" t="str">
        <f>IF('NEW ACCOUNT'!A332="","",'NEW ACCOUNT'!I332)</f>
        <v/>
      </c>
      <c r="J331" s="38" t="str">
        <f>IF('NEW ACCOUNT'!A332="","",'NEW ACCOUNT'!J332)</f>
        <v/>
      </c>
      <c r="K331" s="39" t="str">
        <f>IFERROR(IF(A331="","",SUMIF(DB_Savings!$A:$A,A331,DB_Savings!$F:$F)),"")</f>
        <v/>
      </c>
      <c r="L331" s="39" t="str">
        <f>IFERROR(IF(A331="","",SUMIF(DB_Withdrawals!$A:$A,A331,DB_Withdrawals!$G:$G)),"")</f>
        <v/>
      </c>
      <c r="M331" s="39" t="str">
        <f>IFERROR(IF(A331="","",IFERROR(VALUE(H331),0)+IFERROR(SUMIF(DB_Savings!$A:$A,A331,DB_Savings!$F:$F),0)-IFERROR(SUMIF(DB_Withdrawals!$A:$A,A331,DB_Withdrawals!$G:$G),0)),"")</f>
        <v/>
      </c>
      <c r="N331" s="39" t="str">
        <f>IFERROR(IF(A331="","",MAX(0,M331-System_Config!$B$9)),"")</f>
        <v/>
      </c>
    </row>
    <row r="332" spans="1:14" ht="19.5" customHeight="1" x14ac:dyDescent="0.25">
      <c r="A332" s="37" t="str">
        <f>'NEW ACCOUNT'!A333</f>
        <v/>
      </c>
      <c r="B332" s="38" t="str">
        <f>IF('NEW ACCOUNT'!A333="","",'NEW ACCOUNT'!B333)</f>
        <v/>
      </c>
      <c r="C332" s="38" t="str">
        <f>IF('NEW ACCOUNT'!A333="","",'NEW ACCOUNT'!C333)</f>
        <v/>
      </c>
      <c r="D332" s="38" t="str">
        <f>IF('NEW ACCOUNT'!A333="","",'NEW ACCOUNT'!D333)</f>
        <v/>
      </c>
      <c r="E332" s="38" t="str">
        <f>IF('NEW ACCOUNT'!A333="","",'NEW ACCOUNT'!E333)</f>
        <v/>
      </c>
      <c r="F332" s="38" t="str">
        <f>IF('NEW ACCOUNT'!A333="","",'NEW ACCOUNT'!F333)</f>
        <v/>
      </c>
      <c r="G332" s="38" t="str">
        <f>IF('NEW ACCOUNT'!A333="","",'NEW ACCOUNT'!G333)</f>
        <v/>
      </c>
      <c r="H332" s="38" t="str">
        <f>IF('NEW ACCOUNT'!A333="","",'NEW ACCOUNT'!H333)</f>
        <v/>
      </c>
      <c r="I332" s="38" t="str">
        <f>IF('NEW ACCOUNT'!A333="","",'NEW ACCOUNT'!I333)</f>
        <v/>
      </c>
      <c r="J332" s="38" t="str">
        <f>IF('NEW ACCOUNT'!A333="","",'NEW ACCOUNT'!J333)</f>
        <v/>
      </c>
      <c r="K332" s="39" t="str">
        <f>IFERROR(IF(A332="","",SUMIF(DB_Savings!$A:$A,A332,DB_Savings!$F:$F)),"")</f>
        <v/>
      </c>
      <c r="L332" s="39" t="str">
        <f>IFERROR(IF(A332="","",SUMIF(DB_Withdrawals!$A:$A,A332,DB_Withdrawals!$G:$G)),"")</f>
        <v/>
      </c>
      <c r="M332" s="39" t="str">
        <f>IFERROR(IF(A332="","",IFERROR(VALUE(H332),0)+IFERROR(SUMIF(DB_Savings!$A:$A,A332,DB_Savings!$F:$F),0)-IFERROR(SUMIF(DB_Withdrawals!$A:$A,A332,DB_Withdrawals!$G:$G),0)),"")</f>
        <v/>
      </c>
      <c r="N332" s="39" t="str">
        <f>IFERROR(IF(A332="","",MAX(0,M332-System_Config!$B$9)),"")</f>
        <v/>
      </c>
    </row>
    <row r="333" spans="1:14" ht="19.5" customHeight="1" x14ac:dyDescent="0.25">
      <c r="A333" s="37" t="str">
        <f>'NEW ACCOUNT'!A334</f>
        <v/>
      </c>
      <c r="B333" s="38" t="str">
        <f>IF('NEW ACCOUNT'!A334="","",'NEW ACCOUNT'!B334)</f>
        <v/>
      </c>
      <c r="C333" s="38" t="str">
        <f>IF('NEW ACCOUNT'!A334="","",'NEW ACCOUNT'!C334)</f>
        <v/>
      </c>
      <c r="D333" s="38" t="str">
        <f>IF('NEW ACCOUNT'!A334="","",'NEW ACCOUNT'!D334)</f>
        <v/>
      </c>
      <c r="E333" s="38" t="str">
        <f>IF('NEW ACCOUNT'!A334="","",'NEW ACCOUNT'!E334)</f>
        <v/>
      </c>
      <c r="F333" s="38" t="str">
        <f>IF('NEW ACCOUNT'!A334="","",'NEW ACCOUNT'!F334)</f>
        <v/>
      </c>
      <c r="G333" s="38" t="str">
        <f>IF('NEW ACCOUNT'!A334="","",'NEW ACCOUNT'!G334)</f>
        <v/>
      </c>
      <c r="H333" s="38" t="str">
        <f>IF('NEW ACCOUNT'!A334="","",'NEW ACCOUNT'!H334)</f>
        <v/>
      </c>
      <c r="I333" s="38" t="str">
        <f>IF('NEW ACCOUNT'!A334="","",'NEW ACCOUNT'!I334)</f>
        <v/>
      </c>
      <c r="J333" s="38" t="str">
        <f>IF('NEW ACCOUNT'!A334="","",'NEW ACCOUNT'!J334)</f>
        <v/>
      </c>
      <c r="K333" s="39" t="str">
        <f>IFERROR(IF(A333="","",SUMIF(DB_Savings!$A:$A,A333,DB_Savings!$F:$F)),"")</f>
        <v/>
      </c>
      <c r="L333" s="39" t="str">
        <f>IFERROR(IF(A333="","",SUMIF(DB_Withdrawals!$A:$A,A333,DB_Withdrawals!$G:$G)),"")</f>
        <v/>
      </c>
      <c r="M333" s="39" t="str">
        <f>IFERROR(IF(A333="","",IFERROR(VALUE(H333),0)+IFERROR(SUMIF(DB_Savings!$A:$A,A333,DB_Savings!$F:$F),0)-IFERROR(SUMIF(DB_Withdrawals!$A:$A,A333,DB_Withdrawals!$G:$G),0)),"")</f>
        <v/>
      </c>
      <c r="N333" s="39" t="str">
        <f>IFERROR(IF(A333="","",MAX(0,M333-System_Config!$B$9)),"")</f>
        <v/>
      </c>
    </row>
    <row r="334" spans="1:14" ht="19.5" customHeight="1" x14ac:dyDescent="0.25">
      <c r="A334" s="37" t="str">
        <f>'NEW ACCOUNT'!A335</f>
        <v/>
      </c>
      <c r="B334" s="38" t="str">
        <f>IF('NEW ACCOUNT'!A335="","",'NEW ACCOUNT'!B335)</f>
        <v/>
      </c>
      <c r="C334" s="38" t="str">
        <f>IF('NEW ACCOUNT'!A335="","",'NEW ACCOUNT'!C335)</f>
        <v/>
      </c>
      <c r="D334" s="38" t="str">
        <f>IF('NEW ACCOUNT'!A335="","",'NEW ACCOUNT'!D335)</f>
        <v/>
      </c>
      <c r="E334" s="38" t="str">
        <f>IF('NEW ACCOUNT'!A335="","",'NEW ACCOUNT'!E335)</f>
        <v/>
      </c>
      <c r="F334" s="38" t="str">
        <f>IF('NEW ACCOUNT'!A335="","",'NEW ACCOUNT'!F335)</f>
        <v/>
      </c>
      <c r="G334" s="38" t="str">
        <f>IF('NEW ACCOUNT'!A335="","",'NEW ACCOUNT'!G335)</f>
        <v/>
      </c>
      <c r="H334" s="38" t="str">
        <f>IF('NEW ACCOUNT'!A335="","",'NEW ACCOUNT'!H335)</f>
        <v/>
      </c>
      <c r="I334" s="38" t="str">
        <f>IF('NEW ACCOUNT'!A335="","",'NEW ACCOUNT'!I335)</f>
        <v/>
      </c>
      <c r="J334" s="38" t="str">
        <f>IF('NEW ACCOUNT'!A335="","",'NEW ACCOUNT'!J335)</f>
        <v/>
      </c>
      <c r="K334" s="39" t="str">
        <f>IFERROR(IF(A334="","",SUMIF(DB_Savings!$A:$A,A334,DB_Savings!$F:$F)),"")</f>
        <v/>
      </c>
      <c r="L334" s="39" t="str">
        <f>IFERROR(IF(A334="","",SUMIF(DB_Withdrawals!$A:$A,A334,DB_Withdrawals!$G:$G)),"")</f>
        <v/>
      </c>
      <c r="M334" s="39" t="str">
        <f>IFERROR(IF(A334="","",IFERROR(VALUE(H334),0)+IFERROR(SUMIF(DB_Savings!$A:$A,A334,DB_Savings!$F:$F),0)-IFERROR(SUMIF(DB_Withdrawals!$A:$A,A334,DB_Withdrawals!$G:$G),0)),"")</f>
        <v/>
      </c>
      <c r="N334" s="39" t="str">
        <f>IFERROR(IF(A334="","",MAX(0,M334-System_Config!$B$9)),"")</f>
        <v/>
      </c>
    </row>
    <row r="335" spans="1:14" ht="19.5" customHeight="1" x14ac:dyDescent="0.25">
      <c r="A335" s="37" t="str">
        <f>'NEW ACCOUNT'!A336</f>
        <v/>
      </c>
      <c r="B335" s="38" t="str">
        <f>IF('NEW ACCOUNT'!A336="","",'NEW ACCOUNT'!B336)</f>
        <v/>
      </c>
      <c r="C335" s="38" t="str">
        <f>IF('NEW ACCOUNT'!A336="","",'NEW ACCOUNT'!C336)</f>
        <v/>
      </c>
      <c r="D335" s="38" t="str">
        <f>IF('NEW ACCOUNT'!A336="","",'NEW ACCOUNT'!D336)</f>
        <v/>
      </c>
      <c r="E335" s="38" t="str">
        <f>IF('NEW ACCOUNT'!A336="","",'NEW ACCOUNT'!E336)</f>
        <v/>
      </c>
      <c r="F335" s="38" t="str">
        <f>IF('NEW ACCOUNT'!A336="","",'NEW ACCOUNT'!F336)</f>
        <v/>
      </c>
      <c r="G335" s="38" t="str">
        <f>IF('NEW ACCOUNT'!A336="","",'NEW ACCOUNT'!G336)</f>
        <v/>
      </c>
      <c r="H335" s="38" t="str">
        <f>IF('NEW ACCOUNT'!A336="","",'NEW ACCOUNT'!H336)</f>
        <v/>
      </c>
      <c r="I335" s="38" t="str">
        <f>IF('NEW ACCOUNT'!A336="","",'NEW ACCOUNT'!I336)</f>
        <v/>
      </c>
      <c r="J335" s="38" t="str">
        <f>IF('NEW ACCOUNT'!A336="","",'NEW ACCOUNT'!J336)</f>
        <v/>
      </c>
      <c r="K335" s="39" t="str">
        <f>IFERROR(IF(A335="","",SUMIF(DB_Savings!$A:$A,A335,DB_Savings!$F:$F)),"")</f>
        <v/>
      </c>
      <c r="L335" s="39" t="str">
        <f>IFERROR(IF(A335="","",SUMIF(DB_Withdrawals!$A:$A,A335,DB_Withdrawals!$G:$G)),"")</f>
        <v/>
      </c>
      <c r="M335" s="39" t="str">
        <f>IFERROR(IF(A335="","",IFERROR(VALUE(H335),0)+IFERROR(SUMIF(DB_Savings!$A:$A,A335,DB_Savings!$F:$F),0)-IFERROR(SUMIF(DB_Withdrawals!$A:$A,A335,DB_Withdrawals!$G:$G),0)),"")</f>
        <v/>
      </c>
      <c r="N335" s="39" t="str">
        <f>IFERROR(IF(A335="","",MAX(0,M335-System_Config!$B$9)),"")</f>
        <v/>
      </c>
    </row>
    <row r="336" spans="1:14" ht="19.5" customHeight="1" x14ac:dyDescent="0.25">
      <c r="A336" s="37" t="str">
        <f>'NEW ACCOUNT'!A337</f>
        <v/>
      </c>
      <c r="B336" s="38" t="str">
        <f>IF('NEW ACCOUNT'!A337="","",'NEW ACCOUNT'!B337)</f>
        <v/>
      </c>
      <c r="C336" s="38" t="str">
        <f>IF('NEW ACCOUNT'!A337="","",'NEW ACCOUNT'!C337)</f>
        <v/>
      </c>
      <c r="D336" s="38" t="str">
        <f>IF('NEW ACCOUNT'!A337="","",'NEW ACCOUNT'!D337)</f>
        <v/>
      </c>
      <c r="E336" s="38" t="str">
        <f>IF('NEW ACCOUNT'!A337="","",'NEW ACCOUNT'!E337)</f>
        <v/>
      </c>
      <c r="F336" s="38" t="str">
        <f>IF('NEW ACCOUNT'!A337="","",'NEW ACCOUNT'!F337)</f>
        <v/>
      </c>
      <c r="G336" s="38" t="str">
        <f>IF('NEW ACCOUNT'!A337="","",'NEW ACCOUNT'!G337)</f>
        <v/>
      </c>
      <c r="H336" s="38" t="str">
        <f>IF('NEW ACCOUNT'!A337="","",'NEW ACCOUNT'!H337)</f>
        <v/>
      </c>
      <c r="I336" s="38" t="str">
        <f>IF('NEW ACCOUNT'!A337="","",'NEW ACCOUNT'!I337)</f>
        <v/>
      </c>
      <c r="J336" s="38" t="str">
        <f>IF('NEW ACCOUNT'!A337="","",'NEW ACCOUNT'!J337)</f>
        <v/>
      </c>
      <c r="K336" s="39" t="str">
        <f>IFERROR(IF(A336="","",SUMIF(DB_Savings!$A:$A,A336,DB_Savings!$F:$F)),"")</f>
        <v/>
      </c>
      <c r="L336" s="39" t="str">
        <f>IFERROR(IF(A336="","",SUMIF(DB_Withdrawals!$A:$A,A336,DB_Withdrawals!$G:$G)),"")</f>
        <v/>
      </c>
      <c r="M336" s="39" t="str">
        <f>IFERROR(IF(A336="","",IFERROR(VALUE(H336),0)+IFERROR(SUMIF(DB_Savings!$A:$A,A336,DB_Savings!$F:$F),0)-IFERROR(SUMIF(DB_Withdrawals!$A:$A,A336,DB_Withdrawals!$G:$G),0)),"")</f>
        <v/>
      </c>
      <c r="N336" s="39" t="str">
        <f>IFERROR(IF(A336="","",MAX(0,M336-System_Config!$B$9)),"")</f>
        <v/>
      </c>
    </row>
    <row r="337" spans="1:14" ht="19.5" customHeight="1" x14ac:dyDescent="0.25">
      <c r="A337" s="37" t="str">
        <f>'NEW ACCOUNT'!A338</f>
        <v/>
      </c>
      <c r="B337" s="38" t="str">
        <f>IF('NEW ACCOUNT'!A338="","",'NEW ACCOUNT'!B338)</f>
        <v/>
      </c>
      <c r="C337" s="38" t="str">
        <f>IF('NEW ACCOUNT'!A338="","",'NEW ACCOUNT'!C338)</f>
        <v/>
      </c>
      <c r="D337" s="38" t="str">
        <f>IF('NEW ACCOUNT'!A338="","",'NEW ACCOUNT'!D338)</f>
        <v/>
      </c>
      <c r="E337" s="38" t="str">
        <f>IF('NEW ACCOUNT'!A338="","",'NEW ACCOUNT'!E338)</f>
        <v/>
      </c>
      <c r="F337" s="38" t="str">
        <f>IF('NEW ACCOUNT'!A338="","",'NEW ACCOUNT'!F338)</f>
        <v/>
      </c>
      <c r="G337" s="38" t="str">
        <f>IF('NEW ACCOUNT'!A338="","",'NEW ACCOUNT'!G338)</f>
        <v/>
      </c>
      <c r="H337" s="38" t="str">
        <f>IF('NEW ACCOUNT'!A338="","",'NEW ACCOUNT'!H338)</f>
        <v/>
      </c>
      <c r="I337" s="38" t="str">
        <f>IF('NEW ACCOUNT'!A338="","",'NEW ACCOUNT'!I338)</f>
        <v/>
      </c>
      <c r="J337" s="38" t="str">
        <f>IF('NEW ACCOUNT'!A338="","",'NEW ACCOUNT'!J338)</f>
        <v/>
      </c>
      <c r="K337" s="39" t="str">
        <f>IFERROR(IF(A337="","",SUMIF(DB_Savings!$A:$A,A337,DB_Savings!$F:$F)),"")</f>
        <v/>
      </c>
      <c r="L337" s="39" t="str">
        <f>IFERROR(IF(A337="","",SUMIF(DB_Withdrawals!$A:$A,A337,DB_Withdrawals!$G:$G)),"")</f>
        <v/>
      </c>
      <c r="M337" s="39" t="str">
        <f>IFERROR(IF(A337="","",IFERROR(VALUE(H337),0)+IFERROR(SUMIF(DB_Savings!$A:$A,A337,DB_Savings!$F:$F),0)-IFERROR(SUMIF(DB_Withdrawals!$A:$A,A337,DB_Withdrawals!$G:$G),0)),"")</f>
        <v/>
      </c>
      <c r="N337" s="39" t="str">
        <f>IFERROR(IF(A337="","",MAX(0,M337-System_Config!$B$9)),"")</f>
        <v/>
      </c>
    </row>
    <row r="338" spans="1:14" ht="19.5" customHeight="1" x14ac:dyDescent="0.25">
      <c r="A338" s="37" t="str">
        <f>'NEW ACCOUNT'!A339</f>
        <v/>
      </c>
      <c r="B338" s="38" t="str">
        <f>IF('NEW ACCOUNT'!A339="","",'NEW ACCOUNT'!B339)</f>
        <v/>
      </c>
      <c r="C338" s="38" t="str">
        <f>IF('NEW ACCOUNT'!A339="","",'NEW ACCOUNT'!C339)</f>
        <v/>
      </c>
      <c r="D338" s="38" t="str">
        <f>IF('NEW ACCOUNT'!A339="","",'NEW ACCOUNT'!D339)</f>
        <v/>
      </c>
      <c r="E338" s="38" t="str">
        <f>IF('NEW ACCOUNT'!A339="","",'NEW ACCOUNT'!E339)</f>
        <v/>
      </c>
      <c r="F338" s="38" t="str">
        <f>IF('NEW ACCOUNT'!A339="","",'NEW ACCOUNT'!F339)</f>
        <v/>
      </c>
      <c r="G338" s="38" t="str">
        <f>IF('NEW ACCOUNT'!A339="","",'NEW ACCOUNT'!G339)</f>
        <v/>
      </c>
      <c r="H338" s="38" t="str">
        <f>IF('NEW ACCOUNT'!A339="","",'NEW ACCOUNT'!H339)</f>
        <v/>
      </c>
      <c r="I338" s="38" t="str">
        <f>IF('NEW ACCOUNT'!A339="","",'NEW ACCOUNT'!I339)</f>
        <v/>
      </c>
      <c r="J338" s="38" t="str">
        <f>IF('NEW ACCOUNT'!A339="","",'NEW ACCOUNT'!J339)</f>
        <v/>
      </c>
      <c r="K338" s="39" t="str">
        <f>IFERROR(IF(A338="","",SUMIF(DB_Savings!$A:$A,A338,DB_Savings!$F:$F)),"")</f>
        <v/>
      </c>
      <c r="L338" s="39" t="str">
        <f>IFERROR(IF(A338="","",SUMIF(DB_Withdrawals!$A:$A,A338,DB_Withdrawals!$G:$G)),"")</f>
        <v/>
      </c>
      <c r="M338" s="39" t="str">
        <f>IFERROR(IF(A338="","",IFERROR(VALUE(H338),0)+IFERROR(SUMIF(DB_Savings!$A:$A,A338,DB_Savings!$F:$F),0)-IFERROR(SUMIF(DB_Withdrawals!$A:$A,A338,DB_Withdrawals!$G:$G),0)),"")</f>
        <v/>
      </c>
      <c r="N338" s="39" t="str">
        <f>IFERROR(IF(A338="","",MAX(0,M338-System_Config!$B$9)),"")</f>
        <v/>
      </c>
    </row>
    <row r="339" spans="1:14" ht="19.5" customHeight="1" x14ac:dyDescent="0.25">
      <c r="A339" s="37" t="str">
        <f>'NEW ACCOUNT'!A340</f>
        <v/>
      </c>
      <c r="B339" s="38" t="str">
        <f>IF('NEW ACCOUNT'!A340="","",'NEW ACCOUNT'!B340)</f>
        <v/>
      </c>
      <c r="C339" s="38" t="str">
        <f>IF('NEW ACCOUNT'!A340="","",'NEW ACCOUNT'!C340)</f>
        <v/>
      </c>
      <c r="D339" s="38" t="str">
        <f>IF('NEW ACCOUNT'!A340="","",'NEW ACCOUNT'!D340)</f>
        <v/>
      </c>
      <c r="E339" s="38" t="str">
        <f>IF('NEW ACCOUNT'!A340="","",'NEW ACCOUNT'!E340)</f>
        <v/>
      </c>
      <c r="F339" s="38" t="str">
        <f>IF('NEW ACCOUNT'!A340="","",'NEW ACCOUNT'!F340)</f>
        <v/>
      </c>
      <c r="G339" s="38" t="str">
        <f>IF('NEW ACCOUNT'!A340="","",'NEW ACCOUNT'!G340)</f>
        <v/>
      </c>
      <c r="H339" s="38" t="str">
        <f>IF('NEW ACCOUNT'!A340="","",'NEW ACCOUNT'!H340)</f>
        <v/>
      </c>
      <c r="I339" s="38" t="str">
        <f>IF('NEW ACCOUNT'!A340="","",'NEW ACCOUNT'!I340)</f>
        <v/>
      </c>
      <c r="J339" s="38" t="str">
        <f>IF('NEW ACCOUNT'!A340="","",'NEW ACCOUNT'!J340)</f>
        <v/>
      </c>
      <c r="K339" s="39" t="str">
        <f>IFERROR(IF(A339="","",SUMIF(DB_Savings!$A:$A,A339,DB_Savings!$F:$F)),"")</f>
        <v/>
      </c>
      <c r="L339" s="39" t="str">
        <f>IFERROR(IF(A339="","",SUMIF(DB_Withdrawals!$A:$A,A339,DB_Withdrawals!$G:$G)),"")</f>
        <v/>
      </c>
      <c r="M339" s="39" t="str">
        <f>IFERROR(IF(A339="","",IFERROR(VALUE(H339),0)+IFERROR(SUMIF(DB_Savings!$A:$A,A339,DB_Savings!$F:$F),0)-IFERROR(SUMIF(DB_Withdrawals!$A:$A,A339,DB_Withdrawals!$G:$G),0)),"")</f>
        <v/>
      </c>
      <c r="N339" s="39" t="str">
        <f>IFERROR(IF(A339="","",MAX(0,M339-System_Config!$B$9)),"")</f>
        <v/>
      </c>
    </row>
    <row r="340" spans="1:14" ht="19.5" customHeight="1" x14ac:dyDescent="0.25">
      <c r="A340" s="37" t="str">
        <f>'NEW ACCOUNT'!A341</f>
        <v/>
      </c>
      <c r="B340" s="38" t="str">
        <f>IF('NEW ACCOUNT'!A341="","",'NEW ACCOUNT'!B341)</f>
        <v/>
      </c>
      <c r="C340" s="38" t="str">
        <f>IF('NEW ACCOUNT'!A341="","",'NEW ACCOUNT'!C341)</f>
        <v/>
      </c>
      <c r="D340" s="38" t="str">
        <f>IF('NEW ACCOUNT'!A341="","",'NEW ACCOUNT'!D341)</f>
        <v/>
      </c>
      <c r="E340" s="38" t="str">
        <f>IF('NEW ACCOUNT'!A341="","",'NEW ACCOUNT'!E341)</f>
        <v/>
      </c>
      <c r="F340" s="38" t="str">
        <f>IF('NEW ACCOUNT'!A341="","",'NEW ACCOUNT'!F341)</f>
        <v/>
      </c>
      <c r="G340" s="38" t="str">
        <f>IF('NEW ACCOUNT'!A341="","",'NEW ACCOUNT'!G341)</f>
        <v/>
      </c>
      <c r="H340" s="38" t="str">
        <f>IF('NEW ACCOUNT'!A341="","",'NEW ACCOUNT'!H341)</f>
        <v/>
      </c>
      <c r="I340" s="38" t="str">
        <f>IF('NEW ACCOUNT'!A341="","",'NEW ACCOUNT'!I341)</f>
        <v/>
      </c>
      <c r="J340" s="38" t="str">
        <f>IF('NEW ACCOUNT'!A341="","",'NEW ACCOUNT'!J341)</f>
        <v/>
      </c>
      <c r="K340" s="39" t="str">
        <f>IFERROR(IF(A340="","",SUMIF(DB_Savings!$A:$A,A340,DB_Savings!$F:$F)),"")</f>
        <v/>
      </c>
      <c r="L340" s="39" t="str">
        <f>IFERROR(IF(A340="","",SUMIF(DB_Withdrawals!$A:$A,A340,DB_Withdrawals!$G:$G)),"")</f>
        <v/>
      </c>
      <c r="M340" s="39" t="str">
        <f>IFERROR(IF(A340="","",IFERROR(VALUE(H340),0)+IFERROR(SUMIF(DB_Savings!$A:$A,A340,DB_Savings!$F:$F),0)-IFERROR(SUMIF(DB_Withdrawals!$A:$A,A340,DB_Withdrawals!$G:$G),0)),"")</f>
        <v/>
      </c>
      <c r="N340" s="39" t="str">
        <f>IFERROR(IF(A340="","",MAX(0,M340-System_Config!$B$9)),"")</f>
        <v/>
      </c>
    </row>
    <row r="341" spans="1:14" ht="19.5" customHeight="1" x14ac:dyDescent="0.25">
      <c r="A341" s="37" t="str">
        <f>'NEW ACCOUNT'!A342</f>
        <v/>
      </c>
      <c r="B341" s="38" t="str">
        <f>IF('NEW ACCOUNT'!A342="","",'NEW ACCOUNT'!B342)</f>
        <v/>
      </c>
      <c r="C341" s="38" t="str">
        <f>IF('NEW ACCOUNT'!A342="","",'NEW ACCOUNT'!C342)</f>
        <v/>
      </c>
      <c r="D341" s="38" t="str">
        <f>IF('NEW ACCOUNT'!A342="","",'NEW ACCOUNT'!D342)</f>
        <v/>
      </c>
      <c r="E341" s="38" t="str">
        <f>IF('NEW ACCOUNT'!A342="","",'NEW ACCOUNT'!E342)</f>
        <v/>
      </c>
      <c r="F341" s="38" t="str">
        <f>IF('NEW ACCOUNT'!A342="","",'NEW ACCOUNT'!F342)</f>
        <v/>
      </c>
      <c r="G341" s="38" t="str">
        <f>IF('NEW ACCOUNT'!A342="","",'NEW ACCOUNT'!G342)</f>
        <v/>
      </c>
      <c r="H341" s="38" t="str">
        <f>IF('NEW ACCOUNT'!A342="","",'NEW ACCOUNT'!H342)</f>
        <v/>
      </c>
      <c r="I341" s="38" t="str">
        <f>IF('NEW ACCOUNT'!A342="","",'NEW ACCOUNT'!I342)</f>
        <v/>
      </c>
      <c r="J341" s="38" t="str">
        <f>IF('NEW ACCOUNT'!A342="","",'NEW ACCOUNT'!J342)</f>
        <v/>
      </c>
      <c r="K341" s="39" t="str">
        <f>IFERROR(IF(A341="","",SUMIF(DB_Savings!$A:$A,A341,DB_Savings!$F:$F)),"")</f>
        <v/>
      </c>
      <c r="L341" s="39" t="str">
        <f>IFERROR(IF(A341="","",SUMIF(DB_Withdrawals!$A:$A,A341,DB_Withdrawals!$G:$G)),"")</f>
        <v/>
      </c>
      <c r="M341" s="39" t="str">
        <f>IFERROR(IF(A341="","",IFERROR(VALUE(H341),0)+IFERROR(SUMIF(DB_Savings!$A:$A,A341,DB_Savings!$F:$F),0)-IFERROR(SUMIF(DB_Withdrawals!$A:$A,A341,DB_Withdrawals!$G:$G),0)),"")</f>
        <v/>
      </c>
      <c r="N341" s="39" t="str">
        <f>IFERROR(IF(A341="","",MAX(0,M341-System_Config!$B$9)),"")</f>
        <v/>
      </c>
    </row>
    <row r="342" spans="1:14" ht="19.5" customHeight="1" x14ac:dyDescent="0.25">
      <c r="A342" s="37" t="str">
        <f>'NEW ACCOUNT'!A343</f>
        <v/>
      </c>
      <c r="B342" s="38" t="str">
        <f>IF('NEW ACCOUNT'!A343="","",'NEW ACCOUNT'!B343)</f>
        <v/>
      </c>
      <c r="C342" s="38" t="str">
        <f>IF('NEW ACCOUNT'!A343="","",'NEW ACCOUNT'!C343)</f>
        <v/>
      </c>
      <c r="D342" s="38" t="str">
        <f>IF('NEW ACCOUNT'!A343="","",'NEW ACCOUNT'!D343)</f>
        <v/>
      </c>
      <c r="E342" s="38" t="str">
        <f>IF('NEW ACCOUNT'!A343="","",'NEW ACCOUNT'!E343)</f>
        <v/>
      </c>
      <c r="F342" s="38" t="str">
        <f>IF('NEW ACCOUNT'!A343="","",'NEW ACCOUNT'!F343)</f>
        <v/>
      </c>
      <c r="G342" s="38" t="str">
        <f>IF('NEW ACCOUNT'!A343="","",'NEW ACCOUNT'!G343)</f>
        <v/>
      </c>
      <c r="H342" s="38" t="str">
        <f>IF('NEW ACCOUNT'!A343="","",'NEW ACCOUNT'!H343)</f>
        <v/>
      </c>
      <c r="I342" s="38" t="str">
        <f>IF('NEW ACCOUNT'!A343="","",'NEW ACCOUNT'!I343)</f>
        <v/>
      </c>
      <c r="J342" s="38" t="str">
        <f>IF('NEW ACCOUNT'!A343="","",'NEW ACCOUNT'!J343)</f>
        <v/>
      </c>
      <c r="K342" s="39" t="str">
        <f>IFERROR(IF(A342="","",SUMIF(DB_Savings!$A:$A,A342,DB_Savings!$F:$F)),"")</f>
        <v/>
      </c>
      <c r="L342" s="39" t="str">
        <f>IFERROR(IF(A342="","",SUMIF(DB_Withdrawals!$A:$A,A342,DB_Withdrawals!$G:$G)),"")</f>
        <v/>
      </c>
      <c r="M342" s="39" t="str">
        <f>IFERROR(IF(A342="","",IFERROR(VALUE(H342),0)+IFERROR(SUMIF(DB_Savings!$A:$A,A342,DB_Savings!$F:$F),0)-IFERROR(SUMIF(DB_Withdrawals!$A:$A,A342,DB_Withdrawals!$G:$G),0)),"")</f>
        <v/>
      </c>
      <c r="N342" s="39" t="str">
        <f>IFERROR(IF(A342="","",MAX(0,M342-System_Config!$B$9)),"")</f>
        <v/>
      </c>
    </row>
    <row r="343" spans="1:14" ht="19.5" customHeight="1" x14ac:dyDescent="0.25">
      <c r="A343" s="37" t="str">
        <f>'NEW ACCOUNT'!A344</f>
        <v/>
      </c>
      <c r="B343" s="38" t="str">
        <f>IF('NEW ACCOUNT'!A344="","",'NEW ACCOUNT'!B344)</f>
        <v/>
      </c>
      <c r="C343" s="38" t="str">
        <f>IF('NEW ACCOUNT'!A344="","",'NEW ACCOUNT'!C344)</f>
        <v/>
      </c>
      <c r="D343" s="38" t="str">
        <f>IF('NEW ACCOUNT'!A344="","",'NEW ACCOUNT'!D344)</f>
        <v/>
      </c>
      <c r="E343" s="38" t="str">
        <f>IF('NEW ACCOUNT'!A344="","",'NEW ACCOUNT'!E344)</f>
        <v/>
      </c>
      <c r="F343" s="38" t="str">
        <f>IF('NEW ACCOUNT'!A344="","",'NEW ACCOUNT'!F344)</f>
        <v/>
      </c>
      <c r="G343" s="38" t="str">
        <f>IF('NEW ACCOUNT'!A344="","",'NEW ACCOUNT'!G344)</f>
        <v/>
      </c>
      <c r="H343" s="38" t="str">
        <f>IF('NEW ACCOUNT'!A344="","",'NEW ACCOUNT'!H344)</f>
        <v/>
      </c>
      <c r="I343" s="38" t="str">
        <f>IF('NEW ACCOUNT'!A344="","",'NEW ACCOUNT'!I344)</f>
        <v/>
      </c>
      <c r="J343" s="38" t="str">
        <f>IF('NEW ACCOUNT'!A344="","",'NEW ACCOUNT'!J344)</f>
        <v/>
      </c>
      <c r="K343" s="39" t="str">
        <f>IFERROR(IF(A343="","",SUMIF(DB_Savings!$A:$A,A343,DB_Savings!$F:$F)),"")</f>
        <v/>
      </c>
      <c r="L343" s="39" t="str">
        <f>IFERROR(IF(A343="","",SUMIF(DB_Withdrawals!$A:$A,A343,DB_Withdrawals!$G:$G)),"")</f>
        <v/>
      </c>
      <c r="M343" s="39" t="str">
        <f>IFERROR(IF(A343="","",IFERROR(VALUE(H343),0)+IFERROR(SUMIF(DB_Savings!$A:$A,A343,DB_Savings!$F:$F),0)-IFERROR(SUMIF(DB_Withdrawals!$A:$A,A343,DB_Withdrawals!$G:$G),0)),"")</f>
        <v/>
      </c>
      <c r="N343" s="39" t="str">
        <f>IFERROR(IF(A343="","",MAX(0,M343-System_Config!$B$9)),"")</f>
        <v/>
      </c>
    </row>
    <row r="344" spans="1:14" ht="19.5" customHeight="1" x14ac:dyDescent="0.25">
      <c r="A344" s="37" t="str">
        <f>'NEW ACCOUNT'!A345</f>
        <v/>
      </c>
      <c r="B344" s="38" t="str">
        <f>IF('NEW ACCOUNT'!A345="","",'NEW ACCOUNT'!B345)</f>
        <v/>
      </c>
      <c r="C344" s="38" t="str">
        <f>IF('NEW ACCOUNT'!A345="","",'NEW ACCOUNT'!C345)</f>
        <v/>
      </c>
      <c r="D344" s="38" t="str">
        <f>IF('NEW ACCOUNT'!A345="","",'NEW ACCOUNT'!D345)</f>
        <v/>
      </c>
      <c r="E344" s="38" t="str">
        <f>IF('NEW ACCOUNT'!A345="","",'NEW ACCOUNT'!E345)</f>
        <v/>
      </c>
      <c r="F344" s="38" t="str">
        <f>IF('NEW ACCOUNT'!A345="","",'NEW ACCOUNT'!F345)</f>
        <v/>
      </c>
      <c r="G344" s="38" t="str">
        <f>IF('NEW ACCOUNT'!A345="","",'NEW ACCOUNT'!G345)</f>
        <v/>
      </c>
      <c r="H344" s="38" t="str">
        <f>IF('NEW ACCOUNT'!A345="","",'NEW ACCOUNT'!H345)</f>
        <v/>
      </c>
      <c r="I344" s="38" t="str">
        <f>IF('NEW ACCOUNT'!A345="","",'NEW ACCOUNT'!I345)</f>
        <v/>
      </c>
      <c r="J344" s="38" t="str">
        <f>IF('NEW ACCOUNT'!A345="","",'NEW ACCOUNT'!J345)</f>
        <v/>
      </c>
      <c r="K344" s="39" t="str">
        <f>IFERROR(IF(A344="","",SUMIF(DB_Savings!$A:$A,A344,DB_Savings!$F:$F)),"")</f>
        <v/>
      </c>
      <c r="L344" s="39" t="str">
        <f>IFERROR(IF(A344="","",SUMIF(DB_Withdrawals!$A:$A,A344,DB_Withdrawals!$G:$G)),"")</f>
        <v/>
      </c>
      <c r="M344" s="39" t="str">
        <f>IFERROR(IF(A344="","",IFERROR(VALUE(H344),0)+IFERROR(SUMIF(DB_Savings!$A:$A,A344,DB_Savings!$F:$F),0)-IFERROR(SUMIF(DB_Withdrawals!$A:$A,A344,DB_Withdrawals!$G:$G),0)),"")</f>
        <v/>
      </c>
      <c r="N344" s="39" t="str">
        <f>IFERROR(IF(A344="","",MAX(0,M344-System_Config!$B$9)),"")</f>
        <v/>
      </c>
    </row>
    <row r="345" spans="1:14" ht="19.5" customHeight="1" x14ac:dyDescent="0.25">
      <c r="A345" s="37" t="str">
        <f>'NEW ACCOUNT'!A346</f>
        <v/>
      </c>
      <c r="B345" s="38" t="str">
        <f>IF('NEW ACCOUNT'!A346="","",'NEW ACCOUNT'!B346)</f>
        <v/>
      </c>
      <c r="C345" s="38" t="str">
        <f>IF('NEW ACCOUNT'!A346="","",'NEW ACCOUNT'!C346)</f>
        <v/>
      </c>
      <c r="D345" s="38" t="str">
        <f>IF('NEW ACCOUNT'!A346="","",'NEW ACCOUNT'!D346)</f>
        <v/>
      </c>
      <c r="E345" s="38" t="str">
        <f>IF('NEW ACCOUNT'!A346="","",'NEW ACCOUNT'!E346)</f>
        <v/>
      </c>
      <c r="F345" s="38" t="str">
        <f>IF('NEW ACCOUNT'!A346="","",'NEW ACCOUNT'!F346)</f>
        <v/>
      </c>
      <c r="G345" s="38" t="str">
        <f>IF('NEW ACCOUNT'!A346="","",'NEW ACCOUNT'!G346)</f>
        <v/>
      </c>
      <c r="H345" s="38" t="str">
        <f>IF('NEW ACCOUNT'!A346="","",'NEW ACCOUNT'!H346)</f>
        <v/>
      </c>
      <c r="I345" s="38" t="str">
        <f>IF('NEW ACCOUNT'!A346="","",'NEW ACCOUNT'!I346)</f>
        <v/>
      </c>
      <c r="J345" s="38" t="str">
        <f>IF('NEW ACCOUNT'!A346="","",'NEW ACCOUNT'!J346)</f>
        <v/>
      </c>
      <c r="K345" s="39" t="str">
        <f>IFERROR(IF(A345="","",SUMIF(DB_Savings!$A:$A,A345,DB_Savings!$F:$F)),"")</f>
        <v/>
      </c>
      <c r="L345" s="39" t="str">
        <f>IFERROR(IF(A345="","",SUMIF(DB_Withdrawals!$A:$A,A345,DB_Withdrawals!$G:$G)),"")</f>
        <v/>
      </c>
      <c r="M345" s="39" t="str">
        <f>IFERROR(IF(A345="","",IFERROR(VALUE(H345),0)+IFERROR(SUMIF(DB_Savings!$A:$A,A345,DB_Savings!$F:$F),0)-IFERROR(SUMIF(DB_Withdrawals!$A:$A,A345,DB_Withdrawals!$G:$G),0)),"")</f>
        <v/>
      </c>
      <c r="N345" s="39" t="str">
        <f>IFERROR(IF(A345="","",MAX(0,M345-System_Config!$B$9)),"")</f>
        <v/>
      </c>
    </row>
    <row r="346" spans="1:14" ht="19.5" customHeight="1" x14ac:dyDescent="0.25">
      <c r="A346" s="37" t="str">
        <f>'NEW ACCOUNT'!A347</f>
        <v/>
      </c>
      <c r="B346" s="38" t="str">
        <f>IF('NEW ACCOUNT'!A347="","",'NEW ACCOUNT'!B347)</f>
        <v/>
      </c>
      <c r="C346" s="38" t="str">
        <f>IF('NEW ACCOUNT'!A347="","",'NEW ACCOUNT'!C347)</f>
        <v/>
      </c>
      <c r="D346" s="38" t="str">
        <f>IF('NEW ACCOUNT'!A347="","",'NEW ACCOUNT'!D347)</f>
        <v/>
      </c>
      <c r="E346" s="38" t="str">
        <f>IF('NEW ACCOUNT'!A347="","",'NEW ACCOUNT'!E347)</f>
        <v/>
      </c>
      <c r="F346" s="38" t="str">
        <f>IF('NEW ACCOUNT'!A347="","",'NEW ACCOUNT'!F347)</f>
        <v/>
      </c>
      <c r="G346" s="38" t="str">
        <f>IF('NEW ACCOUNT'!A347="","",'NEW ACCOUNT'!G347)</f>
        <v/>
      </c>
      <c r="H346" s="38" t="str">
        <f>IF('NEW ACCOUNT'!A347="","",'NEW ACCOUNT'!H347)</f>
        <v/>
      </c>
      <c r="I346" s="38" t="str">
        <f>IF('NEW ACCOUNT'!A347="","",'NEW ACCOUNT'!I347)</f>
        <v/>
      </c>
      <c r="J346" s="38" t="str">
        <f>IF('NEW ACCOUNT'!A347="","",'NEW ACCOUNT'!J347)</f>
        <v/>
      </c>
      <c r="K346" s="39" t="str">
        <f>IFERROR(IF(A346="","",SUMIF(DB_Savings!$A:$A,A346,DB_Savings!$F:$F)),"")</f>
        <v/>
      </c>
      <c r="L346" s="39" t="str">
        <f>IFERROR(IF(A346="","",SUMIF(DB_Withdrawals!$A:$A,A346,DB_Withdrawals!$G:$G)),"")</f>
        <v/>
      </c>
      <c r="M346" s="39" t="str">
        <f>IFERROR(IF(A346="","",IFERROR(VALUE(H346),0)+IFERROR(SUMIF(DB_Savings!$A:$A,A346,DB_Savings!$F:$F),0)-IFERROR(SUMIF(DB_Withdrawals!$A:$A,A346,DB_Withdrawals!$G:$G),0)),"")</f>
        <v/>
      </c>
      <c r="N346" s="39" t="str">
        <f>IFERROR(IF(A346="","",MAX(0,M346-System_Config!$B$9)),"")</f>
        <v/>
      </c>
    </row>
    <row r="347" spans="1:14" ht="19.5" customHeight="1" x14ac:dyDescent="0.25">
      <c r="A347" s="37" t="str">
        <f>'NEW ACCOUNT'!A348</f>
        <v/>
      </c>
      <c r="B347" s="38" t="str">
        <f>IF('NEW ACCOUNT'!A348="","",'NEW ACCOUNT'!B348)</f>
        <v/>
      </c>
      <c r="C347" s="38" t="str">
        <f>IF('NEW ACCOUNT'!A348="","",'NEW ACCOUNT'!C348)</f>
        <v/>
      </c>
      <c r="D347" s="38" t="str">
        <f>IF('NEW ACCOUNT'!A348="","",'NEW ACCOUNT'!D348)</f>
        <v/>
      </c>
      <c r="E347" s="38" t="str">
        <f>IF('NEW ACCOUNT'!A348="","",'NEW ACCOUNT'!E348)</f>
        <v/>
      </c>
      <c r="F347" s="38" t="str">
        <f>IF('NEW ACCOUNT'!A348="","",'NEW ACCOUNT'!F348)</f>
        <v/>
      </c>
      <c r="G347" s="38" t="str">
        <f>IF('NEW ACCOUNT'!A348="","",'NEW ACCOUNT'!G348)</f>
        <v/>
      </c>
      <c r="H347" s="38" t="str">
        <f>IF('NEW ACCOUNT'!A348="","",'NEW ACCOUNT'!H348)</f>
        <v/>
      </c>
      <c r="I347" s="38" t="str">
        <f>IF('NEW ACCOUNT'!A348="","",'NEW ACCOUNT'!I348)</f>
        <v/>
      </c>
      <c r="J347" s="38" t="str">
        <f>IF('NEW ACCOUNT'!A348="","",'NEW ACCOUNT'!J348)</f>
        <v/>
      </c>
      <c r="K347" s="39" t="str">
        <f>IFERROR(IF(A347="","",SUMIF(DB_Savings!$A:$A,A347,DB_Savings!$F:$F)),"")</f>
        <v/>
      </c>
      <c r="L347" s="39" t="str">
        <f>IFERROR(IF(A347="","",SUMIF(DB_Withdrawals!$A:$A,A347,DB_Withdrawals!$G:$G)),"")</f>
        <v/>
      </c>
      <c r="M347" s="39" t="str">
        <f>IFERROR(IF(A347="","",IFERROR(VALUE(H347),0)+IFERROR(SUMIF(DB_Savings!$A:$A,A347,DB_Savings!$F:$F),0)-IFERROR(SUMIF(DB_Withdrawals!$A:$A,A347,DB_Withdrawals!$G:$G),0)),"")</f>
        <v/>
      </c>
      <c r="N347" s="39" t="str">
        <f>IFERROR(IF(A347="","",MAX(0,M347-System_Config!$B$9)),"")</f>
        <v/>
      </c>
    </row>
    <row r="348" spans="1:14" ht="19.5" customHeight="1" x14ac:dyDescent="0.25">
      <c r="A348" s="37" t="str">
        <f>'NEW ACCOUNT'!A349</f>
        <v/>
      </c>
      <c r="B348" s="38" t="str">
        <f>IF('NEW ACCOUNT'!A349="","",'NEW ACCOUNT'!B349)</f>
        <v/>
      </c>
      <c r="C348" s="38" t="str">
        <f>IF('NEW ACCOUNT'!A349="","",'NEW ACCOUNT'!C349)</f>
        <v/>
      </c>
      <c r="D348" s="38" t="str">
        <f>IF('NEW ACCOUNT'!A349="","",'NEW ACCOUNT'!D349)</f>
        <v/>
      </c>
      <c r="E348" s="38" t="str">
        <f>IF('NEW ACCOUNT'!A349="","",'NEW ACCOUNT'!E349)</f>
        <v/>
      </c>
      <c r="F348" s="38" t="str">
        <f>IF('NEW ACCOUNT'!A349="","",'NEW ACCOUNT'!F349)</f>
        <v/>
      </c>
      <c r="G348" s="38" t="str">
        <f>IF('NEW ACCOUNT'!A349="","",'NEW ACCOUNT'!G349)</f>
        <v/>
      </c>
      <c r="H348" s="38" t="str">
        <f>IF('NEW ACCOUNT'!A349="","",'NEW ACCOUNT'!H349)</f>
        <v/>
      </c>
      <c r="I348" s="38" t="str">
        <f>IF('NEW ACCOUNT'!A349="","",'NEW ACCOUNT'!I349)</f>
        <v/>
      </c>
      <c r="J348" s="38" t="str">
        <f>IF('NEW ACCOUNT'!A349="","",'NEW ACCOUNT'!J349)</f>
        <v/>
      </c>
      <c r="K348" s="39" t="str">
        <f>IFERROR(IF(A348="","",SUMIF(DB_Savings!$A:$A,A348,DB_Savings!$F:$F)),"")</f>
        <v/>
      </c>
      <c r="L348" s="39" t="str">
        <f>IFERROR(IF(A348="","",SUMIF(DB_Withdrawals!$A:$A,A348,DB_Withdrawals!$G:$G)),"")</f>
        <v/>
      </c>
      <c r="M348" s="39" t="str">
        <f>IFERROR(IF(A348="","",IFERROR(VALUE(H348),0)+IFERROR(SUMIF(DB_Savings!$A:$A,A348,DB_Savings!$F:$F),0)-IFERROR(SUMIF(DB_Withdrawals!$A:$A,A348,DB_Withdrawals!$G:$G),0)),"")</f>
        <v/>
      </c>
      <c r="N348" s="39" t="str">
        <f>IFERROR(IF(A348="","",MAX(0,M348-System_Config!$B$9)),"")</f>
        <v/>
      </c>
    </row>
    <row r="349" spans="1:14" ht="19.5" customHeight="1" x14ac:dyDescent="0.25">
      <c r="A349" s="37" t="str">
        <f>'NEW ACCOUNT'!A350</f>
        <v/>
      </c>
      <c r="B349" s="38" t="str">
        <f>IF('NEW ACCOUNT'!A350="","",'NEW ACCOUNT'!B350)</f>
        <v/>
      </c>
      <c r="C349" s="38" t="str">
        <f>IF('NEW ACCOUNT'!A350="","",'NEW ACCOUNT'!C350)</f>
        <v/>
      </c>
      <c r="D349" s="38" t="str">
        <f>IF('NEW ACCOUNT'!A350="","",'NEW ACCOUNT'!D350)</f>
        <v/>
      </c>
      <c r="E349" s="38" t="str">
        <f>IF('NEW ACCOUNT'!A350="","",'NEW ACCOUNT'!E350)</f>
        <v/>
      </c>
      <c r="F349" s="38" t="str">
        <f>IF('NEW ACCOUNT'!A350="","",'NEW ACCOUNT'!F350)</f>
        <v/>
      </c>
      <c r="G349" s="38" t="str">
        <f>IF('NEW ACCOUNT'!A350="","",'NEW ACCOUNT'!G350)</f>
        <v/>
      </c>
      <c r="H349" s="38" t="str">
        <f>IF('NEW ACCOUNT'!A350="","",'NEW ACCOUNT'!H350)</f>
        <v/>
      </c>
      <c r="I349" s="38" t="str">
        <f>IF('NEW ACCOUNT'!A350="","",'NEW ACCOUNT'!I350)</f>
        <v/>
      </c>
      <c r="J349" s="38" t="str">
        <f>IF('NEW ACCOUNT'!A350="","",'NEW ACCOUNT'!J350)</f>
        <v/>
      </c>
      <c r="K349" s="39" t="str">
        <f>IFERROR(IF(A349="","",SUMIF(DB_Savings!$A:$A,A349,DB_Savings!$F:$F)),"")</f>
        <v/>
      </c>
      <c r="L349" s="39" t="str">
        <f>IFERROR(IF(A349="","",SUMIF(DB_Withdrawals!$A:$A,A349,DB_Withdrawals!$G:$G)),"")</f>
        <v/>
      </c>
      <c r="M349" s="39" t="str">
        <f>IFERROR(IF(A349="","",IFERROR(VALUE(H349),0)+IFERROR(SUMIF(DB_Savings!$A:$A,A349,DB_Savings!$F:$F),0)-IFERROR(SUMIF(DB_Withdrawals!$A:$A,A349,DB_Withdrawals!$G:$G),0)),"")</f>
        <v/>
      </c>
      <c r="N349" s="39" t="str">
        <f>IFERROR(IF(A349="","",MAX(0,M349-System_Config!$B$9)),"")</f>
        <v/>
      </c>
    </row>
    <row r="350" spans="1:14" ht="19.5" customHeight="1" x14ac:dyDescent="0.25">
      <c r="A350" s="37" t="str">
        <f>'NEW ACCOUNT'!A351</f>
        <v/>
      </c>
      <c r="B350" s="38" t="str">
        <f>IF('NEW ACCOUNT'!A351="","",'NEW ACCOUNT'!B351)</f>
        <v/>
      </c>
      <c r="C350" s="38" t="str">
        <f>IF('NEW ACCOUNT'!A351="","",'NEW ACCOUNT'!C351)</f>
        <v/>
      </c>
      <c r="D350" s="38" t="str">
        <f>IF('NEW ACCOUNT'!A351="","",'NEW ACCOUNT'!D351)</f>
        <v/>
      </c>
      <c r="E350" s="38" t="str">
        <f>IF('NEW ACCOUNT'!A351="","",'NEW ACCOUNT'!E351)</f>
        <v/>
      </c>
      <c r="F350" s="38" t="str">
        <f>IF('NEW ACCOUNT'!A351="","",'NEW ACCOUNT'!F351)</f>
        <v/>
      </c>
      <c r="G350" s="38" t="str">
        <f>IF('NEW ACCOUNT'!A351="","",'NEW ACCOUNT'!G351)</f>
        <v/>
      </c>
      <c r="H350" s="38" t="str">
        <f>IF('NEW ACCOUNT'!A351="","",'NEW ACCOUNT'!H351)</f>
        <v/>
      </c>
      <c r="I350" s="38" t="str">
        <f>IF('NEW ACCOUNT'!A351="","",'NEW ACCOUNT'!I351)</f>
        <v/>
      </c>
      <c r="J350" s="38" t="str">
        <f>IF('NEW ACCOUNT'!A351="","",'NEW ACCOUNT'!J351)</f>
        <v/>
      </c>
      <c r="K350" s="39" t="str">
        <f>IFERROR(IF(A350="","",SUMIF(DB_Savings!$A:$A,A350,DB_Savings!$F:$F)),"")</f>
        <v/>
      </c>
      <c r="L350" s="39" t="str">
        <f>IFERROR(IF(A350="","",SUMIF(DB_Withdrawals!$A:$A,A350,DB_Withdrawals!$G:$G)),"")</f>
        <v/>
      </c>
      <c r="M350" s="39" t="str">
        <f>IFERROR(IF(A350="","",IFERROR(VALUE(H350),0)+IFERROR(SUMIF(DB_Savings!$A:$A,A350,DB_Savings!$F:$F),0)-IFERROR(SUMIF(DB_Withdrawals!$A:$A,A350,DB_Withdrawals!$G:$G),0)),"")</f>
        <v/>
      </c>
      <c r="N350" s="39" t="str">
        <f>IFERROR(IF(A350="","",MAX(0,M350-System_Config!$B$9)),"")</f>
        <v/>
      </c>
    </row>
    <row r="351" spans="1:14" ht="19.5" customHeight="1" x14ac:dyDescent="0.25">
      <c r="A351" s="37" t="str">
        <f>'NEW ACCOUNT'!A352</f>
        <v/>
      </c>
      <c r="B351" s="38" t="str">
        <f>IF('NEW ACCOUNT'!A352="","",'NEW ACCOUNT'!B352)</f>
        <v/>
      </c>
      <c r="C351" s="38" t="str">
        <f>IF('NEW ACCOUNT'!A352="","",'NEW ACCOUNT'!C352)</f>
        <v/>
      </c>
      <c r="D351" s="38" t="str">
        <f>IF('NEW ACCOUNT'!A352="","",'NEW ACCOUNT'!D352)</f>
        <v/>
      </c>
      <c r="E351" s="38" t="str">
        <f>IF('NEW ACCOUNT'!A352="","",'NEW ACCOUNT'!E352)</f>
        <v/>
      </c>
      <c r="F351" s="38" t="str">
        <f>IF('NEW ACCOUNT'!A352="","",'NEW ACCOUNT'!F352)</f>
        <v/>
      </c>
      <c r="G351" s="38" t="str">
        <f>IF('NEW ACCOUNT'!A352="","",'NEW ACCOUNT'!G352)</f>
        <v/>
      </c>
      <c r="H351" s="38" t="str">
        <f>IF('NEW ACCOUNT'!A352="","",'NEW ACCOUNT'!H352)</f>
        <v/>
      </c>
      <c r="I351" s="38" t="str">
        <f>IF('NEW ACCOUNT'!A352="","",'NEW ACCOUNT'!I352)</f>
        <v/>
      </c>
      <c r="J351" s="38" t="str">
        <f>IF('NEW ACCOUNT'!A352="","",'NEW ACCOUNT'!J352)</f>
        <v/>
      </c>
      <c r="K351" s="39" t="str">
        <f>IFERROR(IF(A351="","",SUMIF(DB_Savings!$A:$A,A351,DB_Savings!$F:$F)),"")</f>
        <v/>
      </c>
      <c r="L351" s="39" t="str">
        <f>IFERROR(IF(A351="","",SUMIF(DB_Withdrawals!$A:$A,A351,DB_Withdrawals!$G:$G)),"")</f>
        <v/>
      </c>
      <c r="M351" s="39" t="str">
        <f>IFERROR(IF(A351="","",IFERROR(VALUE(H351),0)+IFERROR(SUMIF(DB_Savings!$A:$A,A351,DB_Savings!$F:$F),0)-IFERROR(SUMIF(DB_Withdrawals!$A:$A,A351,DB_Withdrawals!$G:$G),0)),"")</f>
        <v/>
      </c>
      <c r="N351" s="39" t="str">
        <f>IFERROR(IF(A351="","",MAX(0,M351-System_Config!$B$9)),"")</f>
        <v/>
      </c>
    </row>
    <row r="352" spans="1:14" ht="19.5" customHeight="1" x14ac:dyDescent="0.25">
      <c r="A352" s="37" t="str">
        <f>'NEW ACCOUNT'!A353</f>
        <v/>
      </c>
      <c r="B352" s="38" t="str">
        <f>IF('NEW ACCOUNT'!A353="","",'NEW ACCOUNT'!B353)</f>
        <v/>
      </c>
      <c r="C352" s="38" t="str">
        <f>IF('NEW ACCOUNT'!A353="","",'NEW ACCOUNT'!C353)</f>
        <v/>
      </c>
      <c r="D352" s="38" t="str">
        <f>IF('NEW ACCOUNT'!A353="","",'NEW ACCOUNT'!D353)</f>
        <v/>
      </c>
      <c r="E352" s="38" t="str">
        <f>IF('NEW ACCOUNT'!A353="","",'NEW ACCOUNT'!E353)</f>
        <v/>
      </c>
      <c r="F352" s="38" t="str">
        <f>IF('NEW ACCOUNT'!A353="","",'NEW ACCOUNT'!F353)</f>
        <v/>
      </c>
      <c r="G352" s="38" t="str">
        <f>IF('NEW ACCOUNT'!A353="","",'NEW ACCOUNT'!G353)</f>
        <v/>
      </c>
      <c r="H352" s="38" t="str">
        <f>IF('NEW ACCOUNT'!A353="","",'NEW ACCOUNT'!H353)</f>
        <v/>
      </c>
      <c r="I352" s="38" t="str">
        <f>IF('NEW ACCOUNT'!A353="","",'NEW ACCOUNT'!I353)</f>
        <v/>
      </c>
      <c r="J352" s="38" t="str">
        <f>IF('NEW ACCOUNT'!A353="","",'NEW ACCOUNT'!J353)</f>
        <v/>
      </c>
      <c r="K352" s="39" t="str">
        <f>IFERROR(IF(A352="","",SUMIF(DB_Savings!$A:$A,A352,DB_Savings!$F:$F)),"")</f>
        <v/>
      </c>
      <c r="L352" s="39" t="str">
        <f>IFERROR(IF(A352="","",SUMIF(DB_Withdrawals!$A:$A,A352,DB_Withdrawals!$G:$G)),"")</f>
        <v/>
      </c>
      <c r="M352" s="39" t="str">
        <f>IFERROR(IF(A352="","",IFERROR(VALUE(H352),0)+IFERROR(SUMIF(DB_Savings!$A:$A,A352,DB_Savings!$F:$F),0)-IFERROR(SUMIF(DB_Withdrawals!$A:$A,A352,DB_Withdrawals!$G:$G),0)),"")</f>
        <v/>
      </c>
      <c r="N352" s="39" t="str">
        <f>IFERROR(IF(A352="","",MAX(0,M352-System_Config!$B$9)),"")</f>
        <v/>
      </c>
    </row>
    <row r="353" spans="1:14" ht="19.5" customHeight="1" x14ac:dyDescent="0.25">
      <c r="A353" s="37" t="str">
        <f>'NEW ACCOUNT'!A354</f>
        <v/>
      </c>
      <c r="B353" s="38" t="str">
        <f>IF('NEW ACCOUNT'!A354="","",'NEW ACCOUNT'!B354)</f>
        <v/>
      </c>
      <c r="C353" s="38" t="str">
        <f>IF('NEW ACCOUNT'!A354="","",'NEW ACCOUNT'!C354)</f>
        <v/>
      </c>
      <c r="D353" s="38" t="str">
        <f>IF('NEW ACCOUNT'!A354="","",'NEW ACCOUNT'!D354)</f>
        <v/>
      </c>
      <c r="E353" s="38" t="str">
        <f>IF('NEW ACCOUNT'!A354="","",'NEW ACCOUNT'!E354)</f>
        <v/>
      </c>
      <c r="F353" s="38" t="str">
        <f>IF('NEW ACCOUNT'!A354="","",'NEW ACCOUNT'!F354)</f>
        <v/>
      </c>
      <c r="G353" s="38" t="str">
        <f>IF('NEW ACCOUNT'!A354="","",'NEW ACCOUNT'!G354)</f>
        <v/>
      </c>
      <c r="H353" s="38" t="str">
        <f>IF('NEW ACCOUNT'!A354="","",'NEW ACCOUNT'!H354)</f>
        <v/>
      </c>
      <c r="I353" s="38" t="str">
        <f>IF('NEW ACCOUNT'!A354="","",'NEW ACCOUNT'!I354)</f>
        <v/>
      </c>
      <c r="J353" s="38" t="str">
        <f>IF('NEW ACCOUNT'!A354="","",'NEW ACCOUNT'!J354)</f>
        <v/>
      </c>
      <c r="K353" s="39" t="str">
        <f>IFERROR(IF(A353="","",SUMIF(DB_Savings!$A:$A,A353,DB_Savings!$F:$F)),"")</f>
        <v/>
      </c>
      <c r="L353" s="39" t="str">
        <f>IFERROR(IF(A353="","",SUMIF(DB_Withdrawals!$A:$A,A353,DB_Withdrawals!$G:$G)),"")</f>
        <v/>
      </c>
      <c r="M353" s="39" t="str">
        <f>IFERROR(IF(A353="","",IFERROR(VALUE(H353),0)+IFERROR(SUMIF(DB_Savings!$A:$A,A353,DB_Savings!$F:$F),0)-IFERROR(SUMIF(DB_Withdrawals!$A:$A,A353,DB_Withdrawals!$G:$G),0)),"")</f>
        <v/>
      </c>
      <c r="N353" s="39" t="str">
        <f>IFERROR(IF(A353="","",MAX(0,M353-System_Config!$B$9)),"")</f>
        <v/>
      </c>
    </row>
    <row r="354" spans="1:14" ht="19.5" customHeight="1" x14ac:dyDescent="0.25">
      <c r="A354" s="37" t="str">
        <f>'NEW ACCOUNT'!A355</f>
        <v/>
      </c>
      <c r="B354" s="38" t="str">
        <f>IF('NEW ACCOUNT'!A355="","",'NEW ACCOUNT'!B355)</f>
        <v/>
      </c>
      <c r="C354" s="38" t="str">
        <f>IF('NEW ACCOUNT'!A355="","",'NEW ACCOUNT'!C355)</f>
        <v/>
      </c>
      <c r="D354" s="38" t="str">
        <f>IF('NEW ACCOUNT'!A355="","",'NEW ACCOUNT'!D355)</f>
        <v/>
      </c>
      <c r="E354" s="38" t="str">
        <f>IF('NEW ACCOUNT'!A355="","",'NEW ACCOUNT'!E355)</f>
        <v/>
      </c>
      <c r="F354" s="38" t="str">
        <f>IF('NEW ACCOUNT'!A355="","",'NEW ACCOUNT'!F355)</f>
        <v/>
      </c>
      <c r="G354" s="38" t="str">
        <f>IF('NEW ACCOUNT'!A355="","",'NEW ACCOUNT'!G355)</f>
        <v/>
      </c>
      <c r="H354" s="38" t="str">
        <f>IF('NEW ACCOUNT'!A355="","",'NEW ACCOUNT'!H355)</f>
        <v/>
      </c>
      <c r="I354" s="38" t="str">
        <f>IF('NEW ACCOUNT'!A355="","",'NEW ACCOUNT'!I355)</f>
        <v/>
      </c>
      <c r="J354" s="38" t="str">
        <f>IF('NEW ACCOUNT'!A355="","",'NEW ACCOUNT'!J355)</f>
        <v/>
      </c>
      <c r="K354" s="39" t="str">
        <f>IFERROR(IF(A354="","",SUMIF(DB_Savings!$A:$A,A354,DB_Savings!$F:$F)),"")</f>
        <v/>
      </c>
      <c r="L354" s="39" t="str">
        <f>IFERROR(IF(A354="","",SUMIF(DB_Withdrawals!$A:$A,A354,DB_Withdrawals!$G:$G)),"")</f>
        <v/>
      </c>
      <c r="M354" s="39" t="str">
        <f>IFERROR(IF(A354="","",IFERROR(VALUE(H354),0)+IFERROR(SUMIF(DB_Savings!$A:$A,A354,DB_Savings!$F:$F),0)-IFERROR(SUMIF(DB_Withdrawals!$A:$A,A354,DB_Withdrawals!$G:$G),0)),"")</f>
        <v/>
      </c>
      <c r="N354" s="39" t="str">
        <f>IFERROR(IF(A354="","",MAX(0,M354-System_Config!$B$9)),"")</f>
        <v/>
      </c>
    </row>
    <row r="355" spans="1:14" ht="19.5" customHeight="1" x14ac:dyDescent="0.25">
      <c r="A355" s="37" t="str">
        <f>'NEW ACCOUNT'!A356</f>
        <v/>
      </c>
      <c r="B355" s="38" t="str">
        <f>IF('NEW ACCOUNT'!A356="","",'NEW ACCOUNT'!B356)</f>
        <v/>
      </c>
      <c r="C355" s="38" t="str">
        <f>IF('NEW ACCOUNT'!A356="","",'NEW ACCOUNT'!C356)</f>
        <v/>
      </c>
      <c r="D355" s="38" t="str">
        <f>IF('NEW ACCOUNT'!A356="","",'NEW ACCOUNT'!D356)</f>
        <v/>
      </c>
      <c r="E355" s="38" t="str">
        <f>IF('NEW ACCOUNT'!A356="","",'NEW ACCOUNT'!E356)</f>
        <v/>
      </c>
      <c r="F355" s="38" t="str">
        <f>IF('NEW ACCOUNT'!A356="","",'NEW ACCOUNT'!F356)</f>
        <v/>
      </c>
      <c r="G355" s="38" t="str">
        <f>IF('NEW ACCOUNT'!A356="","",'NEW ACCOUNT'!G356)</f>
        <v/>
      </c>
      <c r="H355" s="38" t="str">
        <f>IF('NEW ACCOUNT'!A356="","",'NEW ACCOUNT'!H356)</f>
        <v/>
      </c>
      <c r="I355" s="38" t="str">
        <f>IF('NEW ACCOUNT'!A356="","",'NEW ACCOUNT'!I356)</f>
        <v/>
      </c>
      <c r="J355" s="38" t="str">
        <f>IF('NEW ACCOUNT'!A356="","",'NEW ACCOUNT'!J356)</f>
        <v/>
      </c>
      <c r="K355" s="39" t="str">
        <f>IFERROR(IF(A355="","",SUMIF(DB_Savings!$A:$A,A355,DB_Savings!$F:$F)),"")</f>
        <v/>
      </c>
      <c r="L355" s="39" t="str">
        <f>IFERROR(IF(A355="","",SUMIF(DB_Withdrawals!$A:$A,A355,DB_Withdrawals!$G:$G)),"")</f>
        <v/>
      </c>
      <c r="M355" s="39" t="str">
        <f>IFERROR(IF(A355="","",IFERROR(VALUE(H355),0)+IFERROR(SUMIF(DB_Savings!$A:$A,A355,DB_Savings!$F:$F),0)-IFERROR(SUMIF(DB_Withdrawals!$A:$A,A355,DB_Withdrawals!$G:$G),0)),"")</f>
        <v/>
      </c>
      <c r="N355" s="39" t="str">
        <f>IFERROR(IF(A355="","",MAX(0,M355-System_Config!$B$9)),"")</f>
        <v/>
      </c>
    </row>
    <row r="356" spans="1:14" ht="19.5" customHeight="1" x14ac:dyDescent="0.25">
      <c r="A356" s="37" t="str">
        <f>'NEW ACCOUNT'!A357</f>
        <v/>
      </c>
      <c r="B356" s="38" t="str">
        <f>IF('NEW ACCOUNT'!A357="","",'NEW ACCOUNT'!B357)</f>
        <v/>
      </c>
      <c r="C356" s="38" t="str">
        <f>IF('NEW ACCOUNT'!A357="","",'NEW ACCOUNT'!C357)</f>
        <v/>
      </c>
      <c r="D356" s="38" t="str">
        <f>IF('NEW ACCOUNT'!A357="","",'NEW ACCOUNT'!D357)</f>
        <v/>
      </c>
      <c r="E356" s="38" t="str">
        <f>IF('NEW ACCOUNT'!A357="","",'NEW ACCOUNT'!E357)</f>
        <v/>
      </c>
      <c r="F356" s="38" t="str">
        <f>IF('NEW ACCOUNT'!A357="","",'NEW ACCOUNT'!F357)</f>
        <v/>
      </c>
      <c r="G356" s="38" t="str">
        <f>IF('NEW ACCOUNT'!A357="","",'NEW ACCOUNT'!G357)</f>
        <v/>
      </c>
      <c r="H356" s="38" t="str">
        <f>IF('NEW ACCOUNT'!A357="","",'NEW ACCOUNT'!H357)</f>
        <v/>
      </c>
      <c r="I356" s="38" t="str">
        <f>IF('NEW ACCOUNT'!A357="","",'NEW ACCOUNT'!I357)</f>
        <v/>
      </c>
      <c r="J356" s="38" t="str">
        <f>IF('NEW ACCOUNT'!A357="","",'NEW ACCOUNT'!J357)</f>
        <v/>
      </c>
      <c r="K356" s="39" t="str">
        <f>IFERROR(IF(A356="","",SUMIF(DB_Savings!$A:$A,A356,DB_Savings!$F:$F)),"")</f>
        <v/>
      </c>
      <c r="L356" s="39" t="str">
        <f>IFERROR(IF(A356="","",SUMIF(DB_Withdrawals!$A:$A,A356,DB_Withdrawals!$G:$G)),"")</f>
        <v/>
      </c>
      <c r="M356" s="39" t="str">
        <f>IFERROR(IF(A356="","",IFERROR(VALUE(H356),0)+IFERROR(SUMIF(DB_Savings!$A:$A,A356,DB_Savings!$F:$F),0)-IFERROR(SUMIF(DB_Withdrawals!$A:$A,A356,DB_Withdrawals!$G:$G),0)),"")</f>
        <v/>
      </c>
      <c r="N356" s="39" t="str">
        <f>IFERROR(IF(A356="","",MAX(0,M356-System_Config!$B$9)),"")</f>
        <v/>
      </c>
    </row>
    <row r="357" spans="1:14" ht="19.5" customHeight="1" x14ac:dyDescent="0.25">
      <c r="A357" s="37" t="str">
        <f>'NEW ACCOUNT'!A358</f>
        <v/>
      </c>
      <c r="B357" s="38" t="str">
        <f>IF('NEW ACCOUNT'!A358="","",'NEW ACCOUNT'!B358)</f>
        <v/>
      </c>
      <c r="C357" s="38" t="str">
        <f>IF('NEW ACCOUNT'!A358="","",'NEW ACCOUNT'!C358)</f>
        <v/>
      </c>
      <c r="D357" s="38" t="str">
        <f>IF('NEW ACCOUNT'!A358="","",'NEW ACCOUNT'!D358)</f>
        <v/>
      </c>
      <c r="E357" s="38" t="str">
        <f>IF('NEW ACCOUNT'!A358="","",'NEW ACCOUNT'!E358)</f>
        <v/>
      </c>
      <c r="F357" s="38" t="str">
        <f>IF('NEW ACCOUNT'!A358="","",'NEW ACCOUNT'!F358)</f>
        <v/>
      </c>
      <c r="G357" s="38" t="str">
        <f>IF('NEW ACCOUNT'!A358="","",'NEW ACCOUNT'!G358)</f>
        <v/>
      </c>
      <c r="H357" s="38" t="str">
        <f>IF('NEW ACCOUNT'!A358="","",'NEW ACCOUNT'!H358)</f>
        <v/>
      </c>
      <c r="I357" s="38" t="str">
        <f>IF('NEW ACCOUNT'!A358="","",'NEW ACCOUNT'!I358)</f>
        <v/>
      </c>
      <c r="J357" s="38" t="str">
        <f>IF('NEW ACCOUNT'!A358="","",'NEW ACCOUNT'!J358)</f>
        <v/>
      </c>
      <c r="K357" s="39" t="str">
        <f>IFERROR(IF(A357="","",SUMIF(DB_Savings!$A:$A,A357,DB_Savings!$F:$F)),"")</f>
        <v/>
      </c>
      <c r="L357" s="39" t="str">
        <f>IFERROR(IF(A357="","",SUMIF(DB_Withdrawals!$A:$A,A357,DB_Withdrawals!$G:$G)),"")</f>
        <v/>
      </c>
      <c r="M357" s="39" t="str">
        <f>IFERROR(IF(A357="","",IFERROR(VALUE(H357),0)+IFERROR(SUMIF(DB_Savings!$A:$A,A357,DB_Savings!$F:$F),0)-IFERROR(SUMIF(DB_Withdrawals!$A:$A,A357,DB_Withdrawals!$G:$G),0)),"")</f>
        <v/>
      </c>
      <c r="N357" s="39" t="str">
        <f>IFERROR(IF(A357="","",MAX(0,M357-System_Config!$B$9)),"")</f>
        <v/>
      </c>
    </row>
    <row r="358" spans="1:14" ht="19.5" customHeight="1" x14ac:dyDescent="0.25">
      <c r="A358" s="37" t="str">
        <f>'NEW ACCOUNT'!A359</f>
        <v/>
      </c>
      <c r="B358" s="38" t="str">
        <f>IF('NEW ACCOUNT'!A359="","",'NEW ACCOUNT'!B359)</f>
        <v/>
      </c>
      <c r="C358" s="38" t="str">
        <f>IF('NEW ACCOUNT'!A359="","",'NEW ACCOUNT'!C359)</f>
        <v/>
      </c>
      <c r="D358" s="38" t="str">
        <f>IF('NEW ACCOUNT'!A359="","",'NEW ACCOUNT'!D359)</f>
        <v/>
      </c>
      <c r="E358" s="38" t="str">
        <f>IF('NEW ACCOUNT'!A359="","",'NEW ACCOUNT'!E359)</f>
        <v/>
      </c>
      <c r="F358" s="38" t="str">
        <f>IF('NEW ACCOUNT'!A359="","",'NEW ACCOUNT'!F359)</f>
        <v/>
      </c>
      <c r="G358" s="38" t="str">
        <f>IF('NEW ACCOUNT'!A359="","",'NEW ACCOUNT'!G359)</f>
        <v/>
      </c>
      <c r="H358" s="38" t="str">
        <f>IF('NEW ACCOUNT'!A359="","",'NEW ACCOUNT'!H359)</f>
        <v/>
      </c>
      <c r="I358" s="38" t="str">
        <f>IF('NEW ACCOUNT'!A359="","",'NEW ACCOUNT'!I359)</f>
        <v/>
      </c>
      <c r="J358" s="38" t="str">
        <f>IF('NEW ACCOUNT'!A359="","",'NEW ACCOUNT'!J359)</f>
        <v/>
      </c>
      <c r="K358" s="39" t="str">
        <f>IFERROR(IF(A358="","",SUMIF(DB_Savings!$A:$A,A358,DB_Savings!$F:$F)),"")</f>
        <v/>
      </c>
      <c r="L358" s="39" t="str">
        <f>IFERROR(IF(A358="","",SUMIF(DB_Withdrawals!$A:$A,A358,DB_Withdrawals!$G:$G)),"")</f>
        <v/>
      </c>
      <c r="M358" s="39" t="str">
        <f>IFERROR(IF(A358="","",IFERROR(VALUE(H358),0)+IFERROR(SUMIF(DB_Savings!$A:$A,A358,DB_Savings!$F:$F),0)-IFERROR(SUMIF(DB_Withdrawals!$A:$A,A358,DB_Withdrawals!$G:$G),0)),"")</f>
        <v/>
      </c>
      <c r="N358" s="39" t="str">
        <f>IFERROR(IF(A358="","",MAX(0,M358-System_Config!$B$9)),"")</f>
        <v/>
      </c>
    </row>
    <row r="359" spans="1:14" ht="19.5" customHeight="1" x14ac:dyDescent="0.25">
      <c r="A359" s="37" t="str">
        <f>'NEW ACCOUNT'!A360</f>
        <v/>
      </c>
      <c r="B359" s="38" t="str">
        <f>IF('NEW ACCOUNT'!A360="","",'NEW ACCOUNT'!B360)</f>
        <v/>
      </c>
      <c r="C359" s="38" t="str">
        <f>IF('NEW ACCOUNT'!A360="","",'NEW ACCOUNT'!C360)</f>
        <v/>
      </c>
      <c r="D359" s="38" t="str">
        <f>IF('NEW ACCOUNT'!A360="","",'NEW ACCOUNT'!D360)</f>
        <v/>
      </c>
      <c r="E359" s="38" t="str">
        <f>IF('NEW ACCOUNT'!A360="","",'NEW ACCOUNT'!E360)</f>
        <v/>
      </c>
      <c r="F359" s="38" t="str">
        <f>IF('NEW ACCOUNT'!A360="","",'NEW ACCOUNT'!F360)</f>
        <v/>
      </c>
      <c r="G359" s="38" t="str">
        <f>IF('NEW ACCOUNT'!A360="","",'NEW ACCOUNT'!G360)</f>
        <v/>
      </c>
      <c r="H359" s="38" t="str">
        <f>IF('NEW ACCOUNT'!A360="","",'NEW ACCOUNT'!H360)</f>
        <v/>
      </c>
      <c r="I359" s="38" t="str">
        <f>IF('NEW ACCOUNT'!A360="","",'NEW ACCOUNT'!I360)</f>
        <v/>
      </c>
      <c r="J359" s="38" t="str">
        <f>IF('NEW ACCOUNT'!A360="","",'NEW ACCOUNT'!J360)</f>
        <v/>
      </c>
      <c r="K359" s="39" t="str">
        <f>IFERROR(IF(A359="","",SUMIF(DB_Savings!$A:$A,A359,DB_Savings!$F:$F)),"")</f>
        <v/>
      </c>
      <c r="L359" s="39" t="str">
        <f>IFERROR(IF(A359="","",SUMIF(DB_Withdrawals!$A:$A,A359,DB_Withdrawals!$G:$G)),"")</f>
        <v/>
      </c>
      <c r="M359" s="39" t="str">
        <f>IFERROR(IF(A359="","",IFERROR(VALUE(H359),0)+IFERROR(SUMIF(DB_Savings!$A:$A,A359,DB_Savings!$F:$F),0)-IFERROR(SUMIF(DB_Withdrawals!$A:$A,A359,DB_Withdrawals!$G:$G),0)),"")</f>
        <v/>
      </c>
      <c r="N359" s="39" t="str">
        <f>IFERROR(IF(A359="","",MAX(0,M359-System_Config!$B$9)),"")</f>
        <v/>
      </c>
    </row>
    <row r="360" spans="1:14" ht="19.5" customHeight="1" x14ac:dyDescent="0.25">
      <c r="A360" s="37" t="str">
        <f>'NEW ACCOUNT'!A361</f>
        <v/>
      </c>
      <c r="B360" s="38" t="str">
        <f>IF('NEW ACCOUNT'!A361="","",'NEW ACCOUNT'!B361)</f>
        <v/>
      </c>
      <c r="C360" s="38" t="str">
        <f>IF('NEW ACCOUNT'!A361="","",'NEW ACCOUNT'!C361)</f>
        <v/>
      </c>
      <c r="D360" s="38" t="str">
        <f>IF('NEW ACCOUNT'!A361="","",'NEW ACCOUNT'!D361)</f>
        <v/>
      </c>
      <c r="E360" s="38" t="str">
        <f>IF('NEW ACCOUNT'!A361="","",'NEW ACCOUNT'!E361)</f>
        <v/>
      </c>
      <c r="F360" s="38" t="str">
        <f>IF('NEW ACCOUNT'!A361="","",'NEW ACCOUNT'!F361)</f>
        <v/>
      </c>
      <c r="G360" s="38" t="str">
        <f>IF('NEW ACCOUNT'!A361="","",'NEW ACCOUNT'!G361)</f>
        <v/>
      </c>
      <c r="H360" s="38" t="str">
        <f>IF('NEW ACCOUNT'!A361="","",'NEW ACCOUNT'!H361)</f>
        <v/>
      </c>
      <c r="I360" s="38" t="str">
        <f>IF('NEW ACCOUNT'!A361="","",'NEW ACCOUNT'!I361)</f>
        <v/>
      </c>
      <c r="J360" s="38" t="str">
        <f>IF('NEW ACCOUNT'!A361="","",'NEW ACCOUNT'!J361)</f>
        <v/>
      </c>
      <c r="K360" s="39" t="str">
        <f>IFERROR(IF(A360="","",SUMIF(DB_Savings!$A:$A,A360,DB_Savings!$F:$F)),"")</f>
        <v/>
      </c>
      <c r="L360" s="39" t="str">
        <f>IFERROR(IF(A360="","",SUMIF(DB_Withdrawals!$A:$A,A360,DB_Withdrawals!$G:$G)),"")</f>
        <v/>
      </c>
      <c r="M360" s="39" t="str">
        <f>IFERROR(IF(A360="","",IFERROR(VALUE(H360),0)+IFERROR(SUMIF(DB_Savings!$A:$A,A360,DB_Savings!$F:$F),0)-IFERROR(SUMIF(DB_Withdrawals!$A:$A,A360,DB_Withdrawals!$G:$G),0)),"")</f>
        <v/>
      </c>
      <c r="N360" s="39" t="str">
        <f>IFERROR(IF(A360="","",MAX(0,M360-System_Config!$B$9)),"")</f>
        <v/>
      </c>
    </row>
    <row r="361" spans="1:14" ht="19.5" customHeight="1" x14ac:dyDescent="0.25">
      <c r="A361" s="37" t="str">
        <f>'NEW ACCOUNT'!A362</f>
        <v/>
      </c>
      <c r="B361" s="38" t="str">
        <f>IF('NEW ACCOUNT'!A362="","",'NEW ACCOUNT'!B362)</f>
        <v/>
      </c>
      <c r="C361" s="38" t="str">
        <f>IF('NEW ACCOUNT'!A362="","",'NEW ACCOUNT'!C362)</f>
        <v/>
      </c>
      <c r="D361" s="38" t="str">
        <f>IF('NEW ACCOUNT'!A362="","",'NEW ACCOUNT'!D362)</f>
        <v/>
      </c>
      <c r="E361" s="38" t="str">
        <f>IF('NEW ACCOUNT'!A362="","",'NEW ACCOUNT'!E362)</f>
        <v/>
      </c>
      <c r="F361" s="38" t="str">
        <f>IF('NEW ACCOUNT'!A362="","",'NEW ACCOUNT'!F362)</f>
        <v/>
      </c>
      <c r="G361" s="38" t="str">
        <f>IF('NEW ACCOUNT'!A362="","",'NEW ACCOUNT'!G362)</f>
        <v/>
      </c>
      <c r="H361" s="38" t="str">
        <f>IF('NEW ACCOUNT'!A362="","",'NEW ACCOUNT'!H362)</f>
        <v/>
      </c>
      <c r="I361" s="38" t="str">
        <f>IF('NEW ACCOUNT'!A362="","",'NEW ACCOUNT'!I362)</f>
        <v/>
      </c>
      <c r="J361" s="38" t="str">
        <f>IF('NEW ACCOUNT'!A362="","",'NEW ACCOUNT'!J362)</f>
        <v/>
      </c>
      <c r="K361" s="39" t="str">
        <f>IFERROR(IF(A361="","",SUMIF(DB_Savings!$A:$A,A361,DB_Savings!$F:$F)),"")</f>
        <v/>
      </c>
      <c r="L361" s="39" t="str">
        <f>IFERROR(IF(A361="","",SUMIF(DB_Withdrawals!$A:$A,A361,DB_Withdrawals!$G:$G)),"")</f>
        <v/>
      </c>
      <c r="M361" s="39" t="str">
        <f>IFERROR(IF(A361="","",IFERROR(VALUE(H361),0)+IFERROR(SUMIF(DB_Savings!$A:$A,A361,DB_Savings!$F:$F),0)-IFERROR(SUMIF(DB_Withdrawals!$A:$A,A361,DB_Withdrawals!$G:$G),0)),"")</f>
        <v/>
      </c>
      <c r="N361" s="39" t="str">
        <f>IFERROR(IF(A361="","",MAX(0,M361-System_Config!$B$9)),"")</f>
        <v/>
      </c>
    </row>
    <row r="362" spans="1:14" ht="19.5" customHeight="1" x14ac:dyDescent="0.25">
      <c r="A362" s="37" t="str">
        <f>'NEW ACCOUNT'!A363</f>
        <v/>
      </c>
      <c r="B362" s="38" t="str">
        <f>IF('NEW ACCOUNT'!A363="","",'NEW ACCOUNT'!B363)</f>
        <v/>
      </c>
      <c r="C362" s="38" t="str">
        <f>IF('NEW ACCOUNT'!A363="","",'NEW ACCOUNT'!C363)</f>
        <v/>
      </c>
      <c r="D362" s="38" t="str">
        <f>IF('NEW ACCOUNT'!A363="","",'NEW ACCOUNT'!D363)</f>
        <v/>
      </c>
      <c r="E362" s="38" t="str">
        <f>IF('NEW ACCOUNT'!A363="","",'NEW ACCOUNT'!E363)</f>
        <v/>
      </c>
      <c r="F362" s="38" t="str">
        <f>IF('NEW ACCOUNT'!A363="","",'NEW ACCOUNT'!F363)</f>
        <v/>
      </c>
      <c r="G362" s="38" t="str">
        <f>IF('NEW ACCOUNT'!A363="","",'NEW ACCOUNT'!G363)</f>
        <v/>
      </c>
      <c r="H362" s="38" t="str">
        <f>IF('NEW ACCOUNT'!A363="","",'NEW ACCOUNT'!H363)</f>
        <v/>
      </c>
      <c r="I362" s="38" t="str">
        <f>IF('NEW ACCOUNT'!A363="","",'NEW ACCOUNT'!I363)</f>
        <v/>
      </c>
      <c r="J362" s="38" t="str">
        <f>IF('NEW ACCOUNT'!A363="","",'NEW ACCOUNT'!J363)</f>
        <v/>
      </c>
      <c r="K362" s="39" t="str">
        <f>IFERROR(IF(A362="","",SUMIF(DB_Savings!$A:$A,A362,DB_Savings!$F:$F)),"")</f>
        <v/>
      </c>
      <c r="L362" s="39" t="str">
        <f>IFERROR(IF(A362="","",SUMIF(DB_Withdrawals!$A:$A,A362,DB_Withdrawals!$G:$G)),"")</f>
        <v/>
      </c>
      <c r="M362" s="39" t="str">
        <f>IFERROR(IF(A362="","",IFERROR(VALUE(H362),0)+IFERROR(SUMIF(DB_Savings!$A:$A,A362,DB_Savings!$F:$F),0)-IFERROR(SUMIF(DB_Withdrawals!$A:$A,A362,DB_Withdrawals!$G:$G),0)),"")</f>
        <v/>
      </c>
      <c r="N362" s="39" t="str">
        <f>IFERROR(IF(A362="","",MAX(0,M362-System_Config!$B$9)),"")</f>
        <v/>
      </c>
    </row>
    <row r="363" spans="1:14" ht="19.5" customHeight="1" x14ac:dyDescent="0.25">
      <c r="A363" s="37" t="str">
        <f>'NEW ACCOUNT'!A364</f>
        <v/>
      </c>
      <c r="B363" s="38" t="str">
        <f>IF('NEW ACCOUNT'!A364="","",'NEW ACCOUNT'!B364)</f>
        <v/>
      </c>
      <c r="C363" s="38" t="str">
        <f>IF('NEW ACCOUNT'!A364="","",'NEW ACCOUNT'!C364)</f>
        <v/>
      </c>
      <c r="D363" s="38" t="str">
        <f>IF('NEW ACCOUNT'!A364="","",'NEW ACCOUNT'!D364)</f>
        <v/>
      </c>
      <c r="E363" s="38" t="str">
        <f>IF('NEW ACCOUNT'!A364="","",'NEW ACCOUNT'!E364)</f>
        <v/>
      </c>
      <c r="F363" s="38" t="str">
        <f>IF('NEW ACCOUNT'!A364="","",'NEW ACCOUNT'!F364)</f>
        <v/>
      </c>
      <c r="G363" s="38" t="str">
        <f>IF('NEW ACCOUNT'!A364="","",'NEW ACCOUNT'!G364)</f>
        <v/>
      </c>
      <c r="H363" s="38" t="str">
        <f>IF('NEW ACCOUNT'!A364="","",'NEW ACCOUNT'!H364)</f>
        <v/>
      </c>
      <c r="I363" s="38" t="str">
        <f>IF('NEW ACCOUNT'!A364="","",'NEW ACCOUNT'!I364)</f>
        <v/>
      </c>
      <c r="J363" s="38" t="str">
        <f>IF('NEW ACCOUNT'!A364="","",'NEW ACCOUNT'!J364)</f>
        <v/>
      </c>
      <c r="K363" s="39" t="str">
        <f>IFERROR(IF(A363="","",SUMIF(DB_Savings!$A:$A,A363,DB_Savings!$F:$F)),"")</f>
        <v/>
      </c>
      <c r="L363" s="39" t="str">
        <f>IFERROR(IF(A363="","",SUMIF(DB_Withdrawals!$A:$A,A363,DB_Withdrawals!$G:$G)),"")</f>
        <v/>
      </c>
      <c r="M363" s="39" t="str">
        <f>IFERROR(IF(A363="","",IFERROR(VALUE(H363),0)+IFERROR(SUMIF(DB_Savings!$A:$A,A363,DB_Savings!$F:$F),0)-IFERROR(SUMIF(DB_Withdrawals!$A:$A,A363,DB_Withdrawals!$G:$G),0)),"")</f>
        <v/>
      </c>
      <c r="N363" s="39" t="str">
        <f>IFERROR(IF(A363="","",MAX(0,M363-System_Config!$B$9)),"")</f>
        <v/>
      </c>
    </row>
    <row r="364" spans="1:14" ht="19.5" customHeight="1" x14ac:dyDescent="0.25">
      <c r="A364" s="37" t="str">
        <f>'NEW ACCOUNT'!A365</f>
        <v/>
      </c>
      <c r="B364" s="38" t="str">
        <f>IF('NEW ACCOUNT'!A365="","",'NEW ACCOUNT'!B365)</f>
        <v/>
      </c>
      <c r="C364" s="38" t="str">
        <f>IF('NEW ACCOUNT'!A365="","",'NEW ACCOUNT'!C365)</f>
        <v/>
      </c>
      <c r="D364" s="38" t="str">
        <f>IF('NEW ACCOUNT'!A365="","",'NEW ACCOUNT'!D365)</f>
        <v/>
      </c>
      <c r="E364" s="38" t="str">
        <f>IF('NEW ACCOUNT'!A365="","",'NEW ACCOUNT'!E365)</f>
        <v/>
      </c>
      <c r="F364" s="38" t="str">
        <f>IF('NEW ACCOUNT'!A365="","",'NEW ACCOUNT'!F365)</f>
        <v/>
      </c>
      <c r="G364" s="38" t="str">
        <f>IF('NEW ACCOUNT'!A365="","",'NEW ACCOUNT'!G365)</f>
        <v/>
      </c>
      <c r="H364" s="38" t="str">
        <f>IF('NEW ACCOUNT'!A365="","",'NEW ACCOUNT'!H365)</f>
        <v/>
      </c>
      <c r="I364" s="38" t="str">
        <f>IF('NEW ACCOUNT'!A365="","",'NEW ACCOUNT'!I365)</f>
        <v/>
      </c>
      <c r="J364" s="38" t="str">
        <f>IF('NEW ACCOUNT'!A365="","",'NEW ACCOUNT'!J365)</f>
        <v/>
      </c>
      <c r="K364" s="39" t="str">
        <f>IFERROR(IF(A364="","",SUMIF(DB_Savings!$A:$A,A364,DB_Savings!$F:$F)),"")</f>
        <v/>
      </c>
      <c r="L364" s="39" t="str">
        <f>IFERROR(IF(A364="","",SUMIF(DB_Withdrawals!$A:$A,A364,DB_Withdrawals!$G:$G)),"")</f>
        <v/>
      </c>
      <c r="M364" s="39" t="str">
        <f>IFERROR(IF(A364="","",IFERROR(VALUE(H364),0)+IFERROR(SUMIF(DB_Savings!$A:$A,A364,DB_Savings!$F:$F),0)-IFERROR(SUMIF(DB_Withdrawals!$A:$A,A364,DB_Withdrawals!$G:$G),0)),"")</f>
        <v/>
      </c>
      <c r="N364" s="39" t="str">
        <f>IFERROR(IF(A364="","",MAX(0,M364-System_Config!$B$9)),"")</f>
        <v/>
      </c>
    </row>
    <row r="365" spans="1:14" ht="19.5" customHeight="1" x14ac:dyDescent="0.25">
      <c r="A365" s="37" t="str">
        <f>'NEW ACCOUNT'!A366</f>
        <v/>
      </c>
      <c r="B365" s="38" t="str">
        <f>IF('NEW ACCOUNT'!A366="","",'NEW ACCOUNT'!B366)</f>
        <v/>
      </c>
      <c r="C365" s="38" t="str">
        <f>IF('NEW ACCOUNT'!A366="","",'NEW ACCOUNT'!C366)</f>
        <v/>
      </c>
      <c r="D365" s="38" t="str">
        <f>IF('NEW ACCOUNT'!A366="","",'NEW ACCOUNT'!D366)</f>
        <v/>
      </c>
      <c r="E365" s="38" t="str">
        <f>IF('NEW ACCOUNT'!A366="","",'NEW ACCOUNT'!E366)</f>
        <v/>
      </c>
      <c r="F365" s="38" t="str">
        <f>IF('NEW ACCOUNT'!A366="","",'NEW ACCOUNT'!F366)</f>
        <v/>
      </c>
      <c r="G365" s="38" t="str">
        <f>IF('NEW ACCOUNT'!A366="","",'NEW ACCOUNT'!G366)</f>
        <v/>
      </c>
      <c r="H365" s="38" t="str">
        <f>IF('NEW ACCOUNT'!A366="","",'NEW ACCOUNT'!H366)</f>
        <v/>
      </c>
      <c r="I365" s="38" t="str">
        <f>IF('NEW ACCOUNT'!A366="","",'NEW ACCOUNT'!I366)</f>
        <v/>
      </c>
      <c r="J365" s="38" t="str">
        <f>IF('NEW ACCOUNT'!A366="","",'NEW ACCOUNT'!J366)</f>
        <v/>
      </c>
      <c r="K365" s="39" t="str">
        <f>IFERROR(IF(A365="","",SUMIF(DB_Savings!$A:$A,A365,DB_Savings!$F:$F)),"")</f>
        <v/>
      </c>
      <c r="L365" s="39" t="str">
        <f>IFERROR(IF(A365="","",SUMIF(DB_Withdrawals!$A:$A,A365,DB_Withdrawals!$G:$G)),"")</f>
        <v/>
      </c>
      <c r="M365" s="39" t="str">
        <f>IFERROR(IF(A365="","",IFERROR(VALUE(H365),0)+IFERROR(SUMIF(DB_Savings!$A:$A,A365,DB_Savings!$F:$F),0)-IFERROR(SUMIF(DB_Withdrawals!$A:$A,A365,DB_Withdrawals!$G:$G),0)),"")</f>
        <v/>
      </c>
      <c r="N365" s="39" t="str">
        <f>IFERROR(IF(A365="","",MAX(0,M365-System_Config!$B$9)),"")</f>
        <v/>
      </c>
    </row>
    <row r="366" spans="1:14" ht="19.5" customHeight="1" x14ac:dyDescent="0.25">
      <c r="A366" s="37" t="str">
        <f>'NEW ACCOUNT'!A367</f>
        <v/>
      </c>
      <c r="B366" s="38" t="str">
        <f>IF('NEW ACCOUNT'!A367="","",'NEW ACCOUNT'!B367)</f>
        <v/>
      </c>
      <c r="C366" s="38" t="str">
        <f>IF('NEW ACCOUNT'!A367="","",'NEW ACCOUNT'!C367)</f>
        <v/>
      </c>
      <c r="D366" s="38" t="str">
        <f>IF('NEW ACCOUNT'!A367="","",'NEW ACCOUNT'!D367)</f>
        <v/>
      </c>
      <c r="E366" s="38" t="str">
        <f>IF('NEW ACCOUNT'!A367="","",'NEW ACCOUNT'!E367)</f>
        <v/>
      </c>
      <c r="F366" s="38" t="str">
        <f>IF('NEW ACCOUNT'!A367="","",'NEW ACCOUNT'!F367)</f>
        <v/>
      </c>
      <c r="G366" s="38" t="str">
        <f>IF('NEW ACCOUNT'!A367="","",'NEW ACCOUNT'!G367)</f>
        <v/>
      </c>
      <c r="H366" s="38" t="str">
        <f>IF('NEW ACCOUNT'!A367="","",'NEW ACCOUNT'!H367)</f>
        <v/>
      </c>
      <c r="I366" s="38" t="str">
        <f>IF('NEW ACCOUNT'!A367="","",'NEW ACCOUNT'!I367)</f>
        <v/>
      </c>
      <c r="J366" s="38" t="str">
        <f>IF('NEW ACCOUNT'!A367="","",'NEW ACCOUNT'!J367)</f>
        <v/>
      </c>
      <c r="K366" s="39" t="str">
        <f>IFERROR(IF(A366="","",SUMIF(DB_Savings!$A:$A,A366,DB_Savings!$F:$F)),"")</f>
        <v/>
      </c>
      <c r="L366" s="39" t="str">
        <f>IFERROR(IF(A366="","",SUMIF(DB_Withdrawals!$A:$A,A366,DB_Withdrawals!$G:$G)),"")</f>
        <v/>
      </c>
      <c r="M366" s="39" t="str">
        <f>IFERROR(IF(A366="","",IFERROR(VALUE(H366),0)+IFERROR(SUMIF(DB_Savings!$A:$A,A366,DB_Savings!$F:$F),0)-IFERROR(SUMIF(DB_Withdrawals!$A:$A,A366,DB_Withdrawals!$G:$G),0)),"")</f>
        <v/>
      </c>
      <c r="N366" s="39" t="str">
        <f>IFERROR(IF(A366="","",MAX(0,M366-System_Config!$B$9)),"")</f>
        <v/>
      </c>
    </row>
    <row r="367" spans="1:14" ht="19.5" customHeight="1" x14ac:dyDescent="0.25">
      <c r="A367" s="37" t="str">
        <f>'NEW ACCOUNT'!A368</f>
        <v/>
      </c>
      <c r="B367" s="38" t="str">
        <f>IF('NEW ACCOUNT'!A368="","",'NEW ACCOUNT'!B368)</f>
        <v/>
      </c>
      <c r="C367" s="38" t="str">
        <f>IF('NEW ACCOUNT'!A368="","",'NEW ACCOUNT'!C368)</f>
        <v/>
      </c>
      <c r="D367" s="38" t="str">
        <f>IF('NEW ACCOUNT'!A368="","",'NEW ACCOUNT'!D368)</f>
        <v/>
      </c>
      <c r="E367" s="38" t="str">
        <f>IF('NEW ACCOUNT'!A368="","",'NEW ACCOUNT'!E368)</f>
        <v/>
      </c>
      <c r="F367" s="38" t="str">
        <f>IF('NEW ACCOUNT'!A368="","",'NEW ACCOUNT'!F368)</f>
        <v/>
      </c>
      <c r="G367" s="38" t="str">
        <f>IF('NEW ACCOUNT'!A368="","",'NEW ACCOUNT'!G368)</f>
        <v/>
      </c>
      <c r="H367" s="38" t="str">
        <f>IF('NEW ACCOUNT'!A368="","",'NEW ACCOUNT'!H368)</f>
        <v/>
      </c>
      <c r="I367" s="38" t="str">
        <f>IF('NEW ACCOUNT'!A368="","",'NEW ACCOUNT'!I368)</f>
        <v/>
      </c>
      <c r="J367" s="38" t="str">
        <f>IF('NEW ACCOUNT'!A368="","",'NEW ACCOUNT'!J368)</f>
        <v/>
      </c>
      <c r="K367" s="39" t="str">
        <f>IFERROR(IF(A367="","",SUMIF(DB_Savings!$A:$A,A367,DB_Savings!$F:$F)),"")</f>
        <v/>
      </c>
      <c r="L367" s="39" t="str">
        <f>IFERROR(IF(A367="","",SUMIF(DB_Withdrawals!$A:$A,A367,DB_Withdrawals!$G:$G)),"")</f>
        <v/>
      </c>
      <c r="M367" s="39" t="str">
        <f>IFERROR(IF(A367="","",IFERROR(VALUE(H367),0)+IFERROR(SUMIF(DB_Savings!$A:$A,A367,DB_Savings!$F:$F),0)-IFERROR(SUMIF(DB_Withdrawals!$A:$A,A367,DB_Withdrawals!$G:$G),0)),"")</f>
        <v/>
      </c>
      <c r="N367" s="39" t="str">
        <f>IFERROR(IF(A367="","",MAX(0,M367-System_Config!$B$9)),"")</f>
        <v/>
      </c>
    </row>
    <row r="368" spans="1:14" ht="19.5" customHeight="1" x14ac:dyDescent="0.25">
      <c r="A368" s="37" t="str">
        <f>'NEW ACCOUNT'!A369</f>
        <v/>
      </c>
      <c r="B368" s="38" t="str">
        <f>IF('NEW ACCOUNT'!A369="","",'NEW ACCOUNT'!B369)</f>
        <v/>
      </c>
      <c r="C368" s="38" t="str">
        <f>IF('NEW ACCOUNT'!A369="","",'NEW ACCOUNT'!C369)</f>
        <v/>
      </c>
      <c r="D368" s="38" t="str">
        <f>IF('NEW ACCOUNT'!A369="","",'NEW ACCOUNT'!D369)</f>
        <v/>
      </c>
      <c r="E368" s="38" t="str">
        <f>IF('NEW ACCOUNT'!A369="","",'NEW ACCOUNT'!E369)</f>
        <v/>
      </c>
      <c r="F368" s="38" t="str">
        <f>IF('NEW ACCOUNT'!A369="","",'NEW ACCOUNT'!F369)</f>
        <v/>
      </c>
      <c r="G368" s="38" t="str">
        <f>IF('NEW ACCOUNT'!A369="","",'NEW ACCOUNT'!G369)</f>
        <v/>
      </c>
      <c r="H368" s="38" t="str">
        <f>IF('NEW ACCOUNT'!A369="","",'NEW ACCOUNT'!H369)</f>
        <v/>
      </c>
      <c r="I368" s="38" t="str">
        <f>IF('NEW ACCOUNT'!A369="","",'NEW ACCOUNT'!I369)</f>
        <v/>
      </c>
      <c r="J368" s="38" t="str">
        <f>IF('NEW ACCOUNT'!A369="","",'NEW ACCOUNT'!J369)</f>
        <v/>
      </c>
      <c r="K368" s="39" t="str">
        <f>IFERROR(IF(A368="","",SUMIF(DB_Savings!$A:$A,A368,DB_Savings!$F:$F)),"")</f>
        <v/>
      </c>
      <c r="L368" s="39" t="str">
        <f>IFERROR(IF(A368="","",SUMIF(DB_Withdrawals!$A:$A,A368,DB_Withdrawals!$G:$G)),"")</f>
        <v/>
      </c>
      <c r="M368" s="39" t="str">
        <f>IFERROR(IF(A368="","",IFERROR(VALUE(H368),0)+IFERROR(SUMIF(DB_Savings!$A:$A,A368,DB_Savings!$F:$F),0)-IFERROR(SUMIF(DB_Withdrawals!$A:$A,A368,DB_Withdrawals!$G:$G),0)),"")</f>
        <v/>
      </c>
      <c r="N368" s="39" t="str">
        <f>IFERROR(IF(A368="","",MAX(0,M368-System_Config!$B$9)),"")</f>
        <v/>
      </c>
    </row>
    <row r="369" spans="1:14" ht="19.5" customHeight="1" x14ac:dyDescent="0.25">
      <c r="A369" s="37" t="str">
        <f>'NEW ACCOUNT'!A370</f>
        <v/>
      </c>
      <c r="B369" s="38" t="str">
        <f>IF('NEW ACCOUNT'!A370="","",'NEW ACCOUNT'!B370)</f>
        <v/>
      </c>
      <c r="C369" s="38" t="str">
        <f>IF('NEW ACCOUNT'!A370="","",'NEW ACCOUNT'!C370)</f>
        <v/>
      </c>
      <c r="D369" s="38" t="str">
        <f>IF('NEW ACCOUNT'!A370="","",'NEW ACCOUNT'!D370)</f>
        <v/>
      </c>
      <c r="E369" s="38" t="str">
        <f>IF('NEW ACCOUNT'!A370="","",'NEW ACCOUNT'!E370)</f>
        <v/>
      </c>
      <c r="F369" s="38" t="str">
        <f>IF('NEW ACCOUNT'!A370="","",'NEW ACCOUNT'!F370)</f>
        <v/>
      </c>
      <c r="G369" s="38" t="str">
        <f>IF('NEW ACCOUNT'!A370="","",'NEW ACCOUNT'!G370)</f>
        <v/>
      </c>
      <c r="H369" s="38" t="str">
        <f>IF('NEW ACCOUNT'!A370="","",'NEW ACCOUNT'!H370)</f>
        <v/>
      </c>
      <c r="I369" s="38" t="str">
        <f>IF('NEW ACCOUNT'!A370="","",'NEW ACCOUNT'!I370)</f>
        <v/>
      </c>
      <c r="J369" s="38" t="str">
        <f>IF('NEW ACCOUNT'!A370="","",'NEW ACCOUNT'!J370)</f>
        <v/>
      </c>
      <c r="K369" s="39" t="str">
        <f>IFERROR(IF(A369="","",SUMIF(DB_Savings!$A:$A,A369,DB_Savings!$F:$F)),"")</f>
        <v/>
      </c>
      <c r="L369" s="39" t="str">
        <f>IFERROR(IF(A369="","",SUMIF(DB_Withdrawals!$A:$A,A369,DB_Withdrawals!$G:$G)),"")</f>
        <v/>
      </c>
      <c r="M369" s="39" t="str">
        <f>IFERROR(IF(A369="","",IFERROR(VALUE(H369),0)+IFERROR(SUMIF(DB_Savings!$A:$A,A369,DB_Savings!$F:$F),0)-IFERROR(SUMIF(DB_Withdrawals!$A:$A,A369,DB_Withdrawals!$G:$G),0)),"")</f>
        <v/>
      </c>
      <c r="N369" s="39" t="str">
        <f>IFERROR(IF(A369="","",MAX(0,M369-System_Config!$B$9)),"")</f>
        <v/>
      </c>
    </row>
    <row r="370" spans="1:14" ht="19.5" customHeight="1" x14ac:dyDescent="0.25">
      <c r="A370" s="37" t="str">
        <f>'NEW ACCOUNT'!A371</f>
        <v/>
      </c>
      <c r="B370" s="38" t="str">
        <f>IF('NEW ACCOUNT'!A371="","",'NEW ACCOUNT'!B371)</f>
        <v/>
      </c>
      <c r="C370" s="38" t="str">
        <f>IF('NEW ACCOUNT'!A371="","",'NEW ACCOUNT'!C371)</f>
        <v/>
      </c>
      <c r="D370" s="38" t="str">
        <f>IF('NEW ACCOUNT'!A371="","",'NEW ACCOUNT'!D371)</f>
        <v/>
      </c>
      <c r="E370" s="38" t="str">
        <f>IF('NEW ACCOUNT'!A371="","",'NEW ACCOUNT'!E371)</f>
        <v/>
      </c>
      <c r="F370" s="38" t="str">
        <f>IF('NEW ACCOUNT'!A371="","",'NEW ACCOUNT'!F371)</f>
        <v/>
      </c>
      <c r="G370" s="38" t="str">
        <f>IF('NEW ACCOUNT'!A371="","",'NEW ACCOUNT'!G371)</f>
        <v/>
      </c>
      <c r="H370" s="38" t="str">
        <f>IF('NEW ACCOUNT'!A371="","",'NEW ACCOUNT'!H371)</f>
        <v/>
      </c>
      <c r="I370" s="38" t="str">
        <f>IF('NEW ACCOUNT'!A371="","",'NEW ACCOUNT'!I371)</f>
        <v/>
      </c>
      <c r="J370" s="38" t="str">
        <f>IF('NEW ACCOUNT'!A371="","",'NEW ACCOUNT'!J371)</f>
        <v/>
      </c>
      <c r="K370" s="39" t="str">
        <f>IFERROR(IF(A370="","",SUMIF(DB_Savings!$A:$A,A370,DB_Savings!$F:$F)),"")</f>
        <v/>
      </c>
      <c r="L370" s="39" t="str">
        <f>IFERROR(IF(A370="","",SUMIF(DB_Withdrawals!$A:$A,A370,DB_Withdrawals!$G:$G)),"")</f>
        <v/>
      </c>
      <c r="M370" s="39" t="str">
        <f>IFERROR(IF(A370="","",IFERROR(VALUE(H370),0)+IFERROR(SUMIF(DB_Savings!$A:$A,A370,DB_Savings!$F:$F),0)-IFERROR(SUMIF(DB_Withdrawals!$A:$A,A370,DB_Withdrawals!$G:$G),0)),"")</f>
        <v/>
      </c>
      <c r="N370" s="39" t="str">
        <f>IFERROR(IF(A370="","",MAX(0,M370-System_Config!$B$9)),"")</f>
        <v/>
      </c>
    </row>
    <row r="371" spans="1:14" ht="19.5" customHeight="1" x14ac:dyDescent="0.25">
      <c r="A371" s="37" t="str">
        <f>'NEW ACCOUNT'!A372</f>
        <v/>
      </c>
      <c r="B371" s="38" t="str">
        <f>IF('NEW ACCOUNT'!A372="","",'NEW ACCOUNT'!B372)</f>
        <v/>
      </c>
      <c r="C371" s="38" t="str">
        <f>IF('NEW ACCOUNT'!A372="","",'NEW ACCOUNT'!C372)</f>
        <v/>
      </c>
      <c r="D371" s="38" t="str">
        <f>IF('NEW ACCOUNT'!A372="","",'NEW ACCOUNT'!D372)</f>
        <v/>
      </c>
      <c r="E371" s="38" t="str">
        <f>IF('NEW ACCOUNT'!A372="","",'NEW ACCOUNT'!E372)</f>
        <v/>
      </c>
      <c r="F371" s="38" t="str">
        <f>IF('NEW ACCOUNT'!A372="","",'NEW ACCOUNT'!F372)</f>
        <v/>
      </c>
      <c r="G371" s="38" t="str">
        <f>IF('NEW ACCOUNT'!A372="","",'NEW ACCOUNT'!G372)</f>
        <v/>
      </c>
      <c r="H371" s="38" t="str">
        <f>IF('NEW ACCOUNT'!A372="","",'NEW ACCOUNT'!H372)</f>
        <v/>
      </c>
      <c r="I371" s="38" t="str">
        <f>IF('NEW ACCOUNT'!A372="","",'NEW ACCOUNT'!I372)</f>
        <v/>
      </c>
      <c r="J371" s="38" t="str">
        <f>IF('NEW ACCOUNT'!A372="","",'NEW ACCOUNT'!J372)</f>
        <v/>
      </c>
      <c r="K371" s="39" t="str">
        <f>IFERROR(IF(A371="","",SUMIF(DB_Savings!$A:$A,A371,DB_Savings!$F:$F)),"")</f>
        <v/>
      </c>
      <c r="L371" s="39" t="str">
        <f>IFERROR(IF(A371="","",SUMIF(DB_Withdrawals!$A:$A,A371,DB_Withdrawals!$G:$G)),"")</f>
        <v/>
      </c>
      <c r="M371" s="39" t="str">
        <f>IFERROR(IF(A371="","",IFERROR(VALUE(H371),0)+IFERROR(SUMIF(DB_Savings!$A:$A,A371,DB_Savings!$F:$F),0)-IFERROR(SUMIF(DB_Withdrawals!$A:$A,A371,DB_Withdrawals!$G:$G),0)),"")</f>
        <v/>
      </c>
      <c r="N371" s="39" t="str">
        <f>IFERROR(IF(A371="","",MAX(0,M371-System_Config!$B$9)),"")</f>
        <v/>
      </c>
    </row>
    <row r="372" spans="1:14" ht="19.5" customHeight="1" x14ac:dyDescent="0.25">
      <c r="A372" s="37" t="str">
        <f>'NEW ACCOUNT'!A373</f>
        <v/>
      </c>
      <c r="B372" s="38" t="str">
        <f>IF('NEW ACCOUNT'!A373="","",'NEW ACCOUNT'!B373)</f>
        <v/>
      </c>
      <c r="C372" s="38" t="str">
        <f>IF('NEW ACCOUNT'!A373="","",'NEW ACCOUNT'!C373)</f>
        <v/>
      </c>
      <c r="D372" s="38" t="str">
        <f>IF('NEW ACCOUNT'!A373="","",'NEW ACCOUNT'!D373)</f>
        <v/>
      </c>
      <c r="E372" s="38" t="str">
        <f>IF('NEW ACCOUNT'!A373="","",'NEW ACCOUNT'!E373)</f>
        <v/>
      </c>
      <c r="F372" s="38" t="str">
        <f>IF('NEW ACCOUNT'!A373="","",'NEW ACCOUNT'!F373)</f>
        <v/>
      </c>
      <c r="G372" s="38" t="str">
        <f>IF('NEW ACCOUNT'!A373="","",'NEW ACCOUNT'!G373)</f>
        <v/>
      </c>
      <c r="H372" s="38" t="str">
        <f>IF('NEW ACCOUNT'!A373="","",'NEW ACCOUNT'!H373)</f>
        <v/>
      </c>
      <c r="I372" s="38" t="str">
        <f>IF('NEW ACCOUNT'!A373="","",'NEW ACCOUNT'!I373)</f>
        <v/>
      </c>
      <c r="J372" s="38" t="str">
        <f>IF('NEW ACCOUNT'!A373="","",'NEW ACCOUNT'!J373)</f>
        <v/>
      </c>
      <c r="K372" s="39" t="str">
        <f>IFERROR(IF(A372="","",SUMIF(DB_Savings!$A:$A,A372,DB_Savings!$F:$F)),"")</f>
        <v/>
      </c>
      <c r="L372" s="39" t="str">
        <f>IFERROR(IF(A372="","",SUMIF(DB_Withdrawals!$A:$A,A372,DB_Withdrawals!$G:$G)),"")</f>
        <v/>
      </c>
      <c r="M372" s="39" t="str">
        <f>IFERROR(IF(A372="","",IFERROR(VALUE(H372),0)+IFERROR(SUMIF(DB_Savings!$A:$A,A372,DB_Savings!$F:$F),0)-IFERROR(SUMIF(DB_Withdrawals!$A:$A,A372,DB_Withdrawals!$G:$G),0)),"")</f>
        <v/>
      </c>
      <c r="N372" s="39" t="str">
        <f>IFERROR(IF(A372="","",MAX(0,M372-System_Config!$B$9)),"")</f>
        <v/>
      </c>
    </row>
    <row r="373" spans="1:14" ht="19.5" customHeight="1" x14ac:dyDescent="0.25">
      <c r="A373" s="37" t="str">
        <f>'NEW ACCOUNT'!A374</f>
        <v/>
      </c>
      <c r="B373" s="38" t="str">
        <f>IF('NEW ACCOUNT'!A374="","",'NEW ACCOUNT'!B374)</f>
        <v/>
      </c>
      <c r="C373" s="38" t="str">
        <f>IF('NEW ACCOUNT'!A374="","",'NEW ACCOUNT'!C374)</f>
        <v/>
      </c>
      <c r="D373" s="38" t="str">
        <f>IF('NEW ACCOUNT'!A374="","",'NEW ACCOUNT'!D374)</f>
        <v/>
      </c>
      <c r="E373" s="38" t="str">
        <f>IF('NEW ACCOUNT'!A374="","",'NEW ACCOUNT'!E374)</f>
        <v/>
      </c>
      <c r="F373" s="38" t="str">
        <f>IF('NEW ACCOUNT'!A374="","",'NEW ACCOUNT'!F374)</f>
        <v/>
      </c>
      <c r="G373" s="38" t="str">
        <f>IF('NEW ACCOUNT'!A374="","",'NEW ACCOUNT'!G374)</f>
        <v/>
      </c>
      <c r="H373" s="38" t="str">
        <f>IF('NEW ACCOUNT'!A374="","",'NEW ACCOUNT'!H374)</f>
        <v/>
      </c>
      <c r="I373" s="38" t="str">
        <f>IF('NEW ACCOUNT'!A374="","",'NEW ACCOUNT'!I374)</f>
        <v/>
      </c>
      <c r="J373" s="38" t="str">
        <f>IF('NEW ACCOUNT'!A374="","",'NEW ACCOUNT'!J374)</f>
        <v/>
      </c>
      <c r="K373" s="39" t="str">
        <f>IFERROR(IF(A373="","",SUMIF(DB_Savings!$A:$A,A373,DB_Savings!$F:$F)),"")</f>
        <v/>
      </c>
      <c r="L373" s="39" t="str">
        <f>IFERROR(IF(A373="","",SUMIF(DB_Withdrawals!$A:$A,A373,DB_Withdrawals!$G:$G)),"")</f>
        <v/>
      </c>
      <c r="M373" s="39" t="str">
        <f>IFERROR(IF(A373="","",IFERROR(VALUE(H373),0)+IFERROR(SUMIF(DB_Savings!$A:$A,A373,DB_Savings!$F:$F),0)-IFERROR(SUMIF(DB_Withdrawals!$A:$A,A373,DB_Withdrawals!$G:$G),0)),"")</f>
        <v/>
      </c>
      <c r="N373" s="39" t="str">
        <f>IFERROR(IF(A373="","",MAX(0,M373-System_Config!$B$9)),"")</f>
        <v/>
      </c>
    </row>
    <row r="374" spans="1:14" ht="19.5" customHeight="1" x14ac:dyDescent="0.25">
      <c r="A374" s="37" t="str">
        <f>'NEW ACCOUNT'!A375</f>
        <v/>
      </c>
      <c r="B374" s="38" t="str">
        <f>IF('NEW ACCOUNT'!A375="","",'NEW ACCOUNT'!B375)</f>
        <v/>
      </c>
      <c r="C374" s="38" t="str">
        <f>IF('NEW ACCOUNT'!A375="","",'NEW ACCOUNT'!C375)</f>
        <v/>
      </c>
      <c r="D374" s="38" t="str">
        <f>IF('NEW ACCOUNT'!A375="","",'NEW ACCOUNT'!D375)</f>
        <v/>
      </c>
      <c r="E374" s="38" t="str">
        <f>IF('NEW ACCOUNT'!A375="","",'NEW ACCOUNT'!E375)</f>
        <v/>
      </c>
      <c r="F374" s="38" t="str">
        <f>IF('NEW ACCOUNT'!A375="","",'NEW ACCOUNT'!F375)</f>
        <v/>
      </c>
      <c r="G374" s="38" t="str">
        <f>IF('NEW ACCOUNT'!A375="","",'NEW ACCOUNT'!G375)</f>
        <v/>
      </c>
      <c r="H374" s="38" t="str">
        <f>IF('NEW ACCOUNT'!A375="","",'NEW ACCOUNT'!H375)</f>
        <v/>
      </c>
      <c r="I374" s="38" t="str">
        <f>IF('NEW ACCOUNT'!A375="","",'NEW ACCOUNT'!I375)</f>
        <v/>
      </c>
      <c r="J374" s="38" t="str">
        <f>IF('NEW ACCOUNT'!A375="","",'NEW ACCOUNT'!J375)</f>
        <v/>
      </c>
      <c r="K374" s="39" t="str">
        <f>IFERROR(IF(A374="","",SUMIF(DB_Savings!$A:$A,A374,DB_Savings!$F:$F)),"")</f>
        <v/>
      </c>
      <c r="L374" s="39" t="str">
        <f>IFERROR(IF(A374="","",SUMIF(DB_Withdrawals!$A:$A,A374,DB_Withdrawals!$G:$G)),"")</f>
        <v/>
      </c>
      <c r="M374" s="39" t="str">
        <f>IFERROR(IF(A374="","",IFERROR(VALUE(H374),0)+IFERROR(SUMIF(DB_Savings!$A:$A,A374,DB_Savings!$F:$F),0)-IFERROR(SUMIF(DB_Withdrawals!$A:$A,A374,DB_Withdrawals!$G:$G),0)),"")</f>
        <v/>
      </c>
      <c r="N374" s="39" t="str">
        <f>IFERROR(IF(A374="","",MAX(0,M374-System_Config!$B$9)),"")</f>
        <v/>
      </c>
    </row>
    <row r="375" spans="1:14" ht="19.5" customHeight="1" x14ac:dyDescent="0.25">
      <c r="A375" s="37" t="str">
        <f>'NEW ACCOUNT'!A376</f>
        <v/>
      </c>
      <c r="B375" s="38" t="str">
        <f>IF('NEW ACCOUNT'!A376="","",'NEW ACCOUNT'!B376)</f>
        <v/>
      </c>
      <c r="C375" s="38" t="str">
        <f>IF('NEW ACCOUNT'!A376="","",'NEW ACCOUNT'!C376)</f>
        <v/>
      </c>
      <c r="D375" s="38" t="str">
        <f>IF('NEW ACCOUNT'!A376="","",'NEW ACCOUNT'!D376)</f>
        <v/>
      </c>
      <c r="E375" s="38" t="str">
        <f>IF('NEW ACCOUNT'!A376="","",'NEW ACCOUNT'!E376)</f>
        <v/>
      </c>
      <c r="F375" s="38" t="str">
        <f>IF('NEW ACCOUNT'!A376="","",'NEW ACCOUNT'!F376)</f>
        <v/>
      </c>
      <c r="G375" s="38" t="str">
        <f>IF('NEW ACCOUNT'!A376="","",'NEW ACCOUNT'!G376)</f>
        <v/>
      </c>
      <c r="H375" s="38" t="str">
        <f>IF('NEW ACCOUNT'!A376="","",'NEW ACCOUNT'!H376)</f>
        <v/>
      </c>
      <c r="I375" s="38" t="str">
        <f>IF('NEW ACCOUNT'!A376="","",'NEW ACCOUNT'!I376)</f>
        <v/>
      </c>
      <c r="J375" s="38" t="str">
        <f>IF('NEW ACCOUNT'!A376="","",'NEW ACCOUNT'!J376)</f>
        <v/>
      </c>
      <c r="K375" s="39" t="str">
        <f>IFERROR(IF(A375="","",SUMIF(DB_Savings!$A:$A,A375,DB_Savings!$F:$F)),"")</f>
        <v/>
      </c>
      <c r="L375" s="39" t="str">
        <f>IFERROR(IF(A375="","",SUMIF(DB_Withdrawals!$A:$A,A375,DB_Withdrawals!$G:$G)),"")</f>
        <v/>
      </c>
      <c r="M375" s="39" t="str">
        <f>IFERROR(IF(A375="","",IFERROR(VALUE(H375),0)+IFERROR(SUMIF(DB_Savings!$A:$A,A375,DB_Savings!$F:$F),0)-IFERROR(SUMIF(DB_Withdrawals!$A:$A,A375,DB_Withdrawals!$G:$G),0)),"")</f>
        <v/>
      </c>
      <c r="N375" s="39" t="str">
        <f>IFERROR(IF(A375="","",MAX(0,M375-System_Config!$B$9)),"")</f>
        <v/>
      </c>
    </row>
    <row r="376" spans="1:14" ht="19.5" customHeight="1" x14ac:dyDescent="0.25">
      <c r="A376" s="37" t="str">
        <f>'NEW ACCOUNT'!A377</f>
        <v/>
      </c>
      <c r="B376" s="38" t="str">
        <f>IF('NEW ACCOUNT'!A377="","",'NEW ACCOUNT'!B377)</f>
        <v/>
      </c>
      <c r="C376" s="38" t="str">
        <f>IF('NEW ACCOUNT'!A377="","",'NEW ACCOUNT'!C377)</f>
        <v/>
      </c>
      <c r="D376" s="38" t="str">
        <f>IF('NEW ACCOUNT'!A377="","",'NEW ACCOUNT'!D377)</f>
        <v/>
      </c>
      <c r="E376" s="38" t="str">
        <f>IF('NEW ACCOUNT'!A377="","",'NEW ACCOUNT'!E377)</f>
        <v/>
      </c>
      <c r="F376" s="38" t="str">
        <f>IF('NEW ACCOUNT'!A377="","",'NEW ACCOUNT'!F377)</f>
        <v/>
      </c>
      <c r="G376" s="38" t="str">
        <f>IF('NEW ACCOUNT'!A377="","",'NEW ACCOUNT'!G377)</f>
        <v/>
      </c>
      <c r="H376" s="38" t="str">
        <f>IF('NEW ACCOUNT'!A377="","",'NEW ACCOUNT'!H377)</f>
        <v/>
      </c>
      <c r="I376" s="38" t="str">
        <f>IF('NEW ACCOUNT'!A377="","",'NEW ACCOUNT'!I377)</f>
        <v/>
      </c>
      <c r="J376" s="38" t="str">
        <f>IF('NEW ACCOUNT'!A377="","",'NEW ACCOUNT'!J377)</f>
        <v/>
      </c>
      <c r="K376" s="39" t="str">
        <f>IFERROR(IF(A376="","",SUMIF(DB_Savings!$A:$A,A376,DB_Savings!$F:$F)),"")</f>
        <v/>
      </c>
      <c r="L376" s="39" t="str">
        <f>IFERROR(IF(A376="","",SUMIF(DB_Withdrawals!$A:$A,A376,DB_Withdrawals!$G:$G)),"")</f>
        <v/>
      </c>
      <c r="M376" s="39" t="str">
        <f>IFERROR(IF(A376="","",IFERROR(VALUE(H376),0)+IFERROR(SUMIF(DB_Savings!$A:$A,A376,DB_Savings!$F:$F),0)-IFERROR(SUMIF(DB_Withdrawals!$A:$A,A376,DB_Withdrawals!$G:$G),0)),"")</f>
        <v/>
      </c>
      <c r="N376" s="39" t="str">
        <f>IFERROR(IF(A376="","",MAX(0,M376-System_Config!$B$9)),"")</f>
        <v/>
      </c>
    </row>
    <row r="377" spans="1:14" ht="19.5" customHeight="1" x14ac:dyDescent="0.25">
      <c r="A377" s="37" t="str">
        <f>'NEW ACCOUNT'!A378</f>
        <v/>
      </c>
      <c r="B377" s="38" t="str">
        <f>IF('NEW ACCOUNT'!A378="","",'NEW ACCOUNT'!B378)</f>
        <v/>
      </c>
      <c r="C377" s="38" t="str">
        <f>IF('NEW ACCOUNT'!A378="","",'NEW ACCOUNT'!C378)</f>
        <v/>
      </c>
      <c r="D377" s="38" t="str">
        <f>IF('NEW ACCOUNT'!A378="","",'NEW ACCOUNT'!D378)</f>
        <v/>
      </c>
      <c r="E377" s="38" t="str">
        <f>IF('NEW ACCOUNT'!A378="","",'NEW ACCOUNT'!E378)</f>
        <v/>
      </c>
      <c r="F377" s="38" t="str">
        <f>IF('NEW ACCOUNT'!A378="","",'NEW ACCOUNT'!F378)</f>
        <v/>
      </c>
      <c r="G377" s="38" t="str">
        <f>IF('NEW ACCOUNT'!A378="","",'NEW ACCOUNT'!G378)</f>
        <v/>
      </c>
      <c r="H377" s="38" t="str">
        <f>IF('NEW ACCOUNT'!A378="","",'NEW ACCOUNT'!H378)</f>
        <v/>
      </c>
      <c r="I377" s="38" t="str">
        <f>IF('NEW ACCOUNT'!A378="","",'NEW ACCOUNT'!I378)</f>
        <v/>
      </c>
      <c r="J377" s="38" t="str">
        <f>IF('NEW ACCOUNT'!A378="","",'NEW ACCOUNT'!J378)</f>
        <v/>
      </c>
      <c r="K377" s="39" t="str">
        <f>IFERROR(IF(A377="","",SUMIF(DB_Savings!$A:$A,A377,DB_Savings!$F:$F)),"")</f>
        <v/>
      </c>
      <c r="L377" s="39" t="str">
        <f>IFERROR(IF(A377="","",SUMIF(DB_Withdrawals!$A:$A,A377,DB_Withdrawals!$G:$G)),"")</f>
        <v/>
      </c>
      <c r="M377" s="39" t="str">
        <f>IFERROR(IF(A377="","",IFERROR(VALUE(H377),0)+IFERROR(SUMIF(DB_Savings!$A:$A,A377,DB_Savings!$F:$F),0)-IFERROR(SUMIF(DB_Withdrawals!$A:$A,A377,DB_Withdrawals!$G:$G),0)),"")</f>
        <v/>
      </c>
      <c r="N377" s="39" t="str">
        <f>IFERROR(IF(A377="","",MAX(0,M377-System_Config!$B$9)),"")</f>
        <v/>
      </c>
    </row>
    <row r="378" spans="1:14" ht="19.5" customHeight="1" x14ac:dyDescent="0.25">
      <c r="A378" s="37" t="str">
        <f>'NEW ACCOUNT'!A379</f>
        <v/>
      </c>
      <c r="B378" s="38" t="str">
        <f>IF('NEW ACCOUNT'!A379="","",'NEW ACCOUNT'!B379)</f>
        <v/>
      </c>
      <c r="C378" s="38" t="str">
        <f>IF('NEW ACCOUNT'!A379="","",'NEW ACCOUNT'!C379)</f>
        <v/>
      </c>
      <c r="D378" s="38" t="str">
        <f>IF('NEW ACCOUNT'!A379="","",'NEW ACCOUNT'!D379)</f>
        <v/>
      </c>
      <c r="E378" s="38" t="str">
        <f>IF('NEW ACCOUNT'!A379="","",'NEW ACCOUNT'!E379)</f>
        <v/>
      </c>
      <c r="F378" s="38" t="str">
        <f>IF('NEW ACCOUNT'!A379="","",'NEW ACCOUNT'!F379)</f>
        <v/>
      </c>
      <c r="G378" s="38" t="str">
        <f>IF('NEW ACCOUNT'!A379="","",'NEW ACCOUNT'!G379)</f>
        <v/>
      </c>
      <c r="H378" s="38" t="str">
        <f>IF('NEW ACCOUNT'!A379="","",'NEW ACCOUNT'!H379)</f>
        <v/>
      </c>
      <c r="I378" s="38" t="str">
        <f>IF('NEW ACCOUNT'!A379="","",'NEW ACCOUNT'!I379)</f>
        <v/>
      </c>
      <c r="J378" s="38" t="str">
        <f>IF('NEW ACCOUNT'!A379="","",'NEW ACCOUNT'!J379)</f>
        <v/>
      </c>
      <c r="K378" s="39" t="str">
        <f>IFERROR(IF(A378="","",SUMIF(DB_Savings!$A:$A,A378,DB_Savings!$F:$F)),"")</f>
        <v/>
      </c>
      <c r="L378" s="39" t="str">
        <f>IFERROR(IF(A378="","",SUMIF(DB_Withdrawals!$A:$A,A378,DB_Withdrawals!$G:$G)),"")</f>
        <v/>
      </c>
      <c r="M378" s="39" t="str">
        <f>IFERROR(IF(A378="","",IFERROR(VALUE(H378),0)+IFERROR(SUMIF(DB_Savings!$A:$A,A378,DB_Savings!$F:$F),0)-IFERROR(SUMIF(DB_Withdrawals!$A:$A,A378,DB_Withdrawals!$G:$G),0)),"")</f>
        <v/>
      </c>
      <c r="N378" s="39" t="str">
        <f>IFERROR(IF(A378="","",MAX(0,M378-System_Config!$B$9)),"")</f>
        <v/>
      </c>
    </row>
    <row r="379" spans="1:14" ht="19.5" customHeight="1" x14ac:dyDescent="0.25">
      <c r="A379" s="37" t="str">
        <f>'NEW ACCOUNT'!A380</f>
        <v/>
      </c>
      <c r="B379" s="38" t="str">
        <f>IF('NEW ACCOUNT'!A380="","",'NEW ACCOUNT'!B380)</f>
        <v/>
      </c>
      <c r="C379" s="38" t="str">
        <f>IF('NEW ACCOUNT'!A380="","",'NEW ACCOUNT'!C380)</f>
        <v/>
      </c>
      <c r="D379" s="38" t="str">
        <f>IF('NEW ACCOUNT'!A380="","",'NEW ACCOUNT'!D380)</f>
        <v/>
      </c>
      <c r="E379" s="38" t="str">
        <f>IF('NEW ACCOUNT'!A380="","",'NEW ACCOUNT'!E380)</f>
        <v/>
      </c>
      <c r="F379" s="38" t="str">
        <f>IF('NEW ACCOUNT'!A380="","",'NEW ACCOUNT'!F380)</f>
        <v/>
      </c>
      <c r="G379" s="38" t="str">
        <f>IF('NEW ACCOUNT'!A380="","",'NEW ACCOUNT'!G380)</f>
        <v/>
      </c>
      <c r="H379" s="38" t="str">
        <f>IF('NEW ACCOUNT'!A380="","",'NEW ACCOUNT'!H380)</f>
        <v/>
      </c>
      <c r="I379" s="38" t="str">
        <f>IF('NEW ACCOUNT'!A380="","",'NEW ACCOUNT'!I380)</f>
        <v/>
      </c>
      <c r="J379" s="38" t="str">
        <f>IF('NEW ACCOUNT'!A380="","",'NEW ACCOUNT'!J380)</f>
        <v/>
      </c>
      <c r="K379" s="39" t="str">
        <f>IFERROR(IF(A379="","",SUMIF(DB_Savings!$A:$A,A379,DB_Savings!$F:$F)),"")</f>
        <v/>
      </c>
      <c r="L379" s="39" t="str">
        <f>IFERROR(IF(A379="","",SUMIF(DB_Withdrawals!$A:$A,A379,DB_Withdrawals!$G:$G)),"")</f>
        <v/>
      </c>
      <c r="M379" s="39" t="str">
        <f>IFERROR(IF(A379="","",IFERROR(VALUE(H379),0)+IFERROR(SUMIF(DB_Savings!$A:$A,A379,DB_Savings!$F:$F),0)-IFERROR(SUMIF(DB_Withdrawals!$A:$A,A379,DB_Withdrawals!$G:$G),0)),"")</f>
        <v/>
      </c>
      <c r="N379" s="39" t="str">
        <f>IFERROR(IF(A379="","",MAX(0,M379-System_Config!$B$9)),"")</f>
        <v/>
      </c>
    </row>
    <row r="380" spans="1:14" ht="19.5" customHeight="1" x14ac:dyDescent="0.25">
      <c r="A380" s="37" t="str">
        <f>'NEW ACCOUNT'!A381</f>
        <v/>
      </c>
      <c r="B380" s="38" t="str">
        <f>IF('NEW ACCOUNT'!A381="","",'NEW ACCOUNT'!B381)</f>
        <v/>
      </c>
      <c r="C380" s="38" t="str">
        <f>IF('NEW ACCOUNT'!A381="","",'NEW ACCOUNT'!C381)</f>
        <v/>
      </c>
      <c r="D380" s="38" t="str">
        <f>IF('NEW ACCOUNT'!A381="","",'NEW ACCOUNT'!D381)</f>
        <v/>
      </c>
      <c r="E380" s="38" t="str">
        <f>IF('NEW ACCOUNT'!A381="","",'NEW ACCOUNT'!E381)</f>
        <v/>
      </c>
      <c r="F380" s="38" t="str">
        <f>IF('NEW ACCOUNT'!A381="","",'NEW ACCOUNT'!F381)</f>
        <v/>
      </c>
      <c r="G380" s="38" t="str">
        <f>IF('NEW ACCOUNT'!A381="","",'NEW ACCOUNT'!G381)</f>
        <v/>
      </c>
      <c r="H380" s="38" t="str">
        <f>IF('NEW ACCOUNT'!A381="","",'NEW ACCOUNT'!H381)</f>
        <v/>
      </c>
      <c r="I380" s="38" t="str">
        <f>IF('NEW ACCOUNT'!A381="","",'NEW ACCOUNT'!I381)</f>
        <v/>
      </c>
      <c r="J380" s="38" t="str">
        <f>IF('NEW ACCOUNT'!A381="","",'NEW ACCOUNT'!J381)</f>
        <v/>
      </c>
      <c r="K380" s="39" t="str">
        <f>IFERROR(IF(A380="","",SUMIF(DB_Savings!$A:$A,A380,DB_Savings!$F:$F)),"")</f>
        <v/>
      </c>
      <c r="L380" s="39" t="str">
        <f>IFERROR(IF(A380="","",SUMIF(DB_Withdrawals!$A:$A,A380,DB_Withdrawals!$G:$G)),"")</f>
        <v/>
      </c>
      <c r="M380" s="39" t="str">
        <f>IFERROR(IF(A380="","",IFERROR(VALUE(H380),0)+IFERROR(SUMIF(DB_Savings!$A:$A,A380,DB_Savings!$F:$F),0)-IFERROR(SUMIF(DB_Withdrawals!$A:$A,A380,DB_Withdrawals!$G:$G),0)),"")</f>
        <v/>
      </c>
      <c r="N380" s="39" t="str">
        <f>IFERROR(IF(A380="","",MAX(0,M380-System_Config!$B$9)),"")</f>
        <v/>
      </c>
    </row>
    <row r="381" spans="1:14" ht="19.5" customHeight="1" x14ac:dyDescent="0.25">
      <c r="A381" s="37" t="str">
        <f>'NEW ACCOUNT'!A382</f>
        <v/>
      </c>
      <c r="B381" s="38" t="str">
        <f>IF('NEW ACCOUNT'!A382="","",'NEW ACCOUNT'!B382)</f>
        <v/>
      </c>
      <c r="C381" s="38" t="str">
        <f>IF('NEW ACCOUNT'!A382="","",'NEW ACCOUNT'!C382)</f>
        <v/>
      </c>
      <c r="D381" s="38" t="str">
        <f>IF('NEW ACCOUNT'!A382="","",'NEW ACCOUNT'!D382)</f>
        <v/>
      </c>
      <c r="E381" s="38" t="str">
        <f>IF('NEW ACCOUNT'!A382="","",'NEW ACCOUNT'!E382)</f>
        <v/>
      </c>
      <c r="F381" s="38" t="str">
        <f>IF('NEW ACCOUNT'!A382="","",'NEW ACCOUNT'!F382)</f>
        <v/>
      </c>
      <c r="G381" s="38" t="str">
        <f>IF('NEW ACCOUNT'!A382="","",'NEW ACCOUNT'!G382)</f>
        <v/>
      </c>
      <c r="H381" s="38" t="str">
        <f>IF('NEW ACCOUNT'!A382="","",'NEW ACCOUNT'!H382)</f>
        <v/>
      </c>
      <c r="I381" s="38" t="str">
        <f>IF('NEW ACCOUNT'!A382="","",'NEW ACCOUNT'!I382)</f>
        <v/>
      </c>
      <c r="J381" s="38" t="str">
        <f>IF('NEW ACCOUNT'!A382="","",'NEW ACCOUNT'!J382)</f>
        <v/>
      </c>
      <c r="K381" s="39" t="str">
        <f>IFERROR(IF(A381="","",SUMIF(DB_Savings!$A:$A,A381,DB_Savings!$F:$F)),"")</f>
        <v/>
      </c>
      <c r="L381" s="39" t="str">
        <f>IFERROR(IF(A381="","",SUMIF(DB_Withdrawals!$A:$A,A381,DB_Withdrawals!$G:$G)),"")</f>
        <v/>
      </c>
      <c r="M381" s="39" t="str">
        <f>IFERROR(IF(A381="","",IFERROR(VALUE(H381),0)+IFERROR(SUMIF(DB_Savings!$A:$A,A381,DB_Savings!$F:$F),0)-IFERROR(SUMIF(DB_Withdrawals!$A:$A,A381,DB_Withdrawals!$G:$G),0)),"")</f>
        <v/>
      </c>
      <c r="N381" s="39" t="str">
        <f>IFERROR(IF(A381="","",MAX(0,M381-System_Config!$B$9)),"")</f>
        <v/>
      </c>
    </row>
    <row r="382" spans="1:14" ht="19.5" customHeight="1" x14ac:dyDescent="0.25">
      <c r="A382" s="37" t="str">
        <f>'NEW ACCOUNT'!A383</f>
        <v/>
      </c>
      <c r="B382" s="38" t="str">
        <f>IF('NEW ACCOUNT'!A383="","",'NEW ACCOUNT'!B383)</f>
        <v/>
      </c>
      <c r="C382" s="38" t="str">
        <f>IF('NEW ACCOUNT'!A383="","",'NEW ACCOUNT'!C383)</f>
        <v/>
      </c>
      <c r="D382" s="38" t="str">
        <f>IF('NEW ACCOUNT'!A383="","",'NEW ACCOUNT'!D383)</f>
        <v/>
      </c>
      <c r="E382" s="38" t="str">
        <f>IF('NEW ACCOUNT'!A383="","",'NEW ACCOUNT'!E383)</f>
        <v/>
      </c>
      <c r="F382" s="38" t="str">
        <f>IF('NEW ACCOUNT'!A383="","",'NEW ACCOUNT'!F383)</f>
        <v/>
      </c>
      <c r="G382" s="38" t="str">
        <f>IF('NEW ACCOUNT'!A383="","",'NEW ACCOUNT'!G383)</f>
        <v/>
      </c>
      <c r="H382" s="38" t="str">
        <f>IF('NEW ACCOUNT'!A383="","",'NEW ACCOUNT'!H383)</f>
        <v/>
      </c>
      <c r="I382" s="38" t="str">
        <f>IF('NEW ACCOUNT'!A383="","",'NEW ACCOUNT'!I383)</f>
        <v/>
      </c>
      <c r="J382" s="38" t="str">
        <f>IF('NEW ACCOUNT'!A383="","",'NEW ACCOUNT'!J383)</f>
        <v/>
      </c>
      <c r="K382" s="39" t="str">
        <f>IFERROR(IF(A382="","",SUMIF(DB_Savings!$A:$A,A382,DB_Savings!$F:$F)),"")</f>
        <v/>
      </c>
      <c r="L382" s="39" t="str">
        <f>IFERROR(IF(A382="","",SUMIF(DB_Withdrawals!$A:$A,A382,DB_Withdrawals!$G:$G)),"")</f>
        <v/>
      </c>
      <c r="M382" s="39" t="str">
        <f>IFERROR(IF(A382="","",IFERROR(VALUE(H382),0)+IFERROR(SUMIF(DB_Savings!$A:$A,A382,DB_Savings!$F:$F),0)-IFERROR(SUMIF(DB_Withdrawals!$A:$A,A382,DB_Withdrawals!$G:$G),0)),"")</f>
        <v/>
      </c>
      <c r="N382" s="39" t="str">
        <f>IFERROR(IF(A382="","",MAX(0,M382-System_Config!$B$9)),"")</f>
        <v/>
      </c>
    </row>
    <row r="383" spans="1:14" ht="19.5" customHeight="1" x14ac:dyDescent="0.25">
      <c r="A383" s="37" t="str">
        <f>'NEW ACCOUNT'!A384</f>
        <v/>
      </c>
      <c r="B383" s="38" t="str">
        <f>IF('NEW ACCOUNT'!A384="","",'NEW ACCOUNT'!B384)</f>
        <v/>
      </c>
      <c r="C383" s="38" t="str">
        <f>IF('NEW ACCOUNT'!A384="","",'NEW ACCOUNT'!C384)</f>
        <v/>
      </c>
      <c r="D383" s="38" t="str">
        <f>IF('NEW ACCOUNT'!A384="","",'NEW ACCOUNT'!D384)</f>
        <v/>
      </c>
      <c r="E383" s="38" t="str">
        <f>IF('NEW ACCOUNT'!A384="","",'NEW ACCOUNT'!E384)</f>
        <v/>
      </c>
      <c r="F383" s="38" t="str">
        <f>IF('NEW ACCOUNT'!A384="","",'NEW ACCOUNT'!F384)</f>
        <v/>
      </c>
      <c r="G383" s="38" t="str">
        <f>IF('NEW ACCOUNT'!A384="","",'NEW ACCOUNT'!G384)</f>
        <v/>
      </c>
      <c r="H383" s="38" t="str">
        <f>IF('NEW ACCOUNT'!A384="","",'NEW ACCOUNT'!H384)</f>
        <v/>
      </c>
      <c r="I383" s="38" t="str">
        <f>IF('NEW ACCOUNT'!A384="","",'NEW ACCOUNT'!I384)</f>
        <v/>
      </c>
      <c r="J383" s="38" t="str">
        <f>IF('NEW ACCOUNT'!A384="","",'NEW ACCOUNT'!J384)</f>
        <v/>
      </c>
      <c r="K383" s="39" t="str">
        <f>IFERROR(IF(A383="","",SUMIF(DB_Savings!$A:$A,A383,DB_Savings!$F:$F)),"")</f>
        <v/>
      </c>
      <c r="L383" s="39" t="str">
        <f>IFERROR(IF(A383="","",SUMIF(DB_Withdrawals!$A:$A,A383,DB_Withdrawals!$G:$G)),"")</f>
        <v/>
      </c>
      <c r="M383" s="39" t="str">
        <f>IFERROR(IF(A383="","",IFERROR(VALUE(H383),0)+IFERROR(SUMIF(DB_Savings!$A:$A,A383,DB_Savings!$F:$F),0)-IFERROR(SUMIF(DB_Withdrawals!$A:$A,A383,DB_Withdrawals!$G:$G),0)),"")</f>
        <v/>
      </c>
      <c r="N383" s="39" t="str">
        <f>IFERROR(IF(A383="","",MAX(0,M383-System_Config!$B$9)),"")</f>
        <v/>
      </c>
    </row>
    <row r="384" spans="1:14" ht="19.5" customHeight="1" x14ac:dyDescent="0.25">
      <c r="A384" s="37" t="str">
        <f>'NEW ACCOUNT'!A385</f>
        <v/>
      </c>
      <c r="B384" s="38" t="str">
        <f>IF('NEW ACCOUNT'!A385="","",'NEW ACCOUNT'!B385)</f>
        <v/>
      </c>
      <c r="C384" s="38" t="str">
        <f>IF('NEW ACCOUNT'!A385="","",'NEW ACCOUNT'!C385)</f>
        <v/>
      </c>
      <c r="D384" s="38" t="str">
        <f>IF('NEW ACCOUNT'!A385="","",'NEW ACCOUNT'!D385)</f>
        <v/>
      </c>
      <c r="E384" s="38" t="str">
        <f>IF('NEW ACCOUNT'!A385="","",'NEW ACCOUNT'!E385)</f>
        <v/>
      </c>
      <c r="F384" s="38" t="str">
        <f>IF('NEW ACCOUNT'!A385="","",'NEW ACCOUNT'!F385)</f>
        <v/>
      </c>
      <c r="G384" s="38" t="str">
        <f>IF('NEW ACCOUNT'!A385="","",'NEW ACCOUNT'!G385)</f>
        <v/>
      </c>
      <c r="H384" s="38" t="str">
        <f>IF('NEW ACCOUNT'!A385="","",'NEW ACCOUNT'!H385)</f>
        <v/>
      </c>
      <c r="I384" s="38" t="str">
        <f>IF('NEW ACCOUNT'!A385="","",'NEW ACCOUNT'!I385)</f>
        <v/>
      </c>
      <c r="J384" s="38" t="str">
        <f>IF('NEW ACCOUNT'!A385="","",'NEW ACCOUNT'!J385)</f>
        <v/>
      </c>
      <c r="K384" s="39" t="str">
        <f>IFERROR(IF(A384="","",SUMIF(DB_Savings!$A:$A,A384,DB_Savings!$F:$F)),"")</f>
        <v/>
      </c>
      <c r="L384" s="39" t="str">
        <f>IFERROR(IF(A384="","",SUMIF(DB_Withdrawals!$A:$A,A384,DB_Withdrawals!$G:$G)),"")</f>
        <v/>
      </c>
      <c r="M384" s="39" t="str">
        <f>IFERROR(IF(A384="","",IFERROR(VALUE(H384),0)+IFERROR(SUMIF(DB_Savings!$A:$A,A384,DB_Savings!$F:$F),0)-IFERROR(SUMIF(DB_Withdrawals!$A:$A,A384,DB_Withdrawals!$G:$G),0)),"")</f>
        <v/>
      </c>
      <c r="N384" s="39" t="str">
        <f>IFERROR(IF(A384="","",MAX(0,M384-System_Config!$B$9)),"")</f>
        <v/>
      </c>
    </row>
    <row r="385" spans="1:14" ht="19.5" customHeight="1" x14ac:dyDescent="0.25">
      <c r="A385" s="37" t="str">
        <f>'NEW ACCOUNT'!A386</f>
        <v/>
      </c>
      <c r="B385" s="38" t="str">
        <f>IF('NEW ACCOUNT'!A386="","",'NEW ACCOUNT'!B386)</f>
        <v/>
      </c>
      <c r="C385" s="38" t="str">
        <f>IF('NEW ACCOUNT'!A386="","",'NEW ACCOUNT'!C386)</f>
        <v/>
      </c>
      <c r="D385" s="38" t="str">
        <f>IF('NEW ACCOUNT'!A386="","",'NEW ACCOUNT'!D386)</f>
        <v/>
      </c>
      <c r="E385" s="38" t="str">
        <f>IF('NEW ACCOUNT'!A386="","",'NEW ACCOUNT'!E386)</f>
        <v/>
      </c>
      <c r="F385" s="38" t="str">
        <f>IF('NEW ACCOUNT'!A386="","",'NEW ACCOUNT'!F386)</f>
        <v/>
      </c>
      <c r="G385" s="38" t="str">
        <f>IF('NEW ACCOUNT'!A386="","",'NEW ACCOUNT'!G386)</f>
        <v/>
      </c>
      <c r="H385" s="38" t="str">
        <f>IF('NEW ACCOUNT'!A386="","",'NEW ACCOUNT'!H386)</f>
        <v/>
      </c>
      <c r="I385" s="38" t="str">
        <f>IF('NEW ACCOUNT'!A386="","",'NEW ACCOUNT'!I386)</f>
        <v/>
      </c>
      <c r="J385" s="38" t="str">
        <f>IF('NEW ACCOUNT'!A386="","",'NEW ACCOUNT'!J386)</f>
        <v/>
      </c>
      <c r="K385" s="39" t="str">
        <f>IFERROR(IF(A385="","",SUMIF(DB_Savings!$A:$A,A385,DB_Savings!$F:$F)),"")</f>
        <v/>
      </c>
      <c r="L385" s="39" t="str">
        <f>IFERROR(IF(A385="","",SUMIF(DB_Withdrawals!$A:$A,A385,DB_Withdrawals!$G:$G)),"")</f>
        <v/>
      </c>
      <c r="M385" s="39" t="str">
        <f>IFERROR(IF(A385="","",IFERROR(VALUE(H385),0)+IFERROR(SUMIF(DB_Savings!$A:$A,A385,DB_Savings!$F:$F),0)-IFERROR(SUMIF(DB_Withdrawals!$A:$A,A385,DB_Withdrawals!$G:$G),0)),"")</f>
        <v/>
      </c>
      <c r="N385" s="39" t="str">
        <f>IFERROR(IF(A385="","",MAX(0,M385-System_Config!$B$9)),"")</f>
        <v/>
      </c>
    </row>
    <row r="386" spans="1:14" ht="19.5" customHeight="1" x14ac:dyDescent="0.25">
      <c r="A386" s="37" t="str">
        <f>'NEW ACCOUNT'!A387</f>
        <v/>
      </c>
      <c r="B386" s="38" t="str">
        <f>IF('NEW ACCOUNT'!A387="","",'NEW ACCOUNT'!B387)</f>
        <v/>
      </c>
      <c r="C386" s="38" t="str">
        <f>IF('NEW ACCOUNT'!A387="","",'NEW ACCOUNT'!C387)</f>
        <v/>
      </c>
      <c r="D386" s="38" t="str">
        <f>IF('NEW ACCOUNT'!A387="","",'NEW ACCOUNT'!D387)</f>
        <v/>
      </c>
      <c r="E386" s="38" t="str">
        <f>IF('NEW ACCOUNT'!A387="","",'NEW ACCOUNT'!E387)</f>
        <v/>
      </c>
      <c r="F386" s="38" t="str">
        <f>IF('NEW ACCOUNT'!A387="","",'NEW ACCOUNT'!F387)</f>
        <v/>
      </c>
      <c r="G386" s="38" t="str">
        <f>IF('NEW ACCOUNT'!A387="","",'NEW ACCOUNT'!G387)</f>
        <v/>
      </c>
      <c r="H386" s="38" t="str">
        <f>IF('NEW ACCOUNT'!A387="","",'NEW ACCOUNT'!H387)</f>
        <v/>
      </c>
      <c r="I386" s="38" t="str">
        <f>IF('NEW ACCOUNT'!A387="","",'NEW ACCOUNT'!I387)</f>
        <v/>
      </c>
      <c r="J386" s="38" t="str">
        <f>IF('NEW ACCOUNT'!A387="","",'NEW ACCOUNT'!J387)</f>
        <v/>
      </c>
      <c r="K386" s="39" t="str">
        <f>IFERROR(IF(A386="","",SUMIF(DB_Savings!$A:$A,A386,DB_Savings!$F:$F)),"")</f>
        <v/>
      </c>
      <c r="L386" s="39" t="str">
        <f>IFERROR(IF(A386="","",SUMIF(DB_Withdrawals!$A:$A,A386,DB_Withdrawals!$G:$G)),"")</f>
        <v/>
      </c>
      <c r="M386" s="39" t="str">
        <f>IFERROR(IF(A386="","",IFERROR(VALUE(H386),0)+IFERROR(SUMIF(DB_Savings!$A:$A,A386,DB_Savings!$F:$F),0)-IFERROR(SUMIF(DB_Withdrawals!$A:$A,A386,DB_Withdrawals!$G:$G),0)),"")</f>
        <v/>
      </c>
      <c r="N386" s="39" t="str">
        <f>IFERROR(IF(A386="","",MAX(0,M386-System_Config!$B$9)),"")</f>
        <v/>
      </c>
    </row>
    <row r="387" spans="1:14" ht="19.5" customHeight="1" x14ac:dyDescent="0.25">
      <c r="A387" s="37" t="str">
        <f>'NEW ACCOUNT'!A388</f>
        <v/>
      </c>
      <c r="B387" s="38" t="str">
        <f>IF('NEW ACCOUNT'!A388="","",'NEW ACCOUNT'!B388)</f>
        <v/>
      </c>
      <c r="C387" s="38" t="str">
        <f>IF('NEW ACCOUNT'!A388="","",'NEW ACCOUNT'!C388)</f>
        <v/>
      </c>
      <c r="D387" s="38" t="str">
        <f>IF('NEW ACCOUNT'!A388="","",'NEW ACCOUNT'!D388)</f>
        <v/>
      </c>
      <c r="E387" s="38" t="str">
        <f>IF('NEW ACCOUNT'!A388="","",'NEW ACCOUNT'!E388)</f>
        <v/>
      </c>
      <c r="F387" s="38" t="str">
        <f>IF('NEW ACCOUNT'!A388="","",'NEW ACCOUNT'!F388)</f>
        <v/>
      </c>
      <c r="G387" s="38" t="str">
        <f>IF('NEW ACCOUNT'!A388="","",'NEW ACCOUNT'!G388)</f>
        <v/>
      </c>
      <c r="H387" s="38" t="str">
        <f>IF('NEW ACCOUNT'!A388="","",'NEW ACCOUNT'!H388)</f>
        <v/>
      </c>
      <c r="I387" s="38" t="str">
        <f>IF('NEW ACCOUNT'!A388="","",'NEW ACCOUNT'!I388)</f>
        <v/>
      </c>
      <c r="J387" s="38" t="str">
        <f>IF('NEW ACCOUNT'!A388="","",'NEW ACCOUNT'!J388)</f>
        <v/>
      </c>
      <c r="K387" s="39" t="str">
        <f>IFERROR(IF(A387="","",SUMIF(DB_Savings!$A:$A,A387,DB_Savings!$F:$F)),"")</f>
        <v/>
      </c>
      <c r="L387" s="39" t="str">
        <f>IFERROR(IF(A387="","",SUMIF(DB_Withdrawals!$A:$A,A387,DB_Withdrawals!$G:$G)),"")</f>
        <v/>
      </c>
      <c r="M387" s="39" t="str">
        <f>IFERROR(IF(A387="","",IFERROR(VALUE(H387),0)+IFERROR(SUMIF(DB_Savings!$A:$A,A387,DB_Savings!$F:$F),0)-IFERROR(SUMIF(DB_Withdrawals!$A:$A,A387,DB_Withdrawals!$G:$G),0)),"")</f>
        <v/>
      </c>
      <c r="N387" s="39" t="str">
        <f>IFERROR(IF(A387="","",MAX(0,M387-System_Config!$B$9)),"")</f>
        <v/>
      </c>
    </row>
    <row r="388" spans="1:14" ht="19.5" customHeight="1" x14ac:dyDescent="0.25">
      <c r="A388" s="37" t="str">
        <f>'NEW ACCOUNT'!A389</f>
        <v/>
      </c>
      <c r="B388" s="38" t="str">
        <f>IF('NEW ACCOUNT'!A389="","",'NEW ACCOUNT'!B389)</f>
        <v/>
      </c>
      <c r="C388" s="38" t="str">
        <f>IF('NEW ACCOUNT'!A389="","",'NEW ACCOUNT'!C389)</f>
        <v/>
      </c>
      <c r="D388" s="38" t="str">
        <f>IF('NEW ACCOUNT'!A389="","",'NEW ACCOUNT'!D389)</f>
        <v/>
      </c>
      <c r="E388" s="38" t="str">
        <f>IF('NEW ACCOUNT'!A389="","",'NEW ACCOUNT'!E389)</f>
        <v/>
      </c>
      <c r="F388" s="38" t="str">
        <f>IF('NEW ACCOUNT'!A389="","",'NEW ACCOUNT'!F389)</f>
        <v/>
      </c>
      <c r="G388" s="38" t="str">
        <f>IF('NEW ACCOUNT'!A389="","",'NEW ACCOUNT'!G389)</f>
        <v/>
      </c>
      <c r="H388" s="38" t="str">
        <f>IF('NEW ACCOUNT'!A389="","",'NEW ACCOUNT'!H389)</f>
        <v/>
      </c>
      <c r="I388" s="38" t="str">
        <f>IF('NEW ACCOUNT'!A389="","",'NEW ACCOUNT'!I389)</f>
        <v/>
      </c>
      <c r="J388" s="38" t="str">
        <f>IF('NEW ACCOUNT'!A389="","",'NEW ACCOUNT'!J389)</f>
        <v/>
      </c>
      <c r="K388" s="39" t="str">
        <f>IFERROR(IF(A388="","",SUMIF(DB_Savings!$A:$A,A388,DB_Savings!$F:$F)),"")</f>
        <v/>
      </c>
      <c r="L388" s="39" t="str">
        <f>IFERROR(IF(A388="","",SUMIF(DB_Withdrawals!$A:$A,A388,DB_Withdrawals!$G:$G)),"")</f>
        <v/>
      </c>
      <c r="M388" s="39" t="str">
        <f>IFERROR(IF(A388="","",IFERROR(VALUE(H388),0)+IFERROR(SUMIF(DB_Savings!$A:$A,A388,DB_Savings!$F:$F),0)-IFERROR(SUMIF(DB_Withdrawals!$A:$A,A388,DB_Withdrawals!$G:$G),0)),"")</f>
        <v/>
      </c>
      <c r="N388" s="39" t="str">
        <f>IFERROR(IF(A388="","",MAX(0,M388-System_Config!$B$9)),"")</f>
        <v/>
      </c>
    </row>
    <row r="389" spans="1:14" ht="19.5" customHeight="1" x14ac:dyDescent="0.25">
      <c r="A389" s="37" t="str">
        <f>'NEW ACCOUNT'!A390</f>
        <v/>
      </c>
      <c r="B389" s="38" t="str">
        <f>IF('NEW ACCOUNT'!A390="","",'NEW ACCOUNT'!B390)</f>
        <v/>
      </c>
      <c r="C389" s="38" t="str">
        <f>IF('NEW ACCOUNT'!A390="","",'NEW ACCOUNT'!C390)</f>
        <v/>
      </c>
      <c r="D389" s="38" t="str">
        <f>IF('NEW ACCOUNT'!A390="","",'NEW ACCOUNT'!D390)</f>
        <v/>
      </c>
      <c r="E389" s="38" t="str">
        <f>IF('NEW ACCOUNT'!A390="","",'NEW ACCOUNT'!E390)</f>
        <v/>
      </c>
      <c r="F389" s="38" t="str">
        <f>IF('NEW ACCOUNT'!A390="","",'NEW ACCOUNT'!F390)</f>
        <v/>
      </c>
      <c r="G389" s="38" t="str">
        <f>IF('NEW ACCOUNT'!A390="","",'NEW ACCOUNT'!G390)</f>
        <v/>
      </c>
      <c r="H389" s="38" t="str">
        <f>IF('NEW ACCOUNT'!A390="","",'NEW ACCOUNT'!H390)</f>
        <v/>
      </c>
      <c r="I389" s="38" t="str">
        <f>IF('NEW ACCOUNT'!A390="","",'NEW ACCOUNT'!I390)</f>
        <v/>
      </c>
      <c r="J389" s="38" t="str">
        <f>IF('NEW ACCOUNT'!A390="","",'NEW ACCOUNT'!J390)</f>
        <v/>
      </c>
      <c r="K389" s="39" t="str">
        <f>IFERROR(IF(A389="","",SUMIF(DB_Savings!$A:$A,A389,DB_Savings!$F:$F)),"")</f>
        <v/>
      </c>
      <c r="L389" s="39" t="str">
        <f>IFERROR(IF(A389="","",SUMIF(DB_Withdrawals!$A:$A,A389,DB_Withdrawals!$G:$G)),"")</f>
        <v/>
      </c>
      <c r="M389" s="39" t="str">
        <f>IFERROR(IF(A389="","",IFERROR(VALUE(H389),0)+IFERROR(SUMIF(DB_Savings!$A:$A,A389,DB_Savings!$F:$F),0)-IFERROR(SUMIF(DB_Withdrawals!$A:$A,A389,DB_Withdrawals!$G:$G),0)),"")</f>
        <v/>
      </c>
      <c r="N389" s="39" t="str">
        <f>IFERROR(IF(A389="","",MAX(0,M389-System_Config!$B$9)),"")</f>
        <v/>
      </c>
    </row>
    <row r="390" spans="1:14" ht="19.5" customHeight="1" x14ac:dyDescent="0.25">
      <c r="A390" s="37" t="str">
        <f>'NEW ACCOUNT'!A391</f>
        <v/>
      </c>
      <c r="B390" s="38" t="str">
        <f>IF('NEW ACCOUNT'!A391="","",'NEW ACCOUNT'!B391)</f>
        <v/>
      </c>
      <c r="C390" s="38" t="str">
        <f>IF('NEW ACCOUNT'!A391="","",'NEW ACCOUNT'!C391)</f>
        <v/>
      </c>
      <c r="D390" s="38" t="str">
        <f>IF('NEW ACCOUNT'!A391="","",'NEW ACCOUNT'!D391)</f>
        <v/>
      </c>
      <c r="E390" s="38" t="str">
        <f>IF('NEW ACCOUNT'!A391="","",'NEW ACCOUNT'!E391)</f>
        <v/>
      </c>
      <c r="F390" s="38" t="str">
        <f>IF('NEW ACCOUNT'!A391="","",'NEW ACCOUNT'!F391)</f>
        <v/>
      </c>
      <c r="G390" s="38" t="str">
        <f>IF('NEW ACCOUNT'!A391="","",'NEW ACCOUNT'!G391)</f>
        <v/>
      </c>
      <c r="H390" s="38" t="str">
        <f>IF('NEW ACCOUNT'!A391="","",'NEW ACCOUNT'!H391)</f>
        <v/>
      </c>
      <c r="I390" s="38" t="str">
        <f>IF('NEW ACCOUNT'!A391="","",'NEW ACCOUNT'!I391)</f>
        <v/>
      </c>
      <c r="J390" s="38" t="str">
        <f>IF('NEW ACCOUNT'!A391="","",'NEW ACCOUNT'!J391)</f>
        <v/>
      </c>
      <c r="K390" s="39" t="str">
        <f>IFERROR(IF(A390="","",SUMIF(DB_Savings!$A:$A,A390,DB_Savings!$F:$F)),"")</f>
        <v/>
      </c>
      <c r="L390" s="39" t="str">
        <f>IFERROR(IF(A390="","",SUMIF(DB_Withdrawals!$A:$A,A390,DB_Withdrawals!$G:$G)),"")</f>
        <v/>
      </c>
      <c r="M390" s="39" t="str">
        <f>IFERROR(IF(A390="","",IFERROR(VALUE(H390),0)+IFERROR(SUMIF(DB_Savings!$A:$A,A390,DB_Savings!$F:$F),0)-IFERROR(SUMIF(DB_Withdrawals!$A:$A,A390,DB_Withdrawals!$G:$G),0)),"")</f>
        <v/>
      </c>
      <c r="N390" s="39" t="str">
        <f>IFERROR(IF(A390="","",MAX(0,M390-System_Config!$B$9)),"")</f>
        <v/>
      </c>
    </row>
    <row r="391" spans="1:14" ht="19.5" customHeight="1" x14ac:dyDescent="0.25">
      <c r="A391" s="37" t="str">
        <f>'NEW ACCOUNT'!A392</f>
        <v/>
      </c>
      <c r="B391" s="38" t="str">
        <f>IF('NEW ACCOUNT'!A392="","",'NEW ACCOUNT'!B392)</f>
        <v/>
      </c>
      <c r="C391" s="38" t="str">
        <f>IF('NEW ACCOUNT'!A392="","",'NEW ACCOUNT'!C392)</f>
        <v/>
      </c>
      <c r="D391" s="38" t="str">
        <f>IF('NEW ACCOUNT'!A392="","",'NEW ACCOUNT'!D392)</f>
        <v/>
      </c>
      <c r="E391" s="38" t="str">
        <f>IF('NEW ACCOUNT'!A392="","",'NEW ACCOUNT'!E392)</f>
        <v/>
      </c>
      <c r="F391" s="38" t="str">
        <f>IF('NEW ACCOUNT'!A392="","",'NEW ACCOUNT'!F392)</f>
        <v/>
      </c>
      <c r="G391" s="38" t="str">
        <f>IF('NEW ACCOUNT'!A392="","",'NEW ACCOUNT'!G392)</f>
        <v/>
      </c>
      <c r="H391" s="38" t="str">
        <f>IF('NEW ACCOUNT'!A392="","",'NEW ACCOUNT'!H392)</f>
        <v/>
      </c>
      <c r="I391" s="38" t="str">
        <f>IF('NEW ACCOUNT'!A392="","",'NEW ACCOUNT'!I392)</f>
        <v/>
      </c>
      <c r="J391" s="38" t="str">
        <f>IF('NEW ACCOUNT'!A392="","",'NEW ACCOUNT'!J392)</f>
        <v/>
      </c>
      <c r="K391" s="39" t="str">
        <f>IFERROR(IF(A391="","",SUMIF(DB_Savings!$A:$A,A391,DB_Savings!$F:$F)),"")</f>
        <v/>
      </c>
      <c r="L391" s="39" t="str">
        <f>IFERROR(IF(A391="","",SUMIF(DB_Withdrawals!$A:$A,A391,DB_Withdrawals!$G:$G)),"")</f>
        <v/>
      </c>
      <c r="M391" s="39" t="str">
        <f>IFERROR(IF(A391="","",IFERROR(VALUE(H391),0)+IFERROR(SUMIF(DB_Savings!$A:$A,A391,DB_Savings!$F:$F),0)-IFERROR(SUMIF(DB_Withdrawals!$A:$A,A391,DB_Withdrawals!$G:$G),0)),"")</f>
        <v/>
      </c>
      <c r="N391" s="39" t="str">
        <f>IFERROR(IF(A391="","",MAX(0,M391-System_Config!$B$9)),"")</f>
        <v/>
      </c>
    </row>
    <row r="392" spans="1:14" ht="19.5" customHeight="1" x14ac:dyDescent="0.25">
      <c r="A392" s="37" t="str">
        <f>'NEW ACCOUNT'!A393</f>
        <v/>
      </c>
      <c r="B392" s="38" t="str">
        <f>IF('NEW ACCOUNT'!A393="","",'NEW ACCOUNT'!B393)</f>
        <v/>
      </c>
      <c r="C392" s="38" t="str">
        <f>IF('NEW ACCOUNT'!A393="","",'NEW ACCOUNT'!C393)</f>
        <v/>
      </c>
      <c r="D392" s="38" t="str">
        <f>IF('NEW ACCOUNT'!A393="","",'NEW ACCOUNT'!D393)</f>
        <v/>
      </c>
      <c r="E392" s="38" t="str">
        <f>IF('NEW ACCOUNT'!A393="","",'NEW ACCOUNT'!E393)</f>
        <v/>
      </c>
      <c r="F392" s="38" t="str">
        <f>IF('NEW ACCOUNT'!A393="","",'NEW ACCOUNT'!F393)</f>
        <v/>
      </c>
      <c r="G392" s="38" t="str">
        <f>IF('NEW ACCOUNT'!A393="","",'NEW ACCOUNT'!G393)</f>
        <v/>
      </c>
      <c r="H392" s="38" t="str">
        <f>IF('NEW ACCOUNT'!A393="","",'NEW ACCOUNT'!H393)</f>
        <v/>
      </c>
      <c r="I392" s="38" t="str">
        <f>IF('NEW ACCOUNT'!A393="","",'NEW ACCOUNT'!I393)</f>
        <v/>
      </c>
      <c r="J392" s="38" t="str">
        <f>IF('NEW ACCOUNT'!A393="","",'NEW ACCOUNT'!J393)</f>
        <v/>
      </c>
      <c r="K392" s="39" t="str">
        <f>IFERROR(IF(A392="","",SUMIF(DB_Savings!$A:$A,A392,DB_Savings!$F:$F)),"")</f>
        <v/>
      </c>
      <c r="L392" s="39" t="str">
        <f>IFERROR(IF(A392="","",SUMIF(DB_Withdrawals!$A:$A,A392,DB_Withdrawals!$G:$G)),"")</f>
        <v/>
      </c>
      <c r="M392" s="39" t="str">
        <f>IFERROR(IF(A392="","",IFERROR(VALUE(H392),0)+IFERROR(SUMIF(DB_Savings!$A:$A,A392,DB_Savings!$F:$F),0)-IFERROR(SUMIF(DB_Withdrawals!$A:$A,A392,DB_Withdrawals!$G:$G),0)),"")</f>
        <v/>
      </c>
      <c r="N392" s="39" t="str">
        <f>IFERROR(IF(A392="","",MAX(0,M392-System_Config!$B$9)),"")</f>
        <v/>
      </c>
    </row>
    <row r="393" spans="1:14" ht="19.5" customHeight="1" x14ac:dyDescent="0.25">
      <c r="A393" s="37" t="str">
        <f>'NEW ACCOUNT'!A394</f>
        <v/>
      </c>
      <c r="B393" s="38" t="str">
        <f>IF('NEW ACCOUNT'!A394="","",'NEW ACCOUNT'!B394)</f>
        <v/>
      </c>
      <c r="C393" s="38" t="str">
        <f>IF('NEW ACCOUNT'!A394="","",'NEW ACCOUNT'!C394)</f>
        <v/>
      </c>
      <c r="D393" s="38" t="str">
        <f>IF('NEW ACCOUNT'!A394="","",'NEW ACCOUNT'!D394)</f>
        <v/>
      </c>
      <c r="E393" s="38" t="str">
        <f>IF('NEW ACCOUNT'!A394="","",'NEW ACCOUNT'!E394)</f>
        <v/>
      </c>
      <c r="F393" s="38" t="str">
        <f>IF('NEW ACCOUNT'!A394="","",'NEW ACCOUNT'!F394)</f>
        <v/>
      </c>
      <c r="G393" s="38" t="str">
        <f>IF('NEW ACCOUNT'!A394="","",'NEW ACCOUNT'!G394)</f>
        <v/>
      </c>
      <c r="H393" s="38" t="str">
        <f>IF('NEW ACCOUNT'!A394="","",'NEW ACCOUNT'!H394)</f>
        <v/>
      </c>
      <c r="I393" s="38" t="str">
        <f>IF('NEW ACCOUNT'!A394="","",'NEW ACCOUNT'!I394)</f>
        <v/>
      </c>
      <c r="J393" s="38" t="str">
        <f>IF('NEW ACCOUNT'!A394="","",'NEW ACCOUNT'!J394)</f>
        <v/>
      </c>
      <c r="K393" s="39" t="str">
        <f>IFERROR(IF(A393="","",SUMIF(DB_Savings!$A:$A,A393,DB_Savings!$F:$F)),"")</f>
        <v/>
      </c>
      <c r="L393" s="39" t="str">
        <f>IFERROR(IF(A393="","",SUMIF(DB_Withdrawals!$A:$A,A393,DB_Withdrawals!$G:$G)),"")</f>
        <v/>
      </c>
      <c r="M393" s="39" t="str">
        <f>IFERROR(IF(A393="","",IFERROR(VALUE(H393),0)+IFERROR(SUMIF(DB_Savings!$A:$A,A393,DB_Savings!$F:$F),0)-IFERROR(SUMIF(DB_Withdrawals!$A:$A,A393,DB_Withdrawals!$G:$G),0)),"")</f>
        <v/>
      </c>
      <c r="N393" s="39" t="str">
        <f>IFERROR(IF(A393="","",MAX(0,M393-System_Config!$B$9)),"")</f>
        <v/>
      </c>
    </row>
    <row r="394" spans="1:14" ht="19.5" customHeight="1" x14ac:dyDescent="0.25">
      <c r="A394" s="37" t="str">
        <f>'NEW ACCOUNT'!A395</f>
        <v/>
      </c>
      <c r="B394" s="38" t="str">
        <f>IF('NEW ACCOUNT'!A395="","",'NEW ACCOUNT'!B395)</f>
        <v/>
      </c>
      <c r="C394" s="38" t="str">
        <f>IF('NEW ACCOUNT'!A395="","",'NEW ACCOUNT'!C395)</f>
        <v/>
      </c>
      <c r="D394" s="38" t="str">
        <f>IF('NEW ACCOUNT'!A395="","",'NEW ACCOUNT'!D395)</f>
        <v/>
      </c>
      <c r="E394" s="38" t="str">
        <f>IF('NEW ACCOUNT'!A395="","",'NEW ACCOUNT'!E395)</f>
        <v/>
      </c>
      <c r="F394" s="38" t="str">
        <f>IF('NEW ACCOUNT'!A395="","",'NEW ACCOUNT'!F395)</f>
        <v/>
      </c>
      <c r="G394" s="38" t="str">
        <f>IF('NEW ACCOUNT'!A395="","",'NEW ACCOUNT'!G395)</f>
        <v/>
      </c>
      <c r="H394" s="38" t="str">
        <f>IF('NEW ACCOUNT'!A395="","",'NEW ACCOUNT'!H395)</f>
        <v/>
      </c>
      <c r="I394" s="38" t="str">
        <f>IF('NEW ACCOUNT'!A395="","",'NEW ACCOUNT'!I395)</f>
        <v/>
      </c>
      <c r="J394" s="38" t="str">
        <f>IF('NEW ACCOUNT'!A395="","",'NEW ACCOUNT'!J395)</f>
        <v/>
      </c>
      <c r="K394" s="39" t="str">
        <f>IFERROR(IF(A394="","",SUMIF(DB_Savings!$A:$A,A394,DB_Savings!$F:$F)),"")</f>
        <v/>
      </c>
      <c r="L394" s="39" t="str">
        <f>IFERROR(IF(A394="","",SUMIF(DB_Withdrawals!$A:$A,A394,DB_Withdrawals!$G:$G)),"")</f>
        <v/>
      </c>
      <c r="M394" s="39" t="str">
        <f>IFERROR(IF(A394="","",IFERROR(VALUE(H394),0)+IFERROR(SUMIF(DB_Savings!$A:$A,A394,DB_Savings!$F:$F),0)-IFERROR(SUMIF(DB_Withdrawals!$A:$A,A394,DB_Withdrawals!$G:$G),0)),"")</f>
        <v/>
      </c>
      <c r="N394" s="39" t="str">
        <f>IFERROR(IF(A394="","",MAX(0,M394-System_Config!$B$9)),"")</f>
        <v/>
      </c>
    </row>
    <row r="395" spans="1:14" ht="19.5" customHeight="1" x14ac:dyDescent="0.25">
      <c r="A395" s="37" t="str">
        <f>'NEW ACCOUNT'!A396</f>
        <v/>
      </c>
      <c r="B395" s="38" t="str">
        <f>IF('NEW ACCOUNT'!A396="","",'NEW ACCOUNT'!B396)</f>
        <v/>
      </c>
      <c r="C395" s="38" t="str">
        <f>IF('NEW ACCOUNT'!A396="","",'NEW ACCOUNT'!C396)</f>
        <v/>
      </c>
      <c r="D395" s="38" t="str">
        <f>IF('NEW ACCOUNT'!A396="","",'NEW ACCOUNT'!D396)</f>
        <v/>
      </c>
      <c r="E395" s="38" t="str">
        <f>IF('NEW ACCOUNT'!A396="","",'NEW ACCOUNT'!E396)</f>
        <v/>
      </c>
      <c r="F395" s="38" t="str">
        <f>IF('NEW ACCOUNT'!A396="","",'NEW ACCOUNT'!F396)</f>
        <v/>
      </c>
      <c r="G395" s="38" t="str">
        <f>IF('NEW ACCOUNT'!A396="","",'NEW ACCOUNT'!G396)</f>
        <v/>
      </c>
      <c r="H395" s="38" t="str">
        <f>IF('NEW ACCOUNT'!A396="","",'NEW ACCOUNT'!H396)</f>
        <v/>
      </c>
      <c r="I395" s="38" t="str">
        <f>IF('NEW ACCOUNT'!A396="","",'NEW ACCOUNT'!I396)</f>
        <v/>
      </c>
      <c r="J395" s="38" t="str">
        <f>IF('NEW ACCOUNT'!A396="","",'NEW ACCOUNT'!J396)</f>
        <v/>
      </c>
      <c r="K395" s="39" t="str">
        <f>IFERROR(IF(A395="","",SUMIF(DB_Savings!$A:$A,A395,DB_Savings!$F:$F)),"")</f>
        <v/>
      </c>
      <c r="L395" s="39" t="str">
        <f>IFERROR(IF(A395="","",SUMIF(DB_Withdrawals!$A:$A,A395,DB_Withdrawals!$G:$G)),"")</f>
        <v/>
      </c>
      <c r="M395" s="39" t="str">
        <f>IFERROR(IF(A395="","",IFERROR(VALUE(H395),0)+IFERROR(SUMIF(DB_Savings!$A:$A,A395,DB_Savings!$F:$F),0)-IFERROR(SUMIF(DB_Withdrawals!$A:$A,A395,DB_Withdrawals!$G:$G),0)),"")</f>
        <v/>
      </c>
      <c r="N395" s="39" t="str">
        <f>IFERROR(IF(A395="","",MAX(0,M395-System_Config!$B$9)),"")</f>
        <v/>
      </c>
    </row>
    <row r="396" spans="1:14" ht="19.5" customHeight="1" x14ac:dyDescent="0.25">
      <c r="A396" s="37" t="str">
        <f>'NEW ACCOUNT'!A397</f>
        <v/>
      </c>
      <c r="B396" s="38" t="str">
        <f>IF('NEW ACCOUNT'!A397="","",'NEW ACCOUNT'!B397)</f>
        <v/>
      </c>
      <c r="C396" s="38" t="str">
        <f>IF('NEW ACCOUNT'!A397="","",'NEW ACCOUNT'!C397)</f>
        <v/>
      </c>
      <c r="D396" s="38" t="str">
        <f>IF('NEW ACCOUNT'!A397="","",'NEW ACCOUNT'!D397)</f>
        <v/>
      </c>
      <c r="E396" s="38" t="str">
        <f>IF('NEW ACCOUNT'!A397="","",'NEW ACCOUNT'!E397)</f>
        <v/>
      </c>
      <c r="F396" s="38" t="str">
        <f>IF('NEW ACCOUNT'!A397="","",'NEW ACCOUNT'!F397)</f>
        <v/>
      </c>
      <c r="G396" s="38" t="str">
        <f>IF('NEW ACCOUNT'!A397="","",'NEW ACCOUNT'!G397)</f>
        <v/>
      </c>
      <c r="H396" s="38" t="str">
        <f>IF('NEW ACCOUNT'!A397="","",'NEW ACCOUNT'!H397)</f>
        <v/>
      </c>
      <c r="I396" s="38" t="str">
        <f>IF('NEW ACCOUNT'!A397="","",'NEW ACCOUNT'!I397)</f>
        <v/>
      </c>
      <c r="J396" s="38" t="str">
        <f>IF('NEW ACCOUNT'!A397="","",'NEW ACCOUNT'!J397)</f>
        <v/>
      </c>
      <c r="K396" s="39" t="str">
        <f>IFERROR(IF(A396="","",SUMIF(DB_Savings!$A:$A,A396,DB_Savings!$F:$F)),"")</f>
        <v/>
      </c>
      <c r="L396" s="39" t="str">
        <f>IFERROR(IF(A396="","",SUMIF(DB_Withdrawals!$A:$A,A396,DB_Withdrawals!$G:$G)),"")</f>
        <v/>
      </c>
      <c r="M396" s="39" t="str">
        <f>IFERROR(IF(A396="","",IFERROR(VALUE(H396),0)+IFERROR(SUMIF(DB_Savings!$A:$A,A396,DB_Savings!$F:$F),0)-IFERROR(SUMIF(DB_Withdrawals!$A:$A,A396,DB_Withdrawals!$G:$G),0)),"")</f>
        <v/>
      </c>
      <c r="N396" s="39" t="str">
        <f>IFERROR(IF(A396="","",MAX(0,M396-System_Config!$B$9)),"")</f>
        <v/>
      </c>
    </row>
    <row r="397" spans="1:14" ht="19.5" customHeight="1" x14ac:dyDescent="0.25">
      <c r="A397" s="37" t="str">
        <f>'NEW ACCOUNT'!A398</f>
        <v/>
      </c>
      <c r="B397" s="38" t="str">
        <f>IF('NEW ACCOUNT'!A398="","",'NEW ACCOUNT'!B398)</f>
        <v/>
      </c>
      <c r="C397" s="38" t="str">
        <f>IF('NEW ACCOUNT'!A398="","",'NEW ACCOUNT'!C398)</f>
        <v/>
      </c>
      <c r="D397" s="38" t="str">
        <f>IF('NEW ACCOUNT'!A398="","",'NEW ACCOUNT'!D398)</f>
        <v/>
      </c>
      <c r="E397" s="38" t="str">
        <f>IF('NEW ACCOUNT'!A398="","",'NEW ACCOUNT'!E398)</f>
        <v/>
      </c>
      <c r="F397" s="38" t="str">
        <f>IF('NEW ACCOUNT'!A398="","",'NEW ACCOUNT'!F398)</f>
        <v/>
      </c>
      <c r="G397" s="38" t="str">
        <f>IF('NEW ACCOUNT'!A398="","",'NEW ACCOUNT'!G398)</f>
        <v/>
      </c>
      <c r="H397" s="38" t="str">
        <f>IF('NEW ACCOUNT'!A398="","",'NEW ACCOUNT'!H398)</f>
        <v/>
      </c>
      <c r="I397" s="38" t="str">
        <f>IF('NEW ACCOUNT'!A398="","",'NEW ACCOUNT'!I398)</f>
        <v/>
      </c>
      <c r="J397" s="38" t="str">
        <f>IF('NEW ACCOUNT'!A398="","",'NEW ACCOUNT'!J398)</f>
        <v/>
      </c>
      <c r="K397" s="39" t="str">
        <f>IFERROR(IF(A397="","",SUMIF(DB_Savings!$A:$A,A397,DB_Savings!$F:$F)),"")</f>
        <v/>
      </c>
      <c r="L397" s="39" t="str">
        <f>IFERROR(IF(A397="","",SUMIF(DB_Withdrawals!$A:$A,A397,DB_Withdrawals!$G:$G)),"")</f>
        <v/>
      </c>
      <c r="M397" s="39" t="str">
        <f>IFERROR(IF(A397="","",IFERROR(VALUE(H397),0)+IFERROR(SUMIF(DB_Savings!$A:$A,A397,DB_Savings!$F:$F),0)-IFERROR(SUMIF(DB_Withdrawals!$A:$A,A397,DB_Withdrawals!$G:$G),0)),"")</f>
        <v/>
      </c>
      <c r="N397" s="39" t="str">
        <f>IFERROR(IF(A397="","",MAX(0,M397-System_Config!$B$9)),"")</f>
        <v/>
      </c>
    </row>
    <row r="398" spans="1:14" ht="19.5" customHeight="1" x14ac:dyDescent="0.25">
      <c r="A398" s="37" t="str">
        <f>'NEW ACCOUNT'!A399</f>
        <v/>
      </c>
      <c r="B398" s="38" t="str">
        <f>IF('NEW ACCOUNT'!A399="","",'NEW ACCOUNT'!B399)</f>
        <v/>
      </c>
      <c r="C398" s="38" t="str">
        <f>IF('NEW ACCOUNT'!A399="","",'NEW ACCOUNT'!C399)</f>
        <v/>
      </c>
      <c r="D398" s="38" t="str">
        <f>IF('NEW ACCOUNT'!A399="","",'NEW ACCOUNT'!D399)</f>
        <v/>
      </c>
      <c r="E398" s="38" t="str">
        <f>IF('NEW ACCOUNT'!A399="","",'NEW ACCOUNT'!E399)</f>
        <v/>
      </c>
      <c r="F398" s="38" t="str">
        <f>IF('NEW ACCOUNT'!A399="","",'NEW ACCOUNT'!F399)</f>
        <v/>
      </c>
      <c r="G398" s="38" t="str">
        <f>IF('NEW ACCOUNT'!A399="","",'NEW ACCOUNT'!G399)</f>
        <v/>
      </c>
      <c r="H398" s="38" t="str">
        <f>IF('NEW ACCOUNT'!A399="","",'NEW ACCOUNT'!H399)</f>
        <v/>
      </c>
      <c r="I398" s="38" t="str">
        <f>IF('NEW ACCOUNT'!A399="","",'NEW ACCOUNT'!I399)</f>
        <v/>
      </c>
      <c r="J398" s="38" t="str">
        <f>IF('NEW ACCOUNT'!A399="","",'NEW ACCOUNT'!J399)</f>
        <v/>
      </c>
      <c r="K398" s="39" t="str">
        <f>IFERROR(IF(A398="","",SUMIF(DB_Savings!$A:$A,A398,DB_Savings!$F:$F)),"")</f>
        <v/>
      </c>
      <c r="L398" s="39" t="str">
        <f>IFERROR(IF(A398="","",SUMIF(DB_Withdrawals!$A:$A,A398,DB_Withdrawals!$G:$G)),"")</f>
        <v/>
      </c>
      <c r="M398" s="39" t="str">
        <f>IFERROR(IF(A398="","",IFERROR(VALUE(H398),0)+IFERROR(SUMIF(DB_Savings!$A:$A,A398,DB_Savings!$F:$F),0)-IFERROR(SUMIF(DB_Withdrawals!$A:$A,A398,DB_Withdrawals!$G:$G),0)),"")</f>
        <v/>
      </c>
      <c r="N398" s="39" t="str">
        <f>IFERROR(IF(A398="","",MAX(0,M398-System_Config!$B$9)),"")</f>
        <v/>
      </c>
    </row>
    <row r="399" spans="1:14" ht="19.5" customHeight="1" x14ac:dyDescent="0.25">
      <c r="A399" s="37" t="str">
        <f>'NEW ACCOUNT'!A400</f>
        <v/>
      </c>
      <c r="B399" s="38" t="str">
        <f>IF('NEW ACCOUNT'!A400="","",'NEW ACCOUNT'!B400)</f>
        <v/>
      </c>
      <c r="C399" s="38" t="str">
        <f>IF('NEW ACCOUNT'!A400="","",'NEW ACCOUNT'!C400)</f>
        <v/>
      </c>
      <c r="D399" s="38" t="str">
        <f>IF('NEW ACCOUNT'!A400="","",'NEW ACCOUNT'!D400)</f>
        <v/>
      </c>
      <c r="E399" s="38" t="str">
        <f>IF('NEW ACCOUNT'!A400="","",'NEW ACCOUNT'!E400)</f>
        <v/>
      </c>
      <c r="F399" s="38" t="str">
        <f>IF('NEW ACCOUNT'!A400="","",'NEW ACCOUNT'!F400)</f>
        <v/>
      </c>
      <c r="G399" s="38" t="str">
        <f>IF('NEW ACCOUNT'!A400="","",'NEW ACCOUNT'!G400)</f>
        <v/>
      </c>
      <c r="H399" s="38" t="str">
        <f>IF('NEW ACCOUNT'!A400="","",'NEW ACCOUNT'!H400)</f>
        <v/>
      </c>
      <c r="I399" s="38" t="str">
        <f>IF('NEW ACCOUNT'!A400="","",'NEW ACCOUNT'!I400)</f>
        <v/>
      </c>
      <c r="J399" s="38" t="str">
        <f>IF('NEW ACCOUNT'!A400="","",'NEW ACCOUNT'!J400)</f>
        <v/>
      </c>
      <c r="K399" s="39" t="str">
        <f>IFERROR(IF(A399="","",SUMIF(DB_Savings!$A:$A,A399,DB_Savings!$F:$F)),"")</f>
        <v/>
      </c>
      <c r="L399" s="39" t="str">
        <f>IFERROR(IF(A399="","",SUMIF(DB_Withdrawals!$A:$A,A399,DB_Withdrawals!$G:$G)),"")</f>
        <v/>
      </c>
      <c r="M399" s="39" t="str">
        <f>IFERROR(IF(A399="","",IFERROR(VALUE(H399),0)+IFERROR(SUMIF(DB_Savings!$A:$A,A399,DB_Savings!$F:$F),0)-IFERROR(SUMIF(DB_Withdrawals!$A:$A,A399,DB_Withdrawals!$G:$G),0)),"")</f>
        <v/>
      </c>
      <c r="N399" s="39" t="str">
        <f>IFERROR(IF(A399="","",MAX(0,M399-System_Config!$B$9)),"")</f>
        <v/>
      </c>
    </row>
    <row r="400" spans="1:14" ht="19.5" customHeight="1" x14ac:dyDescent="0.25">
      <c r="A400" s="37" t="str">
        <f>'NEW ACCOUNT'!A401</f>
        <v/>
      </c>
      <c r="B400" s="38" t="str">
        <f>IF('NEW ACCOUNT'!A401="","",'NEW ACCOUNT'!B401)</f>
        <v/>
      </c>
      <c r="C400" s="38" t="str">
        <f>IF('NEW ACCOUNT'!A401="","",'NEW ACCOUNT'!C401)</f>
        <v/>
      </c>
      <c r="D400" s="38" t="str">
        <f>IF('NEW ACCOUNT'!A401="","",'NEW ACCOUNT'!D401)</f>
        <v/>
      </c>
      <c r="E400" s="38" t="str">
        <f>IF('NEW ACCOUNT'!A401="","",'NEW ACCOUNT'!E401)</f>
        <v/>
      </c>
      <c r="F400" s="38" t="str">
        <f>IF('NEW ACCOUNT'!A401="","",'NEW ACCOUNT'!F401)</f>
        <v/>
      </c>
      <c r="G400" s="38" t="str">
        <f>IF('NEW ACCOUNT'!A401="","",'NEW ACCOUNT'!G401)</f>
        <v/>
      </c>
      <c r="H400" s="38" t="str">
        <f>IF('NEW ACCOUNT'!A401="","",'NEW ACCOUNT'!H401)</f>
        <v/>
      </c>
      <c r="I400" s="38" t="str">
        <f>IF('NEW ACCOUNT'!A401="","",'NEW ACCOUNT'!I401)</f>
        <v/>
      </c>
      <c r="J400" s="38" t="str">
        <f>IF('NEW ACCOUNT'!A401="","",'NEW ACCOUNT'!J401)</f>
        <v/>
      </c>
      <c r="K400" s="39" t="str">
        <f>IFERROR(IF(A400="","",SUMIF(DB_Savings!$A:$A,A400,DB_Savings!$F:$F)),"")</f>
        <v/>
      </c>
      <c r="L400" s="39" t="str">
        <f>IFERROR(IF(A400="","",SUMIF(DB_Withdrawals!$A:$A,A400,DB_Withdrawals!$G:$G)),"")</f>
        <v/>
      </c>
      <c r="M400" s="39" t="str">
        <f>IFERROR(IF(A400="","",IFERROR(VALUE(H400),0)+IFERROR(SUMIF(DB_Savings!$A:$A,A400,DB_Savings!$F:$F),0)-IFERROR(SUMIF(DB_Withdrawals!$A:$A,A400,DB_Withdrawals!$G:$G),0)),"")</f>
        <v/>
      </c>
      <c r="N400" s="39" t="str">
        <f>IFERROR(IF(A400="","",MAX(0,M400-System_Config!$B$9)),"")</f>
        <v/>
      </c>
    </row>
    <row r="401" spans="1:14" ht="19.5" customHeight="1" x14ac:dyDescent="0.25">
      <c r="A401" s="37" t="str">
        <f>'NEW ACCOUNT'!A402</f>
        <v/>
      </c>
      <c r="B401" s="38" t="str">
        <f>IF('NEW ACCOUNT'!A402="","",'NEW ACCOUNT'!B402)</f>
        <v/>
      </c>
      <c r="C401" s="38" t="str">
        <f>IF('NEW ACCOUNT'!A402="","",'NEW ACCOUNT'!C402)</f>
        <v/>
      </c>
      <c r="D401" s="38" t="str">
        <f>IF('NEW ACCOUNT'!A402="","",'NEW ACCOUNT'!D402)</f>
        <v/>
      </c>
      <c r="E401" s="38" t="str">
        <f>IF('NEW ACCOUNT'!A402="","",'NEW ACCOUNT'!E402)</f>
        <v/>
      </c>
      <c r="F401" s="38" t="str">
        <f>IF('NEW ACCOUNT'!A402="","",'NEW ACCOUNT'!F402)</f>
        <v/>
      </c>
      <c r="G401" s="38" t="str">
        <f>IF('NEW ACCOUNT'!A402="","",'NEW ACCOUNT'!G402)</f>
        <v/>
      </c>
      <c r="H401" s="38" t="str">
        <f>IF('NEW ACCOUNT'!A402="","",'NEW ACCOUNT'!H402)</f>
        <v/>
      </c>
      <c r="I401" s="38" t="str">
        <f>IF('NEW ACCOUNT'!A402="","",'NEW ACCOUNT'!I402)</f>
        <v/>
      </c>
      <c r="J401" s="38" t="str">
        <f>IF('NEW ACCOUNT'!A402="","",'NEW ACCOUNT'!J402)</f>
        <v/>
      </c>
      <c r="K401" s="39" t="str">
        <f>IFERROR(IF(A401="","",SUMIF(DB_Savings!$A:$A,A401,DB_Savings!$F:$F)),"")</f>
        <v/>
      </c>
      <c r="L401" s="39" t="str">
        <f>IFERROR(IF(A401="","",SUMIF(DB_Withdrawals!$A:$A,A401,DB_Withdrawals!$G:$G)),"")</f>
        <v/>
      </c>
      <c r="M401" s="39" t="str">
        <f>IFERROR(IF(A401="","",IFERROR(VALUE(H401),0)+IFERROR(SUMIF(DB_Savings!$A:$A,A401,DB_Savings!$F:$F),0)-IFERROR(SUMIF(DB_Withdrawals!$A:$A,A401,DB_Withdrawals!$G:$G),0)),"")</f>
        <v/>
      </c>
      <c r="N401" s="39" t="str">
        <f>IFERROR(IF(A401="","",MAX(0,M401-System_Config!$B$9)),"")</f>
        <v/>
      </c>
    </row>
    <row r="402" spans="1:14" ht="19.5" customHeight="1" x14ac:dyDescent="0.25">
      <c r="A402" s="37" t="str">
        <f>'NEW ACCOUNT'!A403</f>
        <v/>
      </c>
      <c r="B402" s="38" t="str">
        <f>IF('NEW ACCOUNT'!A403="","",'NEW ACCOUNT'!B403)</f>
        <v/>
      </c>
      <c r="C402" s="38" t="str">
        <f>IF('NEW ACCOUNT'!A403="","",'NEW ACCOUNT'!C403)</f>
        <v/>
      </c>
      <c r="D402" s="38" t="str">
        <f>IF('NEW ACCOUNT'!A403="","",'NEW ACCOUNT'!D403)</f>
        <v/>
      </c>
      <c r="E402" s="38" t="str">
        <f>IF('NEW ACCOUNT'!A403="","",'NEW ACCOUNT'!E403)</f>
        <v/>
      </c>
      <c r="F402" s="38" t="str">
        <f>IF('NEW ACCOUNT'!A403="","",'NEW ACCOUNT'!F403)</f>
        <v/>
      </c>
      <c r="G402" s="38" t="str">
        <f>IF('NEW ACCOUNT'!A403="","",'NEW ACCOUNT'!G403)</f>
        <v/>
      </c>
      <c r="H402" s="38" t="str">
        <f>IF('NEW ACCOUNT'!A403="","",'NEW ACCOUNT'!H403)</f>
        <v/>
      </c>
      <c r="I402" s="38" t="str">
        <f>IF('NEW ACCOUNT'!A403="","",'NEW ACCOUNT'!I403)</f>
        <v/>
      </c>
      <c r="J402" s="38" t="str">
        <f>IF('NEW ACCOUNT'!A403="","",'NEW ACCOUNT'!J403)</f>
        <v/>
      </c>
      <c r="K402" s="39" t="str">
        <f>IFERROR(IF(A402="","",SUMIF(DB_Savings!$A:$A,A402,DB_Savings!$F:$F)),"")</f>
        <v/>
      </c>
      <c r="L402" s="39" t="str">
        <f>IFERROR(IF(A402="","",SUMIF(DB_Withdrawals!$A:$A,A402,DB_Withdrawals!$G:$G)),"")</f>
        <v/>
      </c>
      <c r="M402" s="39" t="str">
        <f>IFERROR(IF(A402="","",IFERROR(VALUE(H402),0)+IFERROR(SUMIF(DB_Savings!$A:$A,A402,DB_Savings!$F:$F),0)-IFERROR(SUMIF(DB_Withdrawals!$A:$A,A402,DB_Withdrawals!$G:$G),0)),"")</f>
        <v/>
      </c>
      <c r="N402" s="39" t="str">
        <f>IFERROR(IF(A402="","",MAX(0,M402-System_Config!$B$9)),"")</f>
        <v/>
      </c>
    </row>
    <row r="403" spans="1:14" ht="19.5" customHeight="1" x14ac:dyDescent="0.25">
      <c r="A403" s="37" t="str">
        <f>'NEW ACCOUNT'!A404</f>
        <v/>
      </c>
      <c r="B403" s="38" t="str">
        <f>IF('NEW ACCOUNT'!A404="","",'NEW ACCOUNT'!B404)</f>
        <v/>
      </c>
      <c r="C403" s="38" t="str">
        <f>IF('NEW ACCOUNT'!A404="","",'NEW ACCOUNT'!C404)</f>
        <v/>
      </c>
      <c r="D403" s="38" t="str">
        <f>IF('NEW ACCOUNT'!A404="","",'NEW ACCOUNT'!D404)</f>
        <v/>
      </c>
      <c r="E403" s="38" t="str">
        <f>IF('NEW ACCOUNT'!A404="","",'NEW ACCOUNT'!E404)</f>
        <v/>
      </c>
      <c r="F403" s="38" t="str">
        <f>IF('NEW ACCOUNT'!A404="","",'NEW ACCOUNT'!F404)</f>
        <v/>
      </c>
      <c r="G403" s="38" t="str">
        <f>IF('NEW ACCOUNT'!A404="","",'NEW ACCOUNT'!G404)</f>
        <v/>
      </c>
      <c r="H403" s="38" t="str">
        <f>IF('NEW ACCOUNT'!A404="","",'NEW ACCOUNT'!H404)</f>
        <v/>
      </c>
      <c r="I403" s="38" t="str">
        <f>IF('NEW ACCOUNT'!A404="","",'NEW ACCOUNT'!I404)</f>
        <v/>
      </c>
      <c r="J403" s="38" t="str">
        <f>IF('NEW ACCOUNT'!A404="","",'NEW ACCOUNT'!J404)</f>
        <v/>
      </c>
      <c r="K403" s="39" t="str">
        <f>IFERROR(IF(A403="","",SUMIF(DB_Savings!$A:$A,A403,DB_Savings!$F:$F)),"")</f>
        <v/>
      </c>
      <c r="L403" s="39" t="str">
        <f>IFERROR(IF(A403="","",SUMIF(DB_Withdrawals!$A:$A,A403,DB_Withdrawals!$G:$G)),"")</f>
        <v/>
      </c>
      <c r="M403" s="39" t="str">
        <f>IFERROR(IF(A403="","",IFERROR(VALUE(H403),0)+IFERROR(SUMIF(DB_Savings!$A:$A,A403,DB_Savings!$F:$F),0)-IFERROR(SUMIF(DB_Withdrawals!$A:$A,A403,DB_Withdrawals!$G:$G),0)),"")</f>
        <v/>
      </c>
      <c r="N403" s="39" t="str">
        <f>IFERROR(IF(A403="","",MAX(0,M403-System_Config!$B$9)),"")</f>
        <v/>
      </c>
    </row>
    <row r="404" spans="1:14" ht="19.5" customHeight="1" x14ac:dyDescent="0.25">
      <c r="A404" s="37" t="str">
        <f>'NEW ACCOUNT'!A405</f>
        <v/>
      </c>
      <c r="B404" s="38" t="str">
        <f>IF('NEW ACCOUNT'!A405="","",'NEW ACCOUNT'!B405)</f>
        <v/>
      </c>
      <c r="C404" s="38" t="str">
        <f>IF('NEW ACCOUNT'!A405="","",'NEW ACCOUNT'!C405)</f>
        <v/>
      </c>
      <c r="D404" s="38" t="str">
        <f>IF('NEW ACCOUNT'!A405="","",'NEW ACCOUNT'!D405)</f>
        <v/>
      </c>
      <c r="E404" s="38" t="str">
        <f>IF('NEW ACCOUNT'!A405="","",'NEW ACCOUNT'!E405)</f>
        <v/>
      </c>
      <c r="F404" s="38" t="str">
        <f>IF('NEW ACCOUNT'!A405="","",'NEW ACCOUNT'!F405)</f>
        <v/>
      </c>
      <c r="G404" s="38" t="str">
        <f>IF('NEW ACCOUNT'!A405="","",'NEW ACCOUNT'!G405)</f>
        <v/>
      </c>
      <c r="H404" s="38" t="str">
        <f>IF('NEW ACCOUNT'!A405="","",'NEW ACCOUNT'!H405)</f>
        <v/>
      </c>
      <c r="I404" s="38" t="str">
        <f>IF('NEW ACCOUNT'!A405="","",'NEW ACCOUNT'!I405)</f>
        <v/>
      </c>
      <c r="J404" s="38" t="str">
        <f>IF('NEW ACCOUNT'!A405="","",'NEW ACCOUNT'!J405)</f>
        <v/>
      </c>
      <c r="K404" s="39" t="str">
        <f>IFERROR(IF(A404="","",SUMIF(DB_Savings!$A:$A,A404,DB_Savings!$F:$F)),"")</f>
        <v/>
      </c>
      <c r="L404" s="39" t="str">
        <f>IFERROR(IF(A404="","",SUMIF(DB_Withdrawals!$A:$A,A404,DB_Withdrawals!$G:$G)),"")</f>
        <v/>
      </c>
      <c r="M404" s="39" t="str">
        <f>IFERROR(IF(A404="","",IFERROR(VALUE(H404),0)+IFERROR(SUMIF(DB_Savings!$A:$A,A404,DB_Savings!$F:$F),0)-IFERROR(SUMIF(DB_Withdrawals!$A:$A,A404,DB_Withdrawals!$G:$G),0)),"")</f>
        <v/>
      </c>
      <c r="N404" s="39" t="str">
        <f>IFERROR(IF(A404="","",MAX(0,M404-System_Config!$B$9)),"")</f>
        <v/>
      </c>
    </row>
    <row r="405" spans="1:14" ht="19.5" customHeight="1" x14ac:dyDescent="0.25">
      <c r="A405" s="37" t="str">
        <f>'NEW ACCOUNT'!A406</f>
        <v/>
      </c>
      <c r="B405" s="38" t="str">
        <f>IF('NEW ACCOUNT'!A406="","",'NEW ACCOUNT'!B406)</f>
        <v/>
      </c>
      <c r="C405" s="38" t="str">
        <f>IF('NEW ACCOUNT'!A406="","",'NEW ACCOUNT'!C406)</f>
        <v/>
      </c>
      <c r="D405" s="38" t="str">
        <f>IF('NEW ACCOUNT'!A406="","",'NEW ACCOUNT'!D406)</f>
        <v/>
      </c>
      <c r="E405" s="38" t="str">
        <f>IF('NEW ACCOUNT'!A406="","",'NEW ACCOUNT'!E406)</f>
        <v/>
      </c>
      <c r="F405" s="38" t="str">
        <f>IF('NEW ACCOUNT'!A406="","",'NEW ACCOUNT'!F406)</f>
        <v/>
      </c>
      <c r="G405" s="38" t="str">
        <f>IF('NEW ACCOUNT'!A406="","",'NEW ACCOUNT'!G406)</f>
        <v/>
      </c>
      <c r="H405" s="38" t="str">
        <f>IF('NEW ACCOUNT'!A406="","",'NEW ACCOUNT'!H406)</f>
        <v/>
      </c>
      <c r="I405" s="38" t="str">
        <f>IF('NEW ACCOUNT'!A406="","",'NEW ACCOUNT'!I406)</f>
        <v/>
      </c>
      <c r="J405" s="38" t="str">
        <f>IF('NEW ACCOUNT'!A406="","",'NEW ACCOUNT'!J406)</f>
        <v/>
      </c>
      <c r="K405" s="39" t="str">
        <f>IFERROR(IF(A405="","",SUMIF(DB_Savings!$A:$A,A405,DB_Savings!$F:$F)),"")</f>
        <v/>
      </c>
      <c r="L405" s="39" t="str">
        <f>IFERROR(IF(A405="","",SUMIF(DB_Withdrawals!$A:$A,A405,DB_Withdrawals!$G:$G)),"")</f>
        <v/>
      </c>
      <c r="M405" s="39" t="str">
        <f>IFERROR(IF(A405="","",IFERROR(VALUE(H405),0)+IFERROR(SUMIF(DB_Savings!$A:$A,A405,DB_Savings!$F:$F),0)-IFERROR(SUMIF(DB_Withdrawals!$A:$A,A405,DB_Withdrawals!$G:$G),0)),"")</f>
        <v/>
      </c>
      <c r="N405" s="39" t="str">
        <f>IFERROR(IF(A405="","",MAX(0,M405-System_Config!$B$9)),"")</f>
        <v/>
      </c>
    </row>
    <row r="406" spans="1:14" ht="19.5" customHeight="1" x14ac:dyDescent="0.25">
      <c r="A406" s="37" t="str">
        <f>'NEW ACCOUNT'!A407</f>
        <v/>
      </c>
      <c r="B406" s="38" t="str">
        <f>IF('NEW ACCOUNT'!A407="","",'NEW ACCOUNT'!B407)</f>
        <v/>
      </c>
      <c r="C406" s="38" t="str">
        <f>IF('NEW ACCOUNT'!A407="","",'NEW ACCOUNT'!C407)</f>
        <v/>
      </c>
      <c r="D406" s="38" t="str">
        <f>IF('NEW ACCOUNT'!A407="","",'NEW ACCOUNT'!D407)</f>
        <v/>
      </c>
      <c r="E406" s="38" t="str">
        <f>IF('NEW ACCOUNT'!A407="","",'NEW ACCOUNT'!E407)</f>
        <v/>
      </c>
      <c r="F406" s="38" t="str">
        <f>IF('NEW ACCOUNT'!A407="","",'NEW ACCOUNT'!F407)</f>
        <v/>
      </c>
      <c r="G406" s="38" t="str">
        <f>IF('NEW ACCOUNT'!A407="","",'NEW ACCOUNT'!G407)</f>
        <v/>
      </c>
      <c r="H406" s="38" t="str">
        <f>IF('NEW ACCOUNT'!A407="","",'NEW ACCOUNT'!H407)</f>
        <v/>
      </c>
      <c r="I406" s="38" t="str">
        <f>IF('NEW ACCOUNT'!A407="","",'NEW ACCOUNT'!I407)</f>
        <v/>
      </c>
      <c r="J406" s="38" t="str">
        <f>IF('NEW ACCOUNT'!A407="","",'NEW ACCOUNT'!J407)</f>
        <v/>
      </c>
      <c r="K406" s="39" t="str">
        <f>IFERROR(IF(A406="","",SUMIF(DB_Savings!$A:$A,A406,DB_Savings!$F:$F)),"")</f>
        <v/>
      </c>
      <c r="L406" s="39" t="str">
        <f>IFERROR(IF(A406="","",SUMIF(DB_Withdrawals!$A:$A,A406,DB_Withdrawals!$G:$G)),"")</f>
        <v/>
      </c>
      <c r="M406" s="39" t="str">
        <f>IFERROR(IF(A406="","",IFERROR(VALUE(H406),0)+IFERROR(SUMIF(DB_Savings!$A:$A,A406,DB_Savings!$F:$F),0)-IFERROR(SUMIF(DB_Withdrawals!$A:$A,A406,DB_Withdrawals!$G:$G),0)),"")</f>
        <v/>
      </c>
      <c r="N406" s="39" t="str">
        <f>IFERROR(IF(A406="","",MAX(0,M406-System_Config!$B$9)),"")</f>
        <v/>
      </c>
    </row>
    <row r="407" spans="1:14" ht="19.5" customHeight="1" x14ac:dyDescent="0.25">
      <c r="A407" s="37" t="str">
        <f>'NEW ACCOUNT'!A408</f>
        <v/>
      </c>
      <c r="B407" s="38" t="str">
        <f>IF('NEW ACCOUNT'!A408="","",'NEW ACCOUNT'!B408)</f>
        <v/>
      </c>
      <c r="C407" s="38" t="str">
        <f>IF('NEW ACCOUNT'!A408="","",'NEW ACCOUNT'!C408)</f>
        <v/>
      </c>
      <c r="D407" s="38" t="str">
        <f>IF('NEW ACCOUNT'!A408="","",'NEW ACCOUNT'!D408)</f>
        <v/>
      </c>
      <c r="E407" s="38" t="str">
        <f>IF('NEW ACCOUNT'!A408="","",'NEW ACCOUNT'!E408)</f>
        <v/>
      </c>
      <c r="F407" s="38" t="str">
        <f>IF('NEW ACCOUNT'!A408="","",'NEW ACCOUNT'!F408)</f>
        <v/>
      </c>
      <c r="G407" s="38" t="str">
        <f>IF('NEW ACCOUNT'!A408="","",'NEW ACCOUNT'!G408)</f>
        <v/>
      </c>
      <c r="H407" s="38" t="str">
        <f>IF('NEW ACCOUNT'!A408="","",'NEW ACCOUNT'!H408)</f>
        <v/>
      </c>
      <c r="I407" s="38" t="str">
        <f>IF('NEW ACCOUNT'!A408="","",'NEW ACCOUNT'!I408)</f>
        <v/>
      </c>
      <c r="J407" s="38" t="str">
        <f>IF('NEW ACCOUNT'!A408="","",'NEW ACCOUNT'!J408)</f>
        <v/>
      </c>
      <c r="K407" s="39" t="str">
        <f>IFERROR(IF(A407="","",SUMIF(DB_Savings!$A:$A,A407,DB_Savings!$F:$F)),"")</f>
        <v/>
      </c>
      <c r="L407" s="39" t="str">
        <f>IFERROR(IF(A407="","",SUMIF(DB_Withdrawals!$A:$A,A407,DB_Withdrawals!$G:$G)),"")</f>
        <v/>
      </c>
      <c r="M407" s="39" t="str">
        <f>IFERROR(IF(A407="","",IFERROR(VALUE(H407),0)+IFERROR(SUMIF(DB_Savings!$A:$A,A407,DB_Savings!$F:$F),0)-IFERROR(SUMIF(DB_Withdrawals!$A:$A,A407,DB_Withdrawals!$G:$G),0)),"")</f>
        <v/>
      </c>
      <c r="N407" s="39" t="str">
        <f>IFERROR(IF(A407="","",MAX(0,M407-System_Config!$B$9)),"")</f>
        <v/>
      </c>
    </row>
    <row r="408" spans="1:14" ht="19.5" customHeight="1" x14ac:dyDescent="0.25">
      <c r="A408" s="37" t="str">
        <f>'NEW ACCOUNT'!A409</f>
        <v/>
      </c>
      <c r="B408" s="38" t="str">
        <f>IF('NEW ACCOUNT'!A409="","",'NEW ACCOUNT'!B409)</f>
        <v/>
      </c>
      <c r="C408" s="38" t="str">
        <f>IF('NEW ACCOUNT'!A409="","",'NEW ACCOUNT'!C409)</f>
        <v/>
      </c>
      <c r="D408" s="38" t="str">
        <f>IF('NEW ACCOUNT'!A409="","",'NEW ACCOUNT'!D409)</f>
        <v/>
      </c>
      <c r="E408" s="38" t="str">
        <f>IF('NEW ACCOUNT'!A409="","",'NEW ACCOUNT'!E409)</f>
        <v/>
      </c>
      <c r="F408" s="38" t="str">
        <f>IF('NEW ACCOUNT'!A409="","",'NEW ACCOUNT'!F409)</f>
        <v/>
      </c>
      <c r="G408" s="38" t="str">
        <f>IF('NEW ACCOUNT'!A409="","",'NEW ACCOUNT'!G409)</f>
        <v/>
      </c>
      <c r="H408" s="38" t="str">
        <f>IF('NEW ACCOUNT'!A409="","",'NEW ACCOUNT'!H409)</f>
        <v/>
      </c>
      <c r="I408" s="38" t="str">
        <f>IF('NEW ACCOUNT'!A409="","",'NEW ACCOUNT'!I409)</f>
        <v/>
      </c>
      <c r="J408" s="38" t="str">
        <f>IF('NEW ACCOUNT'!A409="","",'NEW ACCOUNT'!J409)</f>
        <v/>
      </c>
      <c r="K408" s="39" t="str">
        <f>IFERROR(IF(A408="","",SUMIF(DB_Savings!$A:$A,A408,DB_Savings!$F:$F)),"")</f>
        <v/>
      </c>
      <c r="L408" s="39" t="str">
        <f>IFERROR(IF(A408="","",SUMIF(DB_Withdrawals!$A:$A,A408,DB_Withdrawals!$G:$G)),"")</f>
        <v/>
      </c>
      <c r="M408" s="39" t="str">
        <f>IFERROR(IF(A408="","",IFERROR(VALUE(H408),0)+IFERROR(SUMIF(DB_Savings!$A:$A,A408,DB_Savings!$F:$F),0)-IFERROR(SUMIF(DB_Withdrawals!$A:$A,A408,DB_Withdrawals!$G:$G),0)),"")</f>
        <v/>
      </c>
      <c r="N408" s="39" t="str">
        <f>IFERROR(IF(A408="","",MAX(0,M408-System_Config!$B$9)),"")</f>
        <v/>
      </c>
    </row>
    <row r="409" spans="1:14" ht="19.5" customHeight="1" x14ac:dyDescent="0.25">
      <c r="A409" s="37" t="str">
        <f>'NEW ACCOUNT'!A410</f>
        <v/>
      </c>
      <c r="B409" s="38" t="str">
        <f>IF('NEW ACCOUNT'!A410="","",'NEW ACCOUNT'!B410)</f>
        <v/>
      </c>
      <c r="C409" s="38" t="str">
        <f>IF('NEW ACCOUNT'!A410="","",'NEW ACCOUNT'!C410)</f>
        <v/>
      </c>
      <c r="D409" s="38" t="str">
        <f>IF('NEW ACCOUNT'!A410="","",'NEW ACCOUNT'!D410)</f>
        <v/>
      </c>
      <c r="E409" s="38" t="str">
        <f>IF('NEW ACCOUNT'!A410="","",'NEW ACCOUNT'!E410)</f>
        <v/>
      </c>
      <c r="F409" s="38" t="str">
        <f>IF('NEW ACCOUNT'!A410="","",'NEW ACCOUNT'!F410)</f>
        <v/>
      </c>
      <c r="G409" s="38" t="str">
        <f>IF('NEW ACCOUNT'!A410="","",'NEW ACCOUNT'!G410)</f>
        <v/>
      </c>
      <c r="H409" s="38" t="str">
        <f>IF('NEW ACCOUNT'!A410="","",'NEW ACCOUNT'!H410)</f>
        <v/>
      </c>
      <c r="I409" s="38" t="str">
        <f>IF('NEW ACCOUNT'!A410="","",'NEW ACCOUNT'!I410)</f>
        <v/>
      </c>
      <c r="J409" s="38" t="str">
        <f>IF('NEW ACCOUNT'!A410="","",'NEW ACCOUNT'!J410)</f>
        <v/>
      </c>
      <c r="K409" s="39" t="str">
        <f>IFERROR(IF(A409="","",SUMIF(DB_Savings!$A:$A,A409,DB_Savings!$F:$F)),"")</f>
        <v/>
      </c>
      <c r="L409" s="39" t="str">
        <f>IFERROR(IF(A409="","",SUMIF(DB_Withdrawals!$A:$A,A409,DB_Withdrawals!$G:$G)),"")</f>
        <v/>
      </c>
      <c r="M409" s="39" t="str">
        <f>IFERROR(IF(A409="","",IFERROR(VALUE(H409),0)+IFERROR(SUMIF(DB_Savings!$A:$A,A409,DB_Savings!$F:$F),0)-IFERROR(SUMIF(DB_Withdrawals!$A:$A,A409,DB_Withdrawals!$G:$G),0)),"")</f>
        <v/>
      </c>
      <c r="N409" s="39" t="str">
        <f>IFERROR(IF(A409="","",MAX(0,M409-System_Config!$B$9)),"")</f>
        <v/>
      </c>
    </row>
    <row r="410" spans="1:14" ht="19.5" customHeight="1" x14ac:dyDescent="0.25">
      <c r="A410" s="37" t="str">
        <f>'NEW ACCOUNT'!A411</f>
        <v/>
      </c>
      <c r="B410" s="38" t="str">
        <f>IF('NEW ACCOUNT'!A411="","",'NEW ACCOUNT'!B411)</f>
        <v/>
      </c>
      <c r="C410" s="38" t="str">
        <f>IF('NEW ACCOUNT'!A411="","",'NEW ACCOUNT'!C411)</f>
        <v/>
      </c>
      <c r="D410" s="38" t="str">
        <f>IF('NEW ACCOUNT'!A411="","",'NEW ACCOUNT'!D411)</f>
        <v/>
      </c>
      <c r="E410" s="38" t="str">
        <f>IF('NEW ACCOUNT'!A411="","",'NEW ACCOUNT'!E411)</f>
        <v/>
      </c>
      <c r="F410" s="38" t="str">
        <f>IF('NEW ACCOUNT'!A411="","",'NEW ACCOUNT'!F411)</f>
        <v/>
      </c>
      <c r="G410" s="38" t="str">
        <f>IF('NEW ACCOUNT'!A411="","",'NEW ACCOUNT'!G411)</f>
        <v/>
      </c>
      <c r="H410" s="38" t="str">
        <f>IF('NEW ACCOUNT'!A411="","",'NEW ACCOUNT'!H411)</f>
        <v/>
      </c>
      <c r="I410" s="38" t="str">
        <f>IF('NEW ACCOUNT'!A411="","",'NEW ACCOUNT'!I411)</f>
        <v/>
      </c>
      <c r="J410" s="38" t="str">
        <f>IF('NEW ACCOUNT'!A411="","",'NEW ACCOUNT'!J411)</f>
        <v/>
      </c>
      <c r="K410" s="39" t="str">
        <f>IFERROR(IF(A410="","",SUMIF(DB_Savings!$A:$A,A410,DB_Savings!$F:$F)),"")</f>
        <v/>
      </c>
      <c r="L410" s="39" t="str">
        <f>IFERROR(IF(A410="","",SUMIF(DB_Withdrawals!$A:$A,A410,DB_Withdrawals!$G:$G)),"")</f>
        <v/>
      </c>
      <c r="M410" s="39" t="str">
        <f>IFERROR(IF(A410="","",IFERROR(VALUE(H410),0)+IFERROR(SUMIF(DB_Savings!$A:$A,A410,DB_Savings!$F:$F),0)-IFERROR(SUMIF(DB_Withdrawals!$A:$A,A410,DB_Withdrawals!$G:$G),0)),"")</f>
        <v/>
      </c>
      <c r="N410" s="39" t="str">
        <f>IFERROR(IF(A410="","",MAX(0,M410-System_Config!$B$9)),"")</f>
        <v/>
      </c>
    </row>
    <row r="411" spans="1:14" ht="19.5" customHeight="1" x14ac:dyDescent="0.25">
      <c r="A411" s="37" t="str">
        <f>'NEW ACCOUNT'!A412</f>
        <v/>
      </c>
      <c r="B411" s="38" t="str">
        <f>IF('NEW ACCOUNT'!A412="","",'NEW ACCOUNT'!B412)</f>
        <v/>
      </c>
      <c r="C411" s="38" t="str">
        <f>IF('NEW ACCOUNT'!A412="","",'NEW ACCOUNT'!C412)</f>
        <v/>
      </c>
      <c r="D411" s="38" t="str">
        <f>IF('NEW ACCOUNT'!A412="","",'NEW ACCOUNT'!D412)</f>
        <v/>
      </c>
      <c r="E411" s="38" t="str">
        <f>IF('NEW ACCOUNT'!A412="","",'NEW ACCOUNT'!E412)</f>
        <v/>
      </c>
      <c r="F411" s="38" t="str">
        <f>IF('NEW ACCOUNT'!A412="","",'NEW ACCOUNT'!F412)</f>
        <v/>
      </c>
      <c r="G411" s="38" t="str">
        <f>IF('NEW ACCOUNT'!A412="","",'NEW ACCOUNT'!G412)</f>
        <v/>
      </c>
      <c r="H411" s="38" t="str">
        <f>IF('NEW ACCOUNT'!A412="","",'NEW ACCOUNT'!H412)</f>
        <v/>
      </c>
      <c r="I411" s="38" t="str">
        <f>IF('NEW ACCOUNT'!A412="","",'NEW ACCOUNT'!I412)</f>
        <v/>
      </c>
      <c r="J411" s="38" t="str">
        <f>IF('NEW ACCOUNT'!A412="","",'NEW ACCOUNT'!J412)</f>
        <v/>
      </c>
      <c r="K411" s="39" t="str">
        <f>IFERROR(IF(A411="","",SUMIF(DB_Savings!$A:$A,A411,DB_Savings!$F:$F)),"")</f>
        <v/>
      </c>
      <c r="L411" s="39" t="str">
        <f>IFERROR(IF(A411="","",SUMIF(DB_Withdrawals!$A:$A,A411,DB_Withdrawals!$G:$G)),"")</f>
        <v/>
      </c>
      <c r="M411" s="39" t="str">
        <f>IFERROR(IF(A411="","",IFERROR(VALUE(H411),0)+IFERROR(SUMIF(DB_Savings!$A:$A,A411,DB_Savings!$F:$F),0)-IFERROR(SUMIF(DB_Withdrawals!$A:$A,A411,DB_Withdrawals!$G:$G),0)),"")</f>
        <v/>
      </c>
      <c r="N411" s="39" t="str">
        <f>IFERROR(IF(A411="","",MAX(0,M411-System_Config!$B$9)),"")</f>
        <v/>
      </c>
    </row>
    <row r="412" spans="1:14" ht="19.5" customHeight="1" x14ac:dyDescent="0.25">
      <c r="A412" s="37" t="str">
        <f>'NEW ACCOUNT'!A413</f>
        <v/>
      </c>
      <c r="B412" s="38" t="str">
        <f>IF('NEW ACCOUNT'!A413="","",'NEW ACCOUNT'!B413)</f>
        <v/>
      </c>
      <c r="C412" s="38" t="str">
        <f>IF('NEW ACCOUNT'!A413="","",'NEW ACCOUNT'!C413)</f>
        <v/>
      </c>
      <c r="D412" s="38" t="str">
        <f>IF('NEW ACCOUNT'!A413="","",'NEW ACCOUNT'!D413)</f>
        <v/>
      </c>
      <c r="E412" s="38" t="str">
        <f>IF('NEW ACCOUNT'!A413="","",'NEW ACCOUNT'!E413)</f>
        <v/>
      </c>
      <c r="F412" s="38" t="str">
        <f>IF('NEW ACCOUNT'!A413="","",'NEW ACCOUNT'!F413)</f>
        <v/>
      </c>
      <c r="G412" s="38" t="str">
        <f>IF('NEW ACCOUNT'!A413="","",'NEW ACCOUNT'!G413)</f>
        <v/>
      </c>
      <c r="H412" s="38" t="str">
        <f>IF('NEW ACCOUNT'!A413="","",'NEW ACCOUNT'!H413)</f>
        <v/>
      </c>
      <c r="I412" s="38" t="str">
        <f>IF('NEW ACCOUNT'!A413="","",'NEW ACCOUNT'!I413)</f>
        <v/>
      </c>
      <c r="J412" s="38" t="str">
        <f>IF('NEW ACCOUNT'!A413="","",'NEW ACCOUNT'!J413)</f>
        <v/>
      </c>
      <c r="K412" s="39" t="str">
        <f>IFERROR(IF(A412="","",SUMIF(DB_Savings!$A:$A,A412,DB_Savings!$F:$F)),"")</f>
        <v/>
      </c>
      <c r="L412" s="39" t="str">
        <f>IFERROR(IF(A412="","",SUMIF(DB_Withdrawals!$A:$A,A412,DB_Withdrawals!$G:$G)),"")</f>
        <v/>
      </c>
      <c r="M412" s="39" t="str">
        <f>IFERROR(IF(A412="","",IFERROR(VALUE(H412),0)+IFERROR(SUMIF(DB_Savings!$A:$A,A412,DB_Savings!$F:$F),0)-IFERROR(SUMIF(DB_Withdrawals!$A:$A,A412,DB_Withdrawals!$G:$G),0)),"")</f>
        <v/>
      </c>
      <c r="N412" s="39" t="str">
        <f>IFERROR(IF(A412="","",MAX(0,M412-System_Config!$B$9)),"")</f>
        <v/>
      </c>
    </row>
    <row r="413" spans="1:14" ht="19.5" customHeight="1" x14ac:dyDescent="0.25">
      <c r="A413" s="37" t="str">
        <f>'NEW ACCOUNT'!A414</f>
        <v/>
      </c>
      <c r="B413" s="38" t="str">
        <f>IF('NEW ACCOUNT'!A414="","",'NEW ACCOUNT'!B414)</f>
        <v/>
      </c>
      <c r="C413" s="38" t="str">
        <f>IF('NEW ACCOUNT'!A414="","",'NEW ACCOUNT'!C414)</f>
        <v/>
      </c>
      <c r="D413" s="38" t="str">
        <f>IF('NEW ACCOUNT'!A414="","",'NEW ACCOUNT'!D414)</f>
        <v/>
      </c>
      <c r="E413" s="38" t="str">
        <f>IF('NEW ACCOUNT'!A414="","",'NEW ACCOUNT'!E414)</f>
        <v/>
      </c>
      <c r="F413" s="38" t="str">
        <f>IF('NEW ACCOUNT'!A414="","",'NEW ACCOUNT'!F414)</f>
        <v/>
      </c>
      <c r="G413" s="38" t="str">
        <f>IF('NEW ACCOUNT'!A414="","",'NEW ACCOUNT'!G414)</f>
        <v/>
      </c>
      <c r="H413" s="38" t="str">
        <f>IF('NEW ACCOUNT'!A414="","",'NEW ACCOUNT'!H414)</f>
        <v/>
      </c>
      <c r="I413" s="38" t="str">
        <f>IF('NEW ACCOUNT'!A414="","",'NEW ACCOUNT'!I414)</f>
        <v/>
      </c>
      <c r="J413" s="38" t="str">
        <f>IF('NEW ACCOUNT'!A414="","",'NEW ACCOUNT'!J414)</f>
        <v/>
      </c>
      <c r="K413" s="39" t="str">
        <f>IFERROR(IF(A413="","",SUMIF(DB_Savings!$A:$A,A413,DB_Savings!$F:$F)),"")</f>
        <v/>
      </c>
      <c r="L413" s="39" t="str">
        <f>IFERROR(IF(A413="","",SUMIF(DB_Withdrawals!$A:$A,A413,DB_Withdrawals!$G:$G)),"")</f>
        <v/>
      </c>
      <c r="M413" s="39" t="str">
        <f>IFERROR(IF(A413="","",IFERROR(VALUE(H413),0)+IFERROR(SUMIF(DB_Savings!$A:$A,A413,DB_Savings!$F:$F),0)-IFERROR(SUMIF(DB_Withdrawals!$A:$A,A413,DB_Withdrawals!$G:$G),0)),"")</f>
        <v/>
      </c>
      <c r="N413" s="39" t="str">
        <f>IFERROR(IF(A413="","",MAX(0,M413-System_Config!$B$9)),"")</f>
        <v/>
      </c>
    </row>
    <row r="414" spans="1:14" ht="19.5" customHeight="1" x14ac:dyDescent="0.25">
      <c r="A414" s="37" t="str">
        <f>'NEW ACCOUNT'!A415</f>
        <v/>
      </c>
      <c r="B414" s="38" t="str">
        <f>IF('NEW ACCOUNT'!A415="","",'NEW ACCOUNT'!B415)</f>
        <v/>
      </c>
      <c r="C414" s="38" t="str">
        <f>IF('NEW ACCOUNT'!A415="","",'NEW ACCOUNT'!C415)</f>
        <v/>
      </c>
      <c r="D414" s="38" t="str">
        <f>IF('NEW ACCOUNT'!A415="","",'NEW ACCOUNT'!D415)</f>
        <v/>
      </c>
      <c r="E414" s="38" t="str">
        <f>IF('NEW ACCOUNT'!A415="","",'NEW ACCOUNT'!E415)</f>
        <v/>
      </c>
      <c r="F414" s="38" t="str">
        <f>IF('NEW ACCOUNT'!A415="","",'NEW ACCOUNT'!F415)</f>
        <v/>
      </c>
      <c r="G414" s="38" t="str">
        <f>IF('NEW ACCOUNT'!A415="","",'NEW ACCOUNT'!G415)</f>
        <v/>
      </c>
      <c r="H414" s="38" t="str">
        <f>IF('NEW ACCOUNT'!A415="","",'NEW ACCOUNT'!H415)</f>
        <v/>
      </c>
      <c r="I414" s="38" t="str">
        <f>IF('NEW ACCOUNT'!A415="","",'NEW ACCOUNT'!I415)</f>
        <v/>
      </c>
      <c r="J414" s="38" t="str">
        <f>IF('NEW ACCOUNT'!A415="","",'NEW ACCOUNT'!J415)</f>
        <v/>
      </c>
      <c r="K414" s="39" t="str">
        <f>IFERROR(IF(A414="","",SUMIF(DB_Savings!$A:$A,A414,DB_Savings!$F:$F)),"")</f>
        <v/>
      </c>
      <c r="L414" s="39" t="str">
        <f>IFERROR(IF(A414="","",SUMIF(DB_Withdrawals!$A:$A,A414,DB_Withdrawals!$G:$G)),"")</f>
        <v/>
      </c>
      <c r="M414" s="39" t="str">
        <f>IFERROR(IF(A414="","",IFERROR(VALUE(H414),0)+IFERROR(SUMIF(DB_Savings!$A:$A,A414,DB_Savings!$F:$F),0)-IFERROR(SUMIF(DB_Withdrawals!$A:$A,A414,DB_Withdrawals!$G:$G),0)),"")</f>
        <v/>
      </c>
      <c r="N414" s="39" t="str">
        <f>IFERROR(IF(A414="","",MAX(0,M414-System_Config!$B$9)),"")</f>
        <v/>
      </c>
    </row>
    <row r="415" spans="1:14" ht="19.5" customHeight="1" x14ac:dyDescent="0.25">
      <c r="A415" s="37" t="str">
        <f>'NEW ACCOUNT'!A416</f>
        <v/>
      </c>
      <c r="B415" s="38" t="str">
        <f>IF('NEW ACCOUNT'!A416="","",'NEW ACCOUNT'!B416)</f>
        <v/>
      </c>
      <c r="C415" s="38" t="str">
        <f>IF('NEW ACCOUNT'!A416="","",'NEW ACCOUNT'!C416)</f>
        <v/>
      </c>
      <c r="D415" s="38" t="str">
        <f>IF('NEW ACCOUNT'!A416="","",'NEW ACCOUNT'!D416)</f>
        <v/>
      </c>
      <c r="E415" s="38" t="str">
        <f>IF('NEW ACCOUNT'!A416="","",'NEW ACCOUNT'!E416)</f>
        <v/>
      </c>
      <c r="F415" s="38" t="str">
        <f>IF('NEW ACCOUNT'!A416="","",'NEW ACCOUNT'!F416)</f>
        <v/>
      </c>
      <c r="G415" s="38" t="str">
        <f>IF('NEW ACCOUNT'!A416="","",'NEW ACCOUNT'!G416)</f>
        <v/>
      </c>
      <c r="H415" s="38" t="str">
        <f>IF('NEW ACCOUNT'!A416="","",'NEW ACCOUNT'!H416)</f>
        <v/>
      </c>
      <c r="I415" s="38" t="str">
        <f>IF('NEW ACCOUNT'!A416="","",'NEW ACCOUNT'!I416)</f>
        <v/>
      </c>
      <c r="J415" s="38" t="str">
        <f>IF('NEW ACCOUNT'!A416="","",'NEW ACCOUNT'!J416)</f>
        <v/>
      </c>
      <c r="K415" s="39" t="str">
        <f>IFERROR(IF(A415="","",SUMIF(DB_Savings!$A:$A,A415,DB_Savings!$F:$F)),"")</f>
        <v/>
      </c>
      <c r="L415" s="39" t="str">
        <f>IFERROR(IF(A415="","",SUMIF(DB_Withdrawals!$A:$A,A415,DB_Withdrawals!$G:$G)),"")</f>
        <v/>
      </c>
      <c r="M415" s="39" t="str">
        <f>IFERROR(IF(A415="","",IFERROR(VALUE(H415),0)+IFERROR(SUMIF(DB_Savings!$A:$A,A415,DB_Savings!$F:$F),0)-IFERROR(SUMIF(DB_Withdrawals!$A:$A,A415,DB_Withdrawals!$G:$G),0)),"")</f>
        <v/>
      </c>
      <c r="N415" s="39" t="str">
        <f>IFERROR(IF(A415="","",MAX(0,M415-System_Config!$B$9)),"")</f>
        <v/>
      </c>
    </row>
    <row r="416" spans="1:14" ht="19.5" customHeight="1" x14ac:dyDescent="0.25">
      <c r="A416" s="37" t="str">
        <f>'NEW ACCOUNT'!A417</f>
        <v/>
      </c>
      <c r="B416" s="38" t="str">
        <f>IF('NEW ACCOUNT'!A417="","",'NEW ACCOUNT'!B417)</f>
        <v/>
      </c>
      <c r="C416" s="38" t="str">
        <f>IF('NEW ACCOUNT'!A417="","",'NEW ACCOUNT'!C417)</f>
        <v/>
      </c>
      <c r="D416" s="38" t="str">
        <f>IF('NEW ACCOUNT'!A417="","",'NEW ACCOUNT'!D417)</f>
        <v/>
      </c>
      <c r="E416" s="38" t="str">
        <f>IF('NEW ACCOUNT'!A417="","",'NEW ACCOUNT'!E417)</f>
        <v/>
      </c>
      <c r="F416" s="38" t="str">
        <f>IF('NEW ACCOUNT'!A417="","",'NEW ACCOUNT'!F417)</f>
        <v/>
      </c>
      <c r="G416" s="38" t="str">
        <f>IF('NEW ACCOUNT'!A417="","",'NEW ACCOUNT'!G417)</f>
        <v/>
      </c>
      <c r="H416" s="38" t="str">
        <f>IF('NEW ACCOUNT'!A417="","",'NEW ACCOUNT'!H417)</f>
        <v/>
      </c>
      <c r="I416" s="38" t="str">
        <f>IF('NEW ACCOUNT'!A417="","",'NEW ACCOUNT'!I417)</f>
        <v/>
      </c>
      <c r="J416" s="38" t="str">
        <f>IF('NEW ACCOUNT'!A417="","",'NEW ACCOUNT'!J417)</f>
        <v/>
      </c>
      <c r="K416" s="39" t="str">
        <f>IFERROR(IF(A416="","",SUMIF(DB_Savings!$A:$A,A416,DB_Savings!$F:$F)),"")</f>
        <v/>
      </c>
      <c r="L416" s="39" t="str">
        <f>IFERROR(IF(A416="","",SUMIF(DB_Withdrawals!$A:$A,A416,DB_Withdrawals!$G:$G)),"")</f>
        <v/>
      </c>
      <c r="M416" s="39" t="str">
        <f>IFERROR(IF(A416="","",IFERROR(VALUE(H416),0)+IFERROR(SUMIF(DB_Savings!$A:$A,A416,DB_Savings!$F:$F),0)-IFERROR(SUMIF(DB_Withdrawals!$A:$A,A416,DB_Withdrawals!$G:$G),0)),"")</f>
        <v/>
      </c>
      <c r="N416" s="39" t="str">
        <f>IFERROR(IF(A416="","",MAX(0,M416-System_Config!$B$9)),"")</f>
        <v/>
      </c>
    </row>
    <row r="417" spans="1:14" ht="19.5" customHeight="1" x14ac:dyDescent="0.25">
      <c r="A417" s="37" t="str">
        <f>'NEW ACCOUNT'!A418</f>
        <v/>
      </c>
      <c r="B417" s="38" t="str">
        <f>IF('NEW ACCOUNT'!A418="","",'NEW ACCOUNT'!B418)</f>
        <v/>
      </c>
      <c r="C417" s="38" t="str">
        <f>IF('NEW ACCOUNT'!A418="","",'NEW ACCOUNT'!C418)</f>
        <v/>
      </c>
      <c r="D417" s="38" t="str">
        <f>IF('NEW ACCOUNT'!A418="","",'NEW ACCOUNT'!D418)</f>
        <v/>
      </c>
      <c r="E417" s="38" t="str">
        <f>IF('NEW ACCOUNT'!A418="","",'NEW ACCOUNT'!E418)</f>
        <v/>
      </c>
      <c r="F417" s="38" t="str">
        <f>IF('NEW ACCOUNT'!A418="","",'NEW ACCOUNT'!F418)</f>
        <v/>
      </c>
      <c r="G417" s="38" t="str">
        <f>IF('NEW ACCOUNT'!A418="","",'NEW ACCOUNT'!G418)</f>
        <v/>
      </c>
      <c r="H417" s="38" t="str">
        <f>IF('NEW ACCOUNT'!A418="","",'NEW ACCOUNT'!H418)</f>
        <v/>
      </c>
      <c r="I417" s="38" t="str">
        <f>IF('NEW ACCOUNT'!A418="","",'NEW ACCOUNT'!I418)</f>
        <v/>
      </c>
      <c r="J417" s="38" t="str">
        <f>IF('NEW ACCOUNT'!A418="","",'NEW ACCOUNT'!J418)</f>
        <v/>
      </c>
      <c r="K417" s="39" t="str">
        <f>IFERROR(IF(A417="","",SUMIF(DB_Savings!$A:$A,A417,DB_Savings!$F:$F)),"")</f>
        <v/>
      </c>
      <c r="L417" s="39" t="str">
        <f>IFERROR(IF(A417="","",SUMIF(DB_Withdrawals!$A:$A,A417,DB_Withdrawals!$G:$G)),"")</f>
        <v/>
      </c>
      <c r="M417" s="39" t="str">
        <f>IFERROR(IF(A417="","",IFERROR(VALUE(H417),0)+IFERROR(SUMIF(DB_Savings!$A:$A,A417,DB_Savings!$F:$F),0)-IFERROR(SUMIF(DB_Withdrawals!$A:$A,A417,DB_Withdrawals!$G:$G),0)),"")</f>
        <v/>
      </c>
      <c r="N417" s="39" t="str">
        <f>IFERROR(IF(A417="","",MAX(0,M417-System_Config!$B$9)),"")</f>
        <v/>
      </c>
    </row>
    <row r="418" spans="1:14" ht="19.5" customHeight="1" x14ac:dyDescent="0.25">
      <c r="A418" s="37" t="str">
        <f>'NEW ACCOUNT'!A419</f>
        <v/>
      </c>
      <c r="B418" s="38" t="str">
        <f>IF('NEW ACCOUNT'!A419="","",'NEW ACCOUNT'!B419)</f>
        <v/>
      </c>
      <c r="C418" s="38" t="str">
        <f>IF('NEW ACCOUNT'!A419="","",'NEW ACCOUNT'!C419)</f>
        <v/>
      </c>
      <c r="D418" s="38" t="str">
        <f>IF('NEW ACCOUNT'!A419="","",'NEW ACCOUNT'!D419)</f>
        <v/>
      </c>
      <c r="E418" s="38" t="str">
        <f>IF('NEW ACCOUNT'!A419="","",'NEW ACCOUNT'!E419)</f>
        <v/>
      </c>
      <c r="F418" s="38" t="str">
        <f>IF('NEW ACCOUNT'!A419="","",'NEW ACCOUNT'!F419)</f>
        <v/>
      </c>
      <c r="G418" s="38" t="str">
        <f>IF('NEW ACCOUNT'!A419="","",'NEW ACCOUNT'!G419)</f>
        <v/>
      </c>
      <c r="H418" s="38" t="str">
        <f>IF('NEW ACCOUNT'!A419="","",'NEW ACCOUNT'!H419)</f>
        <v/>
      </c>
      <c r="I418" s="38" t="str">
        <f>IF('NEW ACCOUNT'!A419="","",'NEW ACCOUNT'!I419)</f>
        <v/>
      </c>
      <c r="J418" s="38" t="str">
        <f>IF('NEW ACCOUNT'!A419="","",'NEW ACCOUNT'!J419)</f>
        <v/>
      </c>
      <c r="K418" s="39" t="str">
        <f>IFERROR(IF(A418="","",SUMIF(DB_Savings!$A:$A,A418,DB_Savings!$F:$F)),"")</f>
        <v/>
      </c>
      <c r="L418" s="39" t="str">
        <f>IFERROR(IF(A418="","",SUMIF(DB_Withdrawals!$A:$A,A418,DB_Withdrawals!$G:$G)),"")</f>
        <v/>
      </c>
      <c r="M418" s="39" t="str">
        <f>IFERROR(IF(A418="","",IFERROR(VALUE(H418),0)+IFERROR(SUMIF(DB_Savings!$A:$A,A418,DB_Savings!$F:$F),0)-IFERROR(SUMIF(DB_Withdrawals!$A:$A,A418,DB_Withdrawals!$G:$G),0)),"")</f>
        <v/>
      </c>
      <c r="N418" s="39" t="str">
        <f>IFERROR(IF(A418="","",MAX(0,M418-System_Config!$B$9)),"")</f>
        <v/>
      </c>
    </row>
    <row r="419" spans="1:14" ht="19.5" customHeight="1" x14ac:dyDescent="0.25">
      <c r="A419" s="37" t="str">
        <f>'NEW ACCOUNT'!A420</f>
        <v/>
      </c>
      <c r="B419" s="38" t="str">
        <f>IF('NEW ACCOUNT'!A420="","",'NEW ACCOUNT'!B420)</f>
        <v/>
      </c>
      <c r="C419" s="38" t="str">
        <f>IF('NEW ACCOUNT'!A420="","",'NEW ACCOUNT'!C420)</f>
        <v/>
      </c>
      <c r="D419" s="38" t="str">
        <f>IF('NEW ACCOUNT'!A420="","",'NEW ACCOUNT'!D420)</f>
        <v/>
      </c>
      <c r="E419" s="38" t="str">
        <f>IF('NEW ACCOUNT'!A420="","",'NEW ACCOUNT'!E420)</f>
        <v/>
      </c>
      <c r="F419" s="38" t="str">
        <f>IF('NEW ACCOUNT'!A420="","",'NEW ACCOUNT'!F420)</f>
        <v/>
      </c>
      <c r="G419" s="38" t="str">
        <f>IF('NEW ACCOUNT'!A420="","",'NEW ACCOUNT'!G420)</f>
        <v/>
      </c>
      <c r="H419" s="38" t="str">
        <f>IF('NEW ACCOUNT'!A420="","",'NEW ACCOUNT'!H420)</f>
        <v/>
      </c>
      <c r="I419" s="38" t="str">
        <f>IF('NEW ACCOUNT'!A420="","",'NEW ACCOUNT'!I420)</f>
        <v/>
      </c>
      <c r="J419" s="38" t="str">
        <f>IF('NEW ACCOUNT'!A420="","",'NEW ACCOUNT'!J420)</f>
        <v/>
      </c>
      <c r="K419" s="39" t="str">
        <f>IFERROR(IF(A419="","",SUMIF(DB_Savings!$A:$A,A419,DB_Savings!$F:$F)),"")</f>
        <v/>
      </c>
      <c r="L419" s="39" t="str">
        <f>IFERROR(IF(A419="","",SUMIF(DB_Withdrawals!$A:$A,A419,DB_Withdrawals!$G:$G)),"")</f>
        <v/>
      </c>
      <c r="M419" s="39" t="str">
        <f>IFERROR(IF(A419="","",IFERROR(VALUE(H419),0)+IFERROR(SUMIF(DB_Savings!$A:$A,A419,DB_Savings!$F:$F),0)-IFERROR(SUMIF(DB_Withdrawals!$A:$A,A419,DB_Withdrawals!$G:$G),0)),"")</f>
        <v/>
      </c>
      <c r="N419" s="39" t="str">
        <f>IFERROR(IF(A419="","",MAX(0,M419-System_Config!$B$9)),"")</f>
        <v/>
      </c>
    </row>
    <row r="420" spans="1:14" ht="19.5" customHeight="1" x14ac:dyDescent="0.25">
      <c r="A420" s="37" t="str">
        <f>'NEW ACCOUNT'!A421</f>
        <v/>
      </c>
      <c r="B420" s="38" t="str">
        <f>IF('NEW ACCOUNT'!A421="","",'NEW ACCOUNT'!B421)</f>
        <v/>
      </c>
      <c r="C420" s="38" t="str">
        <f>IF('NEW ACCOUNT'!A421="","",'NEW ACCOUNT'!C421)</f>
        <v/>
      </c>
      <c r="D420" s="38" t="str">
        <f>IF('NEW ACCOUNT'!A421="","",'NEW ACCOUNT'!D421)</f>
        <v/>
      </c>
      <c r="E420" s="38" t="str">
        <f>IF('NEW ACCOUNT'!A421="","",'NEW ACCOUNT'!E421)</f>
        <v/>
      </c>
      <c r="F420" s="38" t="str">
        <f>IF('NEW ACCOUNT'!A421="","",'NEW ACCOUNT'!F421)</f>
        <v/>
      </c>
      <c r="G420" s="38" t="str">
        <f>IF('NEW ACCOUNT'!A421="","",'NEW ACCOUNT'!G421)</f>
        <v/>
      </c>
      <c r="H420" s="38" t="str">
        <f>IF('NEW ACCOUNT'!A421="","",'NEW ACCOUNT'!H421)</f>
        <v/>
      </c>
      <c r="I420" s="38" t="str">
        <f>IF('NEW ACCOUNT'!A421="","",'NEW ACCOUNT'!I421)</f>
        <v/>
      </c>
      <c r="J420" s="38" t="str">
        <f>IF('NEW ACCOUNT'!A421="","",'NEW ACCOUNT'!J421)</f>
        <v/>
      </c>
      <c r="K420" s="39" t="str">
        <f>IFERROR(IF(A420="","",SUMIF(DB_Savings!$A:$A,A420,DB_Savings!$F:$F)),"")</f>
        <v/>
      </c>
      <c r="L420" s="39" t="str">
        <f>IFERROR(IF(A420="","",SUMIF(DB_Withdrawals!$A:$A,A420,DB_Withdrawals!$G:$G)),"")</f>
        <v/>
      </c>
      <c r="M420" s="39" t="str">
        <f>IFERROR(IF(A420="","",IFERROR(VALUE(H420),0)+IFERROR(SUMIF(DB_Savings!$A:$A,A420,DB_Savings!$F:$F),0)-IFERROR(SUMIF(DB_Withdrawals!$A:$A,A420,DB_Withdrawals!$G:$G),0)),"")</f>
        <v/>
      </c>
      <c r="N420" s="39" t="str">
        <f>IFERROR(IF(A420="","",MAX(0,M420-System_Config!$B$9)),"")</f>
        <v/>
      </c>
    </row>
    <row r="421" spans="1:14" ht="19.5" customHeight="1" x14ac:dyDescent="0.25">
      <c r="A421" s="37" t="str">
        <f>'NEW ACCOUNT'!A422</f>
        <v/>
      </c>
      <c r="B421" s="38" t="str">
        <f>IF('NEW ACCOUNT'!A422="","",'NEW ACCOUNT'!B422)</f>
        <v/>
      </c>
      <c r="C421" s="38" t="str">
        <f>IF('NEW ACCOUNT'!A422="","",'NEW ACCOUNT'!C422)</f>
        <v/>
      </c>
      <c r="D421" s="38" t="str">
        <f>IF('NEW ACCOUNT'!A422="","",'NEW ACCOUNT'!D422)</f>
        <v/>
      </c>
      <c r="E421" s="38" t="str">
        <f>IF('NEW ACCOUNT'!A422="","",'NEW ACCOUNT'!E422)</f>
        <v/>
      </c>
      <c r="F421" s="38" t="str">
        <f>IF('NEW ACCOUNT'!A422="","",'NEW ACCOUNT'!F422)</f>
        <v/>
      </c>
      <c r="G421" s="38" t="str">
        <f>IF('NEW ACCOUNT'!A422="","",'NEW ACCOUNT'!G422)</f>
        <v/>
      </c>
      <c r="H421" s="38" t="str">
        <f>IF('NEW ACCOUNT'!A422="","",'NEW ACCOUNT'!H422)</f>
        <v/>
      </c>
      <c r="I421" s="38" t="str">
        <f>IF('NEW ACCOUNT'!A422="","",'NEW ACCOUNT'!I422)</f>
        <v/>
      </c>
      <c r="J421" s="38" t="str">
        <f>IF('NEW ACCOUNT'!A422="","",'NEW ACCOUNT'!J422)</f>
        <v/>
      </c>
      <c r="K421" s="39" t="str">
        <f>IFERROR(IF(A421="","",SUMIF(DB_Savings!$A:$A,A421,DB_Savings!$F:$F)),"")</f>
        <v/>
      </c>
      <c r="L421" s="39" t="str">
        <f>IFERROR(IF(A421="","",SUMIF(DB_Withdrawals!$A:$A,A421,DB_Withdrawals!$G:$G)),"")</f>
        <v/>
      </c>
      <c r="M421" s="39" t="str">
        <f>IFERROR(IF(A421="","",IFERROR(VALUE(H421),0)+IFERROR(SUMIF(DB_Savings!$A:$A,A421,DB_Savings!$F:$F),0)-IFERROR(SUMIF(DB_Withdrawals!$A:$A,A421,DB_Withdrawals!$G:$G),0)),"")</f>
        <v/>
      </c>
      <c r="N421" s="39" t="str">
        <f>IFERROR(IF(A421="","",MAX(0,M421-System_Config!$B$9)),"")</f>
        <v/>
      </c>
    </row>
    <row r="422" spans="1:14" ht="19.5" customHeight="1" x14ac:dyDescent="0.25">
      <c r="A422" s="37" t="str">
        <f>'NEW ACCOUNT'!A423</f>
        <v/>
      </c>
      <c r="B422" s="38" t="str">
        <f>IF('NEW ACCOUNT'!A423="","",'NEW ACCOUNT'!B423)</f>
        <v/>
      </c>
      <c r="C422" s="38" t="str">
        <f>IF('NEW ACCOUNT'!A423="","",'NEW ACCOUNT'!C423)</f>
        <v/>
      </c>
      <c r="D422" s="38" t="str">
        <f>IF('NEW ACCOUNT'!A423="","",'NEW ACCOUNT'!D423)</f>
        <v/>
      </c>
      <c r="E422" s="38" t="str">
        <f>IF('NEW ACCOUNT'!A423="","",'NEW ACCOUNT'!E423)</f>
        <v/>
      </c>
      <c r="F422" s="38" t="str">
        <f>IF('NEW ACCOUNT'!A423="","",'NEW ACCOUNT'!F423)</f>
        <v/>
      </c>
      <c r="G422" s="38" t="str">
        <f>IF('NEW ACCOUNT'!A423="","",'NEW ACCOUNT'!G423)</f>
        <v/>
      </c>
      <c r="H422" s="38" t="str">
        <f>IF('NEW ACCOUNT'!A423="","",'NEW ACCOUNT'!H423)</f>
        <v/>
      </c>
      <c r="I422" s="38" t="str">
        <f>IF('NEW ACCOUNT'!A423="","",'NEW ACCOUNT'!I423)</f>
        <v/>
      </c>
      <c r="J422" s="38" t="str">
        <f>IF('NEW ACCOUNT'!A423="","",'NEW ACCOUNT'!J423)</f>
        <v/>
      </c>
      <c r="K422" s="39" t="str">
        <f>IFERROR(IF(A422="","",SUMIF(DB_Savings!$A:$A,A422,DB_Savings!$F:$F)),"")</f>
        <v/>
      </c>
      <c r="L422" s="39" t="str">
        <f>IFERROR(IF(A422="","",SUMIF(DB_Withdrawals!$A:$A,A422,DB_Withdrawals!$G:$G)),"")</f>
        <v/>
      </c>
      <c r="M422" s="39" t="str">
        <f>IFERROR(IF(A422="","",IFERROR(VALUE(H422),0)+IFERROR(SUMIF(DB_Savings!$A:$A,A422,DB_Savings!$F:$F),0)-IFERROR(SUMIF(DB_Withdrawals!$A:$A,A422,DB_Withdrawals!$G:$G),0)),"")</f>
        <v/>
      </c>
      <c r="N422" s="39" t="str">
        <f>IFERROR(IF(A422="","",MAX(0,M422-System_Config!$B$9)),"")</f>
        <v/>
      </c>
    </row>
    <row r="423" spans="1:14" ht="19.5" customHeight="1" x14ac:dyDescent="0.25">
      <c r="A423" s="37" t="str">
        <f>'NEW ACCOUNT'!A424</f>
        <v/>
      </c>
      <c r="B423" s="38" t="str">
        <f>IF('NEW ACCOUNT'!A424="","",'NEW ACCOUNT'!B424)</f>
        <v/>
      </c>
      <c r="C423" s="38" t="str">
        <f>IF('NEW ACCOUNT'!A424="","",'NEW ACCOUNT'!C424)</f>
        <v/>
      </c>
      <c r="D423" s="38" t="str">
        <f>IF('NEW ACCOUNT'!A424="","",'NEW ACCOUNT'!D424)</f>
        <v/>
      </c>
      <c r="E423" s="38" t="str">
        <f>IF('NEW ACCOUNT'!A424="","",'NEW ACCOUNT'!E424)</f>
        <v/>
      </c>
      <c r="F423" s="38" t="str">
        <f>IF('NEW ACCOUNT'!A424="","",'NEW ACCOUNT'!F424)</f>
        <v/>
      </c>
      <c r="G423" s="38" t="str">
        <f>IF('NEW ACCOUNT'!A424="","",'NEW ACCOUNT'!G424)</f>
        <v/>
      </c>
      <c r="H423" s="38" t="str">
        <f>IF('NEW ACCOUNT'!A424="","",'NEW ACCOUNT'!H424)</f>
        <v/>
      </c>
      <c r="I423" s="38" t="str">
        <f>IF('NEW ACCOUNT'!A424="","",'NEW ACCOUNT'!I424)</f>
        <v/>
      </c>
      <c r="J423" s="38" t="str">
        <f>IF('NEW ACCOUNT'!A424="","",'NEW ACCOUNT'!J424)</f>
        <v/>
      </c>
      <c r="K423" s="39" t="str">
        <f>IFERROR(IF(A423="","",SUMIF(DB_Savings!$A:$A,A423,DB_Savings!$F:$F)),"")</f>
        <v/>
      </c>
      <c r="L423" s="39" t="str">
        <f>IFERROR(IF(A423="","",SUMIF(DB_Withdrawals!$A:$A,A423,DB_Withdrawals!$G:$G)),"")</f>
        <v/>
      </c>
      <c r="M423" s="39" t="str">
        <f>IFERROR(IF(A423="","",IFERROR(VALUE(H423),0)+IFERROR(SUMIF(DB_Savings!$A:$A,A423,DB_Savings!$F:$F),0)-IFERROR(SUMIF(DB_Withdrawals!$A:$A,A423,DB_Withdrawals!$G:$G),0)),"")</f>
        <v/>
      </c>
      <c r="N423" s="39" t="str">
        <f>IFERROR(IF(A423="","",MAX(0,M423-System_Config!$B$9)),"")</f>
        <v/>
      </c>
    </row>
    <row r="424" spans="1:14" ht="19.5" customHeight="1" x14ac:dyDescent="0.25">
      <c r="A424" s="37" t="str">
        <f>'NEW ACCOUNT'!A425</f>
        <v/>
      </c>
      <c r="B424" s="38" t="str">
        <f>IF('NEW ACCOUNT'!A425="","",'NEW ACCOUNT'!B425)</f>
        <v/>
      </c>
      <c r="C424" s="38" t="str">
        <f>IF('NEW ACCOUNT'!A425="","",'NEW ACCOUNT'!C425)</f>
        <v/>
      </c>
      <c r="D424" s="38" t="str">
        <f>IF('NEW ACCOUNT'!A425="","",'NEW ACCOUNT'!D425)</f>
        <v/>
      </c>
      <c r="E424" s="38" t="str">
        <f>IF('NEW ACCOUNT'!A425="","",'NEW ACCOUNT'!E425)</f>
        <v/>
      </c>
      <c r="F424" s="38" t="str">
        <f>IF('NEW ACCOUNT'!A425="","",'NEW ACCOUNT'!F425)</f>
        <v/>
      </c>
      <c r="G424" s="38" t="str">
        <f>IF('NEW ACCOUNT'!A425="","",'NEW ACCOUNT'!G425)</f>
        <v/>
      </c>
      <c r="H424" s="38" t="str">
        <f>IF('NEW ACCOUNT'!A425="","",'NEW ACCOUNT'!H425)</f>
        <v/>
      </c>
      <c r="I424" s="38" t="str">
        <f>IF('NEW ACCOUNT'!A425="","",'NEW ACCOUNT'!I425)</f>
        <v/>
      </c>
      <c r="J424" s="38" t="str">
        <f>IF('NEW ACCOUNT'!A425="","",'NEW ACCOUNT'!J425)</f>
        <v/>
      </c>
      <c r="K424" s="39" t="str">
        <f>IFERROR(IF(A424="","",SUMIF(DB_Savings!$A:$A,A424,DB_Savings!$F:$F)),"")</f>
        <v/>
      </c>
      <c r="L424" s="39" t="str">
        <f>IFERROR(IF(A424="","",SUMIF(DB_Withdrawals!$A:$A,A424,DB_Withdrawals!$G:$G)),"")</f>
        <v/>
      </c>
      <c r="M424" s="39" t="str">
        <f>IFERROR(IF(A424="","",IFERROR(VALUE(H424),0)+IFERROR(SUMIF(DB_Savings!$A:$A,A424,DB_Savings!$F:$F),0)-IFERROR(SUMIF(DB_Withdrawals!$A:$A,A424,DB_Withdrawals!$G:$G),0)),"")</f>
        <v/>
      </c>
      <c r="N424" s="39" t="str">
        <f>IFERROR(IF(A424="","",MAX(0,M424-System_Config!$B$9)),"")</f>
        <v/>
      </c>
    </row>
    <row r="425" spans="1:14" ht="19.5" customHeight="1" x14ac:dyDescent="0.25">
      <c r="A425" s="37" t="str">
        <f>'NEW ACCOUNT'!A426</f>
        <v/>
      </c>
      <c r="B425" s="38" t="str">
        <f>IF('NEW ACCOUNT'!A426="","",'NEW ACCOUNT'!B426)</f>
        <v/>
      </c>
      <c r="C425" s="38" t="str">
        <f>IF('NEW ACCOUNT'!A426="","",'NEW ACCOUNT'!C426)</f>
        <v/>
      </c>
      <c r="D425" s="38" t="str">
        <f>IF('NEW ACCOUNT'!A426="","",'NEW ACCOUNT'!D426)</f>
        <v/>
      </c>
      <c r="E425" s="38" t="str">
        <f>IF('NEW ACCOUNT'!A426="","",'NEW ACCOUNT'!E426)</f>
        <v/>
      </c>
      <c r="F425" s="38" t="str">
        <f>IF('NEW ACCOUNT'!A426="","",'NEW ACCOUNT'!F426)</f>
        <v/>
      </c>
      <c r="G425" s="38" t="str">
        <f>IF('NEW ACCOUNT'!A426="","",'NEW ACCOUNT'!G426)</f>
        <v/>
      </c>
      <c r="H425" s="38" t="str">
        <f>IF('NEW ACCOUNT'!A426="","",'NEW ACCOUNT'!H426)</f>
        <v/>
      </c>
      <c r="I425" s="38" t="str">
        <f>IF('NEW ACCOUNT'!A426="","",'NEW ACCOUNT'!I426)</f>
        <v/>
      </c>
      <c r="J425" s="38" t="str">
        <f>IF('NEW ACCOUNT'!A426="","",'NEW ACCOUNT'!J426)</f>
        <v/>
      </c>
      <c r="K425" s="39" t="str">
        <f>IFERROR(IF(A425="","",SUMIF(DB_Savings!$A:$A,A425,DB_Savings!$F:$F)),"")</f>
        <v/>
      </c>
      <c r="L425" s="39" t="str">
        <f>IFERROR(IF(A425="","",SUMIF(DB_Withdrawals!$A:$A,A425,DB_Withdrawals!$G:$G)),"")</f>
        <v/>
      </c>
      <c r="M425" s="39" t="str">
        <f>IFERROR(IF(A425="","",IFERROR(VALUE(H425),0)+IFERROR(SUMIF(DB_Savings!$A:$A,A425,DB_Savings!$F:$F),0)-IFERROR(SUMIF(DB_Withdrawals!$A:$A,A425,DB_Withdrawals!$G:$G),0)),"")</f>
        <v/>
      </c>
      <c r="N425" s="39" t="str">
        <f>IFERROR(IF(A425="","",MAX(0,M425-System_Config!$B$9)),"")</f>
        <v/>
      </c>
    </row>
    <row r="426" spans="1:14" ht="19.5" customHeight="1" x14ac:dyDescent="0.25">
      <c r="A426" s="37" t="str">
        <f>'NEW ACCOUNT'!A427</f>
        <v/>
      </c>
      <c r="B426" s="38" t="str">
        <f>IF('NEW ACCOUNT'!A427="","",'NEW ACCOUNT'!B427)</f>
        <v/>
      </c>
      <c r="C426" s="38" t="str">
        <f>IF('NEW ACCOUNT'!A427="","",'NEW ACCOUNT'!C427)</f>
        <v/>
      </c>
      <c r="D426" s="38" t="str">
        <f>IF('NEW ACCOUNT'!A427="","",'NEW ACCOUNT'!D427)</f>
        <v/>
      </c>
      <c r="E426" s="38" t="str">
        <f>IF('NEW ACCOUNT'!A427="","",'NEW ACCOUNT'!E427)</f>
        <v/>
      </c>
      <c r="F426" s="38" t="str">
        <f>IF('NEW ACCOUNT'!A427="","",'NEW ACCOUNT'!F427)</f>
        <v/>
      </c>
      <c r="G426" s="38" t="str">
        <f>IF('NEW ACCOUNT'!A427="","",'NEW ACCOUNT'!G427)</f>
        <v/>
      </c>
      <c r="H426" s="38" t="str">
        <f>IF('NEW ACCOUNT'!A427="","",'NEW ACCOUNT'!H427)</f>
        <v/>
      </c>
      <c r="I426" s="38" t="str">
        <f>IF('NEW ACCOUNT'!A427="","",'NEW ACCOUNT'!I427)</f>
        <v/>
      </c>
      <c r="J426" s="38" t="str">
        <f>IF('NEW ACCOUNT'!A427="","",'NEW ACCOUNT'!J427)</f>
        <v/>
      </c>
      <c r="K426" s="39" t="str">
        <f>IFERROR(IF(A426="","",SUMIF(DB_Savings!$A:$A,A426,DB_Savings!$F:$F)),"")</f>
        <v/>
      </c>
      <c r="L426" s="39" t="str">
        <f>IFERROR(IF(A426="","",SUMIF(DB_Withdrawals!$A:$A,A426,DB_Withdrawals!$G:$G)),"")</f>
        <v/>
      </c>
      <c r="M426" s="39" t="str">
        <f>IFERROR(IF(A426="","",IFERROR(VALUE(H426),0)+IFERROR(SUMIF(DB_Savings!$A:$A,A426,DB_Savings!$F:$F),0)-IFERROR(SUMIF(DB_Withdrawals!$A:$A,A426,DB_Withdrawals!$G:$G),0)),"")</f>
        <v/>
      </c>
      <c r="N426" s="39" t="str">
        <f>IFERROR(IF(A426="","",MAX(0,M426-System_Config!$B$9)),"")</f>
        <v/>
      </c>
    </row>
    <row r="427" spans="1:14" ht="19.5" customHeight="1" x14ac:dyDescent="0.25">
      <c r="A427" s="37" t="str">
        <f>'NEW ACCOUNT'!A428</f>
        <v/>
      </c>
      <c r="B427" s="38" t="str">
        <f>IF('NEW ACCOUNT'!A428="","",'NEW ACCOUNT'!B428)</f>
        <v/>
      </c>
      <c r="C427" s="38" t="str">
        <f>IF('NEW ACCOUNT'!A428="","",'NEW ACCOUNT'!C428)</f>
        <v/>
      </c>
      <c r="D427" s="38" t="str">
        <f>IF('NEW ACCOUNT'!A428="","",'NEW ACCOUNT'!D428)</f>
        <v/>
      </c>
      <c r="E427" s="38" t="str">
        <f>IF('NEW ACCOUNT'!A428="","",'NEW ACCOUNT'!E428)</f>
        <v/>
      </c>
      <c r="F427" s="38" t="str">
        <f>IF('NEW ACCOUNT'!A428="","",'NEW ACCOUNT'!F428)</f>
        <v/>
      </c>
      <c r="G427" s="38" t="str">
        <f>IF('NEW ACCOUNT'!A428="","",'NEW ACCOUNT'!G428)</f>
        <v/>
      </c>
      <c r="H427" s="38" t="str">
        <f>IF('NEW ACCOUNT'!A428="","",'NEW ACCOUNT'!H428)</f>
        <v/>
      </c>
      <c r="I427" s="38" t="str">
        <f>IF('NEW ACCOUNT'!A428="","",'NEW ACCOUNT'!I428)</f>
        <v/>
      </c>
      <c r="J427" s="38" t="str">
        <f>IF('NEW ACCOUNT'!A428="","",'NEW ACCOUNT'!J428)</f>
        <v/>
      </c>
      <c r="K427" s="39" t="str">
        <f>IFERROR(IF(A427="","",SUMIF(DB_Savings!$A:$A,A427,DB_Savings!$F:$F)),"")</f>
        <v/>
      </c>
      <c r="L427" s="39" t="str">
        <f>IFERROR(IF(A427="","",SUMIF(DB_Withdrawals!$A:$A,A427,DB_Withdrawals!$G:$G)),"")</f>
        <v/>
      </c>
      <c r="M427" s="39" t="str">
        <f>IFERROR(IF(A427="","",IFERROR(VALUE(H427),0)+IFERROR(SUMIF(DB_Savings!$A:$A,A427,DB_Savings!$F:$F),0)-IFERROR(SUMIF(DB_Withdrawals!$A:$A,A427,DB_Withdrawals!$G:$G),0)),"")</f>
        <v/>
      </c>
      <c r="N427" s="39" t="str">
        <f>IFERROR(IF(A427="","",MAX(0,M427-System_Config!$B$9)),"")</f>
        <v/>
      </c>
    </row>
    <row r="428" spans="1:14" ht="19.5" customHeight="1" x14ac:dyDescent="0.25">
      <c r="A428" s="37" t="str">
        <f>'NEW ACCOUNT'!A429</f>
        <v/>
      </c>
      <c r="B428" s="38" t="str">
        <f>IF('NEW ACCOUNT'!A429="","",'NEW ACCOUNT'!B429)</f>
        <v/>
      </c>
      <c r="C428" s="38" t="str">
        <f>IF('NEW ACCOUNT'!A429="","",'NEW ACCOUNT'!C429)</f>
        <v/>
      </c>
      <c r="D428" s="38" t="str">
        <f>IF('NEW ACCOUNT'!A429="","",'NEW ACCOUNT'!D429)</f>
        <v/>
      </c>
      <c r="E428" s="38" t="str">
        <f>IF('NEW ACCOUNT'!A429="","",'NEW ACCOUNT'!E429)</f>
        <v/>
      </c>
      <c r="F428" s="38" t="str">
        <f>IF('NEW ACCOUNT'!A429="","",'NEW ACCOUNT'!F429)</f>
        <v/>
      </c>
      <c r="G428" s="38" t="str">
        <f>IF('NEW ACCOUNT'!A429="","",'NEW ACCOUNT'!G429)</f>
        <v/>
      </c>
      <c r="H428" s="38" t="str">
        <f>IF('NEW ACCOUNT'!A429="","",'NEW ACCOUNT'!H429)</f>
        <v/>
      </c>
      <c r="I428" s="38" t="str">
        <f>IF('NEW ACCOUNT'!A429="","",'NEW ACCOUNT'!I429)</f>
        <v/>
      </c>
      <c r="J428" s="38" t="str">
        <f>IF('NEW ACCOUNT'!A429="","",'NEW ACCOUNT'!J429)</f>
        <v/>
      </c>
      <c r="K428" s="39" t="str">
        <f>IFERROR(IF(A428="","",SUMIF(DB_Savings!$A:$A,A428,DB_Savings!$F:$F)),"")</f>
        <v/>
      </c>
      <c r="L428" s="39" t="str">
        <f>IFERROR(IF(A428="","",SUMIF(DB_Withdrawals!$A:$A,A428,DB_Withdrawals!$G:$G)),"")</f>
        <v/>
      </c>
      <c r="M428" s="39" t="str">
        <f>IFERROR(IF(A428="","",IFERROR(VALUE(H428),0)+IFERROR(SUMIF(DB_Savings!$A:$A,A428,DB_Savings!$F:$F),0)-IFERROR(SUMIF(DB_Withdrawals!$A:$A,A428,DB_Withdrawals!$G:$G),0)),"")</f>
        <v/>
      </c>
      <c r="N428" s="39" t="str">
        <f>IFERROR(IF(A428="","",MAX(0,M428-System_Config!$B$9)),"")</f>
        <v/>
      </c>
    </row>
    <row r="429" spans="1:14" ht="19.5" customHeight="1" x14ac:dyDescent="0.25">
      <c r="A429" s="37" t="str">
        <f>'NEW ACCOUNT'!A430</f>
        <v/>
      </c>
      <c r="B429" s="38" t="str">
        <f>IF('NEW ACCOUNT'!A430="","",'NEW ACCOUNT'!B430)</f>
        <v/>
      </c>
      <c r="C429" s="38" t="str">
        <f>IF('NEW ACCOUNT'!A430="","",'NEW ACCOUNT'!C430)</f>
        <v/>
      </c>
      <c r="D429" s="38" t="str">
        <f>IF('NEW ACCOUNT'!A430="","",'NEW ACCOUNT'!D430)</f>
        <v/>
      </c>
      <c r="E429" s="38" t="str">
        <f>IF('NEW ACCOUNT'!A430="","",'NEW ACCOUNT'!E430)</f>
        <v/>
      </c>
      <c r="F429" s="38" t="str">
        <f>IF('NEW ACCOUNT'!A430="","",'NEW ACCOUNT'!F430)</f>
        <v/>
      </c>
      <c r="G429" s="38" t="str">
        <f>IF('NEW ACCOUNT'!A430="","",'NEW ACCOUNT'!G430)</f>
        <v/>
      </c>
      <c r="H429" s="38" t="str">
        <f>IF('NEW ACCOUNT'!A430="","",'NEW ACCOUNT'!H430)</f>
        <v/>
      </c>
      <c r="I429" s="38" t="str">
        <f>IF('NEW ACCOUNT'!A430="","",'NEW ACCOUNT'!I430)</f>
        <v/>
      </c>
      <c r="J429" s="38" t="str">
        <f>IF('NEW ACCOUNT'!A430="","",'NEW ACCOUNT'!J430)</f>
        <v/>
      </c>
      <c r="K429" s="39" t="str">
        <f>IFERROR(IF(A429="","",SUMIF(DB_Savings!$A:$A,A429,DB_Savings!$F:$F)),"")</f>
        <v/>
      </c>
      <c r="L429" s="39" t="str">
        <f>IFERROR(IF(A429="","",SUMIF(DB_Withdrawals!$A:$A,A429,DB_Withdrawals!$G:$G)),"")</f>
        <v/>
      </c>
      <c r="M429" s="39" t="str">
        <f>IFERROR(IF(A429="","",IFERROR(VALUE(H429),0)+IFERROR(SUMIF(DB_Savings!$A:$A,A429,DB_Savings!$F:$F),0)-IFERROR(SUMIF(DB_Withdrawals!$A:$A,A429,DB_Withdrawals!$G:$G),0)),"")</f>
        <v/>
      </c>
      <c r="N429" s="39" t="str">
        <f>IFERROR(IF(A429="","",MAX(0,M429-System_Config!$B$9)),"")</f>
        <v/>
      </c>
    </row>
    <row r="430" spans="1:14" ht="19.5" customHeight="1" x14ac:dyDescent="0.25">
      <c r="A430" s="37" t="str">
        <f>'NEW ACCOUNT'!A431</f>
        <v/>
      </c>
      <c r="B430" s="38" t="str">
        <f>IF('NEW ACCOUNT'!A431="","",'NEW ACCOUNT'!B431)</f>
        <v/>
      </c>
      <c r="C430" s="38" t="str">
        <f>IF('NEW ACCOUNT'!A431="","",'NEW ACCOUNT'!C431)</f>
        <v/>
      </c>
      <c r="D430" s="38" t="str">
        <f>IF('NEW ACCOUNT'!A431="","",'NEW ACCOUNT'!D431)</f>
        <v/>
      </c>
      <c r="E430" s="38" t="str">
        <f>IF('NEW ACCOUNT'!A431="","",'NEW ACCOUNT'!E431)</f>
        <v/>
      </c>
      <c r="F430" s="38" t="str">
        <f>IF('NEW ACCOUNT'!A431="","",'NEW ACCOUNT'!F431)</f>
        <v/>
      </c>
      <c r="G430" s="38" t="str">
        <f>IF('NEW ACCOUNT'!A431="","",'NEW ACCOUNT'!G431)</f>
        <v/>
      </c>
      <c r="H430" s="38" t="str">
        <f>IF('NEW ACCOUNT'!A431="","",'NEW ACCOUNT'!H431)</f>
        <v/>
      </c>
      <c r="I430" s="38" t="str">
        <f>IF('NEW ACCOUNT'!A431="","",'NEW ACCOUNT'!I431)</f>
        <v/>
      </c>
      <c r="J430" s="38" t="str">
        <f>IF('NEW ACCOUNT'!A431="","",'NEW ACCOUNT'!J431)</f>
        <v/>
      </c>
      <c r="K430" s="39" t="str">
        <f>IFERROR(IF(A430="","",SUMIF(DB_Savings!$A:$A,A430,DB_Savings!$F:$F)),"")</f>
        <v/>
      </c>
      <c r="L430" s="39" t="str">
        <f>IFERROR(IF(A430="","",SUMIF(DB_Withdrawals!$A:$A,A430,DB_Withdrawals!$G:$G)),"")</f>
        <v/>
      </c>
      <c r="M430" s="39" t="str">
        <f>IFERROR(IF(A430="","",IFERROR(VALUE(H430),0)+IFERROR(SUMIF(DB_Savings!$A:$A,A430,DB_Savings!$F:$F),0)-IFERROR(SUMIF(DB_Withdrawals!$A:$A,A430,DB_Withdrawals!$G:$G),0)),"")</f>
        <v/>
      </c>
      <c r="N430" s="39" t="str">
        <f>IFERROR(IF(A430="","",MAX(0,M430-System_Config!$B$9)),"")</f>
        <v/>
      </c>
    </row>
    <row r="431" spans="1:14" ht="19.5" customHeight="1" x14ac:dyDescent="0.25">
      <c r="A431" s="37" t="str">
        <f>'NEW ACCOUNT'!A432</f>
        <v/>
      </c>
      <c r="B431" s="38" t="str">
        <f>IF('NEW ACCOUNT'!A432="","",'NEW ACCOUNT'!B432)</f>
        <v/>
      </c>
      <c r="C431" s="38" t="str">
        <f>IF('NEW ACCOUNT'!A432="","",'NEW ACCOUNT'!C432)</f>
        <v/>
      </c>
      <c r="D431" s="38" t="str">
        <f>IF('NEW ACCOUNT'!A432="","",'NEW ACCOUNT'!D432)</f>
        <v/>
      </c>
      <c r="E431" s="38" t="str">
        <f>IF('NEW ACCOUNT'!A432="","",'NEW ACCOUNT'!E432)</f>
        <v/>
      </c>
      <c r="F431" s="38" t="str">
        <f>IF('NEW ACCOUNT'!A432="","",'NEW ACCOUNT'!F432)</f>
        <v/>
      </c>
      <c r="G431" s="38" t="str">
        <f>IF('NEW ACCOUNT'!A432="","",'NEW ACCOUNT'!G432)</f>
        <v/>
      </c>
      <c r="H431" s="38" t="str">
        <f>IF('NEW ACCOUNT'!A432="","",'NEW ACCOUNT'!H432)</f>
        <v/>
      </c>
      <c r="I431" s="38" t="str">
        <f>IF('NEW ACCOUNT'!A432="","",'NEW ACCOUNT'!I432)</f>
        <v/>
      </c>
      <c r="J431" s="38" t="str">
        <f>IF('NEW ACCOUNT'!A432="","",'NEW ACCOUNT'!J432)</f>
        <v/>
      </c>
      <c r="K431" s="39" t="str">
        <f>IFERROR(IF(A431="","",SUMIF(DB_Savings!$A:$A,A431,DB_Savings!$F:$F)),"")</f>
        <v/>
      </c>
      <c r="L431" s="39" t="str">
        <f>IFERROR(IF(A431="","",SUMIF(DB_Withdrawals!$A:$A,A431,DB_Withdrawals!$G:$G)),"")</f>
        <v/>
      </c>
      <c r="M431" s="39" t="str">
        <f>IFERROR(IF(A431="","",IFERROR(VALUE(H431),0)+IFERROR(SUMIF(DB_Savings!$A:$A,A431,DB_Savings!$F:$F),0)-IFERROR(SUMIF(DB_Withdrawals!$A:$A,A431,DB_Withdrawals!$G:$G),0)),"")</f>
        <v/>
      </c>
      <c r="N431" s="39" t="str">
        <f>IFERROR(IF(A431="","",MAX(0,M431-System_Config!$B$9)),"")</f>
        <v/>
      </c>
    </row>
    <row r="432" spans="1:14" ht="19.5" customHeight="1" x14ac:dyDescent="0.25">
      <c r="A432" s="37" t="str">
        <f>'NEW ACCOUNT'!A433</f>
        <v/>
      </c>
      <c r="B432" s="38" t="str">
        <f>IF('NEW ACCOUNT'!A433="","",'NEW ACCOUNT'!B433)</f>
        <v/>
      </c>
      <c r="C432" s="38" t="str">
        <f>IF('NEW ACCOUNT'!A433="","",'NEW ACCOUNT'!C433)</f>
        <v/>
      </c>
      <c r="D432" s="38" t="str">
        <f>IF('NEW ACCOUNT'!A433="","",'NEW ACCOUNT'!D433)</f>
        <v/>
      </c>
      <c r="E432" s="38" t="str">
        <f>IF('NEW ACCOUNT'!A433="","",'NEW ACCOUNT'!E433)</f>
        <v/>
      </c>
      <c r="F432" s="38" t="str">
        <f>IF('NEW ACCOUNT'!A433="","",'NEW ACCOUNT'!F433)</f>
        <v/>
      </c>
      <c r="G432" s="38" t="str">
        <f>IF('NEW ACCOUNT'!A433="","",'NEW ACCOUNT'!G433)</f>
        <v/>
      </c>
      <c r="H432" s="38" t="str">
        <f>IF('NEW ACCOUNT'!A433="","",'NEW ACCOUNT'!H433)</f>
        <v/>
      </c>
      <c r="I432" s="38" t="str">
        <f>IF('NEW ACCOUNT'!A433="","",'NEW ACCOUNT'!I433)</f>
        <v/>
      </c>
      <c r="J432" s="38" t="str">
        <f>IF('NEW ACCOUNT'!A433="","",'NEW ACCOUNT'!J433)</f>
        <v/>
      </c>
      <c r="K432" s="39" t="str">
        <f>IFERROR(IF(A432="","",SUMIF(DB_Savings!$A:$A,A432,DB_Savings!$F:$F)),"")</f>
        <v/>
      </c>
      <c r="L432" s="39" t="str">
        <f>IFERROR(IF(A432="","",SUMIF(DB_Withdrawals!$A:$A,A432,DB_Withdrawals!$G:$G)),"")</f>
        <v/>
      </c>
      <c r="M432" s="39" t="str">
        <f>IFERROR(IF(A432="","",IFERROR(VALUE(H432),0)+IFERROR(SUMIF(DB_Savings!$A:$A,A432,DB_Savings!$F:$F),0)-IFERROR(SUMIF(DB_Withdrawals!$A:$A,A432,DB_Withdrawals!$G:$G),0)),"")</f>
        <v/>
      </c>
      <c r="N432" s="39" t="str">
        <f>IFERROR(IF(A432="","",MAX(0,M432-System_Config!$B$9)),"")</f>
        <v/>
      </c>
    </row>
    <row r="433" spans="1:14" ht="19.5" customHeight="1" x14ac:dyDescent="0.25">
      <c r="A433" s="37" t="str">
        <f>'NEW ACCOUNT'!A434</f>
        <v/>
      </c>
      <c r="B433" s="38" t="str">
        <f>IF('NEW ACCOUNT'!A434="","",'NEW ACCOUNT'!B434)</f>
        <v/>
      </c>
      <c r="C433" s="38" t="str">
        <f>IF('NEW ACCOUNT'!A434="","",'NEW ACCOUNT'!C434)</f>
        <v/>
      </c>
      <c r="D433" s="38" t="str">
        <f>IF('NEW ACCOUNT'!A434="","",'NEW ACCOUNT'!D434)</f>
        <v/>
      </c>
      <c r="E433" s="38" t="str">
        <f>IF('NEW ACCOUNT'!A434="","",'NEW ACCOUNT'!E434)</f>
        <v/>
      </c>
      <c r="F433" s="38" t="str">
        <f>IF('NEW ACCOUNT'!A434="","",'NEW ACCOUNT'!F434)</f>
        <v/>
      </c>
      <c r="G433" s="38" t="str">
        <f>IF('NEW ACCOUNT'!A434="","",'NEW ACCOUNT'!G434)</f>
        <v/>
      </c>
      <c r="H433" s="38" t="str">
        <f>IF('NEW ACCOUNT'!A434="","",'NEW ACCOUNT'!H434)</f>
        <v/>
      </c>
      <c r="I433" s="38" t="str">
        <f>IF('NEW ACCOUNT'!A434="","",'NEW ACCOUNT'!I434)</f>
        <v/>
      </c>
      <c r="J433" s="38" t="str">
        <f>IF('NEW ACCOUNT'!A434="","",'NEW ACCOUNT'!J434)</f>
        <v/>
      </c>
      <c r="K433" s="39" t="str">
        <f>IFERROR(IF(A433="","",SUMIF(DB_Savings!$A:$A,A433,DB_Savings!$F:$F)),"")</f>
        <v/>
      </c>
      <c r="L433" s="39" t="str">
        <f>IFERROR(IF(A433="","",SUMIF(DB_Withdrawals!$A:$A,A433,DB_Withdrawals!$G:$G)),"")</f>
        <v/>
      </c>
      <c r="M433" s="39" t="str">
        <f>IFERROR(IF(A433="","",IFERROR(VALUE(H433),0)+IFERROR(SUMIF(DB_Savings!$A:$A,A433,DB_Savings!$F:$F),0)-IFERROR(SUMIF(DB_Withdrawals!$A:$A,A433,DB_Withdrawals!$G:$G),0)),"")</f>
        <v/>
      </c>
      <c r="N433" s="39" t="str">
        <f>IFERROR(IF(A433="","",MAX(0,M433-System_Config!$B$9)),"")</f>
        <v/>
      </c>
    </row>
    <row r="434" spans="1:14" ht="19.5" customHeight="1" x14ac:dyDescent="0.25">
      <c r="A434" s="37" t="str">
        <f>'NEW ACCOUNT'!A435</f>
        <v/>
      </c>
      <c r="B434" s="38" t="str">
        <f>IF('NEW ACCOUNT'!A435="","",'NEW ACCOUNT'!B435)</f>
        <v/>
      </c>
      <c r="C434" s="38" t="str">
        <f>IF('NEW ACCOUNT'!A435="","",'NEW ACCOUNT'!C435)</f>
        <v/>
      </c>
      <c r="D434" s="38" t="str">
        <f>IF('NEW ACCOUNT'!A435="","",'NEW ACCOUNT'!D435)</f>
        <v/>
      </c>
      <c r="E434" s="38" t="str">
        <f>IF('NEW ACCOUNT'!A435="","",'NEW ACCOUNT'!E435)</f>
        <v/>
      </c>
      <c r="F434" s="38" t="str">
        <f>IF('NEW ACCOUNT'!A435="","",'NEW ACCOUNT'!F435)</f>
        <v/>
      </c>
      <c r="G434" s="38" t="str">
        <f>IF('NEW ACCOUNT'!A435="","",'NEW ACCOUNT'!G435)</f>
        <v/>
      </c>
      <c r="H434" s="38" t="str">
        <f>IF('NEW ACCOUNT'!A435="","",'NEW ACCOUNT'!H435)</f>
        <v/>
      </c>
      <c r="I434" s="38" t="str">
        <f>IF('NEW ACCOUNT'!A435="","",'NEW ACCOUNT'!I435)</f>
        <v/>
      </c>
      <c r="J434" s="38" t="str">
        <f>IF('NEW ACCOUNT'!A435="","",'NEW ACCOUNT'!J435)</f>
        <v/>
      </c>
      <c r="K434" s="39" t="str">
        <f>IFERROR(IF(A434="","",SUMIF(DB_Savings!$A:$A,A434,DB_Savings!$F:$F)),"")</f>
        <v/>
      </c>
      <c r="L434" s="39" t="str">
        <f>IFERROR(IF(A434="","",SUMIF(DB_Withdrawals!$A:$A,A434,DB_Withdrawals!$G:$G)),"")</f>
        <v/>
      </c>
      <c r="M434" s="39" t="str">
        <f>IFERROR(IF(A434="","",IFERROR(VALUE(H434),0)+IFERROR(SUMIF(DB_Savings!$A:$A,A434,DB_Savings!$F:$F),0)-IFERROR(SUMIF(DB_Withdrawals!$A:$A,A434,DB_Withdrawals!$G:$G),0)),"")</f>
        <v/>
      </c>
      <c r="N434" s="39" t="str">
        <f>IFERROR(IF(A434="","",MAX(0,M434-System_Config!$B$9)),"")</f>
        <v/>
      </c>
    </row>
    <row r="435" spans="1:14" ht="19.5" customHeight="1" x14ac:dyDescent="0.25">
      <c r="A435" s="37" t="str">
        <f>'NEW ACCOUNT'!A436</f>
        <v/>
      </c>
      <c r="B435" s="38" t="str">
        <f>IF('NEW ACCOUNT'!A436="","",'NEW ACCOUNT'!B436)</f>
        <v/>
      </c>
      <c r="C435" s="38" t="str">
        <f>IF('NEW ACCOUNT'!A436="","",'NEW ACCOUNT'!C436)</f>
        <v/>
      </c>
      <c r="D435" s="38" t="str">
        <f>IF('NEW ACCOUNT'!A436="","",'NEW ACCOUNT'!D436)</f>
        <v/>
      </c>
      <c r="E435" s="38" t="str">
        <f>IF('NEW ACCOUNT'!A436="","",'NEW ACCOUNT'!E436)</f>
        <v/>
      </c>
      <c r="F435" s="38" t="str">
        <f>IF('NEW ACCOUNT'!A436="","",'NEW ACCOUNT'!F436)</f>
        <v/>
      </c>
      <c r="G435" s="38" t="str">
        <f>IF('NEW ACCOUNT'!A436="","",'NEW ACCOUNT'!G436)</f>
        <v/>
      </c>
      <c r="H435" s="38" t="str">
        <f>IF('NEW ACCOUNT'!A436="","",'NEW ACCOUNT'!H436)</f>
        <v/>
      </c>
      <c r="I435" s="38" t="str">
        <f>IF('NEW ACCOUNT'!A436="","",'NEW ACCOUNT'!I436)</f>
        <v/>
      </c>
      <c r="J435" s="38" t="str">
        <f>IF('NEW ACCOUNT'!A436="","",'NEW ACCOUNT'!J436)</f>
        <v/>
      </c>
      <c r="K435" s="39" t="str">
        <f>IFERROR(IF(A435="","",SUMIF(DB_Savings!$A:$A,A435,DB_Savings!$F:$F)),"")</f>
        <v/>
      </c>
      <c r="L435" s="39" t="str">
        <f>IFERROR(IF(A435="","",SUMIF(DB_Withdrawals!$A:$A,A435,DB_Withdrawals!$G:$G)),"")</f>
        <v/>
      </c>
      <c r="M435" s="39" t="str">
        <f>IFERROR(IF(A435="","",IFERROR(VALUE(H435),0)+IFERROR(SUMIF(DB_Savings!$A:$A,A435,DB_Savings!$F:$F),0)-IFERROR(SUMIF(DB_Withdrawals!$A:$A,A435,DB_Withdrawals!$G:$G),0)),"")</f>
        <v/>
      </c>
      <c r="N435" s="39" t="str">
        <f>IFERROR(IF(A435="","",MAX(0,M435-System_Config!$B$9)),"")</f>
        <v/>
      </c>
    </row>
    <row r="436" spans="1:14" ht="19.5" customHeight="1" x14ac:dyDescent="0.25">
      <c r="A436" s="37" t="str">
        <f>'NEW ACCOUNT'!A437</f>
        <v/>
      </c>
      <c r="B436" s="38" t="str">
        <f>IF('NEW ACCOUNT'!A437="","",'NEW ACCOUNT'!B437)</f>
        <v/>
      </c>
      <c r="C436" s="38" t="str">
        <f>IF('NEW ACCOUNT'!A437="","",'NEW ACCOUNT'!C437)</f>
        <v/>
      </c>
      <c r="D436" s="38" t="str">
        <f>IF('NEW ACCOUNT'!A437="","",'NEW ACCOUNT'!D437)</f>
        <v/>
      </c>
      <c r="E436" s="38" t="str">
        <f>IF('NEW ACCOUNT'!A437="","",'NEW ACCOUNT'!E437)</f>
        <v/>
      </c>
      <c r="F436" s="38" t="str">
        <f>IF('NEW ACCOUNT'!A437="","",'NEW ACCOUNT'!F437)</f>
        <v/>
      </c>
      <c r="G436" s="38" t="str">
        <f>IF('NEW ACCOUNT'!A437="","",'NEW ACCOUNT'!G437)</f>
        <v/>
      </c>
      <c r="H436" s="38" t="str">
        <f>IF('NEW ACCOUNT'!A437="","",'NEW ACCOUNT'!H437)</f>
        <v/>
      </c>
      <c r="I436" s="38" t="str">
        <f>IF('NEW ACCOUNT'!A437="","",'NEW ACCOUNT'!I437)</f>
        <v/>
      </c>
      <c r="J436" s="38" t="str">
        <f>IF('NEW ACCOUNT'!A437="","",'NEW ACCOUNT'!J437)</f>
        <v/>
      </c>
      <c r="K436" s="39" t="str">
        <f>IFERROR(IF(A436="","",SUMIF(DB_Savings!$A:$A,A436,DB_Savings!$F:$F)),"")</f>
        <v/>
      </c>
      <c r="L436" s="39" t="str">
        <f>IFERROR(IF(A436="","",SUMIF(DB_Withdrawals!$A:$A,A436,DB_Withdrawals!$G:$G)),"")</f>
        <v/>
      </c>
      <c r="M436" s="39" t="str">
        <f>IFERROR(IF(A436="","",IFERROR(VALUE(H436),0)+IFERROR(SUMIF(DB_Savings!$A:$A,A436,DB_Savings!$F:$F),0)-IFERROR(SUMIF(DB_Withdrawals!$A:$A,A436,DB_Withdrawals!$G:$G),0)),"")</f>
        <v/>
      </c>
      <c r="N436" s="39" t="str">
        <f>IFERROR(IF(A436="","",MAX(0,M436-System_Config!$B$9)),"")</f>
        <v/>
      </c>
    </row>
    <row r="437" spans="1:14" ht="19.5" customHeight="1" x14ac:dyDescent="0.25">
      <c r="A437" s="37" t="str">
        <f>'NEW ACCOUNT'!A438</f>
        <v/>
      </c>
      <c r="B437" s="38" t="str">
        <f>IF('NEW ACCOUNT'!A438="","",'NEW ACCOUNT'!B438)</f>
        <v/>
      </c>
      <c r="C437" s="38" t="str">
        <f>IF('NEW ACCOUNT'!A438="","",'NEW ACCOUNT'!C438)</f>
        <v/>
      </c>
      <c r="D437" s="38" t="str">
        <f>IF('NEW ACCOUNT'!A438="","",'NEW ACCOUNT'!D438)</f>
        <v/>
      </c>
      <c r="E437" s="38" t="str">
        <f>IF('NEW ACCOUNT'!A438="","",'NEW ACCOUNT'!E438)</f>
        <v/>
      </c>
      <c r="F437" s="38" t="str">
        <f>IF('NEW ACCOUNT'!A438="","",'NEW ACCOUNT'!F438)</f>
        <v/>
      </c>
      <c r="G437" s="38" t="str">
        <f>IF('NEW ACCOUNT'!A438="","",'NEW ACCOUNT'!G438)</f>
        <v/>
      </c>
      <c r="H437" s="38" t="str">
        <f>IF('NEW ACCOUNT'!A438="","",'NEW ACCOUNT'!H438)</f>
        <v/>
      </c>
      <c r="I437" s="38" t="str">
        <f>IF('NEW ACCOUNT'!A438="","",'NEW ACCOUNT'!I438)</f>
        <v/>
      </c>
      <c r="J437" s="38" t="str">
        <f>IF('NEW ACCOUNT'!A438="","",'NEW ACCOUNT'!J438)</f>
        <v/>
      </c>
      <c r="K437" s="39" t="str">
        <f>IFERROR(IF(A437="","",SUMIF(DB_Savings!$A:$A,A437,DB_Savings!$F:$F)),"")</f>
        <v/>
      </c>
      <c r="L437" s="39" t="str">
        <f>IFERROR(IF(A437="","",SUMIF(DB_Withdrawals!$A:$A,A437,DB_Withdrawals!$G:$G)),"")</f>
        <v/>
      </c>
      <c r="M437" s="39" t="str">
        <f>IFERROR(IF(A437="","",IFERROR(VALUE(H437),0)+IFERROR(SUMIF(DB_Savings!$A:$A,A437,DB_Savings!$F:$F),0)-IFERROR(SUMIF(DB_Withdrawals!$A:$A,A437,DB_Withdrawals!$G:$G),0)),"")</f>
        <v/>
      </c>
      <c r="N437" s="39" t="str">
        <f>IFERROR(IF(A437="","",MAX(0,M437-System_Config!$B$9)),"")</f>
        <v/>
      </c>
    </row>
    <row r="438" spans="1:14" ht="19.5" customHeight="1" x14ac:dyDescent="0.25">
      <c r="A438" s="37" t="str">
        <f>'NEW ACCOUNT'!A439</f>
        <v/>
      </c>
      <c r="B438" s="38" t="str">
        <f>IF('NEW ACCOUNT'!A439="","",'NEW ACCOUNT'!B439)</f>
        <v/>
      </c>
      <c r="C438" s="38" t="str">
        <f>IF('NEW ACCOUNT'!A439="","",'NEW ACCOUNT'!C439)</f>
        <v/>
      </c>
      <c r="D438" s="38" t="str">
        <f>IF('NEW ACCOUNT'!A439="","",'NEW ACCOUNT'!D439)</f>
        <v/>
      </c>
      <c r="E438" s="38" t="str">
        <f>IF('NEW ACCOUNT'!A439="","",'NEW ACCOUNT'!E439)</f>
        <v/>
      </c>
      <c r="F438" s="38" t="str">
        <f>IF('NEW ACCOUNT'!A439="","",'NEW ACCOUNT'!F439)</f>
        <v/>
      </c>
      <c r="G438" s="38" t="str">
        <f>IF('NEW ACCOUNT'!A439="","",'NEW ACCOUNT'!G439)</f>
        <v/>
      </c>
      <c r="H438" s="38" t="str">
        <f>IF('NEW ACCOUNT'!A439="","",'NEW ACCOUNT'!H439)</f>
        <v/>
      </c>
      <c r="I438" s="38" t="str">
        <f>IF('NEW ACCOUNT'!A439="","",'NEW ACCOUNT'!I439)</f>
        <v/>
      </c>
      <c r="J438" s="38" t="str">
        <f>IF('NEW ACCOUNT'!A439="","",'NEW ACCOUNT'!J439)</f>
        <v/>
      </c>
      <c r="K438" s="39" t="str">
        <f>IFERROR(IF(A438="","",SUMIF(DB_Savings!$A:$A,A438,DB_Savings!$F:$F)),"")</f>
        <v/>
      </c>
      <c r="L438" s="39" t="str">
        <f>IFERROR(IF(A438="","",SUMIF(DB_Withdrawals!$A:$A,A438,DB_Withdrawals!$G:$G)),"")</f>
        <v/>
      </c>
      <c r="M438" s="39" t="str">
        <f>IFERROR(IF(A438="","",IFERROR(VALUE(H438),0)+IFERROR(SUMIF(DB_Savings!$A:$A,A438,DB_Savings!$F:$F),0)-IFERROR(SUMIF(DB_Withdrawals!$A:$A,A438,DB_Withdrawals!$G:$G),0)),"")</f>
        <v/>
      </c>
      <c r="N438" s="39" t="str">
        <f>IFERROR(IF(A438="","",MAX(0,M438-System_Config!$B$9)),"")</f>
        <v/>
      </c>
    </row>
    <row r="439" spans="1:14" ht="19.5" customHeight="1" x14ac:dyDescent="0.25">
      <c r="A439" s="37" t="str">
        <f>'NEW ACCOUNT'!A440</f>
        <v/>
      </c>
      <c r="B439" s="38" t="str">
        <f>IF('NEW ACCOUNT'!A440="","",'NEW ACCOUNT'!B440)</f>
        <v/>
      </c>
      <c r="C439" s="38" t="str">
        <f>IF('NEW ACCOUNT'!A440="","",'NEW ACCOUNT'!C440)</f>
        <v/>
      </c>
      <c r="D439" s="38" t="str">
        <f>IF('NEW ACCOUNT'!A440="","",'NEW ACCOUNT'!D440)</f>
        <v/>
      </c>
      <c r="E439" s="38" t="str">
        <f>IF('NEW ACCOUNT'!A440="","",'NEW ACCOUNT'!E440)</f>
        <v/>
      </c>
      <c r="F439" s="38" t="str">
        <f>IF('NEW ACCOUNT'!A440="","",'NEW ACCOUNT'!F440)</f>
        <v/>
      </c>
      <c r="G439" s="38" t="str">
        <f>IF('NEW ACCOUNT'!A440="","",'NEW ACCOUNT'!G440)</f>
        <v/>
      </c>
      <c r="H439" s="38" t="str">
        <f>IF('NEW ACCOUNT'!A440="","",'NEW ACCOUNT'!H440)</f>
        <v/>
      </c>
      <c r="I439" s="38" t="str">
        <f>IF('NEW ACCOUNT'!A440="","",'NEW ACCOUNT'!I440)</f>
        <v/>
      </c>
      <c r="J439" s="38" t="str">
        <f>IF('NEW ACCOUNT'!A440="","",'NEW ACCOUNT'!J440)</f>
        <v/>
      </c>
      <c r="K439" s="39" t="str">
        <f>IFERROR(IF(A439="","",SUMIF(DB_Savings!$A:$A,A439,DB_Savings!$F:$F)),"")</f>
        <v/>
      </c>
      <c r="L439" s="39" t="str">
        <f>IFERROR(IF(A439="","",SUMIF(DB_Withdrawals!$A:$A,A439,DB_Withdrawals!$G:$G)),"")</f>
        <v/>
      </c>
      <c r="M439" s="39" t="str">
        <f>IFERROR(IF(A439="","",IFERROR(VALUE(H439),0)+IFERROR(SUMIF(DB_Savings!$A:$A,A439,DB_Savings!$F:$F),0)-IFERROR(SUMIF(DB_Withdrawals!$A:$A,A439,DB_Withdrawals!$G:$G),0)),"")</f>
        <v/>
      </c>
      <c r="N439" s="39" t="str">
        <f>IFERROR(IF(A439="","",MAX(0,M439-System_Config!$B$9)),"")</f>
        <v/>
      </c>
    </row>
    <row r="440" spans="1:14" ht="19.5" customHeight="1" x14ac:dyDescent="0.25">
      <c r="A440" s="37" t="str">
        <f>'NEW ACCOUNT'!A441</f>
        <v/>
      </c>
      <c r="B440" s="38" t="str">
        <f>IF('NEW ACCOUNT'!A441="","",'NEW ACCOUNT'!B441)</f>
        <v/>
      </c>
      <c r="C440" s="38" t="str">
        <f>IF('NEW ACCOUNT'!A441="","",'NEW ACCOUNT'!C441)</f>
        <v/>
      </c>
      <c r="D440" s="38" t="str">
        <f>IF('NEW ACCOUNT'!A441="","",'NEW ACCOUNT'!D441)</f>
        <v/>
      </c>
      <c r="E440" s="38" t="str">
        <f>IF('NEW ACCOUNT'!A441="","",'NEW ACCOUNT'!E441)</f>
        <v/>
      </c>
      <c r="F440" s="38" t="str">
        <f>IF('NEW ACCOUNT'!A441="","",'NEW ACCOUNT'!F441)</f>
        <v/>
      </c>
      <c r="G440" s="38" t="str">
        <f>IF('NEW ACCOUNT'!A441="","",'NEW ACCOUNT'!G441)</f>
        <v/>
      </c>
      <c r="H440" s="38" t="str">
        <f>IF('NEW ACCOUNT'!A441="","",'NEW ACCOUNT'!H441)</f>
        <v/>
      </c>
      <c r="I440" s="38" t="str">
        <f>IF('NEW ACCOUNT'!A441="","",'NEW ACCOUNT'!I441)</f>
        <v/>
      </c>
      <c r="J440" s="38" t="str">
        <f>IF('NEW ACCOUNT'!A441="","",'NEW ACCOUNT'!J441)</f>
        <v/>
      </c>
      <c r="K440" s="39" t="str">
        <f>IFERROR(IF(A440="","",SUMIF(DB_Savings!$A:$A,A440,DB_Savings!$F:$F)),"")</f>
        <v/>
      </c>
      <c r="L440" s="39" t="str">
        <f>IFERROR(IF(A440="","",SUMIF(DB_Withdrawals!$A:$A,A440,DB_Withdrawals!$G:$G)),"")</f>
        <v/>
      </c>
      <c r="M440" s="39" t="str">
        <f>IFERROR(IF(A440="","",IFERROR(VALUE(H440),0)+IFERROR(SUMIF(DB_Savings!$A:$A,A440,DB_Savings!$F:$F),0)-IFERROR(SUMIF(DB_Withdrawals!$A:$A,A440,DB_Withdrawals!$G:$G),0)),"")</f>
        <v/>
      </c>
      <c r="N440" s="39" t="str">
        <f>IFERROR(IF(A440="","",MAX(0,M440-System_Config!$B$9)),"")</f>
        <v/>
      </c>
    </row>
    <row r="441" spans="1:14" ht="19.5" customHeight="1" x14ac:dyDescent="0.25">
      <c r="A441" s="37" t="str">
        <f>'NEW ACCOUNT'!A442</f>
        <v/>
      </c>
      <c r="B441" s="38" t="str">
        <f>IF('NEW ACCOUNT'!A442="","",'NEW ACCOUNT'!B442)</f>
        <v/>
      </c>
      <c r="C441" s="38" t="str">
        <f>IF('NEW ACCOUNT'!A442="","",'NEW ACCOUNT'!C442)</f>
        <v/>
      </c>
      <c r="D441" s="38" t="str">
        <f>IF('NEW ACCOUNT'!A442="","",'NEW ACCOUNT'!D442)</f>
        <v/>
      </c>
      <c r="E441" s="38" t="str">
        <f>IF('NEW ACCOUNT'!A442="","",'NEW ACCOUNT'!E442)</f>
        <v/>
      </c>
      <c r="F441" s="38" t="str">
        <f>IF('NEW ACCOUNT'!A442="","",'NEW ACCOUNT'!F442)</f>
        <v/>
      </c>
      <c r="G441" s="38" t="str">
        <f>IF('NEW ACCOUNT'!A442="","",'NEW ACCOUNT'!G442)</f>
        <v/>
      </c>
      <c r="H441" s="38" t="str">
        <f>IF('NEW ACCOUNT'!A442="","",'NEW ACCOUNT'!H442)</f>
        <v/>
      </c>
      <c r="I441" s="38" t="str">
        <f>IF('NEW ACCOUNT'!A442="","",'NEW ACCOUNT'!I442)</f>
        <v/>
      </c>
      <c r="J441" s="38" t="str">
        <f>IF('NEW ACCOUNT'!A442="","",'NEW ACCOUNT'!J442)</f>
        <v/>
      </c>
      <c r="K441" s="39" t="str">
        <f>IFERROR(IF(A441="","",SUMIF(DB_Savings!$A:$A,A441,DB_Savings!$F:$F)),"")</f>
        <v/>
      </c>
      <c r="L441" s="39" t="str">
        <f>IFERROR(IF(A441="","",SUMIF(DB_Withdrawals!$A:$A,A441,DB_Withdrawals!$G:$G)),"")</f>
        <v/>
      </c>
      <c r="M441" s="39" t="str">
        <f>IFERROR(IF(A441="","",IFERROR(VALUE(H441),0)+IFERROR(SUMIF(DB_Savings!$A:$A,A441,DB_Savings!$F:$F),0)-IFERROR(SUMIF(DB_Withdrawals!$A:$A,A441,DB_Withdrawals!$G:$G),0)),"")</f>
        <v/>
      </c>
      <c r="N441" s="39" t="str">
        <f>IFERROR(IF(A441="","",MAX(0,M441-System_Config!$B$9)),"")</f>
        <v/>
      </c>
    </row>
    <row r="442" spans="1:14" ht="19.5" customHeight="1" x14ac:dyDescent="0.25">
      <c r="A442" s="37" t="str">
        <f>'NEW ACCOUNT'!A443</f>
        <v/>
      </c>
      <c r="B442" s="38" t="str">
        <f>IF('NEW ACCOUNT'!A443="","",'NEW ACCOUNT'!B443)</f>
        <v/>
      </c>
      <c r="C442" s="38" t="str">
        <f>IF('NEW ACCOUNT'!A443="","",'NEW ACCOUNT'!C443)</f>
        <v/>
      </c>
      <c r="D442" s="38" t="str">
        <f>IF('NEW ACCOUNT'!A443="","",'NEW ACCOUNT'!D443)</f>
        <v/>
      </c>
      <c r="E442" s="38" t="str">
        <f>IF('NEW ACCOUNT'!A443="","",'NEW ACCOUNT'!E443)</f>
        <v/>
      </c>
      <c r="F442" s="38" t="str">
        <f>IF('NEW ACCOUNT'!A443="","",'NEW ACCOUNT'!F443)</f>
        <v/>
      </c>
      <c r="G442" s="38" t="str">
        <f>IF('NEW ACCOUNT'!A443="","",'NEW ACCOUNT'!G443)</f>
        <v/>
      </c>
      <c r="H442" s="38" t="str">
        <f>IF('NEW ACCOUNT'!A443="","",'NEW ACCOUNT'!H443)</f>
        <v/>
      </c>
      <c r="I442" s="38" t="str">
        <f>IF('NEW ACCOUNT'!A443="","",'NEW ACCOUNT'!I443)</f>
        <v/>
      </c>
      <c r="J442" s="38" t="str">
        <f>IF('NEW ACCOUNT'!A443="","",'NEW ACCOUNT'!J443)</f>
        <v/>
      </c>
      <c r="K442" s="39" t="str">
        <f>IFERROR(IF(A442="","",SUMIF(DB_Savings!$A:$A,A442,DB_Savings!$F:$F)),"")</f>
        <v/>
      </c>
      <c r="L442" s="39" t="str">
        <f>IFERROR(IF(A442="","",SUMIF(DB_Withdrawals!$A:$A,A442,DB_Withdrawals!$G:$G)),"")</f>
        <v/>
      </c>
      <c r="M442" s="39" t="str">
        <f>IFERROR(IF(A442="","",IFERROR(VALUE(H442),0)+IFERROR(SUMIF(DB_Savings!$A:$A,A442,DB_Savings!$F:$F),0)-IFERROR(SUMIF(DB_Withdrawals!$A:$A,A442,DB_Withdrawals!$G:$G),0)),"")</f>
        <v/>
      </c>
      <c r="N442" s="39" t="str">
        <f>IFERROR(IF(A442="","",MAX(0,M442-System_Config!$B$9)),"")</f>
        <v/>
      </c>
    </row>
    <row r="443" spans="1:14" ht="19.5" customHeight="1" x14ac:dyDescent="0.25">
      <c r="A443" s="37" t="str">
        <f>'NEW ACCOUNT'!A444</f>
        <v/>
      </c>
      <c r="B443" s="38" t="str">
        <f>IF('NEW ACCOUNT'!A444="","",'NEW ACCOUNT'!B444)</f>
        <v/>
      </c>
      <c r="C443" s="38" t="str">
        <f>IF('NEW ACCOUNT'!A444="","",'NEW ACCOUNT'!C444)</f>
        <v/>
      </c>
      <c r="D443" s="38" t="str">
        <f>IF('NEW ACCOUNT'!A444="","",'NEW ACCOUNT'!D444)</f>
        <v/>
      </c>
      <c r="E443" s="38" t="str">
        <f>IF('NEW ACCOUNT'!A444="","",'NEW ACCOUNT'!E444)</f>
        <v/>
      </c>
      <c r="F443" s="38" t="str">
        <f>IF('NEW ACCOUNT'!A444="","",'NEW ACCOUNT'!F444)</f>
        <v/>
      </c>
      <c r="G443" s="38" t="str">
        <f>IF('NEW ACCOUNT'!A444="","",'NEW ACCOUNT'!G444)</f>
        <v/>
      </c>
      <c r="H443" s="38" t="str">
        <f>IF('NEW ACCOUNT'!A444="","",'NEW ACCOUNT'!H444)</f>
        <v/>
      </c>
      <c r="I443" s="38" t="str">
        <f>IF('NEW ACCOUNT'!A444="","",'NEW ACCOUNT'!I444)</f>
        <v/>
      </c>
      <c r="J443" s="38" t="str">
        <f>IF('NEW ACCOUNT'!A444="","",'NEW ACCOUNT'!J444)</f>
        <v/>
      </c>
      <c r="K443" s="39" t="str">
        <f>IFERROR(IF(A443="","",SUMIF(DB_Savings!$A:$A,A443,DB_Savings!$F:$F)),"")</f>
        <v/>
      </c>
      <c r="L443" s="39" t="str">
        <f>IFERROR(IF(A443="","",SUMIF(DB_Withdrawals!$A:$A,A443,DB_Withdrawals!$G:$G)),"")</f>
        <v/>
      </c>
      <c r="M443" s="39" t="str">
        <f>IFERROR(IF(A443="","",IFERROR(VALUE(H443),0)+IFERROR(SUMIF(DB_Savings!$A:$A,A443,DB_Savings!$F:$F),0)-IFERROR(SUMIF(DB_Withdrawals!$A:$A,A443,DB_Withdrawals!$G:$G),0)),"")</f>
        <v/>
      </c>
      <c r="N443" s="39" t="str">
        <f>IFERROR(IF(A443="","",MAX(0,M443-System_Config!$B$9)),"")</f>
        <v/>
      </c>
    </row>
    <row r="444" spans="1:14" ht="19.5" customHeight="1" x14ac:dyDescent="0.25">
      <c r="A444" s="37" t="str">
        <f>'NEW ACCOUNT'!A445</f>
        <v/>
      </c>
      <c r="B444" s="38" t="str">
        <f>IF('NEW ACCOUNT'!A445="","",'NEW ACCOUNT'!B445)</f>
        <v/>
      </c>
      <c r="C444" s="38" t="str">
        <f>IF('NEW ACCOUNT'!A445="","",'NEW ACCOUNT'!C445)</f>
        <v/>
      </c>
      <c r="D444" s="38" t="str">
        <f>IF('NEW ACCOUNT'!A445="","",'NEW ACCOUNT'!D445)</f>
        <v/>
      </c>
      <c r="E444" s="38" t="str">
        <f>IF('NEW ACCOUNT'!A445="","",'NEW ACCOUNT'!E445)</f>
        <v/>
      </c>
      <c r="F444" s="38" t="str">
        <f>IF('NEW ACCOUNT'!A445="","",'NEW ACCOUNT'!F445)</f>
        <v/>
      </c>
      <c r="G444" s="38" t="str">
        <f>IF('NEW ACCOUNT'!A445="","",'NEW ACCOUNT'!G445)</f>
        <v/>
      </c>
      <c r="H444" s="38" t="str">
        <f>IF('NEW ACCOUNT'!A445="","",'NEW ACCOUNT'!H445)</f>
        <v/>
      </c>
      <c r="I444" s="38" t="str">
        <f>IF('NEW ACCOUNT'!A445="","",'NEW ACCOUNT'!I445)</f>
        <v/>
      </c>
      <c r="J444" s="38" t="str">
        <f>IF('NEW ACCOUNT'!A445="","",'NEW ACCOUNT'!J445)</f>
        <v/>
      </c>
      <c r="K444" s="39" t="str">
        <f>IFERROR(IF(A444="","",SUMIF(DB_Savings!$A:$A,A444,DB_Savings!$F:$F)),"")</f>
        <v/>
      </c>
      <c r="L444" s="39" t="str">
        <f>IFERROR(IF(A444="","",SUMIF(DB_Withdrawals!$A:$A,A444,DB_Withdrawals!$G:$G)),"")</f>
        <v/>
      </c>
      <c r="M444" s="39" t="str">
        <f>IFERROR(IF(A444="","",IFERROR(VALUE(H444),0)+IFERROR(SUMIF(DB_Savings!$A:$A,A444,DB_Savings!$F:$F),0)-IFERROR(SUMIF(DB_Withdrawals!$A:$A,A444,DB_Withdrawals!$G:$G),0)),"")</f>
        <v/>
      </c>
      <c r="N444" s="39" t="str">
        <f>IFERROR(IF(A444="","",MAX(0,M444-System_Config!$B$9)),"")</f>
        <v/>
      </c>
    </row>
    <row r="445" spans="1:14" ht="19.5" customHeight="1" x14ac:dyDescent="0.25">
      <c r="A445" s="37" t="str">
        <f>'NEW ACCOUNT'!A446</f>
        <v/>
      </c>
      <c r="B445" s="38" t="str">
        <f>IF('NEW ACCOUNT'!A446="","",'NEW ACCOUNT'!B446)</f>
        <v/>
      </c>
      <c r="C445" s="38" t="str">
        <f>IF('NEW ACCOUNT'!A446="","",'NEW ACCOUNT'!C446)</f>
        <v/>
      </c>
      <c r="D445" s="38" t="str">
        <f>IF('NEW ACCOUNT'!A446="","",'NEW ACCOUNT'!D446)</f>
        <v/>
      </c>
      <c r="E445" s="38" t="str">
        <f>IF('NEW ACCOUNT'!A446="","",'NEW ACCOUNT'!E446)</f>
        <v/>
      </c>
      <c r="F445" s="38" t="str">
        <f>IF('NEW ACCOUNT'!A446="","",'NEW ACCOUNT'!F446)</f>
        <v/>
      </c>
      <c r="G445" s="38" t="str">
        <f>IF('NEW ACCOUNT'!A446="","",'NEW ACCOUNT'!G446)</f>
        <v/>
      </c>
      <c r="H445" s="38" t="str">
        <f>IF('NEW ACCOUNT'!A446="","",'NEW ACCOUNT'!H446)</f>
        <v/>
      </c>
      <c r="I445" s="38" t="str">
        <f>IF('NEW ACCOUNT'!A446="","",'NEW ACCOUNT'!I446)</f>
        <v/>
      </c>
      <c r="J445" s="38" t="str">
        <f>IF('NEW ACCOUNT'!A446="","",'NEW ACCOUNT'!J446)</f>
        <v/>
      </c>
      <c r="K445" s="39" t="str">
        <f>IFERROR(IF(A445="","",SUMIF(DB_Savings!$A:$A,A445,DB_Savings!$F:$F)),"")</f>
        <v/>
      </c>
      <c r="L445" s="39" t="str">
        <f>IFERROR(IF(A445="","",SUMIF(DB_Withdrawals!$A:$A,A445,DB_Withdrawals!$G:$G)),"")</f>
        <v/>
      </c>
      <c r="M445" s="39" t="str">
        <f>IFERROR(IF(A445="","",IFERROR(VALUE(H445),0)+IFERROR(SUMIF(DB_Savings!$A:$A,A445,DB_Savings!$F:$F),0)-IFERROR(SUMIF(DB_Withdrawals!$A:$A,A445,DB_Withdrawals!$G:$G),0)),"")</f>
        <v/>
      </c>
      <c r="N445" s="39" t="str">
        <f>IFERROR(IF(A445="","",MAX(0,M445-System_Config!$B$9)),"")</f>
        <v/>
      </c>
    </row>
    <row r="446" spans="1:14" ht="19.5" customHeight="1" x14ac:dyDescent="0.25">
      <c r="A446" s="37" t="str">
        <f>'NEW ACCOUNT'!A447</f>
        <v/>
      </c>
      <c r="B446" s="38" t="str">
        <f>IF('NEW ACCOUNT'!A447="","",'NEW ACCOUNT'!B447)</f>
        <v/>
      </c>
      <c r="C446" s="38" t="str">
        <f>IF('NEW ACCOUNT'!A447="","",'NEW ACCOUNT'!C447)</f>
        <v/>
      </c>
      <c r="D446" s="38" t="str">
        <f>IF('NEW ACCOUNT'!A447="","",'NEW ACCOUNT'!D447)</f>
        <v/>
      </c>
      <c r="E446" s="38" t="str">
        <f>IF('NEW ACCOUNT'!A447="","",'NEW ACCOUNT'!E447)</f>
        <v/>
      </c>
      <c r="F446" s="38" t="str">
        <f>IF('NEW ACCOUNT'!A447="","",'NEW ACCOUNT'!F447)</f>
        <v/>
      </c>
      <c r="G446" s="38" t="str">
        <f>IF('NEW ACCOUNT'!A447="","",'NEW ACCOUNT'!G447)</f>
        <v/>
      </c>
      <c r="H446" s="38" t="str">
        <f>IF('NEW ACCOUNT'!A447="","",'NEW ACCOUNT'!H447)</f>
        <v/>
      </c>
      <c r="I446" s="38" t="str">
        <f>IF('NEW ACCOUNT'!A447="","",'NEW ACCOUNT'!I447)</f>
        <v/>
      </c>
      <c r="J446" s="38" t="str">
        <f>IF('NEW ACCOUNT'!A447="","",'NEW ACCOUNT'!J447)</f>
        <v/>
      </c>
      <c r="K446" s="39" t="str">
        <f>IFERROR(IF(A446="","",SUMIF(DB_Savings!$A:$A,A446,DB_Savings!$F:$F)),"")</f>
        <v/>
      </c>
      <c r="L446" s="39" t="str">
        <f>IFERROR(IF(A446="","",SUMIF(DB_Withdrawals!$A:$A,A446,DB_Withdrawals!$G:$G)),"")</f>
        <v/>
      </c>
      <c r="M446" s="39" t="str">
        <f>IFERROR(IF(A446="","",IFERROR(VALUE(H446),0)+IFERROR(SUMIF(DB_Savings!$A:$A,A446,DB_Savings!$F:$F),0)-IFERROR(SUMIF(DB_Withdrawals!$A:$A,A446,DB_Withdrawals!$G:$G),0)),"")</f>
        <v/>
      </c>
      <c r="N446" s="39" t="str">
        <f>IFERROR(IF(A446="","",MAX(0,M446-System_Config!$B$9)),"")</f>
        <v/>
      </c>
    </row>
    <row r="447" spans="1:14" ht="19.5" customHeight="1" x14ac:dyDescent="0.25">
      <c r="A447" s="37" t="str">
        <f>'NEW ACCOUNT'!A448</f>
        <v/>
      </c>
      <c r="B447" s="38" t="str">
        <f>IF('NEW ACCOUNT'!A448="","",'NEW ACCOUNT'!B448)</f>
        <v/>
      </c>
      <c r="C447" s="38" t="str">
        <f>IF('NEW ACCOUNT'!A448="","",'NEW ACCOUNT'!C448)</f>
        <v/>
      </c>
      <c r="D447" s="38" t="str">
        <f>IF('NEW ACCOUNT'!A448="","",'NEW ACCOUNT'!D448)</f>
        <v/>
      </c>
      <c r="E447" s="38" t="str">
        <f>IF('NEW ACCOUNT'!A448="","",'NEW ACCOUNT'!E448)</f>
        <v/>
      </c>
      <c r="F447" s="38" t="str">
        <f>IF('NEW ACCOUNT'!A448="","",'NEW ACCOUNT'!F448)</f>
        <v/>
      </c>
      <c r="G447" s="38" t="str">
        <f>IF('NEW ACCOUNT'!A448="","",'NEW ACCOUNT'!G448)</f>
        <v/>
      </c>
      <c r="H447" s="38" t="str">
        <f>IF('NEW ACCOUNT'!A448="","",'NEW ACCOUNT'!H448)</f>
        <v/>
      </c>
      <c r="I447" s="38" t="str">
        <f>IF('NEW ACCOUNT'!A448="","",'NEW ACCOUNT'!I448)</f>
        <v/>
      </c>
      <c r="J447" s="38" t="str">
        <f>IF('NEW ACCOUNT'!A448="","",'NEW ACCOUNT'!J448)</f>
        <v/>
      </c>
      <c r="K447" s="39" t="str">
        <f>IFERROR(IF(A447="","",SUMIF(DB_Savings!$A:$A,A447,DB_Savings!$F:$F)),"")</f>
        <v/>
      </c>
      <c r="L447" s="39" t="str">
        <f>IFERROR(IF(A447="","",SUMIF(DB_Withdrawals!$A:$A,A447,DB_Withdrawals!$G:$G)),"")</f>
        <v/>
      </c>
      <c r="M447" s="39" t="str">
        <f>IFERROR(IF(A447="","",IFERROR(VALUE(H447),0)+IFERROR(SUMIF(DB_Savings!$A:$A,A447,DB_Savings!$F:$F),0)-IFERROR(SUMIF(DB_Withdrawals!$A:$A,A447,DB_Withdrawals!$G:$G),0)),"")</f>
        <v/>
      </c>
      <c r="N447" s="39" t="str">
        <f>IFERROR(IF(A447="","",MAX(0,M447-System_Config!$B$9)),"")</f>
        <v/>
      </c>
    </row>
    <row r="448" spans="1:14" ht="19.5" customHeight="1" x14ac:dyDescent="0.25">
      <c r="A448" s="37" t="str">
        <f>'NEW ACCOUNT'!A449</f>
        <v/>
      </c>
      <c r="B448" s="38" t="str">
        <f>IF('NEW ACCOUNT'!A449="","",'NEW ACCOUNT'!B449)</f>
        <v/>
      </c>
      <c r="C448" s="38" t="str">
        <f>IF('NEW ACCOUNT'!A449="","",'NEW ACCOUNT'!C449)</f>
        <v/>
      </c>
      <c r="D448" s="38" t="str">
        <f>IF('NEW ACCOUNT'!A449="","",'NEW ACCOUNT'!D449)</f>
        <v/>
      </c>
      <c r="E448" s="38" t="str">
        <f>IF('NEW ACCOUNT'!A449="","",'NEW ACCOUNT'!E449)</f>
        <v/>
      </c>
      <c r="F448" s="38" t="str">
        <f>IF('NEW ACCOUNT'!A449="","",'NEW ACCOUNT'!F449)</f>
        <v/>
      </c>
      <c r="G448" s="38" t="str">
        <f>IF('NEW ACCOUNT'!A449="","",'NEW ACCOUNT'!G449)</f>
        <v/>
      </c>
      <c r="H448" s="38" t="str">
        <f>IF('NEW ACCOUNT'!A449="","",'NEW ACCOUNT'!H449)</f>
        <v/>
      </c>
      <c r="I448" s="38" t="str">
        <f>IF('NEW ACCOUNT'!A449="","",'NEW ACCOUNT'!I449)</f>
        <v/>
      </c>
      <c r="J448" s="38" t="str">
        <f>IF('NEW ACCOUNT'!A449="","",'NEW ACCOUNT'!J449)</f>
        <v/>
      </c>
      <c r="K448" s="39" t="str">
        <f>IFERROR(IF(A448="","",SUMIF(DB_Savings!$A:$A,A448,DB_Savings!$F:$F)),"")</f>
        <v/>
      </c>
      <c r="L448" s="39" t="str">
        <f>IFERROR(IF(A448="","",SUMIF(DB_Withdrawals!$A:$A,A448,DB_Withdrawals!$G:$G)),"")</f>
        <v/>
      </c>
      <c r="M448" s="39" t="str">
        <f>IFERROR(IF(A448="","",IFERROR(VALUE(H448),0)+IFERROR(SUMIF(DB_Savings!$A:$A,A448,DB_Savings!$F:$F),0)-IFERROR(SUMIF(DB_Withdrawals!$A:$A,A448,DB_Withdrawals!$G:$G),0)),"")</f>
        <v/>
      </c>
      <c r="N448" s="39" t="str">
        <f>IFERROR(IF(A448="","",MAX(0,M448-System_Config!$B$9)),"")</f>
        <v/>
      </c>
    </row>
    <row r="449" spans="1:14" ht="19.5" customHeight="1" x14ac:dyDescent="0.25">
      <c r="A449" s="37" t="str">
        <f>'NEW ACCOUNT'!A450</f>
        <v/>
      </c>
      <c r="B449" s="38" t="str">
        <f>IF('NEW ACCOUNT'!A450="","",'NEW ACCOUNT'!B450)</f>
        <v/>
      </c>
      <c r="C449" s="38" t="str">
        <f>IF('NEW ACCOUNT'!A450="","",'NEW ACCOUNT'!C450)</f>
        <v/>
      </c>
      <c r="D449" s="38" t="str">
        <f>IF('NEW ACCOUNT'!A450="","",'NEW ACCOUNT'!D450)</f>
        <v/>
      </c>
      <c r="E449" s="38" t="str">
        <f>IF('NEW ACCOUNT'!A450="","",'NEW ACCOUNT'!E450)</f>
        <v/>
      </c>
      <c r="F449" s="38" t="str">
        <f>IF('NEW ACCOUNT'!A450="","",'NEW ACCOUNT'!F450)</f>
        <v/>
      </c>
      <c r="G449" s="38" t="str">
        <f>IF('NEW ACCOUNT'!A450="","",'NEW ACCOUNT'!G450)</f>
        <v/>
      </c>
      <c r="H449" s="38" t="str">
        <f>IF('NEW ACCOUNT'!A450="","",'NEW ACCOUNT'!H450)</f>
        <v/>
      </c>
      <c r="I449" s="38" t="str">
        <f>IF('NEW ACCOUNT'!A450="","",'NEW ACCOUNT'!I450)</f>
        <v/>
      </c>
      <c r="J449" s="38" t="str">
        <f>IF('NEW ACCOUNT'!A450="","",'NEW ACCOUNT'!J450)</f>
        <v/>
      </c>
      <c r="K449" s="39" t="str">
        <f>IFERROR(IF(A449="","",SUMIF(DB_Savings!$A:$A,A449,DB_Savings!$F:$F)),"")</f>
        <v/>
      </c>
      <c r="L449" s="39" t="str">
        <f>IFERROR(IF(A449="","",SUMIF(DB_Withdrawals!$A:$A,A449,DB_Withdrawals!$G:$G)),"")</f>
        <v/>
      </c>
      <c r="M449" s="39" t="str">
        <f>IFERROR(IF(A449="","",IFERROR(VALUE(H449),0)+IFERROR(SUMIF(DB_Savings!$A:$A,A449,DB_Savings!$F:$F),0)-IFERROR(SUMIF(DB_Withdrawals!$A:$A,A449,DB_Withdrawals!$G:$G),0)),"")</f>
        <v/>
      </c>
      <c r="N449" s="39" t="str">
        <f>IFERROR(IF(A449="","",MAX(0,M449-System_Config!$B$9)),"")</f>
        <v/>
      </c>
    </row>
    <row r="450" spans="1:14" ht="19.5" customHeight="1" x14ac:dyDescent="0.25">
      <c r="A450" s="37" t="str">
        <f>'NEW ACCOUNT'!A451</f>
        <v/>
      </c>
      <c r="B450" s="38" t="str">
        <f>IF('NEW ACCOUNT'!A451="","",'NEW ACCOUNT'!B451)</f>
        <v/>
      </c>
      <c r="C450" s="38" t="str">
        <f>IF('NEW ACCOUNT'!A451="","",'NEW ACCOUNT'!C451)</f>
        <v/>
      </c>
      <c r="D450" s="38" t="str">
        <f>IF('NEW ACCOUNT'!A451="","",'NEW ACCOUNT'!D451)</f>
        <v/>
      </c>
      <c r="E450" s="38" t="str">
        <f>IF('NEW ACCOUNT'!A451="","",'NEW ACCOUNT'!E451)</f>
        <v/>
      </c>
      <c r="F450" s="38" t="str">
        <f>IF('NEW ACCOUNT'!A451="","",'NEW ACCOUNT'!F451)</f>
        <v/>
      </c>
      <c r="G450" s="38" t="str">
        <f>IF('NEW ACCOUNT'!A451="","",'NEW ACCOUNT'!G451)</f>
        <v/>
      </c>
      <c r="H450" s="38" t="str">
        <f>IF('NEW ACCOUNT'!A451="","",'NEW ACCOUNT'!H451)</f>
        <v/>
      </c>
      <c r="I450" s="38" t="str">
        <f>IF('NEW ACCOUNT'!A451="","",'NEW ACCOUNT'!I451)</f>
        <v/>
      </c>
      <c r="J450" s="38" t="str">
        <f>IF('NEW ACCOUNT'!A451="","",'NEW ACCOUNT'!J451)</f>
        <v/>
      </c>
      <c r="K450" s="39" t="str">
        <f>IFERROR(IF(A450="","",SUMIF(DB_Savings!$A:$A,A450,DB_Savings!$F:$F)),"")</f>
        <v/>
      </c>
      <c r="L450" s="39" t="str">
        <f>IFERROR(IF(A450="","",SUMIF(DB_Withdrawals!$A:$A,A450,DB_Withdrawals!$G:$G)),"")</f>
        <v/>
      </c>
      <c r="M450" s="39" t="str">
        <f>IFERROR(IF(A450="","",IFERROR(VALUE(H450),0)+IFERROR(SUMIF(DB_Savings!$A:$A,A450,DB_Savings!$F:$F),0)-IFERROR(SUMIF(DB_Withdrawals!$A:$A,A450,DB_Withdrawals!$G:$G),0)),"")</f>
        <v/>
      </c>
      <c r="N450" s="39" t="str">
        <f>IFERROR(IF(A450="","",MAX(0,M450-System_Config!$B$9)),"")</f>
        <v/>
      </c>
    </row>
    <row r="451" spans="1:14" ht="19.5" customHeight="1" x14ac:dyDescent="0.25">
      <c r="A451" s="37" t="str">
        <f>'NEW ACCOUNT'!A452</f>
        <v/>
      </c>
      <c r="B451" s="38" t="str">
        <f>IF('NEW ACCOUNT'!A452="","",'NEW ACCOUNT'!B452)</f>
        <v/>
      </c>
      <c r="C451" s="38" t="str">
        <f>IF('NEW ACCOUNT'!A452="","",'NEW ACCOUNT'!C452)</f>
        <v/>
      </c>
      <c r="D451" s="38" t="str">
        <f>IF('NEW ACCOUNT'!A452="","",'NEW ACCOUNT'!D452)</f>
        <v/>
      </c>
      <c r="E451" s="38" t="str">
        <f>IF('NEW ACCOUNT'!A452="","",'NEW ACCOUNT'!E452)</f>
        <v/>
      </c>
      <c r="F451" s="38" t="str">
        <f>IF('NEW ACCOUNT'!A452="","",'NEW ACCOUNT'!F452)</f>
        <v/>
      </c>
      <c r="G451" s="38" t="str">
        <f>IF('NEW ACCOUNT'!A452="","",'NEW ACCOUNT'!G452)</f>
        <v/>
      </c>
      <c r="H451" s="38" t="str">
        <f>IF('NEW ACCOUNT'!A452="","",'NEW ACCOUNT'!H452)</f>
        <v/>
      </c>
      <c r="I451" s="38" t="str">
        <f>IF('NEW ACCOUNT'!A452="","",'NEW ACCOUNT'!I452)</f>
        <v/>
      </c>
      <c r="J451" s="38" t="str">
        <f>IF('NEW ACCOUNT'!A452="","",'NEW ACCOUNT'!J452)</f>
        <v/>
      </c>
      <c r="K451" s="39" t="str">
        <f>IFERROR(IF(A451="","",SUMIF(DB_Savings!$A:$A,A451,DB_Savings!$F:$F)),"")</f>
        <v/>
      </c>
      <c r="L451" s="39" t="str">
        <f>IFERROR(IF(A451="","",SUMIF(DB_Withdrawals!$A:$A,A451,DB_Withdrawals!$G:$G)),"")</f>
        <v/>
      </c>
      <c r="M451" s="39" t="str">
        <f>IFERROR(IF(A451="","",IFERROR(VALUE(H451),0)+IFERROR(SUMIF(DB_Savings!$A:$A,A451,DB_Savings!$F:$F),0)-IFERROR(SUMIF(DB_Withdrawals!$A:$A,A451,DB_Withdrawals!$G:$G),0)),"")</f>
        <v/>
      </c>
      <c r="N451" s="39" t="str">
        <f>IFERROR(IF(A451="","",MAX(0,M451-System_Config!$B$9)),"")</f>
        <v/>
      </c>
    </row>
    <row r="452" spans="1:14" ht="19.5" customHeight="1" x14ac:dyDescent="0.25">
      <c r="A452" s="37" t="str">
        <f>'NEW ACCOUNT'!A453</f>
        <v/>
      </c>
      <c r="B452" s="38" t="str">
        <f>IF('NEW ACCOUNT'!A453="","",'NEW ACCOUNT'!B453)</f>
        <v/>
      </c>
      <c r="C452" s="38" t="str">
        <f>IF('NEW ACCOUNT'!A453="","",'NEW ACCOUNT'!C453)</f>
        <v/>
      </c>
      <c r="D452" s="38" t="str">
        <f>IF('NEW ACCOUNT'!A453="","",'NEW ACCOUNT'!D453)</f>
        <v/>
      </c>
      <c r="E452" s="38" t="str">
        <f>IF('NEW ACCOUNT'!A453="","",'NEW ACCOUNT'!E453)</f>
        <v/>
      </c>
      <c r="F452" s="38" t="str">
        <f>IF('NEW ACCOUNT'!A453="","",'NEW ACCOUNT'!F453)</f>
        <v/>
      </c>
      <c r="G452" s="38" t="str">
        <f>IF('NEW ACCOUNT'!A453="","",'NEW ACCOUNT'!G453)</f>
        <v/>
      </c>
      <c r="H452" s="38" t="str">
        <f>IF('NEW ACCOUNT'!A453="","",'NEW ACCOUNT'!H453)</f>
        <v/>
      </c>
      <c r="I452" s="38" t="str">
        <f>IF('NEW ACCOUNT'!A453="","",'NEW ACCOUNT'!I453)</f>
        <v/>
      </c>
      <c r="J452" s="38" t="str">
        <f>IF('NEW ACCOUNT'!A453="","",'NEW ACCOUNT'!J453)</f>
        <v/>
      </c>
      <c r="K452" s="39" t="str">
        <f>IFERROR(IF(A452="","",SUMIF(DB_Savings!$A:$A,A452,DB_Savings!$F:$F)),"")</f>
        <v/>
      </c>
      <c r="L452" s="39" t="str">
        <f>IFERROR(IF(A452="","",SUMIF(DB_Withdrawals!$A:$A,A452,DB_Withdrawals!$G:$G)),"")</f>
        <v/>
      </c>
      <c r="M452" s="39" t="str">
        <f>IFERROR(IF(A452="","",IFERROR(VALUE(H452),0)+IFERROR(SUMIF(DB_Savings!$A:$A,A452,DB_Savings!$F:$F),0)-IFERROR(SUMIF(DB_Withdrawals!$A:$A,A452,DB_Withdrawals!$G:$G),0)),"")</f>
        <v/>
      </c>
      <c r="N452" s="39" t="str">
        <f>IFERROR(IF(A452="","",MAX(0,M452-System_Config!$B$9)),"")</f>
        <v/>
      </c>
    </row>
    <row r="453" spans="1:14" ht="19.5" customHeight="1" x14ac:dyDescent="0.25">
      <c r="A453" s="37" t="str">
        <f>'NEW ACCOUNT'!A454</f>
        <v/>
      </c>
      <c r="B453" s="38" t="str">
        <f>IF('NEW ACCOUNT'!A454="","",'NEW ACCOUNT'!B454)</f>
        <v/>
      </c>
      <c r="C453" s="38" t="str">
        <f>IF('NEW ACCOUNT'!A454="","",'NEW ACCOUNT'!C454)</f>
        <v/>
      </c>
      <c r="D453" s="38" t="str">
        <f>IF('NEW ACCOUNT'!A454="","",'NEW ACCOUNT'!D454)</f>
        <v/>
      </c>
      <c r="E453" s="38" t="str">
        <f>IF('NEW ACCOUNT'!A454="","",'NEW ACCOUNT'!E454)</f>
        <v/>
      </c>
      <c r="F453" s="38" t="str">
        <f>IF('NEW ACCOUNT'!A454="","",'NEW ACCOUNT'!F454)</f>
        <v/>
      </c>
      <c r="G453" s="38" t="str">
        <f>IF('NEW ACCOUNT'!A454="","",'NEW ACCOUNT'!G454)</f>
        <v/>
      </c>
      <c r="H453" s="38" t="str">
        <f>IF('NEW ACCOUNT'!A454="","",'NEW ACCOUNT'!H454)</f>
        <v/>
      </c>
      <c r="I453" s="38" t="str">
        <f>IF('NEW ACCOUNT'!A454="","",'NEW ACCOUNT'!I454)</f>
        <v/>
      </c>
      <c r="J453" s="38" t="str">
        <f>IF('NEW ACCOUNT'!A454="","",'NEW ACCOUNT'!J454)</f>
        <v/>
      </c>
      <c r="K453" s="39" t="str">
        <f>IFERROR(IF(A453="","",SUMIF(DB_Savings!$A:$A,A453,DB_Savings!$F:$F)),"")</f>
        <v/>
      </c>
      <c r="L453" s="39" t="str">
        <f>IFERROR(IF(A453="","",SUMIF(DB_Withdrawals!$A:$A,A453,DB_Withdrawals!$G:$G)),"")</f>
        <v/>
      </c>
      <c r="M453" s="39" t="str">
        <f>IFERROR(IF(A453="","",IFERROR(VALUE(H453),0)+IFERROR(SUMIF(DB_Savings!$A:$A,A453,DB_Savings!$F:$F),0)-IFERROR(SUMIF(DB_Withdrawals!$A:$A,A453,DB_Withdrawals!$G:$G),0)),"")</f>
        <v/>
      </c>
      <c r="N453" s="39" t="str">
        <f>IFERROR(IF(A453="","",MAX(0,M453-System_Config!$B$9)),"")</f>
        <v/>
      </c>
    </row>
    <row r="454" spans="1:14" ht="19.5" customHeight="1" x14ac:dyDescent="0.25">
      <c r="A454" s="37" t="str">
        <f>'NEW ACCOUNT'!A455</f>
        <v/>
      </c>
      <c r="B454" s="38" t="str">
        <f>IF('NEW ACCOUNT'!A455="","",'NEW ACCOUNT'!B455)</f>
        <v/>
      </c>
      <c r="C454" s="38" t="str">
        <f>IF('NEW ACCOUNT'!A455="","",'NEW ACCOUNT'!C455)</f>
        <v/>
      </c>
      <c r="D454" s="38" t="str">
        <f>IF('NEW ACCOUNT'!A455="","",'NEW ACCOUNT'!D455)</f>
        <v/>
      </c>
      <c r="E454" s="38" t="str">
        <f>IF('NEW ACCOUNT'!A455="","",'NEW ACCOUNT'!E455)</f>
        <v/>
      </c>
      <c r="F454" s="38" t="str">
        <f>IF('NEW ACCOUNT'!A455="","",'NEW ACCOUNT'!F455)</f>
        <v/>
      </c>
      <c r="G454" s="38" t="str">
        <f>IF('NEW ACCOUNT'!A455="","",'NEW ACCOUNT'!G455)</f>
        <v/>
      </c>
      <c r="H454" s="38" t="str">
        <f>IF('NEW ACCOUNT'!A455="","",'NEW ACCOUNT'!H455)</f>
        <v/>
      </c>
      <c r="I454" s="38" t="str">
        <f>IF('NEW ACCOUNT'!A455="","",'NEW ACCOUNT'!I455)</f>
        <v/>
      </c>
      <c r="J454" s="38" t="str">
        <f>IF('NEW ACCOUNT'!A455="","",'NEW ACCOUNT'!J455)</f>
        <v/>
      </c>
      <c r="K454" s="39" t="str">
        <f>IFERROR(IF(A454="","",SUMIF(DB_Savings!$A:$A,A454,DB_Savings!$F:$F)),"")</f>
        <v/>
      </c>
      <c r="L454" s="39" t="str">
        <f>IFERROR(IF(A454="","",SUMIF(DB_Withdrawals!$A:$A,A454,DB_Withdrawals!$G:$G)),"")</f>
        <v/>
      </c>
      <c r="M454" s="39" t="str">
        <f>IFERROR(IF(A454="","",IFERROR(VALUE(H454),0)+IFERROR(SUMIF(DB_Savings!$A:$A,A454,DB_Savings!$F:$F),0)-IFERROR(SUMIF(DB_Withdrawals!$A:$A,A454,DB_Withdrawals!$G:$G),0)),"")</f>
        <v/>
      </c>
      <c r="N454" s="39" t="str">
        <f>IFERROR(IF(A454="","",MAX(0,M454-System_Config!$B$9)),"")</f>
        <v/>
      </c>
    </row>
    <row r="455" spans="1:14" ht="19.5" customHeight="1" x14ac:dyDescent="0.25">
      <c r="A455" s="37" t="str">
        <f>'NEW ACCOUNT'!A456</f>
        <v/>
      </c>
      <c r="B455" s="38" t="str">
        <f>IF('NEW ACCOUNT'!A456="","",'NEW ACCOUNT'!B456)</f>
        <v/>
      </c>
      <c r="C455" s="38" t="str">
        <f>IF('NEW ACCOUNT'!A456="","",'NEW ACCOUNT'!C456)</f>
        <v/>
      </c>
      <c r="D455" s="38" t="str">
        <f>IF('NEW ACCOUNT'!A456="","",'NEW ACCOUNT'!D456)</f>
        <v/>
      </c>
      <c r="E455" s="38" t="str">
        <f>IF('NEW ACCOUNT'!A456="","",'NEW ACCOUNT'!E456)</f>
        <v/>
      </c>
      <c r="F455" s="38" t="str">
        <f>IF('NEW ACCOUNT'!A456="","",'NEW ACCOUNT'!F456)</f>
        <v/>
      </c>
      <c r="G455" s="38" t="str">
        <f>IF('NEW ACCOUNT'!A456="","",'NEW ACCOUNT'!G456)</f>
        <v/>
      </c>
      <c r="H455" s="38" t="str">
        <f>IF('NEW ACCOUNT'!A456="","",'NEW ACCOUNT'!H456)</f>
        <v/>
      </c>
      <c r="I455" s="38" t="str">
        <f>IF('NEW ACCOUNT'!A456="","",'NEW ACCOUNT'!I456)</f>
        <v/>
      </c>
      <c r="J455" s="38" t="str">
        <f>IF('NEW ACCOUNT'!A456="","",'NEW ACCOUNT'!J456)</f>
        <v/>
      </c>
      <c r="K455" s="39" t="str">
        <f>IFERROR(IF(A455="","",SUMIF(DB_Savings!$A:$A,A455,DB_Savings!$F:$F)),"")</f>
        <v/>
      </c>
      <c r="L455" s="39" t="str">
        <f>IFERROR(IF(A455="","",SUMIF(DB_Withdrawals!$A:$A,A455,DB_Withdrawals!$G:$G)),"")</f>
        <v/>
      </c>
      <c r="M455" s="39" t="str">
        <f>IFERROR(IF(A455="","",IFERROR(VALUE(H455),0)+IFERROR(SUMIF(DB_Savings!$A:$A,A455,DB_Savings!$F:$F),0)-IFERROR(SUMIF(DB_Withdrawals!$A:$A,A455,DB_Withdrawals!$G:$G),0)),"")</f>
        <v/>
      </c>
      <c r="N455" s="39" t="str">
        <f>IFERROR(IF(A455="","",MAX(0,M455-System_Config!$B$9)),"")</f>
        <v/>
      </c>
    </row>
    <row r="456" spans="1:14" ht="19.5" customHeight="1" x14ac:dyDescent="0.25">
      <c r="A456" s="37" t="str">
        <f>'NEW ACCOUNT'!A457</f>
        <v/>
      </c>
      <c r="B456" s="38" t="str">
        <f>IF('NEW ACCOUNT'!A457="","",'NEW ACCOUNT'!B457)</f>
        <v/>
      </c>
      <c r="C456" s="38" t="str">
        <f>IF('NEW ACCOUNT'!A457="","",'NEW ACCOUNT'!C457)</f>
        <v/>
      </c>
      <c r="D456" s="38" t="str">
        <f>IF('NEW ACCOUNT'!A457="","",'NEW ACCOUNT'!D457)</f>
        <v/>
      </c>
      <c r="E456" s="38" t="str">
        <f>IF('NEW ACCOUNT'!A457="","",'NEW ACCOUNT'!E457)</f>
        <v/>
      </c>
      <c r="F456" s="38" t="str">
        <f>IF('NEW ACCOUNT'!A457="","",'NEW ACCOUNT'!F457)</f>
        <v/>
      </c>
      <c r="G456" s="38" t="str">
        <f>IF('NEW ACCOUNT'!A457="","",'NEW ACCOUNT'!G457)</f>
        <v/>
      </c>
      <c r="H456" s="38" t="str">
        <f>IF('NEW ACCOUNT'!A457="","",'NEW ACCOUNT'!H457)</f>
        <v/>
      </c>
      <c r="I456" s="38" t="str">
        <f>IF('NEW ACCOUNT'!A457="","",'NEW ACCOUNT'!I457)</f>
        <v/>
      </c>
      <c r="J456" s="38" t="str">
        <f>IF('NEW ACCOUNT'!A457="","",'NEW ACCOUNT'!J457)</f>
        <v/>
      </c>
      <c r="K456" s="39" t="str">
        <f>IFERROR(IF(A456="","",SUMIF(DB_Savings!$A:$A,A456,DB_Savings!$F:$F)),"")</f>
        <v/>
      </c>
      <c r="L456" s="39" t="str">
        <f>IFERROR(IF(A456="","",SUMIF(DB_Withdrawals!$A:$A,A456,DB_Withdrawals!$G:$G)),"")</f>
        <v/>
      </c>
      <c r="M456" s="39" t="str">
        <f>IFERROR(IF(A456="","",IFERROR(VALUE(H456),0)+IFERROR(SUMIF(DB_Savings!$A:$A,A456,DB_Savings!$F:$F),0)-IFERROR(SUMIF(DB_Withdrawals!$A:$A,A456,DB_Withdrawals!$G:$G),0)),"")</f>
        <v/>
      </c>
      <c r="N456" s="39" t="str">
        <f>IFERROR(IF(A456="","",MAX(0,M456-System_Config!$B$9)),"")</f>
        <v/>
      </c>
    </row>
    <row r="457" spans="1:14" ht="19.5" customHeight="1" x14ac:dyDescent="0.25">
      <c r="A457" s="37" t="str">
        <f>'NEW ACCOUNT'!A458</f>
        <v/>
      </c>
      <c r="B457" s="38" t="str">
        <f>IF('NEW ACCOUNT'!A458="","",'NEW ACCOUNT'!B458)</f>
        <v/>
      </c>
      <c r="C457" s="38" t="str">
        <f>IF('NEW ACCOUNT'!A458="","",'NEW ACCOUNT'!C458)</f>
        <v/>
      </c>
      <c r="D457" s="38" t="str">
        <f>IF('NEW ACCOUNT'!A458="","",'NEW ACCOUNT'!D458)</f>
        <v/>
      </c>
      <c r="E457" s="38" t="str">
        <f>IF('NEW ACCOUNT'!A458="","",'NEW ACCOUNT'!E458)</f>
        <v/>
      </c>
      <c r="F457" s="38" t="str">
        <f>IF('NEW ACCOUNT'!A458="","",'NEW ACCOUNT'!F458)</f>
        <v/>
      </c>
      <c r="G457" s="38" t="str">
        <f>IF('NEW ACCOUNT'!A458="","",'NEW ACCOUNT'!G458)</f>
        <v/>
      </c>
      <c r="H457" s="38" t="str">
        <f>IF('NEW ACCOUNT'!A458="","",'NEW ACCOUNT'!H458)</f>
        <v/>
      </c>
      <c r="I457" s="38" t="str">
        <f>IF('NEW ACCOUNT'!A458="","",'NEW ACCOUNT'!I458)</f>
        <v/>
      </c>
      <c r="J457" s="38" t="str">
        <f>IF('NEW ACCOUNT'!A458="","",'NEW ACCOUNT'!J458)</f>
        <v/>
      </c>
      <c r="K457" s="39" t="str">
        <f>IFERROR(IF(A457="","",SUMIF(DB_Savings!$A:$A,A457,DB_Savings!$F:$F)),"")</f>
        <v/>
      </c>
      <c r="L457" s="39" t="str">
        <f>IFERROR(IF(A457="","",SUMIF(DB_Withdrawals!$A:$A,A457,DB_Withdrawals!$G:$G)),"")</f>
        <v/>
      </c>
      <c r="M457" s="39" t="str">
        <f>IFERROR(IF(A457="","",IFERROR(VALUE(H457),0)+IFERROR(SUMIF(DB_Savings!$A:$A,A457,DB_Savings!$F:$F),0)-IFERROR(SUMIF(DB_Withdrawals!$A:$A,A457,DB_Withdrawals!$G:$G),0)),"")</f>
        <v/>
      </c>
      <c r="N457" s="39" t="str">
        <f>IFERROR(IF(A457="","",MAX(0,M457-System_Config!$B$9)),"")</f>
        <v/>
      </c>
    </row>
    <row r="458" spans="1:14" ht="19.5" customHeight="1" x14ac:dyDescent="0.25">
      <c r="A458" s="37" t="str">
        <f>'NEW ACCOUNT'!A459</f>
        <v/>
      </c>
      <c r="B458" s="38" t="str">
        <f>IF('NEW ACCOUNT'!A459="","",'NEW ACCOUNT'!B459)</f>
        <v/>
      </c>
      <c r="C458" s="38" t="str">
        <f>IF('NEW ACCOUNT'!A459="","",'NEW ACCOUNT'!C459)</f>
        <v/>
      </c>
      <c r="D458" s="38" t="str">
        <f>IF('NEW ACCOUNT'!A459="","",'NEW ACCOUNT'!D459)</f>
        <v/>
      </c>
      <c r="E458" s="38" t="str">
        <f>IF('NEW ACCOUNT'!A459="","",'NEW ACCOUNT'!E459)</f>
        <v/>
      </c>
      <c r="F458" s="38" t="str">
        <f>IF('NEW ACCOUNT'!A459="","",'NEW ACCOUNT'!F459)</f>
        <v/>
      </c>
      <c r="G458" s="38" t="str">
        <f>IF('NEW ACCOUNT'!A459="","",'NEW ACCOUNT'!G459)</f>
        <v/>
      </c>
      <c r="H458" s="38" t="str">
        <f>IF('NEW ACCOUNT'!A459="","",'NEW ACCOUNT'!H459)</f>
        <v/>
      </c>
      <c r="I458" s="38" t="str">
        <f>IF('NEW ACCOUNT'!A459="","",'NEW ACCOUNT'!I459)</f>
        <v/>
      </c>
      <c r="J458" s="38" t="str">
        <f>IF('NEW ACCOUNT'!A459="","",'NEW ACCOUNT'!J459)</f>
        <v/>
      </c>
      <c r="K458" s="39" t="str">
        <f>IFERROR(IF(A458="","",SUMIF(DB_Savings!$A:$A,A458,DB_Savings!$F:$F)),"")</f>
        <v/>
      </c>
      <c r="L458" s="39" t="str">
        <f>IFERROR(IF(A458="","",SUMIF(DB_Withdrawals!$A:$A,A458,DB_Withdrawals!$G:$G)),"")</f>
        <v/>
      </c>
      <c r="M458" s="39" t="str">
        <f>IFERROR(IF(A458="","",IFERROR(VALUE(H458),0)+IFERROR(SUMIF(DB_Savings!$A:$A,A458,DB_Savings!$F:$F),0)-IFERROR(SUMIF(DB_Withdrawals!$A:$A,A458,DB_Withdrawals!$G:$G),0)),"")</f>
        <v/>
      </c>
      <c r="N458" s="39" t="str">
        <f>IFERROR(IF(A458="","",MAX(0,M458-System_Config!$B$9)),"")</f>
        <v/>
      </c>
    </row>
    <row r="459" spans="1:14" ht="19.5" customHeight="1" x14ac:dyDescent="0.25">
      <c r="A459" s="37" t="str">
        <f>'NEW ACCOUNT'!A460</f>
        <v/>
      </c>
      <c r="B459" s="38" t="str">
        <f>IF('NEW ACCOUNT'!A460="","",'NEW ACCOUNT'!B460)</f>
        <v/>
      </c>
      <c r="C459" s="38" t="str">
        <f>IF('NEW ACCOUNT'!A460="","",'NEW ACCOUNT'!C460)</f>
        <v/>
      </c>
      <c r="D459" s="38" t="str">
        <f>IF('NEW ACCOUNT'!A460="","",'NEW ACCOUNT'!D460)</f>
        <v/>
      </c>
      <c r="E459" s="38" t="str">
        <f>IF('NEW ACCOUNT'!A460="","",'NEW ACCOUNT'!E460)</f>
        <v/>
      </c>
      <c r="F459" s="38" t="str">
        <f>IF('NEW ACCOUNT'!A460="","",'NEW ACCOUNT'!F460)</f>
        <v/>
      </c>
      <c r="G459" s="38" t="str">
        <f>IF('NEW ACCOUNT'!A460="","",'NEW ACCOUNT'!G460)</f>
        <v/>
      </c>
      <c r="H459" s="38" t="str">
        <f>IF('NEW ACCOUNT'!A460="","",'NEW ACCOUNT'!H460)</f>
        <v/>
      </c>
      <c r="I459" s="38" t="str">
        <f>IF('NEW ACCOUNT'!A460="","",'NEW ACCOUNT'!I460)</f>
        <v/>
      </c>
      <c r="J459" s="38" t="str">
        <f>IF('NEW ACCOUNT'!A460="","",'NEW ACCOUNT'!J460)</f>
        <v/>
      </c>
      <c r="K459" s="39" t="str">
        <f>IFERROR(IF(A459="","",SUMIF(DB_Savings!$A:$A,A459,DB_Savings!$F:$F)),"")</f>
        <v/>
      </c>
      <c r="L459" s="39" t="str">
        <f>IFERROR(IF(A459="","",SUMIF(DB_Withdrawals!$A:$A,A459,DB_Withdrawals!$G:$G)),"")</f>
        <v/>
      </c>
      <c r="M459" s="39" t="str">
        <f>IFERROR(IF(A459="","",IFERROR(VALUE(H459),0)+IFERROR(SUMIF(DB_Savings!$A:$A,A459,DB_Savings!$F:$F),0)-IFERROR(SUMIF(DB_Withdrawals!$A:$A,A459,DB_Withdrawals!$G:$G),0)),"")</f>
        <v/>
      </c>
      <c r="N459" s="39" t="str">
        <f>IFERROR(IF(A459="","",MAX(0,M459-System_Config!$B$9)),"")</f>
        <v/>
      </c>
    </row>
    <row r="460" spans="1:14" ht="19.5" customHeight="1" x14ac:dyDescent="0.25">
      <c r="A460" s="37" t="str">
        <f>'NEW ACCOUNT'!A461</f>
        <v/>
      </c>
      <c r="B460" s="38" t="str">
        <f>IF('NEW ACCOUNT'!A461="","",'NEW ACCOUNT'!B461)</f>
        <v/>
      </c>
      <c r="C460" s="38" t="str">
        <f>IF('NEW ACCOUNT'!A461="","",'NEW ACCOUNT'!C461)</f>
        <v/>
      </c>
      <c r="D460" s="38" t="str">
        <f>IF('NEW ACCOUNT'!A461="","",'NEW ACCOUNT'!D461)</f>
        <v/>
      </c>
      <c r="E460" s="38" t="str">
        <f>IF('NEW ACCOUNT'!A461="","",'NEW ACCOUNT'!E461)</f>
        <v/>
      </c>
      <c r="F460" s="38" t="str">
        <f>IF('NEW ACCOUNT'!A461="","",'NEW ACCOUNT'!F461)</f>
        <v/>
      </c>
      <c r="G460" s="38" t="str">
        <f>IF('NEW ACCOUNT'!A461="","",'NEW ACCOUNT'!G461)</f>
        <v/>
      </c>
      <c r="H460" s="38" t="str">
        <f>IF('NEW ACCOUNT'!A461="","",'NEW ACCOUNT'!H461)</f>
        <v/>
      </c>
      <c r="I460" s="38" t="str">
        <f>IF('NEW ACCOUNT'!A461="","",'NEW ACCOUNT'!I461)</f>
        <v/>
      </c>
      <c r="J460" s="38" t="str">
        <f>IF('NEW ACCOUNT'!A461="","",'NEW ACCOUNT'!J461)</f>
        <v/>
      </c>
      <c r="K460" s="39" t="str">
        <f>IFERROR(IF(A460="","",SUMIF(DB_Savings!$A:$A,A460,DB_Savings!$F:$F)),"")</f>
        <v/>
      </c>
      <c r="L460" s="39" t="str">
        <f>IFERROR(IF(A460="","",SUMIF(DB_Withdrawals!$A:$A,A460,DB_Withdrawals!$G:$G)),"")</f>
        <v/>
      </c>
      <c r="M460" s="39" t="str">
        <f>IFERROR(IF(A460="","",IFERROR(VALUE(H460),0)+IFERROR(SUMIF(DB_Savings!$A:$A,A460,DB_Savings!$F:$F),0)-IFERROR(SUMIF(DB_Withdrawals!$A:$A,A460,DB_Withdrawals!$G:$G),0)),"")</f>
        <v/>
      </c>
      <c r="N460" s="39" t="str">
        <f>IFERROR(IF(A460="","",MAX(0,M460-System_Config!$B$9)),"")</f>
        <v/>
      </c>
    </row>
    <row r="461" spans="1:14" ht="19.5" customHeight="1" x14ac:dyDescent="0.25">
      <c r="A461" s="37" t="str">
        <f>'NEW ACCOUNT'!A462</f>
        <v/>
      </c>
      <c r="B461" s="38" t="str">
        <f>IF('NEW ACCOUNT'!A462="","",'NEW ACCOUNT'!B462)</f>
        <v/>
      </c>
      <c r="C461" s="38" t="str">
        <f>IF('NEW ACCOUNT'!A462="","",'NEW ACCOUNT'!C462)</f>
        <v/>
      </c>
      <c r="D461" s="38" t="str">
        <f>IF('NEW ACCOUNT'!A462="","",'NEW ACCOUNT'!D462)</f>
        <v/>
      </c>
      <c r="E461" s="38" t="str">
        <f>IF('NEW ACCOUNT'!A462="","",'NEW ACCOUNT'!E462)</f>
        <v/>
      </c>
      <c r="F461" s="38" t="str">
        <f>IF('NEW ACCOUNT'!A462="","",'NEW ACCOUNT'!F462)</f>
        <v/>
      </c>
      <c r="G461" s="38" t="str">
        <f>IF('NEW ACCOUNT'!A462="","",'NEW ACCOUNT'!G462)</f>
        <v/>
      </c>
      <c r="H461" s="38" t="str">
        <f>IF('NEW ACCOUNT'!A462="","",'NEW ACCOUNT'!H462)</f>
        <v/>
      </c>
      <c r="I461" s="38" t="str">
        <f>IF('NEW ACCOUNT'!A462="","",'NEW ACCOUNT'!I462)</f>
        <v/>
      </c>
      <c r="J461" s="38" t="str">
        <f>IF('NEW ACCOUNT'!A462="","",'NEW ACCOUNT'!J462)</f>
        <v/>
      </c>
      <c r="K461" s="39" t="str">
        <f>IFERROR(IF(A461="","",SUMIF(DB_Savings!$A:$A,A461,DB_Savings!$F:$F)),"")</f>
        <v/>
      </c>
      <c r="L461" s="39" t="str">
        <f>IFERROR(IF(A461="","",SUMIF(DB_Withdrawals!$A:$A,A461,DB_Withdrawals!$G:$G)),"")</f>
        <v/>
      </c>
      <c r="M461" s="39" t="str">
        <f>IFERROR(IF(A461="","",IFERROR(VALUE(H461),0)+IFERROR(SUMIF(DB_Savings!$A:$A,A461,DB_Savings!$F:$F),0)-IFERROR(SUMIF(DB_Withdrawals!$A:$A,A461,DB_Withdrawals!$G:$G),0)),"")</f>
        <v/>
      </c>
      <c r="N461" s="39" t="str">
        <f>IFERROR(IF(A461="","",MAX(0,M461-System_Config!$B$9)),"")</f>
        <v/>
      </c>
    </row>
    <row r="462" spans="1:14" ht="19.5" customHeight="1" x14ac:dyDescent="0.25">
      <c r="A462" s="37" t="str">
        <f>'NEW ACCOUNT'!A463</f>
        <v/>
      </c>
      <c r="B462" s="38" t="str">
        <f>IF('NEW ACCOUNT'!A463="","",'NEW ACCOUNT'!B463)</f>
        <v/>
      </c>
      <c r="C462" s="38" t="str">
        <f>IF('NEW ACCOUNT'!A463="","",'NEW ACCOUNT'!C463)</f>
        <v/>
      </c>
      <c r="D462" s="38" t="str">
        <f>IF('NEW ACCOUNT'!A463="","",'NEW ACCOUNT'!D463)</f>
        <v/>
      </c>
      <c r="E462" s="38" t="str">
        <f>IF('NEW ACCOUNT'!A463="","",'NEW ACCOUNT'!E463)</f>
        <v/>
      </c>
      <c r="F462" s="38" t="str">
        <f>IF('NEW ACCOUNT'!A463="","",'NEW ACCOUNT'!F463)</f>
        <v/>
      </c>
      <c r="G462" s="38" t="str">
        <f>IF('NEW ACCOUNT'!A463="","",'NEW ACCOUNT'!G463)</f>
        <v/>
      </c>
      <c r="H462" s="38" t="str">
        <f>IF('NEW ACCOUNT'!A463="","",'NEW ACCOUNT'!H463)</f>
        <v/>
      </c>
      <c r="I462" s="38" t="str">
        <f>IF('NEW ACCOUNT'!A463="","",'NEW ACCOUNT'!I463)</f>
        <v/>
      </c>
      <c r="J462" s="38" t="str">
        <f>IF('NEW ACCOUNT'!A463="","",'NEW ACCOUNT'!J463)</f>
        <v/>
      </c>
      <c r="K462" s="39" t="str">
        <f>IFERROR(IF(A462="","",SUMIF(DB_Savings!$A:$A,A462,DB_Savings!$F:$F)),"")</f>
        <v/>
      </c>
      <c r="L462" s="39" t="str">
        <f>IFERROR(IF(A462="","",SUMIF(DB_Withdrawals!$A:$A,A462,DB_Withdrawals!$G:$G)),"")</f>
        <v/>
      </c>
      <c r="M462" s="39" t="str">
        <f>IFERROR(IF(A462="","",IFERROR(VALUE(H462),0)+IFERROR(SUMIF(DB_Savings!$A:$A,A462,DB_Savings!$F:$F),0)-IFERROR(SUMIF(DB_Withdrawals!$A:$A,A462,DB_Withdrawals!$G:$G),0)),"")</f>
        <v/>
      </c>
      <c r="N462" s="39" t="str">
        <f>IFERROR(IF(A462="","",MAX(0,M462-System_Config!$B$9)),"")</f>
        <v/>
      </c>
    </row>
    <row r="463" spans="1:14" ht="19.5" customHeight="1" x14ac:dyDescent="0.25">
      <c r="A463" s="37" t="str">
        <f>'NEW ACCOUNT'!A464</f>
        <v/>
      </c>
      <c r="B463" s="38" t="str">
        <f>IF('NEW ACCOUNT'!A464="","",'NEW ACCOUNT'!B464)</f>
        <v/>
      </c>
      <c r="C463" s="38" t="str">
        <f>IF('NEW ACCOUNT'!A464="","",'NEW ACCOUNT'!C464)</f>
        <v/>
      </c>
      <c r="D463" s="38" t="str">
        <f>IF('NEW ACCOUNT'!A464="","",'NEW ACCOUNT'!D464)</f>
        <v/>
      </c>
      <c r="E463" s="38" t="str">
        <f>IF('NEW ACCOUNT'!A464="","",'NEW ACCOUNT'!E464)</f>
        <v/>
      </c>
      <c r="F463" s="38" t="str">
        <f>IF('NEW ACCOUNT'!A464="","",'NEW ACCOUNT'!F464)</f>
        <v/>
      </c>
      <c r="G463" s="38" t="str">
        <f>IF('NEW ACCOUNT'!A464="","",'NEW ACCOUNT'!G464)</f>
        <v/>
      </c>
      <c r="H463" s="38" t="str">
        <f>IF('NEW ACCOUNT'!A464="","",'NEW ACCOUNT'!H464)</f>
        <v/>
      </c>
      <c r="I463" s="38" t="str">
        <f>IF('NEW ACCOUNT'!A464="","",'NEW ACCOUNT'!I464)</f>
        <v/>
      </c>
      <c r="J463" s="38" t="str">
        <f>IF('NEW ACCOUNT'!A464="","",'NEW ACCOUNT'!J464)</f>
        <v/>
      </c>
      <c r="K463" s="39" t="str">
        <f>IFERROR(IF(A463="","",SUMIF(DB_Savings!$A:$A,A463,DB_Savings!$F:$F)),"")</f>
        <v/>
      </c>
      <c r="L463" s="39" t="str">
        <f>IFERROR(IF(A463="","",SUMIF(DB_Withdrawals!$A:$A,A463,DB_Withdrawals!$G:$G)),"")</f>
        <v/>
      </c>
      <c r="M463" s="39" t="str">
        <f>IFERROR(IF(A463="","",IFERROR(VALUE(H463),0)+IFERROR(SUMIF(DB_Savings!$A:$A,A463,DB_Savings!$F:$F),0)-IFERROR(SUMIF(DB_Withdrawals!$A:$A,A463,DB_Withdrawals!$G:$G),0)),"")</f>
        <v/>
      </c>
      <c r="N463" s="39" t="str">
        <f>IFERROR(IF(A463="","",MAX(0,M463-System_Config!$B$9)),"")</f>
        <v/>
      </c>
    </row>
    <row r="464" spans="1:14" ht="19.5" customHeight="1" x14ac:dyDescent="0.25">
      <c r="A464" s="37" t="str">
        <f>'NEW ACCOUNT'!A465</f>
        <v/>
      </c>
      <c r="B464" s="38" t="str">
        <f>IF('NEW ACCOUNT'!A465="","",'NEW ACCOUNT'!B465)</f>
        <v/>
      </c>
      <c r="C464" s="38" t="str">
        <f>IF('NEW ACCOUNT'!A465="","",'NEW ACCOUNT'!C465)</f>
        <v/>
      </c>
      <c r="D464" s="38" t="str">
        <f>IF('NEW ACCOUNT'!A465="","",'NEW ACCOUNT'!D465)</f>
        <v/>
      </c>
      <c r="E464" s="38" t="str">
        <f>IF('NEW ACCOUNT'!A465="","",'NEW ACCOUNT'!E465)</f>
        <v/>
      </c>
      <c r="F464" s="38" t="str">
        <f>IF('NEW ACCOUNT'!A465="","",'NEW ACCOUNT'!F465)</f>
        <v/>
      </c>
      <c r="G464" s="38" t="str">
        <f>IF('NEW ACCOUNT'!A465="","",'NEW ACCOUNT'!G465)</f>
        <v/>
      </c>
      <c r="H464" s="38" t="str">
        <f>IF('NEW ACCOUNT'!A465="","",'NEW ACCOUNT'!H465)</f>
        <v/>
      </c>
      <c r="I464" s="38" t="str">
        <f>IF('NEW ACCOUNT'!A465="","",'NEW ACCOUNT'!I465)</f>
        <v/>
      </c>
      <c r="J464" s="38" t="str">
        <f>IF('NEW ACCOUNT'!A465="","",'NEW ACCOUNT'!J465)</f>
        <v/>
      </c>
      <c r="K464" s="39" t="str">
        <f>IFERROR(IF(A464="","",SUMIF(DB_Savings!$A:$A,A464,DB_Savings!$F:$F)),"")</f>
        <v/>
      </c>
      <c r="L464" s="39" t="str">
        <f>IFERROR(IF(A464="","",SUMIF(DB_Withdrawals!$A:$A,A464,DB_Withdrawals!$G:$G)),"")</f>
        <v/>
      </c>
      <c r="M464" s="39" t="str">
        <f>IFERROR(IF(A464="","",IFERROR(VALUE(H464),0)+IFERROR(SUMIF(DB_Savings!$A:$A,A464,DB_Savings!$F:$F),0)-IFERROR(SUMIF(DB_Withdrawals!$A:$A,A464,DB_Withdrawals!$G:$G),0)),"")</f>
        <v/>
      </c>
      <c r="N464" s="39" t="str">
        <f>IFERROR(IF(A464="","",MAX(0,M464-System_Config!$B$9)),"")</f>
        <v/>
      </c>
    </row>
    <row r="465" spans="1:14" ht="19.5" customHeight="1" x14ac:dyDescent="0.25">
      <c r="A465" s="37" t="str">
        <f>'NEW ACCOUNT'!A466</f>
        <v/>
      </c>
      <c r="B465" s="38" t="str">
        <f>IF('NEW ACCOUNT'!A466="","",'NEW ACCOUNT'!B466)</f>
        <v/>
      </c>
      <c r="C465" s="38" t="str">
        <f>IF('NEW ACCOUNT'!A466="","",'NEW ACCOUNT'!C466)</f>
        <v/>
      </c>
      <c r="D465" s="38" t="str">
        <f>IF('NEW ACCOUNT'!A466="","",'NEW ACCOUNT'!D466)</f>
        <v/>
      </c>
      <c r="E465" s="38" t="str">
        <f>IF('NEW ACCOUNT'!A466="","",'NEW ACCOUNT'!E466)</f>
        <v/>
      </c>
      <c r="F465" s="38" t="str">
        <f>IF('NEW ACCOUNT'!A466="","",'NEW ACCOUNT'!F466)</f>
        <v/>
      </c>
      <c r="G465" s="38" t="str">
        <f>IF('NEW ACCOUNT'!A466="","",'NEW ACCOUNT'!G466)</f>
        <v/>
      </c>
      <c r="H465" s="38" t="str">
        <f>IF('NEW ACCOUNT'!A466="","",'NEW ACCOUNT'!H466)</f>
        <v/>
      </c>
      <c r="I465" s="38" t="str">
        <f>IF('NEW ACCOUNT'!A466="","",'NEW ACCOUNT'!I466)</f>
        <v/>
      </c>
      <c r="J465" s="38" t="str">
        <f>IF('NEW ACCOUNT'!A466="","",'NEW ACCOUNT'!J466)</f>
        <v/>
      </c>
      <c r="K465" s="39" t="str">
        <f>IFERROR(IF(A465="","",SUMIF(DB_Savings!$A:$A,A465,DB_Savings!$F:$F)),"")</f>
        <v/>
      </c>
      <c r="L465" s="39" t="str">
        <f>IFERROR(IF(A465="","",SUMIF(DB_Withdrawals!$A:$A,A465,DB_Withdrawals!$G:$G)),"")</f>
        <v/>
      </c>
      <c r="M465" s="39" t="str">
        <f>IFERROR(IF(A465="","",IFERROR(VALUE(H465),0)+IFERROR(SUMIF(DB_Savings!$A:$A,A465,DB_Savings!$F:$F),0)-IFERROR(SUMIF(DB_Withdrawals!$A:$A,A465,DB_Withdrawals!$G:$G),0)),"")</f>
        <v/>
      </c>
      <c r="N465" s="39" t="str">
        <f>IFERROR(IF(A465="","",MAX(0,M465-System_Config!$B$9)),"")</f>
        <v/>
      </c>
    </row>
    <row r="466" spans="1:14" ht="19.5" customHeight="1" x14ac:dyDescent="0.25">
      <c r="A466" s="37" t="str">
        <f>'NEW ACCOUNT'!A467</f>
        <v/>
      </c>
      <c r="B466" s="38" t="str">
        <f>IF('NEW ACCOUNT'!A467="","",'NEW ACCOUNT'!B467)</f>
        <v/>
      </c>
      <c r="C466" s="38" t="str">
        <f>IF('NEW ACCOUNT'!A467="","",'NEW ACCOUNT'!C467)</f>
        <v/>
      </c>
      <c r="D466" s="38" t="str">
        <f>IF('NEW ACCOUNT'!A467="","",'NEW ACCOUNT'!D467)</f>
        <v/>
      </c>
      <c r="E466" s="38" t="str">
        <f>IF('NEW ACCOUNT'!A467="","",'NEW ACCOUNT'!E467)</f>
        <v/>
      </c>
      <c r="F466" s="38" t="str">
        <f>IF('NEW ACCOUNT'!A467="","",'NEW ACCOUNT'!F467)</f>
        <v/>
      </c>
      <c r="G466" s="38" t="str">
        <f>IF('NEW ACCOUNT'!A467="","",'NEW ACCOUNT'!G467)</f>
        <v/>
      </c>
      <c r="H466" s="38" t="str">
        <f>IF('NEW ACCOUNT'!A467="","",'NEW ACCOUNT'!H467)</f>
        <v/>
      </c>
      <c r="I466" s="38" t="str">
        <f>IF('NEW ACCOUNT'!A467="","",'NEW ACCOUNT'!I467)</f>
        <v/>
      </c>
      <c r="J466" s="38" t="str">
        <f>IF('NEW ACCOUNT'!A467="","",'NEW ACCOUNT'!J467)</f>
        <v/>
      </c>
      <c r="K466" s="39" t="str">
        <f>IFERROR(IF(A466="","",SUMIF(DB_Savings!$A:$A,A466,DB_Savings!$F:$F)),"")</f>
        <v/>
      </c>
      <c r="L466" s="39" t="str">
        <f>IFERROR(IF(A466="","",SUMIF(DB_Withdrawals!$A:$A,A466,DB_Withdrawals!$G:$G)),"")</f>
        <v/>
      </c>
      <c r="M466" s="39" t="str">
        <f>IFERROR(IF(A466="","",IFERROR(VALUE(H466),0)+IFERROR(SUMIF(DB_Savings!$A:$A,A466,DB_Savings!$F:$F),0)-IFERROR(SUMIF(DB_Withdrawals!$A:$A,A466,DB_Withdrawals!$G:$G),0)),"")</f>
        <v/>
      </c>
      <c r="N466" s="39" t="str">
        <f>IFERROR(IF(A466="","",MAX(0,M466-System_Config!$B$9)),"")</f>
        <v/>
      </c>
    </row>
    <row r="467" spans="1:14" ht="19.5" customHeight="1" x14ac:dyDescent="0.25">
      <c r="A467" s="37" t="str">
        <f>'NEW ACCOUNT'!A468</f>
        <v/>
      </c>
      <c r="B467" s="38" t="str">
        <f>IF('NEW ACCOUNT'!A468="","",'NEW ACCOUNT'!B468)</f>
        <v/>
      </c>
      <c r="C467" s="38" t="str">
        <f>IF('NEW ACCOUNT'!A468="","",'NEW ACCOUNT'!C468)</f>
        <v/>
      </c>
      <c r="D467" s="38" t="str">
        <f>IF('NEW ACCOUNT'!A468="","",'NEW ACCOUNT'!D468)</f>
        <v/>
      </c>
      <c r="E467" s="38" t="str">
        <f>IF('NEW ACCOUNT'!A468="","",'NEW ACCOUNT'!E468)</f>
        <v/>
      </c>
      <c r="F467" s="38" t="str">
        <f>IF('NEW ACCOUNT'!A468="","",'NEW ACCOUNT'!F468)</f>
        <v/>
      </c>
      <c r="G467" s="38" t="str">
        <f>IF('NEW ACCOUNT'!A468="","",'NEW ACCOUNT'!G468)</f>
        <v/>
      </c>
      <c r="H467" s="38" t="str">
        <f>IF('NEW ACCOUNT'!A468="","",'NEW ACCOUNT'!H468)</f>
        <v/>
      </c>
      <c r="I467" s="38" t="str">
        <f>IF('NEW ACCOUNT'!A468="","",'NEW ACCOUNT'!I468)</f>
        <v/>
      </c>
      <c r="J467" s="38" t="str">
        <f>IF('NEW ACCOUNT'!A468="","",'NEW ACCOUNT'!J468)</f>
        <v/>
      </c>
      <c r="K467" s="39" t="str">
        <f>IFERROR(IF(A467="","",SUMIF(DB_Savings!$A:$A,A467,DB_Savings!$F:$F)),"")</f>
        <v/>
      </c>
      <c r="L467" s="39" t="str">
        <f>IFERROR(IF(A467="","",SUMIF(DB_Withdrawals!$A:$A,A467,DB_Withdrawals!$G:$G)),"")</f>
        <v/>
      </c>
      <c r="M467" s="39" t="str">
        <f>IFERROR(IF(A467="","",IFERROR(VALUE(H467),0)+IFERROR(SUMIF(DB_Savings!$A:$A,A467,DB_Savings!$F:$F),0)-IFERROR(SUMIF(DB_Withdrawals!$A:$A,A467,DB_Withdrawals!$G:$G),0)),"")</f>
        <v/>
      </c>
      <c r="N467" s="39" t="str">
        <f>IFERROR(IF(A467="","",MAX(0,M467-System_Config!$B$9)),"")</f>
        <v/>
      </c>
    </row>
    <row r="468" spans="1:14" ht="19.5" customHeight="1" x14ac:dyDescent="0.25">
      <c r="A468" s="37" t="str">
        <f>'NEW ACCOUNT'!A469</f>
        <v/>
      </c>
      <c r="B468" s="38" t="str">
        <f>IF('NEW ACCOUNT'!A469="","",'NEW ACCOUNT'!B469)</f>
        <v/>
      </c>
      <c r="C468" s="38" t="str">
        <f>IF('NEW ACCOUNT'!A469="","",'NEW ACCOUNT'!C469)</f>
        <v/>
      </c>
      <c r="D468" s="38" t="str">
        <f>IF('NEW ACCOUNT'!A469="","",'NEW ACCOUNT'!D469)</f>
        <v/>
      </c>
      <c r="E468" s="38" t="str">
        <f>IF('NEW ACCOUNT'!A469="","",'NEW ACCOUNT'!E469)</f>
        <v/>
      </c>
      <c r="F468" s="38" t="str">
        <f>IF('NEW ACCOUNT'!A469="","",'NEW ACCOUNT'!F469)</f>
        <v/>
      </c>
      <c r="G468" s="38" t="str">
        <f>IF('NEW ACCOUNT'!A469="","",'NEW ACCOUNT'!G469)</f>
        <v/>
      </c>
      <c r="H468" s="38" t="str">
        <f>IF('NEW ACCOUNT'!A469="","",'NEW ACCOUNT'!H469)</f>
        <v/>
      </c>
      <c r="I468" s="38" t="str">
        <f>IF('NEW ACCOUNT'!A469="","",'NEW ACCOUNT'!I469)</f>
        <v/>
      </c>
      <c r="J468" s="38" t="str">
        <f>IF('NEW ACCOUNT'!A469="","",'NEW ACCOUNT'!J469)</f>
        <v/>
      </c>
      <c r="K468" s="39" t="str">
        <f>IFERROR(IF(A468="","",SUMIF(DB_Savings!$A:$A,A468,DB_Savings!$F:$F)),"")</f>
        <v/>
      </c>
      <c r="L468" s="39" t="str">
        <f>IFERROR(IF(A468="","",SUMIF(DB_Withdrawals!$A:$A,A468,DB_Withdrawals!$G:$G)),"")</f>
        <v/>
      </c>
      <c r="M468" s="39" t="str">
        <f>IFERROR(IF(A468="","",IFERROR(VALUE(H468),0)+IFERROR(SUMIF(DB_Savings!$A:$A,A468,DB_Savings!$F:$F),0)-IFERROR(SUMIF(DB_Withdrawals!$A:$A,A468,DB_Withdrawals!$G:$G),0)),"")</f>
        <v/>
      </c>
      <c r="N468" s="39" t="str">
        <f>IFERROR(IF(A468="","",MAX(0,M468-System_Config!$B$9)),"")</f>
        <v/>
      </c>
    </row>
    <row r="469" spans="1:14" ht="19.5" customHeight="1" x14ac:dyDescent="0.25">
      <c r="A469" s="37" t="str">
        <f>'NEW ACCOUNT'!A470</f>
        <v/>
      </c>
      <c r="B469" s="38" t="str">
        <f>IF('NEW ACCOUNT'!A470="","",'NEW ACCOUNT'!B470)</f>
        <v/>
      </c>
      <c r="C469" s="38" t="str">
        <f>IF('NEW ACCOUNT'!A470="","",'NEW ACCOUNT'!C470)</f>
        <v/>
      </c>
      <c r="D469" s="38" t="str">
        <f>IF('NEW ACCOUNT'!A470="","",'NEW ACCOUNT'!D470)</f>
        <v/>
      </c>
      <c r="E469" s="38" t="str">
        <f>IF('NEW ACCOUNT'!A470="","",'NEW ACCOUNT'!E470)</f>
        <v/>
      </c>
      <c r="F469" s="38" t="str">
        <f>IF('NEW ACCOUNT'!A470="","",'NEW ACCOUNT'!F470)</f>
        <v/>
      </c>
      <c r="G469" s="38" t="str">
        <f>IF('NEW ACCOUNT'!A470="","",'NEW ACCOUNT'!G470)</f>
        <v/>
      </c>
      <c r="H469" s="38" t="str">
        <f>IF('NEW ACCOUNT'!A470="","",'NEW ACCOUNT'!H470)</f>
        <v/>
      </c>
      <c r="I469" s="38" t="str">
        <f>IF('NEW ACCOUNT'!A470="","",'NEW ACCOUNT'!I470)</f>
        <v/>
      </c>
      <c r="J469" s="38" t="str">
        <f>IF('NEW ACCOUNT'!A470="","",'NEW ACCOUNT'!J470)</f>
        <v/>
      </c>
      <c r="K469" s="39" t="str">
        <f>IFERROR(IF(A469="","",SUMIF(DB_Savings!$A:$A,A469,DB_Savings!$F:$F)),"")</f>
        <v/>
      </c>
      <c r="L469" s="39" t="str">
        <f>IFERROR(IF(A469="","",SUMIF(DB_Withdrawals!$A:$A,A469,DB_Withdrawals!$G:$G)),"")</f>
        <v/>
      </c>
      <c r="M469" s="39" t="str">
        <f>IFERROR(IF(A469="","",IFERROR(VALUE(H469),0)+IFERROR(SUMIF(DB_Savings!$A:$A,A469,DB_Savings!$F:$F),0)-IFERROR(SUMIF(DB_Withdrawals!$A:$A,A469,DB_Withdrawals!$G:$G),0)),"")</f>
        <v/>
      </c>
      <c r="N469" s="39" t="str">
        <f>IFERROR(IF(A469="","",MAX(0,M469-System_Config!$B$9)),"")</f>
        <v/>
      </c>
    </row>
    <row r="470" spans="1:14" ht="19.5" customHeight="1" x14ac:dyDescent="0.25">
      <c r="A470" s="37" t="str">
        <f>'NEW ACCOUNT'!A471</f>
        <v/>
      </c>
      <c r="B470" s="38" t="str">
        <f>IF('NEW ACCOUNT'!A471="","",'NEW ACCOUNT'!B471)</f>
        <v/>
      </c>
      <c r="C470" s="38" t="str">
        <f>IF('NEW ACCOUNT'!A471="","",'NEW ACCOUNT'!C471)</f>
        <v/>
      </c>
      <c r="D470" s="38" t="str">
        <f>IF('NEW ACCOUNT'!A471="","",'NEW ACCOUNT'!D471)</f>
        <v/>
      </c>
      <c r="E470" s="38" t="str">
        <f>IF('NEW ACCOUNT'!A471="","",'NEW ACCOUNT'!E471)</f>
        <v/>
      </c>
      <c r="F470" s="38" t="str">
        <f>IF('NEW ACCOUNT'!A471="","",'NEW ACCOUNT'!F471)</f>
        <v/>
      </c>
      <c r="G470" s="38" t="str">
        <f>IF('NEW ACCOUNT'!A471="","",'NEW ACCOUNT'!G471)</f>
        <v/>
      </c>
      <c r="H470" s="38" t="str">
        <f>IF('NEW ACCOUNT'!A471="","",'NEW ACCOUNT'!H471)</f>
        <v/>
      </c>
      <c r="I470" s="38" t="str">
        <f>IF('NEW ACCOUNT'!A471="","",'NEW ACCOUNT'!I471)</f>
        <v/>
      </c>
      <c r="J470" s="38" t="str">
        <f>IF('NEW ACCOUNT'!A471="","",'NEW ACCOUNT'!J471)</f>
        <v/>
      </c>
      <c r="K470" s="39" t="str">
        <f>IFERROR(IF(A470="","",SUMIF(DB_Savings!$A:$A,A470,DB_Savings!$F:$F)),"")</f>
        <v/>
      </c>
      <c r="L470" s="39" t="str">
        <f>IFERROR(IF(A470="","",SUMIF(DB_Withdrawals!$A:$A,A470,DB_Withdrawals!$G:$G)),"")</f>
        <v/>
      </c>
      <c r="M470" s="39" t="str">
        <f>IFERROR(IF(A470="","",IFERROR(VALUE(H470),0)+IFERROR(SUMIF(DB_Savings!$A:$A,A470,DB_Savings!$F:$F),0)-IFERROR(SUMIF(DB_Withdrawals!$A:$A,A470,DB_Withdrawals!$G:$G),0)),"")</f>
        <v/>
      </c>
      <c r="N470" s="39" t="str">
        <f>IFERROR(IF(A470="","",MAX(0,M470-System_Config!$B$9)),"")</f>
        <v/>
      </c>
    </row>
    <row r="471" spans="1:14" ht="19.5" customHeight="1" x14ac:dyDescent="0.25">
      <c r="A471" s="37" t="str">
        <f>'NEW ACCOUNT'!A472</f>
        <v/>
      </c>
      <c r="B471" s="38" t="str">
        <f>IF('NEW ACCOUNT'!A472="","",'NEW ACCOUNT'!B472)</f>
        <v/>
      </c>
      <c r="C471" s="38" t="str">
        <f>IF('NEW ACCOUNT'!A472="","",'NEW ACCOUNT'!C472)</f>
        <v/>
      </c>
      <c r="D471" s="38" t="str">
        <f>IF('NEW ACCOUNT'!A472="","",'NEW ACCOUNT'!D472)</f>
        <v/>
      </c>
      <c r="E471" s="38" t="str">
        <f>IF('NEW ACCOUNT'!A472="","",'NEW ACCOUNT'!E472)</f>
        <v/>
      </c>
      <c r="F471" s="38" t="str">
        <f>IF('NEW ACCOUNT'!A472="","",'NEW ACCOUNT'!F472)</f>
        <v/>
      </c>
      <c r="G471" s="38" t="str">
        <f>IF('NEW ACCOUNT'!A472="","",'NEW ACCOUNT'!G472)</f>
        <v/>
      </c>
      <c r="H471" s="38" t="str">
        <f>IF('NEW ACCOUNT'!A472="","",'NEW ACCOUNT'!H472)</f>
        <v/>
      </c>
      <c r="I471" s="38" t="str">
        <f>IF('NEW ACCOUNT'!A472="","",'NEW ACCOUNT'!I472)</f>
        <v/>
      </c>
      <c r="J471" s="38" t="str">
        <f>IF('NEW ACCOUNT'!A472="","",'NEW ACCOUNT'!J472)</f>
        <v/>
      </c>
      <c r="K471" s="39" t="str">
        <f>IFERROR(IF(A471="","",SUMIF(DB_Savings!$A:$A,A471,DB_Savings!$F:$F)),"")</f>
        <v/>
      </c>
      <c r="L471" s="39" t="str">
        <f>IFERROR(IF(A471="","",SUMIF(DB_Withdrawals!$A:$A,A471,DB_Withdrawals!$G:$G)),"")</f>
        <v/>
      </c>
      <c r="M471" s="39" t="str">
        <f>IFERROR(IF(A471="","",IFERROR(VALUE(H471),0)+IFERROR(SUMIF(DB_Savings!$A:$A,A471,DB_Savings!$F:$F),0)-IFERROR(SUMIF(DB_Withdrawals!$A:$A,A471,DB_Withdrawals!$G:$G),0)),"")</f>
        <v/>
      </c>
      <c r="N471" s="39" t="str">
        <f>IFERROR(IF(A471="","",MAX(0,M471-System_Config!$B$9)),"")</f>
        <v/>
      </c>
    </row>
    <row r="472" spans="1:14" ht="19.5" customHeight="1" x14ac:dyDescent="0.25">
      <c r="A472" s="37" t="str">
        <f>'NEW ACCOUNT'!A473</f>
        <v/>
      </c>
      <c r="B472" s="38" t="str">
        <f>IF('NEW ACCOUNT'!A473="","",'NEW ACCOUNT'!B473)</f>
        <v/>
      </c>
      <c r="C472" s="38" t="str">
        <f>IF('NEW ACCOUNT'!A473="","",'NEW ACCOUNT'!C473)</f>
        <v/>
      </c>
      <c r="D472" s="38" t="str">
        <f>IF('NEW ACCOUNT'!A473="","",'NEW ACCOUNT'!D473)</f>
        <v/>
      </c>
      <c r="E472" s="38" t="str">
        <f>IF('NEW ACCOUNT'!A473="","",'NEW ACCOUNT'!E473)</f>
        <v/>
      </c>
      <c r="F472" s="38" t="str">
        <f>IF('NEW ACCOUNT'!A473="","",'NEW ACCOUNT'!F473)</f>
        <v/>
      </c>
      <c r="G472" s="38" t="str">
        <f>IF('NEW ACCOUNT'!A473="","",'NEW ACCOUNT'!G473)</f>
        <v/>
      </c>
      <c r="H472" s="38" t="str">
        <f>IF('NEW ACCOUNT'!A473="","",'NEW ACCOUNT'!H473)</f>
        <v/>
      </c>
      <c r="I472" s="38" t="str">
        <f>IF('NEW ACCOUNT'!A473="","",'NEW ACCOUNT'!I473)</f>
        <v/>
      </c>
      <c r="J472" s="38" t="str">
        <f>IF('NEW ACCOUNT'!A473="","",'NEW ACCOUNT'!J473)</f>
        <v/>
      </c>
      <c r="K472" s="39" t="str">
        <f>IFERROR(IF(A472="","",SUMIF(DB_Savings!$A:$A,A472,DB_Savings!$F:$F)),"")</f>
        <v/>
      </c>
      <c r="L472" s="39" t="str">
        <f>IFERROR(IF(A472="","",SUMIF(DB_Withdrawals!$A:$A,A472,DB_Withdrawals!$G:$G)),"")</f>
        <v/>
      </c>
      <c r="M472" s="39" t="str">
        <f>IFERROR(IF(A472="","",IFERROR(VALUE(H472),0)+IFERROR(SUMIF(DB_Savings!$A:$A,A472,DB_Savings!$F:$F),0)-IFERROR(SUMIF(DB_Withdrawals!$A:$A,A472,DB_Withdrawals!$G:$G),0)),"")</f>
        <v/>
      </c>
      <c r="N472" s="39" t="str">
        <f>IFERROR(IF(A472="","",MAX(0,M472-System_Config!$B$9)),"")</f>
        <v/>
      </c>
    </row>
    <row r="473" spans="1:14" ht="19.5" customHeight="1" x14ac:dyDescent="0.25">
      <c r="A473" s="37" t="str">
        <f>'NEW ACCOUNT'!A474</f>
        <v/>
      </c>
      <c r="B473" s="38" t="str">
        <f>IF('NEW ACCOUNT'!A474="","",'NEW ACCOUNT'!B474)</f>
        <v/>
      </c>
      <c r="C473" s="38" t="str">
        <f>IF('NEW ACCOUNT'!A474="","",'NEW ACCOUNT'!C474)</f>
        <v/>
      </c>
      <c r="D473" s="38" t="str">
        <f>IF('NEW ACCOUNT'!A474="","",'NEW ACCOUNT'!D474)</f>
        <v/>
      </c>
      <c r="E473" s="38" t="str">
        <f>IF('NEW ACCOUNT'!A474="","",'NEW ACCOUNT'!E474)</f>
        <v/>
      </c>
      <c r="F473" s="38" t="str">
        <f>IF('NEW ACCOUNT'!A474="","",'NEW ACCOUNT'!F474)</f>
        <v/>
      </c>
      <c r="G473" s="38" t="str">
        <f>IF('NEW ACCOUNT'!A474="","",'NEW ACCOUNT'!G474)</f>
        <v/>
      </c>
      <c r="H473" s="38" t="str">
        <f>IF('NEW ACCOUNT'!A474="","",'NEW ACCOUNT'!H474)</f>
        <v/>
      </c>
      <c r="I473" s="38" t="str">
        <f>IF('NEW ACCOUNT'!A474="","",'NEW ACCOUNT'!I474)</f>
        <v/>
      </c>
      <c r="J473" s="38" t="str">
        <f>IF('NEW ACCOUNT'!A474="","",'NEW ACCOUNT'!J474)</f>
        <v/>
      </c>
      <c r="K473" s="39" t="str">
        <f>IFERROR(IF(A473="","",SUMIF(DB_Savings!$A:$A,A473,DB_Savings!$F:$F)),"")</f>
        <v/>
      </c>
      <c r="L473" s="39" t="str">
        <f>IFERROR(IF(A473="","",SUMIF(DB_Withdrawals!$A:$A,A473,DB_Withdrawals!$G:$G)),"")</f>
        <v/>
      </c>
      <c r="M473" s="39" t="str">
        <f>IFERROR(IF(A473="","",IFERROR(VALUE(H473),0)+IFERROR(SUMIF(DB_Savings!$A:$A,A473,DB_Savings!$F:$F),0)-IFERROR(SUMIF(DB_Withdrawals!$A:$A,A473,DB_Withdrawals!$G:$G),0)),"")</f>
        <v/>
      </c>
      <c r="N473" s="39" t="str">
        <f>IFERROR(IF(A473="","",MAX(0,M473-System_Config!$B$9)),"")</f>
        <v/>
      </c>
    </row>
    <row r="474" spans="1:14" ht="19.5" customHeight="1" x14ac:dyDescent="0.25">
      <c r="A474" s="37" t="str">
        <f>'NEW ACCOUNT'!A475</f>
        <v/>
      </c>
      <c r="B474" s="38" t="str">
        <f>IF('NEW ACCOUNT'!A475="","",'NEW ACCOUNT'!B475)</f>
        <v/>
      </c>
      <c r="C474" s="38" t="str">
        <f>IF('NEW ACCOUNT'!A475="","",'NEW ACCOUNT'!C475)</f>
        <v/>
      </c>
      <c r="D474" s="38" t="str">
        <f>IF('NEW ACCOUNT'!A475="","",'NEW ACCOUNT'!D475)</f>
        <v/>
      </c>
      <c r="E474" s="38" t="str">
        <f>IF('NEW ACCOUNT'!A475="","",'NEW ACCOUNT'!E475)</f>
        <v/>
      </c>
      <c r="F474" s="38" t="str">
        <f>IF('NEW ACCOUNT'!A475="","",'NEW ACCOUNT'!F475)</f>
        <v/>
      </c>
      <c r="G474" s="38" t="str">
        <f>IF('NEW ACCOUNT'!A475="","",'NEW ACCOUNT'!G475)</f>
        <v/>
      </c>
      <c r="H474" s="38" t="str">
        <f>IF('NEW ACCOUNT'!A475="","",'NEW ACCOUNT'!H475)</f>
        <v/>
      </c>
      <c r="I474" s="38" t="str">
        <f>IF('NEW ACCOUNT'!A475="","",'NEW ACCOUNT'!I475)</f>
        <v/>
      </c>
      <c r="J474" s="38" t="str">
        <f>IF('NEW ACCOUNT'!A475="","",'NEW ACCOUNT'!J475)</f>
        <v/>
      </c>
      <c r="K474" s="39" t="str">
        <f>IFERROR(IF(A474="","",SUMIF(DB_Savings!$A:$A,A474,DB_Savings!$F:$F)),"")</f>
        <v/>
      </c>
      <c r="L474" s="39" t="str">
        <f>IFERROR(IF(A474="","",SUMIF(DB_Withdrawals!$A:$A,A474,DB_Withdrawals!$G:$G)),"")</f>
        <v/>
      </c>
      <c r="M474" s="39" t="str">
        <f>IFERROR(IF(A474="","",IFERROR(VALUE(H474),0)+IFERROR(SUMIF(DB_Savings!$A:$A,A474,DB_Savings!$F:$F),0)-IFERROR(SUMIF(DB_Withdrawals!$A:$A,A474,DB_Withdrawals!$G:$G),0)),"")</f>
        <v/>
      </c>
      <c r="N474" s="39" t="str">
        <f>IFERROR(IF(A474="","",MAX(0,M474-System_Config!$B$9)),"")</f>
        <v/>
      </c>
    </row>
    <row r="475" spans="1:14" ht="19.5" customHeight="1" x14ac:dyDescent="0.25">
      <c r="A475" s="37" t="str">
        <f>'NEW ACCOUNT'!A476</f>
        <v/>
      </c>
      <c r="B475" s="38" t="str">
        <f>IF('NEW ACCOUNT'!A476="","",'NEW ACCOUNT'!B476)</f>
        <v/>
      </c>
      <c r="C475" s="38" t="str">
        <f>IF('NEW ACCOUNT'!A476="","",'NEW ACCOUNT'!C476)</f>
        <v/>
      </c>
      <c r="D475" s="38" t="str">
        <f>IF('NEW ACCOUNT'!A476="","",'NEW ACCOUNT'!D476)</f>
        <v/>
      </c>
      <c r="E475" s="38" t="str">
        <f>IF('NEW ACCOUNT'!A476="","",'NEW ACCOUNT'!E476)</f>
        <v/>
      </c>
      <c r="F475" s="38" t="str">
        <f>IF('NEW ACCOUNT'!A476="","",'NEW ACCOUNT'!F476)</f>
        <v/>
      </c>
      <c r="G475" s="38" t="str">
        <f>IF('NEW ACCOUNT'!A476="","",'NEW ACCOUNT'!G476)</f>
        <v/>
      </c>
      <c r="H475" s="38" t="str">
        <f>IF('NEW ACCOUNT'!A476="","",'NEW ACCOUNT'!H476)</f>
        <v/>
      </c>
      <c r="I475" s="38" t="str">
        <f>IF('NEW ACCOUNT'!A476="","",'NEW ACCOUNT'!I476)</f>
        <v/>
      </c>
      <c r="J475" s="38" t="str">
        <f>IF('NEW ACCOUNT'!A476="","",'NEW ACCOUNT'!J476)</f>
        <v/>
      </c>
      <c r="K475" s="39" t="str">
        <f>IFERROR(IF(A475="","",SUMIF(DB_Savings!$A:$A,A475,DB_Savings!$F:$F)),"")</f>
        <v/>
      </c>
      <c r="L475" s="39" t="str">
        <f>IFERROR(IF(A475="","",SUMIF(DB_Withdrawals!$A:$A,A475,DB_Withdrawals!$G:$G)),"")</f>
        <v/>
      </c>
      <c r="M475" s="39" t="str">
        <f>IFERROR(IF(A475="","",IFERROR(VALUE(H475),0)+IFERROR(SUMIF(DB_Savings!$A:$A,A475,DB_Savings!$F:$F),0)-IFERROR(SUMIF(DB_Withdrawals!$A:$A,A475,DB_Withdrawals!$G:$G),0)),"")</f>
        <v/>
      </c>
      <c r="N475" s="39" t="str">
        <f>IFERROR(IF(A475="","",MAX(0,M475-System_Config!$B$9)),"")</f>
        <v/>
      </c>
    </row>
    <row r="476" spans="1:14" ht="19.5" customHeight="1" x14ac:dyDescent="0.25">
      <c r="A476" s="37" t="str">
        <f>'NEW ACCOUNT'!A477</f>
        <v/>
      </c>
      <c r="B476" s="38" t="str">
        <f>IF('NEW ACCOUNT'!A477="","",'NEW ACCOUNT'!B477)</f>
        <v/>
      </c>
      <c r="C476" s="38" t="str">
        <f>IF('NEW ACCOUNT'!A477="","",'NEW ACCOUNT'!C477)</f>
        <v/>
      </c>
      <c r="D476" s="38" t="str">
        <f>IF('NEW ACCOUNT'!A477="","",'NEW ACCOUNT'!D477)</f>
        <v/>
      </c>
      <c r="E476" s="38" t="str">
        <f>IF('NEW ACCOUNT'!A477="","",'NEW ACCOUNT'!E477)</f>
        <v/>
      </c>
      <c r="F476" s="38" t="str">
        <f>IF('NEW ACCOUNT'!A477="","",'NEW ACCOUNT'!F477)</f>
        <v/>
      </c>
      <c r="G476" s="38" t="str">
        <f>IF('NEW ACCOUNT'!A477="","",'NEW ACCOUNT'!G477)</f>
        <v/>
      </c>
      <c r="H476" s="38" t="str">
        <f>IF('NEW ACCOUNT'!A477="","",'NEW ACCOUNT'!H477)</f>
        <v/>
      </c>
      <c r="I476" s="38" t="str">
        <f>IF('NEW ACCOUNT'!A477="","",'NEW ACCOUNT'!I477)</f>
        <v/>
      </c>
      <c r="J476" s="38" t="str">
        <f>IF('NEW ACCOUNT'!A477="","",'NEW ACCOUNT'!J477)</f>
        <v/>
      </c>
      <c r="K476" s="39" t="str">
        <f>IFERROR(IF(A476="","",SUMIF(DB_Savings!$A:$A,A476,DB_Savings!$F:$F)),"")</f>
        <v/>
      </c>
      <c r="L476" s="39" t="str">
        <f>IFERROR(IF(A476="","",SUMIF(DB_Withdrawals!$A:$A,A476,DB_Withdrawals!$G:$G)),"")</f>
        <v/>
      </c>
      <c r="M476" s="39" t="str">
        <f>IFERROR(IF(A476="","",IFERROR(VALUE(H476),0)+IFERROR(SUMIF(DB_Savings!$A:$A,A476,DB_Savings!$F:$F),0)-IFERROR(SUMIF(DB_Withdrawals!$A:$A,A476,DB_Withdrawals!$G:$G),0)),"")</f>
        <v/>
      </c>
      <c r="N476" s="39" t="str">
        <f>IFERROR(IF(A476="","",MAX(0,M476-System_Config!$B$9)),"")</f>
        <v/>
      </c>
    </row>
    <row r="477" spans="1:14" ht="19.5" customHeight="1" x14ac:dyDescent="0.25">
      <c r="A477" s="37" t="str">
        <f>'NEW ACCOUNT'!A478</f>
        <v/>
      </c>
      <c r="B477" s="38" t="str">
        <f>IF('NEW ACCOUNT'!A478="","",'NEW ACCOUNT'!B478)</f>
        <v/>
      </c>
      <c r="C477" s="38" t="str">
        <f>IF('NEW ACCOUNT'!A478="","",'NEW ACCOUNT'!C478)</f>
        <v/>
      </c>
      <c r="D477" s="38" t="str">
        <f>IF('NEW ACCOUNT'!A478="","",'NEW ACCOUNT'!D478)</f>
        <v/>
      </c>
      <c r="E477" s="38" t="str">
        <f>IF('NEW ACCOUNT'!A478="","",'NEW ACCOUNT'!E478)</f>
        <v/>
      </c>
      <c r="F477" s="38" t="str">
        <f>IF('NEW ACCOUNT'!A478="","",'NEW ACCOUNT'!F478)</f>
        <v/>
      </c>
      <c r="G477" s="38" t="str">
        <f>IF('NEW ACCOUNT'!A478="","",'NEW ACCOUNT'!G478)</f>
        <v/>
      </c>
      <c r="H477" s="38" t="str">
        <f>IF('NEW ACCOUNT'!A478="","",'NEW ACCOUNT'!H478)</f>
        <v/>
      </c>
      <c r="I477" s="38" t="str">
        <f>IF('NEW ACCOUNT'!A478="","",'NEW ACCOUNT'!I478)</f>
        <v/>
      </c>
      <c r="J477" s="38" t="str">
        <f>IF('NEW ACCOUNT'!A478="","",'NEW ACCOUNT'!J478)</f>
        <v/>
      </c>
      <c r="K477" s="39" t="str">
        <f>IFERROR(IF(A477="","",SUMIF(DB_Savings!$A:$A,A477,DB_Savings!$F:$F)),"")</f>
        <v/>
      </c>
      <c r="L477" s="39" t="str">
        <f>IFERROR(IF(A477="","",SUMIF(DB_Withdrawals!$A:$A,A477,DB_Withdrawals!$G:$G)),"")</f>
        <v/>
      </c>
      <c r="M477" s="39" t="str">
        <f>IFERROR(IF(A477="","",IFERROR(VALUE(H477),0)+IFERROR(SUMIF(DB_Savings!$A:$A,A477,DB_Savings!$F:$F),0)-IFERROR(SUMIF(DB_Withdrawals!$A:$A,A477,DB_Withdrawals!$G:$G),0)),"")</f>
        <v/>
      </c>
      <c r="N477" s="39" t="str">
        <f>IFERROR(IF(A477="","",MAX(0,M477-System_Config!$B$9)),"")</f>
        <v/>
      </c>
    </row>
    <row r="478" spans="1:14" ht="19.5" customHeight="1" x14ac:dyDescent="0.25">
      <c r="A478" s="37" t="str">
        <f>'NEW ACCOUNT'!A479</f>
        <v/>
      </c>
      <c r="B478" s="38" t="str">
        <f>IF('NEW ACCOUNT'!A479="","",'NEW ACCOUNT'!B479)</f>
        <v/>
      </c>
      <c r="C478" s="38" t="str">
        <f>IF('NEW ACCOUNT'!A479="","",'NEW ACCOUNT'!C479)</f>
        <v/>
      </c>
      <c r="D478" s="38" t="str">
        <f>IF('NEW ACCOUNT'!A479="","",'NEW ACCOUNT'!D479)</f>
        <v/>
      </c>
      <c r="E478" s="38" t="str">
        <f>IF('NEW ACCOUNT'!A479="","",'NEW ACCOUNT'!E479)</f>
        <v/>
      </c>
      <c r="F478" s="38" t="str">
        <f>IF('NEW ACCOUNT'!A479="","",'NEW ACCOUNT'!F479)</f>
        <v/>
      </c>
      <c r="G478" s="38" t="str">
        <f>IF('NEW ACCOUNT'!A479="","",'NEW ACCOUNT'!G479)</f>
        <v/>
      </c>
      <c r="H478" s="38" t="str">
        <f>IF('NEW ACCOUNT'!A479="","",'NEW ACCOUNT'!H479)</f>
        <v/>
      </c>
      <c r="I478" s="38" t="str">
        <f>IF('NEW ACCOUNT'!A479="","",'NEW ACCOUNT'!I479)</f>
        <v/>
      </c>
      <c r="J478" s="38" t="str">
        <f>IF('NEW ACCOUNT'!A479="","",'NEW ACCOUNT'!J479)</f>
        <v/>
      </c>
      <c r="K478" s="39" t="str">
        <f>IFERROR(IF(A478="","",SUMIF(DB_Savings!$A:$A,A478,DB_Savings!$F:$F)),"")</f>
        <v/>
      </c>
      <c r="L478" s="39" t="str">
        <f>IFERROR(IF(A478="","",SUMIF(DB_Withdrawals!$A:$A,A478,DB_Withdrawals!$G:$G)),"")</f>
        <v/>
      </c>
      <c r="M478" s="39" t="str">
        <f>IFERROR(IF(A478="","",IFERROR(VALUE(H478),0)+IFERROR(SUMIF(DB_Savings!$A:$A,A478,DB_Savings!$F:$F),0)-IFERROR(SUMIF(DB_Withdrawals!$A:$A,A478,DB_Withdrawals!$G:$G),0)),"")</f>
        <v/>
      </c>
      <c r="N478" s="39" t="str">
        <f>IFERROR(IF(A478="","",MAX(0,M478-System_Config!$B$9)),"")</f>
        <v/>
      </c>
    </row>
    <row r="479" spans="1:14" ht="19.5" customHeight="1" x14ac:dyDescent="0.25">
      <c r="A479" s="37" t="str">
        <f>'NEW ACCOUNT'!A480</f>
        <v/>
      </c>
      <c r="B479" s="38" t="str">
        <f>IF('NEW ACCOUNT'!A480="","",'NEW ACCOUNT'!B480)</f>
        <v/>
      </c>
      <c r="C479" s="38" t="str">
        <f>IF('NEW ACCOUNT'!A480="","",'NEW ACCOUNT'!C480)</f>
        <v/>
      </c>
      <c r="D479" s="38" t="str">
        <f>IF('NEW ACCOUNT'!A480="","",'NEW ACCOUNT'!D480)</f>
        <v/>
      </c>
      <c r="E479" s="38" t="str">
        <f>IF('NEW ACCOUNT'!A480="","",'NEW ACCOUNT'!E480)</f>
        <v/>
      </c>
      <c r="F479" s="38" t="str">
        <f>IF('NEW ACCOUNT'!A480="","",'NEW ACCOUNT'!F480)</f>
        <v/>
      </c>
      <c r="G479" s="38" t="str">
        <f>IF('NEW ACCOUNT'!A480="","",'NEW ACCOUNT'!G480)</f>
        <v/>
      </c>
      <c r="H479" s="38" t="str">
        <f>IF('NEW ACCOUNT'!A480="","",'NEW ACCOUNT'!H480)</f>
        <v/>
      </c>
      <c r="I479" s="38" t="str">
        <f>IF('NEW ACCOUNT'!A480="","",'NEW ACCOUNT'!I480)</f>
        <v/>
      </c>
      <c r="J479" s="38" t="str">
        <f>IF('NEW ACCOUNT'!A480="","",'NEW ACCOUNT'!J480)</f>
        <v/>
      </c>
      <c r="K479" s="39" t="str">
        <f>IFERROR(IF(A479="","",SUMIF(DB_Savings!$A:$A,A479,DB_Savings!$F:$F)),"")</f>
        <v/>
      </c>
      <c r="L479" s="39" t="str">
        <f>IFERROR(IF(A479="","",SUMIF(DB_Withdrawals!$A:$A,A479,DB_Withdrawals!$G:$G)),"")</f>
        <v/>
      </c>
      <c r="M479" s="39" t="str">
        <f>IFERROR(IF(A479="","",IFERROR(VALUE(H479),0)+IFERROR(SUMIF(DB_Savings!$A:$A,A479,DB_Savings!$F:$F),0)-IFERROR(SUMIF(DB_Withdrawals!$A:$A,A479,DB_Withdrawals!$G:$G),0)),"")</f>
        <v/>
      </c>
      <c r="N479" s="39" t="str">
        <f>IFERROR(IF(A479="","",MAX(0,M479-System_Config!$B$9)),"")</f>
        <v/>
      </c>
    </row>
    <row r="480" spans="1:14" ht="19.5" customHeight="1" x14ac:dyDescent="0.25">
      <c r="A480" s="37" t="str">
        <f>'NEW ACCOUNT'!A481</f>
        <v/>
      </c>
      <c r="B480" s="38" t="str">
        <f>IF('NEW ACCOUNT'!A481="","",'NEW ACCOUNT'!B481)</f>
        <v/>
      </c>
      <c r="C480" s="38" t="str">
        <f>IF('NEW ACCOUNT'!A481="","",'NEW ACCOUNT'!C481)</f>
        <v/>
      </c>
      <c r="D480" s="38" t="str">
        <f>IF('NEW ACCOUNT'!A481="","",'NEW ACCOUNT'!D481)</f>
        <v/>
      </c>
      <c r="E480" s="38" t="str">
        <f>IF('NEW ACCOUNT'!A481="","",'NEW ACCOUNT'!E481)</f>
        <v/>
      </c>
      <c r="F480" s="38" t="str">
        <f>IF('NEW ACCOUNT'!A481="","",'NEW ACCOUNT'!F481)</f>
        <v/>
      </c>
      <c r="G480" s="38" t="str">
        <f>IF('NEW ACCOUNT'!A481="","",'NEW ACCOUNT'!G481)</f>
        <v/>
      </c>
      <c r="H480" s="38" t="str">
        <f>IF('NEW ACCOUNT'!A481="","",'NEW ACCOUNT'!H481)</f>
        <v/>
      </c>
      <c r="I480" s="38" t="str">
        <f>IF('NEW ACCOUNT'!A481="","",'NEW ACCOUNT'!I481)</f>
        <v/>
      </c>
      <c r="J480" s="38" t="str">
        <f>IF('NEW ACCOUNT'!A481="","",'NEW ACCOUNT'!J481)</f>
        <v/>
      </c>
      <c r="K480" s="39" t="str">
        <f>IFERROR(IF(A480="","",SUMIF(DB_Savings!$A:$A,A480,DB_Savings!$F:$F)),"")</f>
        <v/>
      </c>
      <c r="L480" s="39" t="str">
        <f>IFERROR(IF(A480="","",SUMIF(DB_Withdrawals!$A:$A,A480,DB_Withdrawals!$G:$G)),"")</f>
        <v/>
      </c>
      <c r="M480" s="39" t="str">
        <f>IFERROR(IF(A480="","",IFERROR(VALUE(H480),0)+IFERROR(SUMIF(DB_Savings!$A:$A,A480,DB_Savings!$F:$F),0)-IFERROR(SUMIF(DB_Withdrawals!$A:$A,A480,DB_Withdrawals!$G:$G),0)),"")</f>
        <v/>
      </c>
      <c r="N480" s="39" t="str">
        <f>IFERROR(IF(A480="","",MAX(0,M480-System_Config!$B$9)),"")</f>
        <v/>
      </c>
    </row>
    <row r="481" spans="1:14" ht="19.5" customHeight="1" x14ac:dyDescent="0.25">
      <c r="A481" s="37" t="str">
        <f>'NEW ACCOUNT'!A482</f>
        <v/>
      </c>
      <c r="B481" s="38" t="str">
        <f>IF('NEW ACCOUNT'!A482="","",'NEW ACCOUNT'!B482)</f>
        <v/>
      </c>
      <c r="C481" s="38" t="str">
        <f>IF('NEW ACCOUNT'!A482="","",'NEW ACCOUNT'!C482)</f>
        <v/>
      </c>
      <c r="D481" s="38" t="str">
        <f>IF('NEW ACCOUNT'!A482="","",'NEW ACCOUNT'!D482)</f>
        <v/>
      </c>
      <c r="E481" s="38" t="str">
        <f>IF('NEW ACCOUNT'!A482="","",'NEW ACCOUNT'!E482)</f>
        <v/>
      </c>
      <c r="F481" s="38" t="str">
        <f>IF('NEW ACCOUNT'!A482="","",'NEW ACCOUNT'!F482)</f>
        <v/>
      </c>
      <c r="G481" s="38" t="str">
        <f>IF('NEW ACCOUNT'!A482="","",'NEW ACCOUNT'!G482)</f>
        <v/>
      </c>
      <c r="H481" s="38" t="str">
        <f>IF('NEW ACCOUNT'!A482="","",'NEW ACCOUNT'!H482)</f>
        <v/>
      </c>
      <c r="I481" s="38" t="str">
        <f>IF('NEW ACCOUNT'!A482="","",'NEW ACCOUNT'!I482)</f>
        <v/>
      </c>
      <c r="J481" s="38" t="str">
        <f>IF('NEW ACCOUNT'!A482="","",'NEW ACCOUNT'!J482)</f>
        <v/>
      </c>
      <c r="K481" s="39" t="str">
        <f>IFERROR(IF(A481="","",SUMIF(DB_Savings!$A:$A,A481,DB_Savings!$F:$F)),"")</f>
        <v/>
      </c>
      <c r="L481" s="39" t="str">
        <f>IFERROR(IF(A481="","",SUMIF(DB_Withdrawals!$A:$A,A481,DB_Withdrawals!$G:$G)),"")</f>
        <v/>
      </c>
      <c r="M481" s="39" t="str">
        <f>IFERROR(IF(A481="","",IFERROR(VALUE(H481),0)+IFERROR(SUMIF(DB_Savings!$A:$A,A481,DB_Savings!$F:$F),0)-IFERROR(SUMIF(DB_Withdrawals!$A:$A,A481,DB_Withdrawals!$G:$G),0)),"")</f>
        <v/>
      </c>
      <c r="N481" s="39" t="str">
        <f>IFERROR(IF(A481="","",MAX(0,M481-System_Config!$B$9)),"")</f>
        <v/>
      </c>
    </row>
    <row r="482" spans="1:14" ht="19.5" customHeight="1" x14ac:dyDescent="0.25">
      <c r="A482" s="37" t="str">
        <f>'NEW ACCOUNT'!A483</f>
        <v/>
      </c>
      <c r="B482" s="38" t="str">
        <f>IF('NEW ACCOUNT'!A483="","",'NEW ACCOUNT'!B483)</f>
        <v/>
      </c>
      <c r="C482" s="38" t="str">
        <f>IF('NEW ACCOUNT'!A483="","",'NEW ACCOUNT'!C483)</f>
        <v/>
      </c>
      <c r="D482" s="38" t="str">
        <f>IF('NEW ACCOUNT'!A483="","",'NEW ACCOUNT'!D483)</f>
        <v/>
      </c>
      <c r="E482" s="38" t="str">
        <f>IF('NEW ACCOUNT'!A483="","",'NEW ACCOUNT'!E483)</f>
        <v/>
      </c>
      <c r="F482" s="38" t="str">
        <f>IF('NEW ACCOUNT'!A483="","",'NEW ACCOUNT'!F483)</f>
        <v/>
      </c>
      <c r="G482" s="38" t="str">
        <f>IF('NEW ACCOUNT'!A483="","",'NEW ACCOUNT'!G483)</f>
        <v/>
      </c>
      <c r="H482" s="38" t="str">
        <f>IF('NEW ACCOUNT'!A483="","",'NEW ACCOUNT'!H483)</f>
        <v/>
      </c>
      <c r="I482" s="38" t="str">
        <f>IF('NEW ACCOUNT'!A483="","",'NEW ACCOUNT'!I483)</f>
        <v/>
      </c>
      <c r="J482" s="38" t="str">
        <f>IF('NEW ACCOUNT'!A483="","",'NEW ACCOUNT'!J483)</f>
        <v/>
      </c>
      <c r="K482" s="39" t="str">
        <f>IFERROR(IF(A482="","",SUMIF(DB_Savings!$A:$A,A482,DB_Savings!$F:$F)),"")</f>
        <v/>
      </c>
      <c r="L482" s="39" t="str">
        <f>IFERROR(IF(A482="","",SUMIF(DB_Withdrawals!$A:$A,A482,DB_Withdrawals!$G:$G)),"")</f>
        <v/>
      </c>
      <c r="M482" s="39" t="str">
        <f>IFERROR(IF(A482="","",IFERROR(VALUE(H482),0)+IFERROR(SUMIF(DB_Savings!$A:$A,A482,DB_Savings!$F:$F),0)-IFERROR(SUMIF(DB_Withdrawals!$A:$A,A482,DB_Withdrawals!$G:$G),0)),"")</f>
        <v/>
      </c>
      <c r="N482" s="39" t="str">
        <f>IFERROR(IF(A482="","",MAX(0,M482-System_Config!$B$9)),"")</f>
        <v/>
      </c>
    </row>
    <row r="483" spans="1:14" ht="19.5" customHeight="1" x14ac:dyDescent="0.25">
      <c r="A483" s="37" t="str">
        <f>'NEW ACCOUNT'!A484</f>
        <v/>
      </c>
      <c r="B483" s="38" t="str">
        <f>IF('NEW ACCOUNT'!A484="","",'NEW ACCOUNT'!B484)</f>
        <v/>
      </c>
      <c r="C483" s="38" t="str">
        <f>IF('NEW ACCOUNT'!A484="","",'NEW ACCOUNT'!C484)</f>
        <v/>
      </c>
      <c r="D483" s="38" t="str">
        <f>IF('NEW ACCOUNT'!A484="","",'NEW ACCOUNT'!D484)</f>
        <v/>
      </c>
      <c r="E483" s="38" t="str">
        <f>IF('NEW ACCOUNT'!A484="","",'NEW ACCOUNT'!E484)</f>
        <v/>
      </c>
      <c r="F483" s="38" t="str">
        <f>IF('NEW ACCOUNT'!A484="","",'NEW ACCOUNT'!F484)</f>
        <v/>
      </c>
      <c r="G483" s="38" t="str">
        <f>IF('NEW ACCOUNT'!A484="","",'NEW ACCOUNT'!G484)</f>
        <v/>
      </c>
      <c r="H483" s="38" t="str">
        <f>IF('NEW ACCOUNT'!A484="","",'NEW ACCOUNT'!H484)</f>
        <v/>
      </c>
      <c r="I483" s="38" t="str">
        <f>IF('NEW ACCOUNT'!A484="","",'NEW ACCOUNT'!I484)</f>
        <v/>
      </c>
      <c r="J483" s="38" t="str">
        <f>IF('NEW ACCOUNT'!A484="","",'NEW ACCOUNT'!J484)</f>
        <v/>
      </c>
      <c r="K483" s="39" t="str">
        <f>IFERROR(IF(A483="","",SUMIF(DB_Savings!$A:$A,A483,DB_Savings!$F:$F)),"")</f>
        <v/>
      </c>
      <c r="L483" s="39" t="str">
        <f>IFERROR(IF(A483="","",SUMIF(DB_Withdrawals!$A:$A,A483,DB_Withdrawals!$G:$G)),"")</f>
        <v/>
      </c>
      <c r="M483" s="39" t="str">
        <f>IFERROR(IF(A483="","",IFERROR(VALUE(H483),0)+IFERROR(SUMIF(DB_Savings!$A:$A,A483,DB_Savings!$F:$F),0)-IFERROR(SUMIF(DB_Withdrawals!$A:$A,A483,DB_Withdrawals!$G:$G),0)),"")</f>
        <v/>
      </c>
      <c r="N483" s="39" t="str">
        <f>IFERROR(IF(A483="","",MAX(0,M483-System_Config!$B$9)),"")</f>
        <v/>
      </c>
    </row>
    <row r="484" spans="1:14" ht="19.5" customHeight="1" x14ac:dyDescent="0.25">
      <c r="A484" s="37" t="str">
        <f>'NEW ACCOUNT'!A485</f>
        <v/>
      </c>
      <c r="B484" s="38" t="str">
        <f>IF('NEW ACCOUNT'!A485="","",'NEW ACCOUNT'!B485)</f>
        <v/>
      </c>
      <c r="C484" s="38" t="str">
        <f>IF('NEW ACCOUNT'!A485="","",'NEW ACCOUNT'!C485)</f>
        <v/>
      </c>
      <c r="D484" s="38" t="str">
        <f>IF('NEW ACCOUNT'!A485="","",'NEW ACCOUNT'!D485)</f>
        <v/>
      </c>
      <c r="E484" s="38" t="str">
        <f>IF('NEW ACCOUNT'!A485="","",'NEW ACCOUNT'!E485)</f>
        <v/>
      </c>
      <c r="F484" s="38" t="str">
        <f>IF('NEW ACCOUNT'!A485="","",'NEW ACCOUNT'!F485)</f>
        <v/>
      </c>
      <c r="G484" s="38" t="str">
        <f>IF('NEW ACCOUNT'!A485="","",'NEW ACCOUNT'!G485)</f>
        <v/>
      </c>
      <c r="H484" s="38" t="str">
        <f>IF('NEW ACCOUNT'!A485="","",'NEW ACCOUNT'!H485)</f>
        <v/>
      </c>
      <c r="I484" s="38" t="str">
        <f>IF('NEW ACCOUNT'!A485="","",'NEW ACCOUNT'!I485)</f>
        <v/>
      </c>
      <c r="J484" s="38" t="str">
        <f>IF('NEW ACCOUNT'!A485="","",'NEW ACCOUNT'!J485)</f>
        <v/>
      </c>
      <c r="K484" s="39" t="str">
        <f>IFERROR(IF(A484="","",SUMIF(DB_Savings!$A:$A,A484,DB_Savings!$F:$F)),"")</f>
        <v/>
      </c>
      <c r="L484" s="39" t="str">
        <f>IFERROR(IF(A484="","",SUMIF(DB_Withdrawals!$A:$A,A484,DB_Withdrawals!$G:$G)),"")</f>
        <v/>
      </c>
      <c r="M484" s="39" t="str">
        <f>IFERROR(IF(A484="","",IFERROR(VALUE(H484),0)+IFERROR(SUMIF(DB_Savings!$A:$A,A484,DB_Savings!$F:$F),0)-IFERROR(SUMIF(DB_Withdrawals!$A:$A,A484,DB_Withdrawals!$G:$G),0)),"")</f>
        <v/>
      </c>
      <c r="N484" s="39" t="str">
        <f>IFERROR(IF(A484="","",MAX(0,M484-System_Config!$B$9)),"")</f>
        <v/>
      </c>
    </row>
    <row r="485" spans="1:14" ht="19.5" customHeight="1" x14ac:dyDescent="0.25">
      <c r="A485" s="37" t="str">
        <f>'NEW ACCOUNT'!A486</f>
        <v/>
      </c>
      <c r="B485" s="38" t="str">
        <f>IF('NEW ACCOUNT'!A486="","",'NEW ACCOUNT'!B486)</f>
        <v/>
      </c>
      <c r="C485" s="38" t="str">
        <f>IF('NEW ACCOUNT'!A486="","",'NEW ACCOUNT'!C486)</f>
        <v/>
      </c>
      <c r="D485" s="38" t="str">
        <f>IF('NEW ACCOUNT'!A486="","",'NEW ACCOUNT'!D486)</f>
        <v/>
      </c>
      <c r="E485" s="38" t="str">
        <f>IF('NEW ACCOUNT'!A486="","",'NEW ACCOUNT'!E486)</f>
        <v/>
      </c>
      <c r="F485" s="38" t="str">
        <f>IF('NEW ACCOUNT'!A486="","",'NEW ACCOUNT'!F486)</f>
        <v/>
      </c>
      <c r="G485" s="38" t="str">
        <f>IF('NEW ACCOUNT'!A486="","",'NEW ACCOUNT'!G486)</f>
        <v/>
      </c>
      <c r="H485" s="38" t="str">
        <f>IF('NEW ACCOUNT'!A486="","",'NEW ACCOUNT'!H486)</f>
        <v/>
      </c>
      <c r="I485" s="38" t="str">
        <f>IF('NEW ACCOUNT'!A486="","",'NEW ACCOUNT'!I486)</f>
        <v/>
      </c>
      <c r="J485" s="38" t="str">
        <f>IF('NEW ACCOUNT'!A486="","",'NEW ACCOUNT'!J486)</f>
        <v/>
      </c>
      <c r="K485" s="39" t="str">
        <f>IFERROR(IF(A485="","",SUMIF(DB_Savings!$A:$A,A485,DB_Savings!$F:$F)),"")</f>
        <v/>
      </c>
      <c r="L485" s="39" t="str">
        <f>IFERROR(IF(A485="","",SUMIF(DB_Withdrawals!$A:$A,A485,DB_Withdrawals!$G:$G)),"")</f>
        <v/>
      </c>
      <c r="M485" s="39" t="str">
        <f>IFERROR(IF(A485="","",IFERROR(VALUE(H485),0)+IFERROR(SUMIF(DB_Savings!$A:$A,A485,DB_Savings!$F:$F),0)-IFERROR(SUMIF(DB_Withdrawals!$A:$A,A485,DB_Withdrawals!$G:$G),0)),"")</f>
        <v/>
      </c>
      <c r="N485" s="39" t="str">
        <f>IFERROR(IF(A485="","",MAX(0,M485-System_Config!$B$9)),"")</f>
        <v/>
      </c>
    </row>
    <row r="486" spans="1:14" ht="19.5" customHeight="1" x14ac:dyDescent="0.25">
      <c r="A486" s="37" t="str">
        <f>'NEW ACCOUNT'!A487</f>
        <v/>
      </c>
      <c r="B486" s="38" t="str">
        <f>IF('NEW ACCOUNT'!A487="","",'NEW ACCOUNT'!B487)</f>
        <v/>
      </c>
      <c r="C486" s="38" t="str">
        <f>IF('NEW ACCOUNT'!A487="","",'NEW ACCOUNT'!C487)</f>
        <v/>
      </c>
      <c r="D486" s="38" t="str">
        <f>IF('NEW ACCOUNT'!A487="","",'NEW ACCOUNT'!D487)</f>
        <v/>
      </c>
      <c r="E486" s="38" t="str">
        <f>IF('NEW ACCOUNT'!A487="","",'NEW ACCOUNT'!E487)</f>
        <v/>
      </c>
      <c r="F486" s="38" t="str">
        <f>IF('NEW ACCOUNT'!A487="","",'NEW ACCOUNT'!F487)</f>
        <v/>
      </c>
      <c r="G486" s="38" t="str">
        <f>IF('NEW ACCOUNT'!A487="","",'NEW ACCOUNT'!G487)</f>
        <v/>
      </c>
      <c r="H486" s="38" t="str">
        <f>IF('NEW ACCOUNT'!A487="","",'NEW ACCOUNT'!H487)</f>
        <v/>
      </c>
      <c r="I486" s="38" t="str">
        <f>IF('NEW ACCOUNT'!A487="","",'NEW ACCOUNT'!I487)</f>
        <v/>
      </c>
      <c r="J486" s="38" t="str">
        <f>IF('NEW ACCOUNT'!A487="","",'NEW ACCOUNT'!J487)</f>
        <v/>
      </c>
      <c r="K486" s="39" t="str">
        <f>IFERROR(IF(A486="","",SUMIF(DB_Savings!$A:$A,A486,DB_Savings!$F:$F)),"")</f>
        <v/>
      </c>
      <c r="L486" s="39" t="str">
        <f>IFERROR(IF(A486="","",SUMIF(DB_Withdrawals!$A:$A,A486,DB_Withdrawals!$G:$G)),"")</f>
        <v/>
      </c>
      <c r="M486" s="39" t="str">
        <f>IFERROR(IF(A486="","",IFERROR(VALUE(H486),0)+IFERROR(SUMIF(DB_Savings!$A:$A,A486,DB_Savings!$F:$F),0)-IFERROR(SUMIF(DB_Withdrawals!$A:$A,A486,DB_Withdrawals!$G:$G),0)),"")</f>
        <v/>
      </c>
      <c r="N486" s="39" t="str">
        <f>IFERROR(IF(A486="","",MAX(0,M486-System_Config!$B$9)),"")</f>
        <v/>
      </c>
    </row>
    <row r="487" spans="1:14" ht="19.5" customHeight="1" x14ac:dyDescent="0.25">
      <c r="A487" s="37" t="str">
        <f>'NEW ACCOUNT'!A488</f>
        <v/>
      </c>
      <c r="B487" s="38" t="str">
        <f>IF('NEW ACCOUNT'!A488="","",'NEW ACCOUNT'!B488)</f>
        <v/>
      </c>
      <c r="C487" s="38" t="str">
        <f>IF('NEW ACCOUNT'!A488="","",'NEW ACCOUNT'!C488)</f>
        <v/>
      </c>
      <c r="D487" s="38" t="str">
        <f>IF('NEW ACCOUNT'!A488="","",'NEW ACCOUNT'!D488)</f>
        <v/>
      </c>
      <c r="E487" s="38" t="str">
        <f>IF('NEW ACCOUNT'!A488="","",'NEW ACCOUNT'!E488)</f>
        <v/>
      </c>
      <c r="F487" s="38" t="str">
        <f>IF('NEW ACCOUNT'!A488="","",'NEW ACCOUNT'!F488)</f>
        <v/>
      </c>
      <c r="G487" s="38" t="str">
        <f>IF('NEW ACCOUNT'!A488="","",'NEW ACCOUNT'!G488)</f>
        <v/>
      </c>
      <c r="H487" s="38" t="str">
        <f>IF('NEW ACCOUNT'!A488="","",'NEW ACCOUNT'!H488)</f>
        <v/>
      </c>
      <c r="I487" s="38" t="str">
        <f>IF('NEW ACCOUNT'!A488="","",'NEW ACCOUNT'!I488)</f>
        <v/>
      </c>
      <c r="J487" s="38" t="str">
        <f>IF('NEW ACCOUNT'!A488="","",'NEW ACCOUNT'!J488)</f>
        <v/>
      </c>
      <c r="K487" s="39" t="str">
        <f>IFERROR(IF(A487="","",SUMIF(DB_Savings!$A:$A,A487,DB_Savings!$F:$F)),"")</f>
        <v/>
      </c>
      <c r="L487" s="39" t="str">
        <f>IFERROR(IF(A487="","",SUMIF(DB_Withdrawals!$A:$A,A487,DB_Withdrawals!$G:$G)),"")</f>
        <v/>
      </c>
      <c r="M487" s="39" t="str">
        <f>IFERROR(IF(A487="","",IFERROR(VALUE(H487),0)+IFERROR(SUMIF(DB_Savings!$A:$A,A487,DB_Savings!$F:$F),0)-IFERROR(SUMIF(DB_Withdrawals!$A:$A,A487,DB_Withdrawals!$G:$G),0)),"")</f>
        <v/>
      </c>
      <c r="N487" s="39" t="str">
        <f>IFERROR(IF(A487="","",MAX(0,M487-System_Config!$B$9)),"")</f>
        <v/>
      </c>
    </row>
    <row r="488" spans="1:14" ht="19.5" customHeight="1" x14ac:dyDescent="0.25">
      <c r="A488" s="37" t="str">
        <f>'NEW ACCOUNT'!A489</f>
        <v/>
      </c>
      <c r="B488" s="38" t="str">
        <f>IF('NEW ACCOUNT'!A489="","",'NEW ACCOUNT'!B489)</f>
        <v/>
      </c>
      <c r="C488" s="38" t="str">
        <f>IF('NEW ACCOUNT'!A489="","",'NEW ACCOUNT'!C489)</f>
        <v/>
      </c>
      <c r="D488" s="38" t="str">
        <f>IF('NEW ACCOUNT'!A489="","",'NEW ACCOUNT'!D489)</f>
        <v/>
      </c>
      <c r="E488" s="38" t="str">
        <f>IF('NEW ACCOUNT'!A489="","",'NEW ACCOUNT'!E489)</f>
        <v/>
      </c>
      <c r="F488" s="38" t="str">
        <f>IF('NEW ACCOUNT'!A489="","",'NEW ACCOUNT'!F489)</f>
        <v/>
      </c>
      <c r="G488" s="38" t="str">
        <f>IF('NEW ACCOUNT'!A489="","",'NEW ACCOUNT'!G489)</f>
        <v/>
      </c>
      <c r="H488" s="38" t="str">
        <f>IF('NEW ACCOUNT'!A489="","",'NEW ACCOUNT'!H489)</f>
        <v/>
      </c>
      <c r="I488" s="38" t="str">
        <f>IF('NEW ACCOUNT'!A489="","",'NEW ACCOUNT'!I489)</f>
        <v/>
      </c>
      <c r="J488" s="38" t="str">
        <f>IF('NEW ACCOUNT'!A489="","",'NEW ACCOUNT'!J489)</f>
        <v/>
      </c>
      <c r="K488" s="39" t="str">
        <f>IFERROR(IF(A488="","",SUMIF(DB_Savings!$A:$A,A488,DB_Savings!$F:$F)),"")</f>
        <v/>
      </c>
      <c r="L488" s="39" t="str">
        <f>IFERROR(IF(A488="","",SUMIF(DB_Withdrawals!$A:$A,A488,DB_Withdrawals!$G:$G)),"")</f>
        <v/>
      </c>
      <c r="M488" s="39" t="str">
        <f>IFERROR(IF(A488="","",IFERROR(VALUE(H488),0)+IFERROR(SUMIF(DB_Savings!$A:$A,A488,DB_Savings!$F:$F),0)-IFERROR(SUMIF(DB_Withdrawals!$A:$A,A488,DB_Withdrawals!$G:$G),0)),"")</f>
        <v/>
      </c>
      <c r="N488" s="39" t="str">
        <f>IFERROR(IF(A488="","",MAX(0,M488-System_Config!$B$9)),"")</f>
        <v/>
      </c>
    </row>
    <row r="489" spans="1:14" ht="19.5" customHeight="1" x14ac:dyDescent="0.25">
      <c r="A489" s="37" t="str">
        <f>'NEW ACCOUNT'!A490</f>
        <v/>
      </c>
      <c r="B489" s="38" t="str">
        <f>IF('NEW ACCOUNT'!A490="","",'NEW ACCOUNT'!B490)</f>
        <v/>
      </c>
      <c r="C489" s="38" t="str">
        <f>IF('NEW ACCOUNT'!A490="","",'NEW ACCOUNT'!C490)</f>
        <v/>
      </c>
      <c r="D489" s="38" t="str">
        <f>IF('NEW ACCOUNT'!A490="","",'NEW ACCOUNT'!D490)</f>
        <v/>
      </c>
      <c r="E489" s="38" t="str">
        <f>IF('NEW ACCOUNT'!A490="","",'NEW ACCOUNT'!E490)</f>
        <v/>
      </c>
      <c r="F489" s="38" t="str">
        <f>IF('NEW ACCOUNT'!A490="","",'NEW ACCOUNT'!F490)</f>
        <v/>
      </c>
      <c r="G489" s="38" t="str">
        <f>IF('NEW ACCOUNT'!A490="","",'NEW ACCOUNT'!G490)</f>
        <v/>
      </c>
      <c r="H489" s="38" t="str">
        <f>IF('NEW ACCOUNT'!A490="","",'NEW ACCOUNT'!H490)</f>
        <v/>
      </c>
      <c r="I489" s="38" t="str">
        <f>IF('NEW ACCOUNT'!A490="","",'NEW ACCOUNT'!I490)</f>
        <v/>
      </c>
      <c r="J489" s="38" t="str">
        <f>IF('NEW ACCOUNT'!A490="","",'NEW ACCOUNT'!J490)</f>
        <v/>
      </c>
      <c r="K489" s="39" t="str">
        <f>IFERROR(IF(A489="","",SUMIF(DB_Savings!$A:$A,A489,DB_Savings!$F:$F)),"")</f>
        <v/>
      </c>
      <c r="L489" s="39" t="str">
        <f>IFERROR(IF(A489="","",SUMIF(DB_Withdrawals!$A:$A,A489,DB_Withdrawals!$G:$G)),"")</f>
        <v/>
      </c>
      <c r="M489" s="39" t="str">
        <f>IFERROR(IF(A489="","",IFERROR(VALUE(H489),0)+IFERROR(SUMIF(DB_Savings!$A:$A,A489,DB_Savings!$F:$F),0)-IFERROR(SUMIF(DB_Withdrawals!$A:$A,A489,DB_Withdrawals!$G:$G),0)),"")</f>
        <v/>
      </c>
      <c r="N489" s="39" t="str">
        <f>IFERROR(IF(A489="","",MAX(0,M489-System_Config!$B$9)),"")</f>
        <v/>
      </c>
    </row>
    <row r="490" spans="1:14" ht="19.5" customHeight="1" x14ac:dyDescent="0.25">
      <c r="A490" s="37" t="str">
        <f>'NEW ACCOUNT'!A491</f>
        <v/>
      </c>
      <c r="B490" s="38" t="str">
        <f>IF('NEW ACCOUNT'!A491="","",'NEW ACCOUNT'!B491)</f>
        <v/>
      </c>
      <c r="C490" s="38" t="str">
        <f>IF('NEW ACCOUNT'!A491="","",'NEW ACCOUNT'!C491)</f>
        <v/>
      </c>
      <c r="D490" s="38" t="str">
        <f>IF('NEW ACCOUNT'!A491="","",'NEW ACCOUNT'!D491)</f>
        <v/>
      </c>
      <c r="E490" s="38" t="str">
        <f>IF('NEW ACCOUNT'!A491="","",'NEW ACCOUNT'!E491)</f>
        <v/>
      </c>
      <c r="F490" s="38" t="str">
        <f>IF('NEW ACCOUNT'!A491="","",'NEW ACCOUNT'!F491)</f>
        <v/>
      </c>
      <c r="G490" s="38" t="str">
        <f>IF('NEW ACCOUNT'!A491="","",'NEW ACCOUNT'!G491)</f>
        <v/>
      </c>
      <c r="H490" s="38" t="str">
        <f>IF('NEW ACCOUNT'!A491="","",'NEW ACCOUNT'!H491)</f>
        <v/>
      </c>
      <c r="I490" s="38" t="str">
        <f>IF('NEW ACCOUNT'!A491="","",'NEW ACCOUNT'!I491)</f>
        <v/>
      </c>
      <c r="J490" s="38" t="str">
        <f>IF('NEW ACCOUNT'!A491="","",'NEW ACCOUNT'!J491)</f>
        <v/>
      </c>
      <c r="K490" s="39" t="str">
        <f>IFERROR(IF(A490="","",SUMIF(DB_Savings!$A:$A,A490,DB_Savings!$F:$F)),"")</f>
        <v/>
      </c>
      <c r="L490" s="39" t="str">
        <f>IFERROR(IF(A490="","",SUMIF(DB_Withdrawals!$A:$A,A490,DB_Withdrawals!$G:$G)),"")</f>
        <v/>
      </c>
      <c r="M490" s="39" t="str">
        <f>IFERROR(IF(A490="","",IFERROR(VALUE(H490),0)+IFERROR(SUMIF(DB_Savings!$A:$A,A490,DB_Savings!$F:$F),0)-IFERROR(SUMIF(DB_Withdrawals!$A:$A,A490,DB_Withdrawals!$G:$G),0)),"")</f>
        <v/>
      </c>
      <c r="N490" s="39" t="str">
        <f>IFERROR(IF(A490="","",MAX(0,M490-System_Config!$B$9)),"")</f>
        <v/>
      </c>
    </row>
    <row r="491" spans="1:14" ht="19.5" customHeight="1" x14ac:dyDescent="0.25">
      <c r="A491" s="37" t="str">
        <f>'NEW ACCOUNT'!A492</f>
        <v/>
      </c>
      <c r="B491" s="38" t="str">
        <f>IF('NEW ACCOUNT'!A492="","",'NEW ACCOUNT'!B492)</f>
        <v/>
      </c>
      <c r="C491" s="38" t="str">
        <f>IF('NEW ACCOUNT'!A492="","",'NEW ACCOUNT'!C492)</f>
        <v/>
      </c>
      <c r="D491" s="38" t="str">
        <f>IF('NEW ACCOUNT'!A492="","",'NEW ACCOUNT'!D492)</f>
        <v/>
      </c>
      <c r="E491" s="38" t="str">
        <f>IF('NEW ACCOUNT'!A492="","",'NEW ACCOUNT'!E492)</f>
        <v/>
      </c>
      <c r="F491" s="38" t="str">
        <f>IF('NEW ACCOUNT'!A492="","",'NEW ACCOUNT'!F492)</f>
        <v/>
      </c>
      <c r="G491" s="38" t="str">
        <f>IF('NEW ACCOUNT'!A492="","",'NEW ACCOUNT'!G492)</f>
        <v/>
      </c>
      <c r="H491" s="38" t="str">
        <f>IF('NEW ACCOUNT'!A492="","",'NEW ACCOUNT'!H492)</f>
        <v/>
      </c>
      <c r="I491" s="38" t="str">
        <f>IF('NEW ACCOUNT'!A492="","",'NEW ACCOUNT'!I492)</f>
        <v/>
      </c>
      <c r="J491" s="38" t="str">
        <f>IF('NEW ACCOUNT'!A492="","",'NEW ACCOUNT'!J492)</f>
        <v/>
      </c>
      <c r="K491" s="39" t="str">
        <f>IFERROR(IF(A491="","",SUMIF(DB_Savings!$A:$A,A491,DB_Savings!$F:$F)),"")</f>
        <v/>
      </c>
      <c r="L491" s="39" t="str">
        <f>IFERROR(IF(A491="","",SUMIF(DB_Withdrawals!$A:$A,A491,DB_Withdrawals!$G:$G)),"")</f>
        <v/>
      </c>
      <c r="M491" s="39" t="str">
        <f>IFERROR(IF(A491="","",IFERROR(VALUE(H491),0)+IFERROR(SUMIF(DB_Savings!$A:$A,A491,DB_Savings!$F:$F),0)-IFERROR(SUMIF(DB_Withdrawals!$A:$A,A491,DB_Withdrawals!$G:$G),0)),"")</f>
        <v/>
      </c>
      <c r="N491" s="39" t="str">
        <f>IFERROR(IF(A491="","",MAX(0,M491-System_Config!$B$9)),"")</f>
        <v/>
      </c>
    </row>
    <row r="492" spans="1:14" ht="19.5" customHeight="1" x14ac:dyDescent="0.25">
      <c r="A492" s="37" t="str">
        <f>'NEW ACCOUNT'!A493</f>
        <v/>
      </c>
      <c r="B492" s="38" t="str">
        <f>IF('NEW ACCOUNT'!A493="","",'NEW ACCOUNT'!B493)</f>
        <v/>
      </c>
      <c r="C492" s="38" t="str">
        <f>IF('NEW ACCOUNT'!A493="","",'NEW ACCOUNT'!C493)</f>
        <v/>
      </c>
      <c r="D492" s="38" t="str">
        <f>IF('NEW ACCOUNT'!A493="","",'NEW ACCOUNT'!D493)</f>
        <v/>
      </c>
      <c r="E492" s="38" t="str">
        <f>IF('NEW ACCOUNT'!A493="","",'NEW ACCOUNT'!E493)</f>
        <v/>
      </c>
      <c r="F492" s="38" t="str">
        <f>IF('NEW ACCOUNT'!A493="","",'NEW ACCOUNT'!F493)</f>
        <v/>
      </c>
      <c r="G492" s="38" t="str">
        <f>IF('NEW ACCOUNT'!A493="","",'NEW ACCOUNT'!G493)</f>
        <v/>
      </c>
      <c r="H492" s="38" t="str">
        <f>IF('NEW ACCOUNT'!A493="","",'NEW ACCOUNT'!H493)</f>
        <v/>
      </c>
      <c r="I492" s="38" t="str">
        <f>IF('NEW ACCOUNT'!A493="","",'NEW ACCOUNT'!I493)</f>
        <v/>
      </c>
      <c r="J492" s="38" t="str">
        <f>IF('NEW ACCOUNT'!A493="","",'NEW ACCOUNT'!J493)</f>
        <v/>
      </c>
      <c r="K492" s="39" t="str">
        <f>IFERROR(IF(A492="","",SUMIF(DB_Savings!$A:$A,A492,DB_Savings!$F:$F)),"")</f>
        <v/>
      </c>
      <c r="L492" s="39" t="str">
        <f>IFERROR(IF(A492="","",SUMIF(DB_Withdrawals!$A:$A,A492,DB_Withdrawals!$G:$G)),"")</f>
        <v/>
      </c>
      <c r="M492" s="39" t="str">
        <f>IFERROR(IF(A492="","",IFERROR(VALUE(H492),0)+IFERROR(SUMIF(DB_Savings!$A:$A,A492,DB_Savings!$F:$F),0)-IFERROR(SUMIF(DB_Withdrawals!$A:$A,A492,DB_Withdrawals!$G:$G),0)),"")</f>
        <v/>
      </c>
      <c r="N492" s="39" t="str">
        <f>IFERROR(IF(A492="","",MAX(0,M492-System_Config!$B$9)),"")</f>
        <v/>
      </c>
    </row>
    <row r="493" spans="1:14" ht="19.5" customHeight="1" x14ac:dyDescent="0.25">
      <c r="A493" s="37" t="str">
        <f>'NEW ACCOUNT'!A494</f>
        <v/>
      </c>
      <c r="B493" s="38" t="str">
        <f>IF('NEW ACCOUNT'!A494="","",'NEW ACCOUNT'!B494)</f>
        <v/>
      </c>
      <c r="C493" s="38" t="str">
        <f>IF('NEW ACCOUNT'!A494="","",'NEW ACCOUNT'!C494)</f>
        <v/>
      </c>
      <c r="D493" s="38" t="str">
        <f>IF('NEW ACCOUNT'!A494="","",'NEW ACCOUNT'!D494)</f>
        <v/>
      </c>
      <c r="E493" s="38" t="str">
        <f>IF('NEW ACCOUNT'!A494="","",'NEW ACCOUNT'!E494)</f>
        <v/>
      </c>
      <c r="F493" s="38" t="str">
        <f>IF('NEW ACCOUNT'!A494="","",'NEW ACCOUNT'!F494)</f>
        <v/>
      </c>
      <c r="G493" s="38" t="str">
        <f>IF('NEW ACCOUNT'!A494="","",'NEW ACCOUNT'!G494)</f>
        <v/>
      </c>
      <c r="H493" s="38" t="str">
        <f>IF('NEW ACCOUNT'!A494="","",'NEW ACCOUNT'!H494)</f>
        <v/>
      </c>
      <c r="I493" s="38" t="str">
        <f>IF('NEW ACCOUNT'!A494="","",'NEW ACCOUNT'!I494)</f>
        <v/>
      </c>
      <c r="J493" s="38" t="str">
        <f>IF('NEW ACCOUNT'!A494="","",'NEW ACCOUNT'!J494)</f>
        <v/>
      </c>
      <c r="K493" s="39" t="str">
        <f>IFERROR(IF(A493="","",SUMIF(DB_Savings!$A:$A,A493,DB_Savings!$F:$F)),"")</f>
        <v/>
      </c>
      <c r="L493" s="39" t="str">
        <f>IFERROR(IF(A493="","",SUMIF(DB_Withdrawals!$A:$A,A493,DB_Withdrawals!$G:$G)),"")</f>
        <v/>
      </c>
      <c r="M493" s="39" t="str">
        <f>IFERROR(IF(A493="","",IFERROR(VALUE(H493),0)+IFERROR(SUMIF(DB_Savings!$A:$A,A493,DB_Savings!$F:$F),0)-IFERROR(SUMIF(DB_Withdrawals!$A:$A,A493,DB_Withdrawals!$G:$G),0)),"")</f>
        <v/>
      </c>
      <c r="N493" s="39" t="str">
        <f>IFERROR(IF(A493="","",MAX(0,M493-System_Config!$B$9)),"")</f>
        <v/>
      </c>
    </row>
    <row r="494" spans="1:14" ht="19.5" customHeight="1" x14ac:dyDescent="0.25">
      <c r="A494" s="37" t="str">
        <f>'NEW ACCOUNT'!A495</f>
        <v/>
      </c>
      <c r="B494" s="38" t="str">
        <f>IF('NEW ACCOUNT'!A495="","",'NEW ACCOUNT'!B495)</f>
        <v/>
      </c>
      <c r="C494" s="38" t="str">
        <f>IF('NEW ACCOUNT'!A495="","",'NEW ACCOUNT'!C495)</f>
        <v/>
      </c>
      <c r="D494" s="38" t="str">
        <f>IF('NEW ACCOUNT'!A495="","",'NEW ACCOUNT'!D495)</f>
        <v/>
      </c>
      <c r="E494" s="38" t="str">
        <f>IF('NEW ACCOUNT'!A495="","",'NEW ACCOUNT'!E495)</f>
        <v/>
      </c>
      <c r="F494" s="38" t="str">
        <f>IF('NEW ACCOUNT'!A495="","",'NEW ACCOUNT'!F495)</f>
        <v/>
      </c>
      <c r="G494" s="38" t="str">
        <f>IF('NEW ACCOUNT'!A495="","",'NEW ACCOUNT'!G495)</f>
        <v/>
      </c>
      <c r="H494" s="38" t="str">
        <f>IF('NEW ACCOUNT'!A495="","",'NEW ACCOUNT'!H495)</f>
        <v/>
      </c>
      <c r="I494" s="38" t="str">
        <f>IF('NEW ACCOUNT'!A495="","",'NEW ACCOUNT'!I495)</f>
        <v/>
      </c>
      <c r="J494" s="38" t="str">
        <f>IF('NEW ACCOUNT'!A495="","",'NEW ACCOUNT'!J495)</f>
        <v/>
      </c>
      <c r="K494" s="39" t="str">
        <f>IFERROR(IF(A494="","",SUMIF(DB_Savings!$A:$A,A494,DB_Savings!$F:$F)),"")</f>
        <v/>
      </c>
      <c r="L494" s="39" t="str">
        <f>IFERROR(IF(A494="","",SUMIF(DB_Withdrawals!$A:$A,A494,DB_Withdrawals!$G:$G)),"")</f>
        <v/>
      </c>
      <c r="M494" s="39" t="str">
        <f>IFERROR(IF(A494="","",IFERROR(VALUE(H494),0)+IFERROR(SUMIF(DB_Savings!$A:$A,A494,DB_Savings!$F:$F),0)-IFERROR(SUMIF(DB_Withdrawals!$A:$A,A494,DB_Withdrawals!$G:$G),0)),"")</f>
        <v/>
      </c>
      <c r="N494" s="39" t="str">
        <f>IFERROR(IF(A494="","",MAX(0,M494-System_Config!$B$9)),"")</f>
        <v/>
      </c>
    </row>
    <row r="495" spans="1:14" ht="19.5" customHeight="1" x14ac:dyDescent="0.25">
      <c r="A495" s="37" t="str">
        <f>'NEW ACCOUNT'!A496</f>
        <v/>
      </c>
      <c r="B495" s="38" t="str">
        <f>IF('NEW ACCOUNT'!A496="","",'NEW ACCOUNT'!B496)</f>
        <v/>
      </c>
      <c r="C495" s="38" t="str">
        <f>IF('NEW ACCOUNT'!A496="","",'NEW ACCOUNT'!C496)</f>
        <v/>
      </c>
      <c r="D495" s="38" t="str">
        <f>IF('NEW ACCOUNT'!A496="","",'NEW ACCOUNT'!D496)</f>
        <v/>
      </c>
      <c r="E495" s="38" t="str">
        <f>IF('NEW ACCOUNT'!A496="","",'NEW ACCOUNT'!E496)</f>
        <v/>
      </c>
      <c r="F495" s="38" t="str">
        <f>IF('NEW ACCOUNT'!A496="","",'NEW ACCOUNT'!F496)</f>
        <v/>
      </c>
      <c r="G495" s="38" t="str">
        <f>IF('NEW ACCOUNT'!A496="","",'NEW ACCOUNT'!G496)</f>
        <v/>
      </c>
      <c r="H495" s="38" t="str">
        <f>IF('NEW ACCOUNT'!A496="","",'NEW ACCOUNT'!H496)</f>
        <v/>
      </c>
      <c r="I495" s="38" t="str">
        <f>IF('NEW ACCOUNT'!A496="","",'NEW ACCOUNT'!I496)</f>
        <v/>
      </c>
      <c r="J495" s="38" t="str">
        <f>IF('NEW ACCOUNT'!A496="","",'NEW ACCOUNT'!J496)</f>
        <v/>
      </c>
      <c r="K495" s="39" t="str">
        <f>IFERROR(IF(A495="","",SUMIF(DB_Savings!$A:$A,A495,DB_Savings!$F:$F)),"")</f>
        <v/>
      </c>
      <c r="L495" s="39" t="str">
        <f>IFERROR(IF(A495="","",SUMIF(DB_Withdrawals!$A:$A,A495,DB_Withdrawals!$G:$G)),"")</f>
        <v/>
      </c>
      <c r="M495" s="39" t="str">
        <f>IFERROR(IF(A495="","",IFERROR(VALUE(H495),0)+IFERROR(SUMIF(DB_Savings!$A:$A,A495,DB_Savings!$F:$F),0)-IFERROR(SUMIF(DB_Withdrawals!$A:$A,A495,DB_Withdrawals!$G:$G),0)),"")</f>
        <v/>
      </c>
      <c r="N495" s="39" t="str">
        <f>IFERROR(IF(A495="","",MAX(0,M495-System_Config!$B$9)),"")</f>
        <v/>
      </c>
    </row>
    <row r="496" spans="1:14" ht="19.5" customHeight="1" x14ac:dyDescent="0.25">
      <c r="A496" s="37" t="str">
        <f>'NEW ACCOUNT'!A497</f>
        <v/>
      </c>
      <c r="B496" s="38" t="str">
        <f>IF('NEW ACCOUNT'!A497="","",'NEW ACCOUNT'!B497)</f>
        <v/>
      </c>
      <c r="C496" s="38" t="str">
        <f>IF('NEW ACCOUNT'!A497="","",'NEW ACCOUNT'!C497)</f>
        <v/>
      </c>
      <c r="D496" s="38" t="str">
        <f>IF('NEW ACCOUNT'!A497="","",'NEW ACCOUNT'!D497)</f>
        <v/>
      </c>
      <c r="E496" s="38" t="str">
        <f>IF('NEW ACCOUNT'!A497="","",'NEW ACCOUNT'!E497)</f>
        <v/>
      </c>
      <c r="F496" s="38" t="str">
        <f>IF('NEW ACCOUNT'!A497="","",'NEW ACCOUNT'!F497)</f>
        <v/>
      </c>
      <c r="G496" s="38" t="str">
        <f>IF('NEW ACCOUNT'!A497="","",'NEW ACCOUNT'!G497)</f>
        <v/>
      </c>
      <c r="H496" s="38" t="str">
        <f>IF('NEW ACCOUNT'!A497="","",'NEW ACCOUNT'!H497)</f>
        <v/>
      </c>
      <c r="I496" s="38" t="str">
        <f>IF('NEW ACCOUNT'!A497="","",'NEW ACCOUNT'!I497)</f>
        <v/>
      </c>
      <c r="J496" s="38" t="str">
        <f>IF('NEW ACCOUNT'!A497="","",'NEW ACCOUNT'!J497)</f>
        <v/>
      </c>
      <c r="K496" s="39" t="str">
        <f>IFERROR(IF(A496="","",SUMIF(DB_Savings!$A:$A,A496,DB_Savings!$F:$F)),"")</f>
        <v/>
      </c>
      <c r="L496" s="39" t="str">
        <f>IFERROR(IF(A496="","",SUMIF(DB_Withdrawals!$A:$A,A496,DB_Withdrawals!$G:$G)),"")</f>
        <v/>
      </c>
      <c r="M496" s="39" t="str">
        <f>IFERROR(IF(A496="","",IFERROR(VALUE(H496),0)+IFERROR(SUMIF(DB_Savings!$A:$A,A496,DB_Savings!$F:$F),0)-IFERROR(SUMIF(DB_Withdrawals!$A:$A,A496,DB_Withdrawals!$G:$G),0)),"")</f>
        <v/>
      </c>
      <c r="N496" s="39" t="str">
        <f>IFERROR(IF(A496="","",MAX(0,M496-System_Config!$B$9)),"")</f>
        <v/>
      </c>
    </row>
    <row r="497" spans="1:14" ht="19.5" customHeight="1" x14ac:dyDescent="0.25">
      <c r="A497" s="37" t="str">
        <f>'NEW ACCOUNT'!A498</f>
        <v/>
      </c>
      <c r="B497" s="38" t="str">
        <f>IF('NEW ACCOUNT'!A498="","",'NEW ACCOUNT'!B498)</f>
        <v/>
      </c>
      <c r="C497" s="38" t="str">
        <f>IF('NEW ACCOUNT'!A498="","",'NEW ACCOUNT'!C498)</f>
        <v/>
      </c>
      <c r="D497" s="38" t="str">
        <f>IF('NEW ACCOUNT'!A498="","",'NEW ACCOUNT'!D498)</f>
        <v/>
      </c>
      <c r="E497" s="38" t="str">
        <f>IF('NEW ACCOUNT'!A498="","",'NEW ACCOUNT'!E498)</f>
        <v/>
      </c>
      <c r="F497" s="38" t="str">
        <f>IF('NEW ACCOUNT'!A498="","",'NEW ACCOUNT'!F498)</f>
        <v/>
      </c>
      <c r="G497" s="38" t="str">
        <f>IF('NEW ACCOUNT'!A498="","",'NEW ACCOUNT'!G498)</f>
        <v/>
      </c>
      <c r="H497" s="38" t="str">
        <f>IF('NEW ACCOUNT'!A498="","",'NEW ACCOUNT'!H498)</f>
        <v/>
      </c>
      <c r="I497" s="38" t="str">
        <f>IF('NEW ACCOUNT'!A498="","",'NEW ACCOUNT'!I498)</f>
        <v/>
      </c>
      <c r="J497" s="38" t="str">
        <f>IF('NEW ACCOUNT'!A498="","",'NEW ACCOUNT'!J498)</f>
        <v/>
      </c>
      <c r="K497" s="39" t="str">
        <f>IFERROR(IF(A497="","",SUMIF(DB_Savings!$A:$A,A497,DB_Savings!$F:$F)),"")</f>
        <v/>
      </c>
      <c r="L497" s="39" t="str">
        <f>IFERROR(IF(A497="","",SUMIF(DB_Withdrawals!$A:$A,A497,DB_Withdrawals!$G:$G)),"")</f>
        <v/>
      </c>
      <c r="M497" s="39" t="str">
        <f>IFERROR(IF(A497="","",IFERROR(VALUE(H497),0)+IFERROR(SUMIF(DB_Savings!$A:$A,A497,DB_Savings!$F:$F),0)-IFERROR(SUMIF(DB_Withdrawals!$A:$A,A497,DB_Withdrawals!$G:$G),0)),"")</f>
        <v/>
      </c>
      <c r="N497" s="39" t="str">
        <f>IFERROR(IF(A497="","",MAX(0,M497-System_Config!$B$9)),"")</f>
        <v/>
      </c>
    </row>
    <row r="498" spans="1:14" ht="19.5" customHeight="1" x14ac:dyDescent="0.25">
      <c r="A498" s="37" t="str">
        <f>'NEW ACCOUNT'!A499</f>
        <v/>
      </c>
      <c r="B498" s="38" t="str">
        <f>IF('NEW ACCOUNT'!A499="","",'NEW ACCOUNT'!B499)</f>
        <v/>
      </c>
      <c r="C498" s="38" t="str">
        <f>IF('NEW ACCOUNT'!A499="","",'NEW ACCOUNT'!C499)</f>
        <v/>
      </c>
      <c r="D498" s="38" t="str">
        <f>IF('NEW ACCOUNT'!A499="","",'NEW ACCOUNT'!D499)</f>
        <v/>
      </c>
      <c r="E498" s="38" t="str">
        <f>IF('NEW ACCOUNT'!A499="","",'NEW ACCOUNT'!E499)</f>
        <v/>
      </c>
      <c r="F498" s="38" t="str">
        <f>IF('NEW ACCOUNT'!A499="","",'NEW ACCOUNT'!F499)</f>
        <v/>
      </c>
      <c r="G498" s="38" t="str">
        <f>IF('NEW ACCOUNT'!A499="","",'NEW ACCOUNT'!G499)</f>
        <v/>
      </c>
      <c r="H498" s="38" t="str">
        <f>IF('NEW ACCOUNT'!A499="","",'NEW ACCOUNT'!H499)</f>
        <v/>
      </c>
      <c r="I498" s="38" t="str">
        <f>IF('NEW ACCOUNT'!A499="","",'NEW ACCOUNT'!I499)</f>
        <v/>
      </c>
      <c r="J498" s="38" t="str">
        <f>IF('NEW ACCOUNT'!A499="","",'NEW ACCOUNT'!J499)</f>
        <v/>
      </c>
      <c r="K498" s="39" t="str">
        <f>IFERROR(IF(A498="","",SUMIF(DB_Savings!$A:$A,A498,DB_Savings!$F:$F)),"")</f>
        <v/>
      </c>
      <c r="L498" s="39" t="str">
        <f>IFERROR(IF(A498="","",SUMIF(DB_Withdrawals!$A:$A,A498,DB_Withdrawals!$G:$G)),"")</f>
        <v/>
      </c>
      <c r="M498" s="39" t="str">
        <f>IFERROR(IF(A498="","",IFERROR(VALUE(H498),0)+IFERROR(SUMIF(DB_Savings!$A:$A,A498,DB_Savings!$F:$F),0)-IFERROR(SUMIF(DB_Withdrawals!$A:$A,A498,DB_Withdrawals!$G:$G),0)),"")</f>
        <v/>
      </c>
      <c r="N498" s="39" t="str">
        <f>IFERROR(IF(A498="","",MAX(0,M498-System_Config!$B$9)),"")</f>
        <v/>
      </c>
    </row>
    <row r="499" spans="1:14" ht="19.5" customHeight="1" x14ac:dyDescent="0.25">
      <c r="A499" s="37" t="str">
        <f>'NEW ACCOUNT'!A500</f>
        <v/>
      </c>
      <c r="B499" s="38" t="str">
        <f>IF('NEW ACCOUNT'!A500="","",'NEW ACCOUNT'!B500)</f>
        <v/>
      </c>
      <c r="C499" s="38" t="str">
        <f>IF('NEW ACCOUNT'!A500="","",'NEW ACCOUNT'!C500)</f>
        <v/>
      </c>
      <c r="D499" s="38" t="str">
        <f>IF('NEW ACCOUNT'!A500="","",'NEW ACCOUNT'!D500)</f>
        <v/>
      </c>
      <c r="E499" s="38" t="str">
        <f>IF('NEW ACCOUNT'!A500="","",'NEW ACCOUNT'!E500)</f>
        <v/>
      </c>
      <c r="F499" s="38" t="str">
        <f>IF('NEW ACCOUNT'!A500="","",'NEW ACCOUNT'!F500)</f>
        <v/>
      </c>
      <c r="G499" s="38" t="str">
        <f>IF('NEW ACCOUNT'!A500="","",'NEW ACCOUNT'!G500)</f>
        <v/>
      </c>
      <c r="H499" s="38" t="str">
        <f>IF('NEW ACCOUNT'!A500="","",'NEW ACCOUNT'!H500)</f>
        <v/>
      </c>
      <c r="I499" s="38" t="str">
        <f>IF('NEW ACCOUNT'!A500="","",'NEW ACCOUNT'!I500)</f>
        <v/>
      </c>
      <c r="J499" s="38" t="str">
        <f>IF('NEW ACCOUNT'!A500="","",'NEW ACCOUNT'!J500)</f>
        <v/>
      </c>
      <c r="K499" s="39" t="str">
        <f>IFERROR(IF(A499="","",SUMIF(DB_Savings!$A:$A,A499,DB_Savings!$F:$F)),"")</f>
        <v/>
      </c>
      <c r="L499" s="39" t="str">
        <f>IFERROR(IF(A499="","",SUMIF(DB_Withdrawals!$A:$A,A499,DB_Withdrawals!$G:$G)),"")</f>
        <v/>
      </c>
      <c r="M499" s="39" t="str">
        <f>IFERROR(IF(A499="","",IFERROR(VALUE(H499),0)+IFERROR(SUMIF(DB_Savings!$A:$A,A499,DB_Savings!$F:$F),0)-IFERROR(SUMIF(DB_Withdrawals!$A:$A,A499,DB_Withdrawals!$G:$G),0)),"")</f>
        <v/>
      </c>
      <c r="N499" s="39" t="str">
        <f>IFERROR(IF(A499="","",MAX(0,M499-System_Config!$B$9)),"")</f>
        <v/>
      </c>
    </row>
    <row r="500" spans="1:14" ht="19.5" customHeight="1" x14ac:dyDescent="0.25">
      <c r="A500" s="37" t="str">
        <f>'NEW ACCOUNT'!A501</f>
        <v/>
      </c>
      <c r="B500" s="38" t="str">
        <f>IF('NEW ACCOUNT'!A501="","",'NEW ACCOUNT'!B501)</f>
        <v/>
      </c>
      <c r="C500" s="38" t="str">
        <f>IF('NEW ACCOUNT'!A501="","",'NEW ACCOUNT'!C501)</f>
        <v/>
      </c>
      <c r="D500" s="38" t="str">
        <f>IF('NEW ACCOUNT'!A501="","",'NEW ACCOUNT'!D501)</f>
        <v/>
      </c>
      <c r="E500" s="38" t="str">
        <f>IF('NEW ACCOUNT'!A501="","",'NEW ACCOUNT'!E501)</f>
        <v/>
      </c>
      <c r="F500" s="38" t="str">
        <f>IF('NEW ACCOUNT'!A501="","",'NEW ACCOUNT'!F501)</f>
        <v/>
      </c>
      <c r="G500" s="38" t="str">
        <f>IF('NEW ACCOUNT'!A501="","",'NEW ACCOUNT'!G501)</f>
        <v/>
      </c>
      <c r="H500" s="38" t="str">
        <f>IF('NEW ACCOUNT'!A501="","",'NEW ACCOUNT'!H501)</f>
        <v/>
      </c>
      <c r="I500" s="38" t="str">
        <f>IF('NEW ACCOUNT'!A501="","",'NEW ACCOUNT'!I501)</f>
        <v/>
      </c>
      <c r="J500" s="38" t="str">
        <f>IF('NEW ACCOUNT'!A501="","",'NEW ACCOUNT'!J501)</f>
        <v/>
      </c>
      <c r="K500" s="39" t="str">
        <f>IFERROR(IF(A500="","",SUMIF(DB_Savings!$A:$A,A500,DB_Savings!$F:$F)),"")</f>
        <v/>
      </c>
      <c r="L500" s="39" t="str">
        <f>IFERROR(IF(A500="","",SUMIF(DB_Withdrawals!$A:$A,A500,DB_Withdrawals!$G:$G)),"")</f>
        <v/>
      </c>
      <c r="M500" s="39" t="str">
        <f>IFERROR(IF(A500="","",IFERROR(VALUE(H500),0)+IFERROR(SUMIF(DB_Savings!$A:$A,A500,DB_Savings!$F:$F),0)-IFERROR(SUMIF(DB_Withdrawals!$A:$A,A500,DB_Withdrawals!$G:$G),0)),"")</f>
        <v/>
      </c>
      <c r="N500" s="39" t="str">
        <f>IFERROR(IF(A500="","",MAX(0,M500-System_Config!$B$9)),"")</f>
        <v/>
      </c>
    </row>
    <row r="501" spans="1:14" ht="19.5" customHeight="1" x14ac:dyDescent="0.25">
      <c r="A501" s="37" t="str">
        <f>'NEW ACCOUNT'!A502</f>
        <v/>
      </c>
      <c r="B501" s="38" t="str">
        <f>IF('NEW ACCOUNT'!A502="","",'NEW ACCOUNT'!B502)</f>
        <v/>
      </c>
      <c r="C501" s="38" t="str">
        <f>IF('NEW ACCOUNT'!A502="","",'NEW ACCOUNT'!C502)</f>
        <v/>
      </c>
      <c r="D501" s="38" t="str">
        <f>IF('NEW ACCOUNT'!A502="","",'NEW ACCOUNT'!D502)</f>
        <v/>
      </c>
      <c r="E501" s="38" t="str">
        <f>IF('NEW ACCOUNT'!A502="","",'NEW ACCOUNT'!E502)</f>
        <v/>
      </c>
      <c r="F501" s="38" t="str">
        <f>IF('NEW ACCOUNT'!A502="","",'NEW ACCOUNT'!F502)</f>
        <v/>
      </c>
      <c r="G501" s="38" t="str">
        <f>IF('NEW ACCOUNT'!A502="","",'NEW ACCOUNT'!G502)</f>
        <v/>
      </c>
      <c r="H501" s="38" t="str">
        <f>IF('NEW ACCOUNT'!A502="","",'NEW ACCOUNT'!H502)</f>
        <v/>
      </c>
      <c r="I501" s="38" t="str">
        <f>IF('NEW ACCOUNT'!A502="","",'NEW ACCOUNT'!I502)</f>
        <v/>
      </c>
      <c r="J501" s="38" t="str">
        <f>IF('NEW ACCOUNT'!A502="","",'NEW ACCOUNT'!J502)</f>
        <v/>
      </c>
      <c r="K501" s="39" t="str">
        <f>IFERROR(IF(A501="","",SUMIF(DB_Savings!$A:$A,A501,DB_Savings!$F:$F)),"")</f>
        <v/>
      </c>
      <c r="L501" s="39" t="str">
        <f>IFERROR(IF(A501="","",SUMIF(DB_Withdrawals!$A:$A,A501,DB_Withdrawals!$G:$G)),"")</f>
        <v/>
      </c>
      <c r="M501" s="39" t="str">
        <f>IFERROR(IF(A501="","",IFERROR(VALUE(H501),0)+IFERROR(SUMIF(DB_Savings!$A:$A,A501,DB_Savings!$F:$F),0)-IFERROR(SUMIF(DB_Withdrawals!$A:$A,A501,DB_Withdrawals!$G:$G),0)),"")</f>
        <v/>
      </c>
      <c r="N501" s="39" t="str">
        <f>IFERROR(IF(A501="","",MAX(0,M501-System_Config!$B$9)),"")</f>
        <v/>
      </c>
    </row>
    <row r="502" spans="1:14" ht="19.5" customHeight="1" x14ac:dyDescent="0.25">
      <c r="A502" s="37" t="str">
        <f>'NEW ACCOUNT'!A503</f>
        <v/>
      </c>
      <c r="B502" s="38" t="str">
        <f>IF('NEW ACCOUNT'!A503="","",'NEW ACCOUNT'!B503)</f>
        <v/>
      </c>
      <c r="C502" s="38" t="str">
        <f>IF('NEW ACCOUNT'!A503="","",'NEW ACCOUNT'!C503)</f>
        <v/>
      </c>
      <c r="D502" s="38" t="str">
        <f>IF('NEW ACCOUNT'!A503="","",'NEW ACCOUNT'!D503)</f>
        <v/>
      </c>
      <c r="E502" s="38" t="str">
        <f>IF('NEW ACCOUNT'!A503="","",'NEW ACCOUNT'!E503)</f>
        <v/>
      </c>
      <c r="F502" s="38" t="str">
        <f>IF('NEW ACCOUNT'!A503="","",'NEW ACCOUNT'!F503)</f>
        <v/>
      </c>
      <c r="G502" s="38" t="str">
        <f>IF('NEW ACCOUNT'!A503="","",'NEW ACCOUNT'!G503)</f>
        <v/>
      </c>
      <c r="H502" s="38" t="str">
        <f>IF('NEW ACCOUNT'!A503="","",'NEW ACCOUNT'!H503)</f>
        <v/>
      </c>
      <c r="I502" s="38" t="str">
        <f>IF('NEW ACCOUNT'!A503="","",'NEW ACCOUNT'!I503)</f>
        <v/>
      </c>
      <c r="J502" s="38" t="str">
        <f>IF('NEW ACCOUNT'!A503="","",'NEW ACCOUNT'!J503)</f>
        <v/>
      </c>
      <c r="K502" s="39" t="str">
        <f>IFERROR(IF(A502="","",SUMIF(DB_Savings!$A:$A,A502,DB_Savings!$F:$F)),"")</f>
        <v/>
      </c>
      <c r="L502" s="39" t="str">
        <f>IFERROR(IF(A502="","",SUMIF(DB_Withdrawals!$A:$A,A502,DB_Withdrawals!$G:$G)),"")</f>
        <v/>
      </c>
      <c r="M502" s="39" t="str">
        <f>IFERROR(IF(A502="","",IFERROR(VALUE(H502),0)+IFERROR(SUMIF(DB_Savings!$A:$A,A502,DB_Savings!$F:$F),0)-IFERROR(SUMIF(DB_Withdrawals!$A:$A,A502,DB_Withdrawals!$G:$G),0)),"")</f>
        <v/>
      </c>
      <c r="N502" s="39" t="str">
        <f>IFERROR(IF(A502="","",MAX(0,M502-System_Config!$B$9)),"")</f>
        <v/>
      </c>
    </row>
    <row r="503" spans="1:14" ht="19.5" customHeight="1" x14ac:dyDescent="0.25">
      <c r="A503" s="37" t="str">
        <f>'NEW ACCOUNT'!A504</f>
        <v/>
      </c>
      <c r="B503" s="38" t="str">
        <f>IF('NEW ACCOUNT'!A504="","",'NEW ACCOUNT'!B504)</f>
        <v/>
      </c>
      <c r="C503" s="38" t="str">
        <f>IF('NEW ACCOUNT'!A504="","",'NEW ACCOUNT'!C504)</f>
        <v/>
      </c>
      <c r="D503" s="38" t="str">
        <f>IF('NEW ACCOUNT'!A504="","",'NEW ACCOUNT'!D504)</f>
        <v/>
      </c>
      <c r="E503" s="38" t="str">
        <f>IF('NEW ACCOUNT'!A504="","",'NEW ACCOUNT'!E504)</f>
        <v/>
      </c>
      <c r="F503" s="38" t="str">
        <f>IF('NEW ACCOUNT'!A504="","",'NEW ACCOUNT'!F504)</f>
        <v/>
      </c>
      <c r="G503" s="38" t="str">
        <f>IF('NEW ACCOUNT'!A504="","",'NEW ACCOUNT'!G504)</f>
        <v/>
      </c>
      <c r="H503" s="38" t="str">
        <f>IF('NEW ACCOUNT'!A504="","",'NEW ACCOUNT'!H504)</f>
        <v/>
      </c>
      <c r="I503" s="38" t="str">
        <f>IF('NEW ACCOUNT'!A504="","",'NEW ACCOUNT'!I504)</f>
        <v/>
      </c>
      <c r="J503" s="38" t="str">
        <f>IF('NEW ACCOUNT'!A504="","",'NEW ACCOUNT'!J504)</f>
        <v/>
      </c>
      <c r="K503" s="39" t="str">
        <f>IFERROR(IF(A503="","",SUMIF(DB_Savings!$A:$A,A503,DB_Savings!$F:$F)),"")</f>
        <v/>
      </c>
      <c r="L503" s="39" t="str">
        <f>IFERROR(IF(A503="","",SUMIF(DB_Withdrawals!$A:$A,A503,DB_Withdrawals!$G:$G)),"")</f>
        <v/>
      </c>
      <c r="M503" s="39" t="str">
        <f>IFERROR(IF(A503="","",IFERROR(VALUE(H503),0)+IFERROR(SUMIF(DB_Savings!$A:$A,A503,DB_Savings!$F:$F),0)-IFERROR(SUMIF(DB_Withdrawals!$A:$A,A503,DB_Withdrawals!$G:$G),0)),"")</f>
        <v/>
      </c>
      <c r="N503" s="39" t="str">
        <f>IFERROR(IF(A503="","",MAX(0,M503-System_Config!$B$9)),"")</f>
        <v/>
      </c>
    </row>
    <row r="504" spans="1:14" ht="15" customHeight="1" x14ac:dyDescent="0.25">
      <c r="A504" t="str">
        <f>'NEW ACCOUNT'!A505</f>
        <v/>
      </c>
      <c r="B504" t="str">
        <f>IF('NEW ACCOUNT'!A505="","",'NEW ACCOUNT'!B505)</f>
        <v/>
      </c>
      <c r="C504" t="str">
        <f>IF('NEW ACCOUNT'!A505="","",'NEW ACCOUNT'!C505)</f>
        <v/>
      </c>
      <c r="D504" t="str">
        <f>IF('NEW ACCOUNT'!A505="","",'NEW ACCOUNT'!D505)</f>
        <v/>
      </c>
      <c r="E504" t="str">
        <f>IF('NEW ACCOUNT'!A505="","",'NEW ACCOUNT'!E505)</f>
        <v/>
      </c>
      <c r="F504" t="str">
        <f>IF('NEW ACCOUNT'!A505="","",'NEW ACCOUNT'!F505)</f>
        <v/>
      </c>
      <c r="G504" t="str">
        <f>IF('NEW ACCOUNT'!A505="","",'NEW ACCOUNT'!G505)</f>
        <v/>
      </c>
      <c r="H504" t="str">
        <f>IF('NEW ACCOUNT'!A505="","",'NEW ACCOUNT'!H505)</f>
        <v/>
      </c>
      <c r="I504" t="str">
        <f>IF('NEW ACCOUNT'!A505="","",'NEW ACCOUNT'!I505)</f>
        <v/>
      </c>
      <c r="J504" t="str">
        <f>IF('NEW ACCOUNT'!A505="","",'NEW ACCOUNT'!J505)</f>
        <v/>
      </c>
      <c r="K504" t="str">
        <f>IFERROR(IF(A504="","",SUMIF(DB_Savings!$A:$A,A504,DB_Savings!$F:$F)),"")</f>
        <v/>
      </c>
      <c r="L504" t="str">
        <f>IFERROR(IF(A504="","",SUMIF(DB_Withdrawals!$A:$A,A504,DB_Withdrawals!$G:$G)),"")</f>
        <v/>
      </c>
      <c r="M504" t="str">
        <f>IFERROR(IF(A504="","",IFERROR(VALUE(H504),0)+IFERROR(SUMIF(DB_Savings!$A:$A,A504,DB_Savings!$F:$F),0)-IFERROR(SUMIF(DB_Withdrawals!$A:$A,A504,DB_Withdrawals!$G:$G),0)),"")</f>
        <v/>
      </c>
      <c r="N504" t="str">
        <f>IFERROR(IF(A504="","",MAX(0,M504-System_Config!$B$9)),"")</f>
        <v/>
      </c>
    </row>
    <row r="505" spans="1:14" ht="15" customHeight="1" x14ac:dyDescent="0.25">
      <c r="A505" t="str">
        <f>'NEW ACCOUNT'!A506</f>
        <v/>
      </c>
      <c r="B505" t="str">
        <f>IF('NEW ACCOUNT'!A506="","",'NEW ACCOUNT'!B506)</f>
        <v/>
      </c>
      <c r="C505" t="str">
        <f>IF('NEW ACCOUNT'!A506="","",'NEW ACCOUNT'!C506)</f>
        <v/>
      </c>
      <c r="D505" t="str">
        <f>IF('NEW ACCOUNT'!A506="","",'NEW ACCOUNT'!D506)</f>
        <v/>
      </c>
      <c r="E505" t="str">
        <f>IF('NEW ACCOUNT'!A506="","",'NEW ACCOUNT'!E506)</f>
        <v/>
      </c>
      <c r="F505" t="str">
        <f>IF('NEW ACCOUNT'!A506="","",'NEW ACCOUNT'!F506)</f>
        <v/>
      </c>
      <c r="G505" t="str">
        <f>IF('NEW ACCOUNT'!A506="","",'NEW ACCOUNT'!G506)</f>
        <v/>
      </c>
      <c r="H505" t="str">
        <f>IF('NEW ACCOUNT'!A506="","",'NEW ACCOUNT'!H506)</f>
        <v/>
      </c>
      <c r="I505" t="str">
        <f>IF('NEW ACCOUNT'!A506="","",'NEW ACCOUNT'!I506)</f>
        <v/>
      </c>
      <c r="J505" t="str">
        <f>IF('NEW ACCOUNT'!A506="","",'NEW ACCOUNT'!J506)</f>
        <v/>
      </c>
      <c r="K505" t="str">
        <f>IFERROR(IF(A505="","",SUMIF(DB_Savings!$A:$A,A505,DB_Savings!$F:$F)),"")</f>
        <v/>
      </c>
      <c r="L505" t="str">
        <f>IFERROR(IF(A505="","",SUMIF(DB_Withdrawals!$A:$A,A505,DB_Withdrawals!$G:$G)),"")</f>
        <v/>
      </c>
      <c r="M505" t="str">
        <f>IFERROR(IF(A505="","",IFERROR(VALUE(H505),0)+IFERROR(SUMIF(DB_Savings!$A:$A,A505,DB_Savings!$F:$F),0)-IFERROR(SUMIF(DB_Withdrawals!$A:$A,A505,DB_Withdrawals!$G:$G),0)),"")</f>
        <v/>
      </c>
      <c r="N505" t="str">
        <f>IFERROR(IF(A505="","",MAX(0,M505-System_Config!$B$9)),"")</f>
        <v/>
      </c>
    </row>
    <row r="506" spans="1:14" ht="15" customHeight="1" x14ac:dyDescent="0.25">
      <c r="A506" t="str">
        <f>'NEW ACCOUNT'!A507</f>
        <v/>
      </c>
      <c r="B506" t="str">
        <f>IF('NEW ACCOUNT'!A507="","",'NEW ACCOUNT'!B507)</f>
        <v/>
      </c>
      <c r="C506" t="str">
        <f>IF('NEW ACCOUNT'!A507="","",'NEW ACCOUNT'!C507)</f>
        <v/>
      </c>
      <c r="D506" t="str">
        <f>IF('NEW ACCOUNT'!A507="","",'NEW ACCOUNT'!D507)</f>
        <v/>
      </c>
      <c r="E506" t="str">
        <f>IF('NEW ACCOUNT'!A507="","",'NEW ACCOUNT'!E507)</f>
        <v/>
      </c>
      <c r="F506" t="str">
        <f>IF('NEW ACCOUNT'!A507="","",'NEW ACCOUNT'!F507)</f>
        <v/>
      </c>
      <c r="G506" t="str">
        <f>IF('NEW ACCOUNT'!A507="","",'NEW ACCOUNT'!G507)</f>
        <v/>
      </c>
      <c r="H506" t="str">
        <f>IF('NEW ACCOUNT'!A507="","",'NEW ACCOUNT'!H507)</f>
        <v/>
      </c>
      <c r="I506" t="str">
        <f>IF('NEW ACCOUNT'!A507="","",'NEW ACCOUNT'!I507)</f>
        <v/>
      </c>
      <c r="J506" t="str">
        <f>IF('NEW ACCOUNT'!A507="","",'NEW ACCOUNT'!J507)</f>
        <v/>
      </c>
      <c r="K506" t="str">
        <f>IFERROR(IF(A506="","",SUMIF(DB_Savings!$A:$A,A506,DB_Savings!$F:$F)),"")</f>
        <v/>
      </c>
      <c r="L506" t="str">
        <f>IFERROR(IF(A506="","",SUMIF(DB_Withdrawals!$A:$A,A506,DB_Withdrawals!$G:$G)),"")</f>
        <v/>
      </c>
      <c r="M506" t="str">
        <f>IFERROR(IF(A506="","",IFERROR(VALUE(H506),0)+IFERROR(SUMIF(DB_Savings!$A:$A,A506,DB_Savings!$F:$F),0)-IFERROR(SUMIF(DB_Withdrawals!$A:$A,A506,DB_Withdrawals!$G:$G),0)),"")</f>
        <v/>
      </c>
      <c r="N506" t="str">
        <f>IFERROR(IF(A506="","",MAX(0,M506-System_Config!$B$9)),"")</f>
        <v/>
      </c>
    </row>
    <row r="507" spans="1:14" ht="15" customHeight="1" x14ac:dyDescent="0.25">
      <c r="A507" t="str">
        <f>'NEW ACCOUNT'!A508</f>
        <v/>
      </c>
      <c r="B507" t="str">
        <f>IF('NEW ACCOUNT'!A508="","",'NEW ACCOUNT'!B508)</f>
        <v/>
      </c>
      <c r="C507" t="str">
        <f>IF('NEW ACCOUNT'!A508="","",'NEW ACCOUNT'!C508)</f>
        <v/>
      </c>
      <c r="D507" t="str">
        <f>IF('NEW ACCOUNT'!A508="","",'NEW ACCOUNT'!D508)</f>
        <v/>
      </c>
      <c r="E507" t="str">
        <f>IF('NEW ACCOUNT'!A508="","",'NEW ACCOUNT'!E508)</f>
        <v/>
      </c>
      <c r="F507" t="str">
        <f>IF('NEW ACCOUNT'!A508="","",'NEW ACCOUNT'!F508)</f>
        <v/>
      </c>
      <c r="G507" t="str">
        <f>IF('NEW ACCOUNT'!A508="","",'NEW ACCOUNT'!G508)</f>
        <v/>
      </c>
      <c r="H507" t="str">
        <f>IF('NEW ACCOUNT'!A508="","",'NEW ACCOUNT'!H508)</f>
        <v/>
      </c>
      <c r="I507" t="str">
        <f>IF('NEW ACCOUNT'!A508="","",'NEW ACCOUNT'!I508)</f>
        <v/>
      </c>
      <c r="J507" t="str">
        <f>IF('NEW ACCOUNT'!A508="","",'NEW ACCOUNT'!J508)</f>
        <v/>
      </c>
      <c r="K507" t="str">
        <f>IFERROR(IF(A507="","",SUMIF(DB_Savings!$A:$A,A507,DB_Savings!$F:$F)),"")</f>
        <v/>
      </c>
      <c r="L507" t="str">
        <f>IFERROR(IF(A507="","",SUMIF(DB_Withdrawals!$A:$A,A507,DB_Withdrawals!$G:$G)),"")</f>
        <v/>
      </c>
      <c r="M507" t="str">
        <f>IFERROR(IF(A507="","",IFERROR(VALUE(H507),0)+IFERROR(SUMIF(DB_Savings!$A:$A,A507,DB_Savings!$F:$F),0)-IFERROR(SUMIF(DB_Withdrawals!$A:$A,A507,DB_Withdrawals!$G:$G),0)),"")</f>
        <v/>
      </c>
      <c r="N507" t="str">
        <f>IFERROR(IF(A507="","",MAX(0,M507-System_Config!$B$9)),"")</f>
        <v/>
      </c>
    </row>
    <row r="508" spans="1:14" ht="15" customHeight="1" x14ac:dyDescent="0.25">
      <c r="A508" t="str">
        <f>'NEW ACCOUNT'!A509</f>
        <v/>
      </c>
      <c r="B508" t="str">
        <f>IF('NEW ACCOUNT'!A509="","",'NEW ACCOUNT'!B509)</f>
        <v/>
      </c>
      <c r="C508" t="str">
        <f>IF('NEW ACCOUNT'!A509="","",'NEW ACCOUNT'!C509)</f>
        <v/>
      </c>
      <c r="D508" t="str">
        <f>IF('NEW ACCOUNT'!A509="","",'NEW ACCOUNT'!D509)</f>
        <v/>
      </c>
      <c r="E508" t="str">
        <f>IF('NEW ACCOUNT'!A509="","",'NEW ACCOUNT'!E509)</f>
        <v/>
      </c>
      <c r="F508" t="str">
        <f>IF('NEW ACCOUNT'!A509="","",'NEW ACCOUNT'!F509)</f>
        <v/>
      </c>
      <c r="G508" t="str">
        <f>IF('NEW ACCOUNT'!A509="","",'NEW ACCOUNT'!G509)</f>
        <v/>
      </c>
      <c r="H508" t="str">
        <f>IF('NEW ACCOUNT'!A509="","",'NEW ACCOUNT'!H509)</f>
        <v/>
      </c>
      <c r="I508" t="str">
        <f>IF('NEW ACCOUNT'!A509="","",'NEW ACCOUNT'!I509)</f>
        <v/>
      </c>
      <c r="J508" t="str">
        <f>IF('NEW ACCOUNT'!A509="","",'NEW ACCOUNT'!J509)</f>
        <v/>
      </c>
      <c r="K508" t="str">
        <f>IFERROR(IF(A508="","",SUMIF(DB_Savings!$A:$A,A508,DB_Savings!$F:$F)),"")</f>
        <v/>
      </c>
      <c r="L508" t="str">
        <f>IFERROR(IF(A508="","",SUMIF(DB_Withdrawals!$A:$A,A508,DB_Withdrawals!$G:$G)),"")</f>
        <v/>
      </c>
      <c r="M508" t="str">
        <f>IFERROR(IF(A508="","",IFERROR(VALUE(H508),0)+IFERROR(SUMIF(DB_Savings!$A:$A,A508,DB_Savings!$F:$F),0)-IFERROR(SUMIF(DB_Withdrawals!$A:$A,A508,DB_Withdrawals!$G:$G),0)),"")</f>
        <v/>
      </c>
      <c r="N508" t="str">
        <f>IFERROR(IF(A508="","",MAX(0,M508-System_Config!$B$9)),"")</f>
        <v/>
      </c>
    </row>
    <row r="509" spans="1:14" ht="15" customHeight="1" x14ac:dyDescent="0.25">
      <c r="A509" t="str">
        <f>'NEW ACCOUNT'!A510</f>
        <v/>
      </c>
      <c r="B509" t="str">
        <f>IF('NEW ACCOUNT'!A510="","",'NEW ACCOUNT'!B510)</f>
        <v/>
      </c>
      <c r="C509" t="str">
        <f>IF('NEW ACCOUNT'!A510="","",'NEW ACCOUNT'!C510)</f>
        <v/>
      </c>
      <c r="D509" t="str">
        <f>IF('NEW ACCOUNT'!A510="","",'NEW ACCOUNT'!D510)</f>
        <v/>
      </c>
      <c r="E509" t="str">
        <f>IF('NEW ACCOUNT'!A510="","",'NEW ACCOUNT'!E510)</f>
        <v/>
      </c>
      <c r="F509" t="str">
        <f>IF('NEW ACCOUNT'!A510="","",'NEW ACCOUNT'!F510)</f>
        <v/>
      </c>
      <c r="G509" t="str">
        <f>IF('NEW ACCOUNT'!A510="","",'NEW ACCOUNT'!G510)</f>
        <v/>
      </c>
      <c r="H509" t="str">
        <f>IF('NEW ACCOUNT'!A510="","",'NEW ACCOUNT'!H510)</f>
        <v/>
      </c>
      <c r="I509" t="str">
        <f>IF('NEW ACCOUNT'!A510="","",'NEW ACCOUNT'!I510)</f>
        <v/>
      </c>
      <c r="J509" t="str">
        <f>IF('NEW ACCOUNT'!A510="","",'NEW ACCOUNT'!J510)</f>
        <v/>
      </c>
      <c r="K509" t="str">
        <f>IFERROR(IF(A509="","",SUMIF(DB_Savings!$A:$A,A509,DB_Savings!$F:$F)),"")</f>
        <v/>
      </c>
      <c r="L509" t="str">
        <f>IFERROR(IF(A509="","",SUMIF(DB_Withdrawals!$A:$A,A509,DB_Withdrawals!$G:$G)),"")</f>
        <v/>
      </c>
      <c r="M509" t="str">
        <f>IFERROR(IF(A509="","",IFERROR(VALUE(H509),0)+IFERROR(SUMIF(DB_Savings!$A:$A,A509,DB_Savings!$F:$F),0)-IFERROR(SUMIF(DB_Withdrawals!$A:$A,A509,DB_Withdrawals!$G:$G),0)),"")</f>
        <v/>
      </c>
      <c r="N509" t="str">
        <f>IFERROR(IF(A509="","",MAX(0,M509-System_Config!$B$9)),"")</f>
        <v/>
      </c>
    </row>
    <row r="510" spans="1:14" ht="15" customHeight="1" x14ac:dyDescent="0.25">
      <c r="A510" t="str">
        <f>'NEW ACCOUNT'!A511</f>
        <v/>
      </c>
      <c r="B510" t="str">
        <f>IF('NEW ACCOUNT'!A511="","",'NEW ACCOUNT'!B511)</f>
        <v/>
      </c>
      <c r="C510" t="str">
        <f>IF('NEW ACCOUNT'!A511="","",'NEW ACCOUNT'!C511)</f>
        <v/>
      </c>
      <c r="D510" t="str">
        <f>IF('NEW ACCOUNT'!A511="","",'NEW ACCOUNT'!D511)</f>
        <v/>
      </c>
      <c r="E510" t="str">
        <f>IF('NEW ACCOUNT'!A511="","",'NEW ACCOUNT'!E511)</f>
        <v/>
      </c>
      <c r="F510" t="str">
        <f>IF('NEW ACCOUNT'!A511="","",'NEW ACCOUNT'!F511)</f>
        <v/>
      </c>
      <c r="G510" t="str">
        <f>IF('NEW ACCOUNT'!A511="","",'NEW ACCOUNT'!G511)</f>
        <v/>
      </c>
      <c r="H510" t="str">
        <f>IF('NEW ACCOUNT'!A511="","",'NEW ACCOUNT'!H511)</f>
        <v/>
      </c>
      <c r="I510" t="str">
        <f>IF('NEW ACCOUNT'!A511="","",'NEW ACCOUNT'!I511)</f>
        <v/>
      </c>
      <c r="J510" t="str">
        <f>IF('NEW ACCOUNT'!A511="","",'NEW ACCOUNT'!J511)</f>
        <v/>
      </c>
      <c r="K510" t="str">
        <f>IFERROR(IF(A510="","",SUMIF(DB_Savings!$A:$A,A510,DB_Savings!$F:$F)),"")</f>
        <v/>
      </c>
      <c r="L510" t="str">
        <f>IFERROR(IF(A510="","",SUMIF(DB_Withdrawals!$A:$A,A510,DB_Withdrawals!$G:$G)),"")</f>
        <v/>
      </c>
      <c r="M510" t="str">
        <f>IFERROR(IF(A510="","",IFERROR(VALUE(H510),0)+IFERROR(SUMIF(DB_Savings!$A:$A,A510,DB_Savings!$F:$F),0)-IFERROR(SUMIF(DB_Withdrawals!$A:$A,A510,DB_Withdrawals!$G:$G),0)),"")</f>
        <v/>
      </c>
      <c r="N510" t="str">
        <f>IFERROR(IF(A510="","",MAX(0,M510-System_Config!$B$9)),"")</f>
        <v/>
      </c>
    </row>
    <row r="511" spans="1:14" ht="15" customHeight="1" x14ac:dyDescent="0.25">
      <c r="A511" t="str">
        <f>'NEW ACCOUNT'!A512</f>
        <v/>
      </c>
      <c r="B511" t="str">
        <f>IF('NEW ACCOUNT'!A512="","",'NEW ACCOUNT'!B512)</f>
        <v/>
      </c>
      <c r="C511" t="str">
        <f>IF('NEW ACCOUNT'!A512="","",'NEW ACCOUNT'!C512)</f>
        <v/>
      </c>
      <c r="D511" t="str">
        <f>IF('NEW ACCOUNT'!A512="","",'NEW ACCOUNT'!D512)</f>
        <v/>
      </c>
      <c r="E511" t="str">
        <f>IF('NEW ACCOUNT'!A512="","",'NEW ACCOUNT'!E512)</f>
        <v/>
      </c>
      <c r="F511" t="str">
        <f>IF('NEW ACCOUNT'!A512="","",'NEW ACCOUNT'!F512)</f>
        <v/>
      </c>
      <c r="G511" t="str">
        <f>IF('NEW ACCOUNT'!A512="","",'NEW ACCOUNT'!G512)</f>
        <v/>
      </c>
      <c r="H511" t="str">
        <f>IF('NEW ACCOUNT'!A512="","",'NEW ACCOUNT'!H512)</f>
        <v/>
      </c>
      <c r="I511" t="str">
        <f>IF('NEW ACCOUNT'!A512="","",'NEW ACCOUNT'!I512)</f>
        <v/>
      </c>
      <c r="J511" t="str">
        <f>IF('NEW ACCOUNT'!A512="","",'NEW ACCOUNT'!J512)</f>
        <v/>
      </c>
      <c r="K511" t="str">
        <f>IFERROR(IF(A511="","",SUMIF(DB_Savings!$A:$A,A511,DB_Savings!$F:$F)),"")</f>
        <v/>
      </c>
      <c r="L511" t="str">
        <f>IFERROR(IF(A511="","",SUMIF(DB_Withdrawals!$A:$A,A511,DB_Withdrawals!$G:$G)),"")</f>
        <v/>
      </c>
      <c r="M511" t="str">
        <f>IFERROR(IF(A511="","",IFERROR(VALUE(H511),0)+IFERROR(SUMIF(DB_Savings!$A:$A,A511,DB_Savings!$F:$F),0)-IFERROR(SUMIF(DB_Withdrawals!$A:$A,A511,DB_Withdrawals!$G:$G),0)),"")</f>
        <v/>
      </c>
      <c r="N511" t="str">
        <f>IFERROR(IF(A511="","",MAX(0,M511-System_Config!$B$9)),"")</f>
        <v/>
      </c>
    </row>
    <row r="512" spans="1:14" ht="15" customHeight="1" x14ac:dyDescent="0.25">
      <c r="A512" t="str">
        <f>'NEW ACCOUNT'!A513</f>
        <v/>
      </c>
      <c r="B512" t="str">
        <f>IF('NEW ACCOUNT'!A513="","",'NEW ACCOUNT'!B513)</f>
        <v/>
      </c>
      <c r="C512" t="str">
        <f>IF('NEW ACCOUNT'!A513="","",'NEW ACCOUNT'!C513)</f>
        <v/>
      </c>
      <c r="D512" t="str">
        <f>IF('NEW ACCOUNT'!A513="","",'NEW ACCOUNT'!D513)</f>
        <v/>
      </c>
      <c r="E512" t="str">
        <f>IF('NEW ACCOUNT'!A513="","",'NEW ACCOUNT'!E513)</f>
        <v/>
      </c>
      <c r="F512" t="str">
        <f>IF('NEW ACCOUNT'!A513="","",'NEW ACCOUNT'!F513)</f>
        <v/>
      </c>
      <c r="G512" t="str">
        <f>IF('NEW ACCOUNT'!A513="","",'NEW ACCOUNT'!G513)</f>
        <v/>
      </c>
      <c r="H512" t="str">
        <f>IF('NEW ACCOUNT'!A513="","",'NEW ACCOUNT'!H513)</f>
        <v/>
      </c>
      <c r="I512" t="str">
        <f>IF('NEW ACCOUNT'!A513="","",'NEW ACCOUNT'!I513)</f>
        <v/>
      </c>
      <c r="J512" t="str">
        <f>IF('NEW ACCOUNT'!A513="","",'NEW ACCOUNT'!J513)</f>
        <v/>
      </c>
      <c r="K512" t="str">
        <f>IFERROR(IF(A512="","",SUMIF(DB_Savings!$A:$A,A512,DB_Savings!$F:$F)),"")</f>
        <v/>
      </c>
      <c r="L512" t="str">
        <f>IFERROR(IF(A512="","",SUMIF(DB_Withdrawals!$A:$A,A512,DB_Withdrawals!$G:$G)),"")</f>
        <v/>
      </c>
      <c r="M512" t="str">
        <f>IFERROR(IF(A512="","",IFERROR(VALUE(H512),0)+IFERROR(SUMIF(DB_Savings!$A:$A,A512,DB_Savings!$F:$F),0)-IFERROR(SUMIF(DB_Withdrawals!$A:$A,A512,DB_Withdrawals!$G:$G),0)),"")</f>
        <v/>
      </c>
      <c r="N512" t="str">
        <f>IFERROR(IF(A512="","",MAX(0,M512-System_Config!$B$9)),"")</f>
        <v/>
      </c>
    </row>
    <row r="513" spans="1:14" ht="15" customHeight="1" x14ac:dyDescent="0.25">
      <c r="A513" t="str">
        <f>'NEW ACCOUNT'!A514</f>
        <v/>
      </c>
      <c r="B513" t="str">
        <f>IF('NEW ACCOUNT'!A514="","",'NEW ACCOUNT'!B514)</f>
        <v/>
      </c>
      <c r="C513" t="str">
        <f>IF('NEW ACCOUNT'!A514="","",'NEW ACCOUNT'!C514)</f>
        <v/>
      </c>
      <c r="D513" t="str">
        <f>IF('NEW ACCOUNT'!A514="","",'NEW ACCOUNT'!D514)</f>
        <v/>
      </c>
      <c r="E513" t="str">
        <f>IF('NEW ACCOUNT'!A514="","",'NEW ACCOUNT'!E514)</f>
        <v/>
      </c>
      <c r="F513" t="str">
        <f>IF('NEW ACCOUNT'!A514="","",'NEW ACCOUNT'!F514)</f>
        <v/>
      </c>
      <c r="G513" t="str">
        <f>IF('NEW ACCOUNT'!A514="","",'NEW ACCOUNT'!G514)</f>
        <v/>
      </c>
      <c r="H513" t="str">
        <f>IF('NEW ACCOUNT'!A514="","",'NEW ACCOUNT'!H514)</f>
        <v/>
      </c>
      <c r="I513" t="str">
        <f>IF('NEW ACCOUNT'!A514="","",'NEW ACCOUNT'!I514)</f>
        <v/>
      </c>
      <c r="J513" t="str">
        <f>IF('NEW ACCOUNT'!A514="","",'NEW ACCOUNT'!J514)</f>
        <v/>
      </c>
      <c r="K513" t="str">
        <f>IFERROR(IF(A513="","",SUMIF(DB_Savings!$A:$A,A513,DB_Savings!$F:$F)),"")</f>
        <v/>
      </c>
      <c r="L513" t="str">
        <f>IFERROR(IF(A513="","",SUMIF(DB_Withdrawals!$A:$A,A513,DB_Withdrawals!$G:$G)),"")</f>
        <v/>
      </c>
      <c r="M513" t="str">
        <f>IFERROR(IF(A513="","",IFERROR(VALUE(H513),0)+IFERROR(SUMIF(DB_Savings!$A:$A,A513,DB_Savings!$F:$F),0)-IFERROR(SUMIF(DB_Withdrawals!$A:$A,A513,DB_Withdrawals!$G:$G),0)),"")</f>
        <v/>
      </c>
      <c r="N513" t="str">
        <f>IFERROR(IF(A513="","",MAX(0,M513-System_Config!$B$9)),"")</f>
        <v/>
      </c>
    </row>
    <row r="514" spans="1:14" ht="15" customHeight="1" x14ac:dyDescent="0.25">
      <c r="A514" t="str">
        <f>'NEW ACCOUNT'!A515</f>
        <v/>
      </c>
      <c r="B514" t="str">
        <f>IF('NEW ACCOUNT'!A515="","",'NEW ACCOUNT'!B515)</f>
        <v/>
      </c>
      <c r="C514" t="str">
        <f>IF('NEW ACCOUNT'!A515="","",'NEW ACCOUNT'!C515)</f>
        <v/>
      </c>
      <c r="D514" t="str">
        <f>IF('NEW ACCOUNT'!A515="","",'NEW ACCOUNT'!D515)</f>
        <v/>
      </c>
      <c r="E514" t="str">
        <f>IF('NEW ACCOUNT'!A515="","",'NEW ACCOUNT'!E515)</f>
        <v/>
      </c>
      <c r="F514" t="str">
        <f>IF('NEW ACCOUNT'!A515="","",'NEW ACCOUNT'!F515)</f>
        <v/>
      </c>
      <c r="G514" t="str">
        <f>IF('NEW ACCOUNT'!A515="","",'NEW ACCOUNT'!G515)</f>
        <v/>
      </c>
      <c r="H514" t="str">
        <f>IF('NEW ACCOUNT'!A515="","",'NEW ACCOUNT'!H515)</f>
        <v/>
      </c>
      <c r="I514" t="str">
        <f>IF('NEW ACCOUNT'!A515="","",'NEW ACCOUNT'!I515)</f>
        <v/>
      </c>
      <c r="J514" t="str">
        <f>IF('NEW ACCOUNT'!A515="","",'NEW ACCOUNT'!J515)</f>
        <v/>
      </c>
      <c r="K514" t="str">
        <f>IFERROR(IF(A514="","",SUMIF(DB_Savings!$A:$A,A514,DB_Savings!$F:$F)),"")</f>
        <v/>
      </c>
      <c r="L514" t="str">
        <f>IFERROR(IF(A514="","",SUMIF(DB_Withdrawals!$A:$A,A514,DB_Withdrawals!$G:$G)),"")</f>
        <v/>
      </c>
      <c r="M514" t="str">
        <f>IFERROR(IF(A514="","",IFERROR(VALUE(H514),0)+IFERROR(SUMIF(DB_Savings!$A:$A,A514,DB_Savings!$F:$F),0)-IFERROR(SUMIF(DB_Withdrawals!$A:$A,A514,DB_Withdrawals!$G:$G),0)),"")</f>
        <v/>
      </c>
      <c r="N514" t="str">
        <f>IFERROR(IF(A514="","",MAX(0,M514-System_Config!$B$9)),"")</f>
        <v/>
      </c>
    </row>
    <row r="515" spans="1:14" ht="15" customHeight="1" x14ac:dyDescent="0.25">
      <c r="A515" t="str">
        <f>'NEW ACCOUNT'!A516</f>
        <v/>
      </c>
      <c r="B515" t="str">
        <f>IF('NEW ACCOUNT'!A516="","",'NEW ACCOUNT'!B516)</f>
        <v/>
      </c>
      <c r="C515" t="str">
        <f>IF('NEW ACCOUNT'!A516="","",'NEW ACCOUNT'!C516)</f>
        <v/>
      </c>
      <c r="D515" t="str">
        <f>IF('NEW ACCOUNT'!A516="","",'NEW ACCOUNT'!D516)</f>
        <v/>
      </c>
      <c r="E515" t="str">
        <f>IF('NEW ACCOUNT'!A516="","",'NEW ACCOUNT'!E516)</f>
        <v/>
      </c>
      <c r="F515" t="str">
        <f>IF('NEW ACCOUNT'!A516="","",'NEW ACCOUNT'!F516)</f>
        <v/>
      </c>
      <c r="G515" t="str">
        <f>IF('NEW ACCOUNT'!A516="","",'NEW ACCOUNT'!G516)</f>
        <v/>
      </c>
      <c r="H515" t="str">
        <f>IF('NEW ACCOUNT'!A516="","",'NEW ACCOUNT'!H516)</f>
        <v/>
      </c>
      <c r="I515" t="str">
        <f>IF('NEW ACCOUNT'!A516="","",'NEW ACCOUNT'!I516)</f>
        <v/>
      </c>
      <c r="J515" t="str">
        <f>IF('NEW ACCOUNT'!A516="","",'NEW ACCOUNT'!J516)</f>
        <v/>
      </c>
      <c r="K515" t="str">
        <f>IFERROR(IF(A515="","",SUMIF(DB_Savings!$A:$A,A515,DB_Savings!$F:$F)),"")</f>
        <v/>
      </c>
      <c r="L515" t="str">
        <f>IFERROR(IF(A515="","",SUMIF(DB_Withdrawals!$A:$A,A515,DB_Withdrawals!$G:$G)),"")</f>
        <v/>
      </c>
      <c r="M515" t="str">
        <f>IFERROR(IF(A515="","",IFERROR(VALUE(H515),0)+IFERROR(SUMIF(DB_Savings!$A:$A,A515,DB_Savings!$F:$F),0)-IFERROR(SUMIF(DB_Withdrawals!$A:$A,A515,DB_Withdrawals!$G:$G),0)),"")</f>
        <v/>
      </c>
      <c r="N515" t="str">
        <f>IFERROR(IF(A515="","",MAX(0,M515-System_Config!$B$9)),"")</f>
        <v/>
      </c>
    </row>
    <row r="516" spans="1:14" ht="15" customHeight="1" x14ac:dyDescent="0.25">
      <c r="A516" t="str">
        <f>'NEW ACCOUNT'!A517</f>
        <v/>
      </c>
      <c r="B516" t="str">
        <f>IF('NEW ACCOUNT'!A517="","",'NEW ACCOUNT'!B517)</f>
        <v/>
      </c>
      <c r="C516" t="str">
        <f>IF('NEW ACCOUNT'!A517="","",'NEW ACCOUNT'!C517)</f>
        <v/>
      </c>
      <c r="D516" t="str">
        <f>IF('NEW ACCOUNT'!A517="","",'NEW ACCOUNT'!D517)</f>
        <v/>
      </c>
      <c r="E516" t="str">
        <f>IF('NEW ACCOUNT'!A517="","",'NEW ACCOUNT'!E517)</f>
        <v/>
      </c>
      <c r="F516" t="str">
        <f>IF('NEW ACCOUNT'!A517="","",'NEW ACCOUNT'!F517)</f>
        <v/>
      </c>
      <c r="G516" t="str">
        <f>IF('NEW ACCOUNT'!A517="","",'NEW ACCOUNT'!G517)</f>
        <v/>
      </c>
      <c r="H516" t="str">
        <f>IF('NEW ACCOUNT'!A517="","",'NEW ACCOUNT'!H517)</f>
        <v/>
      </c>
      <c r="I516" t="str">
        <f>IF('NEW ACCOUNT'!A517="","",'NEW ACCOUNT'!I517)</f>
        <v/>
      </c>
      <c r="J516" t="str">
        <f>IF('NEW ACCOUNT'!A517="","",'NEW ACCOUNT'!J517)</f>
        <v/>
      </c>
      <c r="K516" t="str">
        <f>IFERROR(IF(A516="","",SUMIF(DB_Savings!$A:$A,A516,DB_Savings!$F:$F)),"")</f>
        <v/>
      </c>
      <c r="L516" t="str">
        <f>IFERROR(IF(A516="","",SUMIF(DB_Withdrawals!$A:$A,A516,DB_Withdrawals!$G:$G)),"")</f>
        <v/>
      </c>
      <c r="M516" t="str">
        <f>IFERROR(IF(A516="","",IFERROR(VALUE(H516),0)+IFERROR(SUMIF(DB_Savings!$A:$A,A516,DB_Savings!$F:$F),0)-IFERROR(SUMIF(DB_Withdrawals!$A:$A,A516,DB_Withdrawals!$G:$G),0)),"")</f>
        <v/>
      </c>
      <c r="N516" t="str">
        <f>IFERROR(IF(A516="","",MAX(0,M516-System_Config!$B$9)),"")</f>
        <v/>
      </c>
    </row>
    <row r="517" spans="1:14" ht="15" customHeight="1" x14ac:dyDescent="0.25">
      <c r="A517" t="str">
        <f>'NEW ACCOUNT'!A518</f>
        <v/>
      </c>
      <c r="B517" t="str">
        <f>IF('NEW ACCOUNT'!A518="","",'NEW ACCOUNT'!B518)</f>
        <v/>
      </c>
      <c r="C517" t="str">
        <f>IF('NEW ACCOUNT'!A518="","",'NEW ACCOUNT'!C518)</f>
        <v/>
      </c>
      <c r="D517" t="str">
        <f>IF('NEW ACCOUNT'!A518="","",'NEW ACCOUNT'!D518)</f>
        <v/>
      </c>
      <c r="E517" t="str">
        <f>IF('NEW ACCOUNT'!A518="","",'NEW ACCOUNT'!E518)</f>
        <v/>
      </c>
      <c r="F517" t="str">
        <f>IF('NEW ACCOUNT'!A518="","",'NEW ACCOUNT'!F518)</f>
        <v/>
      </c>
      <c r="G517" t="str">
        <f>IF('NEW ACCOUNT'!A518="","",'NEW ACCOUNT'!G518)</f>
        <v/>
      </c>
      <c r="H517" t="str">
        <f>IF('NEW ACCOUNT'!A518="","",'NEW ACCOUNT'!H518)</f>
        <v/>
      </c>
      <c r="I517" t="str">
        <f>IF('NEW ACCOUNT'!A518="","",'NEW ACCOUNT'!I518)</f>
        <v/>
      </c>
      <c r="J517" t="str">
        <f>IF('NEW ACCOUNT'!A518="","",'NEW ACCOUNT'!J518)</f>
        <v/>
      </c>
      <c r="K517" t="str">
        <f>IFERROR(IF(A517="","",SUMIF(DB_Savings!$A:$A,A517,DB_Savings!$F:$F)),"")</f>
        <v/>
      </c>
      <c r="L517" t="str">
        <f>IFERROR(IF(A517="","",SUMIF(DB_Withdrawals!$A:$A,A517,DB_Withdrawals!$G:$G)),"")</f>
        <v/>
      </c>
      <c r="M517" t="str">
        <f>IFERROR(IF(A517="","",IFERROR(VALUE(H517),0)+IFERROR(SUMIF(DB_Savings!$A:$A,A517,DB_Savings!$F:$F),0)-IFERROR(SUMIF(DB_Withdrawals!$A:$A,A517,DB_Withdrawals!$G:$G),0)),"")</f>
        <v/>
      </c>
      <c r="N517" t="str">
        <f>IFERROR(IF(A517="","",MAX(0,M517-System_Config!$B$9)),"")</f>
        <v/>
      </c>
    </row>
    <row r="518" spans="1:14" ht="15" customHeight="1" x14ac:dyDescent="0.25">
      <c r="A518" t="str">
        <f>'NEW ACCOUNT'!A519</f>
        <v/>
      </c>
      <c r="B518" t="str">
        <f>IF('NEW ACCOUNT'!A519="","",'NEW ACCOUNT'!B519)</f>
        <v/>
      </c>
      <c r="C518" t="str">
        <f>IF('NEW ACCOUNT'!A519="","",'NEW ACCOUNT'!C519)</f>
        <v/>
      </c>
      <c r="D518" t="str">
        <f>IF('NEW ACCOUNT'!A519="","",'NEW ACCOUNT'!D519)</f>
        <v/>
      </c>
      <c r="E518" t="str">
        <f>IF('NEW ACCOUNT'!A519="","",'NEW ACCOUNT'!E519)</f>
        <v/>
      </c>
      <c r="F518" t="str">
        <f>IF('NEW ACCOUNT'!A519="","",'NEW ACCOUNT'!F519)</f>
        <v/>
      </c>
      <c r="G518" t="str">
        <f>IF('NEW ACCOUNT'!A519="","",'NEW ACCOUNT'!G519)</f>
        <v/>
      </c>
      <c r="H518" t="str">
        <f>IF('NEW ACCOUNT'!A519="","",'NEW ACCOUNT'!H519)</f>
        <v/>
      </c>
      <c r="I518" t="str">
        <f>IF('NEW ACCOUNT'!A519="","",'NEW ACCOUNT'!I519)</f>
        <v/>
      </c>
      <c r="J518" t="str">
        <f>IF('NEW ACCOUNT'!A519="","",'NEW ACCOUNT'!J519)</f>
        <v/>
      </c>
      <c r="K518" t="str">
        <f>IFERROR(IF(A518="","",SUMIF(DB_Savings!$A:$A,A518,DB_Savings!$F:$F)),"")</f>
        <v/>
      </c>
      <c r="L518" t="str">
        <f>IFERROR(IF(A518="","",SUMIF(DB_Withdrawals!$A:$A,A518,DB_Withdrawals!$G:$G)),"")</f>
        <v/>
      </c>
      <c r="M518" t="str">
        <f>IFERROR(IF(A518="","",IFERROR(VALUE(H518),0)+IFERROR(SUMIF(DB_Savings!$A:$A,A518,DB_Savings!$F:$F),0)-IFERROR(SUMIF(DB_Withdrawals!$A:$A,A518,DB_Withdrawals!$G:$G),0)),"")</f>
        <v/>
      </c>
      <c r="N518" t="str">
        <f>IFERROR(IF(A518="","",MAX(0,M518-System_Config!$B$9)),"")</f>
        <v/>
      </c>
    </row>
    <row r="519" spans="1:14" ht="15" customHeight="1" x14ac:dyDescent="0.25">
      <c r="A519" t="str">
        <f>'NEW ACCOUNT'!A520</f>
        <v/>
      </c>
      <c r="B519" t="str">
        <f>IF('NEW ACCOUNT'!A520="","",'NEW ACCOUNT'!B520)</f>
        <v/>
      </c>
      <c r="C519" t="str">
        <f>IF('NEW ACCOUNT'!A520="","",'NEW ACCOUNT'!C520)</f>
        <v/>
      </c>
      <c r="D519" t="str">
        <f>IF('NEW ACCOUNT'!A520="","",'NEW ACCOUNT'!D520)</f>
        <v/>
      </c>
      <c r="E519" t="str">
        <f>IF('NEW ACCOUNT'!A520="","",'NEW ACCOUNT'!E520)</f>
        <v/>
      </c>
      <c r="F519" t="str">
        <f>IF('NEW ACCOUNT'!A520="","",'NEW ACCOUNT'!F520)</f>
        <v/>
      </c>
      <c r="G519" t="str">
        <f>IF('NEW ACCOUNT'!A520="","",'NEW ACCOUNT'!G520)</f>
        <v/>
      </c>
      <c r="H519" t="str">
        <f>IF('NEW ACCOUNT'!A520="","",'NEW ACCOUNT'!H520)</f>
        <v/>
      </c>
      <c r="I519" t="str">
        <f>IF('NEW ACCOUNT'!A520="","",'NEW ACCOUNT'!I520)</f>
        <v/>
      </c>
      <c r="J519" t="str">
        <f>IF('NEW ACCOUNT'!A520="","",'NEW ACCOUNT'!J520)</f>
        <v/>
      </c>
      <c r="K519" t="str">
        <f>IFERROR(IF(A519="","",SUMIF(DB_Savings!$A:$A,A519,DB_Savings!$F:$F)),"")</f>
        <v/>
      </c>
      <c r="L519" t="str">
        <f>IFERROR(IF(A519="","",SUMIF(DB_Withdrawals!$A:$A,A519,DB_Withdrawals!$G:$G)),"")</f>
        <v/>
      </c>
      <c r="M519" t="str">
        <f>IFERROR(IF(A519="","",IFERROR(VALUE(H519),0)+IFERROR(SUMIF(DB_Savings!$A:$A,A519,DB_Savings!$F:$F),0)-IFERROR(SUMIF(DB_Withdrawals!$A:$A,A519,DB_Withdrawals!$G:$G),0)),"")</f>
        <v/>
      </c>
      <c r="N519" t="str">
        <f>IFERROR(IF(A519="","",MAX(0,M519-System_Config!$B$9)),"")</f>
        <v/>
      </c>
    </row>
    <row r="520" spans="1:14" ht="15" customHeight="1" x14ac:dyDescent="0.25">
      <c r="A520" t="str">
        <f>'NEW ACCOUNT'!A521</f>
        <v/>
      </c>
      <c r="B520" t="str">
        <f>IF('NEW ACCOUNT'!A521="","",'NEW ACCOUNT'!B521)</f>
        <v/>
      </c>
      <c r="C520" t="str">
        <f>IF('NEW ACCOUNT'!A521="","",'NEW ACCOUNT'!C521)</f>
        <v/>
      </c>
      <c r="D520" t="str">
        <f>IF('NEW ACCOUNT'!A521="","",'NEW ACCOUNT'!D521)</f>
        <v/>
      </c>
      <c r="E520" t="str">
        <f>IF('NEW ACCOUNT'!A521="","",'NEW ACCOUNT'!E521)</f>
        <v/>
      </c>
      <c r="F520" t="str">
        <f>IF('NEW ACCOUNT'!A521="","",'NEW ACCOUNT'!F521)</f>
        <v/>
      </c>
      <c r="G520" t="str">
        <f>IF('NEW ACCOUNT'!A521="","",'NEW ACCOUNT'!G521)</f>
        <v/>
      </c>
      <c r="H520" t="str">
        <f>IF('NEW ACCOUNT'!A521="","",'NEW ACCOUNT'!H521)</f>
        <v/>
      </c>
      <c r="I520" t="str">
        <f>IF('NEW ACCOUNT'!A521="","",'NEW ACCOUNT'!I521)</f>
        <v/>
      </c>
      <c r="J520" t="str">
        <f>IF('NEW ACCOUNT'!A521="","",'NEW ACCOUNT'!J521)</f>
        <v/>
      </c>
      <c r="K520" t="str">
        <f>IFERROR(IF(A520="","",SUMIF(DB_Savings!$A:$A,A520,DB_Savings!$F:$F)),"")</f>
        <v/>
      </c>
      <c r="L520" t="str">
        <f>IFERROR(IF(A520="","",SUMIF(DB_Withdrawals!$A:$A,A520,DB_Withdrawals!$G:$G)),"")</f>
        <v/>
      </c>
      <c r="M520" t="str">
        <f>IFERROR(IF(A520="","",IFERROR(VALUE(H520),0)+IFERROR(SUMIF(DB_Savings!$A:$A,A520,DB_Savings!$F:$F),0)-IFERROR(SUMIF(DB_Withdrawals!$A:$A,A520,DB_Withdrawals!$G:$G),0)),"")</f>
        <v/>
      </c>
      <c r="N520" t="str">
        <f>IFERROR(IF(A520="","",MAX(0,M520-System_Config!$B$9)),"")</f>
        <v/>
      </c>
    </row>
    <row r="521" spans="1:14" ht="15" customHeight="1" x14ac:dyDescent="0.25">
      <c r="A521" t="str">
        <f>'NEW ACCOUNT'!A522</f>
        <v/>
      </c>
      <c r="B521" t="str">
        <f>IF('NEW ACCOUNT'!A522="","",'NEW ACCOUNT'!B522)</f>
        <v/>
      </c>
      <c r="C521" t="str">
        <f>IF('NEW ACCOUNT'!A522="","",'NEW ACCOUNT'!C522)</f>
        <v/>
      </c>
      <c r="D521" t="str">
        <f>IF('NEW ACCOUNT'!A522="","",'NEW ACCOUNT'!D522)</f>
        <v/>
      </c>
      <c r="E521" t="str">
        <f>IF('NEW ACCOUNT'!A522="","",'NEW ACCOUNT'!E522)</f>
        <v/>
      </c>
      <c r="F521" t="str">
        <f>IF('NEW ACCOUNT'!A522="","",'NEW ACCOUNT'!F522)</f>
        <v/>
      </c>
      <c r="G521" t="str">
        <f>IF('NEW ACCOUNT'!A522="","",'NEW ACCOUNT'!G522)</f>
        <v/>
      </c>
      <c r="H521" t="str">
        <f>IF('NEW ACCOUNT'!A522="","",'NEW ACCOUNT'!H522)</f>
        <v/>
      </c>
      <c r="I521" t="str">
        <f>IF('NEW ACCOUNT'!A522="","",'NEW ACCOUNT'!I522)</f>
        <v/>
      </c>
      <c r="J521" t="str">
        <f>IF('NEW ACCOUNT'!A522="","",'NEW ACCOUNT'!J522)</f>
        <v/>
      </c>
      <c r="K521" t="str">
        <f>IFERROR(IF(A521="","",SUMIF(DB_Savings!$A:$A,A521,DB_Savings!$F:$F)),"")</f>
        <v/>
      </c>
      <c r="L521" t="str">
        <f>IFERROR(IF(A521="","",SUMIF(DB_Withdrawals!$A:$A,A521,DB_Withdrawals!$G:$G)),"")</f>
        <v/>
      </c>
      <c r="M521" t="str">
        <f>IFERROR(IF(A521="","",IFERROR(VALUE(H521),0)+IFERROR(SUMIF(DB_Savings!$A:$A,A521,DB_Savings!$F:$F),0)-IFERROR(SUMIF(DB_Withdrawals!$A:$A,A521,DB_Withdrawals!$G:$G),0)),"")</f>
        <v/>
      </c>
      <c r="N521" t="str">
        <f>IFERROR(IF(A521="","",MAX(0,M521-System_Config!$B$9)),"")</f>
        <v/>
      </c>
    </row>
    <row r="522" spans="1:14" ht="15" customHeight="1" x14ac:dyDescent="0.25">
      <c r="A522" t="str">
        <f>'NEW ACCOUNT'!A523</f>
        <v/>
      </c>
      <c r="B522" t="str">
        <f>IF('NEW ACCOUNT'!A523="","",'NEW ACCOUNT'!B523)</f>
        <v/>
      </c>
      <c r="C522" t="str">
        <f>IF('NEW ACCOUNT'!A523="","",'NEW ACCOUNT'!C523)</f>
        <v/>
      </c>
      <c r="D522" t="str">
        <f>IF('NEW ACCOUNT'!A523="","",'NEW ACCOUNT'!D523)</f>
        <v/>
      </c>
      <c r="E522" t="str">
        <f>IF('NEW ACCOUNT'!A523="","",'NEW ACCOUNT'!E523)</f>
        <v/>
      </c>
      <c r="F522" t="str">
        <f>IF('NEW ACCOUNT'!A523="","",'NEW ACCOUNT'!F523)</f>
        <v/>
      </c>
      <c r="G522" t="str">
        <f>IF('NEW ACCOUNT'!A523="","",'NEW ACCOUNT'!G523)</f>
        <v/>
      </c>
      <c r="H522" t="str">
        <f>IF('NEW ACCOUNT'!A523="","",'NEW ACCOUNT'!H523)</f>
        <v/>
      </c>
      <c r="I522" t="str">
        <f>IF('NEW ACCOUNT'!A523="","",'NEW ACCOUNT'!I523)</f>
        <v/>
      </c>
      <c r="J522" t="str">
        <f>IF('NEW ACCOUNT'!A523="","",'NEW ACCOUNT'!J523)</f>
        <v/>
      </c>
      <c r="K522" t="str">
        <f>IFERROR(IF(A522="","",SUMIF(DB_Savings!$A:$A,A522,DB_Savings!$F:$F)),"")</f>
        <v/>
      </c>
      <c r="L522" t="str">
        <f>IFERROR(IF(A522="","",SUMIF(DB_Withdrawals!$A:$A,A522,DB_Withdrawals!$G:$G)),"")</f>
        <v/>
      </c>
      <c r="M522" t="str">
        <f>IFERROR(IF(A522="","",IFERROR(VALUE(H522),0)+IFERROR(SUMIF(DB_Savings!$A:$A,A522,DB_Savings!$F:$F),0)-IFERROR(SUMIF(DB_Withdrawals!$A:$A,A522,DB_Withdrawals!$G:$G),0)),"")</f>
        <v/>
      </c>
      <c r="N522" t="str">
        <f>IFERROR(IF(A522="","",MAX(0,M522-System_Config!$B$9)),"")</f>
        <v/>
      </c>
    </row>
    <row r="523" spans="1:14" ht="15" customHeight="1" x14ac:dyDescent="0.25">
      <c r="A523" t="str">
        <f>'NEW ACCOUNT'!A524</f>
        <v/>
      </c>
      <c r="B523" t="str">
        <f>IF('NEW ACCOUNT'!A524="","",'NEW ACCOUNT'!B524)</f>
        <v/>
      </c>
      <c r="C523" t="str">
        <f>IF('NEW ACCOUNT'!A524="","",'NEW ACCOUNT'!C524)</f>
        <v/>
      </c>
      <c r="D523" t="str">
        <f>IF('NEW ACCOUNT'!A524="","",'NEW ACCOUNT'!D524)</f>
        <v/>
      </c>
      <c r="E523" t="str">
        <f>IF('NEW ACCOUNT'!A524="","",'NEW ACCOUNT'!E524)</f>
        <v/>
      </c>
      <c r="F523" t="str">
        <f>IF('NEW ACCOUNT'!A524="","",'NEW ACCOUNT'!F524)</f>
        <v/>
      </c>
      <c r="G523" t="str">
        <f>IF('NEW ACCOUNT'!A524="","",'NEW ACCOUNT'!G524)</f>
        <v/>
      </c>
      <c r="H523" t="str">
        <f>IF('NEW ACCOUNT'!A524="","",'NEW ACCOUNT'!H524)</f>
        <v/>
      </c>
      <c r="I523" t="str">
        <f>IF('NEW ACCOUNT'!A524="","",'NEW ACCOUNT'!I524)</f>
        <v/>
      </c>
      <c r="J523" t="str">
        <f>IF('NEW ACCOUNT'!A524="","",'NEW ACCOUNT'!J524)</f>
        <v/>
      </c>
      <c r="K523" t="str">
        <f>IFERROR(IF(A523="","",SUMIF(DB_Savings!$A:$A,A523,DB_Savings!$F:$F)),"")</f>
        <v/>
      </c>
      <c r="L523" t="str">
        <f>IFERROR(IF(A523="","",SUMIF(DB_Withdrawals!$A:$A,A523,DB_Withdrawals!$G:$G)),"")</f>
        <v/>
      </c>
      <c r="M523" t="str">
        <f>IFERROR(IF(A523="","",IFERROR(VALUE(H523),0)+IFERROR(SUMIF(DB_Savings!$A:$A,A523,DB_Savings!$F:$F),0)-IFERROR(SUMIF(DB_Withdrawals!$A:$A,A523,DB_Withdrawals!$G:$G),0)),"")</f>
        <v/>
      </c>
      <c r="N523" t="str">
        <f>IFERROR(IF(A523="","",MAX(0,M523-System_Config!$B$9)),"")</f>
        <v/>
      </c>
    </row>
    <row r="524" spans="1:14" ht="15" customHeight="1" x14ac:dyDescent="0.25">
      <c r="A524" t="str">
        <f>'NEW ACCOUNT'!A525</f>
        <v/>
      </c>
      <c r="B524" t="str">
        <f>IF('NEW ACCOUNT'!A525="","",'NEW ACCOUNT'!B525)</f>
        <v/>
      </c>
      <c r="C524" t="str">
        <f>IF('NEW ACCOUNT'!A525="","",'NEW ACCOUNT'!C525)</f>
        <v/>
      </c>
      <c r="D524" t="str">
        <f>IF('NEW ACCOUNT'!A525="","",'NEW ACCOUNT'!D525)</f>
        <v/>
      </c>
      <c r="E524" t="str">
        <f>IF('NEW ACCOUNT'!A525="","",'NEW ACCOUNT'!E525)</f>
        <v/>
      </c>
      <c r="F524" t="str">
        <f>IF('NEW ACCOUNT'!A525="","",'NEW ACCOUNT'!F525)</f>
        <v/>
      </c>
      <c r="G524" t="str">
        <f>IF('NEW ACCOUNT'!A525="","",'NEW ACCOUNT'!G525)</f>
        <v/>
      </c>
      <c r="H524" t="str">
        <f>IF('NEW ACCOUNT'!A525="","",'NEW ACCOUNT'!H525)</f>
        <v/>
      </c>
      <c r="I524" t="str">
        <f>IF('NEW ACCOUNT'!A525="","",'NEW ACCOUNT'!I525)</f>
        <v/>
      </c>
      <c r="J524" t="str">
        <f>IF('NEW ACCOUNT'!A525="","",'NEW ACCOUNT'!J525)</f>
        <v/>
      </c>
      <c r="K524" t="str">
        <f>IFERROR(IF(A524="","",SUMIF(DB_Savings!$A:$A,A524,DB_Savings!$F:$F)),"")</f>
        <v/>
      </c>
      <c r="L524" t="str">
        <f>IFERROR(IF(A524="","",SUMIF(DB_Withdrawals!$A:$A,A524,DB_Withdrawals!$G:$G)),"")</f>
        <v/>
      </c>
      <c r="M524" t="str">
        <f>IFERROR(IF(A524="","",IFERROR(VALUE(H524),0)+IFERROR(SUMIF(DB_Savings!$A:$A,A524,DB_Savings!$F:$F),0)-IFERROR(SUMIF(DB_Withdrawals!$A:$A,A524,DB_Withdrawals!$G:$G),0)),"")</f>
        <v/>
      </c>
      <c r="N524" t="str">
        <f>IFERROR(IF(A524="","",MAX(0,M524-System_Config!$B$9)),"")</f>
        <v/>
      </c>
    </row>
    <row r="525" spans="1:14" ht="15" customHeight="1" x14ac:dyDescent="0.25">
      <c r="A525" t="str">
        <f>'NEW ACCOUNT'!A526</f>
        <v/>
      </c>
      <c r="B525" t="str">
        <f>IF('NEW ACCOUNT'!A526="","",'NEW ACCOUNT'!B526)</f>
        <v/>
      </c>
      <c r="C525" t="str">
        <f>IF('NEW ACCOUNT'!A526="","",'NEW ACCOUNT'!C526)</f>
        <v/>
      </c>
      <c r="D525" t="str">
        <f>IF('NEW ACCOUNT'!A526="","",'NEW ACCOUNT'!D526)</f>
        <v/>
      </c>
      <c r="E525" t="str">
        <f>IF('NEW ACCOUNT'!A526="","",'NEW ACCOUNT'!E526)</f>
        <v/>
      </c>
      <c r="F525" t="str">
        <f>IF('NEW ACCOUNT'!A526="","",'NEW ACCOUNT'!F526)</f>
        <v/>
      </c>
      <c r="G525" t="str">
        <f>IF('NEW ACCOUNT'!A526="","",'NEW ACCOUNT'!G526)</f>
        <v/>
      </c>
      <c r="H525" t="str">
        <f>IF('NEW ACCOUNT'!A526="","",'NEW ACCOUNT'!H526)</f>
        <v/>
      </c>
      <c r="I525" t="str">
        <f>IF('NEW ACCOUNT'!A526="","",'NEW ACCOUNT'!I526)</f>
        <v/>
      </c>
      <c r="J525" t="str">
        <f>IF('NEW ACCOUNT'!A526="","",'NEW ACCOUNT'!J526)</f>
        <v/>
      </c>
      <c r="K525" t="str">
        <f>IFERROR(IF(A525="","",SUMIF(DB_Savings!$A:$A,A525,DB_Savings!$F:$F)),"")</f>
        <v/>
      </c>
      <c r="L525" t="str">
        <f>IFERROR(IF(A525="","",SUMIF(DB_Withdrawals!$A:$A,A525,DB_Withdrawals!$G:$G)),"")</f>
        <v/>
      </c>
      <c r="M525" t="str">
        <f>IFERROR(IF(A525="","",IFERROR(VALUE(H525),0)+IFERROR(SUMIF(DB_Savings!$A:$A,A525,DB_Savings!$F:$F),0)-IFERROR(SUMIF(DB_Withdrawals!$A:$A,A525,DB_Withdrawals!$G:$G),0)),"")</f>
        <v/>
      </c>
      <c r="N525" t="str">
        <f>IFERROR(IF(A525="","",MAX(0,M525-System_Config!$B$9)),"")</f>
        <v/>
      </c>
    </row>
    <row r="526" spans="1:14" ht="15" customHeight="1" x14ac:dyDescent="0.25">
      <c r="A526" t="str">
        <f>'NEW ACCOUNT'!A527</f>
        <v/>
      </c>
      <c r="B526" t="str">
        <f>IF('NEW ACCOUNT'!A527="","",'NEW ACCOUNT'!B527)</f>
        <v/>
      </c>
      <c r="C526" t="str">
        <f>IF('NEW ACCOUNT'!A527="","",'NEW ACCOUNT'!C527)</f>
        <v/>
      </c>
      <c r="D526" t="str">
        <f>IF('NEW ACCOUNT'!A527="","",'NEW ACCOUNT'!D527)</f>
        <v/>
      </c>
      <c r="E526" t="str">
        <f>IF('NEW ACCOUNT'!A527="","",'NEW ACCOUNT'!E527)</f>
        <v/>
      </c>
      <c r="F526" t="str">
        <f>IF('NEW ACCOUNT'!A527="","",'NEW ACCOUNT'!F527)</f>
        <v/>
      </c>
      <c r="G526" t="str">
        <f>IF('NEW ACCOUNT'!A527="","",'NEW ACCOUNT'!G527)</f>
        <v/>
      </c>
      <c r="H526" t="str">
        <f>IF('NEW ACCOUNT'!A527="","",'NEW ACCOUNT'!H527)</f>
        <v/>
      </c>
      <c r="I526" t="str">
        <f>IF('NEW ACCOUNT'!A527="","",'NEW ACCOUNT'!I527)</f>
        <v/>
      </c>
      <c r="J526" t="str">
        <f>IF('NEW ACCOUNT'!A527="","",'NEW ACCOUNT'!J527)</f>
        <v/>
      </c>
      <c r="K526" t="str">
        <f>IFERROR(IF(A526="","",SUMIF(DB_Savings!$A:$A,A526,DB_Savings!$F:$F)),"")</f>
        <v/>
      </c>
      <c r="L526" t="str">
        <f>IFERROR(IF(A526="","",SUMIF(DB_Withdrawals!$A:$A,A526,DB_Withdrawals!$G:$G)),"")</f>
        <v/>
      </c>
      <c r="M526" t="str">
        <f>IFERROR(IF(A526="","",IFERROR(VALUE(H526),0)+IFERROR(SUMIF(DB_Savings!$A:$A,A526,DB_Savings!$F:$F),0)-IFERROR(SUMIF(DB_Withdrawals!$A:$A,A526,DB_Withdrawals!$G:$G),0)),"")</f>
        <v/>
      </c>
      <c r="N526" t="str">
        <f>IFERROR(IF(A526="","",MAX(0,M526-System_Config!$B$9)),"")</f>
        <v/>
      </c>
    </row>
    <row r="527" spans="1:14" ht="15" customHeight="1" x14ac:dyDescent="0.25">
      <c r="A527" t="str">
        <f>'NEW ACCOUNT'!A528</f>
        <v/>
      </c>
      <c r="B527" t="str">
        <f>IF('NEW ACCOUNT'!A528="","",'NEW ACCOUNT'!B528)</f>
        <v/>
      </c>
      <c r="C527" t="str">
        <f>IF('NEW ACCOUNT'!A528="","",'NEW ACCOUNT'!C528)</f>
        <v/>
      </c>
      <c r="D527" t="str">
        <f>IF('NEW ACCOUNT'!A528="","",'NEW ACCOUNT'!D528)</f>
        <v/>
      </c>
      <c r="E527" t="str">
        <f>IF('NEW ACCOUNT'!A528="","",'NEW ACCOUNT'!E528)</f>
        <v/>
      </c>
      <c r="F527" t="str">
        <f>IF('NEW ACCOUNT'!A528="","",'NEW ACCOUNT'!F528)</f>
        <v/>
      </c>
      <c r="G527" t="str">
        <f>IF('NEW ACCOUNT'!A528="","",'NEW ACCOUNT'!G528)</f>
        <v/>
      </c>
      <c r="H527" t="str">
        <f>IF('NEW ACCOUNT'!A528="","",'NEW ACCOUNT'!H528)</f>
        <v/>
      </c>
      <c r="I527" t="str">
        <f>IF('NEW ACCOUNT'!A528="","",'NEW ACCOUNT'!I528)</f>
        <v/>
      </c>
      <c r="J527" t="str">
        <f>IF('NEW ACCOUNT'!A528="","",'NEW ACCOUNT'!J528)</f>
        <v/>
      </c>
      <c r="K527" t="str">
        <f>IFERROR(IF(A527="","",SUMIF(DB_Savings!$A:$A,A527,DB_Savings!$F:$F)),"")</f>
        <v/>
      </c>
      <c r="L527" t="str">
        <f>IFERROR(IF(A527="","",SUMIF(DB_Withdrawals!$A:$A,A527,DB_Withdrawals!$G:$G)),"")</f>
        <v/>
      </c>
      <c r="M527" t="str">
        <f>IFERROR(IF(A527="","",IFERROR(VALUE(H527),0)+IFERROR(SUMIF(DB_Savings!$A:$A,A527,DB_Savings!$F:$F),0)-IFERROR(SUMIF(DB_Withdrawals!$A:$A,A527,DB_Withdrawals!$G:$G),0)),"")</f>
        <v/>
      </c>
      <c r="N527" t="str">
        <f>IFERROR(IF(A527="","",MAX(0,M527-System_Config!$B$9)),"")</f>
        <v/>
      </c>
    </row>
    <row r="528" spans="1:14" ht="15" customHeight="1" x14ac:dyDescent="0.25">
      <c r="A528" t="str">
        <f>'NEW ACCOUNT'!A529</f>
        <v/>
      </c>
      <c r="B528" t="str">
        <f>IF('NEW ACCOUNT'!A529="","",'NEW ACCOUNT'!B529)</f>
        <v/>
      </c>
      <c r="C528" t="str">
        <f>IF('NEW ACCOUNT'!A529="","",'NEW ACCOUNT'!C529)</f>
        <v/>
      </c>
      <c r="D528" t="str">
        <f>IF('NEW ACCOUNT'!A529="","",'NEW ACCOUNT'!D529)</f>
        <v/>
      </c>
      <c r="E528" t="str">
        <f>IF('NEW ACCOUNT'!A529="","",'NEW ACCOUNT'!E529)</f>
        <v/>
      </c>
      <c r="F528" t="str">
        <f>IF('NEW ACCOUNT'!A529="","",'NEW ACCOUNT'!F529)</f>
        <v/>
      </c>
      <c r="G528" t="str">
        <f>IF('NEW ACCOUNT'!A529="","",'NEW ACCOUNT'!G529)</f>
        <v/>
      </c>
      <c r="H528" t="str">
        <f>IF('NEW ACCOUNT'!A529="","",'NEW ACCOUNT'!H529)</f>
        <v/>
      </c>
      <c r="I528" t="str">
        <f>IF('NEW ACCOUNT'!A529="","",'NEW ACCOUNT'!I529)</f>
        <v/>
      </c>
      <c r="J528" t="str">
        <f>IF('NEW ACCOUNT'!A529="","",'NEW ACCOUNT'!J529)</f>
        <v/>
      </c>
      <c r="K528" t="str">
        <f>IFERROR(IF(A528="","",SUMIF(DB_Savings!$A:$A,A528,DB_Savings!$F:$F)),"")</f>
        <v/>
      </c>
      <c r="L528" t="str">
        <f>IFERROR(IF(A528="","",SUMIF(DB_Withdrawals!$A:$A,A528,DB_Withdrawals!$G:$G)),"")</f>
        <v/>
      </c>
      <c r="M528" t="str">
        <f>IFERROR(IF(A528="","",IFERROR(VALUE(H528),0)+IFERROR(SUMIF(DB_Savings!$A:$A,A528,DB_Savings!$F:$F),0)-IFERROR(SUMIF(DB_Withdrawals!$A:$A,A528,DB_Withdrawals!$G:$G),0)),"")</f>
        <v/>
      </c>
      <c r="N528" t="str">
        <f>IFERROR(IF(A528="","",MAX(0,M528-System_Config!$B$9)),"")</f>
        <v/>
      </c>
    </row>
    <row r="529" spans="1:14" ht="15" customHeight="1" x14ac:dyDescent="0.25">
      <c r="A529" t="str">
        <f>'NEW ACCOUNT'!A530</f>
        <v/>
      </c>
      <c r="B529" t="str">
        <f>IF('NEW ACCOUNT'!A530="","",'NEW ACCOUNT'!B530)</f>
        <v/>
      </c>
      <c r="C529" t="str">
        <f>IF('NEW ACCOUNT'!A530="","",'NEW ACCOUNT'!C530)</f>
        <v/>
      </c>
      <c r="D529" t="str">
        <f>IF('NEW ACCOUNT'!A530="","",'NEW ACCOUNT'!D530)</f>
        <v/>
      </c>
      <c r="E529" t="str">
        <f>IF('NEW ACCOUNT'!A530="","",'NEW ACCOUNT'!E530)</f>
        <v/>
      </c>
      <c r="F529" t="str">
        <f>IF('NEW ACCOUNT'!A530="","",'NEW ACCOUNT'!F530)</f>
        <v/>
      </c>
      <c r="G529" t="str">
        <f>IF('NEW ACCOUNT'!A530="","",'NEW ACCOUNT'!G530)</f>
        <v/>
      </c>
      <c r="H529" t="str">
        <f>IF('NEW ACCOUNT'!A530="","",'NEW ACCOUNT'!H530)</f>
        <v/>
      </c>
      <c r="I529" t="str">
        <f>IF('NEW ACCOUNT'!A530="","",'NEW ACCOUNT'!I530)</f>
        <v/>
      </c>
      <c r="J529" t="str">
        <f>IF('NEW ACCOUNT'!A530="","",'NEW ACCOUNT'!J530)</f>
        <v/>
      </c>
      <c r="K529" t="str">
        <f>IFERROR(IF(A529="","",SUMIF(DB_Savings!$A:$A,A529,DB_Savings!$F:$F)),"")</f>
        <v/>
      </c>
      <c r="L529" t="str">
        <f>IFERROR(IF(A529="","",SUMIF(DB_Withdrawals!$A:$A,A529,DB_Withdrawals!$G:$G)),"")</f>
        <v/>
      </c>
      <c r="M529" t="str">
        <f>IFERROR(IF(A529="","",IFERROR(VALUE(H529),0)+IFERROR(SUMIF(DB_Savings!$A:$A,A529,DB_Savings!$F:$F),0)-IFERROR(SUMIF(DB_Withdrawals!$A:$A,A529,DB_Withdrawals!$G:$G),0)),"")</f>
        <v/>
      </c>
      <c r="N529" t="str">
        <f>IFERROR(IF(A529="","",MAX(0,M529-System_Config!$B$9)),"")</f>
        <v/>
      </c>
    </row>
    <row r="530" spans="1:14" ht="15" customHeight="1" x14ac:dyDescent="0.25">
      <c r="A530" t="str">
        <f>'NEW ACCOUNT'!A531</f>
        <v/>
      </c>
      <c r="B530" t="str">
        <f>IF('NEW ACCOUNT'!A531="","",'NEW ACCOUNT'!B531)</f>
        <v/>
      </c>
      <c r="C530" t="str">
        <f>IF('NEW ACCOUNT'!A531="","",'NEW ACCOUNT'!C531)</f>
        <v/>
      </c>
      <c r="D530" t="str">
        <f>IF('NEW ACCOUNT'!A531="","",'NEW ACCOUNT'!D531)</f>
        <v/>
      </c>
      <c r="E530" t="str">
        <f>IF('NEW ACCOUNT'!A531="","",'NEW ACCOUNT'!E531)</f>
        <v/>
      </c>
      <c r="F530" t="str">
        <f>IF('NEW ACCOUNT'!A531="","",'NEW ACCOUNT'!F531)</f>
        <v/>
      </c>
      <c r="G530" t="str">
        <f>IF('NEW ACCOUNT'!A531="","",'NEW ACCOUNT'!G531)</f>
        <v/>
      </c>
      <c r="H530" t="str">
        <f>IF('NEW ACCOUNT'!A531="","",'NEW ACCOUNT'!H531)</f>
        <v/>
      </c>
      <c r="I530" t="str">
        <f>IF('NEW ACCOUNT'!A531="","",'NEW ACCOUNT'!I531)</f>
        <v/>
      </c>
      <c r="J530" t="str">
        <f>IF('NEW ACCOUNT'!A531="","",'NEW ACCOUNT'!J531)</f>
        <v/>
      </c>
      <c r="K530" t="str">
        <f>IFERROR(IF(A530="","",SUMIF(DB_Savings!$A:$A,A530,DB_Savings!$F:$F)),"")</f>
        <v/>
      </c>
      <c r="L530" t="str">
        <f>IFERROR(IF(A530="","",SUMIF(DB_Withdrawals!$A:$A,A530,DB_Withdrawals!$G:$G)),"")</f>
        <v/>
      </c>
      <c r="M530" t="str">
        <f>IFERROR(IF(A530="","",IFERROR(VALUE(H530),0)+IFERROR(SUMIF(DB_Savings!$A:$A,A530,DB_Savings!$F:$F),0)-IFERROR(SUMIF(DB_Withdrawals!$A:$A,A530,DB_Withdrawals!$G:$G),0)),"")</f>
        <v/>
      </c>
      <c r="N530" t="str">
        <f>IFERROR(IF(A530="","",MAX(0,M530-System_Config!$B$9)),"")</f>
        <v/>
      </c>
    </row>
    <row r="531" spans="1:14" ht="15" customHeight="1" x14ac:dyDescent="0.25">
      <c r="A531" t="str">
        <f>'NEW ACCOUNT'!A532</f>
        <v/>
      </c>
      <c r="B531" t="str">
        <f>IF('NEW ACCOUNT'!A532="","",'NEW ACCOUNT'!B532)</f>
        <v/>
      </c>
      <c r="C531" t="str">
        <f>IF('NEW ACCOUNT'!A532="","",'NEW ACCOUNT'!C532)</f>
        <v/>
      </c>
      <c r="D531" t="str">
        <f>IF('NEW ACCOUNT'!A532="","",'NEW ACCOUNT'!D532)</f>
        <v/>
      </c>
      <c r="E531" t="str">
        <f>IF('NEW ACCOUNT'!A532="","",'NEW ACCOUNT'!E532)</f>
        <v/>
      </c>
      <c r="F531" t="str">
        <f>IF('NEW ACCOUNT'!A532="","",'NEW ACCOUNT'!F532)</f>
        <v/>
      </c>
      <c r="G531" t="str">
        <f>IF('NEW ACCOUNT'!A532="","",'NEW ACCOUNT'!G532)</f>
        <v/>
      </c>
      <c r="H531" t="str">
        <f>IF('NEW ACCOUNT'!A532="","",'NEW ACCOUNT'!H532)</f>
        <v/>
      </c>
      <c r="I531" t="str">
        <f>IF('NEW ACCOUNT'!A532="","",'NEW ACCOUNT'!I532)</f>
        <v/>
      </c>
      <c r="J531" t="str">
        <f>IF('NEW ACCOUNT'!A532="","",'NEW ACCOUNT'!J532)</f>
        <v/>
      </c>
      <c r="K531" t="str">
        <f>IFERROR(IF(A531="","",SUMIF(DB_Savings!$A:$A,A531,DB_Savings!$F:$F)),"")</f>
        <v/>
      </c>
      <c r="L531" t="str">
        <f>IFERROR(IF(A531="","",SUMIF(DB_Withdrawals!$A:$A,A531,DB_Withdrawals!$G:$G)),"")</f>
        <v/>
      </c>
      <c r="M531" t="str">
        <f>IFERROR(IF(A531="","",IFERROR(VALUE(H531),0)+IFERROR(SUMIF(DB_Savings!$A:$A,A531,DB_Savings!$F:$F),0)-IFERROR(SUMIF(DB_Withdrawals!$A:$A,A531,DB_Withdrawals!$G:$G),0)),"")</f>
        <v/>
      </c>
      <c r="N531" t="str">
        <f>IFERROR(IF(A531="","",MAX(0,M531-System_Config!$B$9)),"")</f>
        <v/>
      </c>
    </row>
    <row r="532" spans="1:14" ht="15" customHeight="1" x14ac:dyDescent="0.25">
      <c r="A532" t="str">
        <f>'NEW ACCOUNT'!A533</f>
        <v/>
      </c>
      <c r="B532" t="str">
        <f>IF('NEW ACCOUNT'!A533="","",'NEW ACCOUNT'!B533)</f>
        <v/>
      </c>
      <c r="C532" t="str">
        <f>IF('NEW ACCOUNT'!A533="","",'NEW ACCOUNT'!C533)</f>
        <v/>
      </c>
      <c r="D532" t="str">
        <f>IF('NEW ACCOUNT'!A533="","",'NEW ACCOUNT'!D533)</f>
        <v/>
      </c>
      <c r="E532" t="str">
        <f>IF('NEW ACCOUNT'!A533="","",'NEW ACCOUNT'!E533)</f>
        <v/>
      </c>
      <c r="F532" t="str">
        <f>IF('NEW ACCOUNT'!A533="","",'NEW ACCOUNT'!F533)</f>
        <v/>
      </c>
      <c r="G532" t="str">
        <f>IF('NEW ACCOUNT'!A533="","",'NEW ACCOUNT'!G533)</f>
        <v/>
      </c>
      <c r="H532" t="str">
        <f>IF('NEW ACCOUNT'!A533="","",'NEW ACCOUNT'!H533)</f>
        <v/>
      </c>
      <c r="I532" t="str">
        <f>IF('NEW ACCOUNT'!A533="","",'NEW ACCOUNT'!I533)</f>
        <v/>
      </c>
      <c r="J532" t="str">
        <f>IF('NEW ACCOUNT'!A533="","",'NEW ACCOUNT'!J533)</f>
        <v/>
      </c>
      <c r="K532" t="str">
        <f>IFERROR(IF(A532="","",SUMIF(DB_Savings!$A:$A,A532,DB_Savings!$F:$F)),"")</f>
        <v/>
      </c>
      <c r="L532" t="str">
        <f>IFERROR(IF(A532="","",SUMIF(DB_Withdrawals!$A:$A,A532,DB_Withdrawals!$G:$G)),"")</f>
        <v/>
      </c>
      <c r="M532" t="str">
        <f>IFERROR(IF(A532="","",IFERROR(VALUE(H532),0)+IFERROR(SUMIF(DB_Savings!$A:$A,A532,DB_Savings!$F:$F),0)-IFERROR(SUMIF(DB_Withdrawals!$A:$A,A532,DB_Withdrawals!$G:$G),0)),"")</f>
        <v/>
      </c>
      <c r="N532" t="str">
        <f>IFERROR(IF(A532="","",MAX(0,M532-System_Config!$B$9)),"")</f>
        <v/>
      </c>
    </row>
    <row r="533" spans="1:14" ht="15" customHeight="1" x14ac:dyDescent="0.25">
      <c r="A533" t="str">
        <f>'NEW ACCOUNT'!A534</f>
        <v/>
      </c>
      <c r="B533" t="str">
        <f>IF('NEW ACCOUNT'!A534="","",'NEW ACCOUNT'!B534)</f>
        <v/>
      </c>
      <c r="C533" t="str">
        <f>IF('NEW ACCOUNT'!A534="","",'NEW ACCOUNT'!C534)</f>
        <v/>
      </c>
      <c r="D533" t="str">
        <f>IF('NEW ACCOUNT'!A534="","",'NEW ACCOUNT'!D534)</f>
        <v/>
      </c>
      <c r="E533" t="str">
        <f>IF('NEW ACCOUNT'!A534="","",'NEW ACCOUNT'!E534)</f>
        <v/>
      </c>
      <c r="F533" t="str">
        <f>IF('NEW ACCOUNT'!A534="","",'NEW ACCOUNT'!F534)</f>
        <v/>
      </c>
      <c r="G533" t="str">
        <f>IF('NEW ACCOUNT'!A534="","",'NEW ACCOUNT'!G534)</f>
        <v/>
      </c>
      <c r="H533" t="str">
        <f>IF('NEW ACCOUNT'!A534="","",'NEW ACCOUNT'!H534)</f>
        <v/>
      </c>
      <c r="I533" t="str">
        <f>IF('NEW ACCOUNT'!A534="","",'NEW ACCOUNT'!I534)</f>
        <v/>
      </c>
      <c r="J533" t="str">
        <f>IF('NEW ACCOUNT'!A534="","",'NEW ACCOUNT'!J534)</f>
        <v/>
      </c>
      <c r="K533" t="str">
        <f>IFERROR(IF(A533="","",SUMIF(DB_Savings!$A:$A,A533,DB_Savings!$F:$F)),"")</f>
        <v/>
      </c>
      <c r="L533" t="str">
        <f>IFERROR(IF(A533="","",SUMIF(DB_Withdrawals!$A:$A,A533,DB_Withdrawals!$G:$G)),"")</f>
        <v/>
      </c>
      <c r="M533" t="str">
        <f>IFERROR(IF(A533="","",IFERROR(VALUE(H533),0)+IFERROR(SUMIF(DB_Savings!$A:$A,A533,DB_Savings!$F:$F),0)-IFERROR(SUMIF(DB_Withdrawals!$A:$A,A533,DB_Withdrawals!$G:$G),0)),"")</f>
        <v/>
      </c>
      <c r="N533" t="str">
        <f>IFERROR(IF(A533="","",MAX(0,M533-System_Config!$B$9)),"")</f>
        <v/>
      </c>
    </row>
    <row r="534" spans="1:14" ht="15" customHeight="1" x14ac:dyDescent="0.25">
      <c r="A534" t="str">
        <f>'NEW ACCOUNT'!A535</f>
        <v/>
      </c>
      <c r="B534" t="str">
        <f>IF('NEW ACCOUNT'!A535="","",'NEW ACCOUNT'!B535)</f>
        <v/>
      </c>
      <c r="C534" t="str">
        <f>IF('NEW ACCOUNT'!A535="","",'NEW ACCOUNT'!C535)</f>
        <v/>
      </c>
      <c r="D534" t="str">
        <f>IF('NEW ACCOUNT'!A535="","",'NEW ACCOUNT'!D535)</f>
        <v/>
      </c>
      <c r="E534" t="str">
        <f>IF('NEW ACCOUNT'!A535="","",'NEW ACCOUNT'!E535)</f>
        <v/>
      </c>
      <c r="F534" t="str">
        <f>IF('NEW ACCOUNT'!A535="","",'NEW ACCOUNT'!F535)</f>
        <v/>
      </c>
      <c r="G534" t="str">
        <f>IF('NEW ACCOUNT'!A535="","",'NEW ACCOUNT'!G535)</f>
        <v/>
      </c>
      <c r="H534" t="str">
        <f>IF('NEW ACCOUNT'!A535="","",'NEW ACCOUNT'!H535)</f>
        <v/>
      </c>
      <c r="I534" t="str">
        <f>IF('NEW ACCOUNT'!A535="","",'NEW ACCOUNT'!I535)</f>
        <v/>
      </c>
      <c r="J534" t="str">
        <f>IF('NEW ACCOUNT'!A535="","",'NEW ACCOUNT'!J535)</f>
        <v/>
      </c>
      <c r="K534" t="str">
        <f>IFERROR(IF(A534="","",SUMIF(DB_Savings!$A:$A,A534,DB_Savings!$F:$F)),"")</f>
        <v/>
      </c>
      <c r="L534" t="str">
        <f>IFERROR(IF(A534="","",SUMIF(DB_Withdrawals!$A:$A,A534,DB_Withdrawals!$G:$G)),"")</f>
        <v/>
      </c>
      <c r="M534" t="str">
        <f>IFERROR(IF(A534="","",IFERROR(VALUE(H534),0)+IFERROR(SUMIF(DB_Savings!$A:$A,A534,DB_Savings!$F:$F),0)-IFERROR(SUMIF(DB_Withdrawals!$A:$A,A534,DB_Withdrawals!$G:$G),0)),"")</f>
        <v/>
      </c>
      <c r="N534" t="str">
        <f>IFERROR(IF(A534="","",MAX(0,M534-System_Config!$B$9)),"")</f>
        <v/>
      </c>
    </row>
    <row r="535" spans="1:14" ht="15" customHeight="1" x14ac:dyDescent="0.25">
      <c r="A535" t="str">
        <f>'NEW ACCOUNT'!A536</f>
        <v/>
      </c>
      <c r="B535" t="str">
        <f>IF('NEW ACCOUNT'!A536="","",'NEW ACCOUNT'!B536)</f>
        <v/>
      </c>
      <c r="C535" t="str">
        <f>IF('NEW ACCOUNT'!A536="","",'NEW ACCOUNT'!C536)</f>
        <v/>
      </c>
      <c r="D535" t="str">
        <f>IF('NEW ACCOUNT'!A536="","",'NEW ACCOUNT'!D536)</f>
        <v/>
      </c>
      <c r="E535" t="str">
        <f>IF('NEW ACCOUNT'!A536="","",'NEW ACCOUNT'!E536)</f>
        <v/>
      </c>
      <c r="F535" t="str">
        <f>IF('NEW ACCOUNT'!A536="","",'NEW ACCOUNT'!F536)</f>
        <v/>
      </c>
      <c r="G535" t="str">
        <f>IF('NEW ACCOUNT'!A536="","",'NEW ACCOUNT'!G536)</f>
        <v/>
      </c>
      <c r="H535" t="str">
        <f>IF('NEW ACCOUNT'!A536="","",'NEW ACCOUNT'!H536)</f>
        <v/>
      </c>
      <c r="I535" t="str">
        <f>IF('NEW ACCOUNT'!A536="","",'NEW ACCOUNT'!I536)</f>
        <v/>
      </c>
      <c r="J535" t="str">
        <f>IF('NEW ACCOUNT'!A536="","",'NEW ACCOUNT'!J536)</f>
        <v/>
      </c>
      <c r="K535" t="str">
        <f>IFERROR(IF(A535="","",SUMIF(DB_Savings!$A:$A,A535,DB_Savings!$F:$F)),"")</f>
        <v/>
      </c>
      <c r="L535" t="str">
        <f>IFERROR(IF(A535="","",SUMIF(DB_Withdrawals!$A:$A,A535,DB_Withdrawals!$G:$G)),"")</f>
        <v/>
      </c>
      <c r="M535" t="str">
        <f>IFERROR(IF(A535="","",IFERROR(VALUE(H535),0)+IFERROR(SUMIF(DB_Savings!$A:$A,A535,DB_Savings!$F:$F),0)-IFERROR(SUMIF(DB_Withdrawals!$A:$A,A535,DB_Withdrawals!$G:$G),0)),"")</f>
        <v/>
      </c>
      <c r="N535" t="str">
        <f>IFERROR(IF(A535="","",MAX(0,M535-System_Config!$B$9)),"")</f>
        <v/>
      </c>
    </row>
    <row r="536" spans="1:14" ht="15" customHeight="1" x14ac:dyDescent="0.25">
      <c r="A536" t="str">
        <f>'NEW ACCOUNT'!A537</f>
        <v/>
      </c>
      <c r="B536" t="str">
        <f>IF('NEW ACCOUNT'!A537="","",'NEW ACCOUNT'!B537)</f>
        <v/>
      </c>
      <c r="C536" t="str">
        <f>IF('NEW ACCOUNT'!A537="","",'NEW ACCOUNT'!C537)</f>
        <v/>
      </c>
      <c r="D536" t="str">
        <f>IF('NEW ACCOUNT'!A537="","",'NEW ACCOUNT'!D537)</f>
        <v/>
      </c>
      <c r="E536" t="str">
        <f>IF('NEW ACCOUNT'!A537="","",'NEW ACCOUNT'!E537)</f>
        <v/>
      </c>
      <c r="F536" t="str">
        <f>IF('NEW ACCOUNT'!A537="","",'NEW ACCOUNT'!F537)</f>
        <v/>
      </c>
      <c r="G536" t="str">
        <f>IF('NEW ACCOUNT'!A537="","",'NEW ACCOUNT'!G537)</f>
        <v/>
      </c>
      <c r="H536" t="str">
        <f>IF('NEW ACCOUNT'!A537="","",'NEW ACCOUNT'!H537)</f>
        <v/>
      </c>
      <c r="I536" t="str">
        <f>IF('NEW ACCOUNT'!A537="","",'NEW ACCOUNT'!I537)</f>
        <v/>
      </c>
      <c r="J536" t="str">
        <f>IF('NEW ACCOUNT'!A537="","",'NEW ACCOUNT'!J537)</f>
        <v/>
      </c>
      <c r="K536" t="str">
        <f>IFERROR(IF(A536="","",SUMIF(DB_Savings!$A:$A,A536,DB_Savings!$F:$F)),"")</f>
        <v/>
      </c>
      <c r="L536" t="str">
        <f>IFERROR(IF(A536="","",SUMIF(DB_Withdrawals!$A:$A,A536,DB_Withdrawals!$G:$G)),"")</f>
        <v/>
      </c>
      <c r="M536" t="str">
        <f>IFERROR(IF(A536="","",IFERROR(VALUE(H536),0)+IFERROR(SUMIF(DB_Savings!$A:$A,A536,DB_Savings!$F:$F),0)-IFERROR(SUMIF(DB_Withdrawals!$A:$A,A536,DB_Withdrawals!$G:$G),0)),"")</f>
        <v/>
      </c>
      <c r="N536" t="str">
        <f>IFERROR(IF(A536="","",MAX(0,M536-System_Config!$B$9)),"")</f>
        <v/>
      </c>
    </row>
    <row r="537" spans="1:14" ht="15" customHeight="1" x14ac:dyDescent="0.25">
      <c r="A537" t="str">
        <f>'NEW ACCOUNT'!A538</f>
        <v/>
      </c>
      <c r="B537" t="str">
        <f>IF('NEW ACCOUNT'!A538="","",'NEW ACCOUNT'!B538)</f>
        <v/>
      </c>
      <c r="C537" t="str">
        <f>IF('NEW ACCOUNT'!A538="","",'NEW ACCOUNT'!C538)</f>
        <v/>
      </c>
      <c r="D537" t="str">
        <f>IF('NEW ACCOUNT'!A538="","",'NEW ACCOUNT'!D538)</f>
        <v/>
      </c>
      <c r="E537" t="str">
        <f>IF('NEW ACCOUNT'!A538="","",'NEW ACCOUNT'!E538)</f>
        <v/>
      </c>
      <c r="F537" t="str">
        <f>IF('NEW ACCOUNT'!A538="","",'NEW ACCOUNT'!F538)</f>
        <v/>
      </c>
      <c r="G537" t="str">
        <f>IF('NEW ACCOUNT'!A538="","",'NEW ACCOUNT'!G538)</f>
        <v/>
      </c>
      <c r="H537" t="str">
        <f>IF('NEW ACCOUNT'!A538="","",'NEW ACCOUNT'!H538)</f>
        <v/>
      </c>
      <c r="I537" t="str">
        <f>IF('NEW ACCOUNT'!A538="","",'NEW ACCOUNT'!I538)</f>
        <v/>
      </c>
      <c r="J537" t="str">
        <f>IF('NEW ACCOUNT'!A538="","",'NEW ACCOUNT'!J538)</f>
        <v/>
      </c>
      <c r="K537" t="str">
        <f>IFERROR(IF(A537="","",SUMIF(DB_Savings!$A:$A,A537,DB_Savings!$F:$F)),"")</f>
        <v/>
      </c>
      <c r="L537" t="str">
        <f>IFERROR(IF(A537="","",SUMIF(DB_Withdrawals!$A:$A,A537,DB_Withdrawals!$G:$G)),"")</f>
        <v/>
      </c>
      <c r="M537" t="str">
        <f>IFERROR(IF(A537="","",IFERROR(VALUE(H537),0)+IFERROR(SUMIF(DB_Savings!$A:$A,A537,DB_Savings!$F:$F),0)-IFERROR(SUMIF(DB_Withdrawals!$A:$A,A537,DB_Withdrawals!$G:$G),0)),"")</f>
        <v/>
      </c>
      <c r="N537" t="str">
        <f>IFERROR(IF(A537="","",MAX(0,M537-System_Config!$B$9)),"")</f>
        <v/>
      </c>
    </row>
    <row r="538" spans="1:14" ht="15" customHeight="1" x14ac:dyDescent="0.25">
      <c r="A538" t="str">
        <f>'NEW ACCOUNT'!A539</f>
        <v/>
      </c>
      <c r="B538" t="str">
        <f>IF('NEW ACCOUNT'!A539="","",'NEW ACCOUNT'!B539)</f>
        <v/>
      </c>
      <c r="C538" t="str">
        <f>IF('NEW ACCOUNT'!A539="","",'NEW ACCOUNT'!C539)</f>
        <v/>
      </c>
      <c r="D538" t="str">
        <f>IF('NEW ACCOUNT'!A539="","",'NEW ACCOUNT'!D539)</f>
        <v/>
      </c>
      <c r="E538" t="str">
        <f>IF('NEW ACCOUNT'!A539="","",'NEW ACCOUNT'!E539)</f>
        <v/>
      </c>
      <c r="F538" t="str">
        <f>IF('NEW ACCOUNT'!A539="","",'NEW ACCOUNT'!F539)</f>
        <v/>
      </c>
      <c r="G538" t="str">
        <f>IF('NEW ACCOUNT'!A539="","",'NEW ACCOUNT'!G539)</f>
        <v/>
      </c>
      <c r="H538" t="str">
        <f>IF('NEW ACCOUNT'!A539="","",'NEW ACCOUNT'!H539)</f>
        <v/>
      </c>
      <c r="I538" t="str">
        <f>IF('NEW ACCOUNT'!A539="","",'NEW ACCOUNT'!I539)</f>
        <v/>
      </c>
      <c r="J538" t="str">
        <f>IF('NEW ACCOUNT'!A539="","",'NEW ACCOUNT'!J539)</f>
        <v/>
      </c>
      <c r="K538" t="str">
        <f>IFERROR(IF(A538="","",SUMIF(DB_Savings!$A:$A,A538,DB_Savings!$F:$F)),"")</f>
        <v/>
      </c>
      <c r="L538" t="str">
        <f>IFERROR(IF(A538="","",SUMIF(DB_Withdrawals!$A:$A,A538,DB_Withdrawals!$G:$G)),"")</f>
        <v/>
      </c>
      <c r="M538" t="str">
        <f>IFERROR(IF(A538="","",IFERROR(VALUE(H538),0)+IFERROR(SUMIF(DB_Savings!$A:$A,A538,DB_Savings!$F:$F),0)-IFERROR(SUMIF(DB_Withdrawals!$A:$A,A538,DB_Withdrawals!$G:$G),0)),"")</f>
        <v/>
      </c>
      <c r="N538" t="str">
        <f>IFERROR(IF(A538="","",MAX(0,M538-System_Config!$B$9)),"")</f>
        <v/>
      </c>
    </row>
    <row r="539" spans="1:14" ht="15" customHeight="1" x14ac:dyDescent="0.25">
      <c r="A539" t="str">
        <f>'NEW ACCOUNT'!A540</f>
        <v/>
      </c>
      <c r="B539" t="str">
        <f>IF('NEW ACCOUNT'!A540="","",'NEW ACCOUNT'!B540)</f>
        <v/>
      </c>
      <c r="C539" t="str">
        <f>IF('NEW ACCOUNT'!A540="","",'NEW ACCOUNT'!C540)</f>
        <v/>
      </c>
      <c r="D539" t="str">
        <f>IF('NEW ACCOUNT'!A540="","",'NEW ACCOUNT'!D540)</f>
        <v/>
      </c>
      <c r="E539" t="str">
        <f>IF('NEW ACCOUNT'!A540="","",'NEW ACCOUNT'!E540)</f>
        <v/>
      </c>
      <c r="F539" t="str">
        <f>IF('NEW ACCOUNT'!A540="","",'NEW ACCOUNT'!F540)</f>
        <v/>
      </c>
      <c r="G539" t="str">
        <f>IF('NEW ACCOUNT'!A540="","",'NEW ACCOUNT'!G540)</f>
        <v/>
      </c>
      <c r="H539" t="str">
        <f>IF('NEW ACCOUNT'!A540="","",'NEW ACCOUNT'!H540)</f>
        <v/>
      </c>
      <c r="I539" t="str">
        <f>IF('NEW ACCOUNT'!A540="","",'NEW ACCOUNT'!I540)</f>
        <v/>
      </c>
      <c r="J539" t="str">
        <f>IF('NEW ACCOUNT'!A540="","",'NEW ACCOUNT'!J540)</f>
        <v/>
      </c>
      <c r="K539" t="str">
        <f>IFERROR(IF(A539="","",SUMIF(DB_Savings!$A:$A,A539,DB_Savings!$F:$F)),"")</f>
        <v/>
      </c>
      <c r="L539" t="str">
        <f>IFERROR(IF(A539="","",SUMIF(DB_Withdrawals!$A:$A,A539,DB_Withdrawals!$G:$G)),"")</f>
        <v/>
      </c>
      <c r="M539" t="str">
        <f>IFERROR(IF(A539="","",IFERROR(VALUE(H539),0)+IFERROR(SUMIF(DB_Savings!$A:$A,A539,DB_Savings!$F:$F),0)-IFERROR(SUMIF(DB_Withdrawals!$A:$A,A539,DB_Withdrawals!$G:$G),0)),"")</f>
        <v/>
      </c>
      <c r="N539" t="str">
        <f>IFERROR(IF(A539="","",MAX(0,M539-System_Config!$B$9)),"")</f>
        <v/>
      </c>
    </row>
    <row r="540" spans="1:14" ht="15" customHeight="1" x14ac:dyDescent="0.25">
      <c r="A540" t="str">
        <f>'NEW ACCOUNT'!A541</f>
        <v/>
      </c>
      <c r="B540" t="str">
        <f>IF('NEW ACCOUNT'!A541="","",'NEW ACCOUNT'!B541)</f>
        <v/>
      </c>
      <c r="C540" t="str">
        <f>IF('NEW ACCOUNT'!A541="","",'NEW ACCOUNT'!C541)</f>
        <v/>
      </c>
      <c r="D540" t="str">
        <f>IF('NEW ACCOUNT'!A541="","",'NEW ACCOUNT'!D541)</f>
        <v/>
      </c>
      <c r="E540" t="str">
        <f>IF('NEW ACCOUNT'!A541="","",'NEW ACCOUNT'!E541)</f>
        <v/>
      </c>
      <c r="F540" t="str">
        <f>IF('NEW ACCOUNT'!A541="","",'NEW ACCOUNT'!F541)</f>
        <v/>
      </c>
      <c r="G540" t="str">
        <f>IF('NEW ACCOUNT'!A541="","",'NEW ACCOUNT'!G541)</f>
        <v/>
      </c>
      <c r="H540" t="str">
        <f>IF('NEW ACCOUNT'!A541="","",'NEW ACCOUNT'!H541)</f>
        <v/>
      </c>
      <c r="I540" t="str">
        <f>IF('NEW ACCOUNT'!A541="","",'NEW ACCOUNT'!I541)</f>
        <v/>
      </c>
      <c r="J540" t="str">
        <f>IF('NEW ACCOUNT'!A541="","",'NEW ACCOUNT'!J541)</f>
        <v/>
      </c>
      <c r="K540" t="str">
        <f>IFERROR(IF(A540="","",SUMIF(DB_Savings!$A:$A,A540,DB_Savings!$F:$F)),"")</f>
        <v/>
      </c>
      <c r="L540" t="str">
        <f>IFERROR(IF(A540="","",SUMIF(DB_Withdrawals!$A:$A,A540,DB_Withdrawals!$G:$G)),"")</f>
        <v/>
      </c>
      <c r="M540" t="str">
        <f>IFERROR(IF(A540="","",IFERROR(VALUE(H540),0)+IFERROR(SUMIF(DB_Savings!$A:$A,A540,DB_Savings!$F:$F),0)-IFERROR(SUMIF(DB_Withdrawals!$A:$A,A540,DB_Withdrawals!$G:$G),0)),"")</f>
        <v/>
      </c>
      <c r="N540" t="str">
        <f>IFERROR(IF(A540="","",MAX(0,M540-System_Config!$B$9)),"")</f>
        <v/>
      </c>
    </row>
    <row r="541" spans="1:14" ht="15" customHeight="1" x14ac:dyDescent="0.25">
      <c r="A541" t="str">
        <f>'NEW ACCOUNT'!A542</f>
        <v/>
      </c>
      <c r="B541" t="str">
        <f>IF('NEW ACCOUNT'!A542="","",'NEW ACCOUNT'!B542)</f>
        <v/>
      </c>
      <c r="C541" t="str">
        <f>IF('NEW ACCOUNT'!A542="","",'NEW ACCOUNT'!C542)</f>
        <v/>
      </c>
      <c r="D541" t="str">
        <f>IF('NEW ACCOUNT'!A542="","",'NEW ACCOUNT'!D542)</f>
        <v/>
      </c>
      <c r="E541" t="str">
        <f>IF('NEW ACCOUNT'!A542="","",'NEW ACCOUNT'!E542)</f>
        <v/>
      </c>
      <c r="F541" t="str">
        <f>IF('NEW ACCOUNT'!A542="","",'NEW ACCOUNT'!F542)</f>
        <v/>
      </c>
      <c r="G541" t="str">
        <f>IF('NEW ACCOUNT'!A542="","",'NEW ACCOUNT'!G542)</f>
        <v/>
      </c>
      <c r="H541" t="str">
        <f>IF('NEW ACCOUNT'!A542="","",'NEW ACCOUNT'!H542)</f>
        <v/>
      </c>
      <c r="I541" t="str">
        <f>IF('NEW ACCOUNT'!A542="","",'NEW ACCOUNT'!I542)</f>
        <v/>
      </c>
      <c r="J541" t="str">
        <f>IF('NEW ACCOUNT'!A542="","",'NEW ACCOUNT'!J542)</f>
        <v/>
      </c>
      <c r="K541" t="str">
        <f>IFERROR(IF(A541="","",SUMIF(DB_Savings!$A:$A,A541,DB_Savings!$F:$F)),"")</f>
        <v/>
      </c>
      <c r="L541" t="str">
        <f>IFERROR(IF(A541="","",SUMIF(DB_Withdrawals!$A:$A,A541,DB_Withdrawals!$G:$G)),"")</f>
        <v/>
      </c>
      <c r="M541" t="str">
        <f>IFERROR(IF(A541="","",IFERROR(VALUE(H541),0)+IFERROR(SUMIF(DB_Savings!$A:$A,A541,DB_Savings!$F:$F),0)-IFERROR(SUMIF(DB_Withdrawals!$A:$A,A541,DB_Withdrawals!$G:$G),0)),"")</f>
        <v/>
      </c>
      <c r="N541" t="str">
        <f>IFERROR(IF(A541="","",MAX(0,M541-System_Config!$B$9)),"")</f>
        <v/>
      </c>
    </row>
    <row r="542" spans="1:14" ht="15" customHeight="1" x14ac:dyDescent="0.25">
      <c r="A542" t="str">
        <f>'NEW ACCOUNT'!A543</f>
        <v/>
      </c>
      <c r="B542" t="str">
        <f>IF('NEW ACCOUNT'!A543="","",'NEW ACCOUNT'!B543)</f>
        <v/>
      </c>
      <c r="C542" t="str">
        <f>IF('NEW ACCOUNT'!A543="","",'NEW ACCOUNT'!C543)</f>
        <v/>
      </c>
      <c r="D542" t="str">
        <f>IF('NEW ACCOUNT'!A543="","",'NEW ACCOUNT'!D543)</f>
        <v/>
      </c>
      <c r="E542" t="str">
        <f>IF('NEW ACCOUNT'!A543="","",'NEW ACCOUNT'!E543)</f>
        <v/>
      </c>
      <c r="F542" t="str">
        <f>IF('NEW ACCOUNT'!A543="","",'NEW ACCOUNT'!F543)</f>
        <v/>
      </c>
      <c r="G542" t="str">
        <f>IF('NEW ACCOUNT'!A543="","",'NEW ACCOUNT'!G543)</f>
        <v/>
      </c>
      <c r="H542" t="str">
        <f>IF('NEW ACCOUNT'!A543="","",'NEW ACCOUNT'!H543)</f>
        <v/>
      </c>
      <c r="I542" t="str">
        <f>IF('NEW ACCOUNT'!A543="","",'NEW ACCOUNT'!I543)</f>
        <v/>
      </c>
      <c r="J542" t="str">
        <f>IF('NEW ACCOUNT'!A543="","",'NEW ACCOUNT'!J543)</f>
        <v/>
      </c>
      <c r="K542" t="str">
        <f>IFERROR(IF(A542="","",SUMIF(DB_Savings!$A:$A,A542,DB_Savings!$F:$F)),"")</f>
        <v/>
      </c>
      <c r="L542" t="str">
        <f>IFERROR(IF(A542="","",SUMIF(DB_Withdrawals!$A:$A,A542,DB_Withdrawals!$G:$G)),"")</f>
        <v/>
      </c>
      <c r="M542" t="str">
        <f>IFERROR(IF(A542="","",IFERROR(VALUE(H542),0)+IFERROR(SUMIF(DB_Savings!$A:$A,A542,DB_Savings!$F:$F),0)-IFERROR(SUMIF(DB_Withdrawals!$A:$A,A542,DB_Withdrawals!$G:$G),0)),"")</f>
        <v/>
      </c>
      <c r="N542" t="str">
        <f>IFERROR(IF(A542="","",MAX(0,M542-System_Config!$B$9)),"")</f>
        <v/>
      </c>
    </row>
    <row r="543" spans="1:14" ht="15" customHeight="1" x14ac:dyDescent="0.25">
      <c r="A543" t="str">
        <f>'NEW ACCOUNT'!A544</f>
        <v/>
      </c>
      <c r="B543" t="str">
        <f>IF('NEW ACCOUNT'!A544="","",'NEW ACCOUNT'!B544)</f>
        <v/>
      </c>
      <c r="C543" t="str">
        <f>IF('NEW ACCOUNT'!A544="","",'NEW ACCOUNT'!C544)</f>
        <v/>
      </c>
      <c r="D543" t="str">
        <f>IF('NEW ACCOUNT'!A544="","",'NEW ACCOUNT'!D544)</f>
        <v/>
      </c>
      <c r="E543" t="str">
        <f>IF('NEW ACCOUNT'!A544="","",'NEW ACCOUNT'!E544)</f>
        <v/>
      </c>
      <c r="F543" t="str">
        <f>IF('NEW ACCOUNT'!A544="","",'NEW ACCOUNT'!F544)</f>
        <v/>
      </c>
      <c r="G543" t="str">
        <f>IF('NEW ACCOUNT'!A544="","",'NEW ACCOUNT'!G544)</f>
        <v/>
      </c>
      <c r="H543" t="str">
        <f>IF('NEW ACCOUNT'!A544="","",'NEW ACCOUNT'!H544)</f>
        <v/>
      </c>
      <c r="I543" t="str">
        <f>IF('NEW ACCOUNT'!A544="","",'NEW ACCOUNT'!I544)</f>
        <v/>
      </c>
      <c r="J543" t="str">
        <f>IF('NEW ACCOUNT'!A544="","",'NEW ACCOUNT'!J544)</f>
        <v/>
      </c>
      <c r="K543" t="str">
        <f>IFERROR(IF(A543="","",SUMIF(DB_Savings!$A:$A,A543,DB_Savings!$F:$F)),"")</f>
        <v/>
      </c>
      <c r="L543" t="str">
        <f>IFERROR(IF(A543="","",SUMIF(DB_Withdrawals!$A:$A,A543,DB_Withdrawals!$G:$G)),"")</f>
        <v/>
      </c>
      <c r="M543" t="str">
        <f>IFERROR(IF(A543="","",IFERROR(VALUE(H543),0)+IFERROR(SUMIF(DB_Savings!$A:$A,A543,DB_Savings!$F:$F),0)-IFERROR(SUMIF(DB_Withdrawals!$A:$A,A543,DB_Withdrawals!$G:$G),0)),"")</f>
        <v/>
      </c>
      <c r="N543" t="str">
        <f>IFERROR(IF(A543="","",MAX(0,M543-System_Config!$B$9)),"")</f>
        <v/>
      </c>
    </row>
    <row r="544" spans="1:14" ht="15" customHeight="1" x14ac:dyDescent="0.25">
      <c r="A544" t="str">
        <f>'NEW ACCOUNT'!A545</f>
        <v/>
      </c>
      <c r="B544" t="str">
        <f>IF('NEW ACCOUNT'!A545="","",'NEW ACCOUNT'!B545)</f>
        <v/>
      </c>
      <c r="C544" t="str">
        <f>IF('NEW ACCOUNT'!A545="","",'NEW ACCOUNT'!C545)</f>
        <v/>
      </c>
      <c r="D544" t="str">
        <f>IF('NEW ACCOUNT'!A545="","",'NEW ACCOUNT'!D545)</f>
        <v/>
      </c>
      <c r="E544" t="str">
        <f>IF('NEW ACCOUNT'!A545="","",'NEW ACCOUNT'!E545)</f>
        <v/>
      </c>
      <c r="F544" t="str">
        <f>IF('NEW ACCOUNT'!A545="","",'NEW ACCOUNT'!F545)</f>
        <v/>
      </c>
      <c r="G544" t="str">
        <f>IF('NEW ACCOUNT'!A545="","",'NEW ACCOUNT'!G545)</f>
        <v/>
      </c>
      <c r="H544" t="str">
        <f>IF('NEW ACCOUNT'!A545="","",'NEW ACCOUNT'!H545)</f>
        <v/>
      </c>
      <c r="I544" t="str">
        <f>IF('NEW ACCOUNT'!A545="","",'NEW ACCOUNT'!I545)</f>
        <v/>
      </c>
      <c r="J544" t="str">
        <f>IF('NEW ACCOUNT'!A545="","",'NEW ACCOUNT'!J545)</f>
        <v/>
      </c>
      <c r="K544" t="str">
        <f>IFERROR(IF(A544="","",SUMIF(DB_Savings!$A:$A,A544,DB_Savings!$F:$F)),"")</f>
        <v/>
      </c>
      <c r="L544" t="str">
        <f>IFERROR(IF(A544="","",SUMIF(DB_Withdrawals!$A:$A,A544,DB_Withdrawals!$G:$G)),"")</f>
        <v/>
      </c>
      <c r="M544" t="str">
        <f>IFERROR(IF(A544="","",IFERROR(VALUE(H544),0)+IFERROR(SUMIF(DB_Savings!$A:$A,A544,DB_Savings!$F:$F),0)-IFERROR(SUMIF(DB_Withdrawals!$A:$A,A544,DB_Withdrawals!$G:$G),0)),"")</f>
        <v/>
      </c>
      <c r="N544" t="str">
        <f>IFERROR(IF(A544="","",MAX(0,M544-System_Config!$B$9)),"")</f>
        <v/>
      </c>
    </row>
    <row r="545" spans="1:14" ht="15" customHeight="1" x14ac:dyDescent="0.25">
      <c r="A545" t="str">
        <f>'NEW ACCOUNT'!A546</f>
        <v/>
      </c>
      <c r="B545" t="str">
        <f>IF('NEW ACCOUNT'!A546="","",'NEW ACCOUNT'!B546)</f>
        <v/>
      </c>
      <c r="C545" t="str">
        <f>IF('NEW ACCOUNT'!A546="","",'NEW ACCOUNT'!C546)</f>
        <v/>
      </c>
      <c r="D545" t="str">
        <f>IF('NEW ACCOUNT'!A546="","",'NEW ACCOUNT'!D546)</f>
        <v/>
      </c>
      <c r="E545" t="str">
        <f>IF('NEW ACCOUNT'!A546="","",'NEW ACCOUNT'!E546)</f>
        <v/>
      </c>
      <c r="F545" t="str">
        <f>IF('NEW ACCOUNT'!A546="","",'NEW ACCOUNT'!F546)</f>
        <v/>
      </c>
      <c r="G545" t="str">
        <f>IF('NEW ACCOUNT'!A546="","",'NEW ACCOUNT'!G546)</f>
        <v/>
      </c>
      <c r="H545" t="str">
        <f>IF('NEW ACCOUNT'!A546="","",'NEW ACCOUNT'!H546)</f>
        <v/>
      </c>
      <c r="I545" t="str">
        <f>IF('NEW ACCOUNT'!A546="","",'NEW ACCOUNT'!I546)</f>
        <v/>
      </c>
      <c r="J545" t="str">
        <f>IF('NEW ACCOUNT'!A546="","",'NEW ACCOUNT'!J546)</f>
        <v/>
      </c>
      <c r="K545" t="str">
        <f>IFERROR(IF(A545="","",SUMIF(DB_Savings!$A:$A,A545,DB_Savings!$F:$F)),"")</f>
        <v/>
      </c>
      <c r="L545" t="str">
        <f>IFERROR(IF(A545="","",SUMIF(DB_Withdrawals!$A:$A,A545,DB_Withdrawals!$G:$G)),"")</f>
        <v/>
      </c>
      <c r="M545" t="str">
        <f>IFERROR(IF(A545="","",IFERROR(VALUE(H545),0)+IFERROR(SUMIF(DB_Savings!$A:$A,A545,DB_Savings!$F:$F),0)-IFERROR(SUMIF(DB_Withdrawals!$A:$A,A545,DB_Withdrawals!$G:$G),0)),"")</f>
        <v/>
      </c>
      <c r="N545" t="str">
        <f>IFERROR(IF(A545="","",MAX(0,M545-System_Config!$B$9)),"")</f>
        <v/>
      </c>
    </row>
    <row r="546" spans="1:14" ht="15" customHeight="1" x14ac:dyDescent="0.25">
      <c r="A546" t="str">
        <f>'NEW ACCOUNT'!A547</f>
        <v/>
      </c>
      <c r="B546" t="str">
        <f>IF('NEW ACCOUNT'!A547="","",'NEW ACCOUNT'!B547)</f>
        <v/>
      </c>
      <c r="C546" t="str">
        <f>IF('NEW ACCOUNT'!A547="","",'NEW ACCOUNT'!C547)</f>
        <v/>
      </c>
      <c r="D546" t="str">
        <f>IF('NEW ACCOUNT'!A547="","",'NEW ACCOUNT'!D547)</f>
        <v/>
      </c>
      <c r="E546" t="str">
        <f>IF('NEW ACCOUNT'!A547="","",'NEW ACCOUNT'!E547)</f>
        <v/>
      </c>
      <c r="F546" t="str">
        <f>IF('NEW ACCOUNT'!A547="","",'NEW ACCOUNT'!F547)</f>
        <v/>
      </c>
      <c r="G546" t="str">
        <f>IF('NEW ACCOUNT'!A547="","",'NEW ACCOUNT'!G547)</f>
        <v/>
      </c>
      <c r="H546" t="str">
        <f>IF('NEW ACCOUNT'!A547="","",'NEW ACCOUNT'!H547)</f>
        <v/>
      </c>
      <c r="I546" t="str">
        <f>IF('NEW ACCOUNT'!A547="","",'NEW ACCOUNT'!I547)</f>
        <v/>
      </c>
      <c r="J546" t="str">
        <f>IF('NEW ACCOUNT'!A547="","",'NEW ACCOUNT'!J547)</f>
        <v/>
      </c>
      <c r="K546" t="str">
        <f>IFERROR(IF(A546="","",SUMIF(DB_Savings!$A:$A,A546,DB_Savings!$F:$F)),"")</f>
        <v/>
      </c>
      <c r="L546" t="str">
        <f>IFERROR(IF(A546="","",SUMIF(DB_Withdrawals!$A:$A,A546,DB_Withdrawals!$G:$G)),"")</f>
        <v/>
      </c>
      <c r="M546" t="str">
        <f>IFERROR(IF(A546="","",IFERROR(VALUE(H546),0)+IFERROR(SUMIF(DB_Savings!$A:$A,A546,DB_Savings!$F:$F),0)-IFERROR(SUMIF(DB_Withdrawals!$A:$A,A546,DB_Withdrawals!$G:$G),0)),"")</f>
        <v/>
      </c>
      <c r="N546" t="str">
        <f>IFERROR(IF(A546="","",MAX(0,M546-System_Config!$B$9)),"")</f>
        <v/>
      </c>
    </row>
    <row r="547" spans="1:14" ht="15" customHeight="1" x14ac:dyDescent="0.25">
      <c r="A547" t="str">
        <f>'NEW ACCOUNT'!A548</f>
        <v/>
      </c>
      <c r="B547" t="str">
        <f>IF('NEW ACCOUNT'!A548="","",'NEW ACCOUNT'!B548)</f>
        <v/>
      </c>
      <c r="C547" t="str">
        <f>IF('NEW ACCOUNT'!A548="","",'NEW ACCOUNT'!C548)</f>
        <v/>
      </c>
      <c r="D547" t="str">
        <f>IF('NEW ACCOUNT'!A548="","",'NEW ACCOUNT'!D548)</f>
        <v/>
      </c>
      <c r="E547" t="str">
        <f>IF('NEW ACCOUNT'!A548="","",'NEW ACCOUNT'!E548)</f>
        <v/>
      </c>
      <c r="F547" t="str">
        <f>IF('NEW ACCOUNT'!A548="","",'NEW ACCOUNT'!F548)</f>
        <v/>
      </c>
      <c r="G547" t="str">
        <f>IF('NEW ACCOUNT'!A548="","",'NEW ACCOUNT'!G548)</f>
        <v/>
      </c>
      <c r="H547" t="str">
        <f>IF('NEW ACCOUNT'!A548="","",'NEW ACCOUNT'!H548)</f>
        <v/>
      </c>
      <c r="I547" t="str">
        <f>IF('NEW ACCOUNT'!A548="","",'NEW ACCOUNT'!I548)</f>
        <v/>
      </c>
      <c r="J547" t="str">
        <f>IF('NEW ACCOUNT'!A548="","",'NEW ACCOUNT'!J548)</f>
        <v/>
      </c>
      <c r="K547" t="str">
        <f>IFERROR(IF(A547="","",SUMIF(DB_Savings!$A:$A,A547,DB_Savings!$F:$F)),"")</f>
        <v/>
      </c>
      <c r="L547" t="str">
        <f>IFERROR(IF(A547="","",SUMIF(DB_Withdrawals!$A:$A,A547,DB_Withdrawals!$G:$G)),"")</f>
        <v/>
      </c>
      <c r="M547" t="str">
        <f>IFERROR(IF(A547="","",IFERROR(VALUE(H547),0)+IFERROR(SUMIF(DB_Savings!$A:$A,A547,DB_Savings!$F:$F),0)-IFERROR(SUMIF(DB_Withdrawals!$A:$A,A547,DB_Withdrawals!$G:$G),0)),"")</f>
        <v/>
      </c>
      <c r="N547" t="str">
        <f>IFERROR(IF(A547="","",MAX(0,M547-System_Config!$B$9)),"")</f>
        <v/>
      </c>
    </row>
    <row r="548" spans="1:14" ht="15" customHeight="1" x14ac:dyDescent="0.25">
      <c r="A548" t="str">
        <f>'NEW ACCOUNT'!A549</f>
        <v/>
      </c>
      <c r="B548" t="str">
        <f>IF('NEW ACCOUNT'!A549="","",'NEW ACCOUNT'!B549)</f>
        <v/>
      </c>
      <c r="C548" t="str">
        <f>IF('NEW ACCOUNT'!A549="","",'NEW ACCOUNT'!C549)</f>
        <v/>
      </c>
      <c r="D548" t="str">
        <f>IF('NEW ACCOUNT'!A549="","",'NEW ACCOUNT'!D549)</f>
        <v/>
      </c>
      <c r="E548" t="str">
        <f>IF('NEW ACCOUNT'!A549="","",'NEW ACCOUNT'!E549)</f>
        <v/>
      </c>
      <c r="F548" t="str">
        <f>IF('NEW ACCOUNT'!A549="","",'NEW ACCOUNT'!F549)</f>
        <v/>
      </c>
      <c r="G548" t="str">
        <f>IF('NEW ACCOUNT'!A549="","",'NEW ACCOUNT'!G549)</f>
        <v/>
      </c>
      <c r="H548" t="str">
        <f>IF('NEW ACCOUNT'!A549="","",'NEW ACCOUNT'!H549)</f>
        <v/>
      </c>
      <c r="I548" t="str">
        <f>IF('NEW ACCOUNT'!A549="","",'NEW ACCOUNT'!I549)</f>
        <v/>
      </c>
      <c r="J548" t="str">
        <f>IF('NEW ACCOUNT'!A549="","",'NEW ACCOUNT'!J549)</f>
        <v/>
      </c>
      <c r="K548" t="str">
        <f>IFERROR(IF(A548="","",SUMIF(DB_Savings!$A:$A,A548,DB_Savings!$F:$F)),"")</f>
        <v/>
      </c>
      <c r="L548" t="str">
        <f>IFERROR(IF(A548="","",SUMIF(DB_Withdrawals!$A:$A,A548,DB_Withdrawals!$G:$G)),"")</f>
        <v/>
      </c>
      <c r="M548" t="str">
        <f>IFERROR(IF(A548="","",IFERROR(VALUE(H548),0)+IFERROR(SUMIF(DB_Savings!$A:$A,A548,DB_Savings!$F:$F),0)-IFERROR(SUMIF(DB_Withdrawals!$A:$A,A548,DB_Withdrawals!$G:$G),0)),"")</f>
        <v/>
      </c>
      <c r="N548" t="str">
        <f>IFERROR(IF(A548="","",MAX(0,M548-System_Config!$B$9)),"")</f>
        <v/>
      </c>
    </row>
    <row r="549" spans="1:14" ht="15" customHeight="1" x14ac:dyDescent="0.25">
      <c r="A549" t="str">
        <f>'NEW ACCOUNT'!A550</f>
        <v/>
      </c>
      <c r="B549" t="str">
        <f>IF('NEW ACCOUNT'!A550="","",'NEW ACCOUNT'!B550)</f>
        <v/>
      </c>
      <c r="C549" t="str">
        <f>IF('NEW ACCOUNT'!A550="","",'NEW ACCOUNT'!C550)</f>
        <v/>
      </c>
      <c r="D549" t="str">
        <f>IF('NEW ACCOUNT'!A550="","",'NEW ACCOUNT'!D550)</f>
        <v/>
      </c>
      <c r="E549" t="str">
        <f>IF('NEW ACCOUNT'!A550="","",'NEW ACCOUNT'!E550)</f>
        <v/>
      </c>
      <c r="F549" t="str">
        <f>IF('NEW ACCOUNT'!A550="","",'NEW ACCOUNT'!F550)</f>
        <v/>
      </c>
      <c r="G549" t="str">
        <f>IF('NEW ACCOUNT'!A550="","",'NEW ACCOUNT'!G550)</f>
        <v/>
      </c>
      <c r="H549" t="str">
        <f>IF('NEW ACCOUNT'!A550="","",'NEW ACCOUNT'!H550)</f>
        <v/>
      </c>
      <c r="I549" t="str">
        <f>IF('NEW ACCOUNT'!A550="","",'NEW ACCOUNT'!I550)</f>
        <v/>
      </c>
      <c r="J549" t="str">
        <f>IF('NEW ACCOUNT'!A550="","",'NEW ACCOUNT'!J550)</f>
        <v/>
      </c>
      <c r="K549" t="str">
        <f>IFERROR(IF(A549="","",SUMIF(DB_Savings!$A:$A,A549,DB_Savings!$F:$F)),"")</f>
        <v/>
      </c>
      <c r="L549" t="str">
        <f>IFERROR(IF(A549="","",SUMIF(DB_Withdrawals!$A:$A,A549,DB_Withdrawals!$G:$G)),"")</f>
        <v/>
      </c>
      <c r="M549" t="str">
        <f>IFERROR(IF(A549="","",IFERROR(VALUE(H549),0)+IFERROR(SUMIF(DB_Savings!$A:$A,A549,DB_Savings!$F:$F),0)-IFERROR(SUMIF(DB_Withdrawals!$A:$A,A549,DB_Withdrawals!$G:$G),0)),"")</f>
        <v/>
      </c>
      <c r="N549" t="str">
        <f>IFERROR(IF(A549="","",MAX(0,M549-System_Config!$B$9)),"")</f>
        <v/>
      </c>
    </row>
    <row r="550" spans="1:14" ht="15" customHeight="1" x14ac:dyDescent="0.25">
      <c r="A550" t="str">
        <f>'NEW ACCOUNT'!A551</f>
        <v/>
      </c>
      <c r="B550" t="str">
        <f>IF('NEW ACCOUNT'!A551="","",'NEW ACCOUNT'!B551)</f>
        <v/>
      </c>
      <c r="C550" t="str">
        <f>IF('NEW ACCOUNT'!A551="","",'NEW ACCOUNT'!C551)</f>
        <v/>
      </c>
      <c r="D550" t="str">
        <f>IF('NEW ACCOUNT'!A551="","",'NEW ACCOUNT'!D551)</f>
        <v/>
      </c>
      <c r="E550" t="str">
        <f>IF('NEW ACCOUNT'!A551="","",'NEW ACCOUNT'!E551)</f>
        <v/>
      </c>
      <c r="F550" t="str">
        <f>IF('NEW ACCOUNT'!A551="","",'NEW ACCOUNT'!F551)</f>
        <v/>
      </c>
      <c r="G550" t="str">
        <f>IF('NEW ACCOUNT'!A551="","",'NEW ACCOUNT'!G551)</f>
        <v/>
      </c>
      <c r="H550" t="str">
        <f>IF('NEW ACCOUNT'!A551="","",'NEW ACCOUNT'!H551)</f>
        <v/>
      </c>
      <c r="I550" t="str">
        <f>IF('NEW ACCOUNT'!A551="","",'NEW ACCOUNT'!I551)</f>
        <v/>
      </c>
      <c r="J550" t="str">
        <f>IF('NEW ACCOUNT'!A551="","",'NEW ACCOUNT'!J551)</f>
        <v/>
      </c>
      <c r="K550" t="str">
        <f>IFERROR(IF(A550="","",SUMIF(DB_Savings!$A:$A,A550,DB_Savings!$F:$F)),"")</f>
        <v/>
      </c>
      <c r="L550" t="str">
        <f>IFERROR(IF(A550="","",SUMIF(DB_Withdrawals!$A:$A,A550,DB_Withdrawals!$G:$G)),"")</f>
        <v/>
      </c>
      <c r="M550" t="str">
        <f>IFERROR(IF(A550="","",IFERROR(VALUE(H550),0)+IFERROR(SUMIF(DB_Savings!$A:$A,A550,DB_Savings!$F:$F),0)-IFERROR(SUMIF(DB_Withdrawals!$A:$A,A550,DB_Withdrawals!$G:$G),0)),"")</f>
        <v/>
      </c>
      <c r="N550" t="str">
        <f>IFERROR(IF(A550="","",MAX(0,M550-System_Config!$B$9)),"")</f>
        <v/>
      </c>
    </row>
    <row r="551" spans="1:14" ht="15" customHeight="1" x14ac:dyDescent="0.25">
      <c r="A551" t="str">
        <f>'NEW ACCOUNT'!A552</f>
        <v/>
      </c>
      <c r="B551" t="str">
        <f>IF('NEW ACCOUNT'!A552="","",'NEW ACCOUNT'!B552)</f>
        <v/>
      </c>
      <c r="C551" t="str">
        <f>IF('NEW ACCOUNT'!A552="","",'NEW ACCOUNT'!C552)</f>
        <v/>
      </c>
      <c r="D551" t="str">
        <f>IF('NEW ACCOUNT'!A552="","",'NEW ACCOUNT'!D552)</f>
        <v/>
      </c>
      <c r="E551" t="str">
        <f>IF('NEW ACCOUNT'!A552="","",'NEW ACCOUNT'!E552)</f>
        <v/>
      </c>
      <c r="F551" t="str">
        <f>IF('NEW ACCOUNT'!A552="","",'NEW ACCOUNT'!F552)</f>
        <v/>
      </c>
      <c r="G551" t="str">
        <f>IF('NEW ACCOUNT'!A552="","",'NEW ACCOUNT'!G552)</f>
        <v/>
      </c>
      <c r="H551" t="str">
        <f>IF('NEW ACCOUNT'!A552="","",'NEW ACCOUNT'!H552)</f>
        <v/>
      </c>
      <c r="I551" t="str">
        <f>IF('NEW ACCOUNT'!A552="","",'NEW ACCOUNT'!I552)</f>
        <v/>
      </c>
      <c r="J551" t="str">
        <f>IF('NEW ACCOUNT'!A552="","",'NEW ACCOUNT'!J552)</f>
        <v/>
      </c>
      <c r="K551" t="str">
        <f>IFERROR(IF(A551="","",SUMIF(DB_Savings!$A:$A,A551,DB_Savings!$F:$F)),"")</f>
        <v/>
      </c>
      <c r="L551" t="str">
        <f>IFERROR(IF(A551="","",SUMIF(DB_Withdrawals!$A:$A,A551,DB_Withdrawals!$G:$G)),"")</f>
        <v/>
      </c>
      <c r="M551" t="str">
        <f>IFERROR(IF(A551="","",IFERROR(VALUE(H551),0)+IFERROR(SUMIF(DB_Savings!$A:$A,A551,DB_Savings!$F:$F),0)-IFERROR(SUMIF(DB_Withdrawals!$A:$A,A551,DB_Withdrawals!$G:$G),0)),"")</f>
        <v/>
      </c>
      <c r="N551" t="str">
        <f>IFERROR(IF(A551="","",MAX(0,M551-System_Config!$B$9)),"")</f>
        <v/>
      </c>
    </row>
    <row r="552" spans="1:14" ht="15" customHeight="1" x14ac:dyDescent="0.25">
      <c r="A552" t="str">
        <f>'NEW ACCOUNT'!A553</f>
        <v/>
      </c>
      <c r="B552" t="str">
        <f>IF('NEW ACCOUNT'!A553="","",'NEW ACCOUNT'!B553)</f>
        <v/>
      </c>
      <c r="C552" t="str">
        <f>IF('NEW ACCOUNT'!A553="","",'NEW ACCOUNT'!C553)</f>
        <v/>
      </c>
      <c r="D552" t="str">
        <f>IF('NEW ACCOUNT'!A553="","",'NEW ACCOUNT'!D553)</f>
        <v/>
      </c>
      <c r="E552" t="str">
        <f>IF('NEW ACCOUNT'!A553="","",'NEW ACCOUNT'!E553)</f>
        <v/>
      </c>
      <c r="F552" t="str">
        <f>IF('NEW ACCOUNT'!A553="","",'NEW ACCOUNT'!F553)</f>
        <v/>
      </c>
      <c r="G552" t="str">
        <f>IF('NEW ACCOUNT'!A553="","",'NEW ACCOUNT'!G553)</f>
        <v/>
      </c>
      <c r="H552" t="str">
        <f>IF('NEW ACCOUNT'!A553="","",'NEW ACCOUNT'!H553)</f>
        <v/>
      </c>
      <c r="I552" t="str">
        <f>IF('NEW ACCOUNT'!A553="","",'NEW ACCOUNT'!I553)</f>
        <v/>
      </c>
      <c r="J552" t="str">
        <f>IF('NEW ACCOUNT'!A553="","",'NEW ACCOUNT'!J553)</f>
        <v/>
      </c>
      <c r="K552" t="str">
        <f>IFERROR(IF(A552="","",SUMIF(DB_Savings!$A:$A,A552,DB_Savings!$F:$F)),"")</f>
        <v/>
      </c>
      <c r="L552" t="str">
        <f>IFERROR(IF(A552="","",SUMIF(DB_Withdrawals!$A:$A,A552,DB_Withdrawals!$G:$G)),"")</f>
        <v/>
      </c>
      <c r="M552" t="str">
        <f>IFERROR(IF(A552="","",IFERROR(VALUE(H552),0)+IFERROR(SUMIF(DB_Savings!$A:$A,A552,DB_Savings!$F:$F),0)-IFERROR(SUMIF(DB_Withdrawals!$A:$A,A552,DB_Withdrawals!$G:$G),0)),"")</f>
        <v/>
      </c>
      <c r="N552" t="str">
        <f>IFERROR(IF(A552="","",MAX(0,M552-System_Config!$B$9)),"")</f>
        <v/>
      </c>
    </row>
    <row r="553" spans="1:14" ht="15" customHeight="1" x14ac:dyDescent="0.25">
      <c r="A553" t="str">
        <f>'NEW ACCOUNT'!A554</f>
        <v/>
      </c>
      <c r="B553" t="str">
        <f>IF('NEW ACCOUNT'!A554="","",'NEW ACCOUNT'!B554)</f>
        <v/>
      </c>
      <c r="C553" t="str">
        <f>IF('NEW ACCOUNT'!A554="","",'NEW ACCOUNT'!C554)</f>
        <v/>
      </c>
      <c r="D553" t="str">
        <f>IF('NEW ACCOUNT'!A554="","",'NEW ACCOUNT'!D554)</f>
        <v/>
      </c>
      <c r="E553" t="str">
        <f>IF('NEW ACCOUNT'!A554="","",'NEW ACCOUNT'!E554)</f>
        <v/>
      </c>
      <c r="F553" t="str">
        <f>IF('NEW ACCOUNT'!A554="","",'NEW ACCOUNT'!F554)</f>
        <v/>
      </c>
      <c r="G553" t="str">
        <f>IF('NEW ACCOUNT'!A554="","",'NEW ACCOUNT'!G554)</f>
        <v/>
      </c>
      <c r="H553" t="str">
        <f>IF('NEW ACCOUNT'!A554="","",'NEW ACCOUNT'!H554)</f>
        <v/>
      </c>
      <c r="I553" t="str">
        <f>IF('NEW ACCOUNT'!A554="","",'NEW ACCOUNT'!I554)</f>
        <v/>
      </c>
      <c r="J553" t="str">
        <f>IF('NEW ACCOUNT'!A554="","",'NEW ACCOUNT'!J554)</f>
        <v/>
      </c>
      <c r="K553" t="str">
        <f>IFERROR(IF(A553="","",SUMIF(DB_Savings!$A:$A,A553,DB_Savings!$F:$F)),"")</f>
        <v/>
      </c>
      <c r="L553" t="str">
        <f>IFERROR(IF(A553="","",SUMIF(DB_Withdrawals!$A:$A,A553,DB_Withdrawals!$G:$G)),"")</f>
        <v/>
      </c>
      <c r="M553" t="str">
        <f>IFERROR(IF(A553="","",IFERROR(VALUE(H553),0)+IFERROR(SUMIF(DB_Savings!$A:$A,A553,DB_Savings!$F:$F),0)-IFERROR(SUMIF(DB_Withdrawals!$A:$A,A553,DB_Withdrawals!$G:$G),0)),"")</f>
        <v/>
      </c>
      <c r="N553" t="str">
        <f>IFERROR(IF(A553="","",MAX(0,M553-System_Config!$B$9)),"")</f>
        <v/>
      </c>
    </row>
    <row r="554" spans="1:14" ht="15" customHeight="1" x14ac:dyDescent="0.25">
      <c r="A554" t="str">
        <f>'NEW ACCOUNT'!A555</f>
        <v/>
      </c>
      <c r="B554" t="str">
        <f>IF('NEW ACCOUNT'!A555="","",'NEW ACCOUNT'!B555)</f>
        <v/>
      </c>
      <c r="C554" t="str">
        <f>IF('NEW ACCOUNT'!A555="","",'NEW ACCOUNT'!C555)</f>
        <v/>
      </c>
      <c r="D554" t="str">
        <f>IF('NEW ACCOUNT'!A555="","",'NEW ACCOUNT'!D555)</f>
        <v/>
      </c>
      <c r="E554" t="str">
        <f>IF('NEW ACCOUNT'!A555="","",'NEW ACCOUNT'!E555)</f>
        <v/>
      </c>
      <c r="F554" t="str">
        <f>IF('NEW ACCOUNT'!A555="","",'NEW ACCOUNT'!F555)</f>
        <v/>
      </c>
      <c r="G554" t="str">
        <f>IF('NEW ACCOUNT'!A555="","",'NEW ACCOUNT'!G555)</f>
        <v/>
      </c>
      <c r="H554" t="str">
        <f>IF('NEW ACCOUNT'!A555="","",'NEW ACCOUNT'!H555)</f>
        <v/>
      </c>
      <c r="I554" t="str">
        <f>IF('NEW ACCOUNT'!A555="","",'NEW ACCOUNT'!I555)</f>
        <v/>
      </c>
      <c r="J554" t="str">
        <f>IF('NEW ACCOUNT'!A555="","",'NEW ACCOUNT'!J555)</f>
        <v/>
      </c>
      <c r="K554" t="str">
        <f>IFERROR(IF(A554="","",SUMIF(DB_Savings!$A:$A,A554,DB_Savings!$F:$F)),"")</f>
        <v/>
      </c>
      <c r="L554" t="str">
        <f>IFERROR(IF(A554="","",SUMIF(DB_Withdrawals!$A:$A,A554,DB_Withdrawals!$G:$G)),"")</f>
        <v/>
      </c>
      <c r="M554" t="str">
        <f>IFERROR(IF(A554="","",IFERROR(VALUE(H554),0)+IFERROR(SUMIF(DB_Savings!$A:$A,A554,DB_Savings!$F:$F),0)-IFERROR(SUMIF(DB_Withdrawals!$A:$A,A554,DB_Withdrawals!$G:$G),0)),"")</f>
        <v/>
      </c>
      <c r="N554" t="str">
        <f>IFERROR(IF(A554="","",MAX(0,M554-System_Config!$B$9)),"")</f>
        <v/>
      </c>
    </row>
    <row r="555" spans="1:14" ht="15" customHeight="1" x14ac:dyDescent="0.25">
      <c r="A555" t="str">
        <f>'NEW ACCOUNT'!A556</f>
        <v/>
      </c>
      <c r="B555" t="str">
        <f>IF('NEW ACCOUNT'!A556="","",'NEW ACCOUNT'!B556)</f>
        <v/>
      </c>
      <c r="C555" t="str">
        <f>IF('NEW ACCOUNT'!A556="","",'NEW ACCOUNT'!C556)</f>
        <v/>
      </c>
      <c r="D555" t="str">
        <f>IF('NEW ACCOUNT'!A556="","",'NEW ACCOUNT'!D556)</f>
        <v/>
      </c>
      <c r="E555" t="str">
        <f>IF('NEW ACCOUNT'!A556="","",'NEW ACCOUNT'!E556)</f>
        <v/>
      </c>
      <c r="F555" t="str">
        <f>IF('NEW ACCOUNT'!A556="","",'NEW ACCOUNT'!F556)</f>
        <v/>
      </c>
      <c r="G555" t="str">
        <f>IF('NEW ACCOUNT'!A556="","",'NEW ACCOUNT'!G556)</f>
        <v/>
      </c>
      <c r="H555" t="str">
        <f>IF('NEW ACCOUNT'!A556="","",'NEW ACCOUNT'!H556)</f>
        <v/>
      </c>
      <c r="I555" t="str">
        <f>IF('NEW ACCOUNT'!A556="","",'NEW ACCOUNT'!I556)</f>
        <v/>
      </c>
      <c r="J555" t="str">
        <f>IF('NEW ACCOUNT'!A556="","",'NEW ACCOUNT'!J556)</f>
        <v/>
      </c>
      <c r="K555" t="str">
        <f>IFERROR(IF(A555="","",SUMIF(DB_Savings!$A:$A,A555,DB_Savings!$F:$F)),"")</f>
        <v/>
      </c>
      <c r="L555" t="str">
        <f>IFERROR(IF(A555="","",SUMIF(DB_Withdrawals!$A:$A,A555,DB_Withdrawals!$G:$G)),"")</f>
        <v/>
      </c>
      <c r="M555" t="str">
        <f>IFERROR(IF(A555="","",IFERROR(VALUE(H555),0)+IFERROR(SUMIF(DB_Savings!$A:$A,A555,DB_Savings!$F:$F),0)-IFERROR(SUMIF(DB_Withdrawals!$A:$A,A555,DB_Withdrawals!$G:$G),0)),"")</f>
        <v/>
      </c>
      <c r="N555" t="str">
        <f>IFERROR(IF(A555="","",MAX(0,M555-System_Config!$B$9)),"")</f>
        <v/>
      </c>
    </row>
    <row r="556" spans="1:14" ht="15" customHeight="1" x14ac:dyDescent="0.25">
      <c r="A556" t="str">
        <f>'NEW ACCOUNT'!A557</f>
        <v/>
      </c>
      <c r="B556" t="str">
        <f>IF('NEW ACCOUNT'!A557="","",'NEW ACCOUNT'!B557)</f>
        <v/>
      </c>
      <c r="C556" t="str">
        <f>IF('NEW ACCOUNT'!A557="","",'NEW ACCOUNT'!C557)</f>
        <v/>
      </c>
      <c r="D556" t="str">
        <f>IF('NEW ACCOUNT'!A557="","",'NEW ACCOUNT'!D557)</f>
        <v/>
      </c>
      <c r="E556" t="str">
        <f>IF('NEW ACCOUNT'!A557="","",'NEW ACCOUNT'!E557)</f>
        <v/>
      </c>
      <c r="F556" t="str">
        <f>IF('NEW ACCOUNT'!A557="","",'NEW ACCOUNT'!F557)</f>
        <v/>
      </c>
      <c r="G556" t="str">
        <f>IF('NEW ACCOUNT'!A557="","",'NEW ACCOUNT'!G557)</f>
        <v/>
      </c>
      <c r="H556" t="str">
        <f>IF('NEW ACCOUNT'!A557="","",'NEW ACCOUNT'!H557)</f>
        <v/>
      </c>
      <c r="I556" t="str">
        <f>IF('NEW ACCOUNT'!A557="","",'NEW ACCOUNT'!I557)</f>
        <v/>
      </c>
      <c r="J556" t="str">
        <f>IF('NEW ACCOUNT'!A557="","",'NEW ACCOUNT'!J557)</f>
        <v/>
      </c>
      <c r="K556" t="str">
        <f>IFERROR(IF(A556="","",SUMIF(DB_Savings!$A:$A,A556,DB_Savings!$F:$F)),"")</f>
        <v/>
      </c>
      <c r="L556" t="str">
        <f>IFERROR(IF(A556="","",SUMIF(DB_Withdrawals!$A:$A,A556,DB_Withdrawals!$G:$G)),"")</f>
        <v/>
      </c>
      <c r="M556" t="str">
        <f>IFERROR(IF(A556="","",IFERROR(VALUE(H556),0)+IFERROR(SUMIF(DB_Savings!$A:$A,A556,DB_Savings!$F:$F),0)-IFERROR(SUMIF(DB_Withdrawals!$A:$A,A556,DB_Withdrawals!$G:$G),0)),"")</f>
        <v/>
      </c>
      <c r="N556" t="str">
        <f>IFERROR(IF(A556="","",MAX(0,M556-System_Config!$B$9)),"")</f>
        <v/>
      </c>
    </row>
    <row r="557" spans="1:14" ht="15" customHeight="1" x14ac:dyDescent="0.25">
      <c r="A557" t="str">
        <f>'NEW ACCOUNT'!A558</f>
        <v/>
      </c>
      <c r="B557" t="str">
        <f>IF('NEW ACCOUNT'!A558="","",'NEW ACCOUNT'!B558)</f>
        <v/>
      </c>
      <c r="C557" t="str">
        <f>IF('NEW ACCOUNT'!A558="","",'NEW ACCOUNT'!C558)</f>
        <v/>
      </c>
      <c r="D557" t="str">
        <f>IF('NEW ACCOUNT'!A558="","",'NEW ACCOUNT'!D558)</f>
        <v/>
      </c>
      <c r="E557" t="str">
        <f>IF('NEW ACCOUNT'!A558="","",'NEW ACCOUNT'!E558)</f>
        <v/>
      </c>
      <c r="F557" t="str">
        <f>IF('NEW ACCOUNT'!A558="","",'NEW ACCOUNT'!F558)</f>
        <v/>
      </c>
      <c r="G557" t="str">
        <f>IF('NEW ACCOUNT'!A558="","",'NEW ACCOUNT'!G558)</f>
        <v/>
      </c>
      <c r="H557" t="str">
        <f>IF('NEW ACCOUNT'!A558="","",'NEW ACCOUNT'!H558)</f>
        <v/>
      </c>
      <c r="I557" t="str">
        <f>IF('NEW ACCOUNT'!A558="","",'NEW ACCOUNT'!I558)</f>
        <v/>
      </c>
      <c r="J557" t="str">
        <f>IF('NEW ACCOUNT'!A558="","",'NEW ACCOUNT'!J558)</f>
        <v/>
      </c>
      <c r="K557" t="str">
        <f>IFERROR(IF(A557="","",SUMIF(DB_Savings!$A:$A,A557,DB_Savings!$F:$F)),"")</f>
        <v/>
      </c>
      <c r="L557" t="str">
        <f>IFERROR(IF(A557="","",SUMIF(DB_Withdrawals!$A:$A,A557,DB_Withdrawals!$G:$G)),"")</f>
        <v/>
      </c>
      <c r="M557" t="str">
        <f>IFERROR(IF(A557="","",IFERROR(VALUE(H557),0)+IFERROR(SUMIF(DB_Savings!$A:$A,A557,DB_Savings!$F:$F),0)-IFERROR(SUMIF(DB_Withdrawals!$A:$A,A557,DB_Withdrawals!$G:$G),0)),"")</f>
        <v/>
      </c>
      <c r="N557" t="str">
        <f>IFERROR(IF(A557="","",MAX(0,M557-System_Config!$B$9)),"")</f>
        <v/>
      </c>
    </row>
    <row r="558" spans="1:14" ht="15" customHeight="1" x14ac:dyDescent="0.25">
      <c r="A558" t="str">
        <f>'NEW ACCOUNT'!A559</f>
        <v/>
      </c>
      <c r="B558" t="str">
        <f>IF('NEW ACCOUNT'!A559="","",'NEW ACCOUNT'!B559)</f>
        <v/>
      </c>
      <c r="C558" t="str">
        <f>IF('NEW ACCOUNT'!A559="","",'NEW ACCOUNT'!C559)</f>
        <v/>
      </c>
      <c r="D558" t="str">
        <f>IF('NEW ACCOUNT'!A559="","",'NEW ACCOUNT'!D559)</f>
        <v/>
      </c>
      <c r="E558" t="str">
        <f>IF('NEW ACCOUNT'!A559="","",'NEW ACCOUNT'!E559)</f>
        <v/>
      </c>
      <c r="F558" t="str">
        <f>IF('NEW ACCOUNT'!A559="","",'NEW ACCOUNT'!F559)</f>
        <v/>
      </c>
      <c r="G558" t="str">
        <f>IF('NEW ACCOUNT'!A559="","",'NEW ACCOUNT'!G559)</f>
        <v/>
      </c>
      <c r="H558" t="str">
        <f>IF('NEW ACCOUNT'!A559="","",'NEW ACCOUNT'!H559)</f>
        <v/>
      </c>
      <c r="I558" t="str">
        <f>IF('NEW ACCOUNT'!A559="","",'NEW ACCOUNT'!I559)</f>
        <v/>
      </c>
      <c r="J558" t="str">
        <f>IF('NEW ACCOUNT'!A559="","",'NEW ACCOUNT'!J559)</f>
        <v/>
      </c>
      <c r="K558" t="str">
        <f>IFERROR(IF(A558="","",SUMIF(DB_Savings!$A:$A,A558,DB_Savings!$F:$F)),"")</f>
        <v/>
      </c>
      <c r="L558" t="str">
        <f>IFERROR(IF(A558="","",SUMIF(DB_Withdrawals!$A:$A,A558,DB_Withdrawals!$G:$G)),"")</f>
        <v/>
      </c>
      <c r="M558" t="str">
        <f>IFERROR(IF(A558="","",IFERROR(VALUE(H558),0)+IFERROR(SUMIF(DB_Savings!$A:$A,A558,DB_Savings!$F:$F),0)-IFERROR(SUMIF(DB_Withdrawals!$A:$A,A558,DB_Withdrawals!$G:$G),0)),"")</f>
        <v/>
      </c>
      <c r="N558" t="str">
        <f>IFERROR(IF(A558="","",MAX(0,M558-System_Config!$B$9)),"")</f>
        <v/>
      </c>
    </row>
    <row r="559" spans="1:14" ht="15" customHeight="1" x14ac:dyDescent="0.25">
      <c r="A559" t="str">
        <f>'NEW ACCOUNT'!A560</f>
        <v/>
      </c>
      <c r="B559" t="str">
        <f>IF('NEW ACCOUNT'!A560="","",'NEW ACCOUNT'!B560)</f>
        <v/>
      </c>
      <c r="C559" t="str">
        <f>IF('NEW ACCOUNT'!A560="","",'NEW ACCOUNT'!C560)</f>
        <v/>
      </c>
      <c r="D559" t="str">
        <f>IF('NEW ACCOUNT'!A560="","",'NEW ACCOUNT'!D560)</f>
        <v/>
      </c>
      <c r="E559" t="str">
        <f>IF('NEW ACCOUNT'!A560="","",'NEW ACCOUNT'!E560)</f>
        <v/>
      </c>
      <c r="F559" t="str">
        <f>IF('NEW ACCOUNT'!A560="","",'NEW ACCOUNT'!F560)</f>
        <v/>
      </c>
      <c r="G559" t="str">
        <f>IF('NEW ACCOUNT'!A560="","",'NEW ACCOUNT'!G560)</f>
        <v/>
      </c>
      <c r="H559" t="str">
        <f>IF('NEW ACCOUNT'!A560="","",'NEW ACCOUNT'!H560)</f>
        <v/>
      </c>
      <c r="I559" t="str">
        <f>IF('NEW ACCOUNT'!A560="","",'NEW ACCOUNT'!I560)</f>
        <v/>
      </c>
      <c r="J559" t="str">
        <f>IF('NEW ACCOUNT'!A560="","",'NEW ACCOUNT'!J560)</f>
        <v/>
      </c>
      <c r="K559" t="str">
        <f>IFERROR(IF(A559="","",SUMIF(DB_Savings!$A:$A,A559,DB_Savings!$F:$F)),"")</f>
        <v/>
      </c>
      <c r="L559" t="str">
        <f>IFERROR(IF(A559="","",SUMIF(DB_Withdrawals!$A:$A,A559,DB_Withdrawals!$G:$G)),"")</f>
        <v/>
      </c>
      <c r="M559" t="str">
        <f>IFERROR(IF(A559="","",IFERROR(VALUE(H559),0)+IFERROR(SUMIF(DB_Savings!$A:$A,A559,DB_Savings!$F:$F),0)-IFERROR(SUMIF(DB_Withdrawals!$A:$A,A559,DB_Withdrawals!$G:$G),0)),"")</f>
        <v/>
      </c>
      <c r="N559" t="str">
        <f>IFERROR(IF(A559="","",MAX(0,M559-System_Config!$B$9)),"")</f>
        <v/>
      </c>
    </row>
    <row r="560" spans="1:14" ht="15" customHeight="1" x14ac:dyDescent="0.25">
      <c r="A560" t="str">
        <f>'NEW ACCOUNT'!A561</f>
        <v/>
      </c>
      <c r="B560" t="str">
        <f>IF('NEW ACCOUNT'!A561="","",'NEW ACCOUNT'!B561)</f>
        <v/>
      </c>
      <c r="C560" t="str">
        <f>IF('NEW ACCOUNT'!A561="","",'NEW ACCOUNT'!C561)</f>
        <v/>
      </c>
      <c r="D560" t="str">
        <f>IF('NEW ACCOUNT'!A561="","",'NEW ACCOUNT'!D561)</f>
        <v/>
      </c>
      <c r="E560" t="str">
        <f>IF('NEW ACCOUNT'!A561="","",'NEW ACCOUNT'!E561)</f>
        <v/>
      </c>
      <c r="F560" t="str">
        <f>IF('NEW ACCOUNT'!A561="","",'NEW ACCOUNT'!F561)</f>
        <v/>
      </c>
      <c r="G560" t="str">
        <f>IF('NEW ACCOUNT'!A561="","",'NEW ACCOUNT'!G561)</f>
        <v/>
      </c>
      <c r="H560" t="str">
        <f>IF('NEW ACCOUNT'!A561="","",'NEW ACCOUNT'!H561)</f>
        <v/>
      </c>
      <c r="I560" t="str">
        <f>IF('NEW ACCOUNT'!A561="","",'NEW ACCOUNT'!I561)</f>
        <v/>
      </c>
      <c r="J560" t="str">
        <f>IF('NEW ACCOUNT'!A561="","",'NEW ACCOUNT'!J561)</f>
        <v/>
      </c>
      <c r="K560" t="str">
        <f>IFERROR(IF(A560="","",SUMIF(DB_Savings!$A:$A,A560,DB_Savings!$F:$F)),"")</f>
        <v/>
      </c>
      <c r="L560" t="str">
        <f>IFERROR(IF(A560="","",SUMIF(DB_Withdrawals!$A:$A,A560,DB_Withdrawals!$G:$G)),"")</f>
        <v/>
      </c>
      <c r="M560" t="str">
        <f>IFERROR(IF(A560="","",IFERROR(VALUE(H560),0)+IFERROR(SUMIF(DB_Savings!$A:$A,A560,DB_Savings!$F:$F),0)-IFERROR(SUMIF(DB_Withdrawals!$A:$A,A560,DB_Withdrawals!$G:$G),0)),"")</f>
        <v/>
      </c>
      <c r="N560" t="str">
        <f>IFERROR(IF(A560="","",MAX(0,M560-System_Config!$B$9)),"")</f>
        <v/>
      </c>
    </row>
    <row r="561" spans="1:14" ht="15" customHeight="1" x14ac:dyDescent="0.25">
      <c r="A561" t="str">
        <f>'NEW ACCOUNT'!A562</f>
        <v/>
      </c>
      <c r="B561" t="str">
        <f>IF('NEW ACCOUNT'!A562="","",'NEW ACCOUNT'!B562)</f>
        <v/>
      </c>
      <c r="C561" t="str">
        <f>IF('NEW ACCOUNT'!A562="","",'NEW ACCOUNT'!C562)</f>
        <v/>
      </c>
      <c r="D561" t="str">
        <f>IF('NEW ACCOUNT'!A562="","",'NEW ACCOUNT'!D562)</f>
        <v/>
      </c>
      <c r="E561" t="str">
        <f>IF('NEW ACCOUNT'!A562="","",'NEW ACCOUNT'!E562)</f>
        <v/>
      </c>
      <c r="F561" t="str">
        <f>IF('NEW ACCOUNT'!A562="","",'NEW ACCOUNT'!F562)</f>
        <v/>
      </c>
      <c r="G561" t="str">
        <f>IF('NEW ACCOUNT'!A562="","",'NEW ACCOUNT'!G562)</f>
        <v/>
      </c>
      <c r="H561" t="str">
        <f>IF('NEW ACCOUNT'!A562="","",'NEW ACCOUNT'!H562)</f>
        <v/>
      </c>
      <c r="I561" t="str">
        <f>IF('NEW ACCOUNT'!A562="","",'NEW ACCOUNT'!I562)</f>
        <v/>
      </c>
      <c r="J561" t="str">
        <f>IF('NEW ACCOUNT'!A562="","",'NEW ACCOUNT'!J562)</f>
        <v/>
      </c>
      <c r="K561" t="str">
        <f>IFERROR(IF(A561="","",SUMIF(DB_Savings!$A:$A,A561,DB_Savings!$F:$F)),"")</f>
        <v/>
      </c>
      <c r="L561" t="str">
        <f>IFERROR(IF(A561="","",SUMIF(DB_Withdrawals!$A:$A,A561,DB_Withdrawals!$G:$G)),"")</f>
        <v/>
      </c>
      <c r="M561" t="str">
        <f>IFERROR(IF(A561="","",IFERROR(VALUE(H561),0)+IFERROR(SUMIF(DB_Savings!$A:$A,A561,DB_Savings!$F:$F),0)-IFERROR(SUMIF(DB_Withdrawals!$A:$A,A561,DB_Withdrawals!$G:$G),0)),"")</f>
        <v/>
      </c>
      <c r="N561" t="str">
        <f>IFERROR(IF(A561="","",MAX(0,M561-System_Config!$B$9)),"")</f>
        <v/>
      </c>
    </row>
    <row r="562" spans="1:14" ht="15" customHeight="1" x14ac:dyDescent="0.25">
      <c r="A562" t="str">
        <f>'NEW ACCOUNT'!A563</f>
        <v/>
      </c>
      <c r="B562" t="str">
        <f>IF('NEW ACCOUNT'!A563="","",'NEW ACCOUNT'!B563)</f>
        <v/>
      </c>
      <c r="C562" t="str">
        <f>IF('NEW ACCOUNT'!A563="","",'NEW ACCOUNT'!C563)</f>
        <v/>
      </c>
      <c r="D562" t="str">
        <f>IF('NEW ACCOUNT'!A563="","",'NEW ACCOUNT'!D563)</f>
        <v/>
      </c>
      <c r="E562" t="str">
        <f>IF('NEW ACCOUNT'!A563="","",'NEW ACCOUNT'!E563)</f>
        <v/>
      </c>
      <c r="F562" t="str">
        <f>IF('NEW ACCOUNT'!A563="","",'NEW ACCOUNT'!F563)</f>
        <v/>
      </c>
      <c r="G562" t="str">
        <f>IF('NEW ACCOUNT'!A563="","",'NEW ACCOUNT'!G563)</f>
        <v/>
      </c>
      <c r="H562" t="str">
        <f>IF('NEW ACCOUNT'!A563="","",'NEW ACCOUNT'!H563)</f>
        <v/>
      </c>
      <c r="I562" t="str">
        <f>IF('NEW ACCOUNT'!A563="","",'NEW ACCOUNT'!I563)</f>
        <v/>
      </c>
      <c r="J562" t="str">
        <f>IF('NEW ACCOUNT'!A563="","",'NEW ACCOUNT'!J563)</f>
        <v/>
      </c>
      <c r="K562" t="str">
        <f>IFERROR(IF(A562="","",SUMIF(DB_Savings!$A:$A,A562,DB_Savings!$F:$F)),"")</f>
        <v/>
      </c>
      <c r="L562" t="str">
        <f>IFERROR(IF(A562="","",SUMIF(DB_Withdrawals!$A:$A,A562,DB_Withdrawals!$G:$G)),"")</f>
        <v/>
      </c>
      <c r="M562" t="str">
        <f>IFERROR(IF(A562="","",IFERROR(VALUE(H562),0)+IFERROR(SUMIF(DB_Savings!$A:$A,A562,DB_Savings!$F:$F),0)-IFERROR(SUMIF(DB_Withdrawals!$A:$A,A562,DB_Withdrawals!$G:$G),0)),"")</f>
        <v/>
      </c>
      <c r="N562" t="str">
        <f>IFERROR(IF(A562="","",MAX(0,M562-System_Config!$B$9)),"")</f>
        <v/>
      </c>
    </row>
    <row r="563" spans="1:14" ht="15" customHeight="1" x14ac:dyDescent="0.25">
      <c r="A563" t="str">
        <f>'NEW ACCOUNT'!A564</f>
        <v/>
      </c>
      <c r="B563" t="str">
        <f>IF('NEW ACCOUNT'!A564="","",'NEW ACCOUNT'!B564)</f>
        <v/>
      </c>
      <c r="C563" t="str">
        <f>IF('NEW ACCOUNT'!A564="","",'NEW ACCOUNT'!C564)</f>
        <v/>
      </c>
      <c r="D563" t="str">
        <f>IF('NEW ACCOUNT'!A564="","",'NEW ACCOUNT'!D564)</f>
        <v/>
      </c>
      <c r="E563" t="str">
        <f>IF('NEW ACCOUNT'!A564="","",'NEW ACCOUNT'!E564)</f>
        <v/>
      </c>
      <c r="F563" t="str">
        <f>IF('NEW ACCOUNT'!A564="","",'NEW ACCOUNT'!F564)</f>
        <v/>
      </c>
      <c r="G563" t="str">
        <f>IF('NEW ACCOUNT'!A564="","",'NEW ACCOUNT'!G564)</f>
        <v/>
      </c>
      <c r="H563" t="str">
        <f>IF('NEW ACCOUNT'!A564="","",'NEW ACCOUNT'!H564)</f>
        <v/>
      </c>
      <c r="I563" t="str">
        <f>IF('NEW ACCOUNT'!A564="","",'NEW ACCOUNT'!I564)</f>
        <v/>
      </c>
      <c r="J563" t="str">
        <f>IF('NEW ACCOUNT'!A564="","",'NEW ACCOUNT'!J564)</f>
        <v/>
      </c>
      <c r="K563" t="str">
        <f>IFERROR(IF(A563="","",SUMIF(DB_Savings!$A:$A,A563,DB_Savings!$F:$F)),"")</f>
        <v/>
      </c>
      <c r="L563" t="str">
        <f>IFERROR(IF(A563="","",SUMIF(DB_Withdrawals!$A:$A,A563,DB_Withdrawals!$G:$G)),"")</f>
        <v/>
      </c>
      <c r="M563" t="str">
        <f>IFERROR(IF(A563="","",IFERROR(VALUE(H563),0)+IFERROR(SUMIF(DB_Savings!$A:$A,A563,DB_Savings!$F:$F),0)-IFERROR(SUMIF(DB_Withdrawals!$A:$A,A563,DB_Withdrawals!$G:$G),0)),"")</f>
        <v/>
      </c>
      <c r="N563" t="str">
        <f>IFERROR(IF(A563="","",MAX(0,M563-System_Config!$B$9)),"")</f>
        <v/>
      </c>
    </row>
    <row r="564" spans="1:14" ht="15" customHeight="1" x14ac:dyDescent="0.25">
      <c r="A564" t="str">
        <f>'NEW ACCOUNT'!A565</f>
        <v/>
      </c>
      <c r="B564" t="str">
        <f>IF('NEW ACCOUNT'!A565="","",'NEW ACCOUNT'!B565)</f>
        <v/>
      </c>
      <c r="C564" t="str">
        <f>IF('NEW ACCOUNT'!A565="","",'NEW ACCOUNT'!C565)</f>
        <v/>
      </c>
      <c r="D564" t="str">
        <f>IF('NEW ACCOUNT'!A565="","",'NEW ACCOUNT'!D565)</f>
        <v/>
      </c>
      <c r="E564" t="str">
        <f>IF('NEW ACCOUNT'!A565="","",'NEW ACCOUNT'!E565)</f>
        <v/>
      </c>
      <c r="F564" t="str">
        <f>IF('NEW ACCOUNT'!A565="","",'NEW ACCOUNT'!F565)</f>
        <v/>
      </c>
      <c r="G564" t="str">
        <f>IF('NEW ACCOUNT'!A565="","",'NEW ACCOUNT'!G565)</f>
        <v/>
      </c>
      <c r="H564" t="str">
        <f>IF('NEW ACCOUNT'!A565="","",'NEW ACCOUNT'!H565)</f>
        <v/>
      </c>
      <c r="I564" t="str">
        <f>IF('NEW ACCOUNT'!A565="","",'NEW ACCOUNT'!I565)</f>
        <v/>
      </c>
      <c r="J564" t="str">
        <f>IF('NEW ACCOUNT'!A565="","",'NEW ACCOUNT'!J565)</f>
        <v/>
      </c>
      <c r="K564" t="str">
        <f>IFERROR(IF(A564="","",SUMIF(DB_Savings!$A:$A,A564,DB_Savings!$F:$F)),"")</f>
        <v/>
      </c>
      <c r="L564" t="str">
        <f>IFERROR(IF(A564="","",SUMIF(DB_Withdrawals!$A:$A,A564,DB_Withdrawals!$G:$G)),"")</f>
        <v/>
      </c>
      <c r="M564" t="str">
        <f>IFERROR(IF(A564="","",IFERROR(VALUE(H564),0)+IFERROR(SUMIF(DB_Savings!$A:$A,A564,DB_Savings!$F:$F),0)-IFERROR(SUMIF(DB_Withdrawals!$A:$A,A564,DB_Withdrawals!$G:$G),0)),"")</f>
        <v/>
      </c>
      <c r="N564" t="str">
        <f>IFERROR(IF(A564="","",MAX(0,M564-System_Config!$B$9)),"")</f>
        <v/>
      </c>
    </row>
    <row r="565" spans="1:14" ht="15" customHeight="1" x14ac:dyDescent="0.25">
      <c r="A565" t="str">
        <f>'NEW ACCOUNT'!A566</f>
        <v/>
      </c>
      <c r="B565" t="str">
        <f>IF('NEW ACCOUNT'!A566="","",'NEW ACCOUNT'!B566)</f>
        <v/>
      </c>
      <c r="C565" t="str">
        <f>IF('NEW ACCOUNT'!A566="","",'NEW ACCOUNT'!C566)</f>
        <v/>
      </c>
      <c r="D565" t="str">
        <f>IF('NEW ACCOUNT'!A566="","",'NEW ACCOUNT'!D566)</f>
        <v/>
      </c>
      <c r="E565" t="str">
        <f>IF('NEW ACCOUNT'!A566="","",'NEW ACCOUNT'!E566)</f>
        <v/>
      </c>
      <c r="F565" t="str">
        <f>IF('NEW ACCOUNT'!A566="","",'NEW ACCOUNT'!F566)</f>
        <v/>
      </c>
      <c r="G565" t="str">
        <f>IF('NEW ACCOUNT'!A566="","",'NEW ACCOUNT'!G566)</f>
        <v/>
      </c>
      <c r="H565" t="str">
        <f>IF('NEW ACCOUNT'!A566="","",'NEW ACCOUNT'!H566)</f>
        <v/>
      </c>
      <c r="I565" t="str">
        <f>IF('NEW ACCOUNT'!A566="","",'NEW ACCOUNT'!I566)</f>
        <v/>
      </c>
      <c r="J565" t="str">
        <f>IF('NEW ACCOUNT'!A566="","",'NEW ACCOUNT'!J566)</f>
        <v/>
      </c>
      <c r="K565" t="str">
        <f>IFERROR(IF(A565="","",SUMIF(DB_Savings!$A:$A,A565,DB_Savings!$F:$F)),"")</f>
        <v/>
      </c>
      <c r="L565" t="str">
        <f>IFERROR(IF(A565="","",SUMIF(DB_Withdrawals!$A:$A,A565,DB_Withdrawals!$G:$G)),"")</f>
        <v/>
      </c>
      <c r="M565" t="str">
        <f>IFERROR(IF(A565="","",IFERROR(VALUE(H565),0)+IFERROR(SUMIF(DB_Savings!$A:$A,A565,DB_Savings!$F:$F),0)-IFERROR(SUMIF(DB_Withdrawals!$A:$A,A565,DB_Withdrawals!$G:$G),0)),"")</f>
        <v/>
      </c>
      <c r="N565" t="str">
        <f>IFERROR(IF(A565="","",MAX(0,M565-System_Config!$B$9)),"")</f>
        <v/>
      </c>
    </row>
    <row r="566" spans="1:14" ht="15" customHeight="1" x14ac:dyDescent="0.25">
      <c r="A566" t="str">
        <f>'NEW ACCOUNT'!A567</f>
        <v/>
      </c>
      <c r="B566" t="str">
        <f>IF('NEW ACCOUNT'!A567="","",'NEW ACCOUNT'!B567)</f>
        <v/>
      </c>
      <c r="C566" t="str">
        <f>IF('NEW ACCOUNT'!A567="","",'NEW ACCOUNT'!C567)</f>
        <v/>
      </c>
      <c r="D566" t="str">
        <f>IF('NEW ACCOUNT'!A567="","",'NEW ACCOUNT'!D567)</f>
        <v/>
      </c>
      <c r="E566" t="str">
        <f>IF('NEW ACCOUNT'!A567="","",'NEW ACCOUNT'!E567)</f>
        <v/>
      </c>
      <c r="F566" t="str">
        <f>IF('NEW ACCOUNT'!A567="","",'NEW ACCOUNT'!F567)</f>
        <v/>
      </c>
      <c r="G566" t="str">
        <f>IF('NEW ACCOUNT'!A567="","",'NEW ACCOUNT'!G567)</f>
        <v/>
      </c>
      <c r="H566" t="str">
        <f>IF('NEW ACCOUNT'!A567="","",'NEW ACCOUNT'!H567)</f>
        <v/>
      </c>
      <c r="I566" t="str">
        <f>IF('NEW ACCOUNT'!A567="","",'NEW ACCOUNT'!I567)</f>
        <v/>
      </c>
      <c r="J566" t="str">
        <f>IF('NEW ACCOUNT'!A567="","",'NEW ACCOUNT'!J567)</f>
        <v/>
      </c>
      <c r="K566" t="str">
        <f>IFERROR(IF(A566="","",SUMIF(DB_Savings!$A:$A,A566,DB_Savings!$F:$F)),"")</f>
        <v/>
      </c>
      <c r="L566" t="str">
        <f>IFERROR(IF(A566="","",SUMIF(DB_Withdrawals!$A:$A,A566,DB_Withdrawals!$G:$G)),"")</f>
        <v/>
      </c>
      <c r="M566" t="str">
        <f>IFERROR(IF(A566="","",IFERROR(VALUE(H566),0)+IFERROR(SUMIF(DB_Savings!$A:$A,A566,DB_Savings!$F:$F),0)-IFERROR(SUMIF(DB_Withdrawals!$A:$A,A566,DB_Withdrawals!$G:$G),0)),"")</f>
        <v/>
      </c>
      <c r="N566" t="str">
        <f>IFERROR(IF(A566="","",MAX(0,M566-System_Config!$B$9)),"")</f>
        <v/>
      </c>
    </row>
    <row r="567" spans="1:14" ht="15" customHeight="1" x14ac:dyDescent="0.25">
      <c r="A567" t="str">
        <f>'NEW ACCOUNT'!A568</f>
        <v/>
      </c>
      <c r="B567" t="str">
        <f>IF('NEW ACCOUNT'!A568="","",'NEW ACCOUNT'!B568)</f>
        <v/>
      </c>
      <c r="C567" t="str">
        <f>IF('NEW ACCOUNT'!A568="","",'NEW ACCOUNT'!C568)</f>
        <v/>
      </c>
      <c r="D567" t="str">
        <f>IF('NEW ACCOUNT'!A568="","",'NEW ACCOUNT'!D568)</f>
        <v/>
      </c>
      <c r="E567" t="str">
        <f>IF('NEW ACCOUNT'!A568="","",'NEW ACCOUNT'!E568)</f>
        <v/>
      </c>
      <c r="F567" t="str">
        <f>IF('NEW ACCOUNT'!A568="","",'NEW ACCOUNT'!F568)</f>
        <v/>
      </c>
      <c r="G567" t="str">
        <f>IF('NEW ACCOUNT'!A568="","",'NEW ACCOUNT'!G568)</f>
        <v/>
      </c>
      <c r="H567" t="str">
        <f>IF('NEW ACCOUNT'!A568="","",'NEW ACCOUNT'!H568)</f>
        <v/>
      </c>
      <c r="I567" t="str">
        <f>IF('NEW ACCOUNT'!A568="","",'NEW ACCOUNT'!I568)</f>
        <v/>
      </c>
      <c r="J567" t="str">
        <f>IF('NEW ACCOUNT'!A568="","",'NEW ACCOUNT'!J568)</f>
        <v/>
      </c>
      <c r="K567" t="str">
        <f>IFERROR(IF(A567="","",SUMIF(DB_Savings!$A:$A,A567,DB_Savings!$F:$F)),"")</f>
        <v/>
      </c>
      <c r="L567" t="str">
        <f>IFERROR(IF(A567="","",SUMIF(DB_Withdrawals!$A:$A,A567,DB_Withdrawals!$G:$G)),"")</f>
        <v/>
      </c>
      <c r="M567" t="str">
        <f>IFERROR(IF(A567="","",IFERROR(VALUE(H567),0)+IFERROR(SUMIF(DB_Savings!$A:$A,A567,DB_Savings!$F:$F),0)-IFERROR(SUMIF(DB_Withdrawals!$A:$A,A567,DB_Withdrawals!$G:$G),0)),"")</f>
        <v/>
      </c>
      <c r="N567" t="str">
        <f>IFERROR(IF(A567="","",MAX(0,M567-System_Config!$B$9)),"")</f>
        <v/>
      </c>
    </row>
    <row r="568" spans="1:14" ht="15" customHeight="1" x14ac:dyDescent="0.25">
      <c r="A568" t="str">
        <f>'NEW ACCOUNT'!A569</f>
        <v/>
      </c>
      <c r="B568" t="str">
        <f>IF('NEW ACCOUNT'!A569="","",'NEW ACCOUNT'!B569)</f>
        <v/>
      </c>
      <c r="C568" t="str">
        <f>IF('NEW ACCOUNT'!A569="","",'NEW ACCOUNT'!C569)</f>
        <v/>
      </c>
      <c r="D568" t="str">
        <f>IF('NEW ACCOUNT'!A569="","",'NEW ACCOUNT'!D569)</f>
        <v/>
      </c>
      <c r="E568" t="str">
        <f>IF('NEW ACCOUNT'!A569="","",'NEW ACCOUNT'!E569)</f>
        <v/>
      </c>
      <c r="F568" t="str">
        <f>IF('NEW ACCOUNT'!A569="","",'NEW ACCOUNT'!F569)</f>
        <v/>
      </c>
      <c r="G568" t="str">
        <f>IF('NEW ACCOUNT'!A569="","",'NEW ACCOUNT'!G569)</f>
        <v/>
      </c>
      <c r="H568" t="str">
        <f>IF('NEW ACCOUNT'!A569="","",'NEW ACCOUNT'!H569)</f>
        <v/>
      </c>
      <c r="I568" t="str">
        <f>IF('NEW ACCOUNT'!A569="","",'NEW ACCOUNT'!I569)</f>
        <v/>
      </c>
      <c r="J568" t="str">
        <f>IF('NEW ACCOUNT'!A569="","",'NEW ACCOUNT'!J569)</f>
        <v/>
      </c>
      <c r="K568" t="str">
        <f>IFERROR(IF(A568="","",SUMIF(DB_Savings!$A:$A,A568,DB_Savings!$F:$F)),"")</f>
        <v/>
      </c>
      <c r="L568" t="str">
        <f>IFERROR(IF(A568="","",SUMIF(DB_Withdrawals!$A:$A,A568,DB_Withdrawals!$G:$G)),"")</f>
        <v/>
      </c>
      <c r="M568" t="str">
        <f>IFERROR(IF(A568="","",IFERROR(VALUE(H568),0)+IFERROR(SUMIF(DB_Savings!$A:$A,A568,DB_Savings!$F:$F),0)-IFERROR(SUMIF(DB_Withdrawals!$A:$A,A568,DB_Withdrawals!$G:$G),0)),"")</f>
        <v/>
      </c>
      <c r="N568" t="str">
        <f>IFERROR(IF(A568="","",MAX(0,M568-System_Config!$B$9)),"")</f>
        <v/>
      </c>
    </row>
    <row r="569" spans="1:14" ht="15" customHeight="1" x14ac:dyDescent="0.25">
      <c r="A569" t="str">
        <f>'NEW ACCOUNT'!A570</f>
        <v/>
      </c>
      <c r="B569" t="str">
        <f>IF('NEW ACCOUNT'!A570="","",'NEW ACCOUNT'!B570)</f>
        <v/>
      </c>
      <c r="C569" t="str">
        <f>IF('NEW ACCOUNT'!A570="","",'NEW ACCOUNT'!C570)</f>
        <v/>
      </c>
      <c r="D569" t="str">
        <f>IF('NEW ACCOUNT'!A570="","",'NEW ACCOUNT'!D570)</f>
        <v/>
      </c>
      <c r="E569" t="str">
        <f>IF('NEW ACCOUNT'!A570="","",'NEW ACCOUNT'!E570)</f>
        <v/>
      </c>
      <c r="F569" t="str">
        <f>IF('NEW ACCOUNT'!A570="","",'NEW ACCOUNT'!F570)</f>
        <v/>
      </c>
      <c r="G569" t="str">
        <f>IF('NEW ACCOUNT'!A570="","",'NEW ACCOUNT'!G570)</f>
        <v/>
      </c>
      <c r="H569" t="str">
        <f>IF('NEW ACCOUNT'!A570="","",'NEW ACCOUNT'!H570)</f>
        <v/>
      </c>
      <c r="I569" t="str">
        <f>IF('NEW ACCOUNT'!A570="","",'NEW ACCOUNT'!I570)</f>
        <v/>
      </c>
      <c r="J569" t="str">
        <f>IF('NEW ACCOUNT'!A570="","",'NEW ACCOUNT'!J570)</f>
        <v/>
      </c>
      <c r="K569" t="str">
        <f>IFERROR(IF(A569="","",SUMIF(DB_Savings!$A:$A,A569,DB_Savings!$F:$F)),"")</f>
        <v/>
      </c>
      <c r="L569" t="str">
        <f>IFERROR(IF(A569="","",SUMIF(DB_Withdrawals!$A:$A,A569,DB_Withdrawals!$G:$G)),"")</f>
        <v/>
      </c>
      <c r="M569" t="str">
        <f>IFERROR(IF(A569="","",IFERROR(VALUE(H569),0)+IFERROR(SUMIF(DB_Savings!$A:$A,A569,DB_Savings!$F:$F),0)-IFERROR(SUMIF(DB_Withdrawals!$A:$A,A569,DB_Withdrawals!$G:$G),0)),"")</f>
        <v/>
      </c>
      <c r="N569" t="str">
        <f>IFERROR(IF(A569="","",MAX(0,M569-System_Config!$B$9)),"")</f>
        <v/>
      </c>
    </row>
    <row r="570" spans="1:14" ht="15" customHeight="1" x14ac:dyDescent="0.25">
      <c r="A570" t="str">
        <f>'NEW ACCOUNT'!A571</f>
        <v/>
      </c>
      <c r="B570" t="str">
        <f>IF('NEW ACCOUNT'!A571="","",'NEW ACCOUNT'!B571)</f>
        <v/>
      </c>
      <c r="C570" t="str">
        <f>IF('NEW ACCOUNT'!A571="","",'NEW ACCOUNT'!C571)</f>
        <v/>
      </c>
      <c r="D570" t="str">
        <f>IF('NEW ACCOUNT'!A571="","",'NEW ACCOUNT'!D571)</f>
        <v/>
      </c>
      <c r="E570" t="str">
        <f>IF('NEW ACCOUNT'!A571="","",'NEW ACCOUNT'!E571)</f>
        <v/>
      </c>
      <c r="F570" t="str">
        <f>IF('NEW ACCOUNT'!A571="","",'NEW ACCOUNT'!F571)</f>
        <v/>
      </c>
      <c r="G570" t="str">
        <f>IF('NEW ACCOUNT'!A571="","",'NEW ACCOUNT'!G571)</f>
        <v/>
      </c>
      <c r="H570" t="str">
        <f>IF('NEW ACCOUNT'!A571="","",'NEW ACCOUNT'!H571)</f>
        <v/>
      </c>
      <c r="I570" t="str">
        <f>IF('NEW ACCOUNT'!A571="","",'NEW ACCOUNT'!I571)</f>
        <v/>
      </c>
      <c r="J570" t="str">
        <f>IF('NEW ACCOUNT'!A571="","",'NEW ACCOUNT'!J571)</f>
        <v/>
      </c>
      <c r="K570" t="str">
        <f>IFERROR(IF(A570="","",SUMIF(DB_Savings!$A:$A,A570,DB_Savings!$F:$F)),"")</f>
        <v/>
      </c>
      <c r="L570" t="str">
        <f>IFERROR(IF(A570="","",SUMIF(DB_Withdrawals!$A:$A,A570,DB_Withdrawals!$G:$G)),"")</f>
        <v/>
      </c>
      <c r="M570" t="str">
        <f>IFERROR(IF(A570="","",IFERROR(VALUE(H570),0)+IFERROR(SUMIF(DB_Savings!$A:$A,A570,DB_Savings!$F:$F),0)-IFERROR(SUMIF(DB_Withdrawals!$A:$A,A570,DB_Withdrawals!$G:$G),0)),"")</f>
        <v/>
      </c>
      <c r="N570" t="str">
        <f>IFERROR(IF(A570="","",MAX(0,M570-System_Config!$B$9)),"")</f>
        <v/>
      </c>
    </row>
    <row r="571" spans="1:14" ht="15" customHeight="1" x14ac:dyDescent="0.25">
      <c r="A571" t="str">
        <f>'NEW ACCOUNT'!A572</f>
        <v/>
      </c>
      <c r="B571" t="str">
        <f>IF('NEW ACCOUNT'!A572="","",'NEW ACCOUNT'!B572)</f>
        <v/>
      </c>
      <c r="C571" t="str">
        <f>IF('NEW ACCOUNT'!A572="","",'NEW ACCOUNT'!C572)</f>
        <v/>
      </c>
      <c r="D571" t="str">
        <f>IF('NEW ACCOUNT'!A572="","",'NEW ACCOUNT'!D572)</f>
        <v/>
      </c>
      <c r="E571" t="str">
        <f>IF('NEW ACCOUNT'!A572="","",'NEW ACCOUNT'!E572)</f>
        <v/>
      </c>
      <c r="F571" t="str">
        <f>IF('NEW ACCOUNT'!A572="","",'NEW ACCOUNT'!F572)</f>
        <v/>
      </c>
      <c r="G571" t="str">
        <f>IF('NEW ACCOUNT'!A572="","",'NEW ACCOUNT'!G572)</f>
        <v/>
      </c>
      <c r="H571" t="str">
        <f>IF('NEW ACCOUNT'!A572="","",'NEW ACCOUNT'!H572)</f>
        <v/>
      </c>
      <c r="I571" t="str">
        <f>IF('NEW ACCOUNT'!A572="","",'NEW ACCOUNT'!I572)</f>
        <v/>
      </c>
      <c r="J571" t="str">
        <f>IF('NEW ACCOUNT'!A572="","",'NEW ACCOUNT'!J572)</f>
        <v/>
      </c>
      <c r="K571" t="str">
        <f>IFERROR(IF(A571="","",SUMIF(DB_Savings!$A:$A,A571,DB_Savings!$F:$F)),"")</f>
        <v/>
      </c>
      <c r="L571" t="str">
        <f>IFERROR(IF(A571="","",SUMIF(DB_Withdrawals!$A:$A,A571,DB_Withdrawals!$G:$G)),"")</f>
        <v/>
      </c>
      <c r="M571" t="str">
        <f>IFERROR(IF(A571="","",IFERROR(VALUE(H571),0)+IFERROR(SUMIF(DB_Savings!$A:$A,A571,DB_Savings!$F:$F),0)-IFERROR(SUMIF(DB_Withdrawals!$A:$A,A571,DB_Withdrawals!$G:$G),0)),"")</f>
        <v/>
      </c>
      <c r="N571" t="str">
        <f>IFERROR(IF(A571="","",MAX(0,M571-System_Config!$B$9)),"")</f>
        <v/>
      </c>
    </row>
    <row r="572" spans="1:14" ht="15" customHeight="1" x14ac:dyDescent="0.25">
      <c r="A572" t="str">
        <f>'NEW ACCOUNT'!A573</f>
        <v/>
      </c>
      <c r="B572" t="str">
        <f>IF('NEW ACCOUNT'!A573="","",'NEW ACCOUNT'!B573)</f>
        <v/>
      </c>
      <c r="C572" t="str">
        <f>IF('NEW ACCOUNT'!A573="","",'NEW ACCOUNT'!C573)</f>
        <v/>
      </c>
      <c r="D572" t="str">
        <f>IF('NEW ACCOUNT'!A573="","",'NEW ACCOUNT'!D573)</f>
        <v/>
      </c>
      <c r="E572" t="str">
        <f>IF('NEW ACCOUNT'!A573="","",'NEW ACCOUNT'!E573)</f>
        <v/>
      </c>
      <c r="F572" t="str">
        <f>IF('NEW ACCOUNT'!A573="","",'NEW ACCOUNT'!F573)</f>
        <v/>
      </c>
      <c r="G572" t="str">
        <f>IF('NEW ACCOUNT'!A573="","",'NEW ACCOUNT'!G573)</f>
        <v/>
      </c>
      <c r="H572" t="str">
        <f>IF('NEW ACCOUNT'!A573="","",'NEW ACCOUNT'!H573)</f>
        <v/>
      </c>
      <c r="I572" t="str">
        <f>IF('NEW ACCOUNT'!A573="","",'NEW ACCOUNT'!I573)</f>
        <v/>
      </c>
      <c r="J572" t="str">
        <f>IF('NEW ACCOUNT'!A573="","",'NEW ACCOUNT'!J573)</f>
        <v/>
      </c>
      <c r="K572" t="str">
        <f>IFERROR(IF(A572="","",SUMIF(DB_Savings!$A:$A,A572,DB_Savings!$F:$F)),"")</f>
        <v/>
      </c>
      <c r="L572" t="str">
        <f>IFERROR(IF(A572="","",SUMIF(DB_Withdrawals!$A:$A,A572,DB_Withdrawals!$G:$G)),"")</f>
        <v/>
      </c>
      <c r="M572" t="str">
        <f>IFERROR(IF(A572="","",IFERROR(VALUE(H572),0)+IFERROR(SUMIF(DB_Savings!$A:$A,A572,DB_Savings!$F:$F),0)-IFERROR(SUMIF(DB_Withdrawals!$A:$A,A572,DB_Withdrawals!$G:$G),0)),"")</f>
        <v/>
      </c>
      <c r="N572" t="str">
        <f>IFERROR(IF(A572="","",MAX(0,M572-System_Config!$B$9)),"")</f>
        <v/>
      </c>
    </row>
    <row r="573" spans="1:14" ht="15" customHeight="1" x14ac:dyDescent="0.25">
      <c r="A573" t="str">
        <f>'NEW ACCOUNT'!A574</f>
        <v/>
      </c>
      <c r="B573" t="str">
        <f>IF('NEW ACCOUNT'!A574="","",'NEW ACCOUNT'!B574)</f>
        <v/>
      </c>
      <c r="C573" t="str">
        <f>IF('NEW ACCOUNT'!A574="","",'NEW ACCOUNT'!C574)</f>
        <v/>
      </c>
      <c r="D573" t="str">
        <f>IF('NEW ACCOUNT'!A574="","",'NEW ACCOUNT'!D574)</f>
        <v/>
      </c>
      <c r="E573" t="str">
        <f>IF('NEW ACCOUNT'!A574="","",'NEW ACCOUNT'!E574)</f>
        <v/>
      </c>
      <c r="F573" t="str">
        <f>IF('NEW ACCOUNT'!A574="","",'NEW ACCOUNT'!F574)</f>
        <v/>
      </c>
      <c r="G573" t="str">
        <f>IF('NEW ACCOUNT'!A574="","",'NEW ACCOUNT'!G574)</f>
        <v/>
      </c>
      <c r="H573" t="str">
        <f>IF('NEW ACCOUNT'!A574="","",'NEW ACCOUNT'!H574)</f>
        <v/>
      </c>
      <c r="I573" t="str">
        <f>IF('NEW ACCOUNT'!A574="","",'NEW ACCOUNT'!I574)</f>
        <v/>
      </c>
      <c r="J573" t="str">
        <f>IF('NEW ACCOUNT'!A574="","",'NEW ACCOUNT'!J574)</f>
        <v/>
      </c>
      <c r="K573" t="str">
        <f>IFERROR(IF(A573="","",SUMIF(DB_Savings!$A:$A,A573,DB_Savings!$F:$F)),"")</f>
        <v/>
      </c>
      <c r="L573" t="str">
        <f>IFERROR(IF(A573="","",SUMIF(DB_Withdrawals!$A:$A,A573,DB_Withdrawals!$G:$G)),"")</f>
        <v/>
      </c>
      <c r="M573" t="str">
        <f>IFERROR(IF(A573="","",IFERROR(VALUE(H573),0)+IFERROR(SUMIF(DB_Savings!$A:$A,A573,DB_Savings!$F:$F),0)-IFERROR(SUMIF(DB_Withdrawals!$A:$A,A573,DB_Withdrawals!$G:$G),0)),"")</f>
        <v/>
      </c>
      <c r="N573" t="str">
        <f>IFERROR(IF(A573="","",MAX(0,M573-System_Config!$B$9)),"")</f>
        <v/>
      </c>
    </row>
    <row r="574" spans="1:14" ht="15" customHeight="1" x14ac:dyDescent="0.25">
      <c r="A574" t="str">
        <f>'NEW ACCOUNT'!A575</f>
        <v/>
      </c>
      <c r="B574" t="str">
        <f>IF('NEW ACCOUNT'!A575="","",'NEW ACCOUNT'!B575)</f>
        <v/>
      </c>
      <c r="C574" t="str">
        <f>IF('NEW ACCOUNT'!A575="","",'NEW ACCOUNT'!C575)</f>
        <v/>
      </c>
      <c r="D574" t="str">
        <f>IF('NEW ACCOUNT'!A575="","",'NEW ACCOUNT'!D575)</f>
        <v/>
      </c>
      <c r="E574" t="str">
        <f>IF('NEW ACCOUNT'!A575="","",'NEW ACCOUNT'!E575)</f>
        <v/>
      </c>
      <c r="F574" t="str">
        <f>IF('NEW ACCOUNT'!A575="","",'NEW ACCOUNT'!F575)</f>
        <v/>
      </c>
      <c r="G574" t="str">
        <f>IF('NEW ACCOUNT'!A575="","",'NEW ACCOUNT'!G575)</f>
        <v/>
      </c>
      <c r="H574" t="str">
        <f>IF('NEW ACCOUNT'!A575="","",'NEW ACCOUNT'!H575)</f>
        <v/>
      </c>
      <c r="I574" t="str">
        <f>IF('NEW ACCOUNT'!A575="","",'NEW ACCOUNT'!I575)</f>
        <v/>
      </c>
      <c r="J574" t="str">
        <f>IF('NEW ACCOUNT'!A575="","",'NEW ACCOUNT'!J575)</f>
        <v/>
      </c>
      <c r="K574" t="str">
        <f>IFERROR(IF(A574="","",SUMIF(DB_Savings!$A:$A,A574,DB_Savings!$F:$F)),"")</f>
        <v/>
      </c>
      <c r="L574" t="str">
        <f>IFERROR(IF(A574="","",SUMIF(DB_Withdrawals!$A:$A,A574,DB_Withdrawals!$G:$G)),"")</f>
        <v/>
      </c>
      <c r="M574" t="str">
        <f>IFERROR(IF(A574="","",IFERROR(VALUE(H574),0)+IFERROR(SUMIF(DB_Savings!$A:$A,A574,DB_Savings!$F:$F),0)-IFERROR(SUMIF(DB_Withdrawals!$A:$A,A574,DB_Withdrawals!$G:$G),0)),"")</f>
        <v/>
      </c>
      <c r="N574" t="str">
        <f>IFERROR(IF(A574="","",MAX(0,M574-System_Config!$B$9)),"")</f>
        <v/>
      </c>
    </row>
    <row r="575" spans="1:14" ht="15" customHeight="1" x14ac:dyDescent="0.25">
      <c r="A575" t="str">
        <f>'NEW ACCOUNT'!A576</f>
        <v/>
      </c>
      <c r="B575" t="str">
        <f>IF('NEW ACCOUNT'!A576="","",'NEW ACCOUNT'!B576)</f>
        <v/>
      </c>
      <c r="C575" t="str">
        <f>IF('NEW ACCOUNT'!A576="","",'NEW ACCOUNT'!C576)</f>
        <v/>
      </c>
      <c r="D575" t="str">
        <f>IF('NEW ACCOUNT'!A576="","",'NEW ACCOUNT'!D576)</f>
        <v/>
      </c>
      <c r="E575" t="str">
        <f>IF('NEW ACCOUNT'!A576="","",'NEW ACCOUNT'!E576)</f>
        <v/>
      </c>
      <c r="F575" t="str">
        <f>IF('NEW ACCOUNT'!A576="","",'NEW ACCOUNT'!F576)</f>
        <v/>
      </c>
      <c r="G575" t="str">
        <f>IF('NEW ACCOUNT'!A576="","",'NEW ACCOUNT'!G576)</f>
        <v/>
      </c>
      <c r="H575" t="str">
        <f>IF('NEW ACCOUNT'!A576="","",'NEW ACCOUNT'!H576)</f>
        <v/>
      </c>
      <c r="I575" t="str">
        <f>IF('NEW ACCOUNT'!A576="","",'NEW ACCOUNT'!I576)</f>
        <v/>
      </c>
      <c r="J575" t="str">
        <f>IF('NEW ACCOUNT'!A576="","",'NEW ACCOUNT'!J576)</f>
        <v/>
      </c>
      <c r="K575" t="str">
        <f>IFERROR(IF(A575="","",SUMIF(DB_Savings!$A:$A,A575,DB_Savings!$F:$F)),"")</f>
        <v/>
      </c>
      <c r="L575" t="str">
        <f>IFERROR(IF(A575="","",SUMIF(DB_Withdrawals!$A:$A,A575,DB_Withdrawals!$G:$G)),"")</f>
        <v/>
      </c>
      <c r="M575" t="str">
        <f>IFERROR(IF(A575="","",IFERROR(VALUE(H575),0)+IFERROR(SUMIF(DB_Savings!$A:$A,A575,DB_Savings!$F:$F),0)-IFERROR(SUMIF(DB_Withdrawals!$A:$A,A575,DB_Withdrawals!$G:$G),0)),"")</f>
        <v/>
      </c>
      <c r="N575" t="str">
        <f>IFERROR(IF(A575="","",MAX(0,M575-System_Config!$B$9)),"")</f>
        <v/>
      </c>
    </row>
    <row r="576" spans="1:14" ht="15" customHeight="1" x14ac:dyDescent="0.25">
      <c r="A576" t="str">
        <f>'NEW ACCOUNT'!A577</f>
        <v/>
      </c>
      <c r="B576" t="str">
        <f>IF('NEW ACCOUNT'!A577="","",'NEW ACCOUNT'!B577)</f>
        <v/>
      </c>
      <c r="C576" t="str">
        <f>IF('NEW ACCOUNT'!A577="","",'NEW ACCOUNT'!C577)</f>
        <v/>
      </c>
      <c r="D576" t="str">
        <f>IF('NEW ACCOUNT'!A577="","",'NEW ACCOUNT'!D577)</f>
        <v/>
      </c>
      <c r="E576" t="str">
        <f>IF('NEW ACCOUNT'!A577="","",'NEW ACCOUNT'!E577)</f>
        <v/>
      </c>
      <c r="F576" t="str">
        <f>IF('NEW ACCOUNT'!A577="","",'NEW ACCOUNT'!F577)</f>
        <v/>
      </c>
      <c r="G576" t="str">
        <f>IF('NEW ACCOUNT'!A577="","",'NEW ACCOUNT'!G577)</f>
        <v/>
      </c>
      <c r="H576" t="str">
        <f>IF('NEW ACCOUNT'!A577="","",'NEW ACCOUNT'!H577)</f>
        <v/>
      </c>
      <c r="I576" t="str">
        <f>IF('NEW ACCOUNT'!A577="","",'NEW ACCOUNT'!I577)</f>
        <v/>
      </c>
      <c r="J576" t="str">
        <f>IF('NEW ACCOUNT'!A577="","",'NEW ACCOUNT'!J577)</f>
        <v/>
      </c>
      <c r="K576" t="str">
        <f>IFERROR(IF(A576="","",SUMIF(DB_Savings!$A:$A,A576,DB_Savings!$F:$F)),"")</f>
        <v/>
      </c>
      <c r="L576" t="str">
        <f>IFERROR(IF(A576="","",SUMIF(DB_Withdrawals!$A:$A,A576,DB_Withdrawals!$G:$G)),"")</f>
        <v/>
      </c>
      <c r="M576" t="str">
        <f>IFERROR(IF(A576="","",IFERROR(VALUE(H576),0)+IFERROR(SUMIF(DB_Savings!$A:$A,A576,DB_Savings!$F:$F),0)-IFERROR(SUMIF(DB_Withdrawals!$A:$A,A576,DB_Withdrawals!$G:$G),0)),"")</f>
        <v/>
      </c>
      <c r="N576" t="str">
        <f>IFERROR(IF(A576="","",MAX(0,M576-System_Config!$B$9)),"")</f>
        <v/>
      </c>
    </row>
    <row r="577" spans="1:14" ht="15" customHeight="1" x14ac:dyDescent="0.25">
      <c r="A577" t="str">
        <f>'NEW ACCOUNT'!A578</f>
        <v/>
      </c>
      <c r="B577" t="str">
        <f>IF('NEW ACCOUNT'!A578="","",'NEW ACCOUNT'!B578)</f>
        <v/>
      </c>
      <c r="C577" t="str">
        <f>IF('NEW ACCOUNT'!A578="","",'NEW ACCOUNT'!C578)</f>
        <v/>
      </c>
      <c r="D577" t="str">
        <f>IF('NEW ACCOUNT'!A578="","",'NEW ACCOUNT'!D578)</f>
        <v/>
      </c>
      <c r="E577" t="str">
        <f>IF('NEW ACCOUNT'!A578="","",'NEW ACCOUNT'!E578)</f>
        <v/>
      </c>
      <c r="F577" t="str">
        <f>IF('NEW ACCOUNT'!A578="","",'NEW ACCOUNT'!F578)</f>
        <v/>
      </c>
      <c r="G577" t="str">
        <f>IF('NEW ACCOUNT'!A578="","",'NEW ACCOUNT'!G578)</f>
        <v/>
      </c>
      <c r="H577" t="str">
        <f>IF('NEW ACCOUNT'!A578="","",'NEW ACCOUNT'!H578)</f>
        <v/>
      </c>
      <c r="I577" t="str">
        <f>IF('NEW ACCOUNT'!A578="","",'NEW ACCOUNT'!I578)</f>
        <v/>
      </c>
      <c r="J577" t="str">
        <f>IF('NEW ACCOUNT'!A578="","",'NEW ACCOUNT'!J578)</f>
        <v/>
      </c>
      <c r="K577" t="str">
        <f>IFERROR(IF(A577="","",SUMIF(DB_Savings!$A:$A,A577,DB_Savings!$F:$F)),"")</f>
        <v/>
      </c>
      <c r="L577" t="str">
        <f>IFERROR(IF(A577="","",SUMIF(DB_Withdrawals!$A:$A,A577,DB_Withdrawals!$G:$G)),"")</f>
        <v/>
      </c>
      <c r="M577" t="str">
        <f>IFERROR(IF(A577="","",IFERROR(VALUE(H577),0)+IFERROR(SUMIF(DB_Savings!$A:$A,A577,DB_Savings!$F:$F),0)-IFERROR(SUMIF(DB_Withdrawals!$A:$A,A577,DB_Withdrawals!$G:$G),0)),"")</f>
        <v/>
      </c>
      <c r="N577" t="str">
        <f>IFERROR(IF(A577="","",MAX(0,M577-System_Config!$B$9)),"")</f>
        <v/>
      </c>
    </row>
    <row r="578" spans="1:14" ht="15" customHeight="1" x14ac:dyDescent="0.25">
      <c r="A578" t="str">
        <f>'NEW ACCOUNT'!A579</f>
        <v/>
      </c>
      <c r="B578" t="str">
        <f>IF('NEW ACCOUNT'!A579="","",'NEW ACCOUNT'!B579)</f>
        <v/>
      </c>
      <c r="C578" t="str">
        <f>IF('NEW ACCOUNT'!A579="","",'NEW ACCOUNT'!C579)</f>
        <v/>
      </c>
      <c r="D578" t="str">
        <f>IF('NEW ACCOUNT'!A579="","",'NEW ACCOUNT'!D579)</f>
        <v/>
      </c>
      <c r="E578" t="str">
        <f>IF('NEW ACCOUNT'!A579="","",'NEW ACCOUNT'!E579)</f>
        <v/>
      </c>
      <c r="F578" t="str">
        <f>IF('NEW ACCOUNT'!A579="","",'NEW ACCOUNT'!F579)</f>
        <v/>
      </c>
      <c r="G578" t="str">
        <f>IF('NEW ACCOUNT'!A579="","",'NEW ACCOUNT'!G579)</f>
        <v/>
      </c>
      <c r="H578" t="str">
        <f>IF('NEW ACCOUNT'!A579="","",'NEW ACCOUNT'!H579)</f>
        <v/>
      </c>
      <c r="I578" t="str">
        <f>IF('NEW ACCOUNT'!A579="","",'NEW ACCOUNT'!I579)</f>
        <v/>
      </c>
      <c r="J578" t="str">
        <f>IF('NEW ACCOUNT'!A579="","",'NEW ACCOUNT'!J579)</f>
        <v/>
      </c>
      <c r="K578" t="str">
        <f>IFERROR(IF(A578="","",SUMIF(DB_Savings!$A:$A,A578,DB_Savings!$F:$F)),"")</f>
        <v/>
      </c>
      <c r="L578" t="str">
        <f>IFERROR(IF(A578="","",SUMIF(DB_Withdrawals!$A:$A,A578,DB_Withdrawals!$G:$G)),"")</f>
        <v/>
      </c>
      <c r="M578" t="str">
        <f>IFERROR(IF(A578="","",IFERROR(VALUE(H578),0)+IFERROR(SUMIF(DB_Savings!$A:$A,A578,DB_Savings!$F:$F),0)-IFERROR(SUMIF(DB_Withdrawals!$A:$A,A578,DB_Withdrawals!$G:$G),0)),"")</f>
        <v/>
      </c>
      <c r="N578" t="str">
        <f>IFERROR(IF(A578="","",MAX(0,M578-System_Config!$B$9)),"")</f>
        <v/>
      </c>
    </row>
    <row r="579" spans="1:14" ht="15" customHeight="1" x14ac:dyDescent="0.25">
      <c r="A579" t="str">
        <f>'NEW ACCOUNT'!A580</f>
        <v/>
      </c>
      <c r="B579" t="str">
        <f>IF('NEW ACCOUNT'!A580="","",'NEW ACCOUNT'!B580)</f>
        <v/>
      </c>
      <c r="C579" t="str">
        <f>IF('NEW ACCOUNT'!A580="","",'NEW ACCOUNT'!C580)</f>
        <v/>
      </c>
      <c r="D579" t="str">
        <f>IF('NEW ACCOUNT'!A580="","",'NEW ACCOUNT'!D580)</f>
        <v/>
      </c>
      <c r="E579" t="str">
        <f>IF('NEW ACCOUNT'!A580="","",'NEW ACCOUNT'!E580)</f>
        <v/>
      </c>
      <c r="F579" t="str">
        <f>IF('NEW ACCOUNT'!A580="","",'NEW ACCOUNT'!F580)</f>
        <v/>
      </c>
      <c r="G579" t="str">
        <f>IF('NEW ACCOUNT'!A580="","",'NEW ACCOUNT'!G580)</f>
        <v/>
      </c>
      <c r="H579" t="str">
        <f>IF('NEW ACCOUNT'!A580="","",'NEW ACCOUNT'!H580)</f>
        <v/>
      </c>
      <c r="I579" t="str">
        <f>IF('NEW ACCOUNT'!A580="","",'NEW ACCOUNT'!I580)</f>
        <v/>
      </c>
      <c r="J579" t="str">
        <f>IF('NEW ACCOUNT'!A580="","",'NEW ACCOUNT'!J580)</f>
        <v/>
      </c>
      <c r="K579" t="str">
        <f>IFERROR(IF(A579="","",SUMIF(DB_Savings!$A:$A,A579,DB_Savings!$F:$F)),"")</f>
        <v/>
      </c>
      <c r="L579" t="str">
        <f>IFERROR(IF(A579="","",SUMIF(DB_Withdrawals!$A:$A,A579,DB_Withdrawals!$G:$G)),"")</f>
        <v/>
      </c>
      <c r="M579" t="str">
        <f>IFERROR(IF(A579="","",IFERROR(VALUE(H579),0)+IFERROR(SUMIF(DB_Savings!$A:$A,A579,DB_Savings!$F:$F),0)-IFERROR(SUMIF(DB_Withdrawals!$A:$A,A579,DB_Withdrawals!$G:$G),0)),"")</f>
        <v/>
      </c>
      <c r="N579" t="str">
        <f>IFERROR(IF(A579="","",MAX(0,M579-System_Config!$B$9)),"")</f>
        <v/>
      </c>
    </row>
    <row r="580" spans="1:14" ht="15" customHeight="1" x14ac:dyDescent="0.25">
      <c r="A580" t="str">
        <f>'NEW ACCOUNT'!A581</f>
        <v/>
      </c>
      <c r="B580" t="str">
        <f>IF('NEW ACCOUNT'!A581="","",'NEW ACCOUNT'!B581)</f>
        <v/>
      </c>
      <c r="C580" t="str">
        <f>IF('NEW ACCOUNT'!A581="","",'NEW ACCOUNT'!C581)</f>
        <v/>
      </c>
      <c r="D580" t="str">
        <f>IF('NEW ACCOUNT'!A581="","",'NEW ACCOUNT'!D581)</f>
        <v/>
      </c>
      <c r="E580" t="str">
        <f>IF('NEW ACCOUNT'!A581="","",'NEW ACCOUNT'!E581)</f>
        <v/>
      </c>
      <c r="F580" t="str">
        <f>IF('NEW ACCOUNT'!A581="","",'NEW ACCOUNT'!F581)</f>
        <v/>
      </c>
      <c r="G580" t="str">
        <f>IF('NEW ACCOUNT'!A581="","",'NEW ACCOUNT'!G581)</f>
        <v/>
      </c>
      <c r="H580" t="str">
        <f>IF('NEW ACCOUNT'!A581="","",'NEW ACCOUNT'!H581)</f>
        <v/>
      </c>
      <c r="I580" t="str">
        <f>IF('NEW ACCOUNT'!A581="","",'NEW ACCOUNT'!I581)</f>
        <v/>
      </c>
      <c r="J580" t="str">
        <f>IF('NEW ACCOUNT'!A581="","",'NEW ACCOUNT'!J581)</f>
        <v/>
      </c>
      <c r="K580" t="str">
        <f>IFERROR(IF(A580="","",SUMIF(DB_Savings!$A:$A,A580,DB_Savings!$F:$F)),"")</f>
        <v/>
      </c>
      <c r="L580" t="str">
        <f>IFERROR(IF(A580="","",SUMIF(DB_Withdrawals!$A:$A,A580,DB_Withdrawals!$G:$G)),"")</f>
        <v/>
      </c>
      <c r="M580" t="str">
        <f>IFERROR(IF(A580="","",IFERROR(VALUE(H580),0)+IFERROR(SUMIF(DB_Savings!$A:$A,A580,DB_Savings!$F:$F),0)-IFERROR(SUMIF(DB_Withdrawals!$A:$A,A580,DB_Withdrawals!$G:$G),0)),"")</f>
        <v/>
      </c>
      <c r="N580" t="str">
        <f>IFERROR(IF(A580="","",MAX(0,M580-System_Config!$B$9)),"")</f>
        <v/>
      </c>
    </row>
    <row r="581" spans="1:14" ht="15" customHeight="1" x14ac:dyDescent="0.25">
      <c r="A581" t="str">
        <f>'NEW ACCOUNT'!A582</f>
        <v/>
      </c>
      <c r="B581" t="str">
        <f>IF('NEW ACCOUNT'!A582="","",'NEW ACCOUNT'!B582)</f>
        <v/>
      </c>
      <c r="C581" t="str">
        <f>IF('NEW ACCOUNT'!A582="","",'NEW ACCOUNT'!C582)</f>
        <v/>
      </c>
      <c r="D581" t="str">
        <f>IF('NEW ACCOUNT'!A582="","",'NEW ACCOUNT'!D582)</f>
        <v/>
      </c>
      <c r="E581" t="str">
        <f>IF('NEW ACCOUNT'!A582="","",'NEW ACCOUNT'!E582)</f>
        <v/>
      </c>
      <c r="F581" t="str">
        <f>IF('NEW ACCOUNT'!A582="","",'NEW ACCOUNT'!F582)</f>
        <v/>
      </c>
      <c r="G581" t="str">
        <f>IF('NEW ACCOUNT'!A582="","",'NEW ACCOUNT'!G582)</f>
        <v/>
      </c>
      <c r="H581" t="str">
        <f>IF('NEW ACCOUNT'!A582="","",'NEW ACCOUNT'!H582)</f>
        <v/>
      </c>
      <c r="I581" t="str">
        <f>IF('NEW ACCOUNT'!A582="","",'NEW ACCOUNT'!I582)</f>
        <v/>
      </c>
      <c r="J581" t="str">
        <f>IF('NEW ACCOUNT'!A582="","",'NEW ACCOUNT'!J582)</f>
        <v/>
      </c>
      <c r="K581" t="str">
        <f>IFERROR(IF(A581="","",SUMIF(DB_Savings!$A:$A,A581,DB_Savings!$F:$F)),"")</f>
        <v/>
      </c>
      <c r="L581" t="str">
        <f>IFERROR(IF(A581="","",SUMIF(DB_Withdrawals!$A:$A,A581,DB_Withdrawals!$G:$G)),"")</f>
        <v/>
      </c>
      <c r="M581" t="str">
        <f>IFERROR(IF(A581="","",IFERROR(VALUE(H581),0)+IFERROR(SUMIF(DB_Savings!$A:$A,A581,DB_Savings!$F:$F),0)-IFERROR(SUMIF(DB_Withdrawals!$A:$A,A581,DB_Withdrawals!$G:$G),0)),"")</f>
        <v/>
      </c>
      <c r="N581" t="str">
        <f>IFERROR(IF(A581="","",MAX(0,M581-System_Config!$B$9)),"")</f>
        <v/>
      </c>
    </row>
    <row r="582" spans="1:14" ht="15" customHeight="1" x14ac:dyDescent="0.25">
      <c r="A582" t="str">
        <f>'NEW ACCOUNT'!A583</f>
        <v/>
      </c>
      <c r="B582" t="str">
        <f>IF('NEW ACCOUNT'!A583="","",'NEW ACCOUNT'!B583)</f>
        <v/>
      </c>
      <c r="C582" t="str">
        <f>IF('NEW ACCOUNT'!A583="","",'NEW ACCOUNT'!C583)</f>
        <v/>
      </c>
      <c r="D582" t="str">
        <f>IF('NEW ACCOUNT'!A583="","",'NEW ACCOUNT'!D583)</f>
        <v/>
      </c>
      <c r="E582" t="str">
        <f>IF('NEW ACCOUNT'!A583="","",'NEW ACCOUNT'!E583)</f>
        <v/>
      </c>
      <c r="F582" t="str">
        <f>IF('NEW ACCOUNT'!A583="","",'NEW ACCOUNT'!F583)</f>
        <v/>
      </c>
      <c r="G582" t="str">
        <f>IF('NEW ACCOUNT'!A583="","",'NEW ACCOUNT'!G583)</f>
        <v/>
      </c>
      <c r="H582" t="str">
        <f>IF('NEW ACCOUNT'!A583="","",'NEW ACCOUNT'!H583)</f>
        <v/>
      </c>
      <c r="I582" t="str">
        <f>IF('NEW ACCOUNT'!A583="","",'NEW ACCOUNT'!I583)</f>
        <v/>
      </c>
      <c r="J582" t="str">
        <f>IF('NEW ACCOUNT'!A583="","",'NEW ACCOUNT'!J583)</f>
        <v/>
      </c>
      <c r="K582" t="str">
        <f>IFERROR(IF(A582="","",SUMIF(DB_Savings!$A:$A,A582,DB_Savings!$F:$F)),"")</f>
        <v/>
      </c>
      <c r="L582" t="str">
        <f>IFERROR(IF(A582="","",SUMIF(DB_Withdrawals!$A:$A,A582,DB_Withdrawals!$G:$G)),"")</f>
        <v/>
      </c>
      <c r="M582" t="str">
        <f>IFERROR(IF(A582="","",IFERROR(VALUE(H582),0)+IFERROR(SUMIF(DB_Savings!$A:$A,A582,DB_Savings!$F:$F),0)-IFERROR(SUMIF(DB_Withdrawals!$A:$A,A582,DB_Withdrawals!$G:$G),0)),"")</f>
        <v/>
      </c>
      <c r="N582" t="str">
        <f>IFERROR(IF(A582="","",MAX(0,M582-System_Config!$B$9)),"")</f>
        <v/>
      </c>
    </row>
    <row r="583" spans="1:14" ht="15" customHeight="1" x14ac:dyDescent="0.25">
      <c r="A583" t="str">
        <f>'NEW ACCOUNT'!A584</f>
        <v/>
      </c>
      <c r="B583" t="str">
        <f>IF('NEW ACCOUNT'!A584="","",'NEW ACCOUNT'!B584)</f>
        <v/>
      </c>
      <c r="C583" t="str">
        <f>IF('NEW ACCOUNT'!A584="","",'NEW ACCOUNT'!C584)</f>
        <v/>
      </c>
      <c r="D583" t="str">
        <f>IF('NEW ACCOUNT'!A584="","",'NEW ACCOUNT'!D584)</f>
        <v/>
      </c>
      <c r="E583" t="str">
        <f>IF('NEW ACCOUNT'!A584="","",'NEW ACCOUNT'!E584)</f>
        <v/>
      </c>
      <c r="F583" t="str">
        <f>IF('NEW ACCOUNT'!A584="","",'NEW ACCOUNT'!F584)</f>
        <v/>
      </c>
      <c r="G583" t="str">
        <f>IF('NEW ACCOUNT'!A584="","",'NEW ACCOUNT'!G584)</f>
        <v/>
      </c>
      <c r="H583" t="str">
        <f>IF('NEW ACCOUNT'!A584="","",'NEW ACCOUNT'!H584)</f>
        <v/>
      </c>
      <c r="I583" t="str">
        <f>IF('NEW ACCOUNT'!A584="","",'NEW ACCOUNT'!I584)</f>
        <v/>
      </c>
      <c r="J583" t="str">
        <f>IF('NEW ACCOUNT'!A584="","",'NEW ACCOUNT'!J584)</f>
        <v/>
      </c>
      <c r="K583" t="str">
        <f>IFERROR(IF(A583="","",SUMIF(DB_Savings!$A:$A,A583,DB_Savings!$F:$F)),"")</f>
        <v/>
      </c>
      <c r="L583" t="str">
        <f>IFERROR(IF(A583="","",SUMIF(DB_Withdrawals!$A:$A,A583,DB_Withdrawals!$G:$G)),"")</f>
        <v/>
      </c>
      <c r="M583" t="str">
        <f>IFERROR(IF(A583="","",IFERROR(VALUE(H583),0)+IFERROR(SUMIF(DB_Savings!$A:$A,A583,DB_Savings!$F:$F),0)-IFERROR(SUMIF(DB_Withdrawals!$A:$A,A583,DB_Withdrawals!$G:$G),0)),"")</f>
        <v/>
      </c>
      <c r="N583" t="str">
        <f>IFERROR(IF(A583="","",MAX(0,M583-System_Config!$B$9)),"")</f>
        <v/>
      </c>
    </row>
    <row r="584" spans="1:14" ht="15" customHeight="1" x14ac:dyDescent="0.25">
      <c r="A584" t="str">
        <f>'NEW ACCOUNT'!A585</f>
        <v/>
      </c>
      <c r="B584" t="str">
        <f>IF('NEW ACCOUNT'!A585="","",'NEW ACCOUNT'!B585)</f>
        <v/>
      </c>
      <c r="C584" t="str">
        <f>IF('NEW ACCOUNT'!A585="","",'NEW ACCOUNT'!C585)</f>
        <v/>
      </c>
      <c r="D584" t="str">
        <f>IF('NEW ACCOUNT'!A585="","",'NEW ACCOUNT'!D585)</f>
        <v/>
      </c>
      <c r="E584" t="str">
        <f>IF('NEW ACCOUNT'!A585="","",'NEW ACCOUNT'!E585)</f>
        <v/>
      </c>
      <c r="F584" t="str">
        <f>IF('NEW ACCOUNT'!A585="","",'NEW ACCOUNT'!F585)</f>
        <v/>
      </c>
      <c r="G584" t="str">
        <f>IF('NEW ACCOUNT'!A585="","",'NEW ACCOUNT'!G585)</f>
        <v/>
      </c>
      <c r="H584" t="str">
        <f>IF('NEW ACCOUNT'!A585="","",'NEW ACCOUNT'!H585)</f>
        <v/>
      </c>
      <c r="I584" t="str">
        <f>IF('NEW ACCOUNT'!A585="","",'NEW ACCOUNT'!I585)</f>
        <v/>
      </c>
      <c r="J584" t="str">
        <f>IF('NEW ACCOUNT'!A585="","",'NEW ACCOUNT'!J585)</f>
        <v/>
      </c>
      <c r="K584" t="str">
        <f>IFERROR(IF(A584="","",SUMIF(DB_Savings!$A:$A,A584,DB_Savings!$F:$F)),"")</f>
        <v/>
      </c>
      <c r="L584" t="str">
        <f>IFERROR(IF(A584="","",SUMIF(DB_Withdrawals!$A:$A,A584,DB_Withdrawals!$G:$G)),"")</f>
        <v/>
      </c>
      <c r="M584" t="str">
        <f>IFERROR(IF(A584="","",IFERROR(VALUE(H584),0)+IFERROR(SUMIF(DB_Savings!$A:$A,A584,DB_Savings!$F:$F),0)-IFERROR(SUMIF(DB_Withdrawals!$A:$A,A584,DB_Withdrawals!$G:$G),0)),"")</f>
        <v/>
      </c>
      <c r="N584" t="str">
        <f>IFERROR(IF(A584="","",MAX(0,M584-System_Config!$B$9)),"")</f>
        <v/>
      </c>
    </row>
    <row r="585" spans="1:14" ht="15" customHeight="1" x14ac:dyDescent="0.25">
      <c r="A585" t="str">
        <f>'NEW ACCOUNT'!A586</f>
        <v/>
      </c>
      <c r="B585" t="str">
        <f>IF('NEW ACCOUNT'!A586="","",'NEW ACCOUNT'!B586)</f>
        <v/>
      </c>
      <c r="C585" t="str">
        <f>IF('NEW ACCOUNT'!A586="","",'NEW ACCOUNT'!C586)</f>
        <v/>
      </c>
      <c r="D585" t="str">
        <f>IF('NEW ACCOUNT'!A586="","",'NEW ACCOUNT'!D586)</f>
        <v/>
      </c>
      <c r="E585" t="str">
        <f>IF('NEW ACCOUNT'!A586="","",'NEW ACCOUNT'!E586)</f>
        <v/>
      </c>
      <c r="F585" t="str">
        <f>IF('NEW ACCOUNT'!A586="","",'NEW ACCOUNT'!F586)</f>
        <v/>
      </c>
      <c r="G585" t="str">
        <f>IF('NEW ACCOUNT'!A586="","",'NEW ACCOUNT'!G586)</f>
        <v/>
      </c>
      <c r="H585" t="str">
        <f>IF('NEW ACCOUNT'!A586="","",'NEW ACCOUNT'!H586)</f>
        <v/>
      </c>
      <c r="I585" t="str">
        <f>IF('NEW ACCOUNT'!A586="","",'NEW ACCOUNT'!I586)</f>
        <v/>
      </c>
      <c r="J585" t="str">
        <f>IF('NEW ACCOUNT'!A586="","",'NEW ACCOUNT'!J586)</f>
        <v/>
      </c>
      <c r="K585" t="str">
        <f>IFERROR(IF(A585="","",SUMIF(DB_Savings!$A:$A,A585,DB_Savings!$F:$F)),"")</f>
        <v/>
      </c>
      <c r="L585" t="str">
        <f>IFERROR(IF(A585="","",SUMIF(DB_Withdrawals!$A:$A,A585,DB_Withdrawals!$G:$G)),"")</f>
        <v/>
      </c>
      <c r="M585" t="str">
        <f>IFERROR(IF(A585="","",IFERROR(VALUE(H585),0)+IFERROR(SUMIF(DB_Savings!$A:$A,A585,DB_Savings!$F:$F),0)-IFERROR(SUMIF(DB_Withdrawals!$A:$A,A585,DB_Withdrawals!$G:$G),0)),"")</f>
        <v/>
      </c>
      <c r="N585" t="str">
        <f>IFERROR(IF(A585="","",MAX(0,M585-System_Config!$B$9)),"")</f>
        <v/>
      </c>
    </row>
    <row r="586" spans="1:14" ht="15" customHeight="1" x14ac:dyDescent="0.25">
      <c r="A586" t="str">
        <f>'NEW ACCOUNT'!A587</f>
        <v/>
      </c>
      <c r="B586" t="str">
        <f>IF('NEW ACCOUNT'!A587="","",'NEW ACCOUNT'!B587)</f>
        <v/>
      </c>
      <c r="C586" t="str">
        <f>IF('NEW ACCOUNT'!A587="","",'NEW ACCOUNT'!C587)</f>
        <v/>
      </c>
      <c r="D586" t="str">
        <f>IF('NEW ACCOUNT'!A587="","",'NEW ACCOUNT'!D587)</f>
        <v/>
      </c>
      <c r="E586" t="str">
        <f>IF('NEW ACCOUNT'!A587="","",'NEW ACCOUNT'!E587)</f>
        <v/>
      </c>
      <c r="F586" t="str">
        <f>IF('NEW ACCOUNT'!A587="","",'NEW ACCOUNT'!F587)</f>
        <v/>
      </c>
      <c r="G586" t="str">
        <f>IF('NEW ACCOUNT'!A587="","",'NEW ACCOUNT'!G587)</f>
        <v/>
      </c>
      <c r="H586" t="str">
        <f>IF('NEW ACCOUNT'!A587="","",'NEW ACCOUNT'!H587)</f>
        <v/>
      </c>
      <c r="I586" t="str">
        <f>IF('NEW ACCOUNT'!A587="","",'NEW ACCOUNT'!I587)</f>
        <v/>
      </c>
      <c r="J586" t="str">
        <f>IF('NEW ACCOUNT'!A587="","",'NEW ACCOUNT'!J587)</f>
        <v/>
      </c>
      <c r="K586" t="str">
        <f>IFERROR(IF(A586="","",SUMIF(DB_Savings!$A:$A,A586,DB_Savings!$F:$F)),"")</f>
        <v/>
      </c>
      <c r="L586" t="str">
        <f>IFERROR(IF(A586="","",SUMIF(DB_Withdrawals!$A:$A,A586,DB_Withdrawals!$G:$G)),"")</f>
        <v/>
      </c>
      <c r="M586" t="str">
        <f>IFERROR(IF(A586="","",IFERROR(VALUE(H586),0)+IFERROR(SUMIF(DB_Savings!$A:$A,A586,DB_Savings!$F:$F),0)-IFERROR(SUMIF(DB_Withdrawals!$A:$A,A586,DB_Withdrawals!$G:$G),0)),"")</f>
        <v/>
      </c>
      <c r="N586" t="str">
        <f>IFERROR(IF(A586="","",MAX(0,M586-System_Config!$B$9)),"")</f>
        <v/>
      </c>
    </row>
    <row r="587" spans="1:14" ht="15" customHeight="1" x14ac:dyDescent="0.25">
      <c r="A587" t="str">
        <f>'NEW ACCOUNT'!A588</f>
        <v/>
      </c>
      <c r="B587" t="str">
        <f>IF('NEW ACCOUNT'!A588="","",'NEW ACCOUNT'!B588)</f>
        <v/>
      </c>
      <c r="C587" t="str">
        <f>IF('NEW ACCOUNT'!A588="","",'NEW ACCOUNT'!C588)</f>
        <v/>
      </c>
      <c r="D587" t="str">
        <f>IF('NEW ACCOUNT'!A588="","",'NEW ACCOUNT'!D588)</f>
        <v/>
      </c>
      <c r="E587" t="str">
        <f>IF('NEW ACCOUNT'!A588="","",'NEW ACCOUNT'!E588)</f>
        <v/>
      </c>
      <c r="F587" t="str">
        <f>IF('NEW ACCOUNT'!A588="","",'NEW ACCOUNT'!F588)</f>
        <v/>
      </c>
      <c r="G587" t="str">
        <f>IF('NEW ACCOUNT'!A588="","",'NEW ACCOUNT'!G588)</f>
        <v/>
      </c>
      <c r="H587" t="str">
        <f>IF('NEW ACCOUNT'!A588="","",'NEW ACCOUNT'!H588)</f>
        <v/>
      </c>
      <c r="I587" t="str">
        <f>IF('NEW ACCOUNT'!A588="","",'NEW ACCOUNT'!I588)</f>
        <v/>
      </c>
      <c r="J587" t="str">
        <f>IF('NEW ACCOUNT'!A588="","",'NEW ACCOUNT'!J588)</f>
        <v/>
      </c>
      <c r="K587" t="str">
        <f>IFERROR(IF(A587="","",SUMIF(DB_Savings!$A:$A,A587,DB_Savings!$F:$F)),"")</f>
        <v/>
      </c>
      <c r="L587" t="str">
        <f>IFERROR(IF(A587="","",SUMIF(DB_Withdrawals!$A:$A,A587,DB_Withdrawals!$G:$G)),"")</f>
        <v/>
      </c>
      <c r="M587" t="str">
        <f>IFERROR(IF(A587="","",IFERROR(VALUE(H587),0)+IFERROR(SUMIF(DB_Savings!$A:$A,A587,DB_Savings!$F:$F),0)-IFERROR(SUMIF(DB_Withdrawals!$A:$A,A587,DB_Withdrawals!$G:$G),0)),"")</f>
        <v/>
      </c>
      <c r="N587" t="str">
        <f>IFERROR(IF(A587="","",MAX(0,M587-System_Config!$B$9)),"")</f>
        <v/>
      </c>
    </row>
    <row r="588" spans="1:14" ht="15" customHeight="1" x14ac:dyDescent="0.25">
      <c r="A588" t="str">
        <f>'NEW ACCOUNT'!A589</f>
        <v/>
      </c>
      <c r="B588" t="str">
        <f>IF('NEW ACCOUNT'!A589="","",'NEW ACCOUNT'!B589)</f>
        <v/>
      </c>
      <c r="C588" t="str">
        <f>IF('NEW ACCOUNT'!A589="","",'NEW ACCOUNT'!C589)</f>
        <v/>
      </c>
      <c r="D588" t="str">
        <f>IF('NEW ACCOUNT'!A589="","",'NEW ACCOUNT'!D589)</f>
        <v/>
      </c>
      <c r="E588" t="str">
        <f>IF('NEW ACCOUNT'!A589="","",'NEW ACCOUNT'!E589)</f>
        <v/>
      </c>
      <c r="F588" t="str">
        <f>IF('NEW ACCOUNT'!A589="","",'NEW ACCOUNT'!F589)</f>
        <v/>
      </c>
      <c r="G588" t="str">
        <f>IF('NEW ACCOUNT'!A589="","",'NEW ACCOUNT'!G589)</f>
        <v/>
      </c>
      <c r="H588" t="str">
        <f>IF('NEW ACCOUNT'!A589="","",'NEW ACCOUNT'!H589)</f>
        <v/>
      </c>
      <c r="I588" t="str">
        <f>IF('NEW ACCOUNT'!A589="","",'NEW ACCOUNT'!I589)</f>
        <v/>
      </c>
      <c r="J588" t="str">
        <f>IF('NEW ACCOUNT'!A589="","",'NEW ACCOUNT'!J589)</f>
        <v/>
      </c>
      <c r="K588" t="str">
        <f>IFERROR(IF(A588="","",SUMIF(DB_Savings!$A:$A,A588,DB_Savings!$F:$F)),"")</f>
        <v/>
      </c>
      <c r="L588" t="str">
        <f>IFERROR(IF(A588="","",SUMIF(DB_Withdrawals!$A:$A,A588,DB_Withdrawals!$G:$G)),"")</f>
        <v/>
      </c>
      <c r="M588" t="str">
        <f>IFERROR(IF(A588="","",IFERROR(VALUE(H588),0)+IFERROR(SUMIF(DB_Savings!$A:$A,A588,DB_Savings!$F:$F),0)-IFERROR(SUMIF(DB_Withdrawals!$A:$A,A588,DB_Withdrawals!$G:$G),0)),"")</f>
        <v/>
      </c>
      <c r="N588" t="str">
        <f>IFERROR(IF(A588="","",MAX(0,M588-System_Config!$B$9)),"")</f>
        <v/>
      </c>
    </row>
    <row r="589" spans="1:14" ht="15" customHeight="1" x14ac:dyDescent="0.25">
      <c r="A589" t="str">
        <f>'NEW ACCOUNT'!A590</f>
        <v/>
      </c>
      <c r="B589" t="str">
        <f>IF('NEW ACCOUNT'!A590="","",'NEW ACCOUNT'!B590)</f>
        <v/>
      </c>
      <c r="C589" t="str">
        <f>IF('NEW ACCOUNT'!A590="","",'NEW ACCOUNT'!C590)</f>
        <v/>
      </c>
      <c r="D589" t="str">
        <f>IF('NEW ACCOUNT'!A590="","",'NEW ACCOUNT'!D590)</f>
        <v/>
      </c>
      <c r="E589" t="str">
        <f>IF('NEW ACCOUNT'!A590="","",'NEW ACCOUNT'!E590)</f>
        <v/>
      </c>
      <c r="F589" t="str">
        <f>IF('NEW ACCOUNT'!A590="","",'NEW ACCOUNT'!F590)</f>
        <v/>
      </c>
      <c r="G589" t="str">
        <f>IF('NEW ACCOUNT'!A590="","",'NEW ACCOUNT'!G590)</f>
        <v/>
      </c>
      <c r="H589" t="str">
        <f>IF('NEW ACCOUNT'!A590="","",'NEW ACCOUNT'!H590)</f>
        <v/>
      </c>
      <c r="I589" t="str">
        <f>IF('NEW ACCOUNT'!A590="","",'NEW ACCOUNT'!I590)</f>
        <v/>
      </c>
      <c r="J589" t="str">
        <f>IF('NEW ACCOUNT'!A590="","",'NEW ACCOUNT'!J590)</f>
        <v/>
      </c>
      <c r="K589" t="str">
        <f>IFERROR(IF(A589="","",SUMIF(DB_Savings!$A:$A,A589,DB_Savings!$F:$F)),"")</f>
        <v/>
      </c>
      <c r="L589" t="str">
        <f>IFERROR(IF(A589="","",SUMIF(DB_Withdrawals!$A:$A,A589,DB_Withdrawals!$G:$G)),"")</f>
        <v/>
      </c>
      <c r="M589" t="str">
        <f>IFERROR(IF(A589="","",IFERROR(VALUE(H589),0)+IFERROR(SUMIF(DB_Savings!$A:$A,A589,DB_Savings!$F:$F),0)-IFERROR(SUMIF(DB_Withdrawals!$A:$A,A589,DB_Withdrawals!$G:$G),0)),"")</f>
        <v/>
      </c>
      <c r="N589" t="str">
        <f>IFERROR(IF(A589="","",MAX(0,M589-System_Config!$B$9)),"")</f>
        <v/>
      </c>
    </row>
    <row r="590" spans="1:14" ht="15" customHeight="1" x14ac:dyDescent="0.25">
      <c r="A590" t="str">
        <f>'NEW ACCOUNT'!A591</f>
        <v/>
      </c>
      <c r="B590" t="str">
        <f>IF('NEW ACCOUNT'!A591="","",'NEW ACCOUNT'!B591)</f>
        <v/>
      </c>
      <c r="C590" t="str">
        <f>IF('NEW ACCOUNT'!A591="","",'NEW ACCOUNT'!C591)</f>
        <v/>
      </c>
      <c r="D590" t="str">
        <f>IF('NEW ACCOUNT'!A591="","",'NEW ACCOUNT'!D591)</f>
        <v/>
      </c>
      <c r="E590" t="str">
        <f>IF('NEW ACCOUNT'!A591="","",'NEW ACCOUNT'!E591)</f>
        <v/>
      </c>
      <c r="F590" t="str">
        <f>IF('NEW ACCOUNT'!A591="","",'NEW ACCOUNT'!F591)</f>
        <v/>
      </c>
      <c r="G590" t="str">
        <f>IF('NEW ACCOUNT'!A591="","",'NEW ACCOUNT'!G591)</f>
        <v/>
      </c>
      <c r="H590" t="str">
        <f>IF('NEW ACCOUNT'!A591="","",'NEW ACCOUNT'!H591)</f>
        <v/>
      </c>
      <c r="I590" t="str">
        <f>IF('NEW ACCOUNT'!A591="","",'NEW ACCOUNT'!I591)</f>
        <v/>
      </c>
      <c r="J590" t="str">
        <f>IF('NEW ACCOUNT'!A591="","",'NEW ACCOUNT'!J591)</f>
        <v/>
      </c>
      <c r="K590" t="str">
        <f>IFERROR(IF(A590="","",SUMIF(DB_Savings!$A:$A,A590,DB_Savings!$F:$F)),"")</f>
        <v/>
      </c>
      <c r="L590" t="str">
        <f>IFERROR(IF(A590="","",SUMIF(DB_Withdrawals!$A:$A,A590,DB_Withdrawals!$G:$G)),"")</f>
        <v/>
      </c>
      <c r="M590" t="str">
        <f>IFERROR(IF(A590="","",IFERROR(VALUE(H590),0)+IFERROR(SUMIF(DB_Savings!$A:$A,A590,DB_Savings!$F:$F),0)-IFERROR(SUMIF(DB_Withdrawals!$A:$A,A590,DB_Withdrawals!$G:$G),0)),"")</f>
        <v/>
      </c>
      <c r="N590" t="str">
        <f>IFERROR(IF(A590="","",MAX(0,M590-System_Config!$B$9)),"")</f>
        <v/>
      </c>
    </row>
    <row r="591" spans="1:14" ht="15" customHeight="1" x14ac:dyDescent="0.25">
      <c r="A591" t="str">
        <f>'NEW ACCOUNT'!A592</f>
        <v/>
      </c>
      <c r="B591" t="str">
        <f>IF('NEW ACCOUNT'!A592="","",'NEW ACCOUNT'!B592)</f>
        <v/>
      </c>
      <c r="C591" t="str">
        <f>IF('NEW ACCOUNT'!A592="","",'NEW ACCOUNT'!C592)</f>
        <v/>
      </c>
      <c r="D591" t="str">
        <f>IF('NEW ACCOUNT'!A592="","",'NEW ACCOUNT'!D592)</f>
        <v/>
      </c>
      <c r="E591" t="str">
        <f>IF('NEW ACCOUNT'!A592="","",'NEW ACCOUNT'!E592)</f>
        <v/>
      </c>
      <c r="F591" t="str">
        <f>IF('NEW ACCOUNT'!A592="","",'NEW ACCOUNT'!F592)</f>
        <v/>
      </c>
      <c r="G591" t="str">
        <f>IF('NEW ACCOUNT'!A592="","",'NEW ACCOUNT'!G592)</f>
        <v/>
      </c>
      <c r="H591" t="str">
        <f>IF('NEW ACCOUNT'!A592="","",'NEW ACCOUNT'!H592)</f>
        <v/>
      </c>
      <c r="I591" t="str">
        <f>IF('NEW ACCOUNT'!A592="","",'NEW ACCOUNT'!I592)</f>
        <v/>
      </c>
      <c r="J591" t="str">
        <f>IF('NEW ACCOUNT'!A592="","",'NEW ACCOUNT'!J592)</f>
        <v/>
      </c>
      <c r="K591" t="str">
        <f>IFERROR(IF(A591="","",SUMIF(DB_Savings!$A:$A,A591,DB_Savings!$F:$F)),"")</f>
        <v/>
      </c>
      <c r="L591" t="str">
        <f>IFERROR(IF(A591="","",SUMIF(DB_Withdrawals!$A:$A,A591,DB_Withdrawals!$G:$G)),"")</f>
        <v/>
      </c>
      <c r="M591" t="str">
        <f>IFERROR(IF(A591="","",IFERROR(VALUE(H591),0)+IFERROR(SUMIF(DB_Savings!$A:$A,A591,DB_Savings!$F:$F),0)-IFERROR(SUMIF(DB_Withdrawals!$A:$A,A591,DB_Withdrawals!$G:$G),0)),"")</f>
        <v/>
      </c>
      <c r="N591" t="str">
        <f>IFERROR(IF(A591="","",MAX(0,M591-System_Config!$B$9)),"")</f>
        <v/>
      </c>
    </row>
    <row r="592" spans="1:14" ht="15" customHeight="1" x14ac:dyDescent="0.25">
      <c r="A592" t="str">
        <f>'NEW ACCOUNT'!A593</f>
        <v/>
      </c>
      <c r="B592" t="str">
        <f>IF('NEW ACCOUNT'!A593="","",'NEW ACCOUNT'!B593)</f>
        <v/>
      </c>
      <c r="C592" t="str">
        <f>IF('NEW ACCOUNT'!A593="","",'NEW ACCOUNT'!C593)</f>
        <v/>
      </c>
      <c r="D592" t="str">
        <f>IF('NEW ACCOUNT'!A593="","",'NEW ACCOUNT'!D593)</f>
        <v/>
      </c>
      <c r="E592" t="str">
        <f>IF('NEW ACCOUNT'!A593="","",'NEW ACCOUNT'!E593)</f>
        <v/>
      </c>
      <c r="F592" t="str">
        <f>IF('NEW ACCOUNT'!A593="","",'NEW ACCOUNT'!F593)</f>
        <v/>
      </c>
      <c r="G592" t="str">
        <f>IF('NEW ACCOUNT'!A593="","",'NEW ACCOUNT'!G593)</f>
        <v/>
      </c>
      <c r="H592" t="str">
        <f>IF('NEW ACCOUNT'!A593="","",'NEW ACCOUNT'!H593)</f>
        <v/>
      </c>
      <c r="I592" t="str">
        <f>IF('NEW ACCOUNT'!A593="","",'NEW ACCOUNT'!I593)</f>
        <v/>
      </c>
      <c r="J592" t="str">
        <f>IF('NEW ACCOUNT'!A593="","",'NEW ACCOUNT'!J593)</f>
        <v/>
      </c>
      <c r="K592" t="str">
        <f>IFERROR(IF(A592="","",SUMIF(DB_Savings!$A:$A,A592,DB_Savings!$F:$F)),"")</f>
        <v/>
      </c>
      <c r="L592" t="str">
        <f>IFERROR(IF(A592="","",SUMIF(DB_Withdrawals!$A:$A,A592,DB_Withdrawals!$G:$G)),"")</f>
        <v/>
      </c>
      <c r="M592" t="str">
        <f>IFERROR(IF(A592="","",IFERROR(VALUE(H592),0)+IFERROR(SUMIF(DB_Savings!$A:$A,A592,DB_Savings!$F:$F),0)-IFERROR(SUMIF(DB_Withdrawals!$A:$A,A592,DB_Withdrawals!$G:$G),0)),"")</f>
        <v/>
      </c>
      <c r="N592" t="str">
        <f>IFERROR(IF(A592="","",MAX(0,M592-System_Config!$B$9)),"")</f>
        <v/>
      </c>
    </row>
    <row r="593" spans="1:14" ht="15" customHeight="1" x14ac:dyDescent="0.25">
      <c r="A593" t="str">
        <f>'NEW ACCOUNT'!A594</f>
        <v/>
      </c>
      <c r="B593" t="str">
        <f>IF('NEW ACCOUNT'!A594="","",'NEW ACCOUNT'!B594)</f>
        <v/>
      </c>
      <c r="C593" t="str">
        <f>IF('NEW ACCOUNT'!A594="","",'NEW ACCOUNT'!C594)</f>
        <v/>
      </c>
      <c r="D593" t="str">
        <f>IF('NEW ACCOUNT'!A594="","",'NEW ACCOUNT'!D594)</f>
        <v/>
      </c>
      <c r="E593" t="str">
        <f>IF('NEW ACCOUNT'!A594="","",'NEW ACCOUNT'!E594)</f>
        <v/>
      </c>
      <c r="F593" t="str">
        <f>IF('NEW ACCOUNT'!A594="","",'NEW ACCOUNT'!F594)</f>
        <v/>
      </c>
      <c r="G593" t="str">
        <f>IF('NEW ACCOUNT'!A594="","",'NEW ACCOUNT'!G594)</f>
        <v/>
      </c>
      <c r="H593" t="str">
        <f>IF('NEW ACCOUNT'!A594="","",'NEW ACCOUNT'!H594)</f>
        <v/>
      </c>
      <c r="I593" t="str">
        <f>IF('NEW ACCOUNT'!A594="","",'NEW ACCOUNT'!I594)</f>
        <v/>
      </c>
      <c r="J593" t="str">
        <f>IF('NEW ACCOUNT'!A594="","",'NEW ACCOUNT'!J594)</f>
        <v/>
      </c>
      <c r="K593" t="str">
        <f>IFERROR(IF(A593="","",SUMIF(DB_Savings!$A:$A,A593,DB_Savings!$F:$F)),"")</f>
        <v/>
      </c>
      <c r="L593" t="str">
        <f>IFERROR(IF(A593="","",SUMIF(DB_Withdrawals!$A:$A,A593,DB_Withdrawals!$G:$G)),"")</f>
        <v/>
      </c>
      <c r="M593" t="str">
        <f>IFERROR(IF(A593="","",IFERROR(VALUE(H593),0)+IFERROR(SUMIF(DB_Savings!$A:$A,A593,DB_Savings!$F:$F),0)-IFERROR(SUMIF(DB_Withdrawals!$A:$A,A593,DB_Withdrawals!$G:$G),0)),"")</f>
        <v/>
      </c>
      <c r="N593" t="str">
        <f>IFERROR(IF(A593="","",MAX(0,M593-System_Config!$B$9)),"")</f>
        <v/>
      </c>
    </row>
    <row r="594" spans="1:14" ht="15" customHeight="1" x14ac:dyDescent="0.25">
      <c r="A594" t="str">
        <f>'NEW ACCOUNT'!A595</f>
        <v/>
      </c>
      <c r="B594" t="str">
        <f>IF('NEW ACCOUNT'!A595="","",'NEW ACCOUNT'!B595)</f>
        <v/>
      </c>
      <c r="C594" t="str">
        <f>IF('NEW ACCOUNT'!A595="","",'NEW ACCOUNT'!C595)</f>
        <v/>
      </c>
      <c r="D594" t="str">
        <f>IF('NEW ACCOUNT'!A595="","",'NEW ACCOUNT'!D595)</f>
        <v/>
      </c>
      <c r="E594" t="str">
        <f>IF('NEW ACCOUNT'!A595="","",'NEW ACCOUNT'!E595)</f>
        <v/>
      </c>
      <c r="F594" t="str">
        <f>IF('NEW ACCOUNT'!A595="","",'NEW ACCOUNT'!F595)</f>
        <v/>
      </c>
      <c r="G594" t="str">
        <f>IF('NEW ACCOUNT'!A595="","",'NEW ACCOUNT'!G595)</f>
        <v/>
      </c>
      <c r="H594" t="str">
        <f>IF('NEW ACCOUNT'!A595="","",'NEW ACCOUNT'!H595)</f>
        <v/>
      </c>
      <c r="I594" t="str">
        <f>IF('NEW ACCOUNT'!A595="","",'NEW ACCOUNT'!I595)</f>
        <v/>
      </c>
      <c r="J594" t="str">
        <f>IF('NEW ACCOUNT'!A595="","",'NEW ACCOUNT'!J595)</f>
        <v/>
      </c>
      <c r="K594" t="str">
        <f>IFERROR(IF(A594="","",SUMIF(DB_Savings!$A:$A,A594,DB_Savings!$F:$F)),"")</f>
        <v/>
      </c>
      <c r="L594" t="str">
        <f>IFERROR(IF(A594="","",SUMIF(DB_Withdrawals!$A:$A,A594,DB_Withdrawals!$G:$G)),"")</f>
        <v/>
      </c>
      <c r="M594" t="str">
        <f>IFERROR(IF(A594="","",IFERROR(VALUE(H594),0)+IFERROR(SUMIF(DB_Savings!$A:$A,A594,DB_Savings!$F:$F),0)-IFERROR(SUMIF(DB_Withdrawals!$A:$A,A594,DB_Withdrawals!$G:$G),0)),"")</f>
        <v/>
      </c>
      <c r="N594" t="str">
        <f>IFERROR(IF(A594="","",MAX(0,M594-System_Config!$B$9)),"")</f>
        <v/>
      </c>
    </row>
    <row r="595" spans="1:14" ht="15" customHeight="1" x14ac:dyDescent="0.25">
      <c r="A595" t="str">
        <f>'NEW ACCOUNT'!A596</f>
        <v/>
      </c>
      <c r="B595" t="str">
        <f>IF('NEW ACCOUNT'!A596="","",'NEW ACCOUNT'!B596)</f>
        <v/>
      </c>
      <c r="C595" t="str">
        <f>IF('NEW ACCOUNT'!A596="","",'NEW ACCOUNT'!C596)</f>
        <v/>
      </c>
      <c r="D595" t="str">
        <f>IF('NEW ACCOUNT'!A596="","",'NEW ACCOUNT'!D596)</f>
        <v/>
      </c>
      <c r="E595" t="str">
        <f>IF('NEW ACCOUNT'!A596="","",'NEW ACCOUNT'!E596)</f>
        <v/>
      </c>
      <c r="F595" t="str">
        <f>IF('NEW ACCOUNT'!A596="","",'NEW ACCOUNT'!F596)</f>
        <v/>
      </c>
      <c r="G595" t="str">
        <f>IF('NEW ACCOUNT'!A596="","",'NEW ACCOUNT'!G596)</f>
        <v/>
      </c>
      <c r="H595" t="str">
        <f>IF('NEW ACCOUNT'!A596="","",'NEW ACCOUNT'!H596)</f>
        <v/>
      </c>
      <c r="I595" t="str">
        <f>IF('NEW ACCOUNT'!A596="","",'NEW ACCOUNT'!I596)</f>
        <v/>
      </c>
      <c r="J595" t="str">
        <f>IF('NEW ACCOUNT'!A596="","",'NEW ACCOUNT'!J596)</f>
        <v/>
      </c>
      <c r="K595" t="str">
        <f>IFERROR(IF(A595="","",SUMIF(DB_Savings!$A:$A,A595,DB_Savings!$F:$F)),"")</f>
        <v/>
      </c>
      <c r="L595" t="str">
        <f>IFERROR(IF(A595="","",SUMIF(DB_Withdrawals!$A:$A,A595,DB_Withdrawals!$G:$G)),"")</f>
        <v/>
      </c>
      <c r="M595" t="str">
        <f>IFERROR(IF(A595="","",IFERROR(VALUE(H595),0)+IFERROR(SUMIF(DB_Savings!$A:$A,A595,DB_Savings!$F:$F),0)-IFERROR(SUMIF(DB_Withdrawals!$A:$A,A595,DB_Withdrawals!$G:$G),0)),"")</f>
        <v/>
      </c>
      <c r="N595" t="str">
        <f>IFERROR(IF(A595="","",MAX(0,M595-System_Config!$B$9)),"")</f>
        <v/>
      </c>
    </row>
    <row r="596" spans="1:14" ht="15" customHeight="1" x14ac:dyDescent="0.25">
      <c r="A596" t="str">
        <f>'NEW ACCOUNT'!A597</f>
        <v/>
      </c>
      <c r="B596" t="str">
        <f>IF('NEW ACCOUNT'!A597="","",'NEW ACCOUNT'!B597)</f>
        <v/>
      </c>
      <c r="C596" t="str">
        <f>IF('NEW ACCOUNT'!A597="","",'NEW ACCOUNT'!C597)</f>
        <v/>
      </c>
      <c r="D596" t="str">
        <f>IF('NEW ACCOUNT'!A597="","",'NEW ACCOUNT'!D597)</f>
        <v/>
      </c>
      <c r="E596" t="str">
        <f>IF('NEW ACCOUNT'!A597="","",'NEW ACCOUNT'!E597)</f>
        <v/>
      </c>
      <c r="F596" t="str">
        <f>IF('NEW ACCOUNT'!A597="","",'NEW ACCOUNT'!F597)</f>
        <v/>
      </c>
      <c r="G596" t="str">
        <f>IF('NEW ACCOUNT'!A597="","",'NEW ACCOUNT'!G597)</f>
        <v/>
      </c>
      <c r="H596" t="str">
        <f>IF('NEW ACCOUNT'!A597="","",'NEW ACCOUNT'!H597)</f>
        <v/>
      </c>
      <c r="I596" t="str">
        <f>IF('NEW ACCOUNT'!A597="","",'NEW ACCOUNT'!I597)</f>
        <v/>
      </c>
      <c r="J596" t="str">
        <f>IF('NEW ACCOUNT'!A597="","",'NEW ACCOUNT'!J597)</f>
        <v/>
      </c>
      <c r="K596" t="str">
        <f>IFERROR(IF(A596="","",SUMIF(DB_Savings!$A:$A,A596,DB_Savings!$F:$F)),"")</f>
        <v/>
      </c>
      <c r="L596" t="str">
        <f>IFERROR(IF(A596="","",SUMIF(DB_Withdrawals!$A:$A,A596,DB_Withdrawals!$G:$G)),"")</f>
        <v/>
      </c>
      <c r="M596" t="str">
        <f>IFERROR(IF(A596="","",IFERROR(VALUE(H596),0)+IFERROR(SUMIF(DB_Savings!$A:$A,A596,DB_Savings!$F:$F),0)-IFERROR(SUMIF(DB_Withdrawals!$A:$A,A596,DB_Withdrawals!$G:$G),0)),"")</f>
        <v/>
      </c>
      <c r="N596" t="str">
        <f>IFERROR(IF(A596="","",MAX(0,M596-System_Config!$B$9)),"")</f>
        <v/>
      </c>
    </row>
    <row r="597" spans="1:14" ht="15" customHeight="1" x14ac:dyDescent="0.25">
      <c r="A597" t="str">
        <f>'NEW ACCOUNT'!A598</f>
        <v/>
      </c>
      <c r="B597" t="str">
        <f>IF('NEW ACCOUNT'!A598="","",'NEW ACCOUNT'!B598)</f>
        <v/>
      </c>
      <c r="C597" t="str">
        <f>IF('NEW ACCOUNT'!A598="","",'NEW ACCOUNT'!C598)</f>
        <v/>
      </c>
      <c r="D597" t="str">
        <f>IF('NEW ACCOUNT'!A598="","",'NEW ACCOUNT'!D598)</f>
        <v/>
      </c>
      <c r="E597" t="str">
        <f>IF('NEW ACCOUNT'!A598="","",'NEW ACCOUNT'!E598)</f>
        <v/>
      </c>
      <c r="F597" t="str">
        <f>IF('NEW ACCOUNT'!A598="","",'NEW ACCOUNT'!F598)</f>
        <v/>
      </c>
      <c r="G597" t="str">
        <f>IF('NEW ACCOUNT'!A598="","",'NEW ACCOUNT'!G598)</f>
        <v/>
      </c>
      <c r="H597" t="str">
        <f>IF('NEW ACCOUNT'!A598="","",'NEW ACCOUNT'!H598)</f>
        <v/>
      </c>
      <c r="I597" t="str">
        <f>IF('NEW ACCOUNT'!A598="","",'NEW ACCOUNT'!I598)</f>
        <v/>
      </c>
      <c r="J597" t="str">
        <f>IF('NEW ACCOUNT'!A598="","",'NEW ACCOUNT'!J598)</f>
        <v/>
      </c>
      <c r="K597" t="str">
        <f>IFERROR(IF(A597="","",SUMIF(DB_Savings!$A:$A,A597,DB_Savings!$F:$F)),"")</f>
        <v/>
      </c>
      <c r="L597" t="str">
        <f>IFERROR(IF(A597="","",SUMIF(DB_Withdrawals!$A:$A,A597,DB_Withdrawals!$G:$G)),"")</f>
        <v/>
      </c>
      <c r="M597" t="str">
        <f>IFERROR(IF(A597="","",IFERROR(VALUE(H597),0)+IFERROR(SUMIF(DB_Savings!$A:$A,A597,DB_Savings!$F:$F),0)-IFERROR(SUMIF(DB_Withdrawals!$A:$A,A597,DB_Withdrawals!$G:$G),0)),"")</f>
        <v/>
      </c>
      <c r="N597" t="str">
        <f>IFERROR(IF(A597="","",MAX(0,M597-System_Config!$B$9)),"")</f>
        <v/>
      </c>
    </row>
    <row r="598" spans="1:14" ht="15" customHeight="1" x14ac:dyDescent="0.25">
      <c r="A598" t="str">
        <f>'NEW ACCOUNT'!A599</f>
        <v/>
      </c>
      <c r="B598" t="str">
        <f>IF('NEW ACCOUNT'!A599="","",'NEW ACCOUNT'!B599)</f>
        <v/>
      </c>
      <c r="C598" t="str">
        <f>IF('NEW ACCOUNT'!A599="","",'NEW ACCOUNT'!C599)</f>
        <v/>
      </c>
      <c r="D598" t="str">
        <f>IF('NEW ACCOUNT'!A599="","",'NEW ACCOUNT'!D599)</f>
        <v/>
      </c>
      <c r="E598" t="str">
        <f>IF('NEW ACCOUNT'!A599="","",'NEW ACCOUNT'!E599)</f>
        <v/>
      </c>
      <c r="F598" t="str">
        <f>IF('NEW ACCOUNT'!A599="","",'NEW ACCOUNT'!F599)</f>
        <v/>
      </c>
      <c r="G598" t="str">
        <f>IF('NEW ACCOUNT'!A599="","",'NEW ACCOUNT'!G599)</f>
        <v/>
      </c>
      <c r="H598" t="str">
        <f>IF('NEW ACCOUNT'!A599="","",'NEW ACCOUNT'!H599)</f>
        <v/>
      </c>
      <c r="I598" t="str">
        <f>IF('NEW ACCOUNT'!A599="","",'NEW ACCOUNT'!I599)</f>
        <v/>
      </c>
      <c r="J598" t="str">
        <f>IF('NEW ACCOUNT'!A599="","",'NEW ACCOUNT'!J599)</f>
        <v/>
      </c>
      <c r="K598" t="str">
        <f>IFERROR(IF(A598="","",SUMIF(DB_Savings!$A:$A,A598,DB_Savings!$F:$F)),"")</f>
        <v/>
      </c>
      <c r="L598" t="str">
        <f>IFERROR(IF(A598="","",SUMIF(DB_Withdrawals!$A:$A,A598,DB_Withdrawals!$G:$G)),"")</f>
        <v/>
      </c>
      <c r="M598" t="str">
        <f>IFERROR(IF(A598="","",IFERROR(VALUE(H598),0)+IFERROR(SUMIF(DB_Savings!$A:$A,A598,DB_Savings!$F:$F),0)-IFERROR(SUMIF(DB_Withdrawals!$A:$A,A598,DB_Withdrawals!$G:$G),0)),"")</f>
        <v/>
      </c>
      <c r="N598" t="str">
        <f>IFERROR(IF(A598="","",MAX(0,M598-System_Config!$B$9)),"")</f>
        <v/>
      </c>
    </row>
    <row r="599" spans="1:14" ht="15" customHeight="1" x14ac:dyDescent="0.25">
      <c r="A599" t="str">
        <f>'NEW ACCOUNT'!A600</f>
        <v/>
      </c>
      <c r="B599" t="str">
        <f>IF('NEW ACCOUNT'!A600="","",'NEW ACCOUNT'!B600)</f>
        <v/>
      </c>
      <c r="C599" t="str">
        <f>IF('NEW ACCOUNT'!A600="","",'NEW ACCOUNT'!C600)</f>
        <v/>
      </c>
      <c r="D599" t="str">
        <f>IF('NEW ACCOUNT'!A600="","",'NEW ACCOUNT'!D600)</f>
        <v/>
      </c>
      <c r="E599" t="str">
        <f>IF('NEW ACCOUNT'!A600="","",'NEW ACCOUNT'!E600)</f>
        <v/>
      </c>
      <c r="F599" t="str">
        <f>IF('NEW ACCOUNT'!A600="","",'NEW ACCOUNT'!F600)</f>
        <v/>
      </c>
      <c r="G599" t="str">
        <f>IF('NEW ACCOUNT'!A600="","",'NEW ACCOUNT'!G600)</f>
        <v/>
      </c>
      <c r="H599" t="str">
        <f>IF('NEW ACCOUNT'!A600="","",'NEW ACCOUNT'!H600)</f>
        <v/>
      </c>
      <c r="I599" t="str">
        <f>IF('NEW ACCOUNT'!A600="","",'NEW ACCOUNT'!I600)</f>
        <v/>
      </c>
      <c r="J599" t="str">
        <f>IF('NEW ACCOUNT'!A600="","",'NEW ACCOUNT'!J600)</f>
        <v/>
      </c>
      <c r="K599" t="str">
        <f>IFERROR(IF(A599="","",SUMIF(DB_Savings!$A:$A,A599,DB_Savings!$F:$F)),"")</f>
        <v/>
      </c>
      <c r="L599" t="str">
        <f>IFERROR(IF(A599="","",SUMIF(DB_Withdrawals!$A:$A,A599,DB_Withdrawals!$G:$G)),"")</f>
        <v/>
      </c>
      <c r="M599" t="str">
        <f>IFERROR(IF(A599="","",IFERROR(VALUE(H599),0)+IFERROR(SUMIF(DB_Savings!$A:$A,A599,DB_Savings!$F:$F),0)-IFERROR(SUMIF(DB_Withdrawals!$A:$A,A599,DB_Withdrawals!$G:$G),0)),"")</f>
        <v/>
      </c>
      <c r="N599" t="str">
        <f>IFERROR(IF(A599="","",MAX(0,M599-System_Config!$B$9)),"")</f>
        <v/>
      </c>
    </row>
    <row r="600" spans="1:14" ht="15" customHeight="1" x14ac:dyDescent="0.25">
      <c r="A600" t="str">
        <f>'NEW ACCOUNT'!A601</f>
        <v/>
      </c>
      <c r="B600" t="str">
        <f>IF('NEW ACCOUNT'!A601="","",'NEW ACCOUNT'!B601)</f>
        <v/>
      </c>
      <c r="C600" t="str">
        <f>IF('NEW ACCOUNT'!A601="","",'NEW ACCOUNT'!C601)</f>
        <v/>
      </c>
      <c r="D600" t="str">
        <f>IF('NEW ACCOUNT'!A601="","",'NEW ACCOUNT'!D601)</f>
        <v/>
      </c>
      <c r="E600" t="str">
        <f>IF('NEW ACCOUNT'!A601="","",'NEW ACCOUNT'!E601)</f>
        <v/>
      </c>
      <c r="F600" t="str">
        <f>IF('NEW ACCOUNT'!A601="","",'NEW ACCOUNT'!F601)</f>
        <v/>
      </c>
      <c r="G600" t="str">
        <f>IF('NEW ACCOUNT'!A601="","",'NEW ACCOUNT'!G601)</f>
        <v/>
      </c>
      <c r="H600" t="str">
        <f>IF('NEW ACCOUNT'!A601="","",'NEW ACCOUNT'!H601)</f>
        <v/>
      </c>
      <c r="I600" t="str">
        <f>IF('NEW ACCOUNT'!A601="","",'NEW ACCOUNT'!I601)</f>
        <v/>
      </c>
      <c r="J600" t="str">
        <f>IF('NEW ACCOUNT'!A601="","",'NEW ACCOUNT'!J601)</f>
        <v/>
      </c>
      <c r="K600" t="str">
        <f>IFERROR(IF(A600="","",SUMIF(DB_Savings!$A:$A,A600,DB_Savings!$F:$F)),"")</f>
        <v/>
      </c>
      <c r="L600" t="str">
        <f>IFERROR(IF(A600="","",SUMIF(DB_Withdrawals!$A:$A,A600,DB_Withdrawals!$G:$G)),"")</f>
        <v/>
      </c>
      <c r="M600" t="str">
        <f>IFERROR(IF(A600="","",IFERROR(VALUE(H600),0)+IFERROR(SUMIF(DB_Savings!$A:$A,A600,DB_Savings!$F:$F),0)-IFERROR(SUMIF(DB_Withdrawals!$A:$A,A600,DB_Withdrawals!$G:$G),0)),"")</f>
        <v/>
      </c>
      <c r="N600" t="str">
        <f>IFERROR(IF(A600="","",MAX(0,M600-System_Config!$B$9)),"")</f>
        <v/>
      </c>
    </row>
    <row r="601" spans="1:14" ht="15" customHeight="1" x14ac:dyDescent="0.25">
      <c r="A601" t="str">
        <f>'NEW ACCOUNT'!A602</f>
        <v/>
      </c>
      <c r="B601" t="str">
        <f>IF('NEW ACCOUNT'!A602="","",'NEW ACCOUNT'!B602)</f>
        <v/>
      </c>
      <c r="C601" t="str">
        <f>IF('NEW ACCOUNT'!A602="","",'NEW ACCOUNT'!C602)</f>
        <v/>
      </c>
      <c r="D601" t="str">
        <f>IF('NEW ACCOUNT'!A602="","",'NEW ACCOUNT'!D602)</f>
        <v/>
      </c>
      <c r="E601" t="str">
        <f>IF('NEW ACCOUNT'!A602="","",'NEW ACCOUNT'!E602)</f>
        <v/>
      </c>
      <c r="F601" t="str">
        <f>IF('NEW ACCOUNT'!A602="","",'NEW ACCOUNT'!F602)</f>
        <v/>
      </c>
      <c r="G601" t="str">
        <f>IF('NEW ACCOUNT'!A602="","",'NEW ACCOUNT'!G602)</f>
        <v/>
      </c>
      <c r="H601" t="str">
        <f>IF('NEW ACCOUNT'!A602="","",'NEW ACCOUNT'!H602)</f>
        <v/>
      </c>
      <c r="I601" t="str">
        <f>IF('NEW ACCOUNT'!A602="","",'NEW ACCOUNT'!I602)</f>
        <v/>
      </c>
      <c r="J601" t="str">
        <f>IF('NEW ACCOUNT'!A602="","",'NEW ACCOUNT'!J602)</f>
        <v/>
      </c>
      <c r="K601" t="str">
        <f>IFERROR(IF(A601="","",SUMIF(DB_Savings!$A:$A,A601,DB_Savings!$F:$F)),"")</f>
        <v/>
      </c>
      <c r="L601" t="str">
        <f>IFERROR(IF(A601="","",SUMIF(DB_Withdrawals!$A:$A,A601,DB_Withdrawals!$G:$G)),"")</f>
        <v/>
      </c>
      <c r="M601" t="str">
        <f>IFERROR(IF(A601="","",IFERROR(VALUE(H601),0)+IFERROR(SUMIF(DB_Savings!$A:$A,A601,DB_Savings!$F:$F),0)-IFERROR(SUMIF(DB_Withdrawals!$A:$A,A601,DB_Withdrawals!$G:$G),0)),"")</f>
        <v/>
      </c>
      <c r="N601" t="str">
        <f>IFERROR(IF(A601="","",MAX(0,M601-System_Config!$B$9)),"")</f>
        <v/>
      </c>
    </row>
    <row r="602" spans="1:14" ht="15" customHeight="1" x14ac:dyDescent="0.25">
      <c r="A602" t="str">
        <f>'NEW ACCOUNT'!A603</f>
        <v/>
      </c>
      <c r="B602" t="str">
        <f>IF('NEW ACCOUNT'!A603="","",'NEW ACCOUNT'!B603)</f>
        <v/>
      </c>
      <c r="C602" t="str">
        <f>IF('NEW ACCOUNT'!A603="","",'NEW ACCOUNT'!C603)</f>
        <v/>
      </c>
      <c r="D602" t="str">
        <f>IF('NEW ACCOUNT'!A603="","",'NEW ACCOUNT'!D603)</f>
        <v/>
      </c>
      <c r="E602" t="str">
        <f>IF('NEW ACCOUNT'!A603="","",'NEW ACCOUNT'!E603)</f>
        <v/>
      </c>
      <c r="F602" t="str">
        <f>IF('NEW ACCOUNT'!A603="","",'NEW ACCOUNT'!F603)</f>
        <v/>
      </c>
      <c r="G602" t="str">
        <f>IF('NEW ACCOUNT'!A603="","",'NEW ACCOUNT'!G603)</f>
        <v/>
      </c>
      <c r="H602" t="str">
        <f>IF('NEW ACCOUNT'!A603="","",'NEW ACCOUNT'!H603)</f>
        <v/>
      </c>
      <c r="I602" t="str">
        <f>IF('NEW ACCOUNT'!A603="","",'NEW ACCOUNT'!I603)</f>
        <v/>
      </c>
      <c r="J602" t="str">
        <f>IF('NEW ACCOUNT'!A603="","",'NEW ACCOUNT'!J603)</f>
        <v/>
      </c>
      <c r="K602" t="str">
        <f>IFERROR(IF(A602="","",SUMIF(DB_Savings!$A:$A,A602,DB_Savings!$F:$F)),"")</f>
        <v/>
      </c>
      <c r="L602" t="str">
        <f>IFERROR(IF(A602="","",SUMIF(DB_Withdrawals!$A:$A,A602,DB_Withdrawals!$G:$G)),"")</f>
        <v/>
      </c>
      <c r="M602" t="str">
        <f>IFERROR(IF(A602="","",IFERROR(VALUE(H602),0)+IFERROR(SUMIF(DB_Savings!$A:$A,A602,DB_Savings!$F:$F),0)-IFERROR(SUMIF(DB_Withdrawals!$A:$A,A602,DB_Withdrawals!$G:$G),0)),"")</f>
        <v/>
      </c>
      <c r="N602" t="str">
        <f>IFERROR(IF(A602="","",MAX(0,M602-System_Config!$B$9)),"")</f>
        <v/>
      </c>
    </row>
    <row r="603" spans="1:14" ht="15" customHeight="1" x14ac:dyDescent="0.25">
      <c r="A603" t="str">
        <f>'NEW ACCOUNT'!A604</f>
        <v/>
      </c>
      <c r="B603" t="str">
        <f>IF('NEW ACCOUNT'!A604="","",'NEW ACCOUNT'!B604)</f>
        <v/>
      </c>
      <c r="C603" t="str">
        <f>IF('NEW ACCOUNT'!A604="","",'NEW ACCOUNT'!C604)</f>
        <v/>
      </c>
      <c r="D603" t="str">
        <f>IF('NEW ACCOUNT'!A604="","",'NEW ACCOUNT'!D604)</f>
        <v/>
      </c>
      <c r="E603" t="str">
        <f>IF('NEW ACCOUNT'!A604="","",'NEW ACCOUNT'!E604)</f>
        <v/>
      </c>
      <c r="F603" t="str">
        <f>IF('NEW ACCOUNT'!A604="","",'NEW ACCOUNT'!F604)</f>
        <v/>
      </c>
      <c r="G603" t="str">
        <f>IF('NEW ACCOUNT'!A604="","",'NEW ACCOUNT'!G604)</f>
        <v/>
      </c>
      <c r="H603" t="str">
        <f>IF('NEW ACCOUNT'!A604="","",'NEW ACCOUNT'!H604)</f>
        <v/>
      </c>
      <c r="I603" t="str">
        <f>IF('NEW ACCOUNT'!A604="","",'NEW ACCOUNT'!I604)</f>
        <v/>
      </c>
      <c r="J603" t="str">
        <f>IF('NEW ACCOUNT'!A604="","",'NEW ACCOUNT'!J604)</f>
        <v/>
      </c>
      <c r="K603" t="str">
        <f>IFERROR(IF(A603="","",SUMIF(DB_Savings!$A:$A,A603,DB_Savings!$F:$F)),"")</f>
        <v/>
      </c>
      <c r="L603" t="str">
        <f>IFERROR(IF(A603="","",SUMIF(DB_Withdrawals!$A:$A,A603,DB_Withdrawals!$G:$G)),"")</f>
        <v/>
      </c>
      <c r="M603" t="str">
        <f>IFERROR(IF(A603="","",IFERROR(VALUE(H603),0)+IFERROR(SUMIF(DB_Savings!$A:$A,A603,DB_Savings!$F:$F),0)-IFERROR(SUMIF(DB_Withdrawals!$A:$A,A603,DB_Withdrawals!$G:$G),0)),"")</f>
        <v/>
      </c>
      <c r="N603" t="str">
        <f>IFERROR(IF(A603="","",MAX(0,M603-System_Config!$B$9)),"")</f>
        <v/>
      </c>
    </row>
    <row r="604" spans="1:14" ht="15" customHeight="1" x14ac:dyDescent="0.25">
      <c r="A604" t="str">
        <f>'NEW ACCOUNT'!A605</f>
        <v/>
      </c>
      <c r="B604" t="str">
        <f>IF('NEW ACCOUNT'!A605="","",'NEW ACCOUNT'!B605)</f>
        <v/>
      </c>
      <c r="C604" t="str">
        <f>IF('NEW ACCOUNT'!A605="","",'NEW ACCOUNT'!C605)</f>
        <v/>
      </c>
      <c r="D604" t="str">
        <f>IF('NEW ACCOUNT'!A605="","",'NEW ACCOUNT'!D605)</f>
        <v/>
      </c>
      <c r="E604" t="str">
        <f>IF('NEW ACCOUNT'!A605="","",'NEW ACCOUNT'!E605)</f>
        <v/>
      </c>
      <c r="F604" t="str">
        <f>IF('NEW ACCOUNT'!A605="","",'NEW ACCOUNT'!F605)</f>
        <v/>
      </c>
      <c r="G604" t="str">
        <f>IF('NEW ACCOUNT'!A605="","",'NEW ACCOUNT'!G605)</f>
        <v/>
      </c>
      <c r="H604" t="str">
        <f>IF('NEW ACCOUNT'!A605="","",'NEW ACCOUNT'!H605)</f>
        <v/>
      </c>
      <c r="I604" t="str">
        <f>IF('NEW ACCOUNT'!A605="","",'NEW ACCOUNT'!I605)</f>
        <v/>
      </c>
      <c r="J604" t="str">
        <f>IF('NEW ACCOUNT'!A605="","",'NEW ACCOUNT'!J605)</f>
        <v/>
      </c>
      <c r="K604" t="str">
        <f>IFERROR(IF(A604="","",SUMIF(DB_Savings!$A:$A,A604,DB_Savings!$F:$F)),"")</f>
        <v/>
      </c>
      <c r="L604" t="str">
        <f>IFERROR(IF(A604="","",SUMIF(DB_Withdrawals!$A:$A,A604,DB_Withdrawals!$G:$G)),"")</f>
        <v/>
      </c>
      <c r="M604" t="str">
        <f>IFERROR(IF(A604="","",IFERROR(VALUE(H604),0)+IFERROR(SUMIF(DB_Savings!$A:$A,A604,DB_Savings!$F:$F),0)-IFERROR(SUMIF(DB_Withdrawals!$A:$A,A604,DB_Withdrawals!$G:$G),0)),"")</f>
        <v/>
      </c>
      <c r="N604" t="str">
        <f>IFERROR(IF(A604="","",MAX(0,M604-System_Config!$B$9)),"")</f>
        <v/>
      </c>
    </row>
    <row r="605" spans="1:14" ht="15" customHeight="1" x14ac:dyDescent="0.25">
      <c r="A605" t="str">
        <f>'NEW ACCOUNT'!A606</f>
        <v/>
      </c>
      <c r="B605" t="str">
        <f>IF('NEW ACCOUNT'!A606="","",'NEW ACCOUNT'!B606)</f>
        <v/>
      </c>
      <c r="C605" t="str">
        <f>IF('NEW ACCOUNT'!A606="","",'NEW ACCOUNT'!C606)</f>
        <v/>
      </c>
      <c r="D605" t="str">
        <f>IF('NEW ACCOUNT'!A606="","",'NEW ACCOUNT'!D606)</f>
        <v/>
      </c>
      <c r="E605" t="str">
        <f>IF('NEW ACCOUNT'!A606="","",'NEW ACCOUNT'!E606)</f>
        <v/>
      </c>
      <c r="F605" t="str">
        <f>IF('NEW ACCOUNT'!A606="","",'NEW ACCOUNT'!F606)</f>
        <v/>
      </c>
      <c r="G605" t="str">
        <f>IF('NEW ACCOUNT'!A606="","",'NEW ACCOUNT'!G606)</f>
        <v/>
      </c>
      <c r="H605" t="str">
        <f>IF('NEW ACCOUNT'!A606="","",'NEW ACCOUNT'!H606)</f>
        <v/>
      </c>
      <c r="I605" t="str">
        <f>IF('NEW ACCOUNT'!A606="","",'NEW ACCOUNT'!I606)</f>
        <v/>
      </c>
      <c r="J605" t="str">
        <f>IF('NEW ACCOUNT'!A606="","",'NEW ACCOUNT'!J606)</f>
        <v/>
      </c>
      <c r="K605" t="str">
        <f>IFERROR(IF(A605="","",SUMIF(DB_Savings!$A:$A,A605,DB_Savings!$F:$F)),"")</f>
        <v/>
      </c>
      <c r="L605" t="str">
        <f>IFERROR(IF(A605="","",SUMIF(DB_Withdrawals!$A:$A,A605,DB_Withdrawals!$G:$G)),"")</f>
        <v/>
      </c>
      <c r="M605" t="str">
        <f>IFERROR(IF(A605="","",IFERROR(VALUE(H605),0)+IFERROR(SUMIF(DB_Savings!$A:$A,A605,DB_Savings!$F:$F),0)-IFERROR(SUMIF(DB_Withdrawals!$A:$A,A605,DB_Withdrawals!$G:$G),0)),"")</f>
        <v/>
      </c>
      <c r="N605" t="str">
        <f>IFERROR(IF(A605="","",MAX(0,M605-System_Config!$B$9)),"")</f>
        <v/>
      </c>
    </row>
    <row r="606" spans="1:14" ht="15" customHeight="1" x14ac:dyDescent="0.25">
      <c r="A606" t="str">
        <f>'NEW ACCOUNT'!A607</f>
        <v/>
      </c>
      <c r="B606" t="str">
        <f>IF('NEW ACCOUNT'!A607="","",'NEW ACCOUNT'!B607)</f>
        <v/>
      </c>
      <c r="C606" t="str">
        <f>IF('NEW ACCOUNT'!A607="","",'NEW ACCOUNT'!C607)</f>
        <v/>
      </c>
      <c r="D606" t="str">
        <f>IF('NEW ACCOUNT'!A607="","",'NEW ACCOUNT'!D607)</f>
        <v/>
      </c>
      <c r="E606" t="str">
        <f>IF('NEW ACCOUNT'!A607="","",'NEW ACCOUNT'!E607)</f>
        <v/>
      </c>
      <c r="F606" t="str">
        <f>IF('NEW ACCOUNT'!A607="","",'NEW ACCOUNT'!F607)</f>
        <v/>
      </c>
      <c r="G606" t="str">
        <f>IF('NEW ACCOUNT'!A607="","",'NEW ACCOUNT'!G607)</f>
        <v/>
      </c>
      <c r="H606" t="str">
        <f>IF('NEW ACCOUNT'!A607="","",'NEW ACCOUNT'!H607)</f>
        <v/>
      </c>
      <c r="I606" t="str">
        <f>IF('NEW ACCOUNT'!A607="","",'NEW ACCOUNT'!I607)</f>
        <v/>
      </c>
      <c r="J606" t="str">
        <f>IF('NEW ACCOUNT'!A607="","",'NEW ACCOUNT'!J607)</f>
        <v/>
      </c>
      <c r="K606" t="str">
        <f>IFERROR(IF(A606="","",SUMIF(DB_Savings!$A:$A,A606,DB_Savings!$F:$F)),"")</f>
        <v/>
      </c>
      <c r="L606" t="str">
        <f>IFERROR(IF(A606="","",SUMIF(DB_Withdrawals!$A:$A,A606,DB_Withdrawals!$G:$G)),"")</f>
        <v/>
      </c>
      <c r="M606" t="str">
        <f>IFERROR(IF(A606="","",IFERROR(VALUE(H606),0)+IFERROR(SUMIF(DB_Savings!$A:$A,A606,DB_Savings!$F:$F),0)-IFERROR(SUMIF(DB_Withdrawals!$A:$A,A606,DB_Withdrawals!$G:$G),0)),"")</f>
        <v/>
      </c>
      <c r="N606" t="str">
        <f>IFERROR(IF(A606="","",MAX(0,M606-System_Config!$B$9)),"")</f>
        <v/>
      </c>
    </row>
    <row r="607" spans="1:14" ht="15" customHeight="1" x14ac:dyDescent="0.25">
      <c r="A607" t="str">
        <f>'NEW ACCOUNT'!A608</f>
        <v/>
      </c>
      <c r="B607" t="str">
        <f>IF('NEW ACCOUNT'!A608="","",'NEW ACCOUNT'!B608)</f>
        <v/>
      </c>
      <c r="C607" t="str">
        <f>IF('NEW ACCOUNT'!A608="","",'NEW ACCOUNT'!C608)</f>
        <v/>
      </c>
      <c r="D607" t="str">
        <f>IF('NEW ACCOUNT'!A608="","",'NEW ACCOUNT'!D608)</f>
        <v/>
      </c>
      <c r="E607" t="str">
        <f>IF('NEW ACCOUNT'!A608="","",'NEW ACCOUNT'!E608)</f>
        <v/>
      </c>
      <c r="F607" t="str">
        <f>IF('NEW ACCOUNT'!A608="","",'NEW ACCOUNT'!F608)</f>
        <v/>
      </c>
      <c r="G607" t="str">
        <f>IF('NEW ACCOUNT'!A608="","",'NEW ACCOUNT'!G608)</f>
        <v/>
      </c>
      <c r="H607" t="str">
        <f>IF('NEW ACCOUNT'!A608="","",'NEW ACCOUNT'!H608)</f>
        <v/>
      </c>
      <c r="I607" t="str">
        <f>IF('NEW ACCOUNT'!A608="","",'NEW ACCOUNT'!I608)</f>
        <v/>
      </c>
      <c r="J607" t="str">
        <f>IF('NEW ACCOUNT'!A608="","",'NEW ACCOUNT'!J608)</f>
        <v/>
      </c>
      <c r="K607" t="str">
        <f>IFERROR(IF(A607="","",SUMIF(DB_Savings!$A:$A,A607,DB_Savings!$F:$F)),"")</f>
        <v/>
      </c>
      <c r="L607" t="str">
        <f>IFERROR(IF(A607="","",SUMIF(DB_Withdrawals!$A:$A,A607,DB_Withdrawals!$G:$G)),"")</f>
        <v/>
      </c>
      <c r="M607" t="str">
        <f>IFERROR(IF(A607="","",IFERROR(VALUE(H607),0)+IFERROR(SUMIF(DB_Savings!$A:$A,A607,DB_Savings!$F:$F),0)-IFERROR(SUMIF(DB_Withdrawals!$A:$A,A607,DB_Withdrawals!$G:$G),0)),"")</f>
        <v/>
      </c>
      <c r="N607" t="str">
        <f>IFERROR(IF(A607="","",MAX(0,M607-System_Config!$B$9)),"")</f>
        <v/>
      </c>
    </row>
    <row r="608" spans="1:14" ht="15" customHeight="1" x14ac:dyDescent="0.25">
      <c r="A608" t="str">
        <f>'NEW ACCOUNT'!A609</f>
        <v/>
      </c>
      <c r="B608" t="str">
        <f>IF('NEW ACCOUNT'!A609="","",'NEW ACCOUNT'!B609)</f>
        <v/>
      </c>
      <c r="C608" t="str">
        <f>IF('NEW ACCOUNT'!A609="","",'NEW ACCOUNT'!C609)</f>
        <v/>
      </c>
      <c r="D608" t="str">
        <f>IF('NEW ACCOUNT'!A609="","",'NEW ACCOUNT'!D609)</f>
        <v/>
      </c>
      <c r="E608" t="str">
        <f>IF('NEW ACCOUNT'!A609="","",'NEW ACCOUNT'!E609)</f>
        <v/>
      </c>
      <c r="F608" t="str">
        <f>IF('NEW ACCOUNT'!A609="","",'NEW ACCOUNT'!F609)</f>
        <v/>
      </c>
      <c r="G608" t="str">
        <f>IF('NEW ACCOUNT'!A609="","",'NEW ACCOUNT'!G609)</f>
        <v/>
      </c>
      <c r="H608" t="str">
        <f>IF('NEW ACCOUNT'!A609="","",'NEW ACCOUNT'!H609)</f>
        <v/>
      </c>
      <c r="I608" t="str">
        <f>IF('NEW ACCOUNT'!A609="","",'NEW ACCOUNT'!I609)</f>
        <v/>
      </c>
      <c r="J608" t="str">
        <f>IF('NEW ACCOUNT'!A609="","",'NEW ACCOUNT'!J609)</f>
        <v/>
      </c>
      <c r="K608" t="str">
        <f>IFERROR(IF(A608="","",SUMIF(DB_Savings!$A:$A,A608,DB_Savings!$F:$F)),"")</f>
        <v/>
      </c>
      <c r="L608" t="str">
        <f>IFERROR(IF(A608="","",SUMIF(DB_Withdrawals!$A:$A,A608,DB_Withdrawals!$G:$G)),"")</f>
        <v/>
      </c>
      <c r="M608" t="str">
        <f>IFERROR(IF(A608="","",IFERROR(VALUE(H608),0)+IFERROR(SUMIF(DB_Savings!$A:$A,A608,DB_Savings!$F:$F),0)-IFERROR(SUMIF(DB_Withdrawals!$A:$A,A608,DB_Withdrawals!$G:$G),0)),"")</f>
        <v/>
      </c>
      <c r="N608" t="str">
        <f>IFERROR(IF(A608="","",MAX(0,M608-System_Config!$B$9)),"")</f>
        <v/>
      </c>
    </row>
    <row r="609" spans="1:14" ht="15" customHeight="1" x14ac:dyDescent="0.25">
      <c r="A609" t="str">
        <f>'NEW ACCOUNT'!A610</f>
        <v/>
      </c>
      <c r="B609" t="str">
        <f>IF('NEW ACCOUNT'!A610="","",'NEW ACCOUNT'!B610)</f>
        <v/>
      </c>
      <c r="C609" t="str">
        <f>IF('NEW ACCOUNT'!A610="","",'NEW ACCOUNT'!C610)</f>
        <v/>
      </c>
      <c r="D609" t="str">
        <f>IF('NEW ACCOUNT'!A610="","",'NEW ACCOUNT'!D610)</f>
        <v/>
      </c>
      <c r="E609" t="str">
        <f>IF('NEW ACCOUNT'!A610="","",'NEW ACCOUNT'!E610)</f>
        <v/>
      </c>
      <c r="F609" t="str">
        <f>IF('NEW ACCOUNT'!A610="","",'NEW ACCOUNT'!F610)</f>
        <v/>
      </c>
      <c r="G609" t="str">
        <f>IF('NEW ACCOUNT'!A610="","",'NEW ACCOUNT'!G610)</f>
        <v/>
      </c>
      <c r="H609" t="str">
        <f>IF('NEW ACCOUNT'!A610="","",'NEW ACCOUNT'!H610)</f>
        <v/>
      </c>
      <c r="I609" t="str">
        <f>IF('NEW ACCOUNT'!A610="","",'NEW ACCOUNT'!I610)</f>
        <v/>
      </c>
      <c r="J609" t="str">
        <f>IF('NEW ACCOUNT'!A610="","",'NEW ACCOUNT'!J610)</f>
        <v/>
      </c>
      <c r="K609" t="str">
        <f>IFERROR(IF(A609="","",SUMIF(DB_Savings!$A:$A,A609,DB_Savings!$F:$F)),"")</f>
        <v/>
      </c>
      <c r="L609" t="str">
        <f>IFERROR(IF(A609="","",SUMIF(DB_Withdrawals!$A:$A,A609,DB_Withdrawals!$G:$G)),"")</f>
        <v/>
      </c>
      <c r="M609" t="str">
        <f>IFERROR(IF(A609="","",IFERROR(VALUE(H609),0)+IFERROR(SUMIF(DB_Savings!$A:$A,A609,DB_Savings!$F:$F),0)-IFERROR(SUMIF(DB_Withdrawals!$A:$A,A609,DB_Withdrawals!$G:$G),0)),"")</f>
        <v/>
      </c>
      <c r="N609" t="str">
        <f>IFERROR(IF(A609="","",MAX(0,M609-System_Config!$B$9)),"")</f>
        <v/>
      </c>
    </row>
    <row r="610" spans="1:14" ht="15" customHeight="1" x14ac:dyDescent="0.25">
      <c r="A610" t="str">
        <f>'NEW ACCOUNT'!A611</f>
        <v/>
      </c>
      <c r="B610" t="str">
        <f>IF('NEW ACCOUNT'!A611="","",'NEW ACCOUNT'!B611)</f>
        <v/>
      </c>
      <c r="C610" t="str">
        <f>IF('NEW ACCOUNT'!A611="","",'NEW ACCOUNT'!C611)</f>
        <v/>
      </c>
      <c r="D610" t="str">
        <f>IF('NEW ACCOUNT'!A611="","",'NEW ACCOUNT'!D611)</f>
        <v/>
      </c>
      <c r="E610" t="str">
        <f>IF('NEW ACCOUNT'!A611="","",'NEW ACCOUNT'!E611)</f>
        <v/>
      </c>
      <c r="F610" t="str">
        <f>IF('NEW ACCOUNT'!A611="","",'NEW ACCOUNT'!F611)</f>
        <v/>
      </c>
      <c r="G610" t="str">
        <f>IF('NEW ACCOUNT'!A611="","",'NEW ACCOUNT'!G611)</f>
        <v/>
      </c>
      <c r="H610" t="str">
        <f>IF('NEW ACCOUNT'!A611="","",'NEW ACCOUNT'!H611)</f>
        <v/>
      </c>
      <c r="I610" t="str">
        <f>IF('NEW ACCOUNT'!A611="","",'NEW ACCOUNT'!I611)</f>
        <v/>
      </c>
      <c r="J610" t="str">
        <f>IF('NEW ACCOUNT'!A611="","",'NEW ACCOUNT'!J611)</f>
        <v/>
      </c>
      <c r="K610" t="str">
        <f>IFERROR(IF(A610="","",SUMIF(DB_Savings!$A:$A,A610,DB_Savings!$F:$F)),"")</f>
        <v/>
      </c>
      <c r="L610" t="str">
        <f>IFERROR(IF(A610="","",SUMIF(DB_Withdrawals!$A:$A,A610,DB_Withdrawals!$G:$G)),"")</f>
        <v/>
      </c>
      <c r="M610" t="str">
        <f>IFERROR(IF(A610="","",IFERROR(VALUE(H610),0)+IFERROR(SUMIF(DB_Savings!$A:$A,A610,DB_Savings!$F:$F),0)-IFERROR(SUMIF(DB_Withdrawals!$A:$A,A610,DB_Withdrawals!$G:$G),0)),"")</f>
        <v/>
      </c>
      <c r="N610" t="str">
        <f>IFERROR(IF(A610="","",MAX(0,M610-System_Config!$B$9)),"")</f>
        <v/>
      </c>
    </row>
    <row r="611" spans="1:14" ht="15" customHeight="1" x14ac:dyDescent="0.25">
      <c r="A611" t="str">
        <f>'NEW ACCOUNT'!A612</f>
        <v/>
      </c>
      <c r="B611" t="str">
        <f>IF('NEW ACCOUNT'!A612="","",'NEW ACCOUNT'!B612)</f>
        <v/>
      </c>
      <c r="C611" t="str">
        <f>IF('NEW ACCOUNT'!A612="","",'NEW ACCOUNT'!C612)</f>
        <v/>
      </c>
      <c r="D611" t="str">
        <f>IF('NEW ACCOUNT'!A612="","",'NEW ACCOUNT'!D612)</f>
        <v/>
      </c>
      <c r="E611" t="str">
        <f>IF('NEW ACCOUNT'!A612="","",'NEW ACCOUNT'!E612)</f>
        <v/>
      </c>
      <c r="F611" t="str">
        <f>IF('NEW ACCOUNT'!A612="","",'NEW ACCOUNT'!F612)</f>
        <v/>
      </c>
      <c r="G611" t="str">
        <f>IF('NEW ACCOUNT'!A612="","",'NEW ACCOUNT'!G612)</f>
        <v/>
      </c>
      <c r="H611" t="str">
        <f>IF('NEW ACCOUNT'!A612="","",'NEW ACCOUNT'!H612)</f>
        <v/>
      </c>
      <c r="I611" t="str">
        <f>IF('NEW ACCOUNT'!A612="","",'NEW ACCOUNT'!I612)</f>
        <v/>
      </c>
      <c r="J611" t="str">
        <f>IF('NEW ACCOUNT'!A612="","",'NEW ACCOUNT'!J612)</f>
        <v/>
      </c>
      <c r="K611" t="str">
        <f>IFERROR(IF(A611="","",SUMIF(DB_Savings!$A:$A,A611,DB_Savings!$F:$F)),"")</f>
        <v/>
      </c>
      <c r="L611" t="str">
        <f>IFERROR(IF(A611="","",SUMIF(DB_Withdrawals!$A:$A,A611,DB_Withdrawals!$G:$G)),"")</f>
        <v/>
      </c>
      <c r="M611" t="str">
        <f>IFERROR(IF(A611="","",IFERROR(VALUE(H611),0)+IFERROR(SUMIF(DB_Savings!$A:$A,A611,DB_Savings!$F:$F),0)-IFERROR(SUMIF(DB_Withdrawals!$A:$A,A611,DB_Withdrawals!$G:$G),0)),"")</f>
        <v/>
      </c>
      <c r="N611" t="str">
        <f>IFERROR(IF(A611="","",MAX(0,M611-System_Config!$B$9)),"")</f>
        <v/>
      </c>
    </row>
    <row r="612" spans="1:14" ht="15" customHeight="1" x14ac:dyDescent="0.25">
      <c r="A612" t="str">
        <f>'NEW ACCOUNT'!A613</f>
        <v/>
      </c>
      <c r="B612" t="str">
        <f>IF('NEW ACCOUNT'!A613="","",'NEW ACCOUNT'!B613)</f>
        <v/>
      </c>
      <c r="C612" t="str">
        <f>IF('NEW ACCOUNT'!A613="","",'NEW ACCOUNT'!C613)</f>
        <v/>
      </c>
      <c r="D612" t="str">
        <f>IF('NEW ACCOUNT'!A613="","",'NEW ACCOUNT'!D613)</f>
        <v/>
      </c>
      <c r="E612" t="str">
        <f>IF('NEW ACCOUNT'!A613="","",'NEW ACCOUNT'!E613)</f>
        <v/>
      </c>
      <c r="F612" t="str">
        <f>IF('NEW ACCOUNT'!A613="","",'NEW ACCOUNT'!F613)</f>
        <v/>
      </c>
      <c r="G612" t="str">
        <f>IF('NEW ACCOUNT'!A613="","",'NEW ACCOUNT'!G613)</f>
        <v/>
      </c>
      <c r="H612" t="str">
        <f>IF('NEW ACCOUNT'!A613="","",'NEW ACCOUNT'!H613)</f>
        <v/>
      </c>
      <c r="I612" t="str">
        <f>IF('NEW ACCOUNT'!A613="","",'NEW ACCOUNT'!I613)</f>
        <v/>
      </c>
      <c r="J612" t="str">
        <f>IF('NEW ACCOUNT'!A613="","",'NEW ACCOUNT'!J613)</f>
        <v/>
      </c>
      <c r="K612" t="str">
        <f>IFERROR(IF(A612="","",SUMIF(DB_Savings!$A:$A,A612,DB_Savings!$F:$F)),"")</f>
        <v/>
      </c>
      <c r="L612" t="str">
        <f>IFERROR(IF(A612="","",SUMIF(DB_Withdrawals!$A:$A,A612,DB_Withdrawals!$G:$G)),"")</f>
        <v/>
      </c>
      <c r="M612" t="str">
        <f>IFERROR(IF(A612="","",IFERROR(VALUE(H612),0)+IFERROR(SUMIF(DB_Savings!$A:$A,A612,DB_Savings!$F:$F),0)-IFERROR(SUMIF(DB_Withdrawals!$A:$A,A612,DB_Withdrawals!$G:$G),0)),"")</f>
        <v/>
      </c>
      <c r="N612" t="str">
        <f>IFERROR(IF(A612="","",MAX(0,M612-System_Config!$B$9)),"")</f>
        <v/>
      </c>
    </row>
    <row r="613" spans="1:14" ht="15" customHeight="1" x14ac:dyDescent="0.25">
      <c r="A613" t="str">
        <f>'NEW ACCOUNT'!A614</f>
        <v/>
      </c>
      <c r="B613" t="str">
        <f>IF('NEW ACCOUNT'!A614="","",'NEW ACCOUNT'!B614)</f>
        <v/>
      </c>
      <c r="C613" t="str">
        <f>IF('NEW ACCOUNT'!A614="","",'NEW ACCOUNT'!C614)</f>
        <v/>
      </c>
      <c r="D613" t="str">
        <f>IF('NEW ACCOUNT'!A614="","",'NEW ACCOUNT'!D614)</f>
        <v/>
      </c>
      <c r="E613" t="str">
        <f>IF('NEW ACCOUNT'!A614="","",'NEW ACCOUNT'!E614)</f>
        <v/>
      </c>
      <c r="F613" t="str">
        <f>IF('NEW ACCOUNT'!A614="","",'NEW ACCOUNT'!F614)</f>
        <v/>
      </c>
      <c r="G613" t="str">
        <f>IF('NEW ACCOUNT'!A614="","",'NEW ACCOUNT'!G614)</f>
        <v/>
      </c>
      <c r="H613" t="str">
        <f>IF('NEW ACCOUNT'!A614="","",'NEW ACCOUNT'!H614)</f>
        <v/>
      </c>
      <c r="I613" t="str">
        <f>IF('NEW ACCOUNT'!A614="","",'NEW ACCOUNT'!I614)</f>
        <v/>
      </c>
      <c r="J613" t="str">
        <f>IF('NEW ACCOUNT'!A614="","",'NEW ACCOUNT'!J614)</f>
        <v/>
      </c>
      <c r="K613" t="str">
        <f>IFERROR(IF(A613="","",SUMIF(DB_Savings!$A:$A,A613,DB_Savings!$F:$F)),"")</f>
        <v/>
      </c>
      <c r="L613" t="str">
        <f>IFERROR(IF(A613="","",SUMIF(DB_Withdrawals!$A:$A,A613,DB_Withdrawals!$G:$G)),"")</f>
        <v/>
      </c>
      <c r="M613" t="str">
        <f>IFERROR(IF(A613="","",IFERROR(VALUE(H613),0)+IFERROR(SUMIF(DB_Savings!$A:$A,A613,DB_Savings!$F:$F),0)-IFERROR(SUMIF(DB_Withdrawals!$A:$A,A613,DB_Withdrawals!$G:$G),0)),"")</f>
        <v/>
      </c>
      <c r="N613" t="str">
        <f>IFERROR(IF(A613="","",MAX(0,M613-System_Config!$B$9)),"")</f>
        <v/>
      </c>
    </row>
    <row r="614" spans="1:14" ht="15" customHeight="1" x14ac:dyDescent="0.25">
      <c r="A614" t="str">
        <f>'NEW ACCOUNT'!A615</f>
        <v/>
      </c>
      <c r="B614" t="str">
        <f>IF('NEW ACCOUNT'!A615="","",'NEW ACCOUNT'!B615)</f>
        <v/>
      </c>
      <c r="C614" t="str">
        <f>IF('NEW ACCOUNT'!A615="","",'NEW ACCOUNT'!C615)</f>
        <v/>
      </c>
      <c r="D614" t="str">
        <f>IF('NEW ACCOUNT'!A615="","",'NEW ACCOUNT'!D615)</f>
        <v/>
      </c>
      <c r="E614" t="str">
        <f>IF('NEW ACCOUNT'!A615="","",'NEW ACCOUNT'!E615)</f>
        <v/>
      </c>
      <c r="F614" t="str">
        <f>IF('NEW ACCOUNT'!A615="","",'NEW ACCOUNT'!F615)</f>
        <v/>
      </c>
      <c r="G614" t="str">
        <f>IF('NEW ACCOUNT'!A615="","",'NEW ACCOUNT'!G615)</f>
        <v/>
      </c>
      <c r="H614" t="str">
        <f>IF('NEW ACCOUNT'!A615="","",'NEW ACCOUNT'!H615)</f>
        <v/>
      </c>
      <c r="I614" t="str">
        <f>IF('NEW ACCOUNT'!A615="","",'NEW ACCOUNT'!I615)</f>
        <v/>
      </c>
      <c r="J614" t="str">
        <f>IF('NEW ACCOUNT'!A615="","",'NEW ACCOUNT'!J615)</f>
        <v/>
      </c>
      <c r="K614" t="str">
        <f>IFERROR(IF(A614="","",SUMIF(DB_Savings!$A:$A,A614,DB_Savings!$F:$F)),"")</f>
        <v/>
      </c>
      <c r="L614" t="str">
        <f>IFERROR(IF(A614="","",SUMIF(DB_Withdrawals!$A:$A,A614,DB_Withdrawals!$G:$G)),"")</f>
        <v/>
      </c>
      <c r="M614" t="str">
        <f>IFERROR(IF(A614="","",IFERROR(VALUE(H614),0)+IFERROR(SUMIF(DB_Savings!$A:$A,A614,DB_Savings!$F:$F),0)-IFERROR(SUMIF(DB_Withdrawals!$A:$A,A614,DB_Withdrawals!$G:$G),0)),"")</f>
        <v/>
      </c>
      <c r="N614" t="str">
        <f>IFERROR(IF(A614="","",MAX(0,M614-System_Config!$B$9)),"")</f>
        <v/>
      </c>
    </row>
    <row r="615" spans="1:14" ht="15" customHeight="1" x14ac:dyDescent="0.25">
      <c r="A615" t="str">
        <f>'NEW ACCOUNT'!A616</f>
        <v/>
      </c>
      <c r="B615" t="str">
        <f>IF('NEW ACCOUNT'!A616="","",'NEW ACCOUNT'!B616)</f>
        <v/>
      </c>
      <c r="C615" t="str">
        <f>IF('NEW ACCOUNT'!A616="","",'NEW ACCOUNT'!C616)</f>
        <v/>
      </c>
      <c r="D615" t="str">
        <f>IF('NEW ACCOUNT'!A616="","",'NEW ACCOUNT'!D616)</f>
        <v/>
      </c>
      <c r="E615" t="str">
        <f>IF('NEW ACCOUNT'!A616="","",'NEW ACCOUNT'!E616)</f>
        <v/>
      </c>
      <c r="F615" t="str">
        <f>IF('NEW ACCOUNT'!A616="","",'NEW ACCOUNT'!F616)</f>
        <v/>
      </c>
      <c r="G615" t="str">
        <f>IF('NEW ACCOUNT'!A616="","",'NEW ACCOUNT'!G616)</f>
        <v/>
      </c>
      <c r="H615" t="str">
        <f>IF('NEW ACCOUNT'!A616="","",'NEW ACCOUNT'!H616)</f>
        <v/>
      </c>
      <c r="I615" t="str">
        <f>IF('NEW ACCOUNT'!A616="","",'NEW ACCOUNT'!I616)</f>
        <v/>
      </c>
      <c r="J615" t="str">
        <f>IF('NEW ACCOUNT'!A616="","",'NEW ACCOUNT'!J616)</f>
        <v/>
      </c>
      <c r="K615" t="str">
        <f>IFERROR(IF(A615="","",SUMIF(DB_Savings!$A:$A,A615,DB_Savings!$F:$F)),"")</f>
        <v/>
      </c>
      <c r="L615" t="str">
        <f>IFERROR(IF(A615="","",SUMIF(DB_Withdrawals!$A:$A,A615,DB_Withdrawals!$G:$G)),"")</f>
        <v/>
      </c>
      <c r="M615" t="str">
        <f>IFERROR(IF(A615="","",IFERROR(VALUE(H615),0)+IFERROR(SUMIF(DB_Savings!$A:$A,A615,DB_Savings!$F:$F),0)-IFERROR(SUMIF(DB_Withdrawals!$A:$A,A615,DB_Withdrawals!$G:$G),0)),"")</f>
        <v/>
      </c>
      <c r="N615" t="str">
        <f>IFERROR(IF(A615="","",MAX(0,M615-System_Config!$B$9)),"")</f>
        <v/>
      </c>
    </row>
    <row r="616" spans="1:14" ht="15" customHeight="1" x14ac:dyDescent="0.25">
      <c r="A616" t="str">
        <f>'NEW ACCOUNT'!A617</f>
        <v/>
      </c>
      <c r="B616" t="str">
        <f>IF('NEW ACCOUNT'!A617="","",'NEW ACCOUNT'!B617)</f>
        <v/>
      </c>
      <c r="C616" t="str">
        <f>IF('NEW ACCOUNT'!A617="","",'NEW ACCOUNT'!C617)</f>
        <v/>
      </c>
      <c r="D616" t="str">
        <f>IF('NEW ACCOUNT'!A617="","",'NEW ACCOUNT'!D617)</f>
        <v/>
      </c>
      <c r="E616" t="str">
        <f>IF('NEW ACCOUNT'!A617="","",'NEW ACCOUNT'!E617)</f>
        <v/>
      </c>
      <c r="F616" t="str">
        <f>IF('NEW ACCOUNT'!A617="","",'NEW ACCOUNT'!F617)</f>
        <v/>
      </c>
      <c r="G616" t="str">
        <f>IF('NEW ACCOUNT'!A617="","",'NEW ACCOUNT'!G617)</f>
        <v/>
      </c>
      <c r="H616" t="str">
        <f>IF('NEW ACCOUNT'!A617="","",'NEW ACCOUNT'!H617)</f>
        <v/>
      </c>
      <c r="I616" t="str">
        <f>IF('NEW ACCOUNT'!A617="","",'NEW ACCOUNT'!I617)</f>
        <v/>
      </c>
      <c r="J616" t="str">
        <f>IF('NEW ACCOUNT'!A617="","",'NEW ACCOUNT'!J617)</f>
        <v/>
      </c>
      <c r="K616" t="str">
        <f>IFERROR(IF(A616="","",SUMIF(DB_Savings!$A:$A,A616,DB_Savings!$F:$F)),"")</f>
        <v/>
      </c>
      <c r="L616" t="str">
        <f>IFERROR(IF(A616="","",SUMIF(DB_Withdrawals!$A:$A,A616,DB_Withdrawals!$G:$G)),"")</f>
        <v/>
      </c>
      <c r="M616" t="str">
        <f>IFERROR(IF(A616="","",IFERROR(VALUE(H616),0)+IFERROR(SUMIF(DB_Savings!$A:$A,A616,DB_Savings!$F:$F),0)-IFERROR(SUMIF(DB_Withdrawals!$A:$A,A616,DB_Withdrawals!$G:$G),0)),"")</f>
        <v/>
      </c>
      <c r="N616" t="str">
        <f>IFERROR(IF(A616="","",MAX(0,M616-System_Config!$B$9)),"")</f>
        <v/>
      </c>
    </row>
    <row r="617" spans="1:14" ht="15" customHeight="1" x14ac:dyDescent="0.25">
      <c r="A617" t="str">
        <f>'NEW ACCOUNT'!A618</f>
        <v/>
      </c>
      <c r="B617" t="str">
        <f>IF('NEW ACCOUNT'!A618="","",'NEW ACCOUNT'!B618)</f>
        <v/>
      </c>
      <c r="C617" t="str">
        <f>IF('NEW ACCOUNT'!A618="","",'NEW ACCOUNT'!C618)</f>
        <v/>
      </c>
      <c r="D617" t="str">
        <f>IF('NEW ACCOUNT'!A618="","",'NEW ACCOUNT'!D618)</f>
        <v/>
      </c>
      <c r="E617" t="str">
        <f>IF('NEW ACCOUNT'!A618="","",'NEW ACCOUNT'!E618)</f>
        <v/>
      </c>
      <c r="F617" t="str">
        <f>IF('NEW ACCOUNT'!A618="","",'NEW ACCOUNT'!F618)</f>
        <v/>
      </c>
      <c r="G617" t="str">
        <f>IF('NEW ACCOUNT'!A618="","",'NEW ACCOUNT'!G618)</f>
        <v/>
      </c>
      <c r="H617" t="str">
        <f>IF('NEW ACCOUNT'!A618="","",'NEW ACCOUNT'!H618)</f>
        <v/>
      </c>
      <c r="I617" t="str">
        <f>IF('NEW ACCOUNT'!A618="","",'NEW ACCOUNT'!I618)</f>
        <v/>
      </c>
      <c r="J617" t="str">
        <f>IF('NEW ACCOUNT'!A618="","",'NEW ACCOUNT'!J618)</f>
        <v/>
      </c>
      <c r="K617" t="str">
        <f>IFERROR(IF(A617="","",SUMIF(DB_Savings!$A:$A,A617,DB_Savings!$F:$F)),"")</f>
        <v/>
      </c>
      <c r="L617" t="str">
        <f>IFERROR(IF(A617="","",SUMIF(DB_Withdrawals!$A:$A,A617,DB_Withdrawals!$G:$G)),"")</f>
        <v/>
      </c>
      <c r="M617" t="str">
        <f>IFERROR(IF(A617="","",IFERROR(VALUE(H617),0)+IFERROR(SUMIF(DB_Savings!$A:$A,A617,DB_Savings!$F:$F),0)-IFERROR(SUMIF(DB_Withdrawals!$A:$A,A617,DB_Withdrawals!$G:$G),0)),"")</f>
        <v/>
      </c>
      <c r="N617" t="str">
        <f>IFERROR(IF(A617="","",MAX(0,M617-System_Config!$B$9)),"")</f>
        <v/>
      </c>
    </row>
    <row r="618" spans="1:14" ht="15" customHeight="1" x14ac:dyDescent="0.25">
      <c r="A618" t="str">
        <f>'NEW ACCOUNT'!A619</f>
        <v/>
      </c>
      <c r="B618" t="str">
        <f>IF('NEW ACCOUNT'!A619="","",'NEW ACCOUNT'!B619)</f>
        <v/>
      </c>
      <c r="C618" t="str">
        <f>IF('NEW ACCOUNT'!A619="","",'NEW ACCOUNT'!C619)</f>
        <v/>
      </c>
      <c r="D618" t="str">
        <f>IF('NEW ACCOUNT'!A619="","",'NEW ACCOUNT'!D619)</f>
        <v/>
      </c>
      <c r="E618" t="str">
        <f>IF('NEW ACCOUNT'!A619="","",'NEW ACCOUNT'!E619)</f>
        <v/>
      </c>
      <c r="F618" t="str">
        <f>IF('NEW ACCOUNT'!A619="","",'NEW ACCOUNT'!F619)</f>
        <v/>
      </c>
      <c r="G618" t="str">
        <f>IF('NEW ACCOUNT'!A619="","",'NEW ACCOUNT'!G619)</f>
        <v/>
      </c>
      <c r="H618" t="str">
        <f>IF('NEW ACCOUNT'!A619="","",'NEW ACCOUNT'!H619)</f>
        <v/>
      </c>
      <c r="I618" t="str">
        <f>IF('NEW ACCOUNT'!A619="","",'NEW ACCOUNT'!I619)</f>
        <v/>
      </c>
      <c r="J618" t="str">
        <f>IF('NEW ACCOUNT'!A619="","",'NEW ACCOUNT'!J619)</f>
        <v/>
      </c>
      <c r="K618" t="str">
        <f>IFERROR(IF(A618="","",SUMIF(DB_Savings!$A:$A,A618,DB_Savings!$F:$F)),"")</f>
        <v/>
      </c>
      <c r="L618" t="str">
        <f>IFERROR(IF(A618="","",SUMIF(DB_Withdrawals!$A:$A,A618,DB_Withdrawals!$G:$G)),"")</f>
        <v/>
      </c>
      <c r="M618" t="str">
        <f>IFERROR(IF(A618="","",IFERROR(VALUE(H618),0)+IFERROR(SUMIF(DB_Savings!$A:$A,A618,DB_Savings!$F:$F),0)-IFERROR(SUMIF(DB_Withdrawals!$A:$A,A618,DB_Withdrawals!$G:$G),0)),"")</f>
        <v/>
      </c>
      <c r="N618" t="str">
        <f>IFERROR(IF(A618="","",MAX(0,M618-System_Config!$B$9)),"")</f>
        <v/>
      </c>
    </row>
    <row r="619" spans="1:14" ht="15" customHeight="1" x14ac:dyDescent="0.25">
      <c r="A619" t="str">
        <f>'NEW ACCOUNT'!A620</f>
        <v/>
      </c>
      <c r="B619" t="str">
        <f>IF('NEW ACCOUNT'!A620="","",'NEW ACCOUNT'!B620)</f>
        <v/>
      </c>
      <c r="C619" t="str">
        <f>IF('NEW ACCOUNT'!A620="","",'NEW ACCOUNT'!C620)</f>
        <v/>
      </c>
      <c r="D619" t="str">
        <f>IF('NEW ACCOUNT'!A620="","",'NEW ACCOUNT'!D620)</f>
        <v/>
      </c>
      <c r="E619" t="str">
        <f>IF('NEW ACCOUNT'!A620="","",'NEW ACCOUNT'!E620)</f>
        <v/>
      </c>
      <c r="F619" t="str">
        <f>IF('NEW ACCOUNT'!A620="","",'NEW ACCOUNT'!F620)</f>
        <v/>
      </c>
      <c r="G619" t="str">
        <f>IF('NEW ACCOUNT'!A620="","",'NEW ACCOUNT'!G620)</f>
        <v/>
      </c>
      <c r="H619" t="str">
        <f>IF('NEW ACCOUNT'!A620="","",'NEW ACCOUNT'!H620)</f>
        <v/>
      </c>
      <c r="I619" t="str">
        <f>IF('NEW ACCOUNT'!A620="","",'NEW ACCOUNT'!I620)</f>
        <v/>
      </c>
      <c r="J619" t="str">
        <f>IF('NEW ACCOUNT'!A620="","",'NEW ACCOUNT'!J620)</f>
        <v/>
      </c>
      <c r="K619" t="str">
        <f>IFERROR(IF(A619="","",SUMIF(DB_Savings!$A:$A,A619,DB_Savings!$F:$F)),"")</f>
        <v/>
      </c>
      <c r="L619" t="str">
        <f>IFERROR(IF(A619="","",SUMIF(DB_Withdrawals!$A:$A,A619,DB_Withdrawals!$G:$G)),"")</f>
        <v/>
      </c>
      <c r="M619" t="str">
        <f>IFERROR(IF(A619="","",IFERROR(VALUE(H619),0)+IFERROR(SUMIF(DB_Savings!$A:$A,A619,DB_Savings!$F:$F),0)-IFERROR(SUMIF(DB_Withdrawals!$A:$A,A619,DB_Withdrawals!$G:$G),0)),"")</f>
        <v/>
      </c>
      <c r="N619" t="str">
        <f>IFERROR(IF(A619="","",MAX(0,M619-System_Config!$B$9)),"")</f>
        <v/>
      </c>
    </row>
    <row r="620" spans="1:14" ht="15" customHeight="1" x14ac:dyDescent="0.25">
      <c r="A620" t="str">
        <f>'NEW ACCOUNT'!A621</f>
        <v/>
      </c>
      <c r="B620" t="str">
        <f>IF('NEW ACCOUNT'!A621="","",'NEW ACCOUNT'!B621)</f>
        <v/>
      </c>
      <c r="C620" t="str">
        <f>IF('NEW ACCOUNT'!A621="","",'NEW ACCOUNT'!C621)</f>
        <v/>
      </c>
      <c r="D620" t="str">
        <f>IF('NEW ACCOUNT'!A621="","",'NEW ACCOUNT'!D621)</f>
        <v/>
      </c>
      <c r="E620" t="str">
        <f>IF('NEW ACCOUNT'!A621="","",'NEW ACCOUNT'!E621)</f>
        <v/>
      </c>
      <c r="F620" t="str">
        <f>IF('NEW ACCOUNT'!A621="","",'NEW ACCOUNT'!F621)</f>
        <v/>
      </c>
      <c r="G620" t="str">
        <f>IF('NEW ACCOUNT'!A621="","",'NEW ACCOUNT'!G621)</f>
        <v/>
      </c>
      <c r="H620" t="str">
        <f>IF('NEW ACCOUNT'!A621="","",'NEW ACCOUNT'!H621)</f>
        <v/>
      </c>
      <c r="I620" t="str">
        <f>IF('NEW ACCOUNT'!A621="","",'NEW ACCOUNT'!I621)</f>
        <v/>
      </c>
      <c r="J620" t="str">
        <f>IF('NEW ACCOUNT'!A621="","",'NEW ACCOUNT'!J621)</f>
        <v/>
      </c>
      <c r="K620" t="str">
        <f>IFERROR(IF(A620="","",SUMIF(DB_Savings!$A:$A,A620,DB_Savings!$F:$F)),"")</f>
        <v/>
      </c>
      <c r="L620" t="str">
        <f>IFERROR(IF(A620="","",SUMIF(DB_Withdrawals!$A:$A,A620,DB_Withdrawals!$G:$G)),"")</f>
        <v/>
      </c>
      <c r="M620" t="str">
        <f>IFERROR(IF(A620="","",IFERROR(VALUE(H620),0)+IFERROR(SUMIF(DB_Savings!$A:$A,A620,DB_Savings!$F:$F),0)-IFERROR(SUMIF(DB_Withdrawals!$A:$A,A620,DB_Withdrawals!$G:$G),0)),"")</f>
        <v/>
      </c>
      <c r="N620" t="str">
        <f>IFERROR(IF(A620="","",MAX(0,M620-System_Config!$B$9)),"")</f>
        <v/>
      </c>
    </row>
    <row r="621" spans="1:14" ht="15" customHeight="1" x14ac:dyDescent="0.25">
      <c r="A621" t="str">
        <f>'NEW ACCOUNT'!A622</f>
        <v/>
      </c>
      <c r="B621" t="str">
        <f>IF('NEW ACCOUNT'!A622="","",'NEW ACCOUNT'!B622)</f>
        <v/>
      </c>
      <c r="C621" t="str">
        <f>IF('NEW ACCOUNT'!A622="","",'NEW ACCOUNT'!C622)</f>
        <v/>
      </c>
      <c r="D621" t="str">
        <f>IF('NEW ACCOUNT'!A622="","",'NEW ACCOUNT'!D622)</f>
        <v/>
      </c>
      <c r="E621" t="str">
        <f>IF('NEW ACCOUNT'!A622="","",'NEW ACCOUNT'!E622)</f>
        <v/>
      </c>
      <c r="F621" t="str">
        <f>IF('NEW ACCOUNT'!A622="","",'NEW ACCOUNT'!F622)</f>
        <v/>
      </c>
      <c r="G621" t="str">
        <f>IF('NEW ACCOUNT'!A622="","",'NEW ACCOUNT'!G622)</f>
        <v/>
      </c>
      <c r="H621" t="str">
        <f>IF('NEW ACCOUNT'!A622="","",'NEW ACCOUNT'!H622)</f>
        <v/>
      </c>
      <c r="I621" t="str">
        <f>IF('NEW ACCOUNT'!A622="","",'NEW ACCOUNT'!I622)</f>
        <v/>
      </c>
      <c r="J621" t="str">
        <f>IF('NEW ACCOUNT'!A622="","",'NEW ACCOUNT'!J622)</f>
        <v/>
      </c>
      <c r="K621" t="str">
        <f>IFERROR(IF(A621="","",SUMIF(DB_Savings!$A:$A,A621,DB_Savings!$F:$F)),"")</f>
        <v/>
      </c>
      <c r="L621" t="str">
        <f>IFERROR(IF(A621="","",SUMIF(DB_Withdrawals!$A:$A,A621,DB_Withdrawals!$G:$G)),"")</f>
        <v/>
      </c>
      <c r="M621" t="str">
        <f>IFERROR(IF(A621="","",IFERROR(VALUE(H621),0)+IFERROR(SUMIF(DB_Savings!$A:$A,A621,DB_Savings!$F:$F),0)-IFERROR(SUMIF(DB_Withdrawals!$A:$A,A621,DB_Withdrawals!$G:$G),0)),"")</f>
        <v/>
      </c>
      <c r="N621" t="str">
        <f>IFERROR(IF(A621="","",MAX(0,M621-System_Config!$B$9)),"")</f>
        <v/>
      </c>
    </row>
    <row r="622" spans="1:14" ht="15" customHeight="1" x14ac:dyDescent="0.25">
      <c r="A622" t="str">
        <f>'NEW ACCOUNT'!A623</f>
        <v/>
      </c>
      <c r="B622" t="str">
        <f>IF('NEW ACCOUNT'!A623="","",'NEW ACCOUNT'!B623)</f>
        <v/>
      </c>
      <c r="C622" t="str">
        <f>IF('NEW ACCOUNT'!A623="","",'NEW ACCOUNT'!C623)</f>
        <v/>
      </c>
      <c r="D622" t="str">
        <f>IF('NEW ACCOUNT'!A623="","",'NEW ACCOUNT'!D623)</f>
        <v/>
      </c>
      <c r="E622" t="str">
        <f>IF('NEW ACCOUNT'!A623="","",'NEW ACCOUNT'!E623)</f>
        <v/>
      </c>
      <c r="F622" t="str">
        <f>IF('NEW ACCOUNT'!A623="","",'NEW ACCOUNT'!F623)</f>
        <v/>
      </c>
      <c r="G622" t="str">
        <f>IF('NEW ACCOUNT'!A623="","",'NEW ACCOUNT'!G623)</f>
        <v/>
      </c>
      <c r="H622" t="str">
        <f>IF('NEW ACCOUNT'!A623="","",'NEW ACCOUNT'!H623)</f>
        <v/>
      </c>
      <c r="I622" t="str">
        <f>IF('NEW ACCOUNT'!A623="","",'NEW ACCOUNT'!I623)</f>
        <v/>
      </c>
      <c r="J622" t="str">
        <f>IF('NEW ACCOUNT'!A623="","",'NEW ACCOUNT'!J623)</f>
        <v/>
      </c>
      <c r="K622" t="str">
        <f>IFERROR(IF(A622="","",SUMIF(DB_Savings!$A:$A,A622,DB_Savings!$F:$F)),"")</f>
        <v/>
      </c>
      <c r="L622" t="str">
        <f>IFERROR(IF(A622="","",SUMIF(DB_Withdrawals!$A:$A,A622,DB_Withdrawals!$G:$G)),"")</f>
        <v/>
      </c>
      <c r="M622" t="str">
        <f>IFERROR(IF(A622="","",IFERROR(VALUE(H622),0)+IFERROR(SUMIF(DB_Savings!$A:$A,A622,DB_Savings!$F:$F),0)-IFERROR(SUMIF(DB_Withdrawals!$A:$A,A622,DB_Withdrawals!$G:$G),0)),"")</f>
        <v/>
      </c>
      <c r="N622" t="str">
        <f>IFERROR(IF(A622="","",MAX(0,M622-System_Config!$B$9)),"")</f>
        <v/>
      </c>
    </row>
    <row r="623" spans="1:14" ht="15" customHeight="1" x14ac:dyDescent="0.25">
      <c r="A623" t="str">
        <f>'NEW ACCOUNT'!A624</f>
        <v/>
      </c>
      <c r="B623" t="str">
        <f>IF('NEW ACCOUNT'!A624="","",'NEW ACCOUNT'!B624)</f>
        <v/>
      </c>
      <c r="C623" t="str">
        <f>IF('NEW ACCOUNT'!A624="","",'NEW ACCOUNT'!C624)</f>
        <v/>
      </c>
      <c r="D623" t="str">
        <f>IF('NEW ACCOUNT'!A624="","",'NEW ACCOUNT'!D624)</f>
        <v/>
      </c>
      <c r="E623" t="str">
        <f>IF('NEW ACCOUNT'!A624="","",'NEW ACCOUNT'!E624)</f>
        <v/>
      </c>
      <c r="F623" t="str">
        <f>IF('NEW ACCOUNT'!A624="","",'NEW ACCOUNT'!F624)</f>
        <v/>
      </c>
      <c r="G623" t="str">
        <f>IF('NEW ACCOUNT'!A624="","",'NEW ACCOUNT'!G624)</f>
        <v/>
      </c>
      <c r="H623" t="str">
        <f>IF('NEW ACCOUNT'!A624="","",'NEW ACCOUNT'!H624)</f>
        <v/>
      </c>
      <c r="I623" t="str">
        <f>IF('NEW ACCOUNT'!A624="","",'NEW ACCOUNT'!I624)</f>
        <v/>
      </c>
      <c r="J623" t="str">
        <f>IF('NEW ACCOUNT'!A624="","",'NEW ACCOUNT'!J624)</f>
        <v/>
      </c>
      <c r="K623" t="str">
        <f>IFERROR(IF(A623="","",SUMIF(DB_Savings!$A:$A,A623,DB_Savings!$F:$F)),"")</f>
        <v/>
      </c>
      <c r="L623" t="str">
        <f>IFERROR(IF(A623="","",SUMIF(DB_Withdrawals!$A:$A,A623,DB_Withdrawals!$G:$G)),"")</f>
        <v/>
      </c>
      <c r="M623" t="str">
        <f>IFERROR(IF(A623="","",IFERROR(VALUE(H623),0)+IFERROR(SUMIF(DB_Savings!$A:$A,A623,DB_Savings!$F:$F),0)-IFERROR(SUMIF(DB_Withdrawals!$A:$A,A623,DB_Withdrawals!$G:$G),0)),"")</f>
        <v/>
      </c>
      <c r="N623" t="str">
        <f>IFERROR(IF(A623="","",MAX(0,M623-System_Config!$B$9)),"")</f>
        <v/>
      </c>
    </row>
    <row r="624" spans="1:14" ht="15" customHeight="1" x14ac:dyDescent="0.25">
      <c r="A624" t="str">
        <f>'NEW ACCOUNT'!A625</f>
        <v/>
      </c>
      <c r="B624" t="str">
        <f>IF('NEW ACCOUNT'!A625="","",'NEW ACCOUNT'!B625)</f>
        <v/>
      </c>
      <c r="C624" t="str">
        <f>IF('NEW ACCOUNT'!A625="","",'NEW ACCOUNT'!C625)</f>
        <v/>
      </c>
      <c r="D624" t="str">
        <f>IF('NEW ACCOUNT'!A625="","",'NEW ACCOUNT'!D625)</f>
        <v/>
      </c>
      <c r="E624" t="str">
        <f>IF('NEW ACCOUNT'!A625="","",'NEW ACCOUNT'!E625)</f>
        <v/>
      </c>
      <c r="F624" t="str">
        <f>IF('NEW ACCOUNT'!A625="","",'NEW ACCOUNT'!F625)</f>
        <v/>
      </c>
      <c r="G624" t="str">
        <f>IF('NEW ACCOUNT'!A625="","",'NEW ACCOUNT'!G625)</f>
        <v/>
      </c>
      <c r="H624" t="str">
        <f>IF('NEW ACCOUNT'!A625="","",'NEW ACCOUNT'!H625)</f>
        <v/>
      </c>
      <c r="I624" t="str">
        <f>IF('NEW ACCOUNT'!A625="","",'NEW ACCOUNT'!I625)</f>
        <v/>
      </c>
      <c r="J624" t="str">
        <f>IF('NEW ACCOUNT'!A625="","",'NEW ACCOUNT'!J625)</f>
        <v/>
      </c>
      <c r="K624" t="str">
        <f>IFERROR(IF(A624="","",SUMIF(DB_Savings!$A:$A,A624,DB_Savings!$F:$F)),"")</f>
        <v/>
      </c>
      <c r="L624" t="str">
        <f>IFERROR(IF(A624="","",SUMIF(DB_Withdrawals!$A:$A,A624,DB_Withdrawals!$G:$G)),"")</f>
        <v/>
      </c>
      <c r="M624" t="str">
        <f>IFERROR(IF(A624="","",IFERROR(VALUE(H624),0)+IFERROR(SUMIF(DB_Savings!$A:$A,A624,DB_Savings!$F:$F),0)-IFERROR(SUMIF(DB_Withdrawals!$A:$A,A624,DB_Withdrawals!$G:$G),0)),"")</f>
        <v/>
      </c>
      <c r="N624" t="str">
        <f>IFERROR(IF(A624="","",MAX(0,M624-System_Config!$B$9)),"")</f>
        <v/>
      </c>
    </row>
    <row r="625" spans="1:14" ht="15" customHeight="1" x14ac:dyDescent="0.25">
      <c r="A625" t="str">
        <f>'NEW ACCOUNT'!A626</f>
        <v/>
      </c>
      <c r="B625" t="str">
        <f>IF('NEW ACCOUNT'!A626="","",'NEW ACCOUNT'!B626)</f>
        <v/>
      </c>
      <c r="C625" t="str">
        <f>IF('NEW ACCOUNT'!A626="","",'NEW ACCOUNT'!C626)</f>
        <v/>
      </c>
      <c r="D625" t="str">
        <f>IF('NEW ACCOUNT'!A626="","",'NEW ACCOUNT'!D626)</f>
        <v/>
      </c>
      <c r="E625" t="str">
        <f>IF('NEW ACCOUNT'!A626="","",'NEW ACCOUNT'!E626)</f>
        <v/>
      </c>
      <c r="F625" t="str">
        <f>IF('NEW ACCOUNT'!A626="","",'NEW ACCOUNT'!F626)</f>
        <v/>
      </c>
      <c r="G625" t="str">
        <f>IF('NEW ACCOUNT'!A626="","",'NEW ACCOUNT'!G626)</f>
        <v/>
      </c>
      <c r="H625" t="str">
        <f>IF('NEW ACCOUNT'!A626="","",'NEW ACCOUNT'!H626)</f>
        <v/>
      </c>
      <c r="I625" t="str">
        <f>IF('NEW ACCOUNT'!A626="","",'NEW ACCOUNT'!I626)</f>
        <v/>
      </c>
      <c r="J625" t="str">
        <f>IF('NEW ACCOUNT'!A626="","",'NEW ACCOUNT'!J626)</f>
        <v/>
      </c>
      <c r="K625" t="str">
        <f>IFERROR(IF(A625="","",SUMIF(DB_Savings!$A:$A,A625,DB_Savings!$F:$F)),"")</f>
        <v/>
      </c>
      <c r="L625" t="str">
        <f>IFERROR(IF(A625="","",SUMIF(DB_Withdrawals!$A:$A,A625,DB_Withdrawals!$G:$G)),"")</f>
        <v/>
      </c>
      <c r="M625" t="str">
        <f>IFERROR(IF(A625="","",IFERROR(VALUE(H625),0)+IFERROR(SUMIF(DB_Savings!$A:$A,A625,DB_Savings!$F:$F),0)-IFERROR(SUMIF(DB_Withdrawals!$A:$A,A625,DB_Withdrawals!$G:$G),0)),"")</f>
        <v/>
      </c>
      <c r="N625" t="str">
        <f>IFERROR(IF(A625="","",MAX(0,M625-System_Config!$B$9)),"")</f>
        <v/>
      </c>
    </row>
    <row r="626" spans="1:14" ht="15" customHeight="1" x14ac:dyDescent="0.25">
      <c r="A626" t="str">
        <f>'NEW ACCOUNT'!A627</f>
        <v/>
      </c>
      <c r="B626" t="str">
        <f>IF('NEW ACCOUNT'!A627="","",'NEW ACCOUNT'!B627)</f>
        <v/>
      </c>
      <c r="C626" t="str">
        <f>IF('NEW ACCOUNT'!A627="","",'NEW ACCOUNT'!C627)</f>
        <v/>
      </c>
      <c r="D626" t="str">
        <f>IF('NEW ACCOUNT'!A627="","",'NEW ACCOUNT'!D627)</f>
        <v/>
      </c>
      <c r="E626" t="str">
        <f>IF('NEW ACCOUNT'!A627="","",'NEW ACCOUNT'!E627)</f>
        <v/>
      </c>
      <c r="F626" t="str">
        <f>IF('NEW ACCOUNT'!A627="","",'NEW ACCOUNT'!F627)</f>
        <v/>
      </c>
      <c r="G626" t="str">
        <f>IF('NEW ACCOUNT'!A627="","",'NEW ACCOUNT'!G627)</f>
        <v/>
      </c>
      <c r="H626" t="str">
        <f>IF('NEW ACCOUNT'!A627="","",'NEW ACCOUNT'!H627)</f>
        <v/>
      </c>
      <c r="I626" t="str">
        <f>IF('NEW ACCOUNT'!A627="","",'NEW ACCOUNT'!I627)</f>
        <v/>
      </c>
      <c r="J626" t="str">
        <f>IF('NEW ACCOUNT'!A627="","",'NEW ACCOUNT'!J627)</f>
        <v/>
      </c>
      <c r="K626" t="str">
        <f>IFERROR(IF(A626="","",SUMIF(DB_Savings!$A:$A,A626,DB_Savings!$F:$F)),"")</f>
        <v/>
      </c>
      <c r="L626" t="str">
        <f>IFERROR(IF(A626="","",SUMIF(DB_Withdrawals!$A:$A,A626,DB_Withdrawals!$G:$G)),"")</f>
        <v/>
      </c>
      <c r="M626" t="str">
        <f>IFERROR(IF(A626="","",IFERROR(VALUE(H626),0)+IFERROR(SUMIF(DB_Savings!$A:$A,A626,DB_Savings!$F:$F),0)-IFERROR(SUMIF(DB_Withdrawals!$A:$A,A626,DB_Withdrawals!$G:$G),0)),"")</f>
        <v/>
      </c>
      <c r="N626" t="str">
        <f>IFERROR(IF(A626="","",MAX(0,M626-System_Config!$B$9)),"")</f>
        <v/>
      </c>
    </row>
    <row r="627" spans="1:14" ht="15" customHeight="1" x14ac:dyDescent="0.25">
      <c r="A627" t="str">
        <f>'NEW ACCOUNT'!A628</f>
        <v/>
      </c>
      <c r="B627" t="str">
        <f>IF('NEW ACCOUNT'!A628="","",'NEW ACCOUNT'!B628)</f>
        <v/>
      </c>
      <c r="C627" t="str">
        <f>IF('NEW ACCOUNT'!A628="","",'NEW ACCOUNT'!C628)</f>
        <v/>
      </c>
      <c r="D627" t="str">
        <f>IF('NEW ACCOUNT'!A628="","",'NEW ACCOUNT'!D628)</f>
        <v/>
      </c>
      <c r="E627" t="str">
        <f>IF('NEW ACCOUNT'!A628="","",'NEW ACCOUNT'!E628)</f>
        <v/>
      </c>
      <c r="F627" t="str">
        <f>IF('NEW ACCOUNT'!A628="","",'NEW ACCOUNT'!F628)</f>
        <v/>
      </c>
      <c r="G627" t="str">
        <f>IF('NEW ACCOUNT'!A628="","",'NEW ACCOUNT'!G628)</f>
        <v/>
      </c>
      <c r="H627" t="str">
        <f>IF('NEW ACCOUNT'!A628="","",'NEW ACCOUNT'!H628)</f>
        <v/>
      </c>
      <c r="I627" t="str">
        <f>IF('NEW ACCOUNT'!A628="","",'NEW ACCOUNT'!I628)</f>
        <v/>
      </c>
      <c r="J627" t="str">
        <f>IF('NEW ACCOUNT'!A628="","",'NEW ACCOUNT'!J628)</f>
        <v/>
      </c>
      <c r="K627" t="str">
        <f>IFERROR(IF(A627="","",SUMIF(DB_Savings!$A:$A,A627,DB_Savings!$F:$F)),"")</f>
        <v/>
      </c>
      <c r="L627" t="str">
        <f>IFERROR(IF(A627="","",SUMIF(DB_Withdrawals!$A:$A,A627,DB_Withdrawals!$G:$G)),"")</f>
        <v/>
      </c>
      <c r="M627" t="str">
        <f>IFERROR(IF(A627="","",IFERROR(VALUE(H627),0)+IFERROR(SUMIF(DB_Savings!$A:$A,A627,DB_Savings!$F:$F),0)-IFERROR(SUMIF(DB_Withdrawals!$A:$A,A627,DB_Withdrawals!$G:$G),0)),"")</f>
        <v/>
      </c>
      <c r="N627" t="str">
        <f>IFERROR(IF(A627="","",MAX(0,M627-System_Config!$B$9)),"")</f>
        <v/>
      </c>
    </row>
    <row r="628" spans="1:14" ht="15" customHeight="1" x14ac:dyDescent="0.25">
      <c r="A628" t="str">
        <f>'NEW ACCOUNT'!A629</f>
        <v/>
      </c>
      <c r="B628" t="str">
        <f>IF('NEW ACCOUNT'!A629="","",'NEW ACCOUNT'!B629)</f>
        <v/>
      </c>
      <c r="C628" t="str">
        <f>IF('NEW ACCOUNT'!A629="","",'NEW ACCOUNT'!C629)</f>
        <v/>
      </c>
      <c r="D628" t="str">
        <f>IF('NEW ACCOUNT'!A629="","",'NEW ACCOUNT'!D629)</f>
        <v/>
      </c>
      <c r="E628" t="str">
        <f>IF('NEW ACCOUNT'!A629="","",'NEW ACCOUNT'!E629)</f>
        <v/>
      </c>
      <c r="F628" t="str">
        <f>IF('NEW ACCOUNT'!A629="","",'NEW ACCOUNT'!F629)</f>
        <v/>
      </c>
      <c r="G628" t="str">
        <f>IF('NEW ACCOUNT'!A629="","",'NEW ACCOUNT'!G629)</f>
        <v/>
      </c>
      <c r="H628" t="str">
        <f>IF('NEW ACCOUNT'!A629="","",'NEW ACCOUNT'!H629)</f>
        <v/>
      </c>
      <c r="I628" t="str">
        <f>IF('NEW ACCOUNT'!A629="","",'NEW ACCOUNT'!I629)</f>
        <v/>
      </c>
      <c r="J628" t="str">
        <f>IF('NEW ACCOUNT'!A629="","",'NEW ACCOUNT'!J629)</f>
        <v/>
      </c>
      <c r="K628" t="str">
        <f>IFERROR(IF(A628="","",SUMIF(DB_Savings!$A:$A,A628,DB_Savings!$F:$F)),"")</f>
        <v/>
      </c>
      <c r="L628" t="str">
        <f>IFERROR(IF(A628="","",SUMIF(DB_Withdrawals!$A:$A,A628,DB_Withdrawals!$G:$G)),"")</f>
        <v/>
      </c>
      <c r="M628" t="str">
        <f>IFERROR(IF(A628="","",IFERROR(VALUE(H628),0)+IFERROR(SUMIF(DB_Savings!$A:$A,A628,DB_Savings!$F:$F),0)-IFERROR(SUMIF(DB_Withdrawals!$A:$A,A628,DB_Withdrawals!$G:$G),0)),"")</f>
        <v/>
      </c>
      <c r="N628" t="str">
        <f>IFERROR(IF(A628="","",MAX(0,M628-System_Config!$B$9)),"")</f>
        <v/>
      </c>
    </row>
    <row r="629" spans="1:14" ht="15" customHeight="1" x14ac:dyDescent="0.25">
      <c r="A629" t="str">
        <f>'NEW ACCOUNT'!A630</f>
        <v/>
      </c>
      <c r="B629" t="str">
        <f>IF('NEW ACCOUNT'!A630="","",'NEW ACCOUNT'!B630)</f>
        <v/>
      </c>
      <c r="C629" t="str">
        <f>IF('NEW ACCOUNT'!A630="","",'NEW ACCOUNT'!C630)</f>
        <v/>
      </c>
      <c r="D629" t="str">
        <f>IF('NEW ACCOUNT'!A630="","",'NEW ACCOUNT'!D630)</f>
        <v/>
      </c>
      <c r="E629" t="str">
        <f>IF('NEW ACCOUNT'!A630="","",'NEW ACCOUNT'!E630)</f>
        <v/>
      </c>
      <c r="F629" t="str">
        <f>IF('NEW ACCOUNT'!A630="","",'NEW ACCOUNT'!F630)</f>
        <v/>
      </c>
      <c r="G629" t="str">
        <f>IF('NEW ACCOUNT'!A630="","",'NEW ACCOUNT'!G630)</f>
        <v/>
      </c>
      <c r="H629" t="str">
        <f>IF('NEW ACCOUNT'!A630="","",'NEW ACCOUNT'!H630)</f>
        <v/>
      </c>
      <c r="I629" t="str">
        <f>IF('NEW ACCOUNT'!A630="","",'NEW ACCOUNT'!I630)</f>
        <v/>
      </c>
      <c r="J629" t="str">
        <f>IF('NEW ACCOUNT'!A630="","",'NEW ACCOUNT'!J630)</f>
        <v/>
      </c>
      <c r="K629" t="str">
        <f>IFERROR(IF(A629="","",SUMIF(DB_Savings!$A:$A,A629,DB_Savings!$F:$F)),"")</f>
        <v/>
      </c>
      <c r="L629" t="str">
        <f>IFERROR(IF(A629="","",SUMIF(DB_Withdrawals!$A:$A,A629,DB_Withdrawals!$G:$G)),"")</f>
        <v/>
      </c>
      <c r="M629" t="str">
        <f>IFERROR(IF(A629="","",IFERROR(VALUE(H629),0)+IFERROR(SUMIF(DB_Savings!$A:$A,A629,DB_Savings!$F:$F),0)-IFERROR(SUMIF(DB_Withdrawals!$A:$A,A629,DB_Withdrawals!$G:$G),0)),"")</f>
        <v/>
      </c>
      <c r="N629" t="str">
        <f>IFERROR(IF(A629="","",MAX(0,M629-System_Config!$B$9)),"")</f>
        <v/>
      </c>
    </row>
    <row r="630" spans="1:14" ht="15" customHeight="1" x14ac:dyDescent="0.25">
      <c r="A630" t="str">
        <f>'NEW ACCOUNT'!A631</f>
        <v/>
      </c>
      <c r="B630" t="str">
        <f>IF('NEW ACCOUNT'!A631="","",'NEW ACCOUNT'!B631)</f>
        <v/>
      </c>
      <c r="C630" t="str">
        <f>IF('NEW ACCOUNT'!A631="","",'NEW ACCOUNT'!C631)</f>
        <v/>
      </c>
      <c r="D630" t="str">
        <f>IF('NEW ACCOUNT'!A631="","",'NEW ACCOUNT'!D631)</f>
        <v/>
      </c>
      <c r="E630" t="str">
        <f>IF('NEW ACCOUNT'!A631="","",'NEW ACCOUNT'!E631)</f>
        <v/>
      </c>
      <c r="F630" t="str">
        <f>IF('NEW ACCOUNT'!A631="","",'NEW ACCOUNT'!F631)</f>
        <v/>
      </c>
      <c r="G630" t="str">
        <f>IF('NEW ACCOUNT'!A631="","",'NEW ACCOUNT'!G631)</f>
        <v/>
      </c>
      <c r="H630" t="str">
        <f>IF('NEW ACCOUNT'!A631="","",'NEW ACCOUNT'!H631)</f>
        <v/>
      </c>
      <c r="I630" t="str">
        <f>IF('NEW ACCOUNT'!A631="","",'NEW ACCOUNT'!I631)</f>
        <v/>
      </c>
      <c r="J630" t="str">
        <f>IF('NEW ACCOUNT'!A631="","",'NEW ACCOUNT'!J631)</f>
        <v/>
      </c>
      <c r="K630" t="str">
        <f>IFERROR(IF(A630="","",SUMIF(DB_Savings!$A:$A,A630,DB_Savings!$F:$F)),"")</f>
        <v/>
      </c>
      <c r="L630" t="str">
        <f>IFERROR(IF(A630="","",SUMIF(DB_Withdrawals!$A:$A,A630,DB_Withdrawals!$G:$G)),"")</f>
        <v/>
      </c>
      <c r="M630" t="str">
        <f>IFERROR(IF(A630="","",IFERROR(VALUE(H630),0)+IFERROR(SUMIF(DB_Savings!$A:$A,A630,DB_Savings!$F:$F),0)-IFERROR(SUMIF(DB_Withdrawals!$A:$A,A630,DB_Withdrawals!$G:$G),0)),"")</f>
        <v/>
      </c>
      <c r="N630" t="str">
        <f>IFERROR(IF(A630="","",MAX(0,M630-System_Config!$B$9)),"")</f>
        <v/>
      </c>
    </row>
    <row r="631" spans="1:14" ht="15" customHeight="1" x14ac:dyDescent="0.25">
      <c r="A631" t="str">
        <f>'NEW ACCOUNT'!A632</f>
        <v/>
      </c>
      <c r="B631" t="str">
        <f>IF('NEW ACCOUNT'!A632="","",'NEW ACCOUNT'!B632)</f>
        <v/>
      </c>
      <c r="C631" t="str">
        <f>IF('NEW ACCOUNT'!A632="","",'NEW ACCOUNT'!C632)</f>
        <v/>
      </c>
      <c r="D631" t="str">
        <f>IF('NEW ACCOUNT'!A632="","",'NEW ACCOUNT'!D632)</f>
        <v/>
      </c>
      <c r="E631" t="str">
        <f>IF('NEW ACCOUNT'!A632="","",'NEW ACCOUNT'!E632)</f>
        <v/>
      </c>
      <c r="F631" t="str">
        <f>IF('NEW ACCOUNT'!A632="","",'NEW ACCOUNT'!F632)</f>
        <v/>
      </c>
      <c r="G631" t="str">
        <f>IF('NEW ACCOUNT'!A632="","",'NEW ACCOUNT'!G632)</f>
        <v/>
      </c>
      <c r="H631" t="str">
        <f>IF('NEW ACCOUNT'!A632="","",'NEW ACCOUNT'!H632)</f>
        <v/>
      </c>
      <c r="I631" t="str">
        <f>IF('NEW ACCOUNT'!A632="","",'NEW ACCOUNT'!I632)</f>
        <v/>
      </c>
      <c r="J631" t="str">
        <f>IF('NEW ACCOUNT'!A632="","",'NEW ACCOUNT'!J632)</f>
        <v/>
      </c>
      <c r="K631" t="str">
        <f>IFERROR(IF(A631="","",SUMIF(DB_Savings!$A:$A,A631,DB_Savings!$F:$F)),"")</f>
        <v/>
      </c>
      <c r="L631" t="str">
        <f>IFERROR(IF(A631="","",SUMIF(DB_Withdrawals!$A:$A,A631,DB_Withdrawals!$G:$G)),"")</f>
        <v/>
      </c>
      <c r="M631" t="str">
        <f>IFERROR(IF(A631="","",IFERROR(VALUE(H631),0)+IFERROR(SUMIF(DB_Savings!$A:$A,A631,DB_Savings!$F:$F),0)-IFERROR(SUMIF(DB_Withdrawals!$A:$A,A631,DB_Withdrawals!$G:$G),0)),"")</f>
        <v/>
      </c>
      <c r="N631" t="str">
        <f>IFERROR(IF(A631="","",MAX(0,M631-System_Config!$B$9)),"")</f>
        <v/>
      </c>
    </row>
    <row r="632" spans="1:14" ht="15" customHeight="1" x14ac:dyDescent="0.25">
      <c r="A632" t="str">
        <f>'NEW ACCOUNT'!A633</f>
        <v/>
      </c>
      <c r="B632" t="str">
        <f>IF('NEW ACCOUNT'!A633="","",'NEW ACCOUNT'!B633)</f>
        <v/>
      </c>
      <c r="C632" t="str">
        <f>IF('NEW ACCOUNT'!A633="","",'NEW ACCOUNT'!C633)</f>
        <v/>
      </c>
      <c r="D632" t="str">
        <f>IF('NEW ACCOUNT'!A633="","",'NEW ACCOUNT'!D633)</f>
        <v/>
      </c>
      <c r="E632" t="str">
        <f>IF('NEW ACCOUNT'!A633="","",'NEW ACCOUNT'!E633)</f>
        <v/>
      </c>
      <c r="F632" t="str">
        <f>IF('NEW ACCOUNT'!A633="","",'NEW ACCOUNT'!F633)</f>
        <v/>
      </c>
      <c r="G632" t="str">
        <f>IF('NEW ACCOUNT'!A633="","",'NEW ACCOUNT'!G633)</f>
        <v/>
      </c>
      <c r="H632" t="str">
        <f>IF('NEW ACCOUNT'!A633="","",'NEW ACCOUNT'!H633)</f>
        <v/>
      </c>
      <c r="I632" t="str">
        <f>IF('NEW ACCOUNT'!A633="","",'NEW ACCOUNT'!I633)</f>
        <v/>
      </c>
      <c r="J632" t="str">
        <f>IF('NEW ACCOUNT'!A633="","",'NEW ACCOUNT'!J633)</f>
        <v/>
      </c>
      <c r="K632" t="str">
        <f>IFERROR(IF(A632="","",SUMIF(DB_Savings!$A:$A,A632,DB_Savings!$F:$F)),"")</f>
        <v/>
      </c>
      <c r="L632" t="str">
        <f>IFERROR(IF(A632="","",SUMIF(DB_Withdrawals!$A:$A,A632,DB_Withdrawals!$G:$G)),"")</f>
        <v/>
      </c>
      <c r="M632" t="str">
        <f>IFERROR(IF(A632="","",IFERROR(VALUE(H632),0)+IFERROR(SUMIF(DB_Savings!$A:$A,A632,DB_Savings!$F:$F),0)-IFERROR(SUMIF(DB_Withdrawals!$A:$A,A632,DB_Withdrawals!$G:$G),0)),"")</f>
        <v/>
      </c>
      <c r="N632" t="str">
        <f>IFERROR(IF(A632="","",MAX(0,M632-System_Config!$B$9)),"")</f>
        <v/>
      </c>
    </row>
    <row r="633" spans="1:14" ht="15" customHeight="1" x14ac:dyDescent="0.25">
      <c r="A633" t="str">
        <f>'NEW ACCOUNT'!A634</f>
        <v/>
      </c>
      <c r="B633" t="str">
        <f>IF('NEW ACCOUNT'!A634="","",'NEW ACCOUNT'!B634)</f>
        <v/>
      </c>
      <c r="C633" t="str">
        <f>IF('NEW ACCOUNT'!A634="","",'NEW ACCOUNT'!C634)</f>
        <v/>
      </c>
      <c r="D633" t="str">
        <f>IF('NEW ACCOUNT'!A634="","",'NEW ACCOUNT'!D634)</f>
        <v/>
      </c>
      <c r="E633" t="str">
        <f>IF('NEW ACCOUNT'!A634="","",'NEW ACCOUNT'!E634)</f>
        <v/>
      </c>
      <c r="F633" t="str">
        <f>IF('NEW ACCOUNT'!A634="","",'NEW ACCOUNT'!F634)</f>
        <v/>
      </c>
      <c r="G633" t="str">
        <f>IF('NEW ACCOUNT'!A634="","",'NEW ACCOUNT'!G634)</f>
        <v/>
      </c>
      <c r="H633" t="str">
        <f>IF('NEW ACCOUNT'!A634="","",'NEW ACCOUNT'!H634)</f>
        <v/>
      </c>
      <c r="I633" t="str">
        <f>IF('NEW ACCOUNT'!A634="","",'NEW ACCOUNT'!I634)</f>
        <v/>
      </c>
      <c r="J633" t="str">
        <f>IF('NEW ACCOUNT'!A634="","",'NEW ACCOUNT'!J634)</f>
        <v/>
      </c>
      <c r="K633" t="str">
        <f>IFERROR(IF(A633="","",SUMIF(DB_Savings!$A:$A,A633,DB_Savings!$F:$F)),"")</f>
        <v/>
      </c>
      <c r="L633" t="str">
        <f>IFERROR(IF(A633="","",SUMIF(DB_Withdrawals!$A:$A,A633,DB_Withdrawals!$G:$G)),"")</f>
        <v/>
      </c>
      <c r="M633" t="str">
        <f>IFERROR(IF(A633="","",IFERROR(VALUE(H633),0)+IFERROR(SUMIF(DB_Savings!$A:$A,A633,DB_Savings!$F:$F),0)-IFERROR(SUMIF(DB_Withdrawals!$A:$A,A633,DB_Withdrawals!$G:$G),0)),"")</f>
        <v/>
      </c>
      <c r="N633" t="str">
        <f>IFERROR(IF(A633="","",MAX(0,M633-System_Config!$B$9)),"")</f>
        <v/>
      </c>
    </row>
    <row r="634" spans="1:14" ht="15" customHeight="1" x14ac:dyDescent="0.25">
      <c r="A634" t="str">
        <f>'NEW ACCOUNT'!A635</f>
        <v/>
      </c>
      <c r="B634" t="str">
        <f>IF('NEW ACCOUNT'!A635="","",'NEW ACCOUNT'!B635)</f>
        <v/>
      </c>
      <c r="C634" t="str">
        <f>IF('NEW ACCOUNT'!A635="","",'NEW ACCOUNT'!C635)</f>
        <v/>
      </c>
      <c r="D634" t="str">
        <f>IF('NEW ACCOUNT'!A635="","",'NEW ACCOUNT'!D635)</f>
        <v/>
      </c>
      <c r="E634" t="str">
        <f>IF('NEW ACCOUNT'!A635="","",'NEW ACCOUNT'!E635)</f>
        <v/>
      </c>
      <c r="F634" t="str">
        <f>IF('NEW ACCOUNT'!A635="","",'NEW ACCOUNT'!F635)</f>
        <v/>
      </c>
      <c r="G634" t="str">
        <f>IF('NEW ACCOUNT'!A635="","",'NEW ACCOUNT'!G635)</f>
        <v/>
      </c>
      <c r="H634" t="str">
        <f>IF('NEW ACCOUNT'!A635="","",'NEW ACCOUNT'!H635)</f>
        <v/>
      </c>
      <c r="I634" t="str">
        <f>IF('NEW ACCOUNT'!A635="","",'NEW ACCOUNT'!I635)</f>
        <v/>
      </c>
      <c r="J634" t="str">
        <f>IF('NEW ACCOUNT'!A635="","",'NEW ACCOUNT'!J635)</f>
        <v/>
      </c>
      <c r="K634" t="str">
        <f>IFERROR(IF(A634="","",SUMIF(DB_Savings!$A:$A,A634,DB_Savings!$F:$F)),"")</f>
        <v/>
      </c>
      <c r="L634" t="str">
        <f>IFERROR(IF(A634="","",SUMIF(DB_Withdrawals!$A:$A,A634,DB_Withdrawals!$G:$G)),"")</f>
        <v/>
      </c>
      <c r="M634" t="str">
        <f>IFERROR(IF(A634="","",IFERROR(VALUE(H634),0)+IFERROR(SUMIF(DB_Savings!$A:$A,A634,DB_Savings!$F:$F),0)-IFERROR(SUMIF(DB_Withdrawals!$A:$A,A634,DB_Withdrawals!$G:$G),0)),"")</f>
        <v/>
      </c>
      <c r="N634" t="str">
        <f>IFERROR(IF(A634="","",MAX(0,M634-System_Config!$B$9)),"")</f>
        <v/>
      </c>
    </row>
    <row r="635" spans="1:14" ht="15" customHeight="1" x14ac:dyDescent="0.25">
      <c r="A635" t="str">
        <f>'NEW ACCOUNT'!A636</f>
        <v/>
      </c>
      <c r="B635" t="str">
        <f>IF('NEW ACCOUNT'!A636="","",'NEW ACCOUNT'!B636)</f>
        <v/>
      </c>
      <c r="C635" t="str">
        <f>IF('NEW ACCOUNT'!A636="","",'NEW ACCOUNT'!C636)</f>
        <v/>
      </c>
      <c r="D635" t="str">
        <f>IF('NEW ACCOUNT'!A636="","",'NEW ACCOUNT'!D636)</f>
        <v/>
      </c>
      <c r="E635" t="str">
        <f>IF('NEW ACCOUNT'!A636="","",'NEW ACCOUNT'!E636)</f>
        <v/>
      </c>
      <c r="F635" t="str">
        <f>IF('NEW ACCOUNT'!A636="","",'NEW ACCOUNT'!F636)</f>
        <v/>
      </c>
      <c r="G635" t="str">
        <f>IF('NEW ACCOUNT'!A636="","",'NEW ACCOUNT'!G636)</f>
        <v/>
      </c>
      <c r="H635" t="str">
        <f>IF('NEW ACCOUNT'!A636="","",'NEW ACCOUNT'!H636)</f>
        <v/>
      </c>
      <c r="I635" t="str">
        <f>IF('NEW ACCOUNT'!A636="","",'NEW ACCOUNT'!I636)</f>
        <v/>
      </c>
      <c r="J635" t="str">
        <f>IF('NEW ACCOUNT'!A636="","",'NEW ACCOUNT'!J636)</f>
        <v/>
      </c>
      <c r="K635" t="str">
        <f>IFERROR(IF(A635="","",SUMIF(DB_Savings!$A:$A,A635,DB_Savings!$F:$F)),"")</f>
        <v/>
      </c>
      <c r="L635" t="str">
        <f>IFERROR(IF(A635="","",SUMIF(DB_Withdrawals!$A:$A,A635,DB_Withdrawals!$G:$G)),"")</f>
        <v/>
      </c>
      <c r="M635" t="str">
        <f>IFERROR(IF(A635="","",IFERROR(VALUE(H635),0)+IFERROR(SUMIF(DB_Savings!$A:$A,A635,DB_Savings!$F:$F),0)-IFERROR(SUMIF(DB_Withdrawals!$A:$A,A635,DB_Withdrawals!$G:$G),0)),"")</f>
        <v/>
      </c>
      <c r="N635" t="str">
        <f>IFERROR(IF(A635="","",MAX(0,M635-System_Config!$B$9)),"")</f>
        <v/>
      </c>
    </row>
    <row r="636" spans="1:14" ht="15" customHeight="1" x14ac:dyDescent="0.25">
      <c r="A636" t="str">
        <f>'NEW ACCOUNT'!A637</f>
        <v/>
      </c>
      <c r="B636" t="str">
        <f>IF('NEW ACCOUNT'!A637="","",'NEW ACCOUNT'!B637)</f>
        <v/>
      </c>
      <c r="C636" t="str">
        <f>IF('NEW ACCOUNT'!A637="","",'NEW ACCOUNT'!C637)</f>
        <v/>
      </c>
      <c r="D636" t="str">
        <f>IF('NEW ACCOUNT'!A637="","",'NEW ACCOUNT'!D637)</f>
        <v/>
      </c>
      <c r="E636" t="str">
        <f>IF('NEW ACCOUNT'!A637="","",'NEW ACCOUNT'!E637)</f>
        <v/>
      </c>
      <c r="F636" t="str">
        <f>IF('NEW ACCOUNT'!A637="","",'NEW ACCOUNT'!F637)</f>
        <v/>
      </c>
      <c r="G636" t="str">
        <f>IF('NEW ACCOUNT'!A637="","",'NEW ACCOUNT'!G637)</f>
        <v/>
      </c>
      <c r="H636" t="str">
        <f>IF('NEW ACCOUNT'!A637="","",'NEW ACCOUNT'!H637)</f>
        <v/>
      </c>
      <c r="I636" t="str">
        <f>IF('NEW ACCOUNT'!A637="","",'NEW ACCOUNT'!I637)</f>
        <v/>
      </c>
      <c r="J636" t="str">
        <f>IF('NEW ACCOUNT'!A637="","",'NEW ACCOUNT'!J637)</f>
        <v/>
      </c>
      <c r="K636" t="str">
        <f>IFERROR(IF(A636="","",SUMIF(DB_Savings!$A:$A,A636,DB_Savings!$F:$F)),"")</f>
        <v/>
      </c>
      <c r="L636" t="str">
        <f>IFERROR(IF(A636="","",SUMIF(DB_Withdrawals!$A:$A,A636,DB_Withdrawals!$G:$G)),"")</f>
        <v/>
      </c>
      <c r="M636" t="str">
        <f>IFERROR(IF(A636="","",IFERROR(VALUE(H636),0)+IFERROR(SUMIF(DB_Savings!$A:$A,A636,DB_Savings!$F:$F),0)-IFERROR(SUMIF(DB_Withdrawals!$A:$A,A636,DB_Withdrawals!$G:$G),0)),"")</f>
        <v/>
      </c>
      <c r="N636" t="str">
        <f>IFERROR(IF(A636="","",MAX(0,M636-System_Config!$B$9)),"")</f>
        <v/>
      </c>
    </row>
    <row r="637" spans="1:14" ht="15" customHeight="1" x14ac:dyDescent="0.25">
      <c r="A637" t="str">
        <f>'NEW ACCOUNT'!A638</f>
        <v/>
      </c>
      <c r="B637" t="str">
        <f>IF('NEW ACCOUNT'!A638="","",'NEW ACCOUNT'!B638)</f>
        <v/>
      </c>
      <c r="C637" t="str">
        <f>IF('NEW ACCOUNT'!A638="","",'NEW ACCOUNT'!C638)</f>
        <v/>
      </c>
      <c r="D637" t="str">
        <f>IF('NEW ACCOUNT'!A638="","",'NEW ACCOUNT'!D638)</f>
        <v/>
      </c>
      <c r="E637" t="str">
        <f>IF('NEW ACCOUNT'!A638="","",'NEW ACCOUNT'!E638)</f>
        <v/>
      </c>
      <c r="F637" t="str">
        <f>IF('NEW ACCOUNT'!A638="","",'NEW ACCOUNT'!F638)</f>
        <v/>
      </c>
      <c r="G637" t="str">
        <f>IF('NEW ACCOUNT'!A638="","",'NEW ACCOUNT'!G638)</f>
        <v/>
      </c>
      <c r="H637" t="str">
        <f>IF('NEW ACCOUNT'!A638="","",'NEW ACCOUNT'!H638)</f>
        <v/>
      </c>
      <c r="I637" t="str">
        <f>IF('NEW ACCOUNT'!A638="","",'NEW ACCOUNT'!I638)</f>
        <v/>
      </c>
      <c r="J637" t="str">
        <f>IF('NEW ACCOUNT'!A638="","",'NEW ACCOUNT'!J638)</f>
        <v/>
      </c>
      <c r="K637" t="str">
        <f>IFERROR(IF(A637="","",SUMIF(DB_Savings!$A:$A,A637,DB_Savings!$F:$F)),"")</f>
        <v/>
      </c>
      <c r="L637" t="str">
        <f>IFERROR(IF(A637="","",SUMIF(DB_Withdrawals!$A:$A,A637,DB_Withdrawals!$G:$G)),"")</f>
        <v/>
      </c>
      <c r="M637" t="str">
        <f>IFERROR(IF(A637="","",IFERROR(VALUE(H637),0)+IFERROR(SUMIF(DB_Savings!$A:$A,A637,DB_Savings!$F:$F),0)-IFERROR(SUMIF(DB_Withdrawals!$A:$A,A637,DB_Withdrawals!$G:$G),0)),"")</f>
        <v/>
      </c>
      <c r="N637" t="str">
        <f>IFERROR(IF(A637="","",MAX(0,M637-System_Config!$B$9)),"")</f>
        <v/>
      </c>
    </row>
    <row r="638" spans="1:14" ht="15" customHeight="1" x14ac:dyDescent="0.25">
      <c r="A638" t="str">
        <f>'NEW ACCOUNT'!A639</f>
        <v/>
      </c>
      <c r="B638" t="str">
        <f>IF('NEW ACCOUNT'!A639="","",'NEW ACCOUNT'!B639)</f>
        <v/>
      </c>
      <c r="C638" t="str">
        <f>IF('NEW ACCOUNT'!A639="","",'NEW ACCOUNT'!C639)</f>
        <v/>
      </c>
      <c r="D638" t="str">
        <f>IF('NEW ACCOUNT'!A639="","",'NEW ACCOUNT'!D639)</f>
        <v/>
      </c>
      <c r="E638" t="str">
        <f>IF('NEW ACCOUNT'!A639="","",'NEW ACCOUNT'!E639)</f>
        <v/>
      </c>
      <c r="F638" t="str">
        <f>IF('NEW ACCOUNT'!A639="","",'NEW ACCOUNT'!F639)</f>
        <v/>
      </c>
      <c r="G638" t="str">
        <f>IF('NEW ACCOUNT'!A639="","",'NEW ACCOUNT'!G639)</f>
        <v/>
      </c>
      <c r="H638" t="str">
        <f>IF('NEW ACCOUNT'!A639="","",'NEW ACCOUNT'!H639)</f>
        <v/>
      </c>
      <c r="I638" t="str">
        <f>IF('NEW ACCOUNT'!A639="","",'NEW ACCOUNT'!I639)</f>
        <v/>
      </c>
      <c r="J638" t="str">
        <f>IF('NEW ACCOUNT'!A639="","",'NEW ACCOUNT'!J639)</f>
        <v/>
      </c>
      <c r="K638" t="str">
        <f>IFERROR(IF(A638="","",SUMIF(DB_Savings!$A:$A,A638,DB_Savings!$F:$F)),"")</f>
        <v/>
      </c>
      <c r="L638" t="str">
        <f>IFERROR(IF(A638="","",SUMIF(DB_Withdrawals!$A:$A,A638,DB_Withdrawals!$G:$G)),"")</f>
        <v/>
      </c>
      <c r="M638" t="str">
        <f>IFERROR(IF(A638="","",IFERROR(VALUE(H638),0)+IFERROR(SUMIF(DB_Savings!$A:$A,A638,DB_Savings!$F:$F),0)-IFERROR(SUMIF(DB_Withdrawals!$A:$A,A638,DB_Withdrawals!$G:$G),0)),"")</f>
        <v/>
      </c>
      <c r="N638" t="str">
        <f>IFERROR(IF(A638="","",MAX(0,M638-System_Config!$B$9)),"")</f>
        <v/>
      </c>
    </row>
    <row r="639" spans="1:14" ht="15" customHeight="1" x14ac:dyDescent="0.25">
      <c r="A639" t="str">
        <f>'NEW ACCOUNT'!A640</f>
        <v/>
      </c>
      <c r="B639" t="str">
        <f>IF('NEW ACCOUNT'!A640="","",'NEW ACCOUNT'!B640)</f>
        <v/>
      </c>
      <c r="C639" t="str">
        <f>IF('NEW ACCOUNT'!A640="","",'NEW ACCOUNT'!C640)</f>
        <v/>
      </c>
      <c r="D639" t="str">
        <f>IF('NEW ACCOUNT'!A640="","",'NEW ACCOUNT'!D640)</f>
        <v/>
      </c>
      <c r="E639" t="str">
        <f>IF('NEW ACCOUNT'!A640="","",'NEW ACCOUNT'!E640)</f>
        <v/>
      </c>
      <c r="F639" t="str">
        <f>IF('NEW ACCOUNT'!A640="","",'NEW ACCOUNT'!F640)</f>
        <v/>
      </c>
      <c r="G639" t="str">
        <f>IF('NEW ACCOUNT'!A640="","",'NEW ACCOUNT'!G640)</f>
        <v/>
      </c>
      <c r="H639" t="str">
        <f>IF('NEW ACCOUNT'!A640="","",'NEW ACCOUNT'!H640)</f>
        <v/>
      </c>
      <c r="I639" t="str">
        <f>IF('NEW ACCOUNT'!A640="","",'NEW ACCOUNT'!I640)</f>
        <v/>
      </c>
      <c r="J639" t="str">
        <f>IF('NEW ACCOUNT'!A640="","",'NEW ACCOUNT'!J640)</f>
        <v/>
      </c>
      <c r="K639" t="str">
        <f>IFERROR(IF(A639="","",SUMIF(DB_Savings!$A:$A,A639,DB_Savings!$F:$F)),"")</f>
        <v/>
      </c>
      <c r="L639" t="str">
        <f>IFERROR(IF(A639="","",SUMIF(DB_Withdrawals!$A:$A,A639,DB_Withdrawals!$G:$G)),"")</f>
        <v/>
      </c>
      <c r="M639" t="str">
        <f>IFERROR(IF(A639="","",IFERROR(VALUE(H639),0)+IFERROR(SUMIF(DB_Savings!$A:$A,A639,DB_Savings!$F:$F),0)-IFERROR(SUMIF(DB_Withdrawals!$A:$A,A639,DB_Withdrawals!$G:$G),0)),"")</f>
        <v/>
      </c>
      <c r="N639" t="str">
        <f>IFERROR(IF(A639="","",MAX(0,M639-System_Config!$B$9)),"")</f>
        <v/>
      </c>
    </row>
    <row r="640" spans="1:14" ht="15" customHeight="1" x14ac:dyDescent="0.25">
      <c r="A640" t="str">
        <f>'NEW ACCOUNT'!A641</f>
        <v/>
      </c>
      <c r="B640" t="str">
        <f>IF('NEW ACCOUNT'!A641="","",'NEW ACCOUNT'!B641)</f>
        <v/>
      </c>
      <c r="C640" t="str">
        <f>IF('NEW ACCOUNT'!A641="","",'NEW ACCOUNT'!C641)</f>
        <v/>
      </c>
      <c r="D640" t="str">
        <f>IF('NEW ACCOUNT'!A641="","",'NEW ACCOUNT'!D641)</f>
        <v/>
      </c>
      <c r="E640" t="str">
        <f>IF('NEW ACCOUNT'!A641="","",'NEW ACCOUNT'!E641)</f>
        <v/>
      </c>
      <c r="F640" t="str">
        <f>IF('NEW ACCOUNT'!A641="","",'NEW ACCOUNT'!F641)</f>
        <v/>
      </c>
      <c r="G640" t="str">
        <f>IF('NEW ACCOUNT'!A641="","",'NEW ACCOUNT'!G641)</f>
        <v/>
      </c>
      <c r="H640" t="str">
        <f>IF('NEW ACCOUNT'!A641="","",'NEW ACCOUNT'!H641)</f>
        <v/>
      </c>
      <c r="I640" t="str">
        <f>IF('NEW ACCOUNT'!A641="","",'NEW ACCOUNT'!I641)</f>
        <v/>
      </c>
      <c r="J640" t="str">
        <f>IF('NEW ACCOUNT'!A641="","",'NEW ACCOUNT'!J641)</f>
        <v/>
      </c>
      <c r="K640" t="str">
        <f>IFERROR(IF(A640="","",SUMIF(DB_Savings!$A:$A,A640,DB_Savings!$F:$F)),"")</f>
        <v/>
      </c>
      <c r="L640" t="str">
        <f>IFERROR(IF(A640="","",SUMIF(DB_Withdrawals!$A:$A,A640,DB_Withdrawals!$G:$G)),"")</f>
        <v/>
      </c>
      <c r="M640" t="str">
        <f>IFERROR(IF(A640="","",IFERROR(VALUE(H640),0)+IFERROR(SUMIF(DB_Savings!$A:$A,A640,DB_Savings!$F:$F),0)-IFERROR(SUMIF(DB_Withdrawals!$A:$A,A640,DB_Withdrawals!$G:$G),0)),"")</f>
        <v/>
      </c>
      <c r="N640" t="str">
        <f>IFERROR(IF(A640="","",MAX(0,M640-System_Config!$B$9)),"")</f>
        <v/>
      </c>
    </row>
    <row r="641" spans="1:14" ht="15" customHeight="1" x14ac:dyDescent="0.25">
      <c r="A641" t="str">
        <f>'NEW ACCOUNT'!A642</f>
        <v/>
      </c>
      <c r="B641" t="str">
        <f>IF('NEW ACCOUNT'!A642="","",'NEW ACCOUNT'!B642)</f>
        <v/>
      </c>
      <c r="C641" t="str">
        <f>IF('NEW ACCOUNT'!A642="","",'NEW ACCOUNT'!C642)</f>
        <v/>
      </c>
      <c r="D641" t="str">
        <f>IF('NEW ACCOUNT'!A642="","",'NEW ACCOUNT'!D642)</f>
        <v/>
      </c>
      <c r="E641" t="str">
        <f>IF('NEW ACCOUNT'!A642="","",'NEW ACCOUNT'!E642)</f>
        <v/>
      </c>
      <c r="F641" t="str">
        <f>IF('NEW ACCOUNT'!A642="","",'NEW ACCOUNT'!F642)</f>
        <v/>
      </c>
      <c r="G641" t="str">
        <f>IF('NEW ACCOUNT'!A642="","",'NEW ACCOUNT'!G642)</f>
        <v/>
      </c>
      <c r="H641" t="str">
        <f>IF('NEW ACCOUNT'!A642="","",'NEW ACCOUNT'!H642)</f>
        <v/>
      </c>
      <c r="I641" t="str">
        <f>IF('NEW ACCOUNT'!A642="","",'NEW ACCOUNT'!I642)</f>
        <v/>
      </c>
      <c r="J641" t="str">
        <f>IF('NEW ACCOUNT'!A642="","",'NEW ACCOUNT'!J642)</f>
        <v/>
      </c>
      <c r="K641" t="str">
        <f>IFERROR(IF(A641="","",SUMIF(DB_Savings!$A:$A,A641,DB_Savings!$F:$F)),"")</f>
        <v/>
      </c>
      <c r="L641" t="str">
        <f>IFERROR(IF(A641="","",SUMIF(DB_Withdrawals!$A:$A,A641,DB_Withdrawals!$G:$G)),"")</f>
        <v/>
      </c>
      <c r="M641" t="str">
        <f>IFERROR(IF(A641="","",IFERROR(VALUE(H641),0)+IFERROR(SUMIF(DB_Savings!$A:$A,A641,DB_Savings!$F:$F),0)-IFERROR(SUMIF(DB_Withdrawals!$A:$A,A641,DB_Withdrawals!$G:$G),0)),"")</f>
        <v/>
      </c>
      <c r="N641" t="str">
        <f>IFERROR(IF(A641="","",MAX(0,M641-System_Config!$B$9)),"")</f>
        <v/>
      </c>
    </row>
    <row r="642" spans="1:14" ht="15" customHeight="1" x14ac:dyDescent="0.25">
      <c r="A642" t="str">
        <f>'NEW ACCOUNT'!A643</f>
        <v/>
      </c>
      <c r="B642" t="str">
        <f>IF('NEW ACCOUNT'!A643="","",'NEW ACCOUNT'!B643)</f>
        <v/>
      </c>
      <c r="C642" t="str">
        <f>IF('NEW ACCOUNT'!A643="","",'NEW ACCOUNT'!C643)</f>
        <v/>
      </c>
      <c r="D642" t="str">
        <f>IF('NEW ACCOUNT'!A643="","",'NEW ACCOUNT'!D643)</f>
        <v/>
      </c>
      <c r="E642" t="str">
        <f>IF('NEW ACCOUNT'!A643="","",'NEW ACCOUNT'!E643)</f>
        <v/>
      </c>
      <c r="F642" t="str">
        <f>IF('NEW ACCOUNT'!A643="","",'NEW ACCOUNT'!F643)</f>
        <v/>
      </c>
      <c r="G642" t="str">
        <f>IF('NEW ACCOUNT'!A643="","",'NEW ACCOUNT'!G643)</f>
        <v/>
      </c>
      <c r="H642" t="str">
        <f>IF('NEW ACCOUNT'!A643="","",'NEW ACCOUNT'!H643)</f>
        <v/>
      </c>
      <c r="I642" t="str">
        <f>IF('NEW ACCOUNT'!A643="","",'NEW ACCOUNT'!I643)</f>
        <v/>
      </c>
      <c r="J642" t="str">
        <f>IF('NEW ACCOUNT'!A643="","",'NEW ACCOUNT'!J643)</f>
        <v/>
      </c>
      <c r="K642" t="str">
        <f>IFERROR(IF(A642="","",SUMIF(DB_Savings!$A:$A,A642,DB_Savings!$F:$F)),"")</f>
        <v/>
      </c>
      <c r="L642" t="str">
        <f>IFERROR(IF(A642="","",SUMIF(DB_Withdrawals!$A:$A,A642,DB_Withdrawals!$G:$G)),"")</f>
        <v/>
      </c>
      <c r="M642" t="str">
        <f>IFERROR(IF(A642="","",IFERROR(VALUE(H642),0)+IFERROR(SUMIF(DB_Savings!$A:$A,A642,DB_Savings!$F:$F),0)-IFERROR(SUMIF(DB_Withdrawals!$A:$A,A642,DB_Withdrawals!$G:$G),0)),"")</f>
        <v/>
      </c>
      <c r="N642" t="str">
        <f>IFERROR(IF(A642="","",MAX(0,M642-System_Config!$B$9)),"")</f>
        <v/>
      </c>
    </row>
    <row r="643" spans="1:14" ht="15" customHeight="1" x14ac:dyDescent="0.25">
      <c r="A643" t="str">
        <f>'NEW ACCOUNT'!A644</f>
        <v/>
      </c>
      <c r="B643" t="str">
        <f>IF('NEW ACCOUNT'!A644="","",'NEW ACCOUNT'!B644)</f>
        <v/>
      </c>
      <c r="C643" t="str">
        <f>IF('NEW ACCOUNT'!A644="","",'NEW ACCOUNT'!C644)</f>
        <v/>
      </c>
      <c r="D643" t="str">
        <f>IF('NEW ACCOUNT'!A644="","",'NEW ACCOUNT'!D644)</f>
        <v/>
      </c>
      <c r="E643" t="str">
        <f>IF('NEW ACCOUNT'!A644="","",'NEW ACCOUNT'!E644)</f>
        <v/>
      </c>
      <c r="F643" t="str">
        <f>IF('NEW ACCOUNT'!A644="","",'NEW ACCOUNT'!F644)</f>
        <v/>
      </c>
      <c r="G643" t="str">
        <f>IF('NEW ACCOUNT'!A644="","",'NEW ACCOUNT'!G644)</f>
        <v/>
      </c>
      <c r="H643" t="str">
        <f>IF('NEW ACCOUNT'!A644="","",'NEW ACCOUNT'!H644)</f>
        <v/>
      </c>
      <c r="I643" t="str">
        <f>IF('NEW ACCOUNT'!A644="","",'NEW ACCOUNT'!I644)</f>
        <v/>
      </c>
      <c r="J643" t="str">
        <f>IF('NEW ACCOUNT'!A644="","",'NEW ACCOUNT'!J644)</f>
        <v/>
      </c>
      <c r="K643" t="str">
        <f>IFERROR(IF(A643="","",SUMIF(DB_Savings!$A:$A,A643,DB_Savings!$F:$F)),"")</f>
        <v/>
      </c>
      <c r="L643" t="str">
        <f>IFERROR(IF(A643="","",SUMIF(DB_Withdrawals!$A:$A,A643,DB_Withdrawals!$G:$G)),"")</f>
        <v/>
      </c>
      <c r="M643" t="str">
        <f>IFERROR(IF(A643="","",IFERROR(VALUE(H643),0)+IFERROR(SUMIF(DB_Savings!$A:$A,A643,DB_Savings!$F:$F),0)-IFERROR(SUMIF(DB_Withdrawals!$A:$A,A643,DB_Withdrawals!$G:$G),0)),"")</f>
        <v/>
      </c>
      <c r="N643" t="str">
        <f>IFERROR(IF(A643="","",MAX(0,M643-System_Config!$B$9)),"")</f>
        <v/>
      </c>
    </row>
    <row r="644" spans="1:14" ht="15" customHeight="1" x14ac:dyDescent="0.25">
      <c r="A644" t="str">
        <f>'NEW ACCOUNT'!A645</f>
        <v/>
      </c>
      <c r="B644" t="str">
        <f>IF('NEW ACCOUNT'!A645="","",'NEW ACCOUNT'!B645)</f>
        <v/>
      </c>
      <c r="C644" t="str">
        <f>IF('NEW ACCOUNT'!A645="","",'NEW ACCOUNT'!C645)</f>
        <v/>
      </c>
      <c r="D644" t="str">
        <f>IF('NEW ACCOUNT'!A645="","",'NEW ACCOUNT'!D645)</f>
        <v/>
      </c>
      <c r="E644" t="str">
        <f>IF('NEW ACCOUNT'!A645="","",'NEW ACCOUNT'!E645)</f>
        <v/>
      </c>
      <c r="F644" t="str">
        <f>IF('NEW ACCOUNT'!A645="","",'NEW ACCOUNT'!F645)</f>
        <v/>
      </c>
      <c r="G644" t="str">
        <f>IF('NEW ACCOUNT'!A645="","",'NEW ACCOUNT'!G645)</f>
        <v/>
      </c>
      <c r="H644" t="str">
        <f>IF('NEW ACCOUNT'!A645="","",'NEW ACCOUNT'!H645)</f>
        <v/>
      </c>
      <c r="I644" t="str">
        <f>IF('NEW ACCOUNT'!A645="","",'NEW ACCOUNT'!I645)</f>
        <v/>
      </c>
      <c r="J644" t="str">
        <f>IF('NEW ACCOUNT'!A645="","",'NEW ACCOUNT'!J645)</f>
        <v/>
      </c>
      <c r="K644" t="str">
        <f>IFERROR(IF(A644="","",SUMIF(DB_Savings!$A:$A,A644,DB_Savings!$F:$F)),"")</f>
        <v/>
      </c>
      <c r="L644" t="str">
        <f>IFERROR(IF(A644="","",SUMIF(DB_Withdrawals!$A:$A,A644,DB_Withdrawals!$G:$G)),"")</f>
        <v/>
      </c>
      <c r="M644" t="str">
        <f>IFERROR(IF(A644="","",IFERROR(VALUE(H644),0)+IFERROR(SUMIF(DB_Savings!$A:$A,A644,DB_Savings!$F:$F),0)-IFERROR(SUMIF(DB_Withdrawals!$A:$A,A644,DB_Withdrawals!$G:$G),0)),"")</f>
        <v/>
      </c>
      <c r="N644" t="str">
        <f>IFERROR(IF(A644="","",MAX(0,M644-System_Config!$B$9)),"")</f>
        <v/>
      </c>
    </row>
    <row r="645" spans="1:14" ht="15" customHeight="1" x14ac:dyDescent="0.25">
      <c r="A645" t="str">
        <f>'NEW ACCOUNT'!A646</f>
        <v/>
      </c>
      <c r="B645" t="str">
        <f>IF('NEW ACCOUNT'!A646="","",'NEW ACCOUNT'!B646)</f>
        <v/>
      </c>
      <c r="C645" t="str">
        <f>IF('NEW ACCOUNT'!A646="","",'NEW ACCOUNT'!C646)</f>
        <v/>
      </c>
      <c r="D645" t="str">
        <f>IF('NEW ACCOUNT'!A646="","",'NEW ACCOUNT'!D646)</f>
        <v/>
      </c>
      <c r="E645" t="str">
        <f>IF('NEW ACCOUNT'!A646="","",'NEW ACCOUNT'!E646)</f>
        <v/>
      </c>
      <c r="F645" t="str">
        <f>IF('NEW ACCOUNT'!A646="","",'NEW ACCOUNT'!F646)</f>
        <v/>
      </c>
      <c r="G645" t="str">
        <f>IF('NEW ACCOUNT'!A646="","",'NEW ACCOUNT'!G646)</f>
        <v/>
      </c>
      <c r="H645" t="str">
        <f>IF('NEW ACCOUNT'!A646="","",'NEW ACCOUNT'!H646)</f>
        <v/>
      </c>
      <c r="I645" t="str">
        <f>IF('NEW ACCOUNT'!A646="","",'NEW ACCOUNT'!I646)</f>
        <v/>
      </c>
      <c r="J645" t="str">
        <f>IF('NEW ACCOUNT'!A646="","",'NEW ACCOUNT'!J646)</f>
        <v/>
      </c>
      <c r="K645" t="str">
        <f>IFERROR(IF(A645="","",SUMIF(DB_Savings!$A:$A,A645,DB_Savings!$F:$F)),"")</f>
        <v/>
      </c>
      <c r="L645" t="str">
        <f>IFERROR(IF(A645="","",SUMIF(DB_Withdrawals!$A:$A,A645,DB_Withdrawals!$G:$G)),"")</f>
        <v/>
      </c>
      <c r="M645" t="str">
        <f>IFERROR(IF(A645="","",IFERROR(VALUE(H645),0)+IFERROR(SUMIF(DB_Savings!$A:$A,A645,DB_Savings!$F:$F),0)-IFERROR(SUMIF(DB_Withdrawals!$A:$A,A645,DB_Withdrawals!$G:$G),0)),"")</f>
        <v/>
      </c>
      <c r="N645" t="str">
        <f>IFERROR(IF(A645="","",MAX(0,M645-System_Config!$B$9)),"")</f>
        <v/>
      </c>
    </row>
    <row r="646" spans="1:14" ht="15" customHeight="1" x14ac:dyDescent="0.25">
      <c r="A646" t="str">
        <f>'NEW ACCOUNT'!A647</f>
        <v/>
      </c>
      <c r="B646" t="str">
        <f>IF('NEW ACCOUNT'!A647="","",'NEW ACCOUNT'!B647)</f>
        <v/>
      </c>
      <c r="C646" t="str">
        <f>IF('NEW ACCOUNT'!A647="","",'NEW ACCOUNT'!C647)</f>
        <v/>
      </c>
      <c r="D646" t="str">
        <f>IF('NEW ACCOUNT'!A647="","",'NEW ACCOUNT'!D647)</f>
        <v/>
      </c>
      <c r="E646" t="str">
        <f>IF('NEW ACCOUNT'!A647="","",'NEW ACCOUNT'!E647)</f>
        <v/>
      </c>
      <c r="F646" t="str">
        <f>IF('NEW ACCOUNT'!A647="","",'NEW ACCOUNT'!F647)</f>
        <v/>
      </c>
      <c r="G646" t="str">
        <f>IF('NEW ACCOUNT'!A647="","",'NEW ACCOUNT'!G647)</f>
        <v/>
      </c>
      <c r="H646" t="str">
        <f>IF('NEW ACCOUNT'!A647="","",'NEW ACCOUNT'!H647)</f>
        <v/>
      </c>
      <c r="I646" t="str">
        <f>IF('NEW ACCOUNT'!A647="","",'NEW ACCOUNT'!I647)</f>
        <v/>
      </c>
      <c r="J646" t="str">
        <f>IF('NEW ACCOUNT'!A647="","",'NEW ACCOUNT'!J647)</f>
        <v/>
      </c>
      <c r="K646" t="str">
        <f>IFERROR(IF(A646="","",SUMIF(DB_Savings!$A:$A,A646,DB_Savings!$F:$F)),"")</f>
        <v/>
      </c>
      <c r="L646" t="str">
        <f>IFERROR(IF(A646="","",SUMIF(DB_Withdrawals!$A:$A,A646,DB_Withdrawals!$G:$G)),"")</f>
        <v/>
      </c>
      <c r="M646" t="str">
        <f>IFERROR(IF(A646="","",IFERROR(VALUE(H646),0)+IFERROR(SUMIF(DB_Savings!$A:$A,A646,DB_Savings!$F:$F),0)-IFERROR(SUMIF(DB_Withdrawals!$A:$A,A646,DB_Withdrawals!$G:$G),0)),"")</f>
        <v/>
      </c>
      <c r="N646" t="str">
        <f>IFERROR(IF(A646="","",MAX(0,M646-System_Config!$B$9)),"")</f>
        <v/>
      </c>
    </row>
    <row r="647" spans="1:14" ht="15" customHeight="1" x14ac:dyDescent="0.25">
      <c r="A647" t="str">
        <f>'NEW ACCOUNT'!A648</f>
        <v/>
      </c>
      <c r="B647" t="str">
        <f>IF('NEW ACCOUNT'!A648="","",'NEW ACCOUNT'!B648)</f>
        <v/>
      </c>
      <c r="C647" t="str">
        <f>IF('NEW ACCOUNT'!A648="","",'NEW ACCOUNT'!C648)</f>
        <v/>
      </c>
      <c r="D647" t="str">
        <f>IF('NEW ACCOUNT'!A648="","",'NEW ACCOUNT'!D648)</f>
        <v/>
      </c>
      <c r="E647" t="str">
        <f>IF('NEW ACCOUNT'!A648="","",'NEW ACCOUNT'!E648)</f>
        <v/>
      </c>
      <c r="F647" t="str">
        <f>IF('NEW ACCOUNT'!A648="","",'NEW ACCOUNT'!F648)</f>
        <v/>
      </c>
      <c r="G647" t="str">
        <f>IF('NEW ACCOUNT'!A648="","",'NEW ACCOUNT'!G648)</f>
        <v/>
      </c>
      <c r="H647" t="str">
        <f>IF('NEW ACCOUNT'!A648="","",'NEW ACCOUNT'!H648)</f>
        <v/>
      </c>
      <c r="I647" t="str">
        <f>IF('NEW ACCOUNT'!A648="","",'NEW ACCOUNT'!I648)</f>
        <v/>
      </c>
      <c r="J647" t="str">
        <f>IF('NEW ACCOUNT'!A648="","",'NEW ACCOUNT'!J648)</f>
        <v/>
      </c>
      <c r="K647" t="str">
        <f>IFERROR(IF(A647="","",SUMIF(DB_Savings!$A:$A,A647,DB_Savings!$F:$F)),"")</f>
        <v/>
      </c>
      <c r="L647" t="str">
        <f>IFERROR(IF(A647="","",SUMIF(DB_Withdrawals!$A:$A,A647,DB_Withdrawals!$G:$G)),"")</f>
        <v/>
      </c>
      <c r="M647" t="str">
        <f>IFERROR(IF(A647="","",IFERROR(VALUE(H647),0)+IFERROR(SUMIF(DB_Savings!$A:$A,A647,DB_Savings!$F:$F),0)-IFERROR(SUMIF(DB_Withdrawals!$A:$A,A647,DB_Withdrawals!$G:$G),0)),"")</f>
        <v/>
      </c>
      <c r="N647" t="str">
        <f>IFERROR(IF(A647="","",MAX(0,M647-System_Config!$B$9)),"")</f>
        <v/>
      </c>
    </row>
    <row r="648" spans="1:14" ht="15" customHeight="1" x14ac:dyDescent="0.25">
      <c r="A648" t="str">
        <f>'NEW ACCOUNT'!A649</f>
        <v/>
      </c>
      <c r="B648" t="str">
        <f>IF('NEW ACCOUNT'!A649="","",'NEW ACCOUNT'!B649)</f>
        <v/>
      </c>
      <c r="C648" t="str">
        <f>IF('NEW ACCOUNT'!A649="","",'NEW ACCOUNT'!C649)</f>
        <v/>
      </c>
      <c r="D648" t="str">
        <f>IF('NEW ACCOUNT'!A649="","",'NEW ACCOUNT'!D649)</f>
        <v/>
      </c>
      <c r="E648" t="str">
        <f>IF('NEW ACCOUNT'!A649="","",'NEW ACCOUNT'!E649)</f>
        <v/>
      </c>
      <c r="F648" t="str">
        <f>IF('NEW ACCOUNT'!A649="","",'NEW ACCOUNT'!F649)</f>
        <v/>
      </c>
      <c r="G648" t="str">
        <f>IF('NEW ACCOUNT'!A649="","",'NEW ACCOUNT'!G649)</f>
        <v/>
      </c>
      <c r="H648" t="str">
        <f>IF('NEW ACCOUNT'!A649="","",'NEW ACCOUNT'!H649)</f>
        <v/>
      </c>
      <c r="I648" t="str">
        <f>IF('NEW ACCOUNT'!A649="","",'NEW ACCOUNT'!I649)</f>
        <v/>
      </c>
      <c r="J648" t="str">
        <f>IF('NEW ACCOUNT'!A649="","",'NEW ACCOUNT'!J649)</f>
        <v/>
      </c>
      <c r="K648" t="str">
        <f>IFERROR(IF(A648="","",SUMIF(DB_Savings!$A:$A,A648,DB_Savings!$F:$F)),"")</f>
        <v/>
      </c>
      <c r="L648" t="str">
        <f>IFERROR(IF(A648="","",SUMIF(DB_Withdrawals!$A:$A,A648,DB_Withdrawals!$G:$G)),"")</f>
        <v/>
      </c>
      <c r="M648" t="str">
        <f>IFERROR(IF(A648="","",IFERROR(VALUE(H648),0)+IFERROR(SUMIF(DB_Savings!$A:$A,A648,DB_Savings!$F:$F),0)-IFERROR(SUMIF(DB_Withdrawals!$A:$A,A648,DB_Withdrawals!$G:$G),0)),"")</f>
        <v/>
      </c>
      <c r="N648" t="str">
        <f>IFERROR(IF(A648="","",MAX(0,M648-System_Config!$B$9)),"")</f>
        <v/>
      </c>
    </row>
    <row r="649" spans="1:14" ht="15" customHeight="1" x14ac:dyDescent="0.25">
      <c r="A649" t="str">
        <f>'NEW ACCOUNT'!A650</f>
        <v/>
      </c>
      <c r="B649" t="str">
        <f>IF('NEW ACCOUNT'!A650="","",'NEW ACCOUNT'!B650)</f>
        <v/>
      </c>
      <c r="C649" t="str">
        <f>IF('NEW ACCOUNT'!A650="","",'NEW ACCOUNT'!C650)</f>
        <v/>
      </c>
      <c r="D649" t="str">
        <f>IF('NEW ACCOUNT'!A650="","",'NEW ACCOUNT'!D650)</f>
        <v/>
      </c>
      <c r="E649" t="str">
        <f>IF('NEW ACCOUNT'!A650="","",'NEW ACCOUNT'!E650)</f>
        <v/>
      </c>
      <c r="F649" t="str">
        <f>IF('NEW ACCOUNT'!A650="","",'NEW ACCOUNT'!F650)</f>
        <v/>
      </c>
      <c r="G649" t="str">
        <f>IF('NEW ACCOUNT'!A650="","",'NEW ACCOUNT'!G650)</f>
        <v/>
      </c>
      <c r="H649" t="str">
        <f>IF('NEW ACCOUNT'!A650="","",'NEW ACCOUNT'!H650)</f>
        <v/>
      </c>
      <c r="I649" t="str">
        <f>IF('NEW ACCOUNT'!A650="","",'NEW ACCOUNT'!I650)</f>
        <v/>
      </c>
      <c r="J649" t="str">
        <f>IF('NEW ACCOUNT'!A650="","",'NEW ACCOUNT'!J650)</f>
        <v/>
      </c>
      <c r="K649" t="str">
        <f>IFERROR(IF(A649="","",SUMIF(DB_Savings!$A:$A,A649,DB_Savings!$F:$F)),"")</f>
        <v/>
      </c>
      <c r="L649" t="str">
        <f>IFERROR(IF(A649="","",SUMIF(DB_Withdrawals!$A:$A,A649,DB_Withdrawals!$G:$G)),"")</f>
        <v/>
      </c>
      <c r="M649" t="str">
        <f>IFERROR(IF(A649="","",IFERROR(VALUE(H649),0)+IFERROR(SUMIF(DB_Savings!$A:$A,A649,DB_Savings!$F:$F),0)-IFERROR(SUMIF(DB_Withdrawals!$A:$A,A649,DB_Withdrawals!$G:$G),0)),"")</f>
        <v/>
      </c>
      <c r="N649" t="str">
        <f>IFERROR(IF(A649="","",MAX(0,M649-System_Config!$B$9)),"")</f>
        <v/>
      </c>
    </row>
    <row r="650" spans="1:14" ht="15" customHeight="1" x14ac:dyDescent="0.25">
      <c r="A650" t="str">
        <f>'NEW ACCOUNT'!A651</f>
        <v/>
      </c>
      <c r="B650" t="str">
        <f>IF('NEW ACCOUNT'!A651="","",'NEW ACCOUNT'!B651)</f>
        <v/>
      </c>
      <c r="C650" t="str">
        <f>IF('NEW ACCOUNT'!A651="","",'NEW ACCOUNT'!C651)</f>
        <v/>
      </c>
      <c r="D650" t="str">
        <f>IF('NEW ACCOUNT'!A651="","",'NEW ACCOUNT'!D651)</f>
        <v/>
      </c>
      <c r="E650" t="str">
        <f>IF('NEW ACCOUNT'!A651="","",'NEW ACCOUNT'!E651)</f>
        <v/>
      </c>
      <c r="F650" t="str">
        <f>IF('NEW ACCOUNT'!A651="","",'NEW ACCOUNT'!F651)</f>
        <v/>
      </c>
      <c r="G650" t="str">
        <f>IF('NEW ACCOUNT'!A651="","",'NEW ACCOUNT'!G651)</f>
        <v/>
      </c>
      <c r="H650" t="str">
        <f>IF('NEW ACCOUNT'!A651="","",'NEW ACCOUNT'!H651)</f>
        <v/>
      </c>
      <c r="I650" t="str">
        <f>IF('NEW ACCOUNT'!A651="","",'NEW ACCOUNT'!I651)</f>
        <v/>
      </c>
      <c r="J650" t="str">
        <f>IF('NEW ACCOUNT'!A651="","",'NEW ACCOUNT'!J651)</f>
        <v/>
      </c>
      <c r="K650" t="str">
        <f>IFERROR(IF(A650="","",SUMIF(DB_Savings!$A:$A,A650,DB_Savings!$F:$F)),"")</f>
        <v/>
      </c>
      <c r="L650" t="str">
        <f>IFERROR(IF(A650="","",SUMIF(DB_Withdrawals!$A:$A,A650,DB_Withdrawals!$G:$G)),"")</f>
        <v/>
      </c>
      <c r="M650" t="str">
        <f>IFERROR(IF(A650="","",IFERROR(VALUE(H650),0)+IFERROR(SUMIF(DB_Savings!$A:$A,A650,DB_Savings!$F:$F),0)-IFERROR(SUMIF(DB_Withdrawals!$A:$A,A650,DB_Withdrawals!$G:$G),0)),"")</f>
        <v/>
      </c>
      <c r="N650" t="str">
        <f>IFERROR(IF(A650="","",MAX(0,M650-System_Config!$B$9)),"")</f>
        <v/>
      </c>
    </row>
    <row r="651" spans="1:14" ht="15" customHeight="1" x14ac:dyDescent="0.25">
      <c r="A651" t="str">
        <f>'NEW ACCOUNT'!A652</f>
        <v/>
      </c>
      <c r="B651" t="str">
        <f>IF('NEW ACCOUNT'!A652="","",'NEW ACCOUNT'!B652)</f>
        <v/>
      </c>
      <c r="C651" t="str">
        <f>IF('NEW ACCOUNT'!A652="","",'NEW ACCOUNT'!C652)</f>
        <v/>
      </c>
      <c r="D651" t="str">
        <f>IF('NEW ACCOUNT'!A652="","",'NEW ACCOUNT'!D652)</f>
        <v/>
      </c>
      <c r="E651" t="str">
        <f>IF('NEW ACCOUNT'!A652="","",'NEW ACCOUNT'!E652)</f>
        <v/>
      </c>
      <c r="F651" t="str">
        <f>IF('NEW ACCOUNT'!A652="","",'NEW ACCOUNT'!F652)</f>
        <v/>
      </c>
      <c r="G651" t="str">
        <f>IF('NEW ACCOUNT'!A652="","",'NEW ACCOUNT'!G652)</f>
        <v/>
      </c>
      <c r="H651" t="str">
        <f>IF('NEW ACCOUNT'!A652="","",'NEW ACCOUNT'!H652)</f>
        <v/>
      </c>
      <c r="I651" t="str">
        <f>IF('NEW ACCOUNT'!A652="","",'NEW ACCOUNT'!I652)</f>
        <v/>
      </c>
      <c r="J651" t="str">
        <f>IF('NEW ACCOUNT'!A652="","",'NEW ACCOUNT'!J652)</f>
        <v/>
      </c>
      <c r="K651" t="str">
        <f>IFERROR(IF(A651="","",SUMIF(DB_Savings!$A:$A,A651,DB_Savings!$F:$F)),"")</f>
        <v/>
      </c>
      <c r="L651" t="str">
        <f>IFERROR(IF(A651="","",SUMIF(DB_Withdrawals!$A:$A,A651,DB_Withdrawals!$G:$G)),"")</f>
        <v/>
      </c>
      <c r="M651" t="str">
        <f>IFERROR(IF(A651="","",IFERROR(VALUE(H651),0)+IFERROR(SUMIF(DB_Savings!$A:$A,A651,DB_Savings!$F:$F),0)-IFERROR(SUMIF(DB_Withdrawals!$A:$A,A651,DB_Withdrawals!$G:$G),0)),"")</f>
        <v/>
      </c>
      <c r="N651" t="str">
        <f>IFERROR(IF(A651="","",MAX(0,M651-System_Config!$B$9)),"")</f>
        <v/>
      </c>
    </row>
    <row r="652" spans="1:14" ht="15" customHeight="1" x14ac:dyDescent="0.25">
      <c r="A652" t="str">
        <f>'NEW ACCOUNT'!A653</f>
        <v/>
      </c>
      <c r="B652" t="str">
        <f>IF('NEW ACCOUNT'!A653="","",'NEW ACCOUNT'!B653)</f>
        <v/>
      </c>
      <c r="C652" t="str">
        <f>IF('NEW ACCOUNT'!A653="","",'NEW ACCOUNT'!C653)</f>
        <v/>
      </c>
      <c r="D652" t="str">
        <f>IF('NEW ACCOUNT'!A653="","",'NEW ACCOUNT'!D653)</f>
        <v/>
      </c>
      <c r="E652" t="str">
        <f>IF('NEW ACCOUNT'!A653="","",'NEW ACCOUNT'!E653)</f>
        <v/>
      </c>
      <c r="F652" t="str">
        <f>IF('NEW ACCOUNT'!A653="","",'NEW ACCOUNT'!F653)</f>
        <v/>
      </c>
      <c r="G652" t="str">
        <f>IF('NEW ACCOUNT'!A653="","",'NEW ACCOUNT'!G653)</f>
        <v/>
      </c>
      <c r="H652" t="str">
        <f>IF('NEW ACCOUNT'!A653="","",'NEW ACCOUNT'!H653)</f>
        <v/>
      </c>
      <c r="I652" t="str">
        <f>IF('NEW ACCOUNT'!A653="","",'NEW ACCOUNT'!I653)</f>
        <v/>
      </c>
      <c r="J652" t="str">
        <f>IF('NEW ACCOUNT'!A653="","",'NEW ACCOUNT'!J653)</f>
        <v/>
      </c>
      <c r="K652" t="str">
        <f>IFERROR(IF(A652="","",SUMIF(DB_Savings!$A:$A,A652,DB_Savings!$F:$F)),"")</f>
        <v/>
      </c>
      <c r="L652" t="str">
        <f>IFERROR(IF(A652="","",SUMIF(DB_Withdrawals!$A:$A,A652,DB_Withdrawals!$G:$G)),"")</f>
        <v/>
      </c>
      <c r="M652" t="str">
        <f>IFERROR(IF(A652="","",IFERROR(VALUE(H652),0)+IFERROR(SUMIF(DB_Savings!$A:$A,A652,DB_Savings!$F:$F),0)-IFERROR(SUMIF(DB_Withdrawals!$A:$A,A652,DB_Withdrawals!$G:$G),0)),"")</f>
        <v/>
      </c>
      <c r="N652" t="str">
        <f>IFERROR(IF(A652="","",MAX(0,M652-System_Config!$B$9)),"")</f>
        <v/>
      </c>
    </row>
    <row r="653" spans="1:14" ht="15" customHeight="1" x14ac:dyDescent="0.25">
      <c r="A653" t="str">
        <f>'NEW ACCOUNT'!A654</f>
        <v/>
      </c>
      <c r="B653" t="str">
        <f>IF('NEW ACCOUNT'!A654="","",'NEW ACCOUNT'!B654)</f>
        <v/>
      </c>
      <c r="C653" t="str">
        <f>IF('NEW ACCOUNT'!A654="","",'NEW ACCOUNT'!C654)</f>
        <v/>
      </c>
      <c r="D653" t="str">
        <f>IF('NEW ACCOUNT'!A654="","",'NEW ACCOUNT'!D654)</f>
        <v/>
      </c>
      <c r="E653" t="str">
        <f>IF('NEW ACCOUNT'!A654="","",'NEW ACCOUNT'!E654)</f>
        <v/>
      </c>
      <c r="F653" t="str">
        <f>IF('NEW ACCOUNT'!A654="","",'NEW ACCOUNT'!F654)</f>
        <v/>
      </c>
      <c r="G653" t="str">
        <f>IF('NEW ACCOUNT'!A654="","",'NEW ACCOUNT'!G654)</f>
        <v/>
      </c>
      <c r="H653" t="str">
        <f>IF('NEW ACCOUNT'!A654="","",'NEW ACCOUNT'!H654)</f>
        <v/>
      </c>
      <c r="I653" t="str">
        <f>IF('NEW ACCOUNT'!A654="","",'NEW ACCOUNT'!I654)</f>
        <v/>
      </c>
      <c r="J653" t="str">
        <f>IF('NEW ACCOUNT'!A654="","",'NEW ACCOUNT'!J654)</f>
        <v/>
      </c>
      <c r="K653" t="str">
        <f>IFERROR(IF(A653="","",SUMIF(DB_Savings!$A:$A,A653,DB_Savings!$F:$F)),"")</f>
        <v/>
      </c>
      <c r="L653" t="str">
        <f>IFERROR(IF(A653="","",SUMIF(DB_Withdrawals!$A:$A,A653,DB_Withdrawals!$G:$G)),"")</f>
        <v/>
      </c>
      <c r="M653" t="str">
        <f>IFERROR(IF(A653="","",IFERROR(VALUE(H653),0)+IFERROR(SUMIF(DB_Savings!$A:$A,A653,DB_Savings!$F:$F),0)-IFERROR(SUMIF(DB_Withdrawals!$A:$A,A653,DB_Withdrawals!$G:$G),0)),"")</f>
        <v/>
      </c>
      <c r="N653" t="str">
        <f>IFERROR(IF(A653="","",MAX(0,M653-System_Config!$B$9)),"")</f>
        <v/>
      </c>
    </row>
    <row r="654" spans="1:14" ht="15" customHeight="1" x14ac:dyDescent="0.25">
      <c r="A654" t="str">
        <f>'NEW ACCOUNT'!A655</f>
        <v/>
      </c>
      <c r="B654" t="str">
        <f>IF('NEW ACCOUNT'!A655="","",'NEW ACCOUNT'!B655)</f>
        <v/>
      </c>
      <c r="C654" t="str">
        <f>IF('NEW ACCOUNT'!A655="","",'NEW ACCOUNT'!C655)</f>
        <v/>
      </c>
      <c r="D654" t="str">
        <f>IF('NEW ACCOUNT'!A655="","",'NEW ACCOUNT'!D655)</f>
        <v/>
      </c>
      <c r="E654" t="str">
        <f>IF('NEW ACCOUNT'!A655="","",'NEW ACCOUNT'!E655)</f>
        <v/>
      </c>
      <c r="F654" t="str">
        <f>IF('NEW ACCOUNT'!A655="","",'NEW ACCOUNT'!F655)</f>
        <v/>
      </c>
      <c r="G654" t="str">
        <f>IF('NEW ACCOUNT'!A655="","",'NEW ACCOUNT'!G655)</f>
        <v/>
      </c>
      <c r="H654" t="str">
        <f>IF('NEW ACCOUNT'!A655="","",'NEW ACCOUNT'!H655)</f>
        <v/>
      </c>
      <c r="I654" t="str">
        <f>IF('NEW ACCOUNT'!A655="","",'NEW ACCOUNT'!I655)</f>
        <v/>
      </c>
      <c r="J654" t="str">
        <f>IF('NEW ACCOUNT'!A655="","",'NEW ACCOUNT'!J655)</f>
        <v/>
      </c>
      <c r="K654" t="str">
        <f>IFERROR(IF(A654="","",SUMIF(DB_Savings!$A:$A,A654,DB_Savings!$F:$F)),"")</f>
        <v/>
      </c>
      <c r="L654" t="str">
        <f>IFERROR(IF(A654="","",SUMIF(DB_Withdrawals!$A:$A,A654,DB_Withdrawals!$G:$G)),"")</f>
        <v/>
      </c>
      <c r="M654" t="str">
        <f>IFERROR(IF(A654="","",IFERROR(VALUE(H654),0)+IFERROR(SUMIF(DB_Savings!$A:$A,A654,DB_Savings!$F:$F),0)-IFERROR(SUMIF(DB_Withdrawals!$A:$A,A654,DB_Withdrawals!$G:$G),0)),"")</f>
        <v/>
      </c>
      <c r="N654" t="str">
        <f>IFERROR(IF(A654="","",MAX(0,M654-System_Config!$B$9)),"")</f>
        <v/>
      </c>
    </row>
    <row r="655" spans="1:14" ht="15" customHeight="1" x14ac:dyDescent="0.25">
      <c r="A655" t="str">
        <f>'NEW ACCOUNT'!A656</f>
        <v/>
      </c>
      <c r="B655" t="str">
        <f>IF('NEW ACCOUNT'!A656="","",'NEW ACCOUNT'!B656)</f>
        <v/>
      </c>
      <c r="C655" t="str">
        <f>IF('NEW ACCOUNT'!A656="","",'NEW ACCOUNT'!C656)</f>
        <v/>
      </c>
      <c r="D655" t="str">
        <f>IF('NEW ACCOUNT'!A656="","",'NEW ACCOUNT'!D656)</f>
        <v/>
      </c>
      <c r="E655" t="str">
        <f>IF('NEW ACCOUNT'!A656="","",'NEW ACCOUNT'!E656)</f>
        <v/>
      </c>
      <c r="F655" t="str">
        <f>IF('NEW ACCOUNT'!A656="","",'NEW ACCOUNT'!F656)</f>
        <v/>
      </c>
      <c r="G655" t="str">
        <f>IF('NEW ACCOUNT'!A656="","",'NEW ACCOUNT'!G656)</f>
        <v/>
      </c>
      <c r="H655" t="str">
        <f>IF('NEW ACCOUNT'!A656="","",'NEW ACCOUNT'!H656)</f>
        <v/>
      </c>
      <c r="I655" t="str">
        <f>IF('NEW ACCOUNT'!A656="","",'NEW ACCOUNT'!I656)</f>
        <v/>
      </c>
      <c r="J655" t="str">
        <f>IF('NEW ACCOUNT'!A656="","",'NEW ACCOUNT'!J656)</f>
        <v/>
      </c>
      <c r="K655" t="str">
        <f>IFERROR(IF(A655="","",SUMIF(DB_Savings!$A:$A,A655,DB_Savings!$F:$F)),"")</f>
        <v/>
      </c>
      <c r="L655" t="str">
        <f>IFERROR(IF(A655="","",SUMIF(DB_Withdrawals!$A:$A,A655,DB_Withdrawals!$G:$G)),"")</f>
        <v/>
      </c>
      <c r="M655" t="str">
        <f>IFERROR(IF(A655="","",IFERROR(VALUE(H655),0)+IFERROR(SUMIF(DB_Savings!$A:$A,A655,DB_Savings!$F:$F),0)-IFERROR(SUMIF(DB_Withdrawals!$A:$A,A655,DB_Withdrawals!$G:$G),0)),"")</f>
        <v/>
      </c>
      <c r="N655" t="str">
        <f>IFERROR(IF(A655="","",MAX(0,M655-System_Config!$B$9)),"")</f>
        <v/>
      </c>
    </row>
    <row r="656" spans="1:14" ht="15" customHeight="1" x14ac:dyDescent="0.25">
      <c r="A656" t="str">
        <f>'NEW ACCOUNT'!A657</f>
        <v/>
      </c>
      <c r="B656" t="str">
        <f>IF('NEW ACCOUNT'!A657="","",'NEW ACCOUNT'!B657)</f>
        <v/>
      </c>
      <c r="C656" t="str">
        <f>IF('NEW ACCOUNT'!A657="","",'NEW ACCOUNT'!C657)</f>
        <v/>
      </c>
      <c r="D656" t="str">
        <f>IF('NEW ACCOUNT'!A657="","",'NEW ACCOUNT'!D657)</f>
        <v/>
      </c>
      <c r="E656" t="str">
        <f>IF('NEW ACCOUNT'!A657="","",'NEW ACCOUNT'!E657)</f>
        <v/>
      </c>
      <c r="F656" t="str">
        <f>IF('NEW ACCOUNT'!A657="","",'NEW ACCOUNT'!F657)</f>
        <v/>
      </c>
      <c r="G656" t="str">
        <f>IF('NEW ACCOUNT'!A657="","",'NEW ACCOUNT'!G657)</f>
        <v/>
      </c>
      <c r="H656" t="str">
        <f>IF('NEW ACCOUNT'!A657="","",'NEW ACCOUNT'!H657)</f>
        <v/>
      </c>
      <c r="I656" t="str">
        <f>IF('NEW ACCOUNT'!A657="","",'NEW ACCOUNT'!I657)</f>
        <v/>
      </c>
      <c r="J656" t="str">
        <f>IF('NEW ACCOUNT'!A657="","",'NEW ACCOUNT'!J657)</f>
        <v/>
      </c>
      <c r="K656" t="str">
        <f>IFERROR(IF(A656="","",SUMIF(DB_Savings!$A:$A,A656,DB_Savings!$F:$F)),"")</f>
        <v/>
      </c>
      <c r="L656" t="str">
        <f>IFERROR(IF(A656="","",SUMIF(DB_Withdrawals!$A:$A,A656,DB_Withdrawals!$G:$G)),"")</f>
        <v/>
      </c>
      <c r="M656" t="str">
        <f>IFERROR(IF(A656="","",IFERROR(VALUE(H656),0)+IFERROR(SUMIF(DB_Savings!$A:$A,A656,DB_Savings!$F:$F),0)-IFERROR(SUMIF(DB_Withdrawals!$A:$A,A656,DB_Withdrawals!$G:$G),0)),"")</f>
        <v/>
      </c>
      <c r="N656" t="str">
        <f>IFERROR(IF(A656="","",MAX(0,M656-System_Config!$B$9)),"")</f>
        <v/>
      </c>
    </row>
    <row r="657" spans="1:14" ht="15" customHeight="1" x14ac:dyDescent="0.25">
      <c r="A657" t="str">
        <f>'NEW ACCOUNT'!A658</f>
        <v/>
      </c>
      <c r="B657" t="str">
        <f>IF('NEW ACCOUNT'!A658="","",'NEW ACCOUNT'!B658)</f>
        <v/>
      </c>
      <c r="C657" t="str">
        <f>IF('NEW ACCOUNT'!A658="","",'NEW ACCOUNT'!C658)</f>
        <v/>
      </c>
      <c r="D657" t="str">
        <f>IF('NEW ACCOUNT'!A658="","",'NEW ACCOUNT'!D658)</f>
        <v/>
      </c>
      <c r="E657" t="str">
        <f>IF('NEW ACCOUNT'!A658="","",'NEW ACCOUNT'!E658)</f>
        <v/>
      </c>
      <c r="F657" t="str">
        <f>IF('NEW ACCOUNT'!A658="","",'NEW ACCOUNT'!F658)</f>
        <v/>
      </c>
      <c r="G657" t="str">
        <f>IF('NEW ACCOUNT'!A658="","",'NEW ACCOUNT'!G658)</f>
        <v/>
      </c>
      <c r="H657" t="str">
        <f>IF('NEW ACCOUNT'!A658="","",'NEW ACCOUNT'!H658)</f>
        <v/>
      </c>
      <c r="I657" t="str">
        <f>IF('NEW ACCOUNT'!A658="","",'NEW ACCOUNT'!I658)</f>
        <v/>
      </c>
      <c r="J657" t="str">
        <f>IF('NEW ACCOUNT'!A658="","",'NEW ACCOUNT'!J658)</f>
        <v/>
      </c>
      <c r="K657" t="str">
        <f>IFERROR(IF(A657="","",SUMIF(DB_Savings!$A:$A,A657,DB_Savings!$F:$F)),"")</f>
        <v/>
      </c>
      <c r="L657" t="str">
        <f>IFERROR(IF(A657="","",SUMIF(DB_Withdrawals!$A:$A,A657,DB_Withdrawals!$G:$G)),"")</f>
        <v/>
      </c>
      <c r="M657" t="str">
        <f>IFERROR(IF(A657="","",IFERROR(VALUE(H657),0)+IFERROR(SUMIF(DB_Savings!$A:$A,A657,DB_Savings!$F:$F),0)-IFERROR(SUMIF(DB_Withdrawals!$A:$A,A657,DB_Withdrawals!$G:$G),0)),"")</f>
        <v/>
      </c>
      <c r="N657" t="str">
        <f>IFERROR(IF(A657="","",MAX(0,M657-System_Config!$B$9)),"")</f>
        <v/>
      </c>
    </row>
    <row r="658" spans="1:14" ht="15" customHeight="1" x14ac:dyDescent="0.25">
      <c r="A658" t="str">
        <f>'NEW ACCOUNT'!A659</f>
        <v/>
      </c>
      <c r="B658" t="str">
        <f>IF('NEW ACCOUNT'!A659="","",'NEW ACCOUNT'!B659)</f>
        <v/>
      </c>
      <c r="C658" t="str">
        <f>IF('NEW ACCOUNT'!A659="","",'NEW ACCOUNT'!C659)</f>
        <v/>
      </c>
      <c r="D658" t="str">
        <f>IF('NEW ACCOUNT'!A659="","",'NEW ACCOUNT'!D659)</f>
        <v/>
      </c>
      <c r="E658" t="str">
        <f>IF('NEW ACCOUNT'!A659="","",'NEW ACCOUNT'!E659)</f>
        <v/>
      </c>
      <c r="F658" t="str">
        <f>IF('NEW ACCOUNT'!A659="","",'NEW ACCOUNT'!F659)</f>
        <v/>
      </c>
      <c r="G658" t="str">
        <f>IF('NEW ACCOUNT'!A659="","",'NEW ACCOUNT'!G659)</f>
        <v/>
      </c>
      <c r="H658" t="str">
        <f>IF('NEW ACCOUNT'!A659="","",'NEW ACCOUNT'!H659)</f>
        <v/>
      </c>
      <c r="I658" t="str">
        <f>IF('NEW ACCOUNT'!A659="","",'NEW ACCOUNT'!I659)</f>
        <v/>
      </c>
      <c r="J658" t="str">
        <f>IF('NEW ACCOUNT'!A659="","",'NEW ACCOUNT'!J659)</f>
        <v/>
      </c>
      <c r="K658" t="str">
        <f>IFERROR(IF(A658="","",SUMIF(DB_Savings!$A:$A,A658,DB_Savings!$F:$F)),"")</f>
        <v/>
      </c>
      <c r="L658" t="str">
        <f>IFERROR(IF(A658="","",SUMIF(DB_Withdrawals!$A:$A,A658,DB_Withdrawals!$G:$G)),"")</f>
        <v/>
      </c>
      <c r="M658" t="str">
        <f>IFERROR(IF(A658="","",IFERROR(VALUE(H658),0)+IFERROR(SUMIF(DB_Savings!$A:$A,A658,DB_Savings!$F:$F),0)-IFERROR(SUMIF(DB_Withdrawals!$A:$A,A658,DB_Withdrawals!$G:$G),0)),"")</f>
        <v/>
      </c>
      <c r="N658" t="str">
        <f>IFERROR(IF(A658="","",MAX(0,M658-System_Config!$B$9)),"")</f>
        <v/>
      </c>
    </row>
    <row r="659" spans="1:14" ht="15" customHeight="1" x14ac:dyDescent="0.25">
      <c r="A659" t="str">
        <f>'NEW ACCOUNT'!A660</f>
        <v/>
      </c>
      <c r="B659" t="str">
        <f>IF('NEW ACCOUNT'!A660="","",'NEW ACCOUNT'!B660)</f>
        <v/>
      </c>
      <c r="C659" t="str">
        <f>IF('NEW ACCOUNT'!A660="","",'NEW ACCOUNT'!C660)</f>
        <v/>
      </c>
      <c r="D659" t="str">
        <f>IF('NEW ACCOUNT'!A660="","",'NEW ACCOUNT'!D660)</f>
        <v/>
      </c>
      <c r="E659" t="str">
        <f>IF('NEW ACCOUNT'!A660="","",'NEW ACCOUNT'!E660)</f>
        <v/>
      </c>
      <c r="F659" t="str">
        <f>IF('NEW ACCOUNT'!A660="","",'NEW ACCOUNT'!F660)</f>
        <v/>
      </c>
      <c r="G659" t="str">
        <f>IF('NEW ACCOUNT'!A660="","",'NEW ACCOUNT'!G660)</f>
        <v/>
      </c>
      <c r="H659" t="str">
        <f>IF('NEW ACCOUNT'!A660="","",'NEW ACCOUNT'!H660)</f>
        <v/>
      </c>
      <c r="I659" t="str">
        <f>IF('NEW ACCOUNT'!A660="","",'NEW ACCOUNT'!I660)</f>
        <v/>
      </c>
      <c r="J659" t="str">
        <f>IF('NEW ACCOUNT'!A660="","",'NEW ACCOUNT'!J660)</f>
        <v/>
      </c>
      <c r="K659" t="str">
        <f>IFERROR(IF(A659="","",SUMIF(DB_Savings!$A:$A,A659,DB_Savings!$F:$F)),"")</f>
        <v/>
      </c>
      <c r="L659" t="str">
        <f>IFERROR(IF(A659="","",SUMIF(DB_Withdrawals!$A:$A,A659,DB_Withdrawals!$G:$G)),"")</f>
        <v/>
      </c>
      <c r="M659" t="str">
        <f>IFERROR(IF(A659="","",IFERROR(VALUE(H659),0)+IFERROR(SUMIF(DB_Savings!$A:$A,A659,DB_Savings!$F:$F),0)-IFERROR(SUMIF(DB_Withdrawals!$A:$A,A659,DB_Withdrawals!$G:$G),0)),"")</f>
        <v/>
      </c>
      <c r="N659" t="str">
        <f>IFERROR(IF(A659="","",MAX(0,M659-System_Config!$B$9)),"")</f>
        <v/>
      </c>
    </row>
    <row r="660" spans="1:14" ht="15" customHeight="1" x14ac:dyDescent="0.25">
      <c r="A660" t="str">
        <f>'NEW ACCOUNT'!A661</f>
        <v/>
      </c>
      <c r="B660" t="str">
        <f>IF('NEW ACCOUNT'!A661="","",'NEW ACCOUNT'!B661)</f>
        <v/>
      </c>
      <c r="C660" t="str">
        <f>IF('NEW ACCOUNT'!A661="","",'NEW ACCOUNT'!C661)</f>
        <v/>
      </c>
      <c r="D660" t="str">
        <f>IF('NEW ACCOUNT'!A661="","",'NEW ACCOUNT'!D661)</f>
        <v/>
      </c>
      <c r="E660" t="str">
        <f>IF('NEW ACCOUNT'!A661="","",'NEW ACCOUNT'!E661)</f>
        <v/>
      </c>
      <c r="F660" t="str">
        <f>IF('NEW ACCOUNT'!A661="","",'NEW ACCOUNT'!F661)</f>
        <v/>
      </c>
      <c r="G660" t="str">
        <f>IF('NEW ACCOUNT'!A661="","",'NEW ACCOUNT'!G661)</f>
        <v/>
      </c>
      <c r="H660" t="str">
        <f>IF('NEW ACCOUNT'!A661="","",'NEW ACCOUNT'!H661)</f>
        <v/>
      </c>
      <c r="I660" t="str">
        <f>IF('NEW ACCOUNT'!A661="","",'NEW ACCOUNT'!I661)</f>
        <v/>
      </c>
      <c r="J660" t="str">
        <f>IF('NEW ACCOUNT'!A661="","",'NEW ACCOUNT'!J661)</f>
        <v/>
      </c>
      <c r="K660" t="str">
        <f>IFERROR(IF(A660="","",SUMIF(DB_Savings!$A:$A,A660,DB_Savings!$F:$F)),"")</f>
        <v/>
      </c>
      <c r="L660" t="str">
        <f>IFERROR(IF(A660="","",SUMIF(DB_Withdrawals!$A:$A,A660,DB_Withdrawals!$G:$G)),"")</f>
        <v/>
      </c>
      <c r="M660" t="str">
        <f>IFERROR(IF(A660="","",IFERROR(VALUE(H660),0)+IFERROR(SUMIF(DB_Savings!$A:$A,A660,DB_Savings!$F:$F),0)-IFERROR(SUMIF(DB_Withdrawals!$A:$A,A660,DB_Withdrawals!$G:$G),0)),"")</f>
        <v/>
      </c>
      <c r="N660" t="str">
        <f>IFERROR(IF(A660="","",MAX(0,M660-System_Config!$B$9)),"")</f>
        <v/>
      </c>
    </row>
    <row r="661" spans="1:14" ht="15" customHeight="1" x14ac:dyDescent="0.25">
      <c r="A661" t="str">
        <f>'NEW ACCOUNT'!A662</f>
        <v/>
      </c>
      <c r="B661" t="str">
        <f>IF('NEW ACCOUNT'!A662="","",'NEW ACCOUNT'!B662)</f>
        <v/>
      </c>
      <c r="C661" t="str">
        <f>IF('NEW ACCOUNT'!A662="","",'NEW ACCOUNT'!C662)</f>
        <v/>
      </c>
      <c r="D661" t="str">
        <f>IF('NEW ACCOUNT'!A662="","",'NEW ACCOUNT'!D662)</f>
        <v/>
      </c>
      <c r="E661" t="str">
        <f>IF('NEW ACCOUNT'!A662="","",'NEW ACCOUNT'!E662)</f>
        <v/>
      </c>
      <c r="F661" t="str">
        <f>IF('NEW ACCOUNT'!A662="","",'NEW ACCOUNT'!F662)</f>
        <v/>
      </c>
      <c r="G661" t="str">
        <f>IF('NEW ACCOUNT'!A662="","",'NEW ACCOUNT'!G662)</f>
        <v/>
      </c>
      <c r="H661" t="str">
        <f>IF('NEW ACCOUNT'!A662="","",'NEW ACCOUNT'!H662)</f>
        <v/>
      </c>
      <c r="I661" t="str">
        <f>IF('NEW ACCOUNT'!A662="","",'NEW ACCOUNT'!I662)</f>
        <v/>
      </c>
      <c r="J661" t="str">
        <f>IF('NEW ACCOUNT'!A662="","",'NEW ACCOUNT'!J662)</f>
        <v/>
      </c>
      <c r="K661" t="str">
        <f>IFERROR(IF(A661="","",SUMIF(DB_Savings!$A:$A,A661,DB_Savings!$F:$F)),"")</f>
        <v/>
      </c>
      <c r="L661" t="str">
        <f>IFERROR(IF(A661="","",SUMIF(DB_Withdrawals!$A:$A,A661,DB_Withdrawals!$G:$G)),"")</f>
        <v/>
      </c>
      <c r="M661" t="str">
        <f>IFERROR(IF(A661="","",IFERROR(VALUE(H661),0)+IFERROR(SUMIF(DB_Savings!$A:$A,A661,DB_Savings!$F:$F),0)-IFERROR(SUMIF(DB_Withdrawals!$A:$A,A661,DB_Withdrawals!$G:$G),0)),"")</f>
        <v/>
      </c>
      <c r="N661" t="str">
        <f>IFERROR(IF(A661="","",MAX(0,M661-System_Config!$B$9)),"")</f>
        <v/>
      </c>
    </row>
    <row r="662" spans="1:14" ht="15" customHeight="1" x14ac:dyDescent="0.25">
      <c r="A662" t="str">
        <f>'NEW ACCOUNT'!A663</f>
        <v/>
      </c>
      <c r="B662" t="str">
        <f>IF('NEW ACCOUNT'!A663="","",'NEW ACCOUNT'!B663)</f>
        <v/>
      </c>
      <c r="C662" t="str">
        <f>IF('NEW ACCOUNT'!A663="","",'NEW ACCOUNT'!C663)</f>
        <v/>
      </c>
      <c r="D662" t="str">
        <f>IF('NEW ACCOUNT'!A663="","",'NEW ACCOUNT'!D663)</f>
        <v/>
      </c>
      <c r="E662" t="str">
        <f>IF('NEW ACCOUNT'!A663="","",'NEW ACCOUNT'!E663)</f>
        <v/>
      </c>
      <c r="F662" t="str">
        <f>IF('NEW ACCOUNT'!A663="","",'NEW ACCOUNT'!F663)</f>
        <v/>
      </c>
      <c r="G662" t="str">
        <f>IF('NEW ACCOUNT'!A663="","",'NEW ACCOUNT'!G663)</f>
        <v/>
      </c>
      <c r="H662" t="str">
        <f>IF('NEW ACCOUNT'!A663="","",'NEW ACCOUNT'!H663)</f>
        <v/>
      </c>
      <c r="I662" t="str">
        <f>IF('NEW ACCOUNT'!A663="","",'NEW ACCOUNT'!I663)</f>
        <v/>
      </c>
      <c r="J662" t="str">
        <f>IF('NEW ACCOUNT'!A663="","",'NEW ACCOUNT'!J663)</f>
        <v/>
      </c>
      <c r="K662" t="str">
        <f>IFERROR(IF(A662="","",SUMIF(DB_Savings!$A:$A,A662,DB_Savings!$F:$F)),"")</f>
        <v/>
      </c>
      <c r="L662" t="str">
        <f>IFERROR(IF(A662="","",SUMIF(DB_Withdrawals!$A:$A,A662,DB_Withdrawals!$G:$G)),"")</f>
        <v/>
      </c>
      <c r="M662" t="str">
        <f>IFERROR(IF(A662="","",IFERROR(VALUE(H662),0)+IFERROR(SUMIF(DB_Savings!$A:$A,A662,DB_Savings!$F:$F),0)-IFERROR(SUMIF(DB_Withdrawals!$A:$A,A662,DB_Withdrawals!$G:$G),0)),"")</f>
        <v/>
      </c>
      <c r="N662" t="str">
        <f>IFERROR(IF(A662="","",MAX(0,M662-System_Config!$B$9)),"")</f>
        <v/>
      </c>
    </row>
    <row r="663" spans="1:14" ht="15" customHeight="1" x14ac:dyDescent="0.25">
      <c r="A663" t="str">
        <f>'NEW ACCOUNT'!A664</f>
        <v/>
      </c>
      <c r="B663" t="str">
        <f>IF('NEW ACCOUNT'!A664="","",'NEW ACCOUNT'!B664)</f>
        <v/>
      </c>
      <c r="C663" t="str">
        <f>IF('NEW ACCOUNT'!A664="","",'NEW ACCOUNT'!C664)</f>
        <v/>
      </c>
      <c r="D663" t="str">
        <f>IF('NEW ACCOUNT'!A664="","",'NEW ACCOUNT'!D664)</f>
        <v/>
      </c>
      <c r="E663" t="str">
        <f>IF('NEW ACCOUNT'!A664="","",'NEW ACCOUNT'!E664)</f>
        <v/>
      </c>
      <c r="F663" t="str">
        <f>IF('NEW ACCOUNT'!A664="","",'NEW ACCOUNT'!F664)</f>
        <v/>
      </c>
      <c r="G663" t="str">
        <f>IF('NEW ACCOUNT'!A664="","",'NEW ACCOUNT'!G664)</f>
        <v/>
      </c>
      <c r="H663" t="str">
        <f>IF('NEW ACCOUNT'!A664="","",'NEW ACCOUNT'!H664)</f>
        <v/>
      </c>
      <c r="I663" t="str">
        <f>IF('NEW ACCOUNT'!A664="","",'NEW ACCOUNT'!I664)</f>
        <v/>
      </c>
      <c r="J663" t="str">
        <f>IF('NEW ACCOUNT'!A664="","",'NEW ACCOUNT'!J664)</f>
        <v/>
      </c>
      <c r="K663" t="str">
        <f>IFERROR(IF(A663="","",SUMIF(DB_Savings!$A:$A,A663,DB_Savings!$F:$F)),"")</f>
        <v/>
      </c>
      <c r="L663" t="str">
        <f>IFERROR(IF(A663="","",SUMIF(DB_Withdrawals!$A:$A,A663,DB_Withdrawals!$G:$G)),"")</f>
        <v/>
      </c>
      <c r="M663" t="str">
        <f>IFERROR(IF(A663="","",IFERROR(VALUE(H663),0)+IFERROR(SUMIF(DB_Savings!$A:$A,A663,DB_Savings!$F:$F),0)-IFERROR(SUMIF(DB_Withdrawals!$A:$A,A663,DB_Withdrawals!$G:$G),0)),"")</f>
        <v/>
      </c>
      <c r="N663" t="str">
        <f>IFERROR(IF(A663="","",MAX(0,M663-System_Config!$B$9)),"")</f>
        <v/>
      </c>
    </row>
    <row r="664" spans="1:14" ht="15" customHeight="1" x14ac:dyDescent="0.25">
      <c r="A664" t="str">
        <f>'NEW ACCOUNT'!A665</f>
        <v/>
      </c>
      <c r="B664" t="str">
        <f>IF('NEW ACCOUNT'!A665="","",'NEW ACCOUNT'!B665)</f>
        <v/>
      </c>
      <c r="C664" t="str">
        <f>IF('NEW ACCOUNT'!A665="","",'NEW ACCOUNT'!C665)</f>
        <v/>
      </c>
      <c r="D664" t="str">
        <f>IF('NEW ACCOUNT'!A665="","",'NEW ACCOUNT'!D665)</f>
        <v/>
      </c>
      <c r="E664" t="str">
        <f>IF('NEW ACCOUNT'!A665="","",'NEW ACCOUNT'!E665)</f>
        <v/>
      </c>
      <c r="F664" t="str">
        <f>IF('NEW ACCOUNT'!A665="","",'NEW ACCOUNT'!F665)</f>
        <v/>
      </c>
      <c r="G664" t="str">
        <f>IF('NEW ACCOUNT'!A665="","",'NEW ACCOUNT'!G665)</f>
        <v/>
      </c>
      <c r="H664" t="str">
        <f>IF('NEW ACCOUNT'!A665="","",'NEW ACCOUNT'!H665)</f>
        <v/>
      </c>
      <c r="I664" t="str">
        <f>IF('NEW ACCOUNT'!A665="","",'NEW ACCOUNT'!I665)</f>
        <v/>
      </c>
      <c r="J664" t="str">
        <f>IF('NEW ACCOUNT'!A665="","",'NEW ACCOUNT'!J665)</f>
        <v/>
      </c>
      <c r="K664" t="str">
        <f>IFERROR(IF(A664="","",SUMIF(DB_Savings!$A:$A,A664,DB_Savings!$F:$F)),"")</f>
        <v/>
      </c>
      <c r="L664" t="str">
        <f>IFERROR(IF(A664="","",SUMIF(DB_Withdrawals!$A:$A,A664,DB_Withdrawals!$G:$G)),"")</f>
        <v/>
      </c>
      <c r="M664" t="str">
        <f>IFERROR(IF(A664="","",IFERROR(VALUE(H664),0)+IFERROR(SUMIF(DB_Savings!$A:$A,A664,DB_Savings!$F:$F),0)-IFERROR(SUMIF(DB_Withdrawals!$A:$A,A664,DB_Withdrawals!$G:$G),0)),"")</f>
        <v/>
      </c>
      <c r="N664" t="str">
        <f>IFERROR(IF(A664="","",MAX(0,M664-System_Config!$B$9)),"")</f>
        <v/>
      </c>
    </row>
    <row r="665" spans="1:14" ht="15" customHeight="1" x14ac:dyDescent="0.25">
      <c r="A665" t="str">
        <f>'NEW ACCOUNT'!A666</f>
        <v/>
      </c>
      <c r="B665" t="str">
        <f>IF('NEW ACCOUNT'!A666="","",'NEW ACCOUNT'!B666)</f>
        <v/>
      </c>
      <c r="C665" t="str">
        <f>IF('NEW ACCOUNT'!A666="","",'NEW ACCOUNT'!C666)</f>
        <v/>
      </c>
      <c r="D665" t="str">
        <f>IF('NEW ACCOUNT'!A666="","",'NEW ACCOUNT'!D666)</f>
        <v/>
      </c>
      <c r="E665" t="str">
        <f>IF('NEW ACCOUNT'!A666="","",'NEW ACCOUNT'!E666)</f>
        <v/>
      </c>
      <c r="F665" t="str">
        <f>IF('NEW ACCOUNT'!A666="","",'NEW ACCOUNT'!F666)</f>
        <v/>
      </c>
      <c r="G665" t="str">
        <f>IF('NEW ACCOUNT'!A666="","",'NEW ACCOUNT'!G666)</f>
        <v/>
      </c>
      <c r="H665" t="str">
        <f>IF('NEW ACCOUNT'!A666="","",'NEW ACCOUNT'!H666)</f>
        <v/>
      </c>
      <c r="I665" t="str">
        <f>IF('NEW ACCOUNT'!A666="","",'NEW ACCOUNT'!I666)</f>
        <v/>
      </c>
      <c r="J665" t="str">
        <f>IF('NEW ACCOUNT'!A666="","",'NEW ACCOUNT'!J666)</f>
        <v/>
      </c>
      <c r="K665" t="str">
        <f>IFERROR(IF(A665="","",SUMIF(DB_Savings!$A:$A,A665,DB_Savings!$F:$F)),"")</f>
        <v/>
      </c>
      <c r="L665" t="str">
        <f>IFERROR(IF(A665="","",SUMIF(DB_Withdrawals!$A:$A,A665,DB_Withdrawals!$G:$G)),"")</f>
        <v/>
      </c>
      <c r="M665" t="str">
        <f>IFERROR(IF(A665="","",IFERROR(VALUE(H665),0)+IFERROR(SUMIF(DB_Savings!$A:$A,A665,DB_Savings!$F:$F),0)-IFERROR(SUMIF(DB_Withdrawals!$A:$A,A665,DB_Withdrawals!$G:$G),0)),"")</f>
        <v/>
      </c>
      <c r="N665" t="str">
        <f>IFERROR(IF(A665="","",MAX(0,M665-System_Config!$B$9)),"")</f>
        <v/>
      </c>
    </row>
    <row r="666" spans="1:14" ht="15" customHeight="1" x14ac:dyDescent="0.25">
      <c r="A666" t="str">
        <f>'NEW ACCOUNT'!A667</f>
        <v/>
      </c>
      <c r="B666" t="str">
        <f>IF('NEW ACCOUNT'!A667="","",'NEW ACCOUNT'!B667)</f>
        <v/>
      </c>
      <c r="C666" t="str">
        <f>IF('NEW ACCOUNT'!A667="","",'NEW ACCOUNT'!C667)</f>
        <v/>
      </c>
      <c r="D666" t="str">
        <f>IF('NEW ACCOUNT'!A667="","",'NEW ACCOUNT'!D667)</f>
        <v/>
      </c>
      <c r="E666" t="str">
        <f>IF('NEW ACCOUNT'!A667="","",'NEW ACCOUNT'!E667)</f>
        <v/>
      </c>
      <c r="F666" t="str">
        <f>IF('NEW ACCOUNT'!A667="","",'NEW ACCOUNT'!F667)</f>
        <v/>
      </c>
      <c r="G666" t="str">
        <f>IF('NEW ACCOUNT'!A667="","",'NEW ACCOUNT'!G667)</f>
        <v/>
      </c>
      <c r="H666" t="str">
        <f>IF('NEW ACCOUNT'!A667="","",'NEW ACCOUNT'!H667)</f>
        <v/>
      </c>
      <c r="I666" t="str">
        <f>IF('NEW ACCOUNT'!A667="","",'NEW ACCOUNT'!I667)</f>
        <v/>
      </c>
      <c r="J666" t="str">
        <f>IF('NEW ACCOUNT'!A667="","",'NEW ACCOUNT'!J667)</f>
        <v/>
      </c>
      <c r="K666" t="str">
        <f>IFERROR(IF(A666="","",SUMIF(DB_Savings!$A:$A,A666,DB_Savings!$F:$F)),"")</f>
        <v/>
      </c>
      <c r="L666" t="str">
        <f>IFERROR(IF(A666="","",SUMIF(DB_Withdrawals!$A:$A,A666,DB_Withdrawals!$G:$G)),"")</f>
        <v/>
      </c>
      <c r="M666" t="str">
        <f>IFERROR(IF(A666="","",IFERROR(VALUE(H666),0)+IFERROR(SUMIF(DB_Savings!$A:$A,A666,DB_Savings!$F:$F),0)-IFERROR(SUMIF(DB_Withdrawals!$A:$A,A666,DB_Withdrawals!$G:$G),0)),"")</f>
        <v/>
      </c>
      <c r="N666" t="str">
        <f>IFERROR(IF(A666="","",MAX(0,M666-System_Config!$B$9)),"")</f>
        <v/>
      </c>
    </row>
    <row r="667" spans="1:14" ht="15" customHeight="1" x14ac:dyDescent="0.25">
      <c r="A667" t="str">
        <f>'NEW ACCOUNT'!A668</f>
        <v/>
      </c>
      <c r="B667" t="str">
        <f>IF('NEW ACCOUNT'!A668="","",'NEW ACCOUNT'!B668)</f>
        <v/>
      </c>
      <c r="C667" t="str">
        <f>IF('NEW ACCOUNT'!A668="","",'NEW ACCOUNT'!C668)</f>
        <v/>
      </c>
      <c r="D667" t="str">
        <f>IF('NEW ACCOUNT'!A668="","",'NEW ACCOUNT'!D668)</f>
        <v/>
      </c>
      <c r="E667" t="str">
        <f>IF('NEW ACCOUNT'!A668="","",'NEW ACCOUNT'!E668)</f>
        <v/>
      </c>
      <c r="F667" t="str">
        <f>IF('NEW ACCOUNT'!A668="","",'NEW ACCOUNT'!F668)</f>
        <v/>
      </c>
      <c r="G667" t="str">
        <f>IF('NEW ACCOUNT'!A668="","",'NEW ACCOUNT'!G668)</f>
        <v/>
      </c>
      <c r="H667" t="str">
        <f>IF('NEW ACCOUNT'!A668="","",'NEW ACCOUNT'!H668)</f>
        <v/>
      </c>
      <c r="I667" t="str">
        <f>IF('NEW ACCOUNT'!A668="","",'NEW ACCOUNT'!I668)</f>
        <v/>
      </c>
      <c r="J667" t="str">
        <f>IF('NEW ACCOUNT'!A668="","",'NEW ACCOUNT'!J668)</f>
        <v/>
      </c>
      <c r="K667" t="str">
        <f>IFERROR(IF(A667="","",SUMIF(DB_Savings!$A:$A,A667,DB_Savings!$F:$F)),"")</f>
        <v/>
      </c>
      <c r="L667" t="str">
        <f>IFERROR(IF(A667="","",SUMIF(DB_Withdrawals!$A:$A,A667,DB_Withdrawals!$G:$G)),"")</f>
        <v/>
      </c>
      <c r="M667" t="str">
        <f>IFERROR(IF(A667="","",IFERROR(VALUE(H667),0)+IFERROR(SUMIF(DB_Savings!$A:$A,A667,DB_Savings!$F:$F),0)-IFERROR(SUMIF(DB_Withdrawals!$A:$A,A667,DB_Withdrawals!$G:$G),0)),"")</f>
        <v/>
      </c>
      <c r="N667" t="str">
        <f>IFERROR(IF(A667="","",MAX(0,M667-System_Config!$B$9)),"")</f>
        <v/>
      </c>
    </row>
    <row r="668" spans="1:14" ht="15" customHeight="1" x14ac:dyDescent="0.25">
      <c r="A668" t="str">
        <f>'NEW ACCOUNT'!A669</f>
        <v/>
      </c>
      <c r="B668" t="str">
        <f>IF('NEW ACCOUNT'!A669="","",'NEW ACCOUNT'!B669)</f>
        <v/>
      </c>
      <c r="C668" t="str">
        <f>IF('NEW ACCOUNT'!A669="","",'NEW ACCOUNT'!C669)</f>
        <v/>
      </c>
      <c r="D668" t="str">
        <f>IF('NEW ACCOUNT'!A669="","",'NEW ACCOUNT'!D669)</f>
        <v/>
      </c>
      <c r="E668" t="str">
        <f>IF('NEW ACCOUNT'!A669="","",'NEW ACCOUNT'!E669)</f>
        <v/>
      </c>
      <c r="F668" t="str">
        <f>IF('NEW ACCOUNT'!A669="","",'NEW ACCOUNT'!F669)</f>
        <v/>
      </c>
      <c r="G668" t="str">
        <f>IF('NEW ACCOUNT'!A669="","",'NEW ACCOUNT'!G669)</f>
        <v/>
      </c>
      <c r="H668" t="str">
        <f>IF('NEW ACCOUNT'!A669="","",'NEW ACCOUNT'!H669)</f>
        <v/>
      </c>
      <c r="I668" t="str">
        <f>IF('NEW ACCOUNT'!A669="","",'NEW ACCOUNT'!I669)</f>
        <v/>
      </c>
      <c r="J668" t="str">
        <f>IF('NEW ACCOUNT'!A669="","",'NEW ACCOUNT'!J669)</f>
        <v/>
      </c>
      <c r="K668" t="str">
        <f>IFERROR(IF(A668="","",SUMIF(DB_Savings!$A:$A,A668,DB_Savings!$F:$F)),"")</f>
        <v/>
      </c>
      <c r="L668" t="str">
        <f>IFERROR(IF(A668="","",SUMIF(DB_Withdrawals!$A:$A,A668,DB_Withdrawals!$G:$G)),"")</f>
        <v/>
      </c>
      <c r="M668" t="str">
        <f>IFERROR(IF(A668="","",IFERROR(VALUE(H668),0)+IFERROR(SUMIF(DB_Savings!$A:$A,A668,DB_Savings!$F:$F),0)-IFERROR(SUMIF(DB_Withdrawals!$A:$A,A668,DB_Withdrawals!$G:$G),0)),"")</f>
        <v/>
      </c>
      <c r="N668" t="str">
        <f>IFERROR(IF(A668="","",MAX(0,M668-System_Config!$B$9)),"")</f>
        <v/>
      </c>
    </row>
    <row r="669" spans="1:14" ht="15" customHeight="1" x14ac:dyDescent="0.25">
      <c r="A669" t="str">
        <f>'NEW ACCOUNT'!A670</f>
        <v/>
      </c>
      <c r="B669" t="str">
        <f>IF('NEW ACCOUNT'!A670="","",'NEW ACCOUNT'!B670)</f>
        <v/>
      </c>
      <c r="C669" t="str">
        <f>IF('NEW ACCOUNT'!A670="","",'NEW ACCOUNT'!C670)</f>
        <v/>
      </c>
      <c r="D669" t="str">
        <f>IF('NEW ACCOUNT'!A670="","",'NEW ACCOUNT'!D670)</f>
        <v/>
      </c>
      <c r="E669" t="str">
        <f>IF('NEW ACCOUNT'!A670="","",'NEW ACCOUNT'!E670)</f>
        <v/>
      </c>
      <c r="F669" t="str">
        <f>IF('NEW ACCOUNT'!A670="","",'NEW ACCOUNT'!F670)</f>
        <v/>
      </c>
      <c r="G669" t="str">
        <f>IF('NEW ACCOUNT'!A670="","",'NEW ACCOUNT'!G670)</f>
        <v/>
      </c>
      <c r="H669" t="str">
        <f>IF('NEW ACCOUNT'!A670="","",'NEW ACCOUNT'!H670)</f>
        <v/>
      </c>
      <c r="I669" t="str">
        <f>IF('NEW ACCOUNT'!A670="","",'NEW ACCOUNT'!I670)</f>
        <v/>
      </c>
      <c r="J669" t="str">
        <f>IF('NEW ACCOUNT'!A670="","",'NEW ACCOUNT'!J670)</f>
        <v/>
      </c>
      <c r="K669" t="str">
        <f>IFERROR(IF(A669="","",SUMIF(DB_Savings!$A:$A,A669,DB_Savings!$F:$F)),"")</f>
        <v/>
      </c>
      <c r="L669" t="str">
        <f>IFERROR(IF(A669="","",SUMIF(DB_Withdrawals!$A:$A,A669,DB_Withdrawals!$G:$G)),"")</f>
        <v/>
      </c>
      <c r="M669" t="str">
        <f>IFERROR(IF(A669="","",IFERROR(VALUE(H669),0)+IFERROR(SUMIF(DB_Savings!$A:$A,A669,DB_Savings!$F:$F),0)-IFERROR(SUMIF(DB_Withdrawals!$A:$A,A669,DB_Withdrawals!$G:$G),0)),"")</f>
        <v/>
      </c>
      <c r="N669" t="str">
        <f>IFERROR(IF(A669="","",MAX(0,M669-System_Config!$B$9)),"")</f>
        <v/>
      </c>
    </row>
    <row r="670" spans="1:14" ht="15" customHeight="1" x14ac:dyDescent="0.25">
      <c r="A670" t="str">
        <f>'NEW ACCOUNT'!A671</f>
        <v/>
      </c>
      <c r="B670" t="str">
        <f>IF('NEW ACCOUNT'!A671="","",'NEW ACCOUNT'!B671)</f>
        <v/>
      </c>
      <c r="C670" t="str">
        <f>IF('NEW ACCOUNT'!A671="","",'NEW ACCOUNT'!C671)</f>
        <v/>
      </c>
      <c r="D670" t="str">
        <f>IF('NEW ACCOUNT'!A671="","",'NEW ACCOUNT'!D671)</f>
        <v/>
      </c>
      <c r="E670" t="str">
        <f>IF('NEW ACCOUNT'!A671="","",'NEW ACCOUNT'!E671)</f>
        <v/>
      </c>
      <c r="F670" t="str">
        <f>IF('NEW ACCOUNT'!A671="","",'NEW ACCOUNT'!F671)</f>
        <v/>
      </c>
      <c r="G670" t="str">
        <f>IF('NEW ACCOUNT'!A671="","",'NEW ACCOUNT'!G671)</f>
        <v/>
      </c>
      <c r="H670" t="str">
        <f>IF('NEW ACCOUNT'!A671="","",'NEW ACCOUNT'!H671)</f>
        <v/>
      </c>
      <c r="I670" t="str">
        <f>IF('NEW ACCOUNT'!A671="","",'NEW ACCOUNT'!I671)</f>
        <v/>
      </c>
      <c r="J670" t="str">
        <f>IF('NEW ACCOUNT'!A671="","",'NEW ACCOUNT'!J671)</f>
        <v/>
      </c>
      <c r="K670" t="str">
        <f>IFERROR(IF(A670="","",SUMIF(DB_Savings!$A:$A,A670,DB_Savings!$F:$F)),"")</f>
        <v/>
      </c>
      <c r="L670" t="str">
        <f>IFERROR(IF(A670="","",SUMIF(DB_Withdrawals!$A:$A,A670,DB_Withdrawals!$G:$G)),"")</f>
        <v/>
      </c>
      <c r="M670" t="str">
        <f>IFERROR(IF(A670="","",IFERROR(VALUE(H670),0)+IFERROR(SUMIF(DB_Savings!$A:$A,A670,DB_Savings!$F:$F),0)-IFERROR(SUMIF(DB_Withdrawals!$A:$A,A670,DB_Withdrawals!$G:$G),0)),"")</f>
        <v/>
      </c>
      <c r="N670" t="str">
        <f>IFERROR(IF(A670="","",MAX(0,M670-System_Config!$B$9)),"")</f>
        <v/>
      </c>
    </row>
    <row r="671" spans="1:14" ht="15" customHeight="1" x14ac:dyDescent="0.25">
      <c r="A671" t="str">
        <f>'NEW ACCOUNT'!A672</f>
        <v/>
      </c>
      <c r="B671" t="str">
        <f>IF('NEW ACCOUNT'!A672="","",'NEW ACCOUNT'!B672)</f>
        <v/>
      </c>
      <c r="C671" t="str">
        <f>IF('NEW ACCOUNT'!A672="","",'NEW ACCOUNT'!C672)</f>
        <v/>
      </c>
      <c r="D671" t="str">
        <f>IF('NEW ACCOUNT'!A672="","",'NEW ACCOUNT'!D672)</f>
        <v/>
      </c>
      <c r="E671" t="str">
        <f>IF('NEW ACCOUNT'!A672="","",'NEW ACCOUNT'!E672)</f>
        <v/>
      </c>
      <c r="F671" t="str">
        <f>IF('NEW ACCOUNT'!A672="","",'NEW ACCOUNT'!F672)</f>
        <v/>
      </c>
      <c r="G671" t="str">
        <f>IF('NEW ACCOUNT'!A672="","",'NEW ACCOUNT'!G672)</f>
        <v/>
      </c>
      <c r="H671" t="str">
        <f>IF('NEW ACCOUNT'!A672="","",'NEW ACCOUNT'!H672)</f>
        <v/>
      </c>
      <c r="I671" t="str">
        <f>IF('NEW ACCOUNT'!A672="","",'NEW ACCOUNT'!I672)</f>
        <v/>
      </c>
      <c r="J671" t="str">
        <f>IF('NEW ACCOUNT'!A672="","",'NEW ACCOUNT'!J672)</f>
        <v/>
      </c>
      <c r="K671" t="str">
        <f>IFERROR(IF(A671="","",SUMIF(DB_Savings!$A:$A,A671,DB_Savings!$F:$F)),"")</f>
        <v/>
      </c>
      <c r="L671" t="str">
        <f>IFERROR(IF(A671="","",SUMIF(DB_Withdrawals!$A:$A,A671,DB_Withdrawals!$G:$G)),"")</f>
        <v/>
      </c>
      <c r="M671" t="str">
        <f>IFERROR(IF(A671="","",IFERROR(VALUE(H671),0)+IFERROR(SUMIF(DB_Savings!$A:$A,A671,DB_Savings!$F:$F),0)-IFERROR(SUMIF(DB_Withdrawals!$A:$A,A671,DB_Withdrawals!$G:$G),0)),"")</f>
        <v/>
      </c>
      <c r="N671" t="str">
        <f>IFERROR(IF(A671="","",MAX(0,M671-System_Config!$B$9)),"")</f>
        <v/>
      </c>
    </row>
    <row r="672" spans="1:14" ht="15" customHeight="1" x14ac:dyDescent="0.25">
      <c r="A672" t="str">
        <f>'NEW ACCOUNT'!A673</f>
        <v/>
      </c>
      <c r="B672" t="str">
        <f>IF('NEW ACCOUNT'!A673="","",'NEW ACCOUNT'!B673)</f>
        <v/>
      </c>
      <c r="C672" t="str">
        <f>IF('NEW ACCOUNT'!A673="","",'NEW ACCOUNT'!C673)</f>
        <v/>
      </c>
      <c r="D672" t="str">
        <f>IF('NEW ACCOUNT'!A673="","",'NEW ACCOUNT'!D673)</f>
        <v/>
      </c>
      <c r="E672" t="str">
        <f>IF('NEW ACCOUNT'!A673="","",'NEW ACCOUNT'!E673)</f>
        <v/>
      </c>
      <c r="F672" t="str">
        <f>IF('NEW ACCOUNT'!A673="","",'NEW ACCOUNT'!F673)</f>
        <v/>
      </c>
      <c r="G672" t="str">
        <f>IF('NEW ACCOUNT'!A673="","",'NEW ACCOUNT'!G673)</f>
        <v/>
      </c>
      <c r="H672" t="str">
        <f>IF('NEW ACCOUNT'!A673="","",'NEW ACCOUNT'!H673)</f>
        <v/>
      </c>
      <c r="I672" t="str">
        <f>IF('NEW ACCOUNT'!A673="","",'NEW ACCOUNT'!I673)</f>
        <v/>
      </c>
      <c r="J672" t="str">
        <f>IF('NEW ACCOUNT'!A673="","",'NEW ACCOUNT'!J673)</f>
        <v/>
      </c>
      <c r="K672" t="str">
        <f>IFERROR(IF(A672="","",SUMIF(DB_Savings!$A:$A,A672,DB_Savings!$F:$F)),"")</f>
        <v/>
      </c>
      <c r="L672" t="str">
        <f>IFERROR(IF(A672="","",SUMIF(DB_Withdrawals!$A:$A,A672,DB_Withdrawals!$G:$G)),"")</f>
        <v/>
      </c>
      <c r="M672" t="str">
        <f>IFERROR(IF(A672="","",IFERROR(VALUE(H672),0)+IFERROR(SUMIF(DB_Savings!$A:$A,A672,DB_Savings!$F:$F),0)-IFERROR(SUMIF(DB_Withdrawals!$A:$A,A672,DB_Withdrawals!$G:$G),0)),"")</f>
        <v/>
      </c>
      <c r="N672" t="str">
        <f>IFERROR(IF(A672="","",MAX(0,M672-System_Config!$B$9)),"")</f>
        <v/>
      </c>
    </row>
    <row r="673" spans="1:14" ht="15" customHeight="1" x14ac:dyDescent="0.25">
      <c r="A673" t="str">
        <f>'NEW ACCOUNT'!A674</f>
        <v/>
      </c>
      <c r="B673" t="str">
        <f>IF('NEW ACCOUNT'!A674="","",'NEW ACCOUNT'!B674)</f>
        <v/>
      </c>
      <c r="C673" t="str">
        <f>IF('NEW ACCOUNT'!A674="","",'NEW ACCOUNT'!C674)</f>
        <v/>
      </c>
      <c r="D673" t="str">
        <f>IF('NEW ACCOUNT'!A674="","",'NEW ACCOUNT'!D674)</f>
        <v/>
      </c>
      <c r="E673" t="str">
        <f>IF('NEW ACCOUNT'!A674="","",'NEW ACCOUNT'!E674)</f>
        <v/>
      </c>
      <c r="F673" t="str">
        <f>IF('NEW ACCOUNT'!A674="","",'NEW ACCOUNT'!F674)</f>
        <v/>
      </c>
      <c r="G673" t="str">
        <f>IF('NEW ACCOUNT'!A674="","",'NEW ACCOUNT'!G674)</f>
        <v/>
      </c>
      <c r="H673" t="str">
        <f>IF('NEW ACCOUNT'!A674="","",'NEW ACCOUNT'!H674)</f>
        <v/>
      </c>
      <c r="I673" t="str">
        <f>IF('NEW ACCOUNT'!A674="","",'NEW ACCOUNT'!I674)</f>
        <v/>
      </c>
      <c r="J673" t="str">
        <f>IF('NEW ACCOUNT'!A674="","",'NEW ACCOUNT'!J674)</f>
        <v/>
      </c>
      <c r="K673" t="str">
        <f>IFERROR(IF(A673="","",SUMIF(DB_Savings!$A:$A,A673,DB_Savings!$F:$F)),"")</f>
        <v/>
      </c>
      <c r="L673" t="str">
        <f>IFERROR(IF(A673="","",SUMIF(DB_Withdrawals!$A:$A,A673,DB_Withdrawals!$G:$G)),"")</f>
        <v/>
      </c>
      <c r="M673" t="str">
        <f>IFERROR(IF(A673="","",IFERROR(VALUE(H673),0)+IFERROR(SUMIF(DB_Savings!$A:$A,A673,DB_Savings!$F:$F),0)-IFERROR(SUMIF(DB_Withdrawals!$A:$A,A673,DB_Withdrawals!$G:$G),0)),"")</f>
        <v/>
      </c>
      <c r="N673" t="str">
        <f>IFERROR(IF(A673="","",MAX(0,M673-System_Config!$B$9)),"")</f>
        <v/>
      </c>
    </row>
    <row r="674" spans="1:14" ht="15" customHeight="1" x14ac:dyDescent="0.25">
      <c r="A674" t="str">
        <f>'NEW ACCOUNT'!A675</f>
        <v/>
      </c>
      <c r="B674" t="str">
        <f>IF('NEW ACCOUNT'!A675="","",'NEW ACCOUNT'!B675)</f>
        <v/>
      </c>
      <c r="C674" t="str">
        <f>IF('NEW ACCOUNT'!A675="","",'NEW ACCOUNT'!C675)</f>
        <v/>
      </c>
      <c r="D674" t="str">
        <f>IF('NEW ACCOUNT'!A675="","",'NEW ACCOUNT'!D675)</f>
        <v/>
      </c>
      <c r="E674" t="str">
        <f>IF('NEW ACCOUNT'!A675="","",'NEW ACCOUNT'!E675)</f>
        <v/>
      </c>
      <c r="F674" t="str">
        <f>IF('NEW ACCOUNT'!A675="","",'NEW ACCOUNT'!F675)</f>
        <v/>
      </c>
      <c r="G674" t="str">
        <f>IF('NEW ACCOUNT'!A675="","",'NEW ACCOUNT'!G675)</f>
        <v/>
      </c>
      <c r="H674" t="str">
        <f>IF('NEW ACCOUNT'!A675="","",'NEW ACCOUNT'!H675)</f>
        <v/>
      </c>
      <c r="I674" t="str">
        <f>IF('NEW ACCOUNT'!A675="","",'NEW ACCOUNT'!I675)</f>
        <v/>
      </c>
      <c r="J674" t="str">
        <f>IF('NEW ACCOUNT'!A675="","",'NEW ACCOUNT'!J675)</f>
        <v/>
      </c>
      <c r="K674" t="str">
        <f>IFERROR(IF(A674="","",SUMIF(DB_Savings!$A:$A,A674,DB_Savings!$F:$F)),"")</f>
        <v/>
      </c>
      <c r="L674" t="str">
        <f>IFERROR(IF(A674="","",SUMIF(DB_Withdrawals!$A:$A,A674,DB_Withdrawals!$G:$G)),"")</f>
        <v/>
      </c>
      <c r="M674" t="str">
        <f>IFERROR(IF(A674="","",IFERROR(VALUE(H674),0)+IFERROR(SUMIF(DB_Savings!$A:$A,A674,DB_Savings!$F:$F),0)-IFERROR(SUMIF(DB_Withdrawals!$A:$A,A674,DB_Withdrawals!$G:$G),0)),"")</f>
        <v/>
      </c>
      <c r="N674" t="str">
        <f>IFERROR(IF(A674="","",MAX(0,M674-System_Config!$B$9)),"")</f>
        <v/>
      </c>
    </row>
    <row r="675" spans="1:14" ht="15" customHeight="1" x14ac:dyDescent="0.25">
      <c r="A675" t="str">
        <f>'NEW ACCOUNT'!A676</f>
        <v/>
      </c>
      <c r="B675" t="str">
        <f>IF('NEW ACCOUNT'!A676="","",'NEW ACCOUNT'!B676)</f>
        <v/>
      </c>
      <c r="C675" t="str">
        <f>IF('NEW ACCOUNT'!A676="","",'NEW ACCOUNT'!C676)</f>
        <v/>
      </c>
      <c r="D675" t="str">
        <f>IF('NEW ACCOUNT'!A676="","",'NEW ACCOUNT'!D676)</f>
        <v/>
      </c>
      <c r="E675" t="str">
        <f>IF('NEW ACCOUNT'!A676="","",'NEW ACCOUNT'!E676)</f>
        <v/>
      </c>
      <c r="F675" t="str">
        <f>IF('NEW ACCOUNT'!A676="","",'NEW ACCOUNT'!F676)</f>
        <v/>
      </c>
      <c r="G675" t="str">
        <f>IF('NEW ACCOUNT'!A676="","",'NEW ACCOUNT'!G676)</f>
        <v/>
      </c>
      <c r="H675" t="str">
        <f>IF('NEW ACCOUNT'!A676="","",'NEW ACCOUNT'!H676)</f>
        <v/>
      </c>
      <c r="I675" t="str">
        <f>IF('NEW ACCOUNT'!A676="","",'NEW ACCOUNT'!I676)</f>
        <v/>
      </c>
      <c r="J675" t="str">
        <f>IF('NEW ACCOUNT'!A676="","",'NEW ACCOUNT'!J676)</f>
        <v/>
      </c>
      <c r="K675" t="str">
        <f>IFERROR(IF(A675="","",SUMIF(DB_Savings!$A:$A,A675,DB_Savings!$F:$F)),"")</f>
        <v/>
      </c>
      <c r="L675" t="str">
        <f>IFERROR(IF(A675="","",SUMIF(DB_Withdrawals!$A:$A,A675,DB_Withdrawals!$G:$G)),"")</f>
        <v/>
      </c>
      <c r="M675" t="str">
        <f>IFERROR(IF(A675="","",IFERROR(VALUE(H675),0)+IFERROR(SUMIF(DB_Savings!$A:$A,A675,DB_Savings!$F:$F),0)-IFERROR(SUMIF(DB_Withdrawals!$A:$A,A675,DB_Withdrawals!$G:$G),0)),"")</f>
        <v/>
      </c>
      <c r="N675" t="str">
        <f>IFERROR(IF(A675="","",MAX(0,M675-System_Config!$B$9)),"")</f>
        <v/>
      </c>
    </row>
    <row r="676" spans="1:14" ht="15" customHeight="1" x14ac:dyDescent="0.25">
      <c r="A676" t="str">
        <f>'NEW ACCOUNT'!A677</f>
        <v/>
      </c>
      <c r="B676" t="str">
        <f>IF('NEW ACCOUNT'!A677="","",'NEW ACCOUNT'!B677)</f>
        <v/>
      </c>
      <c r="C676" t="str">
        <f>IF('NEW ACCOUNT'!A677="","",'NEW ACCOUNT'!C677)</f>
        <v/>
      </c>
      <c r="D676" t="str">
        <f>IF('NEW ACCOUNT'!A677="","",'NEW ACCOUNT'!D677)</f>
        <v/>
      </c>
      <c r="E676" t="str">
        <f>IF('NEW ACCOUNT'!A677="","",'NEW ACCOUNT'!E677)</f>
        <v/>
      </c>
      <c r="F676" t="str">
        <f>IF('NEW ACCOUNT'!A677="","",'NEW ACCOUNT'!F677)</f>
        <v/>
      </c>
      <c r="G676" t="str">
        <f>IF('NEW ACCOUNT'!A677="","",'NEW ACCOUNT'!G677)</f>
        <v/>
      </c>
      <c r="H676" t="str">
        <f>IF('NEW ACCOUNT'!A677="","",'NEW ACCOUNT'!H677)</f>
        <v/>
      </c>
      <c r="I676" t="str">
        <f>IF('NEW ACCOUNT'!A677="","",'NEW ACCOUNT'!I677)</f>
        <v/>
      </c>
      <c r="J676" t="str">
        <f>IF('NEW ACCOUNT'!A677="","",'NEW ACCOUNT'!J677)</f>
        <v/>
      </c>
      <c r="K676" t="str">
        <f>IFERROR(IF(A676="","",SUMIF(DB_Savings!$A:$A,A676,DB_Savings!$F:$F)),"")</f>
        <v/>
      </c>
      <c r="L676" t="str">
        <f>IFERROR(IF(A676="","",SUMIF(DB_Withdrawals!$A:$A,A676,DB_Withdrawals!$G:$G)),"")</f>
        <v/>
      </c>
      <c r="M676" t="str">
        <f>IFERROR(IF(A676="","",IFERROR(VALUE(H676),0)+IFERROR(SUMIF(DB_Savings!$A:$A,A676,DB_Savings!$F:$F),0)-IFERROR(SUMIF(DB_Withdrawals!$A:$A,A676,DB_Withdrawals!$G:$G),0)),"")</f>
        <v/>
      </c>
      <c r="N676" t="str">
        <f>IFERROR(IF(A676="","",MAX(0,M676-System_Config!$B$9)),"")</f>
        <v/>
      </c>
    </row>
    <row r="677" spans="1:14" ht="15" customHeight="1" x14ac:dyDescent="0.25">
      <c r="A677" t="str">
        <f>'NEW ACCOUNT'!A678</f>
        <v/>
      </c>
      <c r="B677" t="str">
        <f>IF('NEW ACCOUNT'!A678="","",'NEW ACCOUNT'!B678)</f>
        <v/>
      </c>
      <c r="C677" t="str">
        <f>IF('NEW ACCOUNT'!A678="","",'NEW ACCOUNT'!C678)</f>
        <v/>
      </c>
      <c r="D677" t="str">
        <f>IF('NEW ACCOUNT'!A678="","",'NEW ACCOUNT'!D678)</f>
        <v/>
      </c>
      <c r="E677" t="str">
        <f>IF('NEW ACCOUNT'!A678="","",'NEW ACCOUNT'!E678)</f>
        <v/>
      </c>
      <c r="F677" t="str">
        <f>IF('NEW ACCOUNT'!A678="","",'NEW ACCOUNT'!F678)</f>
        <v/>
      </c>
      <c r="G677" t="str">
        <f>IF('NEW ACCOUNT'!A678="","",'NEW ACCOUNT'!G678)</f>
        <v/>
      </c>
      <c r="H677" t="str">
        <f>IF('NEW ACCOUNT'!A678="","",'NEW ACCOUNT'!H678)</f>
        <v/>
      </c>
      <c r="I677" t="str">
        <f>IF('NEW ACCOUNT'!A678="","",'NEW ACCOUNT'!I678)</f>
        <v/>
      </c>
      <c r="J677" t="str">
        <f>IF('NEW ACCOUNT'!A678="","",'NEW ACCOUNT'!J678)</f>
        <v/>
      </c>
      <c r="K677" t="str">
        <f>IFERROR(IF(A677="","",SUMIF(DB_Savings!$A:$A,A677,DB_Savings!$F:$F)),"")</f>
        <v/>
      </c>
      <c r="L677" t="str">
        <f>IFERROR(IF(A677="","",SUMIF(DB_Withdrawals!$A:$A,A677,DB_Withdrawals!$G:$G)),"")</f>
        <v/>
      </c>
      <c r="M677" t="str">
        <f>IFERROR(IF(A677="","",IFERROR(VALUE(H677),0)+IFERROR(SUMIF(DB_Savings!$A:$A,A677,DB_Savings!$F:$F),0)-IFERROR(SUMIF(DB_Withdrawals!$A:$A,A677,DB_Withdrawals!$G:$G),0)),"")</f>
        <v/>
      </c>
      <c r="N677" t="str">
        <f>IFERROR(IF(A677="","",MAX(0,M677-System_Config!$B$9)),"")</f>
        <v/>
      </c>
    </row>
    <row r="678" spans="1:14" ht="15" customHeight="1" x14ac:dyDescent="0.25">
      <c r="A678" t="str">
        <f>'NEW ACCOUNT'!A679</f>
        <v/>
      </c>
      <c r="B678" t="str">
        <f>IF('NEW ACCOUNT'!A679="","",'NEW ACCOUNT'!B679)</f>
        <v/>
      </c>
      <c r="C678" t="str">
        <f>IF('NEW ACCOUNT'!A679="","",'NEW ACCOUNT'!C679)</f>
        <v/>
      </c>
      <c r="D678" t="str">
        <f>IF('NEW ACCOUNT'!A679="","",'NEW ACCOUNT'!D679)</f>
        <v/>
      </c>
      <c r="E678" t="str">
        <f>IF('NEW ACCOUNT'!A679="","",'NEW ACCOUNT'!E679)</f>
        <v/>
      </c>
      <c r="F678" t="str">
        <f>IF('NEW ACCOUNT'!A679="","",'NEW ACCOUNT'!F679)</f>
        <v/>
      </c>
      <c r="G678" t="str">
        <f>IF('NEW ACCOUNT'!A679="","",'NEW ACCOUNT'!G679)</f>
        <v/>
      </c>
      <c r="H678" t="str">
        <f>IF('NEW ACCOUNT'!A679="","",'NEW ACCOUNT'!H679)</f>
        <v/>
      </c>
      <c r="I678" t="str">
        <f>IF('NEW ACCOUNT'!A679="","",'NEW ACCOUNT'!I679)</f>
        <v/>
      </c>
      <c r="J678" t="str">
        <f>IF('NEW ACCOUNT'!A679="","",'NEW ACCOUNT'!J679)</f>
        <v/>
      </c>
      <c r="K678" t="str">
        <f>IFERROR(IF(A678="","",SUMIF(DB_Savings!$A:$A,A678,DB_Savings!$F:$F)),"")</f>
        <v/>
      </c>
      <c r="L678" t="str">
        <f>IFERROR(IF(A678="","",SUMIF(DB_Withdrawals!$A:$A,A678,DB_Withdrawals!$G:$G)),"")</f>
        <v/>
      </c>
      <c r="M678" t="str">
        <f>IFERROR(IF(A678="","",IFERROR(VALUE(H678),0)+IFERROR(SUMIF(DB_Savings!$A:$A,A678,DB_Savings!$F:$F),0)-IFERROR(SUMIF(DB_Withdrawals!$A:$A,A678,DB_Withdrawals!$G:$G),0)),"")</f>
        <v/>
      </c>
      <c r="N678" t="str">
        <f>IFERROR(IF(A678="","",MAX(0,M678-System_Config!$B$9)),"")</f>
        <v/>
      </c>
    </row>
    <row r="679" spans="1:14" ht="15" customHeight="1" x14ac:dyDescent="0.25">
      <c r="A679" t="str">
        <f>'NEW ACCOUNT'!A680</f>
        <v/>
      </c>
      <c r="B679" t="str">
        <f>IF('NEW ACCOUNT'!A680="","",'NEW ACCOUNT'!B680)</f>
        <v/>
      </c>
      <c r="C679" t="str">
        <f>IF('NEW ACCOUNT'!A680="","",'NEW ACCOUNT'!C680)</f>
        <v/>
      </c>
      <c r="D679" t="str">
        <f>IF('NEW ACCOUNT'!A680="","",'NEW ACCOUNT'!D680)</f>
        <v/>
      </c>
      <c r="E679" t="str">
        <f>IF('NEW ACCOUNT'!A680="","",'NEW ACCOUNT'!E680)</f>
        <v/>
      </c>
      <c r="F679" t="str">
        <f>IF('NEW ACCOUNT'!A680="","",'NEW ACCOUNT'!F680)</f>
        <v/>
      </c>
      <c r="G679" t="str">
        <f>IF('NEW ACCOUNT'!A680="","",'NEW ACCOUNT'!G680)</f>
        <v/>
      </c>
      <c r="H679" t="str">
        <f>IF('NEW ACCOUNT'!A680="","",'NEW ACCOUNT'!H680)</f>
        <v/>
      </c>
      <c r="I679" t="str">
        <f>IF('NEW ACCOUNT'!A680="","",'NEW ACCOUNT'!I680)</f>
        <v/>
      </c>
      <c r="J679" t="str">
        <f>IF('NEW ACCOUNT'!A680="","",'NEW ACCOUNT'!J680)</f>
        <v/>
      </c>
      <c r="K679" t="str">
        <f>IFERROR(IF(A679="","",SUMIF(DB_Savings!$A:$A,A679,DB_Savings!$F:$F)),"")</f>
        <v/>
      </c>
      <c r="L679" t="str">
        <f>IFERROR(IF(A679="","",SUMIF(DB_Withdrawals!$A:$A,A679,DB_Withdrawals!$G:$G)),"")</f>
        <v/>
      </c>
      <c r="M679" t="str">
        <f>IFERROR(IF(A679="","",IFERROR(VALUE(H679),0)+IFERROR(SUMIF(DB_Savings!$A:$A,A679,DB_Savings!$F:$F),0)-IFERROR(SUMIF(DB_Withdrawals!$A:$A,A679,DB_Withdrawals!$G:$G),0)),"")</f>
        <v/>
      </c>
      <c r="N679" t="str">
        <f>IFERROR(IF(A679="","",MAX(0,M679-System_Config!$B$9)),"")</f>
        <v/>
      </c>
    </row>
    <row r="680" spans="1:14" ht="15" customHeight="1" x14ac:dyDescent="0.25">
      <c r="A680" t="str">
        <f>'NEW ACCOUNT'!A681</f>
        <v/>
      </c>
      <c r="B680" t="str">
        <f>IF('NEW ACCOUNT'!A681="","",'NEW ACCOUNT'!B681)</f>
        <v/>
      </c>
      <c r="C680" t="str">
        <f>IF('NEW ACCOUNT'!A681="","",'NEW ACCOUNT'!C681)</f>
        <v/>
      </c>
      <c r="D680" t="str">
        <f>IF('NEW ACCOUNT'!A681="","",'NEW ACCOUNT'!D681)</f>
        <v/>
      </c>
      <c r="E680" t="str">
        <f>IF('NEW ACCOUNT'!A681="","",'NEW ACCOUNT'!E681)</f>
        <v/>
      </c>
      <c r="F680" t="str">
        <f>IF('NEW ACCOUNT'!A681="","",'NEW ACCOUNT'!F681)</f>
        <v/>
      </c>
      <c r="G680" t="str">
        <f>IF('NEW ACCOUNT'!A681="","",'NEW ACCOUNT'!G681)</f>
        <v/>
      </c>
      <c r="H680" t="str">
        <f>IF('NEW ACCOUNT'!A681="","",'NEW ACCOUNT'!H681)</f>
        <v/>
      </c>
      <c r="I680" t="str">
        <f>IF('NEW ACCOUNT'!A681="","",'NEW ACCOUNT'!I681)</f>
        <v/>
      </c>
      <c r="J680" t="str">
        <f>IF('NEW ACCOUNT'!A681="","",'NEW ACCOUNT'!J681)</f>
        <v/>
      </c>
      <c r="K680" t="str">
        <f>IFERROR(IF(A680="","",SUMIF(DB_Savings!$A:$A,A680,DB_Savings!$F:$F)),"")</f>
        <v/>
      </c>
      <c r="L680" t="str">
        <f>IFERROR(IF(A680="","",SUMIF(DB_Withdrawals!$A:$A,A680,DB_Withdrawals!$G:$G)),"")</f>
        <v/>
      </c>
      <c r="M680" t="str">
        <f>IFERROR(IF(A680="","",IFERROR(VALUE(H680),0)+IFERROR(SUMIF(DB_Savings!$A:$A,A680,DB_Savings!$F:$F),0)-IFERROR(SUMIF(DB_Withdrawals!$A:$A,A680,DB_Withdrawals!$G:$G),0)),"")</f>
        <v/>
      </c>
      <c r="N680" t="str">
        <f>IFERROR(IF(A680="","",MAX(0,M680-System_Config!$B$9)),"")</f>
        <v/>
      </c>
    </row>
    <row r="681" spans="1:14" ht="15" customHeight="1" x14ac:dyDescent="0.25">
      <c r="A681" t="str">
        <f>'NEW ACCOUNT'!A682</f>
        <v/>
      </c>
      <c r="B681" t="str">
        <f>IF('NEW ACCOUNT'!A682="","",'NEW ACCOUNT'!B682)</f>
        <v/>
      </c>
      <c r="C681" t="str">
        <f>IF('NEW ACCOUNT'!A682="","",'NEW ACCOUNT'!C682)</f>
        <v/>
      </c>
      <c r="D681" t="str">
        <f>IF('NEW ACCOUNT'!A682="","",'NEW ACCOUNT'!D682)</f>
        <v/>
      </c>
      <c r="E681" t="str">
        <f>IF('NEW ACCOUNT'!A682="","",'NEW ACCOUNT'!E682)</f>
        <v/>
      </c>
      <c r="F681" t="str">
        <f>IF('NEW ACCOUNT'!A682="","",'NEW ACCOUNT'!F682)</f>
        <v/>
      </c>
      <c r="G681" t="str">
        <f>IF('NEW ACCOUNT'!A682="","",'NEW ACCOUNT'!G682)</f>
        <v/>
      </c>
      <c r="H681" t="str">
        <f>IF('NEW ACCOUNT'!A682="","",'NEW ACCOUNT'!H682)</f>
        <v/>
      </c>
      <c r="I681" t="str">
        <f>IF('NEW ACCOUNT'!A682="","",'NEW ACCOUNT'!I682)</f>
        <v/>
      </c>
      <c r="J681" t="str">
        <f>IF('NEW ACCOUNT'!A682="","",'NEW ACCOUNT'!J682)</f>
        <v/>
      </c>
      <c r="K681" t="str">
        <f>IFERROR(IF(A681="","",SUMIF(DB_Savings!$A:$A,A681,DB_Savings!$F:$F)),"")</f>
        <v/>
      </c>
      <c r="L681" t="str">
        <f>IFERROR(IF(A681="","",SUMIF(DB_Withdrawals!$A:$A,A681,DB_Withdrawals!$G:$G)),"")</f>
        <v/>
      </c>
      <c r="M681" t="str">
        <f>IFERROR(IF(A681="","",IFERROR(VALUE(H681),0)+IFERROR(SUMIF(DB_Savings!$A:$A,A681,DB_Savings!$F:$F),0)-IFERROR(SUMIF(DB_Withdrawals!$A:$A,A681,DB_Withdrawals!$G:$G),0)),"")</f>
        <v/>
      </c>
      <c r="N681" t="str">
        <f>IFERROR(IF(A681="","",MAX(0,M681-System_Config!$B$9)),"")</f>
        <v/>
      </c>
    </row>
    <row r="682" spans="1:14" ht="15" customHeight="1" x14ac:dyDescent="0.25">
      <c r="A682" t="str">
        <f>'NEW ACCOUNT'!A683</f>
        <v/>
      </c>
      <c r="B682" t="str">
        <f>IF('NEW ACCOUNT'!A683="","",'NEW ACCOUNT'!B683)</f>
        <v/>
      </c>
      <c r="C682" t="str">
        <f>IF('NEW ACCOUNT'!A683="","",'NEW ACCOUNT'!C683)</f>
        <v/>
      </c>
      <c r="D682" t="str">
        <f>IF('NEW ACCOUNT'!A683="","",'NEW ACCOUNT'!D683)</f>
        <v/>
      </c>
      <c r="E682" t="str">
        <f>IF('NEW ACCOUNT'!A683="","",'NEW ACCOUNT'!E683)</f>
        <v/>
      </c>
      <c r="F682" t="str">
        <f>IF('NEW ACCOUNT'!A683="","",'NEW ACCOUNT'!F683)</f>
        <v/>
      </c>
      <c r="G682" t="str">
        <f>IF('NEW ACCOUNT'!A683="","",'NEW ACCOUNT'!G683)</f>
        <v/>
      </c>
      <c r="H682" t="str">
        <f>IF('NEW ACCOUNT'!A683="","",'NEW ACCOUNT'!H683)</f>
        <v/>
      </c>
      <c r="I682" t="str">
        <f>IF('NEW ACCOUNT'!A683="","",'NEW ACCOUNT'!I683)</f>
        <v/>
      </c>
      <c r="J682" t="str">
        <f>IF('NEW ACCOUNT'!A683="","",'NEW ACCOUNT'!J683)</f>
        <v/>
      </c>
      <c r="K682" t="str">
        <f>IFERROR(IF(A682="","",SUMIF(DB_Savings!$A:$A,A682,DB_Savings!$F:$F)),"")</f>
        <v/>
      </c>
      <c r="L682" t="str">
        <f>IFERROR(IF(A682="","",SUMIF(DB_Withdrawals!$A:$A,A682,DB_Withdrawals!$G:$G)),"")</f>
        <v/>
      </c>
      <c r="M682" t="str">
        <f>IFERROR(IF(A682="","",IFERROR(VALUE(H682),0)+IFERROR(SUMIF(DB_Savings!$A:$A,A682,DB_Savings!$F:$F),0)-IFERROR(SUMIF(DB_Withdrawals!$A:$A,A682,DB_Withdrawals!$G:$G),0)),"")</f>
        <v/>
      </c>
      <c r="N682" t="str">
        <f>IFERROR(IF(A682="","",MAX(0,M682-System_Config!$B$9)),"")</f>
        <v/>
      </c>
    </row>
    <row r="683" spans="1:14" ht="15" customHeight="1" x14ac:dyDescent="0.25">
      <c r="A683" t="str">
        <f>'NEW ACCOUNT'!A684</f>
        <v/>
      </c>
      <c r="B683" t="str">
        <f>IF('NEW ACCOUNT'!A684="","",'NEW ACCOUNT'!B684)</f>
        <v/>
      </c>
      <c r="C683" t="str">
        <f>IF('NEW ACCOUNT'!A684="","",'NEW ACCOUNT'!C684)</f>
        <v/>
      </c>
      <c r="D683" t="str">
        <f>IF('NEW ACCOUNT'!A684="","",'NEW ACCOUNT'!D684)</f>
        <v/>
      </c>
      <c r="E683" t="str">
        <f>IF('NEW ACCOUNT'!A684="","",'NEW ACCOUNT'!E684)</f>
        <v/>
      </c>
      <c r="F683" t="str">
        <f>IF('NEW ACCOUNT'!A684="","",'NEW ACCOUNT'!F684)</f>
        <v/>
      </c>
      <c r="G683" t="str">
        <f>IF('NEW ACCOUNT'!A684="","",'NEW ACCOUNT'!G684)</f>
        <v/>
      </c>
      <c r="H683" t="str">
        <f>IF('NEW ACCOUNT'!A684="","",'NEW ACCOUNT'!H684)</f>
        <v/>
      </c>
      <c r="I683" t="str">
        <f>IF('NEW ACCOUNT'!A684="","",'NEW ACCOUNT'!I684)</f>
        <v/>
      </c>
      <c r="J683" t="str">
        <f>IF('NEW ACCOUNT'!A684="","",'NEW ACCOUNT'!J684)</f>
        <v/>
      </c>
      <c r="K683" t="str">
        <f>IFERROR(IF(A683="","",SUMIF(DB_Savings!$A:$A,A683,DB_Savings!$F:$F)),"")</f>
        <v/>
      </c>
      <c r="L683" t="str">
        <f>IFERROR(IF(A683="","",SUMIF(DB_Withdrawals!$A:$A,A683,DB_Withdrawals!$G:$G)),"")</f>
        <v/>
      </c>
      <c r="M683" t="str">
        <f>IFERROR(IF(A683="","",IFERROR(VALUE(H683),0)+IFERROR(SUMIF(DB_Savings!$A:$A,A683,DB_Savings!$F:$F),0)-IFERROR(SUMIF(DB_Withdrawals!$A:$A,A683,DB_Withdrawals!$G:$G),0)),"")</f>
        <v/>
      </c>
      <c r="N683" t="str">
        <f>IFERROR(IF(A683="","",MAX(0,M683-System_Config!$B$9)),"")</f>
        <v/>
      </c>
    </row>
    <row r="684" spans="1:14" ht="15" customHeight="1" x14ac:dyDescent="0.25">
      <c r="A684" t="str">
        <f>'NEW ACCOUNT'!A685</f>
        <v/>
      </c>
      <c r="B684" t="str">
        <f>IF('NEW ACCOUNT'!A685="","",'NEW ACCOUNT'!B685)</f>
        <v/>
      </c>
      <c r="C684" t="str">
        <f>IF('NEW ACCOUNT'!A685="","",'NEW ACCOUNT'!C685)</f>
        <v/>
      </c>
      <c r="D684" t="str">
        <f>IF('NEW ACCOUNT'!A685="","",'NEW ACCOUNT'!D685)</f>
        <v/>
      </c>
      <c r="E684" t="str">
        <f>IF('NEW ACCOUNT'!A685="","",'NEW ACCOUNT'!E685)</f>
        <v/>
      </c>
      <c r="F684" t="str">
        <f>IF('NEW ACCOUNT'!A685="","",'NEW ACCOUNT'!F685)</f>
        <v/>
      </c>
      <c r="G684" t="str">
        <f>IF('NEW ACCOUNT'!A685="","",'NEW ACCOUNT'!G685)</f>
        <v/>
      </c>
      <c r="H684" t="str">
        <f>IF('NEW ACCOUNT'!A685="","",'NEW ACCOUNT'!H685)</f>
        <v/>
      </c>
      <c r="I684" t="str">
        <f>IF('NEW ACCOUNT'!A685="","",'NEW ACCOUNT'!I685)</f>
        <v/>
      </c>
      <c r="J684" t="str">
        <f>IF('NEW ACCOUNT'!A685="","",'NEW ACCOUNT'!J685)</f>
        <v/>
      </c>
      <c r="K684" t="str">
        <f>IFERROR(IF(A684="","",SUMIF(DB_Savings!$A:$A,A684,DB_Savings!$F:$F)),"")</f>
        <v/>
      </c>
      <c r="L684" t="str">
        <f>IFERROR(IF(A684="","",SUMIF(DB_Withdrawals!$A:$A,A684,DB_Withdrawals!$G:$G)),"")</f>
        <v/>
      </c>
      <c r="M684" t="str">
        <f>IFERROR(IF(A684="","",IFERROR(VALUE(H684),0)+IFERROR(SUMIF(DB_Savings!$A:$A,A684,DB_Savings!$F:$F),0)-IFERROR(SUMIF(DB_Withdrawals!$A:$A,A684,DB_Withdrawals!$G:$G),0)),"")</f>
        <v/>
      </c>
      <c r="N684" t="str">
        <f>IFERROR(IF(A684="","",MAX(0,M684-System_Config!$B$9)),"")</f>
        <v/>
      </c>
    </row>
    <row r="685" spans="1:14" ht="15" customHeight="1" x14ac:dyDescent="0.25">
      <c r="A685" t="str">
        <f>'NEW ACCOUNT'!A686</f>
        <v/>
      </c>
      <c r="B685" t="str">
        <f>IF('NEW ACCOUNT'!A686="","",'NEW ACCOUNT'!B686)</f>
        <v/>
      </c>
      <c r="C685" t="str">
        <f>IF('NEW ACCOUNT'!A686="","",'NEW ACCOUNT'!C686)</f>
        <v/>
      </c>
      <c r="D685" t="str">
        <f>IF('NEW ACCOUNT'!A686="","",'NEW ACCOUNT'!D686)</f>
        <v/>
      </c>
      <c r="E685" t="str">
        <f>IF('NEW ACCOUNT'!A686="","",'NEW ACCOUNT'!E686)</f>
        <v/>
      </c>
      <c r="F685" t="str">
        <f>IF('NEW ACCOUNT'!A686="","",'NEW ACCOUNT'!F686)</f>
        <v/>
      </c>
      <c r="G685" t="str">
        <f>IF('NEW ACCOUNT'!A686="","",'NEW ACCOUNT'!G686)</f>
        <v/>
      </c>
      <c r="H685" t="str">
        <f>IF('NEW ACCOUNT'!A686="","",'NEW ACCOUNT'!H686)</f>
        <v/>
      </c>
      <c r="I685" t="str">
        <f>IF('NEW ACCOUNT'!A686="","",'NEW ACCOUNT'!I686)</f>
        <v/>
      </c>
      <c r="J685" t="str">
        <f>IF('NEW ACCOUNT'!A686="","",'NEW ACCOUNT'!J686)</f>
        <v/>
      </c>
      <c r="K685" t="str">
        <f>IFERROR(IF(A685="","",SUMIF(DB_Savings!$A:$A,A685,DB_Savings!$F:$F)),"")</f>
        <v/>
      </c>
      <c r="L685" t="str">
        <f>IFERROR(IF(A685="","",SUMIF(DB_Withdrawals!$A:$A,A685,DB_Withdrawals!$G:$G)),"")</f>
        <v/>
      </c>
      <c r="M685" t="str">
        <f>IFERROR(IF(A685="","",IFERROR(VALUE(H685),0)+IFERROR(SUMIF(DB_Savings!$A:$A,A685,DB_Savings!$F:$F),0)-IFERROR(SUMIF(DB_Withdrawals!$A:$A,A685,DB_Withdrawals!$G:$G),0)),"")</f>
        <v/>
      </c>
      <c r="N685" t="str">
        <f>IFERROR(IF(A685="","",MAX(0,M685-System_Config!$B$9)),"")</f>
        <v/>
      </c>
    </row>
    <row r="686" spans="1:14" ht="15" customHeight="1" x14ac:dyDescent="0.25">
      <c r="A686" t="str">
        <f>'NEW ACCOUNT'!A687</f>
        <v/>
      </c>
      <c r="B686" t="str">
        <f>IF('NEW ACCOUNT'!A687="","",'NEW ACCOUNT'!B687)</f>
        <v/>
      </c>
      <c r="C686" t="str">
        <f>IF('NEW ACCOUNT'!A687="","",'NEW ACCOUNT'!C687)</f>
        <v/>
      </c>
      <c r="D686" t="str">
        <f>IF('NEW ACCOUNT'!A687="","",'NEW ACCOUNT'!D687)</f>
        <v/>
      </c>
      <c r="E686" t="str">
        <f>IF('NEW ACCOUNT'!A687="","",'NEW ACCOUNT'!E687)</f>
        <v/>
      </c>
      <c r="F686" t="str">
        <f>IF('NEW ACCOUNT'!A687="","",'NEW ACCOUNT'!F687)</f>
        <v/>
      </c>
      <c r="G686" t="str">
        <f>IF('NEW ACCOUNT'!A687="","",'NEW ACCOUNT'!G687)</f>
        <v/>
      </c>
      <c r="H686" t="str">
        <f>IF('NEW ACCOUNT'!A687="","",'NEW ACCOUNT'!H687)</f>
        <v/>
      </c>
      <c r="I686" t="str">
        <f>IF('NEW ACCOUNT'!A687="","",'NEW ACCOUNT'!I687)</f>
        <v/>
      </c>
      <c r="J686" t="str">
        <f>IF('NEW ACCOUNT'!A687="","",'NEW ACCOUNT'!J687)</f>
        <v/>
      </c>
      <c r="K686" t="str">
        <f>IFERROR(IF(A686="","",SUMIF(DB_Savings!$A:$A,A686,DB_Savings!$F:$F)),"")</f>
        <v/>
      </c>
      <c r="L686" t="str">
        <f>IFERROR(IF(A686="","",SUMIF(DB_Withdrawals!$A:$A,A686,DB_Withdrawals!$G:$G)),"")</f>
        <v/>
      </c>
      <c r="M686" t="str">
        <f>IFERROR(IF(A686="","",IFERROR(VALUE(H686),0)+IFERROR(SUMIF(DB_Savings!$A:$A,A686,DB_Savings!$F:$F),0)-IFERROR(SUMIF(DB_Withdrawals!$A:$A,A686,DB_Withdrawals!$G:$G),0)),"")</f>
        <v/>
      </c>
      <c r="N686" t="str">
        <f>IFERROR(IF(A686="","",MAX(0,M686-System_Config!$B$9)),"")</f>
        <v/>
      </c>
    </row>
    <row r="687" spans="1:14" ht="15" customHeight="1" x14ac:dyDescent="0.25">
      <c r="A687" t="str">
        <f>'NEW ACCOUNT'!A688</f>
        <v/>
      </c>
      <c r="B687" t="str">
        <f>IF('NEW ACCOUNT'!A688="","",'NEW ACCOUNT'!B688)</f>
        <v/>
      </c>
      <c r="C687" t="str">
        <f>IF('NEW ACCOUNT'!A688="","",'NEW ACCOUNT'!C688)</f>
        <v/>
      </c>
      <c r="D687" t="str">
        <f>IF('NEW ACCOUNT'!A688="","",'NEW ACCOUNT'!D688)</f>
        <v/>
      </c>
      <c r="E687" t="str">
        <f>IF('NEW ACCOUNT'!A688="","",'NEW ACCOUNT'!E688)</f>
        <v/>
      </c>
      <c r="F687" t="str">
        <f>IF('NEW ACCOUNT'!A688="","",'NEW ACCOUNT'!F688)</f>
        <v/>
      </c>
      <c r="G687" t="str">
        <f>IF('NEW ACCOUNT'!A688="","",'NEW ACCOUNT'!G688)</f>
        <v/>
      </c>
      <c r="H687" t="str">
        <f>IF('NEW ACCOUNT'!A688="","",'NEW ACCOUNT'!H688)</f>
        <v/>
      </c>
      <c r="I687" t="str">
        <f>IF('NEW ACCOUNT'!A688="","",'NEW ACCOUNT'!I688)</f>
        <v/>
      </c>
      <c r="J687" t="str">
        <f>IF('NEW ACCOUNT'!A688="","",'NEW ACCOUNT'!J688)</f>
        <v/>
      </c>
      <c r="K687" t="str">
        <f>IFERROR(IF(A687="","",SUMIF(DB_Savings!$A:$A,A687,DB_Savings!$F:$F)),"")</f>
        <v/>
      </c>
      <c r="L687" t="str">
        <f>IFERROR(IF(A687="","",SUMIF(DB_Withdrawals!$A:$A,A687,DB_Withdrawals!$G:$G)),"")</f>
        <v/>
      </c>
      <c r="M687" t="str">
        <f>IFERROR(IF(A687="","",IFERROR(VALUE(H687),0)+IFERROR(SUMIF(DB_Savings!$A:$A,A687,DB_Savings!$F:$F),0)-IFERROR(SUMIF(DB_Withdrawals!$A:$A,A687,DB_Withdrawals!$G:$G),0)),"")</f>
        <v/>
      </c>
      <c r="N687" t="str">
        <f>IFERROR(IF(A687="","",MAX(0,M687-System_Config!$B$9)),"")</f>
        <v/>
      </c>
    </row>
    <row r="688" spans="1:14" ht="15" customHeight="1" x14ac:dyDescent="0.25">
      <c r="A688" t="str">
        <f>'NEW ACCOUNT'!A689</f>
        <v/>
      </c>
      <c r="B688" t="str">
        <f>IF('NEW ACCOUNT'!A689="","",'NEW ACCOUNT'!B689)</f>
        <v/>
      </c>
      <c r="C688" t="str">
        <f>IF('NEW ACCOUNT'!A689="","",'NEW ACCOUNT'!C689)</f>
        <v/>
      </c>
      <c r="D688" t="str">
        <f>IF('NEW ACCOUNT'!A689="","",'NEW ACCOUNT'!D689)</f>
        <v/>
      </c>
      <c r="E688" t="str">
        <f>IF('NEW ACCOUNT'!A689="","",'NEW ACCOUNT'!E689)</f>
        <v/>
      </c>
      <c r="F688" t="str">
        <f>IF('NEW ACCOUNT'!A689="","",'NEW ACCOUNT'!F689)</f>
        <v/>
      </c>
      <c r="G688" t="str">
        <f>IF('NEW ACCOUNT'!A689="","",'NEW ACCOUNT'!G689)</f>
        <v/>
      </c>
      <c r="H688" t="str">
        <f>IF('NEW ACCOUNT'!A689="","",'NEW ACCOUNT'!H689)</f>
        <v/>
      </c>
      <c r="I688" t="str">
        <f>IF('NEW ACCOUNT'!A689="","",'NEW ACCOUNT'!I689)</f>
        <v/>
      </c>
      <c r="J688" t="str">
        <f>IF('NEW ACCOUNT'!A689="","",'NEW ACCOUNT'!J689)</f>
        <v/>
      </c>
      <c r="K688" t="str">
        <f>IFERROR(IF(A688="","",SUMIF(DB_Savings!$A:$A,A688,DB_Savings!$F:$F)),"")</f>
        <v/>
      </c>
      <c r="L688" t="str">
        <f>IFERROR(IF(A688="","",SUMIF(DB_Withdrawals!$A:$A,A688,DB_Withdrawals!$G:$G)),"")</f>
        <v/>
      </c>
      <c r="M688" t="str">
        <f>IFERROR(IF(A688="","",IFERROR(VALUE(H688),0)+IFERROR(SUMIF(DB_Savings!$A:$A,A688,DB_Savings!$F:$F),0)-IFERROR(SUMIF(DB_Withdrawals!$A:$A,A688,DB_Withdrawals!$G:$G),0)),"")</f>
        <v/>
      </c>
      <c r="N688" t="str">
        <f>IFERROR(IF(A688="","",MAX(0,M688-System_Config!$B$9)),"")</f>
        <v/>
      </c>
    </row>
    <row r="689" spans="1:14" ht="15" customHeight="1" x14ac:dyDescent="0.25">
      <c r="A689" t="str">
        <f>'NEW ACCOUNT'!A690</f>
        <v/>
      </c>
      <c r="B689" t="str">
        <f>IF('NEW ACCOUNT'!A690="","",'NEW ACCOUNT'!B690)</f>
        <v/>
      </c>
      <c r="C689" t="str">
        <f>IF('NEW ACCOUNT'!A690="","",'NEW ACCOUNT'!C690)</f>
        <v/>
      </c>
      <c r="D689" t="str">
        <f>IF('NEW ACCOUNT'!A690="","",'NEW ACCOUNT'!D690)</f>
        <v/>
      </c>
      <c r="E689" t="str">
        <f>IF('NEW ACCOUNT'!A690="","",'NEW ACCOUNT'!E690)</f>
        <v/>
      </c>
      <c r="F689" t="str">
        <f>IF('NEW ACCOUNT'!A690="","",'NEW ACCOUNT'!F690)</f>
        <v/>
      </c>
      <c r="G689" t="str">
        <f>IF('NEW ACCOUNT'!A690="","",'NEW ACCOUNT'!G690)</f>
        <v/>
      </c>
      <c r="H689" t="str">
        <f>IF('NEW ACCOUNT'!A690="","",'NEW ACCOUNT'!H690)</f>
        <v/>
      </c>
      <c r="I689" t="str">
        <f>IF('NEW ACCOUNT'!A690="","",'NEW ACCOUNT'!I690)</f>
        <v/>
      </c>
      <c r="J689" t="str">
        <f>IF('NEW ACCOUNT'!A690="","",'NEW ACCOUNT'!J690)</f>
        <v/>
      </c>
      <c r="K689" t="str">
        <f>IFERROR(IF(A689="","",SUMIF(DB_Savings!$A:$A,A689,DB_Savings!$F:$F)),"")</f>
        <v/>
      </c>
      <c r="L689" t="str">
        <f>IFERROR(IF(A689="","",SUMIF(DB_Withdrawals!$A:$A,A689,DB_Withdrawals!$G:$G)),"")</f>
        <v/>
      </c>
      <c r="M689" t="str">
        <f>IFERROR(IF(A689="","",IFERROR(VALUE(H689),0)+IFERROR(SUMIF(DB_Savings!$A:$A,A689,DB_Savings!$F:$F),0)-IFERROR(SUMIF(DB_Withdrawals!$A:$A,A689,DB_Withdrawals!$G:$G),0)),"")</f>
        <v/>
      </c>
      <c r="N689" t="str">
        <f>IFERROR(IF(A689="","",MAX(0,M689-System_Config!$B$9)),"")</f>
        <v/>
      </c>
    </row>
    <row r="690" spans="1:14" ht="15" customHeight="1" x14ac:dyDescent="0.25">
      <c r="A690" t="str">
        <f>'NEW ACCOUNT'!A691</f>
        <v/>
      </c>
      <c r="B690" t="str">
        <f>IF('NEW ACCOUNT'!A691="","",'NEW ACCOUNT'!B691)</f>
        <v/>
      </c>
      <c r="C690" t="str">
        <f>IF('NEW ACCOUNT'!A691="","",'NEW ACCOUNT'!C691)</f>
        <v/>
      </c>
      <c r="D690" t="str">
        <f>IF('NEW ACCOUNT'!A691="","",'NEW ACCOUNT'!D691)</f>
        <v/>
      </c>
      <c r="E690" t="str">
        <f>IF('NEW ACCOUNT'!A691="","",'NEW ACCOUNT'!E691)</f>
        <v/>
      </c>
      <c r="F690" t="str">
        <f>IF('NEW ACCOUNT'!A691="","",'NEW ACCOUNT'!F691)</f>
        <v/>
      </c>
      <c r="G690" t="str">
        <f>IF('NEW ACCOUNT'!A691="","",'NEW ACCOUNT'!G691)</f>
        <v/>
      </c>
      <c r="H690" t="str">
        <f>IF('NEW ACCOUNT'!A691="","",'NEW ACCOUNT'!H691)</f>
        <v/>
      </c>
      <c r="I690" t="str">
        <f>IF('NEW ACCOUNT'!A691="","",'NEW ACCOUNT'!I691)</f>
        <v/>
      </c>
      <c r="J690" t="str">
        <f>IF('NEW ACCOUNT'!A691="","",'NEW ACCOUNT'!J691)</f>
        <v/>
      </c>
      <c r="K690" t="str">
        <f>IFERROR(IF(A690="","",SUMIF(DB_Savings!$A:$A,A690,DB_Savings!$F:$F)),"")</f>
        <v/>
      </c>
      <c r="L690" t="str">
        <f>IFERROR(IF(A690="","",SUMIF(DB_Withdrawals!$A:$A,A690,DB_Withdrawals!$G:$G)),"")</f>
        <v/>
      </c>
      <c r="M690" t="str">
        <f>IFERROR(IF(A690="","",IFERROR(VALUE(H690),0)+IFERROR(SUMIF(DB_Savings!$A:$A,A690,DB_Savings!$F:$F),0)-IFERROR(SUMIF(DB_Withdrawals!$A:$A,A690,DB_Withdrawals!$G:$G),0)),"")</f>
        <v/>
      </c>
      <c r="N690" t="str">
        <f>IFERROR(IF(A690="","",MAX(0,M690-System_Config!$B$9)),"")</f>
        <v/>
      </c>
    </row>
    <row r="691" spans="1:14" ht="15" customHeight="1" x14ac:dyDescent="0.25">
      <c r="A691" t="str">
        <f>'NEW ACCOUNT'!A692</f>
        <v/>
      </c>
      <c r="B691" t="str">
        <f>IF('NEW ACCOUNT'!A692="","",'NEW ACCOUNT'!B692)</f>
        <v/>
      </c>
      <c r="C691" t="str">
        <f>IF('NEW ACCOUNT'!A692="","",'NEW ACCOUNT'!C692)</f>
        <v/>
      </c>
      <c r="D691" t="str">
        <f>IF('NEW ACCOUNT'!A692="","",'NEW ACCOUNT'!D692)</f>
        <v/>
      </c>
      <c r="E691" t="str">
        <f>IF('NEW ACCOUNT'!A692="","",'NEW ACCOUNT'!E692)</f>
        <v/>
      </c>
      <c r="F691" t="str">
        <f>IF('NEW ACCOUNT'!A692="","",'NEW ACCOUNT'!F692)</f>
        <v/>
      </c>
      <c r="G691" t="str">
        <f>IF('NEW ACCOUNT'!A692="","",'NEW ACCOUNT'!G692)</f>
        <v/>
      </c>
      <c r="H691" t="str">
        <f>IF('NEW ACCOUNT'!A692="","",'NEW ACCOUNT'!H692)</f>
        <v/>
      </c>
      <c r="I691" t="str">
        <f>IF('NEW ACCOUNT'!A692="","",'NEW ACCOUNT'!I692)</f>
        <v/>
      </c>
      <c r="J691" t="str">
        <f>IF('NEW ACCOUNT'!A692="","",'NEW ACCOUNT'!J692)</f>
        <v/>
      </c>
      <c r="K691" t="str">
        <f>IFERROR(IF(A691="","",SUMIF(DB_Savings!$A:$A,A691,DB_Savings!$F:$F)),"")</f>
        <v/>
      </c>
      <c r="L691" t="str">
        <f>IFERROR(IF(A691="","",SUMIF(DB_Withdrawals!$A:$A,A691,DB_Withdrawals!$G:$G)),"")</f>
        <v/>
      </c>
      <c r="M691" t="str">
        <f>IFERROR(IF(A691="","",IFERROR(VALUE(H691),0)+IFERROR(SUMIF(DB_Savings!$A:$A,A691,DB_Savings!$F:$F),0)-IFERROR(SUMIF(DB_Withdrawals!$A:$A,A691,DB_Withdrawals!$G:$G),0)),"")</f>
        <v/>
      </c>
      <c r="N691" t="str">
        <f>IFERROR(IF(A691="","",MAX(0,M691-System_Config!$B$9)),"")</f>
        <v/>
      </c>
    </row>
    <row r="692" spans="1:14" ht="15" customHeight="1" x14ac:dyDescent="0.25">
      <c r="A692" t="str">
        <f>'NEW ACCOUNT'!A693</f>
        <v/>
      </c>
      <c r="B692" t="str">
        <f>IF('NEW ACCOUNT'!A693="","",'NEW ACCOUNT'!B693)</f>
        <v/>
      </c>
      <c r="C692" t="str">
        <f>IF('NEW ACCOUNT'!A693="","",'NEW ACCOUNT'!C693)</f>
        <v/>
      </c>
      <c r="D692" t="str">
        <f>IF('NEW ACCOUNT'!A693="","",'NEW ACCOUNT'!D693)</f>
        <v/>
      </c>
      <c r="E692" t="str">
        <f>IF('NEW ACCOUNT'!A693="","",'NEW ACCOUNT'!E693)</f>
        <v/>
      </c>
      <c r="F692" t="str">
        <f>IF('NEW ACCOUNT'!A693="","",'NEW ACCOUNT'!F693)</f>
        <v/>
      </c>
      <c r="G692" t="str">
        <f>IF('NEW ACCOUNT'!A693="","",'NEW ACCOUNT'!G693)</f>
        <v/>
      </c>
      <c r="H692" t="str">
        <f>IF('NEW ACCOUNT'!A693="","",'NEW ACCOUNT'!H693)</f>
        <v/>
      </c>
      <c r="I692" t="str">
        <f>IF('NEW ACCOUNT'!A693="","",'NEW ACCOUNT'!I693)</f>
        <v/>
      </c>
      <c r="J692" t="str">
        <f>IF('NEW ACCOUNT'!A693="","",'NEW ACCOUNT'!J693)</f>
        <v/>
      </c>
      <c r="K692" t="str">
        <f>IFERROR(IF(A692="","",SUMIF(DB_Savings!$A:$A,A692,DB_Savings!$F:$F)),"")</f>
        <v/>
      </c>
      <c r="L692" t="str">
        <f>IFERROR(IF(A692="","",SUMIF(DB_Withdrawals!$A:$A,A692,DB_Withdrawals!$G:$G)),"")</f>
        <v/>
      </c>
      <c r="M692" t="str">
        <f>IFERROR(IF(A692="","",IFERROR(VALUE(H692),0)+IFERROR(SUMIF(DB_Savings!$A:$A,A692,DB_Savings!$F:$F),0)-IFERROR(SUMIF(DB_Withdrawals!$A:$A,A692,DB_Withdrawals!$G:$G),0)),"")</f>
        <v/>
      </c>
      <c r="N692" t="str">
        <f>IFERROR(IF(A692="","",MAX(0,M692-System_Config!$B$9)),"")</f>
        <v/>
      </c>
    </row>
    <row r="693" spans="1:14" ht="15" customHeight="1" x14ac:dyDescent="0.25">
      <c r="A693" t="str">
        <f>'NEW ACCOUNT'!A694</f>
        <v/>
      </c>
      <c r="B693" t="str">
        <f>IF('NEW ACCOUNT'!A694="","",'NEW ACCOUNT'!B694)</f>
        <v/>
      </c>
      <c r="C693" t="str">
        <f>IF('NEW ACCOUNT'!A694="","",'NEW ACCOUNT'!C694)</f>
        <v/>
      </c>
      <c r="D693" t="str">
        <f>IF('NEW ACCOUNT'!A694="","",'NEW ACCOUNT'!D694)</f>
        <v/>
      </c>
      <c r="E693" t="str">
        <f>IF('NEW ACCOUNT'!A694="","",'NEW ACCOUNT'!E694)</f>
        <v/>
      </c>
      <c r="F693" t="str">
        <f>IF('NEW ACCOUNT'!A694="","",'NEW ACCOUNT'!F694)</f>
        <v/>
      </c>
      <c r="G693" t="str">
        <f>IF('NEW ACCOUNT'!A694="","",'NEW ACCOUNT'!G694)</f>
        <v/>
      </c>
      <c r="H693" t="str">
        <f>IF('NEW ACCOUNT'!A694="","",'NEW ACCOUNT'!H694)</f>
        <v/>
      </c>
      <c r="I693" t="str">
        <f>IF('NEW ACCOUNT'!A694="","",'NEW ACCOUNT'!I694)</f>
        <v/>
      </c>
      <c r="J693" t="str">
        <f>IF('NEW ACCOUNT'!A694="","",'NEW ACCOUNT'!J694)</f>
        <v/>
      </c>
      <c r="K693" t="str">
        <f>IFERROR(IF(A693="","",SUMIF(DB_Savings!$A:$A,A693,DB_Savings!$F:$F)),"")</f>
        <v/>
      </c>
      <c r="L693" t="str">
        <f>IFERROR(IF(A693="","",SUMIF(DB_Withdrawals!$A:$A,A693,DB_Withdrawals!$G:$G)),"")</f>
        <v/>
      </c>
      <c r="M693" t="str">
        <f>IFERROR(IF(A693="","",IFERROR(VALUE(H693),0)+IFERROR(SUMIF(DB_Savings!$A:$A,A693,DB_Savings!$F:$F),0)-IFERROR(SUMIF(DB_Withdrawals!$A:$A,A693,DB_Withdrawals!$G:$G),0)),"")</f>
        <v/>
      </c>
      <c r="N693" t="str">
        <f>IFERROR(IF(A693="","",MAX(0,M693-System_Config!$B$9)),"")</f>
        <v/>
      </c>
    </row>
    <row r="694" spans="1:14" ht="15" customHeight="1" x14ac:dyDescent="0.25">
      <c r="A694" t="str">
        <f>'NEW ACCOUNT'!A695</f>
        <v/>
      </c>
      <c r="B694" t="str">
        <f>IF('NEW ACCOUNT'!A695="","",'NEW ACCOUNT'!B695)</f>
        <v/>
      </c>
      <c r="C694" t="str">
        <f>IF('NEW ACCOUNT'!A695="","",'NEW ACCOUNT'!C695)</f>
        <v/>
      </c>
      <c r="D694" t="str">
        <f>IF('NEW ACCOUNT'!A695="","",'NEW ACCOUNT'!D695)</f>
        <v/>
      </c>
      <c r="E694" t="str">
        <f>IF('NEW ACCOUNT'!A695="","",'NEW ACCOUNT'!E695)</f>
        <v/>
      </c>
      <c r="F694" t="str">
        <f>IF('NEW ACCOUNT'!A695="","",'NEW ACCOUNT'!F695)</f>
        <v/>
      </c>
      <c r="G694" t="str">
        <f>IF('NEW ACCOUNT'!A695="","",'NEW ACCOUNT'!G695)</f>
        <v/>
      </c>
      <c r="H694" t="str">
        <f>IF('NEW ACCOUNT'!A695="","",'NEW ACCOUNT'!H695)</f>
        <v/>
      </c>
      <c r="I694" t="str">
        <f>IF('NEW ACCOUNT'!A695="","",'NEW ACCOUNT'!I695)</f>
        <v/>
      </c>
      <c r="J694" t="str">
        <f>IF('NEW ACCOUNT'!A695="","",'NEW ACCOUNT'!J695)</f>
        <v/>
      </c>
      <c r="K694" t="str">
        <f>IFERROR(IF(A694="","",SUMIF(DB_Savings!$A:$A,A694,DB_Savings!$F:$F)),"")</f>
        <v/>
      </c>
      <c r="L694" t="str">
        <f>IFERROR(IF(A694="","",SUMIF(DB_Withdrawals!$A:$A,A694,DB_Withdrawals!$G:$G)),"")</f>
        <v/>
      </c>
      <c r="M694" t="str">
        <f>IFERROR(IF(A694="","",IFERROR(VALUE(H694),0)+IFERROR(SUMIF(DB_Savings!$A:$A,A694,DB_Savings!$F:$F),0)-IFERROR(SUMIF(DB_Withdrawals!$A:$A,A694,DB_Withdrawals!$G:$G),0)),"")</f>
        <v/>
      </c>
      <c r="N694" t="str">
        <f>IFERROR(IF(A694="","",MAX(0,M694-System_Config!$B$9)),"")</f>
        <v/>
      </c>
    </row>
    <row r="695" spans="1:14" ht="15" customHeight="1" x14ac:dyDescent="0.25">
      <c r="A695" t="str">
        <f>'NEW ACCOUNT'!A696</f>
        <v/>
      </c>
      <c r="B695" t="str">
        <f>IF('NEW ACCOUNT'!A696="","",'NEW ACCOUNT'!B696)</f>
        <v/>
      </c>
      <c r="C695" t="str">
        <f>IF('NEW ACCOUNT'!A696="","",'NEW ACCOUNT'!C696)</f>
        <v/>
      </c>
      <c r="D695" t="str">
        <f>IF('NEW ACCOUNT'!A696="","",'NEW ACCOUNT'!D696)</f>
        <v/>
      </c>
      <c r="E695" t="str">
        <f>IF('NEW ACCOUNT'!A696="","",'NEW ACCOUNT'!E696)</f>
        <v/>
      </c>
      <c r="F695" t="str">
        <f>IF('NEW ACCOUNT'!A696="","",'NEW ACCOUNT'!F696)</f>
        <v/>
      </c>
      <c r="G695" t="str">
        <f>IF('NEW ACCOUNT'!A696="","",'NEW ACCOUNT'!G696)</f>
        <v/>
      </c>
      <c r="H695" t="str">
        <f>IF('NEW ACCOUNT'!A696="","",'NEW ACCOUNT'!H696)</f>
        <v/>
      </c>
      <c r="I695" t="str">
        <f>IF('NEW ACCOUNT'!A696="","",'NEW ACCOUNT'!I696)</f>
        <v/>
      </c>
      <c r="J695" t="str">
        <f>IF('NEW ACCOUNT'!A696="","",'NEW ACCOUNT'!J696)</f>
        <v/>
      </c>
      <c r="K695" t="str">
        <f>IFERROR(IF(A695="","",SUMIF(DB_Savings!$A:$A,A695,DB_Savings!$F:$F)),"")</f>
        <v/>
      </c>
      <c r="L695" t="str">
        <f>IFERROR(IF(A695="","",SUMIF(DB_Withdrawals!$A:$A,A695,DB_Withdrawals!$G:$G)),"")</f>
        <v/>
      </c>
      <c r="M695" t="str">
        <f>IFERROR(IF(A695="","",IFERROR(VALUE(H695),0)+IFERROR(SUMIF(DB_Savings!$A:$A,A695,DB_Savings!$F:$F),0)-IFERROR(SUMIF(DB_Withdrawals!$A:$A,A695,DB_Withdrawals!$G:$G),0)),"")</f>
        <v/>
      </c>
      <c r="N695" t="str">
        <f>IFERROR(IF(A695="","",MAX(0,M695-System_Config!$B$9)),"")</f>
        <v/>
      </c>
    </row>
    <row r="696" spans="1:14" ht="15" customHeight="1" x14ac:dyDescent="0.25">
      <c r="A696" t="str">
        <f>'NEW ACCOUNT'!A697</f>
        <v/>
      </c>
      <c r="B696" t="str">
        <f>IF('NEW ACCOUNT'!A697="","",'NEW ACCOUNT'!B697)</f>
        <v/>
      </c>
      <c r="C696" t="str">
        <f>IF('NEW ACCOUNT'!A697="","",'NEW ACCOUNT'!C697)</f>
        <v/>
      </c>
      <c r="D696" t="str">
        <f>IF('NEW ACCOUNT'!A697="","",'NEW ACCOUNT'!D697)</f>
        <v/>
      </c>
      <c r="E696" t="str">
        <f>IF('NEW ACCOUNT'!A697="","",'NEW ACCOUNT'!E697)</f>
        <v/>
      </c>
      <c r="F696" t="str">
        <f>IF('NEW ACCOUNT'!A697="","",'NEW ACCOUNT'!F697)</f>
        <v/>
      </c>
      <c r="G696" t="str">
        <f>IF('NEW ACCOUNT'!A697="","",'NEW ACCOUNT'!G697)</f>
        <v/>
      </c>
      <c r="H696" t="str">
        <f>IF('NEW ACCOUNT'!A697="","",'NEW ACCOUNT'!H697)</f>
        <v/>
      </c>
      <c r="I696" t="str">
        <f>IF('NEW ACCOUNT'!A697="","",'NEW ACCOUNT'!I697)</f>
        <v/>
      </c>
      <c r="J696" t="str">
        <f>IF('NEW ACCOUNT'!A697="","",'NEW ACCOUNT'!J697)</f>
        <v/>
      </c>
      <c r="K696" t="str">
        <f>IFERROR(IF(A696="","",SUMIF(DB_Savings!$A:$A,A696,DB_Savings!$F:$F)),"")</f>
        <v/>
      </c>
      <c r="L696" t="str">
        <f>IFERROR(IF(A696="","",SUMIF(DB_Withdrawals!$A:$A,A696,DB_Withdrawals!$G:$G)),"")</f>
        <v/>
      </c>
      <c r="M696" t="str">
        <f>IFERROR(IF(A696="","",IFERROR(VALUE(H696),0)+IFERROR(SUMIF(DB_Savings!$A:$A,A696,DB_Savings!$F:$F),0)-IFERROR(SUMIF(DB_Withdrawals!$A:$A,A696,DB_Withdrawals!$G:$G),0)),"")</f>
        <v/>
      </c>
      <c r="N696" t="str">
        <f>IFERROR(IF(A696="","",MAX(0,M696-System_Config!$B$9)),"")</f>
        <v/>
      </c>
    </row>
    <row r="697" spans="1:14" ht="15" customHeight="1" x14ac:dyDescent="0.25">
      <c r="A697" t="str">
        <f>'NEW ACCOUNT'!A698</f>
        <v/>
      </c>
      <c r="B697" t="str">
        <f>IF('NEW ACCOUNT'!A698="","",'NEW ACCOUNT'!B698)</f>
        <v/>
      </c>
      <c r="C697" t="str">
        <f>IF('NEW ACCOUNT'!A698="","",'NEW ACCOUNT'!C698)</f>
        <v/>
      </c>
      <c r="D697" t="str">
        <f>IF('NEW ACCOUNT'!A698="","",'NEW ACCOUNT'!D698)</f>
        <v/>
      </c>
      <c r="E697" t="str">
        <f>IF('NEW ACCOUNT'!A698="","",'NEW ACCOUNT'!E698)</f>
        <v/>
      </c>
      <c r="F697" t="str">
        <f>IF('NEW ACCOUNT'!A698="","",'NEW ACCOUNT'!F698)</f>
        <v/>
      </c>
      <c r="G697" t="str">
        <f>IF('NEW ACCOUNT'!A698="","",'NEW ACCOUNT'!G698)</f>
        <v/>
      </c>
      <c r="H697" t="str">
        <f>IF('NEW ACCOUNT'!A698="","",'NEW ACCOUNT'!H698)</f>
        <v/>
      </c>
      <c r="I697" t="str">
        <f>IF('NEW ACCOUNT'!A698="","",'NEW ACCOUNT'!I698)</f>
        <v/>
      </c>
      <c r="J697" t="str">
        <f>IF('NEW ACCOUNT'!A698="","",'NEW ACCOUNT'!J698)</f>
        <v/>
      </c>
      <c r="K697" t="str">
        <f>IFERROR(IF(A697="","",SUMIF(DB_Savings!$A:$A,A697,DB_Savings!$F:$F)),"")</f>
        <v/>
      </c>
      <c r="L697" t="str">
        <f>IFERROR(IF(A697="","",SUMIF(DB_Withdrawals!$A:$A,A697,DB_Withdrawals!$G:$G)),"")</f>
        <v/>
      </c>
      <c r="M697" t="str">
        <f>IFERROR(IF(A697="","",IFERROR(VALUE(H697),0)+IFERROR(SUMIF(DB_Savings!$A:$A,A697,DB_Savings!$F:$F),0)-IFERROR(SUMIF(DB_Withdrawals!$A:$A,A697,DB_Withdrawals!$G:$G),0)),"")</f>
        <v/>
      </c>
      <c r="N697" t="str">
        <f>IFERROR(IF(A697="","",MAX(0,M697-System_Config!$B$9)),"")</f>
        <v/>
      </c>
    </row>
    <row r="698" spans="1:14" ht="15" customHeight="1" x14ac:dyDescent="0.25">
      <c r="A698" t="str">
        <f>'NEW ACCOUNT'!A699</f>
        <v/>
      </c>
      <c r="B698" t="str">
        <f>IF('NEW ACCOUNT'!A699="","",'NEW ACCOUNT'!B699)</f>
        <v/>
      </c>
      <c r="C698" t="str">
        <f>IF('NEW ACCOUNT'!A699="","",'NEW ACCOUNT'!C699)</f>
        <v/>
      </c>
      <c r="D698" t="str">
        <f>IF('NEW ACCOUNT'!A699="","",'NEW ACCOUNT'!D699)</f>
        <v/>
      </c>
      <c r="E698" t="str">
        <f>IF('NEW ACCOUNT'!A699="","",'NEW ACCOUNT'!E699)</f>
        <v/>
      </c>
      <c r="F698" t="str">
        <f>IF('NEW ACCOUNT'!A699="","",'NEW ACCOUNT'!F699)</f>
        <v/>
      </c>
      <c r="G698" t="str">
        <f>IF('NEW ACCOUNT'!A699="","",'NEW ACCOUNT'!G699)</f>
        <v/>
      </c>
      <c r="H698" t="str">
        <f>IF('NEW ACCOUNT'!A699="","",'NEW ACCOUNT'!H699)</f>
        <v/>
      </c>
      <c r="I698" t="str">
        <f>IF('NEW ACCOUNT'!A699="","",'NEW ACCOUNT'!I699)</f>
        <v/>
      </c>
      <c r="J698" t="str">
        <f>IF('NEW ACCOUNT'!A699="","",'NEW ACCOUNT'!J699)</f>
        <v/>
      </c>
      <c r="K698" t="str">
        <f>IFERROR(IF(A698="","",SUMIF(DB_Savings!$A:$A,A698,DB_Savings!$F:$F)),"")</f>
        <v/>
      </c>
      <c r="L698" t="str">
        <f>IFERROR(IF(A698="","",SUMIF(DB_Withdrawals!$A:$A,A698,DB_Withdrawals!$G:$G)),"")</f>
        <v/>
      </c>
      <c r="M698" t="str">
        <f>IFERROR(IF(A698="","",IFERROR(VALUE(H698),0)+IFERROR(SUMIF(DB_Savings!$A:$A,A698,DB_Savings!$F:$F),0)-IFERROR(SUMIF(DB_Withdrawals!$A:$A,A698,DB_Withdrawals!$G:$G),0)),"")</f>
        <v/>
      </c>
      <c r="N698" t="str">
        <f>IFERROR(IF(A698="","",MAX(0,M698-System_Config!$B$9)),"")</f>
        <v/>
      </c>
    </row>
    <row r="699" spans="1:14" ht="15" customHeight="1" x14ac:dyDescent="0.25">
      <c r="A699" t="str">
        <f>'NEW ACCOUNT'!A700</f>
        <v/>
      </c>
      <c r="B699" t="str">
        <f>IF('NEW ACCOUNT'!A700="","",'NEW ACCOUNT'!B700)</f>
        <v/>
      </c>
      <c r="C699" t="str">
        <f>IF('NEW ACCOUNT'!A700="","",'NEW ACCOUNT'!C700)</f>
        <v/>
      </c>
      <c r="D699" t="str">
        <f>IF('NEW ACCOUNT'!A700="","",'NEW ACCOUNT'!D700)</f>
        <v/>
      </c>
      <c r="E699" t="str">
        <f>IF('NEW ACCOUNT'!A700="","",'NEW ACCOUNT'!E700)</f>
        <v/>
      </c>
      <c r="F699" t="str">
        <f>IF('NEW ACCOUNT'!A700="","",'NEW ACCOUNT'!F700)</f>
        <v/>
      </c>
      <c r="G699" t="str">
        <f>IF('NEW ACCOUNT'!A700="","",'NEW ACCOUNT'!G700)</f>
        <v/>
      </c>
      <c r="H699" t="str">
        <f>IF('NEW ACCOUNT'!A700="","",'NEW ACCOUNT'!H700)</f>
        <v/>
      </c>
      <c r="I699" t="str">
        <f>IF('NEW ACCOUNT'!A700="","",'NEW ACCOUNT'!I700)</f>
        <v/>
      </c>
      <c r="J699" t="str">
        <f>IF('NEW ACCOUNT'!A700="","",'NEW ACCOUNT'!J700)</f>
        <v/>
      </c>
      <c r="K699" t="str">
        <f>IFERROR(IF(A699="","",SUMIF(DB_Savings!$A:$A,A699,DB_Savings!$F:$F)),"")</f>
        <v/>
      </c>
      <c r="L699" t="str">
        <f>IFERROR(IF(A699="","",SUMIF(DB_Withdrawals!$A:$A,A699,DB_Withdrawals!$G:$G)),"")</f>
        <v/>
      </c>
      <c r="M699" t="str">
        <f>IFERROR(IF(A699="","",IFERROR(VALUE(H699),0)+IFERROR(SUMIF(DB_Savings!$A:$A,A699,DB_Savings!$F:$F),0)-IFERROR(SUMIF(DB_Withdrawals!$A:$A,A699,DB_Withdrawals!$G:$G),0)),"")</f>
        <v/>
      </c>
      <c r="N699" t="str">
        <f>IFERROR(IF(A699="","",MAX(0,M699-System_Config!$B$9)),"")</f>
        <v/>
      </c>
    </row>
    <row r="700" spans="1:14" ht="15" customHeight="1" x14ac:dyDescent="0.25">
      <c r="A700" t="str">
        <f>'NEW ACCOUNT'!A701</f>
        <v/>
      </c>
      <c r="B700" t="str">
        <f>IF('NEW ACCOUNT'!A701="","",'NEW ACCOUNT'!B701)</f>
        <v/>
      </c>
      <c r="C700" t="str">
        <f>IF('NEW ACCOUNT'!A701="","",'NEW ACCOUNT'!C701)</f>
        <v/>
      </c>
      <c r="D700" t="str">
        <f>IF('NEW ACCOUNT'!A701="","",'NEW ACCOUNT'!D701)</f>
        <v/>
      </c>
      <c r="E700" t="str">
        <f>IF('NEW ACCOUNT'!A701="","",'NEW ACCOUNT'!E701)</f>
        <v/>
      </c>
      <c r="F700" t="str">
        <f>IF('NEW ACCOUNT'!A701="","",'NEW ACCOUNT'!F701)</f>
        <v/>
      </c>
      <c r="G700" t="str">
        <f>IF('NEW ACCOUNT'!A701="","",'NEW ACCOUNT'!G701)</f>
        <v/>
      </c>
      <c r="H700" t="str">
        <f>IF('NEW ACCOUNT'!A701="","",'NEW ACCOUNT'!H701)</f>
        <v/>
      </c>
      <c r="I700" t="str">
        <f>IF('NEW ACCOUNT'!A701="","",'NEW ACCOUNT'!I701)</f>
        <v/>
      </c>
      <c r="J700" t="str">
        <f>IF('NEW ACCOUNT'!A701="","",'NEW ACCOUNT'!J701)</f>
        <v/>
      </c>
      <c r="K700" t="str">
        <f>IFERROR(IF(A700="","",SUMIF(DB_Savings!$A:$A,A700,DB_Savings!$F:$F)),"")</f>
        <v/>
      </c>
      <c r="L700" t="str">
        <f>IFERROR(IF(A700="","",SUMIF(DB_Withdrawals!$A:$A,A700,DB_Withdrawals!$G:$G)),"")</f>
        <v/>
      </c>
      <c r="M700" t="str">
        <f>IFERROR(IF(A700="","",IFERROR(VALUE(H700),0)+IFERROR(SUMIF(DB_Savings!$A:$A,A700,DB_Savings!$F:$F),0)-IFERROR(SUMIF(DB_Withdrawals!$A:$A,A700,DB_Withdrawals!$G:$G),0)),"")</f>
        <v/>
      </c>
      <c r="N700" t="str">
        <f>IFERROR(IF(A700="","",MAX(0,M700-System_Config!$B$9)),"")</f>
        <v/>
      </c>
    </row>
    <row r="701" spans="1:14" ht="15" customHeight="1" x14ac:dyDescent="0.25">
      <c r="A701" t="str">
        <f>'NEW ACCOUNT'!A702</f>
        <v/>
      </c>
      <c r="B701" t="str">
        <f>IF('NEW ACCOUNT'!A702="","",'NEW ACCOUNT'!B702)</f>
        <v/>
      </c>
      <c r="C701" t="str">
        <f>IF('NEW ACCOUNT'!A702="","",'NEW ACCOUNT'!C702)</f>
        <v/>
      </c>
      <c r="D701" t="str">
        <f>IF('NEW ACCOUNT'!A702="","",'NEW ACCOUNT'!D702)</f>
        <v/>
      </c>
      <c r="E701" t="str">
        <f>IF('NEW ACCOUNT'!A702="","",'NEW ACCOUNT'!E702)</f>
        <v/>
      </c>
      <c r="F701" t="str">
        <f>IF('NEW ACCOUNT'!A702="","",'NEW ACCOUNT'!F702)</f>
        <v/>
      </c>
      <c r="G701" t="str">
        <f>IF('NEW ACCOUNT'!A702="","",'NEW ACCOUNT'!G702)</f>
        <v/>
      </c>
      <c r="H701" t="str">
        <f>IF('NEW ACCOUNT'!A702="","",'NEW ACCOUNT'!H702)</f>
        <v/>
      </c>
      <c r="I701" t="str">
        <f>IF('NEW ACCOUNT'!A702="","",'NEW ACCOUNT'!I702)</f>
        <v/>
      </c>
      <c r="J701" t="str">
        <f>IF('NEW ACCOUNT'!A702="","",'NEW ACCOUNT'!J702)</f>
        <v/>
      </c>
      <c r="K701" t="str">
        <f>IFERROR(IF(A701="","",SUMIF(DB_Savings!$A:$A,A701,DB_Savings!$F:$F)),"")</f>
        <v/>
      </c>
      <c r="L701" t="str">
        <f>IFERROR(IF(A701="","",SUMIF(DB_Withdrawals!$A:$A,A701,DB_Withdrawals!$G:$G)),"")</f>
        <v/>
      </c>
      <c r="M701" t="str">
        <f>IFERROR(IF(A701="","",IFERROR(VALUE(H701),0)+IFERROR(SUMIF(DB_Savings!$A:$A,A701,DB_Savings!$F:$F),0)-IFERROR(SUMIF(DB_Withdrawals!$A:$A,A701,DB_Withdrawals!$G:$G),0)),"")</f>
        <v/>
      </c>
      <c r="N701" t="str">
        <f>IFERROR(IF(A701="","",MAX(0,M701-System_Config!$B$9)),"")</f>
        <v/>
      </c>
    </row>
    <row r="702" spans="1:14" ht="15" customHeight="1" x14ac:dyDescent="0.25">
      <c r="A702" t="str">
        <f>'NEW ACCOUNT'!A703</f>
        <v/>
      </c>
      <c r="B702" t="str">
        <f>IF('NEW ACCOUNT'!A703="","",'NEW ACCOUNT'!B703)</f>
        <v/>
      </c>
      <c r="C702" t="str">
        <f>IF('NEW ACCOUNT'!A703="","",'NEW ACCOUNT'!C703)</f>
        <v/>
      </c>
      <c r="D702" t="str">
        <f>IF('NEW ACCOUNT'!A703="","",'NEW ACCOUNT'!D703)</f>
        <v/>
      </c>
      <c r="E702" t="str">
        <f>IF('NEW ACCOUNT'!A703="","",'NEW ACCOUNT'!E703)</f>
        <v/>
      </c>
      <c r="F702" t="str">
        <f>IF('NEW ACCOUNT'!A703="","",'NEW ACCOUNT'!F703)</f>
        <v/>
      </c>
      <c r="G702" t="str">
        <f>IF('NEW ACCOUNT'!A703="","",'NEW ACCOUNT'!G703)</f>
        <v/>
      </c>
      <c r="H702" t="str">
        <f>IF('NEW ACCOUNT'!A703="","",'NEW ACCOUNT'!H703)</f>
        <v/>
      </c>
      <c r="I702" t="str">
        <f>IF('NEW ACCOUNT'!A703="","",'NEW ACCOUNT'!I703)</f>
        <v/>
      </c>
      <c r="J702" t="str">
        <f>IF('NEW ACCOUNT'!A703="","",'NEW ACCOUNT'!J703)</f>
        <v/>
      </c>
      <c r="K702" t="str">
        <f>IFERROR(IF(A702="","",SUMIF(DB_Savings!$A:$A,A702,DB_Savings!$F:$F)),"")</f>
        <v/>
      </c>
      <c r="L702" t="str">
        <f>IFERROR(IF(A702="","",SUMIF(DB_Withdrawals!$A:$A,A702,DB_Withdrawals!$G:$G)),"")</f>
        <v/>
      </c>
      <c r="M702" t="str">
        <f>IFERROR(IF(A702="","",IFERROR(VALUE(H702),0)+IFERROR(SUMIF(DB_Savings!$A:$A,A702,DB_Savings!$F:$F),0)-IFERROR(SUMIF(DB_Withdrawals!$A:$A,A702,DB_Withdrawals!$G:$G),0)),"")</f>
        <v/>
      </c>
      <c r="N702" t="str">
        <f>IFERROR(IF(A702="","",MAX(0,M702-System_Config!$B$9)),"")</f>
        <v/>
      </c>
    </row>
    <row r="703" spans="1:14" ht="15" customHeight="1" x14ac:dyDescent="0.25">
      <c r="A703" t="str">
        <f>'NEW ACCOUNT'!A704</f>
        <v/>
      </c>
      <c r="B703" t="str">
        <f>IF('NEW ACCOUNT'!A704="","",'NEW ACCOUNT'!B704)</f>
        <v/>
      </c>
      <c r="C703" t="str">
        <f>IF('NEW ACCOUNT'!A704="","",'NEW ACCOUNT'!C704)</f>
        <v/>
      </c>
      <c r="D703" t="str">
        <f>IF('NEW ACCOUNT'!A704="","",'NEW ACCOUNT'!D704)</f>
        <v/>
      </c>
      <c r="E703" t="str">
        <f>IF('NEW ACCOUNT'!A704="","",'NEW ACCOUNT'!E704)</f>
        <v/>
      </c>
      <c r="F703" t="str">
        <f>IF('NEW ACCOUNT'!A704="","",'NEW ACCOUNT'!F704)</f>
        <v/>
      </c>
      <c r="G703" t="str">
        <f>IF('NEW ACCOUNT'!A704="","",'NEW ACCOUNT'!G704)</f>
        <v/>
      </c>
      <c r="H703" t="str">
        <f>IF('NEW ACCOUNT'!A704="","",'NEW ACCOUNT'!H704)</f>
        <v/>
      </c>
      <c r="I703" t="str">
        <f>IF('NEW ACCOUNT'!A704="","",'NEW ACCOUNT'!I704)</f>
        <v/>
      </c>
      <c r="J703" t="str">
        <f>IF('NEW ACCOUNT'!A704="","",'NEW ACCOUNT'!J704)</f>
        <v/>
      </c>
      <c r="K703" t="str">
        <f>IFERROR(IF(A703="","",SUMIF(DB_Savings!$A:$A,A703,DB_Savings!$F:$F)),"")</f>
        <v/>
      </c>
      <c r="L703" t="str">
        <f>IFERROR(IF(A703="","",SUMIF(DB_Withdrawals!$A:$A,A703,DB_Withdrawals!$G:$G)),"")</f>
        <v/>
      </c>
      <c r="M703" t="str">
        <f>IFERROR(IF(A703="","",IFERROR(VALUE(H703),0)+IFERROR(SUMIF(DB_Savings!$A:$A,A703,DB_Savings!$F:$F),0)-IFERROR(SUMIF(DB_Withdrawals!$A:$A,A703,DB_Withdrawals!$G:$G),0)),"")</f>
        <v/>
      </c>
      <c r="N703" t="str">
        <f>IFERROR(IF(A703="","",MAX(0,M703-System_Config!$B$9)),"")</f>
        <v/>
      </c>
    </row>
    <row r="704" spans="1:14" ht="15" customHeight="1" x14ac:dyDescent="0.25">
      <c r="A704" t="str">
        <f>'NEW ACCOUNT'!A705</f>
        <v/>
      </c>
      <c r="B704" t="str">
        <f>IF('NEW ACCOUNT'!A705="","",'NEW ACCOUNT'!B705)</f>
        <v/>
      </c>
      <c r="C704" t="str">
        <f>IF('NEW ACCOUNT'!A705="","",'NEW ACCOUNT'!C705)</f>
        <v/>
      </c>
      <c r="D704" t="str">
        <f>IF('NEW ACCOUNT'!A705="","",'NEW ACCOUNT'!D705)</f>
        <v/>
      </c>
      <c r="E704" t="str">
        <f>IF('NEW ACCOUNT'!A705="","",'NEW ACCOUNT'!E705)</f>
        <v/>
      </c>
      <c r="F704" t="str">
        <f>IF('NEW ACCOUNT'!A705="","",'NEW ACCOUNT'!F705)</f>
        <v/>
      </c>
      <c r="G704" t="str">
        <f>IF('NEW ACCOUNT'!A705="","",'NEW ACCOUNT'!G705)</f>
        <v/>
      </c>
      <c r="H704" t="str">
        <f>IF('NEW ACCOUNT'!A705="","",'NEW ACCOUNT'!H705)</f>
        <v/>
      </c>
      <c r="I704" t="str">
        <f>IF('NEW ACCOUNT'!A705="","",'NEW ACCOUNT'!I705)</f>
        <v/>
      </c>
      <c r="J704" t="str">
        <f>IF('NEW ACCOUNT'!A705="","",'NEW ACCOUNT'!J705)</f>
        <v/>
      </c>
      <c r="K704" t="str">
        <f>IFERROR(IF(A704="","",SUMIF(DB_Savings!$A:$A,A704,DB_Savings!$F:$F)),"")</f>
        <v/>
      </c>
      <c r="L704" t="str">
        <f>IFERROR(IF(A704="","",SUMIF(DB_Withdrawals!$A:$A,A704,DB_Withdrawals!$G:$G)),"")</f>
        <v/>
      </c>
      <c r="M704" t="str">
        <f>IFERROR(IF(A704="","",IFERROR(VALUE(H704),0)+IFERROR(SUMIF(DB_Savings!$A:$A,A704,DB_Savings!$F:$F),0)-IFERROR(SUMIF(DB_Withdrawals!$A:$A,A704,DB_Withdrawals!$G:$G),0)),"")</f>
        <v/>
      </c>
      <c r="N704" t="str">
        <f>IFERROR(IF(A704="","",MAX(0,M704-System_Config!$B$9)),"")</f>
        <v/>
      </c>
    </row>
    <row r="705" spans="1:14" ht="15" customHeight="1" x14ac:dyDescent="0.25">
      <c r="A705" t="str">
        <f>'NEW ACCOUNT'!A706</f>
        <v/>
      </c>
      <c r="B705" t="str">
        <f>IF('NEW ACCOUNT'!A706="","",'NEW ACCOUNT'!B706)</f>
        <v/>
      </c>
      <c r="C705" t="str">
        <f>IF('NEW ACCOUNT'!A706="","",'NEW ACCOUNT'!C706)</f>
        <v/>
      </c>
      <c r="D705" t="str">
        <f>IF('NEW ACCOUNT'!A706="","",'NEW ACCOUNT'!D706)</f>
        <v/>
      </c>
      <c r="E705" t="str">
        <f>IF('NEW ACCOUNT'!A706="","",'NEW ACCOUNT'!E706)</f>
        <v/>
      </c>
      <c r="F705" t="str">
        <f>IF('NEW ACCOUNT'!A706="","",'NEW ACCOUNT'!F706)</f>
        <v/>
      </c>
      <c r="G705" t="str">
        <f>IF('NEW ACCOUNT'!A706="","",'NEW ACCOUNT'!G706)</f>
        <v/>
      </c>
      <c r="H705" t="str">
        <f>IF('NEW ACCOUNT'!A706="","",'NEW ACCOUNT'!H706)</f>
        <v/>
      </c>
      <c r="I705" t="str">
        <f>IF('NEW ACCOUNT'!A706="","",'NEW ACCOUNT'!I706)</f>
        <v/>
      </c>
      <c r="J705" t="str">
        <f>IF('NEW ACCOUNT'!A706="","",'NEW ACCOUNT'!J706)</f>
        <v/>
      </c>
      <c r="K705" t="str">
        <f>IFERROR(IF(A705="","",SUMIF(DB_Savings!$A:$A,A705,DB_Savings!$F:$F)),"")</f>
        <v/>
      </c>
      <c r="L705" t="str">
        <f>IFERROR(IF(A705="","",SUMIF(DB_Withdrawals!$A:$A,A705,DB_Withdrawals!$G:$G)),"")</f>
        <v/>
      </c>
      <c r="M705" t="str">
        <f>IFERROR(IF(A705="","",IFERROR(VALUE(H705),0)+IFERROR(SUMIF(DB_Savings!$A:$A,A705,DB_Savings!$F:$F),0)-IFERROR(SUMIF(DB_Withdrawals!$A:$A,A705,DB_Withdrawals!$G:$G),0)),"")</f>
        <v/>
      </c>
      <c r="N705" t="str">
        <f>IFERROR(IF(A705="","",MAX(0,M705-System_Config!$B$9)),"")</f>
        <v/>
      </c>
    </row>
    <row r="706" spans="1:14" ht="15" customHeight="1" x14ac:dyDescent="0.25">
      <c r="A706" t="str">
        <f>'NEW ACCOUNT'!A707</f>
        <v/>
      </c>
      <c r="B706" t="str">
        <f>IF('NEW ACCOUNT'!A707="","",'NEW ACCOUNT'!B707)</f>
        <v/>
      </c>
      <c r="C706" t="str">
        <f>IF('NEW ACCOUNT'!A707="","",'NEW ACCOUNT'!C707)</f>
        <v/>
      </c>
      <c r="D706" t="str">
        <f>IF('NEW ACCOUNT'!A707="","",'NEW ACCOUNT'!D707)</f>
        <v/>
      </c>
      <c r="E706" t="str">
        <f>IF('NEW ACCOUNT'!A707="","",'NEW ACCOUNT'!E707)</f>
        <v/>
      </c>
      <c r="F706" t="str">
        <f>IF('NEW ACCOUNT'!A707="","",'NEW ACCOUNT'!F707)</f>
        <v/>
      </c>
      <c r="G706" t="str">
        <f>IF('NEW ACCOUNT'!A707="","",'NEW ACCOUNT'!G707)</f>
        <v/>
      </c>
      <c r="H706" t="str">
        <f>IF('NEW ACCOUNT'!A707="","",'NEW ACCOUNT'!H707)</f>
        <v/>
      </c>
      <c r="I706" t="str">
        <f>IF('NEW ACCOUNT'!A707="","",'NEW ACCOUNT'!I707)</f>
        <v/>
      </c>
      <c r="J706" t="str">
        <f>IF('NEW ACCOUNT'!A707="","",'NEW ACCOUNT'!J707)</f>
        <v/>
      </c>
      <c r="K706" t="str">
        <f>IFERROR(IF(A706="","",SUMIF(DB_Savings!$A:$A,A706,DB_Savings!$F:$F)),"")</f>
        <v/>
      </c>
      <c r="L706" t="str">
        <f>IFERROR(IF(A706="","",SUMIF(DB_Withdrawals!$A:$A,A706,DB_Withdrawals!$G:$G)),"")</f>
        <v/>
      </c>
      <c r="M706" t="str">
        <f>IFERROR(IF(A706="","",IFERROR(VALUE(H706),0)+IFERROR(SUMIF(DB_Savings!$A:$A,A706,DB_Savings!$F:$F),0)-IFERROR(SUMIF(DB_Withdrawals!$A:$A,A706,DB_Withdrawals!$G:$G),0)),"")</f>
        <v/>
      </c>
      <c r="N706" t="str">
        <f>IFERROR(IF(A706="","",MAX(0,M706-System_Config!$B$9)),"")</f>
        <v/>
      </c>
    </row>
    <row r="707" spans="1:14" ht="15" customHeight="1" x14ac:dyDescent="0.25">
      <c r="A707" t="str">
        <f>'NEW ACCOUNT'!A708</f>
        <v/>
      </c>
      <c r="B707" t="str">
        <f>IF('NEW ACCOUNT'!A708="","",'NEW ACCOUNT'!B708)</f>
        <v/>
      </c>
      <c r="C707" t="str">
        <f>IF('NEW ACCOUNT'!A708="","",'NEW ACCOUNT'!C708)</f>
        <v/>
      </c>
      <c r="D707" t="str">
        <f>IF('NEW ACCOUNT'!A708="","",'NEW ACCOUNT'!D708)</f>
        <v/>
      </c>
      <c r="E707" t="str">
        <f>IF('NEW ACCOUNT'!A708="","",'NEW ACCOUNT'!E708)</f>
        <v/>
      </c>
      <c r="F707" t="str">
        <f>IF('NEW ACCOUNT'!A708="","",'NEW ACCOUNT'!F708)</f>
        <v/>
      </c>
      <c r="G707" t="str">
        <f>IF('NEW ACCOUNT'!A708="","",'NEW ACCOUNT'!G708)</f>
        <v/>
      </c>
      <c r="H707" t="str">
        <f>IF('NEW ACCOUNT'!A708="","",'NEW ACCOUNT'!H708)</f>
        <v/>
      </c>
      <c r="I707" t="str">
        <f>IF('NEW ACCOUNT'!A708="","",'NEW ACCOUNT'!I708)</f>
        <v/>
      </c>
      <c r="J707" t="str">
        <f>IF('NEW ACCOUNT'!A708="","",'NEW ACCOUNT'!J708)</f>
        <v/>
      </c>
      <c r="K707" t="str">
        <f>IFERROR(IF(A707="","",SUMIF(DB_Savings!$A:$A,A707,DB_Savings!$F:$F)),"")</f>
        <v/>
      </c>
      <c r="L707" t="str">
        <f>IFERROR(IF(A707="","",SUMIF(DB_Withdrawals!$A:$A,A707,DB_Withdrawals!$G:$G)),"")</f>
        <v/>
      </c>
      <c r="M707" t="str">
        <f>IFERROR(IF(A707="","",IFERROR(VALUE(H707),0)+IFERROR(SUMIF(DB_Savings!$A:$A,A707,DB_Savings!$F:$F),0)-IFERROR(SUMIF(DB_Withdrawals!$A:$A,A707,DB_Withdrawals!$G:$G),0)),"")</f>
        <v/>
      </c>
      <c r="N707" t="str">
        <f>IFERROR(IF(A707="","",MAX(0,M707-System_Config!$B$9)),"")</f>
        <v/>
      </c>
    </row>
    <row r="708" spans="1:14" ht="15" customHeight="1" x14ac:dyDescent="0.25">
      <c r="A708" t="str">
        <f>'NEW ACCOUNT'!A709</f>
        <v/>
      </c>
      <c r="B708" t="str">
        <f>IF('NEW ACCOUNT'!A709="","",'NEW ACCOUNT'!B709)</f>
        <v/>
      </c>
      <c r="C708" t="str">
        <f>IF('NEW ACCOUNT'!A709="","",'NEW ACCOUNT'!C709)</f>
        <v/>
      </c>
      <c r="D708" t="str">
        <f>IF('NEW ACCOUNT'!A709="","",'NEW ACCOUNT'!D709)</f>
        <v/>
      </c>
      <c r="E708" t="str">
        <f>IF('NEW ACCOUNT'!A709="","",'NEW ACCOUNT'!E709)</f>
        <v/>
      </c>
      <c r="F708" t="str">
        <f>IF('NEW ACCOUNT'!A709="","",'NEW ACCOUNT'!F709)</f>
        <v/>
      </c>
      <c r="G708" t="str">
        <f>IF('NEW ACCOUNT'!A709="","",'NEW ACCOUNT'!G709)</f>
        <v/>
      </c>
      <c r="H708" t="str">
        <f>IF('NEW ACCOUNT'!A709="","",'NEW ACCOUNT'!H709)</f>
        <v/>
      </c>
      <c r="I708" t="str">
        <f>IF('NEW ACCOUNT'!A709="","",'NEW ACCOUNT'!I709)</f>
        <v/>
      </c>
      <c r="J708" t="str">
        <f>IF('NEW ACCOUNT'!A709="","",'NEW ACCOUNT'!J709)</f>
        <v/>
      </c>
      <c r="K708" t="str">
        <f>IFERROR(IF(A708="","",SUMIF(DB_Savings!$A:$A,A708,DB_Savings!$F:$F)),"")</f>
        <v/>
      </c>
      <c r="L708" t="str">
        <f>IFERROR(IF(A708="","",SUMIF(DB_Withdrawals!$A:$A,A708,DB_Withdrawals!$G:$G)),"")</f>
        <v/>
      </c>
      <c r="M708" t="str">
        <f>IFERROR(IF(A708="","",IFERROR(VALUE(H708),0)+IFERROR(SUMIF(DB_Savings!$A:$A,A708,DB_Savings!$F:$F),0)-IFERROR(SUMIF(DB_Withdrawals!$A:$A,A708,DB_Withdrawals!$G:$G),0)),"")</f>
        <v/>
      </c>
      <c r="N708" t="str">
        <f>IFERROR(IF(A708="","",MAX(0,M708-System_Config!$B$9)),"")</f>
        <v/>
      </c>
    </row>
    <row r="709" spans="1:14" ht="15" customHeight="1" x14ac:dyDescent="0.25">
      <c r="A709" t="str">
        <f>'NEW ACCOUNT'!A710</f>
        <v/>
      </c>
      <c r="B709" t="str">
        <f>IF('NEW ACCOUNT'!A710="","",'NEW ACCOUNT'!B710)</f>
        <v/>
      </c>
      <c r="C709" t="str">
        <f>IF('NEW ACCOUNT'!A710="","",'NEW ACCOUNT'!C710)</f>
        <v/>
      </c>
      <c r="D709" t="str">
        <f>IF('NEW ACCOUNT'!A710="","",'NEW ACCOUNT'!D710)</f>
        <v/>
      </c>
      <c r="E709" t="str">
        <f>IF('NEW ACCOUNT'!A710="","",'NEW ACCOUNT'!E710)</f>
        <v/>
      </c>
      <c r="F709" t="str">
        <f>IF('NEW ACCOUNT'!A710="","",'NEW ACCOUNT'!F710)</f>
        <v/>
      </c>
      <c r="G709" t="str">
        <f>IF('NEW ACCOUNT'!A710="","",'NEW ACCOUNT'!G710)</f>
        <v/>
      </c>
      <c r="H709" t="str">
        <f>IF('NEW ACCOUNT'!A710="","",'NEW ACCOUNT'!H710)</f>
        <v/>
      </c>
      <c r="I709" t="str">
        <f>IF('NEW ACCOUNT'!A710="","",'NEW ACCOUNT'!I710)</f>
        <v/>
      </c>
      <c r="J709" t="str">
        <f>IF('NEW ACCOUNT'!A710="","",'NEW ACCOUNT'!J710)</f>
        <v/>
      </c>
      <c r="K709" t="str">
        <f>IFERROR(IF(A709="","",SUMIF(DB_Savings!$A:$A,A709,DB_Savings!$F:$F)),"")</f>
        <v/>
      </c>
      <c r="L709" t="str">
        <f>IFERROR(IF(A709="","",SUMIF(DB_Withdrawals!$A:$A,A709,DB_Withdrawals!$G:$G)),"")</f>
        <v/>
      </c>
      <c r="M709" t="str">
        <f>IFERROR(IF(A709="","",IFERROR(VALUE(H709),0)+IFERROR(SUMIF(DB_Savings!$A:$A,A709,DB_Savings!$F:$F),0)-IFERROR(SUMIF(DB_Withdrawals!$A:$A,A709,DB_Withdrawals!$G:$G),0)),"")</f>
        <v/>
      </c>
      <c r="N709" t="str">
        <f>IFERROR(IF(A709="","",MAX(0,M709-System_Config!$B$9)),"")</f>
        <v/>
      </c>
    </row>
    <row r="710" spans="1:14" ht="15" customHeight="1" x14ac:dyDescent="0.25">
      <c r="A710" t="str">
        <f>'NEW ACCOUNT'!A711</f>
        <v/>
      </c>
      <c r="B710" t="str">
        <f>IF('NEW ACCOUNT'!A711="","",'NEW ACCOUNT'!B711)</f>
        <v/>
      </c>
      <c r="C710" t="str">
        <f>IF('NEW ACCOUNT'!A711="","",'NEW ACCOUNT'!C711)</f>
        <v/>
      </c>
      <c r="D710" t="str">
        <f>IF('NEW ACCOUNT'!A711="","",'NEW ACCOUNT'!D711)</f>
        <v/>
      </c>
      <c r="E710" t="str">
        <f>IF('NEW ACCOUNT'!A711="","",'NEW ACCOUNT'!E711)</f>
        <v/>
      </c>
      <c r="F710" t="str">
        <f>IF('NEW ACCOUNT'!A711="","",'NEW ACCOUNT'!F711)</f>
        <v/>
      </c>
      <c r="G710" t="str">
        <f>IF('NEW ACCOUNT'!A711="","",'NEW ACCOUNT'!G711)</f>
        <v/>
      </c>
      <c r="H710" t="str">
        <f>IF('NEW ACCOUNT'!A711="","",'NEW ACCOUNT'!H711)</f>
        <v/>
      </c>
      <c r="I710" t="str">
        <f>IF('NEW ACCOUNT'!A711="","",'NEW ACCOUNT'!I711)</f>
        <v/>
      </c>
      <c r="J710" t="str">
        <f>IF('NEW ACCOUNT'!A711="","",'NEW ACCOUNT'!J711)</f>
        <v/>
      </c>
      <c r="K710" t="str">
        <f>IFERROR(IF(A710="","",SUMIF(DB_Savings!$A:$A,A710,DB_Savings!$F:$F)),"")</f>
        <v/>
      </c>
      <c r="L710" t="str">
        <f>IFERROR(IF(A710="","",SUMIF(DB_Withdrawals!$A:$A,A710,DB_Withdrawals!$G:$G)),"")</f>
        <v/>
      </c>
      <c r="M710" t="str">
        <f>IFERROR(IF(A710="","",IFERROR(VALUE(H710),0)+IFERROR(SUMIF(DB_Savings!$A:$A,A710,DB_Savings!$F:$F),0)-IFERROR(SUMIF(DB_Withdrawals!$A:$A,A710,DB_Withdrawals!$G:$G),0)),"")</f>
        <v/>
      </c>
      <c r="N710" t="str">
        <f>IFERROR(IF(A710="","",MAX(0,M710-System_Config!$B$9)),"")</f>
        <v/>
      </c>
    </row>
    <row r="711" spans="1:14" ht="15" customHeight="1" x14ac:dyDescent="0.25">
      <c r="A711" t="str">
        <f>'NEW ACCOUNT'!A712</f>
        <v/>
      </c>
      <c r="B711" t="str">
        <f>IF('NEW ACCOUNT'!A712="","",'NEW ACCOUNT'!B712)</f>
        <v/>
      </c>
      <c r="C711" t="str">
        <f>IF('NEW ACCOUNT'!A712="","",'NEW ACCOUNT'!C712)</f>
        <v/>
      </c>
      <c r="D711" t="str">
        <f>IF('NEW ACCOUNT'!A712="","",'NEW ACCOUNT'!D712)</f>
        <v/>
      </c>
      <c r="E711" t="str">
        <f>IF('NEW ACCOUNT'!A712="","",'NEW ACCOUNT'!E712)</f>
        <v/>
      </c>
      <c r="F711" t="str">
        <f>IF('NEW ACCOUNT'!A712="","",'NEW ACCOUNT'!F712)</f>
        <v/>
      </c>
      <c r="G711" t="str">
        <f>IF('NEW ACCOUNT'!A712="","",'NEW ACCOUNT'!G712)</f>
        <v/>
      </c>
      <c r="H711" t="str">
        <f>IF('NEW ACCOUNT'!A712="","",'NEW ACCOUNT'!H712)</f>
        <v/>
      </c>
      <c r="I711" t="str">
        <f>IF('NEW ACCOUNT'!A712="","",'NEW ACCOUNT'!I712)</f>
        <v/>
      </c>
      <c r="J711" t="str">
        <f>IF('NEW ACCOUNT'!A712="","",'NEW ACCOUNT'!J712)</f>
        <v/>
      </c>
      <c r="K711" t="str">
        <f>IFERROR(IF(A711="","",SUMIF(DB_Savings!$A:$A,A711,DB_Savings!$F:$F)),"")</f>
        <v/>
      </c>
      <c r="L711" t="str">
        <f>IFERROR(IF(A711="","",SUMIF(DB_Withdrawals!$A:$A,A711,DB_Withdrawals!$G:$G)),"")</f>
        <v/>
      </c>
      <c r="M711" t="str">
        <f>IFERROR(IF(A711="","",IFERROR(VALUE(H711),0)+IFERROR(SUMIF(DB_Savings!$A:$A,A711,DB_Savings!$F:$F),0)-IFERROR(SUMIF(DB_Withdrawals!$A:$A,A711,DB_Withdrawals!$G:$G),0)),"")</f>
        <v/>
      </c>
      <c r="N711" t="str">
        <f>IFERROR(IF(A711="","",MAX(0,M711-System_Config!$B$9)),"")</f>
        <v/>
      </c>
    </row>
    <row r="712" spans="1:14" ht="15" customHeight="1" x14ac:dyDescent="0.25">
      <c r="A712" t="str">
        <f>'NEW ACCOUNT'!A713</f>
        <v/>
      </c>
      <c r="B712" t="str">
        <f>IF('NEW ACCOUNT'!A713="","",'NEW ACCOUNT'!B713)</f>
        <v/>
      </c>
      <c r="C712" t="str">
        <f>IF('NEW ACCOUNT'!A713="","",'NEW ACCOUNT'!C713)</f>
        <v/>
      </c>
      <c r="D712" t="str">
        <f>IF('NEW ACCOUNT'!A713="","",'NEW ACCOUNT'!D713)</f>
        <v/>
      </c>
      <c r="E712" t="str">
        <f>IF('NEW ACCOUNT'!A713="","",'NEW ACCOUNT'!E713)</f>
        <v/>
      </c>
      <c r="F712" t="str">
        <f>IF('NEW ACCOUNT'!A713="","",'NEW ACCOUNT'!F713)</f>
        <v/>
      </c>
      <c r="G712" t="str">
        <f>IF('NEW ACCOUNT'!A713="","",'NEW ACCOUNT'!G713)</f>
        <v/>
      </c>
      <c r="H712" t="str">
        <f>IF('NEW ACCOUNT'!A713="","",'NEW ACCOUNT'!H713)</f>
        <v/>
      </c>
      <c r="I712" t="str">
        <f>IF('NEW ACCOUNT'!A713="","",'NEW ACCOUNT'!I713)</f>
        <v/>
      </c>
      <c r="J712" t="str">
        <f>IF('NEW ACCOUNT'!A713="","",'NEW ACCOUNT'!J713)</f>
        <v/>
      </c>
      <c r="K712" t="str">
        <f>IFERROR(IF(A712="","",SUMIF(DB_Savings!$A:$A,A712,DB_Savings!$F:$F)),"")</f>
        <v/>
      </c>
      <c r="L712" t="str">
        <f>IFERROR(IF(A712="","",SUMIF(DB_Withdrawals!$A:$A,A712,DB_Withdrawals!$G:$G)),"")</f>
        <v/>
      </c>
      <c r="M712" t="str">
        <f>IFERROR(IF(A712="","",IFERROR(VALUE(H712),0)+IFERROR(SUMIF(DB_Savings!$A:$A,A712,DB_Savings!$F:$F),0)-IFERROR(SUMIF(DB_Withdrawals!$A:$A,A712,DB_Withdrawals!$G:$G),0)),"")</f>
        <v/>
      </c>
      <c r="N712" t="str">
        <f>IFERROR(IF(A712="","",MAX(0,M712-System_Config!$B$9)),"")</f>
        <v/>
      </c>
    </row>
    <row r="713" spans="1:14" ht="15" customHeight="1" x14ac:dyDescent="0.25">
      <c r="A713" t="str">
        <f>'NEW ACCOUNT'!A714</f>
        <v/>
      </c>
      <c r="B713" t="str">
        <f>IF('NEW ACCOUNT'!A714="","",'NEW ACCOUNT'!B714)</f>
        <v/>
      </c>
      <c r="C713" t="str">
        <f>IF('NEW ACCOUNT'!A714="","",'NEW ACCOUNT'!C714)</f>
        <v/>
      </c>
      <c r="D713" t="str">
        <f>IF('NEW ACCOUNT'!A714="","",'NEW ACCOUNT'!D714)</f>
        <v/>
      </c>
      <c r="E713" t="str">
        <f>IF('NEW ACCOUNT'!A714="","",'NEW ACCOUNT'!E714)</f>
        <v/>
      </c>
      <c r="F713" t="str">
        <f>IF('NEW ACCOUNT'!A714="","",'NEW ACCOUNT'!F714)</f>
        <v/>
      </c>
      <c r="G713" t="str">
        <f>IF('NEW ACCOUNT'!A714="","",'NEW ACCOUNT'!G714)</f>
        <v/>
      </c>
      <c r="H713" t="str">
        <f>IF('NEW ACCOUNT'!A714="","",'NEW ACCOUNT'!H714)</f>
        <v/>
      </c>
      <c r="I713" t="str">
        <f>IF('NEW ACCOUNT'!A714="","",'NEW ACCOUNT'!I714)</f>
        <v/>
      </c>
      <c r="J713" t="str">
        <f>IF('NEW ACCOUNT'!A714="","",'NEW ACCOUNT'!J714)</f>
        <v/>
      </c>
      <c r="K713" t="str">
        <f>IFERROR(IF(A713="","",SUMIF(DB_Savings!$A:$A,A713,DB_Savings!$F:$F)),"")</f>
        <v/>
      </c>
      <c r="L713" t="str">
        <f>IFERROR(IF(A713="","",SUMIF(DB_Withdrawals!$A:$A,A713,DB_Withdrawals!$G:$G)),"")</f>
        <v/>
      </c>
      <c r="M713" t="str">
        <f>IFERROR(IF(A713="","",IFERROR(VALUE(H713),0)+IFERROR(SUMIF(DB_Savings!$A:$A,A713,DB_Savings!$F:$F),0)-IFERROR(SUMIF(DB_Withdrawals!$A:$A,A713,DB_Withdrawals!$G:$G),0)),"")</f>
        <v/>
      </c>
      <c r="N713" t="str">
        <f>IFERROR(IF(A713="","",MAX(0,M713-System_Config!$B$9)),"")</f>
        <v/>
      </c>
    </row>
    <row r="714" spans="1:14" ht="15" customHeight="1" x14ac:dyDescent="0.25">
      <c r="A714" t="str">
        <f>'NEW ACCOUNT'!A715</f>
        <v/>
      </c>
      <c r="B714" t="str">
        <f>IF('NEW ACCOUNT'!A715="","",'NEW ACCOUNT'!B715)</f>
        <v/>
      </c>
      <c r="C714" t="str">
        <f>IF('NEW ACCOUNT'!A715="","",'NEW ACCOUNT'!C715)</f>
        <v/>
      </c>
      <c r="D714" t="str">
        <f>IF('NEW ACCOUNT'!A715="","",'NEW ACCOUNT'!D715)</f>
        <v/>
      </c>
      <c r="E714" t="str">
        <f>IF('NEW ACCOUNT'!A715="","",'NEW ACCOUNT'!E715)</f>
        <v/>
      </c>
      <c r="F714" t="str">
        <f>IF('NEW ACCOUNT'!A715="","",'NEW ACCOUNT'!F715)</f>
        <v/>
      </c>
      <c r="G714" t="str">
        <f>IF('NEW ACCOUNT'!A715="","",'NEW ACCOUNT'!G715)</f>
        <v/>
      </c>
      <c r="H714" t="str">
        <f>IF('NEW ACCOUNT'!A715="","",'NEW ACCOUNT'!H715)</f>
        <v/>
      </c>
      <c r="I714" t="str">
        <f>IF('NEW ACCOUNT'!A715="","",'NEW ACCOUNT'!I715)</f>
        <v/>
      </c>
      <c r="J714" t="str">
        <f>IF('NEW ACCOUNT'!A715="","",'NEW ACCOUNT'!J715)</f>
        <v/>
      </c>
      <c r="K714" t="str">
        <f>IFERROR(IF(A714="","",SUMIF(DB_Savings!$A:$A,A714,DB_Savings!$F:$F)),"")</f>
        <v/>
      </c>
      <c r="L714" t="str">
        <f>IFERROR(IF(A714="","",SUMIF(DB_Withdrawals!$A:$A,A714,DB_Withdrawals!$G:$G)),"")</f>
        <v/>
      </c>
      <c r="M714" t="str">
        <f>IFERROR(IF(A714="","",IFERROR(VALUE(H714),0)+IFERROR(SUMIF(DB_Savings!$A:$A,A714,DB_Savings!$F:$F),0)-IFERROR(SUMIF(DB_Withdrawals!$A:$A,A714,DB_Withdrawals!$G:$G),0)),"")</f>
        <v/>
      </c>
      <c r="N714" t="str">
        <f>IFERROR(IF(A714="","",MAX(0,M714-System_Config!$B$9)),"")</f>
        <v/>
      </c>
    </row>
    <row r="715" spans="1:14" ht="15" customHeight="1" x14ac:dyDescent="0.25">
      <c r="A715" t="str">
        <f>'NEW ACCOUNT'!A716</f>
        <v/>
      </c>
      <c r="B715" t="str">
        <f>IF('NEW ACCOUNT'!A716="","",'NEW ACCOUNT'!B716)</f>
        <v/>
      </c>
      <c r="C715" t="str">
        <f>IF('NEW ACCOUNT'!A716="","",'NEW ACCOUNT'!C716)</f>
        <v/>
      </c>
      <c r="D715" t="str">
        <f>IF('NEW ACCOUNT'!A716="","",'NEW ACCOUNT'!D716)</f>
        <v/>
      </c>
      <c r="E715" t="str">
        <f>IF('NEW ACCOUNT'!A716="","",'NEW ACCOUNT'!E716)</f>
        <v/>
      </c>
      <c r="F715" t="str">
        <f>IF('NEW ACCOUNT'!A716="","",'NEW ACCOUNT'!F716)</f>
        <v/>
      </c>
      <c r="G715" t="str">
        <f>IF('NEW ACCOUNT'!A716="","",'NEW ACCOUNT'!G716)</f>
        <v/>
      </c>
      <c r="H715" t="str">
        <f>IF('NEW ACCOUNT'!A716="","",'NEW ACCOUNT'!H716)</f>
        <v/>
      </c>
      <c r="I715" t="str">
        <f>IF('NEW ACCOUNT'!A716="","",'NEW ACCOUNT'!I716)</f>
        <v/>
      </c>
      <c r="J715" t="str">
        <f>IF('NEW ACCOUNT'!A716="","",'NEW ACCOUNT'!J716)</f>
        <v/>
      </c>
      <c r="K715" t="str">
        <f>IFERROR(IF(A715="","",SUMIF(DB_Savings!$A:$A,A715,DB_Savings!$F:$F)),"")</f>
        <v/>
      </c>
      <c r="L715" t="str">
        <f>IFERROR(IF(A715="","",SUMIF(DB_Withdrawals!$A:$A,A715,DB_Withdrawals!$G:$G)),"")</f>
        <v/>
      </c>
      <c r="M715" t="str">
        <f>IFERROR(IF(A715="","",IFERROR(VALUE(H715),0)+IFERROR(SUMIF(DB_Savings!$A:$A,A715,DB_Savings!$F:$F),0)-IFERROR(SUMIF(DB_Withdrawals!$A:$A,A715,DB_Withdrawals!$G:$G),0)),"")</f>
        <v/>
      </c>
      <c r="N715" t="str">
        <f>IFERROR(IF(A715="","",MAX(0,M715-System_Config!$B$9)),"")</f>
        <v/>
      </c>
    </row>
    <row r="716" spans="1:14" ht="15" customHeight="1" x14ac:dyDescent="0.25">
      <c r="A716" t="str">
        <f>'NEW ACCOUNT'!A717</f>
        <v/>
      </c>
      <c r="B716" t="str">
        <f>IF('NEW ACCOUNT'!A717="","",'NEW ACCOUNT'!B717)</f>
        <v/>
      </c>
      <c r="C716" t="str">
        <f>IF('NEW ACCOUNT'!A717="","",'NEW ACCOUNT'!C717)</f>
        <v/>
      </c>
      <c r="D716" t="str">
        <f>IF('NEW ACCOUNT'!A717="","",'NEW ACCOUNT'!D717)</f>
        <v/>
      </c>
      <c r="E716" t="str">
        <f>IF('NEW ACCOUNT'!A717="","",'NEW ACCOUNT'!E717)</f>
        <v/>
      </c>
      <c r="F716" t="str">
        <f>IF('NEW ACCOUNT'!A717="","",'NEW ACCOUNT'!F717)</f>
        <v/>
      </c>
      <c r="G716" t="str">
        <f>IF('NEW ACCOUNT'!A717="","",'NEW ACCOUNT'!G717)</f>
        <v/>
      </c>
      <c r="H716" t="str">
        <f>IF('NEW ACCOUNT'!A717="","",'NEW ACCOUNT'!H717)</f>
        <v/>
      </c>
      <c r="I716" t="str">
        <f>IF('NEW ACCOUNT'!A717="","",'NEW ACCOUNT'!I717)</f>
        <v/>
      </c>
      <c r="J716" t="str">
        <f>IF('NEW ACCOUNT'!A717="","",'NEW ACCOUNT'!J717)</f>
        <v/>
      </c>
      <c r="K716" t="str">
        <f>IFERROR(IF(A716="","",SUMIF(DB_Savings!$A:$A,A716,DB_Savings!$F:$F)),"")</f>
        <v/>
      </c>
      <c r="L716" t="str">
        <f>IFERROR(IF(A716="","",SUMIF(DB_Withdrawals!$A:$A,A716,DB_Withdrawals!$G:$G)),"")</f>
        <v/>
      </c>
      <c r="M716" t="str">
        <f>IFERROR(IF(A716="","",IFERROR(VALUE(H716),0)+IFERROR(SUMIF(DB_Savings!$A:$A,A716,DB_Savings!$F:$F),0)-IFERROR(SUMIF(DB_Withdrawals!$A:$A,A716,DB_Withdrawals!$G:$G),0)),"")</f>
        <v/>
      </c>
      <c r="N716" t="str">
        <f>IFERROR(IF(A716="","",MAX(0,M716-System_Config!$B$9)),"")</f>
        <v/>
      </c>
    </row>
    <row r="717" spans="1:14" ht="15" customHeight="1" x14ac:dyDescent="0.25">
      <c r="A717" t="str">
        <f>'NEW ACCOUNT'!A718</f>
        <v/>
      </c>
      <c r="B717" t="str">
        <f>IF('NEW ACCOUNT'!A718="","",'NEW ACCOUNT'!B718)</f>
        <v/>
      </c>
      <c r="C717" t="str">
        <f>IF('NEW ACCOUNT'!A718="","",'NEW ACCOUNT'!C718)</f>
        <v/>
      </c>
      <c r="D717" t="str">
        <f>IF('NEW ACCOUNT'!A718="","",'NEW ACCOUNT'!D718)</f>
        <v/>
      </c>
      <c r="E717" t="str">
        <f>IF('NEW ACCOUNT'!A718="","",'NEW ACCOUNT'!E718)</f>
        <v/>
      </c>
      <c r="F717" t="str">
        <f>IF('NEW ACCOUNT'!A718="","",'NEW ACCOUNT'!F718)</f>
        <v/>
      </c>
      <c r="G717" t="str">
        <f>IF('NEW ACCOUNT'!A718="","",'NEW ACCOUNT'!G718)</f>
        <v/>
      </c>
      <c r="H717" t="str">
        <f>IF('NEW ACCOUNT'!A718="","",'NEW ACCOUNT'!H718)</f>
        <v/>
      </c>
      <c r="I717" t="str">
        <f>IF('NEW ACCOUNT'!A718="","",'NEW ACCOUNT'!I718)</f>
        <v/>
      </c>
      <c r="J717" t="str">
        <f>IF('NEW ACCOUNT'!A718="","",'NEW ACCOUNT'!J718)</f>
        <v/>
      </c>
      <c r="K717" t="str">
        <f>IFERROR(IF(A717="","",SUMIF(DB_Savings!$A:$A,A717,DB_Savings!$F:$F)),"")</f>
        <v/>
      </c>
      <c r="L717" t="str">
        <f>IFERROR(IF(A717="","",SUMIF(DB_Withdrawals!$A:$A,A717,DB_Withdrawals!$G:$G)),"")</f>
        <v/>
      </c>
      <c r="M717" t="str">
        <f>IFERROR(IF(A717="","",IFERROR(VALUE(H717),0)+IFERROR(SUMIF(DB_Savings!$A:$A,A717,DB_Savings!$F:$F),0)-IFERROR(SUMIF(DB_Withdrawals!$A:$A,A717,DB_Withdrawals!$G:$G),0)),"")</f>
        <v/>
      </c>
      <c r="N717" t="str">
        <f>IFERROR(IF(A717="","",MAX(0,M717-System_Config!$B$9)),"")</f>
        <v/>
      </c>
    </row>
    <row r="718" spans="1:14" ht="15" customHeight="1" x14ac:dyDescent="0.25">
      <c r="A718" t="str">
        <f>'NEW ACCOUNT'!A719</f>
        <v/>
      </c>
      <c r="B718" t="str">
        <f>IF('NEW ACCOUNT'!A719="","",'NEW ACCOUNT'!B719)</f>
        <v/>
      </c>
      <c r="C718" t="str">
        <f>IF('NEW ACCOUNT'!A719="","",'NEW ACCOUNT'!C719)</f>
        <v/>
      </c>
      <c r="D718" t="str">
        <f>IF('NEW ACCOUNT'!A719="","",'NEW ACCOUNT'!D719)</f>
        <v/>
      </c>
      <c r="E718" t="str">
        <f>IF('NEW ACCOUNT'!A719="","",'NEW ACCOUNT'!E719)</f>
        <v/>
      </c>
      <c r="F718" t="str">
        <f>IF('NEW ACCOUNT'!A719="","",'NEW ACCOUNT'!F719)</f>
        <v/>
      </c>
      <c r="G718" t="str">
        <f>IF('NEW ACCOUNT'!A719="","",'NEW ACCOUNT'!G719)</f>
        <v/>
      </c>
      <c r="H718" t="str">
        <f>IF('NEW ACCOUNT'!A719="","",'NEW ACCOUNT'!H719)</f>
        <v/>
      </c>
      <c r="I718" t="str">
        <f>IF('NEW ACCOUNT'!A719="","",'NEW ACCOUNT'!I719)</f>
        <v/>
      </c>
      <c r="J718" t="str">
        <f>IF('NEW ACCOUNT'!A719="","",'NEW ACCOUNT'!J719)</f>
        <v/>
      </c>
      <c r="K718" t="str">
        <f>IFERROR(IF(A718="","",SUMIF(DB_Savings!$A:$A,A718,DB_Savings!$F:$F)),"")</f>
        <v/>
      </c>
      <c r="L718" t="str">
        <f>IFERROR(IF(A718="","",SUMIF(DB_Withdrawals!$A:$A,A718,DB_Withdrawals!$G:$G)),"")</f>
        <v/>
      </c>
      <c r="M718" t="str">
        <f>IFERROR(IF(A718="","",IFERROR(VALUE(H718),0)+IFERROR(SUMIF(DB_Savings!$A:$A,A718,DB_Savings!$F:$F),0)-IFERROR(SUMIF(DB_Withdrawals!$A:$A,A718,DB_Withdrawals!$G:$G),0)),"")</f>
        <v/>
      </c>
      <c r="N718" t="str">
        <f>IFERROR(IF(A718="","",MAX(0,M718-System_Config!$B$9)),"")</f>
        <v/>
      </c>
    </row>
    <row r="719" spans="1:14" ht="15" customHeight="1" x14ac:dyDescent="0.25">
      <c r="A719" t="str">
        <f>'NEW ACCOUNT'!A720</f>
        <v/>
      </c>
      <c r="B719" t="str">
        <f>IF('NEW ACCOUNT'!A720="","",'NEW ACCOUNT'!B720)</f>
        <v/>
      </c>
      <c r="C719" t="str">
        <f>IF('NEW ACCOUNT'!A720="","",'NEW ACCOUNT'!C720)</f>
        <v/>
      </c>
      <c r="D719" t="str">
        <f>IF('NEW ACCOUNT'!A720="","",'NEW ACCOUNT'!D720)</f>
        <v/>
      </c>
      <c r="E719" t="str">
        <f>IF('NEW ACCOUNT'!A720="","",'NEW ACCOUNT'!E720)</f>
        <v/>
      </c>
      <c r="F719" t="str">
        <f>IF('NEW ACCOUNT'!A720="","",'NEW ACCOUNT'!F720)</f>
        <v/>
      </c>
      <c r="G719" t="str">
        <f>IF('NEW ACCOUNT'!A720="","",'NEW ACCOUNT'!G720)</f>
        <v/>
      </c>
      <c r="H719" t="str">
        <f>IF('NEW ACCOUNT'!A720="","",'NEW ACCOUNT'!H720)</f>
        <v/>
      </c>
      <c r="I719" t="str">
        <f>IF('NEW ACCOUNT'!A720="","",'NEW ACCOUNT'!I720)</f>
        <v/>
      </c>
      <c r="J719" t="str">
        <f>IF('NEW ACCOUNT'!A720="","",'NEW ACCOUNT'!J720)</f>
        <v/>
      </c>
      <c r="K719" t="str">
        <f>IFERROR(IF(A719="","",SUMIF(DB_Savings!$A:$A,A719,DB_Savings!$F:$F)),"")</f>
        <v/>
      </c>
      <c r="L719" t="str">
        <f>IFERROR(IF(A719="","",SUMIF(DB_Withdrawals!$A:$A,A719,DB_Withdrawals!$G:$G)),"")</f>
        <v/>
      </c>
      <c r="M719" t="str">
        <f>IFERROR(IF(A719="","",IFERROR(VALUE(H719),0)+IFERROR(SUMIF(DB_Savings!$A:$A,A719,DB_Savings!$F:$F),0)-IFERROR(SUMIF(DB_Withdrawals!$A:$A,A719,DB_Withdrawals!$G:$G),0)),"")</f>
        <v/>
      </c>
      <c r="N719" t="str">
        <f>IFERROR(IF(A719="","",MAX(0,M719-System_Config!$B$9)),"")</f>
        <v/>
      </c>
    </row>
    <row r="720" spans="1:14" ht="15" customHeight="1" x14ac:dyDescent="0.25">
      <c r="A720" t="str">
        <f>'NEW ACCOUNT'!A721</f>
        <v/>
      </c>
      <c r="B720" t="str">
        <f>IF('NEW ACCOUNT'!A721="","",'NEW ACCOUNT'!B721)</f>
        <v/>
      </c>
      <c r="C720" t="str">
        <f>IF('NEW ACCOUNT'!A721="","",'NEW ACCOUNT'!C721)</f>
        <v/>
      </c>
      <c r="D720" t="str">
        <f>IF('NEW ACCOUNT'!A721="","",'NEW ACCOUNT'!D721)</f>
        <v/>
      </c>
      <c r="E720" t="str">
        <f>IF('NEW ACCOUNT'!A721="","",'NEW ACCOUNT'!E721)</f>
        <v/>
      </c>
      <c r="F720" t="str">
        <f>IF('NEW ACCOUNT'!A721="","",'NEW ACCOUNT'!F721)</f>
        <v/>
      </c>
      <c r="G720" t="str">
        <f>IF('NEW ACCOUNT'!A721="","",'NEW ACCOUNT'!G721)</f>
        <v/>
      </c>
      <c r="H720" t="str">
        <f>IF('NEW ACCOUNT'!A721="","",'NEW ACCOUNT'!H721)</f>
        <v/>
      </c>
      <c r="I720" t="str">
        <f>IF('NEW ACCOUNT'!A721="","",'NEW ACCOUNT'!I721)</f>
        <v/>
      </c>
      <c r="J720" t="str">
        <f>IF('NEW ACCOUNT'!A721="","",'NEW ACCOUNT'!J721)</f>
        <v/>
      </c>
      <c r="K720" t="str">
        <f>IFERROR(IF(A720="","",SUMIF(DB_Savings!$A:$A,A720,DB_Savings!$F:$F)),"")</f>
        <v/>
      </c>
      <c r="L720" t="str">
        <f>IFERROR(IF(A720="","",SUMIF(DB_Withdrawals!$A:$A,A720,DB_Withdrawals!$G:$G)),"")</f>
        <v/>
      </c>
      <c r="M720" t="str">
        <f>IFERROR(IF(A720="","",IFERROR(VALUE(H720),0)+IFERROR(SUMIF(DB_Savings!$A:$A,A720,DB_Savings!$F:$F),0)-IFERROR(SUMIF(DB_Withdrawals!$A:$A,A720,DB_Withdrawals!$G:$G),0)),"")</f>
        <v/>
      </c>
      <c r="N720" t="str">
        <f>IFERROR(IF(A720="","",MAX(0,M720-System_Config!$B$9)),"")</f>
        <v/>
      </c>
    </row>
    <row r="721" spans="1:14" ht="15" customHeight="1" x14ac:dyDescent="0.25">
      <c r="A721" t="str">
        <f>'NEW ACCOUNT'!A722</f>
        <v/>
      </c>
      <c r="B721" t="str">
        <f>IF('NEW ACCOUNT'!A722="","",'NEW ACCOUNT'!B722)</f>
        <v/>
      </c>
      <c r="C721" t="str">
        <f>IF('NEW ACCOUNT'!A722="","",'NEW ACCOUNT'!C722)</f>
        <v/>
      </c>
      <c r="D721" t="str">
        <f>IF('NEW ACCOUNT'!A722="","",'NEW ACCOUNT'!D722)</f>
        <v/>
      </c>
      <c r="E721" t="str">
        <f>IF('NEW ACCOUNT'!A722="","",'NEW ACCOUNT'!E722)</f>
        <v/>
      </c>
      <c r="F721" t="str">
        <f>IF('NEW ACCOUNT'!A722="","",'NEW ACCOUNT'!F722)</f>
        <v/>
      </c>
      <c r="G721" t="str">
        <f>IF('NEW ACCOUNT'!A722="","",'NEW ACCOUNT'!G722)</f>
        <v/>
      </c>
      <c r="H721" t="str">
        <f>IF('NEW ACCOUNT'!A722="","",'NEW ACCOUNT'!H722)</f>
        <v/>
      </c>
      <c r="I721" t="str">
        <f>IF('NEW ACCOUNT'!A722="","",'NEW ACCOUNT'!I722)</f>
        <v/>
      </c>
      <c r="J721" t="str">
        <f>IF('NEW ACCOUNT'!A722="","",'NEW ACCOUNT'!J722)</f>
        <v/>
      </c>
      <c r="K721" t="str">
        <f>IFERROR(IF(A721="","",SUMIF(DB_Savings!$A:$A,A721,DB_Savings!$F:$F)),"")</f>
        <v/>
      </c>
      <c r="L721" t="str">
        <f>IFERROR(IF(A721="","",SUMIF(DB_Withdrawals!$A:$A,A721,DB_Withdrawals!$G:$G)),"")</f>
        <v/>
      </c>
      <c r="M721" t="str">
        <f>IFERROR(IF(A721="","",IFERROR(VALUE(H721),0)+IFERROR(SUMIF(DB_Savings!$A:$A,A721,DB_Savings!$F:$F),0)-IFERROR(SUMIF(DB_Withdrawals!$A:$A,A721,DB_Withdrawals!$G:$G),0)),"")</f>
        <v/>
      </c>
      <c r="N721" t="str">
        <f>IFERROR(IF(A721="","",MAX(0,M721-System_Config!$B$9)),"")</f>
        <v/>
      </c>
    </row>
    <row r="722" spans="1:14" ht="15" customHeight="1" x14ac:dyDescent="0.25">
      <c r="A722" t="str">
        <f>'NEW ACCOUNT'!A723</f>
        <v/>
      </c>
      <c r="B722" t="str">
        <f>IF('NEW ACCOUNT'!A723="","",'NEW ACCOUNT'!B723)</f>
        <v/>
      </c>
      <c r="C722" t="str">
        <f>IF('NEW ACCOUNT'!A723="","",'NEW ACCOUNT'!C723)</f>
        <v/>
      </c>
      <c r="D722" t="str">
        <f>IF('NEW ACCOUNT'!A723="","",'NEW ACCOUNT'!D723)</f>
        <v/>
      </c>
      <c r="E722" t="str">
        <f>IF('NEW ACCOUNT'!A723="","",'NEW ACCOUNT'!E723)</f>
        <v/>
      </c>
      <c r="F722" t="str">
        <f>IF('NEW ACCOUNT'!A723="","",'NEW ACCOUNT'!F723)</f>
        <v/>
      </c>
      <c r="G722" t="str">
        <f>IF('NEW ACCOUNT'!A723="","",'NEW ACCOUNT'!G723)</f>
        <v/>
      </c>
      <c r="H722" t="str">
        <f>IF('NEW ACCOUNT'!A723="","",'NEW ACCOUNT'!H723)</f>
        <v/>
      </c>
      <c r="I722" t="str">
        <f>IF('NEW ACCOUNT'!A723="","",'NEW ACCOUNT'!I723)</f>
        <v/>
      </c>
      <c r="J722" t="str">
        <f>IF('NEW ACCOUNT'!A723="","",'NEW ACCOUNT'!J723)</f>
        <v/>
      </c>
      <c r="K722" t="str">
        <f>IFERROR(IF(A722="","",SUMIF(DB_Savings!$A:$A,A722,DB_Savings!$F:$F)),"")</f>
        <v/>
      </c>
      <c r="L722" t="str">
        <f>IFERROR(IF(A722="","",SUMIF(DB_Withdrawals!$A:$A,A722,DB_Withdrawals!$G:$G)),"")</f>
        <v/>
      </c>
      <c r="M722" t="str">
        <f>IFERROR(IF(A722="","",IFERROR(VALUE(H722),0)+IFERROR(SUMIF(DB_Savings!$A:$A,A722,DB_Savings!$F:$F),0)-IFERROR(SUMIF(DB_Withdrawals!$A:$A,A722,DB_Withdrawals!$G:$G),0)),"")</f>
        <v/>
      </c>
      <c r="N722" t="str">
        <f>IFERROR(IF(A722="","",MAX(0,M722-System_Config!$B$9)),"")</f>
        <v/>
      </c>
    </row>
    <row r="723" spans="1:14" ht="15" customHeight="1" x14ac:dyDescent="0.25">
      <c r="A723" t="str">
        <f>'NEW ACCOUNT'!A724</f>
        <v/>
      </c>
      <c r="B723" t="str">
        <f>IF('NEW ACCOUNT'!A724="","",'NEW ACCOUNT'!B724)</f>
        <v/>
      </c>
      <c r="C723" t="str">
        <f>IF('NEW ACCOUNT'!A724="","",'NEW ACCOUNT'!C724)</f>
        <v/>
      </c>
      <c r="D723" t="str">
        <f>IF('NEW ACCOUNT'!A724="","",'NEW ACCOUNT'!D724)</f>
        <v/>
      </c>
      <c r="E723" t="str">
        <f>IF('NEW ACCOUNT'!A724="","",'NEW ACCOUNT'!E724)</f>
        <v/>
      </c>
      <c r="F723" t="str">
        <f>IF('NEW ACCOUNT'!A724="","",'NEW ACCOUNT'!F724)</f>
        <v/>
      </c>
      <c r="G723" t="str">
        <f>IF('NEW ACCOUNT'!A724="","",'NEW ACCOUNT'!G724)</f>
        <v/>
      </c>
      <c r="H723" t="str">
        <f>IF('NEW ACCOUNT'!A724="","",'NEW ACCOUNT'!H724)</f>
        <v/>
      </c>
      <c r="I723" t="str">
        <f>IF('NEW ACCOUNT'!A724="","",'NEW ACCOUNT'!I724)</f>
        <v/>
      </c>
      <c r="J723" t="str">
        <f>IF('NEW ACCOUNT'!A724="","",'NEW ACCOUNT'!J724)</f>
        <v/>
      </c>
      <c r="K723" t="str">
        <f>IFERROR(IF(A723="","",SUMIF(DB_Savings!$A:$A,A723,DB_Savings!$F:$F)),"")</f>
        <v/>
      </c>
      <c r="L723" t="str">
        <f>IFERROR(IF(A723="","",SUMIF(DB_Withdrawals!$A:$A,A723,DB_Withdrawals!$G:$G)),"")</f>
        <v/>
      </c>
      <c r="M723" t="str">
        <f>IFERROR(IF(A723="","",IFERROR(VALUE(H723),0)+IFERROR(SUMIF(DB_Savings!$A:$A,A723,DB_Savings!$F:$F),0)-IFERROR(SUMIF(DB_Withdrawals!$A:$A,A723,DB_Withdrawals!$G:$G),0)),"")</f>
        <v/>
      </c>
      <c r="N723" t="str">
        <f>IFERROR(IF(A723="","",MAX(0,M723-System_Config!$B$9)),"")</f>
        <v/>
      </c>
    </row>
    <row r="724" spans="1:14" ht="15" customHeight="1" x14ac:dyDescent="0.25">
      <c r="A724" t="str">
        <f>'NEW ACCOUNT'!A725</f>
        <v/>
      </c>
      <c r="B724" t="str">
        <f>IF('NEW ACCOUNT'!A725="","",'NEW ACCOUNT'!B725)</f>
        <v/>
      </c>
      <c r="C724" t="str">
        <f>IF('NEW ACCOUNT'!A725="","",'NEW ACCOUNT'!C725)</f>
        <v/>
      </c>
      <c r="D724" t="str">
        <f>IF('NEW ACCOUNT'!A725="","",'NEW ACCOUNT'!D725)</f>
        <v/>
      </c>
      <c r="E724" t="str">
        <f>IF('NEW ACCOUNT'!A725="","",'NEW ACCOUNT'!E725)</f>
        <v/>
      </c>
      <c r="F724" t="str">
        <f>IF('NEW ACCOUNT'!A725="","",'NEW ACCOUNT'!F725)</f>
        <v/>
      </c>
      <c r="G724" t="str">
        <f>IF('NEW ACCOUNT'!A725="","",'NEW ACCOUNT'!G725)</f>
        <v/>
      </c>
      <c r="H724" t="str">
        <f>IF('NEW ACCOUNT'!A725="","",'NEW ACCOUNT'!H725)</f>
        <v/>
      </c>
      <c r="I724" t="str">
        <f>IF('NEW ACCOUNT'!A725="","",'NEW ACCOUNT'!I725)</f>
        <v/>
      </c>
      <c r="J724" t="str">
        <f>IF('NEW ACCOUNT'!A725="","",'NEW ACCOUNT'!J725)</f>
        <v/>
      </c>
      <c r="K724" t="str">
        <f>IFERROR(IF(A724="","",SUMIF(DB_Savings!$A:$A,A724,DB_Savings!$F:$F)),"")</f>
        <v/>
      </c>
      <c r="L724" t="str">
        <f>IFERROR(IF(A724="","",SUMIF(DB_Withdrawals!$A:$A,A724,DB_Withdrawals!$G:$G)),"")</f>
        <v/>
      </c>
      <c r="M724" t="str">
        <f>IFERROR(IF(A724="","",IFERROR(VALUE(H724),0)+IFERROR(SUMIF(DB_Savings!$A:$A,A724,DB_Savings!$F:$F),0)-IFERROR(SUMIF(DB_Withdrawals!$A:$A,A724,DB_Withdrawals!$G:$G),0)),"")</f>
        <v/>
      </c>
      <c r="N724" t="str">
        <f>IFERROR(IF(A724="","",MAX(0,M724-System_Config!$B$9)),"")</f>
        <v/>
      </c>
    </row>
    <row r="725" spans="1:14" ht="15" customHeight="1" x14ac:dyDescent="0.25">
      <c r="A725" t="str">
        <f>'NEW ACCOUNT'!A726</f>
        <v/>
      </c>
      <c r="B725" t="str">
        <f>IF('NEW ACCOUNT'!A726="","",'NEW ACCOUNT'!B726)</f>
        <v/>
      </c>
      <c r="C725" t="str">
        <f>IF('NEW ACCOUNT'!A726="","",'NEW ACCOUNT'!C726)</f>
        <v/>
      </c>
      <c r="D725" t="str">
        <f>IF('NEW ACCOUNT'!A726="","",'NEW ACCOUNT'!D726)</f>
        <v/>
      </c>
      <c r="E725" t="str">
        <f>IF('NEW ACCOUNT'!A726="","",'NEW ACCOUNT'!E726)</f>
        <v/>
      </c>
      <c r="F725" t="str">
        <f>IF('NEW ACCOUNT'!A726="","",'NEW ACCOUNT'!F726)</f>
        <v/>
      </c>
      <c r="G725" t="str">
        <f>IF('NEW ACCOUNT'!A726="","",'NEW ACCOUNT'!G726)</f>
        <v/>
      </c>
      <c r="H725" t="str">
        <f>IF('NEW ACCOUNT'!A726="","",'NEW ACCOUNT'!H726)</f>
        <v/>
      </c>
      <c r="I725" t="str">
        <f>IF('NEW ACCOUNT'!A726="","",'NEW ACCOUNT'!I726)</f>
        <v/>
      </c>
      <c r="J725" t="str">
        <f>IF('NEW ACCOUNT'!A726="","",'NEW ACCOUNT'!J726)</f>
        <v/>
      </c>
      <c r="K725" t="str">
        <f>IFERROR(IF(A725="","",SUMIF(DB_Savings!$A:$A,A725,DB_Savings!$F:$F)),"")</f>
        <v/>
      </c>
      <c r="L725" t="str">
        <f>IFERROR(IF(A725="","",SUMIF(DB_Withdrawals!$A:$A,A725,DB_Withdrawals!$G:$G)),"")</f>
        <v/>
      </c>
      <c r="M725" t="str">
        <f>IFERROR(IF(A725="","",IFERROR(VALUE(H725),0)+IFERROR(SUMIF(DB_Savings!$A:$A,A725,DB_Savings!$F:$F),0)-IFERROR(SUMIF(DB_Withdrawals!$A:$A,A725,DB_Withdrawals!$G:$G),0)),"")</f>
        <v/>
      </c>
      <c r="N725" t="str">
        <f>IFERROR(IF(A725="","",MAX(0,M725-System_Config!$B$9)),"")</f>
        <v/>
      </c>
    </row>
    <row r="726" spans="1:14" ht="15" customHeight="1" x14ac:dyDescent="0.25">
      <c r="A726" t="str">
        <f>'NEW ACCOUNT'!A727</f>
        <v/>
      </c>
      <c r="B726" t="str">
        <f>IF('NEW ACCOUNT'!A727="","",'NEW ACCOUNT'!B727)</f>
        <v/>
      </c>
      <c r="C726" t="str">
        <f>IF('NEW ACCOUNT'!A727="","",'NEW ACCOUNT'!C727)</f>
        <v/>
      </c>
      <c r="D726" t="str">
        <f>IF('NEW ACCOUNT'!A727="","",'NEW ACCOUNT'!D727)</f>
        <v/>
      </c>
      <c r="E726" t="str">
        <f>IF('NEW ACCOUNT'!A727="","",'NEW ACCOUNT'!E727)</f>
        <v/>
      </c>
      <c r="F726" t="str">
        <f>IF('NEW ACCOUNT'!A727="","",'NEW ACCOUNT'!F727)</f>
        <v/>
      </c>
      <c r="G726" t="str">
        <f>IF('NEW ACCOUNT'!A727="","",'NEW ACCOUNT'!G727)</f>
        <v/>
      </c>
      <c r="H726" t="str">
        <f>IF('NEW ACCOUNT'!A727="","",'NEW ACCOUNT'!H727)</f>
        <v/>
      </c>
      <c r="I726" t="str">
        <f>IF('NEW ACCOUNT'!A727="","",'NEW ACCOUNT'!I727)</f>
        <v/>
      </c>
      <c r="J726" t="str">
        <f>IF('NEW ACCOUNT'!A727="","",'NEW ACCOUNT'!J727)</f>
        <v/>
      </c>
      <c r="K726" t="str">
        <f>IFERROR(IF(A726="","",SUMIF(DB_Savings!$A:$A,A726,DB_Savings!$F:$F)),"")</f>
        <v/>
      </c>
      <c r="L726" t="str">
        <f>IFERROR(IF(A726="","",SUMIF(DB_Withdrawals!$A:$A,A726,DB_Withdrawals!$G:$G)),"")</f>
        <v/>
      </c>
      <c r="M726" t="str">
        <f>IFERROR(IF(A726="","",IFERROR(VALUE(H726),0)+IFERROR(SUMIF(DB_Savings!$A:$A,A726,DB_Savings!$F:$F),0)-IFERROR(SUMIF(DB_Withdrawals!$A:$A,A726,DB_Withdrawals!$G:$G),0)),"")</f>
        <v/>
      </c>
      <c r="N726" t="str">
        <f>IFERROR(IF(A726="","",MAX(0,M726-System_Config!$B$9)),"")</f>
        <v/>
      </c>
    </row>
    <row r="727" spans="1:14" ht="15" customHeight="1" x14ac:dyDescent="0.25">
      <c r="A727" t="str">
        <f>'NEW ACCOUNT'!A728</f>
        <v/>
      </c>
      <c r="B727" t="str">
        <f>IF('NEW ACCOUNT'!A728="","",'NEW ACCOUNT'!B728)</f>
        <v/>
      </c>
      <c r="C727" t="str">
        <f>IF('NEW ACCOUNT'!A728="","",'NEW ACCOUNT'!C728)</f>
        <v/>
      </c>
      <c r="D727" t="str">
        <f>IF('NEW ACCOUNT'!A728="","",'NEW ACCOUNT'!D728)</f>
        <v/>
      </c>
      <c r="E727" t="str">
        <f>IF('NEW ACCOUNT'!A728="","",'NEW ACCOUNT'!E728)</f>
        <v/>
      </c>
      <c r="F727" t="str">
        <f>IF('NEW ACCOUNT'!A728="","",'NEW ACCOUNT'!F728)</f>
        <v/>
      </c>
      <c r="G727" t="str">
        <f>IF('NEW ACCOUNT'!A728="","",'NEW ACCOUNT'!G728)</f>
        <v/>
      </c>
      <c r="H727" t="str">
        <f>IF('NEW ACCOUNT'!A728="","",'NEW ACCOUNT'!H728)</f>
        <v/>
      </c>
      <c r="I727" t="str">
        <f>IF('NEW ACCOUNT'!A728="","",'NEW ACCOUNT'!I728)</f>
        <v/>
      </c>
      <c r="J727" t="str">
        <f>IF('NEW ACCOUNT'!A728="","",'NEW ACCOUNT'!J728)</f>
        <v/>
      </c>
      <c r="K727" t="str">
        <f>IFERROR(IF(A727="","",SUMIF(DB_Savings!$A:$A,A727,DB_Savings!$F:$F)),"")</f>
        <v/>
      </c>
      <c r="L727" t="str">
        <f>IFERROR(IF(A727="","",SUMIF(DB_Withdrawals!$A:$A,A727,DB_Withdrawals!$G:$G)),"")</f>
        <v/>
      </c>
      <c r="M727" t="str">
        <f>IFERROR(IF(A727="","",IFERROR(VALUE(H727),0)+IFERROR(SUMIF(DB_Savings!$A:$A,A727,DB_Savings!$F:$F),0)-IFERROR(SUMIF(DB_Withdrawals!$A:$A,A727,DB_Withdrawals!$G:$G),0)),"")</f>
        <v/>
      </c>
      <c r="N727" t="str">
        <f>IFERROR(IF(A727="","",MAX(0,M727-System_Config!$B$9)),"")</f>
        <v/>
      </c>
    </row>
    <row r="728" spans="1:14" ht="15" customHeight="1" x14ac:dyDescent="0.25">
      <c r="A728" t="str">
        <f>'NEW ACCOUNT'!A729</f>
        <v/>
      </c>
      <c r="B728" t="str">
        <f>IF('NEW ACCOUNT'!A729="","",'NEW ACCOUNT'!B729)</f>
        <v/>
      </c>
      <c r="C728" t="str">
        <f>IF('NEW ACCOUNT'!A729="","",'NEW ACCOUNT'!C729)</f>
        <v/>
      </c>
      <c r="D728" t="str">
        <f>IF('NEW ACCOUNT'!A729="","",'NEW ACCOUNT'!D729)</f>
        <v/>
      </c>
      <c r="E728" t="str">
        <f>IF('NEW ACCOUNT'!A729="","",'NEW ACCOUNT'!E729)</f>
        <v/>
      </c>
      <c r="F728" t="str">
        <f>IF('NEW ACCOUNT'!A729="","",'NEW ACCOUNT'!F729)</f>
        <v/>
      </c>
      <c r="G728" t="str">
        <f>IF('NEW ACCOUNT'!A729="","",'NEW ACCOUNT'!G729)</f>
        <v/>
      </c>
      <c r="H728" t="str">
        <f>IF('NEW ACCOUNT'!A729="","",'NEW ACCOUNT'!H729)</f>
        <v/>
      </c>
      <c r="I728" t="str">
        <f>IF('NEW ACCOUNT'!A729="","",'NEW ACCOUNT'!I729)</f>
        <v/>
      </c>
      <c r="J728" t="str">
        <f>IF('NEW ACCOUNT'!A729="","",'NEW ACCOUNT'!J729)</f>
        <v/>
      </c>
      <c r="K728" t="str">
        <f>IFERROR(IF(A728="","",SUMIF(DB_Savings!$A:$A,A728,DB_Savings!$F:$F)),"")</f>
        <v/>
      </c>
      <c r="L728" t="str">
        <f>IFERROR(IF(A728="","",SUMIF(DB_Withdrawals!$A:$A,A728,DB_Withdrawals!$G:$G)),"")</f>
        <v/>
      </c>
      <c r="M728" t="str">
        <f>IFERROR(IF(A728="","",IFERROR(VALUE(H728),0)+IFERROR(SUMIF(DB_Savings!$A:$A,A728,DB_Savings!$F:$F),0)-IFERROR(SUMIF(DB_Withdrawals!$A:$A,A728,DB_Withdrawals!$G:$G),0)),"")</f>
        <v/>
      </c>
      <c r="N728" t="str">
        <f>IFERROR(IF(A728="","",MAX(0,M728-System_Config!$B$9)),"")</f>
        <v/>
      </c>
    </row>
    <row r="729" spans="1:14" ht="15" customHeight="1" x14ac:dyDescent="0.25">
      <c r="A729" t="str">
        <f>'NEW ACCOUNT'!A730</f>
        <v/>
      </c>
      <c r="B729" t="str">
        <f>IF('NEW ACCOUNT'!A730="","",'NEW ACCOUNT'!B730)</f>
        <v/>
      </c>
      <c r="C729" t="str">
        <f>IF('NEW ACCOUNT'!A730="","",'NEW ACCOUNT'!C730)</f>
        <v/>
      </c>
      <c r="D729" t="str">
        <f>IF('NEW ACCOUNT'!A730="","",'NEW ACCOUNT'!D730)</f>
        <v/>
      </c>
      <c r="E729" t="str">
        <f>IF('NEW ACCOUNT'!A730="","",'NEW ACCOUNT'!E730)</f>
        <v/>
      </c>
      <c r="F729" t="str">
        <f>IF('NEW ACCOUNT'!A730="","",'NEW ACCOUNT'!F730)</f>
        <v/>
      </c>
      <c r="G729" t="str">
        <f>IF('NEW ACCOUNT'!A730="","",'NEW ACCOUNT'!G730)</f>
        <v/>
      </c>
      <c r="H729" t="str">
        <f>IF('NEW ACCOUNT'!A730="","",'NEW ACCOUNT'!H730)</f>
        <v/>
      </c>
      <c r="I729" t="str">
        <f>IF('NEW ACCOUNT'!A730="","",'NEW ACCOUNT'!I730)</f>
        <v/>
      </c>
      <c r="J729" t="str">
        <f>IF('NEW ACCOUNT'!A730="","",'NEW ACCOUNT'!J730)</f>
        <v/>
      </c>
      <c r="K729" t="str">
        <f>IFERROR(IF(A729="","",SUMIF(DB_Savings!$A:$A,A729,DB_Savings!$F:$F)),"")</f>
        <v/>
      </c>
      <c r="L729" t="str">
        <f>IFERROR(IF(A729="","",SUMIF(DB_Withdrawals!$A:$A,A729,DB_Withdrawals!$G:$G)),"")</f>
        <v/>
      </c>
      <c r="M729" t="str">
        <f>IFERROR(IF(A729="","",IFERROR(VALUE(H729),0)+IFERROR(SUMIF(DB_Savings!$A:$A,A729,DB_Savings!$F:$F),0)-IFERROR(SUMIF(DB_Withdrawals!$A:$A,A729,DB_Withdrawals!$G:$G),0)),"")</f>
        <v/>
      </c>
      <c r="N729" t="str">
        <f>IFERROR(IF(A729="","",MAX(0,M729-System_Config!$B$9)),"")</f>
        <v/>
      </c>
    </row>
    <row r="730" spans="1:14" ht="15" customHeight="1" x14ac:dyDescent="0.25">
      <c r="A730" t="str">
        <f>'NEW ACCOUNT'!A731</f>
        <v/>
      </c>
      <c r="B730" t="str">
        <f>IF('NEW ACCOUNT'!A731="","",'NEW ACCOUNT'!B731)</f>
        <v/>
      </c>
      <c r="C730" t="str">
        <f>IF('NEW ACCOUNT'!A731="","",'NEW ACCOUNT'!C731)</f>
        <v/>
      </c>
      <c r="D730" t="str">
        <f>IF('NEW ACCOUNT'!A731="","",'NEW ACCOUNT'!D731)</f>
        <v/>
      </c>
      <c r="E730" t="str">
        <f>IF('NEW ACCOUNT'!A731="","",'NEW ACCOUNT'!E731)</f>
        <v/>
      </c>
      <c r="F730" t="str">
        <f>IF('NEW ACCOUNT'!A731="","",'NEW ACCOUNT'!F731)</f>
        <v/>
      </c>
      <c r="G730" t="str">
        <f>IF('NEW ACCOUNT'!A731="","",'NEW ACCOUNT'!G731)</f>
        <v/>
      </c>
      <c r="H730" t="str">
        <f>IF('NEW ACCOUNT'!A731="","",'NEW ACCOUNT'!H731)</f>
        <v/>
      </c>
      <c r="I730" t="str">
        <f>IF('NEW ACCOUNT'!A731="","",'NEW ACCOUNT'!I731)</f>
        <v/>
      </c>
      <c r="J730" t="str">
        <f>IF('NEW ACCOUNT'!A731="","",'NEW ACCOUNT'!J731)</f>
        <v/>
      </c>
      <c r="K730" t="str">
        <f>IFERROR(IF(A730="","",SUMIF(DB_Savings!$A:$A,A730,DB_Savings!$F:$F)),"")</f>
        <v/>
      </c>
      <c r="L730" t="str">
        <f>IFERROR(IF(A730="","",SUMIF(DB_Withdrawals!$A:$A,A730,DB_Withdrawals!$G:$G)),"")</f>
        <v/>
      </c>
      <c r="M730" t="str">
        <f>IFERROR(IF(A730="","",IFERROR(VALUE(H730),0)+IFERROR(SUMIF(DB_Savings!$A:$A,A730,DB_Savings!$F:$F),0)-IFERROR(SUMIF(DB_Withdrawals!$A:$A,A730,DB_Withdrawals!$G:$G),0)),"")</f>
        <v/>
      </c>
      <c r="N730" t="str">
        <f>IFERROR(IF(A730="","",MAX(0,M730-System_Config!$B$9)),"")</f>
        <v/>
      </c>
    </row>
    <row r="731" spans="1:14" ht="15" customHeight="1" x14ac:dyDescent="0.25">
      <c r="A731" t="str">
        <f>'NEW ACCOUNT'!A732</f>
        <v/>
      </c>
      <c r="B731" t="str">
        <f>IF('NEW ACCOUNT'!A732="","",'NEW ACCOUNT'!B732)</f>
        <v/>
      </c>
      <c r="C731" t="str">
        <f>IF('NEW ACCOUNT'!A732="","",'NEW ACCOUNT'!C732)</f>
        <v/>
      </c>
      <c r="D731" t="str">
        <f>IF('NEW ACCOUNT'!A732="","",'NEW ACCOUNT'!D732)</f>
        <v/>
      </c>
      <c r="E731" t="str">
        <f>IF('NEW ACCOUNT'!A732="","",'NEW ACCOUNT'!E732)</f>
        <v/>
      </c>
      <c r="F731" t="str">
        <f>IF('NEW ACCOUNT'!A732="","",'NEW ACCOUNT'!F732)</f>
        <v/>
      </c>
      <c r="G731" t="str">
        <f>IF('NEW ACCOUNT'!A732="","",'NEW ACCOUNT'!G732)</f>
        <v/>
      </c>
      <c r="H731" t="str">
        <f>IF('NEW ACCOUNT'!A732="","",'NEW ACCOUNT'!H732)</f>
        <v/>
      </c>
      <c r="I731" t="str">
        <f>IF('NEW ACCOUNT'!A732="","",'NEW ACCOUNT'!I732)</f>
        <v/>
      </c>
      <c r="J731" t="str">
        <f>IF('NEW ACCOUNT'!A732="","",'NEW ACCOUNT'!J732)</f>
        <v/>
      </c>
      <c r="K731" t="str">
        <f>IFERROR(IF(A731="","",SUMIF(DB_Savings!$A:$A,A731,DB_Savings!$F:$F)),"")</f>
        <v/>
      </c>
      <c r="L731" t="str">
        <f>IFERROR(IF(A731="","",SUMIF(DB_Withdrawals!$A:$A,A731,DB_Withdrawals!$G:$G)),"")</f>
        <v/>
      </c>
      <c r="M731" t="str">
        <f>IFERROR(IF(A731="","",IFERROR(VALUE(H731),0)+IFERROR(SUMIF(DB_Savings!$A:$A,A731,DB_Savings!$F:$F),0)-IFERROR(SUMIF(DB_Withdrawals!$A:$A,A731,DB_Withdrawals!$G:$G),0)),"")</f>
        <v/>
      </c>
      <c r="N731" t="str">
        <f>IFERROR(IF(A731="","",MAX(0,M731-System_Config!$B$9)),"")</f>
        <v/>
      </c>
    </row>
    <row r="732" spans="1:14" ht="15" customHeight="1" x14ac:dyDescent="0.25">
      <c r="A732" t="str">
        <f>'NEW ACCOUNT'!A733</f>
        <v/>
      </c>
      <c r="B732" t="str">
        <f>IF('NEW ACCOUNT'!A733="","",'NEW ACCOUNT'!B733)</f>
        <v/>
      </c>
      <c r="C732" t="str">
        <f>IF('NEW ACCOUNT'!A733="","",'NEW ACCOUNT'!C733)</f>
        <v/>
      </c>
      <c r="D732" t="str">
        <f>IF('NEW ACCOUNT'!A733="","",'NEW ACCOUNT'!D733)</f>
        <v/>
      </c>
      <c r="E732" t="str">
        <f>IF('NEW ACCOUNT'!A733="","",'NEW ACCOUNT'!E733)</f>
        <v/>
      </c>
      <c r="F732" t="str">
        <f>IF('NEW ACCOUNT'!A733="","",'NEW ACCOUNT'!F733)</f>
        <v/>
      </c>
      <c r="G732" t="str">
        <f>IF('NEW ACCOUNT'!A733="","",'NEW ACCOUNT'!G733)</f>
        <v/>
      </c>
      <c r="H732" t="str">
        <f>IF('NEW ACCOUNT'!A733="","",'NEW ACCOUNT'!H733)</f>
        <v/>
      </c>
      <c r="I732" t="str">
        <f>IF('NEW ACCOUNT'!A733="","",'NEW ACCOUNT'!I733)</f>
        <v/>
      </c>
      <c r="J732" t="str">
        <f>IF('NEW ACCOUNT'!A733="","",'NEW ACCOUNT'!J733)</f>
        <v/>
      </c>
      <c r="K732" t="str">
        <f>IFERROR(IF(A732="","",SUMIF(DB_Savings!$A:$A,A732,DB_Savings!$F:$F)),"")</f>
        <v/>
      </c>
      <c r="L732" t="str">
        <f>IFERROR(IF(A732="","",SUMIF(DB_Withdrawals!$A:$A,A732,DB_Withdrawals!$G:$G)),"")</f>
        <v/>
      </c>
      <c r="M732" t="str">
        <f>IFERROR(IF(A732="","",IFERROR(VALUE(H732),0)+IFERROR(SUMIF(DB_Savings!$A:$A,A732,DB_Savings!$F:$F),0)-IFERROR(SUMIF(DB_Withdrawals!$A:$A,A732,DB_Withdrawals!$G:$G),0)),"")</f>
        <v/>
      </c>
      <c r="N732" t="str">
        <f>IFERROR(IF(A732="","",MAX(0,M732-System_Config!$B$9)),"")</f>
        <v/>
      </c>
    </row>
    <row r="733" spans="1:14" ht="15" customHeight="1" x14ac:dyDescent="0.25">
      <c r="A733" t="str">
        <f>'NEW ACCOUNT'!A734</f>
        <v/>
      </c>
      <c r="B733" t="str">
        <f>IF('NEW ACCOUNT'!A734="","",'NEW ACCOUNT'!B734)</f>
        <v/>
      </c>
      <c r="C733" t="str">
        <f>IF('NEW ACCOUNT'!A734="","",'NEW ACCOUNT'!C734)</f>
        <v/>
      </c>
      <c r="D733" t="str">
        <f>IF('NEW ACCOUNT'!A734="","",'NEW ACCOUNT'!D734)</f>
        <v/>
      </c>
      <c r="E733" t="str">
        <f>IF('NEW ACCOUNT'!A734="","",'NEW ACCOUNT'!E734)</f>
        <v/>
      </c>
      <c r="F733" t="str">
        <f>IF('NEW ACCOUNT'!A734="","",'NEW ACCOUNT'!F734)</f>
        <v/>
      </c>
      <c r="G733" t="str">
        <f>IF('NEW ACCOUNT'!A734="","",'NEW ACCOUNT'!G734)</f>
        <v/>
      </c>
      <c r="H733" t="str">
        <f>IF('NEW ACCOUNT'!A734="","",'NEW ACCOUNT'!H734)</f>
        <v/>
      </c>
      <c r="I733" t="str">
        <f>IF('NEW ACCOUNT'!A734="","",'NEW ACCOUNT'!I734)</f>
        <v/>
      </c>
      <c r="J733" t="str">
        <f>IF('NEW ACCOUNT'!A734="","",'NEW ACCOUNT'!J734)</f>
        <v/>
      </c>
      <c r="K733" t="str">
        <f>IFERROR(IF(A733="","",SUMIF(DB_Savings!$A:$A,A733,DB_Savings!$F:$F)),"")</f>
        <v/>
      </c>
      <c r="L733" t="str">
        <f>IFERROR(IF(A733="","",SUMIF(DB_Withdrawals!$A:$A,A733,DB_Withdrawals!$G:$G)),"")</f>
        <v/>
      </c>
      <c r="M733" t="str">
        <f>IFERROR(IF(A733="","",IFERROR(VALUE(H733),0)+IFERROR(SUMIF(DB_Savings!$A:$A,A733,DB_Savings!$F:$F),0)-IFERROR(SUMIF(DB_Withdrawals!$A:$A,A733,DB_Withdrawals!$G:$G),0)),"")</f>
        <v/>
      </c>
      <c r="N733" t="str">
        <f>IFERROR(IF(A733="","",MAX(0,M733-System_Config!$B$9)),"")</f>
        <v/>
      </c>
    </row>
    <row r="734" spans="1:14" ht="15" customHeight="1" x14ac:dyDescent="0.25">
      <c r="A734" t="str">
        <f>'NEW ACCOUNT'!A735</f>
        <v/>
      </c>
      <c r="B734" t="str">
        <f>IF('NEW ACCOUNT'!A735="","",'NEW ACCOUNT'!B735)</f>
        <v/>
      </c>
      <c r="C734" t="str">
        <f>IF('NEW ACCOUNT'!A735="","",'NEW ACCOUNT'!C735)</f>
        <v/>
      </c>
      <c r="D734" t="str">
        <f>IF('NEW ACCOUNT'!A735="","",'NEW ACCOUNT'!D735)</f>
        <v/>
      </c>
      <c r="E734" t="str">
        <f>IF('NEW ACCOUNT'!A735="","",'NEW ACCOUNT'!E735)</f>
        <v/>
      </c>
      <c r="F734" t="str">
        <f>IF('NEW ACCOUNT'!A735="","",'NEW ACCOUNT'!F735)</f>
        <v/>
      </c>
      <c r="G734" t="str">
        <f>IF('NEW ACCOUNT'!A735="","",'NEW ACCOUNT'!G735)</f>
        <v/>
      </c>
      <c r="H734" t="str">
        <f>IF('NEW ACCOUNT'!A735="","",'NEW ACCOUNT'!H735)</f>
        <v/>
      </c>
      <c r="I734" t="str">
        <f>IF('NEW ACCOUNT'!A735="","",'NEW ACCOUNT'!I735)</f>
        <v/>
      </c>
      <c r="J734" t="str">
        <f>IF('NEW ACCOUNT'!A735="","",'NEW ACCOUNT'!J735)</f>
        <v/>
      </c>
      <c r="K734" t="str">
        <f>IFERROR(IF(A734="","",SUMIF(DB_Savings!$A:$A,A734,DB_Savings!$F:$F)),"")</f>
        <v/>
      </c>
      <c r="L734" t="str">
        <f>IFERROR(IF(A734="","",SUMIF(DB_Withdrawals!$A:$A,A734,DB_Withdrawals!$G:$G)),"")</f>
        <v/>
      </c>
      <c r="M734" t="str">
        <f>IFERROR(IF(A734="","",IFERROR(VALUE(H734),0)+IFERROR(SUMIF(DB_Savings!$A:$A,A734,DB_Savings!$F:$F),0)-IFERROR(SUMIF(DB_Withdrawals!$A:$A,A734,DB_Withdrawals!$G:$G),0)),"")</f>
        <v/>
      </c>
      <c r="N734" t="str">
        <f>IFERROR(IF(A734="","",MAX(0,M734-System_Config!$B$9)),"")</f>
        <v/>
      </c>
    </row>
    <row r="735" spans="1:14" ht="15" customHeight="1" x14ac:dyDescent="0.25">
      <c r="A735" t="str">
        <f>'NEW ACCOUNT'!A736</f>
        <v/>
      </c>
      <c r="B735" t="str">
        <f>IF('NEW ACCOUNT'!A736="","",'NEW ACCOUNT'!B736)</f>
        <v/>
      </c>
      <c r="C735" t="str">
        <f>IF('NEW ACCOUNT'!A736="","",'NEW ACCOUNT'!C736)</f>
        <v/>
      </c>
      <c r="D735" t="str">
        <f>IF('NEW ACCOUNT'!A736="","",'NEW ACCOUNT'!D736)</f>
        <v/>
      </c>
      <c r="E735" t="str">
        <f>IF('NEW ACCOUNT'!A736="","",'NEW ACCOUNT'!E736)</f>
        <v/>
      </c>
      <c r="F735" t="str">
        <f>IF('NEW ACCOUNT'!A736="","",'NEW ACCOUNT'!F736)</f>
        <v/>
      </c>
      <c r="G735" t="str">
        <f>IF('NEW ACCOUNT'!A736="","",'NEW ACCOUNT'!G736)</f>
        <v/>
      </c>
      <c r="H735" t="str">
        <f>IF('NEW ACCOUNT'!A736="","",'NEW ACCOUNT'!H736)</f>
        <v/>
      </c>
      <c r="I735" t="str">
        <f>IF('NEW ACCOUNT'!A736="","",'NEW ACCOUNT'!I736)</f>
        <v/>
      </c>
      <c r="J735" t="str">
        <f>IF('NEW ACCOUNT'!A736="","",'NEW ACCOUNT'!J736)</f>
        <v/>
      </c>
      <c r="K735" t="str">
        <f>IFERROR(IF(A735="","",SUMIF(DB_Savings!$A:$A,A735,DB_Savings!$F:$F)),"")</f>
        <v/>
      </c>
      <c r="L735" t="str">
        <f>IFERROR(IF(A735="","",SUMIF(DB_Withdrawals!$A:$A,A735,DB_Withdrawals!$G:$G)),"")</f>
        <v/>
      </c>
      <c r="M735" t="str">
        <f>IFERROR(IF(A735="","",IFERROR(VALUE(H735),0)+IFERROR(SUMIF(DB_Savings!$A:$A,A735,DB_Savings!$F:$F),0)-IFERROR(SUMIF(DB_Withdrawals!$A:$A,A735,DB_Withdrawals!$G:$G),0)),"")</f>
        <v/>
      </c>
      <c r="N735" t="str">
        <f>IFERROR(IF(A735="","",MAX(0,M735-System_Config!$B$9)),"")</f>
        <v/>
      </c>
    </row>
    <row r="736" spans="1:14" ht="15" customHeight="1" x14ac:dyDescent="0.25">
      <c r="A736" t="str">
        <f>'NEW ACCOUNT'!A737</f>
        <v/>
      </c>
      <c r="B736" t="str">
        <f>IF('NEW ACCOUNT'!A737="","",'NEW ACCOUNT'!B737)</f>
        <v/>
      </c>
      <c r="C736" t="str">
        <f>IF('NEW ACCOUNT'!A737="","",'NEW ACCOUNT'!C737)</f>
        <v/>
      </c>
      <c r="D736" t="str">
        <f>IF('NEW ACCOUNT'!A737="","",'NEW ACCOUNT'!D737)</f>
        <v/>
      </c>
      <c r="E736" t="str">
        <f>IF('NEW ACCOUNT'!A737="","",'NEW ACCOUNT'!E737)</f>
        <v/>
      </c>
      <c r="F736" t="str">
        <f>IF('NEW ACCOUNT'!A737="","",'NEW ACCOUNT'!F737)</f>
        <v/>
      </c>
      <c r="G736" t="str">
        <f>IF('NEW ACCOUNT'!A737="","",'NEW ACCOUNT'!G737)</f>
        <v/>
      </c>
      <c r="H736" t="str">
        <f>IF('NEW ACCOUNT'!A737="","",'NEW ACCOUNT'!H737)</f>
        <v/>
      </c>
      <c r="I736" t="str">
        <f>IF('NEW ACCOUNT'!A737="","",'NEW ACCOUNT'!I737)</f>
        <v/>
      </c>
      <c r="J736" t="str">
        <f>IF('NEW ACCOUNT'!A737="","",'NEW ACCOUNT'!J737)</f>
        <v/>
      </c>
      <c r="K736" t="str">
        <f>IFERROR(IF(A736="","",SUMIF(DB_Savings!$A:$A,A736,DB_Savings!$F:$F)),"")</f>
        <v/>
      </c>
      <c r="L736" t="str">
        <f>IFERROR(IF(A736="","",SUMIF(DB_Withdrawals!$A:$A,A736,DB_Withdrawals!$G:$G)),"")</f>
        <v/>
      </c>
      <c r="M736" t="str">
        <f>IFERROR(IF(A736="","",IFERROR(VALUE(H736),0)+IFERROR(SUMIF(DB_Savings!$A:$A,A736,DB_Savings!$F:$F),0)-IFERROR(SUMIF(DB_Withdrawals!$A:$A,A736,DB_Withdrawals!$G:$G),0)),"")</f>
        <v/>
      </c>
      <c r="N736" t="str">
        <f>IFERROR(IF(A736="","",MAX(0,M736-System_Config!$B$9)),"")</f>
        <v/>
      </c>
    </row>
    <row r="737" spans="1:14" ht="15" customHeight="1" x14ac:dyDescent="0.25">
      <c r="A737" t="str">
        <f>'NEW ACCOUNT'!A738</f>
        <v/>
      </c>
      <c r="B737" t="str">
        <f>IF('NEW ACCOUNT'!A738="","",'NEW ACCOUNT'!B738)</f>
        <v/>
      </c>
      <c r="C737" t="str">
        <f>IF('NEW ACCOUNT'!A738="","",'NEW ACCOUNT'!C738)</f>
        <v/>
      </c>
      <c r="D737" t="str">
        <f>IF('NEW ACCOUNT'!A738="","",'NEW ACCOUNT'!D738)</f>
        <v/>
      </c>
      <c r="E737" t="str">
        <f>IF('NEW ACCOUNT'!A738="","",'NEW ACCOUNT'!E738)</f>
        <v/>
      </c>
      <c r="F737" t="str">
        <f>IF('NEW ACCOUNT'!A738="","",'NEW ACCOUNT'!F738)</f>
        <v/>
      </c>
      <c r="G737" t="str">
        <f>IF('NEW ACCOUNT'!A738="","",'NEW ACCOUNT'!G738)</f>
        <v/>
      </c>
      <c r="H737" t="str">
        <f>IF('NEW ACCOUNT'!A738="","",'NEW ACCOUNT'!H738)</f>
        <v/>
      </c>
      <c r="I737" t="str">
        <f>IF('NEW ACCOUNT'!A738="","",'NEW ACCOUNT'!I738)</f>
        <v/>
      </c>
      <c r="J737" t="str">
        <f>IF('NEW ACCOUNT'!A738="","",'NEW ACCOUNT'!J738)</f>
        <v/>
      </c>
      <c r="K737" t="str">
        <f>IFERROR(IF(A737="","",SUMIF(DB_Savings!$A:$A,A737,DB_Savings!$F:$F)),"")</f>
        <v/>
      </c>
      <c r="L737" t="str">
        <f>IFERROR(IF(A737="","",SUMIF(DB_Withdrawals!$A:$A,A737,DB_Withdrawals!$G:$G)),"")</f>
        <v/>
      </c>
      <c r="M737" t="str">
        <f>IFERROR(IF(A737="","",IFERROR(VALUE(H737),0)+IFERROR(SUMIF(DB_Savings!$A:$A,A737,DB_Savings!$F:$F),0)-IFERROR(SUMIF(DB_Withdrawals!$A:$A,A737,DB_Withdrawals!$G:$G),0)),"")</f>
        <v/>
      </c>
      <c r="N737" t="str">
        <f>IFERROR(IF(A737="","",MAX(0,M737-System_Config!$B$9)),"")</f>
        <v/>
      </c>
    </row>
    <row r="738" spans="1:14" ht="15" customHeight="1" x14ac:dyDescent="0.25">
      <c r="A738" t="str">
        <f>'NEW ACCOUNT'!A739</f>
        <v/>
      </c>
      <c r="B738" t="str">
        <f>IF('NEW ACCOUNT'!A739="","",'NEW ACCOUNT'!B739)</f>
        <v/>
      </c>
      <c r="C738" t="str">
        <f>IF('NEW ACCOUNT'!A739="","",'NEW ACCOUNT'!C739)</f>
        <v/>
      </c>
      <c r="D738" t="str">
        <f>IF('NEW ACCOUNT'!A739="","",'NEW ACCOUNT'!D739)</f>
        <v/>
      </c>
      <c r="E738" t="str">
        <f>IF('NEW ACCOUNT'!A739="","",'NEW ACCOUNT'!E739)</f>
        <v/>
      </c>
      <c r="F738" t="str">
        <f>IF('NEW ACCOUNT'!A739="","",'NEW ACCOUNT'!F739)</f>
        <v/>
      </c>
      <c r="G738" t="str">
        <f>IF('NEW ACCOUNT'!A739="","",'NEW ACCOUNT'!G739)</f>
        <v/>
      </c>
      <c r="H738" t="str">
        <f>IF('NEW ACCOUNT'!A739="","",'NEW ACCOUNT'!H739)</f>
        <v/>
      </c>
      <c r="I738" t="str">
        <f>IF('NEW ACCOUNT'!A739="","",'NEW ACCOUNT'!I739)</f>
        <v/>
      </c>
      <c r="J738" t="str">
        <f>IF('NEW ACCOUNT'!A739="","",'NEW ACCOUNT'!J739)</f>
        <v/>
      </c>
      <c r="K738" t="str">
        <f>IFERROR(IF(A738="","",SUMIF(DB_Savings!$A:$A,A738,DB_Savings!$F:$F)),"")</f>
        <v/>
      </c>
      <c r="L738" t="str">
        <f>IFERROR(IF(A738="","",SUMIF(DB_Withdrawals!$A:$A,A738,DB_Withdrawals!$G:$G)),"")</f>
        <v/>
      </c>
      <c r="M738" t="str">
        <f>IFERROR(IF(A738="","",IFERROR(VALUE(H738),0)+IFERROR(SUMIF(DB_Savings!$A:$A,A738,DB_Savings!$F:$F),0)-IFERROR(SUMIF(DB_Withdrawals!$A:$A,A738,DB_Withdrawals!$G:$G),0)),"")</f>
        <v/>
      </c>
      <c r="N738" t="str">
        <f>IFERROR(IF(A738="","",MAX(0,M738-System_Config!$B$9)),"")</f>
        <v/>
      </c>
    </row>
    <row r="739" spans="1:14" ht="15" customHeight="1" x14ac:dyDescent="0.25">
      <c r="A739" t="str">
        <f>'NEW ACCOUNT'!A740</f>
        <v/>
      </c>
      <c r="B739" t="str">
        <f>IF('NEW ACCOUNT'!A740="","",'NEW ACCOUNT'!B740)</f>
        <v/>
      </c>
      <c r="C739" t="str">
        <f>IF('NEW ACCOUNT'!A740="","",'NEW ACCOUNT'!C740)</f>
        <v/>
      </c>
      <c r="D739" t="str">
        <f>IF('NEW ACCOUNT'!A740="","",'NEW ACCOUNT'!D740)</f>
        <v/>
      </c>
      <c r="E739" t="str">
        <f>IF('NEW ACCOUNT'!A740="","",'NEW ACCOUNT'!E740)</f>
        <v/>
      </c>
      <c r="F739" t="str">
        <f>IF('NEW ACCOUNT'!A740="","",'NEW ACCOUNT'!F740)</f>
        <v/>
      </c>
      <c r="G739" t="str">
        <f>IF('NEW ACCOUNT'!A740="","",'NEW ACCOUNT'!G740)</f>
        <v/>
      </c>
      <c r="H739" t="str">
        <f>IF('NEW ACCOUNT'!A740="","",'NEW ACCOUNT'!H740)</f>
        <v/>
      </c>
      <c r="I739" t="str">
        <f>IF('NEW ACCOUNT'!A740="","",'NEW ACCOUNT'!I740)</f>
        <v/>
      </c>
      <c r="J739" t="str">
        <f>IF('NEW ACCOUNT'!A740="","",'NEW ACCOUNT'!J740)</f>
        <v/>
      </c>
      <c r="K739" t="str">
        <f>IFERROR(IF(A739="","",SUMIF(DB_Savings!$A:$A,A739,DB_Savings!$F:$F)),"")</f>
        <v/>
      </c>
      <c r="L739" t="str">
        <f>IFERROR(IF(A739="","",SUMIF(DB_Withdrawals!$A:$A,A739,DB_Withdrawals!$G:$G)),"")</f>
        <v/>
      </c>
      <c r="M739" t="str">
        <f>IFERROR(IF(A739="","",IFERROR(VALUE(H739),0)+IFERROR(SUMIF(DB_Savings!$A:$A,A739,DB_Savings!$F:$F),0)-IFERROR(SUMIF(DB_Withdrawals!$A:$A,A739,DB_Withdrawals!$G:$G),0)),"")</f>
        <v/>
      </c>
      <c r="N739" t="str">
        <f>IFERROR(IF(A739="","",MAX(0,M739-System_Config!$B$9)),"")</f>
        <v/>
      </c>
    </row>
    <row r="740" spans="1:14" ht="15" customHeight="1" x14ac:dyDescent="0.25">
      <c r="A740" t="str">
        <f>'NEW ACCOUNT'!A741</f>
        <v/>
      </c>
      <c r="B740" t="str">
        <f>IF('NEW ACCOUNT'!A741="","",'NEW ACCOUNT'!B741)</f>
        <v/>
      </c>
      <c r="C740" t="str">
        <f>IF('NEW ACCOUNT'!A741="","",'NEW ACCOUNT'!C741)</f>
        <v/>
      </c>
      <c r="D740" t="str">
        <f>IF('NEW ACCOUNT'!A741="","",'NEW ACCOUNT'!D741)</f>
        <v/>
      </c>
      <c r="E740" t="str">
        <f>IF('NEW ACCOUNT'!A741="","",'NEW ACCOUNT'!E741)</f>
        <v/>
      </c>
      <c r="F740" t="str">
        <f>IF('NEW ACCOUNT'!A741="","",'NEW ACCOUNT'!F741)</f>
        <v/>
      </c>
      <c r="G740" t="str">
        <f>IF('NEW ACCOUNT'!A741="","",'NEW ACCOUNT'!G741)</f>
        <v/>
      </c>
      <c r="H740" t="str">
        <f>IF('NEW ACCOUNT'!A741="","",'NEW ACCOUNT'!H741)</f>
        <v/>
      </c>
      <c r="I740" t="str">
        <f>IF('NEW ACCOUNT'!A741="","",'NEW ACCOUNT'!I741)</f>
        <v/>
      </c>
      <c r="J740" t="str">
        <f>IF('NEW ACCOUNT'!A741="","",'NEW ACCOUNT'!J741)</f>
        <v/>
      </c>
      <c r="K740" t="str">
        <f>IFERROR(IF(A740="","",SUMIF(DB_Savings!$A:$A,A740,DB_Savings!$F:$F)),"")</f>
        <v/>
      </c>
      <c r="L740" t="str">
        <f>IFERROR(IF(A740="","",SUMIF(DB_Withdrawals!$A:$A,A740,DB_Withdrawals!$G:$G)),"")</f>
        <v/>
      </c>
      <c r="M740" t="str">
        <f>IFERROR(IF(A740="","",IFERROR(VALUE(H740),0)+IFERROR(SUMIF(DB_Savings!$A:$A,A740,DB_Savings!$F:$F),0)-IFERROR(SUMIF(DB_Withdrawals!$A:$A,A740,DB_Withdrawals!$G:$G),0)),"")</f>
        <v/>
      </c>
      <c r="N740" t="str">
        <f>IFERROR(IF(A740="","",MAX(0,M740-System_Config!$B$9)),"")</f>
        <v/>
      </c>
    </row>
    <row r="741" spans="1:14" ht="15" customHeight="1" x14ac:dyDescent="0.25">
      <c r="A741" t="str">
        <f>'NEW ACCOUNT'!A742</f>
        <v/>
      </c>
      <c r="B741" t="str">
        <f>IF('NEW ACCOUNT'!A742="","",'NEW ACCOUNT'!B742)</f>
        <v/>
      </c>
      <c r="C741" t="str">
        <f>IF('NEW ACCOUNT'!A742="","",'NEW ACCOUNT'!C742)</f>
        <v/>
      </c>
      <c r="D741" t="str">
        <f>IF('NEW ACCOUNT'!A742="","",'NEW ACCOUNT'!D742)</f>
        <v/>
      </c>
      <c r="E741" t="str">
        <f>IF('NEW ACCOUNT'!A742="","",'NEW ACCOUNT'!E742)</f>
        <v/>
      </c>
      <c r="F741" t="str">
        <f>IF('NEW ACCOUNT'!A742="","",'NEW ACCOUNT'!F742)</f>
        <v/>
      </c>
      <c r="G741" t="str">
        <f>IF('NEW ACCOUNT'!A742="","",'NEW ACCOUNT'!G742)</f>
        <v/>
      </c>
      <c r="H741" t="str">
        <f>IF('NEW ACCOUNT'!A742="","",'NEW ACCOUNT'!H742)</f>
        <v/>
      </c>
      <c r="I741" t="str">
        <f>IF('NEW ACCOUNT'!A742="","",'NEW ACCOUNT'!I742)</f>
        <v/>
      </c>
      <c r="J741" t="str">
        <f>IF('NEW ACCOUNT'!A742="","",'NEW ACCOUNT'!J742)</f>
        <v/>
      </c>
      <c r="K741" t="str">
        <f>IFERROR(IF(A741="","",SUMIF(DB_Savings!$A:$A,A741,DB_Savings!$F:$F)),"")</f>
        <v/>
      </c>
      <c r="L741" t="str">
        <f>IFERROR(IF(A741="","",SUMIF(DB_Withdrawals!$A:$A,A741,DB_Withdrawals!$G:$G)),"")</f>
        <v/>
      </c>
      <c r="M741" t="str">
        <f>IFERROR(IF(A741="","",IFERROR(VALUE(H741),0)+IFERROR(SUMIF(DB_Savings!$A:$A,A741,DB_Savings!$F:$F),0)-IFERROR(SUMIF(DB_Withdrawals!$A:$A,A741,DB_Withdrawals!$G:$G),0)),"")</f>
        <v/>
      </c>
      <c r="N741" t="str">
        <f>IFERROR(IF(A741="","",MAX(0,M741-System_Config!$B$9)),"")</f>
        <v/>
      </c>
    </row>
    <row r="742" spans="1:14" ht="15" customHeight="1" x14ac:dyDescent="0.25">
      <c r="A742" t="str">
        <f>'NEW ACCOUNT'!A743</f>
        <v/>
      </c>
      <c r="B742" t="str">
        <f>IF('NEW ACCOUNT'!A743="","",'NEW ACCOUNT'!B743)</f>
        <v/>
      </c>
      <c r="C742" t="str">
        <f>IF('NEW ACCOUNT'!A743="","",'NEW ACCOUNT'!C743)</f>
        <v/>
      </c>
      <c r="D742" t="str">
        <f>IF('NEW ACCOUNT'!A743="","",'NEW ACCOUNT'!D743)</f>
        <v/>
      </c>
      <c r="E742" t="str">
        <f>IF('NEW ACCOUNT'!A743="","",'NEW ACCOUNT'!E743)</f>
        <v/>
      </c>
      <c r="F742" t="str">
        <f>IF('NEW ACCOUNT'!A743="","",'NEW ACCOUNT'!F743)</f>
        <v/>
      </c>
      <c r="G742" t="str">
        <f>IF('NEW ACCOUNT'!A743="","",'NEW ACCOUNT'!G743)</f>
        <v/>
      </c>
      <c r="H742" t="str">
        <f>IF('NEW ACCOUNT'!A743="","",'NEW ACCOUNT'!H743)</f>
        <v/>
      </c>
      <c r="I742" t="str">
        <f>IF('NEW ACCOUNT'!A743="","",'NEW ACCOUNT'!I743)</f>
        <v/>
      </c>
      <c r="J742" t="str">
        <f>IF('NEW ACCOUNT'!A743="","",'NEW ACCOUNT'!J743)</f>
        <v/>
      </c>
      <c r="K742" t="str">
        <f>IFERROR(IF(A742="","",SUMIF(DB_Savings!$A:$A,A742,DB_Savings!$F:$F)),"")</f>
        <v/>
      </c>
      <c r="L742" t="str">
        <f>IFERROR(IF(A742="","",SUMIF(DB_Withdrawals!$A:$A,A742,DB_Withdrawals!$G:$G)),"")</f>
        <v/>
      </c>
      <c r="M742" t="str">
        <f>IFERROR(IF(A742="","",IFERROR(VALUE(H742),0)+IFERROR(SUMIF(DB_Savings!$A:$A,A742,DB_Savings!$F:$F),0)-IFERROR(SUMIF(DB_Withdrawals!$A:$A,A742,DB_Withdrawals!$G:$G),0)),"")</f>
        <v/>
      </c>
      <c r="N742" t="str">
        <f>IFERROR(IF(A742="","",MAX(0,M742-System_Config!$B$9)),"")</f>
        <v/>
      </c>
    </row>
    <row r="743" spans="1:14" ht="15" customHeight="1" x14ac:dyDescent="0.25">
      <c r="A743" t="str">
        <f>'NEW ACCOUNT'!A744</f>
        <v/>
      </c>
      <c r="B743" t="str">
        <f>IF('NEW ACCOUNT'!A744="","",'NEW ACCOUNT'!B744)</f>
        <v/>
      </c>
      <c r="C743" t="str">
        <f>IF('NEW ACCOUNT'!A744="","",'NEW ACCOUNT'!C744)</f>
        <v/>
      </c>
      <c r="D743" t="str">
        <f>IF('NEW ACCOUNT'!A744="","",'NEW ACCOUNT'!D744)</f>
        <v/>
      </c>
      <c r="E743" t="str">
        <f>IF('NEW ACCOUNT'!A744="","",'NEW ACCOUNT'!E744)</f>
        <v/>
      </c>
      <c r="F743" t="str">
        <f>IF('NEW ACCOUNT'!A744="","",'NEW ACCOUNT'!F744)</f>
        <v/>
      </c>
      <c r="G743" t="str">
        <f>IF('NEW ACCOUNT'!A744="","",'NEW ACCOUNT'!G744)</f>
        <v/>
      </c>
      <c r="H743" t="str">
        <f>IF('NEW ACCOUNT'!A744="","",'NEW ACCOUNT'!H744)</f>
        <v/>
      </c>
      <c r="I743" t="str">
        <f>IF('NEW ACCOUNT'!A744="","",'NEW ACCOUNT'!I744)</f>
        <v/>
      </c>
      <c r="J743" t="str">
        <f>IF('NEW ACCOUNT'!A744="","",'NEW ACCOUNT'!J744)</f>
        <v/>
      </c>
      <c r="K743" t="str">
        <f>IFERROR(IF(A743="","",SUMIF(DB_Savings!$A:$A,A743,DB_Savings!$F:$F)),"")</f>
        <v/>
      </c>
      <c r="L743" t="str">
        <f>IFERROR(IF(A743="","",SUMIF(DB_Withdrawals!$A:$A,A743,DB_Withdrawals!$G:$G)),"")</f>
        <v/>
      </c>
      <c r="M743" t="str">
        <f>IFERROR(IF(A743="","",IFERROR(VALUE(H743),0)+IFERROR(SUMIF(DB_Savings!$A:$A,A743,DB_Savings!$F:$F),0)-IFERROR(SUMIF(DB_Withdrawals!$A:$A,A743,DB_Withdrawals!$G:$G),0)),"")</f>
        <v/>
      </c>
      <c r="N743" t="str">
        <f>IFERROR(IF(A743="","",MAX(0,M743-System_Config!$B$9)),"")</f>
        <v/>
      </c>
    </row>
    <row r="744" spans="1:14" ht="15" customHeight="1" x14ac:dyDescent="0.25">
      <c r="A744" t="str">
        <f>'NEW ACCOUNT'!A745</f>
        <v/>
      </c>
      <c r="B744" t="str">
        <f>IF('NEW ACCOUNT'!A745="","",'NEW ACCOUNT'!B745)</f>
        <v/>
      </c>
      <c r="C744" t="str">
        <f>IF('NEW ACCOUNT'!A745="","",'NEW ACCOUNT'!C745)</f>
        <v/>
      </c>
      <c r="D744" t="str">
        <f>IF('NEW ACCOUNT'!A745="","",'NEW ACCOUNT'!D745)</f>
        <v/>
      </c>
      <c r="E744" t="str">
        <f>IF('NEW ACCOUNT'!A745="","",'NEW ACCOUNT'!E745)</f>
        <v/>
      </c>
      <c r="F744" t="str">
        <f>IF('NEW ACCOUNT'!A745="","",'NEW ACCOUNT'!F745)</f>
        <v/>
      </c>
      <c r="G744" t="str">
        <f>IF('NEW ACCOUNT'!A745="","",'NEW ACCOUNT'!G745)</f>
        <v/>
      </c>
      <c r="H744" t="str">
        <f>IF('NEW ACCOUNT'!A745="","",'NEW ACCOUNT'!H745)</f>
        <v/>
      </c>
      <c r="I744" t="str">
        <f>IF('NEW ACCOUNT'!A745="","",'NEW ACCOUNT'!I745)</f>
        <v/>
      </c>
      <c r="J744" t="str">
        <f>IF('NEW ACCOUNT'!A745="","",'NEW ACCOUNT'!J745)</f>
        <v/>
      </c>
      <c r="K744" t="str">
        <f>IFERROR(IF(A744="","",SUMIF(DB_Savings!$A:$A,A744,DB_Savings!$F:$F)),"")</f>
        <v/>
      </c>
      <c r="L744" t="str">
        <f>IFERROR(IF(A744="","",SUMIF(DB_Withdrawals!$A:$A,A744,DB_Withdrawals!$G:$G)),"")</f>
        <v/>
      </c>
      <c r="M744" t="str">
        <f>IFERROR(IF(A744="","",IFERROR(VALUE(H744),0)+IFERROR(SUMIF(DB_Savings!$A:$A,A744,DB_Savings!$F:$F),0)-IFERROR(SUMIF(DB_Withdrawals!$A:$A,A744,DB_Withdrawals!$G:$G),0)),"")</f>
        <v/>
      </c>
      <c r="N744" t="str">
        <f>IFERROR(IF(A744="","",MAX(0,M744-System_Config!$B$9)),"")</f>
        <v/>
      </c>
    </row>
    <row r="745" spans="1:14" ht="15" customHeight="1" x14ac:dyDescent="0.25">
      <c r="A745" t="str">
        <f>'NEW ACCOUNT'!A746</f>
        <v/>
      </c>
      <c r="B745" t="str">
        <f>IF('NEW ACCOUNT'!A746="","",'NEW ACCOUNT'!B746)</f>
        <v/>
      </c>
      <c r="C745" t="str">
        <f>IF('NEW ACCOUNT'!A746="","",'NEW ACCOUNT'!C746)</f>
        <v/>
      </c>
      <c r="D745" t="str">
        <f>IF('NEW ACCOUNT'!A746="","",'NEW ACCOUNT'!D746)</f>
        <v/>
      </c>
      <c r="E745" t="str">
        <f>IF('NEW ACCOUNT'!A746="","",'NEW ACCOUNT'!E746)</f>
        <v/>
      </c>
      <c r="F745" t="str">
        <f>IF('NEW ACCOUNT'!A746="","",'NEW ACCOUNT'!F746)</f>
        <v/>
      </c>
      <c r="G745" t="str">
        <f>IF('NEW ACCOUNT'!A746="","",'NEW ACCOUNT'!G746)</f>
        <v/>
      </c>
      <c r="H745" t="str">
        <f>IF('NEW ACCOUNT'!A746="","",'NEW ACCOUNT'!H746)</f>
        <v/>
      </c>
      <c r="I745" t="str">
        <f>IF('NEW ACCOUNT'!A746="","",'NEW ACCOUNT'!I746)</f>
        <v/>
      </c>
      <c r="J745" t="str">
        <f>IF('NEW ACCOUNT'!A746="","",'NEW ACCOUNT'!J746)</f>
        <v/>
      </c>
      <c r="K745" t="str">
        <f>IFERROR(IF(A745="","",SUMIF(DB_Savings!$A:$A,A745,DB_Savings!$F:$F)),"")</f>
        <v/>
      </c>
      <c r="L745" t="str">
        <f>IFERROR(IF(A745="","",SUMIF(DB_Withdrawals!$A:$A,A745,DB_Withdrawals!$G:$G)),"")</f>
        <v/>
      </c>
      <c r="M745" t="str">
        <f>IFERROR(IF(A745="","",IFERROR(VALUE(H745),0)+IFERROR(SUMIF(DB_Savings!$A:$A,A745,DB_Savings!$F:$F),0)-IFERROR(SUMIF(DB_Withdrawals!$A:$A,A745,DB_Withdrawals!$G:$G),0)),"")</f>
        <v/>
      </c>
      <c r="N745" t="str">
        <f>IFERROR(IF(A745="","",MAX(0,M745-System_Config!$B$9)),"")</f>
        <v/>
      </c>
    </row>
    <row r="746" spans="1:14" ht="15" customHeight="1" x14ac:dyDescent="0.25">
      <c r="A746" t="str">
        <f>'NEW ACCOUNT'!A747</f>
        <v/>
      </c>
      <c r="B746" t="str">
        <f>IF('NEW ACCOUNT'!A747="","",'NEW ACCOUNT'!B747)</f>
        <v/>
      </c>
      <c r="C746" t="str">
        <f>IF('NEW ACCOUNT'!A747="","",'NEW ACCOUNT'!C747)</f>
        <v/>
      </c>
      <c r="D746" t="str">
        <f>IF('NEW ACCOUNT'!A747="","",'NEW ACCOUNT'!D747)</f>
        <v/>
      </c>
      <c r="E746" t="str">
        <f>IF('NEW ACCOUNT'!A747="","",'NEW ACCOUNT'!E747)</f>
        <v/>
      </c>
      <c r="F746" t="str">
        <f>IF('NEW ACCOUNT'!A747="","",'NEW ACCOUNT'!F747)</f>
        <v/>
      </c>
      <c r="G746" t="str">
        <f>IF('NEW ACCOUNT'!A747="","",'NEW ACCOUNT'!G747)</f>
        <v/>
      </c>
      <c r="H746" t="str">
        <f>IF('NEW ACCOUNT'!A747="","",'NEW ACCOUNT'!H747)</f>
        <v/>
      </c>
      <c r="I746" t="str">
        <f>IF('NEW ACCOUNT'!A747="","",'NEW ACCOUNT'!I747)</f>
        <v/>
      </c>
      <c r="J746" t="str">
        <f>IF('NEW ACCOUNT'!A747="","",'NEW ACCOUNT'!J747)</f>
        <v/>
      </c>
      <c r="K746" t="str">
        <f>IFERROR(IF(A746="","",SUMIF(DB_Savings!$A:$A,A746,DB_Savings!$F:$F)),"")</f>
        <v/>
      </c>
      <c r="L746" t="str">
        <f>IFERROR(IF(A746="","",SUMIF(DB_Withdrawals!$A:$A,A746,DB_Withdrawals!$G:$G)),"")</f>
        <v/>
      </c>
      <c r="M746" t="str">
        <f>IFERROR(IF(A746="","",IFERROR(VALUE(H746),0)+IFERROR(SUMIF(DB_Savings!$A:$A,A746,DB_Savings!$F:$F),0)-IFERROR(SUMIF(DB_Withdrawals!$A:$A,A746,DB_Withdrawals!$G:$G),0)),"")</f>
        <v/>
      </c>
      <c r="N746" t="str">
        <f>IFERROR(IF(A746="","",MAX(0,M746-System_Config!$B$9)),"")</f>
        <v/>
      </c>
    </row>
    <row r="747" spans="1:14" ht="15" customHeight="1" x14ac:dyDescent="0.25">
      <c r="A747" t="str">
        <f>'NEW ACCOUNT'!A748</f>
        <v/>
      </c>
      <c r="B747" t="str">
        <f>IF('NEW ACCOUNT'!A748="","",'NEW ACCOUNT'!B748)</f>
        <v/>
      </c>
      <c r="C747" t="str">
        <f>IF('NEW ACCOUNT'!A748="","",'NEW ACCOUNT'!C748)</f>
        <v/>
      </c>
      <c r="D747" t="str">
        <f>IF('NEW ACCOUNT'!A748="","",'NEW ACCOUNT'!D748)</f>
        <v/>
      </c>
      <c r="E747" t="str">
        <f>IF('NEW ACCOUNT'!A748="","",'NEW ACCOUNT'!E748)</f>
        <v/>
      </c>
      <c r="F747" t="str">
        <f>IF('NEW ACCOUNT'!A748="","",'NEW ACCOUNT'!F748)</f>
        <v/>
      </c>
      <c r="G747" t="str">
        <f>IF('NEW ACCOUNT'!A748="","",'NEW ACCOUNT'!G748)</f>
        <v/>
      </c>
      <c r="H747" t="str">
        <f>IF('NEW ACCOUNT'!A748="","",'NEW ACCOUNT'!H748)</f>
        <v/>
      </c>
      <c r="I747" t="str">
        <f>IF('NEW ACCOUNT'!A748="","",'NEW ACCOUNT'!I748)</f>
        <v/>
      </c>
      <c r="J747" t="str">
        <f>IF('NEW ACCOUNT'!A748="","",'NEW ACCOUNT'!J748)</f>
        <v/>
      </c>
      <c r="K747" t="str">
        <f>IFERROR(IF(A747="","",SUMIF(DB_Savings!$A:$A,A747,DB_Savings!$F:$F)),"")</f>
        <v/>
      </c>
      <c r="L747" t="str">
        <f>IFERROR(IF(A747="","",SUMIF(DB_Withdrawals!$A:$A,A747,DB_Withdrawals!$G:$G)),"")</f>
        <v/>
      </c>
      <c r="M747" t="str">
        <f>IFERROR(IF(A747="","",IFERROR(VALUE(H747),0)+IFERROR(SUMIF(DB_Savings!$A:$A,A747,DB_Savings!$F:$F),0)-IFERROR(SUMIF(DB_Withdrawals!$A:$A,A747,DB_Withdrawals!$G:$G),0)),"")</f>
        <v/>
      </c>
      <c r="N747" t="str">
        <f>IFERROR(IF(A747="","",MAX(0,M747-System_Config!$B$9)),"")</f>
        <v/>
      </c>
    </row>
    <row r="748" spans="1:14" ht="15" customHeight="1" x14ac:dyDescent="0.25">
      <c r="A748" t="str">
        <f>'NEW ACCOUNT'!A749</f>
        <v/>
      </c>
      <c r="B748" t="str">
        <f>IF('NEW ACCOUNT'!A749="","",'NEW ACCOUNT'!B749)</f>
        <v/>
      </c>
      <c r="C748" t="str">
        <f>IF('NEW ACCOUNT'!A749="","",'NEW ACCOUNT'!C749)</f>
        <v/>
      </c>
      <c r="D748" t="str">
        <f>IF('NEW ACCOUNT'!A749="","",'NEW ACCOUNT'!D749)</f>
        <v/>
      </c>
      <c r="E748" t="str">
        <f>IF('NEW ACCOUNT'!A749="","",'NEW ACCOUNT'!E749)</f>
        <v/>
      </c>
      <c r="F748" t="str">
        <f>IF('NEW ACCOUNT'!A749="","",'NEW ACCOUNT'!F749)</f>
        <v/>
      </c>
      <c r="G748" t="str">
        <f>IF('NEW ACCOUNT'!A749="","",'NEW ACCOUNT'!G749)</f>
        <v/>
      </c>
      <c r="H748" t="str">
        <f>IF('NEW ACCOUNT'!A749="","",'NEW ACCOUNT'!H749)</f>
        <v/>
      </c>
      <c r="I748" t="str">
        <f>IF('NEW ACCOUNT'!A749="","",'NEW ACCOUNT'!I749)</f>
        <v/>
      </c>
      <c r="J748" t="str">
        <f>IF('NEW ACCOUNT'!A749="","",'NEW ACCOUNT'!J749)</f>
        <v/>
      </c>
      <c r="K748" t="str">
        <f>IFERROR(IF(A748="","",SUMIF(DB_Savings!$A:$A,A748,DB_Savings!$F:$F)),"")</f>
        <v/>
      </c>
      <c r="L748" t="str">
        <f>IFERROR(IF(A748="","",SUMIF(DB_Withdrawals!$A:$A,A748,DB_Withdrawals!$G:$G)),"")</f>
        <v/>
      </c>
      <c r="M748" t="str">
        <f>IFERROR(IF(A748="","",IFERROR(VALUE(H748),0)+IFERROR(SUMIF(DB_Savings!$A:$A,A748,DB_Savings!$F:$F),0)-IFERROR(SUMIF(DB_Withdrawals!$A:$A,A748,DB_Withdrawals!$G:$G),0)),"")</f>
        <v/>
      </c>
      <c r="N748" t="str">
        <f>IFERROR(IF(A748="","",MAX(0,M748-System_Config!$B$9)),"")</f>
        <v/>
      </c>
    </row>
    <row r="749" spans="1:14" ht="15" customHeight="1" x14ac:dyDescent="0.25">
      <c r="A749" t="str">
        <f>'NEW ACCOUNT'!A750</f>
        <v/>
      </c>
      <c r="B749" t="str">
        <f>IF('NEW ACCOUNT'!A750="","",'NEW ACCOUNT'!B750)</f>
        <v/>
      </c>
      <c r="C749" t="str">
        <f>IF('NEW ACCOUNT'!A750="","",'NEW ACCOUNT'!C750)</f>
        <v/>
      </c>
      <c r="D749" t="str">
        <f>IF('NEW ACCOUNT'!A750="","",'NEW ACCOUNT'!D750)</f>
        <v/>
      </c>
      <c r="E749" t="str">
        <f>IF('NEW ACCOUNT'!A750="","",'NEW ACCOUNT'!E750)</f>
        <v/>
      </c>
      <c r="F749" t="str">
        <f>IF('NEW ACCOUNT'!A750="","",'NEW ACCOUNT'!F750)</f>
        <v/>
      </c>
      <c r="G749" t="str">
        <f>IF('NEW ACCOUNT'!A750="","",'NEW ACCOUNT'!G750)</f>
        <v/>
      </c>
      <c r="H749" t="str">
        <f>IF('NEW ACCOUNT'!A750="","",'NEW ACCOUNT'!H750)</f>
        <v/>
      </c>
      <c r="I749" t="str">
        <f>IF('NEW ACCOUNT'!A750="","",'NEW ACCOUNT'!I750)</f>
        <v/>
      </c>
      <c r="J749" t="str">
        <f>IF('NEW ACCOUNT'!A750="","",'NEW ACCOUNT'!J750)</f>
        <v/>
      </c>
      <c r="K749" t="str">
        <f>IFERROR(IF(A749="","",SUMIF(DB_Savings!$A:$A,A749,DB_Savings!$F:$F)),"")</f>
        <v/>
      </c>
      <c r="L749" t="str">
        <f>IFERROR(IF(A749="","",SUMIF(DB_Withdrawals!$A:$A,A749,DB_Withdrawals!$G:$G)),"")</f>
        <v/>
      </c>
      <c r="M749" t="str">
        <f>IFERROR(IF(A749="","",IFERROR(VALUE(H749),0)+IFERROR(SUMIF(DB_Savings!$A:$A,A749,DB_Savings!$F:$F),0)-IFERROR(SUMIF(DB_Withdrawals!$A:$A,A749,DB_Withdrawals!$G:$G),0)),"")</f>
        <v/>
      </c>
      <c r="N749" t="str">
        <f>IFERROR(IF(A749="","",MAX(0,M749-System_Config!$B$9)),"")</f>
        <v/>
      </c>
    </row>
    <row r="750" spans="1:14" ht="15" customHeight="1" x14ac:dyDescent="0.25">
      <c r="A750" t="str">
        <f>'NEW ACCOUNT'!A751</f>
        <v/>
      </c>
      <c r="B750" t="str">
        <f>IF('NEW ACCOUNT'!A751="","",'NEW ACCOUNT'!B751)</f>
        <v/>
      </c>
      <c r="C750" t="str">
        <f>IF('NEW ACCOUNT'!A751="","",'NEW ACCOUNT'!C751)</f>
        <v/>
      </c>
      <c r="D750" t="str">
        <f>IF('NEW ACCOUNT'!A751="","",'NEW ACCOUNT'!D751)</f>
        <v/>
      </c>
      <c r="E750" t="str">
        <f>IF('NEW ACCOUNT'!A751="","",'NEW ACCOUNT'!E751)</f>
        <v/>
      </c>
      <c r="F750" t="str">
        <f>IF('NEW ACCOUNT'!A751="","",'NEW ACCOUNT'!F751)</f>
        <v/>
      </c>
      <c r="G750" t="str">
        <f>IF('NEW ACCOUNT'!A751="","",'NEW ACCOUNT'!G751)</f>
        <v/>
      </c>
      <c r="H750" t="str">
        <f>IF('NEW ACCOUNT'!A751="","",'NEW ACCOUNT'!H751)</f>
        <v/>
      </c>
      <c r="I750" t="str">
        <f>IF('NEW ACCOUNT'!A751="","",'NEW ACCOUNT'!I751)</f>
        <v/>
      </c>
      <c r="J750" t="str">
        <f>IF('NEW ACCOUNT'!A751="","",'NEW ACCOUNT'!J751)</f>
        <v/>
      </c>
      <c r="K750" t="str">
        <f>IFERROR(IF(A750="","",SUMIF(DB_Savings!$A:$A,A750,DB_Savings!$F:$F)),"")</f>
        <v/>
      </c>
      <c r="L750" t="str">
        <f>IFERROR(IF(A750="","",SUMIF(DB_Withdrawals!$A:$A,A750,DB_Withdrawals!$G:$G)),"")</f>
        <v/>
      </c>
      <c r="M750" t="str">
        <f>IFERROR(IF(A750="","",IFERROR(VALUE(H750),0)+IFERROR(SUMIF(DB_Savings!$A:$A,A750,DB_Savings!$F:$F),0)-IFERROR(SUMIF(DB_Withdrawals!$A:$A,A750,DB_Withdrawals!$G:$G),0)),"")</f>
        <v/>
      </c>
      <c r="N750" t="str">
        <f>IFERROR(IF(A750="","",MAX(0,M750-System_Config!$B$9)),"")</f>
        <v/>
      </c>
    </row>
    <row r="751" spans="1:14" ht="15" customHeight="1" x14ac:dyDescent="0.25">
      <c r="A751" t="str">
        <f>'NEW ACCOUNT'!A752</f>
        <v/>
      </c>
      <c r="B751" t="str">
        <f>IF('NEW ACCOUNT'!A752="","",'NEW ACCOUNT'!B752)</f>
        <v/>
      </c>
      <c r="C751" t="str">
        <f>IF('NEW ACCOUNT'!A752="","",'NEW ACCOUNT'!C752)</f>
        <v/>
      </c>
      <c r="D751" t="str">
        <f>IF('NEW ACCOUNT'!A752="","",'NEW ACCOUNT'!D752)</f>
        <v/>
      </c>
      <c r="E751" t="str">
        <f>IF('NEW ACCOUNT'!A752="","",'NEW ACCOUNT'!E752)</f>
        <v/>
      </c>
      <c r="F751" t="str">
        <f>IF('NEW ACCOUNT'!A752="","",'NEW ACCOUNT'!F752)</f>
        <v/>
      </c>
      <c r="G751" t="str">
        <f>IF('NEW ACCOUNT'!A752="","",'NEW ACCOUNT'!G752)</f>
        <v/>
      </c>
      <c r="H751" t="str">
        <f>IF('NEW ACCOUNT'!A752="","",'NEW ACCOUNT'!H752)</f>
        <v/>
      </c>
      <c r="I751" t="str">
        <f>IF('NEW ACCOUNT'!A752="","",'NEW ACCOUNT'!I752)</f>
        <v/>
      </c>
      <c r="J751" t="str">
        <f>IF('NEW ACCOUNT'!A752="","",'NEW ACCOUNT'!J752)</f>
        <v/>
      </c>
      <c r="K751" t="str">
        <f>IFERROR(IF(A751="","",SUMIF(DB_Savings!$A:$A,A751,DB_Savings!$F:$F)),"")</f>
        <v/>
      </c>
      <c r="L751" t="str">
        <f>IFERROR(IF(A751="","",SUMIF(DB_Withdrawals!$A:$A,A751,DB_Withdrawals!$G:$G)),"")</f>
        <v/>
      </c>
      <c r="M751" t="str">
        <f>IFERROR(IF(A751="","",IFERROR(VALUE(H751),0)+IFERROR(SUMIF(DB_Savings!$A:$A,A751,DB_Savings!$F:$F),0)-IFERROR(SUMIF(DB_Withdrawals!$A:$A,A751,DB_Withdrawals!$G:$G),0)),"")</f>
        <v/>
      </c>
      <c r="N751" t="str">
        <f>IFERROR(IF(A751="","",MAX(0,M751-System_Config!$B$9)),"")</f>
        <v/>
      </c>
    </row>
    <row r="752" spans="1:14" ht="15" customHeight="1" x14ac:dyDescent="0.25">
      <c r="A752" t="str">
        <f>'NEW ACCOUNT'!A753</f>
        <v/>
      </c>
      <c r="B752" t="str">
        <f>IF('NEW ACCOUNT'!A753="","",'NEW ACCOUNT'!B753)</f>
        <v/>
      </c>
      <c r="C752" t="str">
        <f>IF('NEW ACCOUNT'!A753="","",'NEW ACCOUNT'!C753)</f>
        <v/>
      </c>
      <c r="D752" t="str">
        <f>IF('NEW ACCOUNT'!A753="","",'NEW ACCOUNT'!D753)</f>
        <v/>
      </c>
      <c r="E752" t="str">
        <f>IF('NEW ACCOUNT'!A753="","",'NEW ACCOUNT'!E753)</f>
        <v/>
      </c>
      <c r="F752" t="str">
        <f>IF('NEW ACCOUNT'!A753="","",'NEW ACCOUNT'!F753)</f>
        <v/>
      </c>
      <c r="G752" t="str">
        <f>IF('NEW ACCOUNT'!A753="","",'NEW ACCOUNT'!G753)</f>
        <v/>
      </c>
      <c r="H752" t="str">
        <f>IF('NEW ACCOUNT'!A753="","",'NEW ACCOUNT'!H753)</f>
        <v/>
      </c>
      <c r="I752" t="str">
        <f>IF('NEW ACCOUNT'!A753="","",'NEW ACCOUNT'!I753)</f>
        <v/>
      </c>
      <c r="J752" t="str">
        <f>IF('NEW ACCOUNT'!A753="","",'NEW ACCOUNT'!J753)</f>
        <v/>
      </c>
      <c r="K752" t="str">
        <f>IFERROR(IF(A752="","",SUMIF(DB_Savings!$A:$A,A752,DB_Savings!$F:$F)),"")</f>
        <v/>
      </c>
      <c r="L752" t="str">
        <f>IFERROR(IF(A752="","",SUMIF(DB_Withdrawals!$A:$A,A752,DB_Withdrawals!$G:$G)),"")</f>
        <v/>
      </c>
      <c r="M752" t="str">
        <f>IFERROR(IF(A752="","",IFERROR(VALUE(H752),0)+IFERROR(SUMIF(DB_Savings!$A:$A,A752,DB_Savings!$F:$F),0)-IFERROR(SUMIF(DB_Withdrawals!$A:$A,A752,DB_Withdrawals!$G:$G),0)),"")</f>
        <v/>
      </c>
      <c r="N752" t="str">
        <f>IFERROR(IF(A752="","",MAX(0,M752-System_Config!$B$9)),"")</f>
        <v/>
      </c>
    </row>
    <row r="753" spans="1:14" ht="15" customHeight="1" x14ac:dyDescent="0.25">
      <c r="A753" t="str">
        <f>'NEW ACCOUNT'!A754</f>
        <v/>
      </c>
      <c r="B753" t="str">
        <f>IF('NEW ACCOUNT'!A754="","",'NEW ACCOUNT'!B754)</f>
        <v/>
      </c>
      <c r="C753" t="str">
        <f>IF('NEW ACCOUNT'!A754="","",'NEW ACCOUNT'!C754)</f>
        <v/>
      </c>
      <c r="D753" t="str">
        <f>IF('NEW ACCOUNT'!A754="","",'NEW ACCOUNT'!D754)</f>
        <v/>
      </c>
      <c r="E753" t="str">
        <f>IF('NEW ACCOUNT'!A754="","",'NEW ACCOUNT'!E754)</f>
        <v/>
      </c>
      <c r="F753" t="str">
        <f>IF('NEW ACCOUNT'!A754="","",'NEW ACCOUNT'!F754)</f>
        <v/>
      </c>
      <c r="G753" t="str">
        <f>IF('NEW ACCOUNT'!A754="","",'NEW ACCOUNT'!G754)</f>
        <v/>
      </c>
      <c r="H753" t="str">
        <f>IF('NEW ACCOUNT'!A754="","",'NEW ACCOUNT'!H754)</f>
        <v/>
      </c>
      <c r="I753" t="str">
        <f>IF('NEW ACCOUNT'!A754="","",'NEW ACCOUNT'!I754)</f>
        <v/>
      </c>
      <c r="J753" t="str">
        <f>IF('NEW ACCOUNT'!A754="","",'NEW ACCOUNT'!J754)</f>
        <v/>
      </c>
      <c r="K753" t="str">
        <f>IFERROR(IF(A753="","",SUMIF(DB_Savings!$A:$A,A753,DB_Savings!$F:$F)),"")</f>
        <v/>
      </c>
      <c r="L753" t="str">
        <f>IFERROR(IF(A753="","",SUMIF(DB_Withdrawals!$A:$A,A753,DB_Withdrawals!$G:$G)),"")</f>
        <v/>
      </c>
      <c r="M753" t="str">
        <f>IFERROR(IF(A753="","",IFERROR(VALUE(H753),0)+IFERROR(SUMIF(DB_Savings!$A:$A,A753,DB_Savings!$F:$F),0)-IFERROR(SUMIF(DB_Withdrawals!$A:$A,A753,DB_Withdrawals!$G:$G),0)),"")</f>
        <v/>
      </c>
      <c r="N753" t="str">
        <f>IFERROR(IF(A753="","",MAX(0,M753-System_Config!$B$9)),"")</f>
        <v/>
      </c>
    </row>
    <row r="754" spans="1:14" ht="15" customHeight="1" x14ac:dyDescent="0.25">
      <c r="A754" t="str">
        <f>'NEW ACCOUNT'!A755</f>
        <v/>
      </c>
      <c r="B754" t="str">
        <f>IF('NEW ACCOUNT'!A755="","",'NEW ACCOUNT'!B755)</f>
        <v/>
      </c>
      <c r="C754" t="str">
        <f>IF('NEW ACCOUNT'!A755="","",'NEW ACCOUNT'!C755)</f>
        <v/>
      </c>
      <c r="D754" t="str">
        <f>IF('NEW ACCOUNT'!A755="","",'NEW ACCOUNT'!D755)</f>
        <v/>
      </c>
      <c r="E754" t="str">
        <f>IF('NEW ACCOUNT'!A755="","",'NEW ACCOUNT'!E755)</f>
        <v/>
      </c>
      <c r="F754" t="str">
        <f>IF('NEW ACCOUNT'!A755="","",'NEW ACCOUNT'!F755)</f>
        <v/>
      </c>
      <c r="G754" t="str">
        <f>IF('NEW ACCOUNT'!A755="","",'NEW ACCOUNT'!G755)</f>
        <v/>
      </c>
      <c r="H754" t="str">
        <f>IF('NEW ACCOUNT'!A755="","",'NEW ACCOUNT'!H755)</f>
        <v/>
      </c>
      <c r="I754" t="str">
        <f>IF('NEW ACCOUNT'!A755="","",'NEW ACCOUNT'!I755)</f>
        <v/>
      </c>
      <c r="J754" t="str">
        <f>IF('NEW ACCOUNT'!A755="","",'NEW ACCOUNT'!J755)</f>
        <v/>
      </c>
      <c r="K754" t="str">
        <f>IFERROR(IF(A754="","",SUMIF(DB_Savings!$A:$A,A754,DB_Savings!$F:$F)),"")</f>
        <v/>
      </c>
      <c r="L754" t="str">
        <f>IFERROR(IF(A754="","",SUMIF(DB_Withdrawals!$A:$A,A754,DB_Withdrawals!$G:$G)),"")</f>
        <v/>
      </c>
      <c r="M754" t="str">
        <f>IFERROR(IF(A754="","",IFERROR(VALUE(H754),0)+IFERROR(SUMIF(DB_Savings!$A:$A,A754,DB_Savings!$F:$F),0)-IFERROR(SUMIF(DB_Withdrawals!$A:$A,A754,DB_Withdrawals!$G:$G),0)),"")</f>
        <v/>
      </c>
      <c r="N754" t="str">
        <f>IFERROR(IF(A754="","",MAX(0,M754-System_Config!$B$9)),"")</f>
        <v/>
      </c>
    </row>
    <row r="755" spans="1:14" ht="15" customHeight="1" x14ac:dyDescent="0.25">
      <c r="A755" t="str">
        <f>'NEW ACCOUNT'!A756</f>
        <v/>
      </c>
      <c r="B755" t="str">
        <f>IF('NEW ACCOUNT'!A756="","",'NEW ACCOUNT'!B756)</f>
        <v/>
      </c>
      <c r="C755" t="str">
        <f>IF('NEW ACCOUNT'!A756="","",'NEW ACCOUNT'!C756)</f>
        <v/>
      </c>
      <c r="D755" t="str">
        <f>IF('NEW ACCOUNT'!A756="","",'NEW ACCOUNT'!D756)</f>
        <v/>
      </c>
      <c r="E755" t="str">
        <f>IF('NEW ACCOUNT'!A756="","",'NEW ACCOUNT'!E756)</f>
        <v/>
      </c>
      <c r="F755" t="str">
        <f>IF('NEW ACCOUNT'!A756="","",'NEW ACCOUNT'!F756)</f>
        <v/>
      </c>
      <c r="G755" t="str">
        <f>IF('NEW ACCOUNT'!A756="","",'NEW ACCOUNT'!G756)</f>
        <v/>
      </c>
      <c r="H755" t="str">
        <f>IF('NEW ACCOUNT'!A756="","",'NEW ACCOUNT'!H756)</f>
        <v/>
      </c>
      <c r="I755" t="str">
        <f>IF('NEW ACCOUNT'!A756="","",'NEW ACCOUNT'!I756)</f>
        <v/>
      </c>
      <c r="J755" t="str">
        <f>IF('NEW ACCOUNT'!A756="","",'NEW ACCOUNT'!J756)</f>
        <v/>
      </c>
      <c r="K755" t="str">
        <f>IFERROR(IF(A755="","",SUMIF(DB_Savings!$A:$A,A755,DB_Savings!$F:$F)),"")</f>
        <v/>
      </c>
      <c r="L755" t="str">
        <f>IFERROR(IF(A755="","",SUMIF(DB_Withdrawals!$A:$A,A755,DB_Withdrawals!$G:$G)),"")</f>
        <v/>
      </c>
      <c r="M755" t="str">
        <f>IFERROR(IF(A755="","",IFERROR(VALUE(H755),0)+IFERROR(SUMIF(DB_Savings!$A:$A,A755,DB_Savings!$F:$F),0)-IFERROR(SUMIF(DB_Withdrawals!$A:$A,A755,DB_Withdrawals!$G:$G),0)),"")</f>
        <v/>
      </c>
      <c r="N755" t="str">
        <f>IFERROR(IF(A755="","",MAX(0,M755-System_Config!$B$9)),"")</f>
        <v/>
      </c>
    </row>
    <row r="756" spans="1:14" ht="15" customHeight="1" x14ac:dyDescent="0.25">
      <c r="A756" t="str">
        <f>'NEW ACCOUNT'!A757</f>
        <v/>
      </c>
      <c r="B756" t="str">
        <f>IF('NEW ACCOUNT'!A757="","",'NEW ACCOUNT'!B757)</f>
        <v/>
      </c>
      <c r="C756" t="str">
        <f>IF('NEW ACCOUNT'!A757="","",'NEW ACCOUNT'!C757)</f>
        <v/>
      </c>
      <c r="D756" t="str">
        <f>IF('NEW ACCOUNT'!A757="","",'NEW ACCOUNT'!D757)</f>
        <v/>
      </c>
      <c r="E756" t="str">
        <f>IF('NEW ACCOUNT'!A757="","",'NEW ACCOUNT'!E757)</f>
        <v/>
      </c>
      <c r="F756" t="str">
        <f>IF('NEW ACCOUNT'!A757="","",'NEW ACCOUNT'!F757)</f>
        <v/>
      </c>
      <c r="G756" t="str">
        <f>IF('NEW ACCOUNT'!A757="","",'NEW ACCOUNT'!G757)</f>
        <v/>
      </c>
      <c r="H756" t="str">
        <f>IF('NEW ACCOUNT'!A757="","",'NEW ACCOUNT'!H757)</f>
        <v/>
      </c>
      <c r="I756" t="str">
        <f>IF('NEW ACCOUNT'!A757="","",'NEW ACCOUNT'!I757)</f>
        <v/>
      </c>
      <c r="J756" t="str">
        <f>IF('NEW ACCOUNT'!A757="","",'NEW ACCOUNT'!J757)</f>
        <v/>
      </c>
      <c r="K756" t="str">
        <f>IFERROR(IF(A756="","",SUMIF(DB_Savings!$A:$A,A756,DB_Savings!$F:$F)),"")</f>
        <v/>
      </c>
      <c r="L756" t="str">
        <f>IFERROR(IF(A756="","",SUMIF(DB_Withdrawals!$A:$A,A756,DB_Withdrawals!$G:$G)),"")</f>
        <v/>
      </c>
      <c r="M756" t="str">
        <f>IFERROR(IF(A756="","",IFERROR(VALUE(H756),0)+IFERROR(SUMIF(DB_Savings!$A:$A,A756,DB_Savings!$F:$F),0)-IFERROR(SUMIF(DB_Withdrawals!$A:$A,A756,DB_Withdrawals!$G:$G),0)),"")</f>
        <v/>
      </c>
      <c r="N756" t="str">
        <f>IFERROR(IF(A756="","",MAX(0,M756-System_Config!$B$9)),"")</f>
        <v/>
      </c>
    </row>
    <row r="757" spans="1:14" ht="15" customHeight="1" x14ac:dyDescent="0.25">
      <c r="A757" t="str">
        <f>'NEW ACCOUNT'!A758</f>
        <v/>
      </c>
      <c r="B757" t="str">
        <f>IF('NEW ACCOUNT'!A758="","",'NEW ACCOUNT'!B758)</f>
        <v/>
      </c>
      <c r="C757" t="str">
        <f>IF('NEW ACCOUNT'!A758="","",'NEW ACCOUNT'!C758)</f>
        <v/>
      </c>
      <c r="D757" t="str">
        <f>IF('NEW ACCOUNT'!A758="","",'NEW ACCOUNT'!D758)</f>
        <v/>
      </c>
      <c r="E757" t="str">
        <f>IF('NEW ACCOUNT'!A758="","",'NEW ACCOUNT'!E758)</f>
        <v/>
      </c>
      <c r="F757" t="str">
        <f>IF('NEW ACCOUNT'!A758="","",'NEW ACCOUNT'!F758)</f>
        <v/>
      </c>
      <c r="G757" t="str">
        <f>IF('NEW ACCOUNT'!A758="","",'NEW ACCOUNT'!G758)</f>
        <v/>
      </c>
      <c r="H757" t="str">
        <f>IF('NEW ACCOUNT'!A758="","",'NEW ACCOUNT'!H758)</f>
        <v/>
      </c>
      <c r="I757" t="str">
        <f>IF('NEW ACCOUNT'!A758="","",'NEW ACCOUNT'!I758)</f>
        <v/>
      </c>
      <c r="J757" t="str">
        <f>IF('NEW ACCOUNT'!A758="","",'NEW ACCOUNT'!J758)</f>
        <v/>
      </c>
      <c r="K757" t="str">
        <f>IFERROR(IF(A757="","",SUMIF(DB_Savings!$A:$A,A757,DB_Savings!$F:$F)),"")</f>
        <v/>
      </c>
      <c r="L757" t="str">
        <f>IFERROR(IF(A757="","",SUMIF(DB_Withdrawals!$A:$A,A757,DB_Withdrawals!$G:$G)),"")</f>
        <v/>
      </c>
      <c r="M757" t="str">
        <f>IFERROR(IF(A757="","",IFERROR(VALUE(H757),0)+IFERROR(SUMIF(DB_Savings!$A:$A,A757,DB_Savings!$F:$F),0)-IFERROR(SUMIF(DB_Withdrawals!$A:$A,A757,DB_Withdrawals!$G:$G),0)),"")</f>
        <v/>
      </c>
      <c r="N757" t="str">
        <f>IFERROR(IF(A757="","",MAX(0,M757-System_Config!$B$9)),"")</f>
        <v/>
      </c>
    </row>
    <row r="758" spans="1:14" ht="15" customHeight="1" x14ac:dyDescent="0.25">
      <c r="A758" t="str">
        <f>'NEW ACCOUNT'!A759</f>
        <v/>
      </c>
      <c r="B758" t="str">
        <f>IF('NEW ACCOUNT'!A759="","",'NEW ACCOUNT'!B759)</f>
        <v/>
      </c>
      <c r="C758" t="str">
        <f>IF('NEW ACCOUNT'!A759="","",'NEW ACCOUNT'!C759)</f>
        <v/>
      </c>
      <c r="D758" t="str">
        <f>IF('NEW ACCOUNT'!A759="","",'NEW ACCOUNT'!D759)</f>
        <v/>
      </c>
      <c r="E758" t="str">
        <f>IF('NEW ACCOUNT'!A759="","",'NEW ACCOUNT'!E759)</f>
        <v/>
      </c>
      <c r="F758" t="str">
        <f>IF('NEW ACCOUNT'!A759="","",'NEW ACCOUNT'!F759)</f>
        <v/>
      </c>
      <c r="G758" t="str">
        <f>IF('NEW ACCOUNT'!A759="","",'NEW ACCOUNT'!G759)</f>
        <v/>
      </c>
      <c r="H758" t="str">
        <f>IF('NEW ACCOUNT'!A759="","",'NEW ACCOUNT'!H759)</f>
        <v/>
      </c>
      <c r="I758" t="str">
        <f>IF('NEW ACCOUNT'!A759="","",'NEW ACCOUNT'!I759)</f>
        <v/>
      </c>
      <c r="J758" t="str">
        <f>IF('NEW ACCOUNT'!A759="","",'NEW ACCOUNT'!J759)</f>
        <v/>
      </c>
      <c r="K758" t="str">
        <f>IFERROR(IF(A758="","",SUMIF(DB_Savings!$A:$A,A758,DB_Savings!$F:$F)),"")</f>
        <v/>
      </c>
      <c r="L758" t="str">
        <f>IFERROR(IF(A758="","",SUMIF(DB_Withdrawals!$A:$A,A758,DB_Withdrawals!$G:$G)),"")</f>
        <v/>
      </c>
      <c r="M758" t="str">
        <f>IFERROR(IF(A758="","",IFERROR(VALUE(H758),0)+IFERROR(SUMIF(DB_Savings!$A:$A,A758,DB_Savings!$F:$F),0)-IFERROR(SUMIF(DB_Withdrawals!$A:$A,A758,DB_Withdrawals!$G:$G),0)),"")</f>
        <v/>
      </c>
      <c r="N758" t="str">
        <f>IFERROR(IF(A758="","",MAX(0,M758-System_Config!$B$9)),"")</f>
        <v/>
      </c>
    </row>
    <row r="759" spans="1:14" ht="15" customHeight="1" x14ac:dyDescent="0.25">
      <c r="A759" t="str">
        <f>'NEW ACCOUNT'!A760</f>
        <v/>
      </c>
      <c r="B759" t="str">
        <f>IF('NEW ACCOUNT'!A760="","",'NEW ACCOUNT'!B760)</f>
        <v/>
      </c>
      <c r="C759" t="str">
        <f>IF('NEW ACCOUNT'!A760="","",'NEW ACCOUNT'!C760)</f>
        <v/>
      </c>
      <c r="D759" t="str">
        <f>IF('NEW ACCOUNT'!A760="","",'NEW ACCOUNT'!D760)</f>
        <v/>
      </c>
      <c r="E759" t="str">
        <f>IF('NEW ACCOUNT'!A760="","",'NEW ACCOUNT'!E760)</f>
        <v/>
      </c>
      <c r="F759" t="str">
        <f>IF('NEW ACCOUNT'!A760="","",'NEW ACCOUNT'!F760)</f>
        <v/>
      </c>
      <c r="G759" t="str">
        <f>IF('NEW ACCOUNT'!A760="","",'NEW ACCOUNT'!G760)</f>
        <v/>
      </c>
      <c r="H759" t="str">
        <f>IF('NEW ACCOUNT'!A760="","",'NEW ACCOUNT'!H760)</f>
        <v/>
      </c>
      <c r="I759" t="str">
        <f>IF('NEW ACCOUNT'!A760="","",'NEW ACCOUNT'!I760)</f>
        <v/>
      </c>
      <c r="J759" t="str">
        <f>IF('NEW ACCOUNT'!A760="","",'NEW ACCOUNT'!J760)</f>
        <v/>
      </c>
      <c r="K759" t="str">
        <f>IFERROR(IF(A759="","",SUMIF(DB_Savings!$A:$A,A759,DB_Savings!$F:$F)),"")</f>
        <v/>
      </c>
      <c r="L759" t="str">
        <f>IFERROR(IF(A759="","",SUMIF(DB_Withdrawals!$A:$A,A759,DB_Withdrawals!$G:$G)),"")</f>
        <v/>
      </c>
      <c r="M759" t="str">
        <f>IFERROR(IF(A759="","",IFERROR(VALUE(H759),0)+IFERROR(SUMIF(DB_Savings!$A:$A,A759,DB_Savings!$F:$F),0)-IFERROR(SUMIF(DB_Withdrawals!$A:$A,A759,DB_Withdrawals!$G:$G),0)),"")</f>
        <v/>
      </c>
      <c r="N759" t="str">
        <f>IFERROR(IF(A759="","",MAX(0,M759-System_Config!$B$9)),"")</f>
        <v/>
      </c>
    </row>
    <row r="760" spans="1:14" ht="15" customHeight="1" x14ac:dyDescent="0.25">
      <c r="A760" t="str">
        <f>'NEW ACCOUNT'!A761</f>
        <v/>
      </c>
      <c r="B760" t="str">
        <f>IF('NEW ACCOUNT'!A761="","",'NEW ACCOUNT'!B761)</f>
        <v/>
      </c>
      <c r="C760" t="str">
        <f>IF('NEW ACCOUNT'!A761="","",'NEW ACCOUNT'!C761)</f>
        <v/>
      </c>
      <c r="D760" t="str">
        <f>IF('NEW ACCOUNT'!A761="","",'NEW ACCOUNT'!D761)</f>
        <v/>
      </c>
      <c r="E760" t="str">
        <f>IF('NEW ACCOUNT'!A761="","",'NEW ACCOUNT'!E761)</f>
        <v/>
      </c>
      <c r="F760" t="str">
        <f>IF('NEW ACCOUNT'!A761="","",'NEW ACCOUNT'!F761)</f>
        <v/>
      </c>
      <c r="G760" t="str">
        <f>IF('NEW ACCOUNT'!A761="","",'NEW ACCOUNT'!G761)</f>
        <v/>
      </c>
      <c r="H760" t="str">
        <f>IF('NEW ACCOUNT'!A761="","",'NEW ACCOUNT'!H761)</f>
        <v/>
      </c>
      <c r="I760" t="str">
        <f>IF('NEW ACCOUNT'!A761="","",'NEW ACCOUNT'!I761)</f>
        <v/>
      </c>
      <c r="J760" t="str">
        <f>IF('NEW ACCOUNT'!A761="","",'NEW ACCOUNT'!J761)</f>
        <v/>
      </c>
      <c r="K760" t="str">
        <f>IFERROR(IF(A760="","",SUMIF(DB_Savings!$A:$A,A760,DB_Savings!$F:$F)),"")</f>
        <v/>
      </c>
      <c r="L760" t="str">
        <f>IFERROR(IF(A760="","",SUMIF(DB_Withdrawals!$A:$A,A760,DB_Withdrawals!$G:$G)),"")</f>
        <v/>
      </c>
      <c r="M760" t="str">
        <f>IFERROR(IF(A760="","",IFERROR(VALUE(H760),0)+IFERROR(SUMIF(DB_Savings!$A:$A,A760,DB_Savings!$F:$F),0)-IFERROR(SUMIF(DB_Withdrawals!$A:$A,A760,DB_Withdrawals!$G:$G),0)),"")</f>
        <v/>
      </c>
      <c r="N760" t="str">
        <f>IFERROR(IF(A760="","",MAX(0,M760-System_Config!$B$9)),"")</f>
        <v/>
      </c>
    </row>
    <row r="761" spans="1:14" ht="15" customHeight="1" x14ac:dyDescent="0.25">
      <c r="A761" t="str">
        <f>'NEW ACCOUNT'!A762</f>
        <v/>
      </c>
      <c r="B761" t="str">
        <f>IF('NEW ACCOUNT'!A762="","",'NEW ACCOUNT'!B762)</f>
        <v/>
      </c>
      <c r="C761" t="str">
        <f>IF('NEW ACCOUNT'!A762="","",'NEW ACCOUNT'!C762)</f>
        <v/>
      </c>
      <c r="D761" t="str">
        <f>IF('NEW ACCOUNT'!A762="","",'NEW ACCOUNT'!D762)</f>
        <v/>
      </c>
      <c r="E761" t="str">
        <f>IF('NEW ACCOUNT'!A762="","",'NEW ACCOUNT'!E762)</f>
        <v/>
      </c>
      <c r="F761" t="str">
        <f>IF('NEW ACCOUNT'!A762="","",'NEW ACCOUNT'!F762)</f>
        <v/>
      </c>
      <c r="G761" t="str">
        <f>IF('NEW ACCOUNT'!A762="","",'NEW ACCOUNT'!G762)</f>
        <v/>
      </c>
      <c r="H761" t="str">
        <f>IF('NEW ACCOUNT'!A762="","",'NEW ACCOUNT'!H762)</f>
        <v/>
      </c>
      <c r="I761" t="str">
        <f>IF('NEW ACCOUNT'!A762="","",'NEW ACCOUNT'!I762)</f>
        <v/>
      </c>
      <c r="J761" t="str">
        <f>IF('NEW ACCOUNT'!A762="","",'NEW ACCOUNT'!J762)</f>
        <v/>
      </c>
      <c r="K761" t="str">
        <f>IFERROR(IF(A761="","",SUMIF(DB_Savings!$A:$A,A761,DB_Savings!$F:$F)),"")</f>
        <v/>
      </c>
      <c r="L761" t="str">
        <f>IFERROR(IF(A761="","",SUMIF(DB_Withdrawals!$A:$A,A761,DB_Withdrawals!$G:$G)),"")</f>
        <v/>
      </c>
      <c r="M761" t="str">
        <f>IFERROR(IF(A761="","",IFERROR(VALUE(H761),0)+IFERROR(SUMIF(DB_Savings!$A:$A,A761,DB_Savings!$F:$F),0)-IFERROR(SUMIF(DB_Withdrawals!$A:$A,A761,DB_Withdrawals!$G:$G),0)),"")</f>
        <v/>
      </c>
      <c r="N761" t="str">
        <f>IFERROR(IF(A761="","",MAX(0,M761-System_Config!$B$9)),"")</f>
        <v/>
      </c>
    </row>
    <row r="762" spans="1:14" ht="15" customHeight="1" x14ac:dyDescent="0.25">
      <c r="A762" t="str">
        <f>'NEW ACCOUNT'!A763</f>
        <v/>
      </c>
      <c r="B762" t="str">
        <f>IF('NEW ACCOUNT'!A763="","",'NEW ACCOUNT'!B763)</f>
        <v/>
      </c>
      <c r="C762" t="str">
        <f>IF('NEW ACCOUNT'!A763="","",'NEW ACCOUNT'!C763)</f>
        <v/>
      </c>
      <c r="D762" t="str">
        <f>IF('NEW ACCOUNT'!A763="","",'NEW ACCOUNT'!D763)</f>
        <v/>
      </c>
      <c r="E762" t="str">
        <f>IF('NEW ACCOUNT'!A763="","",'NEW ACCOUNT'!E763)</f>
        <v/>
      </c>
      <c r="F762" t="str">
        <f>IF('NEW ACCOUNT'!A763="","",'NEW ACCOUNT'!F763)</f>
        <v/>
      </c>
      <c r="G762" t="str">
        <f>IF('NEW ACCOUNT'!A763="","",'NEW ACCOUNT'!G763)</f>
        <v/>
      </c>
      <c r="H762" t="str">
        <f>IF('NEW ACCOUNT'!A763="","",'NEW ACCOUNT'!H763)</f>
        <v/>
      </c>
      <c r="I762" t="str">
        <f>IF('NEW ACCOUNT'!A763="","",'NEW ACCOUNT'!I763)</f>
        <v/>
      </c>
      <c r="J762" t="str">
        <f>IF('NEW ACCOUNT'!A763="","",'NEW ACCOUNT'!J763)</f>
        <v/>
      </c>
      <c r="K762" t="str">
        <f>IFERROR(IF(A762="","",SUMIF(DB_Savings!$A:$A,A762,DB_Savings!$F:$F)),"")</f>
        <v/>
      </c>
      <c r="L762" t="str">
        <f>IFERROR(IF(A762="","",SUMIF(DB_Withdrawals!$A:$A,A762,DB_Withdrawals!$G:$G)),"")</f>
        <v/>
      </c>
      <c r="M762" t="str">
        <f>IFERROR(IF(A762="","",IFERROR(VALUE(H762),0)+IFERROR(SUMIF(DB_Savings!$A:$A,A762,DB_Savings!$F:$F),0)-IFERROR(SUMIF(DB_Withdrawals!$A:$A,A762,DB_Withdrawals!$G:$G),0)),"")</f>
        <v/>
      </c>
      <c r="N762" t="str">
        <f>IFERROR(IF(A762="","",MAX(0,M762-System_Config!$B$9)),"")</f>
        <v/>
      </c>
    </row>
    <row r="763" spans="1:14" ht="15" customHeight="1" x14ac:dyDescent="0.25">
      <c r="A763" t="str">
        <f>'NEW ACCOUNT'!A764</f>
        <v/>
      </c>
      <c r="B763" t="str">
        <f>IF('NEW ACCOUNT'!A764="","",'NEW ACCOUNT'!B764)</f>
        <v/>
      </c>
      <c r="C763" t="str">
        <f>IF('NEW ACCOUNT'!A764="","",'NEW ACCOUNT'!C764)</f>
        <v/>
      </c>
      <c r="D763" t="str">
        <f>IF('NEW ACCOUNT'!A764="","",'NEW ACCOUNT'!D764)</f>
        <v/>
      </c>
      <c r="E763" t="str">
        <f>IF('NEW ACCOUNT'!A764="","",'NEW ACCOUNT'!E764)</f>
        <v/>
      </c>
      <c r="F763" t="str">
        <f>IF('NEW ACCOUNT'!A764="","",'NEW ACCOUNT'!F764)</f>
        <v/>
      </c>
      <c r="G763" t="str">
        <f>IF('NEW ACCOUNT'!A764="","",'NEW ACCOUNT'!G764)</f>
        <v/>
      </c>
      <c r="H763" t="str">
        <f>IF('NEW ACCOUNT'!A764="","",'NEW ACCOUNT'!H764)</f>
        <v/>
      </c>
      <c r="I763" t="str">
        <f>IF('NEW ACCOUNT'!A764="","",'NEW ACCOUNT'!I764)</f>
        <v/>
      </c>
      <c r="J763" t="str">
        <f>IF('NEW ACCOUNT'!A764="","",'NEW ACCOUNT'!J764)</f>
        <v/>
      </c>
      <c r="K763" t="str">
        <f>IFERROR(IF(A763="","",SUMIF(DB_Savings!$A:$A,A763,DB_Savings!$F:$F)),"")</f>
        <v/>
      </c>
      <c r="L763" t="str">
        <f>IFERROR(IF(A763="","",SUMIF(DB_Withdrawals!$A:$A,A763,DB_Withdrawals!$G:$G)),"")</f>
        <v/>
      </c>
      <c r="M763" t="str">
        <f>IFERROR(IF(A763="","",IFERROR(VALUE(H763),0)+IFERROR(SUMIF(DB_Savings!$A:$A,A763,DB_Savings!$F:$F),0)-IFERROR(SUMIF(DB_Withdrawals!$A:$A,A763,DB_Withdrawals!$G:$G),0)),"")</f>
        <v/>
      </c>
      <c r="N763" t="str">
        <f>IFERROR(IF(A763="","",MAX(0,M763-System_Config!$B$9)),"")</f>
        <v/>
      </c>
    </row>
    <row r="764" spans="1:14" ht="15" customHeight="1" x14ac:dyDescent="0.25">
      <c r="A764" t="str">
        <f>'NEW ACCOUNT'!A765</f>
        <v/>
      </c>
      <c r="B764" t="str">
        <f>IF('NEW ACCOUNT'!A765="","",'NEW ACCOUNT'!B765)</f>
        <v/>
      </c>
      <c r="C764" t="str">
        <f>IF('NEW ACCOUNT'!A765="","",'NEW ACCOUNT'!C765)</f>
        <v/>
      </c>
      <c r="D764" t="str">
        <f>IF('NEW ACCOUNT'!A765="","",'NEW ACCOUNT'!D765)</f>
        <v/>
      </c>
      <c r="E764" t="str">
        <f>IF('NEW ACCOUNT'!A765="","",'NEW ACCOUNT'!E765)</f>
        <v/>
      </c>
      <c r="F764" t="str">
        <f>IF('NEW ACCOUNT'!A765="","",'NEW ACCOUNT'!F765)</f>
        <v/>
      </c>
      <c r="G764" t="str">
        <f>IF('NEW ACCOUNT'!A765="","",'NEW ACCOUNT'!G765)</f>
        <v/>
      </c>
      <c r="H764" t="str">
        <f>IF('NEW ACCOUNT'!A765="","",'NEW ACCOUNT'!H765)</f>
        <v/>
      </c>
      <c r="I764" t="str">
        <f>IF('NEW ACCOUNT'!A765="","",'NEW ACCOUNT'!I765)</f>
        <v/>
      </c>
      <c r="J764" t="str">
        <f>IF('NEW ACCOUNT'!A765="","",'NEW ACCOUNT'!J765)</f>
        <v/>
      </c>
      <c r="K764" t="str">
        <f>IFERROR(IF(A764="","",SUMIF(DB_Savings!$A:$A,A764,DB_Savings!$F:$F)),"")</f>
        <v/>
      </c>
      <c r="L764" t="str">
        <f>IFERROR(IF(A764="","",SUMIF(DB_Withdrawals!$A:$A,A764,DB_Withdrawals!$G:$G)),"")</f>
        <v/>
      </c>
      <c r="M764" t="str">
        <f>IFERROR(IF(A764="","",IFERROR(VALUE(H764),0)+IFERROR(SUMIF(DB_Savings!$A:$A,A764,DB_Savings!$F:$F),0)-IFERROR(SUMIF(DB_Withdrawals!$A:$A,A764,DB_Withdrawals!$G:$G),0)),"")</f>
        <v/>
      </c>
      <c r="N764" t="str">
        <f>IFERROR(IF(A764="","",MAX(0,M764-System_Config!$B$9)),"")</f>
        <v/>
      </c>
    </row>
    <row r="765" spans="1:14" ht="15" customHeight="1" x14ac:dyDescent="0.25">
      <c r="A765" t="str">
        <f>'NEW ACCOUNT'!A766</f>
        <v/>
      </c>
      <c r="B765" t="str">
        <f>IF('NEW ACCOUNT'!A766="","",'NEW ACCOUNT'!B766)</f>
        <v/>
      </c>
      <c r="C765" t="str">
        <f>IF('NEW ACCOUNT'!A766="","",'NEW ACCOUNT'!C766)</f>
        <v/>
      </c>
      <c r="D765" t="str">
        <f>IF('NEW ACCOUNT'!A766="","",'NEW ACCOUNT'!D766)</f>
        <v/>
      </c>
      <c r="E765" t="str">
        <f>IF('NEW ACCOUNT'!A766="","",'NEW ACCOUNT'!E766)</f>
        <v/>
      </c>
      <c r="F765" t="str">
        <f>IF('NEW ACCOUNT'!A766="","",'NEW ACCOUNT'!F766)</f>
        <v/>
      </c>
      <c r="G765" t="str">
        <f>IF('NEW ACCOUNT'!A766="","",'NEW ACCOUNT'!G766)</f>
        <v/>
      </c>
      <c r="H765" t="str">
        <f>IF('NEW ACCOUNT'!A766="","",'NEW ACCOUNT'!H766)</f>
        <v/>
      </c>
      <c r="I765" t="str">
        <f>IF('NEW ACCOUNT'!A766="","",'NEW ACCOUNT'!I766)</f>
        <v/>
      </c>
      <c r="J765" t="str">
        <f>IF('NEW ACCOUNT'!A766="","",'NEW ACCOUNT'!J766)</f>
        <v/>
      </c>
      <c r="K765" t="str">
        <f>IFERROR(IF(A765="","",SUMIF(DB_Savings!$A:$A,A765,DB_Savings!$F:$F)),"")</f>
        <v/>
      </c>
      <c r="L765" t="str">
        <f>IFERROR(IF(A765="","",SUMIF(DB_Withdrawals!$A:$A,A765,DB_Withdrawals!$G:$G)),"")</f>
        <v/>
      </c>
      <c r="M765" t="str">
        <f>IFERROR(IF(A765="","",IFERROR(VALUE(H765),0)+IFERROR(SUMIF(DB_Savings!$A:$A,A765,DB_Savings!$F:$F),0)-IFERROR(SUMIF(DB_Withdrawals!$A:$A,A765,DB_Withdrawals!$G:$G),0)),"")</f>
        <v/>
      </c>
      <c r="N765" t="str">
        <f>IFERROR(IF(A765="","",MAX(0,M765-System_Config!$B$9)),"")</f>
        <v/>
      </c>
    </row>
    <row r="766" spans="1:14" ht="15" customHeight="1" x14ac:dyDescent="0.25">
      <c r="A766" t="str">
        <f>'NEW ACCOUNT'!A767</f>
        <v/>
      </c>
      <c r="B766" t="str">
        <f>IF('NEW ACCOUNT'!A767="","",'NEW ACCOUNT'!B767)</f>
        <v/>
      </c>
      <c r="C766" t="str">
        <f>IF('NEW ACCOUNT'!A767="","",'NEW ACCOUNT'!C767)</f>
        <v/>
      </c>
      <c r="D766" t="str">
        <f>IF('NEW ACCOUNT'!A767="","",'NEW ACCOUNT'!D767)</f>
        <v/>
      </c>
      <c r="E766" t="str">
        <f>IF('NEW ACCOUNT'!A767="","",'NEW ACCOUNT'!E767)</f>
        <v/>
      </c>
      <c r="F766" t="str">
        <f>IF('NEW ACCOUNT'!A767="","",'NEW ACCOUNT'!F767)</f>
        <v/>
      </c>
      <c r="G766" t="str">
        <f>IF('NEW ACCOUNT'!A767="","",'NEW ACCOUNT'!G767)</f>
        <v/>
      </c>
      <c r="H766" t="str">
        <f>IF('NEW ACCOUNT'!A767="","",'NEW ACCOUNT'!H767)</f>
        <v/>
      </c>
      <c r="I766" t="str">
        <f>IF('NEW ACCOUNT'!A767="","",'NEW ACCOUNT'!I767)</f>
        <v/>
      </c>
      <c r="J766" t="str">
        <f>IF('NEW ACCOUNT'!A767="","",'NEW ACCOUNT'!J767)</f>
        <v/>
      </c>
      <c r="K766" t="str">
        <f>IFERROR(IF(A766="","",SUMIF(DB_Savings!$A:$A,A766,DB_Savings!$F:$F)),"")</f>
        <v/>
      </c>
      <c r="L766" t="str">
        <f>IFERROR(IF(A766="","",SUMIF(DB_Withdrawals!$A:$A,A766,DB_Withdrawals!$G:$G)),"")</f>
        <v/>
      </c>
      <c r="M766" t="str">
        <f>IFERROR(IF(A766="","",IFERROR(VALUE(H766),0)+IFERROR(SUMIF(DB_Savings!$A:$A,A766,DB_Savings!$F:$F),0)-IFERROR(SUMIF(DB_Withdrawals!$A:$A,A766,DB_Withdrawals!$G:$G),0)),"")</f>
        <v/>
      </c>
      <c r="N766" t="str">
        <f>IFERROR(IF(A766="","",MAX(0,M766-System_Config!$B$9)),"")</f>
        <v/>
      </c>
    </row>
    <row r="767" spans="1:14" ht="15" customHeight="1" x14ac:dyDescent="0.25">
      <c r="A767" t="str">
        <f>'NEW ACCOUNT'!A768</f>
        <v/>
      </c>
      <c r="B767" t="str">
        <f>IF('NEW ACCOUNT'!A768="","",'NEW ACCOUNT'!B768)</f>
        <v/>
      </c>
      <c r="C767" t="str">
        <f>IF('NEW ACCOUNT'!A768="","",'NEW ACCOUNT'!C768)</f>
        <v/>
      </c>
      <c r="D767" t="str">
        <f>IF('NEW ACCOUNT'!A768="","",'NEW ACCOUNT'!D768)</f>
        <v/>
      </c>
      <c r="E767" t="str">
        <f>IF('NEW ACCOUNT'!A768="","",'NEW ACCOUNT'!E768)</f>
        <v/>
      </c>
      <c r="F767" t="str">
        <f>IF('NEW ACCOUNT'!A768="","",'NEW ACCOUNT'!F768)</f>
        <v/>
      </c>
      <c r="G767" t="str">
        <f>IF('NEW ACCOUNT'!A768="","",'NEW ACCOUNT'!G768)</f>
        <v/>
      </c>
      <c r="H767" t="str">
        <f>IF('NEW ACCOUNT'!A768="","",'NEW ACCOUNT'!H768)</f>
        <v/>
      </c>
      <c r="I767" t="str">
        <f>IF('NEW ACCOUNT'!A768="","",'NEW ACCOUNT'!I768)</f>
        <v/>
      </c>
      <c r="J767" t="str">
        <f>IF('NEW ACCOUNT'!A768="","",'NEW ACCOUNT'!J768)</f>
        <v/>
      </c>
      <c r="K767" t="str">
        <f>IFERROR(IF(A767="","",SUMIF(DB_Savings!$A:$A,A767,DB_Savings!$F:$F)),"")</f>
        <v/>
      </c>
      <c r="L767" t="str">
        <f>IFERROR(IF(A767="","",SUMIF(DB_Withdrawals!$A:$A,A767,DB_Withdrawals!$G:$G)),"")</f>
        <v/>
      </c>
      <c r="M767" t="str">
        <f>IFERROR(IF(A767="","",IFERROR(VALUE(H767),0)+IFERROR(SUMIF(DB_Savings!$A:$A,A767,DB_Savings!$F:$F),0)-IFERROR(SUMIF(DB_Withdrawals!$A:$A,A767,DB_Withdrawals!$G:$G),0)),"")</f>
        <v/>
      </c>
      <c r="N767" t="str">
        <f>IFERROR(IF(A767="","",MAX(0,M767-System_Config!$B$9)),"")</f>
        <v/>
      </c>
    </row>
    <row r="768" spans="1:14" ht="15" customHeight="1" x14ac:dyDescent="0.25">
      <c r="A768" t="str">
        <f>'NEW ACCOUNT'!A769</f>
        <v/>
      </c>
      <c r="B768" t="str">
        <f>IF('NEW ACCOUNT'!A769="","",'NEW ACCOUNT'!B769)</f>
        <v/>
      </c>
      <c r="C768" t="str">
        <f>IF('NEW ACCOUNT'!A769="","",'NEW ACCOUNT'!C769)</f>
        <v/>
      </c>
      <c r="D768" t="str">
        <f>IF('NEW ACCOUNT'!A769="","",'NEW ACCOUNT'!D769)</f>
        <v/>
      </c>
      <c r="E768" t="str">
        <f>IF('NEW ACCOUNT'!A769="","",'NEW ACCOUNT'!E769)</f>
        <v/>
      </c>
      <c r="F768" t="str">
        <f>IF('NEW ACCOUNT'!A769="","",'NEW ACCOUNT'!F769)</f>
        <v/>
      </c>
      <c r="G768" t="str">
        <f>IF('NEW ACCOUNT'!A769="","",'NEW ACCOUNT'!G769)</f>
        <v/>
      </c>
      <c r="H768" t="str">
        <f>IF('NEW ACCOUNT'!A769="","",'NEW ACCOUNT'!H769)</f>
        <v/>
      </c>
      <c r="I768" t="str">
        <f>IF('NEW ACCOUNT'!A769="","",'NEW ACCOUNT'!I769)</f>
        <v/>
      </c>
      <c r="J768" t="str">
        <f>IF('NEW ACCOUNT'!A769="","",'NEW ACCOUNT'!J769)</f>
        <v/>
      </c>
      <c r="K768" t="str">
        <f>IFERROR(IF(A768="","",SUMIF(DB_Savings!$A:$A,A768,DB_Savings!$F:$F)),"")</f>
        <v/>
      </c>
      <c r="L768" t="str">
        <f>IFERROR(IF(A768="","",SUMIF(DB_Withdrawals!$A:$A,A768,DB_Withdrawals!$G:$G)),"")</f>
        <v/>
      </c>
      <c r="M768" t="str">
        <f>IFERROR(IF(A768="","",IFERROR(VALUE(H768),0)+IFERROR(SUMIF(DB_Savings!$A:$A,A768,DB_Savings!$F:$F),0)-IFERROR(SUMIF(DB_Withdrawals!$A:$A,A768,DB_Withdrawals!$G:$G),0)),"")</f>
        <v/>
      </c>
      <c r="N768" t="str">
        <f>IFERROR(IF(A768="","",MAX(0,M768-System_Config!$B$9)),"")</f>
        <v/>
      </c>
    </row>
    <row r="769" spans="1:14" ht="15" customHeight="1" x14ac:dyDescent="0.25">
      <c r="A769" t="str">
        <f>'NEW ACCOUNT'!A770</f>
        <v/>
      </c>
      <c r="B769" t="str">
        <f>IF('NEW ACCOUNT'!A770="","",'NEW ACCOUNT'!B770)</f>
        <v/>
      </c>
      <c r="C769" t="str">
        <f>IF('NEW ACCOUNT'!A770="","",'NEW ACCOUNT'!C770)</f>
        <v/>
      </c>
      <c r="D769" t="str">
        <f>IF('NEW ACCOUNT'!A770="","",'NEW ACCOUNT'!D770)</f>
        <v/>
      </c>
      <c r="E769" t="str">
        <f>IF('NEW ACCOUNT'!A770="","",'NEW ACCOUNT'!E770)</f>
        <v/>
      </c>
      <c r="F769" t="str">
        <f>IF('NEW ACCOUNT'!A770="","",'NEW ACCOUNT'!F770)</f>
        <v/>
      </c>
      <c r="G769" t="str">
        <f>IF('NEW ACCOUNT'!A770="","",'NEW ACCOUNT'!G770)</f>
        <v/>
      </c>
      <c r="H769" t="str">
        <f>IF('NEW ACCOUNT'!A770="","",'NEW ACCOUNT'!H770)</f>
        <v/>
      </c>
      <c r="I769" t="str">
        <f>IF('NEW ACCOUNT'!A770="","",'NEW ACCOUNT'!I770)</f>
        <v/>
      </c>
      <c r="J769" t="str">
        <f>IF('NEW ACCOUNT'!A770="","",'NEW ACCOUNT'!J770)</f>
        <v/>
      </c>
      <c r="K769" t="str">
        <f>IFERROR(IF(A769="","",SUMIF(DB_Savings!$A:$A,A769,DB_Savings!$F:$F)),"")</f>
        <v/>
      </c>
      <c r="L769" t="str">
        <f>IFERROR(IF(A769="","",SUMIF(DB_Withdrawals!$A:$A,A769,DB_Withdrawals!$G:$G)),"")</f>
        <v/>
      </c>
      <c r="M769" t="str">
        <f>IFERROR(IF(A769="","",IFERROR(VALUE(H769),0)+IFERROR(SUMIF(DB_Savings!$A:$A,A769,DB_Savings!$F:$F),0)-IFERROR(SUMIF(DB_Withdrawals!$A:$A,A769,DB_Withdrawals!$G:$G),0)),"")</f>
        <v/>
      </c>
      <c r="N769" t="str">
        <f>IFERROR(IF(A769="","",MAX(0,M769-System_Config!$B$9)),"")</f>
        <v/>
      </c>
    </row>
    <row r="770" spans="1:14" ht="15" customHeight="1" x14ac:dyDescent="0.25">
      <c r="A770" t="str">
        <f>'NEW ACCOUNT'!A771</f>
        <v/>
      </c>
      <c r="B770" t="str">
        <f>IF('NEW ACCOUNT'!A771="","",'NEW ACCOUNT'!B771)</f>
        <v/>
      </c>
      <c r="C770" t="str">
        <f>IF('NEW ACCOUNT'!A771="","",'NEW ACCOUNT'!C771)</f>
        <v/>
      </c>
      <c r="D770" t="str">
        <f>IF('NEW ACCOUNT'!A771="","",'NEW ACCOUNT'!D771)</f>
        <v/>
      </c>
      <c r="E770" t="str">
        <f>IF('NEW ACCOUNT'!A771="","",'NEW ACCOUNT'!E771)</f>
        <v/>
      </c>
      <c r="F770" t="str">
        <f>IF('NEW ACCOUNT'!A771="","",'NEW ACCOUNT'!F771)</f>
        <v/>
      </c>
      <c r="G770" t="str">
        <f>IF('NEW ACCOUNT'!A771="","",'NEW ACCOUNT'!G771)</f>
        <v/>
      </c>
      <c r="H770" t="str">
        <f>IF('NEW ACCOUNT'!A771="","",'NEW ACCOUNT'!H771)</f>
        <v/>
      </c>
      <c r="I770" t="str">
        <f>IF('NEW ACCOUNT'!A771="","",'NEW ACCOUNT'!I771)</f>
        <v/>
      </c>
      <c r="J770" t="str">
        <f>IF('NEW ACCOUNT'!A771="","",'NEW ACCOUNT'!J771)</f>
        <v/>
      </c>
      <c r="K770" t="str">
        <f>IFERROR(IF(A770="","",SUMIF(DB_Savings!$A:$A,A770,DB_Savings!$F:$F)),"")</f>
        <v/>
      </c>
      <c r="L770" t="str">
        <f>IFERROR(IF(A770="","",SUMIF(DB_Withdrawals!$A:$A,A770,DB_Withdrawals!$G:$G)),"")</f>
        <v/>
      </c>
      <c r="M770" t="str">
        <f>IFERROR(IF(A770="","",IFERROR(VALUE(H770),0)+IFERROR(SUMIF(DB_Savings!$A:$A,A770,DB_Savings!$F:$F),0)-IFERROR(SUMIF(DB_Withdrawals!$A:$A,A770,DB_Withdrawals!$G:$G),0)),"")</f>
        <v/>
      </c>
      <c r="N770" t="str">
        <f>IFERROR(IF(A770="","",MAX(0,M770-System_Config!$B$9)),"")</f>
        <v/>
      </c>
    </row>
    <row r="771" spans="1:14" ht="15" customHeight="1" x14ac:dyDescent="0.25">
      <c r="A771" t="str">
        <f>'NEW ACCOUNT'!A772</f>
        <v/>
      </c>
      <c r="B771" t="str">
        <f>IF('NEW ACCOUNT'!A772="","",'NEW ACCOUNT'!B772)</f>
        <v/>
      </c>
      <c r="C771" t="str">
        <f>IF('NEW ACCOUNT'!A772="","",'NEW ACCOUNT'!C772)</f>
        <v/>
      </c>
      <c r="D771" t="str">
        <f>IF('NEW ACCOUNT'!A772="","",'NEW ACCOUNT'!D772)</f>
        <v/>
      </c>
      <c r="E771" t="str">
        <f>IF('NEW ACCOUNT'!A772="","",'NEW ACCOUNT'!E772)</f>
        <v/>
      </c>
      <c r="F771" t="str">
        <f>IF('NEW ACCOUNT'!A772="","",'NEW ACCOUNT'!F772)</f>
        <v/>
      </c>
      <c r="G771" t="str">
        <f>IF('NEW ACCOUNT'!A772="","",'NEW ACCOUNT'!G772)</f>
        <v/>
      </c>
      <c r="H771" t="str">
        <f>IF('NEW ACCOUNT'!A772="","",'NEW ACCOUNT'!H772)</f>
        <v/>
      </c>
      <c r="I771" t="str">
        <f>IF('NEW ACCOUNT'!A772="","",'NEW ACCOUNT'!I772)</f>
        <v/>
      </c>
      <c r="J771" t="str">
        <f>IF('NEW ACCOUNT'!A772="","",'NEW ACCOUNT'!J772)</f>
        <v/>
      </c>
      <c r="K771" t="str">
        <f>IFERROR(IF(A771="","",SUMIF(DB_Savings!$A:$A,A771,DB_Savings!$F:$F)),"")</f>
        <v/>
      </c>
      <c r="L771" t="str">
        <f>IFERROR(IF(A771="","",SUMIF(DB_Withdrawals!$A:$A,A771,DB_Withdrawals!$G:$G)),"")</f>
        <v/>
      </c>
      <c r="M771" t="str">
        <f>IFERROR(IF(A771="","",IFERROR(VALUE(H771),0)+IFERROR(SUMIF(DB_Savings!$A:$A,A771,DB_Savings!$F:$F),0)-IFERROR(SUMIF(DB_Withdrawals!$A:$A,A771,DB_Withdrawals!$G:$G),0)),"")</f>
        <v/>
      </c>
      <c r="N771" t="str">
        <f>IFERROR(IF(A771="","",MAX(0,M771-System_Config!$B$9)),"")</f>
        <v/>
      </c>
    </row>
    <row r="772" spans="1:14" ht="15" customHeight="1" x14ac:dyDescent="0.25">
      <c r="A772" t="str">
        <f>'NEW ACCOUNT'!A773</f>
        <v/>
      </c>
      <c r="B772" t="str">
        <f>IF('NEW ACCOUNT'!A773="","",'NEW ACCOUNT'!B773)</f>
        <v/>
      </c>
      <c r="C772" t="str">
        <f>IF('NEW ACCOUNT'!A773="","",'NEW ACCOUNT'!C773)</f>
        <v/>
      </c>
      <c r="D772" t="str">
        <f>IF('NEW ACCOUNT'!A773="","",'NEW ACCOUNT'!D773)</f>
        <v/>
      </c>
      <c r="E772" t="str">
        <f>IF('NEW ACCOUNT'!A773="","",'NEW ACCOUNT'!E773)</f>
        <v/>
      </c>
      <c r="F772" t="str">
        <f>IF('NEW ACCOUNT'!A773="","",'NEW ACCOUNT'!F773)</f>
        <v/>
      </c>
      <c r="G772" t="str">
        <f>IF('NEW ACCOUNT'!A773="","",'NEW ACCOUNT'!G773)</f>
        <v/>
      </c>
      <c r="H772" t="str">
        <f>IF('NEW ACCOUNT'!A773="","",'NEW ACCOUNT'!H773)</f>
        <v/>
      </c>
      <c r="I772" t="str">
        <f>IF('NEW ACCOUNT'!A773="","",'NEW ACCOUNT'!I773)</f>
        <v/>
      </c>
      <c r="J772" t="str">
        <f>IF('NEW ACCOUNT'!A773="","",'NEW ACCOUNT'!J773)</f>
        <v/>
      </c>
      <c r="K772" t="str">
        <f>IFERROR(IF(A772="","",SUMIF(DB_Savings!$A:$A,A772,DB_Savings!$F:$F)),"")</f>
        <v/>
      </c>
      <c r="L772" t="str">
        <f>IFERROR(IF(A772="","",SUMIF(DB_Withdrawals!$A:$A,A772,DB_Withdrawals!$G:$G)),"")</f>
        <v/>
      </c>
      <c r="M772" t="str">
        <f>IFERROR(IF(A772="","",IFERROR(VALUE(H772),0)+IFERROR(SUMIF(DB_Savings!$A:$A,A772,DB_Savings!$F:$F),0)-IFERROR(SUMIF(DB_Withdrawals!$A:$A,A772,DB_Withdrawals!$G:$G),0)),"")</f>
        <v/>
      </c>
      <c r="N772" t="str">
        <f>IFERROR(IF(A772="","",MAX(0,M772-System_Config!$B$9)),"")</f>
        <v/>
      </c>
    </row>
    <row r="773" spans="1:14" ht="15" customHeight="1" x14ac:dyDescent="0.25">
      <c r="A773" t="str">
        <f>'NEW ACCOUNT'!A774</f>
        <v/>
      </c>
      <c r="B773" t="str">
        <f>IF('NEW ACCOUNT'!A774="","",'NEW ACCOUNT'!B774)</f>
        <v/>
      </c>
      <c r="C773" t="str">
        <f>IF('NEW ACCOUNT'!A774="","",'NEW ACCOUNT'!C774)</f>
        <v/>
      </c>
      <c r="D773" t="str">
        <f>IF('NEW ACCOUNT'!A774="","",'NEW ACCOUNT'!D774)</f>
        <v/>
      </c>
      <c r="E773" t="str">
        <f>IF('NEW ACCOUNT'!A774="","",'NEW ACCOUNT'!E774)</f>
        <v/>
      </c>
      <c r="F773" t="str">
        <f>IF('NEW ACCOUNT'!A774="","",'NEW ACCOUNT'!F774)</f>
        <v/>
      </c>
      <c r="G773" t="str">
        <f>IF('NEW ACCOUNT'!A774="","",'NEW ACCOUNT'!G774)</f>
        <v/>
      </c>
      <c r="H773" t="str">
        <f>IF('NEW ACCOUNT'!A774="","",'NEW ACCOUNT'!H774)</f>
        <v/>
      </c>
      <c r="I773" t="str">
        <f>IF('NEW ACCOUNT'!A774="","",'NEW ACCOUNT'!I774)</f>
        <v/>
      </c>
      <c r="J773" t="str">
        <f>IF('NEW ACCOUNT'!A774="","",'NEW ACCOUNT'!J774)</f>
        <v/>
      </c>
      <c r="K773" t="str">
        <f>IFERROR(IF(A773="","",SUMIF(DB_Savings!$A:$A,A773,DB_Savings!$F:$F)),"")</f>
        <v/>
      </c>
      <c r="L773" t="str">
        <f>IFERROR(IF(A773="","",SUMIF(DB_Withdrawals!$A:$A,A773,DB_Withdrawals!$G:$G)),"")</f>
        <v/>
      </c>
      <c r="M773" t="str">
        <f>IFERROR(IF(A773="","",IFERROR(VALUE(H773),0)+IFERROR(SUMIF(DB_Savings!$A:$A,A773,DB_Savings!$F:$F),0)-IFERROR(SUMIF(DB_Withdrawals!$A:$A,A773,DB_Withdrawals!$G:$G),0)),"")</f>
        <v/>
      </c>
      <c r="N773" t="str">
        <f>IFERROR(IF(A773="","",MAX(0,M773-System_Config!$B$9)),"")</f>
        <v/>
      </c>
    </row>
    <row r="774" spans="1:14" ht="15" customHeight="1" x14ac:dyDescent="0.25">
      <c r="A774" t="str">
        <f>'NEW ACCOUNT'!A775</f>
        <v/>
      </c>
      <c r="B774" t="str">
        <f>IF('NEW ACCOUNT'!A775="","",'NEW ACCOUNT'!B775)</f>
        <v/>
      </c>
      <c r="C774" t="str">
        <f>IF('NEW ACCOUNT'!A775="","",'NEW ACCOUNT'!C775)</f>
        <v/>
      </c>
      <c r="D774" t="str">
        <f>IF('NEW ACCOUNT'!A775="","",'NEW ACCOUNT'!D775)</f>
        <v/>
      </c>
      <c r="E774" t="str">
        <f>IF('NEW ACCOUNT'!A775="","",'NEW ACCOUNT'!E775)</f>
        <v/>
      </c>
      <c r="F774" t="str">
        <f>IF('NEW ACCOUNT'!A775="","",'NEW ACCOUNT'!F775)</f>
        <v/>
      </c>
      <c r="G774" t="str">
        <f>IF('NEW ACCOUNT'!A775="","",'NEW ACCOUNT'!G775)</f>
        <v/>
      </c>
      <c r="H774" t="str">
        <f>IF('NEW ACCOUNT'!A775="","",'NEW ACCOUNT'!H775)</f>
        <v/>
      </c>
      <c r="I774" t="str">
        <f>IF('NEW ACCOUNT'!A775="","",'NEW ACCOUNT'!I775)</f>
        <v/>
      </c>
      <c r="J774" t="str">
        <f>IF('NEW ACCOUNT'!A775="","",'NEW ACCOUNT'!J775)</f>
        <v/>
      </c>
      <c r="K774" t="str">
        <f>IFERROR(IF(A774="","",SUMIF(DB_Savings!$A:$A,A774,DB_Savings!$F:$F)),"")</f>
        <v/>
      </c>
      <c r="L774" t="str">
        <f>IFERROR(IF(A774="","",SUMIF(DB_Withdrawals!$A:$A,A774,DB_Withdrawals!$G:$G)),"")</f>
        <v/>
      </c>
      <c r="M774" t="str">
        <f>IFERROR(IF(A774="","",IFERROR(VALUE(H774),0)+IFERROR(SUMIF(DB_Savings!$A:$A,A774,DB_Savings!$F:$F),0)-IFERROR(SUMIF(DB_Withdrawals!$A:$A,A774,DB_Withdrawals!$G:$G),0)),"")</f>
        <v/>
      </c>
      <c r="N774" t="str">
        <f>IFERROR(IF(A774="","",MAX(0,M774-System_Config!$B$9)),"")</f>
        <v/>
      </c>
    </row>
    <row r="775" spans="1:14" ht="15" customHeight="1" x14ac:dyDescent="0.25">
      <c r="A775" t="str">
        <f>'NEW ACCOUNT'!A776</f>
        <v/>
      </c>
      <c r="B775" t="str">
        <f>IF('NEW ACCOUNT'!A776="","",'NEW ACCOUNT'!B776)</f>
        <v/>
      </c>
      <c r="C775" t="str">
        <f>IF('NEW ACCOUNT'!A776="","",'NEW ACCOUNT'!C776)</f>
        <v/>
      </c>
      <c r="D775" t="str">
        <f>IF('NEW ACCOUNT'!A776="","",'NEW ACCOUNT'!D776)</f>
        <v/>
      </c>
      <c r="E775" t="str">
        <f>IF('NEW ACCOUNT'!A776="","",'NEW ACCOUNT'!E776)</f>
        <v/>
      </c>
      <c r="F775" t="str">
        <f>IF('NEW ACCOUNT'!A776="","",'NEW ACCOUNT'!F776)</f>
        <v/>
      </c>
      <c r="G775" t="str">
        <f>IF('NEW ACCOUNT'!A776="","",'NEW ACCOUNT'!G776)</f>
        <v/>
      </c>
      <c r="H775" t="str">
        <f>IF('NEW ACCOUNT'!A776="","",'NEW ACCOUNT'!H776)</f>
        <v/>
      </c>
      <c r="I775" t="str">
        <f>IF('NEW ACCOUNT'!A776="","",'NEW ACCOUNT'!I776)</f>
        <v/>
      </c>
      <c r="J775" t="str">
        <f>IF('NEW ACCOUNT'!A776="","",'NEW ACCOUNT'!J776)</f>
        <v/>
      </c>
      <c r="K775" t="str">
        <f>IFERROR(IF(A775="","",SUMIF(DB_Savings!$A:$A,A775,DB_Savings!$F:$F)),"")</f>
        <v/>
      </c>
      <c r="L775" t="str">
        <f>IFERROR(IF(A775="","",SUMIF(DB_Withdrawals!$A:$A,A775,DB_Withdrawals!$G:$G)),"")</f>
        <v/>
      </c>
      <c r="M775" t="str">
        <f>IFERROR(IF(A775="","",IFERROR(VALUE(H775),0)+IFERROR(SUMIF(DB_Savings!$A:$A,A775,DB_Savings!$F:$F),0)-IFERROR(SUMIF(DB_Withdrawals!$A:$A,A775,DB_Withdrawals!$G:$G),0)),"")</f>
        <v/>
      </c>
      <c r="N775" t="str">
        <f>IFERROR(IF(A775="","",MAX(0,M775-System_Config!$B$9)),"")</f>
        <v/>
      </c>
    </row>
    <row r="776" spans="1:14" ht="15" customHeight="1" x14ac:dyDescent="0.25">
      <c r="A776" t="str">
        <f>'NEW ACCOUNT'!A777</f>
        <v/>
      </c>
      <c r="B776" t="str">
        <f>IF('NEW ACCOUNT'!A777="","",'NEW ACCOUNT'!B777)</f>
        <v/>
      </c>
      <c r="C776" t="str">
        <f>IF('NEW ACCOUNT'!A777="","",'NEW ACCOUNT'!C777)</f>
        <v/>
      </c>
      <c r="D776" t="str">
        <f>IF('NEW ACCOUNT'!A777="","",'NEW ACCOUNT'!D777)</f>
        <v/>
      </c>
      <c r="E776" t="str">
        <f>IF('NEW ACCOUNT'!A777="","",'NEW ACCOUNT'!E777)</f>
        <v/>
      </c>
      <c r="F776" t="str">
        <f>IF('NEW ACCOUNT'!A777="","",'NEW ACCOUNT'!F777)</f>
        <v/>
      </c>
      <c r="G776" t="str">
        <f>IF('NEW ACCOUNT'!A777="","",'NEW ACCOUNT'!G777)</f>
        <v/>
      </c>
      <c r="H776" t="str">
        <f>IF('NEW ACCOUNT'!A777="","",'NEW ACCOUNT'!H777)</f>
        <v/>
      </c>
      <c r="I776" t="str">
        <f>IF('NEW ACCOUNT'!A777="","",'NEW ACCOUNT'!I777)</f>
        <v/>
      </c>
      <c r="J776" t="str">
        <f>IF('NEW ACCOUNT'!A777="","",'NEW ACCOUNT'!J777)</f>
        <v/>
      </c>
      <c r="K776" t="str">
        <f>IFERROR(IF(A776="","",SUMIF(DB_Savings!$A:$A,A776,DB_Savings!$F:$F)),"")</f>
        <v/>
      </c>
      <c r="L776" t="str">
        <f>IFERROR(IF(A776="","",SUMIF(DB_Withdrawals!$A:$A,A776,DB_Withdrawals!$G:$G)),"")</f>
        <v/>
      </c>
      <c r="M776" t="str">
        <f>IFERROR(IF(A776="","",IFERROR(VALUE(H776),0)+IFERROR(SUMIF(DB_Savings!$A:$A,A776,DB_Savings!$F:$F),0)-IFERROR(SUMIF(DB_Withdrawals!$A:$A,A776,DB_Withdrawals!$G:$G),0)),"")</f>
        <v/>
      </c>
      <c r="N776" t="str">
        <f>IFERROR(IF(A776="","",MAX(0,M776-System_Config!$B$9)),"")</f>
        <v/>
      </c>
    </row>
    <row r="777" spans="1:14" ht="15" customHeight="1" x14ac:dyDescent="0.25">
      <c r="A777" t="str">
        <f>'NEW ACCOUNT'!A778</f>
        <v/>
      </c>
      <c r="B777" t="str">
        <f>IF('NEW ACCOUNT'!A778="","",'NEW ACCOUNT'!B778)</f>
        <v/>
      </c>
      <c r="C777" t="str">
        <f>IF('NEW ACCOUNT'!A778="","",'NEW ACCOUNT'!C778)</f>
        <v/>
      </c>
      <c r="D777" t="str">
        <f>IF('NEW ACCOUNT'!A778="","",'NEW ACCOUNT'!D778)</f>
        <v/>
      </c>
      <c r="E777" t="str">
        <f>IF('NEW ACCOUNT'!A778="","",'NEW ACCOUNT'!E778)</f>
        <v/>
      </c>
      <c r="F777" t="str">
        <f>IF('NEW ACCOUNT'!A778="","",'NEW ACCOUNT'!F778)</f>
        <v/>
      </c>
      <c r="G777" t="str">
        <f>IF('NEW ACCOUNT'!A778="","",'NEW ACCOUNT'!G778)</f>
        <v/>
      </c>
      <c r="H777" t="str">
        <f>IF('NEW ACCOUNT'!A778="","",'NEW ACCOUNT'!H778)</f>
        <v/>
      </c>
      <c r="I777" t="str">
        <f>IF('NEW ACCOUNT'!A778="","",'NEW ACCOUNT'!I778)</f>
        <v/>
      </c>
      <c r="J777" t="str">
        <f>IF('NEW ACCOUNT'!A778="","",'NEW ACCOUNT'!J778)</f>
        <v/>
      </c>
      <c r="K777" t="str">
        <f>IFERROR(IF(A777="","",SUMIF(DB_Savings!$A:$A,A777,DB_Savings!$F:$F)),"")</f>
        <v/>
      </c>
      <c r="L777" t="str">
        <f>IFERROR(IF(A777="","",SUMIF(DB_Withdrawals!$A:$A,A777,DB_Withdrawals!$G:$G)),"")</f>
        <v/>
      </c>
      <c r="M777" t="str">
        <f>IFERROR(IF(A777="","",IFERROR(VALUE(H777),0)+IFERROR(SUMIF(DB_Savings!$A:$A,A777,DB_Savings!$F:$F),0)-IFERROR(SUMIF(DB_Withdrawals!$A:$A,A777,DB_Withdrawals!$G:$G),0)),"")</f>
        <v/>
      </c>
      <c r="N777" t="str">
        <f>IFERROR(IF(A777="","",MAX(0,M777-System_Config!$B$9)),"")</f>
        <v/>
      </c>
    </row>
    <row r="778" spans="1:14" ht="15" customHeight="1" x14ac:dyDescent="0.25">
      <c r="A778" t="str">
        <f>'NEW ACCOUNT'!A779</f>
        <v/>
      </c>
      <c r="B778" t="str">
        <f>IF('NEW ACCOUNT'!A779="","",'NEW ACCOUNT'!B779)</f>
        <v/>
      </c>
      <c r="C778" t="str">
        <f>IF('NEW ACCOUNT'!A779="","",'NEW ACCOUNT'!C779)</f>
        <v/>
      </c>
      <c r="D778" t="str">
        <f>IF('NEW ACCOUNT'!A779="","",'NEW ACCOUNT'!D779)</f>
        <v/>
      </c>
      <c r="E778" t="str">
        <f>IF('NEW ACCOUNT'!A779="","",'NEW ACCOUNT'!E779)</f>
        <v/>
      </c>
      <c r="F778" t="str">
        <f>IF('NEW ACCOUNT'!A779="","",'NEW ACCOUNT'!F779)</f>
        <v/>
      </c>
      <c r="G778" t="str">
        <f>IF('NEW ACCOUNT'!A779="","",'NEW ACCOUNT'!G779)</f>
        <v/>
      </c>
      <c r="H778" t="str">
        <f>IF('NEW ACCOUNT'!A779="","",'NEW ACCOUNT'!H779)</f>
        <v/>
      </c>
      <c r="I778" t="str">
        <f>IF('NEW ACCOUNT'!A779="","",'NEW ACCOUNT'!I779)</f>
        <v/>
      </c>
      <c r="J778" t="str">
        <f>IF('NEW ACCOUNT'!A779="","",'NEW ACCOUNT'!J779)</f>
        <v/>
      </c>
      <c r="K778" t="str">
        <f>IFERROR(IF(A778="","",SUMIF(DB_Savings!$A:$A,A778,DB_Savings!$F:$F)),"")</f>
        <v/>
      </c>
      <c r="L778" t="str">
        <f>IFERROR(IF(A778="","",SUMIF(DB_Withdrawals!$A:$A,A778,DB_Withdrawals!$G:$G)),"")</f>
        <v/>
      </c>
      <c r="M778" t="str">
        <f>IFERROR(IF(A778="","",IFERROR(VALUE(H778),0)+IFERROR(SUMIF(DB_Savings!$A:$A,A778,DB_Savings!$F:$F),0)-IFERROR(SUMIF(DB_Withdrawals!$A:$A,A778,DB_Withdrawals!$G:$G),0)),"")</f>
        <v/>
      </c>
      <c r="N778" t="str">
        <f>IFERROR(IF(A778="","",MAX(0,M778-System_Config!$B$9)),"")</f>
        <v/>
      </c>
    </row>
    <row r="779" spans="1:14" ht="15" customHeight="1" x14ac:dyDescent="0.25">
      <c r="A779" t="str">
        <f>'NEW ACCOUNT'!A780</f>
        <v/>
      </c>
      <c r="B779" t="str">
        <f>IF('NEW ACCOUNT'!A780="","",'NEW ACCOUNT'!B780)</f>
        <v/>
      </c>
      <c r="C779" t="str">
        <f>IF('NEW ACCOUNT'!A780="","",'NEW ACCOUNT'!C780)</f>
        <v/>
      </c>
      <c r="D779" t="str">
        <f>IF('NEW ACCOUNT'!A780="","",'NEW ACCOUNT'!D780)</f>
        <v/>
      </c>
      <c r="E779" t="str">
        <f>IF('NEW ACCOUNT'!A780="","",'NEW ACCOUNT'!E780)</f>
        <v/>
      </c>
      <c r="F779" t="str">
        <f>IF('NEW ACCOUNT'!A780="","",'NEW ACCOUNT'!F780)</f>
        <v/>
      </c>
      <c r="G779" t="str">
        <f>IF('NEW ACCOUNT'!A780="","",'NEW ACCOUNT'!G780)</f>
        <v/>
      </c>
      <c r="H779" t="str">
        <f>IF('NEW ACCOUNT'!A780="","",'NEW ACCOUNT'!H780)</f>
        <v/>
      </c>
      <c r="I779" t="str">
        <f>IF('NEW ACCOUNT'!A780="","",'NEW ACCOUNT'!I780)</f>
        <v/>
      </c>
      <c r="J779" t="str">
        <f>IF('NEW ACCOUNT'!A780="","",'NEW ACCOUNT'!J780)</f>
        <v/>
      </c>
      <c r="K779" t="str">
        <f>IFERROR(IF(A779="","",SUMIF(DB_Savings!$A:$A,A779,DB_Savings!$F:$F)),"")</f>
        <v/>
      </c>
      <c r="L779" t="str">
        <f>IFERROR(IF(A779="","",SUMIF(DB_Withdrawals!$A:$A,A779,DB_Withdrawals!$G:$G)),"")</f>
        <v/>
      </c>
      <c r="M779" t="str">
        <f>IFERROR(IF(A779="","",IFERROR(VALUE(H779),0)+IFERROR(SUMIF(DB_Savings!$A:$A,A779,DB_Savings!$F:$F),0)-IFERROR(SUMIF(DB_Withdrawals!$A:$A,A779,DB_Withdrawals!$G:$G),0)),"")</f>
        <v/>
      </c>
      <c r="N779" t="str">
        <f>IFERROR(IF(A779="","",MAX(0,M779-System_Config!$B$9)),"")</f>
        <v/>
      </c>
    </row>
    <row r="780" spans="1:14" ht="15" customHeight="1" x14ac:dyDescent="0.25">
      <c r="A780" t="str">
        <f>'NEW ACCOUNT'!A781</f>
        <v/>
      </c>
      <c r="B780" t="str">
        <f>IF('NEW ACCOUNT'!A781="","",'NEW ACCOUNT'!B781)</f>
        <v/>
      </c>
      <c r="C780" t="str">
        <f>IF('NEW ACCOUNT'!A781="","",'NEW ACCOUNT'!C781)</f>
        <v/>
      </c>
      <c r="D780" t="str">
        <f>IF('NEW ACCOUNT'!A781="","",'NEW ACCOUNT'!D781)</f>
        <v/>
      </c>
      <c r="E780" t="str">
        <f>IF('NEW ACCOUNT'!A781="","",'NEW ACCOUNT'!E781)</f>
        <v/>
      </c>
      <c r="F780" t="str">
        <f>IF('NEW ACCOUNT'!A781="","",'NEW ACCOUNT'!F781)</f>
        <v/>
      </c>
      <c r="G780" t="str">
        <f>IF('NEW ACCOUNT'!A781="","",'NEW ACCOUNT'!G781)</f>
        <v/>
      </c>
      <c r="H780" t="str">
        <f>IF('NEW ACCOUNT'!A781="","",'NEW ACCOUNT'!H781)</f>
        <v/>
      </c>
      <c r="I780" t="str">
        <f>IF('NEW ACCOUNT'!A781="","",'NEW ACCOUNT'!I781)</f>
        <v/>
      </c>
      <c r="J780" t="str">
        <f>IF('NEW ACCOUNT'!A781="","",'NEW ACCOUNT'!J781)</f>
        <v/>
      </c>
      <c r="K780" t="str">
        <f>IFERROR(IF(A780="","",SUMIF(DB_Savings!$A:$A,A780,DB_Savings!$F:$F)),"")</f>
        <v/>
      </c>
      <c r="L780" t="str">
        <f>IFERROR(IF(A780="","",SUMIF(DB_Withdrawals!$A:$A,A780,DB_Withdrawals!$G:$G)),"")</f>
        <v/>
      </c>
      <c r="M780" t="str">
        <f>IFERROR(IF(A780="","",IFERROR(VALUE(H780),0)+IFERROR(SUMIF(DB_Savings!$A:$A,A780,DB_Savings!$F:$F),0)-IFERROR(SUMIF(DB_Withdrawals!$A:$A,A780,DB_Withdrawals!$G:$G),0)),"")</f>
        <v/>
      </c>
      <c r="N780" t="str">
        <f>IFERROR(IF(A780="","",MAX(0,M780-System_Config!$B$9)),"")</f>
        <v/>
      </c>
    </row>
    <row r="781" spans="1:14" ht="15" customHeight="1" x14ac:dyDescent="0.25">
      <c r="A781" t="str">
        <f>'NEW ACCOUNT'!A782</f>
        <v/>
      </c>
      <c r="B781" t="str">
        <f>IF('NEW ACCOUNT'!A782="","",'NEW ACCOUNT'!B782)</f>
        <v/>
      </c>
      <c r="C781" t="str">
        <f>IF('NEW ACCOUNT'!A782="","",'NEW ACCOUNT'!C782)</f>
        <v/>
      </c>
      <c r="D781" t="str">
        <f>IF('NEW ACCOUNT'!A782="","",'NEW ACCOUNT'!D782)</f>
        <v/>
      </c>
      <c r="E781" t="str">
        <f>IF('NEW ACCOUNT'!A782="","",'NEW ACCOUNT'!E782)</f>
        <v/>
      </c>
      <c r="F781" t="str">
        <f>IF('NEW ACCOUNT'!A782="","",'NEW ACCOUNT'!F782)</f>
        <v/>
      </c>
      <c r="G781" t="str">
        <f>IF('NEW ACCOUNT'!A782="","",'NEW ACCOUNT'!G782)</f>
        <v/>
      </c>
      <c r="H781" t="str">
        <f>IF('NEW ACCOUNT'!A782="","",'NEW ACCOUNT'!H782)</f>
        <v/>
      </c>
      <c r="I781" t="str">
        <f>IF('NEW ACCOUNT'!A782="","",'NEW ACCOUNT'!I782)</f>
        <v/>
      </c>
      <c r="J781" t="str">
        <f>IF('NEW ACCOUNT'!A782="","",'NEW ACCOUNT'!J782)</f>
        <v/>
      </c>
      <c r="K781" t="str">
        <f>IFERROR(IF(A781="","",SUMIF(DB_Savings!$A:$A,A781,DB_Savings!$F:$F)),"")</f>
        <v/>
      </c>
      <c r="L781" t="str">
        <f>IFERROR(IF(A781="","",SUMIF(DB_Withdrawals!$A:$A,A781,DB_Withdrawals!$G:$G)),"")</f>
        <v/>
      </c>
      <c r="M781" t="str">
        <f>IFERROR(IF(A781="","",IFERROR(VALUE(H781),0)+IFERROR(SUMIF(DB_Savings!$A:$A,A781,DB_Savings!$F:$F),0)-IFERROR(SUMIF(DB_Withdrawals!$A:$A,A781,DB_Withdrawals!$G:$G),0)),"")</f>
        <v/>
      </c>
      <c r="N781" t="str">
        <f>IFERROR(IF(A781="","",MAX(0,M781-System_Config!$B$9)),"")</f>
        <v/>
      </c>
    </row>
    <row r="782" spans="1:14" ht="15" customHeight="1" x14ac:dyDescent="0.25">
      <c r="A782" t="str">
        <f>'NEW ACCOUNT'!A783</f>
        <v/>
      </c>
      <c r="B782" t="str">
        <f>IF('NEW ACCOUNT'!A783="","",'NEW ACCOUNT'!B783)</f>
        <v/>
      </c>
      <c r="C782" t="str">
        <f>IF('NEW ACCOUNT'!A783="","",'NEW ACCOUNT'!C783)</f>
        <v/>
      </c>
      <c r="D782" t="str">
        <f>IF('NEW ACCOUNT'!A783="","",'NEW ACCOUNT'!D783)</f>
        <v/>
      </c>
      <c r="E782" t="str">
        <f>IF('NEW ACCOUNT'!A783="","",'NEW ACCOUNT'!E783)</f>
        <v/>
      </c>
      <c r="F782" t="str">
        <f>IF('NEW ACCOUNT'!A783="","",'NEW ACCOUNT'!F783)</f>
        <v/>
      </c>
      <c r="G782" t="str">
        <f>IF('NEW ACCOUNT'!A783="","",'NEW ACCOUNT'!G783)</f>
        <v/>
      </c>
      <c r="H782" t="str">
        <f>IF('NEW ACCOUNT'!A783="","",'NEW ACCOUNT'!H783)</f>
        <v/>
      </c>
      <c r="I782" t="str">
        <f>IF('NEW ACCOUNT'!A783="","",'NEW ACCOUNT'!I783)</f>
        <v/>
      </c>
      <c r="J782" t="str">
        <f>IF('NEW ACCOUNT'!A783="","",'NEW ACCOUNT'!J783)</f>
        <v/>
      </c>
      <c r="K782" t="str">
        <f>IFERROR(IF(A782="","",SUMIF(DB_Savings!$A:$A,A782,DB_Savings!$F:$F)),"")</f>
        <v/>
      </c>
      <c r="L782" t="str">
        <f>IFERROR(IF(A782="","",SUMIF(DB_Withdrawals!$A:$A,A782,DB_Withdrawals!$G:$G)),"")</f>
        <v/>
      </c>
      <c r="M782" t="str">
        <f>IFERROR(IF(A782="","",IFERROR(VALUE(H782),0)+IFERROR(SUMIF(DB_Savings!$A:$A,A782,DB_Savings!$F:$F),0)-IFERROR(SUMIF(DB_Withdrawals!$A:$A,A782,DB_Withdrawals!$G:$G),0)),"")</f>
        <v/>
      </c>
      <c r="N782" t="str">
        <f>IFERROR(IF(A782="","",MAX(0,M782-System_Config!$B$9)),"")</f>
        <v/>
      </c>
    </row>
    <row r="783" spans="1:14" ht="15" customHeight="1" x14ac:dyDescent="0.25">
      <c r="A783" t="str">
        <f>'NEW ACCOUNT'!A784</f>
        <v/>
      </c>
      <c r="B783" t="str">
        <f>IF('NEW ACCOUNT'!A784="","",'NEW ACCOUNT'!B784)</f>
        <v/>
      </c>
      <c r="C783" t="str">
        <f>IF('NEW ACCOUNT'!A784="","",'NEW ACCOUNT'!C784)</f>
        <v/>
      </c>
      <c r="D783" t="str">
        <f>IF('NEW ACCOUNT'!A784="","",'NEW ACCOUNT'!D784)</f>
        <v/>
      </c>
      <c r="E783" t="str">
        <f>IF('NEW ACCOUNT'!A784="","",'NEW ACCOUNT'!E784)</f>
        <v/>
      </c>
      <c r="F783" t="str">
        <f>IF('NEW ACCOUNT'!A784="","",'NEW ACCOUNT'!F784)</f>
        <v/>
      </c>
      <c r="G783" t="str">
        <f>IF('NEW ACCOUNT'!A784="","",'NEW ACCOUNT'!G784)</f>
        <v/>
      </c>
      <c r="H783" t="str">
        <f>IF('NEW ACCOUNT'!A784="","",'NEW ACCOUNT'!H784)</f>
        <v/>
      </c>
      <c r="I783" t="str">
        <f>IF('NEW ACCOUNT'!A784="","",'NEW ACCOUNT'!I784)</f>
        <v/>
      </c>
      <c r="J783" t="str">
        <f>IF('NEW ACCOUNT'!A784="","",'NEW ACCOUNT'!J784)</f>
        <v/>
      </c>
      <c r="K783" t="str">
        <f>IFERROR(IF(A783="","",SUMIF(DB_Savings!$A:$A,A783,DB_Savings!$F:$F)),"")</f>
        <v/>
      </c>
      <c r="L783" t="str">
        <f>IFERROR(IF(A783="","",SUMIF(DB_Withdrawals!$A:$A,A783,DB_Withdrawals!$G:$G)),"")</f>
        <v/>
      </c>
      <c r="M783" t="str">
        <f>IFERROR(IF(A783="","",IFERROR(VALUE(H783),0)+IFERROR(SUMIF(DB_Savings!$A:$A,A783,DB_Savings!$F:$F),0)-IFERROR(SUMIF(DB_Withdrawals!$A:$A,A783,DB_Withdrawals!$G:$G),0)),"")</f>
        <v/>
      </c>
      <c r="N783" t="str">
        <f>IFERROR(IF(A783="","",MAX(0,M783-System_Config!$B$9)),"")</f>
        <v/>
      </c>
    </row>
    <row r="784" spans="1:14" ht="15" customHeight="1" x14ac:dyDescent="0.25">
      <c r="A784" t="str">
        <f>'NEW ACCOUNT'!A785</f>
        <v/>
      </c>
      <c r="B784" t="str">
        <f>IF('NEW ACCOUNT'!A785="","",'NEW ACCOUNT'!B785)</f>
        <v/>
      </c>
      <c r="C784" t="str">
        <f>IF('NEW ACCOUNT'!A785="","",'NEW ACCOUNT'!C785)</f>
        <v/>
      </c>
      <c r="D784" t="str">
        <f>IF('NEW ACCOUNT'!A785="","",'NEW ACCOUNT'!D785)</f>
        <v/>
      </c>
      <c r="E784" t="str">
        <f>IF('NEW ACCOUNT'!A785="","",'NEW ACCOUNT'!E785)</f>
        <v/>
      </c>
      <c r="F784" t="str">
        <f>IF('NEW ACCOUNT'!A785="","",'NEW ACCOUNT'!F785)</f>
        <v/>
      </c>
      <c r="G784" t="str">
        <f>IF('NEW ACCOUNT'!A785="","",'NEW ACCOUNT'!G785)</f>
        <v/>
      </c>
      <c r="H784" t="str">
        <f>IF('NEW ACCOUNT'!A785="","",'NEW ACCOUNT'!H785)</f>
        <v/>
      </c>
      <c r="I784" t="str">
        <f>IF('NEW ACCOUNT'!A785="","",'NEW ACCOUNT'!I785)</f>
        <v/>
      </c>
      <c r="J784" t="str">
        <f>IF('NEW ACCOUNT'!A785="","",'NEW ACCOUNT'!J785)</f>
        <v/>
      </c>
      <c r="K784" t="str">
        <f>IFERROR(IF(A784="","",SUMIF(DB_Savings!$A:$A,A784,DB_Savings!$F:$F)),"")</f>
        <v/>
      </c>
      <c r="L784" t="str">
        <f>IFERROR(IF(A784="","",SUMIF(DB_Withdrawals!$A:$A,A784,DB_Withdrawals!$G:$G)),"")</f>
        <v/>
      </c>
      <c r="M784" t="str">
        <f>IFERROR(IF(A784="","",IFERROR(VALUE(H784),0)+IFERROR(SUMIF(DB_Savings!$A:$A,A784,DB_Savings!$F:$F),0)-IFERROR(SUMIF(DB_Withdrawals!$A:$A,A784,DB_Withdrawals!$G:$G),0)),"")</f>
        <v/>
      </c>
      <c r="N784" t="str">
        <f>IFERROR(IF(A784="","",MAX(0,M784-System_Config!$B$9)),"")</f>
        <v/>
      </c>
    </row>
    <row r="785" spans="1:14" ht="15" customHeight="1" x14ac:dyDescent="0.25">
      <c r="A785" t="str">
        <f>'NEW ACCOUNT'!A786</f>
        <v/>
      </c>
      <c r="B785" t="str">
        <f>IF('NEW ACCOUNT'!A786="","",'NEW ACCOUNT'!B786)</f>
        <v/>
      </c>
      <c r="C785" t="str">
        <f>IF('NEW ACCOUNT'!A786="","",'NEW ACCOUNT'!C786)</f>
        <v/>
      </c>
      <c r="D785" t="str">
        <f>IF('NEW ACCOUNT'!A786="","",'NEW ACCOUNT'!D786)</f>
        <v/>
      </c>
      <c r="E785" t="str">
        <f>IF('NEW ACCOUNT'!A786="","",'NEW ACCOUNT'!E786)</f>
        <v/>
      </c>
      <c r="F785" t="str">
        <f>IF('NEW ACCOUNT'!A786="","",'NEW ACCOUNT'!F786)</f>
        <v/>
      </c>
      <c r="G785" t="str">
        <f>IF('NEW ACCOUNT'!A786="","",'NEW ACCOUNT'!G786)</f>
        <v/>
      </c>
      <c r="H785" t="str">
        <f>IF('NEW ACCOUNT'!A786="","",'NEW ACCOUNT'!H786)</f>
        <v/>
      </c>
      <c r="I785" t="str">
        <f>IF('NEW ACCOUNT'!A786="","",'NEW ACCOUNT'!I786)</f>
        <v/>
      </c>
      <c r="J785" t="str">
        <f>IF('NEW ACCOUNT'!A786="","",'NEW ACCOUNT'!J786)</f>
        <v/>
      </c>
      <c r="K785" t="str">
        <f>IFERROR(IF(A785="","",SUMIF(DB_Savings!$A:$A,A785,DB_Savings!$F:$F)),"")</f>
        <v/>
      </c>
      <c r="L785" t="str">
        <f>IFERROR(IF(A785="","",SUMIF(DB_Withdrawals!$A:$A,A785,DB_Withdrawals!$G:$G)),"")</f>
        <v/>
      </c>
      <c r="M785" t="str">
        <f>IFERROR(IF(A785="","",IFERROR(VALUE(H785),0)+IFERROR(SUMIF(DB_Savings!$A:$A,A785,DB_Savings!$F:$F),0)-IFERROR(SUMIF(DB_Withdrawals!$A:$A,A785,DB_Withdrawals!$G:$G),0)),"")</f>
        <v/>
      </c>
      <c r="N785" t="str">
        <f>IFERROR(IF(A785="","",MAX(0,M785-System_Config!$B$9)),"")</f>
        <v/>
      </c>
    </row>
    <row r="786" spans="1:14" ht="15" customHeight="1" x14ac:dyDescent="0.25">
      <c r="A786" t="str">
        <f>'NEW ACCOUNT'!A787</f>
        <v/>
      </c>
      <c r="B786" t="str">
        <f>IF('NEW ACCOUNT'!A787="","",'NEW ACCOUNT'!B787)</f>
        <v/>
      </c>
      <c r="C786" t="str">
        <f>IF('NEW ACCOUNT'!A787="","",'NEW ACCOUNT'!C787)</f>
        <v/>
      </c>
      <c r="D786" t="str">
        <f>IF('NEW ACCOUNT'!A787="","",'NEW ACCOUNT'!D787)</f>
        <v/>
      </c>
      <c r="E786" t="str">
        <f>IF('NEW ACCOUNT'!A787="","",'NEW ACCOUNT'!E787)</f>
        <v/>
      </c>
      <c r="F786" t="str">
        <f>IF('NEW ACCOUNT'!A787="","",'NEW ACCOUNT'!F787)</f>
        <v/>
      </c>
      <c r="G786" t="str">
        <f>IF('NEW ACCOUNT'!A787="","",'NEW ACCOUNT'!G787)</f>
        <v/>
      </c>
      <c r="H786" t="str">
        <f>IF('NEW ACCOUNT'!A787="","",'NEW ACCOUNT'!H787)</f>
        <v/>
      </c>
      <c r="I786" t="str">
        <f>IF('NEW ACCOUNT'!A787="","",'NEW ACCOUNT'!I787)</f>
        <v/>
      </c>
      <c r="J786" t="str">
        <f>IF('NEW ACCOUNT'!A787="","",'NEW ACCOUNT'!J787)</f>
        <v/>
      </c>
      <c r="K786" t="str">
        <f>IFERROR(IF(A786="","",SUMIF(DB_Savings!$A:$A,A786,DB_Savings!$F:$F)),"")</f>
        <v/>
      </c>
      <c r="L786" t="str">
        <f>IFERROR(IF(A786="","",SUMIF(DB_Withdrawals!$A:$A,A786,DB_Withdrawals!$G:$G)),"")</f>
        <v/>
      </c>
      <c r="M786" t="str">
        <f>IFERROR(IF(A786="","",IFERROR(VALUE(H786),0)+IFERROR(SUMIF(DB_Savings!$A:$A,A786,DB_Savings!$F:$F),0)-IFERROR(SUMIF(DB_Withdrawals!$A:$A,A786,DB_Withdrawals!$G:$G),0)),"")</f>
        <v/>
      </c>
      <c r="N786" t="str">
        <f>IFERROR(IF(A786="","",MAX(0,M786-System_Config!$B$9)),"")</f>
        <v/>
      </c>
    </row>
    <row r="787" spans="1:14" ht="15" customHeight="1" x14ac:dyDescent="0.25">
      <c r="A787" t="str">
        <f>'NEW ACCOUNT'!A788</f>
        <v/>
      </c>
      <c r="B787" t="str">
        <f>IF('NEW ACCOUNT'!A788="","",'NEW ACCOUNT'!B788)</f>
        <v/>
      </c>
      <c r="C787" t="str">
        <f>IF('NEW ACCOUNT'!A788="","",'NEW ACCOUNT'!C788)</f>
        <v/>
      </c>
      <c r="D787" t="str">
        <f>IF('NEW ACCOUNT'!A788="","",'NEW ACCOUNT'!D788)</f>
        <v/>
      </c>
      <c r="E787" t="str">
        <f>IF('NEW ACCOUNT'!A788="","",'NEW ACCOUNT'!E788)</f>
        <v/>
      </c>
      <c r="F787" t="str">
        <f>IF('NEW ACCOUNT'!A788="","",'NEW ACCOUNT'!F788)</f>
        <v/>
      </c>
      <c r="G787" t="str">
        <f>IF('NEW ACCOUNT'!A788="","",'NEW ACCOUNT'!G788)</f>
        <v/>
      </c>
      <c r="H787" t="str">
        <f>IF('NEW ACCOUNT'!A788="","",'NEW ACCOUNT'!H788)</f>
        <v/>
      </c>
      <c r="I787" t="str">
        <f>IF('NEW ACCOUNT'!A788="","",'NEW ACCOUNT'!I788)</f>
        <v/>
      </c>
      <c r="J787" t="str">
        <f>IF('NEW ACCOUNT'!A788="","",'NEW ACCOUNT'!J788)</f>
        <v/>
      </c>
      <c r="K787" t="str">
        <f>IFERROR(IF(A787="","",SUMIF(DB_Savings!$A:$A,A787,DB_Savings!$F:$F)),"")</f>
        <v/>
      </c>
      <c r="L787" t="str">
        <f>IFERROR(IF(A787="","",SUMIF(DB_Withdrawals!$A:$A,A787,DB_Withdrawals!$G:$G)),"")</f>
        <v/>
      </c>
      <c r="M787" t="str">
        <f>IFERROR(IF(A787="","",IFERROR(VALUE(H787),0)+IFERROR(SUMIF(DB_Savings!$A:$A,A787,DB_Savings!$F:$F),0)-IFERROR(SUMIF(DB_Withdrawals!$A:$A,A787,DB_Withdrawals!$G:$G),0)),"")</f>
        <v/>
      </c>
      <c r="N787" t="str">
        <f>IFERROR(IF(A787="","",MAX(0,M787-System_Config!$B$9)),"")</f>
        <v/>
      </c>
    </row>
    <row r="788" spans="1:14" ht="15" customHeight="1" x14ac:dyDescent="0.25">
      <c r="A788" t="str">
        <f>'NEW ACCOUNT'!A789</f>
        <v/>
      </c>
      <c r="B788" t="str">
        <f>IF('NEW ACCOUNT'!A789="","",'NEW ACCOUNT'!B789)</f>
        <v/>
      </c>
      <c r="C788" t="str">
        <f>IF('NEW ACCOUNT'!A789="","",'NEW ACCOUNT'!C789)</f>
        <v/>
      </c>
      <c r="D788" t="str">
        <f>IF('NEW ACCOUNT'!A789="","",'NEW ACCOUNT'!D789)</f>
        <v/>
      </c>
      <c r="E788" t="str">
        <f>IF('NEW ACCOUNT'!A789="","",'NEW ACCOUNT'!E789)</f>
        <v/>
      </c>
      <c r="F788" t="str">
        <f>IF('NEW ACCOUNT'!A789="","",'NEW ACCOUNT'!F789)</f>
        <v/>
      </c>
      <c r="G788" t="str">
        <f>IF('NEW ACCOUNT'!A789="","",'NEW ACCOUNT'!G789)</f>
        <v/>
      </c>
      <c r="H788" t="str">
        <f>IF('NEW ACCOUNT'!A789="","",'NEW ACCOUNT'!H789)</f>
        <v/>
      </c>
      <c r="I788" t="str">
        <f>IF('NEW ACCOUNT'!A789="","",'NEW ACCOUNT'!I789)</f>
        <v/>
      </c>
      <c r="J788" t="str">
        <f>IF('NEW ACCOUNT'!A789="","",'NEW ACCOUNT'!J789)</f>
        <v/>
      </c>
      <c r="K788" t="str">
        <f>IFERROR(IF(A788="","",SUMIF(DB_Savings!$A:$A,A788,DB_Savings!$F:$F)),"")</f>
        <v/>
      </c>
      <c r="L788" t="str">
        <f>IFERROR(IF(A788="","",SUMIF(DB_Withdrawals!$A:$A,A788,DB_Withdrawals!$G:$G)),"")</f>
        <v/>
      </c>
      <c r="M788" t="str">
        <f>IFERROR(IF(A788="","",IFERROR(VALUE(H788),0)+IFERROR(SUMIF(DB_Savings!$A:$A,A788,DB_Savings!$F:$F),0)-IFERROR(SUMIF(DB_Withdrawals!$A:$A,A788,DB_Withdrawals!$G:$G),0)),"")</f>
        <v/>
      </c>
      <c r="N788" t="str">
        <f>IFERROR(IF(A788="","",MAX(0,M788-System_Config!$B$9)),"")</f>
        <v/>
      </c>
    </row>
    <row r="789" spans="1:14" ht="15" customHeight="1" x14ac:dyDescent="0.25">
      <c r="A789" t="str">
        <f>'NEW ACCOUNT'!A790</f>
        <v/>
      </c>
      <c r="B789" t="str">
        <f>IF('NEW ACCOUNT'!A790="","",'NEW ACCOUNT'!B790)</f>
        <v/>
      </c>
      <c r="C789" t="str">
        <f>IF('NEW ACCOUNT'!A790="","",'NEW ACCOUNT'!C790)</f>
        <v/>
      </c>
      <c r="D789" t="str">
        <f>IF('NEW ACCOUNT'!A790="","",'NEW ACCOUNT'!D790)</f>
        <v/>
      </c>
      <c r="E789" t="str">
        <f>IF('NEW ACCOUNT'!A790="","",'NEW ACCOUNT'!E790)</f>
        <v/>
      </c>
      <c r="F789" t="str">
        <f>IF('NEW ACCOUNT'!A790="","",'NEW ACCOUNT'!F790)</f>
        <v/>
      </c>
      <c r="G789" t="str">
        <f>IF('NEW ACCOUNT'!A790="","",'NEW ACCOUNT'!G790)</f>
        <v/>
      </c>
      <c r="H789" t="str">
        <f>IF('NEW ACCOUNT'!A790="","",'NEW ACCOUNT'!H790)</f>
        <v/>
      </c>
      <c r="I789" t="str">
        <f>IF('NEW ACCOUNT'!A790="","",'NEW ACCOUNT'!I790)</f>
        <v/>
      </c>
      <c r="J789" t="str">
        <f>IF('NEW ACCOUNT'!A790="","",'NEW ACCOUNT'!J790)</f>
        <v/>
      </c>
      <c r="K789" t="str">
        <f>IFERROR(IF(A789="","",SUMIF(DB_Savings!$A:$A,A789,DB_Savings!$F:$F)),"")</f>
        <v/>
      </c>
      <c r="L789" t="str">
        <f>IFERROR(IF(A789="","",SUMIF(DB_Withdrawals!$A:$A,A789,DB_Withdrawals!$G:$G)),"")</f>
        <v/>
      </c>
      <c r="M789" t="str">
        <f>IFERROR(IF(A789="","",IFERROR(VALUE(H789),0)+IFERROR(SUMIF(DB_Savings!$A:$A,A789,DB_Savings!$F:$F),0)-IFERROR(SUMIF(DB_Withdrawals!$A:$A,A789,DB_Withdrawals!$G:$G),0)),"")</f>
        <v/>
      </c>
      <c r="N789" t="str">
        <f>IFERROR(IF(A789="","",MAX(0,M789-System_Config!$B$9)),"")</f>
        <v/>
      </c>
    </row>
    <row r="790" spans="1:14" ht="15" customHeight="1" x14ac:dyDescent="0.25">
      <c r="A790" t="str">
        <f>'NEW ACCOUNT'!A791</f>
        <v/>
      </c>
      <c r="B790" t="str">
        <f>IF('NEW ACCOUNT'!A791="","",'NEW ACCOUNT'!B791)</f>
        <v/>
      </c>
      <c r="C790" t="str">
        <f>IF('NEW ACCOUNT'!A791="","",'NEW ACCOUNT'!C791)</f>
        <v/>
      </c>
      <c r="D790" t="str">
        <f>IF('NEW ACCOUNT'!A791="","",'NEW ACCOUNT'!D791)</f>
        <v/>
      </c>
      <c r="E790" t="str">
        <f>IF('NEW ACCOUNT'!A791="","",'NEW ACCOUNT'!E791)</f>
        <v/>
      </c>
      <c r="F790" t="str">
        <f>IF('NEW ACCOUNT'!A791="","",'NEW ACCOUNT'!F791)</f>
        <v/>
      </c>
      <c r="G790" t="str">
        <f>IF('NEW ACCOUNT'!A791="","",'NEW ACCOUNT'!G791)</f>
        <v/>
      </c>
      <c r="H790" t="str">
        <f>IF('NEW ACCOUNT'!A791="","",'NEW ACCOUNT'!H791)</f>
        <v/>
      </c>
      <c r="I790" t="str">
        <f>IF('NEW ACCOUNT'!A791="","",'NEW ACCOUNT'!I791)</f>
        <v/>
      </c>
      <c r="J790" t="str">
        <f>IF('NEW ACCOUNT'!A791="","",'NEW ACCOUNT'!J791)</f>
        <v/>
      </c>
      <c r="K790" t="str">
        <f>IFERROR(IF(A790="","",SUMIF(DB_Savings!$A:$A,A790,DB_Savings!$F:$F)),"")</f>
        <v/>
      </c>
      <c r="L790" t="str">
        <f>IFERROR(IF(A790="","",SUMIF(DB_Withdrawals!$A:$A,A790,DB_Withdrawals!$G:$G)),"")</f>
        <v/>
      </c>
      <c r="M790" t="str">
        <f>IFERROR(IF(A790="","",IFERROR(VALUE(H790),0)+IFERROR(SUMIF(DB_Savings!$A:$A,A790,DB_Savings!$F:$F),0)-IFERROR(SUMIF(DB_Withdrawals!$A:$A,A790,DB_Withdrawals!$G:$G),0)),"")</f>
        <v/>
      </c>
      <c r="N790" t="str">
        <f>IFERROR(IF(A790="","",MAX(0,M790-System_Config!$B$9)),"")</f>
        <v/>
      </c>
    </row>
    <row r="791" spans="1:14" ht="15" customHeight="1" x14ac:dyDescent="0.25">
      <c r="A791" t="str">
        <f>'NEW ACCOUNT'!A792</f>
        <v/>
      </c>
      <c r="B791" t="str">
        <f>IF('NEW ACCOUNT'!A792="","",'NEW ACCOUNT'!B792)</f>
        <v/>
      </c>
      <c r="C791" t="str">
        <f>IF('NEW ACCOUNT'!A792="","",'NEW ACCOUNT'!C792)</f>
        <v/>
      </c>
      <c r="D791" t="str">
        <f>IF('NEW ACCOUNT'!A792="","",'NEW ACCOUNT'!D792)</f>
        <v/>
      </c>
      <c r="E791" t="str">
        <f>IF('NEW ACCOUNT'!A792="","",'NEW ACCOUNT'!E792)</f>
        <v/>
      </c>
      <c r="F791" t="str">
        <f>IF('NEW ACCOUNT'!A792="","",'NEW ACCOUNT'!F792)</f>
        <v/>
      </c>
      <c r="G791" t="str">
        <f>IF('NEW ACCOUNT'!A792="","",'NEW ACCOUNT'!G792)</f>
        <v/>
      </c>
      <c r="H791" t="str">
        <f>IF('NEW ACCOUNT'!A792="","",'NEW ACCOUNT'!H792)</f>
        <v/>
      </c>
      <c r="I791" t="str">
        <f>IF('NEW ACCOUNT'!A792="","",'NEW ACCOUNT'!I792)</f>
        <v/>
      </c>
      <c r="J791" t="str">
        <f>IF('NEW ACCOUNT'!A792="","",'NEW ACCOUNT'!J792)</f>
        <v/>
      </c>
      <c r="K791" t="str">
        <f>IFERROR(IF(A791="","",SUMIF(DB_Savings!$A:$A,A791,DB_Savings!$F:$F)),"")</f>
        <v/>
      </c>
      <c r="L791" t="str">
        <f>IFERROR(IF(A791="","",SUMIF(DB_Withdrawals!$A:$A,A791,DB_Withdrawals!$G:$G)),"")</f>
        <v/>
      </c>
      <c r="M791" t="str">
        <f>IFERROR(IF(A791="","",IFERROR(VALUE(H791),0)+IFERROR(SUMIF(DB_Savings!$A:$A,A791,DB_Savings!$F:$F),0)-IFERROR(SUMIF(DB_Withdrawals!$A:$A,A791,DB_Withdrawals!$G:$G),0)),"")</f>
        <v/>
      </c>
      <c r="N791" t="str">
        <f>IFERROR(IF(A791="","",MAX(0,M791-System_Config!$B$9)),"")</f>
        <v/>
      </c>
    </row>
    <row r="792" spans="1:14" ht="15" customHeight="1" x14ac:dyDescent="0.25">
      <c r="A792" t="str">
        <f>'NEW ACCOUNT'!A793</f>
        <v/>
      </c>
      <c r="B792" t="str">
        <f>IF('NEW ACCOUNT'!A793="","",'NEW ACCOUNT'!B793)</f>
        <v/>
      </c>
      <c r="C792" t="str">
        <f>IF('NEW ACCOUNT'!A793="","",'NEW ACCOUNT'!C793)</f>
        <v/>
      </c>
      <c r="D792" t="str">
        <f>IF('NEW ACCOUNT'!A793="","",'NEW ACCOUNT'!D793)</f>
        <v/>
      </c>
      <c r="E792" t="str">
        <f>IF('NEW ACCOUNT'!A793="","",'NEW ACCOUNT'!E793)</f>
        <v/>
      </c>
      <c r="F792" t="str">
        <f>IF('NEW ACCOUNT'!A793="","",'NEW ACCOUNT'!F793)</f>
        <v/>
      </c>
      <c r="G792" t="str">
        <f>IF('NEW ACCOUNT'!A793="","",'NEW ACCOUNT'!G793)</f>
        <v/>
      </c>
      <c r="H792" t="str">
        <f>IF('NEW ACCOUNT'!A793="","",'NEW ACCOUNT'!H793)</f>
        <v/>
      </c>
      <c r="I792" t="str">
        <f>IF('NEW ACCOUNT'!A793="","",'NEW ACCOUNT'!I793)</f>
        <v/>
      </c>
      <c r="J792" t="str">
        <f>IF('NEW ACCOUNT'!A793="","",'NEW ACCOUNT'!J793)</f>
        <v/>
      </c>
      <c r="K792" t="str">
        <f>IFERROR(IF(A792="","",SUMIF(DB_Savings!$A:$A,A792,DB_Savings!$F:$F)),"")</f>
        <v/>
      </c>
      <c r="L792" t="str">
        <f>IFERROR(IF(A792="","",SUMIF(DB_Withdrawals!$A:$A,A792,DB_Withdrawals!$G:$G)),"")</f>
        <v/>
      </c>
      <c r="M792" t="str">
        <f>IFERROR(IF(A792="","",IFERROR(VALUE(H792),0)+IFERROR(SUMIF(DB_Savings!$A:$A,A792,DB_Savings!$F:$F),0)-IFERROR(SUMIF(DB_Withdrawals!$A:$A,A792,DB_Withdrawals!$G:$G),0)),"")</f>
        <v/>
      </c>
      <c r="N792" t="str">
        <f>IFERROR(IF(A792="","",MAX(0,M792-System_Config!$B$9)),"")</f>
        <v/>
      </c>
    </row>
    <row r="793" spans="1:14" ht="15" customHeight="1" x14ac:dyDescent="0.25">
      <c r="A793" t="str">
        <f>'NEW ACCOUNT'!A794</f>
        <v/>
      </c>
      <c r="B793" t="str">
        <f>IF('NEW ACCOUNT'!A794="","",'NEW ACCOUNT'!B794)</f>
        <v/>
      </c>
      <c r="C793" t="str">
        <f>IF('NEW ACCOUNT'!A794="","",'NEW ACCOUNT'!C794)</f>
        <v/>
      </c>
      <c r="D793" t="str">
        <f>IF('NEW ACCOUNT'!A794="","",'NEW ACCOUNT'!D794)</f>
        <v/>
      </c>
      <c r="E793" t="str">
        <f>IF('NEW ACCOUNT'!A794="","",'NEW ACCOUNT'!E794)</f>
        <v/>
      </c>
      <c r="F793" t="str">
        <f>IF('NEW ACCOUNT'!A794="","",'NEW ACCOUNT'!F794)</f>
        <v/>
      </c>
      <c r="G793" t="str">
        <f>IF('NEW ACCOUNT'!A794="","",'NEW ACCOUNT'!G794)</f>
        <v/>
      </c>
      <c r="H793" t="str">
        <f>IF('NEW ACCOUNT'!A794="","",'NEW ACCOUNT'!H794)</f>
        <v/>
      </c>
      <c r="I793" t="str">
        <f>IF('NEW ACCOUNT'!A794="","",'NEW ACCOUNT'!I794)</f>
        <v/>
      </c>
      <c r="J793" t="str">
        <f>IF('NEW ACCOUNT'!A794="","",'NEW ACCOUNT'!J794)</f>
        <v/>
      </c>
      <c r="K793" t="str">
        <f>IFERROR(IF(A793="","",SUMIF(DB_Savings!$A:$A,A793,DB_Savings!$F:$F)),"")</f>
        <v/>
      </c>
      <c r="L793" t="str">
        <f>IFERROR(IF(A793="","",SUMIF(DB_Withdrawals!$A:$A,A793,DB_Withdrawals!$G:$G)),"")</f>
        <v/>
      </c>
      <c r="M793" t="str">
        <f>IFERROR(IF(A793="","",IFERROR(VALUE(H793),0)+IFERROR(SUMIF(DB_Savings!$A:$A,A793,DB_Savings!$F:$F),0)-IFERROR(SUMIF(DB_Withdrawals!$A:$A,A793,DB_Withdrawals!$G:$G),0)),"")</f>
        <v/>
      </c>
      <c r="N793" t="str">
        <f>IFERROR(IF(A793="","",MAX(0,M793-System_Config!$B$9)),"")</f>
        <v/>
      </c>
    </row>
    <row r="794" spans="1:14" ht="15" customHeight="1" x14ac:dyDescent="0.25">
      <c r="A794" t="str">
        <f>'NEW ACCOUNT'!A795</f>
        <v/>
      </c>
      <c r="B794" t="str">
        <f>IF('NEW ACCOUNT'!A795="","",'NEW ACCOUNT'!B795)</f>
        <v/>
      </c>
      <c r="C794" t="str">
        <f>IF('NEW ACCOUNT'!A795="","",'NEW ACCOUNT'!C795)</f>
        <v/>
      </c>
      <c r="D794" t="str">
        <f>IF('NEW ACCOUNT'!A795="","",'NEW ACCOUNT'!D795)</f>
        <v/>
      </c>
      <c r="E794" t="str">
        <f>IF('NEW ACCOUNT'!A795="","",'NEW ACCOUNT'!E795)</f>
        <v/>
      </c>
      <c r="F794" t="str">
        <f>IF('NEW ACCOUNT'!A795="","",'NEW ACCOUNT'!F795)</f>
        <v/>
      </c>
      <c r="G794" t="str">
        <f>IF('NEW ACCOUNT'!A795="","",'NEW ACCOUNT'!G795)</f>
        <v/>
      </c>
      <c r="H794" t="str">
        <f>IF('NEW ACCOUNT'!A795="","",'NEW ACCOUNT'!H795)</f>
        <v/>
      </c>
      <c r="I794" t="str">
        <f>IF('NEW ACCOUNT'!A795="","",'NEW ACCOUNT'!I795)</f>
        <v/>
      </c>
      <c r="J794" t="str">
        <f>IF('NEW ACCOUNT'!A795="","",'NEW ACCOUNT'!J795)</f>
        <v/>
      </c>
      <c r="K794" t="str">
        <f>IFERROR(IF(A794="","",SUMIF(DB_Savings!$A:$A,A794,DB_Savings!$F:$F)),"")</f>
        <v/>
      </c>
      <c r="L794" t="str">
        <f>IFERROR(IF(A794="","",SUMIF(DB_Withdrawals!$A:$A,A794,DB_Withdrawals!$G:$G)),"")</f>
        <v/>
      </c>
      <c r="M794" t="str">
        <f>IFERROR(IF(A794="","",IFERROR(VALUE(H794),0)+IFERROR(SUMIF(DB_Savings!$A:$A,A794,DB_Savings!$F:$F),0)-IFERROR(SUMIF(DB_Withdrawals!$A:$A,A794,DB_Withdrawals!$G:$G),0)),"")</f>
        <v/>
      </c>
      <c r="N794" t="str">
        <f>IFERROR(IF(A794="","",MAX(0,M794-System_Config!$B$9)),"")</f>
        <v/>
      </c>
    </row>
    <row r="795" spans="1:14" ht="15" customHeight="1" x14ac:dyDescent="0.25">
      <c r="A795" t="str">
        <f>'NEW ACCOUNT'!A796</f>
        <v/>
      </c>
      <c r="B795" t="str">
        <f>IF('NEW ACCOUNT'!A796="","",'NEW ACCOUNT'!B796)</f>
        <v/>
      </c>
      <c r="C795" t="str">
        <f>IF('NEW ACCOUNT'!A796="","",'NEW ACCOUNT'!C796)</f>
        <v/>
      </c>
      <c r="D795" t="str">
        <f>IF('NEW ACCOUNT'!A796="","",'NEW ACCOUNT'!D796)</f>
        <v/>
      </c>
      <c r="E795" t="str">
        <f>IF('NEW ACCOUNT'!A796="","",'NEW ACCOUNT'!E796)</f>
        <v/>
      </c>
      <c r="F795" t="str">
        <f>IF('NEW ACCOUNT'!A796="","",'NEW ACCOUNT'!F796)</f>
        <v/>
      </c>
      <c r="G795" t="str">
        <f>IF('NEW ACCOUNT'!A796="","",'NEW ACCOUNT'!G796)</f>
        <v/>
      </c>
      <c r="H795" t="str">
        <f>IF('NEW ACCOUNT'!A796="","",'NEW ACCOUNT'!H796)</f>
        <v/>
      </c>
      <c r="I795" t="str">
        <f>IF('NEW ACCOUNT'!A796="","",'NEW ACCOUNT'!I796)</f>
        <v/>
      </c>
      <c r="J795" t="str">
        <f>IF('NEW ACCOUNT'!A796="","",'NEW ACCOUNT'!J796)</f>
        <v/>
      </c>
      <c r="K795" t="str">
        <f>IFERROR(IF(A795="","",SUMIF(DB_Savings!$A:$A,A795,DB_Savings!$F:$F)),"")</f>
        <v/>
      </c>
      <c r="L795" t="str">
        <f>IFERROR(IF(A795="","",SUMIF(DB_Withdrawals!$A:$A,A795,DB_Withdrawals!$G:$G)),"")</f>
        <v/>
      </c>
      <c r="M795" t="str">
        <f>IFERROR(IF(A795="","",IFERROR(VALUE(H795),0)+IFERROR(SUMIF(DB_Savings!$A:$A,A795,DB_Savings!$F:$F),0)-IFERROR(SUMIF(DB_Withdrawals!$A:$A,A795,DB_Withdrawals!$G:$G),0)),"")</f>
        <v/>
      </c>
      <c r="N795" t="str">
        <f>IFERROR(IF(A795="","",MAX(0,M795-System_Config!$B$9)),"")</f>
        <v/>
      </c>
    </row>
    <row r="796" spans="1:14" ht="15" customHeight="1" x14ac:dyDescent="0.25">
      <c r="A796" t="str">
        <f>'NEW ACCOUNT'!A797</f>
        <v/>
      </c>
      <c r="B796" t="str">
        <f>IF('NEW ACCOUNT'!A797="","",'NEW ACCOUNT'!B797)</f>
        <v/>
      </c>
      <c r="C796" t="str">
        <f>IF('NEW ACCOUNT'!A797="","",'NEW ACCOUNT'!C797)</f>
        <v/>
      </c>
      <c r="D796" t="str">
        <f>IF('NEW ACCOUNT'!A797="","",'NEW ACCOUNT'!D797)</f>
        <v/>
      </c>
      <c r="E796" t="str">
        <f>IF('NEW ACCOUNT'!A797="","",'NEW ACCOUNT'!E797)</f>
        <v/>
      </c>
      <c r="F796" t="str">
        <f>IF('NEW ACCOUNT'!A797="","",'NEW ACCOUNT'!F797)</f>
        <v/>
      </c>
      <c r="G796" t="str">
        <f>IF('NEW ACCOUNT'!A797="","",'NEW ACCOUNT'!G797)</f>
        <v/>
      </c>
      <c r="H796" t="str">
        <f>IF('NEW ACCOUNT'!A797="","",'NEW ACCOUNT'!H797)</f>
        <v/>
      </c>
      <c r="I796" t="str">
        <f>IF('NEW ACCOUNT'!A797="","",'NEW ACCOUNT'!I797)</f>
        <v/>
      </c>
      <c r="J796" t="str">
        <f>IF('NEW ACCOUNT'!A797="","",'NEW ACCOUNT'!J797)</f>
        <v/>
      </c>
      <c r="K796" t="str">
        <f>IFERROR(IF(A796="","",SUMIF(DB_Savings!$A:$A,A796,DB_Savings!$F:$F)),"")</f>
        <v/>
      </c>
      <c r="L796" t="str">
        <f>IFERROR(IF(A796="","",SUMIF(DB_Withdrawals!$A:$A,A796,DB_Withdrawals!$G:$G)),"")</f>
        <v/>
      </c>
      <c r="M796" t="str">
        <f>IFERROR(IF(A796="","",IFERROR(VALUE(H796),0)+IFERROR(SUMIF(DB_Savings!$A:$A,A796,DB_Savings!$F:$F),0)-IFERROR(SUMIF(DB_Withdrawals!$A:$A,A796,DB_Withdrawals!$G:$G),0)),"")</f>
        <v/>
      </c>
      <c r="N796" t="str">
        <f>IFERROR(IF(A796="","",MAX(0,M796-System_Config!$B$9)),"")</f>
        <v/>
      </c>
    </row>
    <row r="797" spans="1:14" ht="15" customHeight="1" x14ac:dyDescent="0.25">
      <c r="A797" t="str">
        <f>'NEW ACCOUNT'!A798</f>
        <v/>
      </c>
      <c r="B797" t="str">
        <f>IF('NEW ACCOUNT'!A798="","",'NEW ACCOUNT'!B798)</f>
        <v/>
      </c>
      <c r="C797" t="str">
        <f>IF('NEW ACCOUNT'!A798="","",'NEW ACCOUNT'!C798)</f>
        <v/>
      </c>
      <c r="D797" t="str">
        <f>IF('NEW ACCOUNT'!A798="","",'NEW ACCOUNT'!D798)</f>
        <v/>
      </c>
      <c r="E797" t="str">
        <f>IF('NEW ACCOUNT'!A798="","",'NEW ACCOUNT'!E798)</f>
        <v/>
      </c>
      <c r="F797" t="str">
        <f>IF('NEW ACCOUNT'!A798="","",'NEW ACCOUNT'!F798)</f>
        <v/>
      </c>
      <c r="G797" t="str">
        <f>IF('NEW ACCOUNT'!A798="","",'NEW ACCOUNT'!G798)</f>
        <v/>
      </c>
      <c r="H797" t="str">
        <f>IF('NEW ACCOUNT'!A798="","",'NEW ACCOUNT'!H798)</f>
        <v/>
      </c>
      <c r="I797" t="str">
        <f>IF('NEW ACCOUNT'!A798="","",'NEW ACCOUNT'!I798)</f>
        <v/>
      </c>
      <c r="J797" t="str">
        <f>IF('NEW ACCOUNT'!A798="","",'NEW ACCOUNT'!J798)</f>
        <v/>
      </c>
      <c r="K797" t="str">
        <f>IFERROR(IF(A797="","",SUMIF(DB_Savings!$A:$A,A797,DB_Savings!$F:$F)),"")</f>
        <v/>
      </c>
      <c r="L797" t="str">
        <f>IFERROR(IF(A797="","",SUMIF(DB_Withdrawals!$A:$A,A797,DB_Withdrawals!$G:$G)),"")</f>
        <v/>
      </c>
      <c r="M797" t="str">
        <f>IFERROR(IF(A797="","",IFERROR(VALUE(H797),0)+IFERROR(SUMIF(DB_Savings!$A:$A,A797,DB_Savings!$F:$F),0)-IFERROR(SUMIF(DB_Withdrawals!$A:$A,A797,DB_Withdrawals!$G:$G),0)),"")</f>
        <v/>
      </c>
      <c r="N797" t="str">
        <f>IFERROR(IF(A797="","",MAX(0,M797-System_Config!$B$9)),"")</f>
        <v/>
      </c>
    </row>
    <row r="798" spans="1:14" ht="15" customHeight="1" x14ac:dyDescent="0.25">
      <c r="A798" t="str">
        <f>'NEW ACCOUNT'!A799</f>
        <v/>
      </c>
      <c r="B798" t="str">
        <f>IF('NEW ACCOUNT'!A799="","",'NEW ACCOUNT'!B799)</f>
        <v/>
      </c>
      <c r="C798" t="str">
        <f>IF('NEW ACCOUNT'!A799="","",'NEW ACCOUNT'!C799)</f>
        <v/>
      </c>
      <c r="D798" t="str">
        <f>IF('NEW ACCOUNT'!A799="","",'NEW ACCOUNT'!D799)</f>
        <v/>
      </c>
      <c r="E798" t="str">
        <f>IF('NEW ACCOUNT'!A799="","",'NEW ACCOUNT'!E799)</f>
        <v/>
      </c>
      <c r="F798" t="str">
        <f>IF('NEW ACCOUNT'!A799="","",'NEW ACCOUNT'!F799)</f>
        <v/>
      </c>
      <c r="G798" t="str">
        <f>IF('NEW ACCOUNT'!A799="","",'NEW ACCOUNT'!G799)</f>
        <v/>
      </c>
      <c r="H798" t="str">
        <f>IF('NEW ACCOUNT'!A799="","",'NEW ACCOUNT'!H799)</f>
        <v/>
      </c>
      <c r="I798" t="str">
        <f>IF('NEW ACCOUNT'!A799="","",'NEW ACCOUNT'!I799)</f>
        <v/>
      </c>
      <c r="J798" t="str">
        <f>IF('NEW ACCOUNT'!A799="","",'NEW ACCOUNT'!J799)</f>
        <v/>
      </c>
      <c r="K798" t="str">
        <f>IFERROR(IF(A798="","",SUMIF(DB_Savings!$A:$A,A798,DB_Savings!$F:$F)),"")</f>
        <v/>
      </c>
      <c r="L798" t="str">
        <f>IFERROR(IF(A798="","",SUMIF(DB_Withdrawals!$A:$A,A798,DB_Withdrawals!$G:$G)),"")</f>
        <v/>
      </c>
      <c r="M798" t="str">
        <f>IFERROR(IF(A798="","",IFERROR(VALUE(H798),0)+IFERROR(SUMIF(DB_Savings!$A:$A,A798,DB_Savings!$F:$F),0)-IFERROR(SUMIF(DB_Withdrawals!$A:$A,A798,DB_Withdrawals!$G:$G),0)),"")</f>
        <v/>
      </c>
      <c r="N798" t="str">
        <f>IFERROR(IF(A798="","",MAX(0,M798-System_Config!$B$9)),"")</f>
        <v/>
      </c>
    </row>
    <row r="799" spans="1:14" ht="15" customHeight="1" x14ac:dyDescent="0.25">
      <c r="A799" t="str">
        <f>'NEW ACCOUNT'!A800</f>
        <v/>
      </c>
      <c r="B799" t="str">
        <f>IF('NEW ACCOUNT'!A800="","",'NEW ACCOUNT'!B800)</f>
        <v/>
      </c>
      <c r="C799" t="str">
        <f>IF('NEW ACCOUNT'!A800="","",'NEW ACCOUNT'!C800)</f>
        <v/>
      </c>
      <c r="D799" t="str">
        <f>IF('NEW ACCOUNT'!A800="","",'NEW ACCOUNT'!D800)</f>
        <v/>
      </c>
      <c r="E799" t="str">
        <f>IF('NEW ACCOUNT'!A800="","",'NEW ACCOUNT'!E800)</f>
        <v/>
      </c>
      <c r="F799" t="str">
        <f>IF('NEW ACCOUNT'!A800="","",'NEW ACCOUNT'!F800)</f>
        <v/>
      </c>
      <c r="G799" t="str">
        <f>IF('NEW ACCOUNT'!A800="","",'NEW ACCOUNT'!G800)</f>
        <v/>
      </c>
      <c r="H799" t="str">
        <f>IF('NEW ACCOUNT'!A800="","",'NEW ACCOUNT'!H800)</f>
        <v/>
      </c>
      <c r="I799" t="str">
        <f>IF('NEW ACCOUNT'!A800="","",'NEW ACCOUNT'!I800)</f>
        <v/>
      </c>
      <c r="J799" t="str">
        <f>IF('NEW ACCOUNT'!A800="","",'NEW ACCOUNT'!J800)</f>
        <v/>
      </c>
      <c r="K799" t="str">
        <f>IFERROR(IF(A799="","",SUMIF(DB_Savings!$A:$A,A799,DB_Savings!$F:$F)),"")</f>
        <v/>
      </c>
      <c r="L799" t="str">
        <f>IFERROR(IF(A799="","",SUMIF(DB_Withdrawals!$A:$A,A799,DB_Withdrawals!$G:$G)),"")</f>
        <v/>
      </c>
      <c r="M799" t="str">
        <f>IFERROR(IF(A799="","",IFERROR(VALUE(H799),0)+IFERROR(SUMIF(DB_Savings!$A:$A,A799,DB_Savings!$F:$F),0)-IFERROR(SUMIF(DB_Withdrawals!$A:$A,A799,DB_Withdrawals!$G:$G),0)),"")</f>
        <v/>
      </c>
      <c r="N799" t="str">
        <f>IFERROR(IF(A799="","",MAX(0,M799-System_Config!$B$9)),"")</f>
        <v/>
      </c>
    </row>
    <row r="800" spans="1:14" ht="15" customHeight="1" x14ac:dyDescent="0.25">
      <c r="A800" t="str">
        <f>'NEW ACCOUNT'!A801</f>
        <v/>
      </c>
      <c r="B800" t="str">
        <f>IF('NEW ACCOUNT'!A801="","",'NEW ACCOUNT'!B801)</f>
        <v/>
      </c>
      <c r="C800" t="str">
        <f>IF('NEW ACCOUNT'!A801="","",'NEW ACCOUNT'!C801)</f>
        <v/>
      </c>
      <c r="D800" t="str">
        <f>IF('NEW ACCOUNT'!A801="","",'NEW ACCOUNT'!D801)</f>
        <v/>
      </c>
      <c r="E800" t="str">
        <f>IF('NEW ACCOUNT'!A801="","",'NEW ACCOUNT'!E801)</f>
        <v/>
      </c>
      <c r="F800" t="str">
        <f>IF('NEW ACCOUNT'!A801="","",'NEW ACCOUNT'!F801)</f>
        <v/>
      </c>
      <c r="G800" t="str">
        <f>IF('NEW ACCOUNT'!A801="","",'NEW ACCOUNT'!G801)</f>
        <v/>
      </c>
      <c r="H800" t="str">
        <f>IF('NEW ACCOUNT'!A801="","",'NEW ACCOUNT'!H801)</f>
        <v/>
      </c>
      <c r="I800" t="str">
        <f>IF('NEW ACCOUNT'!A801="","",'NEW ACCOUNT'!I801)</f>
        <v/>
      </c>
      <c r="J800" t="str">
        <f>IF('NEW ACCOUNT'!A801="","",'NEW ACCOUNT'!J801)</f>
        <v/>
      </c>
      <c r="K800" t="str">
        <f>IFERROR(IF(A800="","",SUMIF(DB_Savings!$A:$A,A800,DB_Savings!$F:$F)),"")</f>
        <v/>
      </c>
      <c r="L800" t="str">
        <f>IFERROR(IF(A800="","",SUMIF(DB_Withdrawals!$A:$A,A800,DB_Withdrawals!$G:$G)),"")</f>
        <v/>
      </c>
      <c r="M800" t="str">
        <f>IFERROR(IF(A800="","",IFERROR(VALUE(H800),0)+IFERROR(SUMIF(DB_Savings!$A:$A,A800,DB_Savings!$F:$F),0)-IFERROR(SUMIF(DB_Withdrawals!$A:$A,A800,DB_Withdrawals!$G:$G),0)),"")</f>
        <v/>
      </c>
      <c r="N800" t="str">
        <f>IFERROR(IF(A800="","",MAX(0,M800-System_Config!$B$9)),"")</f>
        <v/>
      </c>
    </row>
    <row r="801" spans="1:14" ht="15" customHeight="1" x14ac:dyDescent="0.25">
      <c r="A801" t="str">
        <f>'NEW ACCOUNT'!A802</f>
        <v/>
      </c>
      <c r="B801" t="str">
        <f>IF('NEW ACCOUNT'!A802="","",'NEW ACCOUNT'!B802)</f>
        <v/>
      </c>
      <c r="C801" t="str">
        <f>IF('NEW ACCOUNT'!A802="","",'NEW ACCOUNT'!C802)</f>
        <v/>
      </c>
      <c r="D801" t="str">
        <f>IF('NEW ACCOUNT'!A802="","",'NEW ACCOUNT'!D802)</f>
        <v/>
      </c>
      <c r="E801" t="str">
        <f>IF('NEW ACCOUNT'!A802="","",'NEW ACCOUNT'!E802)</f>
        <v/>
      </c>
      <c r="F801" t="str">
        <f>IF('NEW ACCOUNT'!A802="","",'NEW ACCOUNT'!F802)</f>
        <v/>
      </c>
      <c r="G801" t="str">
        <f>IF('NEW ACCOUNT'!A802="","",'NEW ACCOUNT'!G802)</f>
        <v/>
      </c>
      <c r="H801" t="str">
        <f>IF('NEW ACCOUNT'!A802="","",'NEW ACCOUNT'!H802)</f>
        <v/>
      </c>
      <c r="I801" t="str">
        <f>IF('NEW ACCOUNT'!A802="","",'NEW ACCOUNT'!I802)</f>
        <v/>
      </c>
      <c r="J801" t="str">
        <f>IF('NEW ACCOUNT'!A802="","",'NEW ACCOUNT'!J802)</f>
        <v/>
      </c>
      <c r="K801" t="str">
        <f>IFERROR(IF(A801="","",SUMIF(DB_Savings!$A:$A,A801,DB_Savings!$F:$F)),"")</f>
        <v/>
      </c>
      <c r="L801" t="str">
        <f>IFERROR(IF(A801="","",SUMIF(DB_Withdrawals!$A:$A,A801,DB_Withdrawals!$G:$G)),"")</f>
        <v/>
      </c>
      <c r="M801" t="str">
        <f>IFERROR(IF(A801="","",IFERROR(VALUE(H801),0)+IFERROR(SUMIF(DB_Savings!$A:$A,A801,DB_Savings!$F:$F),0)-IFERROR(SUMIF(DB_Withdrawals!$A:$A,A801,DB_Withdrawals!$G:$G),0)),"")</f>
        <v/>
      </c>
      <c r="N801" t="str">
        <f>IFERROR(IF(A801="","",MAX(0,M801-System_Config!$B$9)),"")</f>
        <v/>
      </c>
    </row>
    <row r="802" spans="1:14" ht="15" customHeight="1" x14ac:dyDescent="0.25">
      <c r="A802" t="str">
        <f>'NEW ACCOUNT'!A803</f>
        <v/>
      </c>
      <c r="B802" t="str">
        <f>IF('NEW ACCOUNT'!A803="","",'NEW ACCOUNT'!B803)</f>
        <v/>
      </c>
      <c r="C802" t="str">
        <f>IF('NEW ACCOUNT'!A803="","",'NEW ACCOUNT'!C803)</f>
        <v/>
      </c>
      <c r="D802" t="str">
        <f>IF('NEW ACCOUNT'!A803="","",'NEW ACCOUNT'!D803)</f>
        <v/>
      </c>
      <c r="E802" t="str">
        <f>IF('NEW ACCOUNT'!A803="","",'NEW ACCOUNT'!E803)</f>
        <v/>
      </c>
      <c r="F802" t="str">
        <f>IF('NEW ACCOUNT'!A803="","",'NEW ACCOUNT'!F803)</f>
        <v/>
      </c>
      <c r="G802" t="str">
        <f>IF('NEW ACCOUNT'!A803="","",'NEW ACCOUNT'!G803)</f>
        <v/>
      </c>
      <c r="H802" t="str">
        <f>IF('NEW ACCOUNT'!A803="","",'NEW ACCOUNT'!H803)</f>
        <v/>
      </c>
      <c r="I802" t="str">
        <f>IF('NEW ACCOUNT'!A803="","",'NEW ACCOUNT'!I803)</f>
        <v/>
      </c>
      <c r="J802" t="str">
        <f>IF('NEW ACCOUNT'!A803="","",'NEW ACCOUNT'!J803)</f>
        <v/>
      </c>
      <c r="K802" t="str">
        <f>IFERROR(IF(A802="","",SUMIF(DB_Savings!$A:$A,A802,DB_Savings!$F:$F)),"")</f>
        <v/>
      </c>
      <c r="L802" t="str">
        <f>IFERROR(IF(A802="","",SUMIF(DB_Withdrawals!$A:$A,A802,DB_Withdrawals!$G:$G)),"")</f>
        <v/>
      </c>
      <c r="M802" t="str">
        <f>IFERROR(IF(A802="","",IFERROR(VALUE(H802),0)+IFERROR(SUMIF(DB_Savings!$A:$A,A802,DB_Savings!$F:$F),0)-IFERROR(SUMIF(DB_Withdrawals!$A:$A,A802,DB_Withdrawals!$G:$G),0)),"")</f>
        <v/>
      </c>
      <c r="N802" t="str">
        <f>IFERROR(IF(A802="","",MAX(0,M802-System_Config!$B$9)),"")</f>
        <v/>
      </c>
    </row>
    <row r="803" spans="1:14" ht="15" customHeight="1" x14ac:dyDescent="0.25">
      <c r="A803" t="str">
        <f>'NEW ACCOUNT'!A804</f>
        <v/>
      </c>
      <c r="B803" t="str">
        <f>IF('NEW ACCOUNT'!A804="","",'NEW ACCOUNT'!B804)</f>
        <v/>
      </c>
      <c r="C803" t="str">
        <f>IF('NEW ACCOUNT'!A804="","",'NEW ACCOUNT'!C804)</f>
        <v/>
      </c>
      <c r="D803" t="str">
        <f>IF('NEW ACCOUNT'!A804="","",'NEW ACCOUNT'!D804)</f>
        <v/>
      </c>
      <c r="E803" t="str">
        <f>IF('NEW ACCOUNT'!A804="","",'NEW ACCOUNT'!E804)</f>
        <v/>
      </c>
      <c r="F803" t="str">
        <f>IF('NEW ACCOUNT'!A804="","",'NEW ACCOUNT'!F804)</f>
        <v/>
      </c>
      <c r="G803" t="str">
        <f>IF('NEW ACCOUNT'!A804="","",'NEW ACCOUNT'!G804)</f>
        <v/>
      </c>
      <c r="H803" t="str">
        <f>IF('NEW ACCOUNT'!A804="","",'NEW ACCOUNT'!H804)</f>
        <v/>
      </c>
      <c r="I803" t="str">
        <f>IF('NEW ACCOUNT'!A804="","",'NEW ACCOUNT'!I804)</f>
        <v/>
      </c>
      <c r="J803" t="str">
        <f>IF('NEW ACCOUNT'!A804="","",'NEW ACCOUNT'!J804)</f>
        <v/>
      </c>
      <c r="K803" t="str">
        <f>IFERROR(IF(A803="","",SUMIF(DB_Savings!$A:$A,A803,DB_Savings!$F:$F)),"")</f>
        <v/>
      </c>
      <c r="L803" t="str">
        <f>IFERROR(IF(A803="","",SUMIF(DB_Withdrawals!$A:$A,A803,DB_Withdrawals!$G:$G)),"")</f>
        <v/>
      </c>
      <c r="M803" t="str">
        <f>IFERROR(IF(A803="","",IFERROR(VALUE(H803),0)+IFERROR(SUMIF(DB_Savings!$A:$A,A803,DB_Savings!$F:$F),0)-IFERROR(SUMIF(DB_Withdrawals!$A:$A,A803,DB_Withdrawals!$G:$G),0)),"")</f>
        <v/>
      </c>
      <c r="N803" t="str">
        <f>IFERROR(IF(A803="","",MAX(0,M803-System_Config!$B$9)),"")</f>
        <v/>
      </c>
    </row>
    <row r="804" spans="1:14" ht="15" customHeight="1" x14ac:dyDescent="0.25">
      <c r="A804" t="str">
        <f>'NEW ACCOUNT'!A805</f>
        <v/>
      </c>
      <c r="B804" t="str">
        <f>IF('NEW ACCOUNT'!A805="","",'NEW ACCOUNT'!B805)</f>
        <v/>
      </c>
      <c r="C804" t="str">
        <f>IF('NEW ACCOUNT'!A805="","",'NEW ACCOUNT'!C805)</f>
        <v/>
      </c>
      <c r="D804" t="str">
        <f>IF('NEW ACCOUNT'!A805="","",'NEW ACCOUNT'!D805)</f>
        <v/>
      </c>
      <c r="E804" t="str">
        <f>IF('NEW ACCOUNT'!A805="","",'NEW ACCOUNT'!E805)</f>
        <v/>
      </c>
      <c r="F804" t="str">
        <f>IF('NEW ACCOUNT'!A805="","",'NEW ACCOUNT'!F805)</f>
        <v/>
      </c>
      <c r="G804" t="str">
        <f>IF('NEW ACCOUNT'!A805="","",'NEW ACCOUNT'!G805)</f>
        <v/>
      </c>
      <c r="H804" t="str">
        <f>IF('NEW ACCOUNT'!A805="","",'NEW ACCOUNT'!H805)</f>
        <v/>
      </c>
      <c r="I804" t="str">
        <f>IF('NEW ACCOUNT'!A805="","",'NEW ACCOUNT'!I805)</f>
        <v/>
      </c>
      <c r="J804" t="str">
        <f>IF('NEW ACCOUNT'!A805="","",'NEW ACCOUNT'!J805)</f>
        <v/>
      </c>
      <c r="K804" t="str">
        <f>IFERROR(IF(A804="","",SUMIF(DB_Savings!$A:$A,A804,DB_Savings!$F:$F)),"")</f>
        <v/>
      </c>
      <c r="L804" t="str">
        <f>IFERROR(IF(A804="","",SUMIF(DB_Withdrawals!$A:$A,A804,DB_Withdrawals!$G:$G)),"")</f>
        <v/>
      </c>
      <c r="M804" t="str">
        <f>IFERROR(IF(A804="","",IFERROR(VALUE(H804),0)+IFERROR(SUMIF(DB_Savings!$A:$A,A804,DB_Savings!$F:$F),0)-IFERROR(SUMIF(DB_Withdrawals!$A:$A,A804,DB_Withdrawals!$G:$G),0)),"")</f>
        <v/>
      </c>
      <c r="N804" t="str">
        <f>IFERROR(IF(A804="","",MAX(0,M804-System_Config!$B$9)),"")</f>
        <v/>
      </c>
    </row>
    <row r="805" spans="1:14" ht="15" customHeight="1" x14ac:dyDescent="0.25">
      <c r="A805" t="str">
        <f>'NEW ACCOUNT'!A806</f>
        <v/>
      </c>
      <c r="B805" t="str">
        <f>IF('NEW ACCOUNT'!A806="","",'NEW ACCOUNT'!B806)</f>
        <v/>
      </c>
      <c r="C805" t="str">
        <f>IF('NEW ACCOUNT'!A806="","",'NEW ACCOUNT'!C806)</f>
        <v/>
      </c>
      <c r="D805" t="str">
        <f>IF('NEW ACCOUNT'!A806="","",'NEW ACCOUNT'!D806)</f>
        <v/>
      </c>
      <c r="E805" t="str">
        <f>IF('NEW ACCOUNT'!A806="","",'NEW ACCOUNT'!E806)</f>
        <v/>
      </c>
      <c r="F805" t="str">
        <f>IF('NEW ACCOUNT'!A806="","",'NEW ACCOUNT'!F806)</f>
        <v/>
      </c>
      <c r="G805" t="str">
        <f>IF('NEW ACCOUNT'!A806="","",'NEW ACCOUNT'!G806)</f>
        <v/>
      </c>
      <c r="H805" t="str">
        <f>IF('NEW ACCOUNT'!A806="","",'NEW ACCOUNT'!H806)</f>
        <v/>
      </c>
      <c r="I805" t="str">
        <f>IF('NEW ACCOUNT'!A806="","",'NEW ACCOUNT'!I806)</f>
        <v/>
      </c>
      <c r="J805" t="str">
        <f>IF('NEW ACCOUNT'!A806="","",'NEW ACCOUNT'!J806)</f>
        <v/>
      </c>
      <c r="K805" t="str">
        <f>IFERROR(IF(A805="","",SUMIF(DB_Savings!$A:$A,A805,DB_Savings!$F:$F)),"")</f>
        <v/>
      </c>
      <c r="L805" t="str">
        <f>IFERROR(IF(A805="","",SUMIF(DB_Withdrawals!$A:$A,A805,DB_Withdrawals!$G:$G)),"")</f>
        <v/>
      </c>
      <c r="M805" t="str">
        <f>IFERROR(IF(A805="","",IFERROR(VALUE(H805),0)+IFERROR(SUMIF(DB_Savings!$A:$A,A805,DB_Savings!$F:$F),0)-IFERROR(SUMIF(DB_Withdrawals!$A:$A,A805,DB_Withdrawals!$G:$G),0)),"")</f>
        <v/>
      </c>
      <c r="N805" t="str">
        <f>IFERROR(IF(A805="","",MAX(0,M805-System_Config!$B$9)),"")</f>
        <v/>
      </c>
    </row>
    <row r="806" spans="1:14" ht="15" customHeight="1" x14ac:dyDescent="0.25">
      <c r="A806" t="str">
        <f>'NEW ACCOUNT'!A807</f>
        <v/>
      </c>
      <c r="B806" t="str">
        <f>IF('NEW ACCOUNT'!A807="","",'NEW ACCOUNT'!B807)</f>
        <v/>
      </c>
      <c r="C806" t="str">
        <f>IF('NEW ACCOUNT'!A807="","",'NEW ACCOUNT'!C807)</f>
        <v/>
      </c>
      <c r="D806" t="str">
        <f>IF('NEW ACCOUNT'!A807="","",'NEW ACCOUNT'!D807)</f>
        <v/>
      </c>
      <c r="E806" t="str">
        <f>IF('NEW ACCOUNT'!A807="","",'NEW ACCOUNT'!E807)</f>
        <v/>
      </c>
      <c r="F806" t="str">
        <f>IF('NEW ACCOUNT'!A807="","",'NEW ACCOUNT'!F807)</f>
        <v/>
      </c>
      <c r="G806" t="str">
        <f>IF('NEW ACCOUNT'!A807="","",'NEW ACCOUNT'!G807)</f>
        <v/>
      </c>
      <c r="H806" t="str">
        <f>IF('NEW ACCOUNT'!A807="","",'NEW ACCOUNT'!H807)</f>
        <v/>
      </c>
      <c r="I806" t="str">
        <f>IF('NEW ACCOUNT'!A807="","",'NEW ACCOUNT'!I807)</f>
        <v/>
      </c>
      <c r="J806" t="str">
        <f>IF('NEW ACCOUNT'!A807="","",'NEW ACCOUNT'!J807)</f>
        <v/>
      </c>
      <c r="K806" t="str">
        <f>IFERROR(IF(A806="","",SUMIF(DB_Savings!$A:$A,A806,DB_Savings!$F:$F)),"")</f>
        <v/>
      </c>
      <c r="L806" t="str">
        <f>IFERROR(IF(A806="","",SUMIF(DB_Withdrawals!$A:$A,A806,DB_Withdrawals!$G:$G)),"")</f>
        <v/>
      </c>
      <c r="M806" t="str">
        <f>IFERROR(IF(A806="","",IFERROR(VALUE(H806),0)+IFERROR(SUMIF(DB_Savings!$A:$A,A806,DB_Savings!$F:$F),0)-IFERROR(SUMIF(DB_Withdrawals!$A:$A,A806,DB_Withdrawals!$G:$G),0)),"")</f>
        <v/>
      </c>
      <c r="N806" t="str">
        <f>IFERROR(IF(A806="","",MAX(0,M806-System_Config!$B$9)),"")</f>
        <v/>
      </c>
    </row>
    <row r="807" spans="1:14" ht="15" customHeight="1" x14ac:dyDescent="0.25">
      <c r="A807" t="str">
        <f>'NEW ACCOUNT'!A808</f>
        <v/>
      </c>
      <c r="B807" t="str">
        <f>IF('NEW ACCOUNT'!A808="","",'NEW ACCOUNT'!B808)</f>
        <v/>
      </c>
      <c r="C807" t="str">
        <f>IF('NEW ACCOUNT'!A808="","",'NEW ACCOUNT'!C808)</f>
        <v/>
      </c>
      <c r="D807" t="str">
        <f>IF('NEW ACCOUNT'!A808="","",'NEW ACCOUNT'!D808)</f>
        <v/>
      </c>
      <c r="E807" t="str">
        <f>IF('NEW ACCOUNT'!A808="","",'NEW ACCOUNT'!E808)</f>
        <v/>
      </c>
      <c r="F807" t="str">
        <f>IF('NEW ACCOUNT'!A808="","",'NEW ACCOUNT'!F808)</f>
        <v/>
      </c>
      <c r="G807" t="str">
        <f>IF('NEW ACCOUNT'!A808="","",'NEW ACCOUNT'!G808)</f>
        <v/>
      </c>
      <c r="H807" t="str">
        <f>IF('NEW ACCOUNT'!A808="","",'NEW ACCOUNT'!H808)</f>
        <v/>
      </c>
      <c r="I807" t="str">
        <f>IF('NEW ACCOUNT'!A808="","",'NEW ACCOUNT'!I808)</f>
        <v/>
      </c>
      <c r="J807" t="str">
        <f>IF('NEW ACCOUNT'!A808="","",'NEW ACCOUNT'!J808)</f>
        <v/>
      </c>
      <c r="K807" t="str">
        <f>IFERROR(IF(A807="","",SUMIF(DB_Savings!$A:$A,A807,DB_Savings!$F:$F)),"")</f>
        <v/>
      </c>
      <c r="L807" t="str">
        <f>IFERROR(IF(A807="","",SUMIF(DB_Withdrawals!$A:$A,A807,DB_Withdrawals!$G:$G)),"")</f>
        <v/>
      </c>
      <c r="M807" t="str">
        <f>IFERROR(IF(A807="","",IFERROR(VALUE(H807),0)+IFERROR(SUMIF(DB_Savings!$A:$A,A807,DB_Savings!$F:$F),0)-IFERROR(SUMIF(DB_Withdrawals!$A:$A,A807,DB_Withdrawals!$G:$G),0)),"")</f>
        <v/>
      </c>
      <c r="N807" t="str">
        <f>IFERROR(IF(A807="","",MAX(0,M807-System_Config!$B$9)),"")</f>
        <v/>
      </c>
    </row>
    <row r="808" spans="1:14" ht="15" customHeight="1" x14ac:dyDescent="0.25">
      <c r="A808" t="str">
        <f>'NEW ACCOUNT'!A809</f>
        <v/>
      </c>
      <c r="B808" t="str">
        <f>IF('NEW ACCOUNT'!A809="","",'NEW ACCOUNT'!B809)</f>
        <v/>
      </c>
      <c r="C808" t="str">
        <f>IF('NEW ACCOUNT'!A809="","",'NEW ACCOUNT'!C809)</f>
        <v/>
      </c>
      <c r="D808" t="str">
        <f>IF('NEW ACCOUNT'!A809="","",'NEW ACCOUNT'!D809)</f>
        <v/>
      </c>
      <c r="E808" t="str">
        <f>IF('NEW ACCOUNT'!A809="","",'NEW ACCOUNT'!E809)</f>
        <v/>
      </c>
      <c r="F808" t="str">
        <f>IF('NEW ACCOUNT'!A809="","",'NEW ACCOUNT'!F809)</f>
        <v/>
      </c>
      <c r="G808" t="str">
        <f>IF('NEW ACCOUNT'!A809="","",'NEW ACCOUNT'!G809)</f>
        <v/>
      </c>
      <c r="H808" t="str">
        <f>IF('NEW ACCOUNT'!A809="","",'NEW ACCOUNT'!H809)</f>
        <v/>
      </c>
      <c r="I808" t="str">
        <f>IF('NEW ACCOUNT'!A809="","",'NEW ACCOUNT'!I809)</f>
        <v/>
      </c>
      <c r="J808" t="str">
        <f>IF('NEW ACCOUNT'!A809="","",'NEW ACCOUNT'!J809)</f>
        <v/>
      </c>
      <c r="K808" t="str">
        <f>IFERROR(IF(A808="","",SUMIF(DB_Savings!$A:$A,A808,DB_Savings!$F:$F)),"")</f>
        <v/>
      </c>
      <c r="L808" t="str">
        <f>IFERROR(IF(A808="","",SUMIF(DB_Withdrawals!$A:$A,A808,DB_Withdrawals!$G:$G)),"")</f>
        <v/>
      </c>
      <c r="M808" t="str">
        <f>IFERROR(IF(A808="","",IFERROR(VALUE(H808),0)+IFERROR(SUMIF(DB_Savings!$A:$A,A808,DB_Savings!$F:$F),0)-IFERROR(SUMIF(DB_Withdrawals!$A:$A,A808,DB_Withdrawals!$G:$G),0)),"")</f>
        <v/>
      </c>
      <c r="N808" t="str">
        <f>IFERROR(IF(A808="","",MAX(0,M808-System_Config!$B$9)),"")</f>
        <v/>
      </c>
    </row>
    <row r="809" spans="1:14" ht="15" customHeight="1" x14ac:dyDescent="0.25">
      <c r="A809" t="str">
        <f>'NEW ACCOUNT'!A810</f>
        <v/>
      </c>
      <c r="B809" t="str">
        <f>IF('NEW ACCOUNT'!A810="","",'NEW ACCOUNT'!B810)</f>
        <v/>
      </c>
      <c r="C809" t="str">
        <f>IF('NEW ACCOUNT'!A810="","",'NEW ACCOUNT'!C810)</f>
        <v/>
      </c>
      <c r="D809" t="str">
        <f>IF('NEW ACCOUNT'!A810="","",'NEW ACCOUNT'!D810)</f>
        <v/>
      </c>
      <c r="E809" t="str">
        <f>IF('NEW ACCOUNT'!A810="","",'NEW ACCOUNT'!E810)</f>
        <v/>
      </c>
      <c r="F809" t="str">
        <f>IF('NEW ACCOUNT'!A810="","",'NEW ACCOUNT'!F810)</f>
        <v/>
      </c>
      <c r="G809" t="str">
        <f>IF('NEW ACCOUNT'!A810="","",'NEW ACCOUNT'!G810)</f>
        <v/>
      </c>
      <c r="H809" t="str">
        <f>IF('NEW ACCOUNT'!A810="","",'NEW ACCOUNT'!H810)</f>
        <v/>
      </c>
      <c r="I809" t="str">
        <f>IF('NEW ACCOUNT'!A810="","",'NEW ACCOUNT'!I810)</f>
        <v/>
      </c>
      <c r="J809" t="str">
        <f>IF('NEW ACCOUNT'!A810="","",'NEW ACCOUNT'!J810)</f>
        <v/>
      </c>
      <c r="K809" t="str">
        <f>IFERROR(IF(A809="","",SUMIF(DB_Savings!$A:$A,A809,DB_Savings!$F:$F)),"")</f>
        <v/>
      </c>
      <c r="L809" t="str">
        <f>IFERROR(IF(A809="","",SUMIF(DB_Withdrawals!$A:$A,A809,DB_Withdrawals!$G:$G)),"")</f>
        <v/>
      </c>
      <c r="M809" t="str">
        <f>IFERROR(IF(A809="","",IFERROR(VALUE(H809),0)+IFERROR(SUMIF(DB_Savings!$A:$A,A809,DB_Savings!$F:$F),0)-IFERROR(SUMIF(DB_Withdrawals!$A:$A,A809,DB_Withdrawals!$G:$G),0)),"")</f>
        <v/>
      </c>
      <c r="N809" t="str">
        <f>IFERROR(IF(A809="","",MAX(0,M809-System_Config!$B$9)),"")</f>
        <v/>
      </c>
    </row>
    <row r="810" spans="1:14" ht="15" customHeight="1" x14ac:dyDescent="0.25">
      <c r="A810" t="str">
        <f>'NEW ACCOUNT'!A811</f>
        <v/>
      </c>
      <c r="B810" t="str">
        <f>IF('NEW ACCOUNT'!A811="","",'NEW ACCOUNT'!B811)</f>
        <v/>
      </c>
      <c r="C810" t="str">
        <f>IF('NEW ACCOUNT'!A811="","",'NEW ACCOUNT'!C811)</f>
        <v/>
      </c>
      <c r="D810" t="str">
        <f>IF('NEW ACCOUNT'!A811="","",'NEW ACCOUNT'!D811)</f>
        <v/>
      </c>
      <c r="E810" t="str">
        <f>IF('NEW ACCOUNT'!A811="","",'NEW ACCOUNT'!E811)</f>
        <v/>
      </c>
      <c r="F810" t="str">
        <f>IF('NEW ACCOUNT'!A811="","",'NEW ACCOUNT'!F811)</f>
        <v/>
      </c>
      <c r="G810" t="str">
        <f>IF('NEW ACCOUNT'!A811="","",'NEW ACCOUNT'!G811)</f>
        <v/>
      </c>
      <c r="H810" t="str">
        <f>IF('NEW ACCOUNT'!A811="","",'NEW ACCOUNT'!H811)</f>
        <v/>
      </c>
      <c r="I810" t="str">
        <f>IF('NEW ACCOUNT'!A811="","",'NEW ACCOUNT'!I811)</f>
        <v/>
      </c>
      <c r="J810" t="str">
        <f>IF('NEW ACCOUNT'!A811="","",'NEW ACCOUNT'!J811)</f>
        <v/>
      </c>
      <c r="K810" t="str">
        <f>IFERROR(IF(A810="","",SUMIF(DB_Savings!$A:$A,A810,DB_Savings!$F:$F)),"")</f>
        <v/>
      </c>
      <c r="L810" t="str">
        <f>IFERROR(IF(A810="","",SUMIF(DB_Withdrawals!$A:$A,A810,DB_Withdrawals!$G:$G)),"")</f>
        <v/>
      </c>
      <c r="M810" t="str">
        <f>IFERROR(IF(A810="","",IFERROR(VALUE(H810),0)+IFERROR(SUMIF(DB_Savings!$A:$A,A810,DB_Savings!$F:$F),0)-IFERROR(SUMIF(DB_Withdrawals!$A:$A,A810,DB_Withdrawals!$G:$G),0)),"")</f>
        <v/>
      </c>
      <c r="N810" t="str">
        <f>IFERROR(IF(A810="","",MAX(0,M810-System_Config!$B$9)),"")</f>
        <v/>
      </c>
    </row>
    <row r="811" spans="1:14" ht="15" customHeight="1" x14ac:dyDescent="0.25">
      <c r="A811" t="str">
        <f>'NEW ACCOUNT'!A812</f>
        <v/>
      </c>
      <c r="B811" t="str">
        <f>IF('NEW ACCOUNT'!A812="","",'NEW ACCOUNT'!B812)</f>
        <v/>
      </c>
      <c r="C811" t="str">
        <f>IF('NEW ACCOUNT'!A812="","",'NEW ACCOUNT'!C812)</f>
        <v/>
      </c>
      <c r="D811" t="str">
        <f>IF('NEW ACCOUNT'!A812="","",'NEW ACCOUNT'!D812)</f>
        <v/>
      </c>
      <c r="E811" t="str">
        <f>IF('NEW ACCOUNT'!A812="","",'NEW ACCOUNT'!E812)</f>
        <v/>
      </c>
      <c r="F811" t="str">
        <f>IF('NEW ACCOUNT'!A812="","",'NEW ACCOUNT'!F812)</f>
        <v/>
      </c>
      <c r="G811" t="str">
        <f>IF('NEW ACCOUNT'!A812="","",'NEW ACCOUNT'!G812)</f>
        <v/>
      </c>
      <c r="H811" t="str">
        <f>IF('NEW ACCOUNT'!A812="","",'NEW ACCOUNT'!H812)</f>
        <v/>
      </c>
      <c r="I811" t="str">
        <f>IF('NEW ACCOUNT'!A812="","",'NEW ACCOUNT'!I812)</f>
        <v/>
      </c>
      <c r="J811" t="str">
        <f>IF('NEW ACCOUNT'!A812="","",'NEW ACCOUNT'!J812)</f>
        <v/>
      </c>
      <c r="K811" t="str">
        <f>IFERROR(IF(A811="","",SUMIF(DB_Savings!$A:$A,A811,DB_Savings!$F:$F)),"")</f>
        <v/>
      </c>
      <c r="L811" t="str">
        <f>IFERROR(IF(A811="","",SUMIF(DB_Withdrawals!$A:$A,A811,DB_Withdrawals!$G:$G)),"")</f>
        <v/>
      </c>
      <c r="M811" t="str">
        <f>IFERROR(IF(A811="","",IFERROR(VALUE(H811),0)+IFERROR(SUMIF(DB_Savings!$A:$A,A811,DB_Savings!$F:$F),0)-IFERROR(SUMIF(DB_Withdrawals!$A:$A,A811,DB_Withdrawals!$G:$G),0)),"")</f>
        <v/>
      </c>
      <c r="N811" t="str">
        <f>IFERROR(IF(A811="","",MAX(0,M811-System_Config!$B$9)),"")</f>
        <v/>
      </c>
    </row>
    <row r="812" spans="1:14" ht="15" customHeight="1" x14ac:dyDescent="0.25">
      <c r="A812" t="str">
        <f>'NEW ACCOUNT'!A813</f>
        <v/>
      </c>
      <c r="B812" t="str">
        <f>IF('NEW ACCOUNT'!A813="","",'NEW ACCOUNT'!B813)</f>
        <v/>
      </c>
      <c r="C812" t="str">
        <f>IF('NEW ACCOUNT'!A813="","",'NEW ACCOUNT'!C813)</f>
        <v/>
      </c>
      <c r="D812" t="str">
        <f>IF('NEW ACCOUNT'!A813="","",'NEW ACCOUNT'!D813)</f>
        <v/>
      </c>
      <c r="E812" t="str">
        <f>IF('NEW ACCOUNT'!A813="","",'NEW ACCOUNT'!E813)</f>
        <v/>
      </c>
      <c r="F812" t="str">
        <f>IF('NEW ACCOUNT'!A813="","",'NEW ACCOUNT'!F813)</f>
        <v/>
      </c>
      <c r="G812" t="str">
        <f>IF('NEW ACCOUNT'!A813="","",'NEW ACCOUNT'!G813)</f>
        <v/>
      </c>
      <c r="H812" t="str">
        <f>IF('NEW ACCOUNT'!A813="","",'NEW ACCOUNT'!H813)</f>
        <v/>
      </c>
      <c r="I812" t="str">
        <f>IF('NEW ACCOUNT'!A813="","",'NEW ACCOUNT'!I813)</f>
        <v/>
      </c>
      <c r="J812" t="str">
        <f>IF('NEW ACCOUNT'!A813="","",'NEW ACCOUNT'!J813)</f>
        <v/>
      </c>
      <c r="K812" t="str">
        <f>IFERROR(IF(A812="","",SUMIF(DB_Savings!$A:$A,A812,DB_Savings!$F:$F)),"")</f>
        <v/>
      </c>
      <c r="L812" t="str">
        <f>IFERROR(IF(A812="","",SUMIF(DB_Withdrawals!$A:$A,A812,DB_Withdrawals!$G:$G)),"")</f>
        <v/>
      </c>
      <c r="M812" t="str">
        <f>IFERROR(IF(A812="","",IFERROR(VALUE(H812),0)+IFERROR(SUMIF(DB_Savings!$A:$A,A812,DB_Savings!$F:$F),0)-IFERROR(SUMIF(DB_Withdrawals!$A:$A,A812,DB_Withdrawals!$G:$G),0)),"")</f>
        <v/>
      </c>
      <c r="N812" t="str">
        <f>IFERROR(IF(A812="","",MAX(0,M812-System_Config!$B$9)),"")</f>
        <v/>
      </c>
    </row>
    <row r="813" spans="1:14" ht="15" customHeight="1" x14ac:dyDescent="0.25">
      <c r="A813" t="str">
        <f>'NEW ACCOUNT'!A814</f>
        <v/>
      </c>
      <c r="B813" t="str">
        <f>IF('NEW ACCOUNT'!A814="","",'NEW ACCOUNT'!B814)</f>
        <v/>
      </c>
      <c r="C813" t="str">
        <f>IF('NEW ACCOUNT'!A814="","",'NEW ACCOUNT'!C814)</f>
        <v/>
      </c>
      <c r="D813" t="str">
        <f>IF('NEW ACCOUNT'!A814="","",'NEW ACCOUNT'!D814)</f>
        <v/>
      </c>
      <c r="E813" t="str">
        <f>IF('NEW ACCOUNT'!A814="","",'NEW ACCOUNT'!E814)</f>
        <v/>
      </c>
      <c r="F813" t="str">
        <f>IF('NEW ACCOUNT'!A814="","",'NEW ACCOUNT'!F814)</f>
        <v/>
      </c>
      <c r="G813" t="str">
        <f>IF('NEW ACCOUNT'!A814="","",'NEW ACCOUNT'!G814)</f>
        <v/>
      </c>
      <c r="H813" t="str">
        <f>IF('NEW ACCOUNT'!A814="","",'NEW ACCOUNT'!H814)</f>
        <v/>
      </c>
      <c r="I813" t="str">
        <f>IF('NEW ACCOUNT'!A814="","",'NEW ACCOUNT'!I814)</f>
        <v/>
      </c>
      <c r="J813" t="str">
        <f>IF('NEW ACCOUNT'!A814="","",'NEW ACCOUNT'!J814)</f>
        <v/>
      </c>
      <c r="K813" t="str">
        <f>IFERROR(IF(A813="","",SUMIF(DB_Savings!$A:$A,A813,DB_Savings!$F:$F)),"")</f>
        <v/>
      </c>
      <c r="L813" t="str">
        <f>IFERROR(IF(A813="","",SUMIF(DB_Withdrawals!$A:$A,A813,DB_Withdrawals!$G:$G)),"")</f>
        <v/>
      </c>
      <c r="M813" t="str">
        <f>IFERROR(IF(A813="","",IFERROR(VALUE(H813),0)+IFERROR(SUMIF(DB_Savings!$A:$A,A813,DB_Savings!$F:$F),0)-IFERROR(SUMIF(DB_Withdrawals!$A:$A,A813,DB_Withdrawals!$G:$G),0)),"")</f>
        <v/>
      </c>
      <c r="N813" t="str">
        <f>IFERROR(IF(A813="","",MAX(0,M813-System_Config!$B$9)),"")</f>
        <v/>
      </c>
    </row>
    <row r="814" spans="1:14" ht="15" customHeight="1" x14ac:dyDescent="0.25">
      <c r="A814" t="str">
        <f>'NEW ACCOUNT'!A815</f>
        <v/>
      </c>
      <c r="B814" t="str">
        <f>IF('NEW ACCOUNT'!A815="","",'NEW ACCOUNT'!B815)</f>
        <v/>
      </c>
      <c r="C814" t="str">
        <f>IF('NEW ACCOUNT'!A815="","",'NEW ACCOUNT'!C815)</f>
        <v/>
      </c>
      <c r="D814" t="str">
        <f>IF('NEW ACCOUNT'!A815="","",'NEW ACCOUNT'!D815)</f>
        <v/>
      </c>
      <c r="E814" t="str">
        <f>IF('NEW ACCOUNT'!A815="","",'NEW ACCOUNT'!E815)</f>
        <v/>
      </c>
      <c r="F814" t="str">
        <f>IF('NEW ACCOUNT'!A815="","",'NEW ACCOUNT'!F815)</f>
        <v/>
      </c>
      <c r="G814" t="str">
        <f>IF('NEW ACCOUNT'!A815="","",'NEW ACCOUNT'!G815)</f>
        <v/>
      </c>
      <c r="H814" t="str">
        <f>IF('NEW ACCOUNT'!A815="","",'NEW ACCOUNT'!H815)</f>
        <v/>
      </c>
      <c r="I814" t="str">
        <f>IF('NEW ACCOUNT'!A815="","",'NEW ACCOUNT'!I815)</f>
        <v/>
      </c>
      <c r="J814" t="str">
        <f>IF('NEW ACCOUNT'!A815="","",'NEW ACCOUNT'!J815)</f>
        <v/>
      </c>
      <c r="K814" t="str">
        <f>IFERROR(IF(A814="","",SUMIF(DB_Savings!$A:$A,A814,DB_Savings!$F:$F)),"")</f>
        <v/>
      </c>
      <c r="L814" t="str">
        <f>IFERROR(IF(A814="","",SUMIF(DB_Withdrawals!$A:$A,A814,DB_Withdrawals!$G:$G)),"")</f>
        <v/>
      </c>
      <c r="M814" t="str">
        <f>IFERROR(IF(A814="","",IFERROR(VALUE(H814),0)+IFERROR(SUMIF(DB_Savings!$A:$A,A814,DB_Savings!$F:$F),0)-IFERROR(SUMIF(DB_Withdrawals!$A:$A,A814,DB_Withdrawals!$G:$G),0)),"")</f>
        <v/>
      </c>
      <c r="N814" t="str">
        <f>IFERROR(IF(A814="","",MAX(0,M814-System_Config!$B$9)),"")</f>
        <v/>
      </c>
    </row>
    <row r="815" spans="1:14" ht="15" customHeight="1" x14ac:dyDescent="0.25">
      <c r="A815" t="str">
        <f>'NEW ACCOUNT'!A816</f>
        <v/>
      </c>
      <c r="B815" t="str">
        <f>IF('NEW ACCOUNT'!A816="","",'NEW ACCOUNT'!B816)</f>
        <v/>
      </c>
      <c r="C815" t="str">
        <f>IF('NEW ACCOUNT'!A816="","",'NEW ACCOUNT'!C816)</f>
        <v/>
      </c>
      <c r="D815" t="str">
        <f>IF('NEW ACCOUNT'!A816="","",'NEW ACCOUNT'!D816)</f>
        <v/>
      </c>
      <c r="E815" t="str">
        <f>IF('NEW ACCOUNT'!A816="","",'NEW ACCOUNT'!E816)</f>
        <v/>
      </c>
      <c r="F815" t="str">
        <f>IF('NEW ACCOUNT'!A816="","",'NEW ACCOUNT'!F816)</f>
        <v/>
      </c>
      <c r="G815" t="str">
        <f>IF('NEW ACCOUNT'!A816="","",'NEW ACCOUNT'!G816)</f>
        <v/>
      </c>
      <c r="H815" t="str">
        <f>IF('NEW ACCOUNT'!A816="","",'NEW ACCOUNT'!H816)</f>
        <v/>
      </c>
      <c r="I815" t="str">
        <f>IF('NEW ACCOUNT'!A816="","",'NEW ACCOUNT'!I816)</f>
        <v/>
      </c>
      <c r="J815" t="str">
        <f>IF('NEW ACCOUNT'!A816="","",'NEW ACCOUNT'!J816)</f>
        <v/>
      </c>
      <c r="K815" t="str">
        <f>IFERROR(IF(A815="","",SUMIF(DB_Savings!$A:$A,A815,DB_Savings!$F:$F)),"")</f>
        <v/>
      </c>
      <c r="L815" t="str">
        <f>IFERROR(IF(A815="","",SUMIF(DB_Withdrawals!$A:$A,A815,DB_Withdrawals!$G:$G)),"")</f>
        <v/>
      </c>
      <c r="M815" t="str">
        <f>IFERROR(IF(A815="","",IFERROR(VALUE(H815),0)+IFERROR(SUMIF(DB_Savings!$A:$A,A815,DB_Savings!$F:$F),0)-IFERROR(SUMIF(DB_Withdrawals!$A:$A,A815,DB_Withdrawals!$G:$G),0)),"")</f>
        <v/>
      </c>
      <c r="N815" t="str">
        <f>IFERROR(IF(A815="","",MAX(0,M815-System_Config!$B$9)),"")</f>
        <v/>
      </c>
    </row>
    <row r="816" spans="1:14" ht="15" customHeight="1" x14ac:dyDescent="0.25">
      <c r="A816" t="str">
        <f>'NEW ACCOUNT'!A817</f>
        <v/>
      </c>
      <c r="B816" t="str">
        <f>IF('NEW ACCOUNT'!A817="","",'NEW ACCOUNT'!B817)</f>
        <v/>
      </c>
      <c r="C816" t="str">
        <f>IF('NEW ACCOUNT'!A817="","",'NEW ACCOUNT'!C817)</f>
        <v/>
      </c>
      <c r="D816" t="str">
        <f>IF('NEW ACCOUNT'!A817="","",'NEW ACCOUNT'!D817)</f>
        <v/>
      </c>
      <c r="E816" t="str">
        <f>IF('NEW ACCOUNT'!A817="","",'NEW ACCOUNT'!E817)</f>
        <v/>
      </c>
      <c r="F816" t="str">
        <f>IF('NEW ACCOUNT'!A817="","",'NEW ACCOUNT'!F817)</f>
        <v/>
      </c>
      <c r="G816" t="str">
        <f>IF('NEW ACCOUNT'!A817="","",'NEW ACCOUNT'!G817)</f>
        <v/>
      </c>
      <c r="H816" t="str">
        <f>IF('NEW ACCOUNT'!A817="","",'NEW ACCOUNT'!H817)</f>
        <v/>
      </c>
      <c r="I816" t="str">
        <f>IF('NEW ACCOUNT'!A817="","",'NEW ACCOUNT'!I817)</f>
        <v/>
      </c>
      <c r="J816" t="str">
        <f>IF('NEW ACCOUNT'!A817="","",'NEW ACCOUNT'!J817)</f>
        <v/>
      </c>
      <c r="K816" t="str">
        <f>IFERROR(IF(A816="","",SUMIF(DB_Savings!$A:$A,A816,DB_Savings!$F:$F)),"")</f>
        <v/>
      </c>
      <c r="L816" t="str">
        <f>IFERROR(IF(A816="","",SUMIF(DB_Withdrawals!$A:$A,A816,DB_Withdrawals!$G:$G)),"")</f>
        <v/>
      </c>
      <c r="M816" t="str">
        <f>IFERROR(IF(A816="","",IFERROR(VALUE(H816),0)+IFERROR(SUMIF(DB_Savings!$A:$A,A816,DB_Savings!$F:$F),0)-IFERROR(SUMIF(DB_Withdrawals!$A:$A,A816,DB_Withdrawals!$G:$G),0)),"")</f>
        <v/>
      </c>
      <c r="N816" t="str">
        <f>IFERROR(IF(A816="","",MAX(0,M816-System_Config!$B$9)),"")</f>
        <v/>
      </c>
    </row>
    <row r="817" spans="1:14" ht="15" customHeight="1" x14ac:dyDescent="0.25">
      <c r="A817" t="str">
        <f>'NEW ACCOUNT'!A818</f>
        <v/>
      </c>
      <c r="B817" t="str">
        <f>IF('NEW ACCOUNT'!A818="","",'NEW ACCOUNT'!B818)</f>
        <v/>
      </c>
      <c r="C817" t="str">
        <f>IF('NEW ACCOUNT'!A818="","",'NEW ACCOUNT'!C818)</f>
        <v/>
      </c>
      <c r="D817" t="str">
        <f>IF('NEW ACCOUNT'!A818="","",'NEW ACCOUNT'!D818)</f>
        <v/>
      </c>
      <c r="E817" t="str">
        <f>IF('NEW ACCOUNT'!A818="","",'NEW ACCOUNT'!E818)</f>
        <v/>
      </c>
      <c r="F817" t="str">
        <f>IF('NEW ACCOUNT'!A818="","",'NEW ACCOUNT'!F818)</f>
        <v/>
      </c>
      <c r="G817" t="str">
        <f>IF('NEW ACCOUNT'!A818="","",'NEW ACCOUNT'!G818)</f>
        <v/>
      </c>
      <c r="H817" t="str">
        <f>IF('NEW ACCOUNT'!A818="","",'NEW ACCOUNT'!H818)</f>
        <v/>
      </c>
      <c r="I817" t="str">
        <f>IF('NEW ACCOUNT'!A818="","",'NEW ACCOUNT'!I818)</f>
        <v/>
      </c>
      <c r="J817" t="str">
        <f>IF('NEW ACCOUNT'!A818="","",'NEW ACCOUNT'!J818)</f>
        <v/>
      </c>
      <c r="K817" t="str">
        <f>IFERROR(IF(A817="","",SUMIF(DB_Savings!$A:$A,A817,DB_Savings!$F:$F)),"")</f>
        <v/>
      </c>
      <c r="L817" t="str">
        <f>IFERROR(IF(A817="","",SUMIF(DB_Withdrawals!$A:$A,A817,DB_Withdrawals!$G:$G)),"")</f>
        <v/>
      </c>
      <c r="M817" t="str">
        <f>IFERROR(IF(A817="","",IFERROR(VALUE(H817),0)+IFERROR(SUMIF(DB_Savings!$A:$A,A817,DB_Savings!$F:$F),0)-IFERROR(SUMIF(DB_Withdrawals!$A:$A,A817,DB_Withdrawals!$G:$G),0)),"")</f>
        <v/>
      </c>
      <c r="N817" t="str">
        <f>IFERROR(IF(A817="","",MAX(0,M817-System_Config!$B$9)),"")</f>
        <v/>
      </c>
    </row>
    <row r="818" spans="1:14" ht="15" customHeight="1" x14ac:dyDescent="0.25">
      <c r="A818" t="str">
        <f>'NEW ACCOUNT'!A819</f>
        <v/>
      </c>
      <c r="B818" t="str">
        <f>IF('NEW ACCOUNT'!A819="","",'NEW ACCOUNT'!B819)</f>
        <v/>
      </c>
      <c r="C818" t="str">
        <f>IF('NEW ACCOUNT'!A819="","",'NEW ACCOUNT'!C819)</f>
        <v/>
      </c>
      <c r="D818" t="str">
        <f>IF('NEW ACCOUNT'!A819="","",'NEW ACCOUNT'!D819)</f>
        <v/>
      </c>
      <c r="E818" t="str">
        <f>IF('NEW ACCOUNT'!A819="","",'NEW ACCOUNT'!E819)</f>
        <v/>
      </c>
      <c r="F818" t="str">
        <f>IF('NEW ACCOUNT'!A819="","",'NEW ACCOUNT'!F819)</f>
        <v/>
      </c>
      <c r="G818" t="str">
        <f>IF('NEW ACCOUNT'!A819="","",'NEW ACCOUNT'!G819)</f>
        <v/>
      </c>
      <c r="H818" t="str">
        <f>IF('NEW ACCOUNT'!A819="","",'NEW ACCOUNT'!H819)</f>
        <v/>
      </c>
      <c r="I818" t="str">
        <f>IF('NEW ACCOUNT'!A819="","",'NEW ACCOUNT'!I819)</f>
        <v/>
      </c>
      <c r="J818" t="str">
        <f>IF('NEW ACCOUNT'!A819="","",'NEW ACCOUNT'!J819)</f>
        <v/>
      </c>
      <c r="K818" t="str">
        <f>IFERROR(IF(A818="","",SUMIF(DB_Savings!$A:$A,A818,DB_Savings!$F:$F)),"")</f>
        <v/>
      </c>
      <c r="L818" t="str">
        <f>IFERROR(IF(A818="","",SUMIF(DB_Withdrawals!$A:$A,A818,DB_Withdrawals!$G:$G)),"")</f>
        <v/>
      </c>
      <c r="M818" t="str">
        <f>IFERROR(IF(A818="","",IFERROR(VALUE(H818),0)+IFERROR(SUMIF(DB_Savings!$A:$A,A818,DB_Savings!$F:$F),0)-IFERROR(SUMIF(DB_Withdrawals!$A:$A,A818,DB_Withdrawals!$G:$G),0)),"")</f>
        <v/>
      </c>
      <c r="N818" t="str">
        <f>IFERROR(IF(A818="","",MAX(0,M818-System_Config!$B$9)),"")</f>
        <v/>
      </c>
    </row>
    <row r="819" spans="1:14" ht="15" customHeight="1" x14ac:dyDescent="0.25">
      <c r="A819" t="str">
        <f>'NEW ACCOUNT'!A820</f>
        <v/>
      </c>
      <c r="B819" t="str">
        <f>IF('NEW ACCOUNT'!A820="","",'NEW ACCOUNT'!B820)</f>
        <v/>
      </c>
      <c r="C819" t="str">
        <f>IF('NEW ACCOUNT'!A820="","",'NEW ACCOUNT'!C820)</f>
        <v/>
      </c>
      <c r="D819" t="str">
        <f>IF('NEW ACCOUNT'!A820="","",'NEW ACCOUNT'!D820)</f>
        <v/>
      </c>
      <c r="E819" t="str">
        <f>IF('NEW ACCOUNT'!A820="","",'NEW ACCOUNT'!E820)</f>
        <v/>
      </c>
      <c r="F819" t="str">
        <f>IF('NEW ACCOUNT'!A820="","",'NEW ACCOUNT'!F820)</f>
        <v/>
      </c>
      <c r="G819" t="str">
        <f>IF('NEW ACCOUNT'!A820="","",'NEW ACCOUNT'!G820)</f>
        <v/>
      </c>
      <c r="H819" t="str">
        <f>IF('NEW ACCOUNT'!A820="","",'NEW ACCOUNT'!H820)</f>
        <v/>
      </c>
      <c r="I819" t="str">
        <f>IF('NEW ACCOUNT'!A820="","",'NEW ACCOUNT'!I820)</f>
        <v/>
      </c>
      <c r="J819" t="str">
        <f>IF('NEW ACCOUNT'!A820="","",'NEW ACCOUNT'!J820)</f>
        <v/>
      </c>
      <c r="K819" t="str">
        <f>IFERROR(IF(A819="","",SUMIF(DB_Savings!$A:$A,A819,DB_Savings!$F:$F)),"")</f>
        <v/>
      </c>
      <c r="L819" t="str">
        <f>IFERROR(IF(A819="","",SUMIF(DB_Withdrawals!$A:$A,A819,DB_Withdrawals!$G:$G)),"")</f>
        <v/>
      </c>
      <c r="M819" t="str">
        <f>IFERROR(IF(A819="","",IFERROR(VALUE(H819),0)+IFERROR(SUMIF(DB_Savings!$A:$A,A819,DB_Savings!$F:$F),0)-IFERROR(SUMIF(DB_Withdrawals!$A:$A,A819,DB_Withdrawals!$G:$G),0)),"")</f>
        <v/>
      </c>
      <c r="N819" t="str">
        <f>IFERROR(IF(A819="","",MAX(0,M819-System_Config!$B$9)),"")</f>
        <v/>
      </c>
    </row>
    <row r="820" spans="1:14" ht="15" customHeight="1" x14ac:dyDescent="0.25">
      <c r="A820" t="str">
        <f>'NEW ACCOUNT'!A821</f>
        <v/>
      </c>
      <c r="B820" t="str">
        <f>IF('NEW ACCOUNT'!A821="","",'NEW ACCOUNT'!B821)</f>
        <v/>
      </c>
      <c r="C820" t="str">
        <f>IF('NEW ACCOUNT'!A821="","",'NEW ACCOUNT'!C821)</f>
        <v/>
      </c>
      <c r="D820" t="str">
        <f>IF('NEW ACCOUNT'!A821="","",'NEW ACCOUNT'!D821)</f>
        <v/>
      </c>
      <c r="E820" t="str">
        <f>IF('NEW ACCOUNT'!A821="","",'NEW ACCOUNT'!E821)</f>
        <v/>
      </c>
      <c r="F820" t="str">
        <f>IF('NEW ACCOUNT'!A821="","",'NEW ACCOUNT'!F821)</f>
        <v/>
      </c>
      <c r="G820" t="str">
        <f>IF('NEW ACCOUNT'!A821="","",'NEW ACCOUNT'!G821)</f>
        <v/>
      </c>
      <c r="H820" t="str">
        <f>IF('NEW ACCOUNT'!A821="","",'NEW ACCOUNT'!H821)</f>
        <v/>
      </c>
      <c r="I820" t="str">
        <f>IF('NEW ACCOUNT'!A821="","",'NEW ACCOUNT'!I821)</f>
        <v/>
      </c>
      <c r="J820" t="str">
        <f>IF('NEW ACCOUNT'!A821="","",'NEW ACCOUNT'!J821)</f>
        <v/>
      </c>
      <c r="K820" t="str">
        <f>IFERROR(IF(A820="","",SUMIF(DB_Savings!$A:$A,A820,DB_Savings!$F:$F)),"")</f>
        <v/>
      </c>
      <c r="L820" t="str">
        <f>IFERROR(IF(A820="","",SUMIF(DB_Withdrawals!$A:$A,A820,DB_Withdrawals!$G:$G)),"")</f>
        <v/>
      </c>
      <c r="M820" t="str">
        <f>IFERROR(IF(A820="","",IFERROR(VALUE(H820),0)+IFERROR(SUMIF(DB_Savings!$A:$A,A820,DB_Savings!$F:$F),0)-IFERROR(SUMIF(DB_Withdrawals!$A:$A,A820,DB_Withdrawals!$G:$G),0)),"")</f>
        <v/>
      </c>
      <c r="N820" t="str">
        <f>IFERROR(IF(A820="","",MAX(0,M820-System_Config!$B$9)),"")</f>
        <v/>
      </c>
    </row>
    <row r="821" spans="1:14" ht="15" customHeight="1" x14ac:dyDescent="0.25">
      <c r="A821" t="str">
        <f>'NEW ACCOUNT'!A822</f>
        <v/>
      </c>
      <c r="B821" t="str">
        <f>IF('NEW ACCOUNT'!A822="","",'NEW ACCOUNT'!B822)</f>
        <v/>
      </c>
      <c r="C821" t="str">
        <f>IF('NEW ACCOUNT'!A822="","",'NEW ACCOUNT'!C822)</f>
        <v/>
      </c>
      <c r="D821" t="str">
        <f>IF('NEW ACCOUNT'!A822="","",'NEW ACCOUNT'!D822)</f>
        <v/>
      </c>
      <c r="E821" t="str">
        <f>IF('NEW ACCOUNT'!A822="","",'NEW ACCOUNT'!E822)</f>
        <v/>
      </c>
      <c r="F821" t="str">
        <f>IF('NEW ACCOUNT'!A822="","",'NEW ACCOUNT'!F822)</f>
        <v/>
      </c>
      <c r="G821" t="str">
        <f>IF('NEW ACCOUNT'!A822="","",'NEW ACCOUNT'!G822)</f>
        <v/>
      </c>
      <c r="H821" t="str">
        <f>IF('NEW ACCOUNT'!A822="","",'NEW ACCOUNT'!H822)</f>
        <v/>
      </c>
      <c r="I821" t="str">
        <f>IF('NEW ACCOUNT'!A822="","",'NEW ACCOUNT'!I822)</f>
        <v/>
      </c>
      <c r="J821" t="str">
        <f>IF('NEW ACCOUNT'!A822="","",'NEW ACCOUNT'!J822)</f>
        <v/>
      </c>
      <c r="K821" t="str">
        <f>IFERROR(IF(A821="","",SUMIF(DB_Savings!$A:$A,A821,DB_Savings!$F:$F)),"")</f>
        <v/>
      </c>
      <c r="L821" t="str">
        <f>IFERROR(IF(A821="","",SUMIF(DB_Withdrawals!$A:$A,A821,DB_Withdrawals!$G:$G)),"")</f>
        <v/>
      </c>
      <c r="M821" t="str">
        <f>IFERROR(IF(A821="","",IFERROR(VALUE(H821),0)+IFERROR(SUMIF(DB_Savings!$A:$A,A821,DB_Savings!$F:$F),0)-IFERROR(SUMIF(DB_Withdrawals!$A:$A,A821,DB_Withdrawals!$G:$G),0)),"")</f>
        <v/>
      </c>
      <c r="N821" t="str">
        <f>IFERROR(IF(A821="","",MAX(0,M821-System_Config!$B$9)),"")</f>
        <v/>
      </c>
    </row>
    <row r="822" spans="1:14" ht="15" customHeight="1" x14ac:dyDescent="0.25">
      <c r="A822" t="str">
        <f>'NEW ACCOUNT'!A823</f>
        <v/>
      </c>
      <c r="B822" t="str">
        <f>IF('NEW ACCOUNT'!A823="","",'NEW ACCOUNT'!B823)</f>
        <v/>
      </c>
      <c r="C822" t="str">
        <f>IF('NEW ACCOUNT'!A823="","",'NEW ACCOUNT'!C823)</f>
        <v/>
      </c>
      <c r="D822" t="str">
        <f>IF('NEW ACCOUNT'!A823="","",'NEW ACCOUNT'!D823)</f>
        <v/>
      </c>
      <c r="E822" t="str">
        <f>IF('NEW ACCOUNT'!A823="","",'NEW ACCOUNT'!E823)</f>
        <v/>
      </c>
      <c r="F822" t="str">
        <f>IF('NEW ACCOUNT'!A823="","",'NEW ACCOUNT'!F823)</f>
        <v/>
      </c>
      <c r="G822" t="str">
        <f>IF('NEW ACCOUNT'!A823="","",'NEW ACCOUNT'!G823)</f>
        <v/>
      </c>
      <c r="H822" t="str">
        <f>IF('NEW ACCOUNT'!A823="","",'NEW ACCOUNT'!H823)</f>
        <v/>
      </c>
      <c r="I822" t="str">
        <f>IF('NEW ACCOUNT'!A823="","",'NEW ACCOUNT'!I823)</f>
        <v/>
      </c>
      <c r="J822" t="str">
        <f>IF('NEW ACCOUNT'!A823="","",'NEW ACCOUNT'!J823)</f>
        <v/>
      </c>
      <c r="K822" t="str">
        <f>IFERROR(IF(A822="","",SUMIF(DB_Savings!$A:$A,A822,DB_Savings!$F:$F)),"")</f>
        <v/>
      </c>
      <c r="L822" t="str">
        <f>IFERROR(IF(A822="","",SUMIF(DB_Withdrawals!$A:$A,A822,DB_Withdrawals!$G:$G)),"")</f>
        <v/>
      </c>
      <c r="M822" t="str">
        <f>IFERROR(IF(A822="","",IFERROR(VALUE(H822),0)+IFERROR(SUMIF(DB_Savings!$A:$A,A822,DB_Savings!$F:$F),0)-IFERROR(SUMIF(DB_Withdrawals!$A:$A,A822,DB_Withdrawals!$G:$G),0)),"")</f>
        <v/>
      </c>
      <c r="N822" t="str">
        <f>IFERROR(IF(A822="","",MAX(0,M822-System_Config!$B$9)),"")</f>
        <v/>
      </c>
    </row>
    <row r="823" spans="1:14" ht="15" customHeight="1" x14ac:dyDescent="0.25">
      <c r="A823" t="str">
        <f>'NEW ACCOUNT'!A824</f>
        <v/>
      </c>
      <c r="B823" t="str">
        <f>IF('NEW ACCOUNT'!A824="","",'NEW ACCOUNT'!B824)</f>
        <v/>
      </c>
      <c r="C823" t="str">
        <f>IF('NEW ACCOUNT'!A824="","",'NEW ACCOUNT'!C824)</f>
        <v/>
      </c>
      <c r="D823" t="str">
        <f>IF('NEW ACCOUNT'!A824="","",'NEW ACCOUNT'!D824)</f>
        <v/>
      </c>
      <c r="E823" t="str">
        <f>IF('NEW ACCOUNT'!A824="","",'NEW ACCOUNT'!E824)</f>
        <v/>
      </c>
      <c r="F823" t="str">
        <f>IF('NEW ACCOUNT'!A824="","",'NEW ACCOUNT'!F824)</f>
        <v/>
      </c>
      <c r="G823" t="str">
        <f>IF('NEW ACCOUNT'!A824="","",'NEW ACCOUNT'!G824)</f>
        <v/>
      </c>
      <c r="H823" t="str">
        <f>IF('NEW ACCOUNT'!A824="","",'NEW ACCOUNT'!H824)</f>
        <v/>
      </c>
      <c r="I823" t="str">
        <f>IF('NEW ACCOUNT'!A824="","",'NEW ACCOUNT'!I824)</f>
        <v/>
      </c>
      <c r="J823" t="str">
        <f>IF('NEW ACCOUNT'!A824="","",'NEW ACCOUNT'!J824)</f>
        <v/>
      </c>
      <c r="K823" t="str">
        <f>IFERROR(IF(A823="","",SUMIF(DB_Savings!$A:$A,A823,DB_Savings!$F:$F)),"")</f>
        <v/>
      </c>
      <c r="L823" t="str">
        <f>IFERROR(IF(A823="","",SUMIF(DB_Withdrawals!$A:$A,A823,DB_Withdrawals!$G:$G)),"")</f>
        <v/>
      </c>
      <c r="M823" t="str">
        <f>IFERROR(IF(A823="","",IFERROR(VALUE(H823),0)+IFERROR(SUMIF(DB_Savings!$A:$A,A823,DB_Savings!$F:$F),0)-IFERROR(SUMIF(DB_Withdrawals!$A:$A,A823,DB_Withdrawals!$G:$G),0)),"")</f>
        <v/>
      </c>
      <c r="N823" t="str">
        <f>IFERROR(IF(A823="","",MAX(0,M823-System_Config!$B$9)),"")</f>
        <v/>
      </c>
    </row>
    <row r="824" spans="1:14" ht="15" customHeight="1" x14ac:dyDescent="0.25">
      <c r="A824" t="str">
        <f>'NEW ACCOUNT'!A825</f>
        <v/>
      </c>
      <c r="B824" t="str">
        <f>IF('NEW ACCOUNT'!A825="","",'NEW ACCOUNT'!B825)</f>
        <v/>
      </c>
      <c r="C824" t="str">
        <f>IF('NEW ACCOUNT'!A825="","",'NEW ACCOUNT'!C825)</f>
        <v/>
      </c>
      <c r="D824" t="str">
        <f>IF('NEW ACCOUNT'!A825="","",'NEW ACCOUNT'!D825)</f>
        <v/>
      </c>
      <c r="E824" t="str">
        <f>IF('NEW ACCOUNT'!A825="","",'NEW ACCOUNT'!E825)</f>
        <v/>
      </c>
      <c r="F824" t="str">
        <f>IF('NEW ACCOUNT'!A825="","",'NEW ACCOUNT'!F825)</f>
        <v/>
      </c>
      <c r="G824" t="str">
        <f>IF('NEW ACCOUNT'!A825="","",'NEW ACCOUNT'!G825)</f>
        <v/>
      </c>
      <c r="H824" t="str">
        <f>IF('NEW ACCOUNT'!A825="","",'NEW ACCOUNT'!H825)</f>
        <v/>
      </c>
      <c r="I824" t="str">
        <f>IF('NEW ACCOUNT'!A825="","",'NEW ACCOUNT'!I825)</f>
        <v/>
      </c>
      <c r="J824" t="str">
        <f>IF('NEW ACCOUNT'!A825="","",'NEW ACCOUNT'!J825)</f>
        <v/>
      </c>
      <c r="K824" t="str">
        <f>IFERROR(IF(A824="","",SUMIF(DB_Savings!$A:$A,A824,DB_Savings!$F:$F)),"")</f>
        <v/>
      </c>
      <c r="L824" t="str">
        <f>IFERROR(IF(A824="","",SUMIF(DB_Withdrawals!$A:$A,A824,DB_Withdrawals!$G:$G)),"")</f>
        <v/>
      </c>
      <c r="M824" t="str">
        <f>IFERROR(IF(A824="","",IFERROR(VALUE(H824),0)+IFERROR(SUMIF(DB_Savings!$A:$A,A824,DB_Savings!$F:$F),0)-IFERROR(SUMIF(DB_Withdrawals!$A:$A,A824,DB_Withdrawals!$G:$G),0)),"")</f>
        <v/>
      </c>
      <c r="N824" t="str">
        <f>IFERROR(IF(A824="","",MAX(0,M824-System_Config!$B$9)),"")</f>
        <v/>
      </c>
    </row>
    <row r="825" spans="1:14" ht="15" customHeight="1" x14ac:dyDescent="0.25">
      <c r="A825" t="str">
        <f>'NEW ACCOUNT'!A826</f>
        <v/>
      </c>
      <c r="B825" t="str">
        <f>IF('NEW ACCOUNT'!A826="","",'NEW ACCOUNT'!B826)</f>
        <v/>
      </c>
      <c r="C825" t="str">
        <f>IF('NEW ACCOUNT'!A826="","",'NEW ACCOUNT'!C826)</f>
        <v/>
      </c>
      <c r="D825" t="str">
        <f>IF('NEW ACCOUNT'!A826="","",'NEW ACCOUNT'!D826)</f>
        <v/>
      </c>
      <c r="E825" t="str">
        <f>IF('NEW ACCOUNT'!A826="","",'NEW ACCOUNT'!E826)</f>
        <v/>
      </c>
      <c r="F825" t="str">
        <f>IF('NEW ACCOUNT'!A826="","",'NEW ACCOUNT'!F826)</f>
        <v/>
      </c>
      <c r="G825" t="str">
        <f>IF('NEW ACCOUNT'!A826="","",'NEW ACCOUNT'!G826)</f>
        <v/>
      </c>
      <c r="H825" t="str">
        <f>IF('NEW ACCOUNT'!A826="","",'NEW ACCOUNT'!H826)</f>
        <v/>
      </c>
      <c r="I825" t="str">
        <f>IF('NEW ACCOUNT'!A826="","",'NEW ACCOUNT'!I826)</f>
        <v/>
      </c>
      <c r="J825" t="str">
        <f>IF('NEW ACCOUNT'!A826="","",'NEW ACCOUNT'!J826)</f>
        <v/>
      </c>
      <c r="K825" t="str">
        <f>IFERROR(IF(A825="","",SUMIF(DB_Savings!$A:$A,A825,DB_Savings!$F:$F)),"")</f>
        <v/>
      </c>
      <c r="L825" t="str">
        <f>IFERROR(IF(A825="","",SUMIF(DB_Withdrawals!$A:$A,A825,DB_Withdrawals!$G:$G)),"")</f>
        <v/>
      </c>
      <c r="M825" t="str">
        <f>IFERROR(IF(A825="","",IFERROR(VALUE(H825),0)+IFERROR(SUMIF(DB_Savings!$A:$A,A825,DB_Savings!$F:$F),0)-IFERROR(SUMIF(DB_Withdrawals!$A:$A,A825,DB_Withdrawals!$G:$G),0)),"")</f>
        <v/>
      </c>
      <c r="N825" t="str">
        <f>IFERROR(IF(A825="","",MAX(0,M825-System_Config!$B$9)),"")</f>
        <v/>
      </c>
    </row>
    <row r="826" spans="1:14" ht="15" customHeight="1" x14ac:dyDescent="0.25">
      <c r="A826" t="str">
        <f>'NEW ACCOUNT'!A827</f>
        <v/>
      </c>
      <c r="B826" t="str">
        <f>IF('NEW ACCOUNT'!A827="","",'NEW ACCOUNT'!B827)</f>
        <v/>
      </c>
      <c r="C826" t="str">
        <f>IF('NEW ACCOUNT'!A827="","",'NEW ACCOUNT'!C827)</f>
        <v/>
      </c>
      <c r="D826" t="str">
        <f>IF('NEW ACCOUNT'!A827="","",'NEW ACCOUNT'!D827)</f>
        <v/>
      </c>
      <c r="E826" t="str">
        <f>IF('NEW ACCOUNT'!A827="","",'NEW ACCOUNT'!E827)</f>
        <v/>
      </c>
      <c r="F826" t="str">
        <f>IF('NEW ACCOUNT'!A827="","",'NEW ACCOUNT'!F827)</f>
        <v/>
      </c>
      <c r="G826" t="str">
        <f>IF('NEW ACCOUNT'!A827="","",'NEW ACCOUNT'!G827)</f>
        <v/>
      </c>
      <c r="H826" t="str">
        <f>IF('NEW ACCOUNT'!A827="","",'NEW ACCOUNT'!H827)</f>
        <v/>
      </c>
      <c r="I826" t="str">
        <f>IF('NEW ACCOUNT'!A827="","",'NEW ACCOUNT'!I827)</f>
        <v/>
      </c>
      <c r="J826" t="str">
        <f>IF('NEW ACCOUNT'!A827="","",'NEW ACCOUNT'!J827)</f>
        <v/>
      </c>
      <c r="K826" t="str">
        <f>IFERROR(IF(A826="","",SUMIF(DB_Savings!$A:$A,A826,DB_Savings!$F:$F)),"")</f>
        <v/>
      </c>
      <c r="L826" t="str">
        <f>IFERROR(IF(A826="","",SUMIF(DB_Withdrawals!$A:$A,A826,DB_Withdrawals!$G:$G)),"")</f>
        <v/>
      </c>
      <c r="M826" t="str">
        <f>IFERROR(IF(A826="","",IFERROR(VALUE(H826),0)+IFERROR(SUMIF(DB_Savings!$A:$A,A826,DB_Savings!$F:$F),0)-IFERROR(SUMIF(DB_Withdrawals!$A:$A,A826,DB_Withdrawals!$G:$G),0)),"")</f>
        <v/>
      </c>
      <c r="N826" t="str">
        <f>IFERROR(IF(A826="","",MAX(0,M826-System_Config!$B$9)),"")</f>
        <v/>
      </c>
    </row>
    <row r="827" spans="1:14" ht="15" customHeight="1" x14ac:dyDescent="0.25">
      <c r="A827" t="str">
        <f>'NEW ACCOUNT'!A828</f>
        <v/>
      </c>
      <c r="B827" t="str">
        <f>IF('NEW ACCOUNT'!A828="","",'NEW ACCOUNT'!B828)</f>
        <v/>
      </c>
      <c r="C827" t="str">
        <f>IF('NEW ACCOUNT'!A828="","",'NEW ACCOUNT'!C828)</f>
        <v/>
      </c>
      <c r="D827" t="str">
        <f>IF('NEW ACCOUNT'!A828="","",'NEW ACCOUNT'!D828)</f>
        <v/>
      </c>
      <c r="E827" t="str">
        <f>IF('NEW ACCOUNT'!A828="","",'NEW ACCOUNT'!E828)</f>
        <v/>
      </c>
      <c r="F827" t="str">
        <f>IF('NEW ACCOUNT'!A828="","",'NEW ACCOUNT'!F828)</f>
        <v/>
      </c>
      <c r="G827" t="str">
        <f>IF('NEW ACCOUNT'!A828="","",'NEW ACCOUNT'!G828)</f>
        <v/>
      </c>
      <c r="H827" t="str">
        <f>IF('NEW ACCOUNT'!A828="","",'NEW ACCOUNT'!H828)</f>
        <v/>
      </c>
      <c r="I827" t="str">
        <f>IF('NEW ACCOUNT'!A828="","",'NEW ACCOUNT'!I828)</f>
        <v/>
      </c>
      <c r="J827" t="str">
        <f>IF('NEW ACCOUNT'!A828="","",'NEW ACCOUNT'!J828)</f>
        <v/>
      </c>
      <c r="K827" t="str">
        <f>IFERROR(IF(A827="","",SUMIF(DB_Savings!$A:$A,A827,DB_Savings!$F:$F)),"")</f>
        <v/>
      </c>
      <c r="L827" t="str">
        <f>IFERROR(IF(A827="","",SUMIF(DB_Withdrawals!$A:$A,A827,DB_Withdrawals!$G:$G)),"")</f>
        <v/>
      </c>
      <c r="M827" t="str">
        <f>IFERROR(IF(A827="","",IFERROR(VALUE(H827),0)+IFERROR(SUMIF(DB_Savings!$A:$A,A827,DB_Savings!$F:$F),0)-IFERROR(SUMIF(DB_Withdrawals!$A:$A,A827,DB_Withdrawals!$G:$G),0)),"")</f>
        <v/>
      </c>
      <c r="N827" t="str">
        <f>IFERROR(IF(A827="","",MAX(0,M827-System_Config!$B$9)),"")</f>
        <v/>
      </c>
    </row>
    <row r="828" spans="1:14" ht="15" customHeight="1" x14ac:dyDescent="0.25">
      <c r="A828" t="str">
        <f>'NEW ACCOUNT'!A829</f>
        <v/>
      </c>
      <c r="B828" t="str">
        <f>IF('NEW ACCOUNT'!A829="","",'NEW ACCOUNT'!B829)</f>
        <v/>
      </c>
      <c r="C828" t="str">
        <f>IF('NEW ACCOUNT'!A829="","",'NEW ACCOUNT'!C829)</f>
        <v/>
      </c>
      <c r="D828" t="str">
        <f>IF('NEW ACCOUNT'!A829="","",'NEW ACCOUNT'!D829)</f>
        <v/>
      </c>
      <c r="E828" t="str">
        <f>IF('NEW ACCOUNT'!A829="","",'NEW ACCOUNT'!E829)</f>
        <v/>
      </c>
      <c r="F828" t="str">
        <f>IF('NEW ACCOUNT'!A829="","",'NEW ACCOUNT'!F829)</f>
        <v/>
      </c>
      <c r="G828" t="str">
        <f>IF('NEW ACCOUNT'!A829="","",'NEW ACCOUNT'!G829)</f>
        <v/>
      </c>
      <c r="H828" t="str">
        <f>IF('NEW ACCOUNT'!A829="","",'NEW ACCOUNT'!H829)</f>
        <v/>
      </c>
      <c r="I828" t="str">
        <f>IF('NEW ACCOUNT'!A829="","",'NEW ACCOUNT'!I829)</f>
        <v/>
      </c>
      <c r="J828" t="str">
        <f>IF('NEW ACCOUNT'!A829="","",'NEW ACCOUNT'!J829)</f>
        <v/>
      </c>
      <c r="K828" t="str">
        <f>IFERROR(IF(A828="","",SUMIF(DB_Savings!$A:$A,A828,DB_Savings!$F:$F)),"")</f>
        <v/>
      </c>
      <c r="L828" t="str">
        <f>IFERROR(IF(A828="","",SUMIF(DB_Withdrawals!$A:$A,A828,DB_Withdrawals!$G:$G)),"")</f>
        <v/>
      </c>
      <c r="M828" t="str">
        <f>IFERROR(IF(A828="","",IFERROR(VALUE(H828),0)+IFERROR(SUMIF(DB_Savings!$A:$A,A828,DB_Savings!$F:$F),0)-IFERROR(SUMIF(DB_Withdrawals!$A:$A,A828,DB_Withdrawals!$G:$G),0)),"")</f>
        <v/>
      </c>
      <c r="N828" t="str">
        <f>IFERROR(IF(A828="","",MAX(0,M828-System_Config!$B$9)),"")</f>
        <v/>
      </c>
    </row>
    <row r="829" spans="1:14" ht="15" customHeight="1" x14ac:dyDescent="0.25">
      <c r="A829" t="str">
        <f>'NEW ACCOUNT'!A830</f>
        <v/>
      </c>
      <c r="B829" t="str">
        <f>IF('NEW ACCOUNT'!A830="","",'NEW ACCOUNT'!B830)</f>
        <v/>
      </c>
      <c r="C829" t="str">
        <f>IF('NEW ACCOUNT'!A830="","",'NEW ACCOUNT'!C830)</f>
        <v/>
      </c>
      <c r="D829" t="str">
        <f>IF('NEW ACCOUNT'!A830="","",'NEW ACCOUNT'!D830)</f>
        <v/>
      </c>
      <c r="E829" t="str">
        <f>IF('NEW ACCOUNT'!A830="","",'NEW ACCOUNT'!E830)</f>
        <v/>
      </c>
      <c r="F829" t="str">
        <f>IF('NEW ACCOUNT'!A830="","",'NEW ACCOUNT'!F830)</f>
        <v/>
      </c>
      <c r="G829" t="str">
        <f>IF('NEW ACCOUNT'!A830="","",'NEW ACCOUNT'!G830)</f>
        <v/>
      </c>
      <c r="H829" t="str">
        <f>IF('NEW ACCOUNT'!A830="","",'NEW ACCOUNT'!H830)</f>
        <v/>
      </c>
      <c r="I829" t="str">
        <f>IF('NEW ACCOUNT'!A830="","",'NEW ACCOUNT'!I830)</f>
        <v/>
      </c>
      <c r="J829" t="str">
        <f>IF('NEW ACCOUNT'!A830="","",'NEW ACCOUNT'!J830)</f>
        <v/>
      </c>
      <c r="K829" t="str">
        <f>IFERROR(IF(A829="","",SUMIF(DB_Savings!$A:$A,A829,DB_Savings!$F:$F)),"")</f>
        <v/>
      </c>
      <c r="L829" t="str">
        <f>IFERROR(IF(A829="","",SUMIF(DB_Withdrawals!$A:$A,A829,DB_Withdrawals!$G:$G)),"")</f>
        <v/>
      </c>
      <c r="M829" t="str">
        <f>IFERROR(IF(A829="","",IFERROR(VALUE(H829),0)+IFERROR(SUMIF(DB_Savings!$A:$A,A829,DB_Savings!$F:$F),0)-IFERROR(SUMIF(DB_Withdrawals!$A:$A,A829,DB_Withdrawals!$G:$G),0)),"")</f>
        <v/>
      </c>
      <c r="N829" t="str">
        <f>IFERROR(IF(A829="","",MAX(0,M829-System_Config!$B$9)),"")</f>
        <v/>
      </c>
    </row>
    <row r="830" spans="1:14" ht="15" customHeight="1" x14ac:dyDescent="0.25">
      <c r="A830" t="str">
        <f>'NEW ACCOUNT'!A831</f>
        <v/>
      </c>
      <c r="B830" t="str">
        <f>IF('NEW ACCOUNT'!A831="","",'NEW ACCOUNT'!B831)</f>
        <v/>
      </c>
      <c r="C830" t="str">
        <f>IF('NEW ACCOUNT'!A831="","",'NEW ACCOUNT'!C831)</f>
        <v/>
      </c>
      <c r="D830" t="str">
        <f>IF('NEW ACCOUNT'!A831="","",'NEW ACCOUNT'!D831)</f>
        <v/>
      </c>
      <c r="E830" t="str">
        <f>IF('NEW ACCOUNT'!A831="","",'NEW ACCOUNT'!E831)</f>
        <v/>
      </c>
      <c r="F830" t="str">
        <f>IF('NEW ACCOUNT'!A831="","",'NEW ACCOUNT'!F831)</f>
        <v/>
      </c>
      <c r="G830" t="str">
        <f>IF('NEW ACCOUNT'!A831="","",'NEW ACCOUNT'!G831)</f>
        <v/>
      </c>
      <c r="H830" t="str">
        <f>IF('NEW ACCOUNT'!A831="","",'NEW ACCOUNT'!H831)</f>
        <v/>
      </c>
      <c r="I830" t="str">
        <f>IF('NEW ACCOUNT'!A831="","",'NEW ACCOUNT'!I831)</f>
        <v/>
      </c>
      <c r="J830" t="str">
        <f>IF('NEW ACCOUNT'!A831="","",'NEW ACCOUNT'!J831)</f>
        <v/>
      </c>
      <c r="K830" t="str">
        <f>IFERROR(IF(A830="","",SUMIF(DB_Savings!$A:$A,A830,DB_Savings!$F:$F)),"")</f>
        <v/>
      </c>
      <c r="L830" t="str">
        <f>IFERROR(IF(A830="","",SUMIF(DB_Withdrawals!$A:$A,A830,DB_Withdrawals!$G:$G)),"")</f>
        <v/>
      </c>
      <c r="M830" t="str">
        <f>IFERROR(IF(A830="","",IFERROR(VALUE(H830),0)+IFERROR(SUMIF(DB_Savings!$A:$A,A830,DB_Savings!$F:$F),0)-IFERROR(SUMIF(DB_Withdrawals!$A:$A,A830,DB_Withdrawals!$G:$G),0)),"")</f>
        <v/>
      </c>
      <c r="N830" t="str">
        <f>IFERROR(IF(A830="","",MAX(0,M830-System_Config!$B$9)),"")</f>
        <v/>
      </c>
    </row>
    <row r="831" spans="1:14" ht="15" customHeight="1" x14ac:dyDescent="0.25">
      <c r="A831" t="str">
        <f>'NEW ACCOUNT'!A832</f>
        <v/>
      </c>
      <c r="B831" t="str">
        <f>IF('NEW ACCOUNT'!A832="","",'NEW ACCOUNT'!B832)</f>
        <v/>
      </c>
      <c r="C831" t="str">
        <f>IF('NEW ACCOUNT'!A832="","",'NEW ACCOUNT'!C832)</f>
        <v/>
      </c>
      <c r="D831" t="str">
        <f>IF('NEW ACCOUNT'!A832="","",'NEW ACCOUNT'!D832)</f>
        <v/>
      </c>
      <c r="E831" t="str">
        <f>IF('NEW ACCOUNT'!A832="","",'NEW ACCOUNT'!E832)</f>
        <v/>
      </c>
      <c r="F831" t="str">
        <f>IF('NEW ACCOUNT'!A832="","",'NEW ACCOUNT'!F832)</f>
        <v/>
      </c>
      <c r="G831" t="str">
        <f>IF('NEW ACCOUNT'!A832="","",'NEW ACCOUNT'!G832)</f>
        <v/>
      </c>
      <c r="H831" t="str">
        <f>IF('NEW ACCOUNT'!A832="","",'NEW ACCOUNT'!H832)</f>
        <v/>
      </c>
      <c r="I831" t="str">
        <f>IF('NEW ACCOUNT'!A832="","",'NEW ACCOUNT'!I832)</f>
        <v/>
      </c>
      <c r="J831" t="str">
        <f>IF('NEW ACCOUNT'!A832="","",'NEW ACCOUNT'!J832)</f>
        <v/>
      </c>
      <c r="K831" t="str">
        <f>IFERROR(IF(A831="","",SUMIF(DB_Savings!$A:$A,A831,DB_Savings!$F:$F)),"")</f>
        <v/>
      </c>
      <c r="L831" t="str">
        <f>IFERROR(IF(A831="","",SUMIF(DB_Withdrawals!$A:$A,A831,DB_Withdrawals!$G:$G)),"")</f>
        <v/>
      </c>
      <c r="M831" t="str">
        <f>IFERROR(IF(A831="","",IFERROR(VALUE(H831),0)+IFERROR(SUMIF(DB_Savings!$A:$A,A831,DB_Savings!$F:$F),0)-IFERROR(SUMIF(DB_Withdrawals!$A:$A,A831,DB_Withdrawals!$G:$G),0)),"")</f>
        <v/>
      </c>
      <c r="N831" t="str">
        <f>IFERROR(IF(A831="","",MAX(0,M831-System_Config!$B$9)),"")</f>
        <v/>
      </c>
    </row>
    <row r="832" spans="1:14" ht="15" customHeight="1" x14ac:dyDescent="0.25">
      <c r="A832" t="str">
        <f>'NEW ACCOUNT'!A833</f>
        <v/>
      </c>
      <c r="B832" t="str">
        <f>IF('NEW ACCOUNT'!A833="","",'NEW ACCOUNT'!B833)</f>
        <v/>
      </c>
      <c r="C832" t="str">
        <f>IF('NEW ACCOUNT'!A833="","",'NEW ACCOUNT'!C833)</f>
        <v/>
      </c>
      <c r="D832" t="str">
        <f>IF('NEW ACCOUNT'!A833="","",'NEW ACCOUNT'!D833)</f>
        <v/>
      </c>
      <c r="E832" t="str">
        <f>IF('NEW ACCOUNT'!A833="","",'NEW ACCOUNT'!E833)</f>
        <v/>
      </c>
      <c r="F832" t="str">
        <f>IF('NEW ACCOUNT'!A833="","",'NEW ACCOUNT'!F833)</f>
        <v/>
      </c>
      <c r="G832" t="str">
        <f>IF('NEW ACCOUNT'!A833="","",'NEW ACCOUNT'!G833)</f>
        <v/>
      </c>
      <c r="H832" t="str">
        <f>IF('NEW ACCOUNT'!A833="","",'NEW ACCOUNT'!H833)</f>
        <v/>
      </c>
      <c r="I832" t="str">
        <f>IF('NEW ACCOUNT'!A833="","",'NEW ACCOUNT'!I833)</f>
        <v/>
      </c>
      <c r="J832" t="str">
        <f>IF('NEW ACCOUNT'!A833="","",'NEW ACCOUNT'!J833)</f>
        <v/>
      </c>
      <c r="K832" t="str">
        <f>IFERROR(IF(A832="","",SUMIF(DB_Savings!$A:$A,A832,DB_Savings!$F:$F)),"")</f>
        <v/>
      </c>
      <c r="L832" t="str">
        <f>IFERROR(IF(A832="","",SUMIF(DB_Withdrawals!$A:$A,A832,DB_Withdrawals!$G:$G)),"")</f>
        <v/>
      </c>
      <c r="M832" t="str">
        <f>IFERROR(IF(A832="","",IFERROR(VALUE(H832),0)+IFERROR(SUMIF(DB_Savings!$A:$A,A832,DB_Savings!$F:$F),0)-IFERROR(SUMIF(DB_Withdrawals!$A:$A,A832,DB_Withdrawals!$G:$G),0)),"")</f>
        <v/>
      </c>
      <c r="N832" t="str">
        <f>IFERROR(IF(A832="","",MAX(0,M832-System_Config!$B$9)),"")</f>
        <v/>
      </c>
    </row>
    <row r="833" spans="1:14" ht="15" customHeight="1" x14ac:dyDescent="0.25">
      <c r="A833" t="str">
        <f>'NEW ACCOUNT'!A834</f>
        <v/>
      </c>
      <c r="B833" t="str">
        <f>IF('NEW ACCOUNT'!A834="","",'NEW ACCOUNT'!B834)</f>
        <v/>
      </c>
      <c r="C833" t="str">
        <f>IF('NEW ACCOUNT'!A834="","",'NEW ACCOUNT'!C834)</f>
        <v/>
      </c>
      <c r="D833" t="str">
        <f>IF('NEW ACCOUNT'!A834="","",'NEW ACCOUNT'!D834)</f>
        <v/>
      </c>
      <c r="E833" t="str">
        <f>IF('NEW ACCOUNT'!A834="","",'NEW ACCOUNT'!E834)</f>
        <v/>
      </c>
      <c r="F833" t="str">
        <f>IF('NEW ACCOUNT'!A834="","",'NEW ACCOUNT'!F834)</f>
        <v/>
      </c>
      <c r="G833" t="str">
        <f>IF('NEW ACCOUNT'!A834="","",'NEW ACCOUNT'!G834)</f>
        <v/>
      </c>
      <c r="H833" t="str">
        <f>IF('NEW ACCOUNT'!A834="","",'NEW ACCOUNT'!H834)</f>
        <v/>
      </c>
      <c r="I833" t="str">
        <f>IF('NEW ACCOUNT'!A834="","",'NEW ACCOUNT'!I834)</f>
        <v/>
      </c>
      <c r="J833" t="str">
        <f>IF('NEW ACCOUNT'!A834="","",'NEW ACCOUNT'!J834)</f>
        <v/>
      </c>
      <c r="K833" t="str">
        <f>IFERROR(IF(A833="","",SUMIF(DB_Savings!$A:$A,A833,DB_Savings!$F:$F)),"")</f>
        <v/>
      </c>
      <c r="L833" t="str">
        <f>IFERROR(IF(A833="","",SUMIF(DB_Withdrawals!$A:$A,A833,DB_Withdrawals!$G:$G)),"")</f>
        <v/>
      </c>
      <c r="M833" t="str">
        <f>IFERROR(IF(A833="","",IFERROR(VALUE(H833),0)+IFERROR(SUMIF(DB_Savings!$A:$A,A833,DB_Savings!$F:$F),0)-IFERROR(SUMIF(DB_Withdrawals!$A:$A,A833,DB_Withdrawals!$G:$G),0)),"")</f>
        <v/>
      </c>
      <c r="N833" t="str">
        <f>IFERROR(IF(A833="","",MAX(0,M833-System_Config!$B$9)),"")</f>
        <v/>
      </c>
    </row>
    <row r="834" spans="1:14" ht="15" customHeight="1" x14ac:dyDescent="0.25">
      <c r="A834" t="str">
        <f>'NEW ACCOUNT'!A835</f>
        <v/>
      </c>
      <c r="B834" t="str">
        <f>IF('NEW ACCOUNT'!A835="","",'NEW ACCOUNT'!B835)</f>
        <v/>
      </c>
      <c r="C834" t="str">
        <f>IF('NEW ACCOUNT'!A835="","",'NEW ACCOUNT'!C835)</f>
        <v/>
      </c>
      <c r="D834" t="str">
        <f>IF('NEW ACCOUNT'!A835="","",'NEW ACCOUNT'!D835)</f>
        <v/>
      </c>
      <c r="E834" t="str">
        <f>IF('NEW ACCOUNT'!A835="","",'NEW ACCOUNT'!E835)</f>
        <v/>
      </c>
      <c r="F834" t="str">
        <f>IF('NEW ACCOUNT'!A835="","",'NEW ACCOUNT'!F835)</f>
        <v/>
      </c>
      <c r="G834" t="str">
        <f>IF('NEW ACCOUNT'!A835="","",'NEW ACCOUNT'!G835)</f>
        <v/>
      </c>
      <c r="H834" t="str">
        <f>IF('NEW ACCOUNT'!A835="","",'NEW ACCOUNT'!H835)</f>
        <v/>
      </c>
      <c r="I834" t="str">
        <f>IF('NEW ACCOUNT'!A835="","",'NEW ACCOUNT'!I835)</f>
        <v/>
      </c>
      <c r="J834" t="str">
        <f>IF('NEW ACCOUNT'!A835="","",'NEW ACCOUNT'!J835)</f>
        <v/>
      </c>
      <c r="K834" t="str">
        <f>IFERROR(IF(A834="","",SUMIF(DB_Savings!$A:$A,A834,DB_Savings!$F:$F)),"")</f>
        <v/>
      </c>
      <c r="L834" t="str">
        <f>IFERROR(IF(A834="","",SUMIF(DB_Withdrawals!$A:$A,A834,DB_Withdrawals!$G:$G)),"")</f>
        <v/>
      </c>
      <c r="M834" t="str">
        <f>IFERROR(IF(A834="","",IFERROR(VALUE(H834),0)+IFERROR(SUMIF(DB_Savings!$A:$A,A834,DB_Savings!$F:$F),0)-IFERROR(SUMIF(DB_Withdrawals!$A:$A,A834,DB_Withdrawals!$G:$G),0)),"")</f>
        <v/>
      </c>
      <c r="N834" t="str">
        <f>IFERROR(IF(A834="","",MAX(0,M834-System_Config!$B$9)),"")</f>
        <v/>
      </c>
    </row>
    <row r="835" spans="1:14" ht="15" customHeight="1" x14ac:dyDescent="0.25">
      <c r="A835" t="str">
        <f>'NEW ACCOUNT'!A836</f>
        <v/>
      </c>
      <c r="B835" t="str">
        <f>IF('NEW ACCOUNT'!A836="","",'NEW ACCOUNT'!B836)</f>
        <v/>
      </c>
      <c r="C835" t="str">
        <f>IF('NEW ACCOUNT'!A836="","",'NEW ACCOUNT'!C836)</f>
        <v/>
      </c>
      <c r="D835" t="str">
        <f>IF('NEW ACCOUNT'!A836="","",'NEW ACCOUNT'!D836)</f>
        <v/>
      </c>
      <c r="E835" t="str">
        <f>IF('NEW ACCOUNT'!A836="","",'NEW ACCOUNT'!E836)</f>
        <v/>
      </c>
      <c r="F835" t="str">
        <f>IF('NEW ACCOUNT'!A836="","",'NEW ACCOUNT'!F836)</f>
        <v/>
      </c>
      <c r="G835" t="str">
        <f>IF('NEW ACCOUNT'!A836="","",'NEW ACCOUNT'!G836)</f>
        <v/>
      </c>
      <c r="H835" t="str">
        <f>IF('NEW ACCOUNT'!A836="","",'NEW ACCOUNT'!H836)</f>
        <v/>
      </c>
      <c r="I835" t="str">
        <f>IF('NEW ACCOUNT'!A836="","",'NEW ACCOUNT'!I836)</f>
        <v/>
      </c>
      <c r="J835" t="str">
        <f>IF('NEW ACCOUNT'!A836="","",'NEW ACCOUNT'!J836)</f>
        <v/>
      </c>
      <c r="K835" t="str">
        <f>IFERROR(IF(A835="","",SUMIF(DB_Savings!$A:$A,A835,DB_Savings!$F:$F)),"")</f>
        <v/>
      </c>
      <c r="L835" t="str">
        <f>IFERROR(IF(A835="","",SUMIF(DB_Withdrawals!$A:$A,A835,DB_Withdrawals!$G:$G)),"")</f>
        <v/>
      </c>
      <c r="M835" t="str">
        <f>IFERROR(IF(A835="","",IFERROR(VALUE(H835),0)+IFERROR(SUMIF(DB_Savings!$A:$A,A835,DB_Savings!$F:$F),0)-IFERROR(SUMIF(DB_Withdrawals!$A:$A,A835,DB_Withdrawals!$G:$G),0)),"")</f>
        <v/>
      </c>
      <c r="N835" t="str">
        <f>IFERROR(IF(A835="","",MAX(0,M835-System_Config!$B$9)),"")</f>
        <v/>
      </c>
    </row>
    <row r="836" spans="1:14" ht="15" customHeight="1" x14ac:dyDescent="0.25">
      <c r="A836" t="str">
        <f>'NEW ACCOUNT'!A837</f>
        <v/>
      </c>
      <c r="B836" t="str">
        <f>IF('NEW ACCOUNT'!A837="","",'NEW ACCOUNT'!B837)</f>
        <v/>
      </c>
      <c r="C836" t="str">
        <f>IF('NEW ACCOUNT'!A837="","",'NEW ACCOUNT'!C837)</f>
        <v/>
      </c>
      <c r="D836" t="str">
        <f>IF('NEW ACCOUNT'!A837="","",'NEW ACCOUNT'!D837)</f>
        <v/>
      </c>
      <c r="E836" t="str">
        <f>IF('NEW ACCOUNT'!A837="","",'NEW ACCOUNT'!E837)</f>
        <v/>
      </c>
      <c r="F836" t="str">
        <f>IF('NEW ACCOUNT'!A837="","",'NEW ACCOUNT'!F837)</f>
        <v/>
      </c>
      <c r="G836" t="str">
        <f>IF('NEW ACCOUNT'!A837="","",'NEW ACCOUNT'!G837)</f>
        <v/>
      </c>
      <c r="H836" t="str">
        <f>IF('NEW ACCOUNT'!A837="","",'NEW ACCOUNT'!H837)</f>
        <v/>
      </c>
      <c r="I836" t="str">
        <f>IF('NEW ACCOUNT'!A837="","",'NEW ACCOUNT'!I837)</f>
        <v/>
      </c>
      <c r="J836" t="str">
        <f>IF('NEW ACCOUNT'!A837="","",'NEW ACCOUNT'!J837)</f>
        <v/>
      </c>
      <c r="K836" t="str">
        <f>IFERROR(IF(A836="","",SUMIF(DB_Savings!$A:$A,A836,DB_Savings!$F:$F)),"")</f>
        <v/>
      </c>
      <c r="L836" t="str">
        <f>IFERROR(IF(A836="","",SUMIF(DB_Withdrawals!$A:$A,A836,DB_Withdrawals!$G:$G)),"")</f>
        <v/>
      </c>
      <c r="M836" t="str">
        <f>IFERROR(IF(A836="","",IFERROR(VALUE(H836),0)+IFERROR(SUMIF(DB_Savings!$A:$A,A836,DB_Savings!$F:$F),0)-IFERROR(SUMIF(DB_Withdrawals!$A:$A,A836,DB_Withdrawals!$G:$G),0)),"")</f>
        <v/>
      </c>
      <c r="N836" t="str">
        <f>IFERROR(IF(A836="","",MAX(0,M836-System_Config!$B$9)),"")</f>
        <v/>
      </c>
    </row>
    <row r="837" spans="1:14" ht="15" customHeight="1" x14ac:dyDescent="0.25">
      <c r="A837" t="str">
        <f>'NEW ACCOUNT'!A838</f>
        <v/>
      </c>
      <c r="B837" t="str">
        <f>IF('NEW ACCOUNT'!A838="","",'NEW ACCOUNT'!B838)</f>
        <v/>
      </c>
      <c r="C837" t="str">
        <f>IF('NEW ACCOUNT'!A838="","",'NEW ACCOUNT'!C838)</f>
        <v/>
      </c>
      <c r="D837" t="str">
        <f>IF('NEW ACCOUNT'!A838="","",'NEW ACCOUNT'!D838)</f>
        <v/>
      </c>
      <c r="E837" t="str">
        <f>IF('NEW ACCOUNT'!A838="","",'NEW ACCOUNT'!E838)</f>
        <v/>
      </c>
      <c r="F837" t="str">
        <f>IF('NEW ACCOUNT'!A838="","",'NEW ACCOUNT'!F838)</f>
        <v/>
      </c>
      <c r="G837" t="str">
        <f>IF('NEW ACCOUNT'!A838="","",'NEW ACCOUNT'!G838)</f>
        <v/>
      </c>
      <c r="H837" t="str">
        <f>IF('NEW ACCOUNT'!A838="","",'NEW ACCOUNT'!H838)</f>
        <v/>
      </c>
      <c r="I837" t="str">
        <f>IF('NEW ACCOUNT'!A838="","",'NEW ACCOUNT'!I838)</f>
        <v/>
      </c>
      <c r="J837" t="str">
        <f>IF('NEW ACCOUNT'!A838="","",'NEW ACCOUNT'!J838)</f>
        <v/>
      </c>
      <c r="K837" t="str">
        <f>IFERROR(IF(A837="","",SUMIF(DB_Savings!$A:$A,A837,DB_Savings!$F:$F)),"")</f>
        <v/>
      </c>
      <c r="L837" t="str">
        <f>IFERROR(IF(A837="","",SUMIF(DB_Withdrawals!$A:$A,A837,DB_Withdrawals!$G:$G)),"")</f>
        <v/>
      </c>
      <c r="M837" t="str">
        <f>IFERROR(IF(A837="","",IFERROR(VALUE(H837),0)+IFERROR(SUMIF(DB_Savings!$A:$A,A837,DB_Savings!$F:$F),0)-IFERROR(SUMIF(DB_Withdrawals!$A:$A,A837,DB_Withdrawals!$G:$G),0)),"")</f>
        <v/>
      </c>
      <c r="N837" t="str">
        <f>IFERROR(IF(A837="","",MAX(0,M837-System_Config!$B$9)),"")</f>
        <v/>
      </c>
    </row>
    <row r="838" spans="1:14" ht="15" customHeight="1" x14ac:dyDescent="0.25">
      <c r="A838" t="str">
        <f>'NEW ACCOUNT'!A839</f>
        <v/>
      </c>
      <c r="B838" t="str">
        <f>IF('NEW ACCOUNT'!A839="","",'NEW ACCOUNT'!B839)</f>
        <v/>
      </c>
      <c r="C838" t="str">
        <f>IF('NEW ACCOUNT'!A839="","",'NEW ACCOUNT'!C839)</f>
        <v/>
      </c>
      <c r="D838" t="str">
        <f>IF('NEW ACCOUNT'!A839="","",'NEW ACCOUNT'!D839)</f>
        <v/>
      </c>
      <c r="E838" t="str">
        <f>IF('NEW ACCOUNT'!A839="","",'NEW ACCOUNT'!E839)</f>
        <v/>
      </c>
      <c r="F838" t="str">
        <f>IF('NEW ACCOUNT'!A839="","",'NEW ACCOUNT'!F839)</f>
        <v/>
      </c>
      <c r="G838" t="str">
        <f>IF('NEW ACCOUNT'!A839="","",'NEW ACCOUNT'!G839)</f>
        <v/>
      </c>
      <c r="H838" t="str">
        <f>IF('NEW ACCOUNT'!A839="","",'NEW ACCOUNT'!H839)</f>
        <v/>
      </c>
      <c r="I838" t="str">
        <f>IF('NEW ACCOUNT'!A839="","",'NEW ACCOUNT'!I839)</f>
        <v/>
      </c>
      <c r="J838" t="str">
        <f>IF('NEW ACCOUNT'!A839="","",'NEW ACCOUNT'!J839)</f>
        <v/>
      </c>
      <c r="K838" t="str">
        <f>IFERROR(IF(A838="","",SUMIF(DB_Savings!$A:$A,A838,DB_Savings!$F:$F)),"")</f>
        <v/>
      </c>
      <c r="L838" t="str">
        <f>IFERROR(IF(A838="","",SUMIF(DB_Withdrawals!$A:$A,A838,DB_Withdrawals!$G:$G)),"")</f>
        <v/>
      </c>
      <c r="M838" t="str">
        <f>IFERROR(IF(A838="","",IFERROR(VALUE(H838),0)+IFERROR(SUMIF(DB_Savings!$A:$A,A838,DB_Savings!$F:$F),0)-IFERROR(SUMIF(DB_Withdrawals!$A:$A,A838,DB_Withdrawals!$G:$G),0)),"")</f>
        <v/>
      </c>
      <c r="N838" t="str">
        <f>IFERROR(IF(A838="","",MAX(0,M838-System_Config!$B$9)),"")</f>
        <v/>
      </c>
    </row>
    <row r="839" spans="1:14" ht="15" customHeight="1" x14ac:dyDescent="0.25">
      <c r="A839" t="str">
        <f>'NEW ACCOUNT'!A840</f>
        <v/>
      </c>
      <c r="B839" t="str">
        <f>IF('NEW ACCOUNT'!A840="","",'NEW ACCOUNT'!B840)</f>
        <v/>
      </c>
      <c r="C839" t="str">
        <f>IF('NEW ACCOUNT'!A840="","",'NEW ACCOUNT'!C840)</f>
        <v/>
      </c>
      <c r="D839" t="str">
        <f>IF('NEW ACCOUNT'!A840="","",'NEW ACCOUNT'!D840)</f>
        <v/>
      </c>
      <c r="E839" t="str">
        <f>IF('NEW ACCOUNT'!A840="","",'NEW ACCOUNT'!E840)</f>
        <v/>
      </c>
      <c r="F839" t="str">
        <f>IF('NEW ACCOUNT'!A840="","",'NEW ACCOUNT'!F840)</f>
        <v/>
      </c>
      <c r="G839" t="str">
        <f>IF('NEW ACCOUNT'!A840="","",'NEW ACCOUNT'!G840)</f>
        <v/>
      </c>
      <c r="H839" t="str">
        <f>IF('NEW ACCOUNT'!A840="","",'NEW ACCOUNT'!H840)</f>
        <v/>
      </c>
      <c r="I839" t="str">
        <f>IF('NEW ACCOUNT'!A840="","",'NEW ACCOUNT'!I840)</f>
        <v/>
      </c>
      <c r="J839" t="str">
        <f>IF('NEW ACCOUNT'!A840="","",'NEW ACCOUNT'!J840)</f>
        <v/>
      </c>
      <c r="K839" t="str">
        <f>IFERROR(IF(A839="","",SUMIF(DB_Savings!$A:$A,A839,DB_Savings!$F:$F)),"")</f>
        <v/>
      </c>
      <c r="L839" t="str">
        <f>IFERROR(IF(A839="","",SUMIF(DB_Withdrawals!$A:$A,A839,DB_Withdrawals!$G:$G)),"")</f>
        <v/>
      </c>
      <c r="M839" t="str">
        <f>IFERROR(IF(A839="","",IFERROR(VALUE(H839),0)+IFERROR(SUMIF(DB_Savings!$A:$A,A839,DB_Savings!$F:$F),0)-IFERROR(SUMIF(DB_Withdrawals!$A:$A,A839,DB_Withdrawals!$G:$G),0)),"")</f>
        <v/>
      </c>
      <c r="N839" t="str">
        <f>IFERROR(IF(A839="","",MAX(0,M839-System_Config!$B$9)),"")</f>
        <v/>
      </c>
    </row>
    <row r="840" spans="1:14" ht="15" customHeight="1" x14ac:dyDescent="0.25">
      <c r="A840" t="str">
        <f>'NEW ACCOUNT'!A841</f>
        <v/>
      </c>
      <c r="B840" t="str">
        <f>IF('NEW ACCOUNT'!A841="","",'NEW ACCOUNT'!B841)</f>
        <v/>
      </c>
      <c r="C840" t="str">
        <f>IF('NEW ACCOUNT'!A841="","",'NEW ACCOUNT'!C841)</f>
        <v/>
      </c>
      <c r="D840" t="str">
        <f>IF('NEW ACCOUNT'!A841="","",'NEW ACCOUNT'!D841)</f>
        <v/>
      </c>
      <c r="E840" t="str">
        <f>IF('NEW ACCOUNT'!A841="","",'NEW ACCOUNT'!E841)</f>
        <v/>
      </c>
      <c r="F840" t="str">
        <f>IF('NEW ACCOUNT'!A841="","",'NEW ACCOUNT'!F841)</f>
        <v/>
      </c>
      <c r="G840" t="str">
        <f>IF('NEW ACCOUNT'!A841="","",'NEW ACCOUNT'!G841)</f>
        <v/>
      </c>
      <c r="H840" t="str">
        <f>IF('NEW ACCOUNT'!A841="","",'NEW ACCOUNT'!H841)</f>
        <v/>
      </c>
      <c r="I840" t="str">
        <f>IF('NEW ACCOUNT'!A841="","",'NEW ACCOUNT'!I841)</f>
        <v/>
      </c>
      <c r="J840" t="str">
        <f>IF('NEW ACCOUNT'!A841="","",'NEW ACCOUNT'!J841)</f>
        <v/>
      </c>
      <c r="K840" t="str">
        <f>IFERROR(IF(A840="","",SUMIF(DB_Savings!$A:$A,A840,DB_Savings!$F:$F)),"")</f>
        <v/>
      </c>
      <c r="L840" t="str">
        <f>IFERROR(IF(A840="","",SUMIF(DB_Withdrawals!$A:$A,A840,DB_Withdrawals!$G:$G)),"")</f>
        <v/>
      </c>
      <c r="M840" t="str">
        <f>IFERROR(IF(A840="","",IFERROR(VALUE(H840),0)+IFERROR(SUMIF(DB_Savings!$A:$A,A840,DB_Savings!$F:$F),0)-IFERROR(SUMIF(DB_Withdrawals!$A:$A,A840,DB_Withdrawals!$G:$G),0)),"")</f>
        <v/>
      </c>
      <c r="N840" t="str">
        <f>IFERROR(IF(A840="","",MAX(0,M840-System_Config!$B$9)),"")</f>
        <v/>
      </c>
    </row>
    <row r="841" spans="1:14" ht="15" customHeight="1" x14ac:dyDescent="0.25">
      <c r="A841" t="str">
        <f>'NEW ACCOUNT'!A842</f>
        <v/>
      </c>
      <c r="B841" t="str">
        <f>IF('NEW ACCOUNT'!A842="","",'NEW ACCOUNT'!B842)</f>
        <v/>
      </c>
      <c r="C841" t="str">
        <f>IF('NEW ACCOUNT'!A842="","",'NEW ACCOUNT'!C842)</f>
        <v/>
      </c>
      <c r="D841" t="str">
        <f>IF('NEW ACCOUNT'!A842="","",'NEW ACCOUNT'!D842)</f>
        <v/>
      </c>
      <c r="E841" t="str">
        <f>IF('NEW ACCOUNT'!A842="","",'NEW ACCOUNT'!E842)</f>
        <v/>
      </c>
      <c r="F841" t="str">
        <f>IF('NEW ACCOUNT'!A842="","",'NEW ACCOUNT'!F842)</f>
        <v/>
      </c>
      <c r="G841" t="str">
        <f>IF('NEW ACCOUNT'!A842="","",'NEW ACCOUNT'!G842)</f>
        <v/>
      </c>
      <c r="H841" t="str">
        <f>IF('NEW ACCOUNT'!A842="","",'NEW ACCOUNT'!H842)</f>
        <v/>
      </c>
      <c r="I841" t="str">
        <f>IF('NEW ACCOUNT'!A842="","",'NEW ACCOUNT'!I842)</f>
        <v/>
      </c>
      <c r="J841" t="str">
        <f>IF('NEW ACCOUNT'!A842="","",'NEW ACCOUNT'!J842)</f>
        <v/>
      </c>
      <c r="K841" t="str">
        <f>IFERROR(IF(A841="","",SUMIF(DB_Savings!$A:$A,A841,DB_Savings!$F:$F)),"")</f>
        <v/>
      </c>
      <c r="L841" t="str">
        <f>IFERROR(IF(A841="","",SUMIF(DB_Withdrawals!$A:$A,A841,DB_Withdrawals!$G:$G)),"")</f>
        <v/>
      </c>
      <c r="M841" t="str">
        <f>IFERROR(IF(A841="","",IFERROR(VALUE(H841),0)+IFERROR(SUMIF(DB_Savings!$A:$A,A841,DB_Savings!$F:$F),0)-IFERROR(SUMIF(DB_Withdrawals!$A:$A,A841,DB_Withdrawals!$G:$G),0)),"")</f>
        <v/>
      </c>
      <c r="N841" t="str">
        <f>IFERROR(IF(A841="","",MAX(0,M841-System_Config!$B$9)),"")</f>
        <v/>
      </c>
    </row>
    <row r="842" spans="1:14" ht="15" customHeight="1" x14ac:dyDescent="0.25">
      <c r="A842" t="str">
        <f>'NEW ACCOUNT'!A843</f>
        <v/>
      </c>
      <c r="B842" t="str">
        <f>IF('NEW ACCOUNT'!A843="","",'NEW ACCOUNT'!B843)</f>
        <v/>
      </c>
      <c r="C842" t="str">
        <f>IF('NEW ACCOUNT'!A843="","",'NEW ACCOUNT'!C843)</f>
        <v/>
      </c>
      <c r="D842" t="str">
        <f>IF('NEW ACCOUNT'!A843="","",'NEW ACCOUNT'!D843)</f>
        <v/>
      </c>
      <c r="E842" t="str">
        <f>IF('NEW ACCOUNT'!A843="","",'NEW ACCOUNT'!E843)</f>
        <v/>
      </c>
      <c r="F842" t="str">
        <f>IF('NEW ACCOUNT'!A843="","",'NEW ACCOUNT'!F843)</f>
        <v/>
      </c>
      <c r="G842" t="str">
        <f>IF('NEW ACCOUNT'!A843="","",'NEW ACCOUNT'!G843)</f>
        <v/>
      </c>
      <c r="H842" t="str">
        <f>IF('NEW ACCOUNT'!A843="","",'NEW ACCOUNT'!H843)</f>
        <v/>
      </c>
      <c r="I842" t="str">
        <f>IF('NEW ACCOUNT'!A843="","",'NEW ACCOUNT'!I843)</f>
        <v/>
      </c>
      <c r="J842" t="str">
        <f>IF('NEW ACCOUNT'!A843="","",'NEW ACCOUNT'!J843)</f>
        <v/>
      </c>
      <c r="K842" t="str">
        <f>IFERROR(IF(A842="","",SUMIF(DB_Savings!$A:$A,A842,DB_Savings!$F:$F)),"")</f>
        <v/>
      </c>
      <c r="L842" t="str">
        <f>IFERROR(IF(A842="","",SUMIF(DB_Withdrawals!$A:$A,A842,DB_Withdrawals!$G:$G)),"")</f>
        <v/>
      </c>
      <c r="M842" t="str">
        <f>IFERROR(IF(A842="","",IFERROR(VALUE(H842),0)+IFERROR(SUMIF(DB_Savings!$A:$A,A842,DB_Savings!$F:$F),0)-IFERROR(SUMIF(DB_Withdrawals!$A:$A,A842,DB_Withdrawals!$G:$G),0)),"")</f>
        <v/>
      </c>
      <c r="N842" t="str">
        <f>IFERROR(IF(A842="","",MAX(0,M842-System_Config!$B$9)),"")</f>
        <v/>
      </c>
    </row>
    <row r="843" spans="1:14" ht="15" customHeight="1" x14ac:dyDescent="0.25">
      <c r="A843" t="str">
        <f>'NEW ACCOUNT'!A844</f>
        <v/>
      </c>
      <c r="B843" t="str">
        <f>IF('NEW ACCOUNT'!A844="","",'NEW ACCOUNT'!B844)</f>
        <v/>
      </c>
      <c r="C843" t="str">
        <f>IF('NEW ACCOUNT'!A844="","",'NEW ACCOUNT'!C844)</f>
        <v/>
      </c>
      <c r="D843" t="str">
        <f>IF('NEW ACCOUNT'!A844="","",'NEW ACCOUNT'!D844)</f>
        <v/>
      </c>
      <c r="E843" t="str">
        <f>IF('NEW ACCOUNT'!A844="","",'NEW ACCOUNT'!E844)</f>
        <v/>
      </c>
      <c r="F843" t="str">
        <f>IF('NEW ACCOUNT'!A844="","",'NEW ACCOUNT'!F844)</f>
        <v/>
      </c>
      <c r="G843" t="str">
        <f>IF('NEW ACCOUNT'!A844="","",'NEW ACCOUNT'!G844)</f>
        <v/>
      </c>
      <c r="H843" t="str">
        <f>IF('NEW ACCOUNT'!A844="","",'NEW ACCOUNT'!H844)</f>
        <v/>
      </c>
      <c r="I843" t="str">
        <f>IF('NEW ACCOUNT'!A844="","",'NEW ACCOUNT'!I844)</f>
        <v/>
      </c>
      <c r="J843" t="str">
        <f>IF('NEW ACCOUNT'!A844="","",'NEW ACCOUNT'!J844)</f>
        <v/>
      </c>
      <c r="K843" t="str">
        <f>IFERROR(IF(A843="","",SUMIF(DB_Savings!$A:$A,A843,DB_Savings!$F:$F)),"")</f>
        <v/>
      </c>
      <c r="L843" t="str">
        <f>IFERROR(IF(A843="","",SUMIF(DB_Withdrawals!$A:$A,A843,DB_Withdrawals!$G:$G)),"")</f>
        <v/>
      </c>
      <c r="M843" t="str">
        <f>IFERROR(IF(A843="","",IFERROR(VALUE(H843),0)+IFERROR(SUMIF(DB_Savings!$A:$A,A843,DB_Savings!$F:$F),0)-IFERROR(SUMIF(DB_Withdrawals!$A:$A,A843,DB_Withdrawals!$G:$G),0)),"")</f>
        <v/>
      </c>
      <c r="N843" t="str">
        <f>IFERROR(IF(A843="","",MAX(0,M843-System_Config!$B$9)),"")</f>
        <v/>
      </c>
    </row>
    <row r="844" spans="1:14" ht="15" customHeight="1" x14ac:dyDescent="0.25">
      <c r="A844" t="str">
        <f>'NEW ACCOUNT'!A845</f>
        <v/>
      </c>
      <c r="B844" t="str">
        <f>IF('NEW ACCOUNT'!A845="","",'NEW ACCOUNT'!B845)</f>
        <v/>
      </c>
      <c r="C844" t="str">
        <f>IF('NEW ACCOUNT'!A845="","",'NEW ACCOUNT'!C845)</f>
        <v/>
      </c>
      <c r="D844" t="str">
        <f>IF('NEW ACCOUNT'!A845="","",'NEW ACCOUNT'!D845)</f>
        <v/>
      </c>
      <c r="E844" t="str">
        <f>IF('NEW ACCOUNT'!A845="","",'NEW ACCOUNT'!E845)</f>
        <v/>
      </c>
      <c r="F844" t="str">
        <f>IF('NEW ACCOUNT'!A845="","",'NEW ACCOUNT'!F845)</f>
        <v/>
      </c>
      <c r="G844" t="str">
        <f>IF('NEW ACCOUNT'!A845="","",'NEW ACCOUNT'!G845)</f>
        <v/>
      </c>
      <c r="H844" t="str">
        <f>IF('NEW ACCOUNT'!A845="","",'NEW ACCOUNT'!H845)</f>
        <v/>
      </c>
      <c r="I844" t="str">
        <f>IF('NEW ACCOUNT'!A845="","",'NEW ACCOUNT'!I845)</f>
        <v/>
      </c>
      <c r="J844" t="str">
        <f>IF('NEW ACCOUNT'!A845="","",'NEW ACCOUNT'!J845)</f>
        <v/>
      </c>
      <c r="K844" t="str">
        <f>IFERROR(IF(A844="","",SUMIF(DB_Savings!$A:$A,A844,DB_Savings!$F:$F)),"")</f>
        <v/>
      </c>
      <c r="L844" t="str">
        <f>IFERROR(IF(A844="","",SUMIF(DB_Withdrawals!$A:$A,A844,DB_Withdrawals!$G:$G)),"")</f>
        <v/>
      </c>
      <c r="M844" t="str">
        <f>IFERROR(IF(A844="","",IFERROR(VALUE(H844),0)+IFERROR(SUMIF(DB_Savings!$A:$A,A844,DB_Savings!$F:$F),0)-IFERROR(SUMIF(DB_Withdrawals!$A:$A,A844,DB_Withdrawals!$G:$G),0)),"")</f>
        <v/>
      </c>
      <c r="N844" t="str">
        <f>IFERROR(IF(A844="","",MAX(0,M844-System_Config!$B$9)),"")</f>
        <v/>
      </c>
    </row>
    <row r="845" spans="1:14" ht="15" customHeight="1" x14ac:dyDescent="0.25">
      <c r="A845" t="str">
        <f>'NEW ACCOUNT'!A846</f>
        <v/>
      </c>
      <c r="B845" t="str">
        <f>IF('NEW ACCOUNT'!A846="","",'NEW ACCOUNT'!B846)</f>
        <v/>
      </c>
      <c r="C845" t="str">
        <f>IF('NEW ACCOUNT'!A846="","",'NEW ACCOUNT'!C846)</f>
        <v/>
      </c>
      <c r="D845" t="str">
        <f>IF('NEW ACCOUNT'!A846="","",'NEW ACCOUNT'!D846)</f>
        <v/>
      </c>
      <c r="E845" t="str">
        <f>IF('NEW ACCOUNT'!A846="","",'NEW ACCOUNT'!E846)</f>
        <v/>
      </c>
      <c r="F845" t="str">
        <f>IF('NEW ACCOUNT'!A846="","",'NEW ACCOUNT'!F846)</f>
        <v/>
      </c>
      <c r="G845" t="str">
        <f>IF('NEW ACCOUNT'!A846="","",'NEW ACCOUNT'!G846)</f>
        <v/>
      </c>
      <c r="H845" t="str">
        <f>IF('NEW ACCOUNT'!A846="","",'NEW ACCOUNT'!H846)</f>
        <v/>
      </c>
      <c r="I845" t="str">
        <f>IF('NEW ACCOUNT'!A846="","",'NEW ACCOUNT'!I846)</f>
        <v/>
      </c>
      <c r="J845" t="str">
        <f>IF('NEW ACCOUNT'!A846="","",'NEW ACCOUNT'!J846)</f>
        <v/>
      </c>
      <c r="K845" t="str">
        <f>IFERROR(IF(A845="","",SUMIF(DB_Savings!$A:$A,A845,DB_Savings!$F:$F)),"")</f>
        <v/>
      </c>
      <c r="L845" t="str">
        <f>IFERROR(IF(A845="","",SUMIF(DB_Withdrawals!$A:$A,A845,DB_Withdrawals!$G:$G)),"")</f>
        <v/>
      </c>
      <c r="M845" t="str">
        <f>IFERROR(IF(A845="","",IFERROR(VALUE(H845),0)+IFERROR(SUMIF(DB_Savings!$A:$A,A845,DB_Savings!$F:$F),0)-IFERROR(SUMIF(DB_Withdrawals!$A:$A,A845,DB_Withdrawals!$G:$G),0)),"")</f>
        <v/>
      </c>
      <c r="N845" t="str">
        <f>IFERROR(IF(A845="","",MAX(0,M845-System_Config!$B$9)),"")</f>
        <v/>
      </c>
    </row>
    <row r="846" spans="1:14" ht="15" customHeight="1" x14ac:dyDescent="0.25">
      <c r="A846" t="str">
        <f>'NEW ACCOUNT'!A847</f>
        <v/>
      </c>
      <c r="B846" t="str">
        <f>IF('NEW ACCOUNT'!A847="","",'NEW ACCOUNT'!B847)</f>
        <v/>
      </c>
      <c r="C846" t="str">
        <f>IF('NEW ACCOUNT'!A847="","",'NEW ACCOUNT'!C847)</f>
        <v/>
      </c>
      <c r="D846" t="str">
        <f>IF('NEW ACCOUNT'!A847="","",'NEW ACCOUNT'!D847)</f>
        <v/>
      </c>
      <c r="E846" t="str">
        <f>IF('NEW ACCOUNT'!A847="","",'NEW ACCOUNT'!E847)</f>
        <v/>
      </c>
      <c r="F846" t="str">
        <f>IF('NEW ACCOUNT'!A847="","",'NEW ACCOUNT'!F847)</f>
        <v/>
      </c>
      <c r="G846" t="str">
        <f>IF('NEW ACCOUNT'!A847="","",'NEW ACCOUNT'!G847)</f>
        <v/>
      </c>
      <c r="H846" t="str">
        <f>IF('NEW ACCOUNT'!A847="","",'NEW ACCOUNT'!H847)</f>
        <v/>
      </c>
      <c r="I846" t="str">
        <f>IF('NEW ACCOUNT'!A847="","",'NEW ACCOUNT'!I847)</f>
        <v/>
      </c>
      <c r="J846" t="str">
        <f>IF('NEW ACCOUNT'!A847="","",'NEW ACCOUNT'!J847)</f>
        <v/>
      </c>
      <c r="K846" t="str">
        <f>IFERROR(IF(A846="","",SUMIF(DB_Savings!$A:$A,A846,DB_Savings!$F:$F)),"")</f>
        <v/>
      </c>
      <c r="L846" t="str">
        <f>IFERROR(IF(A846="","",SUMIF(DB_Withdrawals!$A:$A,A846,DB_Withdrawals!$G:$G)),"")</f>
        <v/>
      </c>
      <c r="M846" t="str">
        <f>IFERROR(IF(A846="","",IFERROR(VALUE(H846),0)+IFERROR(SUMIF(DB_Savings!$A:$A,A846,DB_Savings!$F:$F),0)-IFERROR(SUMIF(DB_Withdrawals!$A:$A,A846,DB_Withdrawals!$G:$G),0)),"")</f>
        <v/>
      </c>
      <c r="N846" t="str">
        <f>IFERROR(IF(A846="","",MAX(0,M846-System_Config!$B$9)),"")</f>
        <v/>
      </c>
    </row>
    <row r="847" spans="1:14" ht="15" customHeight="1" x14ac:dyDescent="0.25">
      <c r="A847" t="str">
        <f>'NEW ACCOUNT'!A848</f>
        <v/>
      </c>
      <c r="B847" t="str">
        <f>IF('NEW ACCOUNT'!A848="","",'NEW ACCOUNT'!B848)</f>
        <v/>
      </c>
      <c r="C847" t="str">
        <f>IF('NEW ACCOUNT'!A848="","",'NEW ACCOUNT'!C848)</f>
        <v/>
      </c>
      <c r="D847" t="str">
        <f>IF('NEW ACCOUNT'!A848="","",'NEW ACCOUNT'!D848)</f>
        <v/>
      </c>
      <c r="E847" t="str">
        <f>IF('NEW ACCOUNT'!A848="","",'NEW ACCOUNT'!E848)</f>
        <v/>
      </c>
      <c r="F847" t="str">
        <f>IF('NEW ACCOUNT'!A848="","",'NEW ACCOUNT'!F848)</f>
        <v/>
      </c>
      <c r="G847" t="str">
        <f>IF('NEW ACCOUNT'!A848="","",'NEW ACCOUNT'!G848)</f>
        <v/>
      </c>
      <c r="H847" t="str">
        <f>IF('NEW ACCOUNT'!A848="","",'NEW ACCOUNT'!H848)</f>
        <v/>
      </c>
      <c r="I847" t="str">
        <f>IF('NEW ACCOUNT'!A848="","",'NEW ACCOUNT'!I848)</f>
        <v/>
      </c>
      <c r="J847" t="str">
        <f>IF('NEW ACCOUNT'!A848="","",'NEW ACCOUNT'!J848)</f>
        <v/>
      </c>
      <c r="K847" t="str">
        <f>IFERROR(IF(A847="","",SUMIF(DB_Savings!$A:$A,A847,DB_Savings!$F:$F)),"")</f>
        <v/>
      </c>
      <c r="L847" t="str">
        <f>IFERROR(IF(A847="","",SUMIF(DB_Withdrawals!$A:$A,A847,DB_Withdrawals!$G:$G)),"")</f>
        <v/>
      </c>
      <c r="M847" t="str">
        <f>IFERROR(IF(A847="","",IFERROR(VALUE(H847),0)+IFERROR(SUMIF(DB_Savings!$A:$A,A847,DB_Savings!$F:$F),0)-IFERROR(SUMIF(DB_Withdrawals!$A:$A,A847,DB_Withdrawals!$G:$G),0)),"")</f>
        <v/>
      </c>
      <c r="N847" t="str">
        <f>IFERROR(IF(A847="","",MAX(0,M847-System_Config!$B$9)),"")</f>
        <v/>
      </c>
    </row>
    <row r="848" spans="1:14" ht="15" customHeight="1" x14ac:dyDescent="0.25">
      <c r="A848" t="str">
        <f>'NEW ACCOUNT'!A849</f>
        <v/>
      </c>
      <c r="B848" t="str">
        <f>IF('NEW ACCOUNT'!A849="","",'NEW ACCOUNT'!B849)</f>
        <v/>
      </c>
      <c r="C848" t="str">
        <f>IF('NEW ACCOUNT'!A849="","",'NEW ACCOUNT'!C849)</f>
        <v/>
      </c>
      <c r="D848" t="str">
        <f>IF('NEW ACCOUNT'!A849="","",'NEW ACCOUNT'!D849)</f>
        <v/>
      </c>
      <c r="E848" t="str">
        <f>IF('NEW ACCOUNT'!A849="","",'NEW ACCOUNT'!E849)</f>
        <v/>
      </c>
      <c r="F848" t="str">
        <f>IF('NEW ACCOUNT'!A849="","",'NEW ACCOUNT'!F849)</f>
        <v/>
      </c>
      <c r="G848" t="str">
        <f>IF('NEW ACCOUNT'!A849="","",'NEW ACCOUNT'!G849)</f>
        <v/>
      </c>
      <c r="H848" t="str">
        <f>IF('NEW ACCOUNT'!A849="","",'NEW ACCOUNT'!H849)</f>
        <v/>
      </c>
      <c r="I848" t="str">
        <f>IF('NEW ACCOUNT'!A849="","",'NEW ACCOUNT'!I849)</f>
        <v/>
      </c>
      <c r="J848" t="str">
        <f>IF('NEW ACCOUNT'!A849="","",'NEW ACCOUNT'!J849)</f>
        <v/>
      </c>
      <c r="K848" t="str">
        <f>IFERROR(IF(A848="","",SUMIF(DB_Savings!$A:$A,A848,DB_Savings!$F:$F)),"")</f>
        <v/>
      </c>
      <c r="L848" t="str">
        <f>IFERROR(IF(A848="","",SUMIF(DB_Withdrawals!$A:$A,A848,DB_Withdrawals!$G:$G)),"")</f>
        <v/>
      </c>
      <c r="M848" t="str">
        <f>IFERROR(IF(A848="","",IFERROR(VALUE(H848),0)+IFERROR(SUMIF(DB_Savings!$A:$A,A848,DB_Savings!$F:$F),0)-IFERROR(SUMIF(DB_Withdrawals!$A:$A,A848,DB_Withdrawals!$G:$G),0)),"")</f>
        <v/>
      </c>
      <c r="N848" t="str">
        <f>IFERROR(IF(A848="","",MAX(0,M848-System_Config!$B$9)),"")</f>
        <v/>
      </c>
    </row>
    <row r="849" spans="1:14" ht="15" customHeight="1" x14ac:dyDescent="0.25">
      <c r="A849" t="str">
        <f>'NEW ACCOUNT'!A850</f>
        <v/>
      </c>
      <c r="B849" t="str">
        <f>IF('NEW ACCOUNT'!A850="","",'NEW ACCOUNT'!B850)</f>
        <v/>
      </c>
      <c r="C849" t="str">
        <f>IF('NEW ACCOUNT'!A850="","",'NEW ACCOUNT'!C850)</f>
        <v/>
      </c>
      <c r="D849" t="str">
        <f>IF('NEW ACCOUNT'!A850="","",'NEW ACCOUNT'!D850)</f>
        <v/>
      </c>
      <c r="E849" t="str">
        <f>IF('NEW ACCOUNT'!A850="","",'NEW ACCOUNT'!E850)</f>
        <v/>
      </c>
      <c r="F849" t="str">
        <f>IF('NEW ACCOUNT'!A850="","",'NEW ACCOUNT'!F850)</f>
        <v/>
      </c>
      <c r="G849" t="str">
        <f>IF('NEW ACCOUNT'!A850="","",'NEW ACCOUNT'!G850)</f>
        <v/>
      </c>
      <c r="H849" t="str">
        <f>IF('NEW ACCOUNT'!A850="","",'NEW ACCOUNT'!H850)</f>
        <v/>
      </c>
      <c r="I849" t="str">
        <f>IF('NEW ACCOUNT'!A850="","",'NEW ACCOUNT'!I850)</f>
        <v/>
      </c>
      <c r="J849" t="str">
        <f>IF('NEW ACCOUNT'!A850="","",'NEW ACCOUNT'!J850)</f>
        <v/>
      </c>
      <c r="K849" t="str">
        <f>IFERROR(IF(A849="","",SUMIF(DB_Savings!$A:$A,A849,DB_Savings!$F:$F)),"")</f>
        <v/>
      </c>
      <c r="L849" t="str">
        <f>IFERROR(IF(A849="","",SUMIF(DB_Withdrawals!$A:$A,A849,DB_Withdrawals!$G:$G)),"")</f>
        <v/>
      </c>
      <c r="M849" t="str">
        <f>IFERROR(IF(A849="","",IFERROR(VALUE(H849),0)+IFERROR(SUMIF(DB_Savings!$A:$A,A849,DB_Savings!$F:$F),0)-IFERROR(SUMIF(DB_Withdrawals!$A:$A,A849,DB_Withdrawals!$G:$G),0)),"")</f>
        <v/>
      </c>
      <c r="N849" t="str">
        <f>IFERROR(IF(A849="","",MAX(0,M849-System_Config!$B$9)),"")</f>
        <v/>
      </c>
    </row>
    <row r="850" spans="1:14" ht="15" customHeight="1" x14ac:dyDescent="0.25">
      <c r="A850" t="str">
        <f>'NEW ACCOUNT'!A851</f>
        <v/>
      </c>
      <c r="B850" t="str">
        <f>IF('NEW ACCOUNT'!A851="","",'NEW ACCOUNT'!B851)</f>
        <v/>
      </c>
      <c r="C850" t="str">
        <f>IF('NEW ACCOUNT'!A851="","",'NEW ACCOUNT'!C851)</f>
        <v/>
      </c>
      <c r="D850" t="str">
        <f>IF('NEW ACCOUNT'!A851="","",'NEW ACCOUNT'!D851)</f>
        <v/>
      </c>
      <c r="E850" t="str">
        <f>IF('NEW ACCOUNT'!A851="","",'NEW ACCOUNT'!E851)</f>
        <v/>
      </c>
      <c r="F850" t="str">
        <f>IF('NEW ACCOUNT'!A851="","",'NEW ACCOUNT'!F851)</f>
        <v/>
      </c>
      <c r="G850" t="str">
        <f>IF('NEW ACCOUNT'!A851="","",'NEW ACCOUNT'!G851)</f>
        <v/>
      </c>
      <c r="H850" t="str">
        <f>IF('NEW ACCOUNT'!A851="","",'NEW ACCOUNT'!H851)</f>
        <v/>
      </c>
      <c r="I850" t="str">
        <f>IF('NEW ACCOUNT'!A851="","",'NEW ACCOUNT'!I851)</f>
        <v/>
      </c>
      <c r="J850" t="str">
        <f>IF('NEW ACCOUNT'!A851="","",'NEW ACCOUNT'!J851)</f>
        <v/>
      </c>
      <c r="K850" t="str">
        <f>IFERROR(IF(A850="","",SUMIF(DB_Savings!$A:$A,A850,DB_Savings!$F:$F)),"")</f>
        <v/>
      </c>
      <c r="L850" t="str">
        <f>IFERROR(IF(A850="","",SUMIF(DB_Withdrawals!$A:$A,A850,DB_Withdrawals!$G:$G)),"")</f>
        <v/>
      </c>
      <c r="M850" t="str">
        <f>IFERROR(IF(A850="","",IFERROR(VALUE(H850),0)+IFERROR(SUMIF(DB_Savings!$A:$A,A850,DB_Savings!$F:$F),0)-IFERROR(SUMIF(DB_Withdrawals!$A:$A,A850,DB_Withdrawals!$G:$G),0)),"")</f>
        <v/>
      </c>
      <c r="N850" t="str">
        <f>IFERROR(IF(A850="","",MAX(0,M850-System_Config!$B$9)),"")</f>
        <v/>
      </c>
    </row>
    <row r="851" spans="1:14" ht="15" customHeight="1" x14ac:dyDescent="0.25">
      <c r="A851" t="str">
        <f>'NEW ACCOUNT'!A852</f>
        <v/>
      </c>
      <c r="B851" t="str">
        <f>IF('NEW ACCOUNT'!A852="","",'NEW ACCOUNT'!B852)</f>
        <v/>
      </c>
      <c r="C851" t="str">
        <f>IF('NEW ACCOUNT'!A852="","",'NEW ACCOUNT'!C852)</f>
        <v/>
      </c>
      <c r="D851" t="str">
        <f>IF('NEW ACCOUNT'!A852="","",'NEW ACCOUNT'!D852)</f>
        <v/>
      </c>
      <c r="E851" t="str">
        <f>IF('NEW ACCOUNT'!A852="","",'NEW ACCOUNT'!E852)</f>
        <v/>
      </c>
      <c r="F851" t="str">
        <f>IF('NEW ACCOUNT'!A852="","",'NEW ACCOUNT'!F852)</f>
        <v/>
      </c>
      <c r="G851" t="str">
        <f>IF('NEW ACCOUNT'!A852="","",'NEW ACCOUNT'!G852)</f>
        <v/>
      </c>
      <c r="H851" t="str">
        <f>IF('NEW ACCOUNT'!A852="","",'NEW ACCOUNT'!H852)</f>
        <v/>
      </c>
      <c r="I851" t="str">
        <f>IF('NEW ACCOUNT'!A852="","",'NEW ACCOUNT'!I852)</f>
        <v/>
      </c>
      <c r="J851" t="str">
        <f>IF('NEW ACCOUNT'!A852="","",'NEW ACCOUNT'!J852)</f>
        <v/>
      </c>
      <c r="K851" t="str">
        <f>IFERROR(IF(A851="","",SUMIF(DB_Savings!$A:$A,A851,DB_Savings!$F:$F)),"")</f>
        <v/>
      </c>
      <c r="L851" t="str">
        <f>IFERROR(IF(A851="","",SUMIF(DB_Withdrawals!$A:$A,A851,DB_Withdrawals!$G:$G)),"")</f>
        <v/>
      </c>
      <c r="M851" t="str">
        <f>IFERROR(IF(A851="","",IFERROR(VALUE(H851),0)+IFERROR(SUMIF(DB_Savings!$A:$A,A851,DB_Savings!$F:$F),0)-IFERROR(SUMIF(DB_Withdrawals!$A:$A,A851,DB_Withdrawals!$G:$G),0)),"")</f>
        <v/>
      </c>
      <c r="N851" t="str">
        <f>IFERROR(IF(A851="","",MAX(0,M851-System_Config!$B$9)),"")</f>
        <v/>
      </c>
    </row>
    <row r="852" spans="1:14" ht="15" customHeight="1" x14ac:dyDescent="0.25">
      <c r="A852" t="str">
        <f>'NEW ACCOUNT'!A853</f>
        <v/>
      </c>
      <c r="B852" t="str">
        <f>IF('NEW ACCOUNT'!A853="","",'NEW ACCOUNT'!B853)</f>
        <v/>
      </c>
      <c r="C852" t="str">
        <f>IF('NEW ACCOUNT'!A853="","",'NEW ACCOUNT'!C853)</f>
        <v/>
      </c>
      <c r="D852" t="str">
        <f>IF('NEW ACCOUNT'!A853="","",'NEW ACCOUNT'!D853)</f>
        <v/>
      </c>
      <c r="E852" t="str">
        <f>IF('NEW ACCOUNT'!A853="","",'NEW ACCOUNT'!E853)</f>
        <v/>
      </c>
      <c r="F852" t="str">
        <f>IF('NEW ACCOUNT'!A853="","",'NEW ACCOUNT'!F853)</f>
        <v/>
      </c>
      <c r="G852" t="str">
        <f>IF('NEW ACCOUNT'!A853="","",'NEW ACCOUNT'!G853)</f>
        <v/>
      </c>
      <c r="H852" t="str">
        <f>IF('NEW ACCOUNT'!A853="","",'NEW ACCOUNT'!H853)</f>
        <v/>
      </c>
      <c r="I852" t="str">
        <f>IF('NEW ACCOUNT'!A853="","",'NEW ACCOUNT'!I853)</f>
        <v/>
      </c>
      <c r="J852" t="str">
        <f>IF('NEW ACCOUNT'!A853="","",'NEW ACCOUNT'!J853)</f>
        <v/>
      </c>
      <c r="K852" t="str">
        <f>IFERROR(IF(A852="","",SUMIF(DB_Savings!$A:$A,A852,DB_Savings!$F:$F)),"")</f>
        <v/>
      </c>
      <c r="L852" t="str">
        <f>IFERROR(IF(A852="","",SUMIF(DB_Withdrawals!$A:$A,A852,DB_Withdrawals!$G:$G)),"")</f>
        <v/>
      </c>
      <c r="M852" t="str">
        <f>IFERROR(IF(A852="","",IFERROR(VALUE(H852),0)+IFERROR(SUMIF(DB_Savings!$A:$A,A852,DB_Savings!$F:$F),0)-IFERROR(SUMIF(DB_Withdrawals!$A:$A,A852,DB_Withdrawals!$G:$G),0)),"")</f>
        <v/>
      </c>
      <c r="N852" t="str">
        <f>IFERROR(IF(A852="","",MAX(0,M852-System_Config!$B$9)),"")</f>
        <v/>
      </c>
    </row>
    <row r="853" spans="1:14" ht="15" customHeight="1" x14ac:dyDescent="0.25">
      <c r="A853" t="str">
        <f>'NEW ACCOUNT'!A854</f>
        <v/>
      </c>
      <c r="B853" t="str">
        <f>IF('NEW ACCOUNT'!A854="","",'NEW ACCOUNT'!B854)</f>
        <v/>
      </c>
      <c r="C853" t="str">
        <f>IF('NEW ACCOUNT'!A854="","",'NEW ACCOUNT'!C854)</f>
        <v/>
      </c>
      <c r="D853" t="str">
        <f>IF('NEW ACCOUNT'!A854="","",'NEW ACCOUNT'!D854)</f>
        <v/>
      </c>
      <c r="E853" t="str">
        <f>IF('NEW ACCOUNT'!A854="","",'NEW ACCOUNT'!E854)</f>
        <v/>
      </c>
      <c r="F853" t="str">
        <f>IF('NEW ACCOUNT'!A854="","",'NEW ACCOUNT'!F854)</f>
        <v/>
      </c>
      <c r="G853" t="str">
        <f>IF('NEW ACCOUNT'!A854="","",'NEW ACCOUNT'!G854)</f>
        <v/>
      </c>
      <c r="H853" t="str">
        <f>IF('NEW ACCOUNT'!A854="","",'NEW ACCOUNT'!H854)</f>
        <v/>
      </c>
      <c r="I853" t="str">
        <f>IF('NEW ACCOUNT'!A854="","",'NEW ACCOUNT'!I854)</f>
        <v/>
      </c>
      <c r="J853" t="str">
        <f>IF('NEW ACCOUNT'!A854="","",'NEW ACCOUNT'!J854)</f>
        <v/>
      </c>
      <c r="K853" t="str">
        <f>IFERROR(IF(A853="","",SUMIF(DB_Savings!$A:$A,A853,DB_Savings!$F:$F)),"")</f>
        <v/>
      </c>
      <c r="L853" t="str">
        <f>IFERROR(IF(A853="","",SUMIF(DB_Withdrawals!$A:$A,A853,DB_Withdrawals!$G:$G)),"")</f>
        <v/>
      </c>
      <c r="M853" t="str">
        <f>IFERROR(IF(A853="","",IFERROR(VALUE(H853),0)+IFERROR(SUMIF(DB_Savings!$A:$A,A853,DB_Savings!$F:$F),0)-IFERROR(SUMIF(DB_Withdrawals!$A:$A,A853,DB_Withdrawals!$G:$G),0)),"")</f>
        <v/>
      </c>
      <c r="N853" t="str">
        <f>IFERROR(IF(A853="","",MAX(0,M853-System_Config!$B$9)),"")</f>
        <v/>
      </c>
    </row>
    <row r="854" spans="1:14" ht="15" customHeight="1" x14ac:dyDescent="0.25">
      <c r="A854" t="str">
        <f>'NEW ACCOUNT'!A855</f>
        <v/>
      </c>
      <c r="B854" t="str">
        <f>IF('NEW ACCOUNT'!A855="","",'NEW ACCOUNT'!B855)</f>
        <v/>
      </c>
      <c r="C854" t="str">
        <f>IF('NEW ACCOUNT'!A855="","",'NEW ACCOUNT'!C855)</f>
        <v/>
      </c>
      <c r="D854" t="str">
        <f>IF('NEW ACCOUNT'!A855="","",'NEW ACCOUNT'!D855)</f>
        <v/>
      </c>
      <c r="E854" t="str">
        <f>IF('NEW ACCOUNT'!A855="","",'NEW ACCOUNT'!E855)</f>
        <v/>
      </c>
      <c r="F854" t="str">
        <f>IF('NEW ACCOUNT'!A855="","",'NEW ACCOUNT'!F855)</f>
        <v/>
      </c>
      <c r="G854" t="str">
        <f>IF('NEW ACCOUNT'!A855="","",'NEW ACCOUNT'!G855)</f>
        <v/>
      </c>
      <c r="H854" t="str">
        <f>IF('NEW ACCOUNT'!A855="","",'NEW ACCOUNT'!H855)</f>
        <v/>
      </c>
      <c r="I854" t="str">
        <f>IF('NEW ACCOUNT'!A855="","",'NEW ACCOUNT'!I855)</f>
        <v/>
      </c>
      <c r="J854" t="str">
        <f>IF('NEW ACCOUNT'!A855="","",'NEW ACCOUNT'!J855)</f>
        <v/>
      </c>
      <c r="K854" t="str">
        <f>IFERROR(IF(A854="","",SUMIF(DB_Savings!$A:$A,A854,DB_Savings!$F:$F)),"")</f>
        <v/>
      </c>
      <c r="L854" t="str">
        <f>IFERROR(IF(A854="","",SUMIF(DB_Withdrawals!$A:$A,A854,DB_Withdrawals!$G:$G)),"")</f>
        <v/>
      </c>
      <c r="M854" t="str">
        <f>IFERROR(IF(A854="","",IFERROR(VALUE(H854),0)+IFERROR(SUMIF(DB_Savings!$A:$A,A854,DB_Savings!$F:$F),0)-IFERROR(SUMIF(DB_Withdrawals!$A:$A,A854,DB_Withdrawals!$G:$G),0)),"")</f>
        <v/>
      </c>
      <c r="N854" t="str">
        <f>IFERROR(IF(A854="","",MAX(0,M854-System_Config!$B$9)),"")</f>
        <v/>
      </c>
    </row>
    <row r="855" spans="1:14" ht="15" customHeight="1" x14ac:dyDescent="0.25">
      <c r="A855" t="str">
        <f>'NEW ACCOUNT'!A856</f>
        <v/>
      </c>
      <c r="B855" t="str">
        <f>IF('NEW ACCOUNT'!A856="","",'NEW ACCOUNT'!B856)</f>
        <v/>
      </c>
      <c r="C855" t="str">
        <f>IF('NEW ACCOUNT'!A856="","",'NEW ACCOUNT'!C856)</f>
        <v/>
      </c>
      <c r="D855" t="str">
        <f>IF('NEW ACCOUNT'!A856="","",'NEW ACCOUNT'!D856)</f>
        <v/>
      </c>
      <c r="E855" t="str">
        <f>IF('NEW ACCOUNT'!A856="","",'NEW ACCOUNT'!E856)</f>
        <v/>
      </c>
      <c r="F855" t="str">
        <f>IF('NEW ACCOUNT'!A856="","",'NEW ACCOUNT'!F856)</f>
        <v/>
      </c>
      <c r="G855" t="str">
        <f>IF('NEW ACCOUNT'!A856="","",'NEW ACCOUNT'!G856)</f>
        <v/>
      </c>
      <c r="H855" t="str">
        <f>IF('NEW ACCOUNT'!A856="","",'NEW ACCOUNT'!H856)</f>
        <v/>
      </c>
      <c r="I855" t="str">
        <f>IF('NEW ACCOUNT'!A856="","",'NEW ACCOUNT'!I856)</f>
        <v/>
      </c>
      <c r="J855" t="str">
        <f>IF('NEW ACCOUNT'!A856="","",'NEW ACCOUNT'!J856)</f>
        <v/>
      </c>
      <c r="K855" t="str">
        <f>IFERROR(IF(A855="","",SUMIF(DB_Savings!$A:$A,A855,DB_Savings!$F:$F)),"")</f>
        <v/>
      </c>
      <c r="L855" t="str">
        <f>IFERROR(IF(A855="","",SUMIF(DB_Withdrawals!$A:$A,A855,DB_Withdrawals!$G:$G)),"")</f>
        <v/>
      </c>
      <c r="M855" t="str">
        <f>IFERROR(IF(A855="","",IFERROR(VALUE(H855),0)+IFERROR(SUMIF(DB_Savings!$A:$A,A855,DB_Savings!$F:$F),0)-IFERROR(SUMIF(DB_Withdrawals!$A:$A,A855,DB_Withdrawals!$G:$G),0)),"")</f>
        <v/>
      </c>
      <c r="N855" t="str">
        <f>IFERROR(IF(A855="","",MAX(0,M855-System_Config!$B$9)),"")</f>
        <v/>
      </c>
    </row>
    <row r="856" spans="1:14" ht="15" customHeight="1" x14ac:dyDescent="0.25">
      <c r="A856" t="str">
        <f>'NEW ACCOUNT'!A857</f>
        <v/>
      </c>
      <c r="B856" t="str">
        <f>IF('NEW ACCOUNT'!A857="","",'NEW ACCOUNT'!B857)</f>
        <v/>
      </c>
      <c r="C856" t="str">
        <f>IF('NEW ACCOUNT'!A857="","",'NEW ACCOUNT'!C857)</f>
        <v/>
      </c>
      <c r="D856" t="str">
        <f>IF('NEW ACCOUNT'!A857="","",'NEW ACCOUNT'!D857)</f>
        <v/>
      </c>
      <c r="E856" t="str">
        <f>IF('NEW ACCOUNT'!A857="","",'NEW ACCOUNT'!E857)</f>
        <v/>
      </c>
      <c r="F856" t="str">
        <f>IF('NEW ACCOUNT'!A857="","",'NEW ACCOUNT'!F857)</f>
        <v/>
      </c>
      <c r="G856" t="str">
        <f>IF('NEW ACCOUNT'!A857="","",'NEW ACCOUNT'!G857)</f>
        <v/>
      </c>
      <c r="H856" t="str">
        <f>IF('NEW ACCOUNT'!A857="","",'NEW ACCOUNT'!H857)</f>
        <v/>
      </c>
      <c r="I856" t="str">
        <f>IF('NEW ACCOUNT'!A857="","",'NEW ACCOUNT'!I857)</f>
        <v/>
      </c>
      <c r="J856" t="str">
        <f>IF('NEW ACCOUNT'!A857="","",'NEW ACCOUNT'!J857)</f>
        <v/>
      </c>
      <c r="K856" t="str">
        <f>IFERROR(IF(A856="","",SUMIF(DB_Savings!$A:$A,A856,DB_Savings!$F:$F)),"")</f>
        <v/>
      </c>
      <c r="L856" t="str">
        <f>IFERROR(IF(A856="","",SUMIF(DB_Withdrawals!$A:$A,A856,DB_Withdrawals!$G:$G)),"")</f>
        <v/>
      </c>
      <c r="M856" t="str">
        <f>IFERROR(IF(A856="","",IFERROR(VALUE(H856),0)+IFERROR(SUMIF(DB_Savings!$A:$A,A856,DB_Savings!$F:$F),0)-IFERROR(SUMIF(DB_Withdrawals!$A:$A,A856,DB_Withdrawals!$G:$G),0)),"")</f>
        <v/>
      </c>
      <c r="N856" t="str">
        <f>IFERROR(IF(A856="","",MAX(0,M856-System_Config!$B$9)),"")</f>
        <v/>
      </c>
    </row>
    <row r="857" spans="1:14" ht="15" customHeight="1" x14ac:dyDescent="0.25">
      <c r="A857" t="str">
        <f>'NEW ACCOUNT'!A858</f>
        <v/>
      </c>
      <c r="B857" t="str">
        <f>IF('NEW ACCOUNT'!A858="","",'NEW ACCOUNT'!B858)</f>
        <v/>
      </c>
      <c r="C857" t="str">
        <f>IF('NEW ACCOUNT'!A858="","",'NEW ACCOUNT'!C858)</f>
        <v/>
      </c>
      <c r="D857" t="str">
        <f>IF('NEW ACCOUNT'!A858="","",'NEW ACCOUNT'!D858)</f>
        <v/>
      </c>
      <c r="E857" t="str">
        <f>IF('NEW ACCOUNT'!A858="","",'NEW ACCOUNT'!E858)</f>
        <v/>
      </c>
      <c r="F857" t="str">
        <f>IF('NEW ACCOUNT'!A858="","",'NEW ACCOUNT'!F858)</f>
        <v/>
      </c>
      <c r="G857" t="str">
        <f>IF('NEW ACCOUNT'!A858="","",'NEW ACCOUNT'!G858)</f>
        <v/>
      </c>
      <c r="H857" t="str">
        <f>IF('NEW ACCOUNT'!A858="","",'NEW ACCOUNT'!H858)</f>
        <v/>
      </c>
      <c r="I857" t="str">
        <f>IF('NEW ACCOUNT'!A858="","",'NEW ACCOUNT'!I858)</f>
        <v/>
      </c>
      <c r="J857" t="str">
        <f>IF('NEW ACCOUNT'!A858="","",'NEW ACCOUNT'!J858)</f>
        <v/>
      </c>
      <c r="K857" t="str">
        <f>IFERROR(IF(A857="","",SUMIF(DB_Savings!$A:$A,A857,DB_Savings!$F:$F)),"")</f>
        <v/>
      </c>
      <c r="L857" t="str">
        <f>IFERROR(IF(A857="","",SUMIF(DB_Withdrawals!$A:$A,A857,DB_Withdrawals!$G:$G)),"")</f>
        <v/>
      </c>
      <c r="M857" t="str">
        <f>IFERROR(IF(A857="","",IFERROR(VALUE(H857),0)+IFERROR(SUMIF(DB_Savings!$A:$A,A857,DB_Savings!$F:$F),0)-IFERROR(SUMIF(DB_Withdrawals!$A:$A,A857,DB_Withdrawals!$G:$G),0)),"")</f>
        <v/>
      </c>
      <c r="N857" t="str">
        <f>IFERROR(IF(A857="","",MAX(0,M857-System_Config!$B$9)),"")</f>
        <v/>
      </c>
    </row>
    <row r="858" spans="1:14" ht="15" customHeight="1" x14ac:dyDescent="0.25">
      <c r="A858" t="str">
        <f>'NEW ACCOUNT'!A859</f>
        <v/>
      </c>
      <c r="B858" t="str">
        <f>IF('NEW ACCOUNT'!A859="","",'NEW ACCOUNT'!B859)</f>
        <v/>
      </c>
      <c r="C858" t="str">
        <f>IF('NEW ACCOUNT'!A859="","",'NEW ACCOUNT'!C859)</f>
        <v/>
      </c>
      <c r="D858" t="str">
        <f>IF('NEW ACCOUNT'!A859="","",'NEW ACCOUNT'!D859)</f>
        <v/>
      </c>
      <c r="E858" t="str">
        <f>IF('NEW ACCOUNT'!A859="","",'NEW ACCOUNT'!E859)</f>
        <v/>
      </c>
      <c r="F858" t="str">
        <f>IF('NEW ACCOUNT'!A859="","",'NEW ACCOUNT'!F859)</f>
        <v/>
      </c>
      <c r="G858" t="str">
        <f>IF('NEW ACCOUNT'!A859="","",'NEW ACCOUNT'!G859)</f>
        <v/>
      </c>
      <c r="H858" t="str">
        <f>IF('NEW ACCOUNT'!A859="","",'NEW ACCOUNT'!H859)</f>
        <v/>
      </c>
      <c r="I858" t="str">
        <f>IF('NEW ACCOUNT'!A859="","",'NEW ACCOUNT'!I859)</f>
        <v/>
      </c>
      <c r="J858" t="str">
        <f>IF('NEW ACCOUNT'!A859="","",'NEW ACCOUNT'!J859)</f>
        <v/>
      </c>
      <c r="K858" t="str">
        <f>IFERROR(IF(A858="","",SUMIF(DB_Savings!$A:$A,A858,DB_Savings!$F:$F)),"")</f>
        <v/>
      </c>
      <c r="L858" t="str">
        <f>IFERROR(IF(A858="","",SUMIF(DB_Withdrawals!$A:$A,A858,DB_Withdrawals!$G:$G)),"")</f>
        <v/>
      </c>
      <c r="M858" t="str">
        <f>IFERROR(IF(A858="","",IFERROR(VALUE(H858),0)+IFERROR(SUMIF(DB_Savings!$A:$A,A858,DB_Savings!$F:$F),0)-IFERROR(SUMIF(DB_Withdrawals!$A:$A,A858,DB_Withdrawals!$G:$G),0)),"")</f>
        <v/>
      </c>
      <c r="N858" t="str">
        <f>IFERROR(IF(A858="","",MAX(0,M858-System_Config!$B$9)),"")</f>
        <v/>
      </c>
    </row>
    <row r="859" spans="1:14" ht="15" customHeight="1" x14ac:dyDescent="0.25">
      <c r="A859" t="str">
        <f>'NEW ACCOUNT'!A860</f>
        <v/>
      </c>
      <c r="B859" t="str">
        <f>IF('NEW ACCOUNT'!A860="","",'NEW ACCOUNT'!B860)</f>
        <v/>
      </c>
      <c r="C859" t="str">
        <f>IF('NEW ACCOUNT'!A860="","",'NEW ACCOUNT'!C860)</f>
        <v/>
      </c>
      <c r="D859" t="str">
        <f>IF('NEW ACCOUNT'!A860="","",'NEW ACCOUNT'!D860)</f>
        <v/>
      </c>
      <c r="E859" t="str">
        <f>IF('NEW ACCOUNT'!A860="","",'NEW ACCOUNT'!E860)</f>
        <v/>
      </c>
      <c r="F859" t="str">
        <f>IF('NEW ACCOUNT'!A860="","",'NEW ACCOUNT'!F860)</f>
        <v/>
      </c>
      <c r="G859" t="str">
        <f>IF('NEW ACCOUNT'!A860="","",'NEW ACCOUNT'!G860)</f>
        <v/>
      </c>
      <c r="H859" t="str">
        <f>IF('NEW ACCOUNT'!A860="","",'NEW ACCOUNT'!H860)</f>
        <v/>
      </c>
      <c r="I859" t="str">
        <f>IF('NEW ACCOUNT'!A860="","",'NEW ACCOUNT'!I860)</f>
        <v/>
      </c>
      <c r="J859" t="str">
        <f>IF('NEW ACCOUNT'!A860="","",'NEW ACCOUNT'!J860)</f>
        <v/>
      </c>
      <c r="K859" t="str">
        <f>IFERROR(IF(A859="","",SUMIF(DB_Savings!$A:$A,A859,DB_Savings!$F:$F)),"")</f>
        <v/>
      </c>
      <c r="L859" t="str">
        <f>IFERROR(IF(A859="","",SUMIF(DB_Withdrawals!$A:$A,A859,DB_Withdrawals!$G:$G)),"")</f>
        <v/>
      </c>
      <c r="M859" t="str">
        <f>IFERROR(IF(A859="","",IFERROR(VALUE(H859),0)+IFERROR(SUMIF(DB_Savings!$A:$A,A859,DB_Savings!$F:$F),0)-IFERROR(SUMIF(DB_Withdrawals!$A:$A,A859,DB_Withdrawals!$G:$G),0)),"")</f>
        <v/>
      </c>
      <c r="N859" t="str">
        <f>IFERROR(IF(A859="","",MAX(0,M859-System_Config!$B$9)),"")</f>
        <v/>
      </c>
    </row>
    <row r="860" spans="1:14" ht="15" customHeight="1" x14ac:dyDescent="0.25">
      <c r="A860" t="str">
        <f>'NEW ACCOUNT'!A861</f>
        <v/>
      </c>
      <c r="B860" t="str">
        <f>IF('NEW ACCOUNT'!A861="","",'NEW ACCOUNT'!B861)</f>
        <v/>
      </c>
      <c r="C860" t="str">
        <f>IF('NEW ACCOUNT'!A861="","",'NEW ACCOUNT'!C861)</f>
        <v/>
      </c>
      <c r="D860" t="str">
        <f>IF('NEW ACCOUNT'!A861="","",'NEW ACCOUNT'!D861)</f>
        <v/>
      </c>
      <c r="E860" t="str">
        <f>IF('NEW ACCOUNT'!A861="","",'NEW ACCOUNT'!E861)</f>
        <v/>
      </c>
      <c r="F860" t="str">
        <f>IF('NEW ACCOUNT'!A861="","",'NEW ACCOUNT'!F861)</f>
        <v/>
      </c>
      <c r="G860" t="str">
        <f>IF('NEW ACCOUNT'!A861="","",'NEW ACCOUNT'!G861)</f>
        <v/>
      </c>
      <c r="H860" t="str">
        <f>IF('NEW ACCOUNT'!A861="","",'NEW ACCOUNT'!H861)</f>
        <v/>
      </c>
      <c r="I860" t="str">
        <f>IF('NEW ACCOUNT'!A861="","",'NEW ACCOUNT'!I861)</f>
        <v/>
      </c>
      <c r="J860" t="str">
        <f>IF('NEW ACCOUNT'!A861="","",'NEW ACCOUNT'!J861)</f>
        <v/>
      </c>
      <c r="K860" t="str">
        <f>IFERROR(IF(A860="","",SUMIF(DB_Savings!$A:$A,A860,DB_Savings!$F:$F)),"")</f>
        <v/>
      </c>
      <c r="L860" t="str">
        <f>IFERROR(IF(A860="","",SUMIF(DB_Withdrawals!$A:$A,A860,DB_Withdrawals!$G:$G)),"")</f>
        <v/>
      </c>
      <c r="M860" t="str">
        <f>IFERROR(IF(A860="","",IFERROR(VALUE(H860),0)+IFERROR(SUMIF(DB_Savings!$A:$A,A860,DB_Savings!$F:$F),0)-IFERROR(SUMIF(DB_Withdrawals!$A:$A,A860,DB_Withdrawals!$G:$G),0)),"")</f>
        <v/>
      </c>
      <c r="N860" t="str">
        <f>IFERROR(IF(A860="","",MAX(0,M860-System_Config!$B$9)),"")</f>
        <v/>
      </c>
    </row>
    <row r="861" spans="1:14" ht="15" customHeight="1" x14ac:dyDescent="0.25">
      <c r="A861" t="str">
        <f>'NEW ACCOUNT'!A862</f>
        <v/>
      </c>
      <c r="B861" t="str">
        <f>IF('NEW ACCOUNT'!A862="","",'NEW ACCOUNT'!B862)</f>
        <v/>
      </c>
      <c r="C861" t="str">
        <f>IF('NEW ACCOUNT'!A862="","",'NEW ACCOUNT'!C862)</f>
        <v/>
      </c>
      <c r="D861" t="str">
        <f>IF('NEW ACCOUNT'!A862="","",'NEW ACCOUNT'!D862)</f>
        <v/>
      </c>
      <c r="E861" t="str">
        <f>IF('NEW ACCOUNT'!A862="","",'NEW ACCOUNT'!E862)</f>
        <v/>
      </c>
      <c r="F861" t="str">
        <f>IF('NEW ACCOUNT'!A862="","",'NEW ACCOUNT'!F862)</f>
        <v/>
      </c>
      <c r="G861" t="str">
        <f>IF('NEW ACCOUNT'!A862="","",'NEW ACCOUNT'!G862)</f>
        <v/>
      </c>
      <c r="H861" t="str">
        <f>IF('NEW ACCOUNT'!A862="","",'NEW ACCOUNT'!H862)</f>
        <v/>
      </c>
      <c r="I861" t="str">
        <f>IF('NEW ACCOUNT'!A862="","",'NEW ACCOUNT'!I862)</f>
        <v/>
      </c>
      <c r="J861" t="str">
        <f>IF('NEW ACCOUNT'!A862="","",'NEW ACCOUNT'!J862)</f>
        <v/>
      </c>
      <c r="K861" t="str">
        <f>IFERROR(IF(A861="","",SUMIF(DB_Savings!$A:$A,A861,DB_Savings!$F:$F)),"")</f>
        <v/>
      </c>
      <c r="L861" t="str">
        <f>IFERROR(IF(A861="","",SUMIF(DB_Withdrawals!$A:$A,A861,DB_Withdrawals!$G:$G)),"")</f>
        <v/>
      </c>
      <c r="M861" t="str">
        <f>IFERROR(IF(A861="","",IFERROR(VALUE(H861),0)+IFERROR(SUMIF(DB_Savings!$A:$A,A861,DB_Savings!$F:$F),0)-IFERROR(SUMIF(DB_Withdrawals!$A:$A,A861,DB_Withdrawals!$G:$G),0)),"")</f>
        <v/>
      </c>
      <c r="N861" t="str">
        <f>IFERROR(IF(A861="","",MAX(0,M861-System_Config!$B$9)),"")</f>
        <v/>
      </c>
    </row>
    <row r="862" spans="1:14" ht="15" customHeight="1" x14ac:dyDescent="0.25">
      <c r="A862" t="str">
        <f>'NEW ACCOUNT'!A863</f>
        <v/>
      </c>
      <c r="B862" t="str">
        <f>IF('NEW ACCOUNT'!A863="","",'NEW ACCOUNT'!B863)</f>
        <v/>
      </c>
      <c r="C862" t="str">
        <f>IF('NEW ACCOUNT'!A863="","",'NEW ACCOUNT'!C863)</f>
        <v/>
      </c>
      <c r="D862" t="str">
        <f>IF('NEW ACCOUNT'!A863="","",'NEW ACCOUNT'!D863)</f>
        <v/>
      </c>
      <c r="E862" t="str">
        <f>IF('NEW ACCOUNT'!A863="","",'NEW ACCOUNT'!E863)</f>
        <v/>
      </c>
      <c r="F862" t="str">
        <f>IF('NEW ACCOUNT'!A863="","",'NEW ACCOUNT'!F863)</f>
        <v/>
      </c>
      <c r="G862" t="str">
        <f>IF('NEW ACCOUNT'!A863="","",'NEW ACCOUNT'!G863)</f>
        <v/>
      </c>
      <c r="H862" t="str">
        <f>IF('NEW ACCOUNT'!A863="","",'NEW ACCOUNT'!H863)</f>
        <v/>
      </c>
      <c r="I862" t="str">
        <f>IF('NEW ACCOUNT'!A863="","",'NEW ACCOUNT'!I863)</f>
        <v/>
      </c>
      <c r="J862" t="str">
        <f>IF('NEW ACCOUNT'!A863="","",'NEW ACCOUNT'!J863)</f>
        <v/>
      </c>
      <c r="K862" t="str">
        <f>IFERROR(IF(A862="","",SUMIF(DB_Savings!$A:$A,A862,DB_Savings!$F:$F)),"")</f>
        <v/>
      </c>
      <c r="L862" t="str">
        <f>IFERROR(IF(A862="","",SUMIF(DB_Withdrawals!$A:$A,A862,DB_Withdrawals!$G:$G)),"")</f>
        <v/>
      </c>
      <c r="M862" t="str">
        <f>IFERROR(IF(A862="","",IFERROR(VALUE(H862),0)+IFERROR(SUMIF(DB_Savings!$A:$A,A862,DB_Savings!$F:$F),0)-IFERROR(SUMIF(DB_Withdrawals!$A:$A,A862,DB_Withdrawals!$G:$G),0)),"")</f>
        <v/>
      </c>
      <c r="N862" t="str">
        <f>IFERROR(IF(A862="","",MAX(0,M862-System_Config!$B$9)),"")</f>
        <v/>
      </c>
    </row>
    <row r="863" spans="1:14" ht="15" customHeight="1" x14ac:dyDescent="0.25">
      <c r="A863" t="str">
        <f>'NEW ACCOUNT'!A864</f>
        <v/>
      </c>
      <c r="B863" t="str">
        <f>IF('NEW ACCOUNT'!A864="","",'NEW ACCOUNT'!B864)</f>
        <v/>
      </c>
      <c r="C863" t="str">
        <f>IF('NEW ACCOUNT'!A864="","",'NEW ACCOUNT'!C864)</f>
        <v/>
      </c>
      <c r="D863" t="str">
        <f>IF('NEW ACCOUNT'!A864="","",'NEW ACCOUNT'!D864)</f>
        <v/>
      </c>
      <c r="E863" t="str">
        <f>IF('NEW ACCOUNT'!A864="","",'NEW ACCOUNT'!E864)</f>
        <v/>
      </c>
      <c r="F863" t="str">
        <f>IF('NEW ACCOUNT'!A864="","",'NEW ACCOUNT'!F864)</f>
        <v/>
      </c>
      <c r="G863" t="str">
        <f>IF('NEW ACCOUNT'!A864="","",'NEW ACCOUNT'!G864)</f>
        <v/>
      </c>
      <c r="H863" t="str">
        <f>IF('NEW ACCOUNT'!A864="","",'NEW ACCOUNT'!H864)</f>
        <v/>
      </c>
      <c r="I863" t="str">
        <f>IF('NEW ACCOUNT'!A864="","",'NEW ACCOUNT'!I864)</f>
        <v/>
      </c>
      <c r="J863" t="str">
        <f>IF('NEW ACCOUNT'!A864="","",'NEW ACCOUNT'!J864)</f>
        <v/>
      </c>
      <c r="K863" t="str">
        <f>IFERROR(IF(A863="","",SUMIF(DB_Savings!$A:$A,A863,DB_Savings!$F:$F)),"")</f>
        <v/>
      </c>
      <c r="L863" t="str">
        <f>IFERROR(IF(A863="","",SUMIF(DB_Withdrawals!$A:$A,A863,DB_Withdrawals!$G:$G)),"")</f>
        <v/>
      </c>
      <c r="M863" t="str">
        <f>IFERROR(IF(A863="","",IFERROR(VALUE(H863),0)+IFERROR(SUMIF(DB_Savings!$A:$A,A863,DB_Savings!$F:$F),0)-IFERROR(SUMIF(DB_Withdrawals!$A:$A,A863,DB_Withdrawals!$G:$G),0)),"")</f>
        <v/>
      </c>
      <c r="N863" t="str">
        <f>IFERROR(IF(A863="","",MAX(0,M863-System_Config!$B$9)),"")</f>
        <v/>
      </c>
    </row>
    <row r="864" spans="1:14" ht="15" customHeight="1" x14ac:dyDescent="0.25">
      <c r="A864" t="str">
        <f>'NEW ACCOUNT'!A865</f>
        <v/>
      </c>
      <c r="B864" t="str">
        <f>IF('NEW ACCOUNT'!A865="","",'NEW ACCOUNT'!B865)</f>
        <v/>
      </c>
      <c r="C864" t="str">
        <f>IF('NEW ACCOUNT'!A865="","",'NEW ACCOUNT'!C865)</f>
        <v/>
      </c>
      <c r="D864" t="str">
        <f>IF('NEW ACCOUNT'!A865="","",'NEW ACCOUNT'!D865)</f>
        <v/>
      </c>
      <c r="E864" t="str">
        <f>IF('NEW ACCOUNT'!A865="","",'NEW ACCOUNT'!E865)</f>
        <v/>
      </c>
      <c r="F864" t="str">
        <f>IF('NEW ACCOUNT'!A865="","",'NEW ACCOUNT'!F865)</f>
        <v/>
      </c>
      <c r="G864" t="str">
        <f>IF('NEW ACCOUNT'!A865="","",'NEW ACCOUNT'!G865)</f>
        <v/>
      </c>
      <c r="H864" t="str">
        <f>IF('NEW ACCOUNT'!A865="","",'NEW ACCOUNT'!H865)</f>
        <v/>
      </c>
      <c r="I864" t="str">
        <f>IF('NEW ACCOUNT'!A865="","",'NEW ACCOUNT'!I865)</f>
        <v/>
      </c>
      <c r="J864" t="str">
        <f>IF('NEW ACCOUNT'!A865="","",'NEW ACCOUNT'!J865)</f>
        <v/>
      </c>
      <c r="K864" t="str">
        <f>IFERROR(IF(A864="","",SUMIF(DB_Savings!$A:$A,A864,DB_Savings!$F:$F)),"")</f>
        <v/>
      </c>
      <c r="L864" t="str">
        <f>IFERROR(IF(A864="","",SUMIF(DB_Withdrawals!$A:$A,A864,DB_Withdrawals!$G:$G)),"")</f>
        <v/>
      </c>
      <c r="M864" t="str">
        <f>IFERROR(IF(A864="","",IFERROR(VALUE(H864),0)+IFERROR(SUMIF(DB_Savings!$A:$A,A864,DB_Savings!$F:$F),0)-IFERROR(SUMIF(DB_Withdrawals!$A:$A,A864,DB_Withdrawals!$G:$G),0)),"")</f>
        <v/>
      </c>
      <c r="N864" t="str">
        <f>IFERROR(IF(A864="","",MAX(0,M864-System_Config!$B$9)),"")</f>
        <v/>
      </c>
    </row>
    <row r="865" spans="1:14" ht="15" customHeight="1" x14ac:dyDescent="0.25">
      <c r="A865" t="str">
        <f>'NEW ACCOUNT'!A866</f>
        <v/>
      </c>
      <c r="B865" t="str">
        <f>IF('NEW ACCOUNT'!A866="","",'NEW ACCOUNT'!B866)</f>
        <v/>
      </c>
      <c r="C865" t="str">
        <f>IF('NEW ACCOUNT'!A866="","",'NEW ACCOUNT'!C866)</f>
        <v/>
      </c>
      <c r="D865" t="str">
        <f>IF('NEW ACCOUNT'!A866="","",'NEW ACCOUNT'!D866)</f>
        <v/>
      </c>
      <c r="E865" t="str">
        <f>IF('NEW ACCOUNT'!A866="","",'NEW ACCOUNT'!E866)</f>
        <v/>
      </c>
      <c r="F865" t="str">
        <f>IF('NEW ACCOUNT'!A866="","",'NEW ACCOUNT'!F866)</f>
        <v/>
      </c>
      <c r="G865" t="str">
        <f>IF('NEW ACCOUNT'!A866="","",'NEW ACCOUNT'!G866)</f>
        <v/>
      </c>
      <c r="H865" t="str">
        <f>IF('NEW ACCOUNT'!A866="","",'NEW ACCOUNT'!H866)</f>
        <v/>
      </c>
      <c r="I865" t="str">
        <f>IF('NEW ACCOUNT'!A866="","",'NEW ACCOUNT'!I866)</f>
        <v/>
      </c>
      <c r="J865" t="str">
        <f>IF('NEW ACCOUNT'!A866="","",'NEW ACCOUNT'!J866)</f>
        <v/>
      </c>
      <c r="K865" t="str">
        <f>IFERROR(IF(A865="","",SUMIF(DB_Savings!$A:$A,A865,DB_Savings!$F:$F)),"")</f>
        <v/>
      </c>
      <c r="L865" t="str">
        <f>IFERROR(IF(A865="","",SUMIF(DB_Withdrawals!$A:$A,A865,DB_Withdrawals!$G:$G)),"")</f>
        <v/>
      </c>
      <c r="M865" t="str">
        <f>IFERROR(IF(A865="","",IFERROR(VALUE(H865),0)+IFERROR(SUMIF(DB_Savings!$A:$A,A865,DB_Savings!$F:$F),0)-IFERROR(SUMIF(DB_Withdrawals!$A:$A,A865,DB_Withdrawals!$G:$G),0)),"")</f>
        <v/>
      </c>
      <c r="N865" t="str">
        <f>IFERROR(IF(A865="","",MAX(0,M865-System_Config!$B$9)),"")</f>
        <v/>
      </c>
    </row>
    <row r="866" spans="1:14" ht="15" customHeight="1" x14ac:dyDescent="0.25">
      <c r="A866" t="str">
        <f>'NEW ACCOUNT'!A867</f>
        <v/>
      </c>
      <c r="B866" t="str">
        <f>IF('NEW ACCOUNT'!A867="","",'NEW ACCOUNT'!B867)</f>
        <v/>
      </c>
      <c r="C866" t="str">
        <f>IF('NEW ACCOUNT'!A867="","",'NEW ACCOUNT'!C867)</f>
        <v/>
      </c>
      <c r="D866" t="str">
        <f>IF('NEW ACCOUNT'!A867="","",'NEW ACCOUNT'!D867)</f>
        <v/>
      </c>
      <c r="E866" t="str">
        <f>IF('NEW ACCOUNT'!A867="","",'NEW ACCOUNT'!E867)</f>
        <v/>
      </c>
      <c r="F866" t="str">
        <f>IF('NEW ACCOUNT'!A867="","",'NEW ACCOUNT'!F867)</f>
        <v/>
      </c>
      <c r="G866" t="str">
        <f>IF('NEW ACCOUNT'!A867="","",'NEW ACCOUNT'!G867)</f>
        <v/>
      </c>
      <c r="H866" t="str">
        <f>IF('NEW ACCOUNT'!A867="","",'NEW ACCOUNT'!H867)</f>
        <v/>
      </c>
      <c r="I866" t="str">
        <f>IF('NEW ACCOUNT'!A867="","",'NEW ACCOUNT'!I867)</f>
        <v/>
      </c>
      <c r="J866" t="str">
        <f>IF('NEW ACCOUNT'!A867="","",'NEW ACCOUNT'!J867)</f>
        <v/>
      </c>
      <c r="K866" t="str">
        <f>IFERROR(IF(A866="","",SUMIF(DB_Savings!$A:$A,A866,DB_Savings!$F:$F)),"")</f>
        <v/>
      </c>
      <c r="L866" t="str">
        <f>IFERROR(IF(A866="","",SUMIF(DB_Withdrawals!$A:$A,A866,DB_Withdrawals!$G:$G)),"")</f>
        <v/>
      </c>
      <c r="M866" t="str">
        <f>IFERROR(IF(A866="","",IFERROR(VALUE(H866),0)+IFERROR(SUMIF(DB_Savings!$A:$A,A866,DB_Savings!$F:$F),0)-IFERROR(SUMIF(DB_Withdrawals!$A:$A,A866,DB_Withdrawals!$G:$G),0)),"")</f>
        <v/>
      </c>
      <c r="N866" t="str">
        <f>IFERROR(IF(A866="","",MAX(0,M866-System_Config!$B$9)),"")</f>
        <v/>
      </c>
    </row>
    <row r="867" spans="1:14" ht="15" customHeight="1" x14ac:dyDescent="0.25">
      <c r="A867" t="str">
        <f>'NEW ACCOUNT'!A868</f>
        <v/>
      </c>
      <c r="B867" t="str">
        <f>IF('NEW ACCOUNT'!A868="","",'NEW ACCOUNT'!B868)</f>
        <v/>
      </c>
      <c r="C867" t="str">
        <f>IF('NEW ACCOUNT'!A868="","",'NEW ACCOUNT'!C868)</f>
        <v/>
      </c>
      <c r="D867" t="str">
        <f>IF('NEW ACCOUNT'!A868="","",'NEW ACCOUNT'!D868)</f>
        <v/>
      </c>
      <c r="E867" t="str">
        <f>IF('NEW ACCOUNT'!A868="","",'NEW ACCOUNT'!E868)</f>
        <v/>
      </c>
      <c r="F867" t="str">
        <f>IF('NEW ACCOUNT'!A868="","",'NEW ACCOUNT'!F868)</f>
        <v/>
      </c>
      <c r="G867" t="str">
        <f>IF('NEW ACCOUNT'!A868="","",'NEW ACCOUNT'!G868)</f>
        <v/>
      </c>
      <c r="H867" t="str">
        <f>IF('NEW ACCOUNT'!A868="","",'NEW ACCOUNT'!H868)</f>
        <v/>
      </c>
      <c r="I867" t="str">
        <f>IF('NEW ACCOUNT'!A868="","",'NEW ACCOUNT'!I868)</f>
        <v/>
      </c>
      <c r="J867" t="str">
        <f>IF('NEW ACCOUNT'!A868="","",'NEW ACCOUNT'!J868)</f>
        <v/>
      </c>
      <c r="K867" t="str">
        <f>IFERROR(IF(A867="","",SUMIF(DB_Savings!$A:$A,A867,DB_Savings!$F:$F)),"")</f>
        <v/>
      </c>
      <c r="L867" t="str">
        <f>IFERROR(IF(A867="","",SUMIF(DB_Withdrawals!$A:$A,A867,DB_Withdrawals!$G:$G)),"")</f>
        <v/>
      </c>
      <c r="M867" t="str">
        <f>IFERROR(IF(A867="","",IFERROR(VALUE(H867),0)+IFERROR(SUMIF(DB_Savings!$A:$A,A867,DB_Savings!$F:$F),0)-IFERROR(SUMIF(DB_Withdrawals!$A:$A,A867,DB_Withdrawals!$G:$G),0)),"")</f>
        <v/>
      </c>
      <c r="N867" t="str">
        <f>IFERROR(IF(A867="","",MAX(0,M867-System_Config!$B$9)),"")</f>
        <v/>
      </c>
    </row>
    <row r="868" spans="1:14" ht="15" customHeight="1" x14ac:dyDescent="0.25">
      <c r="A868" t="str">
        <f>'NEW ACCOUNT'!A869</f>
        <v/>
      </c>
      <c r="B868" t="str">
        <f>IF('NEW ACCOUNT'!A869="","",'NEW ACCOUNT'!B869)</f>
        <v/>
      </c>
      <c r="C868" t="str">
        <f>IF('NEW ACCOUNT'!A869="","",'NEW ACCOUNT'!C869)</f>
        <v/>
      </c>
      <c r="D868" t="str">
        <f>IF('NEW ACCOUNT'!A869="","",'NEW ACCOUNT'!D869)</f>
        <v/>
      </c>
      <c r="E868" t="str">
        <f>IF('NEW ACCOUNT'!A869="","",'NEW ACCOUNT'!E869)</f>
        <v/>
      </c>
      <c r="F868" t="str">
        <f>IF('NEW ACCOUNT'!A869="","",'NEW ACCOUNT'!F869)</f>
        <v/>
      </c>
      <c r="G868" t="str">
        <f>IF('NEW ACCOUNT'!A869="","",'NEW ACCOUNT'!G869)</f>
        <v/>
      </c>
      <c r="H868" t="str">
        <f>IF('NEW ACCOUNT'!A869="","",'NEW ACCOUNT'!H869)</f>
        <v/>
      </c>
      <c r="I868" t="str">
        <f>IF('NEW ACCOUNT'!A869="","",'NEW ACCOUNT'!I869)</f>
        <v/>
      </c>
      <c r="J868" t="str">
        <f>IF('NEW ACCOUNT'!A869="","",'NEW ACCOUNT'!J869)</f>
        <v/>
      </c>
      <c r="K868" t="str">
        <f>IFERROR(IF(A868="","",SUMIF(DB_Savings!$A:$A,A868,DB_Savings!$F:$F)),"")</f>
        <v/>
      </c>
      <c r="L868" t="str">
        <f>IFERROR(IF(A868="","",SUMIF(DB_Withdrawals!$A:$A,A868,DB_Withdrawals!$G:$G)),"")</f>
        <v/>
      </c>
      <c r="M868" t="str">
        <f>IFERROR(IF(A868="","",IFERROR(VALUE(H868),0)+IFERROR(SUMIF(DB_Savings!$A:$A,A868,DB_Savings!$F:$F),0)-IFERROR(SUMIF(DB_Withdrawals!$A:$A,A868,DB_Withdrawals!$G:$G),0)),"")</f>
        <v/>
      </c>
      <c r="N868" t="str">
        <f>IFERROR(IF(A868="","",MAX(0,M868-System_Config!$B$9)),"")</f>
        <v/>
      </c>
    </row>
    <row r="869" spans="1:14" ht="15" customHeight="1" x14ac:dyDescent="0.25">
      <c r="A869" t="str">
        <f>'NEW ACCOUNT'!A870</f>
        <v/>
      </c>
      <c r="B869" t="str">
        <f>IF('NEW ACCOUNT'!A870="","",'NEW ACCOUNT'!B870)</f>
        <v/>
      </c>
      <c r="C869" t="str">
        <f>IF('NEW ACCOUNT'!A870="","",'NEW ACCOUNT'!C870)</f>
        <v/>
      </c>
      <c r="D869" t="str">
        <f>IF('NEW ACCOUNT'!A870="","",'NEW ACCOUNT'!D870)</f>
        <v/>
      </c>
      <c r="E869" t="str">
        <f>IF('NEW ACCOUNT'!A870="","",'NEW ACCOUNT'!E870)</f>
        <v/>
      </c>
      <c r="F869" t="str">
        <f>IF('NEW ACCOUNT'!A870="","",'NEW ACCOUNT'!F870)</f>
        <v/>
      </c>
      <c r="G869" t="str">
        <f>IF('NEW ACCOUNT'!A870="","",'NEW ACCOUNT'!G870)</f>
        <v/>
      </c>
      <c r="H869" t="str">
        <f>IF('NEW ACCOUNT'!A870="","",'NEW ACCOUNT'!H870)</f>
        <v/>
      </c>
      <c r="I869" t="str">
        <f>IF('NEW ACCOUNT'!A870="","",'NEW ACCOUNT'!I870)</f>
        <v/>
      </c>
      <c r="J869" t="str">
        <f>IF('NEW ACCOUNT'!A870="","",'NEW ACCOUNT'!J870)</f>
        <v/>
      </c>
      <c r="K869" t="str">
        <f>IFERROR(IF(A869="","",SUMIF(DB_Savings!$A:$A,A869,DB_Savings!$F:$F)),"")</f>
        <v/>
      </c>
      <c r="L869" t="str">
        <f>IFERROR(IF(A869="","",SUMIF(DB_Withdrawals!$A:$A,A869,DB_Withdrawals!$G:$G)),"")</f>
        <v/>
      </c>
      <c r="M869" t="str">
        <f>IFERROR(IF(A869="","",IFERROR(VALUE(H869),0)+IFERROR(SUMIF(DB_Savings!$A:$A,A869,DB_Savings!$F:$F),0)-IFERROR(SUMIF(DB_Withdrawals!$A:$A,A869,DB_Withdrawals!$G:$G),0)),"")</f>
        <v/>
      </c>
      <c r="N869" t="str">
        <f>IFERROR(IF(A869="","",MAX(0,M869-System_Config!$B$9)),"")</f>
        <v/>
      </c>
    </row>
    <row r="870" spans="1:14" ht="15" customHeight="1" x14ac:dyDescent="0.25">
      <c r="A870" t="str">
        <f>'NEW ACCOUNT'!A871</f>
        <v/>
      </c>
      <c r="B870" t="str">
        <f>IF('NEW ACCOUNT'!A871="","",'NEW ACCOUNT'!B871)</f>
        <v/>
      </c>
      <c r="C870" t="str">
        <f>IF('NEW ACCOUNT'!A871="","",'NEW ACCOUNT'!C871)</f>
        <v/>
      </c>
      <c r="D870" t="str">
        <f>IF('NEW ACCOUNT'!A871="","",'NEW ACCOUNT'!D871)</f>
        <v/>
      </c>
      <c r="E870" t="str">
        <f>IF('NEW ACCOUNT'!A871="","",'NEW ACCOUNT'!E871)</f>
        <v/>
      </c>
      <c r="F870" t="str">
        <f>IF('NEW ACCOUNT'!A871="","",'NEW ACCOUNT'!F871)</f>
        <v/>
      </c>
      <c r="G870" t="str">
        <f>IF('NEW ACCOUNT'!A871="","",'NEW ACCOUNT'!G871)</f>
        <v/>
      </c>
      <c r="H870" t="str">
        <f>IF('NEW ACCOUNT'!A871="","",'NEW ACCOUNT'!H871)</f>
        <v/>
      </c>
      <c r="I870" t="str">
        <f>IF('NEW ACCOUNT'!A871="","",'NEW ACCOUNT'!I871)</f>
        <v/>
      </c>
      <c r="J870" t="str">
        <f>IF('NEW ACCOUNT'!A871="","",'NEW ACCOUNT'!J871)</f>
        <v/>
      </c>
      <c r="K870" t="str">
        <f>IFERROR(IF(A870="","",SUMIF(DB_Savings!$A:$A,A870,DB_Savings!$F:$F)),"")</f>
        <v/>
      </c>
      <c r="L870" t="str">
        <f>IFERROR(IF(A870="","",SUMIF(DB_Withdrawals!$A:$A,A870,DB_Withdrawals!$G:$G)),"")</f>
        <v/>
      </c>
      <c r="M870" t="str">
        <f>IFERROR(IF(A870="","",IFERROR(VALUE(H870),0)+IFERROR(SUMIF(DB_Savings!$A:$A,A870,DB_Savings!$F:$F),0)-IFERROR(SUMIF(DB_Withdrawals!$A:$A,A870,DB_Withdrawals!$G:$G),0)),"")</f>
        <v/>
      </c>
      <c r="N870" t="str">
        <f>IFERROR(IF(A870="","",MAX(0,M870-System_Config!$B$9)),"")</f>
        <v/>
      </c>
    </row>
    <row r="871" spans="1:14" ht="15" customHeight="1" x14ac:dyDescent="0.25">
      <c r="A871" t="str">
        <f>'NEW ACCOUNT'!A872</f>
        <v/>
      </c>
      <c r="B871" t="str">
        <f>IF('NEW ACCOUNT'!A872="","",'NEW ACCOUNT'!B872)</f>
        <v/>
      </c>
      <c r="C871" t="str">
        <f>IF('NEW ACCOUNT'!A872="","",'NEW ACCOUNT'!C872)</f>
        <v/>
      </c>
      <c r="D871" t="str">
        <f>IF('NEW ACCOUNT'!A872="","",'NEW ACCOUNT'!D872)</f>
        <v/>
      </c>
      <c r="E871" t="str">
        <f>IF('NEW ACCOUNT'!A872="","",'NEW ACCOUNT'!E872)</f>
        <v/>
      </c>
      <c r="F871" t="str">
        <f>IF('NEW ACCOUNT'!A872="","",'NEW ACCOUNT'!F872)</f>
        <v/>
      </c>
      <c r="G871" t="str">
        <f>IF('NEW ACCOUNT'!A872="","",'NEW ACCOUNT'!G872)</f>
        <v/>
      </c>
      <c r="H871" t="str">
        <f>IF('NEW ACCOUNT'!A872="","",'NEW ACCOUNT'!H872)</f>
        <v/>
      </c>
      <c r="I871" t="str">
        <f>IF('NEW ACCOUNT'!A872="","",'NEW ACCOUNT'!I872)</f>
        <v/>
      </c>
      <c r="J871" t="str">
        <f>IF('NEW ACCOUNT'!A872="","",'NEW ACCOUNT'!J872)</f>
        <v/>
      </c>
      <c r="K871" t="str">
        <f>IFERROR(IF(A871="","",SUMIF(DB_Savings!$A:$A,A871,DB_Savings!$F:$F)),"")</f>
        <v/>
      </c>
      <c r="L871" t="str">
        <f>IFERROR(IF(A871="","",SUMIF(DB_Withdrawals!$A:$A,A871,DB_Withdrawals!$G:$G)),"")</f>
        <v/>
      </c>
      <c r="M871" t="str">
        <f>IFERROR(IF(A871="","",IFERROR(VALUE(H871),0)+IFERROR(SUMIF(DB_Savings!$A:$A,A871,DB_Savings!$F:$F),0)-IFERROR(SUMIF(DB_Withdrawals!$A:$A,A871,DB_Withdrawals!$G:$G),0)),"")</f>
        <v/>
      </c>
      <c r="N871" t="str">
        <f>IFERROR(IF(A871="","",MAX(0,M871-System_Config!$B$9)),"")</f>
        <v/>
      </c>
    </row>
    <row r="872" spans="1:14" ht="15" customHeight="1" x14ac:dyDescent="0.25">
      <c r="A872" t="str">
        <f>'NEW ACCOUNT'!A873</f>
        <v/>
      </c>
      <c r="B872" t="str">
        <f>IF('NEW ACCOUNT'!A873="","",'NEW ACCOUNT'!B873)</f>
        <v/>
      </c>
      <c r="C872" t="str">
        <f>IF('NEW ACCOUNT'!A873="","",'NEW ACCOUNT'!C873)</f>
        <v/>
      </c>
      <c r="D872" t="str">
        <f>IF('NEW ACCOUNT'!A873="","",'NEW ACCOUNT'!D873)</f>
        <v/>
      </c>
      <c r="E872" t="str">
        <f>IF('NEW ACCOUNT'!A873="","",'NEW ACCOUNT'!E873)</f>
        <v/>
      </c>
      <c r="F872" t="str">
        <f>IF('NEW ACCOUNT'!A873="","",'NEW ACCOUNT'!F873)</f>
        <v/>
      </c>
      <c r="G872" t="str">
        <f>IF('NEW ACCOUNT'!A873="","",'NEW ACCOUNT'!G873)</f>
        <v/>
      </c>
      <c r="H872" t="str">
        <f>IF('NEW ACCOUNT'!A873="","",'NEW ACCOUNT'!H873)</f>
        <v/>
      </c>
      <c r="I872" t="str">
        <f>IF('NEW ACCOUNT'!A873="","",'NEW ACCOUNT'!I873)</f>
        <v/>
      </c>
      <c r="J872" t="str">
        <f>IF('NEW ACCOUNT'!A873="","",'NEW ACCOUNT'!J873)</f>
        <v/>
      </c>
      <c r="K872" t="str">
        <f>IFERROR(IF(A872="","",SUMIF(DB_Savings!$A:$A,A872,DB_Savings!$F:$F)),"")</f>
        <v/>
      </c>
      <c r="L872" t="str">
        <f>IFERROR(IF(A872="","",SUMIF(DB_Withdrawals!$A:$A,A872,DB_Withdrawals!$G:$G)),"")</f>
        <v/>
      </c>
      <c r="M872" t="str">
        <f>IFERROR(IF(A872="","",IFERROR(VALUE(H872),0)+IFERROR(SUMIF(DB_Savings!$A:$A,A872,DB_Savings!$F:$F),0)-IFERROR(SUMIF(DB_Withdrawals!$A:$A,A872,DB_Withdrawals!$G:$G),0)),"")</f>
        <v/>
      </c>
      <c r="N872" t="str">
        <f>IFERROR(IF(A872="","",MAX(0,M872-System_Config!$B$9)),"")</f>
        <v/>
      </c>
    </row>
    <row r="873" spans="1:14" ht="15" customHeight="1" x14ac:dyDescent="0.25">
      <c r="A873" t="str">
        <f>'NEW ACCOUNT'!A874</f>
        <v/>
      </c>
      <c r="B873" t="str">
        <f>IF('NEW ACCOUNT'!A874="","",'NEW ACCOUNT'!B874)</f>
        <v/>
      </c>
      <c r="C873" t="str">
        <f>IF('NEW ACCOUNT'!A874="","",'NEW ACCOUNT'!C874)</f>
        <v/>
      </c>
      <c r="D873" t="str">
        <f>IF('NEW ACCOUNT'!A874="","",'NEW ACCOUNT'!D874)</f>
        <v/>
      </c>
      <c r="E873" t="str">
        <f>IF('NEW ACCOUNT'!A874="","",'NEW ACCOUNT'!E874)</f>
        <v/>
      </c>
      <c r="F873" t="str">
        <f>IF('NEW ACCOUNT'!A874="","",'NEW ACCOUNT'!F874)</f>
        <v/>
      </c>
      <c r="G873" t="str">
        <f>IF('NEW ACCOUNT'!A874="","",'NEW ACCOUNT'!G874)</f>
        <v/>
      </c>
      <c r="H873" t="str">
        <f>IF('NEW ACCOUNT'!A874="","",'NEW ACCOUNT'!H874)</f>
        <v/>
      </c>
      <c r="I873" t="str">
        <f>IF('NEW ACCOUNT'!A874="","",'NEW ACCOUNT'!I874)</f>
        <v/>
      </c>
      <c r="J873" t="str">
        <f>IF('NEW ACCOUNT'!A874="","",'NEW ACCOUNT'!J874)</f>
        <v/>
      </c>
      <c r="K873" t="str">
        <f>IFERROR(IF(A873="","",SUMIF(DB_Savings!$A:$A,A873,DB_Savings!$F:$F)),"")</f>
        <v/>
      </c>
      <c r="L873" t="str">
        <f>IFERROR(IF(A873="","",SUMIF(DB_Withdrawals!$A:$A,A873,DB_Withdrawals!$G:$G)),"")</f>
        <v/>
      </c>
      <c r="M873" t="str">
        <f>IFERROR(IF(A873="","",IFERROR(VALUE(H873),0)+IFERROR(SUMIF(DB_Savings!$A:$A,A873,DB_Savings!$F:$F),0)-IFERROR(SUMIF(DB_Withdrawals!$A:$A,A873,DB_Withdrawals!$G:$G),0)),"")</f>
        <v/>
      </c>
      <c r="N873" t="str">
        <f>IFERROR(IF(A873="","",MAX(0,M873-System_Config!$B$9)),"")</f>
        <v/>
      </c>
    </row>
    <row r="874" spans="1:14" ht="15" customHeight="1" x14ac:dyDescent="0.25">
      <c r="A874" t="str">
        <f>'NEW ACCOUNT'!A875</f>
        <v/>
      </c>
      <c r="B874" t="str">
        <f>IF('NEW ACCOUNT'!A875="","",'NEW ACCOUNT'!B875)</f>
        <v/>
      </c>
      <c r="C874" t="str">
        <f>IF('NEW ACCOUNT'!A875="","",'NEW ACCOUNT'!C875)</f>
        <v/>
      </c>
      <c r="D874" t="str">
        <f>IF('NEW ACCOUNT'!A875="","",'NEW ACCOUNT'!D875)</f>
        <v/>
      </c>
      <c r="E874" t="str">
        <f>IF('NEW ACCOUNT'!A875="","",'NEW ACCOUNT'!E875)</f>
        <v/>
      </c>
      <c r="F874" t="str">
        <f>IF('NEW ACCOUNT'!A875="","",'NEW ACCOUNT'!F875)</f>
        <v/>
      </c>
      <c r="G874" t="str">
        <f>IF('NEW ACCOUNT'!A875="","",'NEW ACCOUNT'!G875)</f>
        <v/>
      </c>
      <c r="H874" t="str">
        <f>IF('NEW ACCOUNT'!A875="","",'NEW ACCOUNT'!H875)</f>
        <v/>
      </c>
      <c r="I874" t="str">
        <f>IF('NEW ACCOUNT'!A875="","",'NEW ACCOUNT'!I875)</f>
        <v/>
      </c>
      <c r="J874" t="str">
        <f>IF('NEW ACCOUNT'!A875="","",'NEW ACCOUNT'!J875)</f>
        <v/>
      </c>
      <c r="K874" t="str">
        <f>IFERROR(IF(A874="","",SUMIF(DB_Savings!$A:$A,A874,DB_Savings!$F:$F)),"")</f>
        <v/>
      </c>
      <c r="L874" t="str">
        <f>IFERROR(IF(A874="","",SUMIF(DB_Withdrawals!$A:$A,A874,DB_Withdrawals!$G:$G)),"")</f>
        <v/>
      </c>
      <c r="M874" t="str">
        <f>IFERROR(IF(A874="","",IFERROR(VALUE(H874),0)+IFERROR(SUMIF(DB_Savings!$A:$A,A874,DB_Savings!$F:$F),0)-IFERROR(SUMIF(DB_Withdrawals!$A:$A,A874,DB_Withdrawals!$G:$G),0)),"")</f>
        <v/>
      </c>
      <c r="N874" t="str">
        <f>IFERROR(IF(A874="","",MAX(0,M874-System_Config!$B$9)),"")</f>
        <v/>
      </c>
    </row>
    <row r="875" spans="1:14" ht="15" customHeight="1" x14ac:dyDescent="0.25">
      <c r="A875" t="str">
        <f>'NEW ACCOUNT'!A876</f>
        <v/>
      </c>
      <c r="B875" t="str">
        <f>IF('NEW ACCOUNT'!A876="","",'NEW ACCOUNT'!B876)</f>
        <v/>
      </c>
      <c r="C875" t="str">
        <f>IF('NEW ACCOUNT'!A876="","",'NEW ACCOUNT'!C876)</f>
        <v/>
      </c>
      <c r="D875" t="str">
        <f>IF('NEW ACCOUNT'!A876="","",'NEW ACCOUNT'!D876)</f>
        <v/>
      </c>
      <c r="E875" t="str">
        <f>IF('NEW ACCOUNT'!A876="","",'NEW ACCOUNT'!E876)</f>
        <v/>
      </c>
      <c r="F875" t="str">
        <f>IF('NEW ACCOUNT'!A876="","",'NEW ACCOUNT'!F876)</f>
        <v/>
      </c>
      <c r="G875" t="str">
        <f>IF('NEW ACCOUNT'!A876="","",'NEW ACCOUNT'!G876)</f>
        <v/>
      </c>
      <c r="H875" t="str">
        <f>IF('NEW ACCOUNT'!A876="","",'NEW ACCOUNT'!H876)</f>
        <v/>
      </c>
      <c r="I875" t="str">
        <f>IF('NEW ACCOUNT'!A876="","",'NEW ACCOUNT'!I876)</f>
        <v/>
      </c>
      <c r="J875" t="str">
        <f>IF('NEW ACCOUNT'!A876="","",'NEW ACCOUNT'!J876)</f>
        <v/>
      </c>
      <c r="K875" t="str">
        <f>IFERROR(IF(A875="","",SUMIF(DB_Savings!$A:$A,A875,DB_Savings!$F:$F)),"")</f>
        <v/>
      </c>
      <c r="L875" t="str">
        <f>IFERROR(IF(A875="","",SUMIF(DB_Withdrawals!$A:$A,A875,DB_Withdrawals!$G:$G)),"")</f>
        <v/>
      </c>
      <c r="M875" t="str">
        <f>IFERROR(IF(A875="","",IFERROR(VALUE(H875),0)+IFERROR(SUMIF(DB_Savings!$A:$A,A875,DB_Savings!$F:$F),0)-IFERROR(SUMIF(DB_Withdrawals!$A:$A,A875,DB_Withdrawals!$G:$G),0)),"")</f>
        <v/>
      </c>
      <c r="N875" t="str">
        <f>IFERROR(IF(A875="","",MAX(0,M875-System_Config!$B$9)),"")</f>
        <v/>
      </c>
    </row>
    <row r="876" spans="1:14" ht="15" customHeight="1" x14ac:dyDescent="0.25">
      <c r="A876" t="str">
        <f>'NEW ACCOUNT'!A877</f>
        <v/>
      </c>
      <c r="B876" t="str">
        <f>IF('NEW ACCOUNT'!A877="","",'NEW ACCOUNT'!B877)</f>
        <v/>
      </c>
      <c r="C876" t="str">
        <f>IF('NEW ACCOUNT'!A877="","",'NEW ACCOUNT'!C877)</f>
        <v/>
      </c>
      <c r="D876" t="str">
        <f>IF('NEW ACCOUNT'!A877="","",'NEW ACCOUNT'!D877)</f>
        <v/>
      </c>
      <c r="E876" t="str">
        <f>IF('NEW ACCOUNT'!A877="","",'NEW ACCOUNT'!E877)</f>
        <v/>
      </c>
      <c r="F876" t="str">
        <f>IF('NEW ACCOUNT'!A877="","",'NEW ACCOUNT'!F877)</f>
        <v/>
      </c>
      <c r="G876" t="str">
        <f>IF('NEW ACCOUNT'!A877="","",'NEW ACCOUNT'!G877)</f>
        <v/>
      </c>
      <c r="H876" t="str">
        <f>IF('NEW ACCOUNT'!A877="","",'NEW ACCOUNT'!H877)</f>
        <v/>
      </c>
      <c r="I876" t="str">
        <f>IF('NEW ACCOUNT'!A877="","",'NEW ACCOUNT'!I877)</f>
        <v/>
      </c>
      <c r="J876" t="str">
        <f>IF('NEW ACCOUNT'!A877="","",'NEW ACCOUNT'!J877)</f>
        <v/>
      </c>
      <c r="K876" t="str">
        <f>IFERROR(IF(A876="","",SUMIF(DB_Savings!$A:$A,A876,DB_Savings!$F:$F)),"")</f>
        <v/>
      </c>
      <c r="L876" t="str">
        <f>IFERROR(IF(A876="","",SUMIF(DB_Withdrawals!$A:$A,A876,DB_Withdrawals!$G:$G)),"")</f>
        <v/>
      </c>
      <c r="M876" t="str">
        <f>IFERROR(IF(A876="","",IFERROR(VALUE(H876),0)+IFERROR(SUMIF(DB_Savings!$A:$A,A876,DB_Savings!$F:$F),0)-IFERROR(SUMIF(DB_Withdrawals!$A:$A,A876,DB_Withdrawals!$G:$G),0)),"")</f>
        <v/>
      </c>
      <c r="N876" t="str">
        <f>IFERROR(IF(A876="","",MAX(0,M876-System_Config!$B$9)),"")</f>
        <v/>
      </c>
    </row>
    <row r="877" spans="1:14" ht="15" customHeight="1" x14ac:dyDescent="0.25">
      <c r="A877" t="str">
        <f>'NEW ACCOUNT'!A878</f>
        <v/>
      </c>
      <c r="B877" t="str">
        <f>IF('NEW ACCOUNT'!A878="","",'NEW ACCOUNT'!B878)</f>
        <v/>
      </c>
      <c r="C877" t="str">
        <f>IF('NEW ACCOUNT'!A878="","",'NEW ACCOUNT'!C878)</f>
        <v/>
      </c>
      <c r="D877" t="str">
        <f>IF('NEW ACCOUNT'!A878="","",'NEW ACCOUNT'!D878)</f>
        <v/>
      </c>
      <c r="E877" t="str">
        <f>IF('NEW ACCOUNT'!A878="","",'NEW ACCOUNT'!E878)</f>
        <v/>
      </c>
      <c r="F877" t="str">
        <f>IF('NEW ACCOUNT'!A878="","",'NEW ACCOUNT'!F878)</f>
        <v/>
      </c>
      <c r="G877" t="str">
        <f>IF('NEW ACCOUNT'!A878="","",'NEW ACCOUNT'!G878)</f>
        <v/>
      </c>
      <c r="H877" t="str">
        <f>IF('NEW ACCOUNT'!A878="","",'NEW ACCOUNT'!H878)</f>
        <v/>
      </c>
      <c r="I877" t="str">
        <f>IF('NEW ACCOUNT'!A878="","",'NEW ACCOUNT'!I878)</f>
        <v/>
      </c>
      <c r="J877" t="str">
        <f>IF('NEW ACCOUNT'!A878="","",'NEW ACCOUNT'!J878)</f>
        <v/>
      </c>
      <c r="K877" t="str">
        <f>IFERROR(IF(A877="","",SUMIF(DB_Savings!$A:$A,A877,DB_Savings!$F:$F)),"")</f>
        <v/>
      </c>
      <c r="L877" t="str">
        <f>IFERROR(IF(A877="","",SUMIF(DB_Withdrawals!$A:$A,A877,DB_Withdrawals!$G:$G)),"")</f>
        <v/>
      </c>
      <c r="M877" t="str">
        <f>IFERROR(IF(A877="","",IFERROR(VALUE(H877),0)+IFERROR(SUMIF(DB_Savings!$A:$A,A877,DB_Savings!$F:$F),0)-IFERROR(SUMIF(DB_Withdrawals!$A:$A,A877,DB_Withdrawals!$G:$G),0)),"")</f>
        <v/>
      </c>
      <c r="N877" t="str">
        <f>IFERROR(IF(A877="","",MAX(0,M877-System_Config!$B$9)),"")</f>
        <v/>
      </c>
    </row>
    <row r="878" spans="1:14" ht="15" customHeight="1" x14ac:dyDescent="0.25">
      <c r="A878" t="str">
        <f>'NEW ACCOUNT'!A879</f>
        <v/>
      </c>
      <c r="B878" t="str">
        <f>IF('NEW ACCOUNT'!A879="","",'NEW ACCOUNT'!B879)</f>
        <v/>
      </c>
      <c r="C878" t="str">
        <f>IF('NEW ACCOUNT'!A879="","",'NEW ACCOUNT'!C879)</f>
        <v/>
      </c>
      <c r="D878" t="str">
        <f>IF('NEW ACCOUNT'!A879="","",'NEW ACCOUNT'!D879)</f>
        <v/>
      </c>
      <c r="E878" t="str">
        <f>IF('NEW ACCOUNT'!A879="","",'NEW ACCOUNT'!E879)</f>
        <v/>
      </c>
      <c r="F878" t="str">
        <f>IF('NEW ACCOUNT'!A879="","",'NEW ACCOUNT'!F879)</f>
        <v/>
      </c>
      <c r="G878" t="str">
        <f>IF('NEW ACCOUNT'!A879="","",'NEW ACCOUNT'!G879)</f>
        <v/>
      </c>
      <c r="H878" t="str">
        <f>IF('NEW ACCOUNT'!A879="","",'NEW ACCOUNT'!H879)</f>
        <v/>
      </c>
      <c r="I878" t="str">
        <f>IF('NEW ACCOUNT'!A879="","",'NEW ACCOUNT'!I879)</f>
        <v/>
      </c>
      <c r="J878" t="str">
        <f>IF('NEW ACCOUNT'!A879="","",'NEW ACCOUNT'!J879)</f>
        <v/>
      </c>
      <c r="K878" t="str">
        <f>IFERROR(IF(A878="","",SUMIF(DB_Savings!$A:$A,A878,DB_Savings!$F:$F)),"")</f>
        <v/>
      </c>
      <c r="L878" t="str">
        <f>IFERROR(IF(A878="","",SUMIF(DB_Withdrawals!$A:$A,A878,DB_Withdrawals!$G:$G)),"")</f>
        <v/>
      </c>
      <c r="M878" t="str">
        <f>IFERROR(IF(A878="","",IFERROR(VALUE(H878),0)+IFERROR(SUMIF(DB_Savings!$A:$A,A878,DB_Savings!$F:$F),0)-IFERROR(SUMIF(DB_Withdrawals!$A:$A,A878,DB_Withdrawals!$G:$G),0)),"")</f>
        <v/>
      </c>
      <c r="N878" t="str">
        <f>IFERROR(IF(A878="","",MAX(0,M878-System_Config!$B$9)),"")</f>
        <v/>
      </c>
    </row>
    <row r="879" spans="1:14" ht="15" customHeight="1" x14ac:dyDescent="0.25">
      <c r="A879" t="str">
        <f>'NEW ACCOUNT'!A880</f>
        <v/>
      </c>
      <c r="B879" t="str">
        <f>IF('NEW ACCOUNT'!A880="","",'NEW ACCOUNT'!B880)</f>
        <v/>
      </c>
      <c r="C879" t="str">
        <f>IF('NEW ACCOUNT'!A880="","",'NEW ACCOUNT'!C880)</f>
        <v/>
      </c>
      <c r="D879" t="str">
        <f>IF('NEW ACCOUNT'!A880="","",'NEW ACCOUNT'!D880)</f>
        <v/>
      </c>
      <c r="E879" t="str">
        <f>IF('NEW ACCOUNT'!A880="","",'NEW ACCOUNT'!E880)</f>
        <v/>
      </c>
      <c r="F879" t="str">
        <f>IF('NEW ACCOUNT'!A880="","",'NEW ACCOUNT'!F880)</f>
        <v/>
      </c>
      <c r="G879" t="str">
        <f>IF('NEW ACCOUNT'!A880="","",'NEW ACCOUNT'!G880)</f>
        <v/>
      </c>
      <c r="H879" t="str">
        <f>IF('NEW ACCOUNT'!A880="","",'NEW ACCOUNT'!H880)</f>
        <v/>
      </c>
      <c r="I879" t="str">
        <f>IF('NEW ACCOUNT'!A880="","",'NEW ACCOUNT'!I880)</f>
        <v/>
      </c>
      <c r="J879" t="str">
        <f>IF('NEW ACCOUNT'!A880="","",'NEW ACCOUNT'!J880)</f>
        <v/>
      </c>
      <c r="K879" t="str">
        <f>IFERROR(IF(A879="","",SUMIF(DB_Savings!$A:$A,A879,DB_Savings!$F:$F)),"")</f>
        <v/>
      </c>
      <c r="L879" t="str">
        <f>IFERROR(IF(A879="","",SUMIF(DB_Withdrawals!$A:$A,A879,DB_Withdrawals!$G:$G)),"")</f>
        <v/>
      </c>
      <c r="M879" t="str">
        <f>IFERROR(IF(A879="","",IFERROR(VALUE(H879),0)+IFERROR(SUMIF(DB_Savings!$A:$A,A879,DB_Savings!$F:$F),0)-IFERROR(SUMIF(DB_Withdrawals!$A:$A,A879,DB_Withdrawals!$G:$G),0)),"")</f>
        <v/>
      </c>
      <c r="N879" t="str">
        <f>IFERROR(IF(A879="","",MAX(0,M879-System_Config!$B$9)),"")</f>
        <v/>
      </c>
    </row>
    <row r="880" spans="1:14" ht="15" customHeight="1" x14ac:dyDescent="0.25">
      <c r="A880" t="str">
        <f>'NEW ACCOUNT'!A881</f>
        <v/>
      </c>
      <c r="B880" t="str">
        <f>IF('NEW ACCOUNT'!A881="","",'NEW ACCOUNT'!B881)</f>
        <v/>
      </c>
      <c r="C880" t="str">
        <f>IF('NEW ACCOUNT'!A881="","",'NEW ACCOUNT'!C881)</f>
        <v/>
      </c>
      <c r="D880" t="str">
        <f>IF('NEW ACCOUNT'!A881="","",'NEW ACCOUNT'!D881)</f>
        <v/>
      </c>
      <c r="E880" t="str">
        <f>IF('NEW ACCOUNT'!A881="","",'NEW ACCOUNT'!E881)</f>
        <v/>
      </c>
      <c r="F880" t="str">
        <f>IF('NEW ACCOUNT'!A881="","",'NEW ACCOUNT'!F881)</f>
        <v/>
      </c>
      <c r="G880" t="str">
        <f>IF('NEW ACCOUNT'!A881="","",'NEW ACCOUNT'!G881)</f>
        <v/>
      </c>
      <c r="H880" t="str">
        <f>IF('NEW ACCOUNT'!A881="","",'NEW ACCOUNT'!H881)</f>
        <v/>
      </c>
      <c r="I880" t="str">
        <f>IF('NEW ACCOUNT'!A881="","",'NEW ACCOUNT'!I881)</f>
        <v/>
      </c>
      <c r="J880" t="str">
        <f>IF('NEW ACCOUNT'!A881="","",'NEW ACCOUNT'!J881)</f>
        <v/>
      </c>
      <c r="K880" t="str">
        <f>IFERROR(IF(A880="","",SUMIF(DB_Savings!$A:$A,A880,DB_Savings!$F:$F)),"")</f>
        <v/>
      </c>
      <c r="L880" t="str">
        <f>IFERROR(IF(A880="","",SUMIF(DB_Withdrawals!$A:$A,A880,DB_Withdrawals!$G:$G)),"")</f>
        <v/>
      </c>
      <c r="M880" t="str">
        <f>IFERROR(IF(A880="","",IFERROR(VALUE(H880),0)+IFERROR(SUMIF(DB_Savings!$A:$A,A880,DB_Savings!$F:$F),0)-IFERROR(SUMIF(DB_Withdrawals!$A:$A,A880,DB_Withdrawals!$G:$G),0)),"")</f>
        <v/>
      </c>
      <c r="N880" t="str">
        <f>IFERROR(IF(A880="","",MAX(0,M880-System_Config!$B$9)),"")</f>
        <v/>
      </c>
    </row>
    <row r="881" spans="1:14" ht="15" customHeight="1" x14ac:dyDescent="0.25">
      <c r="A881" t="str">
        <f>'NEW ACCOUNT'!A882</f>
        <v/>
      </c>
      <c r="B881" t="str">
        <f>IF('NEW ACCOUNT'!A882="","",'NEW ACCOUNT'!B882)</f>
        <v/>
      </c>
      <c r="C881" t="str">
        <f>IF('NEW ACCOUNT'!A882="","",'NEW ACCOUNT'!C882)</f>
        <v/>
      </c>
      <c r="D881" t="str">
        <f>IF('NEW ACCOUNT'!A882="","",'NEW ACCOUNT'!D882)</f>
        <v/>
      </c>
      <c r="E881" t="str">
        <f>IF('NEW ACCOUNT'!A882="","",'NEW ACCOUNT'!E882)</f>
        <v/>
      </c>
      <c r="F881" t="str">
        <f>IF('NEW ACCOUNT'!A882="","",'NEW ACCOUNT'!F882)</f>
        <v/>
      </c>
      <c r="G881" t="str">
        <f>IF('NEW ACCOUNT'!A882="","",'NEW ACCOUNT'!G882)</f>
        <v/>
      </c>
      <c r="H881" t="str">
        <f>IF('NEW ACCOUNT'!A882="","",'NEW ACCOUNT'!H882)</f>
        <v/>
      </c>
      <c r="I881" t="str">
        <f>IF('NEW ACCOUNT'!A882="","",'NEW ACCOUNT'!I882)</f>
        <v/>
      </c>
      <c r="J881" t="str">
        <f>IF('NEW ACCOUNT'!A882="","",'NEW ACCOUNT'!J882)</f>
        <v/>
      </c>
      <c r="K881" t="str">
        <f>IFERROR(IF(A881="","",SUMIF(DB_Savings!$A:$A,A881,DB_Savings!$F:$F)),"")</f>
        <v/>
      </c>
      <c r="L881" t="str">
        <f>IFERROR(IF(A881="","",SUMIF(DB_Withdrawals!$A:$A,A881,DB_Withdrawals!$G:$G)),"")</f>
        <v/>
      </c>
      <c r="M881" t="str">
        <f>IFERROR(IF(A881="","",IFERROR(VALUE(H881),0)+IFERROR(SUMIF(DB_Savings!$A:$A,A881,DB_Savings!$F:$F),0)-IFERROR(SUMIF(DB_Withdrawals!$A:$A,A881,DB_Withdrawals!$G:$G),0)),"")</f>
        <v/>
      </c>
      <c r="N881" t="str">
        <f>IFERROR(IF(A881="","",MAX(0,M881-System_Config!$B$9)),"")</f>
        <v/>
      </c>
    </row>
    <row r="882" spans="1:14" ht="15" customHeight="1" x14ac:dyDescent="0.25">
      <c r="A882" t="str">
        <f>'NEW ACCOUNT'!A883</f>
        <v/>
      </c>
      <c r="B882" t="str">
        <f>IF('NEW ACCOUNT'!A883="","",'NEW ACCOUNT'!B883)</f>
        <v/>
      </c>
      <c r="C882" t="str">
        <f>IF('NEW ACCOUNT'!A883="","",'NEW ACCOUNT'!C883)</f>
        <v/>
      </c>
      <c r="D882" t="str">
        <f>IF('NEW ACCOUNT'!A883="","",'NEW ACCOUNT'!D883)</f>
        <v/>
      </c>
      <c r="E882" t="str">
        <f>IF('NEW ACCOUNT'!A883="","",'NEW ACCOUNT'!E883)</f>
        <v/>
      </c>
      <c r="F882" t="str">
        <f>IF('NEW ACCOUNT'!A883="","",'NEW ACCOUNT'!F883)</f>
        <v/>
      </c>
      <c r="G882" t="str">
        <f>IF('NEW ACCOUNT'!A883="","",'NEW ACCOUNT'!G883)</f>
        <v/>
      </c>
      <c r="H882" t="str">
        <f>IF('NEW ACCOUNT'!A883="","",'NEW ACCOUNT'!H883)</f>
        <v/>
      </c>
      <c r="I882" t="str">
        <f>IF('NEW ACCOUNT'!A883="","",'NEW ACCOUNT'!I883)</f>
        <v/>
      </c>
      <c r="J882" t="str">
        <f>IF('NEW ACCOUNT'!A883="","",'NEW ACCOUNT'!J883)</f>
        <v/>
      </c>
      <c r="K882" t="str">
        <f>IFERROR(IF(A882="","",SUMIF(DB_Savings!$A:$A,A882,DB_Savings!$F:$F)),"")</f>
        <v/>
      </c>
      <c r="L882" t="str">
        <f>IFERROR(IF(A882="","",SUMIF(DB_Withdrawals!$A:$A,A882,DB_Withdrawals!$G:$G)),"")</f>
        <v/>
      </c>
      <c r="M882" t="str">
        <f>IFERROR(IF(A882="","",IFERROR(VALUE(H882),0)+IFERROR(SUMIF(DB_Savings!$A:$A,A882,DB_Savings!$F:$F),0)-IFERROR(SUMIF(DB_Withdrawals!$A:$A,A882,DB_Withdrawals!$G:$G),0)),"")</f>
        <v/>
      </c>
      <c r="N882" t="str">
        <f>IFERROR(IF(A882="","",MAX(0,M882-System_Config!$B$9)),"")</f>
        <v/>
      </c>
    </row>
    <row r="883" spans="1:14" ht="15" customHeight="1" x14ac:dyDescent="0.25">
      <c r="A883" t="str">
        <f>'NEW ACCOUNT'!A884</f>
        <v/>
      </c>
      <c r="B883" t="str">
        <f>IF('NEW ACCOUNT'!A884="","",'NEW ACCOUNT'!B884)</f>
        <v/>
      </c>
      <c r="C883" t="str">
        <f>IF('NEW ACCOUNT'!A884="","",'NEW ACCOUNT'!C884)</f>
        <v/>
      </c>
      <c r="D883" t="str">
        <f>IF('NEW ACCOUNT'!A884="","",'NEW ACCOUNT'!D884)</f>
        <v/>
      </c>
      <c r="E883" t="str">
        <f>IF('NEW ACCOUNT'!A884="","",'NEW ACCOUNT'!E884)</f>
        <v/>
      </c>
      <c r="F883" t="str">
        <f>IF('NEW ACCOUNT'!A884="","",'NEW ACCOUNT'!F884)</f>
        <v/>
      </c>
      <c r="G883" t="str">
        <f>IF('NEW ACCOUNT'!A884="","",'NEW ACCOUNT'!G884)</f>
        <v/>
      </c>
      <c r="H883" t="str">
        <f>IF('NEW ACCOUNT'!A884="","",'NEW ACCOUNT'!H884)</f>
        <v/>
      </c>
      <c r="I883" t="str">
        <f>IF('NEW ACCOUNT'!A884="","",'NEW ACCOUNT'!I884)</f>
        <v/>
      </c>
      <c r="J883" t="str">
        <f>IF('NEW ACCOUNT'!A884="","",'NEW ACCOUNT'!J884)</f>
        <v/>
      </c>
      <c r="K883" t="str">
        <f>IFERROR(IF(A883="","",SUMIF(DB_Savings!$A:$A,A883,DB_Savings!$F:$F)),"")</f>
        <v/>
      </c>
      <c r="L883" t="str">
        <f>IFERROR(IF(A883="","",SUMIF(DB_Withdrawals!$A:$A,A883,DB_Withdrawals!$G:$G)),"")</f>
        <v/>
      </c>
      <c r="M883" t="str">
        <f>IFERROR(IF(A883="","",IFERROR(VALUE(H883),0)+IFERROR(SUMIF(DB_Savings!$A:$A,A883,DB_Savings!$F:$F),0)-IFERROR(SUMIF(DB_Withdrawals!$A:$A,A883,DB_Withdrawals!$G:$G),0)),"")</f>
        <v/>
      </c>
      <c r="N883" t="str">
        <f>IFERROR(IF(A883="","",MAX(0,M883-System_Config!$B$9)),"")</f>
        <v/>
      </c>
    </row>
    <row r="884" spans="1:14" ht="15" customHeight="1" x14ac:dyDescent="0.25">
      <c r="A884" t="str">
        <f>'NEW ACCOUNT'!A885</f>
        <v/>
      </c>
      <c r="B884" t="str">
        <f>IF('NEW ACCOUNT'!A885="","",'NEW ACCOUNT'!B885)</f>
        <v/>
      </c>
      <c r="C884" t="str">
        <f>IF('NEW ACCOUNT'!A885="","",'NEW ACCOUNT'!C885)</f>
        <v/>
      </c>
      <c r="D884" t="str">
        <f>IF('NEW ACCOUNT'!A885="","",'NEW ACCOUNT'!D885)</f>
        <v/>
      </c>
      <c r="E884" t="str">
        <f>IF('NEW ACCOUNT'!A885="","",'NEW ACCOUNT'!E885)</f>
        <v/>
      </c>
      <c r="F884" t="str">
        <f>IF('NEW ACCOUNT'!A885="","",'NEW ACCOUNT'!F885)</f>
        <v/>
      </c>
      <c r="G884" t="str">
        <f>IF('NEW ACCOUNT'!A885="","",'NEW ACCOUNT'!G885)</f>
        <v/>
      </c>
      <c r="H884" t="str">
        <f>IF('NEW ACCOUNT'!A885="","",'NEW ACCOUNT'!H885)</f>
        <v/>
      </c>
      <c r="I884" t="str">
        <f>IF('NEW ACCOUNT'!A885="","",'NEW ACCOUNT'!I885)</f>
        <v/>
      </c>
      <c r="J884" t="str">
        <f>IF('NEW ACCOUNT'!A885="","",'NEW ACCOUNT'!J885)</f>
        <v/>
      </c>
      <c r="K884" t="str">
        <f>IFERROR(IF(A884="","",SUMIF(DB_Savings!$A:$A,A884,DB_Savings!$F:$F)),"")</f>
        <v/>
      </c>
      <c r="L884" t="str">
        <f>IFERROR(IF(A884="","",SUMIF(DB_Withdrawals!$A:$A,A884,DB_Withdrawals!$G:$G)),"")</f>
        <v/>
      </c>
      <c r="M884" t="str">
        <f>IFERROR(IF(A884="","",IFERROR(VALUE(H884),0)+IFERROR(SUMIF(DB_Savings!$A:$A,A884,DB_Savings!$F:$F),0)-IFERROR(SUMIF(DB_Withdrawals!$A:$A,A884,DB_Withdrawals!$G:$G),0)),"")</f>
        <v/>
      </c>
      <c r="N884" t="str">
        <f>IFERROR(IF(A884="","",MAX(0,M884-System_Config!$B$9)),"")</f>
        <v/>
      </c>
    </row>
    <row r="885" spans="1:14" ht="15" customHeight="1" x14ac:dyDescent="0.25">
      <c r="A885" t="str">
        <f>'NEW ACCOUNT'!A886</f>
        <v/>
      </c>
      <c r="B885" t="str">
        <f>IF('NEW ACCOUNT'!A886="","",'NEW ACCOUNT'!B886)</f>
        <v/>
      </c>
      <c r="C885" t="str">
        <f>IF('NEW ACCOUNT'!A886="","",'NEW ACCOUNT'!C886)</f>
        <v/>
      </c>
      <c r="D885" t="str">
        <f>IF('NEW ACCOUNT'!A886="","",'NEW ACCOUNT'!D886)</f>
        <v/>
      </c>
      <c r="E885" t="str">
        <f>IF('NEW ACCOUNT'!A886="","",'NEW ACCOUNT'!E886)</f>
        <v/>
      </c>
      <c r="F885" t="str">
        <f>IF('NEW ACCOUNT'!A886="","",'NEW ACCOUNT'!F886)</f>
        <v/>
      </c>
      <c r="G885" t="str">
        <f>IF('NEW ACCOUNT'!A886="","",'NEW ACCOUNT'!G886)</f>
        <v/>
      </c>
      <c r="H885" t="str">
        <f>IF('NEW ACCOUNT'!A886="","",'NEW ACCOUNT'!H886)</f>
        <v/>
      </c>
      <c r="I885" t="str">
        <f>IF('NEW ACCOUNT'!A886="","",'NEW ACCOUNT'!I886)</f>
        <v/>
      </c>
      <c r="J885" t="str">
        <f>IF('NEW ACCOUNT'!A886="","",'NEW ACCOUNT'!J886)</f>
        <v/>
      </c>
      <c r="K885" t="str">
        <f>IFERROR(IF(A885="","",SUMIF(DB_Savings!$A:$A,A885,DB_Savings!$F:$F)),"")</f>
        <v/>
      </c>
      <c r="L885" t="str">
        <f>IFERROR(IF(A885="","",SUMIF(DB_Withdrawals!$A:$A,A885,DB_Withdrawals!$G:$G)),"")</f>
        <v/>
      </c>
      <c r="M885" t="str">
        <f>IFERROR(IF(A885="","",IFERROR(VALUE(H885),0)+IFERROR(SUMIF(DB_Savings!$A:$A,A885,DB_Savings!$F:$F),0)-IFERROR(SUMIF(DB_Withdrawals!$A:$A,A885,DB_Withdrawals!$G:$G),0)),"")</f>
        <v/>
      </c>
      <c r="N885" t="str">
        <f>IFERROR(IF(A885="","",MAX(0,M885-System_Config!$B$9)),"")</f>
        <v/>
      </c>
    </row>
    <row r="886" spans="1:14" ht="15" customHeight="1" x14ac:dyDescent="0.25">
      <c r="A886" t="str">
        <f>'NEW ACCOUNT'!A887</f>
        <v/>
      </c>
      <c r="B886" t="str">
        <f>IF('NEW ACCOUNT'!A887="","",'NEW ACCOUNT'!B887)</f>
        <v/>
      </c>
      <c r="C886" t="str">
        <f>IF('NEW ACCOUNT'!A887="","",'NEW ACCOUNT'!C887)</f>
        <v/>
      </c>
      <c r="D886" t="str">
        <f>IF('NEW ACCOUNT'!A887="","",'NEW ACCOUNT'!D887)</f>
        <v/>
      </c>
      <c r="E886" t="str">
        <f>IF('NEW ACCOUNT'!A887="","",'NEW ACCOUNT'!E887)</f>
        <v/>
      </c>
      <c r="F886" t="str">
        <f>IF('NEW ACCOUNT'!A887="","",'NEW ACCOUNT'!F887)</f>
        <v/>
      </c>
      <c r="G886" t="str">
        <f>IF('NEW ACCOUNT'!A887="","",'NEW ACCOUNT'!G887)</f>
        <v/>
      </c>
      <c r="H886" t="str">
        <f>IF('NEW ACCOUNT'!A887="","",'NEW ACCOUNT'!H887)</f>
        <v/>
      </c>
      <c r="I886" t="str">
        <f>IF('NEW ACCOUNT'!A887="","",'NEW ACCOUNT'!I887)</f>
        <v/>
      </c>
      <c r="J886" t="str">
        <f>IF('NEW ACCOUNT'!A887="","",'NEW ACCOUNT'!J887)</f>
        <v/>
      </c>
      <c r="K886" t="str">
        <f>IFERROR(IF(A886="","",SUMIF(DB_Savings!$A:$A,A886,DB_Savings!$F:$F)),"")</f>
        <v/>
      </c>
      <c r="L886" t="str">
        <f>IFERROR(IF(A886="","",SUMIF(DB_Withdrawals!$A:$A,A886,DB_Withdrawals!$G:$G)),"")</f>
        <v/>
      </c>
      <c r="M886" t="str">
        <f>IFERROR(IF(A886="","",IFERROR(VALUE(H886),0)+IFERROR(SUMIF(DB_Savings!$A:$A,A886,DB_Savings!$F:$F),0)-IFERROR(SUMIF(DB_Withdrawals!$A:$A,A886,DB_Withdrawals!$G:$G),0)),"")</f>
        <v/>
      </c>
      <c r="N886" t="str">
        <f>IFERROR(IF(A886="","",MAX(0,M886-System_Config!$B$9)),"")</f>
        <v/>
      </c>
    </row>
    <row r="887" spans="1:14" ht="15" customHeight="1" x14ac:dyDescent="0.25">
      <c r="A887" t="str">
        <f>'NEW ACCOUNT'!A888</f>
        <v/>
      </c>
      <c r="B887" t="str">
        <f>IF('NEW ACCOUNT'!A888="","",'NEW ACCOUNT'!B888)</f>
        <v/>
      </c>
      <c r="C887" t="str">
        <f>IF('NEW ACCOUNT'!A888="","",'NEW ACCOUNT'!C888)</f>
        <v/>
      </c>
      <c r="D887" t="str">
        <f>IF('NEW ACCOUNT'!A888="","",'NEW ACCOUNT'!D888)</f>
        <v/>
      </c>
      <c r="E887" t="str">
        <f>IF('NEW ACCOUNT'!A888="","",'NEW ACCOUNT'!E888)</f>
        <v/>
      </c>
      <c r="F887" t="str">
        <f>IF('NEW ACCOUNT'!A888="","",'NEW ACCOUNT'!F888)</f>
        <v/>
      </c>
      <c r="G887" t="str">
        <f>IF('NEW ACCOUNT'!A888="","",'NEW ACCOUNT'!G888)</f>
        <v/>
      </c>
      <c r="H887" t="str">
        <f>IF('NEW ACCOUNT'!A888="","",'NEW ACCOUNT'!H888)</f>
        <v/>
      </c>
      <c r="I887" t="str">
        <f>IF('NEW ACCOUNT'!A888="","",'NEW ACCOUNT'!I888)</f>
        <v/>
      </c>
      <c r="J887" t="str">
        <f>IF('NEW ACCOUNT'!A888="","",'NEW ACCOUNT'!J888)</f>
        <v/>
      </c>
      <c r="K887" t="str">
        <f>IFERROR(IF(A887="","",SUMIF(DB_Savings!$A:$A,A887,DB_Savings!$F:$F)),"")</f>
        <v/>
      </c>
      <c r="L887" t="str">
        <f>IFERROR(IF(A887="","",SUMIF(DB_Withdrawals!$A:$A,A887,DB_Withdrawals!$G:$G)),"")</f>
        <v/>
      </c>
      <c r="M887" t="str">
        <f>IFERROR(IF(A887="","",IFERROR(VALUE(H887),0)+IFERROR(SUMIF(DB_Savings!$A:$A,A887,DB_Savings!$F:$F),0)-IFERROR(SUMIF(DB_Withdrawals!$A:$A,A887,DB_Withdrawals!$G:$G),0)),"")</f>
        <v/>
      </c>
      <c r="N887" t="str">
        <f>IFERROR(IF(A887="","",MAX(0,M887-System_Config!$B$9)),"")</f>
        <v/>
      </c>
    </row>
    <row r="888" spans="1:14" ht="15" customHeight="1" x14ac:dyDescent="0.25">
      <c r="A888" t="str">
        <f>'NEW ACCOUNT'!A889</f>
        <v/>
      </c>
      <c r="B888" t="str">
        <f>IF('NEW ACCOUNT'!A889="","",'NEW ACCOUNT'!B889)</f>
        <v/>
      </c>
      <c r="C888" t="str">
        <f>IF('NEW ACCOUNT'!A889="","",'NEW ACCOUNT'!C889)</f>
        <v/>
      </c>
      <c r="D888" t="str">
        <f>IF('NEW ACCOUNT'!A889="","",'NEW ACCOUNT'!D889)</f>
        <v/>
      </c>
      <c r="E888" t="str">
        <f>IF('NEW ACCOUNT'!A889="","",'NEW ACCOUNT'!E889)</f>
        <v/>
      </c>
      <c r="F888" t="str">
        <f>IF('NEW ACCOUNT'!A889="","",'NEW ACCOUNT'!F889)</f>
        <v/>
      </c>
      <c r="G888" t="str">
        <f>IF('NEW ACCOUNT'!A889="","",'NEW ACCOUNT'!G889)</f>
        <v/>
      </c>
      <c r="H888" t="str">
        <f>IF('NEW ACCOUNT'!A889="","",'NEW ACCOUNT'!H889)</f>
        <v/>
      </c>
      <c r="I888" t="str">
        <f>IF('NEW ACCOUNT'!A889="","",'NEW ACCOUNT'!I889)</f>
        <v/>
      </c>
      <c r="J888" t="str">
        <f>IF('NEW ACCOUNT'!A889="","",'NEW ACCOUNT'!J889)</f>
        <v/>
      </c>
      <c r="K888" t="str">
        <f>IFERROR(IF(A888="","",SUMIF(DB_Savings!$A:$A,A888,DB_Savings!$F:$F)),"")</f>
        <v/>
      </c>
      <c r="L888" t="str">
        <f>IFERROR(IF(A888="","",SUMIF(DB_Withdrawals!$A:$A,A888,DB_Withdrawals!$G:$G)),"")</f>
        <v/>
      </c>
      <c r="M888" t="str">
        <f>IFERROR(IF(A888="","",IFERROR(VALUE(H888),0)+IFERROR(SUMIF(DB_Savings!$A:$A,A888,DB_Savings!$F:$F),0)-IFERROR(SUMIF(DB_Withdrawals!$A:$A,A888,DB_Withdrawals!$G:$G),0)),"")</f>
        <v/>
      </c>
      <c r="N888" t="str">
        <f>IFERROR(IF(A888="","",MAX(0,M888-System_Config!$B$9)),"")</f>
        <v/>
      </c>
    </row>
    <row r="889" spans="1:14" ht="15" customHeight="1" x14ac:dyDescent="0.25">
      <c r="A889" t="str">
        <f>'NEW ACCOUNT'!A890</f>
        <v/>
      </c>
      <c r="B889" t="str">
        <f>IF('NEW ACCOUNT'!A890="","",'NEW ACCOUNT'!B890)</f>
        <v/>
      </c>
      <c r="C889" t="str">
        <f>IF('NEW ACCOUNT'!A890="","",'NEW ACCOUNT'!C890)</f>
        <v/>
      </c>
      <c r="D889" t="str">
        <f>IF('NEW ACCOUNT'!A890="","",'NEW ACCOUNT'!D890)</f>
        <v/>
      </c>
      <c r="E889" t="str">
        <f>IF('NEW ACCOUNT'!A890="","",'NEW ACCOUNT'!E890)</f>
        <v/>
      </c>
      <c r="F889" t="str">
        <f>IF('NEW ACCOUNT'!A890="","",'NEW ACCOUNT'!F890)</f>
        <v/>
      </c>
      <c r="G889" t="str">
        <f>IF('NEW ACCOUNT'!A890="","",'NEW ACCOUNT'!G890)</f>
        <v/>
      </c>
      <c r="H889" t="str">
        <f>IF('NEW ACCOUNT'!A890="","",'NEW ACCOUNT'!H890)</f>
        <v/>
      </c>
      <c r="I889" t="str">
        <f>IF('NEW ACCOUNT'!A890="","",'NEW ACCOUNT'!I890)</f>
        <v/>
      </c>
      <c r="J889" t="str">
        <f>IF('NEW ACCOUNT'!A890="","",'NEW ACCOUNT'!J890)</f>
        <v/>
      </c>
      <c r="K889" t="str">
        <f>IFERROR(IF(A889="","",SUMIF(DB_Savings!$A:$A,A889,DB_Savings!$F:$F)),"")</f>
        <v/>
      </c>
      <c r="L889" t="str">
        <f>IFERROR(IF(A889="","",SUMIF(DB_Withdrawals!$A:$A,A889,DB_Withdrawals!$G:$G)),"")</f>
        <v/>
      </c>
      <c r="M889" t="str">
        <f>IFERROR(IF(A889="","",IFERROR(VALUE(H889),0)+IFERROR(SUMIF(DB_Savings!$A:$A,A889,DB_Savings!$F:$F),0)-IFERROR(SUMIF(DB_Withdrawals!$A:$A,A889,DB_Withdrawals!$G:$G),0)),"")</f>
        <v/>
      </c>
      <c r="N889" t="str">
        <f>IFERROR(IF(A889="","",MAX(0,M889-System_Config!$B$9)),"")</f>
        <v/>
      </c>
    </row>
    <row r="890" spans="1:14" ht="15" customHeight="1" x14ac:dyDescent="0.25">
      <c r="A890" t="str">
        <f>'NEW ACCOUNT'!A891</f>
        <v/>
      </c>
      <c r="B890" t="str">
        <f>IF('NEW ACCOUNT'!A891="","",'NEW ACCOUNT'!B891)</f>
        <v/>
      </c>
      <c r="C890" t="str">
        <f>IF('NEW ACCOUNT'!A891="","",'NEW ACCOUNT'!C891)</f>
        <v/>
      </c>
      <c r="D890" t="str">
        <f>IF('NEW ACCOUNT'!A891="","",'NEW ACCOUNT'!D891)</f>
        <v/>
      </c>
      <c r="E890" t="str">
        <f>IF('NEW ACCOUNT'!A891="","",'NEW ACCOUNT'!E891)</f>
        <v/>
      </c>
      <c r="F890" t="str">
        <f>IF('NEW ACCOUNT'!A891="","",'NEW ACCOUNT'!F891)</f>
        <v/>
      </c>
      <c r="G890" t="str">
        <f>IF('NEW ACCOUNT'!A891="","",'NEW ACCOUNT'!G891)</f>
        <v/>
      </c>
      <c r="H890" t="str">
        <f>IF('NEW ACCOUNT'!A891="","",'NEW ACCOUNT'!H891)</f>
        <v/>
      </c>
      <c r="I890" t="str">
        <f>IF('NEW ACCOUNT'!A891="","",'NEW ACCOUNT'!I891)</f>
        <v/>
      </c>
      <c r="J890" t="str">
        <f>IF('NEW ACCOUNT'!A891="","",'NEW ACCOUNT'!J891)</f>
        <v/>
      </c>
      <c r="K890" t="str">
        <f>IFERROR(IF(A890="","",SUMIF(DB_Savings!$A:$A,A890,DB_Savings!$F:$F)),"")</f>
        <v/>
      </c>
      <c r="L890" t="str">
        <f>IFERROR(IF(A890="","",SUMIF(DB_Withdrawals!$A:$A,A890,DB_Withdrawals!$G:$G)),"")</f>
        <v/>
      </c>
      <c r="M890" t="str">
        <f>IFERROR(IF(A890="","",IFERROR(VALUE(H890),0)+IFERROR(SUMIF(DB_Savings!$A:$A,A890,DB_Savings!$F:$F),0)-IFERROR(SUMIF(DB_Withdrawals!$A:$A,A890,DB_Withdrawals!$G:$G),0)),"")</f>
        <v/>
      </c>
      <c r="N890" t="str">
        <f>IFERROR(IF(A890="","",MAX(0,M890-System_Config!$B$9)),"")</f>
        <v/>
      </c>
    </row>
    <row r="891" spans="1:14" ht="15" customHeight="1" x14ac:dyDescent="0.25">
      <c r="A891" t="str">
        <f>'NEW ACCOUNT'!A892</f>
        <v/>
      </c>
      <c r="B891" t="str">
        <f>IF('NEW ACCOUNT'!A892="","",'NEW ACCOUNT'!B892)</f>
        <v/>
      </c>
      <c r="C891" t="str">
        <f>IF('NEW ACCOUNT'!A892="","",'NEW ACCOUNT'!C892)</f>
        <v/>
      </c>
      <c r="D891" t="str">
        <f>IF('NEW ACCOUNT'!A892="","",'NEW ACCOUNT'!D892)</f>
        <v/>
      </c>
      <c r="E891" t="str">
        <f>IF('NEW ACCOUNT'!A892="","",'NEW ACCOUNT'!E892)</f>
        <v/>
      </c>
      <c r="F891" t="str">
        <f>IF('NEW ACCOUNT'!A892="","",'NEW ACCOUNT'!F892)</f>
        <v/>
      </c>
      <c r="G891" t="str">
        <f>IF('NEW ACCOUNT'!A892="","",'NEW ACCOUNT'!G892)</f>
        <v/>
      </c>
      <c r="H891" t="str">
        <f>IF('NEW ACCOUNT'!A892="","",'NEW ACCOUNT'!H892)</f>
        <v/>
      </c>
      <c r="I891" t="str">
        <f>IF('NEW ACCOUNT'!A892="","",'NEW ACCOUNT'!I892)</f>
        <v/>
      </c>
      <c r="J891" t="str">
        <f>IF('NEW ACCOUNT'!A892="","",'NEW ACCOUNT'!J892)</f>
        <v/>
      </c>
      <c r="K891" t="str">
        <f>IFERROR(IF(A891="","",SUMIF(DB_Savings!$A:$A,A891,DB_Savings!$F:$F)),"")</f>
        <v/>
      </c>
      <c r="L891" t="str">
        <f>IFERROR(IF(A891="","",SUMIF(DB_Withdrawals!$A:$A,A891,DB_Withdrawals!$G:$G)),"")</f>
        <v/>
      </c>
      <c r="M891" t="str">
        <f>IFERROR(IF(A891="","",IFERROR(VALUE(H891),0)+IFERROR(SUMIF(DB_Savings!$A:$A,A891,DB_Savings!$F:$F),0)-IFERROR(SUMIF(DB_Withdrawals!$A:$A,A891,DB_Withdrawals!$G:$G),0)),"")</f>
        <v/>
      </c>
      <c r="N891" t="str">
        <f>IFERROR(IF(A891="","",MAX(0,M891-System_Config!$B$9)),"")</f>
        <v/>
      </c>
    </row>
    <row r="892" spans="1:14" ht="15" customHeight="1" x14ac:dyDescent="0.25">
      <c r="A892" t="str">
        <f>'NEW ACCOUNT'!A893</f>
        <v/>
      </c>
      <c r="B892" t="str">
        <f>IF('NEW ACCOUNT'!A893="","",'NEW ACCOUNT'!B893)</f>
        <v/>
      </c>
      <c r="C892" t="str">
        <f>IF('NEW ACCOUNT'!A893="","",'NEW ACCOUNT'!C893)</f>
        <v/>
      </c>
      <c r="D892" t="str">
        <f>IF('NEW ACCOUNT'!A893="","",'NEW ACCOUNT'!D893)</f>
        <v/>
      </c>
      <c r="E892" t="str">
        <f>IF('NEW ACCOUNT'!A893="","",'NEW ACCOUNT'!E893)</f>
        <v/>
      </c>
      <c r="F892" t="str">
        <f>IF('NEW ACCOUNT'!A893="","",'NEW ACCOUNT'!F893)</f>
        <v/>
      </c>
      <c r="G892" t="str">
        <f>IF('NEW ACCOUNT'!A893="","",'NEW ACCOUNT'!G893)</f>
        <v/>
      </c>
      <c r="H892" t="str">
        <f>IF('NEW ACCOUNT'!A893="","",'NEW ACCOUNT'!H893)</f>
        <v/>
      </c>
      <c r="I892" t="str">
        <f>IF('NEW ACCOUNT'!A893="","",'NEW ACCOUNT'!I893)</f>
        <v/>
      </c>
      <c r="J892" t="str">
        <f>IF('NEW ACCOUNT'!A893="","",'NEW ACCOUNT'!J893)</f>
        <v/>
      </c>
      <c r="K892" t="str">
        <f>IFERROR(IF(A892="","",SUMIF(DB_Savings!$A:$A,A892,DB_Savings!$F:$F)),"")</f>
        <v/>
      </c>
      <c r="L892" t="str">
        <f>IFERROR(IF(A892="","",SUMIF(DB_Withdrawals!$A:$A,A892,DB_Withdrawals!$G:$G)),"")</f>
        <v/>
      </c>
      <c r="M892" t="str">
        <f>IFERROR(IF(A892="","",IFERROR(VALUE(H892),0)+IFERROR(SUMIF(DB_Savings!$A:$A,A892,DB_Savings!$F:$F),0)-IFERROR(SUMIF(DB_Withdrawals!$A:$A,A892,DB_Withdrawals!$G:$G),0)),"")</f>
        <v/>
      </c>
      <c r="N892" t="str">
        <f>IFERROR(IF(A892="","",MAX(0,M892-System_Config!$B$9)),"")</f>
        <v/>
      </c>
    </row>
    <row r="893" spans="1:14" ht="15" customHeight="1" x14ac:dyDescent="0.25">
      <c r="A893" t="str">
        <f>'NEW ACCOUNT'!A894</f>
        <v/>
      </c>
      <c r="B893" t="str">
        <f>IF('NEW ACCOUNT'!A894="","",'NEW ACCOUNT'!B894)</f>
        <v/>
      </c>
      <c r="C893" t="str">
        <f>IF('NEW ACCOUNT'!A894="","",'NEW ACCOUNT'!C894)</f>
        <v/>
      </c>
      <c r="D893" t="str">
        <f>IF('NEW ACCOUNT'!A894="","",'NEW ACCOUNT'!D894)</f>
        <v/>
      </c>
      <c r="E893" t="str">
        <f>IF('NEW ACCOUNT'!A894="","",'NEW ACCOUNT'!E894)</f>
        <v/>
      </c>
      <c r="F893" t="str">
        <f>IF('NEW ACCOUNT'!A894="","",'NEW ACCOUNT'!F894)</f>
        <v/>
      </c>
      <c r="G893" t="str">
        <f>IF('NEW ACCOUNT'!A894="","",'NEW ACCOUNT'!G894)</f>
        <v/>
      </c>
      <c r="H893" t="str">
        <f>IF('NEW ACCOUNT'!A894="","",'NEW ACCOUNT'!H894)</f>
        <v/>
      </c>
      <c r="I893" t="str">
        <f>IF('NEW ACCOUNT'!A894="","",'NEW ACCOUNT'!I894)</f>
        <v/>
      </c>
      <c r="J893" t="str">
        <f>IF('NEW ACCOUNT'!A894="","",'NEW ACCOUNT'!J894)</f>
        <v/>
      </c>
      <c r="K893" t="str">
        <f>IFERROR(IF(A893="","",SUMIF(DB_Savings!$A:$A,A893,DB_Savings!$F:$F)),"")</f>
        <v/>
      </c>
      <c r="L893" t="str">
        <f>IFERROR(IF(A893="","",SUMIF(DB_Withdrawals!$A:$A,A893,DB_Withdrawals!$G:$G)),"")</f>
        <v/>
      </c>
      <c r="M893" t="str">
        <f>IFERROR(IF(A893="","",IFERROR(VALUE(H893),0)+IFERROR(SUMIF(DB_Savings!$A:$A,A893,DB_Savings!$F:$F),0)-IFERROR(SUMIF(DB_Withdrawals!$A:$A,A893,DB_Withdrawals!$G:$G),0)),"")</f>
        <v/>
      </c>
      <c r="N893" t="str">
        <f>IFERROR(IF(A893="","",MAX(0,M893-System_Config!$B$9)),"")</f>
        <v/>
      </c>
    </row>
    <row r="894" spans="1:14" ht="15" customHeight="1" x14ac:dyDescent="0.25">
      <c r="A894" t="str">
        <f>'NEW ACCOUNT'!A895</f>
        <v/>
      </c>
      <c r="B894" t="str">
        <f>IF('NEW ACCOUNT'!A895="","",'NEW ACCOUNT'!B895)</f>
        <v/>
      </c>
      <c r="C894" t="str">
        <f>IF('NEW ACCOUNT'!A895="","",'NEW ACCOUNT'!C895)</f>
        <v/>
      </c>
      <c r="D894" t="str">
        <f>IF('NEW ACCOUNT'!A895="","",'NEW ACCOUNT'!D895)</f>
        <v/>
      </c>
      <c r="E894" t="str">
        <f>IF('NEW ACCOUNT'!A895="","",'NEW ACCOUNT'!E895)</f>
        <v/>
      </c>
      <c r="F894" t="str">
        <f>IF('NEW ACCOUNT'!A895="","",'NEW ACCOUNT'!F895)</f>
        <v/>
      </c>
      <c r="G894" t="str">
        <f>IF('NEW ACCOUNT'!A895="","",'NEW ACCOUNT'!G895)</f>
        <v/>
      </c>
      <c r="H894" t="str">
        <f>IF('NEW ACCOUNT'!A895="","",'NEW ACCOUNT'!H895)</f>
        <v/>
      </c>
      <c r="I894" t="str">
        <f>IF('NEW ACCOUNT'!A895="","",'NEW ACCOUNT'!I895)</f>
        <v/>
      </c>
      <c r="J894" t="str">
        <f>IF('NEW ACCOUNT'!A895="","",'NEW ACCOUNT'!J895)</f>
        <v/>
      </c>
      <c r="K894" t="str">
        <f>IFERROR(IF(A894="","",SUMIF(DB_Savings!$A:$A,A894,DB_Savings!$F:$F)),"")</f>
        <v/>
      </c>
      <c r="L894" t="str">
        <f>IFERROR(IF(A894="","",SUMIF(DB_Withdrawals!$A:$A,A894,DB_Withdrawals!$G:$G)),"")</f>
        <v/>
      </c>
      <c r="M894" t="str">
        <f>IFERROR(IF(A894="","",IFERROR(VALUE(H894),0)+IFERROR(SUMIF(DB_Savings!$A:$A,A894,DB_Savings!$F:$F),0)-IFERROR(SUMIF(DB_Withdrawals!$A:$A,A894,DB_Withdrawals!$G:$G),0)),"")</f>
        <v/>
      </c>
      <c r="N894" t="str">
        <f>IFERROR(IF(A894="","",MAX(0,M894-System_Config!$B$9)),"")</f>
        <v/>
      </c>
    </row>
    <row r="895" spans="1:14" ht="15" customHeight="1" x14ac:dyDescent="0.25">
      <c r="A895" t="str">
        <f>'NEW ACCOUNT'!A896</f>
        <v/>
      </c>
      <c r="B895" t="str">
        <f>IF('NEW ACCOUNT'!A896="","",'NEW ACCOUNT'!B896)</f>
        <v/>
      </c>
      <c r="C895" t="str">
        <f>IF('NEW ACCOUNT'!A896="","",'NEW ACCOUNT'!C896)</f>
        <v/>
      </c>
      <c r="D895" t="str">
        <f>IF('NEW ACCOUNT'!A896="","",'NEW ACCOUNT'!D896)</f>
        <v/>
      </c>
      <c r="E895" t="str">
        <f>IF('NEW ACCOUNT'!A896="","",'NEW ACCOUNT'!E896)</f>
        <v/>
      </c>
      <c r="F895" t="str">
        <f>IF('NEW ACCOUNT'!A896="","",'NEW ACCOUNT'!F896)</f>
        <v/>
      </c>
      <c r="G895" t="str">
        <f>IF('NEW ACCOUNT'!A896="","",'NEW ACCOUNT'!G896)</f>
        <v/>
      </c>
      <c r="H895" t="str">
        <f>IF('NEW ACCOUNT'!A896="","",'NEW ACCOUNT'!H896)</f>
        <v/>
      </c>
      <c r="I895" t="str">
        <f>IF('NEW ACCOUNT'!A896="","",'NEW ACCOUNT'!I896)</f>
        <v/>
      </c>
      <c r="J895" t="str">
        <f>IF('NEW ACCOUNT'!A896="","",'NEW ACCOUNT'!J896)</f>
        <v/>
      </c>
      <c r="K895" t="str">
        <f>IFERROR(IF(A895="","",SUMIF(DB_Savings!$A:$A,A895,DB_Savings!$F:$F)),"")</f>
        <v/>
      </c>
      <c r="L895" t="str">
        <f>IFERROR(IF(A895="","",SUMIF(DB_Withdrawals!$A:$A,A895,DB_Withdrawals!$G:$G)),"")</f>
        <v/>
      </c>
      <c r="M895" t="str">
        <f>IFERROR(IF(A895="","",IFERROR(VALUE(H895),0)+IFERROR(SUMIF(DB_Savings!$A:$A,A895,DB_Savings!$F:$F),0)-IFERROR(SUMIF(DB_Withdrawals!$A:$A,A895,DB_Withdrawals!$G:$G),0)),"")</f>
        <v/>
      </c>
      <c r="N895" t="str">
        <f>IFERROR(IF(A895="","",MAX(0,M895-System_Config!$B$9)),"")</f>
        <v/>
      </c>
    </row>
    <row r="896" spans="1:14" ht="15" customHeight="1" x14ac:dyDescent="0.25">
      <c r="A896" t="str">
        <f>'NEW ACCOUNT'!A897</f>
        <v/>
      </c>
      <c r="B896" t="str">
        <f>IF('NEW ACCOUNT'!A897="","",'NEW ACCOUNT'!B897)</f>
        <v/>
      </c>
      <c r="C896" t="str">
        <f>IF('NEW ACCOUNT'!A897="","",'NEW ACCOUNT'!C897)</f>
        <v/>
      </c>
      <c r="D896" t="str">
        <f>IF('NEW ACCOUNT'!A897="","",'NEW ACCOUNT'!D897)</f>
        <v/>
      </c>
      <c r="E896" t="str">
        <f>IF('NEW ACCOUNT'!A897="","",'NEW ACCOUNT'!E897)</f>
        <v/>
      </c>
      <c r="F896" t="str">
        <f>IF('NEW ACCOUNT'!A897="","",'NEW ACCOUNT'!F897)</f>
        <v/>
      </c>
      <c r="G896" t="str">
        <f>IF('NEW ACCOUNT'!A897="","",'NEW ACCOUNT'!G897)</f>
        <v/>
      </c>
      <c r="H896" t="str">
        <f>IF('NEW ACCOUNT'!A897="","",'NEW ACCOUNT'!H897)</f>
        <v/>
      </c>
      <c r="I896" t="str">
        <f>IF('NEW ACCOUNT'!A897="","",'NEW ACCOUNT'!I897)</f>
        <v/>
      </c>
      <c r="J896" t="str">
        <f>IF('NEW ACCOUNT'!A897="","",'NEW ACCOUNT'!J897)</f>
        <v/>
      </c>
      <c r="K896" t="str">
        <f>IFERROR(IF(A896="","",SUMIF(DB_Savings!$A:$A,A896,DB_Savings!$F:$F)),"")</f>
        <v/>
      </c>
      <c r="L896" t="str">
        <f>IFERROR(IF(A896="","",SUMIF(DB_Withdrawals!$A:$A,A896,DB_Withdrawals!$G:$G)),"")</f>
        <v/>
      </c>
      <c r="M896" t="str">
        <f>IFERROR(IF(A896="","",IFERROR(VALUE(H896),0)+IFERROR(SUMIF(DB_Savings!$A:$A,A896,DB_Savings!$F:$F),0)-IFERROR(SUMIF(DB_Withdrawals!$A:$A,A896,DB_Withdrawals!$G:$G),0)),"")</f>
        <v/>
      </c>
      <c r="N896" t="str">
        <f>IFERROR(IF(A896="","",MAX(0,M896-System_Config!$B$9)),"")</f>
        <v/>
      </c>
    </row>
    <row r="897" spans="1:14" ht="15" customHeight="1" x14ac:dyDescent="0.25">
      <c r="A897" t="str">
        <f>'NEW ACCOUNT'!A898</f>
        <v/>
      </c>
      <c r="B897" t="str">
        <f>IF('NEW ACCOUNT'!A898="","",'NEW ACCOUNT'!B898)</f>
        <v/>
      </c>
      <c r="C897" t="str">
        <f>IF('NEW ACCOUNT'!A898="","",'NEW ACCOUNT'!C898)</f>
        <v/>
      </c>
      <c r="D897" t="str">
        <f>IF('NEW ACCOUNT'!A898="","",'NEW ACCOUNT'!D898)</f>
        <v/>
      </c>
      <c r="E897" t="str">
        <f>IF('NEW ACCOUNT'!A898="","",'NEW ACCOUNT'!E898)</f>
        <v/>
      </c>
      <c r="F897" t="str">
        <f>IF('NEW ACCOUNT'!A898="","",'NEW ACCOUNT'!F898)</f>
        <v/>
      </c>
      <c r="G897" t="str">
        <f>IF('NEW ACCOUNT'!A898="","",'NEW ACCOUNT'!G898)</f>
        <v/>
      </c>
      <c r="H897" t="str">
        <f>IF('NEW ACCOUNT'!A898="","",'NEW ACCOUNT'!H898)</f>
        <v/>
      </c>
      <c r="I897" t="str">
        <f>IF('NEW ACCOUNT'!A898="","",'NEW ACCOUNT'!I898)</f>
        <v/>
      </c>
      <c r="J897" t="str">
        <f>IF('NEW ACCOUNT'!A898="","",'NEW ACCOUNT'!J898)</f>
        <v/>
      </c>
      <c r="K897" t="str">
        <f>IFERROR(IF(A897="","",SUMIF(DB_Savings!$A:$A,A897,DB_Savings!$F:$F)),"")</f>
        <v/>
      </c>
      <c r="L897" t="str">
        <f>IFERROR(IF(A897="","",SUMIF(DB_Withdrawals!$A:$A,A897,DB_Withdrawals!$G:$G)),"")</f>
        <v/>
      </c>
      <c r="M897" t="str">
        <f>IFERROR(IF(A897="","",IFERROR(VALUE(H897),0)+IFERROR(SUMIF(DB_Savings!$A:$A,A897,DB_Savings!$F:$F),0)-IFERROR(SUMIF(DB_Withdrawals!$A:$A,A897,DB_Withdrawals!$G:$G),0)),"")</f>
        <v/>
      </c>
      <c r="N897" t="str">
        <f>IFERROR(IF(A897="","",MAX(0,M897-System_Config!$B$9)),"")</f>
        <v/>
      </c>
    </row>
    <row r="898" spans="1:14" ht="15" customHeight="1" x14ac:dyDescent="0.25">
      <c r="A898" t="str">
        <f>'NEW ACCOUNT'!A899</f>
        <v/>
      </c>
      <c r="B898" t="str">
        <f>IF('NEW ACCOUNT'!A899="","",'NEW ACCOUNT'!B899)</f>
        <v/>
      </c>
      <c r="C898" t="str">
        <f>IF('NEW ACCOUNT'!A899="","",'NEW ACCOUNT'!C899)</f>
        <v/>
      </c>
      <c r="D898" t="str">
        <f>IF('NEW ACCOUNT'!A899="","",'NEW ACCOUNT'!D899)</f>
        <v/>
      </c>
      <c r="E898" t="str">
        <f>IF('NEW ACCOUNT'!A899="","",'NEW ACCOUNT'!E899)</f>
        <v/>
      </c>
      <c r="F898" t="str">
        <f>IF('NEW ACCOUNT'!A899="","",'NEW ACCOUNT'!F899)</f>
        <v/>
      </c>
      <c r="G898" t="str">
        <f>IF('NEW ACCOUNT'!A899="","",'NEW ACCOUNT'!G899)</f>
        <v/>
      </c>
      <c r="H898" t="str">
        <f>IF('NEW ACCOUNT'!A899="","",'NEW ACCOUNT'!H899)</f>
        <v/>
      </c>
      <c r="I898" t="str">
        <f>IF('NEW ACCOUNT'!A899="","",'NEW ACCOUNT'!I899)</f>
        <v/>
      </c>
      <c r="J898" t="str">
        <f>IF('NEW ACCOUNT'!A899="","",'NEW ACCOUNT'!J899)</f>
        <v/>
      </c>
      <c r="K898" t="str">
        <f>IFERROR(IF(A898="","",SUMIF(DB_Savings!$A:$A,A898,DB_Savings!$F:$F)),"")</f>
        <v/>
      </c>
      <c r="L898" t="str">
        <f>IFERROR(IF(A898="","",SUMIF(DB_Withdrawals!$A:$A,A898,DB_Withdrawals!$G:$G)),"")</f>
        <v/>
      </c>
      <c r="M898" t="str">
        <f>IFERROR(IF(A898="","",IFERROR(VALUE(H898),0)+IFERROR(SUMIF(DB_Savings!$A:$A,A898,DB_Savings!$F:$F),0)-IFERROR(SUMIF(DB_Withdrawals!$A:$A,A898,DB_Withdrawals!$G:$G),0)),"")</f>
        <v/>
      </c>
      <c r="N898" t="str">
        <f>IFERROR(IF(A898="","",MAX(0,M898-System_Config!$B$9)),"")</f>
        <v/>
      </c>
    </row>
    <row r="899" spans="1:14" ht="15" customHeight="1" x14ac:dyDescent="0.25">
      <c r="A899" t="str">
        <f>'NEW ACCOUNT'!A900</f>
        <v/>
      </c>
      <c r="B899" t="str">
        <f>IF('NEW ACCOUNT'!A900="","",'NEW ACCOUNT'!B900)</f>
        <v/>
      </c>
      <c r="C899" t="str">
        <f>IF('NEW ACCOUNT'!A900="","",'NEW ACCOUNT'!C900)</f>
        <v/>
      </c>
      <c r="D899" t="str">
        <f>IF('NEW ACCOUNT'!A900="","",'NEW ACCOUNT'!D900)</f>
        <v/>
      </c>
      <c r="E899" t="str">
        <f>IF('NEW ACCOUNT'!A900="","",'NEW ACCOUNT'!E900)</f>
        <v/>
      </c>
      <c r="F899" t="str">
        <f>IF('NEW ACCOUNT'!A900="","",'NEW ACCOUNT'!F900)</f>
        <v/>
      </c>
      <c r="G899" t="str">
        <f>IF('NEW ACCOUNT'!A900="","",'NEW ACCOUNT'!G900)</f>
        <v/>
      </c>
      <c r="H899" t="str">
        <f>IF('NEW ACCOUNT'!A900="","",'NEW ACCOUNT'!H900)</f>
        <v/>
      </c>
      <c r="I899" t="str">
        <f>IF('NEW ACCOUNT'!A900="","",'NEW ACCOUNT'!I900)</f>
        <v/>
      </c>
      <c r="J899" t="str">
        <f>IF('NEW ACCOUNT'!A900="","",'NEW ACCOUNT'!J900)</f>
        <v/>
      </c>
      <c r="K899" t="str">
        <f>IFERROR(IF(A899="","",SUMIF(DB_Savings!$A:$A,A899,DB_Savings!$F:$F)),"")</f>
        <v/>
      </c>
      <c r="L899" t="str">
        <f>IFERROR(IF(A899="","",SUMIF(DB_Withdrawals!$A:$A,A899,DB_Withdrawals!$G:$G)),"")</f>
        <v/>
      </c>
      <c r="M899" t="str">
        <f>IFERROR(IF(A899="","",IFERROR(VALUE(H899),0)+IFERROR(SUMIF(DB_Savings!$A:$A,A899,DB_Savings!$F:$F),0)-IFERROR(SUMIF(DB_Withdrawals!$A:$A,A899,DB_Withdrawals!$G:$G),0)),"")</f>
        <v/>
      </c>
      <c r="N899" t="str">
        <f>IFERROR(IF(A899="","",MAX(0,M899-System_Config!$B$9)),"")</f>
        <v/>
      </c>
    </row>
    <row r="900" spans="1:14" ht="15" customHeight="1" x14ac:dyDescent="0.25">
      <c r="A900" t="str">
        <f>'NEW ACCOUNT'!A901</f>
        <v/>
      </c>
      <c r="B900" t="str">
        <f>IF('NEW ACCOUNT'!A901="","",'NEW ACCOUNT'!B901)</f>
        <v/>
      </c>
      <c r="C900" t="str">
        <f>IF('NEW ACCOUNT'!A901="","",'NEW ACCOUNT'!C901)</f>
        <v/>
      </c>
      <c r="D900" t="str">
        <f>IF('NEW ACCOUNT'!A901="","",'NEW ACCOUNT'!D901)</f>
        <v/>
      </c>
      <c r="E900" t="str">
        <f>IF('NEW ACCOUNT'!A901="","",'NEW ACCOUNT'!E901)</f>
        <v/>
      </c>
      <c r="F900" t="str">
        <f>IF('NEW ACCOUNT'!A901="","",'NEW ACCOUNT'!F901)</f>
        <v/>
      </c>
      <c r="G900" t="str">
        <f>IF('NEW ACCOUNT'!A901="","",'NEW ACCOUNT'!G901)</f>
        <v/>
      </c>
      <c r="H900" t="str">
        <f>IF('NEW ACCOUNT'!A901="","",'NEW ACCOUNT'!H901)</f>
        <v/>
      </c>
      <c r="I900" t="str">
        <f>IF('NEW ACCOUNT'!A901="","",'NEW ACCOUNT'!I901)</f>
        <v/>
      </c>
      <c r="J900" t="str">
        <f>IF('NEW ACCOUNT'!A901="","",'NEW ACCOUNT'!J901)</f>
        <v/>
      </c>
      <c r="K900" t="str">
        <f>IFERROR(IF(A900="","",SUMIF(DB_Savings!$A:$A,A900,DB_Savings!$F:$F)),"")</f>
        <v/>
      </c>
      <c r="L900" t="str">
        <f>IFERROR(IF(A900="","",SUMIF(DB_Withdrawals!$A:$A,A900,DB_Withdrawals!$G:$G)),"")</f>
        <v/>
      </c>
      <c r="M900" t="str">
        <f>IFERROR(IF(A900="","",IFERROR(VALUE(H900),0)+IFERROR(SUMIF(DB_Savings!$A:$A,A900,DB_Savings!$F:$F),0)-IFERROR(SUMIF(DB_Withdrawals!$A:$A,A900,DB_Withdrawals!$G:$G),0)),"")</f>
        <v/>
      </c>
      <c r="N900" t="str">
        <f>IFERROR(IF(A900="","",MAX(0,M900-System_Config!$B$9)),"")</f>
        <v/>
      </c>
    </row>
    <row r="901" spans="1:14" ht="15" customHeight="1" x14ac:dyDescent="0.25">
      <c r="A901" t="str">
        <f>'NEW ACCOUNT'!A902</f>
        <v/>
      </c>
      <c r="B901" t="str">
        <f>IF('NEW ACCOUNT'!A902="","",'NEW ACCOUNT'!B902)</f>
        <v/>
      </c>
      <c r="C901" t="str">
        <f>IF('NEW ACCOUNT'!A902="","",'NEW ACCOUNT'!C902)</f>
        <v/>
      </c>
      <c r="D901" t="str">
        <f>IF('NEW ACCOUNT'!A902="","",'NEW ACCOUNT'!D902)</f>
        <v/>
      </c>
      <c r="E901" t="str">
        <f>IF('NEW ACCOUNT'!A902="","",'NEW ACCOUNT'!E902)</f>
        <v/>
      </c>
      <c r="F901" t="str">
        <f>IF('NEW ACCOUNT'!A902="","",'NEW ACCOUNT'!F902)</f>
        <v/>
      </c>
      <c r="G901" t="str">
        <f>IF('NEW ACCOUNT'!A902="","",'NEW ACCOUNT'!G902)</f>
        <v/>
      </c>
      <c r="H901" t="str">
        <f>IF('NEW ACCOUNT'!A902="","",'NEW ACCOUNT'!H902)</f>
        <v/>
      </c>
      <c r="I901" t="str">
        <f>IF('NEW ACCOUNT'!A902="","",'NEW ACCOUNT'!I902)</f>
        <v/>
      </c>
      <c r="J901" t="str">
        <f>IF('NEW ACCOUNT'!A902="","",'NEW ACCOUNT'!J902)</f>
        <v/>
      </c>
      <c r="K901" t="str">
        <f>IFERROR(IF(A901="","",SUMIF(DB_Savings!$A:$A,A901,DB_Savings!$F:$F)),"")</f>
        <v/>
      </c>
      <c r="L901" t="str">
        <f>IFERROR(IF(A901="","",SUMIF(DB_Withdrawals!$A:$A,A901,DB_Withdrawals!$G:$G)),"")</f>
        <v/>
      </c>
      <c r="M901" t="str">
        <f>IFERROR(IF(A901="","",IFERROR(VALUE(H901),0)+IFERROR(SUMIF(DB_Savings!$A:$A,A901,DB_Savings!$F:$F),0)-IFERROR(SUMIF(DB_Withdrawals!$A:$A,A901,DB_Withdrawals!$G:$G),0)),"")</f>
        <v/>
      </c>
      <c r="N901" t="str">
        <f>IFERROR(IF(A901="","",MAX(0,M901-System_Config!$B$9)),"")</f>
        <v/>
      </c>
    </row>
    <row r="902" spans="1:14" ht="15" customHeight="1" x14ac:dyDescent="0.25">
      <c r="A902" t="str">
        <f>'NEW ACCOUNT'!A903</f>
        <v/>
      </c>
      <c r="B902" t="str">
        <f>IF('NEW ACCOUNT'!A903="","",'NEW ACCOUNT'!B903)</f>
        <v/>
      </c>
      <c r="C902" t="str">
        <f>IF('NEW ACCOUNT'!A903="","",'NEW ACCOUNT'!C903)</f>
        <v/>
      </c>
      <c r="D902" t="str">
        <f>IF('NEW ACCOUNT'!A903="","",'NEW ACCOUNT'!D903)</f>
        <v/>
      </c>
      <c r="E902" t="str">
        <f>IF('NEW ACCOUNT'!A903="","",'NEW ACCOUNT'!E903)</f>
        <v/>
      </c>
      <c r="F902" t="str">
        <f>IF('NEW ACCOUNT'!A903="","",'NEW ACCOUNT'!F903)</f>
        <v/>
      </c>
      <c r="G902" t="str">
        <f>IF('NEW ACCOUNT'!A903="","",'NEW ACCOUNT'!G903)</f>
        <v/>
      </c>
      <c r="H902" t="str">
        <f>IF('NEW ACCOUNT'!A903="","",'NEW ACCOUNT'!H903)</f>
        <v/>
      </c>
      <c r="I902" t="str">
        <f>IF('NEW ACCOUNT'!A903="","",'NEW ACCOUNT'!I903)</f>
        <v/>
      </c>
      <c r="J902" t="str">
        <f>IF('NEW ACCOUNT'!A903="","",'NEW ACCOUNT'!J903)</f>
        <v/>
      </c>
      <c r="K902" t="str">
        <f>IFERROR(IF(A902="","",SUMIF(DB_Savings!$A:$A,A902,DB_Savings!$F:$F)),"")</f>
        <v/>
      </c>
      <c r="L902" t="str">
        <f>IFERROR(IF(A902="","",SUMIF(DB_Withdrawals!$A:$A,A902,DB_Withdrawals!$G:$G)),"")</f>
        <v/>
      </c>
      <c r="M902" t="str">
        <f>IFERROR(IF(A902="","",IFERROR(VALUE(H902),0)+IFERROR(SUMIF(DB_Savings!$A:$A,A902,DB_Savings!$F:$F),0)-IFERROR(SUMIF(DB_Withdrawals!$A:$A,A902,DB_Withdrawals!$G:$G),0)),"")</f>
        <v/>
      </c>
      <c r="N902" t="str">
        <f>IFERROR(IF(A902="","",MAX(0,M902-System_Config!$B$9)),"")</f>
        <v/>
      </c>
    </row>
    <row r="903" spans="1:14" ht="15" customHeight="1" x14ac:dyDescent="0.25">
      <c r="A903" t="str">
        <f>'NEW ACCOUNT'!A904</f>
        <v/>
      </c>
      <c r="B903" t="str">
        <f>IF('NEW ACCOUNT'!A904="","",'NEW ACCOUNT'!B904)</f>
        <v/>
      </c>
      <c r="C903" t="str">
        <f>IF('NEW ACCOUNT'!A904="","",'NEW ACCOUNT'!C904)</f>
        <v/>
      </c>
      <c r="D903" t="str">
        <f>IF('NEW ACCOUNT'!A904="","",'NEW ACCOUNT'!D904)</f>
        <v/>
      </c>
      <c r="E903" t="str">
        <f>IF('NEW ACCOUNT'!A904="","",'NEW ACCOUNT'!E904)</f>
        <v/>
      </c>
      <c r="F903" t="str">
        <f>IF('NEW ACCOUNT'!A904="","",'NEW ACCOUNT'!F904)</f>
        <v/>
      </c>
      <c r="G903" t="str">
        <f>IF('NEW ACCOUNT'!A904="","",'NEW ACCOUNT'!G904)</f>
        <v/>
      </c>
      <c r="H903" t="str">
        <f>IF('NEW ACCOUNT'!A904="","",'NEW ACCOUNT'!H904)</f>
        <v/>
      </c>
      <c r="I903" t="str">
        <f>IF('NEW ACCOUNT'!A904="","",'NEW ACCOUNT'!I904)</f>
        <v/>
      </c>
      <c r="J903" t="str">
        <f>IF('NEW ACCOUNT'!A904="","",'NEW ACCOUNT'!J904)</f>
        <v/>
      </c>
      <c r="K903" t="str">
        <f>IFERROR(IF(A903="","",SUMIF(DB_Savings!$A:$A,A903,DB_Savings!$F:$F)),"")</f>
        <v/>
      </c>
      <c r="L903" t="str">
        <f>IFERROR(IF(A903="","",SUMIF(DB_Withdrawals!$A:$A,A903,DB_Withdrawals!$G:$G)),"")</f>
        <v/>
      </c>
      <c r="M903" t="str">
        <f>IFERROR(IF(A903="","",IFERROR(VALUE(H903),0)+IFERROR(SUMIF(DB_Savings!$A:$A,A903,DB_Savings!$F:$F),0)-IFERROR(SUMIF(DB_Withdrawals!$A:$A,A903,DB_Withdrawals!$G:$G),0)),"")</f>
        <v/>
      </c>
      <c r="N903" t="str">
        <f>IFERROR(IF(A903="","",MAX(0,M903-System_Config!$B$9)),"")</f>
        <v/>
      </c>
    </row>
    <row r="904" spans="1:14" ht="15" customHeight="1" x14ac:dyDescent="0.25">
      <c r="A904" t="str">
        <f>'NEW ACCOUNT'!A905</f>
        <v/>
      </c>
      <c r="B904" t="str">
        <f>IF('NEW ACCOUNT'!A905="","",'NEW ACCOUNT'!B905)</f>
        <v/>
      </c>
      <c r="C904" t="str">
        <f>IF('NEW ACCOUNT'!A905="","",'NEW ACCOUNT'!C905)</f>
        <v/>
      </c>
      <c r="D904" t="str">
        <f>IF('NEW ACCOUNT'!A905="","",'NEW ACCOUNT'!D905)</f>
        <v/>
      </c>
      <c r="E904" t="str">
        <f>IF('NEW ACCOUNT'!A905="","",'NEW ACCOUNT'!E905)</f>
        <v/>
      </c>
      <c r="F904" t="str">
        <f>IF('NEW ACCOUNT'!A905="","",'NEW ACCOUNT'!F905)</f>
        <v/>
      </c>
      <c r="G904" t="str">
        <f>IF('NEW ACCOUNT'!A905="","",'NEW ACCOUNT'!G905)</f>
        <v/>
      </c>
      <c r="H904" t="str">
        <f>IF('NEW ACCOUNT'!A905="","",'NEW ACCOUNT'!H905)</f>
        <v/>
      </c>
      <c r="I904" t="str">
        <f>IF('NEW ACCOUNT'!A905="","",'NEW ACCOUNT'!I905)</f>
        <v/>
      </c>
      <c r="J904" t="str">
        <f>IF('NEW ACCOUNT'!A905="","",'NEW ACCOUNT'!J905)</f>
        <v/>
      </c>
      <c r="K904" t="str">
        <f>IFERROR(IF(A904="","",SUMIF(DB_Savings!$A:$A,A904,DB_Savings!$F:$F)),"")</f>
        <v/>
      </c>
      <c r="L904" t="str">
        <f>IFERROR(IF(A904="","",SUMIF(DB_Withdrawals!$A:$A,A904,DB_Withdrawals!$G:$G)),"")</f>
        <v/>
      </c>
      <c r="M904" t="str">
        <f>IFERROR(IF(A904="","",IFERROR(VALUE(H904),0)+IFERROR(SUMIF(DB_Savings!$A:$A,A904,DB_Savings!$F:$F),0)-IFERROR(SUMIF(DB_Withdrawals!$A:$A,A904,DB_Withdrawals!$G:$G),0)),"")</f>
        <v/>
      </c>
      <c r="N904" t="str">
        <f>IFERROR(IF(A904="","",MAX(0,M904-System_Config!$B$9)),"")</f>
        <v/>
      </c>
    </row>
    <row r="905" spans="1:14" ht="15" customHeight="1" x14ac:dyDescent="0.25">
      <c r="A905" t="str">
        <f>'NEW ACCOUNT'!A906</f>
        <v/>
      </c>
      <c r="B905" t="str">
        <f>IF('NEW ACCOUNT'!A906="","",'NEW ACCOUNT'!B906)</f>
        <v/>
      </c>
      <c r="C905" t="str">
        <f>IF('NEW ACCOUNT'!A906="","",'NEW ACCOUNT'!C906)</f>
        <v/>
      </c>
      <c r="D905" t="str">
        <f>IF('NEW ACCOUNT'!A906="","",'NEW ACCOUNT'!D906)</f>
        <v/>
      </c>
      <c r="E905" t="str">
        <f>IF('NEW ACCOUNT'!A906="","",'NEW ACCOUNT'!E906)</f>
        <v/>
      </c>
      <c r="F905" t="str">
        <f>IF('NEW ACCOUNT'!A906="","",'NEW ACCOUNT'!F906)</f>
        <v/>
      </c>
      <c r="G905" t="str">
        <f>IF('NEW ACCOUNT'!A906="","",'NEW ACCOUNT'!G906)</f>
        <v/>
      </c>
      <c r="H905" t="str">
        <f>IF('NEW ACCOUNT'!A906="","",'NEW ACCOUNT'!H906)</f>
        <v/>
      </c>
      <c r="I905" t="str">
        <f>IF('NEW ACCOUNT'!A906="","",'NEW ACCOUNT'!I906)</f>
        <v/>
      </c>
      <c r="J905" t="str">
        <f>IF('NEW ACCOUNT'!A906="","",'NEW ACCOUNT'!J906)</f>
        <v/>
      </c>
      <c r="K905" t="str">
        <f>IFERROR(IF(A905="","",SUMIF(DB_Savings!$A:$A,A905,DB_Savings!$F:$F)),"")</f>
        <v/>
      </c>
      <c r="L905" t="str">
        <f>IFERROR(IF(A905="","",SUMIF(DB_Withdrawals!$A:$A,A905,DB_Withdrawals!$G:$G)),"")</f>
        <v/>
      </c>
      <c r="M905" t="str">
        <f>IFERROR(IF(A905="","",IFERROR(VALUE(H905),0)+IFERROR(SUMIF(DB_Savings!$A:$A,A905,DB_Savings!$F:$F),0)-IFERROR(SUMIF(DB_Withdrawals!$A:$A,A905,DB_Withdrawals!$G:$G),0)),"")</f>
        <v/>
      </c>
      <c r="N905" t="str">
        <f>IFERROR(IF(A905="","",MAX(0,M905-System_Config!$B$9)),"")</f>
        <v/>
      </c>
    </row>
    <row r="906" spans="1:14" ht="15" customHeight="1" x14ac:dyDescent="0.25">
      <c r="A906" t="str">
        <f>'NEW ACCOUNT'!A907</f>
        <v/>
      </c>
      <c r="B906" t="str">
        <f>IF('NEW ACCOUNT'!A907="","",'NEW ACCOUNT'!B907)</f>
        <v/>
      </c>
      <c r="C906" t="str">
        <f>IF('NEW ACCOUNT'!A907="","",'NEW ACCOUNT'!C907)</f>
        <v/>
      </c>
      <c r="D906" t="str">
        <f>IF('NEW ACCOUNT'!A907="","",'NEW ACCOUNT'!D907)</f>
        <v/>
      </c>
      <c r="E906" t="str">
        <f>IF('NEW ACCOUNT'!A907="","",'NEW ACCOUNT'!E907)</f>
        <v/>
      </c>
      <c r="F906" t="str">
        <f>IF('NEW ACCOUNT'!A907="","",'NEW ACCOUNT'!F907)</f>
        <v/>
      </c>
      <c r="G906" t="str">
        <f>IF('NEW ACCOUNT'!A907="","",'NEW ACCOUNT'!G907)</f>
        <v/>
      </c>
      <c r="H906" t="str">
        <f>IF('NEW ACCOUNT'!A907="","",'NEW ACCOUNT'!H907)</f>
        <v/>
      </c>
      <c r="I906" t="str">
        <f>IF('NEW ACCOUNT'!A907="","",'NEW ACCOUNT'!I907)</f>
        <v/>
      </c>
      <c r="J906" t="str">
        <f>IF('NEW ACCOUNT'!A907="","",'NEW ACCOUNT'!J907)</f>
        <v/>
      </c>
      <c r="K906" t="str">
        <f>IFERROR(IF(A906="","",SUMIF(DB_Savings!$A:$A,A906,DB_Savings!$F:$F)),"")</f>
        <v/>
      </c>
      <c r="L906" t="str">
        <f>IFERROR(IF(A906="","",SUMIF(DB_Withdrawals!$A:$A,A906,DB_Withdrawals!$G:$G)),"")</f>
        <v/>
      </c>
      <c r="M906" t="str">
        <f>IFERROR(IF(A906="","",IFERROR(VALUE(H906),0)+IFERROR(SUMIF(DB_Savings!$A:$A,A906,DB_Savings!$F:$F),0)-IFERROR(SUMIF(DB_Withdrawals!$A:$A,A906,DB_Withdrawals!$G:$G),0)),"")</f>
        <v/>
      </c>
      <c r="N906" t="str">
        <f>IFERROR(IF(A906="","",MAX(0,M906-System_Config!$B$9)),"")</f>
        <v/>
      </c>
    </row>
    <row r="907" spans="1:14" ht="15" customHeight="1" x14ac:dyDescent="0.25">
      <c r="A907" t="str">
        <f>'NEW ACCOUNT'!A908</f>
        <v/>
      </c>
      <c r="B907" t="str">
        <f>IF('NEW ACCOUNT'!A908="","",'NEW ACCOUNT'!B908)</f>
        <v/>
      </c>
      <c r="C907" t="str">
        <f>IF('NEW ACCOUNT'!A908="","",'NEW ACCOUNT'!C908)</f>
        <v/>
      </c>
      <c r="D907" t="str">
        <f>IF('NEW ACCOUNT'!A908="","",'NEW ACCOUNT'!D908)</f>
        <v/>
      </c>
      <c r="E907" t="str">
        <f>IF('NEW ACCOUNT'!A908="","",'NEW ACCOUNT'!E908)</f>
        <v/>
      </c>
      <c r="F907" t="str">
        <f>IF('NEW ACCOUNT'!A908="","",'NEW ACCOUNT'!F908)</f>
        <v/>
      </c>
      <c r="G907" t="str">
        <f>IF('NEW ACCOUNT'!A908="","",'NEW ACCOUNT'!G908)</f>
        <v/>
      </c>
      <c r="H907" t="str">
        <f>IF('NEW ACCOUNT'!A908="","",'NEW ACCOUNT'!H908)</f>
        <v/>
      </c>
      <c r="I907" t="str">
        <f>IF('NEW ACCOUNT'!A908="","",'NEW ACCOUNT'!I908)</f>
        <v/>
      </c>
      <c r="J907" t="str">
        <f>IF('NEW ACCOUNT'!A908="","",'NEW ACCOUNT'!J908)</f>
        <v/>
      </c>
      <c r="K907" t="str">
        <f>IFERROR(IF(A907="","",SUMIF(DB_Savings!$A:$A,A907,DB_Savings!$F:$F)),"")</f>
        <v/>
      </c>
      <c r="L907" t="str">
        <f>IFERROR(IF(A907="","",SUMIF(DB_Withdrawals!$A:$A,A907,DB_Withdrawals!$G:$G)),"")</f>
        <v/>
      </c>
      <c r="M907" t="str">
        <f>IFERROR(IF(A907="","",IFERROR(VALUE(H907),0)+IFERROR(SUMIF(DB_Savings!$A:$A,A907,DB_Savings!$F:$F),0)-IFERROR(SUMIF(DB_Withdrawals!$A:$A,A907,DB_Withdrawals!$G:$G),0)),"")</f>
        <v/>
      </c>
      <c r="N907" t="str">
        <f>IFERROR(IF(A907="","",MAX(0,M907-System_Config!$B$9)),"")</f>
        <v/>
      </c>
    </row>
    <row r="908" spans="1:14" ht="15" customHeight="1" x14ac:dyDescent="0.25">
      <c r="A908" t="str">
        <f>'NEW ACCOUNT'!A909</f>
        <v/>
      </c>
      <c r="B908" t="str">
        <f>IF('NEW ACCOUNT'!A909="","",'NEW ACCOUNT'!B909)</f>
        <v/>
      </c>
      <c r="C908" t="str">
        <f>IF('NEW ACCOUNT'!A909="","",'NEW ACCOUNT'!C909)</f>
        <v/>
      </c>
      <c r="D908" t="str">
        <f>IF('NEW ACCOUNT'!A909="","",'NEW ACCOUNT'!D909)</f>
        <v/>
      </c>
      <c r="E908" t="str">
        <f>IF('NEW ACCOUNT'!A909="","",'NEW ACCOUNT'!E909)</f>
        <v/>
      </c>
      <c r="F908" t="str">
        <f>IF('NEW ACCOUNT'!A909="","",'NEW ACCOUNT'!F909)</f>
        <v/>
      </c>
      <c r="G908" t="str">
        <f>IF('NEW ACCOUNT'!A909="","",'NEW ACCOUNT'!G909)</f>
        <v/>
      </c>
      <c r="H908" t="str">
        <f>IF('NEW ACCOUNT'!A909="","",'NEW ACCOUNT'!H909)</f>
        <v/>
      </c>
      <c r="I908" t="str">
        <f>IF('NEW ACCOUNT'!A909="","",'NEW ACCOUNT'!I909)</f>
        <v/>
      </c>
      <c r="J908" t="str">
        <f>IF('NEW ACCOUNT'!A909="","",'NEW ACCOUNT'!J909)</f>
        <v/>
      </c>
      <c r="K908" t="str">
        <f>IFERROR(IF(A908="","",SUMIF(DB_Savings!$A:$A,A908,DB_Savings!$F:$F)),"")</f>
        <v/>
      </c>
      <c r="L908" t="str">
        <f>IFERROR(IF(A908="","",SUMIF(DB_Withdrawals!$A:$A,A908,DB_Withdrawals!$G:$G)),"")</f>
        <v/>
      </c>
      <c r="M908" t="str">
        <f>IFERROR(IF(A908="","",IFERROR(VALUE(H908),0)+IFERROR(SUMIF(DB_Savings!$A:$A,A908,DB_Savings!$F:$F),0)-IFERROR(SUMIF(DB_Withdrawals!$A:$A,A908,DB_Withdrawals!$G:$G),0)),"")</f>
        <v/>
      </c>
      <c r="N908" t="str">
        <f>IFERROR(IF(A908="","",MAX(0,M908-System_Config!$B$9)),"")</f>
        <v/>
      </c>
    </row>
    <row r="909" spans="1:14" ht="15" customHeight="1" x14ac:dyDescent="0.25">
      <c r="A909" t="str">
        <f>'NEW ACCOUNT'!A910</f>
        <v/>
      </c>
      <c r="B909" t="str">
        <f>IF('NEW ACCOUNT'!A910="","",'NEW ACCOUNT'!B910)</f>
        <v/>
      </c>
      <c r="C909" t="str">
        <f>IF('NEW ACCOUNT'!A910="","",'NEW ACCOUNT'!C910)</f>
        <v/>
      </c>
      <c r="D909" t="str">
        <f>IF('NEW ACCOUNT'!A910="","",'NEW ACCOUNT'!D910)</f>
        <v/>
      </c>
      <c r="E909" t="str">
        <f>IF('NEW ACCOUNT'!A910="","",'NEW ACCOUNT'!E910)</f>
        <v/>
      </c>
      <c r="F909" t="str">
        <f>IF('NEW ACCOUNT'!A910="","",'NEW ACCOUNT'!F910)</f>
        <v/>
      </c>
      <c r="G909" t="str">
        <f>IF('NEW ACCOUNT'!A910="","",'NEW ACCOUNT'!G910)</f>
        <v/>
      </c>
      <c r="H909" t="str">
        <f>IF('NEW ACCOUNT'!A910="","",'NEW ACCOUNT'!H910)</f>
        <v/>
      </c>
      <c r="I909" t="str">
        <f>IF('NEW ACCOUNT'!A910="","",'NEW ACCOUNT'!I910)</f>
        <v/>
      </c>
      <c r="J909" t="str">
        <f>IF('NEW ACCOUNT'!A910="","",'NEW ACCOUNT'!J910)</f>
        <v/>
      </c>
      <c r="K909" t="str">
        <f>IFERROR(IF(A909="","",SUMIF(DB_Savings!$A:$A,A909,DB_Savings!$F:$F)),"")</f>
        <v/>
      </c>
      <c r="L909" t="str">
        <f>IFERROR(IF(A909="","",SUMIF(DB_Withdrawals!$A:$A,A909,DB_Withdrawals!$G:$G)),"")</f>
        <v/>
      </c>
      <c r="M909" t="str">
        <f>IFERROR(IF(A909="","",IFERROR(VALUE(H909),0)+IFERROR(SUMIF(DB_Savings!$A:$A,A909,DB_Savings!$F:$F),0)-IFERROR(SUMIF(DB_Withdrawals!$A:$A,A909,DB_Withdrawals!$G:$G),0)),"")</f>
        <v/>
      </c>
      <c r="N909" t="str">
        <f>IFERROR(IF(A909="","",MAX(0,M909-System_Config!$B$9)),"")</f>
        <v/>
      </c>
    </row>
    <row r="910" spans="1:14" ht="15" customHeight="1" x14ac:dyDescent="0.25">
      <c r="A910" t="str">
        <f>'NEW ACCOUNT'!A911</f>
        <v/>
      </c>
      <c r="B910" t="str">
        <f>IF('NEW ACCOUNT'!A911="","",'NEW ACCOUNT'!B911)</f>
        <v/>
      </c>
      <c r="C910" t="str">
        <f>IF('NEW ACCOUNT'!A911="","",'NEW ACCOUNT'!C911)</f>
        <v/>
      </c>
      <c r="D910" t="str">
        <f>IF('NEW ACCOUNT'!A911="","",'NEW ACCOUNT'!D911)</f>
        <v/>
      </c>
      <c r="E910" t="str">
        <f>IF('NEW ACCOUNT'!A911="","",'NEW ACCOUNT'!E911)</f>
        <v/>
      </c>
      <c r="F910" t="str">
        <f>IF('NEW ACCOUNT'!A911="","",'NEW ACCOUNT'!F911)</f>
        <v/>
      </c>
      <c r="G910" t="str">
        <f>IF('NEW ACCOUNT'!A911="","",'NEW ACCOUNT'!G911)</f>
        <v/>
      </c>
      <c r="H910" t="str">
        <f>IF('NEW ACCOUNT'!A911="","",'NEW ACCOUNT'!H911)</f>
        <v/>
      </c>
      <c r="I910" t="str">
        <f>IF('NEW ACCOUNT'!A911="","",'NEW ACCOUNT'!I911)</f>
        <v/>
      </c>
      <c r="J910" t="str">
        <f>IF('NEW ACCOUNT'!A911="","",'NEW ACCOUNT'!J911)</f>
        <v/>
      </c>
      <c r="K910" t="str">
        <f>IFERROR(IF(A910="","",SUMIF(DB_Savings!$A:$A,A910,DB_Savings!$F:$F)),"")</f>
        <v/>
      </c>
      <c r="L910" t="str">
        <f>IFERROR(IF(A910="","",SUMIF(DB_Withdrawals!$A:$A,A910,DB_Withdrawals!$G:$G)),"")</f>
        <v/>
      </c>
      <c r="M910" t="str">
        <f>IFERROR(IF(A910="","",IFERROR(VALUE(H910),0)+IFERROR(SUMIF(DB_Savings!$A:$A,A910,DB_Savings!$F:$F),0)-IFERROR(SUMIF(DB_Withdrawals!$A:$A,A910,DB_Withdrawals!$G:$G),0)),"")</f>
        <v/>
      </c>
      <c r="N910" t="str">
        <f>IFERROR(IF(A910="","",MAX(0,M910-System_Config!$B$9)),"")</f>
        <v/>
      </c>
    </row>
    <row r="911" spans="1:14" ht="15" customHeight="1" x14ac:dyDescent="0.25">
      <c r="A911" t="str">
        <f>'NEW ACCOUNT'!A912</f>
        <v/>
      </c>
      <c r="B911" t="str">
        <f>IF('NEW ACCOUNT'!A912="","",'NEW ACCOUNT'!B912)</f>
        <v/>
      </c>
      <c r="C911" t="str">
        <f>IF('NEW ACCOUNT'!A912="","",'NEW ACCOUNT'!C912)</f>
        <v/>
      </c>
      <c r="D911" t="str">
        <f>IF('NEW ACCOUNT'!A912="","",'NEW ACCOUNT'!D912)</f>
        <v/>
      </c>
      <c r="E911" t="str">
        <f>IF('NEW ACCOUNT'!A912="","",'NEW ACCOUNT'!E912)</f>
        <v/>
      </c>
      <c r="F911" t="str">
        <f>IF('NEW ACCOUNT'!A912="","",'NEW ACCOUNT'!F912)</f>
        <v/>
      </c>
      <c r="G911" t="str">
        <f>IF('NEW ACCOUNT'!A912="","",'NEW ACCOUNT'!G912)</f>
        <v/>
      </c>
      <c r="H911" t="str">
        <f>IF('NEW ACCOUNT'!A912="","",'NEW ACCOUNT'!H912)</f>
        <v/>
      </c>
      <c r="I911" t="str">
        <f>IF('NEW ACCOUNT'!A912="","",'NEW ACCOUNT'!I912)</f>
        <v/>
      </c>
      <c r="J911" t="str">
        <f>IF('NEW ACCOUNT'!A912="","",'NEW ACCOUNT'!J912)</f>
        <v/>
      </c>
      <c r="K911" t="str">
        <f>IFERROR(IF(A911="","",SUMIF(DB_Savings!$A:$A,A911,DB_Savings!$F:$F)),"")</f>
        <v/>
      </c>
      <c r="L911" t="str">
        <f>IFERROR(IF(A911="","",SUMIF(DB_Withdrawals!$A:$A,A911,DB_Withdrawals!$G:$G)),"")</f>
        <v/>
      </c>
      <c r="M911" t="str">
        <f>IFERROR(IF(A911="","",IFERROR(VALUE(H911),0)+IFERROR(SUMIF(DB_Savings!$A:$A,A911,DB_Savings!$F:$F),0)-IFERROR(SUMIF(DB_Withdrawals!$A:$A,A911,DB_Withdrawals!$G:$G),0)),"")</f>
        <v/>
      </c>
      <c r="N911" t="str">
        <f>IFERROR(IF(A911="","",MAX(0,M911-System_Config!$B$9)),"")</f>
        <v/>
      </c>
    </row>
    <row r="912" spans="1:14" ht="15" customHeight="1" x14ac:dyDescent="0.25">
      <c r="A912" t="str">
        <f>'NEW ACCOUNT'!A913</f>
        <v/>
      </c>
      <c r="B912" t="str">
        <f>IF('NEW ACCOUNT'!A913="","",'NEW ACCOUNT'!B913)</f>
        <v/>
      </c>
      <c r="C912" t="str">
        <f>IF('NEW ACCOUNT'!A913="","",'NEW ACCOUNT'!C913)</f>
        <v/>
      </c>
      <c r="D912" t="str">
        <f>IF('NEW ACCOUNT'!A913="","",'NEW ACCOUNT'!D913)</f>
        <v/>
      </c>
      <c r="E912" t="str">
        <f>IF('NEW ACCOUNT'!A913="","",'NEW ACCOUNT'!E913)</f>
        <v/>
      </c>
      <c r="F912" t="str">
        <f>IF('NEW ACCOUNT'!A913="","",'NEW ACCOUNT'!F913)</f>
        <v/>
      </c>
      <c r="G912" t="str">
        <f>IF('NEW ACCOUNT'!A913="","",'NEW ACCOUNT'!G913)</f>
        <v/>
      </c>
      <c r="H912" t="str">
        <f>IF('NEW ACCOUNT'!A913="","",'NEW ACCOUNT'!H913)</f>
        <v/>
      </c>
      <c r="I912" t="str">
        <f>IF('NEW ACCOUNT'!A913="","",'NEW ACCOUNT'!I913)</f>
        <v/>
      </c>
      <c r="J912" t="str">
        <f>IF('NEW ACCOUNT'!A913="","",'NEW ACCOUNT'!J913)</f>
        <v/>
      </c>
      <c r="K912" t="str">
        <f>IFERROR(IF(A912="","",SUMIF(DB_Savings!$A:$A,A912,DB_Savings!$F:$F)),"")</f>
        <v/>
      </c>
      <c r="L912" t="str">
        <f>IFERROR(IF(A912="","",SUMIF(DB_Withdrawals!$A:$A,A912,DB_Withdrawals!$G:$G)),"")</f>
        <v/>
      </c>
      <c r="M912" t="str">
        <f>IFERROR(IF(A912="","",IFERROR(VALUE(H912),0)+IFERROR(SUMIF(DB_Savings!$A:$A,A912,DB_Savings!$F:$F),0)-IFERROR(SUMIF(DB_Withdrawals!$A:$A,A912,DB_Withdrawals!$G:$G),0)),"")</f>
        <v/>
      </c>
      <c r="N912" t="str">
        <f>IFERROR(IF(A912="","",MAX(0,M912-System_Config!$B$9)),"")</f>
        <v/>
      </c>
    </row>
    <row r="913" spans="1:14" ht="15" customHeight="1" x14ac:dyDescent="0.25">
      <c r="A913" t="str">
        <f>'NEW ACCOUNT'!A914</f>
        <v/>
      </c>
      <c r="B913" t="str">
        <f>IF('NEW ACCOUNT'!A914="","",'NEW ACCOUNT'!B914)</f>
        <v/>
      </c>
      <c r="C913" t="str">
        <f>IF('NEW ACCOUNT'!A914="","",'NEW ACCOUNT'!C914)</f>
        <v/>
      </c>
      <c r="D913" t="str">
        <f>IF('NEW ACCOUNT'!A914="","",'NEW ACCOUNT'!D914)</f>
        <v/>
      </c>
      <c r="E913" t="str">
        <f>IF('NEW ACCOUNT'!A914="","",'NEW ACCOUNT'!E914)</f>
        <v/>
      </c>
      <c r="F913" t="str">
        <f>IF('NEW ACCOUNT'!A914="","",'NEW ACCOUNT'!F914)</f>
        <v/>
      </c>
      <c r="G913" t="str">
        <f>IF('NEW ACCOUNT'!A914="","",'NEW ACCOUNT'!G914)</f>
        <v/>
      </c>
      <c r="H913" t="str">
        <f>IF('NEW ACCOUNT'!A914="","",'NEW ACCOUNT'!H914)</f>
        <v/>
      </c>
      <c r="I913" t="str">
        <f>IF('NEW ACCOUNT'!A914="","",'NEW ACCOUNT'!I914)</f>
        <v/>
      </c>
      <c r="J913" t="str">
        <f>IF('NEW ACCOUNT'!A914="","",'NEW ACCOUNT'!J914)</f>
        <v/>
      </c>
      <c r="K913" t="str">
        <f>IFERROR(IF(A913="","",SUMIF(DB_Savings!$A:$A,A913,DB_Savings!$F:$F)),"")</f>
        <v/>
      </c>
      <c r="L913" t="str">
        <f>IFERROR(IF(A913="","",SUMIF(DB_Withdrawals!$A:$A,A913,DB_Withdrawals!$G:$G)),"")</f>
        <v/>
      </c>
      <c r="M913" t="str">
        <f>IFERROR(IF(A913="","",IFERROR(VALUE(H913),0)+IFERROR(SUMIF(DB_Savings!$A:$A,A913,DB_Savings!$F:$F),0)-IFERROR(SUMIF(DB_Withdrawals!$A:$A,A913,DB_Withdrawals!$G:$G),0)),"")</f>
        <v/>
      </c>
      <c r="N913" t="str">
        <f>IFERROR(IF(A913="","",MAX(0,M913-System_Config!$B$9)),"")</f>
        <v/>
      </c>
    </row>
    <row r="914" spans="1:14" ht="15" customHeight="1" x14ac:dyDescent="0.25">
      <c r="A914" t="str">
        <f>'NEW ACCOUNT'!A915</f>
        <v/>
      </c>
      <c r="B914" t="str">
        <f>IF('NEW ACCOUNT'!A915="","",'NEW ACCOUNT'!B915)</f>
        <v/>
      </c>
      <c r="C914" t="str">
        <f>IF('NEW ACCOUNT'!A915="","",'NEW ACCOUNT'!C915)</f>
        <v/>
      </c>
      <c r="D914" t="str">
        <f>IF('NEW ACCOUNT'!A915="","",'NEW ACCOUNT'!D915)</f>
        <v/>
      </c>
      <c r="E914" t="str">
        <f>IF('NEW ACCOUNT'!A915="","",'NEW ACCOUNT'!E915)</f>
        <v/>
      </c>
      <c r="F914" t="str">
        <f>IF('NEW ACCOUNT'!A915="","",'NEW ACCOUNT'!F915)</f>
        <v/>
      </c>
      <c r="G914" t="str">
        <f>IF('NEW ACCOUNT'!A915="","",'NEW ACCOUNT'!G915)</f>
        <v/>
      </c>
      <c r="H914" t="str">
        <f>IF('NEW ACCOUNT'!A915="","",'NEW ACCOUNT'!H915)</f>
        <v/>
      </c>
      <c r="I914" t="str">
        <f>IF('NEW ACCOUNT'!A915="","",'NEW ACCOUNT'!I915)</f>
        <v/>
      </c>
      <c r="J914" t="str">
        <f>IF('NEW ACCOUNT'!A915="","",'NEW ACCOUNT'!J915)</f>
        <v/>
      </c>
      <c r="K914" t="str">
        <f>IFERROR(IF(A914="","",SUMIF(DB_Savings!$A:$A,A914,DB_Savings!$F:$F)),"")</f>
        <v/>
      </c>
      <c r="L914" t="str">
        <f>IFERROR(IF(A914="","",SUMIF(DB_Withdrawals!$A:$A,A914,DB_Withdrawals!$G:$G)),"")</f>
        <v/>
      </c>
      <c r="M914" t="str">
        <f>IFERROR(IF(A914="","",IFERROR(VALUE(H914),0)+IFERROR(SUMIF(DB_Savings!$A:$A,A914,DB_Savings!$F:$F),0)-IFERROR(SUMIF(DB_Withdrawals!$A:$A,A914,DB_Withdrawals!$G:$G),0)),"")</f>
        <v/>
      </c>
      <c r="N914" t="str">
        <f>IFERROR(IF(A914="","",MAX(0,M914-System_Config!$B$9)),"")</f>
        <v/>
      </c>
    </row>
    <row r="915" spans="1:14" ht="15" customHeight="1" x14ac:dyDescent="0.25">
      <c r="A915" t="str">
        <f>'NEW ACCOUNT'!A916</f>
        <v/>
      </c>
      <c r="B915" t="str">
        <f>IF('NEW ACCOUNT'!A916="","",'NEW ACCOUNT'!B916)</f>
        <v/>
      </c>
      <c r="C915" t="str">
        <f>IF('NEW ACCOUNT'!A916="","",'NEW ACCOUNT'!C916)</f>
        <v/>
      </c>
      <c r="D915" t="str">
        <f>IF('NEW ACCOUNT'!A916="","",'NEW ACCOUNT'!D916)</f>
        <v/>
      </c>
      <c r="E915" t="str">
        <f>IF('NEW ACCOUNT'!A916="","",'NEW ACCOUNT'!E916)</f>
        <v/>
      </c>
      <c r="F915" t="str">
        <f>IF('NEW ACCOUNT'!A916="","",'NEW ACCOUNT'!F916)</f>
        <v/>
      </c>
      <c r="G915" t="str">
        <f>IF('NEW ACCOUNT'!A916="","",'NEW ACCOUNT'!G916)</f>
        <v/>
      </c>
      <c r="H915" t="str">
        <f>IF('NEW ACCOUNT'!A916="","",'NEW ACCOUNT'!H916)</f>
        <v/>
      </c>
      <c r="I915" t="str">
        <f>IF('NEW ACCOUNT'!A916="","",'NEW ACCOUNT'!I916)</f>
        <v/>
      </c>
      <c r="J915" t="str">
        <f>IF('NEW ACCOUNT'!A916="","",'NEW ACCOUNT'!J916)</f>
        <v/>
      </c>
      <c r="K915" t="str">
        <f>IFERROR(IF(A915="","",SUMIF(DB_Savings!$A:$A,A915,DB_Savings!$F:$F)),"")</f>
        <v/>
      </c>
      <c r="L915" t="str">
        <f>IFERROR(IF(A915="","",SUMIF(DB_Withdrawals!$A:$A,A915,DB_Withdrawals!$G:$G)),"")</f>
        <v/>
      </c>
      <c r="M915" t="str">
        <f>IFERROR(IF(A915="","",IFERROR(VALUE(H915),0)+IFERROR(SUMIF(DB_Savings!$A:$A,A915,DB_Savings!$F:$F),0)-IFERROR(SUMIF(DB_Withdrawals!$A:$A,A915,DB_Withdrawals!$G:$G),0)),"")</f>
        <v/>
      </c>
      <c r="N915" t="str">
        <f>IFERROR(IF(A915="","",MAX(0,M915-System_Config!$B$9)),"")</f>
        <v/>
      </c>
    </row>
    <row r="916" spans="1:14" ht="15" customHeight="1" x14ac:dyDescent="0.25">
      <c r="A916" t="str">
        <f>'NEW ACCOUNT'!A917</f>
        <v/>
      </c>
      <c r="B916" t="str">
        <f>IF('NEW ACCOUNT'!A917="","",'NEW ACCOUNT'!B917)</f>
        <v/>
      </c>
      <c r="C916" t="str">
        <f>IF('NEW ACCOUNT'!A917="","",'NEW ACCOUNT'!C917)</f>
        <v/>
      </c>
      <c r="D916" t="str">
        <f>IF('NEW ACCOUNT'!A917="","",'NEW ACCOUNT'!D917)</f>
        <v/>
      </c>
      <c r="E916" t="str">
        <f>IF('NEW ACCOUNT'!A917="","",'NEW ACCOUNT'!E917)</f>
        <v/>
      </c>
      <c r="F916" t="str">
        <f>IF('NEW ACCOUNT'!A917="","",'NEW ACCOUNT'!F917)</f>
        <v/>
      </c>
      <c r="G916" t="str">
        <f>IF('NEW ACCOUNT'!A917="","",'NEW ACCOUNT'!G917)</f>
        <v/>
      </c>
      <c r="H916" t="str">
        <f>IF('NEW ACCOUNT'!A917="","",'NEW ACCOUNT'!H917)</f>
        <v/>
      </c>
      <c r="I916" t="str">
        <f>IF('NEW ACCOUNT'!A917="","",'NEW ACCOUNT'!I917)</f>
        <v/>
      </c>
      <c r="J916" t="str">
        <f>IF('NEW ACCOUNT'!A917="","",'NEW ACCOUNT'!J917)</f>
        <v/>
      </c>
      <c r="K916" t="str">
        <f>IFERROR(IF(A916="","",SUMIF(DB_Savings!$A:$A,A916,DB_Savings!$F:$F)),"")</f>
        <v/>
      </c>
      <c r="L916" t="str">
        <f>IFERROR(IF(A916="","",SUMIF(DB_Withdrawals!$A:$A,A916,DB_Withdrawals!$G:$G)),"")</f>
        <v/>
      </c>
      <c r="M916" t="str">
        <f>IFERROR(IF(A916="","",IFERROR(VALUE(H916),0)+IFERROR(SUMIF(DB_Savings!$A:$A,A916,DB_Savings!$F:$F),0)-IFERROR(SUMIF(DB_Withdrawals!$A:$A,A916,DB_Withdrawals!$G:$G),0)),"")</f>
        <v/>
      </c>
      <c r="N916" t="str">
        <f>IFERROR(IF(A916="","",MAX(0,M916-System_Config!$B$9)),"")</f>
        <v/>
      </c>
    </row>
    <row r="917" spans="1:14" ht="15" customHeight="1" x14ac:dyDescent="0.25">
      <c r="A917" t="str">
        <f>'NEW ACCOUNT'!A918</f>
        <v/>
      </c>
      <c r="B917" t="str">
        <f>IF('NEW ACCOUNT'!A918="","",'NEW ACCOUNT'!B918)</f>
        <v/>
      </c>
      <c r="C917" t="str">
        <f>IF('NEW ACCOUNT'!A918="","",'NEW ACCOUNT'!C918)</f>
        <v/>
      </c>
      <c r="D917" t="str">
        <f>IF('NEW ACCOUNT'!A918="","",'NEW ACCOUNT'!D918)</f>
        <v/>
      </c>
      <c r="E917" t="str">
        <f>IF('NEW ACCOUNT'!A918="","",'NEW ACCOUNT'!E918)</f>
        <v/>
      </c>
      <c r="F917" t="str">
        <f>IF('NEW ACCOUNT'!A918="","",'NEW ACCOUNT'!F918)</f>
        <v/>
      </c>
      <c r="G917" t="str">
        <f>IF('NEW ACCOUNT'!A918="","",'NEW ACCOUNT'!G918)</f>
        <v/>
      </c>
      <c r="H917" t="str">
        <f>IF('NEW ACCOUNT'!A918="","",'NEW ACCOUNT'!H918)</f>
        <v/>
      </c>
      <c r="I917" t="str">
        <f>IF('NEW ACCOUNT'!A918="","",'NEW ACCOUNT'!I918)</f>
        <v/>
      </c>
      <c r="J917" t="str">
        <f>IF('NEW ACCOUNT'!A918="","",'NEW ACCOUNT'!J918)</f>
        <v/>
      </c>
      <c r="K917" t="str">
        <f>IFERROR(IF(A917="","",SUMIF(DB_Savings!$A:$A,A917,DB_Savings!$F:$F)),"")</f>
        <v/>
      </c>
      <c r="L917" t="str">
        <f>IFERROR(IF(A917="","",SUMIF(DB_Withdrawals!$A:$A,A917,DB_Withdrawals!$G:$G)),"")</f>
        <v/>
      </c>
      <c r="M917" t="str">
        <f>IFERROR(IF(A917="","",IFERROR(VALUE(H917),0)+IFERROR(SUMIF(DB_Savings!$A:$A,A917,DB_Savings!$F:$F),0)-IFERROR(SUMIF(DB_Withdrawals!$A:$A,A917,DB_Withdrawals!$G:$G),0)),"")</f>
        <v/>
      </c>
      <c r="N917" t="str">
        <f>IFERROR(IF(A917="","",MAX(0,M917-System_Config!$B$9)),"")</f>
        <v/>
      </c>
    </row>
    <row r="918" spans="1:14" ht="15" customHeight="1" x14ac:dyDescent="0.25">
      <c r="A918" t="str">
        <f>'NEW ACCOUNT'!A919</f>
        <v/>
      </c>
      <c r="B918" t="str">
        <f>IF('NEW ACCOUNT'!A919="","",'NEW ACCOUNT'!B919)</f>
        <v/>
      </c>
      <c r="C918" t="str">
        <f>IF('NEW ACCOUNT'!A919="","",'NEW ACCOUNT'!C919)</f>
        <v/>
      </c>
      <c r="D918" t="str">
        <f>IF('NEW ACCOUNT'!A919="","",'NEW ACCOUNT'!D919)</f>
        <v/>
      </c>
      <c r="E918" t="str">
        <f>IF('NEW ACCOUNT'!A919="","",'NEW ACCOUNT'!E919)</f>
        <v/>
      </c>
      <c r="F918" t="str">
        <f>IF('NEW ACCOUNT'!A919="","",'NEW ACCOUNT'!F919)</f>
        <v/>
      </c>
      <c r="G918" t="str">
        <f>IF('NEW ACCOUNT'!A919="","",'NEW ACCOUNT'!G919)</f>
        <v/>
      </c>
      <c r="H918" t="str">
        <f>IF('NEW ACCOUNT'!A919="","",'NEW ACCOUNT'!H919)</f>
        <v/>
      </c>
      <c r="I918" t="str">
        <f>IF('NEW ACCOUNT'!A919="","",'NEW ACCOUNT'!I919)</f>
        <v/>
      </c>
      <c r="J918" t="str">
        <f>IF('NEW ACCOUNT'!A919="","",'NEW ACCOUNT'!J919)</f>
        <v/>
      </c>
      <c r="K918" t="str">
        <f>IFERROR(IF(A918="","",SUMIF(DB_Savings!$A:$A,A918,DB_Savings!$F:$F)),"")</f>
        <v/>
      </c>
      <c r="L918" t="str">
        <f>IFERROR(IF(A918="","",SUMIF(DB_Withdrawals!$A:$A,A918,DB_Withdrawals!$G:$G)),"")</f>
        <v/>
      </c>
      <c r="M918" t="str">
        <f>IFERROR(IF(A918="","",IFERROR(VALUE(H918),0)+IFERROR(SUMIF(DB_Savings!$A:$A,A918,DB_Savings!$F:$F),0)-IFERROR(SUMIF(DB_Withdrawals!$A:$A,A918,DB_Withdrawals!$G:$G),0)),"")</f>
        <v/>
      </c>
      <c r="N918" t="str">
        <f>IFERROR(IF(A918="","",MAX(0,M918-System_Config!$B$9)),"")</f>
        <v/>
      </c>
    </row>
    <row r="919" spans="1:14" ht="15" customHeight="1" x14ac:dyDescent="0.25">
      <c r="A919" t="str">
        <f>'NEW ACCOUNT'!A920</f>
        <v/>
      </c>
      <c r="B919" t="str">
        <f>IF('NEW ACCOUNT'!A920="","",'NEW ACCOUNT'!B920)</f>
        <v/>
      </c>
      <c r="C919" t="str">
        <f>IF('NEW ACCOUNT'!A920="","",'NEW ACCOUNT'!C920)</f>
        <v/>
      </c>
      <c r="D919" t="str">
        <f>IF('NEW ACCOUNT'!A920="","",'NEW ACCOUNT'!D920)</f>
        <v/>
      </c>
      <c r="E919" t="str">
        <f>IF('NEW ACCOUNT'!A920="","",'NEW ACCOUNT'!E920)</f>
        <v/>
      </c>
      <c r="F919" t="str">
        <f>IF('NEW ACCOUNT'!A920="","",'NEW ACCOUNT'!F920)</f>
        <v/>
      </c>
      <c r="G919" t="str">
        <f>IF('NEW ACCOUNT'!A920="","",'NEW ACCOUNT'!G920)</f>
        <v/>
      </c>
      <c r="H919" t="str">
        <f>IF('NEW ACCOUNT'!A920="","",'NEW ACCOUNT'!H920)</f>
        <v/>
      </c>
      <c r="I919" t="str">
        <f>IF('NEW ACCOUNT'!A920="","",'NEW ACCOUNT'!I920)</f>
        <v/>
      </c>
      <c r="J919" t="str">
        <f>IF('NEW ACCOUNT'!A920="","",'NEW ACCOUNT'!J920)</f>
        <v/>
      </c>
      <c r="K919" t="str">
        <f>IFERROR(IF(A919="","",SUMIF(DB_Savings!$A:$A,A919,DB_Savings!$F:$F)),"")</f>
        <v/>
      </c>
      <c r="L919" t="str">
        <f>IFERROR(IF(A919="","",SUMIF(DB_Withdrawals!$A:$A,A919,DB_Withdrawals!$G:$G)),"")</f>
        <v/>
      </c>
      <c r="M919" t="str">
        <f>IFERROR(IF(A919="","",IFERROR(VALUE(H919),0)+IFERROR(SUMIF(DB_Savings!$A:$A,A919,DB_Savings!$F:$F),0)-IFERROR(SUMIF(DB_Withdrawals!$A:$A,A919,DB_Withdrawals!$G:$G),0)),"")</f>
        <v/>
      </c>
      <c r="N919" t="str">
        <f>IFERROR(IF(A919="","",MAX(0,M919-System_Config!$B$9)),"")</f>
        <v/>
      </c>
    </row>
    <row r="920" spans="1:14" ht="15" customHeight="1" x14ac:dyDescent="0.25">
      <c r="A920" t="str">
        <f>'NEW ACCOUNT'!A921</f>
        <v/>
      </c>
      <c r="B920" t="str">
        <f>IF('NEW ACCOUNT'!A921="","",'NEW ACCOUNT'!B921)</f>
        <v/>
      </c>
      <c r="C920" t="str">
        <f>IF('NEW ACCOUNT'!A921="","",'NEW ACCOUNT'!C921)</f>
        <v/>
      </c>
      <c r="D920" t="str">
        <f>IF('NEW ACCOUNT'!A921="","",'NEW ACCOUNT'!D921)</f>
        <v/>
      </c>
      <c r="E920" t="str">
        <f>IF('NEW ACCOUNT'!A921="","",'NEW ACCOUNT'!E921)</f>
        <v/>
      </c>
      <c r="F920" t="str">
        <f>IF('NEW ACCOUNT'!A921="","",'NEW ACCOUNT'!F921)</f>
        <v/>
      </c>
      <c r="G920" t="str">
        <f>IF('NEW ACCOUNT'!A921="","",'NEW ACCOUNT'!G921)</f>
        <v/>
      </c>
      <c r="H920" t="str">
        <f>IF('NEW ACCOUNT'!A921="","",'NEW ACCOUNT'!H921)</f>
        <v/>
      </c>
      <c r="I920" t="str">
        <f>IF('NEW ACCOUNT'!A921="","",'NEW ACCOUNT'!I921)</f>
        <v/>
      </c>
      <c r="J920" t="str">
        <f>IF('NEW ACCOUNT'!A921="","",'NEW ACCOUNT'!J921)</f>
        <v/>
      </c>
      <c r="K920" t="str">
        <f>IFERROR(IF(A920="","",SUMIF(DB_Savings!$A:$A,A920,DB_Savings!$F:$F)),"")</f>
        <v/>
      </c>
      <c r="L920" t="str">
        <f>IFERROR(IF(A920="","",SUMIF(DB_Withdrawals!$A:$A,A920,DB_Withdrawals!$G:$G)),"")</f>
        <v/>
      </c>
      <c r="M920" t="str">
        <f>IFERROR(IF(A920="","",IFERROR(VALUE(H920),0)+IFERROR(SUMIF(DB_Savings!$A:$A,A920,DB_Savings!$F:$F),0)-IFERROR(SUMIF(DB_Withdrawals!$A:$A,A920,DB_Withdrawals!$G:$G),0)),"")</f>
        <v/>
      </c>
      <c r="N920" t="str">
        <f>IFERROR(IF(A920="","",MAX(0,M920-System_Config!$B$9)),"")</f>
        <v/>
      </c>
    </row>
    <row r="921" spans="1:14" ht="15" customHeight="1" x14ac:dyDescent="0.25">
      <c r="A921" t="str">
        <f>'NEW ACCOUNT'!A922</f>
        <v/>
      </c>
      <c r="B921" t="str">
        <f>IF('NEW ACCOUNT'!A922="","",'NEW ACCOUNT'!B922)</f>
        <v/>
      </c>
      <c r="C921" t="str">
        <f>IF('NEW ACCOUNT'!A922="","",'NEW ACCOUNT'!C922)</f>
        <v/>
      </c>
      <c r="D921" t="str">
        <f>IF('NEW ACCOUNT'!A922="","",'NEW ACCOUNT'!D922)</f>
        <v/>
      </c>
      <c r="E921" t="str">
        <f>IF('NEW ACCOUNT'!A922="","",'NEW ACCOUNT'!E922)</f>
        <v/>
      </c>
      <c r="F921" t="str">
        <f>IF('NEW ACCOUNT'!A922="","",'NEW ACCOUNT'!F922)</f>
        <v/>
      </c>
      <c r="G921" t="str">
        <f>IF('NEW ACCOUNT'!A922="","",'NEW ACCOUNT'!G922)</f>
        <v/>
      </c>
      <c r="H921" t="str">
        <f>IF('NEW ACCOUNT'!A922="","",'NEW ACCOUNT'!H922)</f>
        <v/>
      </c>
      <c r="I921" t="str">
        <f>IF('NEW ACCOUNT'!A922="","",'NEW ACCOUNT'!I922)</f>
        <v/>
      </c>
      <c r="J921" t="str">
        <f>IF('NEW ACCOUNT'!A922="","",'NEW ACCOUNT'!J922)</f>
        <v/>
      </c>
      <c r="K921" t="str">
        <f>IFERROR(IF(A921="","",SUMIF(DB_Savings!$A:$A,A921,DB_Savings!$F:$F)),"")</f>
        <v/>
      </c>
      <c r="L921" t="str">
        <f>IFERROR(IF(A921="","",SUMIF(DB_Withdrawals!$A:$A,A921,DB_Withdrawals!$G:$G)),"")</f>
        <v/>
      </c>
      <c r="M921" t="str">
        <f>IFERROR(IF(A921="","",IFERROR(VALUE(H921),0)+IFERROR(SUMIF(DB_Savings!$A:$A,A921,DB_Savings!$F:$F),0)-IFERROR(SUMIF(DB_Withdrawals!$A:$A,A921,DB_Withdrawals!$G:$G),0)),"")</f>
        <v/>
      </c>
      <c r="N921" t="str">
        <f>IFERROR(IF(A921="","",MAX(0,M921-System_Config!$B$9)),"")</f>
        <v/>
      </c>
    </row>
    <row r="922" spans="1:14" ht="15" customHeight="1" x14ac:dyDescent="0.25">
      <c r="A922" t="str">
        <f>'NEW ACCOUNT'!A923</f>
        <v/>
      </c>
      <c r="B922" t="str">
        <f>IF('NEW ACCOUNT'!A923="","",'NEW ACCOUNT'!B923)</f>
        <v/>
      </c>
      <c r="C922" t="str">
        <f>IF('NEW ACCOUNT'!A923="","",'NEW ACCOUNT'!C923)</f>
        <v/>
      </c>
      <c r="D922" t="str">
        <f>IF('NEW ACCOUNT'!A923="","",'NEW ACCOUNT'!D923)</f>
        <v/>
      </c>
      <c r="E922" t="str">
        <f>IF('NEW ACCOUNT'!A923="","",'NEW ACCOUNT'!E923)</f>
        <v/>
      </c>
      <c r="F922" t="str">
        <f>IF('NEW ACCOUNT'!A923="","",'NEW ACCOUNT'!F923)</f>
        <v/>
      </c>
      <c r="G922" t="str">
        <f>IF('NEW ACCOUNT'!A923="","",'NEW ACCOUNT'!G923)</f>
        <v/>
      </c>
      <c r="H922" t="str">
        <f>IF('NEW ACCOUNT'!A923="","",'NEW ACCOUNT'!H923)</f>
        <v/>
      </c>
      <c r="I922" t="str">
        <f>IF('NEW ACCOUNT'!A923="","",'NEW ACCOUNT'!I923)</f>
        <v/>
      </c>
      <c r="J922" t="str">
        <f>IF('NEW ACCOUNT'!A923="","",'NEW ACCOUNT'!J923)</f>
        <v/>
      </c>
      <c r="K922" t="str">
        <f>IFERROR(IF(A922="","",SUMIF(DB_Savings!$A:$A,A922,DB_Savings!$F:$F)),"")</f>
        <v/>
      </c>
      <c r="L922" t="str">
        <f>IFERROR(IF(A922="","",SUMIF(DB_Withdrawals!$A:$A,A922,DB_Withdrawals!$G:$G)),"")</f>
        <v/>
      </c>
      <c r="M922" t="str">
        <f>IFERROR(IF(A922="","",IFERROR(VALUE(H922),0)+IFERROR(SUMIF(DB_Savings!$A:$A,A922,DB_Savings!$F:$F),0)-IFERROR(SUMIF(DB_Withdrawals!$A:$A,A922,DB_Withdrawals!$G:$G),0)),"")</f>
        <v/>
      </c>
      <c r="N922" t="str">
        <f>IFERROR(IF(A922="","",MAX(0,M922-System_Config!$B$9)),"")</f>
        <v/>
      </c>
    </row>
    <row r="923" spans="1:14" ht="15" customHeight="1" x14ac:dyDescent="0.25">
      <c r="A923" t="str">
        <f>'NEW ACCOUNT'!A924</f>
        <v/>
      </c>
      <c r="B923" t="str">
        <f>IF('NEW ACCOUNT'!A924="","",'NEW ACCOUNT'!B924)</f>
        <v/>
      </c>
      <c r="C923" t="str">
        <f>IF('NEW ACCOUNT'!A924="","",'NEW ACCOUNT'!C924)</f>
        <v/>
      </c>
      <c r="D923" t="str">
        <f>IF('NEW ACCOUNT'!A924="","",'NEW ACCOUNT'!D924)</f>
        <v/>
      </c>
      <c r="E923" t="str">
        <f>IF('NEW ACCOUNT'!A924="","",'NEW ACCOUNT'!E924)</f>
        <v/>
      </c>
      <c r="F923" t="str">
        <f>IF('NEW ACCOUNT'!A924="","",'NEW ACCOUNT'!F924)</f>
        <v/>
      </c>
      <c r="G923" t="str">
        <f>IF('NEW ACCOUNT'!A924="","",'NEW ACCOUNT'!G924)</f>
        <v/>
      </c>
      <c r="H923" t="str">
        <f>IF('NEW ACCOUNT'!A924="","",'NEW ACCOUNT'!H924)</f>
        <v/>
      </c>
      <c r="I923" t="str">
        <f>IF('NEW ACCOUNT'!A924="","",'NEW ACCOUNT'!I924)</f>
        <v/>
      </c>
      <c r="J923" t="str">
        <f>IF('NEW ACCOUNT'!A924="","",'NEW ACCOUNT'!J924)</f>
        <v/>
      </c>
      <c r="K923" t="str">
        <f>IFERROR(IF(A923="","",SUMIF(DB_Savings!$A:$A,A923,DB_Savings!$F:$F)),"")</f>
        <v/>
      </c>
      <c r="L923" t="str">
        <f>IFERROR(IF(A923="","",SUMIF(DB_Withdrawals!$A:$A,A923,DB_Withdrawals!$G:$G)),"")</f>
        <v/>
      </c>
      <c r="M923" t="str">
        <f>IFERROR(IF(A923="","",IFERROR(VALUE(H923),0)+IFERROR(SUMIF(DB_Savings!$A:$A,A923,DB_Savings!$F:$F),0)-IFERROR(SUMIF(DB_Withdrawals!$A:$A,A923,DB_Withdrawals!$G:$G),0)),"")</f>
        <v/>
      </c>
      <c r="N923" t="str">
        <f>IFERROR(IF(A923="","",MAX(0,M923-System_Config!$B$9)),"")</f>
        <v/>
      </c>
    </row>
    <row r="924" spans="1:14" ht="15" customHeight="1" x14ac:dyDescent="0.25">
      <c r="A924" t="str">
        <f>'NEW ACCOUNT'!A925</f>
        <v/>
      </c>
      <c r="B924" t="str">
        <f>IF('NEW ACCOUNT'!A925="","",'NEW ACCOUNT'!B925)</f>
        <v/>
      </c>
      <c r="C924" t="str">
        <f>IF('NEW ACCOUNT'!A925="","",'NEW ACCOUNT'!C925)</f>
        <v/>
      </c>
      <c r="D924" t="str">
        <f>IF('NEW ACCOUNT'!A925="","",'NEW ACCOUNT'!D925)</f>
        <v/>
      </c>
      <c r="E924" t="str">
        <f>IF('NEW ACCOUNT'!A925="","",'NEW ACCOUNT'!E925)</f>
        <v/>
      </c>
      <c r="F924" t="str">
        <f>IF('NEW ACCOUNT'!A925="","",'NEW ACCOUNT'!F925)</f>
        <v/>
      </c>
      <c r="G924" t="str">
        <f>IF('NEW ACCOUNT'!A925="","",'NEW ACCOUNT'!G925)</f>
        <v/>
      </c>
      <c r="H924" t="str">
        <f>IF('NEW ACCOUNT'!A925="","",'NEW ACCOUNT'!H925)</f>
        <v/>
      </c>
      <c r="I924" t="str">
        <f>IF('NEW ACCOUNT'!A925="","",'NEW ACCOUNT'!I925)</f>
        <v/>
      </c>
      <c r="J924" t="str">
        <f>IF('NEW ACCOUNT'!A925="","",'NEW ACCOUNT'!J925)</f>
        <v/>
      </c>
      <c r="K924" t="str">
        <f>IFERROR(IF(A924="","",SUMIF(DB_Savings!$A:$A,A924,DB_Savings!$F:$F)),"")</f>
        <v/>
      </c>
      <c r="L924" t="str">
        <f>IFERROR(IF(A924="","",SUMIF(DB_Withdrawals!$A:$A,A924,DB_Withdrawals!$G:$G)),"")</f>
        <v/>
      </c>
      <c r="M924" t="str">
        <f>IFERROR(IF(A924="","",IFERROR(VALUE(H924),0)+IFERROR(SUMIF(DB_Savings!$A:$A,A924,DB_Savings!$F:$F),0)-IFERROR(SUMIF(DB_Withdrawals!$A:$A,A924,DB_Withdrawals!$G:$G),0)),"")</f>
        <v/>
      </c>
      <c r="N924" t="str">
        <f>IFERROR(IF(A924="","",MAX(0,M924-System_Config!$B$9)),"")</f>
        <v/>
      </c>
    </row>
    <row r="925" spans="1:14" ht="15" customHeight="1" x14ac:dyDescent="0.25">
      <c r="A925" t="str">
        <f>'NEW ACCOUNT'!A926</f>
        <v/>
      </c>
      <c r="B925" t="str">
        <f>IF('NEW ACCOUNT'!A926="","",'NEW ACCOUNT'!B926)</f>
        <v/>
      </c>
      <c r="C925" t="str">
        <f>IF('NEW ACCOUNT'!A926="","",'NEW ACCOUNT'!C926)</f>
        <v/>
      </c>
      <c r="D925" t="str">
        <f>IF('NEW ACCOUNT'!A926="","",'NEW ACCOUNT'!D926)</f>
        <v/>
      </c>
      <c r="E925" t="str">
        <f>IF('NEW ACCOUNT'!A926="","",'NEW ACCOUNT'!E926)</f>
        <v/>
      </c>
      <c r="F925" t="str">
        <f>IF('NEW ACCOUNT'!A926="","",'NEW ACCOUNT'!F926)</f>
        <v/>
      </c>
      <c r="G925" t="str">
        <f>IF('NEW ACCOUNT'!A926="","",'NEW ACCOUNT'!G926)</f>
        <v/>
      </c>
      <c r="H925" t="str">
        <f>IF('NEW ACCOUNT'!A926="","",'NEW ACCOUNT'!H926)</f>
        <v/>
      </c>
      <c r="I925" t="str">
        <f>IF('NEW ACCOUNT'!A926="","",'NEW ACCOUNT'!I926)</f>
        <v/>
      </c>
      <c r="J925" t="str">
        <f>IF('NEW ACCOUNT'!A926="","",'NEW ACCOUNT'!J926)</f>
        <v/>
      </c>
      <c r="K925" t="str">
        <f>IFERROR(IF(A925="","",SUMIF(DB_Savings!$A:$A,A925,DB_Savings!$F:$F)),"")</f>
        <v/>
      </c>
      <c r="L925" t="str">
        <f>IFERROR(IF(A925="","",SUMIF(DB_Withdrawals!$A:$A,A925,DB_Withdrawals!$G:$G)),"")</f>
        <v/>
      </c>
      <c r="M925" t="str">
        <f>IFERROR(IF(A925="","",IFERROR(VALUE(H925),0)+IFERROR(SUMIF(DB_Savings!$A:$A,A925,DB_Savings!$F:$F),0)-IFERROR(SUMIF(DB_Withdrawals!$A:$A,A925,DB_Withdrawals!$G:$G),0)),"")</f>
        <v/>
      </c>
      <c r="N925" t="str">
        <f>IFERROR(IF(A925="","",MAX(0,M925-System_Config!$B$9)),"")</f>
        <v/>
      </c>
    </row>
    <row r="926" spans="1:14" ht="15" customHeight="1" x14ac:dyDescent="0.25">
      <c r="A926" t="str">
        <f>'NEW ACCOUNT'!A927</f>
        <v/>
      </c>
      <c r="B926" t="str">
        <f>IF('NEW ACCOUNT'!A927="","",'NEW ACCOUNT'!B927)</f>
        <v/>
      </c>
      <c r="C926" t="str">
        <f>IF('NEW ACCOUNT'!A927="","",'NEW ACCOUNT'!C927)</f>
        <v/>
      </c>
      <c r="D926" t="str">
        <f>IF('NEW ACCOUNT'!A927="","",'NEW ACCOUNT'!D927)</f>
        <v/>
      </c>
      <c r="E926" t="str">
        <f>IF('NEW ACCOUNT'!A927="","",'NEW ACCOUNT'!E927)</f>
        <v/>
      </c>
      <c r="F926" t="str">
        <f>IF('NEW ACCOUNT'!A927="","",'NEW ACCOUNT'!F927)</f>
        <v/>
      </c>
      <c r="G926" t="str">
        <f>IF('NEW ACCOUNT'!A927="","",'NEW ACCOUNT'!G927)</f>
        <v/>
      </c>
      <c r="H926" t="str">
        <f>IF('NEW ACCOUNT'!A927="","",'NEW ACCOUNT'!H927)</f>
        <v/>
      </c>
      <c r="I926" t="str">
        <f>IF('NEW ACCOUNT'!A927="","",'NEW ACCOUNT'!I927)</f>
        <v/>
      </c>
      <c r="J926" t="str">
        <f>IF('NEW ACCOUNT'!A927="","",'NEW ACCOUNT'!J927)</f>
        <v/>
      </c>
      <c r="K926" t="str">
        <f>IFERROR(IF(A926="","",SUMIF(DB_Savings!$A:$A,A926,DB_Savings!$F:$F)),"")</f>
        <v/>
      </c>
      <c r="L926" t="str">
        <f>IFERROR(IF(A926="","",SUMIF(DB_Withdrawals!$A:$A,A926,DB_Withdrawals!$G:$G)),"")</f>
        <v/>
      </c>
      <c r="M926" t="str">
        <f>IFERROR(IF(A926="","",IFERROR(VALUE(H926),0)+IFERROR(SUMIF(DB_Savings!$A:$A,A926,DB_Savings!$F:$F),0)-IFERROR(SUMIF(DB_Withdrawals!$A:$A,A926,DB_Withdrawals!$G:$G),0)),"")</f>
        <v/>
      </c>
      <c r="N926" t="str">
        <f>IFERROR(IF(A926="","",MAX(0,M926-System_Config!$B$9)),"")</f>
        <v/>
      </c>
    </row>
    <row r="927" spans="1:14" ht="15" customHeight="1" x14ac:dyDescent="0.25">
      <c r="A927" t="str">
        <f>'NEW ACCOUNT'!A928</f>
        <v/>
      </c>
      <c r="B927" t="str">
        <f>IF('NEW ACCOUNT'!A928="","",'NEW ACCOUNT'!B928)</f>
        <v/>
      </c>
      <c r="C927" t="str">
        <f>IF('NEW ACCOUNT'!A928="","",'NEW ACCOUNT'!C928)</f>
        <v/>
      </c>
      <c r="D927" t="str">
        <f>IF('NEW ACCOUNT'!A928="","",'NEW ACCOUNT'!D928)</f>
        <v/>
      </c>
      <c r="E927" t="str">
        <f>IF('NEW ACCOUNT'!A928="","",'NEW ACCOUNT'!E928)</f>
        <v/>
      </c>
      <c r="F927" t="str">
        <f>IF('NEW ACCOUNT'!A928="","",'NEW ACCOUNT'!F928)</f>
        <v/>
      </c>
      <c r="G927" t="str">
        <f>IF('NEW ACCOUNT'!A928="","",'NEW ACCOUNT'!G928)</f>
        <v/>
      </c>
      <c r="H927" t="str">
        <f>IF('NEW ACCOUNT'!A928="","",'NEW ACCOUNT'!H928)</f>
        <v/>
      </c>
      <c r="I927" t="str">
        <f>IF('NEW ACCOUNT'!A928="","",'NEW ACCOUNT'!I928)</f>
        <v/>
      </c>
      <c r="J927" t="str">
        <f>IF('NEW ACCOUNT'!A928="","",'NEW ACCOUNT'!J928)</f>
        <v/>
      </c>
      <c r="K927" t="str">
        <f>IFERROR(IF(A927="","",SUMIF(DB_Savings!$A:$A,A927,DB_Savings!$F:$F)),"")</f>
        <v/>
      </c>
      <c r="L927" t="str">
        <f>IFERROR(IF(A927="","",SUMIF(DB_Withdrawals!$A:$A,A927,DB_Withdrawals!$G:$G)),"")</f>
        <v/>
      </c>
      <c r="M927" t="str">
        <f>IFERROR(IF(A927="","",IFERROR(VALUE(H927),0)+IFERROR(SUMIF(DB_Savings!$A:$A,A927,DB_Savings!$F:$F),0)-IFERROR(SUMIF(DB_Withdrawals!$A:$A,A927,DB_Withdrawals!$G:$G),0)),"")</f>
        <v/>
      </c>
      <c r="N927" t="str">
        <f>IFERROR(IF(A927="","",MAX(0,M927-System_Config!$B$9)),"")</f>
        <v/>
      </c>
    </row>
    <row r="928" spans="1:14" ht="15" customHeight="1" x14ac:dyDescent="0.25">
      <c r="A928" t="str">
        <f>'NEW ACCOUNT'!A929</f>
        <v/>
      </c>
      <c r="B928" t="str">
        <f>IF('NEW ACCOUNT'!A929="","",'NEW ACCOUNT'!B929)</f>
        <v/>
      </c>
      <c r="C928" t="str">
        <f>IF('NEW ACCOUNT'!A929="","",'NEW ACCOUNT'!C929)</f>
        <v/>
      </c>
      <c r="D928" t="str">
        <f>IF('NEW ACCOUNT'!A929="","",'NEW ACCOUNT'!D929)</f>
        <v/>
      </c>
      <c r="E928" t="str">
        <f>IF('NEW ACCOUNT'!A929="","",'NEW ACCOUNT'!E929)</f>
        <v/>
      </c>
      <c r="F928" t="str">
        <f>IF('NEW ACCOUNT'!A929="","",'NEW ACCOUNT'!F929)</f>
        <v/>
      </c>
      <c r="G928" t="str">
        <f>IF('NEW ACCOUNT'!A929="","",'NEW ACCOUNT'!G929)</f>
        <v/>
      </c>
      <c r="H928" t="str">
        <f>IF('NEW ACCOUNT'!A929="","",'NEW ACCOUNT'!H929)</f>
        <v/>
      </c>
      <c r="I928" t="str">
        <f>IF('NEW ACCOUNT'!A929="","",'NEW ACCOUNT'!I929)</f>
        <v/>
      </c>
      <c r="J928" t="str">
        <f>IF('NEW ACCOUNT'!A929="","",'NEW ACCOUNT'!J929)</f>
        <v/>
      </c>
      <c r="K928" t="str">
        <f>IFERROR(IF(A928="","",SUMIF(DB_Savings!$A:$A,A928,DB_Savings!$F:$F)),"")</f>
        <v/>
      </c>
      <c r="L928" t="str">
        <f>IFERROR(IF(A928="","",SUMIF(DB_Withdrawals!$A:$A,A928,DB_Withdrawals!$G:$G)),"")</f>
        <v/>
      </c>
      <c r="M928" t="str">
        <f>IFERROR(IF(A928="","",IFERROR(VALUE(H928),0)+IFERROR(SUMIF(DB_Savings!$A:$A,A928,DB_Savings!$F:$F),0)-IFERROR(SUMIF(DB_Withdrawals!$A:$A,A928,DB_Withdrawals!$G:$G),0)),"")</f>
        <v/>
      </c>
      <c r="N928" t="str">
        <f>IFERROR(IF(A928="","",MAX(0,M928-System_Config!$B$9)),"")</f>
        <v/>
      </c>
    </row>
    <row r="929" spans="1:14" ht="15" customHeight="1" x14ac:dyDescent="0.25">
      <c r="A929" t="str">
        <f>'NEW ACCOUNT'!A930</f>
        <v/>
      </c>
      <c r="B929" t="str">
        <f>IF('NEW ACCOUNT'!A930="","",'NEW ACCOUNT'!B930)</f>
        <v/>
      </c>
      <c r="C929" t="str">
        <f>IF('NEW ACCOUNT'!A930="","",'NEW ACCOUNT'!C930)</f>
        <v/>
      </c>
      <c r="D929" t="str">
        <f>IF('NEW ACCOUNT'!A930="","",'NEW ACCOUNT'!D930)</f>
        <v/>
      </c>
      <c r="E929" t="str">
        <f>IF('NEW ACCOUNT'!A930="","",'NEW ACCOUNT'!E930)</f>
        <v/>
      </c>
      <c r="F929" t="str">
        <f>IF('NEW ACCOUNT'!A930="","",'NEW ACCOUNT'!F930)</f>
        <v/>
      </c>
      <c r="G929" t="str">
        <f>IF('NEW ACCOUNT'!A930="","",'NEW ACCOUNT'!G930)</f>
        <v/>
      </c>
      <c r="H929" t="str">
        <f>IF('NEW ACCOUNT'!A930="","",'NEW ACCOUNT'!H930)</f>
        <v/>
      </c>
      <c r="I929" t="str">
        <f>IF('NEW ACCOUNT'!A930="","",'NEW ACCOUNT'!I930)</f>
        <v/>
      </c>
      <c r="J929" t="str">
        <f>IF('NEW ACCOUNT'!A930="","",'NEW ACCOUNT'!J930)</f>
        <v/>
      </c>
      <c r="K929" t="str">
        <f>IFERROR(IF(A929="","",SUMIF(DB_Savings!$A:$A,A929,DB_Savings!$F:$F)),"")</f>
        <v/>
      </c>
      <c r="L929" t="str">
        <f>IFERROR(IF(A929="","",SUMIF(DB_Withdrawals!$A:$A,A929,DB_Withdrawals!$G:$G)),"")</f>
        <v/>
      </c>
      <c r="M929" t="str">
        <f>IFERROR(IF(A929="","",IFERROR(VALUE(H929),0)+IFERROR(SUMIF(DB_Savings!$A:$A,A929,DB_Savings!$F:$F),0)-IFERROR(SUMIF(DB_Withdrawals!$A:$A,A929,DB_Withdrawals!$G:$G),0)),"")</f>
        <v/>
      </c>
      <c r="N929" t="str">
        <f>IFERROR(IF(A929="","",MAX(0,M929-System_Config!$B$9)),"")</f>
        <v/>
      </c>
    </row>
    <row r="930" spans="1:14" ht="15" customHeight="1" x14ac:dyDescent="0.25">
      <c r="A930" t="str">
        <f>'NEW ACCOUNT'!A931</f>
        <v/>
      </c>
      <c r="B930" t="str">
        <f>IF('NEW ACCOUNT'!A931="","",'NEW ACCOUNT'!B931)</f>
        <v/>
      </c>
      <c r="C930" t="str">
        <f>IF('NEW ACCOUNT'!A931="","",'NEW ACCOUNT'!C931)</f>
        <v/>
      </c>
      <c r="D930" t="str">
        <f>IF('NEW ACCOUNT'!A931="","",'NEW ACCOUNT'!D931)</f>
        <v/>
      </c>
      <c r="E930" t="str">
        <f>IF('NEW ACCOUNT'!A931="","",'NEW ACCOUNT'!E931)</f>
        <v/>
      </c>
      <c r="F930" t="str">
        <f>IF('NEW ACCOUNT'!A931="","",'NEW ACCOUNT'!F931)</f>
        <v/>
      </c>
      <c r="G930" t="str">
        <f>IF('NEW ACCOUNT'!A931="","",'NEW ACCOUNT'!G931)</f>
        <v/>
      </c>
      <c r="H930" t="str">
        <f>IF('NEW ACCOUNT'!A931="","",'NEW ACCOUNT'!H931)</f>
        <v/>
      </c>
      <c r="I930" t="str">
        <f>IF('NEW ACCOUNT'!A931="","",'NEW ACCOUNT'!I931)</f>
        <v/>
      </c>
      <c r="J930" t="str">
        <f>IF('NEW ACCOUNT'!A931="","",'NEW ACCOUNT'!J931)</f>
        <v/>
      </c>
      <c r="K930" t="str">
        <f>IFERROR(IF(A930="","",SUMIF(DB_Savings!$A:$A,A930,DB_Savings!$F:$F)),"")</f>
        <v/>
      </c>
      <c r="L930" t="str">
        <f>IFERROR(IF(A930="","",SUMIF(DB_Withdrawals!$A:$A,A930,DB_Withdrawals!$G:$G)),"")</f>
        <v/>
      </c>
      <c r="M930" t="str">
        <f>IFERROR(IF(A930="","",IFERROR(VALUE(H930),0)+IFERROR(SUMIF(DB_Savings!$A:$A,A930,DB_Savings!$F:$F),0)-IFERROR(SUMIF(DB_Withdrawals!$A:$A,A930,DB_Withdrawals!$G:$G),0)),"")</f>
        <v/>
      </c>
      <c r="N930" t="str">
        <f>IFERROR(IF(A930="","",MAX(0,M930-System_Config!$B$9)),"")</f>
        <v/>
      </c>
    </row>
    <row r="931" spans="1:14" ht="15" customHeight="1" x14ac:dyDescent="0.25">
      <c r="A931" t="str">
        <f>'NEW ACCOUNT'!A932</f>
        <v/>
      </c>
      <c r="B931" t="str">
        <f>IF('NEW ACCOUNT'!A932="","",'NEW ACCOUNT'!B932)</f>
        <v/>
      </c>
      <c r="C931" t="str">
        <f>IF('NEW ACCOUNT'!A932="","",'NEW ACCOUNT'!C932)</f>
        <v/>
      </c>
      <c r="D931" t="str">
        <f>IF('NEW ACCOUNT'!A932="","",'NEW ACCOUNT'!D932)</f>
        <v/>
      </c>
      <c r="E931" t="str">
        <f>IF('NEW ACCOUNT'!A932="","",'NEW ACCOUNT'!E932)</f>
        <v/>
      </c>
      <c r="F931" t="str">
        <f>IF('NEW ACCOUNT'!A932="","",'NEW ACCOUNT'!F932)</f>
        <v/>
      </c>
      <c r="G931" t="str">
        <f>IF('NEW ACCOUNT'!A932="","",'NEW ACCOUNT'!G932)</f>
        <v/>
      </c>
      <c r="H931" t="str">
        <f>IF('NEW ACCOUNT'!A932="","",'NEW ACCOUNT'!H932)</f>
        <v/>
      </c>
      <c r="I931" t="str">
        <f>IF('NEW ACCOUNT'!A932="","",'NEW ACCOUNT'!I932)</f>
        <v/>
      </c>
      <c r="J931" t="str">
        <f>IF('NEW ACCOUNT'!A932="","",'NEW ACCOUNT'!J932)</f>
        <v/>
      </c>
      <c r="K931" t="str">
        <f>IFERROR(IF(A931="","",SUMIF(DB_Savings!$A:$A,A931,DB_Savings!$F:$F)),"")</f>
        <v/>
      </c>
      <c r="L931" t="str">
        <f>IFERROR(IF(A931="","",SUMIF(DB_Withdrawals!$A:$A,A931,DB_Withdrawals!$G:$G)),"")</f>
        <v/>
      </c>
      <c r="M931" t="str">
        <f>IFERROR(IF(A931="","",IFERROR(VALUE(H931),0)+IFERROR(SUMIF(DB_Savings!$A:$A,A931,DB_Savings!$F:$F),0)-IFERROR(SUMIF(DB_Withdrawals!$A:$A,A931,DB_Withdrawals!$G:$G),0)),"")</f>
        <v/>
      </c>
      <c r="N931" t="str">
        <f>IFERROR(IF(A931="","",MAX(0,M931-System_Config!$B$9)),"")</f>
        <v/>
      </c>
    </row>
    <row r="932" spans="1:14" ht="15" customHeight="1" x14ac:dyDescent="0.25">
      <c r="A932" t="str">
        <f>'NEW ACCOUNT'!A933</f>
        <v/>
      </c>
      <c r="B932" t="str">
        <f>IF('NEW ACCOUNT'!A933="","",'NEW ACCOUNT'!B933)</f>
        <v/>
      </c>
      <c r="C932" t="str">
        <f>IF('NEW ACCOUNT'!A933="","",'NEW ACCOUNT'!C933)</f>
        <v/>
      </c>
      <c r="D932" t="str">
        <f>IF('NEW ACCOUNT'!A933="","",'NEW ACCOUNT'!D933)</f>
        <v/>
      </c>
      <c r="E932" t="str">
        <f>IF('NEW ACCOUNT'!A933="","",'NEW ACCOUNT'!E933)</f>
        <v/>
      </c>
      <c r="F932" t="str">
        <f>IF('NEW ACCOUNT'!A933="","",'NEW ACCOUNT'!F933)</f>
        <v/>
      </c>
      <c r="G932" t="str">
        <f>IF('NEW ACCOUNT'!A933="","",'NEW ACCOUNT'!G933)</f>
        <v/>
      </c>
      <c r="H932" t="str">
        <f>IF('NEW ACCOUNT'!A933="","",'NEW ACCOUNT'!H933)</f>
        <v/>
      </c>
      <c r="I932" t="str">
        <f>IF('NEW ACCOUNT'!A933="","",'NEW ACCOUNT'!I933)</f>
        <v/>
      </c>
      <c r="J932" t="str">
        <f>IF('NEW ACCOUNT'!A933="","",'NEW ACCOUNT'!J933)</f>
        <v/>
      </c>
      <c r="K932" t="str">
        <f>IFERROR(IF(A932="","",SUMIF(DB_Savings!$A:$A,A932,DB_Savings!$F:$F)),"")</f>
        <v/>
      </c>
      <c r="L932" t="str">
        <f>IFERROR(IF(A932="","",SUMIF(DB_Withdrawals!$A:$A,A932,DB_Withdrawals!$G:$G)),"")</f>
        <v/>
      </c>
      <c r="M932" t="str">
        <f>IFERROR(IF(A932="","",IFERROR(VALUE(H932),0)+IFERROR(SUMIF(DB_Savings!$A:$A,A932,DB_Savings!$F:$F),0)-IFERROR(SUMIF(DB_Withdrawals!$A:$A,A932,DB_Withdrawals!$G:$G),0)),"")</f>
        <v/>
      </c>
      <c r="N932" t="str">
        <f>IFERROR(IF(A932="","",MAX(0,M932-System_Config!$B$9)),"")</f>
        <v/>
      </c>
    </row>
    <row r="933" spans="1:14" ht="15" customHeight="1" x14ac:dyDescent="0.25">
      <c r="A933" t="str">
        <f>'NEW ACCOUNT'!A934</f>
        <v/>
      </c>
      <c r="B933" t="str">
        <f>IF('NEW ACCOUNT'!A934="","",'NEW ACCOUNT'!B934)</f>
        <v/>
      </c>
      <c r="C933" t="str">
        <f>IF('NEW ACCOUNT'!A934="","",'NEW ACCOUNT'!C934)</f>
        <v/>
      </c>
      <c r="D933" t="str">
        <f>IF('NEW ACCOUNT'!A934="","",'NEW ACCOUNT'!D934)</f>
        <v/>
      </c>
      <c r="E933" t="str">
        <f>IF('NEW ACCOUNT'!A934="","",'NEW ACCOUNT'!E934)</f>
        <v/>
      </c>
      <c r="F933" t="str">
        <f>IF('NEW ACCOUNT'!A934="","",'NEW ACCOUNT'!F934)</f>
        <v/>
      </c>
      <c r="G933" t="str">
        <f>IF('NEW ACCOUNT'!A934="","",'NEW ACCOUNT'!G934)</f>
        <v/>
      </c>
      <c r="H933" t="str">
        <f>IF('NEW ACCOUNT'!A934="","",'NEW ACCOUNT'!H934)</f>
        <v/>
      </c>
      <c r="I933" t="str">
        <f>IF('NEW ACCOUNT'!A934="","",'NEW ACCOUNT'!I934)</f>
        <v/>
      </c>
      <c r="J933" t="str">
        <f>IF('NEW ACCOUNT'!A934="","",'NEW ACCOUNT'!J934)</f>
        <v/>
      </c>
      <c r="K933" t="str">
        <f>IFERROR(IF(A933="","",SUMIF(DB_Savings!$A:$A,A933,DB_Savings!$F:$F)),"")</f>
        <v/>
      </c>
      <c r="L933" t="str">
        <f>IFERROR(IF(A933="","",SUMIF(DB_Withdrawals!$A:$A,A933,DB_Withdrawals!$G:$G)),"")</f>
        <v/>
      </c>
      <c r="M933" t="str">
        <f>IFERROR(IF(A933="","",IFERROR(VALUE(H933),0)+IFERROR(SUMIF(DB_Savings!$A:$A,A933,DB_Savings!$F:$F),0)-IFERROR(SUMIF(DB_Withdrawals!$A:$A,A933,DB_Withdrawals!$G:$G),0)),"")</f>
        <v/>
      </c>
      <c r="N933" t="str">
        <f>IFERROR(IF(A933="","",MAX(0,M933-System_Config!$B$9)),"")</f>
        <v/>
      </c>
    </row>
    <row r="934" spans="1:14" ht="15" customHeight="1" x14ac:dyDescent="0.25">
      <c r="A934" t="str">
        <f>'NEW ACCOUNT'!A935</f>
        <v/>
      </c>
      <c r="B934" t="str">
        <f>IF('NEW ACCOUNT'!A935="","",'NEW ACCOUNT'!B935)</f>
        <v/>
      </c>
      <c r="C934" t="str">
        <f>IF('NEW ACCOUNT'!A935="","",'NEW ACCOUNT'!C935)</f>
        <v/>
      </c>
      <c r="D934" t="str">
        <f>IF('NEW ACCOUNT'!A935="","",'NEW ACCOUNT'!D935)</f>
        <v/>
      </c>
      <c r="E934" t="str">
        <f>IF('NEW ACCOUNT'!A935="","",'NEW ACCOUNT'!E935)</f>
        <v/>
      </c>
      <c r="F934" t="str">
        <f>IF('NEW ACCOUNT'!A935="","",'NEW ACCOUNT'!F935)</f>
        <v/>
      </c>
      <c r="G934" t="str">
        <f>IF('NEW ACCOUNT'!A935="","",'NEW ACCOUNT'!G935)</f>
        <v/>
      </c>
      <c r="H934" t="str">
        <f>IF('NEW ACCOUNT'!A935="","",'NEW ACCOUNT'!H935)</f>
        <v/>
      </c>
      <c r="I934" t="str">
        <f>IF('NEW ACCOUNT'!A935="","",'NEW ACCOUNT'!I935)</f>
        <v/>
      </c>
      <c r="J934" t="str">
        <f>IF('NEW ACCOUNT'!A935="","",'NEW ACCOUNT'!J935)</f>
        <v/>
      </c>
      <c r="K934" t="str">
        <f>IFERROR(IF(A934="","",SUMIF(DB_Savings!$A:$A,A934,DB_Savings!$F:$F)),"")</f>
        <v/>
      </c>
      <c r="L934" t="str">
        <f>IFERROR(IF(A934="","",SUMIF(DB_Withdrawals!$A:$A,A934,DB_Withdrawals!$G:$G)),"")</f>
        <v/>
      </c>
      <c r="M934" t="str">
        <f>IFERROR(IF(A934="","",IFERROR(VALUE(H934),0)+IFERROR(SUMIF(DB_Savings!$A:$A,A934,DB_Savings!$F:$F),0)-IFERROR(SUMIF(DB_Withdrawals!$A:$A,A934,DB_Withdrawals!$G:$G),0)),"")</f>
        <v/>
      </c>
      <c r="N934" t="str">
        <f>IFERROR(IF(A934="","",MAX(0,M934-System_Config!$B$9)),"")</f>
        <v/>
      </c>
    </row>
    <row r="935" spans="1:14" ht="15" customHeight="1" x14ac:dyDescent="0.25">
      <c r="A935" t="str">
        <f>'NEW ACCOUNT'!A936</f>
        <v/>
      </c>
      <c r="B935" t="str">
        <f>IF('NEW ACCOUNT'!A936="","",'NEW ACCOUNT'!B936)</f>
        <v/>
      </c>
      <c r="C935" t="str">
        <f>IF('NEW ACCOUNT'!A936="","",'NEW ACCOUNT'!C936)</f>
        <v/>
      </c>
      <c r="D935" t="str">
        <f>IF('NEW ACCOUNT'!A936="","",'NEW ACCOUNT'!D936)</f>
        <v/>
      </c>
      <c r="E935" t="str">
        <f>IF('NEW ACCOUNT'!A936="","",'NEW ACCOUNT'!E936)</f>
        <v/>
      </c>
      <c r="F935" t="str">
        <f>IF('NEW ACCOUNT'!A936="","",'NEW ACCOUNT'!F936)</f>
        <v/>
      </c>
      <c r="G935" t="str">
        <f>IF('NEW ACCOUNT'!A936="","",'NEW ACCOUNT'!G936)</f>
        <v/>
      </c>
      <c r="H935" t="str">
        <f>IF('NEW ACCOUNT'!A936="","",'NEW ACCOUNT'!H936)</f>
        <v/>
      </c>
      <c r="I935" t="str">
        <f>IF('NEW ACCOUNT'!A936="","",'NEW ACCOUNT'!I936)</f>
        <v/>
      </c>
      <c r="J935" t="str">
        <f>IF('NEW ACCOUNT'!A936="","",'NEW ACCOUNT'!J936)</f>
        <v/>
      </c>
      <c r="K935" t="str">
        <f>IFERROR(IF(A935="","",SUMIF(DB_Savings!$A:$A,A935,DB_Savings!$F:$F)),"")</f>
        <v/>
      </c>
      <c r="L935" t="str">
        <f>IFERROR(IF(A935="","",SUMIF(DB_Withdrawals!$A:$A,A935,DB_Withdrawals!$G:$G)),"")</f>
        <v/>
      </c>
      <c r="M935" t="str">
        <f>IFERROR(IF(A935="","",IFERROR(VALUE(H935),0)+IFERROR(SUMIF(DB_Savings!$A:$A,A935,DB_Savings!$F:$F),0)-IFERROR(SUMIF(DB_Withdrawals!$A:$A,A935,DB_Withdrawals!$G:$G),0)),"")</f>
        <v/>
      </c>
      <c r="N935" t="str">
        <f>IFERROR(IF(A935="","",MAX(0,M935-System_Config!$B$9)),"")</f>
        <v/>
      </c>
    </row>
    <row r="936" spans="1:14" ht="15" customHeight="1" x14ac:dyDescent="0.25">
      <c r="A936" t="str">
        <f>'NEW ACCOUNT'!A937</f>
        <v/>
      </c>
      <c r="B936" t="str">
        <f>IF('NEW ACCOUNT'!A937="","",'NEW ACCOUNT'!B937)</f>
        <v/>
      </c>
      <c r="C936" t="str">
        <f>IF('NEW ACCOUNT'!A937="","",'NEW ACCOUNT'!C937)</f>
        <v/>
      </c>
      <c r="D936" t="str">
        <f>IF('NEW ACCOUNT'!A937="","",'NEW ACCOUNT'!D937)</f>
        <v/>
      </c>
      <c r="E936" t="str">
        <f>IF('NEW ACCOUNT'!A937="","",'NEW ACCOUNT'!E937)</f>
        <v/>
      </c>
      <c r="F936" t="str">
        <f>IF('NEW ACCOUNT'!A937="","",'NEW ACCOUNT'!F937)</f>
        <v/>
      </c>
      <c r="G936" t="str">
        <f>IF('NEW ACCOUNT'!A937="","",'NEW ACCOUNT'!G937)</f>
        <v/>
      </c>
      <c r="H936" t="str">
        <f>IF('NEW ACCOUNT'!A937="","",'NEW ACCOUNT'!H937)</f>
        <v/>
      </c>
      <c r="I936" t="str">
        <f>IF('NEW ACCOUNT'!A937="","",'NEW ACCOUNT'!I937)</f>
        <v/>
      </c>
      <c r="J936" t="str">
        <f>IF('NEW ACCOUNT'!A937="","",'NEW ACCOUNT'!J937)</f>
        <v/>
      </c>
      <c r="K936" t="str">
        <f>IFERROR(IF(A936="","",SUMIF(DB_Savings!$A:$A,A936,DB_Savings!$F:$F)),"")</f>
        <v/>
      </c>
      <c r="L936" t="str">
        <f>IFERROR(IF(A936="","",SUMIF(DB_Withdrawals!$A:$A,A936,DB_Withdrawals!$G:$G)),"")</f>
        <v/>
      </c>
      <c r="M936" t="str">
        <f>IFERROR(IF(A936="","",IFERROR(VALUE(H936),0)+IFERROR(SUMIF(DB_Savings!$A:$A,A936,DB_Savings!$F:$F),0)-IFERROR(SUMIF(DB_Withdrawals!$A:$A,A936,DB_Withdrawals!$G:$G),0)),"")</f>
        <v/>
      </c>
      <c r="N936" t="str">
        <f>IFERROR(IF(A936="","",MAX(0,M936-System_Config!$B$9)),"")</f>
        <v/>
      </c>
    </row>
    <row r="937" spans="1:14" ht="15" customHeight="1" x14ac:dyDescent="0.25">
      <c r="A937" t="str">
        <f>'NEW ACCOUNT'!A938</f>
        <v/>
      </c>
      <c r="B937" t="str">
        <f>IF('NEW ACCOUNT'!A938="","",'NEW ACCOUNT'!B938)</f>
        <v/>
      </c>
      <c r="C937" t="str">
        <f>IF('NEW ACCOUNT'!A938="","",'NEW ACCOUNT'!C938)</f>
        <v/>
      </c>
      <c r="D937" t="str">
        <f>IF('NEW ACCOUNT'!A938="","",'NEW ACCOUNT'!D938)</f>
        <v/>
      </c>
      <c r="E937" t="str">
        <f>IF('NEW ACCOUNT'!A938="","",'NEW ACCOUNT'!E938)</f>
        <v/>
      </c>
      <c r="F937" t="str">
        <f>IF('NEW ACCOUNT'!A938="","",'NEW ACCOUNT'!F938)</f>
        <v/>
      </c>
      <c r="G937" t="str">
        <f>IF('NEW ACCOUNT'!A938="","",'NEW ACCOUNT'!G938)</f>
        <v/>
      </c>
      <c r="H937" t="str">
        <f>IF('NEW ACCOUNT'!A938="","",'NEW ACCOUNT'!H938)</f>
        <v/>
      </c>
      <c r="I937" t="str">
        <f>IF('NEW ACCOUNT'!A938="","",'NEW ACCOUNT'!I938)</f>
        <v/>
      </c>
      <c r="J937" t="str">
        <f>IF('NEW ACCOUNT'!A938="","",'NEW ACCOUNT'!J938)</f>
        <v/>
      </c>
      <c r="K937" t="str">
        <f>IFERROR(IF(A937="","",SUMIF(DB_Savings!$A:$A,A937,DB_Savings!$F:$F)),"")</f>
        <v/>
      </c>
      <c r="L937" t="str">
        <f>IFERROR(IF(A937="","",SUMIF(DB_Withdrawals!$A:$A,A937,DB_Withdrawals!$G:$G)),"")</f>
        <v/>
      </c>
      <c r="M937" t="str">
        <f>IFERROR(IF(A937="","",IFERROR(VALUE(H937),0)+IFERROR(SUMIF(DB_Savings!$A:$A,A937,DB_Savings!$F:$F),0)-IFERROR(SUMIF(DB_Withdrawals!$A:$A,A937,DB_Withdrawals!$G:$G),0)),"")</f>
        <v/>
      </c>
      <c r="N937" t="str">
        <f>IFERROR(IF(A937="","",MAX(0,M937-System_Config!$B$9)),"")</f>
        <v/>
      </c>
    </row>
    <row r="938" spans="1:14" ht="15" customHeight="1" x14ac:dyDescent="0.25">
      <c r="A938" t="str">
        <f>'NEW ACCOUNT'!A939</f>
        <v/>
      </c>
      <c r="B938" t="str">
        <f>IF('NEW ACCOUNT'!A939="","",'NEW ACCOUNT'!B939)</f>
        <v/>
      </c>
      <c r="C938" t="str">
        <f>IF('NEW ACCOUNT'!A939="","",'NEW ACCOUNT'!C939)</f>
        <v/>
      </c>
      <c r="D938" t="str">
        <f>IF('NEW ACCOUNT'!A939="","",'NEW ACCOUNT'!D939)</f>
        <v/>
      </c>
      <c r="E938" t="str">
        <f>IF('NEW ACCOUNT'!A939="","",'NEW ACCOUNT'!E939)</f>
        <v/>
      </c>
      <c r="F938" t="str">
        <f>IF('NEW ACCOUNT'!A939="","",'NEW ACCOUNT'!F939)</f>
        <v/>
      </c>
      <c r="G938" t="str">
        <f>IF('NEW ACCOUNT'!A939="","",'NEW ACCOUNT'!G939)</f>
        <v/>
      </c>
      <c r="H938" t="str">
        <f>IF('NEW ACCOUNT'!A939="","",'NEW ACCOUNT'!H939)</f>
        <v/>
      </c>
      <c r="I938" t="str">
        <f>IF('NEW ACCOUNT'!A939="","",'NEW ACCOUNT'!I939)</f>
        <v/>
      </c>
      <c r="J938" t="str">
        <f>IF('NEW ACCOUNT'!A939="","",'NEW ACCOUNT'!J939)</f>
        <v/>
      </c>
      <c r="K938" t="str">
        <f>IFERROR(IF(A938="","",SUMIF(DB_Savings!$A:$A,A938,DB_Savings!$F:$F)),"")</f>
        <v/>
      </c>
      <c r="L938" t="str">
        <f>IFERROR(IF(A938="","",SUMIF(DB_Withdrawals!$A:$A,A938,DB_Withdrawals!$G:$G)),"")</f>
        <v/>
      </c>
      <c r="M938" t="str">
        <f>IFERROR(IF(A938="","",IFERROR(VALUE(H938),0)+IFERROR(SUMIF(DB_Savings!$A:$A,A938,DB_Savings!$F:$F),0)-IFERROR(SUMIF(DB_Withdrawals!$A:$A,A938,DB_Withdrawals!$G:$G),0)),"")</f>
        <v/>
      </c>
      <c r="N938" t="str">
        <f>IFERROR(IF(A938="","",MAX(0,M938-System_Config!$B$9)),"")</f>
        <v/>
      </c>
    </row>
    <row r="939" spans="1:14" ht="15" customHeight="1" x14ac:dyDescent="0.25">
      <c r="A939" t="str">
        <f>'NEW ACCOUNT'!A940</f>
        <v/>
      </c>
      <c r="B939" t="str">
        <f>IF('NEW ACCOUNT'!A940="","",'NEW ACCOUNT'!B940)</f>
        <v/>
      </c>
      <c r="C939" t="str">
        <f>IF('NEW ACCOUNT'!A940="","",'NEW ACCOUNT'!C940)</f>
        <v/>
      </c>
      <c r="D939" t="str">
        <f>IF('NEW ACCOUNT'!A940="","",'NEW ACCOUNT'!D940)</f>
        <v/>
      </c>
      <c r="E939" t="str">
        <f>IF('NEW ACCOUNT'!A940="","",'NEW ACCOUNT'!E940)</f>
        <v/>
      </c>
      <c r="F939" t="str">
        <f>IF('NEW ACCOUNT'!A940="","",'NEW ACCOUNT'!F940)</f>
        <v/>
      </c>
      <c r="G939" t="str">
        <f>IF('NEW ACCOUNT'!A940="","",'NEW ACCOUNT'!G940)</f>
        <v/>
      </c>
      <c r="H939" t="str">
        <f>IF('NEW ACCOUNT'!A940="","",'NEW ACCOUNT'!H940)</f>
        <v/>
      </c>
      <c r="I939" t="str">
        <f>IF('NEW ACCOUNT'!A940="","",'NEW ACCOUNT'!I940)</f>
        <v/>
      </c>
      <c r="J939" t="str">
        <f>IF('NEW ACCOUNT'!A940="","",'NEW ACCOUNT'!J940)</f>
        <v/>
      </c>
      <c r="K939" t="str">
        <f>IFERROR(IF(A939="","",SUMIF(DB_Savings!$A:$A,A939,DB_Savings!$F:$F)),"")</f>
        <v/>
      </c>
      <c r="L939" t="str">
        <f>IFERROR(IF(A939="","",SUMIF(DB_Withdrawals!$A:$A,A939,DB_Withdrawals!$G:$G)),"")</f>
        <v/>
      </c>
      <c r="M939" t="str">
        <f>IFERROR(IF(A939="","",IFERROR(VALUE(H939),0)+IFERROR(SUMIF(DB_Savings!$A:$A,A939,DB_Savings!$F:$F),0)-IFERROR(SUMIF(DB_Withdrawals!$A:$A,A939,DB_Withdrawals!$G:$G),0)),"")</f>
        <v/>
      </c>
      <c r="N939" t="str">
        <f>IFERROR(IF(A939="","",MAX(0,M939-System_Config!$B$9)),"")</f>
        <v/>
      </c>
    </row>
    <row r="940" spans="1:14" ht="15" customHeight="1" x14ac:dyDescent="0.25">
      <c r="A940" t="str">
        <f>'NEW ACCOUNT'!A941</f>
        <v/>
      </c>
      <c r="B940" t="str">
        <f>IF('NEW ACCOUNT'!A941="","",'NEW ACCOUNT'!B941)</f>
        <v/>
      </c>
      <c r="C940" t="str">
        <f>IF('NEW ACCOUNT'!A941="","",'NEW ACCOUNT'!C941)</f>
        <v/>
      </c>
      <c r="D940" t="str">
        <f>IF('NEW ACCOUNT'!A941="","",'NEW ACCOUNT'!D941)</f>
        <v/>
      </c>
      <c r="E940" t="str">
        <f>IF('NEW ACCOUNT'!A941="","",'NEW ACCOUNT'!E941)</f>
        <v/>
      </c>
      <c r="F940" t="str">
        <f>IF('NEW ACCOUNT'!A941="","",'NEW ACCOUNT'!F941)</f>
        <v/>
      </c>
      <c r="G940" t="str">
        <f>IF('NEW ACCOUNT'!A941="","",'NEW ACCOUNT'!G941)</f>
        <v/>
      </c>
      <c r="H940" t="str">
        <f>IF('NEW ACCOUNT'!A941="","",'NEW ACCOUNT'!H941)</f>
        <v/>
      </c>
      <c r="I940" t="str">
        <f>IF('NEW ACCOUNT'!A941="","",'NEW ACCOUNT'!I941)</f>
        <v/>
      </c>
      <c r="J940" t="str">
        <f>IF('NEW ACCOUNT'!A941="","",'NEW ACCOUNT'!J941)</f>
        <v/>
      </c>
      <c r="K940" t="str">
        <f>IFERROR(IF(A940="","",SUMIF(DB_Savings!$A:$A,A940,DB_Savings!$F:$F)),"")</f>
        <v/>
      </c>
      <c r="L940" t="str">
        <f>IFERROR(IF(A940="","",SUMIF(DB_Withdrawals!$A:$A,A940,DB_Withdrawals!$G:$G)),"")</f>
        <v/>
      </c>
      <c r="M940" t="str">
        <f>IFERROR(IF(A940="","",IFERROR(VALUE(H940),0)+IFERROR(SUMIF(DB_Savings!$A:$A,A940,DB_Savings!$F:$F),0)-IFERROR(SUMIF(DB_Withdrawals!$A:$A,A940,DB_Withdrawals!$G:$G),0)),"")</f>
        <v/>
      </c>
      <c r="N940" t="str">
        <f>IFERROR(IF(A940="","",MAX(0,M940-System_Config!$B$9)),"")</f>
        <v/>
      </c>
    </row>
    <row r="941" spans="1:14" ht="15" customHeight="1" x14ac:dyDescent="0.25">
      <c r="A941" t="str">
        <f>'NEW ACCOUNT'!A942</f>
        <v/>
      </c>
      <c r="B941" t="str">
        <f>IF('NEW ACCOUNT'!A942="","",'NEW ACCOUNT'!B942)</f>
        <v/>
      </c>
      <c r="C941" t="str">
        <f>IF('NEW ACCOUNT'!A942="","",'NEW ACCOUNT'!C942)</f>
        <v/>
      </c>
      <c r="D941" t="str">
        <f>IF('NEW ACCOUNT'!A942="","",'NEW ACCOUNT'!D942)</f>
        <v/>
      </c>
      <c r="E941" t="str">
        <f>IF('NEW ACCOUNT'!A942="","",'NEW ACCOUNT'!E942)</f>
        <v/>
      </c>
      <c r="F941" t="str">
        <f>IF('NEW ACCOUNT'!A942="","",'NEW ACCOUNT'!F942)</f>
        <v/>
      </c>
      <c r="G941" t="str">
        <f>IF('NEW ACCOUNT'!A942="","",'NEW ACCOUNT'!G942)</f>
        <v/>
      </c>
      <c r="H941" t="str">
        <f>IF('NEW ACCOUNT'!A942="","",'NEW ACCOUNT'!H942)</f>
        <v/>
      </c>
      <c r="I941" t="str">
        <f>IF('NEW ACCOUNT'!A942="","",'NEW ACCOUNT'!I942)</f>
        <v/>
      </c>
      <c r="J941" t="str">
        <f>IF('NEW ACCOUNT'!A942="","",'NEW ACCOUNT'!J942)</f>
        <v/>
      </c>
      <c r="K941" t="str">
        <f>IFERROR(IF(A941="","",SUMIF(DB_Savings!$A:$A,A941,DB_Savings!$F:$F)),"")</f>
        <v/>
      </c>
      <c r="L941" t="str">
        <f>IFERROR(IF(A941="","",SUMIF(DB_Withdrawals!$A:$A,A941,DB_Withdrawals!$G:$G)),"")</f>
        <v/>
      </c>
      <c r="M941" t="str">
        <f>IFERROR(IF(A941="","",IFERROR(VALUE(H941),0)+IFERROR(SUMIF(DB_Savings!$A:$A,A941,DB_Savings!$F:$F),0)-IFERROR(SUMIF(DB_Withdrawals!$A:$A,A941,DB_Withdrawals!$G:$G),0)),"")</f>
        <v/>
      </c>
      <c r="N941" t="str">
        <f>IFERROR(IF(A941="","",MAX(0,M941-System_Config!$B$9)),"")</f>
        <v/>
      </c>
    </row>
    <row r="942" spans="1:14" ht="15" customHeight="1" x14ac:dyDescent="0.25">
      <c r="A942" t="str">
        <f>'NEW ACCOUNT'!A943</f>
        <v/>
      </c>
      <c r="B942" t="str">
        <f>IF('NEW ACCOUNT'!A943="","",'NEW ACCOUNT'!B943)</f>
        <v/>
      </c>
      <c r="C942" t="str">
        <f>IF('NEW ACCOUNT'!A943="","",'NEW ACCOUNT'!C943)</f>
        <v/>
      </c>
      <c r="D942" t="str">
        <f>IF('NEW ACCOUNT'!A943="","",'NEW ACCOUNT'!D943)</f>
        <v/>
      </c>
      <c r="E942" t="str">
        <f>IF('NEW ACCOUNT'!A943="","",'NEW ACCOUNT'!E943)</f>
        <v/>
      </c>
      <c r="F942" t="str">
        <f>IF('NEW ACCOUNT'!A943="","",'NEW ACCOUNT'!F943)</f>
        <v/>
      </c>
      <c r="G942" t="str">
        <f>IF('NEW ACCOUNT'!A943="","",'NEW ACCOUNT'!G943)</f>
        <v/>
      </c>
      <c r="H942" t="str">
        <f>IF('NEW ACCOUNT'!A943="","",'NEW ACCOUNT'!H943)</f>
        <v/>
      </c>
      <c r="I942" t="str">
        <f>IF('NEW ACCOUNT'!A943="","",'NEW ACCOUNT'!I943)</f>
        <v/>
      </c>
      <c r="J942" t="str">
        <f>IF('NEW ACCOUNT'!A943="","",'NEW ACCOUNT'!J943)</f>
        <v/>
      </c>
      <c r="K942" t="str">
        <f>IFERROR(IF(A942="","",SUMIF(DB_Savings!$A:$A,A942,DB_Savings!$F:$F)),"")</f>
        <v/>
      </c>
      <c r="L942" t="str">
        <f>IFERROR(IF(A942="","",SUMIF(DB_Withdrawals!$A:$A,A942,DB_Withdrawals!$G:$G)),"")</f>
        <v/>
      </c>
      <c r="M942" t="str">
        <f>IFERROR(IF(A942="","",IFERROR(VALUE(H942),0)+IFERROR(SUMIF(DB_Savings!$A:$A,A942,DB_Savings!$F:$F),0)-IFERROR(SUMIF(DB_Withdrawals!$A:$A,A942,DB_Withdrawals!$G:$G),0)),"")</f>
        <v/>
      </c>
      <c r="N942" t="str">
        <f>IFERROR(IF(A942="","",MAX(0,M942-System_Config!$B$9)),"")</f>
        <v/>
      </c>
    </row>
    <row r="943" spans="1:14" ht="15" customHeight="1" x14ac:dyDescent="0.25">
      <c r="A943" t="str">
        <f>'NEW ACCOUNT'!A944</f>
        <v/>
      </c>
      <c r="B943" t="str">
        <f>IF('NEW ACCOUNT'!A944="","",'NEW ACCOUNT'!B944)</f>
        <v/>
      </c>
      <c r="C943" t="str">
        <f>IF('NEW ACCOUNT'!A944="","",'NEW ACCOUNT'!C944)</f>
        <v/>
      </c>
      <c r="D943" t="str">
        <f>IF('NEW ACCOUNT'!A944="","",'NEW ACCOUNT'!D944)</f>
        <v/>
      </c>
      <c r="E943" t="str">
        <f>IF('NEW ACCOUNT'!A944="","",'NEW ACCOUNT'!E944)</f>
        <v/>
      </c>
      <c r="F943" t="str">
        <f>IF('NEW ACCOUNT'!A944="","",'NEW ACCOUNT'!F944)</f>
        <v/>
      </c>
      <c r="G943" t="str">
        <f>IF('NEW ACCOUNT'!A944="","",'NEW ACCOUNT'!G944)</f>
        <v/>
      </c>
      <c r="H943" t="str">
        <f>IF('NEW ACCOUNT'!A944="","",'NEW ACCOUNT'!H944)</f>
        <v/>
      </c>
      <c r="I943" t="str">
        <f>IF('NEW ACCOUNT'!A944="","",'NEW ACCOUNT'!I944)</f>
        <v/>
      </c>
      <c r="J943" t="str">
        <f>IF('NEW ACCOUNT'!A944="","",'NEW ACCOUNT'!J944)</f>
        <v/>
      </c>
      <c r="K943" t="str">
        <f>IFERROR(IF(A943="","",SUMIF(DB_Savings!$A:$A,A943,DB_Savings!$F:$F)),"")</f>
        <v/>
      </c>
      <c r="L943" t="str">
        <f>IFERROR(IF(A943="","",SUMIF(DB_Withdrawals!$A:$A,A943,DB_Withdrawals!$G:$G)),"")</f>
        <v/>
      </c>
      <c r="M943" t="str">
        <f>IFERROR(IF(A943="","",IFERROR(VALUE(H943),0)+IFERROR(SUMIF(DB_Savings!$A:$A,A943,DB_Savings!$F:$F),0)-IFERROR(SUMIF(DB_Withdrawals!$A:$A,A943,DB_Withdrawals!$G:$G),0)),"")</f>
        <v/>
      </c>
      <c r="N943" t="str">
        <f>IFERROR(IF(A943="","",MAX(0,M943-System_Config!$B$9)),"")</f>
        <v/>
      </c>
    </row>
    <row r="944" spans="1:14" ht="15" customHeight="1" x14ac:dyDescent="0.25">
      <c r="A944" t="str">
        <f>'NEW ACCOUNT'!A945</f>
        <v/>
      </c>
      <c r="B944" t="str">
        <f>IF('NEW ACCOUNT'!A945="","",'NEW ACCOUNT'!B945)</f>
        <v/>
      </c>
      <c r="C944" t="str">
        <f>IF('NEW ACCOUNT'!A945="","",'NEW ACCOUNT'!C945)</f>
        <v/>
      </c>
      <c r="D944" t="str">
        <f>IF('NEW ACCOUNT'!A945="","",'NEW ACCOUNT'!D945)</f>
        <v/>
      </c>
      <c r="E944" t="str">
        <f>IF('NEW ACCOUNT'!A945="","",'NEW ACCOUNT'!E945)</f>
        <v/>
      </c>
      <c r="F944" t="str">
        <f>IF('NEW ACCOUNT'!A945="","",'NEW ACCOUNT'!F945)</f>
        <v/>
      </c>
      <c r="G944" t="str">
        <f>IF('NEW ACCOUNT'!A945="","",'NEW ACCOUNT'!G945)</f>
        <v/>
      </c>
      <c r="H944" t="str">
        <f>IF('NEW ACCOUNT'!A945="","",'NEW ACCOUNT'!H945)</f>
        <v/>
      </c>
      <c r="I944" t="str">
        <f>IF('NEW ACCOUNT'!A945="","",'NEW ACCOUNT'!I945)</f>
        <v/>
      </c>
      <c r="J944" t="str">
        <f>IF('NEW ACCOUNT'!A945="","",'NEW ACCOUNT'!J945)</f>
        <v/>
      </c>
      <c r="K944" t="str">
        <f>IFERROR(IF(A944="","",SUMIF(DB_Savings!$A:$A,A944,DB_Savings!$F:$F)),"")</f>
        <v/>
      </c>
      <c r="L944" t="str">
        <f>IFERROR(IF(A944="","",SUMIF(DB_Withdrawals!$A:$A,A944,DB_Withdrawals!$G:$G)),"")</f>
        <v/>
      </c>
      <c r="M944" t="str">
        <f>IFERROR(IF(A944="","",IFERROR(VALUE(H944),0)+IFERROR(SUMIF(DB_Savings!$A:$A,A944,DB_Savings!$F:$F),0)-IFERROR(SUMIF(DB_Withdrawals!$A:$A,A944,DB_Withdrawals!$G:$G),0)),"")</f>
        <v/>
      </c>
      <c r="N944" t="str">
        <f>IFERROR(IF(A944="","",MAX(0,M944-System_Config!$B$9)),"")</f>
        <v/>
      </c>
    </row>
    <row r="945" spans="1:14" ht="15" customHeight="1" x14ac:dyDescent="0.25">
      <c r="A945" t="str">
        <f>'NEW ACCOUNT'!A946</f>
        <v/>
      </c>
      <c r="B945" t="str">
        <f>IF('NEW ACCOUNT'!A946="","",'NEW ACCOUNT'!B946)</f>
        <v/>
      </c>
      <c r="C945" t="str">
        <f>IF('NEW ACCOUNT'!A946="","",'NEW ACCOUNT'!C946)</f>
        <v/>
      </c>
      <c r="D945" t="str">
        <f>IF('NEW ACCOUNT'!A946="","",'NEW ACCOUNT'!D946)</f>
        <v/>
      </c>
      <c r="E945" t="str">
        <f>IF('NEW ACCOUNT'!A946="","",'NEW ACCOUNT'!E946)</f>
        <v/>
      </c>
      <c r="F945" t="str">
        <f>IF('NEW ACCOUNT'!A946="","",'NEW ACCOUNT'!F946)</f>
        <v/>
      </c>
      <c r="G945" t="str">
        <f>IF('NEW ACCOUNT'!A946="","",'NEW ACCOUNT'!G946)</f>
        <v/>
      </c>
      <c r="H945" t="str">
        <f>IF('NEW ACCOUNT'!A946="","",'NEW ACCOUNT'!H946)</f>
        <v/>
      </c>
      <c r="I945" t="str">
        <f>IF('NEW ACCOUNT'!A946="","",'NEW ACCOUNT'!I946)</f>
        <v/>
      </c>
      <c r="J945" t="str">
        <f>IF('NEW ACCOUNT'!A946="","",'NEW ACCOUNT'!J946)</f>
        <v/>
      </c>
      <c r="K945" t="str">
        <f>IFERROR(IF(A945="","",SUMIF(DB_Savings!$A:$A,A945,DB_Savings!$F:$F)),"")</f>
        <v/>
      </c>
      <c r="L945" t="str">
        <f>IFERROR(IF(A945="","",SUMIF(DB_Withdrawals!$A:$A,A945,DB_Withdrawals!$G:$G)),"")</f>
        <v/>
      </c>
      <c r="M945" t="str">
        <f>IFERROR(IF(A945="","",IFERROR(VALUE(H945),0)+IFERROR(SUMIF(DB_Savings!$A:$A,A945,DB_Savings!$F:$F),0)-IFERROR(SUMIF(DB_Withdrawals!$A:$A,A945,DB_Withdrawals!$G:$G),0)),"")</f>
        <v/>
      </c>
      <c r="N945" t="str">
        <f>IFERROR(IF(A945="","",MAX(0,M945-System_Config!$B$9)),"")</f>
        <v/>
      </c>
    </row>
    <row r="946" spans="1:14" ht="15" customHeight="1" x14ac:dyDescent="0.25">
      <c r="A946" t="str">
        <f>'NEW ACCOUNT'!A947</f>
        <v/>
      </c>
      <c r="B946" t="str">
        <f>IF('NEW ACCOUNT'!A947="","",'NEW ACCOUNT'!B947)</f>
        <v/>
      </c>
      <c r="C946" t="str">
        <f>IF('NEW ACCOUNT'!A947="","",'NEW ACCOUNT'!C947)</f>
        <v/>
      </c>
      <c r="D946" t="str">
        <f>IF('NEW ACCOUNT'!A947="","",'NEW ACCOUNT'!D947)</f>
        <v/>
      </c>
      <c r="E946" t="str">
        <f>IF('NEW ACCOUNT'!A947="","",'NEW ACCOUNT'!E947)</f>
        <v/>
      </c>
      <c r="F946" t="str">
        <f>IF('NEW ACCOUNT'!A947="","",'NEW ACCOUNT'!F947)</f>
        <v/>
      </c>
      <c r="G946" t="str">
        <f>IF('NEW ACCOUNT'!A947="","",'NEW ACCOUNT'!G947)</f>
        <v/>
      </c>
      <c r="H946" t="str">
        <f>IF('NEW ACCOUNT'!A947="","",'NEW ACCOUNT'!H947)</f>
        <v/>
      </c>
      <c r="I946" t="str">
        <f>IF('NEW ACCOUNT'!A947="","",'NEW ACCOUNT'!I947)</f>
        <v/>
      </c>
      <c r="J946" t="str">
        <f>IF('NEW ACCOUNT'!A947="","",'NEW ACCOUNT'!J947)</f>
        <v/>
      </c>
      <c r="K946" t="str">
        <f>IFERROR(IF(A946="","",SUMIF(DB_Savings!$A:$A,A946,DB_Savings!$F:$F)),"")</f>
        <v/>
      </c>
      <c r="L946" t="str">
        <f>IFERROR(IF(A946="","",SUMIF(DB_Withdrawals!$A:$A,A946,DB_Withdrawals!$G:$G)),"")</f>
        <v/>
      </c>
      <c r="M946" t="str">
        <f>IFERROR(IF(A946="","",IFERROR(VALUE(H946),0)+IFERROR(SUMIF(DB_Savings!$A:$A,A946,DB_Savings!$F:$F),0)-IFERROR(SUMIF(DB_Withdrawals!$A:$A,A946,DB_Withdrawals!$G:$G),0)),"")</f>
        <v/>
      </c>
      <c r="N946" t="str">
        <f>IFERROR(IF(A946="","",MAX(0,M946-System_Config!$B$9)),"")</f>
        <v/>
      </c>
    </row>
    <row r="947" spans="1:14" ht="15" customHeight="1" x14ac:dyDescent="0.25">
      <c r="A947" t="str">
        <f>'NEW ACCOUNT'!A948</f>
        <v/>
      </c>
      <c r="B947" t="str">
        <f>IF('NEW ACCOUNT'!A948="","",'NEW ACCOUNT'!B948)</f>
        <v/>
      </c>
      <c r="C947" t="str">
        <f>IF('NEW ACCOUNT'!A948="","",'NEW ACCOUNT'!C948)</f>
        <v/>
      </c>
      <c r="D947" t="str">
        <f>IF('NEW ACCOUNT'!A948="","",'NEW ACCOUNT'!D948)</f>
        <v/>
      </c>
      <c r="E947" t="str">
        <f>IF('NEW ACCOUNT'!A948="","",'NEW ACCOUNT'!E948)</f>
        <v/>
      </c>
      <c r="F947" t="str">
        <f>IF('NEW ACCOUNT'!A948="","",'NEW ACCOUNT'!F948)</f>
        <v/>
      </c>
      <c r="G947" t="str">
        <f>IF('NEW ACCOUNT'!A948="","",'NEW ACCOUNT'!G948)</f>
        <v/>
      </c>
      <c r="H947" t="str">
        <f>IF('NEW ACCOUNT'!A948="","",'NEW ACCOUNT'!H948)</f>
        <v/>
      </c>
      <c r="I947" t="str">
        <f>IF('NEW ACCOUNT'!A948="","",'NEW ACCOUNT'!I948)</f>
        <v/>
      </c>
      <c r="J947" t="str">
        <f>IF('NEW ACCOUNT'!A948="","",'NEW ACCOUNT'!J948)</f>
        <v/>
      </c>
      <c r="K947" t="str">
        <f>IFERROR(IF(A947="","",SUMIF(DB_Savings!$A:$A,A947,DB_Savings!$F:$F)),"")</f>
        <v/>
      </c>
      <c r="L947" t="str">
        <f>IFERROR(IF(A947="","",SUMIF(DB_Withdrawals!$A:$A,A947,DB_Withdrawals!$G:$G)),"")</f>
        <v/>
      </c>
      <c r="M947" t="str">
        <f>IFERROR(IF(A947="","",IFERROR(VALUE(H947),0)+IFERROR(SUMIF(DB_Savings!$A:$A,A947,DB_Savings!$F:$F),0)-IFERROR(SUMIF(DB_Withdrawals!$A:$A,A947,DB_Withdrawals!$G:$G),0)),"")</f>
        <v/>
      </c>
      <c r="N947" t="str">
        <f>IFERROR(IF(A947="","",MAX(0,M947-System_Config!$B$9)),"")</f>
        <v/>
      </c>
    </row>
    <row r="948" spans="1:14" ht="15" customHeight="1" x14ac:dyDescent="0.25">
      <c r="A948" t="str">
        <f>'NEW ACCOUNT'!A949</f>
        <v/>
      </c>
      <c r="B948" t="str">
        <f>IF('NEW ACCOUNT'!A949="","",'NEW ACCOUNT'!B949)</f>
        <v/>
      </c>
      <c r="C948" t="str">
        <f>IF('NEW ACCOUNT'!A949="","",'NEW ACCOUNT'!C949)</f>
        <v/>
      </c>
      <c r="D948" t="str">
        <f>IF('NEW ACCOUNT'!A949="","",'NEW ACCOUNT'!D949)</f>
        <v/>
      </c>
      <c r="E948" t="str">
        <f>IF('NEW ACCOUNT'!A949="","",'NEW ACCOUNT'!E949)</f>
        <v/>
      </c>
      <c r="F948" t="str">
        <f>IF('NEW ACCOUNT'!A949="","",'NEW ACCOUNT'!F949)</f>
        <v/>
      </c>
      <c r="G948" t="str">
        <f>IF('NEW ACCOUNT'!A949="","",'NEW ACCOUNT'!G949)</f>
        <v/>
      </c>
      <c r="H948" t="str">
        <f>IF('NEW ACCOUNT'!A949="","",'NEW ACCOUNT'!H949)</f>
        <v/>
      </c>
      <c r="I948" t="str">
        <f>IF('NEW ACCOUNT'!A949="","",'NEW ACCOUNT'!I949)</f>
        <v/>
      </c>
      <c r="J948" t="str">
        <f>IF('NEW ACCOUNT'!A949="","",'NEW ACCOUNT'!J949)</f>
        <v/>
      </c>
      <c r="K948" t="str">
        <f>IFERROR(IF(A948="","",SUMIF(DB_Savings!$A:$A,A948,DB_Savings!$F:$F)),"")</f>
        <v/>
      </c>
      <c r="L948" t="str">
        <f>IFERROR(IF(A948="","",SUMIF(DB_Withdrawals!$A:$A,A948,DB_Withdrawals!$G:$G)),"")</f>
        <v/>
      </c>
      <c r="M948" t="str">
        <f>IFERROR(IF(A948="","",IFERROR(VALUE(H948),0)+IFERROR(SUMIF(DB_Savings!$A:$A,A948,DB_Savings!$F:$F),0)-IFERROR(SUMIF(DB_Withdrawals!$A:$A,A948,DB_Withdrawals!$G:$G),0)),"")</f>
        <v/>
      </c>
      <c r="N948" t="str">
        <f>IFERROR(IF(A948="","",MAX(0,M948-System_Config!$B$9)),"")</f>
        <v/>
      </c>
    </row>
    <row r="949" spans="1:14" ht="15" customHeight="1" x14ac:dyDescent="0.25">
      <c r="A949" t="str">
        <f>'NEW ACCOUNT'!A950</f>
        <v/>
      </c>
      <c r="B949" t="str">
        <f>IF('NEW ACCOUNT'!A950="","",'NEW ACCOUNT'!B950)</f>
        <v/>
      </c>
      <c r="C949" t="str">
        <f>IF('NEW ACCOUNT'!A950="","",'NEW ACCOUNT'!C950)</f>
        <v/>
      </c>
      <c r="D949" t="str">
        <f>IF('NEW ACCOUNT'!A950="","",'NEW ACCOUNT'!D950)</f>
        <v/>
      </c>
      <c r="E949" t="str">
        <f>IF('NEW ACCOUNT'!A950="","",'NEW ACCOUNT'!E950)</f>
        <v/>
      </c>
      <c r="F949" t="str">
        <f>IF('NEW ACCOUNT'!A950="","",'NEW ACCOUNT'!F950)</f>
        <v/>
      </c>
      <c r="G949" t="str">
        <f>IF('NEW ACCOUNT'!A950="","",'NEW ACCOUNT'!G950)</f>
        <v/>
      </c>
      <c r="H949" t="str">
        <f>IF('NEW ACCOUNT'!A950="","",'NEW ACCOUNT'!H950)</f>
        <v/>
      </c>
      <c r="I949" t="str">
        <f>IF('NEW ACCOUNT'!A950="","",'NEW ACCOUNT'!I950)</f>
        <v/>
      </c>
      <c r="J949" t="str">
        <f>IF('NEW ACCOUNT'!A950="","",'NEW ACCOUNT'!J950)</f>
        <v/>
      </c>
      <c r="K949" t="str">
        <f>IFERROR(IF(A949="","",SUMIF(DB_Savings!$A:$A,A949,DB_Savings!$F:$F)),"")</f>
        <v/>
      </c>
      <c r="L949" t="str">
        <f>IFERROR(IF(A949="","",SUMIF(DB_Withdrawals!$A:$A,A949,DB_Withdrawals!$G:$G)),"")</f>
        <v/>
      </c>
      <c r="M949" t="str">
        <f>IFERROR(IF(A949="","",IFERROR(VALUE(H949),0)+IFERROR(SUMIF(DB_Savings!$A:$A,A949,DB_Savings!$F:$F),0)-IFERROR(SUMIF(DB_Withdrawals!$A:$A,A949,DB_Withdrawals!$G:$G),0)),"")</f>
        <v/>
      </c>
      <c r="N949" t="str">
        <f>IFERROR(IF(A949="","",MAX(0,M949-System_Config!$B$9)),"")</f>
        <v/>
      </c>
    </row>
    <row r="950" spans="1:14" ht="15" customHeight="1" x14ac:dyDescent="0.25">
      <c r="A950" t="str">
        <f>'NEW ACCOUNT'!A951</f>
        <v/>
      </c>
      <c r="B950" t="str">
        <f>IF('NEW ACCOUNT'!A951="","",'NEW ACCOUNT'!B951)</f>
        <v/>
      </c>
      <c r="C950" t="str">
        <f>IF('NEW ACCOUNT'!A951="","",'NEW ACCOUNT'!C951)</f>
        <v/>
      </c>
      <c r="D950" t="str">
        <f>IF('NEW ACCOUNT'!A951="","",'NEW ACCOUNT'!D951)</f>
        <v/>
      </c>
      <c r="E950" t="str">
        <f>IF('NEW ACCOUNT'!A951="","",'NEW ACCOUNT'!E951)</f>
        <v/>
      </c>
      <c r="F950" t="str">
        <f>IF('NEW ACCOUNT'!A951="","",'NEW ACCOUNT'!F951)</f>
        <v/>
      </c>
      <c r="G950" t="str">
        <f>IF('NEW ACCOUNT'!A951="","",'NEW ACCOUNT'!G951)</f>
        <v/>
      </c>
      <c r="H950" t="str">
        <f>IF('NEW ACCOUNT'!A951="","",'NEW ACCOUNT'!H951)</f>
        <v/>
      </c>
      <c r="I950" t="str">
        <f>IF('NEW ACCOUNT'!A951="","",'NEW ACCOUNT'!I951)</f>
        <v/>
      </c>
      <c r="J950" t="str">
        <f>IF('NEW ACCOUNT'!A951="","",'NEW ACCOUNT'!J951)</f>
        <v/>
      </c>
      <c r="K950" t="str">
        <f>IFERROR(IF(A950="","",SUMIF(DB_Savings!$A:$A,A950,DB_Savings!$F:$F)),"")</f>
        <v/>
      </c>
      <c r="L950" t="str">
        <f>IFERROR(IF(A950="","",SUMIF(DB_Withdrawals!$A:$A,A950,DB_Withdrawals!$G:$G)),"")</f>
        <v/>
      </c>
      <c r="M950" t="str">
        <f>IFERROR(IF(A950="","",IFERROR(VALUE(H950),0)+IFERROR(SUMIF(DB_Savings!$A:$A,A950,DB_Savings!$F:$F),0)-IFERROR(SUMIF(DB_Withdrawals!$A:$A,A950,DB_Withdrawals!$G:$G),0)),"")</f>
        <v/>
      </c>
      <c r="N950" t="str">
        <f>IFERROR(IF(A950="","",MAX(0,M950-System_Config!$B$9)),"")</f>
        <v/>
      </c>
    </row>
    <row r="951" spans="1:14" ht="15" customHeight="1" x14ac:dyDescent="0.25">
      <c r="A951" t="str">
        <f>'NEW ACCOUNT'!A952</f>
        <v/>
      </c>
      <c r="B951" t="str">
        <f>IF('NEW ACCOUNT'!A952="","",'NEW ACCOUNT'!B952)</f>
        <v/>
      </c>
      <c r="C951" t="str">
        <f>IF('NEW ACCOUNT'!A952="","",'NEW ACCOUNT'!C952)</f>
        <v/>
      </c>
      <c r="D951" t="str">
        <f>IF('NEW ACCOUNT'!A952="","",'NEW ACCOUNT'!D952)</f>
        <v/>
      </c>
      <c r="E951" t="str">
        <f>IF('NEW ACCOUNT'!A952="","",'NEW ACCOUNT'!E952)</f>
        <v/>
      </c>
      <c r="F951" t="str">
        <f>IF('NEW ACCOUNT'!A952="","",'NEW ACCOUNT'!F952)</f>
        <v/>
      </c>
      <c r="G951" t="str">
        <f>IF('NEW ACCOUNT'!A952="","",'NEW ACCOUNT'!G952)</f>
        <v/>
      </c>
      <c r="H951" t="str">
        <f>IF('NEW ACCOUNT'!A952="","",'NEW ACCOUNT'!H952)</f>
        <v/>
      </c>
      <c r="I951" t="str">
        <f>IF('NEW ACCOUNT'!A952="","",'NEW ACCOUNT'!I952)</f>
        <v/>
      </c>
      <c r="J951" t="str">
        <f>IF('NEW ACCOUNT'!A952="","",'NEW ACCOUNT'!J952)</f>
        <v/>
      </c>
      <c r="K951" t="str">
        <f>IFERROR(IF(A951="","",SUMIF(DB_Savings!$A:$A,A951,DB_Savings!$F:$F)),"")</f>
        <v/>
      </c>
      <c r="L951" t="str">
        <f>IFERROR(IF(A951="","",SUMIF(DB_Withdrawals!$A:$A,A951,DB_Withdrawals!$G:$G)),"")</f>
        <v/>
      </c>
      <c r="M951" t="str">
        <f>IFERROR(IF(A951="","",IFERROR(VALUE(H951),0)+IFERROR(SUMIF(DB_Savings!$A:$A,A951,DB_Savings!$F:$F),0)-IFERROR(SUMIF(DB_Withdrawals!$A:$A,A951,DB_Withdrawals!$G:$G),0)),"")</f>
        <v/>
      </c>
      <c r="N951" t="str">
        <f>IFERROR(IF(A951="","",MAX(0,M951-System_Config!$B$9)),"")</f>
        <v/>
      </c>
    </row>
    <row r="952" spans="1:14" ht="15" customHeight="1" x14ac:dyDescent="0.25">
      <c r="A952" t="str">
        <f>'NEW ACCOUNT'!A953</f>
        <v/>
      </c>
      <c r="B952" t="str">
        <f>IF('NEW ACCOUNT'!A953="","",'NEW ACCOUNT'!B953)</f>
        <v/>
      </c>
      <c r="C952" t="str">
        <f>IF('NEW ACCOUNT'!A953="","",'NEW ACCOUNT'!C953)</f>
        <v/>
      </c>
      <c r="D952" t="str">
        <f>IF('NEW ACCOUNT'!A953="","",'NEW ACCOUNT'!D953)</f>
        <v/>
      </c>
      <c r="E952" t="str">
        <f>IF('NEW ACCOUNT'!A953="","",'NEW ACCOUNT'!E953)</f>
        <v/>
      </c>
      <c r="F952" t="str">
        <f>IF('NEW ACCOUNT'!A953="","",'NEW ACCOUNT'!F953)</f>
        <v/>
      </c>
      <c r="G952" t="str">
        <f>IF('NEW ACCOUNT'!A953="","",'NEW ACCOUNT'!G953)</f>
        <v/>
      </c>
      <c r="H952" t="str">
        <f>IF('NEW ACCOUNT'!A953="","",'NEW ACCOUNT'!H953)</f>
        <v/>
      </c>
      <c r="I952" t="str">
        <f>IF('NEW ACCOUNT'!A953="","",'NEW ACCOUNT'!I953)</f>
        <v/>
      </c>
      <c r="J952" t="str">
        <f>IF('NEW ACCOUNT'!A953="","",'NEW ACCOUNT'!J953)</f>
        <v/>
      </c>
      <c r="K952" t="str">
        <f>IFERROR(IF(A952="","",SUMIF(DB_Savings!$A:$A,A952,DB_Savings!$F:$F)),"")</f>
        <v/>
      </c>
      <c r="L952" t="str">
        <f>IFERROR(IF(A952="","",SUMIF(DB_Withdrawals!$A:$A,A952,DB_Withdrawals!$G:$G)),"")</f>
        <v/>
      </c>
      <c r="M952" t="str">
        <f>IFERROR(IF(A952="","",IFERROR(VALUE(H952),0)+IFERROR(SUMIF(DB_Savings!$A:$A,A952,DB_Savings!$F:$F),0)-IFERROR(SUMIF(DB_Withdrawals!$A:$A,A952,DB_Withdrawals!$G:$G),0)),"")</f>
        <v/>
      </c>
      <c r="N952" t="str">
        <f>IFERROR(IF(A952="","",MAX(0,M952-System_Config!$B$9)),"")</f>
        <v/>
      </c>
    </row>
    <row r="953" spans="1:14" ht="15" customHeight="1" x14ac:dyDescent="0.25">
      <c r="A953" t="str">
        <f>'NEW ACCOUNT'!A954</f>
        <v/>
      </c>
      <c r="B953" t="str">
        <f>IF('NEW ACCOUNT'!A954="","",'NEW ACCOUNT'!B954)</f>
        <v/>
      </c>
      <c r="C953" t="str">
        <f>IF('NEW ACCOUNT'!A954="","",'NEW ACCOUNT'!C954)</f>
        <v/>
      </c>
      <c r="D953" t="str">
        <f>IF('NEW ACCOUNT'!A954="","",'NEW ACCOUNT'!D954)</f>
        <v/>
      </c>
      <c r="E953" t="str">
        <f>IF('NEW ACCOUNT'!A954="","",'NEW ACCOUNT'!E954)</f>
        <v/>
      </c>
      <c r="F953" t="str">
        <f>IF('NEW ACCOUNT'!A954="","",'NEW ACCOUNT'!F954)</f>
        <v/>
      </c>
      <c r="G953" t="str">
        <f>IF('NEW ACCOUNT'!A954="","",'NEW ACCOUNT'!G954)</f>
        <v/>
      </c>
      <c r="H953" t="str">
        <f>IF('NEW ACCOUNT'!A954="","",'NEW ACCOUNT'!H954)</f>
        <v/>
      </c>
      <c r="I953" t="str">
        <f>IF('NEW ACCOUNT'!A954="","",'NEW ACCOUNT'!I954)</f>
        <v/>
      </c>
      <c r="J953" t="str">
        <f>IF('NEW ACCOUNT'!A954="","",'NEW ACCOUNT'!J954)</f>
        <v/>
      </c>
      <c r="K953" t="str">
        <f>IFERROR(IF(A953="","",SUMIF(DB_Savings!$A:$A,A953,DB_Savings!$F:$F)),"")</f>
        <v/>
      </c>
      <c r="L953" t="str">
        <f>IFERROR(IF(A953="","",SUMIF(DB_Withdrawals!$A:$A,A953,DB_Withdrawals!$G:$G)),"")</f>
        <v/>
      </c>
      <c r="M953" t="str">
        <f>IFERROR(IF(A953="","",IFERROR(VALUE(H953),0)+IFERROR(SUMIF(DB_Savings!$A:$A,A953,DB_Savings!$F:$F),0)-IFERROR(SUMIF(DB_Withdrawals!$A:$A,A953,DB_Withdrawals!$G:$G),0)),"")</f>
        <v/>
      </c>
      <c r="N953" t="str">
        <f>IFERROR(IF(A953="","",MAX(0,M953-System_Config!$B$9)),"")</f>
        <v/>
      </c>
    </row>
    <row r="954" spans="1:14" ht="15" customHeight="1" x14ac:dyDescent="0.25">
      <c r="A954" t="str">
        <f>'NEW ACCOUNT'!A955</f>
        <v/>
      </c>
      <c r="B954" t="str">
        <f>IF('NEW ACCOUNT'!A955="","",'NEW ACCOUNT'!B955)</f>
        <v/>
      </c>
      <c r="C954" t="str">
        <f>IF('NEW ACCOUNT'!A955="","",'NEW ACCOUNT'!C955)</f>
        <v/>
      </c>
      <c r="D954" t="str">
        <f>IF('NEW ACCOUNT'!A955="","",'NEW ACCOUNT'!D955)</f>
        <v/>
      </c>
      <c r="E954" t="str">
        <f>IF('NEW ACCOUNT'!A955="","",'NEW ACCOUNT'!E955)</f>
        <v/>
      </c>
      <c r="F954" t="str">
        <f>IF('NEW ACCOUNT'!A955="","",'NEW ACCOUNT'!F955)</f>
        <v/>
      </c>
      <c r="G954" t="str">
        <f>IF('NEW ACCOUNT'!A955="","",'NEW ACCOUNT'!G955)</f>
        <v/>
      </c>
      <c r="H954" t="str">
        <f>IF('NEW ACCOUNT'!A955="","",'NEW ACCOUNT'!H955)</f>
        <v/>
      </c>
      <c r="I954" t="str">
        <f>IF('NEW ACCOUNT'!A955="","",'NEW ACCOUNT'!I955)</f>
        <v/>
      </c>
      <c r="J954" t="str">
        <f>IF('NEW ACCOUNT'!A955="","",'NEW ACCOUNT'!J955)</f>
        <v/>
      </c>
      <c r="K954" t="str">
        <f>IFERROR(IF(A954="","",SUMIF(DB_Savings!$A:$A,A954,DB_Savings!$F:$F)),"")</f>
        <v/>
      </c>
      <c r="L954" t="str">
        <f>IFERROR(IF(A954="","",SUMIF(DB_Withdrawals!$A:$A,A954,DB_Withdrawals!$G:$G)),"")</f>
        <v/>
      </c>
      <c r="M954" t="str">
        <f>IFERROR(IF(A954="","",IFERROR(VALUE(H954),0)+IFERROR(SUMIF(DB_Savings!$A:$A,A954,DB_Savings!$F:$F),0)-IFERROR(SUMIF(DB_Withdrawals!$A:$A,A954,DB_Withdrawals!$G:$G),0)),"")</f>
        <v/>
      </c>
      <c r="N954" t="str">
        <f>IFERROR(IF(A954="","",MAX(0,M954-System_Config!$B$9)),"")</f>
        <v/>
      </c>
    </row>
    <row r="955" spans="1:14" ht="15" customHeight="1" x14ac:dyDescent="0.25">
      <c r="A955" t="str">
        <f>'NEW ACCOUNT'!A956</f>
        <v/>
      </c>
      <c r="B955" t="str">
        <f>IF('NEW ACCOUNT'!A956="","",'NEW ACCOUNT'!B956)</f>
        <v/>
      </c>
      <c r="C955" t="str">
        <f>IF('NEW ACCOUNT'!A956="","",'NEW ACCOUNT'!C956)</f>
        <v/>
      </c>
      <c r="D955" t="str">
        <f>IF('NEW ACCOUNT'!A956="","",'NEW ACCOUNT'!D956)</f>
        <v/>
      </c>
      <c r="E955" t="str">
        <f>IF('NEW ACCOUNT'!A956="","",'NEW ACCOUNT'!E956)</f>
        <v/>
      </c>
      <c r="F955" t="str">
        <f>IF('NEW ACCOUNT'!A956="","",'NEW ACCOUNT'!F956)</f>
        <v/>
      </c>
      <c r="G955" t="str">
        <f>IF('NEW ACCOUNT'!A956="","",'NEW ACCOUNT'!G956)</f>
        <v/>
      </c>
      <c r="H955" t="str">
        <f>IF('NEW ACCOUNT'!A956="","",'NEW ACCOUNT'!H956)</f>
        <v/>
      </c>
      <c r="I955" t="str">
        <f>IF('NEW ACCOUNT'!A956="","",'NEW ACCOUNT'!I956)</f>
        <v/>
      </c>
      <c r="J955" t="str">
        <f>IF('NEW ACCOUNT'!A956="","",'NEW ACCOUNT'!J956)</f>
        <v/>
      </c>
      <c r="K955" t="str">
        <f>IFERROR(IF(A955="","",SUMIF(DB_Savings!$A:$A,A955,DB_Savings!$F:$F)),"")</f>
        <v/>
      </c>
      <c r="L955" t="str">
        <f>IFERROR(IF(A955="","",SUMIF(DB_Withdrawals!$A:$A,A955,DB_Withdrawals!$G:$G)),"")</f>
        <v/>
      </c>
      <c r="M955" t="str">
        <f>IFERROR(IF(A955="","",IFERROR(VALUE(H955),0)+IFERROR(SUMIF(DB_Savings!$A:$A,A955,DB_Savings!$F:$F),0)-IFERROR(SUMIF(DB_Withdrawals!$A:$A,A955,DB_Withdrawals!$G:$G),0)),"")</f>
        <v/>
      </c>
      <c r="N955" t="str">
        <f>IFERROR(IF(A955="","",MAX(0,M955-System_Config!$B$9)),"")</f>
        <v/>
      </c>
    </row>
    <row r="956" spans="1:14" ht="15" customHeight="1" x14ac:dyDescent="0.25">
      <c r="A956" t="str">
        <f>'NEW ACCOUNT'!A957</f>
        <v/>
      </c>
      <c r="B956" t="str">
        <f>IF('NEW ACCOUNT'!A957="","",'NEW ACCOUNT'!B957)</f>
        <v/>
      </c>
      <c r="C956" t="str">
        <f>IF('NEW ACCOUNT'!A957="","",'NEW ACCOUNT'!C957)</f>
        <v/>
      </c>
      <c r="D956" t="str">
        <f>IF('NEW ACCOUNT'!A957="","",'NEW ACCOUNT'!D957)</f>
        <v/>
      </c>
      <c r="E956" t="str">
        <f>IF('NEW ACCOUNT'!A957="","",'NEW ACCOUNT'!E957)</f>
        <v/>
      </c>
      <c r="F956" t="str">
        <f>IF('NEW ACCOUNT'!A957="","",'NEW ACCOUNT'!F957)</f>
        <v/>
      </c>
      <c r="G956" t="str">
        <f>IF('NEW ACCOUNT'!A957="","",'NEW ACCOUNT'!G957)</f>
        <v/>
      </c>
      <c r="H956" t="str">
        <f>IF('NEW ACCOUNT'!A957="","",'NEW ACCOUNT'!H957)</f>
        <v/>
      </c>
      <c r="I956" t="str">
        <f>IF('NEW ACCOUNT'!A957="","",'NEW ACCOUNT'!I957)</f>
        <v/>
      </c>
      <c r="J956" t="str">
        <f>IF('NEW ACCOUNT'!A957="","",'NEW ACCOUNT'!J957)</f>
        <v/>
      </c>
      <c r="K956" t="str">
        <f>IFERROR(IF(A956="","",SUMIF(DB_Savings!$A:$A,A956,DB_Savings!$F:$F)),"")</f>
        <v/>
      </c>
      <c r="L956" t="str">
        <f>IFERROR(IF(A956="","",SUMIF(DB_Withdrawals!$A:$A,A956,DB_Withdrawals!$G:$G)),"")</f>
        <v/>
      </c>
      <c r="M956" t="str">
        <f>IFERROR(IF(A956="","",IFERROR(VALUE(H956),0)+IFERROR(SUMIF(DB_Savings!$A:$A,A956,DB_Savings!$F:$F),0)-IFERROR(SUMIF(DB_Withdrawals!$A:$A,A956,DB_Withdrawals!$G:$G),0)),"")</f>
        <v/>
      </c>
      <c r="N956" t="str">
        <f>IFERROR(IF(A956="","",MAX(0,M956-System_Config!$B$9)),"")</f>
        <v/>
      </c>
    </row>
    <row r="957" spans="1:14" ht="15" customHeight="1" x14ac:dyDescent="0.25">
      <c r="A957" t="str">
        <f>'NEW ACCOUNT'!A958</f>
        <v/>
      </c>
      <c r="B957" t="str">
        <f>IF('NEW ACCOUNT'!A958="","",'NEW ACCOUNT'!B958)</f>
        <v/>
      </c>
      <c r="C957" t="str">
        <f>IF('NEW ACCOUNT'!A958="","",'NEW ACCOUNT'!C958)</f>
        <v/>
      </c>
      <c r="D957" t="str">
        <f>IF('NEW ACCOUNT'!A958="","",'NEW ACCOUNT'!D958)</f>
        <v/>
      </c>
      <c r="E957" t="str">
        <f>IF('NEW ACCOUNT'!A958="","",'NEW ACCOUNT'!E958)</f>
        <v/>
      </c>
      <c r="F957" t="str">
        <f>IF('NEW ACCOUNT'!A958="","",'NEW ACCOUNT'!F958)</f>
        <v/>
      </c>
      <c r="G957" t="str">
        <f>IF('NEW ACCOUNT'!A958="","",'NEW ACCOUNT'!G958)</f>
        <v/>
      </c>
      <c r="H957" t="str">
        <f>IF('NEW ACCOUNT'!A958="","",'NEW ACCOUNT'!H958)</f>
        <v/>
      </c>
      <c r="I957" t="str">
        <f>IF('NEW ACCOUNT'!A958="","",'NEW ACCOUNT'!I958)</f>
        <v/>
      </c>
      <c r="J957" t="str">
        <f>IF('NEW ACCOUNT'!A958="","",'NEW ACCOUNT'!J958)</f>
        <v/>
      </c>
      <c r="K957" t="str">
        <f>IFERROR(IF(A957="","",SUMIF(DB_Savings!$A:$A,A957,DB_Savings!$F:$F)),"")</f>
        <v/>
      </c>
      <c r="L957" t="str">
        <f>IFERROR(IF(A957="","",SUMIF(DB_Withdrawals!$A:$A,A957,DB_Withdrawals!$G:$G)),"")</f>
        <v/>
      </c>
      <c r="M957" t="str">
        <f>IFERROR(IF(A957="","",IFERROR(VALUE(H957),0)+IFERROR(SUMIF(DB_Savings!$A:$A,A957,DB_Savings!$F:$F),0)-IFERROR(SUMIF(DB_Withdrawals!$A:$A,A957,DB_Withdrawals!$G:$G),0)),"")</f>
        <v/>
      </c>
      <c r="N957" t="str">
        <f>IFERROR(IF(A957="","",MAX(0,M957-System_Config!$B$9)),"")</f>
        <v/>
      </c>
    </row>
    <row r="958" spans="1:14" ht="15" customHeight="1" x14ac:dyDescent="0.25">
      <c r="A958" t="str">
        <f>'NEW ACCOUNT'!A959</f>
        <v/>
      </c>
      <c r="B958" t="str">
        <f>IF('NEW ACCOUNT'!A959="","",'NEW ACCOUNT'!B959)</f>
        <v/>
      </c>
      <c r="C958" t="str">
        <f>IF('NEW ACCOUNT'!A959="","",'NEW ACCOUNT'!C959)</f>
        <v/>
      </c>
      <c r="D958" t="str">
        <f>IF('NEW ACCOUNT'!A959="","",'NEW ACCOUNT'!D959)</f>
        <v/>
      </c>
      <c r="E958" t="str">
        <f>IF('NEW ACCOUNT'!A959="","",'NEW ACCOUNT'!E959)</f>
        <v/>
      </c>
      <c r="F958" t="str">
        <f>IF('NEW ACCOUNT'!A959="","",'NEW ACCOUNT'!F959)</f>
        <v/>
      </c>
      <c r="G958" t="str">
        <f>IF('NEW ACCOUNT'!A959="","",'NEW ACCOUNT'!G959)</f>
        <v/>
      </c>
      <c r="H958" t="str">
        <f>IF('NEW ACCOUNT'!A959="","",'NEW ACCOUNT'!H959)</f>
        <v/>
      </c>
      <c r="I958" t="str">
        <f>IF('NEW ACCOUNT'!A959="","",'NEW ACCOUNT'!I959)</f>
        <v/>
      </c>
      <c r="J958" t="str">
        <f>IF('NEW ACCOUNT'!A959="","",'NEW ACCOUNT'!J959)</f>
        <v/>
      </c>
      <c r="K958" t="str">
        <f>IFERROR(IF(A958="","",SUMIF(DB_Savings!$A:$A,A958,DB_Savings!$F:$F)),"")</f>
        <v/>
      </c>
      <c r="L958" t="str">
        <f>IFERROR(IF(A958="","",SUMIF(DB_Withdrawals!$A:$A,A958,DB_Withdrawals!$G:$G)),"")</f>
        <v/>
      </c>
      <c r="M958" t="str">
        <f>IFERROR(IF(A958="","",IFERROR(VALUE(H958),0)+IFERROR(SUMIF(DB_Savings!$A:$A,A958,DB_Savings!$F:$F),0)-IFERROR(SUMIF(DB_Withdrawals!$A:$A,A958,DB_Withdrawals!$G:$G),0)),"")</f>
        <v/>
      </c>
      <c r="N958" t="str">
        <f>IFERROR(IF(A958="","",MAX(0,M958-System_Config!$B$9)),"")</f>
        <v/>
      </c>
    </row>
    <row r="959" spans="1:14" ht="15" customHeight="1" x14ac:dyDescent="0.25">
      <c r="A959" t="str">
        <f>'NEW ACCOUNT'!A960</f>
        <v/>
      </c>
      <c r="B959" t="str">
        <f>IF('NEW ACCOUNT'!A960="","",'NEW ACCOUNT'!B960)</f>
        <v/>
      </c>
      <c r="C959" t="str">
        <f>IF('NEW ACCOUNT'!A960="","",'NEW ACCOUNT'!C960)</f>
        <v/>
      </c>
      <c r="D959" t="str">
        <f>IF('NEW ACCOUNT'!A960="","",'NEW ACCOUNT'!D960)</f>
        <v/>
      </c>
      <c r="E959" t="str">
        <f>IF('NEW ACCOUNT'!A960="","",'NEW ACCOUNT'!E960)</f>
        <v/>
      </c>
      <c r="F959" t="str">
        <f>IF('NEW ACCOUNT'!A960="","",'NEW ACCOUNT'!F960)</f>
        <v/>
      </c>
      <c r="G959" t="str">
        <f>IF('NEW ACCOUNT'!A960="","",'NEW ACCOUNT'!G960)</f>
        <v/>
      </c>
      <c r="H959" t="str">
        <f>IF('NEW ACCOUNT'!A960="","",'NEW ACCOUNT'!H960)</f>
        <v/>
      </c>
      <c r="I959" t="str">
        <f>IF('NEW ACCOUNT'!A960="","",'NEW ACCOUNT'!I960)</f>
        <v/>
      </c>
      <c r="J959" t="str">
        <f>IF('NEW ACCOUNT'!A960="","",'NEW ACCOUNT'!J960)</f>
        <v/>
      </c>
      <c r="K959" t="str">
        <f>IFERROR(IF(A959="","",SUMIF(DB_Savings!$A:$A,A959,DB_Savings!$F:$F)),"")</f>
        <v/>
      </c>
      <c r="L959" t="str">
        <f>IFERROR(IF(A959="","",SUMIF(DB_Withdrawals!$A:$A,A959,DB_Withdrawals!$G:$G)),"")</f>
        <v/>
      </c>
      <c r="M959" t="str">
        <f>IFERROR(IF(A959="","",IFERROR(VALUE(H959),0)+IFERROR(SUMIF(DB_Savings!$A:$A,A959,DB_Savings!$F:$F),0)-IFERROR(SUMIF(DB_Withdrawals!$A:$A,A959,DB_Withdrawals!$G:$G),0)),"")</f>
        <v/>
      </c>
      <c r="N959" t="str">
        <f>IFERROR(IF(A959="","",MAX(0,M959-System_Config!$B$9)),"")</f>
        <v/>
      </c>
    </row>
    <row r="960" spans="1:14" ht="15" customHeight="1" x14ac:dyDescent="0.25">
      <c r="A960" t="str">
        <f>'NEW ACCOUNT'!A961</f>
        <v/>
      </c>
      <c r="B960" t="str">
        <f>IF('NEW ACCOUNT'!A961="","",'NEW ACCOUNT'!B961)</f>
        <v/>
      </c>
      <c r="C960" t="str">
        <f>IF('NEW ACCOUNT'!A961="","",'NEW ACCOUNT'!C961)</f>
        <v/>
      </c>
      <c r="D960" t="str">
        <f>IF('NEW ACCOUNT'!A961="","",'NEW ACCOUNT'!D961)</f>
        <v/>
      </c>
      <c r="E960" t="str">
        <f>IF('NEW ACCOUNT'!A961="","",'NEW ACCOUNT'!E961)</f>
        <v/>
      </c>
      <c r="F960" t="str">
        <f>IF('NEW ACCOUNT'!A961="","",'NEW ACCOUNT'!F961)</f>
        <v/>
      </c>
      <c r="G960" t="str">
        <f>IF('NEW ACCOUNT'!A961="","",'NEW ACCOUNT'!G961)</f>
        <v/>
      </c>
      <c r="H960" t="str">
        <f>IF('NEW ACCOUNT'!A961="","",'NEW ACCOUNT'!H961)</f>
        <v/>
      </c>
      <c r="I960" t="str">
        <f>IF('NEW ACCOUNT'!A961="","",'NEW ACCOUNT'!I961)</f>
        <v/>
      </c>
      <c r="J960" t="str">
        <f>IF('NEW ACCOUNT'!A961="","",'NEW ACCOUNT'!J961)</f>
        <v/>
      </c>
      <c r="K960" t="str">
        <f>IFERROR(IF(A960="","",SUMIF(DB_Savings!$A:$A,A960,DB_Savings!$F:$F)),"")</f>
        <v/>
      </c>
      <c r="L960" t="str">
        <f>IFERROR(IF(A960="","",SUMIF(DB_Withdrawals!$A:$A,A960,DB_Withdrawals!$G:$G)),"")</f>
        <v/>
      </c>
      <c r="M960" t="str">
        <f>IFERROR(IF(A960="","",IFERROR(VALUE(H960),0)+IFERROR(SUMIF(DB_Savings!$A:$A,A960,DB_Savings!$F:$F),0)-IFERROR(SUMIF(DB_Withdrawals!$A:$A,A960,DB_Withdrawals!$G:$G),0)),"")</f>
        <v/>
      </c>
      <c r="N960" t="str">
        <f>IFERROR(IF(A960="","",MAX(0,M960-System_Config!$B$9)),"")</f>
        <v/>
      </c>
    </row>
    <row r="961" spans="1:14" ht="15" customHeight="1" x14ac:dyDescent="0.25">
      <c r="A961" t="str">
        <f>'NEW ACCOUNT'!A962</f>
        <v/>
      </c>
      <c r="B961" t="str">
        <f>IF('NEW ACCOUNT'!A962="","",'NEW ACCOUNT'!B962)</f>
        <v/>
      </c>
      <c r="C961" t="str">
        <f>IF('NEW ACCOUNT'!A962="","",'NEW ACCOUNT'!C962)</f>
        <v/>
      </c>
      <c r="D961" t="str">
        <f>IF('NEW ACCOUNT'!A962="","",'NEW ACCOUNT'!D962)</f>
        <v/>
      </c>
      <c r="E961" t="str">
        <f>IF('NEW ACCOUNT'!A962="","",'NEW ACCOUNT'!E962)</f>
        <v/>
      </c>
      <c r="F961" t="str">
        <f>IF('NEW ACCOUNT'!A962="","",'NEW ACCOUNT'!F962)</f>
        <v/>
      </c>
      <c r="G961" t="str">
        <f>IF('NEW ACCOUNT'!A962="","",'NEW ACCOUNT'!G962)</f>
        <v/>
      </c>
      <c r="H961" t="str">
        <f>IF('NEW ACCOUNT'!A962="","",'NEW ACCOUNT'!H962)</f>
        <v/>
      </c>
      <c r="I961" t="str">
        <f>IF('NEW ACCOUNT'!A962="","",'NEW ACCOUNT'!I962)</f>
        <v/>
      </c>
      <c r="J961" t="str">
        <f>IF('NEW ACCOUNT'!A962="","",'NEW ACCOUNT'!J962)</f>
        <v/>
      </c>
      <c r="K961" t="str">
        <f>IFERROR(IF(A961="","",SUMIF(DB_Savings!$A:$A,A961,DB_Savings!$F:$F)),"")</f>
        <v/>
      </c>
      <c r="L961" t="str">
        <f>IFERROR(IF(A961="","",SUMIF(DB_Withdrawals!$A:$A,A961,DB_Withdrawals!$G:$G)),"")</f>
        <v/>
      </c>
      <c r="M961" t="str">
        <f>IFERROR(IF(A961="","",IFERROR(VALUE(H961),0)+IFERROR(SUMIF(DB_Savings!$A:$A,A961,DB_Savings!$F:$F),0)-IFERROR(SUMIF(DB_Withdrawals!$A:$A,A961,DB_Withdrawals!$G:$G),0)),"")</f>
        <v/>
      </c>
      <c r="N961" t="str">
        <f>IFERROR(IF(A961="","",MAX(0,M961-System_Config!$B$9)),"")</f>
        <v/>
      </c>
    </row>
    <row r="962" spans="1:14" ht="15" customHeight="1" x14ac:dyDescent="0.25">
      <c r="A962" t="str">
        <f>'NEW ACCOUNT'!A963</f>
        <v/>
      </c>
      <c r="B962" t="str">
        <f>IF('NEW ACCOUNT'!A963="","",'NEW ACCOUNT'!B963)</f>
        <v/>
      </c>
      <c r="C962" t="str">
        <f>IF('NEW ACCOUNT'!A963="","",'NEW ACCOUNT'!C963)</f>
        <v/>
      </c>
      <c r="D962" t="str">
        <f>IF('NEW ACCOUNT'!A963="","",'NEW ACCOUNT'!D963)</f>
        <v/>
      </c>
      <c r="E962" t="str">
        <f>IF('NEW ACCOUNT'!A963="","",'NEW ACCOUNT'!E963)</f>
        <v/>
      </c>
      <c r="F962" t="str">
        <f>IF('NEW ACCOUNT'!A963="","",'NEW ACCOUNT'!F963)</f>
        <v/>
      </c>
      <c r="G962" t="str">
        <f>IF('NEW ACCOUNT'!A963="","",'NEW ACCOUNT'!G963)</f>
        <v/>
      </c>
      <c r="H962" t="str">
        <f>IF('NEW ACCOUNT'!A963="","",'NEW ACCOUNT'!H963)</f>
        <v/>
      </c>
      <c r="I962" t="str">
        <f>IF('NEW ACCOUNT'!A963="","",'NEW ACCOUNT'!I963)</f>
        <v/>
      </c>
      <c r="J962" t="str">
        <f>IF('NEW ACCOUNT'!A963="","",'NEW ACCOUNT'!J963)</f>
        <v/>
      </c>
      <c r="K962" t="str">
        <f>IFERROR(IF(A962="","",SUMIF(DB_Savings!$A:$A,A962,DB_Savings!$F:$F)),"")</f>
        <v/>
      </c>
      <c r="L962" t="str">
        <f>IFERROR(IF(A962="","",SUMIF(DB_Withdrawals!$A:$A,A962,DB_Withdrawals!$G:$G)),"")</f>
        <v/>
      </c>
      <c r="M962" t="str">
        <f>IFERROR(IF(A962="","",IFERROR(VALUE(H962),0)+IFERROR(SUMIF(DB_Savings!$A:$A,A962,DB_Savings!$F:$F),0)-IFERROR(SUMIF(DB_Withdrawals!$A:$A,A962,DB_Withdrawals!$G:$G),0)),"")</f>
        <v/>
      </c>
      <c r="N962" t="str">
        <f>IFERROR(IF(A962="","",MAX(0,M962-System_Config!$B$9)),"")</f>
        <v/>
      </c>
    </row>
    <row r="963" spans="1:14" ht="15" customHeight="1" x14ac:dyDescent="0.25">
      <c r="A963" t="str">
        <f>'NEW ACCOUNT'!A964</f>
        <v/>
      </c>
      <c r="B963" t="str">
        <f>IF('NEW ACCOUNT'!A964="","",'NEW ACCOUNT'!B964)</f>
        <v/>
      </c>
      <c r="C963" t="str">
        <f>IF('NEW ACCOUNT'!A964="","",'NEW ACCOUNT'!C964)</f>
        <v/>
      </c>
      <c r="D963" t="str">
        <f>IF('NEW ACCOUNT'!A964="","",'NEW ACCOUNT'!D964)</f>
        <v/>
      </c>
      <c r="E963" t="str">
        <f>IF('NEW ACCOUNT'!A964="","",'NEW ACCOUNT'!E964)</f>
        <v/>
      </c>
      <c r="F963" t="str">
        <f>IF('NEW ACCOUNT'!A964="","",'NEW ACCOUNT'!F964)</f>
        <v/>
      </c>
      <c r="G963" t="str">
        <f>IF('NEW ACCOUNT'!A964="","",'NEW ACCOUNT'!G964)</f>
        <v/>
      </c>
      <c r="H963" t="str">
        <f>IF('NEW ACCOUNT'!A964="","",'NEW ACCOUNT'!H964)</f>
        <v/>
      </c>
      <c r="I963" t="str">
        <f>IF('NEW ACCOUNT'!A964="","",'NEW ACCOUNT'!I964)</f>
        <v/>
      </c>
      <c r="J963" t="str">
        <f>IF('NEW ACCOUNT'!A964="","",'NEW ACCOUNT'!J964)</f>
        <v/>
      </c>
      <c r="K963" t="str">
        <f>IFERROR(IF(A963="","",SUMIF(DB_Savings!$A:$A,A963,DB_Savings!$F:$F)),"")</f>
        <v/>
      </c>
      <c r="L963" t="str">
        <f>IFERROR(IF(A963="","",SUMIF(DB_Withdrawals!$A:$A,A963,DB_Withdrawals!$G:$G)),"")</f>
        <v/>
      </c>
      <c r="M963" t="str">
        <f>IFERROR(IF(A963="","",IFERROR(VALUE(H963),0)+IFERROR(SUMIF(DB_Savings!$A:$A,A963,DB_Savings!$F:$F),0)-IFERROR(SUMIF(DB_Withdrawals!$A:$A,A963,DB_Withdrawals!$G:$G),0)),"")</f>
        <v/>
      </c>
      <c r="N963" t="str">
        <f>IFERROR(IF(A963="","",MAX(0,M963-System_Config!$B$9)),"")</f>
        <v/>
      </c>
    </row>
    <row r="964" spans="1:14" ht="15" customHeight="1" x14ac:dyDescent="0.25">
      <c r="A964" t="str">
        <f>'NEW ACCOUNT'!A965</f>
        <v/>
      </c>
      <c r="B964" t="str">
        <f>IF('NEW ACCOUNT'!A965="","",'NEW ACCOUNT'!B965)</f>
        <v/>
      </c>
      <c r="C964" t="str">
        <f>IF('NEW ACCOUNT'!A965="","",'NEW ACCOUNT'!C965)</f>
        <v/>
      </c>
      <c r="D964" t="str">
        <f>IF('NEW ACCOUNT'!A965="","",'NEW ACCOUNT'!D965)</f>
        <v/>
      </c>
      <c r="E964" t="str">
        <f>IF('NEW ACCOUNT'!A965="","",'NEW ACCOUNT'!E965)</f>
        <v/>
      </c>
      <c r="F964" t="str">
        <f>IF('NEW ACCOUNT'!A965="","",'NEW ACCOUNT'!F965)</f>
        <v/>
      </c>
      <c r="G964" t="str">
        <f>IF('NEW ACCOUNT'!A965="","",'NEW ACCOUNT'!G965)</f>
        <v/>
      </c>
      <c r="H964" t="str">
        <f>IF('NEW ACCOUNT'!A965="","",'NEW ACCOUNT'!H965)</f>
        <v/>
      </c>
      <c r="I964" t="str">
        <f>IF('NEW ACCOUNT'!A965="","",'NEW ACCOUNT'!I965)</f>
        <v/>
      </c>
      <c r="J964" t="str">
        <f>IF('NEW ACCOUNT'!A965="","",'NEW ACCOUNT'!J965)</f>
        <v/>
      </c>
      <c r="K964" t="str">
        <f>IFERROR(IF(A964="","",SUMIF(DB_Savings!$A:$A,A964,DB_Savings!$F:$F)),"")</f>
        <v/>
      </c>
      <c r="L964" t="str">
        <f>IFERROR(IF(A964="","",SUMIF(DB_Withdrawals!$A:$A,A964,DB_Withdrawals!$G:$G)),"")</f>
        <v/>
      </c>
      <c r="M964" t="str">
        <f>IFERROR(IF(A964="","",IFERROR(VALUE(H964),0)+IFERROR(SUMIF(DB_Savings!$A:$A,A964,DB_Savings!$F:$F),0)-IFERROR(SUMIF(DB_Withdrawals!$A:$A,A964,DB_Withdrawals!$G:$G),0)),"")</f>
        <v/>
      </c>
      <c r="N964" t="str">
        <f>IFERROR(IF(A964="","",MAX(0,M964-System_Config!$B$9)),"")</f>
        <v/>
      </c>
    </row>
    <row r="965" spans="1:14" ht="15" customHeight="1" x14ac:dyDescent="0.25">
      <c r="A965" t="str">
        <f>'NEW ACCOUNT'!A966</f>
        <v/>
      </c>
      <c r="B965" t="str">
        <f>IF('NEW ACCOUNT'!A966="","",'NEW ACCOUNT'!B966)</f>
        <v/>
      </c>
      <c r="C965" t="str">
        <f>IF('NEW ACCOUNT'!A966="","",'NEW ACCOUNT'!C966)</f>
        <v/>
      </c>
      <c r="D965" t="str">
        <f>IF('NEW ACCOUNT'!A966="","",'NEW ACCOUNT'!D966)</f>
        <v/>
      </c>
      <c r="E965" t="str">
        <f>IF('NEW ACCOUNT'!A966="","",'NEW ACCOUNT'!E966)</f>
        <v/>
      </c>
      <c r="F965" t="str">
        <f>IF('NEW ACCOUNT'!A966="","",'NEW ACCOUNT'!F966)</f>
        <v/>
      </c>
      <c r="G965" t="str">
        <f>IF('NEW ACCOUNT'!A966="","",'NEW ACCOUNT'!G966)</f>
        <v/>
      </c>
      <c r="H965" t="str">
        <f>IF('NEW ACCOUNT'!A966="","",'NEW ACCOUNT'!H966)</f>
        <v/>
      </c>
      <c r="I965" t="str">
        <f>IF('NEW ACCOUNT'!A966="","",'NEW ACCOUNT'!I966)</f>
        <v/>
      </c>
      <c r="J965" t="str">
        <f>IF('NEW ACCOUNT'!A966="","",'NEW ACCOUNT'!J966)</f>
        <v/>
      </c>
      <c r="K965" t="str">
        <f>IFERROR(IF(A965="","",SUMIF(DB_Savings!$A:$A,A965,DB_Savings!$F:$F)),"")</f>
        <v/>
      </c>
      <c r="L965" t="str">
        <f>IFERROR(IF(A965="","",SUMIF(DB_Withdrawals!$A:$A,A965,DB_Withdrawals!$G:$G)),"")</f>
        <v/>
      </c>
      <c r="M965" t="str">
        <f>IFERROR(IF(A965="","",IFERROR(VALUE(H965),0)+IFERROR(SUMIF(DB_Savings!$A:$A,A965,DB_Savings!$F:$F),0)-IFERROR(SUMIF(DB_Withdrawals!$A:$A,A965,DB_Withdrawals!$G:$G),0)),"")</f>
        <v/>
      </c>
      <c r="N965" t="str">
        <f>IFERROR(IF(A965="","",MAX(0,M965-System_Config!$B$9)),"")</f>
        <v/>
      </c>
    </row>
    <row r="966" spans="1:14" ht="15" customHeight="1" x14ac:dyDescent="0.25">
      <c r="A966" t="str">
        <f>'NEW ACCOUNT'!A967</f>
        <v/>
      </c>
      <c r="B966" t="str">
        <f>IF('NEW ACCOUNT'!A967="","",'NEW ACCOUNT'!B967)</f>
        <v/>
      </c>
      <c r="C966" t="str">
        <f>IF('NEW ACCOUNT'!A967="","",'NEW ACCOUNT'!C967)</f>
        <v/>
      </c>
      <c r="D966" t="str">
        <f>IF('NEW ACCOUNT'!A967="","",'NEW ACCOUNT'!D967)</f>
        <v/>
      </c>
      <c r="E966" t="str">
        <f>IF('NEW ACCOUNT'!A967="","",'NEW ACCOUNT'!E967)</f>
        <v/>
      </c>
      <c r="F966" t="str">
        <f>IF('NEW ACCOUNT'!A967="","",'NEW ACCOUNT'!F967)</f>
        <v/>
      </c>
      <c r="G966" t="str">
        <f>IF('NEW ACCOUNT'!A967="","",'NEW ACCOUNT'!G967)</f>
        <v/>
      </c>
      <c r="H966" t="str">
        <f>IF('NEW ACCOUNT'!A967="","",'NEW ACCOUNT'!H967)</f>
        <v/>
      </c>
      <c r="I966" t="str">
        <f>IF('NEW ACCOUNT'!A967="","",'NEW ACCOUNT'!I967)</f>
        <v/>
      </c>
      <c r="J966" t="str">
        <f>IF('NEW ACCOUNT'!A967="","",'NEW ACCOUNT'!J967)</f>
        <v/>
      </c>
      <c r="K966" t="str">
        <f>IFERROR(IF(A966="","",SUMIF(DB_Savings!$A:$A,A966,DB_Savings!$F:$F)),"")</f>
        <v/>
      </c>
      <c r="L966" t="str">
        <f>IFERROR(IF(A966="","",SUMIF(DB_Withdrawals!$A:$A,A966,DB_Withdrawals!$G:$G)),"")</f>
        <v/>
      </c>
      <c r="M966" t="str">
        <f>IFERROR(IF(A966="","",IFERROR(VALUE(H966),0)+IFERROR(SUMIF(DB_Savings!$A:$A,A966,DB_Savings!$F:$F),0)-IFERROR(SUMIF(DB_Withdrawals!$A:$A,A966,DB_Withdrawals!$G:$G),0)),"")</f>
        <v/>
      </c>
      <c r="N966" t="str">
        <f>IFERROR(IF(A966="","",MAX(0,M966-System_Config!$B$9)),"")</f>
        <v/>
      </c>
    </row>
    <row r="967" spans="1:14" ht="15" customHeight="1" x14ac:dyDescent="0.25">
      <c r="A967" t="str">
        <f>'NEW ACCOUNT'!A968</f>
        <v/>
      </c>
      <c r="B967" t="str">
        <f>IF('NEW ACCOUNT'!A968="","",'NEW ACCOUNT'!B968)</f>
        <v/>
      </c>
      <c r="C967" t="str">
        <f>IF('NEW ACCOUNT'!A968="","",'NEW ACCOUNT'!C968)</f>
        <v/>
      </c>
      <c r="D967" t="str">
        <f>IF('NEW ACCOUNT'!A968="","",'NEW ACCOUNT'!D968)</f>
        <v/>
      </c>
      <c r="E967" t="str">
        <f>IF('NEW ACCOUNT'!A968="","",'NEW ACCOUNT'!E968)</f>
        <v/>
      </c>
      <c r="F967" t="str">
        <f>IF('NEW ACCOUNT'!A968="","",'NEW ACCOUNT'!F968)</f>
        <v/>
      </c>
      <c r="G967" t="str">
        <f>IF('NEW ACCOUNT'!A968="","",'NEW ACCOUNT'!G968)</f>
        <v/>
      </c>
      <c r="H967" t="str">
        <f>IF('NEW ACCOUNT'!A968="","",'NEW ACCOUNT'!H968)</f>
        <v/>
      </c>
      <c r="I967" t="str">
        <f>IF('NEW ACCOUNT'!A968="","",'NEW ACCOUNT'!I968)</f>
        <v/>
      </c>
      <c r="J967" t="str">
        <f>IF('NEW ACCOUNT'!A968="","",'NEW ACCOUNT'!J968)</f>
        <v/>
      </c>
      <c r="K967" t="str">
        <f>IFERROR(IF(A967="","",SUMIF(DB_Savings!$A:$A,A967,DB_Savings!$F:$F)),"")</f>
        <v/>
      </c>
      <c r="L967" t="str">
        <f>IFERROR(IF(A967="","",SUMIF(DB_Withdrawals!$A:$A,A967,DB_Withdrawals!$G:$G)),"")</f>
        <v/>
      </c>
      <c r="M967" t="str">
        <f>IFERROR(IF(A967="","",IFERROR(VALUE(H967),0)+IFERROR(SUMIF(DB_Savings!$A:$A,A967,DB_Savings!$F:$F),0)-IFERROR(SUMIF(DB_Withdrawals!$A:$A,A967,DB_Withdrawals!$G:$G),0)),"")</f>
        <v/>
      </c>
      <c r="N967" t="str">
        <f>IFERROR(IF(A967="","",MAX(0,M967-System_Config!$B$9)),"")</f>
        <v/>
      </c>
    </row>
    <row r="968" spans="1:14" ht="15" customHeight="1" x14ac:dyDescent="0.25">
      <c r="A968" t="str">
        <f>'NEW ACCOUNT'!A969</f>
        <v/>
      </c>
      <c r="B968" t="str">
        <f>IF('NEW ACCOUNT'!A969="","",'NEW ACCOUNT'!B969)</f>
        <v/>
      </c>
      <c r="C968" t="str">
        <f>IF('NEW ACCOUNT'!A969="","",'NEW ACCOUNT'!C969)</f>
        <v/>
      </c>
      <c r="D968" t="str">
        <f>IF('NEW ACCOUNT'!A969="","",'NEW ACCOUNT'!D969)</f>
        <v/>
      </c>
      <c r="E968" t="str">
        <f>IF('NEW ACCOUNT'!A969="","",'NEW ACCOUNT'!E969)</f>
        <v/>
      </c>
      <c r="F968" t="str">
        <f>IF('NEW ACCOUNT'!A969="","",'NEW ACCOUNT'!F969)</f>
        <v/>
      </c>
      <c r="G968" t="str">
        <f>IF('NEW ACCOUNT'!A969="","",'NEW ACCOUNT'!G969)</f>
        <v/>
      </c>
      <c r="H968" t="str">
        <f>IF('NEW ACCOUNT'!A969="","",'NEW ACCOUNT'!H969)</f>
        <v/>
      </c>
      <c r="I968" t="str">
        <f>IF('NEW ACCOUNT'!A969="","",'NEW ACCOUNT'!I969)</f>
        <v/>
      </c>
      <c r="J968" t="str">
        <f>IF('NEW ACCOUNT'!A969="","",'NEW ACCOUNT'!J969)</f>
        <v/>
      </c>
      <c r="K968" t="str">
        <f>IFERROR(IF(A968="","",SUMIF(DB_Savings!$A:$A,A968,DB_Savings!$F:$F)),"")</f>
        <v/>
      </c>
      <c r="L968" t="str">
        <f>IFERROR(IF(A968="","",SUMIF(DB_Withdrawals!$A:$A,A968,DB_Withdrawals!$G:$G)),"")</f>
        <v/>
      </c>
      <c r="M968" t="str">
        <f>IFERROR(IF(A968="","",IFERROR(VALUE(H968),0)+IFERROR(SUMIF(DB_Savings!$A:$A,A968,DB_Savings!$F:$F),0)-IFERROR(SUMIF(DB_Withdrawals!$A:$A,A968,DB_Withdrawals!$G:$G),0)),"")</f>
        <v/>
      </c>
      <c r="N968" t="str">
        <f>IFERROR(IF(A968="","",MAX(0,M968-System_Config!$B$9)),"")</f>
        <v/>
      </c>
    </row>
    <row r="969" spans="1:14" ht="15" customHeight="1" x14ac:dyDescent="0.25">
      <c r="A969" t="str">
        <f>'NEW ACCOUNT'!A970</f>
        <v/>
      </c>
      <c r="B969" t="str">
        <f>IF('NEW ACCOUNT'!A970="","",'NEW ACCOUNT'!B970)</f>
        <v/>
      </c>
      <c r="C969" t="str">
        <f>IF('NEW ACCOUNT'!A970="","",'NEW ACCOUNT'!C970)</f>
        <v/>
      </c>
      <c r="D969" t="str">
        <f>IF('NEW ACCOUNT'!A970="","",'NEW ACCOUNT'!D970)</f>
        <v/>
      </c>
      <c r="E969" t="str">
        <f>IF('NEW ACCOUNT'!A970="","",'NEW ACCOUNT'!E970)</f>
        <v/>
      </c>
      <c r="F969" t="str">
        <f>IF('NEW ACCOUNT'!A970="","",'NEW ACCOUNT'!F970)</f>
        <v/>
      </c>
      <c r="G969" t="str">
        <f>IF('NEW ACCOUNT'!A970="","",'NEW ACCOUNT'!G970)</f>
        <v/>
      </c>
      <c r="H969" t="str">
        <f>IF('NEW ACCOUNT'!A970="","",'NEW ACCOUNT'!H970)</f>
        <v/>
      </c>
      <c r="I969" t="str">
        <f>IF('NEW ACCOUNT'!A970="","",'NEW ACCOUNT'!I970)</f>
        <v/>
      </c>
      <c r="J969" t="str">
        <f>IF('NEW ACCOUNT'!A970="","",'NEW ACCOUNT'!J970)</f>
        <v/>
      </c>
      <c r="K969" t="str">
        <f>IFERROR(IF(A969="","",SUMIF(DB_Savings!$A:$A,A969,DB_Savings!$F:$F)),"")</f>
        <v/>
      </c>
      <c r="L969" t="str">
        <f>IFERROR(IF(A969="","",SUMIF(DB_Withdrawals!$A:$A,A969,DB_Withdrawals!$G:$G)),"")</f>
        <v/>
      </c>
      <c r="M969" t="str">
        <f>IFERROR(IF(A969="","",IFERROR(VALUE(H969),0)+IFERROR(SUMIF(DB_Savings!$A:$A,A969,DB_Savings!$F:$F),0)-IFERROR(SUMIF(DB_Withdrawals!$A:$A,A969,DB_Withdrawals!$G:$G),0)),"")</f>
        <v/>
      </c>
      <c r="N969" t="str">
        <f>IFERROR(IF(A969="","",MAX(0,M969-System_Config!$B$9)),"")</f>
        <v/>
      </c>
    </row>
    <row r="970" spans="1:14" ht="15" customHeight="1" x14ac:dyDescent="0.25">
      <c r="A970" t="str">
        <f>'NEW ACCOUNT'!A971</f>
        <v/>
      </c>
      <c r="B970" t="str">
        <f>IF('NEW ACCOUNT'!A971="","",'NEW ACCOUNT'!B971)</f>
        <v/>
      </c>
      <c r="C970" t="str">
        <f>IF('NEW ACCOUNT'!A971="","",'NEW ACCOUNT'!C971)</f>
        <v/>
      </c>
      <c r="D970" t="str">
        <f>IF('NEW ACCOUNT'!A971="","",'NEW ACCOUNT'!D971)</f>
        <v/>
      </c>
      <c r="E970" t="str">
        <f>IF('NEW ACCOUNT'!A971="","",'NEW ACCOUNT'!E971)</f>
        <v/>
      </c>
      <c r="F970" t="str">
        <f>IF('NEW ACCOUNT'!A971="","",'NEW ACCOUNT'!F971)</f>
        <v/>
      </c>
      <c r="G970" t="str">
        <f>IF('NEW ACCOUNT'!A971="","",'NEW ACCOUNT'!G971)</f>
        <v/>
      </c>
      <c r="H970" t="str">
        <f>IF('NEW ACCOUNT'!A971="","",'NEW ACCOUNT'!H971)</f>
        <v/>
      </c>
      <c r="I970" t="str">
        <f>IF('NEW ACCOUNT'!A971="","",'NEW ACCOUNT'!I971)</f>
        <v/>
      </c>
      <c r="J970" t="str">
        <f>IF('NEW ACCOUNT'!A971="","",'NEW ACCOUNT'!J971)</f>
        <v/>
      </c>
      <c r="K970" t="str">
        <f>IFERROR(IF(A970="","",SUMIF(DB_Savings!$A:$A,A970,DB_Savings!$F:$F)),"")</f>
        <v/>
      </c>
      <c r="L970" t="str">
        <f>IFERROR(IF(A970="","",SUMIF(DB_Withdrawals!$A:$A,A970,DB_Withdrawals!$G:$G)),"")</f>
        <v/>
      </c>
      <c r="M970" t="str">
        <f>IFERROR(IF(A970="","",IFERROR(VALUE(H970),0)+IFERROR(SUMIF(DB_Savings!$A:$A,A970,DB_Savings!$F:$F),0)-IFERROR(SUMIF(DB_Withdrawals!$A:$A,A970,DB_Withdrawals!$G:$G),0)),"")</f>
        <v/>
      </c>
      <c r="N970" t="str">
        <f>IFERROR(IF(A970="","",MAX(0,M970-System_Config!$B$9)),"")</f>
        <v/>
      </c>
    </row>
    <row r="971" spans="1:14" ht="15" customHeight="1" x14ac:dyDescent="0.25">
      <c r="A971" t="str">
        <f>'NEW ACCOUNT'!A972</f>
        <v/>
      </c>
      <c r="B971" t="str">
        <f>IF('NEW ACCOUNT'!A972="","",'NEW ACCOUNT'!B972)</f>
        <v/>
      </c>
      <c r="C971" t="str">
        <f>IF('NEW ACCOUNT'!A972="","",'NEW ACCOUNT'!C972)</f>
        <v/>
      </c>
      <c r="D971" t="str">
        <f>IF('NEW ACCOUNT'!A972="","",'NEW ACCOUNT'!D972)</f>
        <v/>
      </c>
      <c r="E971" t="str">
        <f>IF('NEW ACCOUNT'!A972="","",'NEW ACCOUNT'!E972)</f>
        <v/>
      </c>
      <c r="F971" t="str">
        <f>IF('NEW ACCOUNT'!A972="","",'NEW ACCOUNT'!F972)</f>
        <v/>
      </c>
      <c r="G971" t="str">
        <f>IF('NEW ACCOUNT'!A972="","",'NEW ACCOUNT'!G972)</f>
        <v/>
      </c>
      <c r="H971" t="str">
        <f>IF('NEW ACCOUNT'!A972="","",'NEW ACCOUNT'!H972)</f>
        <v/>
      </c>
      <c r="I971" t="str">
        <f>IF('NEW ACCOUNT'!A972="","",'NEW ACCOUNT'!I972)</f>
        <v/>
      </c>
      <c r="J971" t="str">
        <f>IF('NEW ACCOUNT'!A972="","",'NEW ACCOUNT'!J972)</f>
        <v/>
      </c>
      <c r="K971" t="str">
        <f>IFERROR(IF(A971="","",SUMIF(DB_Savings!$A:$A,A971,DB_Savings!$F:$F)),"")</f>
        <v/>
      </c>
      <c r="L971" t="str">
        <f>IFERROR(IF(A971="","",SUMIF(DB_Withdrawals!$A:$A,A971,DB_Withdrawals!$G:$G)),"")</f>
        <v/>
      </c>
      <c r="M971" t="str">
        <f>IFERROR(IF(A971="","",IFERROR(VALUE(H971),0)+IFERROR(SUMIF(DB_Savings!$A:$A,A971,DB_Savings!$F:$F),0)-IFERROR(SUMIF(DB_Withdrawals!$A:$A,A971,DB_Withdrawals!$G:$G),0)),"")</f>
        <v/>
      </c>
      <c r="N971" t="str">
        <f>IFERROR(IF(A971="","",MAX(0,M971-System_Config!$B$9)),"")</f>
        <v/>
      </c>
    </row>
    <row r="972" spans="1:14" ht="15" customHeight="1" x14ac:dyDescent="0.25">
      <c r="A972" t="str">
        <f>'NEW ACCOUNT'!A973</f>
        <v/>
      </c>
      <c r="B972" t="str">
        <f>IF('NEW ACCOUNT'!A973="","",'NEW ACCOUNT'!B973)</f>
        <v/>
      </c>
      <c r="C972" t="str">
        <f>IF('NEW ACCOUNT'!A973="","",'NEW ACCOUNT'!C973)</f>
        <v/>
      </c>
      <c r="D972" t="str">
        <f>IF('NEW ACCOUNT'!A973="","",'NEW ACCOUNT'!D973)</f>
        <v/>
      </c>
      <c r="E972" t="str">
        <f>IF('NEW ACCOUNT'!A973="","",'NEW ACCOUNT'!E973)</f>
        <v/>
      </c>
      <c r="F972" t="str">
        <f>IF('NEW ACCOUNT'!A973="","",'NEW ACCOUNT'!F973)</f>
        <v/>
      </c>
      <c r="G972" t="str">
        <f>IF('NEW ACCOUNT'!A973="","",'NEW ACCOUNT'!G973)</f>
        <v/>
      </c>
      <c r="H972" t="str">
        <f>IF('NEW ACCOUNT'!A973="","",'NEW ACCOUNT'!H973)</f>
        <v/>
      </c>
      <c r="I972" t="str">
        <f>IF('NEW ACCOUNT'!A973="","",'NEW ACCOUNT'!I973)</f>
        <v/>
      </c>
      <c r="J972" t="str">
        <f>IF('NEW ACCOUNT'!A973="","",'NEW ACCOUNT'!J973)</f>
        <v/>
      </c>
      <c r="K972" t="str">
        <f>IFERROR(IF(A972="","",SUMIF(DB_Savings!$A:$A,A972,DB_Savings!$F:$F)),"")</f>
        <v/>
      </c>
      <c r="L972" t="str">
        <f>IFERROR(IF(A972="","",SUMIF(DB_Withdrawals!$A:$A,A972,DB_Withdrawals!$G:$G)),"")</f>
        <v/>
      </c>
      <c r="M972" t="str">
        <f>IFERROR(IF(A972="","",IFERROR(VALUE(H972),0)+IFERROR(SUMIF(DB_Savings!$A:$A,A972,DB_Savings!$F:$F),0)-IFERROR(SUMIF(DB_Withdrawals!$A:$A,A972,DB_Withdrawals!$G:$G),0)),"")</f>
        <v/>
      </c>
      <c r="N972" t="str">
        <f>IFERROR(IF(A972="","",MAX(0,M972-System_Config!$B$9)),"")</f>
        <v/>
      </c>
    </row>
    <row r="973" spans="1:14" ht="15" customHeight="1" x14ac:dyDescent="0.25">
      <c r="A973" t="str">
        <f>'NEW ACCOUNT'!A974</f>
        <v/>
      </c>
      <c r="B973" t="str">
        <f>IF('NEW ACCOUNT'!A974="","",'NEW ACCOUNT'!B974)</f>
        <v/>
      </c>
      <c r="C973" t="str">
        <f>IF('NEW ACCOUNT'!A974="","",'NEW ACCOUNT'!C974)</f>
        <v/>
      </c>
      <c r="D973" t="str">
        <f>IF('NEW ACCOUNT'!A974="","",'NEW ACCOUNT'!D974)</f>
        <v/>
      </c>
      <c r="E973" t="str">
        <f>IF('NEW ACCOUNT'!A974="","",'NEW ACCOUNT'!E974)</f>
        <v/>
      </c>
      <c r="F973" t="str">
        <f>IF('NEW ACCOUNT'!A974="","",'NEW ACCOUNT'!F974)</f>
        <v/>
      </c>
      <c r="G973" t="str">
        <f>IF('NEW ACCOUNT'!A974="","",'NEW ACCOUNT'!G974)</f>
        <v/>
      </c>
      <c r="H973" t="str">
        <f>IF('NEW ACCOUNT'!A974="","",'NEW ACCOUNT'!H974)</f>
        <v/>
      </c>
      <c r="I973" t="str">
        <f>IF('NEW ACCOUNT'!A974="","",'NEW ACCOUNT'!I974)</f>
        <v/>
      </c>
      <c r="J973" t="str">
        <f>IF('NEW ACCOUNT'!A974="","",'NEW ACCOUNT'!J974)</f>
        <v/>
      </c>
      <c r="K973" t="str">
        <f>IFERROR(IF(A973="","",SUMIF(DB_Savings!$A:$A,A973,DB_Savings!$F:$F)),"")</f>
        <v/>
      </c>
      <c r="L973" t="str">
        <f>IFERROR(IF(A973="","",SUMIF(DB_Withdrawals!$A:$A,A973,DB_Withdrawals!$G:$G)),"")</f>
        <v/>
      </c>
      <c r="M973" t="str">
        <f>IFERROR(IF(A973="","",IFERROR(VALUE(H973),0)+IFERROR(SUMIF(DB_Savings!$A:$A,A973,DB_Savings!$F:$F),0)-IFERROR(SUMIF(DB_Withdrawals!$A:$A,A973,DB_Withdrawals!$G:$G),0)),"")</f>
        <v/>
      </c>
      <c r="N973" t="str">
        <f>IFERROR(IF(A973="","",MAX(0,M973-System_Config!$B$9)),"")</f>
        <v/>
      </c>
    </row>
    <row r="974" spans="1:14" ht="15" customHeight="1" x14ac:dyDescent="0.25">
      <c r="A974" t="str">
        <f>'NEW ACCOUNT'!A975</f>
        <v/>
      </c>
      <c r="B974" t="str">
        <f>IF('NEW ACCOUNT'!A975="","",'NEW ACCOUNT'!B975)</f>
        <v/>
      </c>
      <c r="C974" t="str">
        <f>IF('NEW ACCOUNT'!A975="","",'NEW ACCOUNT'!C975)</f>
        <v/>
      </c>
      <c r="D974" t="str">
        <f>IF('NEW ACCOUNT'!A975="","",'NEW ACCOUNT'!D975)</f>
        <v/>
      </c>
      <c r="E974" t="str">
        <f>IF('NEW ACCOUNT'!A975="","",'NEW ACCOUNT'!E975)</f>
        <v/>
      </c>
      <c r="F974" t="str">
        <f>IF('NEW ACCOUNT'!A975="","",'NEW ACCOUNT'!F975)</f>
        <v/>
      </c>
      <c r="G974" t="str">
        <f>IF('NEW ACCOUNT'!A975="","",'NEW ACCOUNT'!G975)</f>
        <v/>
      </c>
      <c r="H974" t="str">
        <f>IF('NEW ACCOUNT'!A975="","",'NEW ACCOUNT'!H975)</f>
        <v/>
      </c>
      <c r="I974" t="str">
        <f>IF('NEW ACCOUNT'!A975="","",'NEW ACCOUNT'!I975)</f>
        <v/>
      </c>
      <c r="J974" t="str">
        <f>IF('NEW ACCOUNT'!A975="","",'NEW ACCOUNT'!J975)</f>
        <v/>
      </c>
      <c r="K974" t="str">
        <f>IFERROR(IF(A974="","",SUMIF(DB_Savings!$A:$A,A974,DB_Savings!$F:$F)),"")</f>
        <v/>
      </c>
      <c r="L974" t="str">
        <f>IFERROR(IF(A974="","",SUMIF(DB_Withdrawals!$A:$A,A974,DB_Withdrawals!$G:$G)),"")</f>
        <v/>
      </c>
      <c r="M974" t="str">
        <f>IFERROR(IF(A974="","",IFERROR(VALUE(H974),0)+IFERROR(SUMIF(DB_Savings!$A:$A,A974,DB_Savings!$F:$F),0)-IFERROR(SUMIF(DB_Withdrawals!$A:$A,A974,DB_Withdrawals!$G:$G),0)),"")</f>
        <v/>
      </c>
      <c r="N974" t="str">
        <f>IFERROR(IF(A974="","",MAX(0,M974-System_Config!$B$9)),"")</f>
        <v/>
      </c>
    </row>
    <row r="975" spans="1:14" ht="15" customHeight="1" x14ac:dyDescent="0.25">
      <c r="A975" t="str">
        <f>'NEW ACCOUNT'!A976</f>
        <v/>
      </c>
      <c r="B975" t="str">
        <f>IF('NEW ACCOUNT'!A976="","",'NEW ACCOUNT'!B976)</f>
        <v/>
      </c>
      <c r="C975" t="str">
        <f>IF('NEW ACCOUNT'!A976="","",'NEW ACCOUNT'!C976)</f>
        <v/>
      </c>
      <c r="D975" t="str">
        <f>IF('NEW ACCOUNT'!A976="","",'NEW ACCOUNT'!D976)</f>
        <v/>
      </c>
      <c r="E975" t="str">
        <f>IF('NEW ACCOUNT'!A976="","",'NEW ACCOUNT'!E976)</f>
        <v/>
      </c>
      <c r="F975" t="str">
        <f>IF('NEW ACCOUNT'!A976="","",'NEW ACCOUNT'!F976)</f>
        <v/>
      </c>
      <c r="G975" t="str">
        <f>IF('NEW ACCOUNT'!A976="","",'NEW ACCOUNT'!G976)</f>
        <v/>
      </c>
      <c r="H975" t="str">
        <f>IF('NEW ACCOUNT'!A976="","",'NEW ACCOUNT'!H976)</f>
        <v/>
      </c>
      <c r="I975" t="str">
        <f>IF('NEW ACCOUNT'!A976="","",'NEW ACCOUNT'!I976)</f>
        <v/>
      </c>
      <c r="J975" t="str">
        <f>IF('NEW ACCOUNT'!A976="","",'NEW ACCOUNT'!J976)</f>
        <v/>
      </c>
      <c r="K975" t="str">
        <f>IFERROR(IF(A975="","",SUMIF(DB_Savings!$A:$A,A975,DB_Savings!$F:$F)),"")</f>
        <v/>
      </c>
      <c r="L975" t="str">
        <f>IFERROR(IF(A975="","",SUMIF(DB_Withdrawals!$A:$A,A975,DB_Withdrawals!$G:$G)),"")</f>
        <v/>
      </c>
      <c r="M975" t="str">
        <f>IFERROR(IF(A975="","",IFERROR(VALUE(H975),0)+IFERROR(SUMIF(DB_Savings!$A:$A,A975,DB_Savings!$F:$F),0)-IFERROR(SUMIF(DB_Withdrawals!$A:$A,A975,DB_Withdrawals!$G:$G),0)),"")</f>
        <v/>
      </c>
      <c r="N975" t="str">
        <f>IFERROR(IF(A975="","",MAX(0,M975-System_Config!$B$9)),"")</f>
        <v/>
      </c>
    </row>
    <row r="976" spans="1:14" ht="15" customHeight="1" x14ac:dyDescent="0.25">
      <c r="A976" t="str">
        <f>'NEW ACCOUNT'!A977</f>
        <v/>
      </c>
      <c r="B976" t="str">
        <f>IF('NEW ACCOUNT'!A977="","",'NEW ACCOUNT'!B977)</f>
        <v/>
      </c>
      <c r="C976" t="str">
        <f>IF('NEW ACCOUNT'!A977="","",'NEW ACCOUNT'!C977)</f>
        <v/>
      </c>
      <c r="D976" t="str">
        <f>IF('NEW ACCOUNT'!A977="","",'NEW ACCOUNT'!D977)</f>
        <v/>
      </c>
      <c r="E976" t="str">
        <f>IF('NEW ACCOUNT'!A977="","",'NEW ACCOUNT'!E977)</f>
        <v/>
      </c>
      <c r="F976" t="str">
        <f>IF('NEW ACCOUNT'!A977="","",'NEW ACCOUNT'!F977)</f>
        <v/>
      </c>
      <c r="G976" t="str">
        <f>IF('NEW ACCOUNT'!A977="","",'NEW ACCOUNT'!G977)</f>
        <v/>
      </c>
      <c r="H976" t="str">
        <f>IF('NEW ACCOUNT'!A977="","",'NEW ACCOUNT'!H977)</f>
        <v/>
      </c>
      <c r="I976" t="str">
        <f>IF('NEW ACCOUNT'!A977="","",'NEW ACCOUNT'!I977)</f>
        <v/>
      </c>
      <c r="J976" t="str">
        <f>IF('NEW ACCOUNT'!A977="","",'NEW ACCOUNT'!J977)</f>
        <v/>
      </c>
      <c r="K976" t="str">
        <f>IFERROR(IF(A976="","",SUMIF(DB_Savings!$A:$A,A976,DB_Savings!$F:$F)),"")</f>
        <v/>
      </c>
      <c r="L976" t="str">
        <f>IFERROR(IF(A976="","",SUMIF(DB_Withdrawals!$A:$A,A976,DB_Withdrawals!$G:$G)),"")</f>
        <v/>
      </c>
      <c r="M976" t="str">
        <f>IFERROR(IF(A976="","",IFERROR(VALUE(H976),0)+IFERROR(SUMIF(DB_Savings!$A:$A,A976,DB_Savings!$F:$F),0)-IFERROR(SUMIF(DB_Withdrawals!$A:$A,A976,DB_Withdrawals!$G:$G),0)),"")</f>
        <v/>
      </c>
      <c r="N976" t="str">
        <f>IFERROR(IF(A976="","",MAX(0,M976-System_Config!$B$9)),"")</f>
        <v/>
      </c>
    </row>
    <row r="977" spans="1:14" ht="15" customHeight="1" x14ac:dyDescent="0.25">
      <c r="A977" t="str">
        <f>'NEW ACCOUNT'!A978</f>
        <v/>
      </c>
      <c r="B977" t="str">
        <f>IF('NEW ACCOUNT'!A978="","",'NEW ACCOUNT'!B978)</f>
        <v/>
      </c>
      <c r="C977" t="str">
        <f>IF('NEW ACCOUNT'!A978="","",'NEW ACCOUNT'!C978)</f>
        <v/>
      </c>
      <c r="D977" t="str">
        <f>IF('NEW ACCOUNT'!A978="","",'NEW ACCOUNT'!D978)</f>
        <v/>
      </c>
      <c r="E977" t="str">
        <f>IF('NEW ACCOUNT'!A978="","",'NEW ACCOUNT'!E978)</f>
        <v/>
      </c>
      <c r="F977" t="str">
        <f>IF('NEW ACCOUNT'!A978="","",'NEW ACCOUNT'!F978)</f>
        <v/>
      </c>
      <c r="G977" t="str">
        <f>IF('NEW ACCOUNT'!A978="","",'NEW ACCOUNT'!G978)</f>
        <v/>
      </c>
      <c r="H977" t="str">
        <f>IF('NEW ACCOUNT'!A978="","",'NEW ACCOUNT'!H978)</f>
        <v/>
      </c>
      <c r="I977" t="str">
        <f>IF('NEW ACCOUNT'!A978="","",'NEW ACCOUNT'!I978)</f>
        <v/>
      </c>
      <c r="J977" t="str">
        <f>IF('NEW ACCOUNT'!A978="","",'NEW ACCOUNT'!J978)</f>
        <v/>
      </c>
      <c r="K977" t="str">
        <f>IFERROR(IF(A977="","",SUMIF(DB_Savings!$A:$A,A977,DB_Savings!$F:$F)),"")</f>
        <v/>
      </c>
      <c r="L977" t="str">
        <f>IFERROR(IF(A977="","",SUMIF(DB_Withdrawals!$A:$A,A977,DB_Withdrawals!$G:$G)),"")</f>
        <v/>
      </c>
      <c r="M977" t="str">
        <f>IFERROR(IF(A977="","",IFERROR(VALUE(H977),0)+IFERROR(SUMIF(DB_Savings!$A:$A,A977,DB_Savings!$F:$F),0)-IFERROR(SUMIF(DB_Withdrawals!$A:$A,A977,DB_Withdrawals!$G:$G),0)),"")</f>
        <v/>
      </c>
      <c r="N977" t="str">
        <f>IFERROR(IF(A977="","",MAX(0,M977-System_Config!$B$9)),"")</f>
        <v/>
      </c>
    </row>
    <row r="978" spans="1:14" ht="15" customHeight="1" x14ac:dyDescent="0.25">
      <c r="A978" t="str">
        <f>'NEW ACCOUNT'!A979</f>
        <v/>
      </c>
      <c r="B978" t="str">
        <f>IF('NEW ACCOUNT'!A979="","",'NEW ACCOUNT'!B979)</f>
        <v/>
      </c>
      <c r="C978" t="str">
        <f>IF('NEW ACCOUNT'!A979="","",'NEW ACCOUNT'!C979)</f>
        <v/>
      </c>
      <c r="D978" t="str">
        <f>IF('NEW ACCOUNT'!A979="","",'NEW ACCOUNT'!D979)</f>
        <v/>
      </c>
      <c r="E978" t="str">
        <f>IF('NEW ACCOUNT'!A979="","",'NEW ACCOUNT'!E979)</f>
        <v/>
      </c>
      <c r="F978" t="str">
        <f>IF('NEW ACCOUNT'!A979="","",'NEW ACCOUNT'!F979)</f>
        <v/>
      </c>
      <c r="G978" t="str">
        <f>IF('NEW ACCOUNT'!A979="","",'NEW ACCOUNT'!G979)</f>
        <v/>
      </c>
      <c r="H978" t="str">
        <f>IF('NEW ACCOUNT'!A979="","",'NEW ACCOUNT'!H979)</f>
        <v/>
      </c>
      <c r="I978" t="str">
        <f>IF('NEW ACCOUNT'!A979="","",'NEW ACCOUNT'!I979)</f>
        <v/>
      </c>
      <c r="J978" t="str">
        <f>IF('NEW ACCOUNT'!A979="","",'NEW ACCOUNT'!J979)</f>
        <v/>
      </c>
      <c r="K978" t="str">
        <f>IFERROR(IF(A978="","",SUMIF(DB_Savings!$A:$A,A978,DB_Savings!$F:$F)),"")</f>
        <v/>
      </c>
      <c r="L978" t="str">
        <f>IFERROR(IF(A978="","",SUMIF(DB_Withdrawals!$A:$A,A978,DB_Withdrawals!$G:$G)),"")</f>
        <v/>
      </c>
      <c r="M978" t="str">
        <f>IFERROR(IF(A978="","",IFERROR(VALUE(H978),0)+IFERROR(SUMIF(DB_Savings!$A:$A,A978,DB_Savings!$F:$F),0)-IFERROR(SUMIF(DB_Withdrawals!$A:$A,A978,DB_Withdrawals!$G:$G),0)),"")</f>
        <v/>
      </c>
      <c r="N978" t="str">
        <f>IFERROR(IF(A978="","",MAX(0,M978-System_Config!$B$9)),"")</f>
        <v/>
      </c>
    </row>
    <row r="979" spans="1:14" ht="15" customHeight="1" x14ac:dyDescent="0.25">
      <c r="A979" t="str">
        <f>'NEW ACCOUNT'!A980</f>
        <v/>
      </c>
      <c r="B979" t="str">
        <f>IF('NEW ACCOUNT'!A980="","",'NEW ACCOUNT'!B980)</f>
        <v/>
      </c>
      <c r="C979" t="str">
        <f>IF('NEW ACCOUNT'!A980="","",'NEW ACCOUNT'!C980)</f>
        <v/>
      </c>
      <c r="D979" t="str">
        <f>IF('NEW ACCOUNT'!A980="","",'NEW ACCOUNT'!D980)</f>
        <v/>
      </c>
      <c r="E979" t="str">
        <f>IF('NEW ACCOUNT'!A980="","",'NEW ACCOUNT'!E980)</f>
        <v/>
      </c>
      <c r="F979" t="str">
        <f>IF('NEW ACCOUNT'!A980="","",'NEW ACCOUNT'!F980)</f>
        <v/>
      </c>
      <c r="G979" t="str">
        <f>IF('NEW ACCOUNT'!A980="","",'NEW ACCOUNT'!G980)</f>
        <v/>
      </c>
      <c r="H979" t="str">
        <f>IF('NEW ACCOUNT'!A980="","",'NEW ACCOUNT'!H980)</f>
        <v/>
      </c>
      <c r="I979" t="str">
        <f>IF('NEW ACCOUNT'!A980="","",'NEW ACCOUNT'!I980)</f>
        <v/>
      </c>
      <c r="J979" t="str">
        <f>IF('NEW ACCOUNT'!A980="","",'NEW ACCOUNT'!J980)</f>
        <v/>
      </c>
      <c r="K979" t="str">
        <f>IFERROR(IF(A979="","",SUMIF(DB_Savings!$A:$A,A979,DB_Savings!$F:$F)),"")</f>
        <v/>
      </c>
      <c r="L979" t="str">
        <f>IFERROR(IF(A979="","",SUMIF(DB_Withdrawals!$A:$A,A979,DB_Withdrawals!$G:$G)),"")</f>
        <v/>
      </c>
      <c r="M979" t="str">
        <f>IFERROR(IF(A979="","",IFERROR(VALUE(H979),0)+IFERROR(SUMIF(DB_Savings!$A:$A,A979,DB_Savings!$F:$F),0)-IFERROR(SUMIF(DB_Withdrawals!$A:$A,A979,DB_Withdrawals!$G:$G),0)),"")</f>
        <v/>
      </c>
      <c r="N979" t="str">
        <f>IFERROR(IF(A979="","",MAX(0,M979-System_Config!$B$9)),"")</f>
        <v/>
      </c>
    </row>
    <row r="980" spans="1:14" ht="15" customHeight="1" x14ac:dyDescent="0.25">
      <c r="A980" t="str">
        <f>'NEW ACCOUNT'!A981</f>
        <v/>
      </c>
      <c r="B980" t="str">
        <f>IF('NEW ACCOUNT'!A981="","",'NEW ACCOUNT'!B981)</f>
        <v/>
      </c>
      <c r="C980" t="str">
        <f>IF('NEW ACCOUNT'!A981="","",'NEW ACCOUNT'!C981)</f>
        <v/>
      </c>
      <c r="D980" t="str">
        <f>IF('NEW ACCOUNT'!A981="","",'NEW ACCOUNT'!D981)</f>
        <v/>
      </c>
      <c r="E980" t="str">
        <f>IF('NEW ACCOUNT'!A981="","",'NEW ACCOUNT'!E981)</f>
        <v/>
      </c>
      <c r="F980" t="str">
        <f>IF('NEW ACCOUNT'!A981="","",'NEW ACCOUNT'!F981)</f>
        <v/>
      </c>
      <c r="G980" t="str">
        <f>IF('NEW ACCOUNT'!A981="","",'NEW ACCOUNT'!G981)</f>
        <v/>
      </c>
      <c r="H980" t="str">
        <f>IF('NEW ACCOUNT'!A981="","",'NEW ACCOUNT'!H981)</f>
        <v/>
      </c>
      <c r="I980" t="str">
        <f>IF('NEW ACCOUNT'!A981="","",'NEW ACCOUNT'!I981)</f>
        <v/>
      </c>
      <c r="J980" t="str">
        <f>IF('NEW ACCOUNT'!A981="","",'NEW ACCOUNT'!J981)</f>
        <v/>
      </c>
      <c r="K980" t="str">
        <f>IFERROR(IF(A980="","",SUMIF(DB_Savings!$A:$A,A980,DB_Savings!$F:$F)),"")</f>
        <v/>
      </c>
      <c r="L980" t="str">
        <f>IFERROR(IF(A980="","",SUMIF(DB_Withdrawals!$A:$A,A980,DB_Withdrawals!$G:$G)),"")</f>
        <v/>
      </c>
      <c r="M980" t="str">
        <f>IFERROR(IF(A980="","",IFERROR(VALUE(H980),0)+IFERROR(SUMIF(DB_Savings!$A:$A,A980,DB_Savings!$F:$F),0)-IFERROR(SUMIF(DB_Withdrawals!$A:$A,A980,DB_Withdrawals!$G:$G),0)),"")</f>
        <v/>
      </c>
      <c r="N980" t="str">
        <f>IFERROR(IF(A980="","",MAX(0,M980-System_Config!$B$9)),"")</f>
        <v/>
      </c>
    </row>
    <row r="981" spans="1:14" ht="15" customHeight="1" x14ac:dyDescent="0.25">
      <c r="A981" t="str">
        <f>'NEW ACCOUNT'!A982</f>
        <v/>
      </c>
      <c r="B981" t="str">
        <f>IF('NEW ACCOUNT'!A982="","",'NEW ACCOUNT'!B982)</f>
        <v/>
      </c>
      <c r="C981" t="str">
        <f>IF('NEW ACCOUNT'!A982="","",'NEW ACCOUNT'!C982)</f>
        <v/>
      </c>
      <c r="D981" t="str">
        <f>IF('NEW ACCOUNT'!A982="","",'NEW ACCOUNT'!D982)</f>
        <v/>
      </c>
      <c r="E981" t="str">
        <f>IF('NEW ACCOUNT'!A982="","",'NEW ACCOUNT'!E982)</f>
        <v/>
      </c>
      <c r="F981" t="str">
        <f>IF('NEW ACCOUNT'!A982="","",'NEW ACCOUNT'!F982)</f>
        <v/>
      </c>
      <c r="G981" t="str">
        <f>IF('NEW ACCOUNT'!A982="","",'NEW ACCOUNT'!G982)</f>
        <v/>
      </c>
      <c r="H981" t="str">
        <f>IF('NEW ACCOUNT'!A982="","",'NEW ACCOUNT'!H982)</f>
        <v/>
      </c>
      <c r="I981" t="str">
        <f>IF('NEW ACCOUNT'!A982="","",'NEW ACCOUNT'!I982)</f>
        <v/>
      </c>
      <c r="J981" t="str">
        <f>IF('NEW ACCOUNT'!A982="","",'NEW ACCOUNT'!J982)</f>
        <v/>
      </c>
      <c r="K981" t="str">
        <f>IFERROR(IF(A981="","",SUMIF(DB_Savings!$A:$A,A981,DB_Savings!$F:$F)),"")</f>
        <v/>
      </c>
      <c r="L981" t="str">
        <f>IFERROR(IF(A981="","",SUMIF(DB_Withdrawals!$A:$A,A981,DB_Withdrawals!$G:$G)),"")</f>
        <v/>
      </c>
      <c r="M981" t="str">
        <f>IFERROR(IF(A981="","",IFERROR(VALUE(H981),0)+IFERROR(SUMIF(DB_Savings!$A:$A,A981,DB_Savings!$F:$F),0)-IFERROR(SUMIF(DB_Withdrawals!$A:$A,A981,DB_Withdrawals!$G:$G),0)),"")</f>
        <v/>
      </c>
      <c r="N981" t="str">
        <f>IFERROR(IF(A981="","",MAX(0,M981-System_Config!$B$9)),"")</f>
        <v/>
      </c>
    </row>
    <row r="982" spans="1:14" ht="15" customHeight="1" x14ac:dyDescent="0.25">
      <c r="A982" t="str">
        <f>'NEW ACCOUNT'!A983</f>
        <v/>
      </c>
      <c r="B982" t="str">
        <f>IF('NEW ACCOUNT'!A983="","",'NEW ACCOUNT'!B983)</f>
        <v/>
      </c>
      <c r="C982" t="str">
        <f>IF('NEW ACCOUNT'!A983="","",'NEW ACCOUNT'!C983)</f>
        <v/>
      </c>
      <c r="D982" t="str">
        <f>IF('NEW ACCOUNT'!A983="","",'NEW ACCOUNT'!D983)</f>
        <v/>
      </c>
      <c r="E982" t="str">
        <f>IF('NEW ACCOUNT'!A983="","",'NEW ACCOUNT'!E983)</f>
        <v/>
      </c>
      <c r="F982" t="str">
        <f>IF('NEW ACCOUNT'!A983="","",'NEW ACCOUNT'!F983)</f>
        <v/>
      </c>
      <c r="G982" t="str">
        <f>IF('NEW ACCOUNT'!A983="","",'NEW ACCOUNT'!G983)</f>
        <v/>
      </c>
      <c r="H982" t="str">
        <f>IF('NEW ACCOUNT'!A983="","",'NEW ACCOUNT'!H983)</f>
        <v/>
      </c>
      <c r="I982" t="str">
        <f>IF('NEW ACCOUNT'!A983="","",'NEW ACCOUNT'!I983)</f>
        <v/>
      </c>
      <c r="J982" t="str">
        <f>IF('NEW ACCOUNT'!A983="","",'NEW ACCOUNT'!J983)</f>
        <v/>
      </c>
      <c r="K982" t="str">
        <f>IFERROR(IF(A982="","",SUMIF(DB_Savings!$A:$A,A982,DB_Savings!$F:$F)),"")</f>
        <v/>
      </c>
      <c r="L982" t="str">
        <f>IFERROR(IF(A982="","",SUMIF(DB_Withdrawals!$A:$A,A982,DB_Withdrawals!$G:$G)),"")</f>
        <v/>
      </c>
      <c r="M982" t="str">
        <f>IFERROR(IF(A982="","",IFERROR(VALUE(H982),0)+IFERROR(SUMIF(DB_Savings!$A:$A,A982,DB_Savings!$F:$F),0)-IFERROR(SUMIF(DB_Withdrawals!$A:$A,A982,DB_Withdrawals!$G:$G),0)),"")</f>
        <v/>
      </c>
      <c r="N982" t="str">
        <f>IFERROR(IF(A982="","",MAX(0,M982-System_Config!$B$9)),"")</f>
        <v/>
      </c>
    </row>
    <row r="983" spans="1:14" ht="15" customHeight="1" x14ac:dyDescent="0.25">
      <c r="A983" t="str">
        <f>'NEW ACCOUNT'!A984</f>
        <v/>
      </c>
      <c r="B983" t="str">
        <f>IF('NEW ACCOUNT'!A984="","",'NEW ACCOUNT'!B984)</f>
        <v/>
      </c>
      <c r="C983" t="str">
        <f>IF('NEW ACCOUNT'!A984="","",'NEW ACCOUNT'!C984)</f>
        <v/>
      </c>
      <c r="D983" t="str">
        <f>IF('NEW ACCOUNT'!A984="","",'NEW ACCOUNT'!D984)</f>
        <v/>
      </c>
      <c r="E983" t="str">
        <f>IF('NEW ACCOUNT'!A984="","",'NEW ACCOUNT'!E984)</f>
        <v/>
      </c>
      <c r="F983" t="str">
        <f>IF('NEW ACCOUNT'!A984="","",'NEW ACCOUNT'!F984)</f>
        <v/>
      </c>
      <c r="G983" t="str">
        <f>IF('NEW ACCOUNT'!A984="","",'NEW ACCOUNT'!G984)</f>
        <v/>
      </c>
      <c r="H983" t="str">
        <f>IF('NEW ACCOUNT'!A984="","",'NEW ACCOUNT'!H984)</f>
        <v/>
      </c>
      <c r="I983" t="str">
        <f>IF('NEW ACCOUNT'!A984="","",'NEW ACCOUNT'!I984)</f>
        <v/>
      </c>
      <c r="J983" t="str">
        <f>IF('NEW ACCOUNT'!A984="","",'NEW ACCOUNT'!J984)</f>
        <v/>
      </c>
      <c r="K983" t="str">
        <f>IFERROR(IF(A983="","",SUMIF(DB_Savings!$A:$A,A983,DB_Savings!$F:$F)),"")</f>
        <v/>
      </c>
      <c r="L983" t="str">
        <f>IFERROR(IF(A983="","",SUMIF(DB_Withdrawals!$A:$A,A983,DB_Withdrawals!$G:$G)),"")</f>
        <v/>
      </c>
      <c r="M983" t="str">
        <f>IFERROR(IF(A983="","",IFERROR(VALUE(H983),0)+IFERROR(SUMIF(DB_Savings!$A:$A,A983,DB_Savings!$F:$F),0)-IFERROR(SUMIF(DB_Withdrawals!$A:$A,A983,DB_Withdrawals!$G:$G),0)),"")</f>
        <v/>
      </c>
      <c r="N983" t="str">
        <f>IFERROR(IF(A983="","",MAX(0,M983-System_Config!$B$9)),"")</f>
        <v/>
      </c>
    </row>
    <row r="984" spans="1:14" ht="15" customHeight="1" x14ac:dyDescent="0.25">
      <c r="A984" t="str">
        <f>'NEW ACCOUNT'!A985</f>
        <v/>
      </c>
      <c r="B984" t="str">
        <f>IF('NEW ACCOUNT'!A985="","",'NEW ACCOUNT'!B985)</f>
        <v/>
      </c>
      <c r="C984" t="str">
        <f>IF('NEW ACCOUNT'!A985="","",'NEW ACCOUNT'!C985)</f>
        <v/>
      </c>
      <c r="D984" t="str">
        <f>IF('NEW ACCOUNT'!A985="","",'NEW ACCOUNT'!D985)</f>
        <v/>
      </c>
      <c r="E984" t="str">
        <f>IF('NEW ACCOUNT'!A985="","",'NEW ACCOUNT'!E985)</f>
        <v/>
      </c>
      <c r="F984" t="str">
        <f>IF('NEW ACCOUNT'!A985="","",'NEW ACCOUNT'!F985)</f>
        <v/>
      </c>
      <c r="G984" t="str">
        <f>IF('NEW ACCOUNT'!A985="","",'NEW ACCOUNT'!G985)</f>
        <v/>
      </c>
      <c r="H984" t="str">
        <f>IF('NEW ACCOUNT'!A985="","",'NEW ACCOUNT'!H985)</f>
        <v/>
      </c>
      <c r="I984" t="str">
        <f>IF('NEW ACCOUNT'!A985="","",'NEW ACCOUNT'!I985)</f>
        <v/>
      </c>
      <c r="J984" t="str">
        <f>IF('NEW ACCOUNT'!A985="","",'NEW ACCOUNT'!J985)</f>
        <v/>
      </c>
      <c r="K984" t="str">
        <f>IFERROR(IF(A984="","",SUMIF(DB_Savings!$A:$A,A984,DB_Savings!$F:$F)),"")</f>
        <v/>
      </c>
      <c r="L984" t="str">
        <f>IFERROR(IF(A984="","",SUMIF(DB_Withdrawals!$A:$A,A984,DB_Withdrawals!$G:$G)),"")</f>
        <v/>
      </c>
      <c r="M984" t="str">
        <f>IFERROR(IF(A984="","",IFERROR(VALUE(H984),0)+IFERROR(SUMIF(DB_Savings!$A:$A,A984,DB_Savings!$F:$F),0)-IFERROR(SUMIF(DB_Withdrawals!$A:$A,A984,DB_Withdrawals!$G:$G),0)),"")</f>
        <v/>
      </c>
      <c r="N984" t="str">
        <f>IFERROR(IF(A984="","",MAX(0,M984-System_Config!$B$9)),"")</f>
        <v/>
      </c>
    </row>
    <row r="985" spans="1:14" ht="15" customHeight="1" x14ac:dyDescent="0.25">
      <c r="A985" t="str">
        <f>'NEW ACCOUNT'!A986</f>
        <v/>
      </c>
      <c r="B985" t="str">
        <f>IF('NEW ACCOUNT'!A986="","",'NEW ACCOUNT'!B986)</f>
        <v/>
      </c>
      <c r="C985" t="str">
        <f>IF('NEW ACCOUNT'!A986="","",'NEW ACCOUNT'!C986)</f>
        <v/>
      </c>
      <c r="D985" t="str">
        <f>IF('NEW ACCOUNT'!A986="","",'NEW ACCOUNT'!D986)</f>
        <v/>
      </c>
      <c r="E985" t="str">
        <f>IF('NEW ACCOUNT'!A986="","",'NEW ACCOUNT'!E986)</f>
        <v/>
      </c>
      <c r="F985" t="str">
        <f>IF('NEW ACCOUNT'!A986="","",'NEW ACCOUNT'!F986)</f>
        <v/>
      </c>
      <c r="G985" t="str">
        <f>IF('NEW ACCOUNT'!A986="","",'NEW ACCOUNT'!G986)</f>
        <v/>
      </c>
      <c r="H985" t="str">
        <f>IF('NEW ACCOUNT'!A986="","",'NEW ACCOUNT'!H986)</f>
        <v/>
      </c>
      <c r="I985" t="str">
        <f>IF('NEW ACCOUNT'!A986="","",'NEW ACCOUNT'!I986)</f>
        <v/>
      </c>
      <c r="J985" t="str">
        <f>IF('NEW ACCOUNT'!A986="","",'NEW ACCOUNT'!J986)</f>
        <v/>
      </c>
      <c r="K985" t="str">
        <f>IFERROR(IF(A985="","",SUMIF(DB_Savings!$A:$A,A985,DB_Savings!$F:$F)),"")</f>
        <v/>
      </c>
      <c r="L985" t="str">
        <f>IFERROR(IF(A985="","",SUMIF(DB_Withdrawals!$A:$A,A985,DB_Withdrawals!$G:$G)),"")</f>
        <v/>
      </c>
      <c r="M985" t="str">
        <f>IFERROR(IF(A985="","",IFERROR(VALUE(H985),0)+IFERROR(SUMIF(DB_Savings!$A:$A,A985,DB_Savings!$F:$F),0)-IFERROR(SUMIF(DB_Withdrawals!$A:$A,A985,DB_Withdrawals!$G:$G),0)),"")</f>
        <v/>
      </c>
      <c r="N985" t="str">
        <f>IFERROR(IF(A985="","",MAX(0,M985-System_Config!$B$9)),"")</f>
        <v/>
      </c>
    </row>
    <row r="986" spans="1:14" ht="15" customHeight="1" x14ac:dyDescent="0.25">
      <c r="A986" t="str">
        <f>'NEW ACCOUNT'!A987</f>
        <v/>
      </c>
      <c r="B986" t="str">
        <f>IF('NEW ACCOUNT'!A987="","",'NEW ACCOUNT'!B987)</f>
        <v/>
      </c>
      <c r="C986" t="str">
        <f>IF('NEW ACCOUNT'!A987="","",'NEW ACCOUNT'!C987)</f>
        <v/>
      </c>
      <c r="D986" t="str">
        <f>IF('NEW ACCOUNT'!A987="","",'NEW ACCOUNT'!D987)</f>
        <v/>
      </c>
      <c r="E986" t="str">
        <f>IF('NEW ACCOUNT'!A987="","",'NEW ACCOUNT'!E987)</f>
        <v/>
      </c>
      <c r="F986" t="str">
        <f>IF('NEW ACCOUNT'!A987="","",'NEW ACCOUNT'!F987)</f>
        <v/>
      </c>
      <c r="G986" t="str">
        <f>IF('NEW ACCOUNT'!A987="","",'NEW ACCOUNT'!G987)</f>
        <v/>
      </c>
      <c r="H986" t="str">
        <f>IF('NEW ACCOUNT'!A987="","",'NEW ACCOUNT'!H987)</f>
        <v/>
      </c>
      <c r="I986" t="str">
        <f>IF('NEW ACCOUNT'!A987="","",'NEW ACCOUNT'!I987)</f>
        <v/>
      </c>
      <c r="J986" t="str">
        <f>IF('NEW ACCOUNT'!A987="","",'NEW ACCOUNT'!J987)</f>
        <v/>
      </c>
      <c r="K986" t="str">
        <f>IFERROR(IF(A986="","",SUMIF(DB_Savings!$A:$A,A986,DB_Savings!$F:$F)),"")</f>
        <v/>
      </c>
      <c r="L986" t="str">
        <f>IFERROR(IF(A986="","",SUMIF(DB_Withdrawals!$A:$A,A986,DB_Withdrawals!$G:$G)),"")</f>
        <v/>
      </c>
      <c r="M986" t="str">
        <f>IFERROR(IF(A986="","",IFERROR(VALUE(H986),0)+IFERROR(SUMIF(DB_Savings!$A:$A,A986,DB_Savings!$F:$F),0)-IFERROR(SUMIF(DB_Withdrawals!$A:$A,A986,DB_Withdrawals!$G:$G),0)),"")</f>
        <v/>
      </c>
      <c r="N986" t="str">
        <f>IFERROR(IF(A986="","",MAX(0,M986-System_Config!$B$9)),"")</f>
        <v/>
      </c>
    </row>
    <row r="987" spans="1:14" ht="15" customHeight="1" x14ac:dyDescent="0.25">
      <c r="A987" t="str">
        <f>'NEW ACCOUNT'!A988</f>
        <v/>
      </c>
      <c r="B987" t="str">
        <f>IF('NEW ACCOUNT'!A988="","",'NEW ACCOUNT'!B988)</f>
        <v/>
      </c>
      <c r="C987" t="str">
        <f>IF('NEW ACCOUNT'!A988="","",'NEW ACCOUNT'!C988)</f>
        <v/>
      </c>
      <c r="D987" t="str">
        <f>IF('NEW ACCOUNT'!A988="","",'NEW ACCOUNT'!D988)</f>
        <v/>
      </c>
      <c r="E987" t="str">
        <f>IF('NEW ACCOUNT'!A988="","",'NEW ACCOUNT'!E988)</f>
        <v/>
      </c>
      <c r="F987" t="str">
        <f>IF('NEW ACCOUNT'!A988="","",'NEW ACCOUNT'!F988)</f>
        <v/>
      </c>
      <c r="G987" t="str">
        <f>IF('NEW ACCOUNT'!A988="","",'NEW ACCOUNT'!G988)</f>
        <v/>
      </c>
      <c r="H987" t="str">
        <f>IF('NEW ACCOUNT'!A988="","",'NEW ACCOUNT'!H988)</f>
        <v/>
      </c>
      <c r="I987" t="str">
        <f>IF('NEW ACCOUNT'!A988="","",'NEW ACCOUNT'!I988)</f>
        <v/>
      </c>
      <c r="J987" t="str">
        <f>IF('NEW ACCOUNT'!A988="","",'NEW ACCOUNT'!J988)</f>
        <v/>
      </c>
      <c r="K987" t="str">
        <f>IFERROR(IF(A987="","",SUMIF(DB_Savings!$A:$A,A987,DB_Savings!$F:$F)),"")</f>
        <v/>
      </c>
      <c r="L987" t="str">
        <f>IFERROR(IF(A987="","",SUMIF(DB_Withdrawals!$A:$A,A987,DB_Withdrawals!$G:$G)),"")</f>
        <v/>
      </c>
      <c r="M987" t="str">
        <f>IFERROR(IF(A987="","",IFERROR(VALUE(H987),0)+IFERROR(SUMIF(DB_Savings!$A:$A,A987,DB_Savings!$F:$F),0)-IFERROR(SUMIF(DB_Withdrawals!$A:$A,A987,DB_Withdrawals!$G:$G),0)),"")</f>
        <v/>
      </c>
      <c r="N987" t="str">
        <f>IFERROR(IF(A987="","",MAX(0,M987-System_Config!$B$9)),"")</f>
        <v/>
      </c>
    </row>
    <row r="988" spans="1:14" ht="15" customHeight="1" x14ac:dyDescent="0.25">
      <c r="A988" t="str">
        <f>'NEW ACCOUNT'!A989</f>
        <v/>
      </c>
      <c r="B988" t="str">
        <f>IF('NEW ACCOUNT'!A989="","",'NEW ACCOUNT'!B989)</f>
        <v/>
      </c>
      <c r="C988" t="str">
        <f>IF('NEW ACCOUNT'!A989="","",'NEW ACCOUNT'!C989)</f>
        <v/>
      </c>
      <c r="D988" t="str">
        <f>IF('NEW ACCOUNT'!A989="","",'NEW ACCOUNT'!D989)</f>
        <v/>
      </c>
      <c r="E988" t="str">
        <f>IF('NEW ACCOUNT'!A989="","",'NEW ACCOUNT'!E989)</f>
        <v/>
      </c>
      <c r="F988" t="str">
        <f>IF('NEW ACCOUNT'!A989="","",'NEW ACCOUNT'!F989)</f>
        <v/>
      </c>
      <c r="G988" t="str">
        <f>IF('NEW ACCOUNT'!A989="","",'NEW ACCOUNT'!G989)</f>
        <v/>
      </c>
      <c r="H988" t="str">
        <f>IF('NEW ACCOUNT'!A989="","",'NEW ACCOUNT'!H989)</f>
        <v/>
      </c>
      <c r="I988" t="str">
        <f>IF('NEW ACCOUNT'!A989="","",'NEW ACCOUNT'!I989)</f>
        <v/>
      </c>
      <c r="J988" t="str">
        <f>IF('NEW ACCOUNT'!A989="","",'NEW ACCOUNT'!J989)</f>
        <v/>
      </c>
      <c r="K988" t="str">
        <f>IFERROR(IF(A988="","",SUMIF(DB_Savings!$A:$A,A988,DB_Savings!$F:$F)),"")</f>
        <v/>
      </c>
      <c r="L988" t="str">
        <f>IFERROR(IF(A988="","",SUMIF(DB_Withdrawals!$A:$A,A988,DB_Withdrawals!$G:$G)),"")</f>
        <v/>
      </c>
      <c r="M988" t="str">
        <f>IFERROR(IF(A988="","",IFERROR(VALUE(H988),0)+IFERROR(SUMIF(DB_Savings!$A:$A,A988,DB_Savings!$F:$F),0)-IFERROR(SUMIF(DB_Withdrawals!$A:$A,A988,DB_Withdrawals!$G:$G),0)),"")</f>
        <v/>
      </c>
      <c r="N988" t="str">
        <f>IFERROR(IF(A988="","",MAX(0,M988-System_Config!$B$9)),"")</f>
        <v/>
      </c>
    </row>
    <row r="989" spans="1:14" ht="15" customHeight="1" x14ac:dyDescent="0.25">
      <c r="A989" t="str">
        <f>'NEW ACCOUNT'!A990</f>
        <v/>
      </c>
      <c r="B989" t="str">
        <f>IF('NEW ACCOUNT'!A990="","",'NEW ACCOUNT'!B990)</f>
        <v/>
      </c>
      <c r="C989" t="str">
        <f>IF('NEW ACCOUNT'!A990="","",'NEW ACCOUNT'!C990)</f>
        <v/>
      </c>
      <c r="D989" t="str">
        <f>IF('NEW ACCOUNT'!A990="","",'NEW ACCOUNT'!D990)</f>
        <v/>
      </c>
      <c r="E989" t="str">
        <f>IF('NEW ACCOUNT'!A990="","",'NEW ACCOUNT'!E990)</f>
        <v/>
      </c>
      <c r="F989" t="str">
        <f>IF('NEW ACCOUNT'!A990="","",'NEW ACCOUNT'!F990)</f>
        <v/>
      </c>
      <c r="G989" t="str">
        <f>IF('NEW ACCOUNT'!A990="","",'NEW ACCOUNT'!G990)</f>
        <v/>
      </c>
      <c r="H989" t="str">
        <f>IF('NEW ACCOUNT'!A990="","",'NEW ACCOUNT'!H990)</f>
        <v/>
      </c>
      <c r="I989" t="str">
        <f>IF('NEW ACCOUNT'!A990="","",'NEW ACCOUNT'!I990)</f>
        <v/>
      </c>
      <c r="J989" t="str">
        <f>IF('NEW ACCOUNT'!A990="","",'NEW ACCOUNT'!J990)</f>
        <v/>
      </c>
      <c r="K989" t="str">
        <f>IFERROR(IF(A989="","",SUMIF(DB_Savings!$A:$A,A989,DB_Savings!$F:$F)),"")</f>
        <v/>
      </c>
      <c r="L989" t="str">
        <f>IFERROR(IF(A989="","",SUMIF(DB_Withdrawals!$A:$A,A989,DB_Withdrawals!$G:$G)),"")</f>
        <v/>
      </c>
      <c r="M989" t="str">
        <f>IFERROR(IF(A989="","",IFERROR(VALUE(H989),0)+IFERROR(SUMIF(DB_Savings!$A:$A,A989,DB_Savings!$F:$F),0)-IFERROR(SUMIF(DB_Withdrawals!$A:$A,A989,DB_Withdrawals!$G:$G),0)),"")</f>
        <v/>
      </c>
      <c r="N989" t="str">
        <f>IFERROR(IF(A989="","",MAX(0,M989-System_Config!$B$9)),"")</f>
        <v/>
      </c>
    </row>
    <row r="990" spans="1:14" ht="15" customHeight="1" x14ac:dyDescent="0.25">
      <c r="A990" t="str">
        <f>'NEW ACCOUNT'!A991</f>
        <v/>
      </c>
      <c r="B990" t="str">
        <f>IF('NEW ACCOUNT'!A991="","",'NEW ACCOUNT'!B991)</f>
        <v/>
      </c>
      <c r="C990" t="str">
        <f>IF('NEW ACCOUNT'!A991="","",'NEW ACCOUNT'!C991)</f>
        <v/>
      </c>
      <c r="D990" t="str">
        <f>IF('NEW ACCOUNT'!A991="","",'NEW ACCOUNT'!D991)</f>
        <v/>
      </c>
      <c r="E990" t="str">
        <f>IF('NEW ACCOUNT'!A991="","",'NEW ACCOUNT'!E991)</f>
        <v/>
      </c>
      <c r="F990" t="str">
        <f>IF('NEW ACCOUNT'!A991="","",'NEW ACCOUNT'!F991)</f>
        <v/>
      </c>
      <c r="G990" t="str">
        <f>IF('NEW ACCOUNT'!A991="","",'NEW ACCOUNT'!G991)</f>
        <v/>
      </c>
      <c r="H990" t="str">
        <f>IF('NEW ACCOUNT'!A991="","",'NEW ACCOUNT'!H991)</f>
        <v/>
      </c>
      <c r="I990" t="str">
        <f>IF('NEW ACCOUNT'!A991="","",'NEW ACCOUNT'!I991)</f>
        <v/>
      </c>
      <c r="J990" t="str">
        <f>IF('NEW ACCOUNT'!A991="","",'NEW ACCOUNT'!J991)</f>
        <v/>
      </c>
      <c r="K990" t="str">
        <f>IFERROR(IF(A990="","",SUMIF(DB_Savings!$A:$A,A990,DB_Savings!$F:$F)),"")</f>
        <v/>
      </c>
      <c r="L990" t="str">
        <f>IFERROR(IF(A990="","",SUMIF(DB_Withdrawals!$A:$A,A990,DB_Withdrawals!$G:$G)),"")</f>
        <v/>
      </c>
      <c r="M990" t="str">
        <f>IFERROR(IF(A990="","",IFERROR(VALUE(H990),0)+IFERROR(SUMIF(DB_Savings!$A:$A,A990,DB_Savings!$F:$F),0)-IFERROR(SUMIF(DB_Withdrawals!$A:$A,A990,DB_Withdrawals!$G:$G),0)),"")</f>
        <v/>
      </c>
      <c r="N990" t="str">
        <f>IFERROR(IF(A990="","",MAX(0,M990-System_Config!$B$9)),"")</f>
        <v/>
      </c>
    </row>
    <row r="991" spans="1:14" ht="15" customHeight="1" x14ac:dyDescent="0.25">
      <c r="A991" t="str">
        <f>'NEW ACCOUNT'!A992</f>
        <v/>
      </c>
      <c r="B991" t="str">
        <f>IF('NEW ACCOUNT'!A992="","",'NEW ACCOUNT'!B992)</f>
        <v/>
      </c>
      <c r="C991" t="str">
        <f>IF('NEW ACCOUNT'!A992="","",'NEW ACCOUNT'!C992)</f>
        <v/>
      </c>
      <c r="D991" t="str">
        <f>IF('NEW ACCOUNT'!A992="","",'NEW ACCOUNT'!D992)</f>
        <v/>
      </c>
      <c r="E991" t="str">
        <f>IF('NEW ACCOUNT'!A992="","",'NEW ACCOUNT'!E992)</f>
        <v/>
      </c>
      <c r="F991" t="str">
        <f>IF('NEW ACCOUNT'!A992="","",'NEW ACCOUNT'!F992)</f>
        <v/>
      </c>
      <c r="G991" t="str">
        <f>IF('NEW ACCOUNT'!A992="","",'NEW ACCOUNT'!G992)</f>
        <v/>
      </c>
      <c r="H991" t="str">
        <f>IF('NEW ACCOUNT'!A992="","",'NEW ACCOUNT'!H992)</f>
        <v/>
      </c>
      <c r="I991" t="str">
        <f>IF('NEW ACCOUNT'!A992="","",'NEW ACCOUNT'!I992)</f>
        <v/>
      </c>
      <c r="J991" t="str">
        <f>IF('NEW ACCOUNT'!A992="","",'NEW ACCOUNT'!J992)</f>
        <v/>
      </c>
      <c r="K991" t="str">
        <f>IFERROR(IF(A991="","",SUMIF(DB_Savings!$A:$A,A991,DB_Savings!$F:$F)),"")</f>
        <v/>
      </c>
      <c r="L991" t="str">
        <f>IFERROR(IF(A991="","",SUMIF(DB_Withdrawals!$A:$A,A991,DB_Withdrawals!$G:$G)),"")</f>
        <v/>
      </c>
      <c r="M991" t="str">
        <f>IFERROR(IF(A991="","",IFERROR(VALUE(H991),0)+IFERROR(SUMIF(DB_Savings!$A:$A,A991,DB_Savings!$F:$F),0)-IFERROR(SUMIF(DB_Withdrawals!$A:$A,A991,DB_Withdrawals!$G:$G),0)),"")</f>
        <v/>
      </c>
      <c r="N991" t="str">
        <f>IFERROR(IF(A991="","",MAX(0,M991-System_Config!$B$9)),"")</f>
        <v/>
      </c>
    </row>
    <row r="992" spans="1:14" ht="15" customHeight="1" x14ac:dyDescent="0.25">
      <c r="A992" t="str">
        <f>'NEW ACCOUNT'!A993</f>
        <v/>
      </c>
      <c r="B992" t="str">
        <f>IF('NEW ACCOUNT'!A993="","",'NEW ACCOUNT'!B993)</f>
        <v/>
      </c>
      <c r="C992" t="str">
        <f>IF('NEW ACCOUNT'!A993="","",'NEW ACCOUNT'!C993)</f>
        <v/>
      </c>
      <c r="D992" t="str">
        <f>IF('NEW ACCOUNT'!A993="","",'NEW ACCOUNT'!D993)</f>
        <v/>
      </c>
      <c r="E992" t="str">
        <f>IF('NEW ACCOUNT'!A993="","",'NEW ACCOUNT'!E993)</f>
        <v/>
      </c>
      <c r="F992" t="str">
        <f>IF('NEW ACCOUNT'!A993="","",'NEW ACCOUNT'!F993)</f>
        <v/>
      </c>
      <c r="G992" t="str">
        <f>IF('NEW ACCOUNT'!A993="","",'NEW ACCOUNT'!G993)</f>
        <v/>
      </c>
      <c r="H992" t="str">
        <f>IF('NEW ACCOUNT'!A993="","",'NEW ACCOUNT'!H993)</f>
        <v/>
      </c>
      <c r="I992" t="str">
        <f>IF('NEW ACCOUNT'!A993="","",'NEW ACCOUNT'!I993)</f>
        <v/>
      </c>
      <c r="J992" t="str">
        <f>IF('NEW ACCOUNT'!A993="","",'NEW ACCOUNT'!J993)</f>
        <v/>
      </c>
      <c r="K992" t="str">
        <f>IFERROR(IF(A992="","",SUMIF(DB_Savings!$A:$A,A992,DB_Savings!$F:$F)),"")</f>
        <v/>
      </c>
      <c r="L992" t="str">
        <f>IFERROR(IF(A992="","",SUMIF(DB_Withdrawals!$A:$A,A992,DB_Withdrawals!$G:$G)),"")</f>
        <v/>
      </c>
      <c r="M992" t="str">
        <f>IFERROR(IF(A992="","",IFERROR(VALUE(H992),0)+IFERROR(SUMIF(DB_Savings!$A:$A,A992,DB_Savings!$F:$F),0)-IFERROR(SUMIF(DB_Withdrawals!$A:$A,A992,DB_Withdrawals!$G:$G),0)),"")</f>
        <v/>
      </c>
      <c r="N992" t="str">
        <f>IFERROR(IF(A992="","",MAX(0,M992-System_Config!$B$9)),"")</f>
        <v/>
      </c>
    </row>
    <row r="993" spans="1:14" ht="15" customHeight="1" x14ac:dyDescent="0.25">
      <c r="A993" t="str">
        <f>'NEW ACCOUNT'!A994</f>
        <v/>
      </c>
      <c r="B993" t="str">
        <f>IF('NEW ACCOUNT'!A994="","",'NEW ACCOUNT'!B994)</f>
        <v/>
      </c>
      <c r="C993" t="str">
        <f>IF('NEW ACCOUNT'!A994="","",'NEW ACCOUNT'!C994)</f>
        <v/>
      </c>
      <c r="D993" t="str">
        <f>IF('NEW ACCOUNT'!A994="","",'NEW ACCOUNT'!D994)</f>
        <v/>
      </c>
      <c r="E993" t="str">
        <f>IF('NEW ACCOUNT'!A994="","",'NEW ACCOUNT'!E994)</f>
        <v/>
      </c>
      <c r="F993" t="str">
        <f>IF('NEW ACCOUNT'!A994="","",'NEW ACCOUNT'!F994)</f>
        <v/>
      </c>
      <c r="G993" t="str">
        <f>IF('NEW ACCOUNT'!A994="","",'NEW ACCOUNT'!G994)</f>
        <v/>
      </c>
      <c r="H993" t="str">
        <f>IF('NEW ACCOUNT'!A994="","",'NEW ACCOUNT'!H994)</f>
        <v/>
      </c>
      <c r="I993" t="str">
        <f>IF('NEW ACCOUNT'!A994="","",'NEW ACCOUNT'!I994)</f>
        <v/>
      </c>
      <c r="J993" t="str">
        <f>IF('NEW ACCOUNT'!A994="","",'NEW ACCOUNT'!J994)</f>
        <v/>
      </c>
      <c r="K993" t="str">
        <f>IFERROR(IF(A993="","",SUMIF(DB_Savings!$A:$A,A993,DB_Savings!$F:$F)),"")</f>
        <v/>
      </c>
      <c r="L993" t="str">
        <f>IFERROR(IF(A993="","",SUMIF(DB_Withdrawals!$A:$A,A993,DB_Withdrawals!$G:$G)),"")</f>
        <v/>
      </c>
      <c r="M993" t="str">
        <f>IFERROR(IF(A993="","",IFERROR(VALUE(H993),0)+IFERROR(SUMIF(DB_Savings!$A:$A,A993,DB_Savings!$F:$F),0)-IFERROR(SUMIF(DB_Withdrawals!$A:$A,A993,DB_Withdrawals!$G:$G),0)),"")</f>
        <v/>
      </c>
      <c r="N993" t="str">
        <f>IFERROR(IF(A993="","",MAX(0,M993-System_Config!$B$9)),"")</f>
        <v/>
      </c>
    </row>
    <row r="994" spans="1:14" ht="15" customHeight="1" x14ac:dyDescent="0.25">
      <c r="A994" t="str">
        <f>'NEW ACCOUNT'!A995</f>
        <v/>
      </c>
      <c r="B994" t="str">
        <f>IF('NEW ACCOUNT'!A995="","",'NEW ACCOUNT'!B995)</f>
        <v/>
      </c>
      <c r="C994" t="str">
        <f>IF('NEW ACCOUNT'!A995="","",'NEW ACCOUNT'!C995)</f>
        <v/>
      </c>
      <c r="D994" t="str">
        <f>IF('NEW ACCOUNT'!A995="","",'NEW ACCOUNT'!D995)</f>
        <v/>
      </c>
      <c r="E994" t="str">
        <f>IF('NEW ACCOUNT'!A995="","",'NEW ACCOUNT'!E995)</f>
        <v/>
      </c>
      <c r="F994" t="str">
        <f>IF('NEW ACCOUNT'!A995="","",'NEW ACCOUNT'!F995)</f>
        <v/>
      </c>
      <c r="G994" t="str">
        <f>IF('NEW ACCOUNT'!A995="","",'NEW ACCOUNT'!G995)</f>
        <v/>
      </c>
      <c r="H994" t="str">
        <f>IF('NEW ACCOUNT'!A995="","",'NEW ACCOUNT'!H995)</f>
        <v/>
      </c>
      <c r="I994" t="str">
        <f>IF('NEW ACCOUNT'!A995="","",'NEW ACCOUNT'!I995)</f>
        <v/>
      </c>
      <c r="J994" t="str">
        <f>IF('NEW ACCOUNT'!A995="","",'NEW ACCOUNT'!J995)</f>
        <v/>
      </c>
      <c r="K994" t="str">
        <f>IFERROR(IF(A994="","",SUMIF(DB_Savings!$A:$A,A994,DB_Savings!$F:$F)),"")</f>
        <v/>
      </c>
      <c r="L994" t="str">
        <f>IFERROR(IF(A994="","",SUMIF(DB_Withdrawals!$A:$A,A994,DB_Withdrawals!$G:$G)),"")</f>
        <v/>
      </c>
      <c r="M994" t="str">
        <f>IFERROR(IF(A994="","",IFERROR(VALUE(H994),0)+IFERROR(SUMIF(DB_Savings!$A:$A,A994,DB_Savings!$F:$F),0)-IFERROR(SUMIF(DB_Withdrawals!$A:$A,A994,DB_Withdrawals!$G:$G),0)),"")</f>
        <v/>
      </c>
      <c r="N994" t="str">
        <f>IFERROR(IF(A994="","",MAX(0,M994-System_Config!$B$9)),"")</f>
        <v/>
      </c>
    </row>
    <row r="995" spans="1:14" ht="15" customHeight="1" x14ac:dyDescent="0.25">
      <c r="A995" t="str">
        <f>'NEW ACCOUNT'!A996</f>
        <v/>
      </c>
      <c r="B995" t="str">
        <f>IF('NEW ACCOUNT'!A996="","",'NEW ACCOUNT'!B996)</f>
        <v/>
      </c>
      <c r="C995" t="str">
        <f>IF('NEW ACCOUNT'!A996="","",'NEW ACCOUNT'!C996)</f>
        <v/>
      </c>
      <c r="D995" t="str">
        <f>IF('NEW ACCOUNT'!A996="","",'NEW ACCOUNT'!D996)</f>
        <v/>
      </c>
      <c r="E995" t="str">
        <f>IF('NEW ACCOUNT'!A996="","",'NEW ACCOUNT'!E996)</f>
        <v/>
      </c>
      <c r="F995" t="str">
        <f>IF('NEW ACCOUNT'!A996="","",'NEW ACCOUNT'!F996)</f>
        <v/>
      </c>
      <c r="G995" t="str">
        <f>IF('NEW ACCOUNT'!A996="","",'NEW ACCOUNT'!G996)</f>
        <v/>
      </c>
      <c r="H995" t="str">
        <f>IF('NEW ACCOUNT'!A996="","",'NEW ACCOUNT'!H996)</f>
        <v/>
      </c>
      <c r="I995" t="str">
        <f>IF('NEW ACCOUNT'!A996="","",'NEW ACCOUNT'!I996)</f>
        <v/>
      </c>
      <c r="J995" t="str">
        <f>IF('NEW ACCOUNT'!A996="","",'NEW ACCOUNT'!J996)</f>
        <v/>
      </c>
      <c r="K995" t="str">
        <f>IFERROR(IF(A995="","",SUMIF(DB_Savings!$A:$A,A995,DB_Savings!$F:$F)),"")</f>
        <v/>
      </c>
      <c r="L995" t="str">
        <f>IFERROR(IF(A995="","",SUMIF(DB_Withdrawals!$A:$A,A995,DB_Withdrawals!$G:$G)),"")</f>
        <v/>
      </c>
      <c r="M995" t="str">
        <f>IFERROR(IF(A995="","",IFERROR(VALUE(H995),0)+IFERROR(SUMIF(DB_Savings!$A:$A,A995,DB_Savings!$F:$F),0)-IFERROR(SUMIF(DB_Withdrawals!$A:$A,A995,DB_Withdrawals!$G:$G),0)),"")</f>
        <v/>
      </c>
      <c r="N995" t="str">
        <f>IFERROR(IF(A995="","",MAX(0,M995-System_Config!$B$9)),"")</f>
        <v/>
      </c>
    </row>
    <row r="996" spans="1:14" ht="15" customHeight="1" x14ac:dyDescent="0.25">
      <c r="A996" t="str">
        <f>'NEW ACCOUNT'!A997</f>
        <v/>
      </c>
      <c r="B996" t="str">
        <f>IF('NEW ACCOUNT'!A997="","",'NEW ACCOUNT'!B997)</f>
        <v/>
      </c>
      <c r="C996" t="str">
        <f>IF('NEW ACCOUNT'!A997="","",'NEW ACCOUNT'!C997)</f>
        <v/>
      </c>
      <c r="D996" t="str">
        <f>IF('NEW ACCOUNT'!A997="","",'NEW ACCOUNT'!D997)</f>
        <v/>
      </c>
      <c r="E996" t="str">
        <f>IF('NEW ACCOUNT'!A997="","",'NEW ACCOUNT'!E997)</f>
        <v/>
      </c>
      <c r="F996" t="str">
        <f>IF('NEW ACCOUNT'!A997="","",'NEW ACCOUNT'!F997)</f>
        <v/>
      </c>
      <c r="G996" t="str">
        <f>IF('NEW ACCOUNT'!A997="","",'NEW ACCOUNT'!G997)</f>
        <v/>
      </c>
      <c r="H996" t="str">
        <f>IF('NEW ACCOUNT'!A997="","",'NEW ACCOUNT'!H997)</f>
        <v/>
      </c>
      <c r="I996" t="str">
        <f>IF('NEW ACCOUNT'!A997="","",'NEW ACCOUNT'!I997)</f>
        <v/>
      </c>
      <c r="J996" t="str">
        <f>IF('NEW ACCOUNT'!A997="","",'NEW ACCOUNT'!J997)</f>
        <v/>
      </c>
      <c r="K996" t="str">
        <f>IFERROR(IF(A996="","",SUMIF(DB_Savings!$A:$A,A996,DB_Savings!$F:$F)),"")</f>
        <v/>
      </c>
      <c r="L996" t="str">
        <f>IFERROR(IF(A996="","",SUMIF(DB_Withdrawals!$A:$A,A996,DB_Withdrawals!$G:$G)),"")</f>
        <v/>
      </c>
      <c r="M996" t="str">
        <f>IFERROR(IF(A996="","",IFERROR(VALUE(H996),0)+IFERROR(SUMIF(DB_Savings!$A:$A,A996,DB_Savings!$F:$F),0)-IFERROR(SUMIF(DB_Withdrawals!$A:$A,A996,DB_Withdrawals!$G:$G),0)),"")</f>
        <v/>
      </c>
      <c r="N996" t="str">
        <f>IFERROR(IF(A996="","",MAX(0,M996-System_Config!$B$9)),"")</f>
        <v/>
      </c>
    </row>
    <row r="997" spans="1:14" ht="15" customHeight="1" x14ac:dyDescent="0.25">
      <c r="A997" t="str">
        <f>'NEW ACCOUNT'!A998</f>
        <v/>
      </c>
      <c r="B997" t="str">
        <f>IF('NEW ACCOUNT'!A998="","",'NEW ACCOUNT'!B998)</f>
        <v/>
      </c>
      <c r="C997" t="str">
        <f>IF('NEW ACCOUNT'!A998="","",'NEW ACCOUNT'!C998)</f>
        <v/>
      </c>
      <c r="D997" t="str">
        <f>IF('NEW ACCOUNT'!A998="","",'NEW ACCOUNT'!D998)</f>
        <v/>
      </c>
      <c r="E997" t="str">
        <f>IF('NEW ACCOUNT'!A998="","",'NEW ACCOUNT'!E998)</f>
        <v/>
      </c>
      <c r="F997" t="str">
        <f>IF('NEW ACCOUNT'!A998="","",'NEW ACCOUNT'!F998)</f>
        <v/>
      </c>
      <c r="G997" t="str">
        <f>IF('NEW ACCOUNT'!A998="","",'NEW ACCOUNT'!G998)</f>
        <v/>
      </c>
      <c r="H997" t="str">
        <f>IF('NEW ACCOUNT'!A998="","",'NEW ACCOUNT'!H998)</f>
        <v/>
      </c>
      <c r="I997" t="str">
        <f>IF('NEW ACCOUNT'!A998="","",'NEW ACCOUNT'!I998)</f>
        <v/>
      </c>
      <c r="J997" t="str">
        <f>IF('NEW ACCOUNT'!A998="","",'NEW ACCOUNT'!J998)</f>
        <v/>
      </c>
      <c r="K997" t="str">
        <f>IFERROR(IF(A997="","",SUMIF(DB_Savings!$A:$A,A997,DB_Savings!$F:$F)),"")</f>
        <v/>
      </c>
      <c r="L997" t="str">
        <f>IFERROR(IF(A997="","",SUMIF(DB_Withdrawals!$A:$A,A997,DB_Withdrawals!$G:$G)),"")</f>
        <v/>
      </c>
      <c r="M997" t="str">
        <f>IFERROR(IF(A997="","",IFERROR(VALUE(H997),0)+IFERROR(SUMIF(DB_Savings!$A:$A,A997,DB_Savings!$F:$F),0)-IFERROR(SUMIF(DB_Withdrawals!$A:$A,A997,DB_Withdrawals!$G:$G),0)),"")</f>
        <v/>
      </c>
      <c r="N997" t="str">
        <f>IFERROR(IF(A997="","",MAX(0,M997-System_Config!$B$9)),"")</f>
        <v/>
      </c>
    </row>
    <row r="998" spans="1:14" ht="15" customHeight="1" x14ac:dyDescent="0.25">
      <c r="A998" t="str">
        <f>'NEW ACCOUNT'!A999</f>
        <v/>
      </c>
      <c r="B998" t="str">
        <f>IF('NEW ACCOUNT'!A999="","",'NEW ACCOUNT'!B999)</f>
        <v/>
      </c>
      <c r="C998" t="str">
        <f>IF('NEW ACCOUNT'!A999="","",'NEW ACCOUNT'!C999)</f>
        <v/>
      </c>
      <c r="D998" t="str">
        <f>IF('NEW ACCOUNT'!A999="","",'NEW ACCOUNT'!D999)</f>
        <v/>
      </c>
      <c r="E998" t="str">
        <f>IF('NEW ACCOUNT'!A999="","",'NEW ACCOUNT'!E999)</f>
        <v/>
      </c>
      <c r="F998" t="str">
        <f>IF('NEW ACCOUNT'!A999="","",'NEW ACCOUNT'!F999)</f>
        <v/>
      </c>
      <c r="G998" t="str">
        <f>IF('NEW ACCOUNT'!A999="","",'NEW ACCOUNT'!G999)</f>
        <v/>
      </c>
      <c r="H998" t="str">
        <f>IF('NEW ACCOUNT'!A999="","",'NEW ACCOUNT'!H999)</f>
        <v/>
      </c>
      <c r="I998" t="str">
        <f>IF('NEW ACCOUNT'!A999="","",'NEW ACCOUNT'!I999)</f>
        <v/>
      </c>
      <c r="J998" t="str">
        <f>IF('NEW ACCOUNT'!A999="","",'NEW ACCOUNT'!J999)</f>
        <v/>
      </c>
      <c r="K998" t="str">
        <f>IFERROR(IF(A998="","",SUMIF(DB_Savings!$A:$A,A998,DB_Savings!$F:$F)),"")</f>
        <v/>
      </c>
      <c r="L998" t="str">
        <f>IFERROR(IF(A998="","",SUMIF(DB_Withdrawals!$A:$A,A998,DB_Withdrawals!$G:$G)),"")</f>
        <v/>
      </c>
      <c r="M998" t="str">
        <f>IFERROR(IF(A998="","",IFERROR(VALUE(H998),0)+IFERROR(SUMIF(DB_Savings!$A:$A,A998,DB_Savings!$F:$F),0)-IFERROR(SUMIF(DB_Withdrawals!$A:$A,A998,DB_Withdrawals!$G:$G),0)),"")</f>
        <v/>
      </c>
      <c r="N998" t="str">
        <f>IFERROR(IF(A998="","",MAX(0,M998-System_Config!$B$9)),"")</f>
        <v/>
      </c>
    </row>
    <row r="999" spans="1:14" ht="15" customHeight="1" x14ac:dyDescent="0.25">
      <c r="A999" t="str">
        <f>'NEW ACCOUNT'!A1000</f>
        <v/>
      </c>
      <c r="B999" t="str">
        <f>IF('NEW ACCOUNT'!A1000="","",'NEW ACCOUNT'!B1000)</f>
        <v/>
      </c>
      <c r="C999" t="str">
        <f>IF('NEW ACCOUNT'!A1000="","",'NEW ACCOUNT'!C1000)</f>
        <v/>
      </c>
      <c r="D999" t="str">
        <f>IF('NEW ACCOUNT'!A1000="","",'NEW ACCOUNT'!D1000)</f>
        <v/>
      </c>
      <c r="E999" t="str">
        <f>IF('NEW ACCOUNT'!A1000="","",'NEW ACCOUNT'!E1000)</f>
        <v/>
      </c>
      <c r="F999" t="str">
        <f>IF('NEW ACCOUNT'!A1000="","",'NEW ACCOUNT'!F1000)</f>
        <v/>
      </c>
      <c r="G999" t="str">
        <f>IF('NEW ACCOUNT'!A1000="","",'NEW ACCOUNT'!G1000)</f>
        <v/>
      </c>
      <c r="H999" t="str">
        <f>IF('NEW ACCOUNT'!A1000="","",'NEW ACCOUNT'!H1000)</f>
        <v/>
      </c>
      <c r="I999" t="str">
        <f>IF('NEW ACCOUNT'!A1000="","",'NEW ACCOUNT'!I1000)</f>
        <v/>
      </c>
      <c r="J999" t="str">
        <f>IF('NEW ACCOUNT'!A1000="","",'NEW ACCOUNT'!J1000)</f>
        <v/>
      </c>
      <c r="K999" t="str">
        <f>IFERROR(IF(A999="","",SUMIF(DB_Savings!$A:$A,A999,DB_Savings!$F:$F)),"")</f>
        <v/>
      </c>
      <c r="L999" t="str">
        <f>IFERROR(IF(A999="","",SUMIF(DB_Withdrawals!$A:$A,A999,DB_Withdrawals!$G:$G)),"")</f>
        <v/>
      </c>
      <c r="M999" t="str">
        <f>IFERROR(IF(A999="","",IFERROR(VALUE(H999),0)+IFERROR(SUMIF(DB_Savings!$A:$A,A999,DB_Savings!$F:$F),0)-IFERROR(SUMIF(DB_Withdrawals!$A:$A,A999,DB_Withdrawals!$G:$G),0)),"")</f>
        <v/>
      </c>
      <c r="N999" t="str">
        <f>IFERROR(IF(A999="","",MAX(0,M999-System_Config!$B$9)),"")</f>
        <v/>
      </c>
    </row>
    <row r="1000" spans="1:14" ht="15" customHeight="1" x14ac:dyDescent="0.25">
      <c r="A1000" t="str">
        <f>'NEW ACCOUNT'!A1001</f>
        <v/>
      </c>
      <c r="B1000" t="str">
        <f>IF('NEW ACCOUNT'!A1001="","",'NEW ACCOUNT'!B1001)</f>
        <v/>
      </c>
      <c r="C1000" t="str">
        <f>IF('NEW ACCOUNT'!A1001="","",'NEW ACCOUNT'!C1001)</f>
        <v/>
      </c>
      <c r="D1000" t="str">
        <f>IF('NEW ACCOUNT'!A1001="","",'NEW ACCOUNT'!D1001)</f>
        <v/>
      </c>
      <c r="E1000" t="str">
        <f>IF('NEW ACCOUNT'!A1001="","",'NEW ACCOUNT'!E1001)</f>
        <v/>
      </c>
      <c r="F1000" t="str">
        <f>IF('NEW ACCOUNT'!A1001="","",'NEW ACCOUNT'!F1001)</f>
        <v/>
      </c>
      <c r="G1000" t="str">
        <f>IF('NEW ACCOUNT'!A1001="","",'NEW ACCOUNT'!G1001)</f>
        <v/>
      </c>
      <c r="H1000" t="str">
        <f>IF('NEW ACCOUNT'!A1001="","",'NEW ACCOUNT'!H1001)</f>
        <v/>
      </c>
      <c r="I1000" t="str">
        <f>IF('NEW ACCOUNT'!A1001="","",'NEW ACCOUNT'!I1001)</f>
        <v/>
      </c>
      <c r="J1000" t="str">
        <f>IF('NEW ACCOUNT'!A1001="","",'NEW ACCOUNT'!J1001)</f>
        <v/>
      </c>
      <c r="K1000" t="str">
        <f>IFERROR(IF(A1000="","",SUMIF(DB_Savings!$A:$A,A1000,DB_Savings!$F:$F)),"")</f>
        <v/>
      </c>
      <c r="L1000" t="str">
        <f>IFERROR(IF(A1000="","",SUMIF(DB_Withdrawals!$A:$A,A1000,DB_Withdrawals!$G:$G)),"")</f>
        <v/>
      </c>
      <c r="M1000" t="str">
        <f>IFERROR(IF(A1000="","",IFERROR(VALUE(H1000),0)+IFERROR(SUMIF(DB_Savings!$A:$A,A1000,DB_Savings!$F:$F),0)-IFERROR(SUMIF(DB_Withdrawals!$A:$A,A1000,DB_Withdrawals!$G:$G),0)),"")</f>
        <v/>
      </c>
      <c r="N1000" t="str">
        <f>IFERROR(IF(A1000="","",MAX(0,M1000-System_Config!$B$9)),"")</f>
        <v/>
      </c>
    </row>
    <row r="1001" spans="1:14" ht="15" customHeight="1" x14ac:dyDescent="0.25">
      <c r="A1001" t="str">
        <f>'NEW ACCOUNT'!A1002</f>
        <v/>
      </c>
      <c r="B1001" t="str">
        <f>IF('NEW ACCOUNT'!A1002="","",'NEW ACCOUNT'!B1002)</f>
        <v/>
      </c>
      <c r="C1001" t="str">
        <f>IF('NEW ACCOUNT'!A1002="","",'NEW ACCOUNT'!C1002)</f>
        <v/>
      </c>
      <c r="D1001" t="str">
        <f>IF('NEW ACCOUNT'!A1002="","",'NEW ACCOUNT'!D1002)</f>
        <v/>
      </c>
      <c r="E1001" t="str">
        <f>IF('NEW ACCOUNT'!A1002="","",'NEW ACCOUNT'!E1002)</f>
        <v/>
      </c>
      <c r="F1001" t="str">
        <f>IF('NEW ACCOUNT'!A1002="","",'NEW ACCOUNT'!F1002)</f>
        <v/>
      </c>
      <c r="G1001" t="str">
        <f>IF('NEW ACCOUNT'!A1002="","",'NEW ACCOUNT'!G1002)</f>
        <v/>
      </c>
      <c r="H1001" t="str">
        <f>IF('NEW ACCOUNT'!A1002="","",'NEW ACCOUNT'!H1002)</f>
        <v/>
      </c>
      <c r="I1001" t="str">
        <f>IF('NEW ACCOUNT'!A1002="","",'NEW ACCOUNT'!I1002)</f>
        <v/>
      </c>
      <c r="J1001" t="str">
        <f>IF('NEW ACCOUNT'!A1002="","",'NEW ACCOUNT'!J1002)</f>
        <v/>
      </c>
      <c r="K1001" t="str">
        <f>IFERROR(IF(A1001="","",SUMIF(DB_Savings!$A:$A,A1001,DB_Savings!$F:$F)),"")</f>
        <v/>
      </c>
      <c r="L1001" t="str">
        <f>IFERROR(IF(A1001="","",SUMIF(DB_Withdrawals!$A:$A,A1001,DB_Withdrawals!$G:$G)),"")</f>
        <v/>
      </c>
      <c r="M1001" t="str">
        <f>IFERROR(IF(A1001="","",IFERROR(VALUE(H1001),0)+IFERROR(SUMIF(DB_Savings!$A:$A,A1001,DB_Savings!$F:$F),0)-IFERROR(SUMIF(DB_Withdrawals!$A:$A,A1001,DB_Withdrawals!$G:$G),0)),"")</f>
        <v/>
      </c>
      <c r="N1001" t="str">
        <f>IFERROR(IF(A1001="","",MAX(0,M1001-System_Config!$B$9)),"")</f>
        <v/>
      </c>
    </row>
    <row r="1002" spans="1:14" ht="15" customHeight="1" x14ac:dyDescent="0.25">
      <c r="A1002" t="str">
        <f>'NEW ACCOUNT'!A1003</f>
        <v/>
      </c>
      <c r="B1002" t="str">
        <f>IF('NEW ACCOUNT'!A1003="","",'NEW ACCOUNT'!B1003)</f>
        <v/>
      </c>
      <c r="C1002" t="str">
        <f>IF('NEW ACCOUNT'!A1003="","",'NEW ACCOUNT'!C1003)</f>
        <v/>
      </c>
      <c r="D1002" t="str">
        <f>IF('NEW ACCOUNT'!A1003="","",'NEW ACCOUNT'!D1003)</f>
        <v/>
      </c>
      <c r="E1002" t="str">
        <f>IF('NEW ACCOUNT'!A1003="","",'NEW ACCOUNT'!E1003)</f>
        <v/>
      </c>
      <c r="F1002" t="str">
        <f>IF('NEW ACCOUNT'!A1003="","",'NEW ACCOUNT'!F1003)</f>
        <v/>
      </c>
      <c r="G1002" t="str">
        <f>IF('NEW ACCOUNT'!A1003="","",'NEW ACCOUNT'!G1003)</f>
        <v/>
      </c>
      <c r="H1002" t="str">
        <f>IF('NEW ACCOUNT'!A1003="","",'NEW ACCOUNT'!H1003)</f>
        <v/>
      </c>
      <c r="I1002" t="str">
        <f>IF('NEW ACCOUNT'!A1003="","",'NEW ACCOUNT'!I1003)</f>
        <v/>
      </c>
      <c r="J1002" t="str">
        <f>IF('NEW ACCOUNT'!A1003="","",'NEW ACCOUNT'!J1003)</f>
        <v/>
      </c>
      <c r="K1002" t="str">
        <f>IFERROR(IF(A1002="","",SUMIF(DB_Savings!$A:$A,A1002,DB_Savings!$F:$F)),"")</f>
        <v/>
      </c>
      <c r="L1002" t="str">
        <f>IFERROR(IF(A1002="","",SUMIF(DB_Withdrawals!$A:$A,A1002,DB_Withdrawals!$G:$G)),"")</f>
        <v/>
      </c>
      <c r="M1002" t="str">
        <f>IFERROR(IF(A1002="","",IFERROR(VALUE(H1002),0)+IFERROR(SUMIF(DB_Savings!$A:$A,A1002,DB_Savings!$F:$F),0)-IFERROR(SUMIF(DB_Withdrawals!$A:$A,A1002,DB_Withdrawals!$G:$G),0)),"")</f>
        <v/>
      </c>
      <c r="N1002" t="str">
        <f>IFERROR(IF(A1002="","",MAX(0,M1002-System_Config!$B$9)),"")</f>
        <v/>
      </c>
    </row>
    <row r="1003" spans="1:14" ht="15" customHeight="1" x14ac:dyDescent="0.25">
      <c r="A1003" t="str">
        <f>'NEW ACCOUNT'!A1004</f>
        <v/>
      </c>
      <c r="B1003" t="str">
        <f>IF('NEW ACCOUNT'!A1004="","",'NEW ACCOUNT'!B1004)</f>
        <v/>
      </c>
      <c r="C1003" t="str">
        <f>IF('NEW ACCOUNT'!A1004="","",'NEW ACCOUNT'!C1004)</f>
        <v/>
      </c>
      <c r="D1003" t="str">
        <f>IF('NEW ACCOUNT'!A1004="","",'NEW ACCOUNT'!D1004)</f>
        <v/>
      </c>
      <c r="E1003" t="str">
        <f>IF('NEW ACCOUNT'!A1004="","",'NEW ACCOUNT'!E1004)</f>
        <v/>
      </c>
      <c r="F1003" t="str">
        <f>IF('NEW ACCOUNT'!A1004="","",'NEW ACCOUNT'!F1004)</f>
        <v/>
      </c>
      <c r="G1003" t="str">
        <f>IF('NEW ACCOUNT'!A1004="","",'NEW ACCOUNT'!G1004)</f>
        <v/>
      </c>
      <c r="H1003" t="str">
        <f>IF('NEW ACCOUNT'!A1004="","",'NEW ACCOUNT'!H1004)</f>
        <v/>
      </c>
      <c r="I1003" t="str">
        <f>IF('NEW ACCOUNT'!A1004="","",'NEW ACCOUNT'!I1004)</f>
        <v/>
      </c>
      <c r="J1003" t="str">
        <f>IF('NEW ACCOUNT'!A1004="","",'NEW ACCOUNT'!J1004)</f>
        <v/>
      </c>
      <c r="K1003" t="str">
        <f>IFERROR(IF(A1003="","",SUMIF(DB_Savings!$A:$A,A1003,DB_Savings!$F:$F)),"")</f>
        <v/>
      </c>
      <c r="L1003" t="str">
        <f>IFERROR(IF(A1003="","",SUMIF(DB_Withdrawals!$A:$A,A1003,DB_Withdrawals!$G:$G)),"")</f>
        <v/>
      </c>
      <c r="M1003" t="str">
        <f>IFERROR(IF(A1003="","",IFERROR(VALUE(H1003),0)+IFERROR(SUMIF(DB_Savings!$A:$A,A1003,DB_Savings!$F:$F),0)-IFERROR(SUMIF(DB_Withdrawals!$A:$A,A1003,DB_Withdrawals!$G:$G),0)),"")</f>
        <v/>
      </c>
      <c r="N1003" t="str">
        <f>IFERROR(IF(A1003="","",MAX(0,M1003-System_Config!$B$9)),"")</f>
        <v/>
      </c>
    </row>
    <row r="1004" spans="1:14" ht="15" customHeight="1" x14ac:dyDescent="0.25">
      <c r="A1004" t="str">
        <f>'NEW ACCOUNT'!A1005</f>
        <v/>
      </c>
      <c r="B1004" t="str">
        <f>IF('NEW ACCOUNT'!A1005="","",'NEW ACCOUNT'!B1005)</f>
        <v/>
      </c>
      <c r="C1004" t="str">
        <f>IF('NEW ACCOUNT'!A1005="","",'NEW ACCOUNT'!C1005)</f>
        <v/>
      </c>
      <c r="D1004" t="str">
        <f>IF('NEW ACCOUNT'!A1005="","",'NEW ACCOUNT'!D1005)</f>
        <v/>
      </c>
      <c r="E1004" t="str">
        <f>IF('NEW ACCOUNT'!A1005="","",'NEW ACCOUNT'!E1005)</f>
        <v/>
      </c>
      <c r="F1004" t="str">
        <f>IF('NEW ACCOUNT'!A1005="","",'NEW ACCOUNT'!F1005)</f>
        <v/>
      </c>
      <c r="G1004" t="str">
        <f>IF('NEW ACCOUNT'!A1005="","",'NEW ACCOUNT'!G1005)</f>
        <v/>
      </c>
      <c r="H1004" t="str">
        <f>IF('NEW ACCOUNT'!A1005="","",'NEW ACCOUNT'!H1005)</f>
        <v/>
      </c>
      <c r="I1004" t="str">
        <f>IF('NEW ACCOUNT'!A1005="","",'NEW ACCOUNT'!I1005)</f>
        <v/>
      </c>
      <c r="J1004" t="str">
        <f>IF('NEW ACCOUNT'!A1005="","",'NEW ACCOUNT'!J1005)</f>
        <v/>
      </c>
      <c r="K1004" t="str">
        <f>IFERROR(IF(A1004="","",SUMIF(DB_Savings!$A:$A,A1004,DB_Savings!$F:$F)),"")</f>
        <v/>
      </c>
      <c r="L1004" t="str">
        <f>IFERROR(IF(A1004="","",SUMIF(DB_Withdrawals!$A:$A,A1004,DB_Withdrawals!$G:$G)),"")</f>
        <v/>
      </c>
      <c r="M1004" t="str">
        <f>IFERROR(IF(A1004="","",IFERROR(VALUE(H1004),0)+IFERROR(SUMIF(DB_Savings!$A:$A,A1004,DB_Savings!$F:$F),0)-IFERROR(SUMIF(DB_Withdrawals!$A:$A,A1004,DB_Withdrawals!$G:$G),0)),"")</f>
        <v/>
      </c>
      <c r="N1004" t="str">
        <f>IFERROR(IF(A1004="","",MAX(0,M1004-System_Config!$B$9)),"")</f>
        <v/>
      </c>
    </row>
    <row r="1005" spans="1:14" ht="15" customHeight="1" x14ac:dyDescent="0.25">
      <c r="A1005" t="str">
        <f>'NEW ACCOUNT'!A1006</f>
        <v/>
      </c>
      <c r="B1005" t="str">
        <f>IF('NEW ACCOUNT'!A1006="","",'NEW ACCOUNT'!B1006)</f>
        <v/>
      </c>
      <c r="C1005" t="str">
        <f>IF('NEW ACCOUNT'!A1006="","",'NEW ACCOUNT'!C1006)</f>
        <v/>
      </c>
      <c r="D1005" t="str">
        <f>IF('NEW ACCOUNT'!A1006="","",'NEW ACCOUNT'!D1006)</f>
        <v/>
      </c>
      <c r="E1005" t="str">
        <f>IF('NEW ACCOUNT'!A1006="","",'NEW ACCOUNT'!E1006)</f>
        <v/>
      </c>
      <c r="F1005" t="str">
        <f>IF('NEW ACCOUNT'!A1006="","",'NEW ACCOUNT'!F1006)</f>
        <v/>
      </c>
      <c r="G1005" t="str">
        <f>IF('NEW ACCOUNT'!A1006="","",'NEW ACCOUNT'!G1006)</f>
        <v/>
      </c>
      <c r="H1005" t="str">
        <f>IF('NEW ACCOUNT'!A1006="","",'NEW ACCOUNT'!H1006)</f>
        <v/>
      </c>
      <c r="I1005" t="str">
        <f>IF('NEW ACCOUNT'!A1006="","",'NEW ACCOUNT'!I1006)</f>
        <v/>
      </c>
      <c r="J1005" t="str">
        <f>IF('NEW ACCOUNT'!A1006="","",'NEW ACCOUNT'!J1006)</f>
        <v/>
      </c>
      <c r="K1005" t="str">
        <f>IFERROR(IF(A1005="","",SUMIF(DB_Savings!$A:$A,A1005,DB_Savings!$F:$F)),"")</f>
        <v/>
      </c>
      <c r="L1005" t="str">
        <f>IFERROR(IF(A1005="","",SUMIF(DB_Withdrawals!$A:$A,A1005,DB_Withdrawals!$G:$G)),"")</f>
        <v/>
      </c>
      <c r="M1005" t="str">
        <f>IFERROR(IF(A1005="","",IFERROR(VALUE(H1005),0)+IFERROR(SUMIF(DB_Savings!$A:$A,A1005,DB_Savings!$F:$F),0)-IFERROR(SUMIF(DB_Withdrawals!$A:$A,A1005,DB_Withdrawals!$G:$G),0)),"")</f>
        <v/>
      </c>
      <c r="N1005" t="str">
        <f>IFERROR(IF(A1005="","",MAX(0,M1005-System_Config!$B$9)),"")</f>
        <v/>
      </c>
    </row>
    <row r="1006" spans="1:14" ht="15" customHeight="1" x14ac:dyDescent="0.25">
      <c r="A1006" t="str">
        <f>'NEW ACCOUNT'!A1007</f>
        <v/>
      </c>
      <c r="B1006" t="str">
        <f>IF('NEW ACCOUNT'!A1007="","",'NEW ACCOUNT'!B1007)</f>
        <v/>
      </c>
      <c r="C1006" t="str">
        <f>IF('NEW ACCOUNT'!A1007="","",'NEW ACCOUNT'!C1007)</f>
        <v/>
      </c>
      <c r="D1006" t="str">
        <f>IF('NEW ACCOUNT'!A1007="","",'NEW ACCOUNT'!D1007)</f>
        <v/>
      </c>
      <c r="E1006" t="str">
        <f>IF('NEW ACCOUNT'!A1007="","",'NEW ACCOUNT'!E1007)</f>
        <v/>
      </c>
      <c r="F1006" t="str">
        <f>IF('NEW ACCOUNT'!A1007="","",'NEW ACCOUNT'!F1007)</f>
        <v/>
      </c>
      <c r="G1006" t="str">
        <f>IF('NEW ACCOUNT'!A1007="","",'NEW ACCOUNT'!G1007)</f>
        <v/>
      </c>
      <c r="H1006" t="str">
        <f>IF('NEW ACCOUNT'!A1007="","",'NEW ACCOUNT'!H1007)</f>
        <v/>
      </c>
      <c r="I1006" t="str">
        <f>IF('NEW ACCOUNT'!A1007="","",'NEW ACCOUNT'!I1007)</f>
        <v/>
      </c>
      <c r="J1006" t="str">
        <f>IF('NEW ACCOUNT'!A1007="","",'NEW ACCOUNT'!J1007)</f>
        <v/>
      </c>
      <c r="K1006" t="str">
        <f>IFERROR(IF(A1006="","",SUMIF(DB_Savings!$A:$A,A1006,DB_Savings!$F:$F)),"")</f>
        <v/>
      </c>
      <c r="L1006" t="str">
        <f>IFERROR(IF(A1006="","",SUMIF(DB_Withdrawals!$A:$A,A1006,DB_Withdrawals!$G:$G)),"")</f>
        <v/>
      </c>
      <c r="M1006" t="str">
        <f>IFERROR(IF(A1006="","",IFERROR(VALUE(H1006),0)+IFERROR(SUMIF(DB_Savings!$A:$A,A1006,DB_Savings!$F:$F),0)-IFERROR(SUMIF(DB_Withdrawals!$A:$A,A1006,DB_Withdrawals!$G:$G),0)),"")</f>
        <v/>
      </c>
      <c r="N1006" t="str">
        <f>IFERROR(IF(A1006="","",MAX(0,M1006-System_Config!$B$9)),"")</f>
        <v/>
      </c>
    </row>
    <row r="1007" spans="1:14" ht="15" customHeight="1" x14ac:dyDescent="0.25">
      <c r="A1007" t="str">
        <f>'NEW ACCOUNT'!A1008</f>
        <v/>
      </c>
      <c r="B1007" t="str">
        <f>IF('NEW ACCOUNT'!A1008="","",'NEW ACCOUNT'!B1008)</f>
        <v/>
      </c>
      <c r="C1007" t="str">
        <f>IF('NEW ACCOUNT'!A1008="","",'NEW ACCOUNT'!C1008)</f>
        <v/>
      </c>
      <c r="D1007" t="str">
        <f>IF('NEW ACCOUNT'!A1008="","",'NEW ACCOUNT'!D1008)</f>
        <v/>
      </c>
      <c r="E1007" t="str">
        <f>IF('NEW ACCOUNT'!A1008="","",'NEW ACCOUNT'!E1008)</f>
        <v/>
      </c>
      <c r="F1007" t="str">
        <f>IF('NEW ACCOUNT'!A1008="","",'NEW ACCOUNT'!F1008)</f>
        <v/>
      </c>
      <c r="G1007" t="str">
        <f>IF('NEW ACCOUNT'!A1008="","",'NEW ACCOUNT'!G1008)</f>
        <v/>
      </c>
      <c r="H1007" t="str">
        <f>IF('NEW ACCOUNT'!A1008="","",'NEW ACCOUNT'!H1008)</f>
        <v/>
      </c>
      <c r="I1007" t="str">
        <f>IF('NEW ACCOUNT'!A1008="","",'NEW ACCOUNT'!I1008)</f>
        <v/>
      </c>
      <c r="J1007" t="str">
        <f>IF('NEW ACCOUNT'!A1008="","",'NEW ACCOUNT'!J1008)</f>
        <v/>
      </c>
      <c r="K1007" t="str">
        <f>IFERROR(IF(A1007="","",SUMIF(DB_Savings!$A:$A,A1007,DB_Savings!$F:$F)),"")</f>
        <v/>
      </c>
      <c r="L1007" t="str">
        <f>IFERROR(IF(A1007="","",SUMIF(DB_Withdrawals!$A:$A,A1007,DB_Withdrawals!$G:$G)),"")</f>
        <v/>
      </c>
      <c r="M1007" t="str">
        <f>IFERROR(IF(A1007="","",IFERROR(VALUE(H1007),0)+IFERROR(SUMIF(DB_Savings!$A:$A,A1007,DB_Savings!$F:$F),0)-IFERROR(SUMIF(DB_Withdrawals!$A:$A,A1007,DB_Withdrawals!$G:$G),0)),"")</f>
        <v/>
      </c>
      <c r="N1007" t="str">
        <f>IFERROR(IF(A1007="","",MAX(0,M1007-System_Config!$B$9)),"")</f>
        <v/>
      </c>
    </row>
    <row r="1008" spans="1:14" ht="15" customHeight="1" x14ac:dyDescent="0.25">
      <c r="A1008" t="str">
        <f>'NEW ACCOUNT'!A1009</f>
        <v/>
      </c>
      <c r="B1008" t="str">
        <f>IF('NEW ACCOUNT'!A1009="","",'NEW ACCOUNT'!B1009)</f>
        <v/>
      </c>
      <c r="C1008" t="str">
        <f>IF('NEW ACCOUNT'!A1009="","",'NEW ACCOUNT'!C1009)</f>
        <v/>
      </c>
      <c r="D1008" t="str">
        <f>IF('NEW ACCOUNT'!A1009="","",'NEW ACCOUNT'!D1009)</f>
        <v/>
      </c>
      <c r="E1008" t="str">
        <f>IF('NEW ACCOUNT'!A1009="","",'NEW ACCOUNT'!E1009)</f>
        <v/>
      </c>
      <c r="F1008" t="str">
        <f>IF('NEW ACCOUNT'!A1009="","",'NEW ACCOUNT'!F1009)</f>
        <v/>
      </c>
      <c r="G1008" t="str">
        <f>IF('NEW ACCOUNT'!A1009="","",'NEW ACCOUNT'!G1009)</f>
        <v/>
      </c>
      <c r="H1008" t="str">
        <f>IF('NEW ACCOUNT'!A1009="","",'NEW ACCOUNT'!H1009)</f>
        <v/>
      </c>
      <c r="I1008" t="str">
        <f>IF('NEW ACCOUNT'!A1009="","",'NEW ACCOUNT'!I1009)</f>
        <v/>
      </c>
      <c r="J1008" t="str">
        <f>IF('NEW ACCOUNT'!A1009="","",'NEW ACCOUNT'!J1009)</f>
        <v/>
      </c>
      <c r="K1008" t="str">
        <f>IFERROR(IF(A1008="","",SUMIF(DB_Savings!$A:$A,A1008,DB_Savings!$F:$F)),"")</f>
        <v/>
      </c>
      <c r="L1008" t="str">
        <f>IFERROR(IF(A1008="","",SUMIF(DB_Withdrawals!$A:$A,A1008,DB_Withdrawals!$G:$G)),"")</f>
        <v/>
      </c>
      <c r="M1008" t="str">
        <f>IFERROR(IF(A1008="","",IFERROR(VALUE(H1008),0)+IFERROR(SUMIF(DB_Savings!$A:$A,A1008,DB_Savings!$F:$F),0)-IFERROR(SUMIF(DB_Withdrawals!$A:$A,A1008,DB_Withdrawals!$G:$G),0)),"")</f>
        <v/>
      </c>
      <c r="N1008" t="str">
        <f>IFERROR(IF(A1008="","",MAX(0,M1008-System_Config!$B$9)),"")</f>
        <v/>
      </c>
    </row>
    <row r="1009" spans="1:14" ht="15" customHeight="1" x14ac:dyDescent="0.25">
      <c r="A1009" t="str">
        <f>'NEW ACCOUNT'!A1010</f>
        <v/>
      </c>
      <c r="B1009" t="str">
        <f>IF('NEW ACCOUNT'!A1010="","",'NEW ACCOUNT'!B1010)</f>
        <v/>
      </c>
      <c r="C1009" t="str">
        <f>IF('NEW ACCOUNT'!A1010="","",'NEW ACCOUNT'!C1010)</f>
        <v/>
      </c>
      <c r="D1009" t="str">
        <f>IF('NEW ACCOUNT'!A1010="","",'NEW ACCOUNT'!D1010)</f>
        <v/>
      </c>
      <c r="E1009" t="str">
        <f>IF('NEW ACCOUNT'!A1010="","",'NEW ACCOUNT'!E1010)</f>
        <v/>
      </c>
      <c r="F1009" t="str">
        <f>IF('NEW ACCOUNT'!A1010="","",'NEW ACCOUNT'!F1010)</f>
        <v/>
      </c>
      <c r="G1009" t="str">
        <f>IF('NEW ACCOUNT'!A1010="","",'NEW ACCOUNT'!G1010)</f>
        <v/>
      </c>
      <c r="H1009" t="str">
        <f>IF('NEW ACCOUNT'!A1010="","",'NEW ACCOUNT'!H1010)</f>
        <v/>
      </c>
      <c r="I1009" t="str">
        <f>IF('NEW ACCOUNT'!A1010="","",'NEW ACCOUNT'!I1010)</f>
        <v/>
      </c>
      <c r="J1009" t="str">
        <f>IF('NEW ACCOUNT'!A1010="","",'NEW ACCOUNT'!J1010)</f>
        <v/>
      </c>
      <c r="K1009" t="str">
        <f>IFERROR(IF(A1009="","",SUMIF(DB_Savings!$A:$A,A1009,DB_Savings!$F:$F)),"")</f>
        <v/>
      </c>
      <c r="L1009" t="str">
        <f>IFERROR(IF(A1009="","",SUMIF(DB_Withdrawals!$A:$A,A1009,DB_Withdrawals!$G:$G)),"")</f>
        <v/>
      </c>
      <c r="M1009" t="str">
        <f>IFERROR(IF(A1009="","",IFERROR(VALUE(H1009),0)+IFERROR(SUMIF(DB_Savings!$A:$A,A1009,DB_Savings!$F:$F),0)-IFERROR(SUMIF(DB_Withdrawals!$A:$A,A1009,DB_Withdrawals!$G:$G),0)),"")</f>
        <v/>
      </c>
      <c r="N1009" t="str">
        <f>IFERROR(IF(A1009="","",MAX(0,M1009-System_Config!$B$9)),"")</f>
        <v/>
      </c>
    </row>
    <row r="1010" spans="1:14" ht="15" customHeight="1" x14ac:dyDescent="0.25">
      <c r="A1010" t="str">
        <f>'NEW ACCOUNT'!A1011</f>
        <v/>
      </c>
      <c r="B1010" t="str">
        <f>IF('NEW ACCOUNT'!A1011="","",'NEW ACCOUNT'!B1011)</f>
        <v/>
      </c>
      <c r="C1010" t="str">
        <f>IF('NEW ACCOUNT'!A1011="","",'NEW ACCOUNT'!C1011)</f>
        <v/>
      </c>
      <c r="D1010" t="str">
        <f>IF('NEW ACCOUNT'!A1011="","",'NEW ACCOUNT'!D1011)</f>
        <v/>
      </c>
      <c r="E1010" t="str">
        <f>IF('NEW ACCOUNT'!A1011="","",'NEW ACCOUNT'!E1011)</f>
        <v/>
      </c>
      <c r="F1010" t="str">
        <f>IF('NEW ACCOUNT'!A1011="","",'NEW ACCOUNT'!F1011)</f>
        <v/>
      </c>
      <c r="G1010" t="str">
        <f>IF('NEW ACCOUNT'!A1011="","",'NEW ACCOUNT'!G1011)</f>
        <v/>
      </c>
      <c r="H1010" t="str">
        <f>IF('NEW ACCOUNT'!A1011="","",'NEW ACCOUNT'!H1011)</f>
        <v/>
      </c>
      <c r="I1010" t="str">
        <f>IF('NEW ACCOUNT'!A1011="","",'NEW ACCOUNT'!I1011)</f>
        <v/>
      </c>
      <c r="J1010" t="str">
        <f>IF('NEW ACCOUNT'!A1011="","",'NEW ACCOUNT'!J1011)</f>
        <v/>
      </c>
      <c r="K1010" t="str">
        <f>IFERROR(IF(A1010="","",SUMIF(DB_Savings!$A:$A,A1010,DB_Savings!$F:$F)),"")</f>
        <v/>
      </c>
      <c r="L1010" t="str">
        <f>IFERROR(IF(A1010="","",SUMIF(DB_Withdrawals!$A:$A,A1010,DB_Withdrawals!$G:$G)),"")</f>
        <v/>
      </c>
      <c r="M1010" t="str">
        <f>IFERROR(IF(A1010="","",IFERROR(VALUE(H1010),0)+IFERROR(SUMIF(DB_Savings!$A:$A,A1010,DB_Savings!$F:$F),0)-IFERROR(SUMIF(DB_Withdrawals!$A:$A,A1010,DB_Withdrawals!$G:$G),0)),"")</f>
        <v/>
      </c>
      <c r="N1010" t="str">
        <f>IFERROR(IF(A1010="","",MAX(0,M1010-System_Config!$B$9)),"")</f>
        <v/>
      </c>
    </row>
    <row r="1011" spans="1:14" ht="15" customHeight="1" x14ac:dyDescent="0.25">
      <c r="A1011" t="str">
        <f>'NEW ACCOUNT'!A1012</f>
        <v/>
      </c>
      <c r="B1011" t="str">
        <f>IF('NEW ACCOUNT'!A1012="","",'NEW ACCOUNT'!B1012)</f>
        <v/>
      </c>
      <c r="C1011" t="str">
        <f>IF('NEW ACCOUNT'!A1012="","",'NEW ACCOUNT'!C1012)</f>
        <v/>
      </c>
      <c r="D1011" t="str">
        <f>IF('NEW ACCOUNT'!A1012="","",'NEW ACCOUNT'!D1012)</f>
        <v/>
      </c>
      <c r="E1011" t="str">
        <f>IF('NEW ACCOUNT'!A1012="","",'NEW ACCOUNT'!E1012)</f>
        <v/>
      </c>
      <c r="F1011" t="str">
        <f>IF('NEW ACCOUNT'!A1012="","",'NEW ACCOUNT'!F1012)</f>
        <v/>
      </c>
      <c r="G1011" t="str">
        <f>IF('NEW ACCOUNT'!A1012="","",'NEW ACCOUNT'!G1012)</f>
        <v/>
      </c>
      <c r="H1011" t="str">
        <f>IF('NEW ACCOUNT'!A1012="","",'NEW ACCOUNT'!H1012)</f>
        <v/>
      </c>
      <c r="I1011" t="str">
        <f>IF('NEW ACCOUNT'!A1012="","",'NEW ACCOUNT'!I1012)</f>
        <v/>
      </c>
      <c r="J1011" t="str">
        <f>IF('NEW ACCOUNT'!A1012="","",'NEW ACCOUNT'!J1012)</f>
        <v/>
      </c>
      <c r="K1011" t="str">
        <f>IFERROR(IF(A1011="","",SUMIF(DB_Savings!$A:$A,A1011,DB_Savings!$F:$F)),"")</f>
        <v/>
      </c>
      <c r="L1011" t="str">
        <f>IFERROR(IF(A1011="","",SUMIF(DB_Withdrawals!$A:$A,A1011,DB_Withdrawals!$G:$G)),"")</f>
        <v/>
      </c>
      <c r="M1011" t="str">
        <f>IFERROR(IF(A1011="","",IFERROR(VALUE(H1011),0)+IFERROR(SUMIF(DB_Savings!$A:$A,A1011,DB_Savings!$F:$F),0)-IFERROR(SUMIF(DB_Withdrawals!$A:$A,A1011,DB_Withdrawals!$G:$G),0)),"")</f>
        <v/>
      </c>
      <c r="N1011" t="str">
        <f>IFERROR(IF(A1011="","",MAX(0,M1011-System_Config!$B$9)),"")</f>
        <v/>
      </c>
    </row>
    <row r="1012" spans="1:14" ht="15" customHeight="1" x14ac:dyDescent="0.25">
      <c r="A1012" t="str">
        <f>'NEW ACCOUNT'!A1013</f>
        <v/>
      </c>
      <c r="B1012" t="str">
        <f>IF('NEW ACCOUNT'!A1013="","",'NEW ACCOUNT'!B1013)</f>
        <v/>
      </c>
      <c r="C1012" t="str">
        <f>IF('NEW ACCOUNT'!A1013="","",'NEW ACCOUNT'!C1013)</f>
        <v/>
      </c>
      <c r="D1012" t="str">
        <f>IF('NEW ACCOUNT'!A1013="","",'NEW ACCOUNT'!D1013)</f>
        <v/>
      </c>
      <c r="E1012" t="str">
        <f>IF('NEW ACCOUNT'!A1013="","",'NEW ACCOUNT'!E1013)</f>
        <v/>
      </c>
      <c r="F1012" t="str">
        <f>IF('NEW ACCOUNT'!A1013="","",'NEW ACCOUNT'!F1013)</f>
        <v/>
      </c>
      <c r="G1012" t="str">
        <f>IF('NEW ACCOUNT'!A1013="","",'NEW ACCOUNT'!G1013)</f>
        <v/>
      </c>
      <c r="H1012" t="str">
        <f>IF('NEW ACCOUNT'!A1013="","",'NEW ACCOUNT'!H1013)</f>
        <v/>
      </c>
      <c r="I1012" t="str">
        <f>IF('NEW ACCOUNT'!A1013="","",'NEW ACCOUNT'!I1013)</f>
        <v/>
      </c>
      <c r="J1012" t="str">
        <f>IF('NEW ACCOUNT'!A1013="","",'NEW ACCOUNT'!J1013)</f>
        <v/>
      </c>
      <c r="K1012" t="str">
        <f>IFERROR(IF(A1012="","",SUMIF(DB_Savings!$A:$A,A1012,DB_Savings!$F:$F)),"")</f>
        <v/>
      </c>
      <c r="L1012" t="str">
        <f>IFERROR(IF(A1012="","",SUMIF(DB_Withdrawals!$A:$A,A1012,DB_Withdrawals!$G:$G)),"")</f>
        <v/>
      </c>
      <c r="M1012" t="str">
        <f>IFERROR(IF(A1012="","",IFERROR(VALUE(H1012),0)+IFERROR(SUMIF(DB_Savings!$A:$A,A1012,DB_Savings!$F:$F),0)-IFERROR(SUMIF(DB_Withdrawals!$A:$A,A1012,DB_Withdrawals!$G:$G),0)),"")</f>
        <v/>
      </c>
      <c r="N1012" t="str">
        <f>IFERROR(IF(A1012="","",MAX(0,M1012-System_Config!$B$9)),"")</f>
        <v/>
      </c>
    </row>
    <row r="1013" spans="1:14" ht="15" customHeight="1" x14ac:dyDescent="0.25">
      <c r="A1013" t="str">
        <f>'NEW ACCOUNT'!A1014</f>
        <v/>
      </c>
      <c r="B1013" t="str">
        <f>IF('NEW ACCOUNT'!A1014="","",'NEW ACCOUNT'!B1014)</f>
        <v/>
      </c>
      <c r="C1013" t="str">
        <f>IF('NEW ACCOUNT'!A1014="","",'NEW ACCOUNT'!C1014)</f>
        <v/>
      </c>
      <c r="D1013" t="str">
        <f>IF('NEW ACCOUNT'!A1014="","",'NEW ACCOUNT'!D1014)</f>
        <v/>
      </c>
      <c r="E1013" t="str">
        <f>IF('NEW ACCOUNT'!A1014="","",'NEW ACCOUNT'!E1014)</f>
        <v/>
      </c>
      <c r="F1013" t="str">
        <f>IF('NEW ACCOUNT'!A1014="","",'NEW ACCOUNT'!F1014)</f>
        <v/>
      </c>
      <c r="G1013" t="str">
        <f>IF('NEW ACCOUNT'!A1014="","",'NEW ACCOUNT'!G1014)</f>
        <v/>
      </c>
      <c r="H1013" t="str">
        <f>IF('NEW ACCOUNT'!A1014="","",'NEW ACCOUNT'!H1014)</f>
        <v/>
      </c>
      <c r="I1013" t="str">
        <f>IF('NEW ACCOUNT'!A1014="","",'NEW ACCOUNT'!I1014)</f>
        <v/>
      </c>
      <c r="J1013" t="str">
        <f>IF('NEW ACCOUNT'!A1014="","",'NEW ACCOUNT'!J1014)</f>
        <v/>
      </c>
      <c r="K1013" t="str">
        <f>IFERROR(IF(A1013="","",SUMIF(DB_Savings!$A:$A,A1013,DB_Savings!$F:$F)),"")</f>
        <v/>
      </c>
      <c r="L1013" t="str">
        <f>IFERROR(IF(A1013="","",SUMIF(DB_Withdrawals!$A:$A,A1013,DB_Withdrawals!$G:$G)),"")</f>
        <v/>
      </c>
      <c r="M1013" t="str">
        <f>IFERROR(IF(A1013="","",IFERROR(VALUE(H1013),0)+IFERROR(SUMIF(DB_Savings!$A:$A,A1013,DB_Savings!$F:$F),0)-IFERROR(SUMIF(DB_Withdrawals!$A:$A,A1013,DB_Withdrawals!$G:$G),0)),"")</f>
        <v/>
      </c>
      <c r="N1013" t="str">
        <f>IFERROR(IF(A1013="","",MAX(0,M1013-System_Config!$B$9)),"")</f>
        <v/>
      </c>
    </row>
    <row r="1014" spans="1:14" ht="15" customHeight="1" x14ac:dyDescent="0.25">
      <c r="A1014" t="str">
        <f>'NEW ACCOUNT'!A1015</f>
        <v/>
      </c>
      <c r="B1014" t="str">
        <f>IF('NEW ACCOUNT'!A1015="","",'NEW ACCOUNT'!B1015)</f>
        <v/>
      </c>
      <c r="C1014" t="str">
        <f>IF('NEW ACCOUNT'!A1015="","",'NEW ACCOUNT'!C1015)</f>
        <v/>
      </c>
      <c r="D1014" t="str">
        <f>IF('NEW ACCOUNT'!A1015="","",'NEW ACCOUNT'!D1015)</f>
        <v/>
      </c>
      <c r="E1014" t="str">
        <f>IF('NEW ACCOUNT'!A1015="","",'NEW ACCOUNT'!E1015)</f>
        <v/>
      </c>
      <c r="F1014" t="str">
        <f>IF('NEW ACCOUNT'!A1015="","",'NEW ACCOUNT'!F1015)</f>
        <v/>
      </c>
      <c r="G1014" t="str">
        <f>IF('NEW ACCOUNT'!A1015="","",'NEW ACCOUNT'!G1015)</f>
        <v/>
      </c>
      <c r="H1014" t="str">
        <f>IF('NEW ACCOUNT'!A1015="","",'NEW ACCOUNT'!H1015)</f>
        <v/>
      </c>
      <c r="I1014" t="str">
        <f>IF('NEW ACCOUNT'!A1015="","",'NEW ACCOUNT'!I1015)</f>
        <v/>
      </c>
      <c r="J1014" t="str">
        <f>IF('NEW ACCOUNT'!A1015="","",'NEW ACCOUNT'!J1015)</f>
        <v/>
      </c>
      <c r="K1014" t="str">
        <f>IFERROR(IF(A1014="","",SUMIF(DB_Savings!$A:$A,A1014,DB_Savings!$F:$F)),"")</f>
        <v/>
      </c>
      <c r="L1014" t="str">
        <f>IFERROR(IF(A1014="","",SUMIF(DB_Withdrawals!$A:$A,A1014,DB_Withdrawals!$G:$G)),"")</f>
        <v/>
      </c>
      <c r="M1014" t="str">
        <f>IFERROR(IF(A1014="","",IFERROR(VALUE(H1014),0)+IFERROR(SUMIF(DB_Savings!$A:$A,A1014,DB_Savings!$F:$F),0)-IFERROR(SUMIF(DB_Withdrawals!$A:$A,A1014,DB_Withdrawals!$G:$G),0)),"")</f>
        <v/>
      </c>
      <c r="N1014" t="str">
        <f>IFERROR(IF(A1014="","",MAX(0,M1014-System_Config!$B$9)),"")</f>
        <v/>
      </c>
    </row>
    <row r="1015" spans="1:14" ht="15" customHeight="1" x14ac:dyDescent="0.25">
      <c r="A1015" t="str">
        <f>'NEW ACCOUNT'!A1016</f>
        <v/>
      </c>
      <c r="B1015" t="str">
        <f>IF('NEW ACCOUNT'!A1016="","",'NEW ACCOUNT'!B1016)</f>
        <v/>
      </c>
      <c r="C1015" t="str">
        <f>IF('NEW ACCOUNT'!A1016="","",'NEW ACCOUNT'!C1016)</f>
        <v/>
      </c>
      <c r="D1015" t="str">
        <f>IF('NEW ACCOUNT'!A1016="","",'NEW ACCOUNT'!D1016)</f>
        <v/>
      </c>
      <c r="E1015" t="str">
        <f>IF('NEW ACCOUNT'!A1016="","",'NEW ACCOUNT'!E1016)</f>
        <v/>
      </c>
      <c r="F1015" t="str">
        <f>IF('NEW ACCOUNT'!A1016="","",'NEW ACCOUNT'!F1016)</f>
        <v/>
      </c>
      <c r="G1015" t="str">
        <f>IF('NEW ACCOUNT'!A1016="","",'NEW ACCOUNT'!G1016)</f>
        <v/>
      </c>
      <c r="H1015" t="str">
        <f>IF('NEW ACCOUNT'!A1016="","",'NEW ACCOUNT'!H1016)</f>
        <v/>
      </c>
      <c r="I1015" t="str">
        <f>IF('NEW ACCOUNT'!A1016="","",'NEW ACCOUNT'!I1016)</f>
        <v/>
      </c>
      <c r="J1015" t="str">
        <f>IF('NEW ACCOUNT'!A1016="","",'NEW ACCOUNT'!J1016)</f>
        <v/>
      </c>
      <c r="K1015" t="str">
        <f>IFERROR(IF(A1015="","",SUMIF(DB_Savings!$A:$A,A1015,DB_Savings!$F:$F)),"")</f>
        <v/>
      </c>
      <c r="L1015" t="str">
        <f>IFERROR(IF(A1015="","",SUMIF(DB_Withdrawals!$A:$A,A1015,DB_Withdrawals!$G:$G)),"")</f>
        <v/>
      </c>
      <c r="M1015" t="str">
        <f>IFERROR(IF(A1015="","",IFERROR(VALUE(H1015),0)+IFERROR(SUMIF(DB_Savings!$A:$A,A1015,DB_Savings!$F:$F),0)-IFERROR(SUMIF(DB_Withdrawals!$A:$A,A1015,DB_Withdrawals!$G:$G),0)),"")</f>
        <v/>
      </c>
      <c r="N1015" t="str">
        <f>IFERROR(IF(A1015="","",MAX(0,M1015-System_Config!$B$9)),"")</f>
        <v/>
      </c>
    </row>
    <row r="1016" spans="1:14" ht="15" customHeight="1" x14ac:dyDescent="0.25">
      <c r="A1016" t="str">
        <f>'NEW ACCOUNT'!A1017</f>
        <v/>
      </c>
      <c r="B1016" t="str">
        <f>IF('NEW ACCOUNT'!A1017="","",'NEW ACCOUNT'!B1017)</f>
        <v/>
      </c>
      <c r="C1016" t="str">
        <f>IF('NEW ACCOUNT'!A1017="","",'NEW ACCOUNT'!C1017)</f>
        <v/>
      </c>
      <c r="D1016" t="str">
        <f>IF('NEW ACCOUNT'!A1017="","",'NEW ACCOUNT'!D1017)</f>
        <v/>
      </c>
      <c r="E1016" t="str">
        <f>IF('NEW ACCOUNT'!A1017="","",'NEW ACCOUNT'!E1017)</f>
        <v/>
      </c>
      <c r="F1016" t="str">
        <f>IF('NEW ACCOUNT'!A1017="","",'NEW ACCOUNT'!F1017)</f>
        <v/>
      </c>
      <c r="G1016" t="str">
        <f>IF('NEW ACCOUNT'!A1017="","",'NEW ACCOUNT'!G1017)</f>
        <v/>
      </c>
      <c r="H1016" t="str">
        <f>IF('NEW ACCOUNT'!A1017="","",'NEW ACCOUNT'!H1017)</f>
        <v/>
      </c>
      <c r="I1016" t="str">
        <f>IF('NEW ACCOUNT'!A1017="","",'NEW ACCOUNT'!I1017)</f>
        <v/>
      </c>
      <c r="J1016" t="str">
        <f>IF('NEW ACCOUNT'!A1017="","",'NEW ACCOUNT'!J1017)</f>
        <v/>
      </c>
      <c r="K1016" t="str">
        <f>IFERROR(IF(A1016="","",SUMIF(DB_Savings!$A:$A,A1016,DB_Savings!$F:$F)),"")</f>
        <v/>
      </c>
      <c r="L1016" t="str">
        <f>IFERROR(IF(A1016="","",SUMIF(DB_Withdrawals!$A:$A,A1016,DB_Withdrawals!$G:$G)),"")</f>
        <v/>
      </c>
      <c r="M1016" t="str">
        <f>IFERROR(IF(A1016="","",IFERROR(VALUE(H1016),0)+IFERROR(SUMIF(DB_Savings!$A:$A,A1016,DB_Savings!$F:$F),0)-IFERROR(SUMIF(DB_Withdrawals!$A:$A,A1016,DB_Withdrawals!$G:$G),0)),"")</f>
        <v/>
      </c>
      <c r="N1016" t="str">
        <f>IFERROR(IF(A1016="","",MAX(0,M1016-System_Config!$B$9)),"")</f>
        <v/>
      </c>
    </row>
    <row r="1017" spans="1:14" ht="15" customHeight="1" x14ac:dyDescent="0.25">
      <c r="A1017" t="str">
        <f>'NEW ACCOUNT'!A1018</f>
        <v/>
      </c>
      <c r="B1017" t="str">
        <f>IF('NEW ACCOUNT'!A1018="","",'NEW ACCOUNT'!B1018)</f>
        <v/>
      </c>
      <c r="C1017" t="str">
        <f>IF('NEW ACCOUNT'!A1018="","",'NEW ACCOUNT'!C1018)</f>
        <v/>
      </c>
      <c r="D1017" t="str">
        <f>IF('NEW ACCOUNT'!A1018="","",'NEW ACCOUNT'!D1018)</f>
        <v/>
      </c>
      <c r="E1017" t="str">
        <f>IF('NEW ACCOUNT'!A1018="","",'NEW ACCOUNT'!E1018)</f>
        <v/>
      </c>
      <c r="F1017" t="str">
        <f>IF('NEW ACCOUNT'!A1018="","",'NEW ACCOUNT'!F1018)</f>
        <v/>
      </c>
      <c r="G1017" t="str">
        <f>IF('NEW ACCOUNT'!A1018="","",'NEW ACCOUNT'!G1018)</f>
        <v/>
      </c>
      <c r="H1017" t="str">
        <f>IF('NEW ACCOUNT'!A1018="","",'NEW ACCOUNT'!H1018)</f>
        <v/>
      </c>
      <c r="I1017" t="str">
        <f>IF('NEW ACCOUNT'!A1018="","",'NEW ACCOUNT'!I1018)</f>
        <v/>
      </c>
      <c r="J1017" t="str">
        <f>IF('NEW ACCOUNT'!A1018="","",'NEW ACCOUNT'!J1018)</f>
        <v/>
      </c>
      <c r="K1017" t="str">
        <f>IFERROR(IF(A1017="","",SUMIF(DB_Savings!$A:$A,A1017,DB_Savings!$F:$F)),"")</f>
        <v/>
      </c>
      <c r="L1017" t="str">
        <f>IFERROR(IF(A1017="","",SUMIF(DB_Withdrawals!$A:$A,A1017,DB_Withdrawals!$G:$G)),"")</f>
        <v/>
      </c>
      <c r="M1017" t="str">
        <f>IFERROR(IF(A1017="","",IFERROR(VALUE(H1017),0)+IFERROR(SUMIF(DB_Savings!$A:$A,A1017,DB_Savings!$F:$F),0)-IFERROR(SUMIF(DB_Withdrawals!$A:$A,A1017,DB_Withdrawals!$G:$G),0)),"")</f>
        <v/>
      </c>
      <c r="N1017" t="str">
        <f>IFERROR(IF(A1017="","",MAX(0,M1017-System_Config!$B$9)),"")</f>
        <v/>
      </c>
    </row>
    <row r="1018" spans="1:14" ht="15" customHeight="1" x14ac:dyDescent="0.25">
      <c r="A1018" t="str">
        <f>'NEW ACCOUNT'!A1019</f>
        <v/>
      </c>
      <c r="B1018" t="str">
        <f>IF('NEW ACCOUNT'!A1019="","",'NEW ACCOUNT'!B1019)</f>
        <v/>
      </c>
      <c r="C1018" t="str">
        <f>IF('NEW ACCOUNT'!A1019="","",'NEW ACCOUNT'!C1019)</f>
        <v/>
      </c>
      <c r="D1018" t="str">
        <f>IF('NEW ACCOUNT'!A1019="","",'NEW ACCOUNT'!D1019)</f>
        <v/>
      </c>
      <c r="E1018" t="str">
        <f>IF('NEW ACCOUNT'!A1019="","",'NEW ACCOUNT'!E1019)</f>
        <v/>
      </c>
      <c r="F1018" t="str">
        <f>IF('NEW ACCOUNT'!A1019="","",'NEW ACCOUNT'!F1019)</f>
        <v/>
      </c>
      <c r="G1018" t="str">
        <f>IF('NEW ACCOUNT'!A1019="","",'NEW ACCOUNT'!G1019)</f>
        <v/>
      </c>
      <c r="H1018" t="str">
        <f>IF('NEW ACCOUNT'!A1019="","",'NEW ACCOUNT'!H1019)</f>
        <v/>
      </c>
      <c r="I1018" t="str">
        <f>IF('NEW ACCOUNT'!A1019="","",'NEW ACCOUNT'!I1019)</f>
        <v/>
      </c>
      <c r="J1018" t="str">
        <f>IF('NEW ACCOUNT'!A1019="","",'NEW ACCOUNT'!J1019)</f>
        <v/>
      </c>
      <c r="K1018" t="str">
        <f>IFERROR(IF(A1018="","",SUMIF(DB_Savings!$A:$A,A1018,DB_Savings!$F:$F)),"")</f>
        <v/>
      </c>
      <c r="L1018" t="str">
        <f>IFERROR(IF(A1018="","",SUMIF(DB_Withdrawals!$A:$A,A1018,DB_Withdrawals!$G:$G)),"")</f>
        <v/>
      </c>
      <c r="M1018" t="str">
        <f>IFERROR(IF(A1018="","",IFERROR(VALUE(H1018),0)+IFERROR(SUMIF(DB_Savings!$A:$A,A1018,DB_Savings!$F:$F),0)-IFERROR(SUMIF(DB_Withdrawals!$A:$A,A1018,DB_Withdrawals!$G:$G),0)),"")</f>
        <v/>
      </c>
      <c r="N1018" t="str">
        <f>IFERROR(IF(A1018="","",MAX(0,M1018-System_Config!$B$9)),"")</f>
        <v/>
      </c>
    </row>
    <row r="1019" spans="1:14" ht="15" customHeight="1" x14ac:dyDescent="0.25">
      <c r="A1019" t="str">
        <f>'NEW ACCOUNT'!A1020</f>
        <v/>
      </c>
      <c r="B1019" t="str">
        <f>IF('NEW ACCOUNT'!A1020="","",'NEW ACCOUNT'!B1020)</f>
        <v/>
      </c>
      <c r="C1019" t="str">
        <f>IF('NEW ACCOUNT'!A1020="","",'NEW ACCOUNT'!C1020)</f>
        <v/>
      </c>
      <c r="D1019" t="str">
        <f>IF('NEW ACCOUNT'!A1020="","",'NEW ACCOUNT'!D1020)</f>
        <v/>
      </c>
      <c r="E1019" t="str">
        <f>IF('NEW ACCOUNT'!A1020="","",'NEW ACCOUNT'!E1020)</f>
        <v/>
      </c>
      <c r="F1019" t="str">
        <f>IF('NEW ACCOUNT'!A1020="","",'NEW ACCOUNT'!F1020)</f>
        <v/>
      </c>
      <c r="G1019" t="str">
        <f>IF('NEW ACCOUNT'!A1020="","",'NEW ACCOUNT'!G1020)</f>
        <v/>
      </c>
      <c r="H1019" t="str">
        <f>IF('NEW ACCOUNT'!A1020="","",'NEW ACCOUNT'!H1020)</f>
        <v/>
      </c>
      <c r="I1019" t="str">
        <f>IF('NEW ACCOUNT'!A1020="","",'NEW ACCOUNT'!I1020)</f>
        <v/>
      </c>
      <c r="J1019" t="str">
        <f>IF('NEW ACCOUNT'!A1020="","",'NEW ACCOUNT'!J1020)</f>
        <v/>
      </c>
      <c r="K1019" t="str">
        <f>IFERROR(IF(A1019="","",SUMIF(DB_Savings!$A:$A,A1019,DB_Savings!$F:$F)),"")</f>
        <v/>
      </c>
      <c r="L1019" t="str">
        <f>IFERROR(IF(A1019="","",SUMIF(DB_Withdrawals!$A:$A,A1019,DB_Withdrawals!$G:$G)),"")</f>
        <v/>
      </c>
      <c r="M1019" t="str">
        <f>IFERROR(IF(A1019="","",IFERROR(VALUE(H1019),0)+IFERROR(SUMIF(DB_Savings!$A:$A,A1019,DB_Savings!$F:$F),0)-IFERROR(SUMIF(DB_Withdrawals!$A:$A,A1019,DB_Withdrawals!$G:$G),0)),"")</f>
        <v/>
      </c>
      <c r="N1019" t="str">
        <f>IFERROR(IF(A1019="","",MAX(0,M1019-System_Config!$B$9)),"")</f>
        <v/>
      </c>
    </row>
    <row r="1020" spans="1:14" ht="15" customHeight="1" x14ac:dyDescent="0.25">
      <c r="A1020" t="str">
        <f>'NEW ACCOUNT'!A1021</f>
        <v/>
      </c>
      <c r="B1020" t="str">
        <f>IF('NEW ACCOUNT'!A1021="","",'NEW ACCOUNT'!B1021)</f>
        <v/>
      </c>
      <c r="C1020" t="str">
        <f>IF('NEW ACCOUNT'!A1021="","",'NEW ACCOUNT'!C1021)</f>
        <v/>
      </c>
      <c r="D1020" t="str">
        <f>IF('NEW ACCOUNT'!A1021="","",'NEW ACCOUNT'!D1021)</f>
        <v/>
      </c>
      <c r="E1020" t="str">
        <f>IF('NEW ACCOUNT'!A1021="","",'NEW ACCOUNT'!E1021)</f>
        <v/>
      </c>
      <c r="F1020" t="str">
        <f>IF('NEW ACCOUNT'!A1021="","",'NEW ACCOUNT'!F1021)</f>
        <v/>
      </c>
      <c r="G1020" t="str">
        <f>IF('NEW ACCOUNT'!A1021="","",'NEW ACCOUNT'!G1021)</f>
        <v/>
      </c>
      <c r="H1020" t="str">
        <f>IF('NEW ACCOUNT'!A1021="","",'NEW ACCOUNT'!H1021)</f>
        <v/>
      </c>
      <c r="I1020" t="str">
        <f>IF('NEW ACCOUNT'!A1021="","",'NEW ACCOUNT'!I1021)</f>
        <v/>
      </c>
      <c r="J1020" t="str">
        <f>IF('NEW ACCOUNT'!A1021="","",'NEW ACCOUNT'!J1021)</f>
        <v/>
      </c>
      <c r="K1020" t="str">
        <f>IFERROR(IF(A1020="","",SUMIF(DB_Savings!$A:$A,A1020,DB_Savings!$F:$F)),"")</f>
        <v/>
      </c>
      <c r="L1020" t="str">
        <f>IFERROR(IF(A1020="","",SUMIF(DB_Withdrawals!$A:$A,A1020,DB_Withdrawals!$G:$G)),"")</f>
        <v/>
      </c>
      <c r="M1020" t="str">
        <f>IFERROR(IF(A1020="","",IFERROR(VALUE(H1020),0)+IFERROR(SUMIF(DB_Savings!$A:$A,A1020,DB_Savings!$F:$F),0)-IFERROR(SUMIF(DB_Withdrawals!$A:$A,A1020,DB_Withdrawals!$G:$G),0)),"")</f>
        <v/>
      </c>
      <c r="N1020" t="str">
        <f>IFERROR(IF(A1020="","",MAX(0,M1020-System_Config!$B$9)),"")</f>
        <v/>
      </c>
    </row>
    <row r="1021" spans="1:14" ht="15" customHeight="1" x14ac:dyDescent="0.25">
      <c r="A1021" t="str">
        <f>'NEW ACCOUNT'!A1022</f>
        <v/>
      </c>
      <c r="B1021" t="str">
        <f>IF('NEW ACCOUNT'!A1022="","",'NEW ACCOUNT'!B1022)</f>
        <v/>
      </c>
      <c r="C1021" t="str">
        <f>IF('NEW ACCOUNT'!A1022="","",'NEW ACCOUNT'!C1022)</f>
        <v/>
      </c>
      <c r="D1021" t="str">
        <f>IF('NEW ACCOUNT'!A1022="","",'NEW ACCOUNT'!D1022)</f>
        <v/>
      </c>
      <c r="E1021" t="str">
        <f>IF('NEW ACCOUNT'!A1022="","",'NEW ACCOUNT'!E1022)</f>
        <v/>
      </c>
      <c r="F1021" t="str">
        <f>IF('NEW ACCOUNT'!A1022="","",'NEW ACCOUNT'!F1022)</f>
        <v/>
      </c>
      <c r="G1021" t="str">
        <f>IF('NEW ACCOUNT'!A1022="","",'NEW ACCOUNT'!G1022)</f>
        <v/>
      </c>
      <c r="H1021" t="str">
        <f>IF('NEW ACCOUNT'!A1022="","",'NEW ACCOUNT'!H1022)</f>
        <v/>
      </c>
      <c r="I1021" t="str">
        <f>IF('NEW ACCOUNT'!A1022="","",'NEW ACCOUNT'!I1022)</f>
        <v/>
      </c>
      <c r="J1021" t="str">
        <f>IF('NEW ACCOUNT'!A1022="","",'NEW ACCOUNT'!J1022)</f>
        <v/>
      </c>
      <c r="K1021" t="str">
        <f>IFERROR(IF(A1021="","",SUMIF(DB_Savings!$A:$A,A1021,DB_Savings!$F:$F)),"")</f>
        <v/>
      </c>
      <c r="L1021" t="str">
        <f>IFERROR(IF(A1021="","",SUMIF(DB_Withdrawals!$A:$A,A1021,DB_Withdrawals!$G:$G)),"")</f>
        <v/>
      </c>
      <c r="M1021" t="str">
        <f>IFERROR(IF(A1021="","",IFERROR(VALUE(H1021),0)+IFERROR(SUMIF(DB_Savings!$A:$A,A1021,DB_Savings!$F:$F),0)-IFERROR(SUMIF(DB_Withdrawals!$A:$A,A1021,DB_Withdrawals!$G:$G),0)),"")</f>
        <v/>
      </c>
      <c r="N1021" t="str">
        <f>IFERROR(IF(A1021="","",MAX(0,M1021-System_Config!$B$9)),"")</f>
        <v/>
      </c>
    </row>
    <row r="1022" spans="1:14" ht="15" customHeight="1" x14ac:dyDescent="0.25">
      <c r="A1022" t="str">
        <f>'NEW ACCOUNT'!A1023</f>
        <v/>
      </c>
      <c r="B1022" t="str">
        <f>IF('NEW ACCOUNT'!A1023="","",'NEW ACCOUNT'!B1023)</f>
        <v/>
      </c>
      <c r="C1022" t="str">
        <f>IF('NEW ACCOUNT'!A1023="","",'NEW ACCOUNT'!C1023)</f>
        <v/>
      </c>
      <c r="D1022" t="str">
        <f>IF('NEW ACCOUNT'!A1023="","",'NEW ACCOUNT'!D1023)</f>
        <v/>
      </c>
      <c r="E1022" t="str">
        <f>IF('NEW ACCOUNT'!A1023="","",'NEW ACCOUNT'!E1023)</f>
        <v/>
      </c>
      <c r="F1022" t="str">
        <f>IF('NEW ACCOUNT'!A1023="","",'NEW ACCOUNT'!F1023)</f>
        <v/>
      </c>
      <c r="G1022" t="str">
        <f>IF('NEW ACCOUNT'!A1023="","",'NEW ACCOUNT'!G1023)</f>
        <v/>
      </c>
      <c r="H1022" t="str">
        <f>IF('NEW ACCOUNT'!A1023="","",'NEW ACCOUNT'!H1023)</f>
        <v/>
      </c>
      <c r="I1022" t="str">
        <f>IF('NEW ACCOUNT'!A1023="","",'NEW ACCOUNT'!I1023)</f>
        <v/>
      </c>
      <c r="J1022" t="str">
        <f>IF('NEW ACCOUNT'!A1023="","",'NEW ACCOUNT'!J1023)</f>
        <v/>
      </c>
      <c r="K1022" t="str">
        <f>IFERROR(IF(A1022="","",SUMIF(DB_Savings!$A:$A,A1022,DB_Savings!$F:$F)),"")</f>
        <v/>
      </c>
      <c r="L1022" t="str">
        <f>IFERROR(IF(A1022="","",SUMIF(DB_Withdrawals!$A:$A,A1022,DB_Withdrawals!$G:$G)),"")</f>
        <v/>
      </c>
      <c r="M1022" t="str">
        <f>IFERROR(IF(A1022="","",IFERROR(VALUE(H1022),0)+IFERROR(SUMIF(DB_Savings!$A:$A,A1022,DB_Savings!$F:$F),0)-IFERROR(SUMIF(DB_Withdrawals!$A:$A,A1022,DB_Withdrawals!$G:$G),0)),"")</f>
        <v/>
      </c>
      <c r="N1022" t="str">
        <f>IFERROR(IF(A1022="","",MAX(0,M1022-System_Config!$B$9)),"")</f>
        <v/>
      </c>
    </row>
    <row r="1023" spans="1:14" ht="15" customHeight="1" x14ac:dyDescent="0.25">
      <c r="A1023" t="str">
        <f>'NEW ACCOUNT'!A1024</f>
        <v/>
      </c>
      <c r="B1023" t="str">
        <f>IF('NEW ACCOUNT'!A1024="","",'NEW ACCOUNT'!B1024)</f>
        <v/>
      </c>
      <c r="C1023" t="str">
        <f>IF('NEW ACCOUNT'!A1024="","",'NEW ACCOUNT'!C1024)</f>
        <v/>
      </c>
      <c r="D1023" t="str">
        <f>IF('NEW ACCOUNT'!A1024="","",'NEW ACCOUNT'!D1024)</f>
        <v/>
      </c>
      <c r="E1023" t="str">
        <f>IF('NEW ACCOUNT'!A1024="","",'NEW ACCOUNT'!E1024)</f>
        <v/>
      </c>
      <c r="F1023" t="str">
        <f>IF('NEW ACCOUNT'!A1024="","",'NEW ACCOUNT'!F1024)</f>
        <v/>
      </c>
      <c r="G1023" t="str">
        <f>IF('NEW ACCOUNT'!A1024="","",'NEW ACCOUNT'!G1024)</f>
        <v/>
      </c>
      <c r="H1023" t="str">
        <f>IF('NEW ACCOUNT'!A1024="","",'NEW ACCOUNT'!H1024)</f>
        <v/>
      </c>
      <c r="I1023" t="str">
        <f>IF('NEW ACCOUNT'!A1024="","",'NEW ACCOUNT'!I1024)</f>
        <v/>
      </c>
      <c r="J1023" t="str">
        <f>IF('NEW ACCOUNT'!A1024="","",'NEW ACCOUNT'!J1024)</f>
        <v/>
      </c>
      <c r="K1023" t="str">
        <f>IFERROR(IF(A1023="","",SUMIF(DB_Savings!$A:$A,A1023,DB_Savings!$F:$F)),"")</f>
        <v/>
      </c>
      <c r="L1023" t="str">
        <f>IFERROR(IF(A1023="","",SUMIF(DB_Withdrawals!$A:$A,A1023,DB_Withdrawals!$G:$G)),"")</f>
        <v/>
      </c>
      <c r="M1023" t="str">
        <f>IFERROR(IF(A1023="","",IFERROR(VALUE(H1023),0)+IFERROR(SUMIF(DB_Savings!$A:$A,A1023,DB_Savings!$F:$F),0)-IFERROR(SUMIF(DB_Withdrawals!$A:$A,A1023,DB_Withdrawals!$G:$G),0)),"")</f>
        <v/>
      </c>
      <c r="N1023" t="str">
        <f>IFERROR(IF(A1023="","",MAX(0,M1023-System_Config!$B$9)),"")</f>
        <v/>
      </c>
    </row>
    <row r="1024" spans="1:14" ht="15" customHeight="1" x14ac:dyDescent="0.25">
      <c r="A1024" t="str">
        <f>'NEW ACCOUNT'!A1025</f>
        <v/>
      </c>
      <c r="B1024" t="str">
        <f>IF('NEW ACCOUNT'!A1025="","",'NEW ACCOUNT'!B1025)</f>
        <v/>
      </c>
      <c r="C1024" t="str">
        <f>IF('NEW ACCOUNT'!A1025="","",'NEW ACCOUNT'!C1025)</f>
        <v/>
      </c>
      <c r="D1024" t="str">
        <f>IF('NEW ACCOUNT'!A1025="","",'NEW ACCOUNT'!D1025)</f>
        <v/>
      </c>
      <c r="E1024" t="str">
        <f>IF('NEW ACCOUNT'!A1025="","",'NEW ACCOUNT'!E1025)</f>
        <v/>
      </c>
      <c r="F1024" t="str">
        <f>IF('NEW ACCOUNT'!A1025="","",'NEW ACCOUNT'!F1025)</f>
        <v/>
      </c>
      <c r="G1024" t="str">
        <f>IF('NEW ACCOUNT'!A1025="","",'NEW ACCOUNT'!G1025)</f>
        <v/>
      </c>
      <c r="H1024" t="str">
        <f>IF('NEW ACCOUNT'!A1025="","",'NEW ACCOUNT'!H1025)</f>
        <v/>
      </c>
      <c r="I1024" t="str">
        <f>IF('NEW ACCOUNT'!A1025="","",'NEW ACCOUNT'!I1025)</f>
        <v/>
      </c>
      <c r="J1024" t="str">
        <f>IF('NEW ACCOUNT'!A1025="","",'NEW ACCOUNT'!J1025)</f>
        <v/>
      </c>
      <c r="K1024" t="str">
        <f>IFERROR(IF(A1024="","",SUMIF(DB_Savings!$A:$A,A1024,DB_Savings!$F:$F)),"")</f>
        <v/>
      </c>
      <c r="L1024" t="str">
        <f>IFERROR(IF(A1024="","",SUMIF(DB_Withdrawals!$A:$A,A1024,DB_Withdrawals!$G:$G)),"")</f>
        <v/>
      </c>
      <c r="M1024" t="str">
        <f>IFERROR(IF(A1024="","",IFERROR(VALUE(H1024),0)+IFERROR(SUMIF(DB_Savings!$A:$A,A1024,DB_Savings!$F:$F),0)-IFERROR(SUMIF(DB_Withdrawals!$A:$A,A1024,DB_Withdrawals!$G:$G),0)),"")</f>
        <v/>
      </c>
      <c r="N1024" t="str">
        <f>IFERROR(IF(A1024="","",MAX(0,M1024-System_Config!$B$9)),"")</f>
        <v/>
      </c>
    </row>
    <row r="1025" spans="1:14" ht="15" customHeight="1" x14ac:dyDescent="0.25">
      <c r="A1025" t="str">
        <f>'NEW ACCOUNT'!A1026</f>
        <v/>
      </c>
      <c r="B1025" t="str">
        <f>IF('NEW ACCOUNT'!A1026="","",'NEW ACCOUNT'!B1026)</f>
        <v/>
      </c>
      <c r="C1025" t="str">
        <f>IF('NEW ACCOUNT'!A1026="","",'NEW ACCOUNT'!C1026)</f>
        <v/>
      </c>
      <c r="D1025" t="str">
        <f>IF('NEW ACCOUNT'!A1026="","",'NEW ACCOUNT'!D1026)</f>
        <v/>
      </c>
      <c r="E1025" t="str">
        <f>IF('NEW ACCOUNT'!A1026="","",'NEW ACCOUNT'!E1026)</f>
        <v/>
      </c>
      <c r="F1025" t="str">
        <f>IF('NEW ACCOUNT'!A1026="","",'NEW ACCOUNT'!F1026)</f>
        <v/>
      </c>
      <c r="G1025" t="str">
        <f>IF('NEW ACCOUNT'!A1026="","",'NEW ACCOUNT'!G1026)</f>
        <v/>
      </c>
      <c r="H1025" t="str">
        <f>IF('NEW ACCOUNT'!A1026="","",'NEW ACCOUNT'!H1026)</f>
        <v/>
      </c>
      <c r="I1025" t="str">
        <f>IF('NEW ACCOUNT'!A1026="","",'NEW ACCOUNT'!I1026)</f>
        <v/>
      </c>
      <c r="J1025" t="str">
        <f>IF('NEW ACCOUNT'!A1026="","",'NEW ACCOUNT'!J1026)</f>
        <v/>
      </c>
      <c r="K1025" t="str">
        <f>IFERROR(IF(A1025="","",SUMIF(DB_Savings!$A:$A,A1025,DB_Savings!$F:$F)),"")</f>
        <v/>
      </c>
      <c r="L1025" t="str">
        <f>IFERROR(IF(A1025="","",SUMIF(DB_Withdrawals!$A:$A,A1025,DB_Withdrawals!$G:$G)),"")</f>
        <v/>
      </c>
      <c r="M1025" t="str">
        <f>IFERROR(IF(A1025="","",IFERROR(VALUE(H1025),0)+IFERROR(SUMIF(DB_Savings!$A:$A,A1025,DB_Savings!$F:$F),0)-IFERROR(SUMIF(DB_Withdrawals!$A:$A,A1025,DB_Withdrawals!$G:$G),0)),"")</f>
        <v/>
      </c>
      <c r="N1025" t="str">
        <f>IFERROR(IF(A1025="","",MAX(0,M1025-System_Config!$B$9)),"")</f>
        <v/>
      </c>
    </row>
    <row r="1026" spans="1:14" ht="15" customHeight="1" x14ac:dyDescent="0.25">
      <c r="A1026" t="str">
        <f>'NEW ACCOUNT'!A1027</f>
        <v/>
      </c>
      <c r="B1026" t="str">
        <f>IF('NEW ACCOUNT'!A1027="","",'NEW ACCOUNT'!B1027)</f>
        <v/>
      </c>
      <c r="C1026" t="str">
        <f>IF('NEW ACCOUNT'!A1027="","",'NEW ACCOUNT'!C1027)</f>
        <v/>
      </c>
      <c r="D1026" t="str">
        <f>IF('NEW ACCOUNT'!A1027="","",'NEW ACCOUNT'!D1027)</f>
        <v/>
      </c>
      <c r="E1026" t="str">
        <f>IF('NEW ACCOUNT'!A1027="","",'NEW ACCOUNT'!E1027)</f>
        <v/>
      </c>
      <c r="F1026" t="str">
        <f>IF('NEW ACCOUNT'!A1027="","",'NEW ACCOUNT'!F1027)</f>
        <v/>
      </c>
      <c r="G1026" t="str">
        <f>IF('NEW ACCOUNT'!A1027="","",'NEW ACCOUNT'!G1027)</f>
        <v/>
      </c>
      <c r="H1026" t="str">
        <f>IF('NEW ACCOUNT'!A1027="","",'NEW ACCOUNT'!H1027)</f>
        <v/>
      </c>
      <c r="I1026" t="str">
        <f>IF('NEW ACCOUNT'!A1027="","",'NEW ACCOUNT'!I1027)</f>
        <v/>
      </c>
      <c r="J1026" t="str">
        <f>IF('NEW ACCOUNT'!A1027="","",'NEW ACCOUNT'!J1027)</f>
        <v/>
      </c>
      <c r="K1026" t="str">
        <f>IFERROR(IF(A1026="","",SUMIF(DB_Savings!$A:$A,A1026,DB_Savings!$F:$F)),"")</f>
        <v/>
      </c>
      <c r="L1026" t="str">
        <f>IFERROR(IF(A1026="","",SUMIF(DB_Withdrawals!$A:$A,A1026,DB_Withdrawals!$G:$G)),"")</f>
        <v/>
      </c>
      <c r="M1026" t="str">
        <f>IFERROR(IF(A1026="","",IFERROR(VALUE(H1026),0)+IFERROR(SUMIF(DB_Savings!$A:$A,A1026,DB_Savings!$F:$F),0)-IFERROR(SUMIF(DB_Withdrawals!$A:$A,A1026,DB_Withdrawals!$G:$G),0)),"")</f>
        <v/>
      </c>
      <c r="N1026" t="str">
        <f>IFERROR(IF(A1026="","",MAX(0,M1026-System_Config!$B$9)),"")</f>
        <v/>
      </c>
    </row>
    <row r="1027" spans="1:14" ht="15" customHeight="1" x14ac:dyDescent="0.25">
      <c r="A1027" t="str">
        <f>'NEW ACCOUNT'!A1028</f>
        <v/>
      </c>
      <c r="B1027" t="str">
        <f>IF('NEW ACCOUNT'!A1028="","",'NEW ACCOUNT'!B1028)</f>
        <v/>
      </c>
      <c r="C1027" t="str">
        <f>IF('NEW ACCOUNT'!A1028="","",'NEW ACCOUNT'!C1028)</f>
        <v/>
      </c>
      <c r="D1027" t="str">
        <f>IF('NEW ACCOUNT'!A1028="","",'NEW ACCOUNT'!D1028)</f>
        <v/>
      </c>
      <c r="E1027" t="str">
        <f>IF('NEW ACCOUNT'!A1028="","",'NEW ACCOUNT'!E1028)</f>
        <v/>
      </c>
      <c r="F1027" t="str">
        <f>IF('NEW ACCOUNT'!A1028="","",'NEW ACCOUNT'!F1028)</f>
        <v/>
      </c>
      <c r="G1027" t="str">
        <f>IF('NEW ACCOUNT'!A1028="","",'NEW ACCOUNT'!G1028)</f>
        <v/>
      </c>
      <c r="H1027" t="str">
        <f>IF('NEW ACCOUNT'!A1028="","",'NEW ACCOUNT'!H1028)</f>
        <v/>
      </c>
      <c r="I1027" t="str">
        <f>IF('NEW ACCOUNT'!A1028="","",'NEW ACCOUNT'!I1028)</f>
        <v/>
      </c>
      <c r="J1027" t="str">
        <f>IF('NEW ACCOUNT'!A1028="","",'NEW ACCOUNT'!J1028)</f>
        <v/>
      </c>
      <c r="K1027" t="str">
        <f>IFERROR(IF(A1027="","",SUMIF(DB_Savings!$A:$A,A1027,DB_Savings!$F:$F)),"")</f>
        <v/>
      </c>
      <c r="L1027" t="str">
        <f>IFERROR(IF(A1027="","",SUMIF(DB_Withdrawals!$A:$A,A1027,DB_Withdrawals!$G:$G)),"")</f>
        <v/>
      </c>
      <c r="M1027" t="str">
        <f>IFERROR(IF(A1027="","",IFERROR(VALUE(H1027),0)+IFERROR(SUMIF(DB_Savings!$A:$A,A1027,DB_Savings!$F:$F),0)-IFERROR(SUMIF(DB_Withdrawals!$A:$A,A1027,DB_Withdrawals!$G:$G),0)),"")</f>
        <v/>
      </c>
      <c r="N1027" t="str">
        <f>IFERROR(IF(A1027="","",MAX(0,M1027-System_Config!$B$9)),"")</f>
        <v/>
      </c>
    </row>
    <row r="1028" spans="1:14" ht="15" customHeight="1" x14ac:dyDescent="0.25">
      <c r="A1028" t="str">
        <f>'NEW ACCOUNT'!A1029</f>
        <v/>
      </c>
      <c r="B1028" t="str">
        <f>IF('NEW ACCOUNT'!A1029="","",'NEW ACCOUNT'!B1029)</f>
        <v/>
      </c>
      <c r="C1028" t="str">
        <f>IF('NEW ACCOUNT'!A1029="","",'NEW ACCOUNT'!C1029)</f>
        <v/>
      </c>
      <c r="D1028" t="str">
        <f>IF('NEW ACCOUNT'!A1029="","",'NEW ACCOUNT'!D1029)</f>
        <v/>
      </c>
      <c r="E1028" t="str">
        <f>IF('NEW ACCOUNT'!A1029="","",'NEW ACCOUNT'!E1029)</f>
        <v/>
      </c>
      <c r="F1028" t="str">
        <f>IF('NEW ACCOUNT'!A1029="","",'NEW ACCOUNT'!F1029)</f>
        <v/>
      </c>
      <c r="G1028" t="str">
        <f>IF('NEW ACCOUNT'!A1029="","",'NEW ACCOUNT'!G1029)</f>
        <v/>
      </c>
      <c r="H1028" t="str">
        <f>IF('NEW ACCOUNT'!A1029="","",'NEW ACCOUNT'!H1029)</f>
        <v/>
      </c>
      <c r="I1028" t="str">
        <f>IF('NEW ACCOUNT'!A1029="","",'NEW ACCOUNT'!I1029)</f>
        <v/>
      </c>
      <c r="J1028" t="str">
        <f>IF('NEW ACCOUNT'!A1029="","",'NEW ACCOUNT'!J1029)</f>
        <v/>
      </c>
      <c r="K1028" t="str">
        <f>IFERROR(IF(A1028="","",SUMIF(DB_Savings!$A:$A,A1028,DB_Savings!$F:$F)),"")</f>
        <v/>
      </c>
      <c r="L1028" t="str">
        <f>IFERROR(IF(A1028="","",SUMIF(DB_Withdrawals!$A:$A,A1028,DB_Withdrawals!$G:$G)),"")</f>
        <v/>
      </c>
      <c r="M1028" t="str">
        <f>IFERROR(IF(A1028="","",IFERROR(VALUE(H1028),0)+IFERROR(SUMIF(DB_Savings!$A:$A,A1028,DB_Savings!$F:$F),0)-IFERROR(SUMIF(DB_Withdrawals!$A:$A,A1028,DB_Withdrawals!$G:$G),0)),"")</f>
        <v/>
      </c>
      <c r="N1028" t="str">
        <f>IFERROR(IF(A1028="","",MAX(0,M1028-System_Config!$B$9)),"")</f>
        <v/>
      </c>
    </row>
    <row r="1029" spans="1:14" ht="15" customHeight="1" x14ac:dyDescent="0.25">
      <c r="A1029" t="str">
        <f>'NEW ACCOUNT'!A1030</f>
        <v/>
      </c>
      <c r="B1029" t="str">
        <f>IF('NEW ACCOUNT'!A1030="","",'NEW ACCOUNT'!B1030)</f>
        <v/>
      </c>
      <c r="C1029" t="str">
        <f>IF('NEW ACCOUNT'!A1030="","",'NEW ACCOUNT'!C1030)</f>
        <v/>
      </c>
      <c r="D1029" t="str">
        <f>IF('NEW ACCOUNT'!A1030="","",'NEW ACCOUNT'!D1030)</f>
        <v/>
      </c>
      <c r="E1029" t="str">
        <f>IF('NEW ACCOUNT'!A1030="","",'NEW ACCOUNT'!E1030)</f>
        <v/>
      </c>
      <c r="F1029" t="str">
        <f>IF('NEW ACCOUNT'!A1030="","",'NEW ACCOUNT'!F1030)</f>
        <v/>
      </c>
      <c r="G1029" t="str">
        <f>IF('NEW ACCOUNT'!A1030="","",'NEW ACCOUNT'!G1030)</f>
        <v/>
      </c>
      <c r="H1029" t="str">
        <f>IF('NEW ACCOUNT'!A1030="","",'NEW ACCOUNT'!H1030)</f>
        <v/>
      </c>
      <c r="I1029" t="str">
        <f>IF('NEW ACCOUNT'!A1030="","",'NEW ACCOUNT'!I1030)</f>
        <v/>
      </c>
      <c r="J1029" t="str">
        <f>IF('NEW ACCOUNT'!A1030="","",'NEW ACCOUNT'!J1030)</f>
        <v/>
      </c>
      <c r="K1029" t="str">
        <f>IFERROR(IF(A1029="","",SUMIF(DB_Savings!$A:$A,A1029,DB_Savings!$F:$F)),"")</f>
        <v/>
      </c>
      <c r="L1029" t="str">
        <f>IFERROR(IF(A1029="","",SUMIF(DB_Withdrawals!$A:$A,A1029,DB_Withdrawals!$G:$G)),"")</f>
        <v/>
      </c>
      <c r="M1029" t="str">
        <f>IFERROR(IF(A1029="","",IFERROR(VALUE(H1029),0)+IFERROR(SUMIF(DB_Savings!$A:$A,A1029,DB_Savings!$F:$F),0)-IFERROR(SUMIF(DB_Withdrawals!$A:$A,A1029,DB_Withdrawals!$G:$G),0)),"")</f>
        <v/>
      </c>
      <c r="N1029" t="str">
        <f>IFERROR(IF(A1029="","",MAX(0,M1029-System_Config!$B$9)),"")</f>
        <v/>
      </c>
    </row>
    <row r="1030" spans="1:14" ht="15" customHeight="1" x14ac:dyDescent="0.25">
      <c r="A1030" t="str">
        <f>'NEW ACCOUNT'!A1031</f>
        <v/>
      </c>
      <c r="B1030" t="str">
        <f>IF('NEW ACCOUNT'!A1031="","",'NEW ACCOUNT'!B1031)</f>
        <v/>
      </c>
      <c r="C1030" t="str">
        <f>IF('NEW ACCOUNT'!A1031="","",'NEW ACCOUNT'!C1031)</f>
        <v/>
      </c>
      <c r="D1030" t="str">
        <f>IF('NEW ACCOUNT'!A1031="","",'NEW ACCOUNT'!D1031)</f>
        <v/>
      </c>
      <c r="E1030" t="str">
        <f>IF('NEW ACCOUNT'!A1031="","",'NEW ACCOUNT'!E1031)</f>
        <v/>
      </c>
      <c r="F1030" t="str">
        <f>IF('NEW ACCOUNT'!A1031="","",'NEW ACCOUNT'!F1031)</f>
        <v/>
      </c>
      <c r="G1030" t="str">
        <f>IF('NEW ACCOUNT'!A1031="","",'NEW ACCOUNT'!G1031)</f>
        <v/>
      </c>
      <c r="H1030" t="str">
        <f>IF('NEW ACCOUNT'!A1031="","",'NEW ACCOUNT'!H1031)</f>
        <v/>
      </c>
      <c r="I1030" t="str">
        <f>IF('NEW ACCOUNT'!A1031="","",'NEW ACCOUNT'!I1031)</f>
        <v/>
      </c>
      <c r="J1030" t="str">
        <f>IF('NEW ACCOUNT'!A1031="","",'NEW ACCOUNT'!J1031)</f>
        <v/>
      </c>
      <c r="K1030" t="str">
        <f>IFERROR(IF(A1030="","",SUMIF(DB_Savings!$A:$A,A1030,DB_Savings!$F:$F)),"")</f>
        <v/>
      </c>
      <c r="L1030" t="str">
        <f>IFERROR(IF(A1030="","",SUMIF(DB_Withdrawals!$A:$A,A1030,DB_Withdrawals!$G:$G)),"")</f>
        <v/>
      </c>
      <c r="M1030" t="str">
        <f>IFERROR(IF(A1030="","",IFERROR(VALUE(H1030),0)+IFERROR(SUMIF(DB_Savings!$A:$A,A1030,DB_Savings!$F:$F),0)-IFERROR(SUMIF(DB_Withdrawals!$A:$A,A1030,DB_Withdrawals!$G:$G),0)),"")</f>
        <v/>
      </c>
      <c r="N1030" t="str">
        <f>IFERROR(IF(A1030="","",MAX(0,M1030-System_Config!$B$9)),"")</f>
        <v/>
      </c>
    </row>
    <row r="1031" spans="1:14" ht="15" customHeight="1" x14ac:dyDescent="0.25">
      <c r="A1031" t="str">
        <f>'NEW ACCOUNT'!A1032</f>
        <v/>
      </c>
      <c r="B1031" t="str">
        <f>IF('NEW ACCOUNT'!A1032="","",'NEW ACCOUNT'!B1032)</f>
        <v/>
      </c>
      <c r="C1031" t="str">
        <f>IF('NEW ACCOUNT'!A1032="","",'NEW ACCOUNT'!C1032)</f>
        <v/>
      </c>
      <c r="D1031" t="str">
        <f>IF('NEW ACCOUNT'!A1032="","",'NEW ACCOUNT'!D1032)</f>
        <v/>
      </c>
      <c r="E1031" t="str">
        <f>IF('NEW ACCOUNT'!A1032="","",'NEW ACCOUNT'!E1032)</f>
        <v/>
      </c>
      <c r="F1031" t="str">
        <f>IF('NEW ACCOUNT'!A1032="","",'NEW ACCOUNT'!F1032)</f>
        <v/>
      </c>
      <c r="G1031" t="str">
        <f>IF('NEW ACCOUNT'!A1032="","",'NEW ACCOUNT'!G1032)</f>
        <v/>
      </c>
      <c r="H1031" t="str">
        <f>IF('NEW ACCOUNT'!A1032="","",'NEW ACCOUNT'!H1032)</f>
        <v/>
      </c>
      <c r="I1031" t="str">
        <f>IF('NEW ACCOUNT'!A1032="","",'NEW ACCOUNT'!I1032)</f>
        <v/>
      </c>
      <c r="J1031" t="str">
        <f>IF('NEW ACCOUNT'!A1032="","",'NEW ACCOUNT'!J1032)</f>
        <v/>
      </c>
      <c r="K1031" t="str">
        <f>IFERROR(IF(A1031="","",SUMIF(DB_Savings!$A:$A,A1031,DB_Savings!$F:$F)),"")</f>
        <v/>
      </c>
      <c r="L1031" t="str">
        <f>IFERROR(IF(A1031="","",SUMIF(DB_Withdrawals!$A:$A,A1031,DB_Withdrawals!$G:$G)),"")</f>
        <v/>
      </c>
      <c r="M1031" t="str">
        <f>IFERROR(IF(A1031="","",IFERROR(VALUE(H1031),0)+IFERROR(SUMIF(DB_Savings!$A:$A,A1031,DB_Savings!$F:$F),0)-IFERROR(SUMIF(DB_Withdrawals!$A:$A,A1031,DB_Withdrawals!$G:$G),0)),"")</f>
        <v/>
      </c>
      <c r="N1031" t="str">
        <f>IFERROR(IF(A1031="","",MAX(0,M1031-System_Config!$B$9)),"")</f>
        <v/>
      </c>
    </row>
    <row r="1032" spans="1:14" ht="15" customHeight="1" x14ac:dyDescent="0.25">
      <c r="A1032" t="str">
        <f>'NEW ACCOUNT'!A1033</f>
        <v/>
      </c>
      <c r="B1032" t="str">
        <f>IF('NEW ACCOUNT'!A1033="","",'NEW ACCOUNT'!B1033)</f>
        <v/>
      </c>
      <c r="C1032" t="str">
        <f>IF('NEW ACCOUNT'!A1033="","",'NEW ACCOUNT'!C1033)</f>
        <v/>
      </c>
      <c r="D1032" t="str">
        <f>IF('NEW ACCOUNT'!A1033="","",'NEW ACCOUNT'!D1033)</f>
        <v/>
      </c>
      <c r="E1032" t="str">
        <f>IF('NEW ACCOUNT'!A1033="","",'NEW ACCOUNT'!E1033)</f>
        <v/>
      </c>
      <c r="F1032" t="str">
        <f>IF('NEW ACCOUNT'!A1033="","",'NEW ACCOUNT'!F1033)</f>
        <v/>
      </c>
      <c r="G1032" t="str">
        <f>IF('NEW ACCOUNT'!A1033="","",'NEW ACCOUNT'!G1033)</f>
        <v/>
      </c>
      <c r="H1032" t="str">
        <f>IF('NEW ACCOUNT'!A1033="","",'NEW ACCOUNT'!H1033)</f>
        <v/>
      </c>
      <c r="I1032" t="str">
        <f>IF('NEW ACCOUNT'!A1033="","",'NEW ACCOUNT'!I1033)</f>
        <v/>
      </c>
      <c r="J1032" t="str">
        <f>IF('NEW ACCOUNT'!A1033="","",'NEW ACCOUNT'!J1033)</f>
        <v/>
      </c>
      <c r="K1032" t="str">
        <f>IFERROR(IF(A1032="","",SUMIF(DB_Savings!$A:$A,A1032,DB_Savings!$F:$F)),"")</f>
        <v/>
      </c>
      <c r="L1032" t="str">
        <f>IFERROR(IF(A1032="","",SUMIF(DB_Withdrawals!$A:$A,A1032,DB_Withdrawals!$G:$G)),"")</f>
        <v/>
      </c>
      <c r="M1032" t="str">
        <f>IFERROR(IF(A1032="","",IFERROR(VALUE(H1032),0)+IFERROR(SUMIF(DB_Savings!$A:$A,A1032,DB_Savings!$F:$F),0)-IFERROR(SUMIF(DB_Withdrawals!$A:$A,A1032,DB_Withdrawals!$G:$G),0)),"")</f>
        <v/>
      </c>
      <c r="N1032" t="str">
        <f>IFERROR(IF(A1032="","",MAX(0,M1032-System_Config!$B$9)),"")</f>
        <v/>
      </c>
    </row>
    <row r="1033" spans="1:14" ht="15" customHeight="1" x14ac:dyDescent="0.25">
      <c r="A1033" t="str">
        <f>'NEW ACCOUNT'!A1034</f>
        <v/>
      </c>
      <c r="B1033" t="str">
        <f>IF('NEW ACCOUNT'!A1034="","",'NEW ACCOUNT'!B1034)</f>
        <v/>
      </c>
      <c r="C1033" t="str">
        <f>IF('NEW ACCOUNT'!A1034="","",'NEW ACCOUNT'!C1034)</f>
        <v/>
      </c>
      <c r="D1033" t="str">
        <f>IF('NEW ACCOUNT'!A1034="","",'NEW ACCOUNT'!D1034)</f>
        <v/>
      </c>
      <c r="E1033" t="str">
        <f>IF('NEW ACCOUNT'!A1034="","",'NEW ACCOUNT'!E1034)</f>
        <v/>
      </c>
      <c r="F1033" t="str">
        <f>IF('NEW ACCOUNT'!A1034="","",'NEW ACCOUNT'!F1034)</f>
        <v/>
      </c>
      <c r="G1033" t="str">
        <f>IF('NEW ACCOUNT'!A1034="","",'NEW ACCOUNT'!G1034)</f>
        <v/>
      </c>
      <c r="H1033" t="str">
        <f>IF('NEW ACCOUNT'!A1034="","",'NEW ACCOUNT'!H1034)</f>
        <v/>
      </c>
      <c r="I1033" t="str">
        <f>IF('NEW ACCOUNT'!A1034="","",'NEW ACCOUNT'!I1034)</f>
        <v/>
      </c>
      <c r="J1033" t="str">
        <f>IF('NEW ACCOUNT'!A1034="","",'NEW ACCOUNT'!J1034)</f>
        <v/>
      </c>
      <c r="K1033" t="str">
        <f>IFERROR(IF(A1033="","",SUMIF(DB_Savings!$A:$A,A1033,DB_Savings!$F:$F)),"")</f>
        <v/>
      </c>
      <c r="L1033" t="str">
        <f>IFERROR(IF(A1033="","",SUMIF(DB_Withdrawals!$A:$A,A1033,DB_Withdrawals!$G:$G)),"")</f>
        <v/>
      </c>
      <c r="M1033" t="str">
        <f>IFERROR(IF(A1033="","",IFERROR(VALUE(H1033),0)+IFERROR(SUMIF(DB_Savings!$A:$A,A1033,DB_Savings!$F:$F),0)-IFERROR(SUMIF(DB_Withdrawals!$A:$A,A1033,DB_Withdrawals!$G:$G),0)),"")</f>
        <v/>
      </c>
      <c r="N1033" t="str">
        <f>IFERROR(IF(A1033="","",MAX(0,M1033-System_Config!$B$9)),"")</f>
        <v/>
      </c>
    </row>
    <row r="1034" spans="1:14" ht="15" customHeight="1" x14ac:dyDescent="0.25">
      <c r="A1034" t="str">
        <f>'NEW ACCOUNT'!A1035</f>
        <v/>
      </c>
      <c r="B1034" t="str">
        <f>IF('NEW ACCOUNT'!A1035="","",'NEW ACCOUNT'!B1035)</f>
        <v/>
      </c>
      <c r="C1034" t="str">
        <f>IF('NEW ACCOUNT'!A1035="","",'NEW ACCOUNT'!C1035)</f>
        <v/>
      </c>
      <c r="D1034" t="str">
        <f>IF('NEW ACCOUNT'!A1035="","",'NEW ACCOUNT'!D1035)</f>
        <v/>
      </c>
      <c r="E1034" t="str">
        <f>IF('NEW ACCOUNT'!A1035="","",'NEW ACCOUNT'!E1035)</f>
        <v/>
      </c>
      <c r="F1034" t="str">
        <f>IF('NEW ACCOUNT'!A1035="","",'NEW ACCOUNT'!F1035)</f>
        <v/>
      </c>
      <c r="G1034" t="str">
        <f>IF('NEW ACCOUNT'!A1035="","",'NEW ACCOUNT'!G1035)</f>
        <v/>
      </c>
      <c r="H1034" t="str">
        <f>IF('NEW ACCOUNT'!A1035="","",'NEW ACCOUNT'!H1035)</f>
        <v/>
      </c>
      <c r="I1034" t="str">
        <f>IF('NEW ACCOUNT'!A1035="","",'NEW ACCOUNT'!I1035)</f>
        <v/>
      </c>
      <c r="J1034" t="str">
        <f>IF('NEW ACCOUNT'!A1035="","",'NEW ACCOUNT'!J1035)</f>
        <v/>
      </c>
      <c r="K1034" t="str">
        <f>IFERROR(IF(A1034="","",SUMIF(DB_Savings!$A:$A,A1034,DB_Savings!$F:$F)),"")</f>
        <v/>
      </c>
      <c r="L1034" t="str">
        <f>IFERROR(IF(A1034="","",SUMIF(DB_Withdrawals!$A:$A,A1034,DB_Withdrawals!$G:$G)),"")</f>
        <v/>
      </c>
      <c r="M1034" t="str">
        <f>IFERROR(IF(A1034="","",IFERROR(VALUE(H1034),0)+IFERROR(SUMIF(DB_Savings!$A:$A,A1034,DB_Savings!$F:$F),0)-IFERROR(SUMIF(DB_Withdrawals!$A:$A,A1034,DB_Withdrawals!$G:$G),0)),"")</f>
        <v/>
      </c>
      <c r="N1034" t="str">
        <f>IFERROR(IF(A1034="","",MAX(0,M1034-System_Config!$B$9)),"")</f>
        <v/>
      </c>
    </row>
    <row r="1035" spans="1:14" ht="15" customHeight="1" x14ac:dyDescent="0.25">
      <c r="A1035" t="str">
        <f>'NEW ACCOUNT'!A1036</f>
        <v/>
      </c>
      <c r="B1035" t="str">
        <f>IF('NEW ACCOUNT'!A1036="","",'NEW ACCOUNT'!B1036)</f>
        <v/>
      </c>
      <c r="C1035" t="str">
        <f>IF('NEW ACCOUNT'!A1036="","",'NEW ACCOUNT'!C1036)</f>
        <v/>
      </c>
      <c r="D1035" t="str">
        <f>IF('NEW ACCOUNT'!A1036="","",'NEW ACCOUNT'!D1036)</f>
        <v/>
      </c>
      <c r="E1035" t="str">
        <f>IF('NEW ACCOUNT'!A1036="","",'NEW ACCOUNT'!E1036)</f>
        <v/>
      </c>
      <c r="F1035" t="str">
        <f>IF('NEW ACCOUNT'!A1036="","",'NEW ACCOUNT'!F1036)</f>
        <v/>
      </c>
      <c r="G1035" t="str">
        <f>IF('NEW ACCOUNT'!A1036="","",'NEW ACCOUNT'!G1036)</f>
        <v/>
      </c>
      <c r="H1035" t="str">
        <f>IF('NEW ACCOUNT'!A1036="","",'NEW ACCOUNT'!H1036)</f>
        <v/>
      </c>
      <c r="I1035" t="str">
        <f>IF('NEW ACCOUNT'!A1036="","",'NEW ACCOUNT'!I1036)</f>
        <v/>
      </c>
      <c r="J1035" t="str">
        <f>IF('NEW ACCOUNT'!A1036="","",'NEW ACCOUNT'!J1036)</f>
        <v/>
      </c>
      <c r="K1035" t="str">
        <f>IFERROR(IF(A1035="","",SUMIF(DB_Savings!$A:$A,A1035,DB_Savings!$F:$F)),"")</f>
        <v/>
      </c>
      <c r="L1035" t="str">
        <f>IFERROR(IF(A1035="","",SUMIF(DB_Withdrawals!$A:$A,A1035,DB_Withdrawals!$G:$G)),"")</f>
        <v/>
      </c>
      <c r="M1035" t="str">
        <f>IFERROR(IF(A1035="","",IFERROR(VALUE(H1035),0)+IFERROR(SUMIF(DB_Savings!$A:$A,A1035,DB_Savings!$F:$F),0)-IFERROR(SUMIF(DB_Withdrawals!$A:$A,A1035,DB_Withdrawals!$G:$G),0)),"")</f>
        <v/>
      </c>
      <c r="N1035" t="str">
        <f>IFERROR(IF(A1035="","",MAX(0,M1035-System_Config!$B$9)),"")</f>
        <v/>
      </c>
    </row>
    <row r="1036" spans="1:14" ht="15" customHeight="1" x14ac:dyDescent="0.25">
      <c r="A1036" t="str">
        <f>'NEW ACCOUNT'!A1037</f>
        <v/>
      </c>
      <c r="B1036" t="str">
        <f>IF('NEW ACCOUNT'!A1037="","",'NEW ACCOUNT'!B1037)</f>
        <v/>
      </c>
      <c r="C1036" t="str">
        <f>IF('NEW ACCOUNT'!A1037="","",'NEW ACCOUNT'!C1037)</f>
        <v/>
      </c>
      <c r="D1036" t="str">
        <f>IF('NEW ACCOUNT'!A1037="","",'NEW ACCOUNT'!D1037)</f>
        <v/>
      </c>
      <c r="E1036" t="str">
        <f>IF('NEW ACCOUNT'!A1037="","",'NEW ACCOUNT'!E1037)</f>
        <v/>
      </c>
      <c r="F1036" t="str">
        <f>IF('NEW ACCOUNT'!A1037="","",'NEW ACCOUNT'!F1037)</f>
        <v/>
      </c>
      <c r="G1036" t="str">
        <f>IF('NEW ACCOUNT'!A1037="","",'NEW ACCOUNT'!G1037)</f>
        <v/>
      </c>
      <c r="H1036" t="str">
        <f>IF('NEW ACCOUNT'!A1037="","",'NEW ACCOUNT'!H1037)</f>
        <v/>
      </c>
      <c r="I1036" t="str">
        <f>IF('NEW ACCOUNT'!A1037="","",'NEW ACCOUNT'!I1037)</f>
        <v/>
      </c>
      <c r="J1036" t="str">
        <f>IF('NEW ACCOUNT'!A1037="","",'NEW ACCOUNT'!J1037)</f>
        <v/>
      </c>
      <c r="K1036" t="str">
        <f>IFERROR(IF(A1036="","",SUMIF(DB_Savings!$A:$A,A1036,DB_Savings!$F:$F)),"")</f>
        <v/>
      </c>
      <c r="L1036" t="str">
        <f>IFERROR(IF(A1036="","",SUMIF(DB_Withdrawals!$A:$A,A1036,DB_Withdrawals!$G:$G)),"")</f>
        <v/>
      </c>
      <c r="M1036" t="str">
        <f>IFERROR(IF(A1036="","",IFERROR(VALUE(H1036),0)+IFERROR(SUMIF(DB_Savings!$A:$A,A1036,DB_Savings!$F:$F),0)-IFERROR(SUMIF(DB_Withdrawals!$A:$A,A1036,DB_Withdrawals!$G:$G),0)),"")</f>
        <v/>
      </c>
      <c r="N1036" t="str">
        <f>IFERROR(IF(A1036="","",MAX(0,M1036-System_Config!$B$9)),"")</f>
        <v/>
      </c>
    </row>
    <row r="1037" spans="1:14" ht="15" customHeight="1" x14ac:dyDescent="0.25">
      <c r="A1037" t="str">
        <f>'NEW ACCOUNT'!A1038</f>
        <v/>
      </c>
      <c r="B1037" t="str">
        <f>IF('NEW ACCOUNT'!A1038="","",'NEW ACCOUNT'!B1038)</f>
        <v/>
      </c>
      <c r="C1037" t="str">
        <f>IF('NEW ACCOUNT'!A1038="","",'NEW ACCOUNT'!C1038)</f>
        <v/>
      </c>
      <c r="D1037" t="str">
        <f>IF('NEW ACCOUNT'!A1038="","",'NEW ACCOUNT'!D1038)</f>
        <v/>
      </c>
      <c r="E1037" t="str">
        <f>IF('NEW ACCOUNT'!A1038="","",'NEW ACCOUNT'!E1038)</f>
        <v/>
      </c>
      <c r="F1037" t="str">
        <f>IF('NEW ACCOUNT'!A1038="","",'NEW ACCOUNT'!F1038)</f>
        <v/>
      </c>
      <c r="G1037" t="str">
        <f>IF('NEW ACCOUNT'!A1038="","",'NEW ACCOUNT'!G1038)</f>
        <v/>
      </c>
      <c r="H1037" t="str">
        <f>IF('NEW ACCOUNT'!A1038="","",'NEW ACCOUNT'!H1038)</f>
        <v/>
      </c>
      <c r="I1037" t="str">
        <f>IF('NEW ACCOUNT'!A1038="","",'NEW ACCOUNT'!I1038)</f>
        <v/>
      </c>
      <c r="J1037" t="str">
        <f>IF('NEW ACCOUNT'!A1038="","",'NEW ACCOUNT'!J1038)</f>
        <v/>
      </c>
      <c r="K1037" t="str">
        <f>IFERROR(IF(A1037="","",SUMIF(DB_Savings!$A:$A,A1037,DB_Savings!$F:$F)),"")</f>
        <v/>
      </c>
      <c r="L1037" t="str">
        <f>IFERROR(IF(A1037="","",SUMIF(DB_Withdrawals!$A:$A,A1037,DB_Withdrawals!$G:$G)),"")</f>
        <v/>
      </c>
      <c r="M1037" t="str">
        <f>IFERROR(IF(A1037="","",IFERROR(VALUE(H1037),0)+IFERROR(SUMIF(DB_Savings!$A:$A,A1037,DB_Savings!$F:$F),0)-IFERROR(SUMIF(DB_Withdrawals!$A:$A,A1037,DB_Withdrawals!$G:$G),0)),"")</f>
        <v/>
      </c>
      <c r="N1037" t="str">
        <f>IFERROR(IF(A1037="","",MAX(0,M1037-System_Config!$B$9)),"")</f>
        <v/>
      </c>
    </row>
    <row r="1038" spans="1:14" ht="15" customHeight="1" x14ac:dyDescent="0.25">
      <c r="A1038" t="str">
        <f>'NEW ACCOUNT'!A1039</f>
        <v/>
      </c>
      <c r="B1038" t="str">
        <f>IF('NEW ACCOUNT'!A1039="","",'NEW ACCOUNT'!B1039)</f>
        <v/>
      </c>
      <c r="C1038" t="str">
        <f>IF('NEW ACCOUNT'!A1039="","",'NEW ACCOUNT'!C1039)</f>
        <v/>
      </c>
      <c r="D1038" t="str">
        <f>IF('NEW ACCOUNT'!A1039="","",'NEW ACCOUNT'!D1039)</f>
        <v/>
      </c>
      <c r="E1038" t="str">
        <f>IF('NEW ACCOUNT'!A1039="","",'NEW ACCOUNT'!E1039)</f>
        <v/>
      </c>
      <c r="F1038" t="str">
        <f>IF('NEW ACCOUNT'!A1039="","",'NEW ACCOUNT'!F1039)</f>
        <v/>
      </c>
      <c r="G1038" t="str">
        <f>IF('NEW ACCOUNT'!A1039="","",'NEW ACCOUNT'!G1039)</f>
        <v/>
      </c>
      <c r="H1038" t="str">
        <f>IF('NEW ACCOUNT'!A1039="","",'NEW ACCOUNT'!H1039)</f>
        <v/>
      </c>
      <c r="I1038" t="str">
        <f>IF('NEW ACCOUNT'!A1039="","",'NEW ACCOUNT'!I1039)</f>
        <v/>
      </c>
      <c r="J1038" t="str">
        <f>IF('NEW ACCOUNT'!A1039="","",'NEW ACCOUNT'!J1039)</f>
        <v/>
      </c>
      <c r="K1038" t="str">
        <f>IFERROR(IF(A1038="","",SUMIF(DB_Savings!$A:$A,A1038,DB_Savings!$F:$F)),"")</f>
        <v/>
      </c>
      <c r="L1038" t="str">
        <f>IFERROR(IF(A1038="","",SUMIF(DB_Withdrawals!$A:$A,A1038,DB_Withdrawals!$G:$G)),"")</f>
        <v/>
      </c>
      <c r="M1038" t="str">
        <f>IFERROR(IF(A1038="","",IFERROR(VALUE(H1038),0)+IFERROR(SUMIF(DB_Savings!$A:$A,A1038,DB_Savings!$F:$F),0)-IFERROR(SUMIF(DB_Withdrawals!$A:$A,A1038,DB_Withdrawals!$G:$G),0)),"")</f>
        <v/>
      </c>
      <c r="N1038" t="str">
        <f>IFERROR(IF(A1038="","",MAX(0,M1038-System_Config!$B$9)),"")</f>
        <v/>
      </c>
    </row>
    <row r="1039" spans="1:14" ht="15" customHeight="1" x14ac:dyDescent="0.25">
      <c r="A1039" t="str">
        <f>'NEW ACCOUNT'!A1040</f>
        <v/>
      </c>
      <c r="B1039" t="str">
        <f>IF('NEW ACCOUNT'!A1040="","",'NEW ACCOUNT'!B1040)</f>
        <v/>
      </c>
      <c r="C1039" t="str">
        <f>IF('NEW ACCOUNT'!A1040="","",'NEW ACCOUNT'!C1040)</f>
        <v/>
      </c>
      <c r="D1039" t="str">
        <f>IF('NEW ACCOUNT'!A1040="","",'NEW ACCOUNT'!D1040)</f>
        <v/>
      </c>
      <c r="E1039" t="str">
        <f>IF('NEW ACCOUNT'!A1040="","",'NEW ACCOUNT'!E1040)</f>
        <v/>
      </c>
      <c r="F1039" t="str">
        <f>IF('NEW ACCOUNT'!A1040="","",'NEW ACCOUNT'!F1040)</f>
        <v/>
      </c>
      <c r="G1039" t="str">
        <f>IF('NEW ACCOUNT'!A1040="","",'NEW ACCOUNT'!G1040)</f>
        <v/>
      </c>
      <c r="H1039" t="str">
        <f>IF('NEW ACCOUNT'!A1040="","",'NEW ACCOUNT'!H1040)</f>
        <v/>
      </c>
      <c r="I1039" t="str">
        <f>IF('NEW ACCOUNT'!A1040="","",'NEW ACCOUNT'!I1040)</f>
        <v/>
      </c>
      <c r="J1039" t="str">
        <f>IF('NEW ACCOUNT'!A1040="","",'NEW ACCOUNT'!J1040)</f>
        <v/>
      </c>
      <c r="K1039" t="str">
        <f>IFERROR(IF(A1039="","",SUMIF(DB_Savings!$A:$A,A1039,DB_Savings!$F:$F)),"")</f>
        <v/>
      </c>
      <c r="L1039" t="str">
        <f>IFERROR(IF(A1039="","",SUMIF(DB_Withdrawals!$A:$A,A1039,DB_Withdrawals!$G:$G)),"")</f>
        <v/>
      </c>
      <c r="M1039" t="str">
        <f>IFERROR(IF(A1039="","",IFERROR(VALUE(H1039),0)+IFERROR(SUMIF(DB_Savings!$A:$A,A1039,DB_Savings!$F:$F),0)-IFERROR(SUMIF(DB_Withdrawals!$A:$A,A1039,DB_Withdrawals!$G:$G),0)),"")</f>
        <v/>
      </c>
      <c r="N1039" t="str">
        <f>IFERROR(IF(A1039="","",MAX(0,M1039-System_Config!$B$9)),"")</f>
        <v/>
      </c>
    </row>
    <row r="1040" spans="1:14" ht="15" customHeight="1" x14ac:dyDescent="0.25">
      <c r="A1040" t="str">
        <f>'NEW ACCOUNT'!A1041</f>
        <v/>
      </c>
      <c r="B1040" t="str">
        <f>IF('NEW ACCOUNT'!A1041="","",'NEW ACCOUNT'!B1041)</f>
        <v/>
      </c>
      <c r="C1040" t="str">
        <f>IF('NEW ACCOUNT'!A1041="","",'NEW ACCOUNT'!C1041)</f>
        <v/>
      </c>
      <c r="D1040" t="str">
        <f>IF('NEW ACCOUNT'!A1041="","",'NEW ACCOUNT'!D1041)</f>
        <v/>
      </c>
      <c r="E1040" t="str">
        <f>IF('NEW ACCOUNT'!A1041="","",'NEW ACCOUNT'!E1041)</f>
        <v/>
      </c>
      <c r="F1040" t="str">
        <f>IF('NEW ACCOUNT'!A1041="","",'NEW ACCOUNT'!F1041)</f>
        <v/>
      </c>
      <c r="G1040" t="str">
        <f>IF('NEW ACCOUNT'!A1041="","",'NEW ACCOUNT'!G1041)</f>
        <v/>
      </c>
      <c r="H1040" t="str">
        <f>IF('NEW ACCOUNT'!A1041="","",'NEW ACCOUNT'!H1041)</f>
        <v/>
      </c>
      <c r="I1040" t="str">
        <f>IF('NEW ACCOUNT'!A1041="","",'NEW ACCOUNT'!I1041)</f>
        <v/>
      </c>
      <c r="J1040" t="str">
        <f>IF('NEW ACCOUNT'!A1041="","",'NEW ACCOUNT'!J1041)</f>
        <v/>
      </c>
      <c r="K1040" t="str">
        <f>IFERROR(IF(A1040="","",SUMIF(DB_Savings!$A:$A,A1040,DB_Savings!$F:$F)),"")</f>
        <v/>
      </c>
      <c r="L1040" t="str">
        <f>IFERROR(IF(A1040="","",SUMIF(DB_Withdrawals!$A:$A,A1040,DB_Withdrawals!$G:$G)),"")</f>
        <v/>
      </c>
      <c r="M1040" t="str">
        <f>IFERROR(IF(A1040="","",IFERROR(VALUE(H1040),0)+IFERROR(SUMIF(DB_Savings!$A:$A,A1040,DB_Savings!$F:$F),0)-IFERROR(SUMIF(DB_Withdrawals!$A:$A,A1040,DB_Withdrawals!$G:$G),0)),"")</f>
        <v/>
      </c>
      <c r="N1040" t="str">
        <f>IFERROR(IF(A1040="","",MAX(0,M1040-System_Config!$B$9)),"")</f>
        <v/>
      </c>
    </row>
    <row r="1041" spans="1:14" ht="15" customHeight="1" x14ac:dyDescent="0.25">
      <c r="A1041" t="str">
        <f>'NEW ACCOUNT'!A1042</f>
        <v/>
      </c>
      <c r="B1041" t="str">
        <f>IF('NEW ACCOUNT'!A1042="","",'NEW ACCOUNT'!B1042)</f>
        <v/>
      </c>
      <c r="C1041" t="str">
        <f>IF('NEW ACCOUNT'!A1042="","",'NEW ACCOUNT'!C1042)</f>
        <v/>
      </c>
      <c r="D1041" t="str">
        <f>IF('NEW ACCOUNT'!A1042="","",'NEW ACCOUNT'!D1042)</f>
        <v/>
      </c>
      <c r="E1041" t="str">
        <f>IF('NEW ACCOUNT'!A1042="","",'NEW ACCOUNT'!E1042)</f>
        <v/>
      </c>
      <c r="F1041" t="str">
        <f>IF('NEW ACCOUNT'!A1042="","",'NEW ACCOUNT'!F1042)</f>
        <v/>
      </c>
      <c r="G1041" t="str">
        <f>IF('NEW ACCOUNT'!A1042="","",'NEW ACCOUNT'!G1042)</f>
        <v/>
      </c>
      <c r="H1041" t="str">
        <f>IF('NEW ACCOUNT'!A1042="","",'NEW ACCOUNT'!H1042)</f>
        <v/>
      </c>
      <c r="I1041" t="str">
        <f>IF('NEW ACCOUNT'!A1042="","",'NEW ACCOUNT'!I1042)</f>
        <v/>
      </c>
      <c r="J1041" t="str">
        <f>IF('NEW ACCOUNT'!A1042="","",'NEW ACCOUNT'!J1042)</f>
        <v/>
      </c>
      <c r="K1041" t="str">
        <f>IFERROR(IF(A1041="","",SUMIF(DB_Savings!$A:$A,A1041,DB_Savings!$F:$F)),"")</f>
        <v/>
      </c>
      <c r="L1041" t="str">
        <f>IFERROR(IF(A1041="","",SUMIF(DB_Withdrawals!$A:$A,A1041,DB_Withdrawals!$G:$G)),"")</f>
        <v/>
      </c>
      <c r="M1041" t="str">
        <f>IFERROR(IF(A1041="","",IFERROR(VALUE(H1041),0)+IFERROR(SUMIF(DB_Savings!$A:$A,A1041,DB_Savings!$F:$F),0)-IFERROR(SUMIF(DB_Withdrawals!$A:$A,A1041,DB_Withdrawals!$G:$G),0)),"")</f>
        <v/>
      </c>
      <c r="N1041" t="str">
        <f>IFERROR(IF(A1041="","",MAX(0,M1041-System_Config!$B$9)),"")</f>
        <v/>
      </c>
    </row>
    <row r="1042" spans="1:14" ht="15" customHeight="1" x14ac:dyDescent="0.25">
      <c r="A1042" t="str">
        <f>'NEW ACCOUNT'!A1043</f>
        <v/>
      </c>
      <c r="B1042" t="str">
        <f>IF('NEW ACCOUNT'!A1043="","",'NEW ACCOUNT'!B1043)</f>
        <v/>
      </c>
      <c r="C1042" t="str">
        <f>IF('NEW ACCOUNT'!A1043="","",'NEW ACCOUNT'!C1043)</f>
        <v/>
      </c>
      <c r="D1042" t="str">
        <f>IF('NEW ACCOUNT'!A1043="","",'NEW ACCOUNT'!D1043)</f>
        <v/>
      </c>
      <c r="E1042" t="str">
        <f>IF('NEW ACCOUNT'!A1043="","",'NEW ACCOUNT'!E1043)</f>
        <v/>
      </c>
      <c r="F1042" t="str">
        <f>IF('NEW ACCOUNT'!A1043="","",'NEW ACCOUNT'!F1043)</f>
        <v/>
      </c>
      <c r="G1042" t="str">
        <f>IF('NEW ACCOUNT'!A1043="","",'NEW ACCOUNT'!G1043)</f>
        <v/>
      </c>
      <c r="H1042" t="str">
        <f>IF('NEW ACCOUNT'!A1043="","",'NEW ACCOUNT'!H1043)</f>
        <v/>
      </c>
      <c r="I1042" t="str">
        <f>IF('NEW ACCOUNT'!A1043="","",'NEW ACCOUNT'!I1043)</f>
        <v/>
      </c>
      <c r="J1042" t="str">
        <f>IF('NEW ACCOUNT'!A1043="","",'NEW ACCOUNT'!J1043)</f>
        <v/>
      </c>
      <c r="K1042" t="str">
        <f>IFERROR(IF(A1042="","",SUMIF(DB_Savings!$A:$A,A1042,DB_Savings!$F:$F)),"")</f>
        <v/>
      </c>
      <c r="L1042" t="str">
        <f>IFERROR(IF(A1042="","",SUMIF(DB_Withdrawals!$A:$A,A1042,DB_Withdrawals!$G:$G)),"")</f>
        <v/>
      </c>
      <c r="M1042" t="str">
        <f>IFERROR(IF(A1042="","",IFERROR(VALUE(H1042),0)+IFERROR(SUMIF(DB_Savings!$A:$A,A1042,DB_Savings!$F:$F),0)-IFERROR(SUMIF(DB_Withdrawals!$A:$A,A1042,DB_Withdrawals!$G:$G),0)),"")</f>
        <v/>
      </c>
      <c r="N1042" t="str">
        <f>IFERROR(IF(A1042="","",MAX(0,M1042-System_Config!$B$9)),"")</f>
        <v/>
      </c>
    </row>
    <row r="1043" spans="1:14" ht="15" customHeight="1" x14ac:dyDescent="0.25">
      <c r="A1043" t="str">
        <f>'NEW ACCOUNT'!A1044</f>
        <v/>
      </c>
      <c r="B1043" t="str">
        <f>IF('NEW ACCOUNT'!A1044="","",'NEW ACCOUNT'!B1044)</f>
        <v/>
      </c>
      <c r="C1043" t="str">
        <f>IF('NEW ACCOUNT'!A1044="","",'NEW ACCOUNT'!C1044)</f>
        <v/>
      </c>
      <c r="D1043" t="str">
        <f>IF('NEW ACCOUNT'!A1044="","",'NEW ACCOUNT'!D1044)</f>
        <v/>
      </c>
      <c r="E1043" t="str">
        <f>IF('NEW ACCOUNT'!A1044="","",'NEW ACCOUNT'!E1044)</f>
        <v/>
      </c>
      <c r="F1043" t="str">
        <f>IF('NEW ACCOUNT'!A1044="","",'NEW ACCOUNT'!F1044)</f>
        <v/>
      </c>
      <c r="G1043" t="str">
        <f>IF('NEW ACCOUNT'!A1044="","",'NEW ACCOUNT'!G1044)</f>
        <v/>
      </c>
      <c r="H1043" t="str">
        <f>IF('NEW ACCOUNT'!A1044="","",'NEW ACCOUNT'!H1044)</f>
        <v/>
      </c>
      <c r="I1043" t="str">
        <f>IF('NEW ACCOUNT'!A1044="","",'NEW ACCOUNT'!I1044)</f>
        <v/>
      </c>
      <c r="J1043" t="str">
        <f>IF('NEW ACCOUNT'!A1044="","",'NEW ACCOUNT'!J1044)</f>
        <v/>
      </c>
      <c r="K1043" t="str">
        <f>IFERROR(IF(A1043="","",SUMIF(DB_Savings!$A:$A,A1043,DB_Savings!$F:$F)),"")</f>
        <v/>
      </c>
      <c r="L1043" t="str">
        <f>IFERROR(IF(A1043="","",SUMIF(DB_Withdrawals!$A:$A,A1043,DB_Withdrawals!$G:$G)),"")</f>
        <v/>
      </c>
      <c r="M1043" t="str">
        <f>IFERROR(IF(A1043="","",IFERROR(VALUE(H1043),0)+IFERROR(SUMIF(DB_Savings!$A:$A,A1043,DB_Savings!$F:$F),0)-IFERROR(SUMIF(DB_Withdrawals!$A:$A,A1043,DB_Withdrawals!$G:$G),0)),"")</f>
        <v/>
      </c>
      <c r="N1043" t="str">
        <f>IFERROR(IF(A1043="","",MAX(0,M1043-System_Config!$B$9)),"")</f>
        <v/>
      </c>
    </row>
    <row r="1044" spans="1:14" ht="15" customHeight="1" x14ac:dyDescent="0.25">
      <c r="A1044" t="str">
        <f>'NEW ACCOUNT'!A1045</f>
        <v/>
      </c>
      <c r="B1044" t="str">
        <f>IF('NEW ACCOUNT'!A1045="","",'NEW ACCOUNT'!B1045)</f>
        <v/>
      </c>
      <c r="C1044" t="str">
        <f>IF('NEW ACCOUNT'!A1045="","",'NEW ACCOUNT'!C1045)</f>
        <v/>
      </c>
      <c r="D1044" t="str">
        <f>IF('NEW ACCOUNT'!A1045="","",'NEW ACCOUNT'!D1045)</f>
        <v/>
      </c>
      <c r="E1044" t="str">
        <f>IF('NEW ACCOUNT'!A1045="","",'NEW ACCOUNT'!E1045)</f>
        <v/>
      </c>
      <c r="F1044" t="str">
        <f>IF('NEW ACCOUNT'!A1045="","",'NEW ACCOUNT'!F1045)</f>
        <v/>
      </c>
      <c r="G1044" t="str">
        <f>IF('NEW ACCOUNT'!A1045="","",'NEW ACCOUNT'!G1045)</f>
        <v/>
      </c>
      <c r="H1044" t="str">
        <f>IF('NEW ACCOUNT'!A1045="","",'NEW ACCOUNT'!H1045)</f>
        <v/>
      </c>
      <c r="I1044" t="str">
        <f>IF('NEW ACCOUNT'!A1045="","",'NEW ACCOUNT'!I1045)</f>
        <v/>
      </c>
      <c r="J1044" t="str">
        <f>IF('NEW ACCOUNT'!A1045="","",'NEW ACCOUNT'!J1045)</f>
        <v/>
      </c>
      <c r="K1044" t="str">
        <f>IFERROR(IF(A1044="","",SUMIF(DB_Savings!$A:$A,A1044,DB_Savings!$F:$F)),"")</f>
        <v/>
      </c>
      <c r="L1044" t="str">
        <f>IFERROR(IF(A1044="","",SUMIF(DB_Withdrawals!$A:$A,A1044,DB_Withdrawals!$G:$G)),"")</f>
        <v/>
      </c>
      <c r="M1044" t="str">
        <f>IFERROR(IF(A1044="","",IFERROR(VALUE(H1044),0)+IFERROR(SUMIF(DB_Savings!$A:$A,A1044,DB_Savings!$F:$F),0)-IFERROR(SUMIF(DB_Withdrawals!$A:$A,A1044,DB_Withdrawals!$G:$G),0)),"")</f>
        <v/>
      </c>
      <c r="N1044" t="str">
        <f>IFERROR(IF(A1044="","",MAX(0,M1044-System_Config!$B$9)),"")</f>
        <v/>
      </c>
    </row>
    <row r="1045" spans="1:14" ht="15" customHeight="1" x14ac:dyDescent="0.25">
      <c r="A1045" t="str">
        <f>'NEW ACCOUNT'!A1046</f>
        <v/>
      </c>
      <c r="B1045" t="str">
        <f>IF('NEW ACCOUNT'!A1046="","",'NEW ACCOUNT'!B1046)</f>
        <v/>
      </c>
      <c r="C1045" t="str">
        <f>IF('NEW ACCOUNT'!A1046="","",'NEW ACCOUNT'!C1046)</f>
        <v/>
      </c>
      <c r="D1045" t="str">
        <f>IF('NEW ACCOUNT'!A1046="","",'NEW ACCOUNT'!D1046)</f>
        <v/>
      </c>
      <c r="E1045" t="str">
        <f>IF('NEW ACCOUNT'!A1046="","",'NEW ACCOUNT'!E1046)</f>
        <v/>
      </c>
      <c r="F1045" t="str">
        <f>IF('NEW ACCOUNT'!A1046="","",'NEW ACCOUNT'!F1046)</f>
        <v/>
      </c>
      <c r="G1045" t="str">
        <f>IF('NEW ACCOUNT'!A1046="","",'NEW ACCOUNT'!G1046)</f>
        <v/>
      </c>
      <c r="H1045" t="str">
        <f>IF('NEW ACCOUNT'!A1046="","",'NEW ACCOUNT'!H1046)</f>
        <v/>
      </c>
      <c r="I1045" t="str">
        <f>IF('NEW ACCOUNT'!A1046="","",'NEW ACCOUNT'!I1046)</f>
        <v/>
      </c>
      <c r="J1045" t="str">
        <f>IF('NEW ACCOUNT'!A1046="","",'NEW ACCOUNT'!J1046)</f>
        <v/>
      </c>
      <c r="K1045" t="str">
        <f>IFERROR(IF(A1045="","",SUMIF(DB_Savings!$A:$A,A1045,DB_Savings!$F:$F)),"")</f>
        <v/>
      </c>
      <c r="L1045" t="str">
        <f>IFERROR(IF(A1045="","",SUMIF(DB_Withdrawals!$A:$A,A1045,DB_Withdrawals!$G:$G)),"")</f>
        <v/>
      </c>
      <c r="M1045" t="str">
        <f>IFERROR(IF(A1045="","",IFERROR(VALUE(H1045),0)+IFERROR(SUMIF(DB_Savings!$A:$A,A1045,DB_Savings!$F:$F),0)-IFERROR(SUMIF(DB_Withdrawals!$A:$A,A1045,DB_Withdrawals!$G:$G),0)),"")</f>
        <v/>
      </c>
      <c r="N1045" t="str">
        <f>IFERROR(IF(A1045="","",MAX(0,M1045-System_Config!$B$9)),"")</f>
        <v/>
      </c>
    </row>
    <row r="1046" spans="1:14" ht="15" customHeight="1" x14ac:dyDescent="0.25">
      <c r="A1046" t="str">
        <f>'NEW ACCOUNT'!A1047</f>
        <v/>
      </c>
      <c r="B1046" t="str">
        <f>IF('NEW ACCOUNT'!A1047="","",'NEW ACCOUNT'!B1047)</f>
        <v/>
      </c>
      <c r="C1046" t="str">
        <f>IF('NEW ACCOUNT'!A1047="","",'NEW ACCOUNT'!C1047)</f>
        <v/>
      </c>
      <c r="D1046" t="str">
        <f>IF('NEW ACCOUNT'!A1047="","",'NEW ACCOUNT'!D1047)</f>
        <v/>
      </c>
      <c r="E1046" t="str">
        <f>IF('NEW ACCOUNT'!A1047="","",'NEW ACCOUNT'!E1047)</f>
        <v/>
      </c>
      <c r="F1046" t="str">
        <f>IF('NEW ACCOUNT'!A1047="","",'NEW ACCOUNT'!F1047)</f>
        <v/>
      </c>
      <c r="G1046" t="str">
        <f>IF('NEW ACCOUNT'!A1047="","",'NEW ACCOUNT'!G1047)</f>
        <v/>
      </c>
      <c r="H1046" t="str">
        <f>IF('NEW ACCOUNT'!A1047="","",'NEW ACCOUNT'!H1047)</f>
        <v/>
      </c>
      <c r="I1046" t="str">
        <f>IF('NEW ACCOUNT'!A1047="","",'NEW ACCOUNT'!I1047)</f>
        <v/>
      </c>
      <c r="J1046" t="str">
        <f>IF('NEW ACCOUNT'!A1047="","",'NEW ACCOUNT'!J1047)</f>
        <v/>
      </c>
      <c r="K1046" t="str">
        <f>IFERROR(IF(A1046="","",SUMIF(DB_Savings!$A:$A,A1046,DB_Savings!$F:$F)),"")</f>
        <v/>
      </c>
      <c r="L1046" t="str">
        <f>IFERROR(IF(A1046="","",SUMIF(DB_Withdrawals!$A:$A,A1046,DB_Withdrawals!$G:$G)),"")</f>
        <v/>
      </c>
      <c r="M1046" t="str">
        <f>IFERROR(IF(A1046="","",IFERROR(VALUE(H1046),0)+IFERROR(SUMIF(DB_Savings!$A:$A,A1046,DB_Savings!$F:$F),0)-IFERROR(SUMIF(DB_Withdrawals!$A:$A,A1046,DB_Withdrawals!$G:$G),0)),"")</f>
        <v/>
      </c>
      <c r="N1046" t="str">
        <f>IFERROR(IF(A1046="","",MAX(0,M1046-System_Config!$B$9)),"")</f>
        <v/>
      </c>
    </row>
    <row r="1047" spans="1:14" ht="15" customHeight="1" x14ac:dyDescent="0.25">
      <c r="A1047" t="str">
        <f>'NEW ACCOUNT'!A1048</f>
        <v/>
      </c>
      <c r="B1047" t="str">
        <f>IF('NEW ACCOUNT'!A1048="","",'NEW ACCOUNT'!B1048)</f>
        <v/>
      </c>
      <c r="C1047" t="str">
        <f>IF('NEW ACCOUNT'!A1048="","",'NEW ACCOUNT'!C1048)</f>
        <v/>
      </c>
      <c r="D1047" t="str">
        <f>IF('NEW ACCOUNT'!A1048="","",'NEW ACCOUNT'!D1048)</f>
        <v/>
      </c>
      <c r="E1047" t="str">
        <f>IF('NEW ACCOUNT'!A1048="","",'NEW ACCOUNT'!E1048)</f>
        <v/>
      </c>
      <c r="F1047" t="str">
        <f>IF('NEW ACCOUNT'!A1048="","",'NEW ACCOUNT'!F1048)</f>
        <v/>
      </c>
      <c r="G1047" t="str">
        <f>IF('NEW ACCOUNT'!A1048="","",'NEW ACCOUNT'!G1048)</f>
        <v/>
      </c>
      <c r="H1047" t="str">
        <f>IF('NEW ACCOUNT'!A1048="","",'NEW ACCOUNT'!H1048)</f>
        <v/>
      </c>
      <c r="I1047" t="str">
        <f>IF('NEW ACCOUNT'!A1048="","",'NEW ACCOUNT'!I1048)</f>
        <v/>
      </c>
      <c r="J1047" t="str">
        <f>IF('NEW ACCOUNT'!A1048="","",'NEW ACCOUNT'!J1048)</f>
        <v/>
      </c>
      <c r="K1047" t="str">
        <f>IFERROR(IF(A1047="","",SUMIF(DB_Savings!$A:$A,A1047,DB_Savings!$F:$F)),"")</f>
        <v/>
      </c>
      <c r="L1047" t="str">
        <f>IFERROR(IF(A1047="","",SUMIF(DB_Withdrawals!$A:$A,A1047,DB_Withdrawals!$G:$G)),"")</f>
        <v/>
      </c>
      <c r="M1047" t="str">
        <f>IFERROR(IF(A1047="","",IFERROR(VALUE(H1047),0)+IFERROR(SUMIF(DB_Savings!$A:$A,A1047,DB_Savings!$F:$F),0)-IFERROR(SUMIF(DB_Withdrawals!$A:$A,A1047,DB_Withdrawals!$G:$G),0)),"")</f>
        <v/>
      </c>
      <c r="N1047" t="str">
        <f>IFERROR(IF(A1047="","",MAX(0,M1047-System_Config!$B$9)),"")</f>
        <v/>
      </c>
    </row>
    <row r="1048" spans="1:14" ht="15" customHeight="1" x14ac:dyDescent="0.25">
      <c r="A1048" t="str">
        <f>'NEW ACCOUNT'!A1049</f>
        <v/>
      </c>
      <c r="B1048" t="str">
        <f>IF('NEW ACCOUNT'!A1049="","",'NEW ACCOUNT'!B1049)</f>
        <v/>
      </c>
      <c r="C1048" t="str">
        <f>IF('NEW ACCOUNT'!A1049="","",'NEW ACCOUNT'!C1049)</f>
        <v/>
      </c>
      <c r="D1048" t="str">
        <f>IF('NEW ACCOUNT'!A1049="","",'NEW ACCOUNT'!D1049)</f>
        <v/>
      </c>
      <c r="E1048" t="str">
        <f>IF('NEW ACCOUNT'!A1049="","",'NEW ACCOUNT'!E1049)</f>
        <v/>
      </c>
      <c r="F1048" t="str">
        <f>IF('NEW ACCOUNT'!A1049="","",'NEW ACCOUNT'!F1049)</f>
        <v/>
      </c>
      <c r="G1048" t="str">
        <f>IF('NEW ACCOUNT'!A1049="","",'NEW ACCOUNT'!G1049)</f>
        <v/>
      </c>
      <c r="H1048" t="str">
        <f>IF('NEW ACCOUNT'!A1049="","",'NEW ACCOUNT'!H1049)</f>
        <v/>
      </c>
      <c r="I1048" t="str">
        <f>IF('NEW ACCOUNT'!A1049="","",'NEW ACCOUNT'!I1049)</f>
        <v/>
      </c>
      <c r="J1048" t="str">
        <f>IF('NEW ACCOUNT'!A1049="","",'NEW ACCOUNT'!J1049)</f>
        <v/>
      </c>
      <c r="K1048" t="str">
        <f>IFERROR(IF(A1048="","",SUMIF(DB_Savings!$A:$A,A1048,DB_Savings!$F:$F)),"")</f>
        <v/>
      </c>
      <c r="L1048" t="str">
        <f>IFERROR(IF(A1048="","",SUMIF(DB_Withdrawals!$A:$A,A1048,DB_Withdrawals!$G:$G)),"")</f>
        <v/>
      </c>
      <c r="M1048" t="str">
        <f>IFERROR(IF(A1048="","",IFERROR(VALUE(H1048),0)+IFERROR(SUMIF(DB_Savings!$A:$A,A1048,DB_Savings!$F:$F),0)-IFERROR(SUMIF(DB_Withdrawals!$A:$A,A1048,DB_Withdrawals!$G:$G),0)),"")</f>
        <v/>
      </c>
      <c r="N1048" t="str">
        <f>IFERROR(IF(A1048="","",MAX(0,M1048-System_Config!$B$9)),"")</f>
        <v/>
      </c>
    </row>
    <row r="1049" spans="1:14" ht="15" customHeight="1" x14ac:dyDescent="0.25">
      <c r="A1049" t="str">
        <f>'NEW ACCOUNT'!A1050</f>
        <v/>
      </c>
      <c r="B1049" t="str">
        <f>IF('NEW ACCOUNT'!A1050="","",'NEW ACCOUNT'!B1050)</f>
        <v/>
      </c>
      <c r="C1049" t="str">
        <f>IF('NEW ACCOUNT'!A1050="","",'NEW ACCOUNT'!C1050)</f>
        <v/>
      </c>
      <c r="D1049" t="str">
        <f>IF('NEW ACCOUNT'!A1050="","",'NEW ACCOUNT'!D1050)</f>
        <v/>
      </c>
      <c r="E1049" t="str">
        <f>IF('NEW ACCOUNT'!A1050="","",'NEW ACCOUNT'!E1050)</f>
        <v/>
      </c>
      <c r="F1049" t="str">
        <f>IF('NEW ACCOUNT'!A1050="","",'NEW ACCOUNT'!F1050)</f>
        <v/>
      </c>
      <c r="G1049" t="str">
        <f>IF('NEW ACCOUNT'!A1050="","",'NEW ACCOUNT'!G1050)</f>
        <v/>
      </c>
      <c r="H1049" t="str">
        <f>IF('NEW ACCOUNT'!A1050="","",'NEW ACCOUNT'!H1050)</f>
        <v/>
      </c>
      <c r="I1049" t="str">
        <f>IF('NEW ACCOUNT'!A1050="","",'NEW ACCOUNT'!I1050)</f>
        <v/>
      </c>
      <c r="J1049" t="str">
        <f>IF('NEW ACCOUNT'!A1050="","",'NEW ACCOUNT'!J1050)</f>
        <v/>
      </c>
      <c r="K1049" t="str">
        <f>IFERROR(IF(A1049="","",SUMIF(DB_Savings!$A:$A,A1049,DB_Savings!$F:$F)),"")</f>
        <v/>
      </c>
      <c r="L1049" t="str">
        <f>IFERROR(IF(A1049="","",SUMIF(DB_Withdrawals!$A:$A,A1049,DB_Withdrawals!$G:$G)),"")</f>
        <v/>
      </c>
      <c r="M1049" t="str">
        <f>IFERROR(IF(A1049="","",IFERROR(VALUE(H1049),0)+IFERROR(SUMIF(DB_Savings!$A:$A,A1049,DB_Savings!$F:$F),0)-IFERROR(SUMIF(DB_Withdrawals!$A:$A,A1049,DB_Withdrawals!$G:$G),0)),"")</f>
        <v/>
      </c>
      <c r="N1049" t="str">
        <f>IFERROR(IF(A1049="","",MAX(0,M1049-System_Config!$B$9)),"")</f>
        <v/>
      </c>
    </row>
    <row r="1050" spans="1:14" ht="15" customHeight="1" x14ac:dyDescent="0.25">
      <c r="A1050" t="str">
        <f>'NEW ACCOUNT'!A1051</f>
        <v/>
      </c>
      <c r="B1050" t="str">
        <f>IF('NEW ACCOUNT'!A1051="","",'NEW ACCOUNT'!B1051)</f>
        <v/>
      </c>
      <c r="C1050" t="str">
        <f>IF('NEW ACCOUNT'!A1051="","",'NEW ACCOUNT'!C1051)</f>
        <v/>
      </c>
      <c r="D1050" t="str">
        <f>IF('NEW ACCOUNT'!A1051="","",'NEW ACCOUNT'!D1051)</f>
        <v/>
      </c>
      <c r="E1050" t="str">
        <f>IF('NEW ACCOUNT'!A1051="","",'NEW ACCOUNT'!E1051)</f>
        <v/>
      </c>
      <c r="F1050" t="str">
        <f>IF('NEW ACCOUNT'!A1051="","",'NEW ACCOUNT'!F1051)</f>
        <v/>
      </c>
      <c r="G1050" t="str">
        <f>IF('NEW ACCOUNT'!A1051="","",'NEW ACCOUNT'!G1051)</f>
        <v/>
      </c>
      <c r="H1050" t="str">
        <f>IF('NEW ACCOUNT'!A1051="","",'NEW ACCOUNT'!H1051)</f>
        <v/>
      </c>
      <c r="I1050" t="str">
        <f>IF('NEW ACCOUNT'!A1051="","",'NEW ACCOUNT'!I1051)</f>
        <v/>
      </c>
      <c r="J1050" t="str">
        <f>IF('NEW ACCOUNT'!A1051="","",'NEW ACCOUNT'!J1051)</f>
        <v/>
      </c>
      <c r="K1050" t="str">
        <f>IFERROR(IF(A1050="","",SUMIF(DB_Savings!$A:$A,A1050,DB_Savings!$F:$F)),"")</f>
        <v/>
      </c>
      <c r="L1050" t="str">
        <f>IFERROR(IF(A1050="","",SUMIF(DB_Withdrawals!$A:$A,A1050,DB_Withdrawals!$G:$G)),"")</f>
        <v/>
      </c>
      <c r="M1050" t="str">
        <f>IFERROR(IF(A1050="","",IFERROR(VALUE(H1050),0)+IFERROR(SUMIF(DB_Savings!$A:$A,A1050,DB_Savings!$F:$F),0)-IFERROR(SUMIF(DB_Withdrawals!$A:$A,A1050,DB_Withdrawals!$G:$G),0)),"")</f>
        <v/>
      </c>
      <c r="N1050" t="str">
        <f>IFERROR(IF(A1050="","",MAX(0,M1050-System_Config!$B$9)),"")</f>
        <v/>
      </c>
    </row>
    <row r="1051" spans="1:14" ht="15" customHeight="1" x14ac:dyDescent="0.25">
      <c r="A1051" t="str">
        <f>'NEW ACCOUNT'!A1052</f>
        <v/>
      </c>
      <c r="B1051" t="str">
        <f>IF('NEW ACCOUNT'!A1052="","",'NEW ACCOUNT'!B1052)</f>
        <v/>
      </c>
      <c r="C1051" t="str">
        <f>IF('NEW ACCOUNT'!A1052="","",'NEW ACCOUNT'!C1052)</f>
        <v/>
      </c>
      <c r="D1051" t="str">
        <f>IF('NEW ACCOUNT'!A1052="","",'NEW ACCOUNT'!D1052)</f>
        <v/>
      </c>
      <c r="E1051" t="str">
        <f>IF('NEW ACCOUNT'!A1052="","",'NEW ACCOUNT'!E1052)</f>
        <v/>
      </c>
      <c r="F1051" t="str">
        <f>IF('NEW ACCOUNT'!A1052="","",'NEW ACCOUNT'!F1052)</f>
        <v/>
      </c>
      <c r="G1051" t="str">
        <f>IF('NEW ACCOUNT'!A1052="","",'NEW ACCOUNT'!G1052)</f>
        <v/>
      </c>
      <c r="H1051" t="str">
        <f>IF('NEW ACCOUNT'!A1052="","",'NEW ACCOUNT'!H1052)</f>
        <v/>
      </c>
      <c r="I1051" t="str">
        <f>IF('NEW ACCOUNT'!A1052="","",'NEW ACCOUNT'!I1052)</f>
        <v/>
      </c>
      <c r="J1051" t="str">
        <f>IF('NEW ACCOUNT'!A1052="","",'NEW ACCOUNT'!J1052)</f>
        <v/>
      </c>
      <c r="K1051" t="str">
        <f>IFERROR(IF(A1051="","",SUMIF(DB_Savings!$A:$A,A1051,DB_Savings!$F:$F)),"")</f>
        <v/>
      </c>
      <c r="L1051" t="str">
        <f>IFERROR(IF(A1051="","",SUMIF(DB_Withdrawals!$A:$A,A1051,DB_Withdrawals!$G:$G)),"")</f>
        <v/>
      </c>
      <c r="M1051" t="str">
        <f>IFERROR(IF(A1051="","",IFERROR(VALUE(H1051),0)+IFERROR(SUMIF(DB_Savings!$A:$A,A1051,DB_Savings!$F:$F),0)-IFERROR(SUMIF(DB_Withdrawals!$A:$A,A1051,DB_Withdrawals!$G:$G),0)),"")</f>
        <v/>
      </c>
      <c r="N1051" t="str">
        <f>IFERROR(IF(A1051="","",MAX(0,M1051-System_Config!$B$9)),"")</f>
        <v/>
      </c>
    </row>
    <row r="1052" spans="1:14" ht="15" customHeight="1" x14ac:dyDescent="0.25">
      <c r="A1052" t="str">
        <f>'NEW ACCOUNT'!A1053</f>
        <v/>
      </c>
      <c r="B1052" t="str">
        <f>IF('NEW ACCOUNT'!A1053="","",'NEW ACCOUNT'!B1053)</f>
        <v/>
      </c>
      <c r="C1052" t="str">
        <f>IF('NEW ACCOUNT'!A1053="","",'NEW ACCOUNT'!C1053)</f>
        <v/>
      </c>
      <c r="D1052" t="str">
        <f>IF('NEW ACCOUNT'!A1053="","",'NEW ACCOUNT'!D1053)</f>
        <v/>
      </c>
      <c r="E1052" t="str">
        <f>IF('NEW ACCOUNT'!A1053="","",'NEW ACCOUNT'!E1053)</f>
        <v/>
      </c>
      <c r="F1052" t="str">
        <f>IF('NEW ACCOUNT'!A1053="","",'NEW ACCOUNT'!F1053)</f>
        <v/>
      </c>
      <c r="G1052" t="str">
        <f>IF('NEW ACCOUNT'!A1053="","",'NEW ACCOUNT'!G1053)</f>
        <v/>
      </c>
      <c r="H1052" t="str">
        <f>IF('NEW ACCOUNT'!A1053="","",'NEW ACCOUNT'!H1053)</f>
        <v/>
      </c>
      <c r="I1052" t="str">
        <f>IF('NEW ACCOUNT'!A1053="","",'NEW ACCOUNT'!I1053)</f>
        <v/>
      </c>
      <c r="J1052" t="str">
        <f>IF('NEW ACCOUNT'!A1053="","",'NEW ACCOUNT'!J1053)</f>
        <v/>
      </c>
      <c r="K1052" t="str">
        <f>IFERROR(IF(A1052="","",SUMIF(DB_Savings!$A:$A,A1052,DB_Savings!$F:$F)),"")</f>
        <v/>
      </c>
      <c r="L1052" t="str">
        <f>IFERROR(IF(A1052="","",SUMIF(DB_Withdrawals!$A:$A,A1052,DB_Withdrawals!$G:$G)),"")</f>
        <v/>
      </c>
      <c r="M1052" t="str">
        <f>IFERROR(IF(A1052="","",IFERROR(VALUE(H1052),0)+IFERROR(SUMIF(DB_Savings!$A:$A,A1052,DB_Savings!$F:$F),0)-IFERROR(SUMIF(DB_Withdrawals!$A:$A,A1052,DB_Withdrawals!$G:$G),0)),"")</f>
        <v/>
      </c>
      <c r="N1052" t="str">
        <f>IFERROR(IF(A1052="","",MAX(0,M1052-System_Config!$B$9)),"")</f>
        <v/>
      </c>
    </row>
    <row r="1053" spans="1:14" ht="15" customHeight="1" x14ac:dyDescent="0.25">
      <c r="A1053" t="str">
        <f>'NEW ACCOUNT'!A1054</f>
        <v/>
      </c>
      <c r="B1053" t="str">
        <f>IF('NEW ACCOUNT'!A1054="","",'NEW ACCOUNT'!B1054)</f>
        <v/>
      </c>
      <c r="C1053" t="str">
        <f>IF('NEW ACCOUNT'!A1054="","",'NEW ACCOUNT'!C1054)</f>
        <v/>
      </c>
      <c r="D1053" t="str">
        <f>IF('NEW ACCOUNT'!A1054="","",'NEW ACCOUNT'!D1054)</f>
        <v/>
      </c>
      <c r="E1053" t="str">
        <f>IF('NEW ACCOUNT'!A1054="","",'NEW ACCOUNT'!E1054)</f>
        <v/>
      </c>
      <c r="F1053" t="str">
        <f>IF('NEW ACCOUNT'!A1054="","",'NEW ACCOUNT'!F1054)</f>
        <v/>
      </c>
      <c r="G1053" t="str">
        <f>IF('NEW ACCOUNT'!A1054="","",'NEW ACCOUNT'!G1054)</f>
        <v/>
      </c>
      <c r="H1053" t="str">
        <f>IF('NEW ACCOUNT'!A1054="","",'NEW ACCOUNT'!H1054)</f>
        <v/>
      </c>
      <c r="I1053" t="str">
        <f>IF('NEW ACCOUNT'!A1054="","",'NEW ACCOUNT'!I1054)</f>
        <v/>
      </c>
      <c r="J1053" t="str">
        <f>IF('NEW ACCOUNT'!A1054="","",'NEW ACCOUNT'!J1054)</f>
        <v/>
      </c>
      <c r="K1053" t="str">
        <f>IFERROR(IF(A1053="","",SUMIF(DB_Savings!$A:$A,A1053,DB_Savings!$F:$F)),"")</f>
        <v/>
      </c>
      <c r="L1053" t="str">
        <f>IFERROR(IF(A1053="","",SUMIF(DB_Withdrawals!$A:$A,A1053,DB_Withdrawals!$G:$G)),"")</f>
        <v/>
      </c>
      <c r="M1053" t="str">
        <f>IFERROR(IF(A1053="","",IFERROR(VALUE(H1053),0)+IFERROR(SUMIF(DB_Savings!$A:$A,A1053,DB_Savings!$F:$F),0)-IFERROR(SUMIF(DB_Withdrawals!$A:$A,A1053,DB_Withdrawals!$G:$G),0)),"")</f>
        <v/>
      </c>
      <c r="N1053" t="str">
        <f>IFERROR(IF(A1053="","",MAX(0,M1053-System_Config!$B$9)),"")</f>
        <v/>
      </c>
    </row>
    <row r="1054" spans="1:14" ht="15" customHeight="1" x14ac:dyDescent="0.25">
      <c r="A1054" t="str">
        <f>'NEW ACCOUNT'!A1055</f>
        <v/>
      </c>
      <c r="B1054" t="str">
        <f>IF('NEW ACCOUNT'!A1055="","",'NEW ACCOUNT'!B1055)</f>
        <v/>
      </c>
      <c r="C1054" t="str">
        <f>IF('NEW ACCOUNT'!A1055="","",'NEW ACCOUNT'!C1055)</f>
        <v/>
      </c>
      <c r="D1054" t="str">
        <f>IF('NEW ACCOUNT'!A1055="","",'NEW ACCOUNT'!D1055)</f>
        <v/>
      </c>
      <c r="E1054" t="str">
        <f>IF('NEW ACCOUNT'!A1055="","",'NEW ACCOUNT'!E1055)</f>
        <v/>
      </c>
      <c r="F1054" t="str">
        <f>IF('NEW ACCOUNT'!A1055="","",'NEW ACCOUNT'!F1055)</f>
        <v/>
      </c>
      <c r="G1054" t="str">
        <f>IF('NEW ACCOUNT'!A1055="","",'NEW ACCOUNT'!G1055)</f>
        <v/>
      </c>
      <c r="H1054" t="str">
        <f>IF('NEW ACCOUNT'!A1055="","",'NEW ACCOUNT'!H1055)</f>
        <v/>
      </c>
      <c r="I1054" t="str">
        <f>IF('NEW ACCOUNT'!A1055="","",'NEW ACCOUNT'!I1055)</f>
        <v/>
      </c>
      <c r="J1054" t="str">
        <f>IF('NEW ACCOUNT'!A1055="","",'NEW ACCOUNT'!J1055)</f>
        <v/>
      </c>
      <c r="K1054" t="str">
        <f>IFERROR(IF(A1054="","",SUMIF(DB_Savings!$A:$A,A1054,DB_Savings!$F:$F)),"")</f>
        <v/>
      </c>
      <c r="L1054" t="str">
        <f>IFERROR(IF(A1054="","",SUMIF(DB_Withdrawals!$A:$A,A1054,DB_Withdrawals!$G:$G)),"")</f>
        <v/>
      </c>
      <c r="M1054" t="str">
        <f>IFERROR(IF(A1054="","",IFERROR(VALUE(H1054),0)+IFERROR(SUMIF(DB_Savings!$A:$A,A1054,DB_Savings!$F:$F),0)-IFERROR(SUMIF(DB_Withdrawals!$A:$A,A1054,DB_Withdrawals!$G:$G),0)),"")</f>
        <v/>
      </c>
      <c r="N1054" t="str">
        <f>IFERROR(IF(A1054="","",MAX(0,M1054-System_Config!$B$9)),"")</f>
        <v/>
      </c>
    </row>
    <row r="1055" spans="1:14" ht="15" customHeight="1" x14ac:dyDescent="0.25">
      <c r="A1055" t="str">
        <f>'NEW ACCOUNT'!A1056</f>
        <v/>
      </c>
      <c r="B1055" t="str">
        <f>IF('NEW ACCOUNT'!A1056="","",'NEW ACCOUNT'!B1056)</f>
        <v/>
      </c>
      <c r="C1055" t="str">
        <f>IF('NEW ACCOUNT'!A1056="","",'NEW ACCOUNT'!C1056)</f>
        <v/>
      </c>
      <c r="D1055" t="str">
        <f>IF('NEW ACCOUNT'!A1056="","",'NEW ACCOUNT'!D1056)</f>
        <v/>
      </c>
      <c r="E1055" t="str">
        <f>IF('NEW ACCOUNT'!A1056="","",'NEW ACCOUNT'!E1056)</f>
        <v/>
      </c>
      <c r="F1055" t="str">
        <f>IF('NEW ACCOUNT'!A1056="","",'NEW ACCOUNT'!F1056)</f>
        <v/>
      </c>
      <c r="G1055" t="str">
        <f>IF('NEW ACCOUNT'!A1056="","",'NEW ACCOUNT'!G1056)</f>
        <v/>
      </c>
      <c r="H1055" t="str">
        <f>IF('NEW ACCOUNT'!A1056="","",'NEW ACCOUNT'!H1056)</f>
        <v/>
      </c>
      <c r="I1055" t="str">
        <f>IF('NEW ACCOUNT'!A1056="","",'NEW ACCOUNT'!I1056)</f>
        <v/>
      </c>
      <c r="J1055" t="str">
        <f>IF('NEW ACCOUNT'!A1056="","",'NEW ACCOUNT'!J1056)</f>
        <v/>
      </c>
      <c r="K1055" t="str">
        <f>IFERROR(IF(A1055="","",SUMIF(DB_Savings!$A:$A,A1055,DB_Savings!$F:$F)),"")</f>
        <v/>
      </c>
      <c r="L1055" t="str">
        <f>IFERROR(IF(A1055="","",SUMIF(DB_Withdrawals!$A:$A,A1055,DB_Withdrawals!$G:$G)),"")</f>
        <v/>
      </c>
      <c r="M1055" t="str">
        <f>IFERROR(IF(A1055="","",IFERROR(VALUE(H1055),0)+IFERROR(SUMIF(DB_Savings!$A:$A,A1055,DB_Savings!$F:$F),0)-IFERROR(SUMIF(DB_Withdrawals!$A:$A,A1055,DB_Withdrawals!$G:$G),0)),"")</f>
        <v/>
      </c>
      <c r="N1055" t="str">
        <f>IFERROR(IF(A1055="","",MAX(0,M1055-System_Config!$B$9)),"")</f>
        <v/>
      </c>
    </row>
    <row r="1056" spans="1:14" ht="15" customHeight="1" x14ac:dyDescent="0.25">
      <c r="A1056" t="str">
        <f>'NEW ACCOUNT'!A1057</f>
        <v/>
      </c>
      <c r="B1056" t="str">
        <f>IF('NEW ACCOUNT'!A1057="","",'NEW ACCOUNT'!B1057)</f>
        <v/>
      </c>
      <c r="C1056" t="str">
        <f>IF('NEW ACCOUNT'!A1057="","",'NEW ACCOUNT'!C1057)</f>
        <v/>
      </c>
      <c r="D1056" t="str">
        <f>IF('NEW ACCOUNT'!A1057="","",'NEW ACCOUNT'!D1057)</f>
        <v/>
      </c>
      <c r="E1056" t="str">
        <f>IF('NEW ACCOUNT'!A1057="","",'NEW ACCOUNT'!E1057)</f>
        <v/>
      </c>
      <c r="F1056" t="str">
        <f>IF('NEW ACCOUNT'!A1057="","",'NEW ACCOUNT'!F1057)</f>
        <v/>
      </c>
      <c r="G1056" t="str">
        <f>IF('NEW ACCOUNT'!A1057="","",'NEW ACCOUNT'!G1057)</f>
        <v/>
      </c>
      <c r="H1056" t="str">
        <f>IF('NEW ACCOUNT'!A1057="","",'NEW ACCOUNT'!H1057)</f>
        <v/>
      </c>
      <c r="I1056" t="str">
        <f>IF('NEW ACCOUNT'!A1057="","",'NEW ACCOUNT'!I1057)</f>
        <v/>
      </c>
      <c r="J1056" t="str">
        <f>IF('NEW ACCOUNT'!A1057="","",'NEW ACCOUNT'!J1057)</f>
        <v/>
      </c>
      <c r="K1056" t="str">
        <f>IFERROR(IF(A1056="","",SUMIF(DB_Savings!$A:$A,A1056,DB_Savings!$F:$F)),"")</f>
        <v/>
      </c>
      <c r="L1056" t="str">
        <f>IFERROR(IF(A1056="","",SUMIF(DB_Withdrawals!$A:$A,A1056,DB_Withdrawals!$G:$G)),"")</f>
        <v/>
      </c>
      <c r="M1056" t="str">
        <f>IFERROR(IF(A1056="","",IFERROR(VALUE(H1056),0)+IFERROR(SUMIF(DB_Savings!$A:$A,A1056,DB_Savings!$F:$F),0)-IFERROR(SUMIF(DB_Withdrawals!$A:$A,A1056,DB_Withdrawals!$G:$G),0)),"")</f>
        <v/>
      </c>
      <c r="N1056" t="str">
        <f>IFERROR(IF(A1056="","",MAX(0,M1056-System_Config!$B$9)),"")</f>
        <v/>
      </c>
    </row>
    <row r="1057" spans="1:14" ht="15" customHeight="1" x14ac:dyDescent="0.25">
      <c r="A1057" t="str">
        <f>'NEW ACCOUNT'!A1058</f>
        <v/>
      </c>
      <c r="B1057" t="str">
        <f>IF('NEW ACCOUNT'!A1058="","",'NEW ACCOUNT'!B1058)</f>
        <v/>
      </c>
      <c r="C1057" t="str">
        <f>IF('NEW ACCOUNT'!A1058="","",'NEW ACCOUNT'!C1058)</f>
        <v/>
      </c>
      <c r="D1057" t="str">
        <f>IF('NEW ACCOUNT'!A1058="","",'NEW ACCOUNT'!D1058)</f>
        <v/>
      </c>
      <c r="E1057" t="str">
        <f>IF('NEW ACCOUNT'!A1058="","",'NEW ACCOUNT'!E1058)</f>
        <v/>
      </c>
      <c r="F1057" t="str">
        <f>IF('NEW ACCOUNT'!A1058="","",'NEW ACCOUNT'!F1058)</f>
        <v/>
      </c>
      <c r="G1057" t="str">
        <f>IF('NEW ACCOUNT'!A1058="","",'NEW ACCOUNT'!G1058)</f>
        <v/>
      </c>
      <c r="H1057" t="str">
        <f>IF('NEW ACCOUNT'!A1058="","",'NEW ACCOUNT'!H1058)</f>
        <v/>
      </c>
      <c r="I1057" t="str">
        <f>IF('NEW ACCOUNT'!A1058="","",'NEW ACCOUNT'!I1058)</f>
        <v/>
      </c>
      <c r="J1057" t="str">
        <f>IF('NEW ACCOUNT'!A1058="","",'NEW ACCOUNT'!J1058)</f>
        <v/>
      </c>
      <c r="K1057" t="str">
        <f>IFERROR(IF(A1057="","",SUMIF(DB_Savings!$A:$A,A1057,DB_Savings!$F:$F)),"")</f>
        <v/>
      </c>
      <c r="L1057" t="str">
        <f>IFERROR(IF(A1057="","",SUMIF(DB_Withdrawals!$A:$A,A1057,DB_Withdrawals!$G:$G)),"")</f>
        <v/>
      </c>
      <c r="M1057" t="str">
        <f>IFERROR(IF(A1057="","",IFERROR(VALUE(H1057),0)+IFERROR(SUMIF(DB_Savings!$A:$A,A1057,DB_Savings!$F:$F),0)-IFERROR(SUMIF(DB_Withdrawals!$A:$A,A1057,DB_Withdrawals!$G:$G),0)),"")</f>
        <v/>
      </c>
      <c r="N1057" t="str">
        <f>IFERROR(IF(A1057="","",MAX(0,M1057-System_Config!$B$9)),"")</f>
        <v/>
      </c>
    </row>
    <row r="1058" spans="1:14" ht="15" customHeight="1" x14ac:dyDescent="0.25">
      <c r="A1058" t="str">
        <f>'NEW ACCOUNT'!A1059</f>
        <v/>
      </c>
      <c r="B1058" t="str">
        <f>IF('NEW ACCOUNT'!A1059="","",'NEW ACCOUNT'!B1059)</f>
        <v/>
      </c>
      <c r="C1058" t="str">
        <f>IF('NEW ACCOUNT'!A1059="","",'NEW ACCOUNT'!C1059)</f>
        <v/>
      </c>
      <c r="D1058" t="str">
        <f>IF('NEW ACCOUNT'!A1059="","",'NEW ACCOUNT'!D1059)</f>
        <v/>
      </c>
      <c r="E1058" t="str">
        <f>IF('NEW ACCOUNT'!A1059="","",'NEW ACCOUNT'!E1059)</f>
        <v/>
      </c>
      <c r="F1058" t="str">
        <f>IF('NEW ACCOUNT'!A1059="","",'NEW ACCOUNT'!F1059)</f>
        <v/>
      </c>
      <c r="G1058" t="str">
        <f>IF('NEW ACCOUNT'!A1059="","",'NEW ACCOUNT'!G1059)</f>
        <v/>
      </c>
      <c r="H1058" t="str">
        <f>IF('NEW ACCOUNT'!A1059="","",'NEW ACCOUNT'!H1059)</f>
        <v/>
      </c>
      <c r="I1058" t="str">
        <f>IF('NEW ACCOUNT'!A1059="","",'NEW ACCOUNT'!I1059)</f>
        <v/>
      </c>
      <c r="J1058" t="str">
        <f>IF('NEW ACCOUNT'!A1059="","",'NEW ACCOUNT'!J1059)</f>
        <v/>
      </c>
      <c r="K1058" t="str">
        <f>IFERROR(IF(A1058="","",SUMIF(DB_Savings!$A:$A,A1058,DB_Savings!$F:$F)),"")</f>
        <v/>
      </c>
      <c r="L1058" t="str">
        <f>IFERROR(IF(A1058="","",SUMIF(DB_Withdrawals!$A:$A,A1058,DB_Withdrawals!$G:$G)),"")</f>
        <v/>
      </c>
      <c r="M1058" t="str">
        <f>IFERROR(IF(A1058="","",IFERROR(VALUE(H1058),0)+IFERROR(SUMIF(DB_Savings!$A:$A,A1058,DB_Savings!$F:$F),0)-IFERROR(SUMIF(DB_Withdrawals!$A:$A,A1058,DB_Withdrawals!$G:$G),0)),"")</f>
        <v/>
      </c>
      <c r="N1058" t="str">
        <f>IFERROR(IF(A1058="","",MAX(0,M1058-System_Config!$B$9)),"")</f>
        <v/>
      </c>
    </row>
    <row r="1059" spans="1:14" ht="15" customHeight="1" x14ac:dyDescent="0.25">
      <c r="A1059" t="str">
        <f>'NEW ACCOUNT'!A1060</f>
        <v/>
      </c>
      <c r="B1059" t="str">
        <f>IF('NEW ACCOUNT'!A1060="","",'NEW ACCOUNT'!B1060)</f>
        <v/>
      </c>
      <c r="C1059" t="str">
        <f>IF('NEW ACCOUNT'!A1060="","",'NEW ACCOUNT'!C1060)</f>
        <v/>
      </c>
      <c r="D1059" t="str">
        <f>IF('NEW ACCOUNT'!A1060="","",'NEW ACCOUNT'!D1060)</f>
        <v/>
      </c>
      <c r="E1059" t="str">
        <f>IF('NEW ACCOUNT'!A1060="","",'NEW ACCOUNT'!E1060)</f>
        <v/>
      </c>
      <c r="F1059" t="str">
        <f>IF('NEW ACCOUNT'!A1060="","",'NEW ACCOUNT'!F1060)</f>
        <v/>
      </c>
      <c r="G1059" t="str">
        <f>IF('NEW ACCOUNT'!A1060="","",'NEW ACCOUNT'!G1060)</f>
        <v/>
      </c>
      <c r="H1059" t="str">
        <f>IF('NEW ACCOUNT'!A1060="","",'NEW ACCOUNT'!H1060)</f>
        <v/>
      </c>
      <c r="I1059" t="str">
        <f>IF('NEW ACCOUNT'!A1060="","",'NEW ACCOUNT'!I1060)</f>
        <v/>
      </c>
      <c r="J1059" t="str">
        <f>IF('NEW ACCOUNT'!A1060="","",'NEW ACCOUNT'!J1060)</f>
        <v/>
      </c>
      <c r="K1059" t="str">
        <f>IFERROR(IF(A1059="","",SUMIF(DB_Savings!$A:$A,A1059,DB_Savings!$F:$F)),"")</f>
        <v/>
      </c>
      <c r="L1059" t="str">
        <f>IFERROR(IF(A1059="","",SUMIF(DB_Withdrawals!$A:$A,A1059,DB_Withdrawals!$G:$G)),"")</f>
        <v/>
      </c>
      <c r="M1059" t="str">
        <f>IFERROR(IF(A1059="","",IFERROR(VALUE(H1059),0)+IFERROR(SUMIF(DB_Savings!$A:$A,A1059,DB_Savings!$F:$F),0)-IFERROR(SUMIF(DB_Withdrawals!$A:$A,A1059,DB_Withdrawals!$G:$G),0)),"")</f>
        <v/>
      </c>
      <c r="N1059" t="str">
        <f>IFERROR(IF(A1059="","",MAX(0,M1059-System_Config!$B$9)),"")</f>
        <v/>
      </c>
    </row>
    <row r="1060" spans="1:14" ht="15" customHeight="1" x14ac:dyDescent="0.25">
      <c r="A1060" t="str">
        <f>'NEW ACCOUNT'!A1061</f>
        <v/>
      </c>
      <c r="B1060" t="str">
        <f>IF('NEW ACCOUNT'!A1061="","",'NEW ACCOUNT'!B1061)</f>
        <v/>
      </c>
      <c r="C1060" t="str">
        <f>IF('NEW ACCOUNT'!A1061="","",'NEW ACCOUNT'!C1061)</f>
        <v/>
      </c>
      <c r="D1060" t="str">
        <f>IF('NEW ACCOUNT'!A1061="","",'NEW ACCOUNT'!D1061)</f>
        <v/>
      </c>
      <c r="E1060" t="str">
        <f>IF('NEW ACCOUNT'!A1061="","",'NEW ACCOUNT'!E1061)</f>
        <v/>
      </c>
      <c r="F1060" t="str">
        <f>IF('NEW ACCOUNT'!A1061="","",'NEW ACCOUNT'!F1061)</f>
        <v/>
      </c>
      <c r="G1060" t="str">
        <f>IF('NEW ACCOUNT'!A1061="","",'NEW ACCOUNT'!G1061)</f>
        <v/>
      </c>
      <c r="H1060" t="str">
        <f>IF('NEW ACCOUNT'!A1061="","",'NEW ACCOUNT'!H1061)</f>
        <v/>
      </c>
      <c r="I1060" t="str">
        <f>IF('NEW ACCOUNT'!A1061="","",'NEW ACCOUNT'!I1061)</f>
        <v/>
      </c>
      <c r="J1060" t="str">
        <f>IF('NEW ACCOUNT'!A1061="","",'NEW ACCOUNT'!J1061)</f>
        <v/>
      </c>
      <c r="K1060" t="str">
        <f>IFERROR(IF(A1060="","",SUMIF(DB_Savings!$A:$A,A1060,DB_Savings!$F:$F)),"")</f>
        <v/>
      </c>
      <c r="L1060" t="str">
        <f>IFERROR(IF(A1060="","",SUMIF(DB_Withdrawals!$A:$A,A1060,DB_Withdrawals!$G:$G)),"")</f>
        <v/>
      </c>
      <c r="M1060" t="str">
        <f>IFERROR(IF(A1060="","",IFERROR(VALUE(H1060),0)+IFERROR(SUMIF(DB_Savings!$A:$A,A1060,DB_Savings!$F:$F),0)-IFERROR(SUMIF(DB_Withdrawals!$A:$A,A1060,DB_Withdrawals!$G:$G),0)),"")</f>
        <v/>
      </c>
      <c r="N1060" t="str">
        <f>IFERROR(IF(A1060="","",MAX(0,M1060-System_Config!$B$9)),"")</f>
        <v/>
      </c>
    </row>
    <row r="1061" spans="1:14" ht="15" customHeight="1" x14ac:dyDescent="0.25">
      <c r="A1061" t="str">
        <f>'NEW ACCOUNT'!A1062</f>
        <v/>
      </c>
      <c r="B1061" t="str">
        <f>IF('NEW ACCOUNT'!A1062="","",'NEW ACCOUNT'!B1062)</f>
        <v/>
      </c>
      <c r="C1061" t="str">
        <f>IF('NEW ACCOUNT'!A1062="","",'NEW ACCOUNT'!C1062)</f>
        <v/>
      </c>
      <c r="D1061" t="str">
        <f>IF('NEW ACCOUNT'!A1062="","",'NEW ACCOUNT'!D1062)</f>
        <v/>
      </c>
      <c r="E1061" t="str">
        <f>IF('NEW ACCOUNT'!A1062="","",'NEW ACCOUNT'!E1062)</f>
        <v/>
      </c>
      <c r="F1061" t="str">
        <f>IF('NEW ACCOUNT'!A1062="","",'NEW ACCOUNT'!F1062)</f>
        <v/>
      </c>
      <c r="G1061" t="str">
        <f>IF('NEW ACCOUNT'!A1062="","",'NEW ACCOUNT'!G1062)</f>
        <v/>
      </c>
      <c r="H1061" t="str">
        <f>IF('NEW ACCOUNT'!A1062="","",'NEW ACCOUNT'!H1062)</f>
        <v/>
      </c>
      <c r="I1061" t="str">
        <f>IF('NEW ACCOUNT'!A1062="","",'NEW ACCOUNT'!I1062)</f>
        <v/>
      </c>
      <c r="J1061" t="str">
        <f>IF('NEW ACCOUNT'!A1062="","",'NEW ACCOUNT'!J1062)</f>
        <v/>
      </c>
      <c r="K1061" t="str">
        <f>IFERROR(IF(A1061="","",SUMIF(DB_Savings!$A:$A,A1061,DB_Savings!$F:$F)),"")</f>
        <v/>
      </c>
      <c r="L1061" t="str">
        <f>IFERROR(IF(A1061="","",SUMIF(DB_Withdrawals!$A:$A,A1061,DB_Withdrawals!$G:$G)),"")</f>
        <v/>
      </c>
      <c r="M1061" t="str">
        <f>IFERROR(IF(A1061="","",IFERROR(VALUE(H1061),0)+IFERROR(SUMIF(DB_Savings!$A:$A,A1061,DB_Savings!$F:$F),0)-IFERROR(SUMIF(DB_Withdrawals!$A:$A,A1061,DB_Withdrawals!$G:$G),0)),"")</f>
        <v/>
      </c>
      <c r="N1061" t="str">
        <f>IFERROR(IF(A1061="","",MAX(0,M1061-System_Config!$B$9)),"")</f>
        <v/>
      </c>
    </row>
    <row r="1062" spans="1:14" ht="15" customHeight="1" x14ac:dyDescent="0.25">
      <c r="A1062" t="str">
        <f>'NEW ACCOUNT'!A1063</f>
        <v/>
      </c>
      <c r="B1062" t="str">
        <f>IF('NEW ACCOUNT'!A1063="","",'NEW ACCOUNT'!B1063)</f>
        <v/>
      </c>
      <c r="C1062" t="str">
        <f>IF('NEW ACCOUNT'!A1063="","",'NEW ACCOUNT'!C1063)</f>
        <v/>
      </c>
      <c r="D1062" t="str">
        <f>IF('NEW ACCOUNT'!A1063="","",'NEW ACCOUNT'!D1063)</f>
        <v/>
      </c>
      <c r="E1062" t="str">
        <f>IF('NEW ACCOUNT'!A1063="","",'NEW ACCOUNT'!E1063)</f>
        <v/>
      </c>
      <c r="F1062" t="str">
        <f>IF('NEW ACCOUNT'!A1063="","",'NEW ACCOUNT'!F1063)</f>
        <v/>
      </c>
      <c r="G1062" t="str">
        <f>IF('NEW ACCOUNT'!A1063="","",'NEW ACCOUNT'!G1063)</f>
        <v/>
      </c>
      <c r="H1062" t="str">
        <f>IF('NEW ACCOUNT'!A1063="","",'NEW ACCOUNT'!H1063)</f>
        <v/>
      </c>
      <c r="I1062" t="str">
        <f>IF('NEW ACCOUNT'!A1063="","",'NEW ACCOUNT'!I1063)</f>
        <v/>
      </c>
      <c r="J1062" t="str">
        <f>IF('NEW ACCOUNT'!A1063="","",'NEW ACCOUNT'!J1063)</f>
        <v/>
      </c>
      <c r="K1062" t="str">
        <f>IFERROR(IF(A1062="","",SUMIF(DB_Savings!$A:$A,A1062,DB_Savings!$F:$F)),"")</f>
        <v/>
      </c>
      <c r="L1062" t="str">
        <f>IFERROR(IF(A1062="","",SUMIF(DB_Withdrawals!$A:$A,A1062,DB_Withdrawals!$G:$G)),"")</f>
        <v/>
      </c>
      <c r="M1062" t="str">
        <f>IFERROR(IF(A1062="","",IFERROR(VALUE(H1062),0)+IFERROR(SUMIF(DB_Savings!$A:$A,A1062,DB_Savings!$F:$F),0)-IFERROR(SUMIF(DB_Withdrawals!$A:$A,A1062,DB_Withdrawals!$G:$G),0)),"")</f>
        <v/>
      </c>
      <c r="N1062" t="str">
        <f>IFERROR(IF(A1062="","",MAX(0,M1062-System_Config!$B$9)),"")</f>
        <v/>
      </c>
    </row>
    <row r="1063" spans="1:14" ht="15" customHeight="1" x14ac:dyDescent="0.25">
      <c r="A1063" t="str">
        <f>'NEW ACCOUNT'!A1064</f>
        <v/>
      </c>
      <c r="B1063" t="str">
        <f>IF('NEW ACCOUNT'!A1064="","",'NEW ACCOUNT'!B1064)</f>
        <v/>
      </c>
      <c r="C1063" t="str">
        <f>IF('NEW ACCOUNT'!A1064="","",'NEW ACCOUNT'!C1064)</f>
        <v/>
      </c>
      <c r="D1063" t="str">
        <f>IF('NEW ACCOUNT'!A1064="","",'NEW ACCOUNT'!D1064)</f>
        <v/>
      </c>
      <c r="E1063" t="str">
        <f>IF('NEW ACCOUNT'!A1064="","",'NEW ACCOUNT'!E1064)</f>
        <v/>
      </c>
      <c r="F1063" t="str">
        <f>IF('NEW ACCOUNT'!A1064="","",'NEW ACCOUNT'!F1064)</f>
        <v/>
      </c>
      <c r="G1063" t="str">
        <f>IF('NEW ACCOUNT'!A1064="","",'NEW ACCOUNT'!G1064)</f>
        <v/>
      </c>
      <c r="H1063" t="str">
        <f>IF('NEW ACCOUNT'!A1064="","",'NEW ACCOUNT'!H1064)</f>
        <v/>
      </c>
      <c r="I1063" t="str">
        <f>IF('NEW ACCOUNT'!A1064="","",'NEW ACCOUNT'!I1064)</f>
        <v/>
      </c>
      <c r="J1063" t="str">
        <f>IF('NEW ACCOUNT'!A1064="","",'NEW ACCOUNT'!J1064)</f>
        <v/>
      </c>
      <c r="K1063" t="str">
        <f>IFERROR(IF(A1063="","",SUMIF(DB_Savings!$A:$A,A1063,DB_Savings!$F:$F)),"")</f>
        <v/>
      </c>
      <c r="L1063" t="str">
        <f>IFERROR(IF(A1063="","",SUMIF(DB_Withdrawals!$A:$A,A1063,DB_Withdrawals!$G:$G)),"")</f>
        <v/>
      </c>
      <c r="M1063" t="str">
        <f>IFERROR(IF(A1063="","",IFERROR(VALUE(H1063),0)+IFERROR(SUMIF(DB_Savings!$A:$A,A1063,DB_Savings!$F:$F),0)-IFERROR(SUMIF(DB_Withdrawals!$A:$A,A1063,DB_Withdrawals!$G:$G),0)),"")</f>
        <v/>
      </c>
      <c r="N1063" t="str">
        <f>IFERROR(IF(A1063="","",MAX(0,M1063-System_Config!$B$9)),"")</f>
        <v/>
      </c>
    </row>
    <row r="1064" spans="1:14" ht="15" customHeight="1" x14ac:dyDescent="0.25">
      <c r="A1064" t="str">
        <f>'NEW ACCOUNT'!A1065</f>
        <v/>
      </c>
      <c r="B1064" t="str">
        <f>IF('NEW ACCOUNT'!A1065="","",'NEW ACCOUNT'!B1065)</f>
        <v/>
      </c>
      <c r="C1064" t="str">
        <f>IF('NEW ACCOUNT'!A1065="","",'NEW ACCOUNT'!C1065)</f>
        <v/>
      </c>
      <c r="D1064" t="str">
        <f>IF('NEW ACCOUNT'!A1065="","",'NEW ACCOUNT'!D1065)</f>
        <v/>
      </c>
      <c r="E1064" t="str">
        <f>IF('NEW ACCOUNT'!A1065="","",'NEW ACCOUNT'!E1065)</f>
        <v/>
      </c>
      <c r="F1064" t="str">
        <f>IF('NEW ACCOUNT'!A1065="","",'NEW ACCOUNT'!F1065)</f>
        <v/>
      </c>
      <c r="G1064" t="str">
        <f>IF('NEW ACCOUNT'!A1065="","",'NEW ACCOUNT'!G1065)</f>
        <v/>
      </c>
      <c r="H1064" t="str">
        <f>IF('NEW ACCOUNT'!A1065="","",'NEW ACCOUNT'!H1065)</f>
        <v/>
      </c>
      <c r="I1064" t="str">
        <f>IF('NEW ACCOUNT'!A1065="","",'NEW ACCOUNT'!I1065)</f>
        <v/>
      </c>
      <c r="J1064" t="str">
        <f>IF('NEW ACCOUNT'!A1065="","",'NEW ACCOUNT'!J1065)</f>
        <v/>
      </c>
      <c r="K1064" t="str">
        <f>IFERROR(IF(A1064="","",SUMIF(DB_Savings!$A:$A,A1064,DB_Savings!$F:$F)),"")</f>
        <v/>
      </c>
      <c r="L1064" t="str">
        <f>IFERROR(IF(A1064="","",SUMIF(DB_Withdrawals!$A:$A,A1064,DB_Withdrawals!$G:$G)),"")</f>
        <v/>
      </c>
      <c r="M1064" t="str">
        <f>IFERROR(IF(A1064="","",IFERROR(VALUE(H1064),0)+IFERROR(SUMIF(DB_Savings!$A:$A,A1064,DB_Savings!$F:$F),0)-IFERROR(SUMIF(DB_Withdrawals!$A:$A,A1064,DB_Withdrawals!$G:$G),0)),"")</f>
        <v/>
      </c>
      <c r="N1064" t="str">
        <f>IFERROR(IF(A1064="","",MAX(0,M1064-System_Config!$B$9)),"")</f>
        <v/>
      </c>
    </row>
    <row r="1065" spans="1:14" ht="15" customHeight="1" x14ac:dyDescent="0.25">
      <c r="A1065" t="str">
        <f>'NEW ACCOUNT'!A1066</f>
        <v/>
      </c>
      <c r="B1065" t="str">
        <f>IF('NEW ACCOUNT'!A1066="","",'NEW ACCOUNT'!B1066)</f>
        <v/>
      </c>
      <c r="C1065" t="str">
        <f>IF('NEW ACCOUNT'!A1066="","",'NEW ACCOUNT'!C1066)</f>
        <v/>
      </c>
      <c r="D1065" t="str">
        <f>IF('NEW ACCOUNT'!A1066="","",'NEW ACCOUNT'!D1066)</f>
        <v/>
      </c>
      <c r="E1065" t="str">
        <f>IF('NEW ACCOUNT'!A1066="","",'NEW ACCOUNT'!E1066)</f>
        <v/>
      </c>
      <c r="F1065" t="str">
        <f>IF('NEW ACCOUNT'!A1066="","",'NEW ACCOUNT'!F1066)</f>
        <v/>
      </c>
      <c r="G1065" t="str">
        <f>IF('NEW ACCOUNT'!A1066="","",'NEW ACCOUNT'!G1066)</f>
        <v/>
      </c>
      <c r="H1065" t="str">
        <f>IF('NEW ACCOUNT'!A1066="","",'NEW ACCOUNT'!H1066)</f>
        <v/>
      </c>
      <c r="I1065" t="str">
        <f>IF('NEW ACCOUNT'!A1066="","",'NEW ACCOUNT'!I1066)</f>
        <v/>
      </c>
      <c r="J1065" t="str">
        <f>IF('NEW ACCOUNT'!A1066="","",'NEW ACCOUNT'!J1066)</f>
        <v/>
      </c>
      <c r="K1065" t="str">
        <f>IFERROR(IF(A1065="","",SUMIF(DB_Savings!$A:$A,A1065,DB_Savings!$F:$F)),"")</f>
        <v/>
      </c>
      <c r="L1065" t="str">
        <f>IFERROR(IF(A1065="","",SUMIF(DB_Withdrawals!$A:$A,A1065,DB_Withdrawals!$G:$G)),"")</f>
        <v/>
      </c>
      <c r="M1065" t="str">
        <f>IFERROR(IF(A1065="","",IFERROR(VALUE(H1065),0)+IFERROR(SUMIF(DB_Savings!$A:$A,A1065,DB_Savings!$F:$F),0)-IFERROR(SUMIF(DB_Withdrawals!$A:$A,A1065,DB_Withdrawals!$G:$G),0)),"")</f>
        <v/>
      </c>
      <c r="N1065" t="str">
        <f>IFERROR(IF(A1065="","",MAX(0,M1065-System_Config!$B$9)),"")</f>
        <v/>
      </c>
    </row>
    <row r="1066" spans="1:14" ht="15" customHeight="1" x14ac:dyDescent="0.25">
      <c r="A1066" t="str">
        <f>'NEW ACCOUNT'!A1067</f>
        <v/>
      </c>
      <c r="B1066" t="str">
        <f>IF('NEW ACCOUNT'!A1067="","",'NEW ACCOUNT'!B1067)</f>
        <v/>
      </c>
      <c r="C1066" t="str">
        <f>IF('NEW ACCOUNT'!A1067="","",'NEW ACCOUNT'!C1067)</f>
        <v/>
      </c>
      <c r="D1066" t="str">
        <f>IF('NEW ACCOUNT'!A1067="","",'NEW ACCOUNT'!D1067)</f>
        <v/>
      </c>
      <c r="E1066" t="str">
        <f>IF('NEW ACCOUNT'!A1067="","",'NEW ACCOUNT'!E1067)</f>
        <v/>
      </c>
      <c r="F1066" t="str">
        <f>IF('NEW ACCOUNT'!A1067="","",'NEW ACCOUNT'!F1067)</f>
        <v/>
      </c>
      <c r="G1066" t="str">
        <f>IF('NEW ACCOUNT'!A1067="","",'NEW ACCOUNT'!G1067)</f>
        <v/>
      </c>
      <c r="H1066" t="str">
        <f>IF('NEW ACCOUNT'!A1067="","",'NEW ACCOUNT'!H1067)</f>
        <v/>
      </c>
      <c r="I1066" t="str">
        <f>IF('NEW ACCOUNT'!A1067="","",'NEW ACCOUNT'!I1067)</f>
        <v/>
      </c>
      <c r="J1066" t="str">
        <f>IF('NEW ACCOUNT'!A1067="","",'NEW ACCOUNT'!J1067)</f>
        <v/>
      </c>
      <c r="K1066" t="str">
        <f>IFERROR(IF(A1066="","",SUMIF(DB_Savings!$A:$A,A1066,DB_Savings!$F:$F)),"")</f>
        <v/>
      </c>
      <c r="L1066" t="str">
        <f>IFERROR(IF(A1066="","",SUMIF(DB_Withdrawals!$A:$A,A1066,DB_Withdrawals!$G:$G)),"")</f>
        <v/>
      </c>
      <c r="M1066" t="str">
        <f>IFERROR(IF(A1066="","",IFERROR(VALUE(H1066),0)+IFERROR(SUMIF(DB_Savings!$A:$A,A1066,DB_Savings!$F:$F),0)-IFERROR(SUMIF(DB_Withdrawals!$A:$A,A1066,DB_Withdrawals!$G:$G),0)),"")</f>
        <v/>
      </c>
      <c r="N1066" t="str">
        <f>IFERROR(IF(A1066="","",MAX(0,M1066-System_Config!$B$9)),"")</f>
        <v/>
      </c>
    </row>
    <row r="1067" spans="1:14" ht="15" customHeight="1" x14ac:dyDescent="0.25">
      <c r="A1067" t="str">
        <f>'NEW ACCOUNT'!A1068</f>
        <v/>
      </c>
      <c r="B1067" t="str">
        <f>IF('NEW ACCOUNT'!A1068="","",'NEW ACCOUNT'!B1068)</f>
        <v/>
      </c>
      <c r="C1067" t="str">
        <f>IF('NEW ACCOUNT'!A1068="","",'NEW ACCOUNT'!C1068)</f>
        <v/>
      </c>
      <c r="D1067" t="str">
        <f>IF('NEW ACCOUNT'!A1068="","",'NEW ACCOUNT'!D1068)</f>
        <v/>
      </c>
      <c r="E1067" t="str">
        <f>IF('NEW ACCOUNT'!A1068="","",'NEW ACCOUNT'!E1068)</f>
        <v/>
      </c>
      <c r="F1067" t="str">
        <f>IF('NEW ACCOUNT'!A1068="","",'NEW ACCOUNT'!F1068)</f>
        <v/>
      </c>
      <c r="G1067" t="str">
        <f>IF('NEW ACCOUNT'!A1068="","",'NEW ACCOUNT'!G1068)</f>
        <v/>
      </c>
      <c r="H1067" t="str">
        <f>IF('NEW ACCOUNT'!A1068="","",'NEW ACCOUNT'!H1068)</f>
        <v/>
      </c>
      <c r="I1067" t="str">
        <f>IF('NEW ACCOUNT'!A1068="","",'NEW ACCOUNT'!I1068)</f>
        <v/>
      </c>
      <c r="J1067" t="str">
        <f>IF('NEW ACCOUNT'!A1068="","",'NEW ACCOUNT'!J1068)</f>
        <v/>
      </c>
      <c r="K1067" t="str">
        <f>IFERROR(IF(A1067="","",SUMIF(DB_Savings!$A:$A,A1067,DB_Savings!$F:$F)),"")</f>
        <v/>
      </c>
      <c r="L1067" t="str">
        <f>IFERROR(IF(A1067="","",SUMIF(DB_Withdrawals!$A:$A,A1067,DB_Withdrawals!$G:$G)),"")</f>
        <v/>
      </c>
      <c r="M1067" t="str">
        <f>IFERROR(IF(A1067="","",IFERROR(VALUE(H1067),0)+IFERROR(SUMIF(DB_Savings!$A:$A,A1067,DB_Savings!$F:$F),0)-IFERROR(SUMIF(DB_Withdrawals!$A:$A,A1067,DB_Withdrawals!$G:$G),0)),"")</f>
        <v/>
      </c>
      <c r="N1067" t="str">
        <f>IFERROR(IF(A1067="","",MAX(0,M1067-System_Config!$B$9)),"")</f>
        <v/>
      </c>
    </row>
    <row r="1068" spans="1:14" ht="15" customHeight="1" x14ac:dyDescent="0.25">
      <c r="A1068" t="str">
        <f>'NEW ACCOUNT'!A1069</f>
        <v/>
      </c>
      <c r="B1068" t="str">
        <f>IF('NEW ACCOUNT'!A1069="","",'NEW ACCOUNT'!B1069)</f>
        <v/>
      </c>
      <c r="C1068" t="str">
        <f>IF('NEW ACCOUNT'!A1069="","",'NEW ACCOUNT'!C1069)</f>
        <v/>
      </c>
      <c r="D1068" t="str">
        <f>IF('NEW ACCOUNT'!A1069="","",'NEW ACCOUNT'!D1069)</f>
        <v/>
      </c>
      <c r="E1068" t="str">
        <f>IF('NEW ACCOUNT'!A1069="","",'NEW ACCOUNT'!E1069)</f>
        <v/>
      </c>
      <c r="F1068" t="str">
        <f>IF('NEW ACCOUNT'!A1069="","",'NEW ACCOUNT'!F1069)</f>
        <v/>
      </c>
      <c r="G1068" t="str">
        <f>IF('NEW ACCOUNT'!A1069="","",'NEW ACCOUNT'!G1069)</f>
        <v/>
      </c>
      <c r="H1068" t="str">
        <f>IF('NEW ACCOUNT'!A1069="","",'NEW ACCOUNT'!H1069)</f>
        <v/>
      </c>
      <c r="I1068" t="str">
        <f>IF('NEW ACCOUNT'!A1069="","",'NEW ACCOUNT'!I1069)</f>
        <v/>
      </c>
      <c r="J1068" t="str">
        <f>IF('NEW ACCOUNT'!A1069="","",'NEW ACCOUNT'!J1069)</f>
        <v/>
      </c>
      <c r="K1068" t="str">
        <f>IFERROR(IF(A1068="","",SUMIF(DB_Savings!$A:$A,A1068,DB_Savings!$F:$F)),"")</f>
        <v/>
      </c>
      <c r="L1068" t="str">
        <f>IFERROR(IF(A1068="","",SUMIF(DB_Withdrawals!$A:$A,A1068,DB_Withdrawals!$G:$G)),"")</f>
        <v/>
      </c>
      <c r="M1068" t="str">
        <f>IFERROR(IF(A1068="","",IFERROR(VALUE(H1068),0)+IFERROR(SUMIF(DB_Savings!$A:$A,A1068,DB_Savings!$F:$F),0)-IFERROR(SUMIF(DB_Withdrawals!$A:$A,A1068,DB_Withdrawals!$G:$G),0)),"")</f>
        <v/>
      </c>
      <c r="N1068" t="str">
        <f>IFERROR(IF(A1068="","",MAX(0,M1068-System_Config!$B$9)),"")</f>
        <v/>
      </c>
    </row>
    <row r="1069" spans="1:14" ht="15" customHeight="1" x14ac:dyDescent="0.25">
      <c r="A1069" t="str">
        <f>'NEW ACCOUNT'!A1070</f>
        <v/>
      </c>
      <c r="B1069" t="str">
        <f>IF('NEW ACCOUNT'!A1070="","",'NEW ACCOUNT'!B1070)</f>
        <v/>
      </c>
      <c r="C1069" t="str">
        <f>IF('NEW ACCOUNT'!A1070="","",'NEW ACCOUNT'!C1070)</f>
        <v/>
      </c>
      <c r="D1069" t="str">
        <f>IF('NEW ACCOUNT'!A1070="","",'NEW ACCOUNT'!D1070)</f>
        <v/>
      </c>
      <c r="E1069" t="str">
        <f>IF('NEW ACCOUNT'!A1070="","",'NEW ACCOUNT'!E1070)</f>
        <v/>
      </c>
      <c r="F1069" t="str">
        <f>IF('NEW ACCOUNT'!A1070="","",'NEW ACCOUNT'!F1070)</f>
        <v/>
      </c>
      <c r="G1069" t="str">
        <f>IF('NEW ACCOUNT'!A1070="","",'NEW ACCOUNT'!G1070)</f>
        <v/>
      </c>
      <c r="H1069" t="str">
        <f>IF('NEW ACCOUNT'!A1070="","",'NEW ACCOUNT'!H1070)</f>
        <v/>
      </c>
      <c r="I1069" t="str">
        <f>IF('NEW ACCOUNT'!A1070="","",'NEW ACCOUNT'!I1070)</f>
        <v/>
      </c>
      <c r="J1069" t="str">
        <f>IF('NEW ACCOUNT'!A1070="","",'NEW ACCOUNT'!J1070)</f>
        <v/>
      </c>
      <c r="K1069" t="str">
        <f>IFERROR(IF(A1069="","",SUMIF(DB_Savings!$A:$A,A1069,DB_Savings!$F:$F)),"")</f>
        <v/>
      </c>
      <c r="L1069" t="str">
        <f>IFERROR(IF(A1069="","",SUMIF(DB_Withdrawals!$A:$A,A1069,DB_Withdrawals!$G:$G)),"")</f>
        <v/>
      </c>
      <c r="M1069" t="str">
        <f>IFERROR(IF(A1069="","",IFERROR(VALUE(H1069),0)+IFERROR(SUMIF(DB_Savings!$A:$A,A1069,DB_Savings!$F:$F),0)-IFERROR(SUMIF(DB_Withdrawals!$A:$A,A1069,DB_Withdrawals!$G:$G),0)),"")</f>
        <v/>
      </c>
      <c r="N1069" t="str">
        <f>IFERROR(IF(A1069="","",MAX(0,M1069-System_Config!$B$9)),"")</f>
        <v/>
      </c>
    </row>
    <row r="1070" spans="1:14" ht="15" customHeight="1" x14ac:dyDescent="0.25">
      <c r="A1070" t="str">
        <f>'NEW ACCOUNT'!A1071</f>
        <v/>
      </c>
      <c r="B1070" t="str">
        <f>IF('NEW ACCOUNT'!A1071="","",'NEW ACCOUNT'!B1071)</f>
        <v/>
      </c>
      <c r="C1070" t="str">
        <f>IF('NEW ACCOUNT'!A1071="","",'NEW ACCOUNT'!C1071)</f>
        <v/>
      </c>
      <c r="D1070" t="str">
        <f>IF('NEW ACCOUNT'!A1071="","",'NEW ACCOUNT'!D1071)</f>
        <v/>
      </c>
      <c r="E1070" t="str">
        <f>IF('NEW ACCOUNT'!A1071="","",'NEW ACCOUNT'!E1071)</f>
        <v/>
      </c>
      <c r="F1070" t="str">
        <f>IF('NEW ACCOUNT'!A1071="","",'NEW ACCOUNT'!F1071)</f>
        <v/>
      </c>
      <c r="G1070" t="str">
        <f>IF('NEW ACCOUNT'!A1071="","",'NEW ACCOUNT'!G1071)</f>
        <v/>
      </c>
      <c r="H1070" t="str">
        <f>IF('NEW ACCOUNT'!A1071="","",'NEW ACCOUNT'!H1071)</f>
        <v/>
      </c>
      <c r="I1070" t="str">
        <f>IF('NEW ACCOUNT'!A1071="","",'NEW ACCOUNT'!I1071)</f>
        <v/>
      </c>
      <c r="J1070" t="str">
        <f>IF('NEW ACCOUNT'!A1071="","",'NEW ACCOUNT'!J1071)</f>
        <v/>
      </c>
      <c r="K1070" t="str">
        <f>IFERROR(IF(A1070="","",SUMIF(DB_Savings!$A:$A,A1070,DB_Savings!$F:$F)),"")</f>
        <v/>
      </c>
      <c r="L1070" t="str">
        <f>IFERROR(IF(A1070="","",SUMIF(DB_Withdrawals!$A:$A,A1070,DB_Withdrawals!$G:$G)),"")</f>
        <v/>
      </c>
      <c r="M1070" t="str">
        <f>IFERROR(IF(A1070="","",IFERROR(VALUE(H1070),0)+IFERROR(SUMIF(DB_Savings!$A:$A,A1070,DB_Savings!$F:$F),0)-IFERROR(SUMIF(DB_Withdrawals!$A:$A,A1070,DB_Withdrawals!$G:$G),0)),"")</f>
        <v/>
      </c>
      <c r="N1070" t="str">
        <f>IFERROR(IF(A1070="","",MAX(0,M1070-System_Config!$B$9)),"")</f>
        <v/>
      </c>
    </row>
    <row r="1071" spans="1:14" ht="15" customHeight="1" x14ac:dyDescent="0.25">
      <c r="A1071" t="str">
        <f>'NEW ACCOUNT'!A1072</f>
        <v/>
      </c>
      <c r="B1071" t="str">
        <f>IF('NEW ACCOUNT'!A1072="","",'NEW ACCOUNT'!B1072)</f>
        <v/>
      </c>
      <c r="C1071" t="str">
        <f>IF('NEW ACCOUNT'!A1072="","",'NEW ACCOUNT'!C1072)</f>
        <v/>
      </c>
      <c r="D1071" t="str">
        <f>IF('NEW ACCOUNT'!A1072="","",'NEW ACCOUNT'!D1072)</f>
        <v/>
      </c>
      <c r="E1071" t="str">
        <f>IF('NEW ACCOUNT'!A1072="","",'NEW ACCOUNT'!E1072)</f>
        <v/>
      </c>
      <c r="F1071" t="str">
        <f>IF('NEW ACCOUNT'!A1072="","",'NEW ACCOUNT'!F1072)</f>
        <v/>
      </c>
      <c r="G1071" t="str">
        <f>IF('NEW ACCOUNT'!A1072="","",'NEW ACCOUNT'!G1072)</f>
        <v/>
      </c>
      <c r="H1071" t="str">
        <f>IF('NEW ACCOUNT'!A1072="","",'NEW ACCOUNT'!H1072)</f>
        <v/>
      </c>
      <c r="I1071" t="str">
        <f>IF('NEW ACCOUNT'!A1072="","",'NEW ACCOUNT'!I1072)</f>
        <v/>
      </c>
      <c r="J1071" t="str">
        <f>IF('NEW ACCOUNT'!A1072="","",'NEW ACCOUNT'!J1072)</f>
        <v/>
      </c>
      <c r="K1071" t="str">
        <f>IFERROR(IF(A1071="","",SUMIF(DB_Savings!$A:$A,A1071,DB_Savings!$F:$F)),"")</f>
        <v/>
      </c>
      <c r="L1071" t="str">
        <f>IFERROR(IF(A1071="","",SUMIF(DB_Withdrawals!$A:$A,A1071,DB_Withdrawals!$G:$G)),"")</f>
        <v/>
      </c>
      <c r="M1071" t="str">
        <f>IFERROR(IF(A1071="","",IFERROR(VALUE(H1071),0)+IFERROR(SUMIF(DB_Savings!$A:$A,A1071,DB_Savings!$F:$F),0)-IFERROR(SUMIF(DB_Withdrawals!$A:$A,A1071,DB_Withdrawals!$G:$G),0)),"")</f>
        <v/>
      </c>
      <c r="N1071" t="str">
        <f>IFERROR(IF(A1071="","",MAX(0,M1071-System_Config!$B$9)),"")</f>
        <v/>
      </c>
    </row>
    <row r="1072" spans="1:14" ht="15" customHeight="1" x14ac:dyDescent="0.25">
      <c r="A1072" t="str">
        <f>'NEW ACCOUNT'!A1073</f>
        <v/>
      </c>
      <c r="B1072" t="str">
        <f>IF('NEW ACCOUNT'!A1073="","",'NEW ACCOUNT'!B1073)</f>
        <v/>
      </c>
      <c r="C1072" t="str">
        <f>IF('NEW ACCOUNT'!A1073="","",'NEW ACCOUNT'!C1073)</f>
        <v/>
      </c>
      <c r="D1072" t="str">
        <f>IF('NEW ACCOUNT'!A1073="","",'NEW ACCOUNT'!D1073)</f>
        <v/>
      </c>
      <c r="E1072" t="str">
        <f>IF('NEW ACCOUNT'!A1073="","",'NEW ACCOUNT'!E1073)</f>
        <v/>
      </c>
      <c r="F1072" t="str">
        <f>IF('NEW ACCOUNT'!A1073="","",'NEW ACCOUNT'!F1073)</f>
        <v/>
      </c>
      <c r="G1072" t="str">
        <f>IF('NEW ACCOUNT'!A1073="","",'NEW ACCOUNT'!G1073)</f>
        <v/>
      </c>
      <c r="H1072" t="str">
        <f>IF('NEW ACCOUNT'!A1073="","",'NEW ACCOUNT'!H1073)</f>
        <v/>
      </c>
      <c r="I1072" t="str">
        <f>IF('NEW ACCOUNT'!A1073="","",'NEW ACCOUNT'!I1073)</f>
        <v/>
      </c>
      <c r="J1072" t="str">
        <f>IF('NEW ACCOUNT'!A1073="","",'NEW ACCOUNT'!J1073)</f>
        <v/>
      </c>
      <c r="K1072" t="str">
        <f>IFERROR(IF(A1072="","",SUMIF(DB_Savings!$A:$A,A1072,DB_Savings!$F:$F)),"")</f>
        <v/>
      </c>
      <c r="L1072" t="str">
        <f>IFERROR(IF(A1072="","",SUMIF(DB_Withdrawals!$A:$A,A1072,DB_Withdrawals!$G:$G)),"")</f>
        <v/>
      </c>
      <c r="M1072" t="str">
        <f>IFERROR(IF(A1072="","",IFERROR(VALUE(H1072),0)+IFERROR(SUMIF(DB_Savings!$A:$A,A1072,DB_Savings!$F:$F),0)-IFERROR(SUMIF(DB_Withdrawals!$A:$A,A1072,DB_Withdrawals!$G:$G),0)),"")</f>
        <v/>
      </c>
      <c r="N1072" t="str">
        <f>IFERROR(IF(A1072="","",MAX(0,M1072-System_Config!$B$9)),"")</f>
        <v/>
      </c>
    </row>
    <row r="1073" spans="1:14" ht="15" customHeight="1" x14ac:dyDescent="0.25">
      <c r="A1073" t="str">
        <f>'NEW ACCOUNT'!A1074</f>
        <v/>
      </c>
      <c r="B1073" t="str">
        <f>IF('NEW ACCOUNT'!A1074="","",'NEW ACCOUNT'!B1074)</f>
        <v/>
      </c>
      <c r="C1073" t="str">
        <f>IF('NEW ACCOUNT'!A1074="","",'NEW ACCOUNT'!C1074)</f>
        <v/>
      </c>
      <c r="D1073" t="str">
        <f>IF('NEW ACCOUNT'!A1074="","",'NEW ACCOUNT'!D1074)</f>
        <v/>
      </c>
      <c r="E1073" t="str">
        <f>IF('NEW ACCOUNT'!A1074="","",'NEW ACCOUNT'!E1074)</f>
        <v/>
      </c>
      <c r="F1073" t="str">
        <f>IF('NEW ACCOUNT'!A1074="","",'NEW ACCOUNT'!F1074)</f>
        <v/>
      </c>
      <c r="G1073" t="str">
        <f>IF('NEW ACCOUNT'!A1074="","",'NEW ACCOUNT'!G1074)</f>
        <v/>
      </c>
      <c r="H1073" t="str">
        <f>IF('NEW ACCOUNT'!A1074="","",'NEW ACCOUNT'!H1074)</f>
        <v/>
      </c>
      <c r="I1073" t="str">
        <f>IF('NEW ACCOUNT'!A1074="","",'NEW ACCOUNT'!I1074)</f>
        <v/>
      </c>
      <c r="J1073" t="str">
        <f>IF('NEW ACCOUNT'!A1074="","",'NEW ACCOUNT'!J1074)</f>
        <v/>
      </c>
      <c r="K1073" t="str">
        <f>IFERROR(IF(A1073="","",SUMIF(DB_Savings!$A:$A,A1073,DB_Savings!$F:$F)),"")</f>
        <v/>
      </c>
      <c r="L1073" t="str">
        <f>IFERROR(IF(A1073="","",SUMIF(DB_Withdrawals!$A:$A,A1073,DB_Withdrawals!$G:$G)),"")</f>
        <v/>
      </c>
      <c r="M1073" t="str">
        <f>IFERROR(IF(A1073="","",IFERROR(VALUE(H1073),0)+IFERROR(SUMIF(DB_Savings!$A:$A,A1073,DB_Savings!$F:$F),0)-IFERROR(SUMIF(DB_Withdrawals!$A:$A,A1073,DB_Withdrawals!$G:$G),0)),"")</f>
        <v/>
      </c>
      <c r="N1073" t="str">
        <f>IFERROR(IF(A1073="","",MAX(0,M1073-System_Config!$B$9)),"")</f>
        <v/>
      </c>
    </row>
    <row r="1074" spans="1:14" ht="15" customHeight="1" x14ac:dyDescent="0.25">
      <c r="A1074" t="str">
        <f>'NEW ACCOUNT'!A1075</f>
        <v/>
      </c>
      <c r="B1074" t="str">
        <f>IF('NEW ACCOUNT'!A1075="","",'NEW ACCOUNT'!B1075)</f>
        <v/>
      </c>
      <c r="C1074" t="str">
        <f>IF('NEW ACCOUNT'!A1075="","",'NEW ACCOUNT'!C1075)</f>
        <v/>
      </c>
      <c r="D1074" t="str">
        <f>IF('NEW ACCOUNT'!A1075="","",'NEW ACCOUNT'!D1075)</f>
        <v/>
      </c>
      <c r="E1074" t="str">
        <f>IF('NEW ACCOUNT'!A1075="","",'NEW ACCOUNT'!E1075)</f>
        <v/>
      </c>
      <c r="F1074" t="str">
        <f>IF('NEW ACCOUNT'!A1075="","",'NEW ACCOUNT'!F1075)</f>
        <v/>
      </c>
      <c r="G1074" t="str">
        <f>IF('NEW ACCOUNT'!A1075="","",'NEW ACCOUNT'!G1075)</f>
        <v/>
      </c>
      <c r="H1074" t="str">
        <f>IF('NEW ACCOUNT'!A1075="","",'NEW ACCOUNT'!H1075)</f>
        <v/>
      </c>
      <c r="I1074" t="str">
        <f>IF('NEW ACCOUNT'!A1075="","",'NEW ACCOUNT'!I1075)</f>
        <v/>
      </c>
      <c r="J1074" t="str">
        <f>IF('NEW ACCOUNT'!A1075="","",'NEW ACCOUNT'!J1075)</f>
        <v/>
      </c>
      <c r="K1074" t="str">
        <f>IFERROR(IF(A1074="","",SUMIF(DB_Savings!$A:$A,A1074,DB_Savings!$F:$F)),"")</f>
        <v/>
      </c>
      <c r="L1074" t="str">
        <f>IFERROR(IF(A1074="","",SUMIF(DB_Withdrawals!$A:$A,A1074,DB_Withdrawals!$G:$G)),"")</f>
        <v/>
      </c>
      <c r="M1074" t="str">
        <f>IFERROR(IF(A1074="","",IFERROR(VALUE(H1074),0)+IFERROR(SUMIF(DB_Savings!$A:$A,A1074,DB_Savings!$F:$F),0)-IFERROR(SUMIF(DB_Withdrawals!$A:$A,A1074,DB_Withdrawals!$G:$G),0)),"")</f>
        <v/>
      </c>
      <c r="N1074" t="str">
        <f>IFERROR(IF(A1074="","",MAX(0,M1074-System_Config!$B$9)),"")</f>
        <v/>
      </c>
    </row>
    <row r="1075" spans="1:14" ht="15" customHeight="1" x14ac:dyDescent="0.25">
      <c r="A1075" t="str">
        <f>'NEW ACCOUNT'!A1076</f>
        <v/>
      </c>
      <c r="B1075" t="str">
        <f>IF('NEW ACCOUNT'!A1076="","",'NEW ACCOUNT'!B1076)</f>
        <v/>
      </c>
      <c r="C1075" t="str">
        <f>IF('NEW ACCOUNT'!A1076="","",'NEW ACCOUNT'!C1076)</f>
        <v/>
      </c>
      <c r="D1075" t="str">
        <f>IF('NEW ACCOUNT'!A1076="","",'NEW ACCOUNT'!D1076)</f>
        <v/>
      </c>
      <c r="E1075" t="str">
        <f>IF('NEW ACCOUNT'!A1076="","",'NEW ACCOUNT'!E1076)</f>
        <v/>
      </c>
      <c r="F1075" t="str">
        <f>IF('NEW ACCOUNT'!A1076="","",'NEW ACCOUNT'!F1076)</f>
        <v/>
      </c>
      <c r="G1075" t="str">
        <f>IF('NEW ACCOUNT'!A1076="","",'NEW ACCOUNT'!G1076)</f>
        <v/>
      </c>
      <c r="H1075" t="str">
        <f>IF('NEW ACCOUNT'!A1076="","",'NEW ACCOUNT'!H1076)</f>
        <v/>
      </c>
      <c r="I1075" t="str">
        <f>IF('NEW ACCOUNT'!A1076="","",'NEW ACCOUNT'!I1076)</f>
        <v/>
      </c>
      <c r="J1075" t="str">
        <f>IF('NEW ACCOUNT'!A1076="","",'NEW ACCOUNT'!J1076)</f>
        <v/>
      </c>
      <c r="K1075" t="str">
        <f>IFERROR(IF(A1075="","",SUMIF(DB_Savings!$A:$A,A1075,DB_Savings!$F:$F)),"")</f>
        <v/>
      </c>
      <c r="L1075" t="str">
        <f>IFERROR(IF(A1075="","",SUMIF(DB_Withdrawals!$A:$A,A1075,DB_Withdrawals!$G:$G)),"")</f>
        <v/>
      </c>
      <c r="M1075" t="str">
        <f>IFERROR(IF(A1075="","",IFERROR(VALUE(H1075),0)+IFERROR(SUMIF(DB_Savings!$A:$A,A1075,DB_Savings!$F:$F),0)-IFERROR(SUMIF(DB_Withdrawals!$A:$A,A1075,DB_Withdrawals!$G:$G),0)),"")</f>
        <v/>
      </c>
      <c r="N1075" t="str">
        <f>IFERROR(IF(A1075="","",MAX(0,M1075-System_Config!$B$9)),"")</f>
        <v/>
      </c>
    </row>
    <row r="1076" spans="1:14" ht="15" customHeight="1" x14ac:dyDescent="0.25">
      <c r="A1076" t="str">
        <f>'NEW ACCOUNT'!A1077</f>
        <v/>
      </c>
      <c r="B1076" t="str">
        <f>IF('NEW ACCOUNT'!A1077="","",'NEW ACCOUNT'!B1077)</f>
        <v/>
      </c>
      <c r="C1076" t="str">
        <f>IF('NEW ACCOUNT'!A1077="","",'NEW ACCOUNT'!C1077)</f>
        <v/>
      </c>
      <c r="D1076" t="str">
        <f>IF('NEW ACCOUNT'!A1077="","",'NEW ACCOUNT'!D1077)</f>
        <v/>
      </c>
      <c r="E1076" t="str">
        <f>IF('NEW ACCOUNT'!A1077="","",'NEW ACCOUNT'!E1077)</f>
        <v/>
      </c>
      <c r="F1076" t="str">
        <f>IF('NEW ACCOUNT'!A1077="","",'NEW ACCOUNT'!F1077)</f>
        <v/>
      </c>
      <c r="G1076" t="str">
        <f>IF('NEW ACCOUNT'!A1077="","",'NEW ACCOUNT'!G1077)</f>
        <v/>
      </c>
      <c r="H1076" t="str">
        <f>IF('NEW ACCOUNT'!A1077="","",'NEW ACCOUNT'!H1077)</f>
        <v/>
      </c>
      <c r="I1076" t="str">
        <f>IF('NEW ACCOUNT'!A1077="","",'NEW ACCOUNT'!I1077)</f>
        <v/>
      </c>
      <c r="J1076" t="str">
        <f>IF('NEW ACCOUNT'!A1077="","",'NEW ACCOUNT'!J1077)</f>
        <v/>
      </c>
      <c r="K1076" t="str">
        <f>IFERROR(IF(A1076="","",SUMIF(DB_Savings!$A:$A,A1076,DB_Savings!$F:$F)),"")</f>
        <v/>
      </c>
      <c r="L1076" t="str">
        <f>IFERROR(IF(A1076="","",SUMIF(DB_Withdrawals!$A:$A,A1076,DB_Withdrawals!$G:$G)),"")</f>
        <v/>
      </c>
      <c r="M1076" t="str">
        <f>IFERROR(IF(A1076="","",IFERROR(VALUE(H1076),0)+IFERROR(SUMIF(DB_Savings!$A:$A,A1076,DB_Savings!$F:$F),0)-IFERROR(SUMIF(DB_Withdrawals!$A:$A,A1076,DB_Withdrawals!$G:$G),0)),"")</f>
        <v/>
      </c>
      <c r="N1076" t="str">
        <f>IFERROR(IF(A1076="","",MAX(0,M1076-System_Config!$B$9)),"")</f>
        <v/>
      </c>
    </row>
    <row r="1077" spans="1:14" ht="15" customHeight="1" x14ac:dyDescent="0.25">
      <c r="A1077" t="str">
        <f>'NEW ACCOUNT'!A1078</f>
        <v/>
      </c>
      <c r="B1077" t="str">
        <f>IF('NEW ACCOUNT'!A1078="","",'NEW ACCOUNT'!B1078)</f>
        <v/>
      </c>
      <c r="C1077" t="str">
        <f>IF('NEW ACCOUNT'!A1078="","",'NEW ACCOUNT'!C1078)</f>
        <v/>
      </c>
      <c r="D1077" t="str">
        <f>IF('NEW ACCOUNT'!A1078="","",'NEW ACCOUNT'!D1078)</f>
        <v/>
      </c>
      <c r="E1077" t="str">
        <f>IF('NEW ACCOUNT'!A1078="","",'NEW ACCOUNT'!E1078)</f>
        <v/>
      </c>
      <c r="F1077" t="str">
        <f>IF('NEW ACCOUNT'!A1078="","",'NEW ACCOUNT'!F1078)</f>
        <v/>
      </c>
      <c r="G1077" t="str">
        <f>IF('NEW ACCOUNT'!A1078="","",'NEW ACCOUNT'!G1078)</f>
        <v/>
      </c>
      <c r="H1077" t="str">
        <f>IF('NEW ACCOUNT'!A1078="","",'NEW ACCOUNT'!H1078)</f>
        <v/>
      </c>
      <c r="I1077" t="str">
        <f>IF('NEW ACCOUNT'!A1078="","",'NEW ACCOUNT'!I1078)</f>
        <v/>
      </c>
      <c r="J1077" t="str">
        <f>IF('NEW ACCOUNT'!A1078="","",'NEW ACCOUNT'!J1078)</f>
        <v/>
      </c>
      <c r="K1077" t="str">
        <f>IFERROR(IF(A1077="","",SUMIF(DB_Savings!$A:$A,A1077,DB_Savings!$F:$F)),"")</f>
        <v/>
      </c>
      <c r="L1077" t="str">
        <f>IFERROR(IF(A1077="","",SUMIF(DB_Withdrawals!$A:$A,A1077,DB_Withdrawals!$G:$G)),"")</f>
        <v/>
      </c>
      <c r="M1077" t="str">
        <f>IFERROR(IF(A1077="","",IFERROR(VALUE(H1077),0)+IFERROR(SUMIF(DB_Savings!$A:$A,A1077,DB_Savings!$F:$F),0)-IFERROR(SUMIF(DB_Withdrawals!$A:$A,A1077,DB_Withdrawals!$G:$G),0)),"")</f>
        <v/>
      </c>
      <c r="N1077" t="str">
        <f>IFERROR(IF(A1077="","",MAX(0,M1077-System_Config!$B$9)),"")</f>
        <v/>
      </c>
    </row>
    <row r="1078" spans="1:14" ht="15" customHeight="1" x14ac:dyDescent="0.25">
      <c r="A1078" t="str">
        <f>'NEW ACCOUNT'!A1079</f>
        <v/>
      </c>
      <c r="B1078" t="str">
        <f>IF('NEW ACCOUNT'!A1079="","",'NEW ACCOUNT'!B1079)</f>
        <v/>
      </c>
      <c r="C1078" t="str">
        <f>IF('NEW ACCOUNT'!A1079="","",'NEW ACCOUNT'!C1079)</f>
        <v/>
      </c>
      <c r="D1078" t="str">
        <f>IF('NEW ACCOUNT'!A1079="","",'NEW ACCOUNT'!D1079)</f>
        <v/>
      </c>
      <c r="E1078" t="str">
        <f>IF('NEW ACCOUNT'!A1079="","",'NEW ACCOUNT'!E1079)</f>
        <v/>
      </c>
      <c r="F1078" t="str">
        <f>IF('NEW ACCOUNT'!A1079="","",'NEW ACCOUNT'!F1079)</f>
        <v/>
      </c>
      <c r="G1078" t="str">
        <f>IF('NEW ACCOUNT'!A1079="","",'NEW ACCOUNT'!G1079)</f>
        <v/>
      </c>
      <c r="H1078" t="str">
        <f>IF('NEW ACCOUNT'!A1079="","",'NEW ACCOUNT'!H1079)</f>
        <v/>
      </c>
      <c r="I1078" t="str">
        <f>IF('NEW ACCOUNT'!A1079="","",'NEW ACCOUNT'!I1079)</f>
        <v/>
      </c>
      <c r="J1078" t="str">
        <f>IF('NEW ACCOUNT'!A1079="","",'NEW ACCOUNT'!J1079)</f>
        <v/>
      </c>
      <c r="K1078" t="str">
        <f>IFERROR(IF(A1078="","",SUMIF(DB_Savings!$A:$A,A1078,DB_Savings!$F:$F)),"")</f>
        <v/>
      </c>
      <c r="L1078" t="str">
        <f>IFERROR(IF(A1078="","",SUMIF(DB_Withdrawals!$A:$A,A1078,DB_Withdrawals!$G:$G)),"")</f>
        <v/>
      </c>
      <c r="M1078" t="str">
        <f>IFERROR(IF(A1078="","",IFERROR(VALUE(H1078),0)+IFERROR(SUMIF(DB_Savings!$A:$A,A1078,DB_Savings!$F:$F),0)-IFERROR(SUMIF(DB_Withdrawals!$A:$A,A1078,DB_Withdrawals!$G:$G),0)),"")</f>
        <v/>
      </c>
      <c r="N1078" t="str">
        <f>IFERROR(IF(A1078="","",MAX(0,M1078-System_Config!$B$9)),"")</f>
        <v/>
      </c>
    </row>
    <row r="1079" spans="1:14" ht="15" customHeight="1" x14ac:dyDescent="0.25">
      <c r="A1079" t="str">
        <f>'NEW ACCOUNT'!A1080</f>
        <v/>
      </c>
      <c r="B1079" t="str">
        <f>IF('NEW ACCOUNT'!A1080="","",'NEW ACCOUNT'!B1080)</f>
        <v/>
      </c>
      <c r="C1079" t="str">
        <f>IF('NEW ACCOUNT'!A1080="","",'NEW ACCOUNT'!C1080)</f>
        <v/>
      </c>
      <c r="D1079" t="str">
        <f>IF('NEW ACCOUNT'!A1080="","",'NEW ACCOUNT'!D1080)</f>
        <v/>
      </c>
      <c r="E1079" t="str">
        <f>IF('NEW ACCOUNT'!A1080="","",'NEW ACCOUNT'!E1080)</f>
        <v/>
      </c>
      <c r="F1079" t="str">
        <f>IF('NEW ACCOUNT'!A1080="","",'NEW ACCOUNT'!F1080)</f>
        <v/>
      </c>
      <c r="G1079" t="str">
        <f>IF('NEW ACCOUNT'!A1080="","",'NEW ACCOUNT'!G1080)</f>
        <v/>
      </c>
      <c r="H1079" t="str">
        <f>IF('NEW ACCOUNT'!A1080="","",'NEW ACCOUNT'!H1080)</f>
        <v/>
      </c>
      <c r="I1079" t="str">
        <f>IF('NEW ACCOUNT'!A1080="","",'NEW ACCOUNT'!I1080)</f>
        <v/>
      </c>
      <c r="J1079" t="str">
        <f>IF('NEW ACCOUNT'!A1080="","",'NEW ACCOUNT'!J1080)</f>
        <v/>
      </c>
      <c r="K1079" t="str">
        <f>IFERROR(IF(A1079="","",SUMIF(DB_Savings!$A:$A,A1079,DB_Savings!$F:$F)),"")</f>
        <v/>
      </c>
      <c r="L1079" t="str">
        <f>IFERROR(IF(A1079="","",SUMIF(DB_Withdrawals!$A:$A,A1079,DB_Withdrawals!$G:$G)),"")</f>
        <v/>
      </c>
      <c r="M1079" t="str">
        <f>IFERROR(IF(A1079="","",IFERROR(VALUE(H1079),0)+IFERROR(SUMIF(DB_Savings!$A:$A,A1079,DB_Savings!$F:$F),0)-IFERROR(SUMIF(DB_Withdrawals!$A:$A,A1079,DB_Withdrawals!$G:$G),0)),"")</f>
        <v/>
      </c>
      <c r="N1079" t="str">
        <f>IFERROR(IF(A1079="","",MAX(0,M1079-System_Config!$B$9)),"")</f>
        <v/>
      </c>
    </row>
    <row r="1080" spans="1:14" ht="15" customHeight="1" x14ac:dyDescent="0.25">
      <c r="A1080" t="str">
        <f>'NEW ACCOUNT'!A1081</f>
        <v/>
      </c>
      <c r="B1080" t="str">
        <f>IF('NEW ACCOUNT'!A1081="","",'NEW ACCOUNT'!B1081)</f>
        <v/>
      </c>
      <c r="C1080" t="str">
        <f>IF('NEW ACCOUNT'!A1081="","",'NEW ACCOUNT'!C1081)</f>
        <v/>
      </c>
      <c r="D1080" t="str">
        <f>IF('NEW ACCOUNT'!A1081="","",'NEW ACCOUNT'!D1081)</f>
        <v/>
      </c>
      <c r="E1080" t="str">
        <f>IF('NEW ACCOUNT'!A1081="","",'NEW ACCOUNT'!E1081)</f>
        <v/>
      </c>
      <c r="F1080" t="str">
        <f>IF('NEW ACCOUNT'!A1081="","",'NEW ACCOUNT'!F1081)</f>
        <v/>
      </c>
      <c r="G1080" t="str">
        <f>IF('NEW ACCOUNT'!A1081="","",'NEW ACCOUNT'!G1081)</f>
        <v/>
      </c>
      <c r="H1080" t="str">
        <f>IF('NEW ACCOUNT'!A1081="","",'NEW ACCOUNT'!H1081)</f>
        <v/>
      </c>
      <c r="I1080" t="str">
        <f>IF('NEW ACCOUNT'!A1081="","",'NEW ACCOUNT'!I1081)</f>
        <v/>
      </c>
      <c r="J1080" t="str">
        <f>IF('NEW ACCOUNT'!A1081="","",'NEW ACCOUNT'!J1081)</f>
        <v/>
      </c>
      <c r="K1080" t="str">
        <f>IFERROR(IF(A1080="","",SUMIF(DB_Savings!$A:$A,A1080,DB_Savings!$F:$F)),"")</f>
        <v/>
      </c>
      <c r="L1080" t="str">
        <f>IFERROR(IF(A1080="","",SUMIF(DB_Withdrawals!$A:$A,A1080,DB_Withdrawals!$G:$G)),"")</f>
        <v/>
      </c>
      <c r="M1080" t="str">
        <f>IFERROR(IF(A1080="","",IFERROR(VALUE(H1080),0)+IFERROR(SUMIF(DB_Savings!$A:$A,A1080,DB_Savings!$F:$F),0)-IFERROR(SUMIF(DB_Withdrawals!$A:$A,A1080,DB_Withdrawals!$G:$G),0)),"")</f>
        <v/>
      </c>
      <c r="N1080" t="str">
        <f>IFERROR(IF(A1080="","",MAX(0,M1080-System_Config!$B$9)),"")</f>
        <v/>
      </c>
    </row>
    <row r="1081" spans="1:14" ht="15" customHeight="1" x14ac:dyDescent="0.25">
      <c r="A1081" t="str">
        <f>'NEW ACCOUNT'!A1082</f>
        <v/>
      </c>
      <c r="B1081" t="str">
        <f>IF('NEW ACCOUNT'!A1082="","",'NEW ACCOUNT'!B1082)</f>
        <v/>
      </c>
      <c r="C1081" t="str">
        <f>IF('NEW ACCOUNT'!A1082="","",'NEW ACCOUNT'!C1082)</f>
        <v/>
      </c>
      <c r="D1081" t="str">
        <f>IF('NEW ACCOUNT'!A1082="","",'NEW ACCOUNT'!D1082)</f>
        <v/>
      </c>
      <c r="E1081" t="str">
        <f>IF('NEW ACCOUNT'!A1082="","",'NEW ACCOUNT'!E1082)</f>
        <v/>
      </c>
      <c r="F1081" t="str">
        <f>IF('NEW ACCOUNT'!A1082="","",'NEW ACCOUNT'!F1082)</f>
        <v/>
      </c>
      <c r="G1081" t="str">
        <f>IF('NEW ACCOUNT'!A1082="","",'NEW ACCOUNT'!G1082)</f>
        <v/>
      </c>
      <c r="H1081" t="str">
        <f>IF('NEW ACCOUNT'!A1082="","",'NEW ACCOUNT'!H1082)</f>
        <v/>
      </c>
      <c r="I1081" t="str">
        <f>IF('NEW ACCOUNT'!A1082="","",'NEW ACCOUNT'!I1082)</f>
        <v/>
      </c>
      <c r="J1081" t="str">
        <f>IF('NEW ACCOUNT'!A1082="","",'NEW ACCOUNT'!J1082)</f>
        <v/>
      </c>
      <c r="K1081" t="str">
        <f>IFERROR(IF(A1081="","",SUMIF(DB_Savings!$A:$A,A1081,DB_Savings!$F:$F)),"")</f>
        <v/>
      </c>
      <c r="L1081" t="str">
        <f>IFERROR(IF(A1081="","",SUMIF(DB_Withdrawals!$A:$A,A1081,DB_Withdrawals!$G:$G)),"")</f>
        <v/>
      </c>
      <c r="M1081" t="str">
        <f>IFERROR(IF(A1081="","",IFERROR(VALUE(H1081),0)+IFERROR(SUMIF(DB_Savings!$A:$A,A1081,DB_Savings!$F:$F),0)-IFERROR(SUMIF(DB_Withdrawals!$A:$A,A1081,DB_Withdrawals!$G:$G),0)),"")</f>
        <v/>
      </c>
      <c r="N1081" t="str">
        <f>IFERROR(IF(A1081="","",MAX(0,M1081-System_Config!$B$9)),"")</f>
        <v/>
      </c>
    </row>
    <row r="1082" spans="1:14" ht="15" customHeight="1" x14ac:dyDescent="0.25">
      <c r="A1082" t="str">
        <f>'NEW ACCOUNT'!A1083</f>
        <v/>
      </c>
      <c r="B1082" t="str">
        <f>IF('NEW ACCOUNT'!A1083="","",'NEW ACCOUNT'!B1083)</f>
        <v/>
      </c>
      <c r="C1082" t="str">
        <f>IF('NEW ACCOUNT'!A1083="","",'NEW ACCOUNT'!C1083)</f>
        <v/>
      </c>
      <c r="D1082" t="str">
        <f>IF('NEW ACCOUNT'!A1083="","",'NEW ACCOUNT'!D1083)</f>
        <v/>
      </c>
      <c r="E1082" t="str">
        <f>IF('NEW ACCOUNT'!A1083="","",'NEW ACCOUNT'!E1083)</f>
        <v/>
      </c>
      <c r="F1082" t="str">
        <f>IF('NEW ACCOUNT'!A1083="","",'NEW ACCOUNT'!F1083)</f>
        <v/>
      </c>
      <c r="G1082" t="str">
        <f>IF('NEW ACCOUNT'!A1083="","",'NEW ACCOUNT'!G1083)</f>
        <v/>
      </c>
      <c r="H1082" t="str">
        <f>IF('NEW ACCOUNT'!A1083="","",'NEW ACCOUNT'!H1083)</f>
        <v/>
      </c>
      <c r="I1082" t="str">
        <f>IF('NEW ACCOUNT'!A1083="","",'NEW ACCOUNT'!I1083)</f>
        <v/>
      </c>
      <c r="J1082" t="str">
        <f>IF('NEW ACCOUNT'!A1083="","",'NEW ACCOUNT'!J1083)</f>
        <v/>
      </c>
      <c r="K1082" t="str">
        <f>IFERROR(IF(A1082="","",SUMIF(DB_Savings!$A:$A,A1082,DB_Savings!$F:$F)),"")</f>
        <v/>
      </c>
      <c r="L1082" t="str">
        <f>IFERROR(IF(A1082="","",SUMIF(DB_Withdrawals!$A:$A,A1082,DB_Withdrawals!$G:$G)),"")</f>
        <v/>
      </c>
      <c r="M1082" t="str">
        <f>IFERROR(IF(A1082="","",IFERROR(VALUE(H1082),0)+IFERROR(SUMIF(DB_Savings!$A:$A,A1082,DB_Savings!$F:$F),0)-IFERROR(SUMIF(DB_Withdrawals!$A:$A,A1082,DB_Withdrawals!$G:$G),0)),"")</f>
        <v/>
      </c>
      <c r="N1082" t="str">
        <f>IFERROR(IF(A1082="","",MAX(0,M1082-System_Config!$B$9)),"")</f>
        <v/>
      </c>
    </row>
    <row r="1083" spans="1:14" ht="15" customHeight="1" x14ac:dyDescent="0.25">
      <c r="A1083" t="str">
        <f>'NEW ACCOUNT'!A1084</f>
        <v/>
      </c>
      <c r="B1083" t="str">
        <f>IF('NEW ACCOUNT'!A1084="","",'NEW ACCOUNT'!B1084)</f>
        <v/>
      </c>
      <c r="C1083" t="str">
        <f>IF('NEW ACCOUNT'!A1084="","",'NEW ACCOUNT'!C1084)</f>
        <v/>
      </c>
      <c r="D1083" t="str">
        <f>IF('NEW ACCOUNT'!A1084="","",'NEW ACCOUNT'!D1084)</f>
        <v/>
      </c>
      <c r="E1083" t="str">
        <f>IF('NEW ACCOUNT'!A1084="","",'NEW ACCOUNT'!E1084)</f>
        <v/>
      </c>
      <c r="F1083" t="str">
        <f>IF('NEW ACCOUNT'!A1084="","",'NEW ACCOUNT'!F1084)</f>
        <v/>
      </c>
      <c r="G1083" t="str">
        <f>IF('NEW ACCOUNT'!A1084="","",'NEW ACCOUNT'!G1084)</f>
        <v/>
      </c>
      <c r="H1083" t="str">
        <f>IF('NEW ACCOUNT'!A1084="","",'NEW ACCOUNT'!H1084)</f>
        <v/>
      </c>
      <c r="I1083" t="str">
        <f>IF('NEW ACCOUNT'!A1084="","",'NEW ACCOUNT'!I1084)</f>
        <v/>
      </c>
      <c r="J1083" t="str">
        <f>IF('NEW ACCOUNT'!A1084="","",'NEW ACCOUNT'!J1084)</f>
        <v/>
      </c>
      <c r="K1083" t="str">
        <f>IFERROR(IF(A1083="","",SUMIF(DB_Savings!$A:$A,A1083,DB_Savings!$F:$F)),"")</f>
        <v/>
      </c>
      <c r="L1083" t="str">
        <f>IFERROR(IF(A1083="","",SUMIF(DB_Withdrawals!$A:$A,A1083,DB_Withdrawals!$G:$G)),"")</f>
        <v/>
      </c>
      <c r="M1083" t="str">
        <f>IFERROR(IF(A1083="","",IFERROR(VALUE(H1083),0)+IFERROR(SUMIF(DB_Savings!$A:$A,A1083,DB_Savings!$F:$F),0)-IFERROR(SUMIF(DB_Withdrawals!$A:$A,A1083,DB_Withdrawals!$G:$G),0)),"")</f>
        <v/>
      </c>
      <c r="N1083" t="str">
        <f>IFERROR(IF(A1083="","",MAX(0,M1083-System_Config!$B$9)),"")</f>
        <v/>
      </c>
    </row>
    <row r="1084" spans="1:14" ht="15" customHeight="1" x14ac:dyDescent="0.25">
      <c r="A1084" t="str">
        <f>'NEW ACCOUNT'!A1085</f>
        <v/>
      </c>
      <c r="B1084" t="str">
        <f>IF('NEW ACCOUNT'!A1085="","",'NEW ACCOUNT'!B1085)</f>
        <v/>
      </c>
      <c r="C1084" t="str">
        <f>IF('NEW ACCOUNT'!A1085="","",'NEW ACCOUNT'!C1085)</f>
        <v/>
      </c>
      <c r="D1084" t="str">
        <f>IF('NEW ACCOUNT'!A1085="","",'NEW ACCOUNT'!D1085)</f>
        <v/>
      </c>
      <c r="E1084" t="str">
        <f>IF('NEW ACCOUNT'!A1085="","",'NEW ACCOUNT'!E1085)</f>
        <v/>
      </c>
      <c r="F1084" t="str">
        <f>IF('NEW ACCOUNT'!A1085="","",'NEW ACCOUNT'!F1085)</f>
        <v/>
      </c>
      <c r="G1084" t="str">
        <f>IF('NEW ACCOUNT'!A1085="","",'NEW ACCOUNT'!G1085)</f>
        <v/>
      </c>
      <c r="H1084" t="str">
        <f>IF('NEW ACCOUNT'!A1085="","",'NEW ACCOUNT'!H1085)</f>
        <v/>
      </c>
      <c r="I1084" t="str">
        <f>IF('NEW ACCOUNT'!A1085="","",'NEW ACCOUNT'!I1085)</f>
        <v/>
      </c>
      <c r="J1084" t="str">
        <f>IF('NEW ACCOUNT'!A1085="","",'NEW ACCOUNT'!J1085)</f>
        <v/>
      </c>
      <c r="K1084" t="str">
        <f>IFERROR(IF(A1084="","",SUMIF(DB_Savings!$A:$A,A1084,DB_Savings!$F:$F)),"")</f>
        <v/>
      </c>
      <c r="L1084" t="str">
        <f>IFERROR(IF(A1084="","",SUMIF(DB_Withdrawals!$A:$A,A1084,DB_Withdrawals!$G:$G)),"")</f>
        <v/>
      </c>
      <c r="M1084" t="str">
        <f>IFERROR(IF(A1084="","",IFERROR(VALUE(H1084),0)+IFERROR(SUMIF(DB_Savings!$A:$A,A1084,DB_Savings!$F:$F),0)-IFERROR(SUMIF(DB_Withdrawals!$A:$A,A1084,DB_Withdrawals!$G:$G),0)),"")</f>
        <v/>
      </c>
      <c r="N1084" t="str">
        <f>IFERROR(IF(A1084="","",MAX(0,M1084-System_Config!$B$9)),"")</f>
        <v/>
      </c>
    </row>
    <row r="1085" spans="1:14" ht="15" customHeight="1" x14ac:dyDescent="0.25">
      <c r="A1085" t="str">
        <f>'NEW ACCOUNT'!A1086</f>
        <v/>
      </c>
      <c r="B1085" t="str">
        <f>IF('NEW ACCOUNT'!A1086="","",'NEW ACCOUNT'!B1086)</f>
        <v/>
      </c>
      <c r="C1085" t="str">
        <f>IF('NEW ACCOUNT'!A1086="","",'NEW ACCOUNT'!C1086)</f>
        <v/>
      </c>
      <c r="D1085" t="str">
        <f>IF('NEW ACCOUNT'!A1086="","",'NEW ACCOUNT'!D1086)</f>
        <v/>
      </c>
      <c r="E1085" t="str">
        <f>IF('NEW ACCOUNT'!A1086="","",'NEW ACCOUNT'!E1086)</f>
        <v/>
      </c>
      <c r="F1085" t="str">
        <f>IF('NEW ACCOUNT'!A1086="","",'NEW ACCOUNT'!F1086)</f>
        <v/>
      </c>
      <c r="G1085" t="str">
        <f>IF('NEW ACCOUNT'!A1086="","",'NEW ACCOUNT'!G1086)</f>
        <v/>
      </c>
      <c r="H1085" t="str">
        <f>IF('NEW ACCOUNT'!A1086="","",'NEW ACCOUNT'!H1086)</f>
        <v/>
      </c>
      <c r="I1085" t="str">
        <f>IF('NEW ACCOUNT'!A1086="","",'NEW ACCOUNT'!I1086)</f>
        <v/>
      </c>
      <c r="J1085" t="str">
        <f>IF('NEW ACCOUNT'!A1086="","",'NEW ACCOUNT'!J1086)</f>
        <v/>
      </c>
      <c r="K1085" t="str">
        <f>IFERROR(IF(A1085="","",SUMIF(DB_Savings!$A:$A,A1085,DB_Savings!$F:$F)),"")</f>
        <v/>
      </c>
      <c r="L1085" t="str">
        <f>IFERROR(IF(A1085="","",SUMIF(DB_Withdrawals!$A:$A,A1085,DB_Withdrawals!$G:$G)),"")</f>
        <v/>
      </c>
      <c r="M1085" t="str">
        <f>IFERROR(IF(A1085="","",IFERROR(VALUE(H1085),0)+IFERROR(SUMIF(DB_Savings!$A:$A,A1085,DB_Savings!$F:$F),0)-IFERROR(SUMIF(DB_Withdrawals!$A:$A,A1085,DB_Withdrawals!$G:$G),0)),"")</f>
        <v/>
      </c>
      <c r="N1085" t="str">
        <f>IFERROR(IF(A1085="","",MAX(0,M1085-System_Config!$B$9)),"")</f>
        <v/>
      </c>
    </row>
    <row r="1086" spans="1:14" ht="15" customHeight="1" x14ac:dyDescent="0.25">
      <c r="A1086" t="str">
        <f>'NEW ACCOUNT'!A1087</f>
        <v/>
      </c>
      <c r="B1086" t="str">
        <f>IF('NEW ACCOUNT'!A1087="","",'NEW ACCOUNT'!B1087)</f>
        <v/>
      </c>
      <c r="C1086" t="str">
        <f>IF('NEW ACCOUNT'!A1087="","",'NEW ACCOUNT'!C1087)</f>
        <v/>
      </c>
      <c r="D1086" t="str">
        <f>IF('NEW ACCOUNT'!A1087="","",'NEW ACCOUNT'!D1087)</f>
        <v/>
      </c>
      <c r="E1086" t="str">
        <f>IF('NEW ACCOUNT'!A1087="","",'NEW ACCOUNT'!E1087)</f>
        <v/>
      </c>
      <c r="F1086" t="str">
        <f>IF('NEW ACCOUNT'!A1087="","",'NEW ACCOUNT'!F1087)</f>
        <v/>
      </c>
      <c r="G1086" t="str">
        <f>IF('NEW ACCOUNT'!A1087="","",'NEW ACCOUNT'!G1087)</f>
        <v/>
      </c>
      <c r="H1086" t="str">
        <f>IF('NEW ACCOUNT'!A1087="","",'NEW ACCOUNT'!H1087)</f>
        <v/>
      </c>
      <c r="I1086" t="str">
        <f>IF('NEW ACCOUNT'!A1087="","",'NEW ACCOUNT'!I1087)</f>
        <v/>
      </c>
      <c r="J1086" t="str">
        <f>IF('NEW ACCOUNT'!A1087="","",'NEW ACCOUNT'!J1087)</f>
        <v/>
      </c>
      <c r="K1086" t="str">
        <f>IFERROR(IF(A1086="","",SUMIF(DB_Savings!$A:$A,A1086,DB_Savings!$F:$F)),"")</f>
        <v/>
      </c>
      <c r="L1086" t="str">
        <f>IFERROR(IF(A1086="","",SUMIF(DB_Withdrawals!$A:$A,A1086,DB_Withdrawals!$G:$G)),"")</f>
        <v/>
      </c>
      <c r="M1086" t="str">
        <f>IFERROR(IF(A1086="","",IFERROR(VALUE(H1086),0)+IFERROR(SUMIF(DB_Savings!$A:$A,A1086,DB_Savings!$F:$F),0)-IFERROR(SUMIF(DB_Withdrawals!$A:$A,A1086,DB_Withdrawals!$G:$G),0)),"")</f>
        <v/>
      </c>
      <c r="N1086" t="str">
        <f>IFERROR(IF(A1086="","",MAX(0,M1086-System_Config!$B$9)),"")</f>
        <v/>
      </c>
    </row>
    <row r="1087" spans="1:14" ht="15" customHeight="1" x14ac:dyDescent="0.25">
      <c r="A1087" t="str">
        <f>'NEW ACCOUNT'!A1088</f>
        <v/>
      </c>
      <c r="B1087" t="str">
        <f>IF('NEW ACCOUNT'!A1088="","",'NEW ACCOUNT'!B1088)</f>
        <v/>
      </c>
      <c r="C1087" t="str">
        <f>IF('NEW ACCOUNT'!A1088="","",'NEW ACCOUNT'!C1088)</f>
        <v/>
      </c>
      <c r="D1087" t="str">
        <f>IF('NEW ACCOUNT'!A1088="","",'NEW ACCOUNT'!D1088)</f>
        <v/>
      </c>
      <c r="E1087" t="str">
        <f>IF('NEW ACCOUNT'!A1088="","",'NEW ACCOUNT'!E1088)</f>
        <v/>
      </c>
      <c r="F1087" t="str">
        <f>IF('NEW ACCOUNT'!A1088="","",'NEW ACCOUNT'!F1088)</f>
        <v/>
      </c>
      <c r="G1087" t="str">
        <f>IF('NEW ACCOUNT'!A1088="","",'NEW ACCOUNT'!G1088)</f>
        <v/>
      </c>
      <c r="H1087" t="str">
        <f>IF('NEW ACCOUNT'!A1088="","",'NEW ACCOUNT'!H1088)</f>
        <v/>
      </c>
      <c r="I1087" t="str">
        <f>IF('NEW ACCOUNT'!A1088="","",'NEW ACCOUNT'!I1088)</f>
        <v/>
      </c>
      <c r="J1087" t="str">
        <f>IF('NEW ACCOUNT'!A1088="","",'NEW ACCOUNT'!J1088)</f>
        <v/>
      </c>
      <c r="K1087" t="str">
        <f>IFERROR(IF(A1087="","",SUMIF(DB_Savings!$A:$A,A1087,DB_Savings!$F:$F)),"")</f>
        <v/>
      </c>
      <c r="L1087" t="str">
        <f>IFERROR(IF(A1087="","",SUMIF(DB_Withdrawals!$A:$A,A1087,DB_Withdrawals!$G:$G)),"")</f>
        <v/>
      </c>
      <c r="M1087" t="str">
        <f>IFERROR(IF(A1087="","",IFERROR(VALUE(H1087),0)+IFERROR(SUMIF(DB_Savings!$A:$A,A1087,DB_Savings!$F:$F),0)-IFERROR(SUMIF(DB_Withdrawals!$A:$A,A1087,DB_Withdrawals!$G:$G),0)),"")</f>
        <v/>
      </c>
      <c r="N1087" t="str">
        <f>IFERROR(IF(A1087="","",MAX(0,M1087-System_Config!$B$9)),"")</f>
        <v/>
      </c>
    </row>
    <row r="1088" spans="1:14" ht="15" customHeight="1" x14ac:dyDescent="0.25">
      <c r="A1088" t="str">
        <f>'NEW ACCOUNT'!A1089</f>
        <v/>
      </c>
      <c r="B1088" t="str">
        <f>IF('NEW ACCOUNT'!A1089="","",'NEW ACCOUNT'!B1089)</f>
        <v/>
      </c>
      <c r="C1088" t="str">
        <f>IF('NEW ACCOUNT'!A1089="","",'NEW ACCOUNT'!C1089)</f>
        <v/>
      </c>
      <c r="D1088" t="str">
        <f>IF('NEW ACCOUNT'!A1089="","",'NEW ACCOUNT'!D1089)</f>
        <v/>
      </c>
      <c r="E1088" t="str">
        <f>IF('NEW ACCOUNT'!A1089="","",'NEW ACCOUNT'!E1089)</f>
        <v/>
      </c>
      <c r="F1088" t="str">
        <f>IF('NEW ACCOUNT'!A1089="","",'NEW ACCOUNT'!F1089)</f>
        <v/>
      </c>
      <c r="G1088" t="str">
        <f>IF('NEW ACCOUNT'!A1089="","",'NEW ACCOUNT'!G1089)</f>
        <v/>
      </c>
      <c r="H1088" t="str">
        <f>IF('NEW ACCOUNT'!A1089="","",'NEW ACCOUNT'!H1089)</f>
        <v/>
      </c>
      <c r="I1088" t="str">
        <f>IF('NEW ACCOUNT'!A1089="","",'NEW ACCOUNT'!I1089)</f>
        <v/>
      </c>
      <c r="J1088" t="str">
        <f>IF('NEW ACCOUNT'!A1089="","",'NEW ACCOUNT'!J1089)</f>
        <v/>
      </c>
      <c r="K1088" t="str">
        <f>IFERROR(IF(A1088="","",SUMIF(DB_Savings!$A:$A,A1088,DB_Savings!$F:$F)),"")</f>
        <v/>
      </c>
      <c r="L1088" t="str">
        <f>IFERROR(IF(A1088="","",SUMIF(DB_Withdrawals!$A:$A,A1088,DB_Withdrawals!$G:$G)),"")</f>
        <v/>
      </c>
      <c r="M1088" t="str">
        <f>IFERROR(IF(A1088="","",IFERROR(VALUE(H1088),0)+IFERROR(SUMIF(DB_Savings!$A:$A,A1088,DB_Savings!$F:$F),0)-IFERROR(SUMIF(DB_Withdrawals!$A:$A,A1088,DB_Withdrawals!$G:$G),0)),"")</f>
        <v/>
      </c>
      <c r="N1088" t="str">
        <f>IFERROR(IF(A1088="","",MAX(0,M1088-System_Config!$B$9)),"")</f>
        <v/>
      </c>
    </row>
    <row r="1089" spans="1:14" ht="15" customHeight="1" x14ac:dyDescent="0.25">
      <c r="A1089" t="str">
        <f>'NEW ACCOUNT'!A1090</f>
        <v/>
      </c>
      <c r="B1089" t="str">
        <f>IF('NEW ACCOUNT'!A1090="","",'NEW ACCOUNT'!B1090)</f>
        <v/>
      </c>
      <c r="C1089" t="str">
        <f>IF('NEW ACCOUNT'!A1090="","",'NEW ACCOUNT'!C1090)</f>
        <v/>
      </c>
      <c r="D1089" t="str">
        <f>IF('NEW ACCOUNT'!A1090="","",'NEW ACCOUNT'!D1090)</f>
        <v/>
      </c>
      <c r="E1089" t="str">
        <f>IF('NEW ACCOUNT'!A1090="","",'NEW ACCOUNT'!E1090)</f>
        <v/>
      </c>
      <c r="F1089" t="str">
        <f>IF('NEW ACCOUNT'!A1090="","",'NEW ACCOUNT'!F1090)</f>
        <v/>
      </c>
      <c r="G1089" t="str">
        <f>IF('NEW ACCOUNT'!A1090="","",'NEW ACCOUNT'!G1090)</f>
        <v/>
      </c>
      <c r="H1089" t="str">
        <f>IF('NEW ACCOUNT'!A1090="","",'NEW ACCOUNT'!H1090)</f>
        <v/>
      </c>
      <c r="I1089" t="str">
        <f>IF('NEW ACCOUNT'!A1090="","",'NEW ACCOUNT'!I1090)</f>
        <v/>
      </c>
      <c r="J1089" t="str">
        <f>IF('NEW ACCOUNT'!A1090="","",'NEW ACCOUNT'!J1090)</f>
        <v/>
      </c>
      <c r="K1089" t="str">
        <f>IFERROR(IF(A1089="","",SUMIF(DB_Savings!$A:$A,A1089,DB_Savings!$F:$F)),"")</f>
        <v/>
      </c>
      <c r="L1089" t="str">
        <f>IFERROR(IF(A1089="","",SUMIF(DB_Withdrawals!$A:$A,A1089,DB_Withdrawals!$G:$G)),"")</f>
        <v/>
      </c>
      <c r="M1089" t="str">
        <f>IFERROR(IF(A1089="","",IFERROR(VALUE(H1089),0)+IFERROR(SUMIF(DB_Savings!$A:$A,A1089,DB_Savings!$F:$F),0)-IFERROR(SUMIF(DB_Withdrawals!$A:$A,A1089,DB_Withdrawals!$G:$G),0)),"")</f>
        <v/>
      </c>
      <c r="N1089" t="str">
        <f>IFERROR(IF(A1089="","",MAX(0,M1089-System_Config!$B$9)),"")</f>
        <v/>
      </c>
    </row>
    <row r="1090" spans="1:14" ht="15" customHeight="1" x14ac:dyDescent="0.25">
      <c r="A1090" t="str">
        <f>'NEW ACCOUNT'!A1091</f>
        <v/>
      </c>
      <c r="B1090" t="str">
        <f>IF('NEW ACCOUNT'!A1091="","",'NEW ACCOUNT'!B1091)</f>
        <v/>
      </c>
      <c r="C1090" t="str">
        <f>IF('NEW ACCOUNT'!A1091="","",'NEW ACCOUNT'!C1091)</f>
        <v/>
      </c>
      <c r="D1090" t="str">
        <f>IF('NEW ACCOUNT'!A1091="","",'NEW ACCOUNT'!D1091)</f>
        <v/>
      </c>
      <c r="E1090" t="str">
        <f>IF('NEW ACCOUNT'!A1091="","",'NEW ACCOUNT'!E1091)</f>
        <v/>
      </c>
      <c r="F1090" t="str">
        <f>IF('NEW ACCOUNT'!A1091="","",'NEW ACCOUNT'!F1091)</f>
        <v/>
      </c>
      <c r="G1090" t="str">
        <f>IF('NEW ACCOUNT'!A1091="","",'NEW ACCOUNT'!G1091)</f>
        <v/>
      </c>
      <c r="H1090" t="str">
        <f>IF('NEW ACCOUNT'!A1091="","",'NEW ACCOUNT'!H1091)</f>
        <v/>
      </c>
      <c r="I1090" t="str">
        <f>IF('NEW ACCOUNT'!A1091="","",'NEW ACCOUNT'!I1091)</f>
        <v/>
      </c>
      <c r="J1090" t="str">
        <f>IF('NEW ACCOUNT'!A1091="","",'NEW ACCOUNT'!J1091)</f>
        <v/>
      </c>
      <c r="K1090" t="str">
        <f>IFERROR(IF(A1090="","",SUMIF(DB_Savings!$A:$A,A1090,DB_Savings!$F:$F)),"")</f>
        <v/>
      </c>
      <c r="L1090" t="str">
        <f>IFERROR(IF(A1090="","",SUMIF(DB_Withdrawals!$A:$A,A1090,DB_Withdrawals!$G:$G)),"")</f>
        <v/>
      </c>
      <c r="M1090" t="str">
        <f>IFERROR(IF(A1090="","",IFERROR(VALUE(H1090),0)+IFERROR(SUMIF(DB_Savings!$A:$A,A1090,DB_Savings!$F:$F),0)-IFERROR(SUMIF(DB_Withdrawals!$A:$A,A1090,DB_Withdrawals!$G:$G),0)),"")</f>
        <v/>
      </c>
      <c r="N1090" t="str">
        <f>IFERROR(IF(A1090="","",MAX(0,M1090-System_Config!$B$9)),"")</f>
        <v/>
      </c>
    </row>
    <row r="1091" spans="1:14" ht="15" customHeight="1" x14ac:dyDescent="0.25">
      <c r="A1091" t="str">
        <f>'NEW ACCOUNT'!A1092</f>
        <v/>
      </c>
      <c r="B1091" t="str">
        <f>IF('NEW ACCOUNT'!A1092="","",'NEW ACCOUNT'!B1092)</f>
        <v/>
      </c>
      <c r="C1091" t="str">
        <f>IF('NEW ACCOUNT'!A1092="","",'NEW ACCOUNT'!C1092)</f>
        <v/>
      </c>
      <c r="D1091" t="str">
        <f>IF('NEW ACCOUNT'!A1092="","",'NEW ACCOUNT'!D1092)</f>
        <v/>
      </c>
      <c r="E1091" t="str">
        <f>IF('NEW ACCOUNT'!A1092="","",'NEW ACCOUNT'!E1092)</f>
        <v/>
      </c>
      <c r="F1091" t="str">
        <f>IF('NEW ACCOUNT'!A1092="","",'NEW ACCOUNT'!F1092)</f>
        <v/>
      </c>
      <c r="G1091" t="str">
        <f>IF('NEW ACCOUNT'!A1092="","",'NEW ACCOUNT'!G1092)</f>
        <v/>
      </c>
      <c r="H1091" t="str">
        <f>IF('NEW ACCOUNT'!A1092="","",'NEW ACCOUNT'!H1092)</f>
        <v/>
      </c>
      <c r="I1091" t="str">
        <f>IF('NEW ACCOUNT'!A1092="","",'NEW ACCOUNT'!I1092)</f>
        <v/>
      </c>
      <c r="J1091" t="str">
        <f>IF('NEW ACCOUNT'!A1092="","",'NEW ACCOUNT'!J1092)</f>
        <v/>
      </c>
      <c r="K1091" t="str">
        <f>IFERROR(IF(A1091="","",SUMIF(DB_Savings!$A:$A,A1091,DB_Savings!$F:$F)),"")</f>
        <v/>
      </c>
      <c r="L1091" t="str">
        <f>IFERROR(IF(A1091="","",SUMIF(DB_Withdrawals!$A:$A,A1091,DB_Withdrawals!$G:$G)),"")</f>
        <v/>
      </c>
      <c r="M1091" t="str">
        <f>IFERROR(IF(A1091="","",IFERROR(VALUE(H1091),0)+IFERROR(SUMIF(DB_Savings!$A:$A,A1091,DB_Savings!$F:$F),0)-IFERROR(SUMIF(DB_Withdrawals!$A:$A,A1091,DB_Withdrawals!$G:$G),0)),"")</f>
        <v/>
      </c>
      <c r="N1091" t="str">
        <f>IFERROR(IF(A1091="","",MAX(0,M1091-System_Config!$B$9)),"")</f>
        <v/>
      </c>
    </row>
    <row r="1092" spans="1:14" ht="15" customHeight="1" x14ac:dyDescent="0.25">
      <c r="A1092" t="str">
        <f>'NEW ACCOUNT'!A1093</f>
        <v/>
      </c>
      <c r="B1092" t="str">
        <f>IF('NEW ACCOUNT'!A1093="","",'NEW ACCOUNT'!B1093)</f>
        <v/>
      </c>
      <c r="C1092" t="str">
        <f>IF('NEW ACCOUNT'!A1093="","",'NEW ACCOUNT'!C1093)</f>
        <v/>
      </c>
      <c r="D1092" t="str">
        <f>IF('NEW ACCOUNT'!A1093="","",'NEW ACCOUNT'!D1093)</f>
        <v/>
      </c>
      <c r="E1092" t="str">
        <f>IF('NEW ACCOUNT'!A1093="","",'NEW ACCOUNT'!E1093)</f>
        <v/>
      </c>
      <c r="F1092" t="str">
        <f>IF('NEW ACCOUNT'!A1093="","",'NEW ACCOUNT'!F1093)</f>
        <v/>
      </c>
      <c r="G1092" t="str">
        <f>IF('NEW ACCOUNT'!A1093="","",'NEW ACCOUNT'!G1093)</f>
        <v/>
      </c>
      <c r="H1092" t="str">
        <f>IF('NEW ACCOUNT'!A1093="","",'NEW ACCOUNT'!H1093)</f>
        <v/>
      </c>
      <c r="I1092" t="str">
        <f>IF('NEW ACCOUNT'!A1093="","",'NEW ACCOUNT'!I1093)</f>
        <v/>
      </c>
      <c r="J1092" t="str">
        <f>IF('NEW ACCOUNT'!A1093="","",'NEW ACCOUNT'!J1093)</f>
        <v/>
      </c>
      <c r="K1092" t="str">
        <f>IFERROR(IF(A1092="","",SUMIF(DB_Savings!$A:$A,A1092,DB_Savings!$F:$F)),"")</f>
        <v/>
      </c>
      <c r="L1092" t="str">
        <f>IFERROR(IF(A1092="","",SUMIF(DB_Withdrawals!$A:$A,A1092,DB_Withdrawals!$G:$G)),"")</f>
        <v/>
      </c>
      <c r="M1092" t="str">
        <f>IFERROR(IF(A1092="","",IFERROR(VALUE(H1092),0)+IFERROR(SUMIF(DB_Savings!$A:$A,A1092,DB_Savings!$F:$F),0)-IFERROR(SUMIF(DB_Withdrawals!$A:$A,A1092,DB_Withdrawals!$G:$G),0)),"")</f>
        <v/>
      </c>
      <c r="N1092" t="str">
        <f>IFERROR(IF(A1092="","",MAX(0,M1092-System_Config!$B$9)),"")</f>
        <v/>
      </c>
    </row>
    <row r="1093" spans="1:14" ht="15" customHeight="1" x14ac:dyDescent="0.25">
      <c r="A1093" t="str">
        <f>'NEW ACCOUNT'!A1094</f>
        <v/>
      </c>
      <c r="B1093" t="str">
        <f>IF('NEW ACCOUNT'!A1094="","",'NEW ACCOUNT'!B1094)</f>
        <v/>
      </c>
      <c r="C1093" t="str">
        <f>IF('NEW ACCOUNT'!A1094="","",'NEW ACCOUNT'!C1094)</f>
        <v/>
      </c>
      <c r="D1093" t="str">
        <f>IF('NEW ACCOUNT'!A1094="","",'NEW ACCOUNT'!D1094)</f>
        <v/>
      </c>
      <c r="E1093" t="str">
        <f>IF('NEW ACCOUNT'!A1094="","",'NEW ACCOUNT'!E1094)</f>
        <v/>
      </c>
      <c r="F1093" t="str">
        <f>IF('NEW ACCOUNT'!A1094="","",'NEW ACCOUNT'!F1094)</f>
        <v/>
      </c>
      <c r="G1093" t="str">
        <f>IF('NEW ACCOUNT'!A1094="","",'NEW ACCOUNT'!G1094)</f>
        <v/>
      </c>
      <c r="H1093" t="str">
        <f>IF('NEW ACCOUNT'!A1094="","",'NEW ACCOUNT'!H1094)</f>
        <v/>
      </c>
      <c r="I1093" t="str">
        <f>IF('NEW ACCOUNT'!A1094="","",'NEW ACCOUNT'!I1094)</f>
        <v/>
      </c>
      <c r="J1093" t="str">
        <f>IF('NEW ACCOUNT'!A1094="","",'NEW ACCOUNT'!J1094)</f>
        <v/>
      </c>
      <c r="K1093" t="str">
        <f>IFERROR(IF(A1093="","",SUMIF(DB_Savings!$A:$A,A1093,DB_Savings!$F:$F)),"")</f>
        <v/>
      </c>
      <c r="L1093" t="str">
        <f>IFERROR(IF(A1093="","",SUMIF(DB_Withdrawals!$A:$A,A1093,DB_Withdrawals!$G:$G)),"")</f>
        <v/>
      </c>
      <c r="M1093" t="str">
        <f>IFERROR(IF(A1093="","",IFERROR(VALUE(H1093),0)+IFERROR(SUMIF(DB_Savings!$A:$A,A1093,DB_Savings!$F:$F),0)-IFERROR(SUMIF(DB_Withdrawals!$A:$A,A1093,DB_Withdrawals!$G:$G),0)),"")</f>
        <v/>
      </c>
      <c r="N1093" t="str">
        <f>IFERROR(IF(A1093="","",MAX(0,M1093-System_Config!$B$9)),"")</f>
        <v/>
      </c>
    </row>
    <row r="1094" spans="1:14" ht="15" customHeight="1" x14ac:dyDescent="0.25">
      <c r="A1094" t="str">
        <f>'NEW ACCOUNT'!A1095</f>
        <v/>
      </c>
      <c r="B1094" t="str">
        <f>IF('NEW ACCOUNT'!A1095="","",'NEW ACCOUNT'!B1095)</f>
        <v/>
      </c>
      <c r="C1094" t="str">
        <f>IF('NEW ACCOUNT'!A1095="","",'NEW ACCOUNT'!C1095)</f>
        <v/>
      </c>
      <c r="D1094" t="str">
        <f>IF('NEW ACCOUNT'!A1095="","",'NEW ACCOUNT'!D1095)</f>
        <v/>
      </c>
      <c r="E1094" t="str">
        <f>IF('NEW ACCOUNT'!A1095="","",'NEW ACCOUNT'!E1095)</f>
        <v/>
      </c>
      <c r="F1094" t="str">
        <f>IF('NEW ACCOUNT'!A1095="","",'NEW ACCOUNT'!F1095)</f>
        <v/>
      </c>
      <c r="G1094" t="str">
        <f>IF('NEW ACCOUNT'!A1095="","",'NEW ACCOUNT'!G1095)</f>
        <v/>
      </c>
      <c r="H1094" t="str">
        <f>IF('NEW ACCOUNT'!A1095="","",'NEW ACCOUNT'!H1095)</f>
        <v/>
      </c>
      <c r="I1094" t="str">
        <f>IF('NEW ACCOUNT'!A1095="","",'NEW ACCOUNT'!I1095)</f>
        <v/>
      </c>
      <c r="J1094" t="str">
        <f>IF('NEW ACCOUNT'!A1095="","",'NEW ACCOUNT'!J1095)</f>
        <v/>
      </c>
      <c r="K1094" t="str">
        <f>IFERROR(IF(A1094="","",SUMIF(DB_Savings!$A:$A,A1094,DB_Savings!$F:$F)),"")</f>
        <v/>
      </c>
      <c r="L1094" t="str">
        <f>IFERROR(IF(A1094="","",SUMIF(DB_Withdrawals!$A:$A,A1094,DB_Withdrawals!$G:$G)),"")</f>
        <v/>
      </c>
      <c r="M1094" t="str">
        <f>IFERROR(IF(A1094="","",IFERROR(VALUE(H1094),0)+IFERROR(SUMIF(DB_Savings!$A:$A,A1094,DB_Savings!$F:$F),0)-IFERROR(SUMIF(DB_Withdrawals!$A:$A,A1094,DB_Withdrawals!$G:$G),0)),"")</f>
        <v/>
      </c>
      <c r="N1094" t="str">
        <f>IFERROR(IF(A1094="","",MAX(0,M1094-System_Config!$B$9)),"")</f>
        <v/>
      </c>
    </row>
    <row r="1095" spans="1:14" ht="15" customHeight="1" x14ac:dyDescent="0.25">
      <c r="A1095" t="str">
        <f>'NEW ACCOUNT'!A1096</f>
        <v/>
      </c>
      <c r="B1095" t="str">
        <f>IF('NEW ACCOUNT'!A1096="","",'NEW ACCOUNT'!B1096)</f>
        <v/>
      </c>
      <c r="C1095" t="str">
        <f>IF('NEW ACCOUNT'!A1096="","",'NEW ACCOUNT'!C1096)</f>
        <v/>
      </c>
      <c r="D1095" t="str">
        <f>IF('NEW ACCOUNT'!A1096="","",'NEW ACCOUNT'!D1096)</f>
        <v/>
      </c>
      <c r="E1095" t="str">
        <f>IF('NEW ACCOUNT'!A1096="","",'NEW ACCOUNT'!E1096)</f>
        <v/>
      </c>
      <c r="F1095" t="str">
        <f>IF('NEW ACCOUNT'!A1096="","",'NEW ACCOUNT'!F1096)</f>
        <v/>
      </c>
      <c r="G1095" t="str">
        <f>IF('NEW ACCOUNT'!A1096="","",'NEW ACCOUNT'!G1096)</f>
        <v/>
      </c>
      <c r="H1095" t="str">
        <f>IF('NEW ACCOUNT'!A1096="","",'NEW ACCOUNT'!H1096)</f>
        <v/>
      </c>
      <c r="I1095" t="str">
        <f>IF('NEW ACCOUNT'!A1096="","",'NEW ACCOUNT'!I1096)</f>
        <v/>
      </c>
      <c r="J1095" t="str">
        <f>IF('NEW ACCOUNT'!A1096="","",'NEW ACCOUNT'!J1096)</f>
        <v/>
      </c>
      <c r="K1095" t="str">
        <f>IFERROR(IF(A1095="","",SUMIF(DB_Savings!$A:$A,A1095,DB_Savings!$F:$F)),"")</f>
        <v/>
      </c>
      <c r="L1095" t="str">
        <f>IFERROR(IF(A1095="","",SUMIF(DB_Withdrawals!$A:$A,A1095,DB_Withdrawals!$G:$G)),"")</f>
        <v/>
      </c>
      <c r="M1095" t="str">
        <f>IFERROR(IF(A1095="","",IFERROR(VALUE(H1095),0)+IFERROR(SUMIF(DB_Savings!$A:$A,A1095,DB_Savings!$F:$F),0)-IFERROR(SUMIF(DB_Withdrawals!$A:$A,A1095,DB_Withdrawals!$G:$G),0)),"")</f>
        <v/>
      </c>
      <c r="N1095" t="str">
        <f>IFERROR(IF(A1095="","",MAX(0,M1095-System_Config!$B$9)),"")</f>
        <v/>
      </c>
    </row>
    <row r="1096" spans="1:14" ht="15" customHeight="1" x14ac:dyDescent="0.25">
      <c r="A1096" t="str">
        <f>'NEW ACCOUNT'!A1097</f>
        <v/>
      </c>
      <c r="B1096" t="str">
        <f>IF('NEW ACCOUNT'!A1097="","",'NEW ACCOUNT'!B1097)</f>
        <v/>
      </c>
      <c r="C1096" t="str">
        <f>IF('NEW ACCOUNT'!A1097="","",'NEW ACCOUNT'!C1097)</f>
        <v/>
      </c>
      <c r="D1096" t="str">
        <f>IF('NEW ACCOUNT'!A1097="","",'NEW ACCOUNT'!D1097)</f>
        <v/>
      </c>
      <c r="E1096" t="str">
        <f>IF('NEW ACCOUNT'!A1097="","",'NEW ACCOUNT'!E1097)</f>
        <v/>
      </c>
      <c r="F1096" t="str">
        <f>IF('NEW ACCOUNT'!A1097="","",'NEW ACCOUNT'!F1097)</f>
        <v/>
      </c>
      <c r="G1096" t="str">
        <f>IF('NEW ACCOUNT'!A1097="","",'NEW ACCOUNT'!G1097)</f>
        <v/>
      </c>
      <c r="H1096" t="str">
        <f>IF('NEW ACCOUNT'!A1097="","",'NEW ACCOUNT'!H1097)</f>
        <v/>
      </c>
      <c r="I1096" t="str">
        <f>IF('NEW ACCOUNT'!A1097="","",'NEW ACCOUNT'!I1097)</f>
        <v/>
      </c>
      <c r="J1096" t="str">
        <f>IF('NEW ACCOUNT'!A1097="","",'NEW ACCOUNT'!J1097)</f>
        <v/>
      </c>
      <c r="K1096" t="str">
        <f>IFERROR(IF(A1096="","",SUMIF(DB_Savings!$A:$A,A1096,DB_Savings!$F:$F)),"")</f>
        <v/>
      </c>
      <c r="L1096" t="str">
        <f>IFERROR(IF(A1096="","",SUMIF(DB_Withdrawals!$A:$A,A1096,DB_Withdrawals!$G:$G)),"")</f>
        <v/>
      </c>
      <c r="M1096" t="str">
        <f>IFERROR(IF(A1096="","",IFERROR(VALUE(H1096),0)+IFERROR(SUMIF(DB_Savings!$A:$A,A1096,DB_Savings!$F:$F),0)-IFERROR(SUMIF(DB_Withdrawals!$A:$A,A1096,DB_Withdrawals!$G:$G),0)),"")</f>
        <v/>
      </c>
      <c r="N1096" t="str">
        <f>IFERROR(IF(A1096="","",MAX(0,M1096-System_Config!$B$9)),"")</f>
        <v/>
      </c>
    </row>
    <row r="1097" spans="1:14" ht="15" customHeight="1" x14ac:dyDescent="0.25">
      <c r="A1097" t="str">
        <f>'NEW ACCOUNT'!A1098</f>
        <v/>
      </c>
      <c r="B1097" t="str">
        <f>IF('NEW ACCOUNT'!A1098="","",'NEW ACCOUNT'!B1098)</f>
        <v/>
      </c>
      <c r="C1097" t="str">
        <f>IF('NEW ACCOUNT'!A1098="","",'NEW ACCOUNT'!C1098)</f>
        <v/>
      </c>
      <c r="D1097" t="str">
        <f>IF('NEW ACCOUNT'!A1098="","",'NEW ACCOUNT'!D1098)</f>
        <v/>
      </c>
      <c r="E1097" t="str">
        <f>IF('NEW ACCOUNT'!A1098="","",'NEW ACCOUNT'!E1098)</f>
        <v/>
      </c>
      <c r="F1097" t="str">
        <f>IF('NEW ACCOUNT'!A1098="","",'NEW ACCOUNT'!F1098)</f>
        <v/>
      </c>
      <c r="G1097" t="str">
        <f>IF('NEW ACCOUNT'!A1098="","",'NEW ACCOUNT'!G1098)</f>
        <v/>
      </c>
      <c r="H1097" t="str">
        <f>IF('NEW ACCOUNT'!A1098="","",'NEW ACCOUNT'!H1098)</f>
        <v/>
      </c>
      <c r="I1097" t="str">
        <f>IF('NEW ACCOUNT'!A1098="","",'NEW ACCOUNT'!I1098)</f>
        <v/>
      </c>
      <c r="J1097" t="str">
        <f>IF('NEW ACCOUNT'!A1098="","",'NEW ACCOUNT'!J1098)</f>
        <v/>
      </c>
      <c r="K1097" t="str">
        <f>IFERROR(IF(A1097="","",SUMIF(DB_Savings!$A:$A,A1097,DB_Savings!$F:$F)),"")</f>
        <v/>
      </c>
      <c r="L1097" t="str">
        <f>IFERROR(IF(A1097="","",SUMIF(DB_Withdrawals!$A:$A,A1097,DB_Withdrawals!$G:$G)),"")</f>
        <v/>
      </c>
      <c r="M1097" t="str">
        <f>IFERROR(IF(A1097="","",IFERROR(VALUE(H1097),0)+IFERROR(SUMIF(DB_Savings!$A:$A,A1097,DB_Savings!$F:$F),0)-IFERROR(SUMIF(DB_Withdrawals!$A:$A,A1097,DB_Withdrawals!$G:$G),0)),"")</f>
        <v/>
      </c>
      <c r="N1097" t="str">
        <f>IFERROR(IF(A1097="","",MAX(0,M1097-System_Config!$B$9)),"")</f>
        <v/>
      </c>
    </row>
    <row r="1098" spans="1:14" ht="15" customHeight="1" x14ac:dyDescent="0.25">
      <c r="A1098" t="str">
        <f>'NEW ACCOUNT'!A1099</f>
        <v/>
      </c>
      <c r="B1098" t="str">
        <f>IF('NEW ACCOUNT'!A1099="","",'NEW ACCOUNT'!B1099)</f>
        <v/>
      </c>
      <c r="C1098" t="str">
        <f>IF('NEW ACCOUNT'!A1099="","",'NEW ACCOUNT'!C1099)</f>
        <v/>
      </c>
      <c r="D1098" t="str">
        <f>IF('NEW ACCOUNT'!A1099="","",'NEW ACCOUNT'!D1099)</f>
        <v/>
      </c>
      <c r="E1098" t="str">
        <f>IF('NEW ACCOUNT'!A1099="","",'NEW ACCOUNT'!E1099)</f>
        <v/>
      </c>
      <c r="F1098" t="str">
        <f>IF('NEW ACCOUNT'!A1099="","",'NEW ACCOUNT'!F1099)</f>
        <v/>
      </c>
      <c r="G1098" t="str">
        <f>IF('NEW ACCOUNT'!A1099="","",'NEW ACCOUNT'!G1099)</f>
        <v/>
      </c>
      <c r="H1098" t="str">
        <f>IF('NEW ACCOUNT'!A1099="","",'NEW ACCOUNT'!H1099)</f>
        <v/>
      </c>
      <c r="I1098" t="str">
        <f>IF('NEW ACCOUNT'!A1099="","",'NEW ACCOUNT'!I1099)</f>
        <v/>
      </c>
      <c r="J1098" t="str">
        <f>IF('NEW ACCOUNT'!A1099="","",'NEW ACCOUNT'!J1099)</f>
        <v/>
      </c>
      <c r="K1098" t="str">
        <f>IFERROR(IF(A1098="","",SUMIF(DB_Savings!$A:$A,A1098,DB_Savings!$F:$F)),"")</f>
        <v/>
      </c>
      <c r="L1098" t="str">
        <f>IFERROR(IF(A1098="","",SUMIF(DB_Withdrawals!$A:$A,A1098,DB_Withdrawals!$G:$G)),"")</f>
        <v/>
      </c>
      <c r="M1098" t="str">
        <f>IFERROR(IF(A1098="","",IFERROR(VALUE(H1098),0)+IFERROR(SUMIF(DB_Savings!$A:$A,A1098,DB_Savings!$F:$F),0)-IFERROR(SUMIF(DB_Withdrawals!$A:$A,A1098,DB_Withdrawals!$G:$G),0)),"")</f>
        <v/>
      </c>
      <c r="N1098" t="str">
        <f>IFERROR(IF(A1098="","",MAX(0,M1098-System_Config!$B$9)),"")</f>
        <v/>
      </c>
    </row>
    <row r="1099" spans="1:14" ht="15" customHeight="1" x14ac:dyDescent="0.25">
      <c r="A1099" t="str">
        <f>'NEW ACCOUNT'!A1100</f>
        <v/>
      </c>
      <c r="B1099" t="str">
        <f>IF('NEW ACCOUNT'!A1100="","",'NEW ACCOUNT'!B1100)</f>
        <v/>
      </c>
      <c r="C1099" t="str">
        <f>IF('NEW ACCOUNT'!A1100="","",'NEW ACCOUNT'!C1100)</f>
        <v/>
      </c>
      <c r="D1099" t="str">
        <f>IF('NEW ACCOUNT'!A1100="","",'NEW ACCOUNT'!D1100)</f>
        <v/>
      </c>
      <c r="E1099" t="str">
        <f>IF('NEW ACCOUNT'!A1100="","",'NEW ACCOUNT'!E1100)</f>
        <v/>
      </c>
      <c r="F1099" t="str">
        <f>IF('NEW ACCOUNT'!A1100="","",'NEW ACCOUNT'!F1100)</f>
        <v/>
      </c>
      <c r="G1099" t="str">
        <f>IF('NEW ACCOUNT'!A1100="","",'NEW ACCOUNT'!G1100)</f>
        <v/>
      </c>
      <c r="H1099" t="str">
        <f>IF('NEW ACCOUNT'!A1100="","",'NEW ACCOUNT'!H1100)</f>
        <v/>
      </c>
      <c r="I1099" t="str">
        <f>IF('NEW ACCOUNT'!A1100="","",'NEW ACCOUNT'!I1100)</f>
        <v/>
      </c>
      <c r="J1099" t="str">
        <f>IF('NEW ACCOUNT'!A1100="","",'NEW ACCOUNT'!J1100)</f>
        <v/>
      </c>
      <c r="K1099" t="str">
        <f>IFERROR(IF(A1099="","",SUMIF(DB_Savings!$A:$A,A1099,DB_Savings!$F:$F)),"")</f>
        <v/>
      </c>
      <c r="L1099" t="str">
        <f>IFERROR(IF(A1099="","",SUMIF(DB_Withdrawals!$A:$A,A1099,DB_Withdrawals!$G:$G)),"")</f>
        <v/>
      </c>
      <c r="M1099" t="str">
        <f>IFERROR(IF(A1099="","",IFERROR(VALUE(H1099),0)+IFERROR(SUMIF(DB_Savings!$A:$A,A1099,DB_Savings!$F:$F),0)-IFERROR(SUMIF(DB_Withdrawals!$A:$A,A1099,DB_Withdrawals!$G:$G),0)),"")</f>
        <v/>
      </c>
      <c r="N1099" t="str">
        <f>IFERROR(IF(A1099="","",MAX(0,M1099-System_Config!$B$9)),"")</f>
        <v/>
      </c>
    </row>
    <row r="1100" spans="1:14" ht="15" customHeight="1" x14ac:dyDescent="0.25">
      <c r="A1100" t="str">
        <f>'NEW ACCOUNT'!A1101</f>
        <v/>
      </c>
      <c r="B1100" t="str">
        <f>IF('NEW ACCOUNT'!A1101="","",'NEW ACCOUNT'!B1101)</f>
        <v/>
      </c>
      <c r="C1100" t="str">
        <f>IF('NEW ACCOUNT'!A1101="","",'NEW ACCOUNT'!C1101)</f>
        <v/>
      </c>
      <c r="D1100" t="str">
        <f>IF('NEW ACCOUNT'!A1101="","",'NEW ACCOUNT'!D1101)</f>
        <v/>
      </c>
      <c r="E1100" t="str">
        <f>IF('NEW ACCOUNT'!A1101="","",'NEW ACCOUNT'!E1101)</f>
        <v/>
      </c>
      <c r="F1100" t="str">
        <f>IF('NEW ACCOUNT'!A1101="","",'NEW ACCOUNT'!F1101)</f>
        <v/>
      </c>
      <c r="G1100" t="str">
        <f>IF('NEW ACCOUNT'!A1101="","",'NEW ACCOUNT'!G1101)</f>
        <v/>
      </c>
      <c r="H1100" t="str">
        <f>IF('NEW ACCOUNT'!A1101="","",'NEW ACCOUNT'!H1101)</f>
        <v/>
      </c>
      <c r="I1100" t="str">
        <f>IF('NEW ACCOUNT'!A1101="","",'NEW ACCOUNT'!I1101)</f>
        <v/>
      </c>
      <c r="J1100" t="str">
        <f>IF('NEW ACCOUNT'!A1101="","",'NEW ACCOUNT'!J1101)</f>
        <v/>
      </c>
      <c r="K1100" t="str">
        <f>IFERROR(IF(A1100="","",SUMIF(DB_Savings!$A:$A,A1100,DB_Savings!$F:$F)),"")</f>
        <v/>
      </c>
      <c r="L1100" t="str">
        <f>IFERROR(IF(A1100="","",SUMIF(DB_Withdrawals!$A:$A,A1100,DB_Withdrawals!$G:$G)),"")</f>
        <v/>
      </c>
      <c r="M1100" t="str">
        <f>IFERROR(IF(A1100="","",IFERROR(VALUE(H1100),0)+IFERROR(SUMIF(DB_Savings!$A:$A,A1100,DB_Savings!$F:$F),0)-IFERROR(SUMIF(DB_Withdrawals!$A:$A,A1100,DB_Withdrawals!$G:$G),0)),"")</f>
        <v/>
      </c>
      <c r="N1100" t="str">
        <f>IFERROR(IF(A1100="","",MAX(0,M1100-System_Config!$B$9)),"")</f>
        <v/>
      </c>
    </row>
    <row r="1101" spans="1:14" ht="15" customHeight="1" x14ac:dyDescent="0.25">
      <c r="A1101" t="str">
        <f>'NEW ACCOUNT'!A1102</f>
        <v/>
      </c>
      <c r="B1101" t="str">
        <f>IF('NEW ACCOUNT'!A1102="","",'NEW ACCOUNT'!B1102)</f>
        <v/>
      </c>
      <c r="C1101" t="str">
        <f>IF('NEW ACCOUNT'!A1102="","",'NEW ACCOUNT'!C1102)</f>
        <v/>
      </c>
      <c r="D1101" t="str">
        <f>IF('NEW ACCOUNT'!A1102="","",'NEW ACCOUNT'!D1102)</f>
        <v/>
      </c>
      <c r="E1101" t="str">
        <f>IF('NEW ACCOUNT'!A1102="","",'NEW ACCOUNT'!E1102)</f>
        <v/>
      </c>
      <c r="F1101" t="str">
        <f>IF('NEW ACCOUNT'!A1102="","",'NEW ACCOUNT'!F1102)</f>
        <v/>
      </c>
      <c r="G1101" t="str">
        <f>IF('NEW ACCOUNT'!A1102="","",'NEW ACCOUNT'!G1102)</f>
        <v/>
      </c>
      <c r="H1101" t="str">
        <f>IF('NEW ACCOUNT'!A1102="","",'NEW ACCOUNT'!H1102)</f>
        <v/>
      </c>
      <c r="I1101" t="str">
        <f>IF('NEW ACCOUNT'!A1102="","",'NEW ACCOUNT'!I1102)</f>
        <v/>
      </c>
      <c r="J1101" t="str">
        <f>IF('NEW ACCOUNT'!A1102="","",'NEW ACCOUNT'!J1102)</f>
        <v/>
      </c>
      <c r="K1101" t="str">
        <f>IFERROR(IF(A1101="","",SUMIF(DB_Savings!$A:$A,A1101,DB_Savings!$F:$F)),"")</f>
        <v/>
      </c>
      <c r="L1101" t="str">
        <f>IFERROR(IF(A1101="","",SUMIF(DB_Withdrawals!$A:$A,A1101,DB_Withdrawals!$G:$G)),"")</f>
        <v/>
      </c>
      <c r="M1101" t="str">
        <f>IFERROR(IF(A1101="","",IFERROR(VALUE(H1101),0)+IFERROR(SUMIF(DB_Savings!$A:$A,A1101,DB_Savings!$F:$F),0)-IFERROR(SUMIF(DB_Withdrawals!$A:$A,A1101,DB_Withdrawals!$G:$G),0)),"")</f>
        <v/>
      </c>
      <c r="N1101" t="str">
        <f>IFERROR(IF(A1101="","",MAX(0,M1101-System_Config!$B$9)),"")</f>
        <v/>
      </c>
    </row>
    <row r="1102" spans="1:14" ht="15" customHeight="1" x14ac:dyDescent="0.25">
      <c r="A1102" t="str">
        <f>'NEW ACCOUNT'!A1103</f>
        <v/>
      </c>
      <c r="B1102" t="str">
        <f>IF('NEW ACCOUNT'!A1103="","",'NEW ACCOUNT'!B1103)</f>
        <v/>
      </c>
      <c r="C1102" t="str">
        <f>IF('NEW ACCOUNT'!A1103="","",'NEW ACCOUNT'!C1103)</f>
        <v/>
      </c>
      <c r="D1102" t="str">
        <f>IF('NEW ACCOUNT'!A1103="","",'NEW ACCOUNT'!D1103)</f>
        <v/>
      </c>
      <c r="E1102" t="str">
        <f>IF('NEW ACCOUNT'!A1103="","",'NEW ACCOUNT'!E1103)</f>
        <v/>
      </c>
      <c r="F1102" t="str">
        <f>IF('NEW ACCOUNT'!A1103="","",'NEW ACCOUNT'!F1103)</f>
        <v/>
      </c>
      <c r="G1102" t="str">
        <f>IF('NEW ACCOUNT'!A1103="","",'NEW ACCOUNT'!G1103)</f>
        <v/>
      </c>
      <c r="H1102" t="str">
        <f>IF('NEW ACCOUNT'!A1103="","",'NEW ACCOUNT'!H1103)</f>
        <v/>
      </c>
      <c r="I1102" t="str">
        <f>IF('NEW ACCOUNT'!A1103="","",'NEW ACCOUNT'!I1103)</f>
        <v/>
      </c>
      <c r="J1102" t="str">
        <f>IF('NEW ACCOUNT'!A1103="","",'NEW ACCOUNT'!J1103)</f>
        <v/>
      </c>
      <c r="K1102" t="str">
        <f>IFERROR(IF(A1102="","",SUMIF(DB_Savings!$A:$A,A1102,DB_Savings!$F:$F)),"")</f>
        <v/>
      </c>
      <c r="L1102" t="str">
        <f>IFERROR(IF(A1102="","",SUMIF(DB_Withdrawals!$A:$A,A1102,DB_Withdrawals!$G:$G)),"")</f>
        <v/>
      </c>
      <c r="M1102" t="str">
        <f>IFERROR(IF(A1102="","",IFERROR(VALUE(H1102),0)+IFERROR(SUMIF(DB_Savings!$A:$A,A1102,DB_Savings!$F:$F),0)-IFERROR(SUMIF(DB_Withdrawals!$A:$A,A1102,DB_Withdrawals!$G:$G),0)),"")</f>
        <v/>
      </c>
      <c r="N1102" t="str">
        <f>IFERROR(IF(A1102="","",MAX(0,M1102-System_Config!$B$9)),"")</f>
        <v/>
      </c>
    </row>
    <row r="1103" spans="1:14" ht="15" customHeight="1" x14ac:dyDescent="0.25">
      <c r="A1103" t="str">
        <f>'NEW ACCOUNT'!A1104</f>
        <v/>
      </c>
      <c r="B1103" t="str">
        <f>IF('NEW ACCOUNT'!A1104="","",'NEW ACCOUNT'!B1104)</f>
        <v/>
      </c>
      <c r="C1103" t="str">
        <f>IF('NEW ACCOUNT'!A1104="","",'NEW ACCOUNT'!C1104)</f>
        <v/>
      </c>
      <c r="D1103" t="str">
        <f>IF('NEW ACCOUNT'!A1104="","",'NEW ACCOUNT'!D1104)</f>
        <v/>
      </c>
      <c r="E1103" t="str">
        <f>IF('NEW ACCOUNT'!A1104="","",'NEW ACCOUNT'!E1104)</f>
        <v/>
      </c>
      <c r="F1103" t="str">
        <f>IF('NEW ACCOUNT'!A1104="","",'NEW ACCOUNT'!F1104)</f>
        <v/>
      </c>
      <c r="G1103" t="str">
        <f>IF('NEW ACCOUNT'!A1104="","",'NEW ACCOUNT'!G1104)</f>
        <v/>
      </c>
      <c r="H1103" t="str">
        <f>IF('NEW ACCOUNT'!A1104="","",'NEW ACCOUNT'!H1104)</f>
        <v/>
      </c>
      <c r="I1103" t="str">
        <f>IF('NEW ACCOUNT'!A1104="","",'NEW ACCOUNT'!I1104)</f>
        <v/>
      </c>
      <c r="J1103" t="str">
        <f>IF('NEW ACCOUNT'!A1104="","",'NEW ACCOUNT'!J1104)</f>
        <v/>
      </c>
      <c r="K1103" t="str">
        <f>IFERROR(IF(A1103="","",SUMIF(DB_Savings!$A:$A,A1103,DB_Savings!$F:$F)),"")</f>
        <v/>
      </c>
      <c r="L1103" t="str">
        <f>IFERROR(IF(A1103="","",SUMIF(DB_Withdrawals!$A:$A,A1103,DB_Withdrawals!$G:$G)),"")</f>
        <v/>
      </c>
      <c r="M1103" t="str">
        <f>IFERROR(IF(A1103="","",IFERROR(VALUE(H1103),0)+IFERROR(SUMIF(DB_Savings!$A:$A,A1103,DB_Savings!$F:$F),0)-IFERROR(SUMIF(DB_Withdrawals!$A:$A,A1103,DB_Withdrawals!$G:$G),0)),"")</f>
        <v/>
      </c>
      <c r="N1103" t="str">
        <f>IFERROR(IF(A1103="","",MAX(0,M1103-System_Config!$B$9)),"")</f>
        <v/>
      </c>
    </row>
    <row r="1104" spans="1:14" ht="15" customHeight="1" x14ac:dyDescent="0.25">
      <c r="A1104" t="str">
        <f>'NEW ACCOUNT'!A1105</f>
        <v/>
      </c>
      <c r="B1104" t="str">
        <f>IF('NEW ACCOUNT'!A1105="","",'NEW ACCOUNT'!B1105)</f>
        <v/>
      </c>
      <c r="C1104" t="str">
        <f>IF('NEW ACCOUNT'!A1105="","",'NEW ACCOUNT'!C1105)</f>
        <v/>
      </c>
      <c r="D1104" t="str">
        <f>IF('NEW ACCOUNT'!A1105="","",'NEW ACCOUNT'!D1105)</f>
        <v/>
      </c>
      <c r="E1104" t="str">
        <f>IF('NEW ACCOUNT'!A1105="","",'NEW ACCOUNT'!E1105)</f>
        <v/>
      </c>
      <c r="F1104" t="str">
        <f>IF('NEW ACCOUNT'!A1105="","",'NEW ACCOUNT'!F1105)</f>
        <v/>
      </c>
      <c r="G1104" t="str">
        <f>IF('NEW ACCOUNT'!A1105="","",'NEW ACCOUNT'!G1105)</f>
        <v/>
      </c>
      <c r="H1104" t="str">
        <f>IF('NEW ACCOUNT'!A1105="","",'NEW ACCOUNT'!H1105)</f>
        <v/>
      </c>
      <c r="I1104" t="str">
        <f>IF('NEW ACCOUNT'!A1105="","",'NEW ACCOUNT'!I1105)</f>
        <v/>
      </c>
      <c r="J1104" t="str">
        <f>IF('NEW ACCOUNT'!A1105="","",'NEW ACCOUNT'!J1105)</f>
        <v/>
      </c>
      <c r="K1104" t="str">
        <f>IFERROR(IF(A1104="","",SUMIF(DB_Savings!$A:$A,A1104,DB_Savings!$F:$F)),"")</f>
        <v/>
      </c>
      <c r="L1104" t="str">
        <f>IFERROR(IF(A1104="","",SUMIF(DB_Withdrawals!$A:$A,A1104,DB_Withdrawals!$G:$G)),"")</f>
        <v/>
      </c>
      <c r="M1104" t="str">
        <f>IFERROR(IF(A1104="","",IFERROR(VALUE(H1104),0)+IFERROR(SUMIF(DB_Savings!$A:$A,A1104,DB_Savings!$F:$F),0)-IFERROR(SUMIF(DB_Withdrawals!$A:$A,A1104,DB_Withdrawals!$G:$G),0)),"")</f>
        <v/>
      </c>
      <c r="N1104" t="str">
        <f>IFERROR(IF(A1104="","",MAX(0,M1104-System_Config!$B$9)),"")</f>
        <v/>
      </c>
    </row>
    <row r="1105" spans="1:14" ht="15" customHeight="1" x14ac:dyDescent="0.25">
      <c r="A1105" t="str">
        <f>'NEW ACCOUNT'!A1106</f>
        <v/>
      </c>
      <c r="B1105" t="str">
        <f>IF('NEW ACCOUNT'!A1106="","",'NEW ACCOUNT'!B1106)</f>
        <v/>
      </c>
      <c r="C1105" t="str">
        <f>IF('NEW ACCOUNT'!A1106="","",'NEW ACCOUNT'!C1106)</f>
        <v/>
      </c>
      <c r="D1105" t="str">
        <f>IF('NEW ACCOUNT'!A1106="","",'NEW ACCOUNT'!D1106)</f>
        <v/>
      </c>
      <c r="E1105" t="str">
        <f>IF('NEW ACCOUNT'!A1106="","",'NEW ACCOUNT'!E1106)</f>
        <v/>
      </c>
      <c r="F1105" t="str">
        <f>IF('NEW ACCOUNT'!A1106="","",'NEW ACCOUNT'!F1106)</f>
        <v/>
      </c>
      <c r="G1105" t="str">
        <f>IF('NEW ACCOUNT'!A1106="","",'NEW ACCOUNT'!G1106)</f>
        <v/>
      </c>
      <c r="H1105" t="str">
        <f>IF('NEW ACCOUNT'!A1106="","",'NEW ACCOUNT'!H1106)</f>
        <v/>
      </c>
      <c r="I1105" t="str">
        <f>IF('NEW ACCOUNT'!A1106="","",'NEW ACCOUNT'!I1106)</f>
        <v/>
      </c>
      <c r="J1105" t="str">
        <f>IF('NEW ACCOUNT'!A1106="","",'NEW ACCOUNT'!J1106)</f>
        <v/>
      </c>
      <c r="K1105" t="str">
        <f>IFERROR(IF(A1105="","",SUMIF(DB_Savings!$A:$A,A1105,DB_Savings!$F:$F)),"")</f>
        <v/>
      </c>
      <c r="L1105" t="str">
        <f>IFERROR(IF(A1105="","",SUMIF(DB_Withdrawals!$A:$A,A1105,DB_Withdrawals!$G:$G)),"")</f>
        <v/>
      </c>
      <c r="M1105" t="str">
        <f>IFERROR(IF(A1105="","",IFERROR(VALUE(H1105),0)+IFERROR(SUMIF(DB_Savings!$A:$A,A1105,DB_Savings!$F:$F),0)-IFERROR(SUMIF(DB_Withdrawals!$A:$A,A1105,DB_Withdrawals!$G:$G),0)),"")</f>
        <v/>
      </c>
      <c r="N1105" t="str">
        <f>IFERROR(IF(A1105="","",MAX(0,M1105-System_Config!$B$9)),"")</f>
        <v/>
      </c>
    </row>
    <row r="1106" spans="1:14" ht="15" customHeight="1" x14ac:dyDescent="0.25">
      <c r="A1106" t="str">
        <f>'NEW ACCOUNT'!A1107</f>
        <v/>
      </c>
      <c r="B1106" t="str">
        <f>IF('NEW ACCOUNT'!A1107="","",'NEW ACCOUNT'!B1107)</f>
        <v/>
      </c>
      <c r="C1106" t="str">
        <f>IF('NEW ACCOUNT'!A1107="","",'NEW ACCOUNT'!C1107)</f>
        <v/>
      </c>
      <c r="D1106" t="str">
        <f>IF('NEW ACCOUNT'!A1107="","",'NEW ACCOUNT'!D1107)</f>
        <v/>
      </c>
      <c r="E1106" t="str">
        <f>IF('NEW ACCOUNT'!A1107="","",'NEW ACCOUNT'!E1107)</f>
        <v/>
      </c>
      <c r="F1106" t="str">
        <f>IF('NEW ACCOUNT'!A1107="","",'NEW ACCOUNT'!F1107)</f>
        <v/>
      </c>
      <c r="G1106" t="str">
        <f>IF('NEW ACCOUNT'!A1107="","",'NEW ACCOUNT'!G1107)</f>
        <v/>
      </c>
      <c r="H1106" t="str">
        <f>IF('NEW ACCOUNT'!A1107="","",'NEW ACCOUNT'!H1107)</f>
        <v/>
      </c>
      <c r="I1106" t="str">
        <f>IF('NEW ACCOUNT'!A1107="","",'NEW ACCOUNT'!I1107)</f>
        <v/>
      </c>
      <c r="J1106" t="str">
        <f>IF('NEW ACCOUNT'!A1107="","",'NEW ACCOUNT'!J1107)</f>
        <v/>
      </c>
      <c r="K1106" t="str">
        <f>IFERROR(IF(A1106="","",SUMIF(DB_Savings!$A:$A,A1106,DB_Savings!$F:$F)),"")</f>
        <v/>
      </c>
      <c r="L1106" t="str">
        <f>IFERROR(IF(A1106="","",SUMIF(DB_Withdrawals!$A:$A,A1106,DB_Withdrawals!$G:$G)),"")</f>
        <v/>
      </c>
      <c r="M1106" t="str">
        <f>IFERROR(IF(A1106="","",IFERROR(VALUE(H1106),0)+IFERROR(SUMIF(DB_Savings!$A:$A,A1106,DB_Savings!$F:$F),0)-IFERROR(SUMIF(DB_Withdrawals!$A:$A,A1106,DB_Withdrawals!$G:$G),0)),"")</f>
        <v/>
      </c>
      <c r="N1106" t="str">
        <f>IFERROR(IF(A1106="","",MAX(0,M1106-System_Config!$B$9)),"")</f>
        <v/>
      </c>
    </row>
    <row r="1107" spans="1:14" ht="15" customHeight="1" x14ac:dyDescent="0.25">
      <c r="A1107" t="str">
        <f>'NEW ACCOUNT'!A1108</f>
        <v/>
      </c>
      <c r="B1107" t="str">
        <f>IF('NEW ACCOUNT'!A1108="","",'NEW ACCOUNT'!B1108)</f>
        <v/>
      </c>
      <c r="C1107" t="str">
        <f>IF('NEW ACCOUNT'!A1108="","",'NEW ACCOUNT'!C1108)</f>
        <v/>
      </c>
      <c r="D1107" t="str">
        <f>IF('NEW ACCOUNT'!A1108="","",'NEW ACCOUNT'!D1108)</f>
        <v/>
      </c>
      <c r="E1107" t="str">
        <f>IF('NEW ACCOUNT'!A1108="","",'NEW ACCOUNT'!E1108)</f>
        <v/>
      </c>
      <c r="F1107" t="str">
        <f>IF('NEW ACCOUNT'!A1108="","",'NEW ACCOUNT'!F1108)</f>
        <v/>
      </c>
      <c r="G1107" t="str">
        <f>IF('NEW ACCOUNT'!A1108="","",'NEW ACCOUNT'!G1108)</f>
        <v/>
      </c>
      <c r="H1107" t="str">
        <f>IF('NEW ACCOUNT'!A1108="","",'NEW ACCOUNT'!H1108)</f>
        <v/>
      </c>
      <c r="I1107" t="str">
        <f>IF('NEW ACCOUNT'!A1108="","",'NEW ACCOUNT'!I1108)</f>
        <v/>
      </c>
      <c r="J1107" t="str">
        <f>IF('NEW ACCOUNT'!A1108="","",'NEW ACCOUNT'!J1108)</f>
        <v/>
      </c>
      <c r="K1107" t="str">
        <f>IFERROR(IF(A1107="","",SUMIF(DB_Savings!$A:$A,A1107,DB_Savings!$F:$F)),"")</f>
        <v/>
      </c>
      <c r="L1107" t="str">
        <f>IFERROR(IF(A1107="","",SUMIF(DB_Withdrawals!$A:$A,A1107,DB_Withdrawals!$G:$G)),"")</f>
        <v/>
      </c>
      <c r="M1107" t="str">
        <f>IFERROR(IF(A1107="","",IFERROR(VALUE(H1107),0)+IFERROR(SUMIF(DB_Savings!$A:$A,A1107,DB_Savings!$F:$F),0)-IFERROR(SUMIF(DB_Withdrawals!$A:$A,A1107,DB_Withdrawals!$G:$G),0)),"")</f>
        <v/>
      </c>
      <c r="N1107" t="str">
        <f>IFERROR(IF(A1107="","",MAX(0,M1107-System_Config!$B$9)),"")</f>
        <v/>
      </c>
    </row>
    <row r="1108" spans="1:14" ht="15" customHeight="1" x14ac:dyDescent="0.25">
      <c r="A1108" t="str">
        <f>'NEW ACCOUNT'!A1109</f>
        <v/>
      </c>
      <c r="B1108" t="str">
        <f>IF('NEW ACCOUNT'!A1109="","",'NEW ACCOUNT'!B1109)</f>
        <v/>
      </c>
      <c r="C1108" t="str">
        <f>IF('NEW ACCOUNT'!A1109="","",'NEW ACCOUNT'!C1109)</f>
        <v/>
      </c>
      <c r="D1108" t="str">
        <f>IF('NEW ACCOUNT'!A1109="","",'NEW ACCOUNT'!D1109)</f>
        <v/>
      </c>
      <c r="E1108" t="str">
        <f>IF('NEW ACCOUNT'!A1109="","",'NEW ACCOUNT'!E1109)</f>
        <v/>
      </c>
      <c r="F1108" t="str">
        <f>IF('NEW ACCOUNT'!A1109="","",'NEW ACCOUNT'!F1109)</f>
        <v/>
      </c>
      <c r="G1108" t="str">
        <f>IF('NEW ACCOUNT'!A1109="","",'NEW ACCOUNT'!G1109)</f>
        <v/>
      </c>
      <c r="H1108" t="str">
        <f>IF('NEW ACCOUNT'!A1109="","",'NEW ACCOUNT'!H1109)</f>
        <v/>
      </c>
      <c r="I1108" t="str">
        <f>IF('NEW ACCOUNT'!A1109="","",'NEW ACCOUNT'!I1109)</f>
        <v/>
      </c>
      <c r="J1108" t="str">
        <f>IF('NEW ACCOUNT'!A1109="","",'NEW ACCOUNT'!J1109)</f>
        <v/>
      </c>
      <c r="K1108" t="str">
        <f>IFERROR(IF(A1108="","",SUMIF(DB_Savings!$A:$A,A1108,DB_Savings!$F:$F)),"")</f>
        <v/>
      </c>
      <c r="L1108" t="str">
        <f>IFERROR(IF(A1108="","",SUMIF(DB_Withdrawals!$A:$A,A1108,DB_Withdrawals!$G:$G)),"")</f>
        <v/>
      </c>
      <c r="M1108" t="str">
        <f>IFERROR(IF(A1108="","",IFERROR(VALUE(H1108),0)+IFERROR(SUMIF(DB_Savings!$A:$A,A1108,DB_Savings!$F:$F),0)-IFERROR(SUMIF(DB_Withdrawals!$A:$A,A1108,DB_Withdrawals!$G:$G),0)),"")</f>
        <v/>
      </c>
      <c r="N1108" t="str">
        <f>IFERROR(IF(A1108="","",MAX(0,M1108-System_Config!$B$9)),"")</f>
        <v/>
      </c>
    </row>
    <row r="1109" spans="1:14" ht="15" customHeight="1" x14ac:dyDescent="0.25">
      <c r="A1109" t="str">
        <f>'NEW ACCOUNT'!A1110</f>
        <v/>
      </c>
      <c r="B1109" t="str">
        <f>IF('NEW ACCOUNT'!A1110="","",'NEW ACCOUNT'!B1110)</f>
        <v/>
      </c>
      <c r="C1109" t="str">
        <f>IF('NEW ACCOUNT'!A1110="","",'NEW ACCOUNT'!C1110)</f>
        <v/>
      </c>
      <c r="D1109" t="str">
        <f>IF('NEW ACCOUNT'!A1110="","",'NEW ACCOUNT'!D1110)</f>
        <v/>
      </c>
      <c r="E1109" t="str">
        <f>IF('NEW ACCOUNT'!A1110="","",'NEW ACCOUNT'!E1110)</f>
        <v/>
      </c>
      <c r="F1109" t="str">
        <f>IF('NEW ACCOUNT'!A1110="","",'NEW ACCOUNT'!F1110)</f>
        <v/>
      </c>
      <c r="G1109" t="str">
        <f>IF('NEW ACCOUNT'!A1110="","",'NEW ACCOUNT'!G1110)</f>
        <v/>
      </c>
      <c r="H1109" t="str">
        <f>IF('NEW ACCOUNT'!A1110="","",'NEW ACCOUNT'!H1110)</f>
        <v/>
      </c>
      <c r="I1109" t="str">
        <f>IF('NEW ACCOUNT'!A1110="","",'NEW ACCOUNT'!I1110)</f>
        <v/>
      </c>
      <c r="J1109" t="str">
        <f>IF('NEW ACCOUNT'!A1110="","",'NEW ACCOUNT'!J1110)</f>
        <v/>
      </c>
      <c r="K1109" t="str">
        <f>IFERROR(IF(A1109="","",SUMIF(DB_Savings!$A:$A,A1109,DB_Savings!$F:$F)),"")</f>
        <v/>
      </c>
      <c r="L1109" t="str">
        <f>IFERROR(IF(A1109="","",SUMIF(DB_Withdrawals!$A:$A,A1109,DB_Withdrawals!$G:$G)),"")</f>
        <v/>
      </c>
      <c r="M1109" t="str">
        <f>IFERROR(IF(A1109="","",IFERROR(VALUE(H1109),0)+IFERROR(SUMIF(DB_Savings!$A:$A,A1109,DB_Savings!$F:$F),0)-IFERROR(SUMIF(DB_Withdrawals!$A:$A,A1109,DB_Withdrawals!$G:$G),0)),"")</f>
        <v/>
      </c>
      <c r="N1109" t="str">
        <f>IFERROR(IF(A1109="","",MAX(0,M1109-System_Config!$B$9)),"")</f>
        <v/>
      </c>
    </row>
    <row r="1110" spans="1:14" ht="15" customHeight="1" x14ac:dyDescent="0.25">
      <c r="A1110" t="str">
        <f>'NEW ACCOUNT'!A1111</f>
        <v/>
      </c>
      <c r="B1110" t="str">
        <f>IF('NEW ACCOUNT'!A1111="","",'NEW ACCOUNT'!B1111)</f>
        <v/>
      </c>
      <c r="C1110" t="str">
        <f>IF('NEW ACCOUNT'!A1111="","",'NEW ACCOUNT'!C1111)</f>
        <v/>
      </c>
      <c r="D1110" t="str">
        <f>IF('NEW ACCOUNT'!A1111="","",'NEW ACCOUNT'!D1111)</f>
        <v/>
      </c>
      <c r="E1110" t="str">
        <f>IF('NEW ACCOUNT'!A1111="","",'NEW ACCOUNT'!E1111)</f>
        <v/>
      </c>
      <c r="F1110" t="str">
        <f>IF('NEW ACCOUNT'!A1111="","",'NEW ACCOUNT'!F1111)</f>
        <v/>
      </c>
      <c r="G1110" t="str">
        <f>IF('NEW ACCOUNT'!A1111="","",'NEW ACCOUNT'!G1111)</f>
        <v/>
      </c>
      <c r="H1110" t="str">
        <f>IF('NEW ACCOUNT'!A1111="","",'NEW ACCOUNT'!H1111)</f>
        <v/>
      </c>
      <c r="I1110" t="str">
        <f>IF('NEW ACCOUNT'!A1111="","",'NEW ACCOUNT'!I1111)</f>
        <v/>
      </c>
      <c r="J1110" t="str">
        <f>IF('NEW ACCOUNT'!A1111="","",'NEW ACCOUNT'!J1111)</f>
        <v/>
      </c>
      <c r="K1110" t="str">
        <f>IFERROR(IF(A1110="","",SUMIF(DB_Savings!$A:$A,A1110,DB_Savings!$F:$F)),"")</f>
        <v/>
      </c>
      <c r="L1110" t="str">
        <f>IFERROR(IF(A1110="","",SUMIF(DB_Withdrawals!$A:$A,A1110,DB_Withdrawals!$G:$G)),"")</f>
        <v/>
      </c>
      <c r="M1110" t="str">
        <f>IFERROR(IF(A1110="","",IFERROR(VALUE(H1110),0)+IFERROR(SUMIF(DB_Savings!$A:$A,A1110,DB_Savings!$F:$F),0)-IFERROR(SUMIF(DB_Withdrawals!$A:$A,A1110,DB_Withdrawals!$G:$G),0)),"")</f>
        <v/>
      </c>
      <c r="N1110" t="str">
        <f>IFERROR(IF(A1110="","",MAX(0,M1110-System_Config!$B$9)),"")</f>
        <v/>
      </c>
    </row>
    <row r="1111" spans="1:14" ht="15" customHeight="1" x14ac:dyDescent="0.25">
      <c r="A1111" t="str">
        <f>'NEW ACCOUNT'!A1112</f>
        <v/>
      </c>
      <c r="B1111" t="str">
        <f>IF('NEW ACCOUNT'!A1112="","",'NEW ACCOUNT'!B1112)</f>
        <v/>
      </c>
      <c r="C1111" t="str">
        <f>IF('NEW ACCOUNT'!A1112="","",'NEW ACCOUNT'!C1112)</f>
        <v/>
      </c>
      <c r="D1111" t="str">
        <f>IF('NEW ACCOUNT'!A1112="","",'NEW ACCOUNT'!D1112)</f>
        <v/>
      </c>
      <c r="E1111" t="str">
        <f>IF('NEW ACCOUNT'!A1112="","",'NEW ACCOUNT'!E1112)</f>
        <v/>
      </c>
      <c r="F1111" t="str">
        <f>IF('NEW ACCOUNT'!A1112="","",'NEW ACCOUNT'!F1112)</f>
        <v/>
      </c>
      <c r="G1111" t="str">
        <f>IF('NEW ACCOUNT'!A1112="","",'NEW ACCOUNT'!G1112)</f>
        <v/>
      </c>
      <c r="H1111" t="str">
        <f>IF('NEW ACCOUNT'!A1112="","",'NEW ACCOUNT'!H1112)</f>
        <v/>
      </c>
      <c r="I1111" t="str">
        <f>IF('NEW ACCOUNT'!A1112="","",'NEW ACCOUNT'!I1112)</f>
        <v/>
      </c>
      <c r="J1111" t="str">
        <f>IF('NEW ACCOUNT'!A1112="","",'NEW ACCOUNT'!J1112)</f>
        <v/>
      </c>
      <c r="K1111" t="str">
        <f>IFERROR(IF(A1111="","",SUMIF(DB_Savings!$A:$A,A1111,DB_Savings!$F:$F)),"")</f>
        <v/>
      </c>
      <c r="L1111" t="str">
        <f>IFERROR(IF(A1111="","",SUMIF(DB_Withdrawals!$A:$A,A1111,DB_Withdrawals!$G:$G)),"")</f>
        <v/>
      </c>
      <c r="M1111" t="str">
        <f>IFERROR(IF(A1111="","",IFERROR(VALUE(H1111),0)+IFERROR(SUMIF(DB_Savings!$A:$A,A1111,DB_Savings!$F:$F),0)-IFERROR(SUMIF(DB_Withdrawals!$A:$A,A1111,DB_Withdrawals!$G:$G),0)),"")</f>
        <v/>
      </c>
      <c r="N1111" t="str">
        <f>IFERROR(IF(A1111="","",MAX(0,M1111-System_Config!$B$9)),"")</f>
        <v/>
      </c>
    </row>
    <row r="1112" spans="1:14" ht="15" customHeight="1" x14ac:dyDescent="0.25">
      <c r="A1112" t="str">
        <f>'NEW ACCOUNT'!A1113</f>
        <v/>
      </c>
      <c r="B1112" t="str">
        <f>IF('NEW ACCOUNT'!A1113="","",'NEW ACCOUNT'!B1113)</f>
        <v/>
      </c>
      <c r="C1112" t="str">
        <f>IF('NEW ACCOUNT'!A1113="","",'NEW ACCOUNT'!C1113)</f>
        <v/>
      </c>
      <c r="D1112" t="str">
        <f>IF('NEW ACCOUNT'!A1113="","",'NEW ACCOUNT'!D1113)</f>
        <v/>
      </c>
      <c r="E1112" t="str">
        <f>IF('NEW ACCOUNT'!A1113="","",'NEW ACCOUNT'!E1113)</f>
        <v/>
      </c>
      <c r="F1112" t="str">
        <f>IF('NEW ACCOUNT'!A1113="","",'NEW ACCOUNT'!F1113)</f>
        <v/>
      </c>
      <c r="G1112" t="str">
        <f>IF('NEW ACCOUNT'!A1113="","",'NEW ACCOUNT'!G1113)</f>
        <v/>
      </c>
      <c r="H1112" t="str">
        <f>IF('NEW ACCOUNT'!A1113="","",'NEW ACCOUNT'!H1113)</f>
        <v/>
      </c>
      <c r="I1112" t="str">
        <f>IF('NEW ACCOUNT'!A1113="","",'NEW ACCOUNT'!I1113)</f>
        <v/>
      </c>
      <c r="J1112" t="str">
        <f>IF('NEW ACCOUNT'!A1113="","",'NEW ACCOUNT'!J1113)</f>
        <v/>
      </c>
      <c r="K1112" t="str">
        <f>IFERROR(IF(A1112="","",SUMIF(DB_Savings!$A:$A,A1112,DB_Savings!$F:$F)),"")</f>
        <v/>
      </c>
      <c r="L1112" t="str">
        <f>IFERROR(IF(A1112="","",SUMIF(DB_Withdrawals!$A:$A,A1112,DB_Withdrawals!$G:$G)),"")</f>
        <v/>
      </c>
      <c r="M1112" t="str">
        <f>IFERROR(IF(A1112="","",IFERROR(VALUE(H1112),0)+IFERROR(SUMIF(DB_Savings!$A:$A,A1112,DB_Savings!$F:$F),0)-IFERROR(SUMIF(DB_Withdrawals!$A:$A,A1112,DB_Withdrawals!$G:$G),0)),"")</f>
        <v/>
      </c>
      <c r="N1112" t="str">
        <f>IFERROR(IF(A1112="","",MAX(0,M1112-System_Config!$B$9)),"")</f>
        <v/>
      </c>
    </row>
    <row r="1113" spans="1:14" ht="15" customHeight="1" x14ac:dyDescent="0.25">
      <c r="A1113" t="str">
        <f>'NEW ACCOUNT'!A1114</f>
        <v/>
      </c>
      <c r="B1113" t="str">
        <f>IF('NEW ACCOUNT'!A1114="","",'NEW ACCOUNT'!B1114)</f>
        <v/>
      </c>
      <c r="C1113" t="str">
        <f>IF('NEW ACCOUNT'!A1114="","",'NEW ACCOUNT'!C1114)</f>
        <v/>
      </c>
      <c r="D1113" t="str">
        <f>IF('NEW ACCOUNT'!A1114="","",'NEW ACCOUNT'!D1114)</f>
        <v/>
      </c>
      <c r="E1113" t="str">
        <f>IF('NEW ACCOUNT'!A1114="","",'NEW ACCOUNT'!E1114)</f>
        <v/>
      </c>
      <c r="F1113" t="str">
        <f>IF('NEW ACCOUNT'!A1114="","",'NEW ACCOUNT'!F1114)</f>
        <v/>
      </c>
      <c r="G1113" t="str">
        <f>IF('NEW ACCOUNT'!A1114="","",'NEW ACCOUNT'!G1114)</f>
        <v/>
      </c>
      <c r="H1113" t="str">
        <f>IF('NEW ACCOUNT'!A1114="","",'NEW ACCOUNT'!H1114)</f>
        <v/>
      </c>
      <c r="I1113" t="str">
        <f>IF('NEW ACCOUNT'!A1114="","",'NEW ACCOUNT'!I1114)</f>
        <v/>
      </c>
      <c r="J1113" t="str">
        <f>IF('NEW ACCOUNT'!A1114="","",'NEW ACCOUNT'!J1114)</f>
        <v/>
      </c>
      <c r="K1113" t="str">
        <f>IFERROR(IF(A1113="","",SUMIF(DB_Savings!$A:$A,A1113,DB_Savings!$F:$F)),"")</f>
        <v/>
      </c>
      <c r="L1113" t="str">
        <f>IFERROR(IF(A1113="","",SUMIF(DB_Withdrawals!$A:$A,A1113,DB_Withdrawals!$G:$G)),"")</f>
        <v/>
      </c>
      <c r="M1113" t="str">
        <f>IFERROR(IF(A1113="","",IFERROR(VALUE(H1113),0)+IFERROR(SUMIF(DB_Savings!$A:$A,A1113,DB_Savings!$F:$F),0)-IFERROR(SUMIF(DB_Withdrawals!$A:$A,A1113,DB_Withdrawals!$G:$G),0)),"")</f>
        <v/>
      </c>
      <c r="N1113" t="str">
        <f>IFERROR(IF(A1113="","",MAX(0,M1113-System_Config!$B$9)),"")</f>
        <v/>
      </c>
    </row>
    <row r="1114" spans="1:14" ht="15" customHeight="1" x14ac:dyDescent="0.25">
      <c r="A1114" t="str">
        <f>'NEW ACCOUNT'!A1115</f>
        <v/>
      </c>
      <c r="B1114" t="str">
        <f>IF('NEW ACCOUNT'!A1115="","",'NEW ACCOUNT'!B1115)</f>
        <v/>
      </c>
      <c r="C1114" t="str">
        <f>IF('NEW ACCOUNT'!A1115="","",'NEW ACCOUNT'!C1115)</f>
        <v/>
      </c>
      <c r="D1114" t="str">
        <f>IF('NEW ACCOUNT'!A1115="","",'NEW ACCOUNT'!D1115)</f>
        <v/>
      </c>
      <c r="E1114" t="str">
        <f>IF('NEW ACCOUNT'!A1115="","",'NEW ACCOUNT'!E1115)</f>
        <v/>
      </c>
      <c r="F1114" t="str">
        <f>IF('NEW ACCOUNT'!A1115="","",'NEW ACCOUNT'!F1115)</f>
        <v/>
      </c>
      <c r="G1114" t="str">
        <f>IF('NEW ACCOUNT'!A1115="","",'NEW ACCOUNT'!G1115)</f>
        <v/>
      </c>
      <c r="H1114" t="str">
        <f>IF('NEW ACCOUNT'!A1115="","",'NEW ACCOUNT'!H1115)</f>
        <v/>
      </c>
      <c r="I1114" t="str">
        <f>IF('NEW ACCOUNT'!A1115="","",'NEW ACCOUNT'!I1115)</f>
        <v/>
      </c>
      <c r="J1114" t="str">
        <f>IF('NEW ACCOUNT'!A1115="","",'NEW ACCOUNT'!J1115)</f>
        <v/>
      </c>
      <c r="K1114" t="str">
        <f>IFERROR(IF(A1114="","",SUMIF(DB_Savings!$A:$A,A1114,DB_Savings!$F:$F)),"")</f>
        <v/>
      </c>
      <c r="L1114" t="str">
        <f>IFERROR(IF(A1114="","",SUMIF(DB_Withdrawals!$A:$A,A1114,DB_Withdrawals!$G:$G)),"")</f>
        <v/>
      </c>
      <c r="M1114" t="str">
        <f>IFERROR(IF(A1114="","",IFERROR(VALUE(H1114),0)+IFERROR(SUMIF(DB_Savings!$A:$A,A1114,DB_Savings!$F:$F),0)-IFERROR(SUMIF(DB_Withdrawals!$A:$A,A1114,DB_Withdrawals!$G:$G),0)),"")</f>
        <v/>
      </c>
      <c r="N1114" t="str">
        <f>IFERROR(IF(A1114="","",MAX(0,M1114-System_Config!$B$9)),"")</f>
        <v/>
      </c>
    </row>
    <row r="1115" spans="1:14" ht="15" customHeight="1" x14ac:dyDescent="0.25">
      <c r="A1115" t="str">
        <f>'NEW ACCOUNT'!A1116</f>
        <v/>
      </c>
      <c r="B1115" t="str">
        <f>IF('NEW ACCOUNT'!A1116="","",'NEW ACCOUNT'!B1116)</f>
        <v/>
      </c>
      <c r="C1115" t="str">
        <f>IF('NEW ACCOUNT'!A1116="","",'NEW ACCOUNT'!C1116)</f>
        <v/>
      </c>
      <c r="D1115" t="str">
        <f>IF('NEW ACCOUNT'!A1116="","",'NEW ACCOUNT'!D1116)</f>
        <v/>
      </c>
      <c r="E1115" t="str">
        <f>IF('NEW ACCOUNT'!A1116="","",'NEW ACCOUNT'!E1116)</f>
        <v/>
      </c>
      <c r="F1115" t="str">
        <f>IF('NEW ACCOUNT'!A1116="","",'NEW ACCOUNT'!F1116)</f>
        <v/>
      </c>
      <c r="G1115" t="str">
        <f>IF('NEW ACCOUNT'!A1116="","",'NEW ACCOUNT'!G1116)</f>
        <v/>
      </c>
      <c r="H1115" t="str">
        <f>IF('NEW ACCOUNT'!A1116="","",'NEW ACCOUNT'!H1116)</f>
        <v/>
      </c>
      <c r="I1115" t="str">
        <f>IF('NEW ACCOUNT'!A1116="","",'NEW ACCOUNT'!I1116)</f>
        <v/>
      </c>
      <c r="J1115" t="str">
        <f>IF('NEW ACCOUNT'!A1116="","",'NEW ACCOUNT'!J1116)</f>
        <v/>
      </c>
      <c r="K1115" t="str">
        <f>IFERROR(IF(A1115="","",SUMIF(DB_Savings!$A:$A,A1115,DB_Savings!$F:$F)),"")</f>
        <v/>
      </c>
      <c r="L1115" t="str">
        <f>IFERROR(IF(A1115="","",SUMIF(DB_Withdrawals!$A:$A,A1115,DB_Withdrawals!$G:$G)),"")</f>
        <v/>
      </c>
      <c r="M1115" t="str">
        <f>IFERROR(IF(A1115="","",IFERROR(VALUE(H1115),0)+IFERROR(SUMIF(DB_Savings!$A:$A,A1115,DB_Savings!$F:$F),0)-IFERROR(SUMIF(DB_Withdrawals!$A:$A,A1115,DB_Withdrawals!$G:$G),0)),"")</f>
        <v/>
      </c>
      <c r="N1115" t="str">
        <f>IFERROR(IF(A1115="","",MAX(0,M1115-System_Config!$B$9)),"")</f>
        <v/>
      </c>
    </row>
    <row r="1116" spans="1:14" ht="15" customHeight="1" x14ac:dyDescent="0.25">
      <c r="A1116" t="str">
        <f>'NEW ACCOUNT'!A1117</f>
        <v/>
      </c>
      <c r="B1116" t="str">
        <f>IF('NEW ACCOUNT'!A1117="","",'NEW ACCOUNT'!B1117)</f>
        <v/>
      </c>
      <c r="C1116" t="str">
        <f>IF('NEW ACCOUNT'!A1117="","",'NEW ACCOUNT'!C1117)</f>
        <v/>
      </c>
      <c r="D1116" t="str">
        <f>IF('NEW ACCOUNT'!A1117="","",'NEW ACCOUNT'!D1117)</f>
        <v/>
      </c>
      <c r="E1116" t="str">
        <f>IF('NEW ACCOUNT'!A1117="","",'NEW ACCOUNT'!E1117)</f>
        <v/>
      </c>
      <c r="F1116" t="str">
        <f>IF('NEW ACCOUNT'!A1117="","",'NEW ACCOUNT'!F1117)</f>
        <v/>
      </c>
      <c r="G1116" t="str">
        <f>IF('NEW ACCOUNT'!A1117="","",'NEW ACCOUNT'!G1117)</f>
        <v/>
      </c>
      <c r="H1116" t="str">
        <f>IF('NEW ACCOUNT'!A1117="","",'NEW ACCOUNT'!H1117)</f>
        <v/>
      </c>
      <c r="I1116" t="str">
        <f>IF('NEW ACCOUNT'!A1117="","",'NEW ACCOUNT'!I1117)</f>
        <v/>
      </c>
      <c r="J1116" t="str">
        <f>IF('NEW ACCOUNT'!A1117="","",'NEW ACCOUNT'!J1117)</f>
        <v/>
      </c>
      <c r="K1116" t="str">
        <f>IFERROR(IF(A1116="","",SUMIF(DB_Savings!$A:$A,A1116,DB_Savings!$F:$F)),"")</f>
        <v/>
      </c>
      <c r="L1116" t="str">
        <f>IFERROR(IF(A1116="","",SUMIF(DB_Withdrawals!$A:$A,A1116,DB_Withdrawals!$G:$G)),"")</f>
        <v/>
      </c>
      <c r="M1116" t="str">
        <f>IFERROR(IF(A1116="","",IFERROR(VALUE(H1116),0)+IFERROR(SUMIF(DB_Savings!$A:$A,A1116,DB_Savings!$F:$F),0)-IFERROR(SUMIF(DB_Withdrawals!$A:$A,A1116,DB_Withdrawals!$G:$G),0)),"")</f>
        <v/>
      </c>
      <c r="N1116" t="str">
        <f>IFERROR(IF(A1116="","",MAX(0,M1116-System_Config!$B$9)),"")</f>
        <v/>
      </c>
    </row>
    <row r="1117" spans="1:14" ht="15" customHeight="1" x14ac:dyDescent="0.25">
      <c r="A1117" t="str">
        <f>'NEW ACCOUNT'!A1118</f>
        <v/>
      </c>
      <c r="B1117" t="str">
        <f>IF('NEW ACCOUNT'!A1118="","",'NEW ACCOUNT'!B1118)</f>
        <v/>
      </c>
      <c r="C1117" t="str">
        <f>IF('NEW ACCOUNT'!A1118="","",'NEW ACCOUNT'!C1118)</f>
        <v/>
      </c>
      <c r="D1117" t="str">
        <f>IF('NEW ACCOUNT'!A1118="","",'NEW ACCOUNT'!D1118)</f>
        <v/>
      </c>
      <c r="E1117" t="str">
        <f>IF('NEW ACCOUNT'!A1118="","",'NEW ACCOUNT'!E1118)</f>
        <v/>
      </c>
      <c r="F1117" t="str">
        <f>IF('NEW ACCOUNT'!A1118="","",'NEW ACCOUNT'!F1118)</f>
        <v/>
      </c>
      <c r="G1117" t="str">
        <f>IF('NEW ACCOUNT'!A1118="","",'NEW ACCOUNT'!G1118)</f>
        <v/>
      </c>
      <c r="H1117" t="str">
        <f>IF('NEW ACCOUNT'!A1118="","",'NEW ACCOUNT'!H1118)</f>
        <v/>
      </c>
      <c r="I1117" t="str">
        <f>IF('NEW ACCOUNT'!A1118="","",'NEW ACCOUNT'!I1118)</f>
        <v/>
      </c>
      <c r="J1117" t="str">
        <f>IF('NEW ACCOUNT'!A1118="","",'NEW ACCOUNT'!J1118)</f>
        <v/>
      </c>
      <c r="K1117" t="str">
        <f>IFERROR(IF(A1117="","",SUMIF(DB_Savings!$A:$A,A1117,DB_Savings!$F:$F)),"")</f>
        <v/>
      </c>
      <c r="L1117" t="str">
        <f>IFERROR(IF(A1117="","",SUMIF(DB_Withdrawals!$A:$A,A1117,DB_Withdrawals!$G:$G)),"")</f>
        <v/>
      </c>
      <c r="M1117" t="str">
        <f>IFERROR(IF(A1117="","",IFERROR(VALUE(H1117),0)+IFERROR(SUMIF(DB_Savings!$A:$A,A1117,DB_Savings!$F:$F),0)-IFERROR(SUMIF(DB_Withdrawals!$A:$A,A1117,DB_Withdrawals!$G:$G),0)),"")</f>
        <v/>
      </c>
      <c r="N1117" t="str">
        <f>IFERROR(IF(A1117="","",MAX(0,M1117-System_Config!$B$9)),"")</f>
        <v/>
      </c>
    </row>
    <row r="1118" spans="1:14" ht="15" customHeight="1" x14ac:dyDescent="0.25">
      <c r="A1118" t="str">
        <f>'NEW ACCOUNT'!A1119</f>
        <v/>
      </c>
      <c r="B1118" t="str">
        <f>IF('NEW ACCOUNT'!A1119="","",'NEW ACCOUNT'!B1119)</f>
        <v/>
      </c>
      <c r="C1118" t="str">
        <f>IF('NEW ACCOUNT'!A1119="","",'NEW ACCOUNT'!C1119)</f>
        <v/>
      </c>
      <c r="D1118" t="str">
        <f>IF('NEW ACCOUNT'!A1119="","",'NEW ACCOUNT'!D1119)</f>
        <v/>
      </c>
      <c r="E1118" t="str">
        <f>IF('NEW ACCOUNT'!A1119="","",'NEW ACCOUNT'!E1119)</f>
        <v/>
      </c>
      <c r="F1118" t="str">
        <f>IF('NEW ACCOUNT'!A1119="","",'NEW ACCOUNT'!F1119)</f>
        <v/>
      </c>
      <c r="G1118" t="str">
        <f>IF('NEW ACCOUNT'!A1119="","",'NEW ACCOUNT'!G1119)</f>
        <v/>
      </c>
      <c r="H1118" t="str">
        <f>IF('NEW ACCOUNT'!A1119="","",'NEW ACCOUNT'!H1119)</f>
        <v/>
      </c>
      <c r="I1118" t="str">
        <f>IF('NEW ACCOUNT'!A1119="","",'NEW ACCOUNT'!I1119)</f>
        <v/>
      </c>
      <c r="J1118" t="str">
        <f>IF('NEW ACCOUNT'!A1119="","",'NEW ACCOUNT'!J1119)</f>
        <v/>
      </c>
      <c r="K1118" t="str">
        <f>IFERROR(IF(A1118="","",SUMIF(DB_Savings!$A:$A,A1118,DB_Savings!$F:$F)),"")</f>
        <v/>
      </c>
      <c r="L1118" t="str">
        <f>IFERROR(IF(A1118="","",SUMIF(DB_Withdrawals!$A:$A,A1118,DB_Withdrawals!$G:$G)),"")</f>
        <v/>
      </c>
      <c r="M1118" t="str">
        <f>IFERROR(IF(A1118="","",IFERROR(VALUE(H1118),0)+IFERROR(SUMIF(DB_Savings!$A:$A,A1118,DB_Savings!$F:$F),0)-IFERROR(SUMIF(DB_Withdrawals!$A:$A,A1118,DB_Withdrawals!$G:$G),0)),"")</f>
        <v/>
      </c>
      <c r="N1118" t="str">
        <f>IFERROR(IF(A1118="","",MAX(0,M1118-System_Config!$B$9)),"")</f>
        <v/>
      </c>
    </row>
    <row r="1119" spans="1:14" ht="15" customHeight="1" x14ac:dyDescent="0.25">
      <c r="A1119" t="str">
        <f>'NEW ACCOUNT'!A1120</f>
        <v/>
      </c>
      <c r="B1119" t="str">
        <f>IF('NEW ACCOUNT'!A1120="","",'NEW ACCOUNT'!B1120)</f>
        <v/>
      </c>
      <c r="C1119" t="str">
        <f>IF('NEW ACCOUNT'!A1120="","",'NEW ACCOUNT'!C1120)</f>
        <v/>
      </c>
      <c r="D1119" t="str">
        <f>IF('NEW ACCOUNT'!A1120="","",'NEW ACCOUNT'!D1120)</f>
        <v/>
      </c>
      <c r="E1119" t="str">
        <f>IF('NEW ACCOUNT'!A1120="","",'NEW ACCOUNT'!E1120)</f>
        <v/>
      </c>
      <c r="F1119" t="str">
        <f>IF('NEW ACCOUNT'!A1120="","",'NEW ACCOUNT'!F1120)</f>
        <v/>
      </c>
      <c r="G1119" t="str">
        <f>IF('NEW ACCOUNT'!A1120="","",'NEW ACCOUNT'!G1120)</f>
        <v/>
      </c>
      <c r="H1119" t="str">
        <f>IF('NEW ACCOUNT'!A1120="","",'NEW ACCOUNT'!H1120)</f>
        <v/>
      </c>
      <c r="I1119" t="str">
        <f>IF('NEW ACCOUNT'!A1120="","",'NEW ACCOUNT'!I1120)</f>
        <v/>
      </c>
      <c r="J1119" t="str">
        <f>IF('NEW ACCOUNT'!A1120="","",'NEW ACCOUNT'!J1120)</f>
        <v/>
      </c>
      <c r="K1119" t="str">
        <f>IFERROR(IF(A1119="","",SUMIF(DB_Savings!$A:$A,A1119,DB_Savings!$F:$F)),"")</f>
        <v/>
      </c>
      <c r="L1119" t="str">
        <f>IFERROR(IF(A1119="","",SUMIF(DB_Withdrawals!$A:$A,A1119,DB_Withdrawals!$G:$G)),"")</f>
        <v/>
      </c>
      <c r="M1119" t="str">
        <f>IFERROR(IF(A1119="","",IFERROR(VALUE(H1119),0)+IFERROR(SUMIF(DB_Savings!$A:$A,A1119,DB_Savings!$F:$F),0)-IFERROR(SUMIF(DB_Withdrawals!$A:$A,A1119,DB_Withdrawals!$G:$G),0)),"")</f>
        <v/>
      </c>
      <c r="N1119" t="str">
        <f>IFERROR(IF(A1119="","",MAX(0,M1119-System_Config!$B$9)),"")</f>
        <v/>
      </c>
    </row>
    <row r="1120" spans="1:14" ht="15" customHeight="1" x14ac:dyDescent="0.25">
      <c r="A1120" t="str">
        <f>'NEW ACCOUNT'!A1121</f>
        <v/>
      </c>
      <c r="B1120" t="str">
        <f>IF('NEW ACCOUNT'!A1121="","",'NEW ACCOUNT'!B1121)</f>
        <v/>
      </c>
      <c r="C1120" t="str">
        <f>IF('NEW ACCOUNT'!A1121="","",'NEW ACCOUNT'!C1121)</f>
        <v/>
      </c>
      <c r="D1120" t="str">
        <f>IF('NEW ACCOUNT'!A1121="","",'NEW ACCOUNT'!D1121)</f>
        <v/>
      </c>
      <c r="E1120" t="str">
        <f>IF('NEW ACCOUNT'!A1121="","",'NEW ACCOUNT'!E1121)</f>
        <v/>
      </c>
      <c r="F1120" t="str">
        <f>IF('NEW ACCOUNT'!A1121="","",'NEW ACCOUNT'!F1121)</f>
        <v/>
      </c>
      <c r="G1120" t="str">
        <f>IF('NEW ACCOUNT'!A1121="","",'NEW ACCOUNT'!G1121)</f>
        <v/>
      </c>
      <c r="H1120" t="str">
        <f>IF('NEW ACCOUNT'!A1121="","",'NEW ACCOUNT'!H1121)</f>
        <v/>
      </c>
      <c r="I1120" t="str">
        <f>IF('NEW ACCOUNT'!A1121="","",'NEW ACCOUNT'!I1121)</f>
        <v/>
      </c>
      <c r="J1120" t="str">
        <f>IF('NEW ACCOUNT'!A1121="","",'NEW ACCOUNT'!J1121)</f>
        <v/>
      </c>
      <c r="K1120" t="str">
        <f>IFERROR(IF(A1120="","",SUMIF(DB_Savings!$A:$A,A1120,DB_Savings!$F:$F)),"")</f>
        <v/>
      </c>
      <c r="L1120" t="str">
        <f>IFERROR(IF(A1120="","",SUMIF(DB_Withdrawals!$A:$A,A1120,DB_Withdrawals!$G:$G)),"")</f>
        <v/>
      </c>
      <c r="M1120" t="str">
        <f>IFERROR(IF(A1120="","",IFERROR(VALUE(H1120),0)+IFERROR(SUMIF(DB_Savings!$A:$A,A1120,DB_Savings!$F:$F),0)-IFERROR(SUMIF(DB_Withdrawals!$A:$A,A1120,DB_Withdrawals!$G:$G),0)),"")</f>
        <v/>
      </c>
      <c r="N1120" t="str">
        <f>IFERROR(IF(A1120="","",MAX(0,M1120-System_Config!$B$9)),"")</f>
        <v/>
      </c>
    </row>
    <row r="1121" spans="1:14" ht="15" customHeight="1" x14ac:dyDescent="0.25">
      <c r="A1121" t="str">
        <f>'NEW ACCOUNT'!A1122</f>
        <v/>
      </c>
      <c r="B1121" t="str">
        <f>IF('NEW ACCOUNT'!A1122="","",'NEW ACCOUNT'!B1122)</f>
        <v/>
      </c>
      <c r="C1121" t="str">
        <f>IF('NEW ACCOUNT'!A1122="","",'NEW ACCOUNT'!C1122)</f>
        <v/>
      </c>
      <c r="D1121" t="str">
        <f>IF('NEW ACCOUNT'!A1122="","",'NEW ACCOUNT'!D1122)</f>
        <v/>
      </c>
      <c r="E1121" t="str">
        <f>IF('NEW ACCOUNT'!A1122="","",'NEW ACCOUNT'!E1122)</f>
        <v/>
      </c>
      <c r="F1121" t="str">
        <f>IF('NEW ACCOUNT'!A1122="","",'NEW ACCOUNT'!F1122)</f>
        <v/>
      </c>
      <c r="G1121" t="str">
        <f>IF('NEW ACCOUNT'!A1122="","",'NEW ACCOUNT'!G1122)</f>
        <v/>
      </c>
      <c r="H1121" t="str">
        <f>IF('NEW ACCOUNT'!A1122="","",'NEW ACCOUNT'!H1122)</f>
        <v/>
      </c>
      <c r="I1121" t="str">
        <f>IF('NEW ACCOUNT'!A1122="","",'NEW ACCOUNT'!I1122)</f>
        <v/>
      </c>
      <c r="J1121" t="str">
        <f>IF('NEW ACCOUNT'!A1122="","",'NEW ACCOUNT'!J1122)</f>
        <v/>
      </c>
      <c r="K1121" t="str">
        <f>IFERROR(IF(A1121="","",SUMIF(DB_Savings!$A:$A,A1121,DB_Savings!$F:$F)),"")</f>
        <v/>
      </c>
      <c r="L1121" t="str">
        <f>IFERROR(IF(A1121="","",SUMIF(DB_Withdrawals!$A:$A,A1121,DB_Withdrawals!$G:$G)),"")</f>
        <v/>
      </c>
      <c r="M1121" t="str">
        <f>IFERROR(IF(A1121="","",IFERROR(VALUE(H1121),0)+IFERROR(SUMIF(DB_Savings!$A:$A,A1121,DB_Savings!$F:$F),0)-IFERROR(SUMIF(DB_Withdrawals!$A:$A,A1121,DB_Withdrawals!$G:$G),0)),"")</f>
        <v/>
      </c>
      <c r="N1121" t="str">
        <f>IFERROR(IF(A1121="","",MAX(0,M1121-System_Config!$B$9)),"")</f>
        <v/>
      </c>
    </row>
    <row r="1122" spans="1:14" ht="15" customHeight="1" x14ac:dyDescent="0.25">
      <c r="A1122" t="str">
        <f>'NEW ACCOUNT'!A1123</f>
        <v/>
      </c>
      <c r="B1122" t="str">
        <f>IF('NEW ACCOUNT'!A1123="","",'NEW ACCOUNT'!B1123)</f>
        <v/>
      </c>
      <c r="C1122" t="str">
        <f>IF('NEW ACCOUNT'!A1123="","",'NEW ACCOUNT'!C1123)</f>
        <v/>
      </c>
      <c r="D1122" t="str">
        <f>IF('NEW ACCOUNT'!A1123="","",'NEW ACCOUNT'!D1123)</f>
        <v/>
      </c>
      <c r="E1122" t="str">
        <f>IF('NEW ACCOUNT'!A1123="","",'NEW ACCOUNT'!E1123)</f>
        <v/>
      </c>
      <c r="F1122" t="str">
        <f>IF('NEW ACCOUNT'!A1123="","",'NEW ACCOUNT'!F1123)</f>
        <v/>
      </c>
      <c r="G1122" t="str">
        <f>IF('NEW ACCOUNT'!A1123="","",'NEW ACCOUNT'!G1123)</f>
        <v/>
      </c>
      <c r="H1122" t="str">
        <f>IF('NEW ACCOUNT'!A1123="","",'NEW ACCOUNT'!H1123)</f>
        <v/>
      </c>
      <c r="I1122" t="str">
        <f>IF('NEW ACCOUNT'!A1123="","",'NEW ACCOUNT'!I1123)</f>
        <v/>
      </c>
      <c r="J1122" t="str">
        <f>IF('NEW ACCOUNT'!A1123="","",'NEW ACCOUNT'!J1123)</f>
        <v/>
      </c>
      <c r="K1122" t="str">
        <f>IFERROR(IF(A1122="","",SUMIF(DB_Savings!$A:$A,A1122,DB_Savings!$F:$F)),"")</f>
        <v/>
      </c>
      <c r="L1122" t="str">
        <f>IFERROR(IF(A1122="","",SUMIF(DB_Withdrawals!$A:$A,A1122,DB_Withdrawals!$G:$G)),"")</f>
        <v/>
      </c>
      <c r="M1122" t="str">
        <f>IFERROR(IF(A1122="","",IFERROR(VALUE(H1122),0)+IFERROR(SUMIF(DB_Savings!$A:$A,A1122,DB_Savings!$F:$F),0)-IFERROR(SUMIF(DB_Withdrawals!$A:$A,A1122,DB_Withdrawals!$G:$G),0)),"")</f>
        <v/>
      </c>
      <c r="N1122" t="str">
        <f>IFERROR(IF(A1122="","",MAX(0,M1122-System_Config!$B$9)),"")</f>
        <v/>
      </c>
    </row>
    <row r="1123" spans="1:14" ht="15" customHeight="1" x14ac:dyDescent="0.25">
      <c r="A1123" t="str">
        <f>'NEW ACCOUNT'!A1124</f>
        <v/>
      </c>
      <c r="B1123" t="str">
        <f>IF('NEW ACCOUNT'!A1124="","",'NEW ACCOUNT'!B1124)</f>
        <v/>
      </c>
      <c r="C1123" t="str">
        <f>IF('NEW ACCOUNT'!A1124="","",'NEW ACCOUNT'!C1124)</f>
        <v/>
      </c>
      <c r="D1123" t="str">
        <f>IF('NEW ACCOUNT'!A1124="","",'NEW ACCOUNT'!D1124)</f>
        <v/>
      </c>
      <c r="E1123" t="str">
        <f>IF('NEW ACCOUNT'!A1124="","",'NEW ACCOUNT'!E1124)</f>
        <v/>
      </c>
      <c r="F1123" t="str">
        <f>IF('NEW ACCOUNT'!A1124="","",'NEW ACCOUNT'!F1124)</f>
        <v/>
      </c>
      <c r="G1123" t="str">
        <f>IF('NEW ACCOUNT'!A1124="","",'NEW ACCOUNT'!G1124)</f>
        <v/>
      </c>
      <c r="H1123" t="str">
        <f>IF('NEW ACCOUNT'!A1124="","",'NEW ACCOUNT'!H1124)</f>
        <v/>
      </c>
      <c r="I1123" t="str">
        <f>IF('NEW ACCOUNT'!A1124="","",'NEW ACCOUNT'!I1124)</f>
        <v/>
      </c>
      <c r="J1123" t="str">
        <f>IF('NEW ACCOUNT'!A1124="","",'NEW ACCOUNT'!J1124)</f>
        <v/>
      </c>
      <c r="K1123" t="str">
        <f>IFERROR(IF(A1123="","",SUMIF(DB_Savings!$A:$A,A1123,DB_Savings!$F:$F)),"")</f>
        <v/>
      </c>
      <c r="L1123" t="str">
        <f>IFERROR(IF(A1123="","",SUMIF(DB_Withdrawals!$A:$A,A1123,DB_Withdrawals!$G:$G)),"")</f>
        <v/>
      </c>
      <c r="M1123" t="str">
        <f>IFERROR(IF(A1123="","",IFERROR(VALUE(H1123),0)+IFERROR(SUMIF(DB_Savings!$A:$A,A1123,DB_Savings!$F:$F),0)-IFERROR(SUMIF(DB_Withdrawals!$A:$A,A1123,DB_Withdrawals!$G:$G),0)),"")</f>
        <v/>
      </c>
      <c r="N1123" t="str">
        <f>IFERROR(IF(A1123="","",MAX(0,M1123-System_Config!$B$9)),"")</f>
        <v/>
      </c>
    </row>
    <row r="1124" spans="1:14" ht="15" customHeight="1" x14ac:dyDescent="0.25">
      <c r="A1124" t="str">
        <f>'NEW ACCOUNT'!A1125</f>
        <v/>
      </c>
      <c r="B1124" t="str">
        <f>IF('NEW ACCOUNT'!A1125="","",'NEW ACCOUNT'!B1125)</f>
        <v/>
      </c>
      <c r="C1124" t="str">
        <f>IF('NEW ACCOUNT'!A1125="","",'NEW ACCOUNT'!C1125)</f>
        <v/>
      </c>
      <c r="D1124" t="str">
        <f>IF('NEW ACCOUNT'!A1125="","",'NEW ACCOUNT'!D1125)</f>
        <v/>
      </c>
      <c r="E1124" t="str">
        <f>IF('NEW ACCOUNT'!A1125="","",'NEW ACCOUNT'!E1125)</f>
        <v/>
      </c>
      <c r="F1124" t="str">
        <f>IF('NEW ACCOUNT'!A1125="","",'NEW ACCOUNT'!F1125)</f>
        <v/>
      </c>
      <c r="G1124" t="str">
        <f>IF('NEW ACCOUNT'!A1125="","",'NEW ACCOUNT'!G1125)</f>
        <v/>
      </c>
      <c r="H1124" t="str">
        <f>IF('NEW ACCOUNT'!A1125="","",'NEW ACCOUNT'!H1125)</f>
        <v/>
      </c>
      <c r="I1124" t="str">
        <f>IF('NEW ACCOUNT'!A1125="","",'NEW ACCOUNT'!I1125)</f>
        <v/>
      </c>
      <c r="J1124" t="str">
        <f>IF('NEW ACCOUNT'!A1125="","",'NEW ACCOUNT'!J1125)</f>
        <v/>
      </c>
      <c r="K1124" t="str">
        <f>IFERROR(IF(A1124="","",SUMIF(DB_Savings!$A:$A,A1124,DB_Savings!$F:$F)),"")</f>
        <v/>
      </c>
      <c r="L1124" t="str">
        <f>IFERROR(IF(A1124="","",SUMIF(DB_Withdrawals!$A:$A,A1124,DB_Withdrawals!$G:$G)),"")</f>
        <v/>
      </c>
      <c r="M1124" t="str">
        <f>IFERROR(IF(A1124="","",IFERROR(VALUE(H1124),0)+IFERROR(SUMIF(DB_Savings!$A:$A,A1124,DB_Savings!$F:$F),0)-IFERROR(SUMIF(DB_Withdrawals!$A:$A,A1124,DB_Withdrawals!$G:$G),0)),"")</f>
        <v/>
      </c>
      <c r="N1124" t="str">
        <f>IFERROR(IF(A1124="","",MAX(0,M1124-System_Config!$B$9)),"")</f>
        <v/>
      </c>
    </row>
    <row r="1125" spans="1:14" ht="15" customHeight="1" x14ac:dyDescent="0.25">
      <c r="A1125" t="str">
        <f>'NEW ACCOUNT'!A1126</f>
        <v/>
      </c>
      <c r="B1125" t="str">
        <f>IF('NEW ACCOUNT'!A1126="","",'NEW ACCOUNT'!B1126)</f>
        <v/>
      </c>
      <c r="C1125" t="str">
        <f>IF('NEW ACCOUNT'!A1126="","",'NEW ACCOUNT'!C1126)</f>
        <v/>
      </c>
      <c r="D1125" t="str">
        <f>IF('NEW ACCOUNT'!A1126="","",'NEW ACCOUNT'!D1126)</f>
        <v/>
      </c>
      <c r="E1125" t="str">
        <f>IF('NEW ACCOUNT'!A1126="","",'NEW ACCOUNT'!E1126)</f>
        <v/>
      </c>
      <c r="F1125" t="str">
        <f>IF('NEW ACCOUNT'!A1126="","",'NEW ACCOUNT'!F1126)</f>
        <v/>
      </c>
      <c r="G1125" t="str">
        <f>IF('NEW ACCOUNT'!A1126="","",'NEW ACCOUNT'!G1126)</f>
        <v/>
      </c>
      <c r="H1125" t="str">
        <f>IF('NEW ACCOUNT'!A1126="","",'NEW ACCOUNT'!H1126)</f>
        <v/>
      </c>
      <c r="I1125" t="str">
        <f>IF('NEW ACCOUNT'!A1126="","",'NEW ACCOUNT'!I1126)</f>
        <v/>
      </c>
      <c r="J1125" t="str">
        <f>IF('NEW ACCOUNT'!A1126="","",'NEW ACCOUNT'!J1126)</f>
        <v/>
      </c>
      <c r="K1125" t="str">
        <f>IFERROR(IF(A1125="","",SUMIF(DB_Savings!$A:$A,A1125,DB_Savings!$F:$F)),"")</f>
        <v/>
      </c>
      <c r="L1125" t="str">
        <f>IFERROR(IF(A1125="","",SUMIF(DB_Withdrawals!$A:$A,A1125,DB_Withdrawals!$G:$G)),"")</f>
        <v/>
      </c>
      <c r="M1125" t="str">
        <f>IFERROR(IF(A1125="","",IFERROR(VALUE(H1125),0)+IFERROR(SUMIF(DB_Savings!$A:$A,A1125,DB_Savings!$F:$F),0)-IFERROR(SUMIF(DB_Withdrawals!$A:$A,A1125,DB_Withdrawals!$G:$G),0)),"")</f>
        <v/>
      </c>
      <c r="N1125" t="str">
        <f>IFERROR(IF(A1125="","",MAX(0,M1125-System_Config!$B$9)),"")</f>
        <v/>
      </c>
    </row>
    <row r="1126" spans="1:14" ht="15" customHeight="1" x14ac:dyDescent="0.25">
      <c r="A1126" t="str">
        <f>'NEW ACCOUNT'!A1127</f>
        <v/>
      </c>
      <c r="B1126" t="str">
        <f>IF('NEW ACCOUNT'!A1127="","",'NEW ACCOUNT'!B1127)</f>
        <v/>
      </c>
      <c r="C1126" t="str">
        <f>IF('NEW ACCOUNT'!A1127="","",'NEW ACCOUNT'!C1127)</f>
        <v/>
      </c>
      <c r="D1126" t="str">
        <f>IF('NEW ACCOUNT'!A1127="","",'NEW ACCOUNT'!D1127)</f>
        <v/>
      </c>
      <c r="E1126" t="str">
        <f>IF('NEW ACCOUNT'!A1127="","",'NEW ACCOUNT'!E1127)</f>
        <v/>
      </c>
      <c r="F1126" t="str">
        <f>IF('NEW ACCOUNT'!A1127="","",'NEW ACCOUNT'!F1127)</f>
        <v/>
      </c>
      <c r="G1126" t="str">
        <f>IF('NEW ACCOUNT'!A1127="","",'NEW ACCOUNT'!G1127)</f>
        <v/>
      </c>
      <c r="H1126" t="str">
        <f>IF('NEW ACCOUNT'!A1127="","",'NEW ACCOUNT'!H1127)</f>
        <v/>
      </c>
      <c r="I1126" t="str">
        <f>IF('NEW ACCOUNT'!A1127="","",'NEW ACCOUNT'!I1127)</f>
        <v/>
      </c>
      <c r="J1126" t="str">
        <f>IF('NEW ACCOUNT'!A1127="","",'NEW ACCOUNT'!J1127)</f>
        <v/>
      </c>
      <c r="K1126" t="str">
        <f>IFERROR(IF(A1126="","",SUMIF(DB_Savings!$A:$A,A1126,DB_Savings!$F:$F)),"")</f>
        <v/>
      </c>
      <c r="L1126" t="str">
        <f>IFERROR(IF(A1126="","",SUMIF(DB_Withdrawals!$A:$A,A1126,DB_Withdrawals!$G:$G)),"")</f>
        <v/>
      </c>
      <c r="M1126" t="str">
        <f>IFERROR(IF(A1126="","",IFERROR(VALUE(H1126),0)+IFERROR(SUMIF(DB_Savings!$A:$A,A1126,DB_Savings!$F:$F),0)-IFERROR(SUMIF(DB_Withdrawals!$A:$A,A1126,DB_Withdrawals!$G:$G),0)),"")</f>
        <v/>
      </c>
      <c r="N1126" t="str">
        <f>IFERROR(IF(A1126="","",MAX(0,M1126-System_Config!$B$9)),"")</f>
        <v/>
      </c>
    </row>
    <row r="1127" spans="1:14" ht="15" customHeight="1" x14ac:dyDescent="0.25">
      <c r="A1127" t="str">
        <f>'NEW ACCOUNT'!A1128</f>
        <v/>
      </c>
      <c r="B1127" t="str">
        <f>IF('NEW ACCOUNT'!A1128="","",'NEW ACCOUNT'!B1128)</f>
        <v/>
      </c>
      <c r="C1127" t="str">
        <f>IF('NEW ACCOUNT'!A1128="","",'NEW ACCOUNT'!C1128)</f>
        <v/>
      </c>
      <c r="D1127" t="str">
        <f>IF('NEW ACCOUNT'!A1128="","",'NEW ACCOUNT'!D1128)</f>
        <v/>
      </c>
      <c r="E1127" t="str">
        <f>IF('NEW ACCOUNT'!A1128="","",'NEW ACCOUNT'!E1128)</f>
        <v/>
      </c>
      <c r="F1127" t="str">
        <f>IF('NEW ACCOUNT'!A1128="","",'NEW ACCOUNT'!F1128)</f>
        <v/>
      </c>
      <c r="G1127" t="str">
        <f>IF('NEW ACCOUNT'!A1128="","",'NEW ACCOUNT'!G1128)</f>
        <v/>
      </c>
      <c r="H1127" t="str">
        <f>IF('NEW ACCOUNT'!A1128="","",'NEW ACCOUNT'!H1128)</f>
        <v/>
      </c>
      <c r="I1127" t="str">
        <f>IF('NEW ACCOUNT'!A1128="","",'NEW ACCOUNT'!I1128)</f>
        <v/>
      </c>
      <c r="J1127" t="str">
        <f>IF('NEW ACCOUNT'!A1128="","",'NEW ACCOUNT'!J1128)</f>
        <v/>
      </c>
      <c r="K1127" t="str">
        <f>IFERROR(IF(A1127="","",SUMIF(DB_Savings!$A:$A,A1127,DB_Savings!$F:$F)),"")</f>
        <v/>
      </c>
      <c r="L1127" t="str">
        <f>IFERROR(IF(A1127="","",SUMIF(DB_Withdrawals!$A:$A,A1127,DB_Withdrawals!$G:$G)),"")</f>
        <v/>
      </c>
      <c r="M1127" t="str">
        <f>IFERROR(IF(A1127="","",IFERROR(VALUE(H1127),0)+IFERROR(SUMIF(DB_Savings!$A:$A,A1127,DB_Savings!$F:$F),0)-IFERROR(SUMIF(DB_Withdrawals!$A:$A,A1127,DB_Withdrawals!$G:$G),0)),"")</f>
        <v/>
      </c>
      <c r="N1127" t="str">
        <f>IFERROR(IF(A1127="","",MAX(0,M1127-System_Config!$B$9)),"")</f>
        <v/>
      </c>
    </row>
    <row r="1128" spans="1:14" ht="15" customHeight="1" x14ac:dyDescent="0.25">
      <c r="A1128" t="str">
        <f>'NEW ACCOUNT'!A1129</f>
        <v/>
      </c>
      <c r="B1128" t="str">
        <f>IF('NEW ACCOUNT'!A1129="","",'NEW ACCOUNT'!B1129)</f>
        <v/>
      </c>
      <c r="C1128" t="str">
        <f>IF('NEW ACCOUNT'!A1129="","",'NEW ACCOUNT'!C1129)</f>
        <v/>
      </c>
      <c r="D1128" t="str">
        <f>IF('NEW ACCOUNT'!A1129="","",'NEW ACCOUNT'!D1129)</f>
        <v/>
      </c>
      <c r="E1128" t="str">
        <f>IF('NEW ACCOUNT'!A1129="","",'NEW ACCOUNT'!E1129)</f>
        <v/>
      </c>
      <c r="F1128" t="str">
        <f>IF('NEW ACCOUNT'!A1129="","",'NEW ACCOUNT'!F1129)</f>
        <v/>
      </c>
      <c r="G1128" t="str">
        <f>IF('NEW ACCOUNT'!A1129="","",'NEW ACCOUNT'!G1129)</f>
        <v/>
      </c>
      <c r="H1128" t="str">
        <f>IF('NEW ACCOUNT'!A1129="","",'NEW ACCOUNT'!H1129)</f>
        <v/>
      </c>
      <c r="I1128" t="str">
        <f>IF('NEW ACCOUNT'!A1129="","",'NEW ACCOUNT'!I1129)</f>
        <v/>
      </c>
      <c r="J1128" t="str">
        <f>IF('NEW ACCOUNT'!A1129="","",'NEW ACCOUNT'!J1129)</f>
        <v/>
      </c>
      <c r="K1128" t="str">
        <f>IFERROR(IF(A1128="","",SUMIF(DB_Savings!$A:$A,A1128,DB_Savings!$F:$F)),"")</f>
        <v/>
      </c>
      <c r="L1128" t="str">
        <f>IFERROR(IF(A1128="","",SUMIF(DB_Withdrawals!$A:$A,A1128,DB_Withdrawals!$G:$G)),"")</f>
        <v/>
      </c>
      <c r="M1128" t="str">
        <f>IFERROR(IF(A1128="","",IFERROR(VALUE(H1128),0)+IFERROR(SUMIF(DB_Savings!$A:$A,A1128,DB_Savings!$F:$F),0)-IFERROR(SUMIF(DB_Withdrawals!$A:$A,A1128,DB_Withdrawals!$G:$G),0)),"")</f>
        <v/>
      </c>
      <c r="N1128" t="str">
        <f>IFERROR(IF(A1128="","",MAX(0,M1128-System_Config!$B$9)),"")</f>
        <v/>
      </c>
    </row>
    <row r="1129" spans="1:14" ht="15" customHeight="1" x14ac:dyDescent="0.25">
      <c r="A1129" t="str">
        <f>'NEW ACCOUNT'!A1130</f>
        <v/>
      </c>
      <c r="B1129" t="str">
        <f>IF('NEW ACCOUNT'!A1130="","",'NEW ACCOUNT'!B1130)</f>
        <v/>
      </c>
      <c r="C1129" t="str">
        <f>IF('NEW ACCOUNT'!A1130="","",'NEW ACCOUNT'!C1130)</f>
        <v/>
      </c>
      <c r="D1129" t="str">
        <f>IF('NEW ACCOUNT'!A1130="","",'NEW ACCOUNT'!D1130)</f>
        <v/>
      </c>
      <c r="E1129" t="str">
        <f>IF('NEW ACCOUNT'!A1130="","",'NEW ACCOUNT'!E1130)</f>
        <v/>
      </c>
      <c r="F1129" t="str">
        <f>IF('NEW ACCOUNT'!A1130="","",'NEW ACCOUNT'!F1130)</f>
        <v/>
      </c>
      <c r="G1129" t="str">
        <f>IF('NEW ACCOUNT'!A1130="","",'NEW ACCOUNT'!G1130)</f>
        <v/>
      </c>
      <c r="H1129" t="str">
        <f>IF('NEW ACCOUNT'!A1130="","",'NEW ACCOUNT'!H1130)</f>
        <v/>
      </c>
      <c r="I1129" t="str">
        <f>IF('NEW ACCOUNT'!A1130="","",'NEW ACCOUNT'!I1130)</f>
        <v/>
      </c>
      <c r="J1129" t="str">
        <f>IF('NEW ACCOUNT'!A1130="","",'NEW ACCOUNT'!J1130)</f>
        <v/>
      </c>
      <c r="K1129" t="str">
        <f>IFERROR(IF(A1129="","",SUMIF(DB_Savings!$A:$A,A1129,DB_Savings!$F:$F)),"")</f>
        <v/>
      </c>
      <c r="L1129" t="str">
        <f>IFERROR(IF(A1129="","",SUMIF(DB_Withdrawals!$A:$A,A1129,DB_Withdrawals!$G:$G)),"")</f>
        <v/>
      </c>
      <c r="M1129" t="str">
        <f>IFERROR(IF(A1129="","",IFERROR(VALUE(H1129),0)+IFERROR(SUMIF(DB_Savings!$A:$A,A1129,DB_Savings!$F:$F),0)-IFERROR(SUMIF(DB_Withdrawals!$A:$A,A1129,DB_Withdrawals!$G:$G),0)),"")</f>
        <v/>
      </c>
      <c r="N1129" t="str">
        <f>IFERROR(IF(A1129="","",MAX(0,M1129-System_Config!$B$9)),"")</f>
        <v/>
      </c>
    </row>
    <row r="1130" spans="1:14" ht="15" customHeight="1" x14ac:dyDescent="0.25">
      <c r="A1130" t="str">
        <f>'NEW ACCOUNT'!A1131</f>
        <v/>
      </c>
      <c r="B1130" t="str">
        <f>IF('NEW ACCOUNT'!A1131="","",'NEW ACCOUNT'!B1131)</f>
        <v/>
      </c>
      <c r="C1130" t="str">
        <f>IF('NEW ACCOUNT'!A1131="","",'NEW ACCOUNT'!C1131)</f>
        <v/>
      </c>
      <c r="D1130" t="str">
        <f>IF('NEW ACCOUNT'!A1131="","",'NEW ACCOUNT'!D1131)</f>
        <v/>
      </c>
      <c r="E1130" t="str">
        <f>IF('NEW ACCOUNT'!A1131="","",'NEW ACCOUNT'!E1131)</f>
        <v/>
      </c>
      <c r="F1130" t="str">
        <f>IF('NEW ACCOUNT'!A1131="","",'NEW ACCOUNT'!F1131)</f>
        <v/>
      </c>
      <c r="G1130" t="str">
        <f>IF('NEW ACCOUNT'!A1131="","",'NEW ACCOUNT'!G1131)</f>
        <v/>
      </c>
      <c r="H1130" t="str">
        <f>IF('NEW ACCOUNT'!A1131="","",'NEW ACCOUNT'!H1131)</f>
        <v/>
      </c>
      <c r="I1130" t="str">
        <f>IF('NEW ACCOUNT'!A1131="","",'NEW ACCOUNT'!I1131)</f>
        <v/>
      </c>
      <c r="J1130" t="str">
        <f>IF('NEW ACCOUNT'!A1131="","",'NEW ACCOUNT'!J1131)</f>
        <v/>
      </c>
      <c r="K1130" t="str">
        <f>IFERROR(IF(A1130="","",SUMIF(DB_Savings!$A:$A,A1130,DB_Savings!$F:$F)),"")</f>
        <v/>
      </c>
      <c r="L1130" t="str">
        <f>IFERROR(IF(A1130="","",SUMIF(DB_Withdrawals!$A:$A,A1130,DB_Withdrawals!$G:$G)),"")</f>
        <v/>
      </c>
      <c r="M1130" t="str">
        <f>IFERROR(IF(A1130="","",IFERROR(VALUE(H1130),0)+IFERROR(SUMIF(DB_Savings!$A:$A,A1130,DB_Savings!$F:$F),0)-IFERROR(SUMIF(DB_Withdrawals!$A:$A,A1130,DB_Withdrawals!$G:$G),0)),"")</f>
        <v/>
      </c>
      <c r="N1130" t="str">
        <f>IFERROR(IF(A1130="","",MAX(0,M1130-System_Config!$B$9)),"")</f>
        <v/>
      </c>
    </row>
    <row r="1131" spans="1:14" ht="15" customHeight="1" x14ac:dyDescent="0.25">
      <c r="A1131" t="str">
        <f>'NEW ACCOUNT'!A1132</f>
        <v/>
      </c>
      <c r="B1131" t="str">
        <f>IF('NEW ACCOUNT'!A1132="","",'NEW ACCOUNT'!B1132)</f>
        <v/>
      </c>
      <c r="C1131" t="str">
        <f>IF('NEW ACCOUNT'!A1132="","",'NEW ACCOUNT'!C1132)</f>
        <v/>
      </c>
      <c r="D1131" t="str">
        <f>IF('NEW ACCOUNT'!A1132="","",'NEW ACCOUNT'!D1132)</f>
        <v/>
      </c>
      <c r="E1131" t="str">
        <f>IF('NEW ACCOUNT'!A1132="","",'NEW ACCOUNT'!E1132)</f>
        <v/>
      </c>
      <c r="F1131" t="str">
        <f>IF('NEW ACCOUNT'!A1132="","",'NEW ACCOUNT'!F1132)</f>
        <v/>
      </c>
      <c r="G1131" t="str">
        <f>IF('NEW ACCOUNT'!A1132="","",'NEW ACCOUNT'!G1132)</f>
        <v/>
      </c>
      <c r="H1131" t="str">
        <f>IF('NEW ACCOUNT'!A1132="","",'NEW ACCOUNT'!H1132)</f>
        <v/>
      </c>
      <c r="I1131" t="str">
        <f>IF('NEW ACCOUNT'!A1132="","",'NEW ACCOUNT'!I1132)</f>
        <v/>
      </c>
      <c r="J1131" t="str">
        <f>IF('NEW ACCOUNT'!A1132="","",'NEW ACCOUNT'!J1132)</f>
        <v/>
      </c>
      <c r="K1131" t="str">
        <f>IFERROR(IF(A1131="","",SUMIF(DB_Savings!$A:$A,A1131,DB_Savings!$F:$F)),"")</f>
        <v/>
      </c>
      <c r="L1131" t="str">
        <f>IFERROR(IF(A1131="","",SUMIF(DB_Withdrawals!$A:$A,A1131,DB_Withdrawals!$G:$G)),"")</f>
        <v/>
      </c>
      <c r="M1131" t="str">
        <f>IFERROR(IF(A1131="","",IFERROR(VALUE(H1131),0)+IFERROR(SUMIF(DB_Savings!$A:$A,A1131,DB_Savings!$F:$F),0)-IFERROR(SUMIF(DB_Withdrawals!$A:$A,A1131,DB_Withdrawals!$G:$G),0)),"")</f>
        <v/>
      </c>
      <c r="N1131" t="str">
        <f>IFERROR(IF(A1131="","",MAX(0,M1131-System_Config!$B$9)),"")</f>
        <v/>
      </c>
    </row>
    <row r="1132" spans="1:14" ht="15" customHeight="1" x14ac:dyDescent="0.25">
      <c r="A1132" t="str">
        <f>'NEW ACCOUNT'!A1133</f>
        <v/>
      </c>
      <c r="B1132" t="str">
        <f>IF('NEW ACCOUNT'!A1133="","",'NEW ACCOUNT'!B1133)</f>
        <v/>
      </c>
      <c r="C1132" t="str">
        <f>IF('NEW ACCOUNT'!A1133="","",'NEW ACCOUNT'!C1133)</f>
        <v/>
      </c>
      <c r="D1132" t="str">
        <f>IF('NEW ACCOUNT'!A1133="","",'NEW ACCOUNT'!D1133)</f>
        <v/>
      </c>
      <c r="E1132" t="str">
        <f>IF('NEW ACCOUNT'!A1133="","",'NEW ACCOUNT'!E1133)</f>
        <v/>
      </c>
      <c r="F1132" t="str">
        <f>IF('NEW ACCOUNT'!A1133="","",'NEW ACCOUNT'!F1133)</f>
        <v/>
      </c>
      <c r="G1132" t="str">
        <f>IF('NEW ACCOUNT'!A1133="","",'NEW ACCOUNT'!G1133)</f>
        <v/>
      </c>
      <c r="H1132" t="str">
        <f>IF('NEW ACCOUNT'!A1133="","",'NEW ACCOUNT'!H1133)</f>
        <v/>
      </c>
      <c r="I1132" t="str">
        <f>IF('NEW ACCOUNT'!A1133="","",'NEW ACCOUNT'!I1133)</f>
        <v/>
      </c>
      <c r="J1132" t="str">
        <f>IF('NEW ACCOUNT'!A1133="","",'NEW ACCOUNT'!J1133)</f>
        <v/>
      </c>
      <c r="K1132" t="str">
        <f>IFERROR(IF(A1132="","",SUMIF(DB_Savings!$A:$A,A1132,DB_Savings!$F:$F)),"")</f>
        <v/>
      </c>
      <c r="L1132" t="str">
        <f>IFERROR(IF(A1132="","",SUMIF(DB_Withdrawals!$A:$A,A1132,DB_Withdrawals!$G:$G)),"")</f>
        <v/>
      </c>
      <c r="M1132" t="str">
        <f>IFERROR(IF(A1132="","",IFERROR(VALUE(H1132),0)+IFERROR(SUMIF(DB_Savings!$A:$A,A1132,DB_Savings!$F:$F),0)-IFERROR(SUMIF(DB_Withdrawals!$A:$A,A1132,DB_Withdrawals!$G:$G),0)),"")</f>
        <v/>
      </c>
      <c r="N1132" t="str">
        <f>IFERROR(IF(A1132="","",MAX(0,M1132-System_Config!$B$9)),"")</f>
        <v/>
      </c>
    </row>
    <row r="1133" spans="1:14" ht="15" customHeight="1" x14ac:dyDescent="0.25">
      <c r="A1133" t="str">
        <f>'NEW ACCOUNT'!A1134</f>
        <v/>
      </c>
      <c r="B1133" t="str">
        <f>IF('NEW ACCOUNT'!A1134="","",'NEW ACCOUNT'!B1134)</f>
        <v/>
      </c>
      <c r="C1133" t="str">
        <f>IF('NEW ACCOUNT'!A1134="","",'NEW ACCOUNT'!C1134)</f>
        <v/>
      </c>
      <c r="D1133" t="str">
        <f>IF('NEW ACCOUNT'!A1134="","",'NEW ACCOUNT'!D1134)</f>
        <v/>
      </c>
      <c r="E1133" t="str">
        <f>IF('NEW ACCOUNT'!A1134="","",'NEW ACCOUNT'!E1134)</f>
        <v/>
      </c>
      <c r="F1133" t="str">
        <f>IF('NEW ACCOUNT'!A1134="","",'NEW ACCOUNT'!F1134)</f>
        <v/>
      </c>
      <c r="G1133" t="str">
        <f>IF('NEW ACCOUNT'!A1134="","",'NEW ACCOUNT'!G1134)</f>
        <v/>
      </c>
      <c r="H1133" t="str">
        <f>IF('NEW ACCOUNT'!A1134="","",'NEW ACCOUNT'!H1134)</f>
        <v/>
      </c>
      <c r="I1133" t="str">
        <f>IF('NEW ACCOUNT'!A1134="","",'NEW ACCOUNT'!I1134)</f>
        <v/>
      </c>
      <c r="J1133" t="str">
        <f>IF('NEW ACCOUNT'!A1134="","",'NEW ACCOUNT'!J1134)</f>
        <v/>
      </c>
      <c r="K1133" t="str">
        <f>IFERROR(IF(A1133="","",SUMIF(DB_Savings!$A:$A,A1133,DB_Savings!$F:$F)),"")</f>
        <v/>
      </c>
      <c r="L1133" t="str">
        <f>IFERROR(IF(A1133="","",SUMIF(DB_Withdrawals!$A:$A,A1133,DB_Withdrawals!$G:$G)),"")</f>
        <v/>
      </c>
      <c r="M1133" t="str">
        <f>IFERROR(IF(A1133="","",IFERROR(VALUE(H1133),0)+IFERROR(SUMIF(DB_Savings!$A:$A,A1133,DB_Savings!$F:$F),0)-IFERROR(SUMIF(DB_Withdrawals!$A:$A,A1133,DB_Withdrawals!$G:$G),0)),"")</f>
        <v/>
      </c>
      <c r="N1133" t="str">
        <f>IFERROR(IF(A1133="","",MAX(0,M1133-System_Config!$B$9)),"")</f>
        <v/>
      </c>
    </row>
    <row r="1134" spans="1:14" ht="15" customHeight="1" x14ac:dyDescent="0.25">
      <c r="A1134" t="str">
        <f>'NEW ACCOUNT'!A1135</f>
        <v/>
      </c>
      <c r="B1134" t="str">
        <f>IF('NEW ACCOUNT'!A1135="","",'NEW ACCOUNT'!B1135)</f>
        <v/>
      </c>
      <c r="C1134" t="str">
        <f>IF('NEW ACCOUNT'!A1135="","",'NEW ACCOUNT'!C1135)</f>
        <v/>
      </c>
      <c r="D1134" t="str">
        <f>IF('NEW ACCOUNT'!A1135="","",'NEW ACCOUNT'!D1135)</f>
        <v/>
      </c>
      <c r="E1134" t="str">
        <f>IF('NEW ACCOUNT'!A1135="","",'NEW ACCOUNT'!E1135)</f>
        <v/>
      </c>
      <c r="F1134" t="str">
        <f>IF('NEW ACCOUNT'!A1135="","",'NEW ACCOUNT'!F1135)</f>
        <v/>
      </c>
      <c r="G1134" t="str">
        <f>IF('NEW ACCOUNT'!A1135="","",'NEW ACCOUNT'!G1135)</f>
        <v/>
      </c>
      <c r="H1134" t="str">
        <f>IF('NEW ACCOUNT'!A1135="","",'NEW ACCOUNT'!H1135)</f>
        <v/>
      </c>
      <c r="I1134" t="str">
        <f>IF('NEW ACCOUNT'!A1135="","",'NEW ACCOUNT'!I1135)</f>
        <v/>
      </c>
      <c r="J1134" t="str">
        <f>IF('NEW ACCOUNT'!A1135="","",'NEW ACCOUNT'!J1135)</f>
        <v/>
      </c>
      <c r="K1134" t="str">
        <f>IFERROR(IF(A1134="","",SUMIF(DB_Savings!$A:$A,A1134,DB_Savings!$F:$F)),"")</f>
        <v/>
      </c>
      <c r="L1134" t="str">
        <f>IFERROR(IF(A1134="","",SUMIF(DB_Withdrawals!$A:$A,A1134,DB_Withdrawals!$G:$G)),"")</f>
        <v/>
      </c>
      <c r="M1134" t="str">
        <f>IFERROR(IF(A1134="","",IFERROR(VALUE(H1134),0)+IFERROR(SUMIF(DB_Savings!$A:$A,A1134,DB_Savings!$F:$F),0)-IFERROR(SUMIF(DB_Withdrawals!$A:$A,A1134,DB_Withdrawals!$G:$G),0)),"")</f>
        <v/>
      </c>
      <c r="N1134" t="str">
        <f>IFERROR(IF(A1134="","",MAX(0,M1134-System_Config!$B$9)),"")</f>
        <v/>
      </c>
    </row>
    <row r="1135" spans="1:14" ht="15" customHeight="1" x14ac:dyDescent="0.25">
      <c r="A1135" t="str">
        <f>'NEW ACCOUNT'!A1136</f>
        <v/>
      </c>
      <c r="B1135" t="str">
        <f>IF('NEW ACCOUNT'!A1136="","",'NEW ACCOUNT'!B1136)</f>
        <v/>
      </c>
      <c r="C1135" t="str">
        <f>IF('NEW ACCOUNT'!A1136="","",'NEW ACCOUNT'!C1136)</f>
        <v/>
      </c>
      <c r="D1135" t="str">
        <f>IF('NEW ACCOUNT'!A1136="","",'NEW ACCOUNT'!D1136)</f>
        <v/>
      </c>
      <c r="E1135" t="str">
        <f>IF('NEW ACCOUNT'!A1136="","",'NEW ACCOUNT'!E1136)</f>
        <v/>
      </c>
      <c r="F1135" t="str">
        <f>IF('NEW ACCOUNT'!A1136="","",'NEW ACCOUNT'!F1136)</f>
        <v/>
      </c>
      <c r="G1135" t="str">
        <f>IF('NEW ACCOUNT'!A1136="","",'NEW ACCOUNT'!G1136)</f>
        <v/>
      </c>
      <c r="H1135" t="str">
        <f>IF('NEW ACCOUNT'!A1136="","",'NEW ACCOUNT'!H1136)</f>
        <v/>
      </c>
      <c r="I1135" t="str">
        <f>IF('NEW ACCOUNT'!A1136="","",'NEW ACCOUNT'!I1136)</f>
        <v/>
      </c>
      <c r="J1135" t="str">
        <f>IF('NEW ACCOUNT'!A1136="","",'NEW ACCOUNT'!J1136)</f>
        <v/>
      </c>
      <c r="K1135" t="str">
        <f>IFERROR(IF(A1135="","",SUMIF(DB_Savings!$A:$A,A1135,DB_Savings!$F:$F)),"")</f>
        <v/>
      </c>
      <c r="L1135" t="str">
        <f>IFERROR(IF(A1135="","",SUMIF(DB_Withdrawals!$A:$A,A1135,DB_Withdrawals!$G:$G)),"")</f>
        <v/>
      </c>
      <c r="M1135" t="str">
        <f>IFERROR(IF(A1135="","",IFERROR(VALUE(H1135),0)+IFERROR(SUMIF(DB_Savings!$A:$A,A1135,DB_Savings!$F:$F),0)-IFERROR(SUMIF(DB_Withdrawals!$A:$A,A1135,DB_Withdrawals!$G:$G),0)),"")</f>
        <v/>
      </c>
      <c r="N1135" t="str">
        <f>IFERROR(IF(A1135="","",MAX(0,M1135-System_Config!$B$9)),"")</f>
        <v/>
      </c>
    </row>
    <row r="1136" spans="1:14" ht="15" customHeight="1" x14ac:dyDescent="0.25">
      <c r="A1136" t="str">
        <f>'NEW ACCOUNT'!A1137</f>
        <v/>
      </c>
      <c r="B1136" t="str">
        <f>IF('NEW ACCOUNT'!A1137="","",'NEW ACCOUNT'!B1137)</f>
        <v/>
      </c>
      <c r="C1136" t="str">
        <f>IF('NEW ACCOUNT'!A1137="","",'NEW ACCOUNT'!C1137)</f>
        <v/>
      </c>
      <c r="D1136" t="str">
        <f>IF('NEW ACCOUNT'!A1137="","",'NEW ACCOUNT'!D1137)</f>
        <v/>
      </c>
      <c r="E1136" t="str">
        <f>IF('NEW ACCOUNT'!A1137="","",'NEW ACCOUNT'!E1137)</f>
        <v/>
      </c>
      <c r="F1136" t="str">
        <f>IF('NEW ACCOUNT'!A1137="","",'NEW ACCOUNT'!F1137)</f>
        <v/>
      </c>
      <c r="G1136" t="str">
        <f>IF('NEW ACCOUNT'!A1137="","",'NEW ACCOUNT'!G1137)</f>
        <v/>
      </c>
      <c r="H1136" t="str">
        <f>IF('NEW ACCOUNT'!A1137="","",'NEW ACCOUNT'!H1137)</f>
        <v/>
      </c>
      <c r="I1136" t="str">
        <f>IF('NEW ACCOUNT'!A1137="","",'NEW ACCOUNT'!I1137)</f>
        <v/>
      </c>
      <c r="J1136" t="str">
        <f>IF('NEW ACCOUNT'!A1137="","",'NEW ACCOUNT'!J1137)</f>
        <v/>
      </c>
      <c r="K1136" t="str">
        <f>IFERROR(IF(A1136="","",SUMIF(DB_Savings!$A:$A,A1136,DB_Savings!$F:$F)),"")</f>
        <v/>
      </c>
      <c r="L1136" t="str">
        <f>IFERROR(IF(A1136="","",SUMIF(DB_Withdrawals!$A:$A,A1136,DB_Withdrawals!$G:$G)),"")</f>
        <v/>
      </c>
      <c r="M1136" t="str">
        <f>IFERROR(IF(A1136="","",IFERROR(VALUE(H1136),0)+IFERROR(SUMIF(DB_Savings!$A:$A,A1136,DB_Savings!$F:$F),0)-IFERROR(SUMIF(DB_Withdrawals!$A:$A,A1136,DB_Withdrawals!$G:$G),0)),"")</f>
        <v/>
      </c>
      <c r="N1136" t="str">
        <f>IFERROR(IF(A1136="","",MAX(0,M1136-System_Config!$B$9)),"")</f>
        <v/>
      </c>
    </row>
    <row r="1137" spans="1:14" ht="15" customHeight="1" x14ac:dyDescent="0.25">
      <c r="A1137" t="str">
        <f>'NEW ACCOUNT'!A1138</f>
        <v/>
      </c>
      <c r="B1137" t="str">
        <f>IF('NEW ACCOUNT'!A1138="","",'NEW ACCOUNT'!B1138)</f>
        <v/>
      </c>
      <c r="C1137" t="str">
        <f>IF('NEW ACCOUNT'!A1138="","",'NEW ACCOUNT'!C1138)</f>
        <v/>
      </c>
      <c r="D1137" t="str">
        <f>IF('NEW ACCOUNT'!A1138="","",'NEW ACCOUNT'!D1138)</f>
        <v/>
      </c>
      <c r="E1137" t="str">
        <f>IF('NEW ACCOUNT'!A1138="","",'NEW ACCOUNT'!E1138)</f>
        <v/>
      </c>
      <c r="F1137" t="str">
        <f>IF('NEW ACCOUNT'!A1138="","",'NEW ACCOUNT'!F1138)</f>
        <v/>
      </c>
      <c r="G1137" t="str">
        <f>IF('NEW ACCOUNT'!A1138="","",'NEW ACCOUNT'!G1138)</f>
        <v/>
      </c>
      <c r="H1137" t="str">
        <f>IF('NEW ACCOUNT'!A1138="","",'NEW ACCOUNT'!H1138)</f>
        <v/>
      </c>
      <c r="I1137" t="str">
        <f>IF('NEW ACCOUNT'!A1138="","",'NEW ACCOUNT'!I1138)</f>
        <v/>
      </c>
      <c r="J1137" t="str">
        <f>IF('NEW ACCOUNT'!A1138="","",'NEW ACCOUNT'!J1138)</f>
        <v/>
      </c>
      <c r="K1137" t="str">
        <f>IFERROR(IF(A1137="","",SUMIF(DB_Savings!$A:$A,A1137,DB_Savings!$F:$F)),"")</f>
        <v/>
      </c>
      <c r="L1137" t="str">
        <f>IFERROR(IF(A1137="","",SUMIF(DB_Withdrawals!$A:$A,A1137,DB_Withdrawals!$G:$G)),"")</f>
        <v/>
      </c>
      <c r="M1137" t="str">
        <f>IFERROR(IF(A1137="","",IFERROR(VALUE(H1137),0)+IFERROR(SUMIF(DB_Savings!$A:$A,A1137,DB_Savings!$F:$F),0)-IFERROR(SUMIF(DB_Withdrawals!$A:$A,A1137,DB_Withdrawals!$G:$G),0)),"")</f>
        <v/>
      </c>
      <c r="N1137" t="str">
        <f>IFERROR(IF(A1137="","",MAX(0,M1137-System_Config!$B$9)),"")</f>
        <v/>
      </c>
    </row>
    <row r="1138" spans="1:14" ht="15" customHeight="1" x14ac:dyDescent="0.25">
      <c r="A1138" t="str">
        <f>'NEW ACCOUNT'!A1139</f>
        <v/>
      </c>
      <c r="B1138" t="str">
        <f>IF('NEW ACCOUNT'!A1139="","",'NEW ACCOUNT'!B1139)</f>
        <v/>
      </c>
      <c r="C1138" t="str">
        <f>IF('NEW ACCOUNT'!A1139="","",'NEW ACCOUNT'!C1139)</f>
        <v/>
      </c>
      <c r="D1138" t="str">
        <f>IF('NEW ACCOUNT'!A1139="","",'NEW ACCOUNT'!D1139)</f>
        <v/>
      </c>
      <c r="E1138" t="str">
        <f>IF('NEW ACCOUNT'!A1139="","",'NEW ACCOUNT'!E1139)</f>
        <v/>
      </c>
      <c r="F1138" t="str">
        <f>IF('NEW ACCOUNT'!A1139="","",'NEW ACCOUNT'!F1139)</f>
        <v/>
      </c>
      <c r="G1138" t="str">
        <f>IF('NEW ACCOUNT'!A1139="","",'NEW ACCOUNT'!G1139)</f>
        <v/>
      </c>
      <c r="H1138" t="str">
        <f>IF('NEW ACCOUNT'!A1139="","",'NEW ACCOUNT'!H1139)</f>
        <v/>
      </c>
      <c r="I1138" t="str">
        <f>IF('NEW ACCOUNT'!A1139="","",'NEW ACCOUNT'!I1139)</f>
        <v/>
      </c>
      <c r="J1138" t="str">
        <f>IF('NEW ACCOUNT'!A1139="","",'NEW ACCOUNT'!J1139)</f>
        <v/>
      </c>
      <c r="K1138" t="str">
        <f>IFERROR(IF(A1138="","",SUMIF(DB_Savings!$A:$A,A1138,DB_Savings!$F:$F)),"")</f>
        <v/>
      </c>
      <c r="L1138" t="str">
        <f>IFERROR(IF(A1138="","",SUMIF(DB_Withdrawals!$A:$A,A1138,DB_Withdrawals!$G:$G)),"")</f>
        <v/>
      </c>
      <c r="M1138" t="str">
        <f>IFERROR(IF(A1138="","",IFERROR(VALUE(H1138),0)+IFERROR(SUMIF(DB_Savings!$A:$A,A1138,DB_Savings!$F:$F),0)-IFERROR(SUMIF(DB_Withdrawals!$A:$A,A1138,DB_Withdrawals!$G:$G),0)),"")</f>
        <v/>
      </c>
      <c r="N1138" t="str">
        <f>IFERROR(IF(A1138="","",MAX(0,M1138-System_Config!$B$9)),"")</f>
        <v/>
      </c>
    </row>
    <row r="1139" spans="1:14" ht="15" customHeight="1" x14ac:dyDescent="0.25">
      <c r="A1139" t="str">
        <f>'NEW ACCOUNT'!A1140</f>
        <v/>
      </c>
      <c r="B1139" t="str">
        <f>IF('NEW ACCOUNT'!A1140="","",'NEW ACCOUNT'!B1140)</f>
        <v/>
      </c>
      <c r="C1139" t="str">
        <f>IF('NEW ACCOUNT'!A1140="","",'NEW ACCOUNT'!C1140)</f>
        <v/>
      </c>
      <c r="D1139" t="str">
        <f>IF('NEW ACCOUNT'!A1140="","",'NEW ACCOUNT'!D1140)</f>
        <v/>
      </c>
      <c r="E1139" t="str">
        <f>IF('NEW ACCOUNT'!A1140="","",'NEW ACCOUNT'!E1140)</f>
        <v/>
      </c>
      <c r="F1139" t="str">
        <f>IF('NEW ACCOUNT'!A1140="","",'NEW ACCOUNT'!F1140)</f>
        <v/>
      </c>
      <c r="G1139" t="str">
        <f>IF('NEW ACCOUNT'!A1140="","",'NEW ACCOUNT'!G1140)</f>
        <v/>
      </c>
      <c r="H1139" t="str">
        <f>IF('NEW ACCOUNT'!A1140="","",'NEW ACCOUNT'!H1140)</f>
        <v/>
      </c>
      <c r="I1139" t="str">
        <f>IF('NEW ACCOUNT'!A1140="","",'NEW ACCOUNT'!I1140)</f>
        <v/>
      </c>
      <c r="J1139" t="str">
        <f>IF('NEW ACCOUNT'!A1140="","",'NEW ACCOUNT'!J1140)</f>
        <v/>
      </c>
      <c r="K1139" t="str">
        <f>IFERROR(IF(A1139="","",SUMIF(DB_Savings!$A:$A,A1139,DB_Savings!$F:$F)),"")</f>
        <v/>
      </c>
      <c r="L1139" t="str">
        <f>IFERROR(IF(A1139="","",SUMIF(DB_Withdrawals!$A:$A,A1139,DB_Withdrawals!$G:$G)),"")</f>
        <v/>
      </c>
      <c r="M1139" t="str">
        <f>IFERROR(IF(A1139="","",IFERROR(VALUE(H1139),0)+IFERROR(SUMIF(DB_Savings!$A:$A,A1139,DB_Savings!$F:$F),0)-IFERROR(SUMIF(DB_Withdrawals!$A:$A,A1139,DB_Withdrawals!$G:$G),0)),"")</f>
        <v/>
      </c>
      <c r="N1139" t="str">
        <f>IFERROR(IF(A1139="","",MAX(0,M1139-System_Config!$B$9)),"")</f>
        <v/>
      </c>
    </row>
    <row r="1140" spans="1:14" ht="15" customHeight="1" x14ac:dyDescent="0.25">
      <c r="A1140" t="str">
        <f>'NEW ACCOUNT'!A1141</f>
        <v/>
      </c>
      <c r="B1140" t="str">
        <f>IF('NEW ACCOUNT'!A1141="","",'NEW ACCOUNT'!B1141)</f>
        <v/>
      </c>
      <c r="C1140" t="str">
        <f>IF('NEW ACCOUNT'!A1141="","",'NEW ACCOUNT'!C1141)</f>
        <v/>
      </c>
      <c r="D1140" t="str">
        <f>IF('NEW ACCOUNT'!A1141="","",'NEW ACCOUNT'!D1141)</f>
        <v/>
      </c>
      <c r="E1140" t="str">
        <f>IF('NEW ACCOUNT'!A1141="","",'NEW ACCOUNT'!E1141)</f>
        <v/>
      </c>
      <c r="F1140" t="str">
        <f>IF('NEW ACCOUNT'!A1141="","",'NEW ACCOUNT'!F1141)</f>
        <v/>
      </c>
      <c r="G1140" t="str">
        <f>IF('NEW ACCOUNT'!A1141="","",'NEW ACCOUNT'!G1141)</f>
        <v/>
      </c>
      <c r="H1140" t="str">
        <f>IF('NEW ACCOUNT'!A1141="","",'NEW ACCOUNT'!H1141)</f>
        <v/>
      </c>
      <c r="I1140" t="str">
        <f>IF('NEW ACCOUNT'!A1141="","",'NEW ACCOUNT'!I1141)</f>
        <v/>
      </c>
      <c r="J1140" t="str">
        <f>IF('NEW ACCOUNT'!A1141="","",'NEW ACCOUNT'!J1141)</f>
        <v/>
      </c>
      <c r="K1140" t="str">
        <f>IFERROR(IF(A1140="","",SUMIF(DB_Savings!$A:$A,A1140,DB_Savings!$F:$F)),"")</f>
        <v/>
      </c>
      <c r="L1140" t="str">
        <f>IFERROR(IF(A1140="","",SUMIF(DB_Withdrawals!$A:$A,A1140,DB_Withdrawals!$G:$G)),"")</f>
        <v/>
      </c>
      <c r="M1140" t="str">
        <f>IFERROR(IF(A1140="","",IFERROR(VALUE(H1140),0)+IFERROR(SUMIF(DB_Savings!$A:$A,A1140,DB_Savings!$F:$F),0)-IFERROR(SUMIF(DB_Withdrawals!$A:$A,A1140,DB_Withdrawals!$G:$G),0)),"")</f>
        <v/>
      </c>
      <c r="N1140" t="str">
        <f>IFERROR(IF(A1140="","",MAX(0,M1140-System_Config!$B$9)),"")</f>
        <v/>
      </c>
    </row>
    <row r="1141" spans="1:14" ht="15" customHeight="1" x14ac:dyDescent="0.25">
      <c r="A1141" t="str">
        <f>'NEW ACCOUNT'!A1142</f>
        <v/>
      </c>
      <c r="B1141" t="str">
        <f>IF('NEW ACCOUNT'!A1142="","",'NEW ACCOUNT'!B1142)</f>
        <v/>
      </c>
      <c r="C1141" t="str">
        <f>IF('NEW ACCOUNT'!A1142="","",'NEW ACCOUNT'!C1142)</f>
        <v/>
      </c>
      <c r="D1141" t="str">
        <f>IF('NEW ACCOUNT'!A1142="","",'NEW ACCOUNT'!D1142)</f>
        <v/>
      </c>
      <c r="E1141" t="str">
        <f>IF('NEW ACCOUNT'!A1142="","",'NEW ACCOUNT'!E1142)</f>
        <v/>
      </c>
      <c r="F1141" t="str">
        <f>IF('NEW ACCOUNT'!A1142="","",'NEW ACCOUNT'!F1142)</f>
        <v/>
      </c>
      <c r="G1141" t="str">
        <f>IF('NEW ACCOUNT'!A1142="","",'NEW ACCOUNT'!G1142)</f>
        <v/>
      </c>
      <c r="H1141" t="str">
        <f>IF('NEW ACCOUNT'!A1142="","",'NEW ACCOUNT'!H1142)</f>
        <v/>
      </c>
      <c r="I1141" t="str">
        <f>IF('NEW ACCOUNT'!A1142="","",'NEW ACCOUNT'!I1142)</f>
        <v/>
      </c>
      <c r="J1141" t="str">
        <f>IF('NEW ACCOUNT'!A1142="","",'NEW ACCOUNT'!J1142)</f>
        <v/>
      </c>
      <c r="K1141" t="str">
        <f>IFERROR(IF(A1141="","",SUMIF(DB_Savings!$A:$A,A1141,DB_Savings!$F:$F)),"")</f>
        <v/>
      </c>
      <c r="L1141" t="str">
        <f>IFERROR(IF(A1141="","",SUMIF(DB_Withdrawals!$A:$A,A1141,DB_Withdrawals!$G:$G)),"")</f>
        <v/>
      </c>
      <c r="M1141" t="str">
        <f>IFERROR(IF(A1141="","",IFERROR(VALUE(H1141),0)+IFERROR(SUMIF(DB_Savings!$A:$A,A1141,DB_Savings!$F:$F),0)-IFERROR(SUMIF(DB_Withdrawals!$A:$A,A1141,DB_Withdrawals!$G:$G),0)),"")</f>
        <v/>
      </c>
      <c r="N1141" t="str">
        <f>IFERROR(IF(A1141="","",MAX(0,M1141-System_Config!$B$9)),"")</f>
        <v/>
      </c>
    </row>
    <row r="1142" spans="1:14" ht="15" customHeight="1" x14ac:dyDescent="0.25">
      <c r="A1142" t="str">
        <f>'NEW ACCOUNT'!A1143</f>
        <v/>
      </c>
      <c r="B1142" t="str">
        <f>IF('NEW ACCOUNT'!A1143="","",'NEW ACCOUNT'!B1143)</f>
        <v/>
      </c>
      <c r="C1142" t="str">
        <f>IF('NEW ACCOUNT'!A1143="","",'NEW ACCOUNT'!C1143)</f>
        <v/>
      </c>
      <c r="D1142" t="str">
        <f>IF('NEW ACCOUNT'!A1143="","",'NEW ACCOUNT'!D1143)</f>
        <v/>
      </c>
      <c r="E1142" t="str">
        <f>IF('NEW ACCOUNT'!A1143="","",'NEW ACCOUNT'!E1143)</f>
        <v/>
      </c>
      <c r="F1142" t="str">
        <f>IF('NEW ACCOUNT'!A1143="","",'NEW ACCOUNT'!F1143)</f>
        <v/>
      </c>
      <c r="G1142" t="str">
        <f>IF('NEW ACCOUNT'!A1143="","",'NEW ACCOUNT'!G1143)</f>
        <v/>
      </c>
      <c r="H1142" t="str">
        <f>IF('NEW ACCOUNT'!A1143="","",'NEW ACCOUNT'!H1143)</f>
        <v/>
      </c>
      <c r="I1142" t="str">
        <f>IF('NEW ACCOUNT'!A1143="","",'NEW ACCOUNT'!I1143)</f>
        <v/>
      </c>
      <c r="J1142" t="str">
        <f>IF('NEW ACCOUNT'!A1143="","",'NEW ACCOUNT'!J1143)</f>
        <v/>
      </c>
      <c r="K1142" t="str">
        <f>IFERROR(IF(A1142="","",SUMIF(DB_Savings!$A:$A,A1142,DB_Savings!$F:$F)),"")</f>
        <v/>
      </c>
      <c r="L1142" t="str">
        <f>IFERROR(IF(A1142="","",SUMIF(DB_Withdrawals!$A:$A,A1142,DB_Withdrawals!$G:$G)),"")</f>
        <v/>
      </c>
      <c r="M1142" t="str">
        <f>IFERROR(IF(A1142="","",IFERROR(VALUE(H1142),0)+IFERROR(SUMIF(DB_Savings!$A:$A,A1142,DB_Savings!$F:$F),0)-IFERROR(SUMIF(DB_Withdrawals!$A:$A,A1142,DB_Withdrawals!$G:$G),0)),"")</f>
        <v/>
      </c>
      <c r="N1142" t="str">
        <f>IFERROR(IF(A1142="","",MAX(0,M1142-System_Config!$B$9)),"")</f>
        <v/>
      </c>
    </row>
    <row r="1143" spans="1:14" ht="15" customHeight="1" x14ac:dyDescent="0.25">
      <c r="A1143" t="str">
        <f>'NEW ACCOUNT'!A1144</f>
        <v/>
      </c>
      <c r="B1143" t="str">
        <f>IF('NEW ACCOUNT'!A1144="","",'NEW ACCOUNT'!B1144)</f>
        <v/>
      </c>
      <c r="C1143" t="str">
        <f>IF('NEW ACCOUNT'!A1144="","",'NEW ACCOUNT'!C1144)</f>
        <v/>
      </c>
      <c r="D1143" t="str">
        <f>IF('NEW ACCOUNT'!A1144="","",'NEW ACCOUNT'!D1144)</f>
        <v/>
      </c>
      <c r="E1143" t="str">
        <f>IF('NEW ACCOUNT'!A1144="","",'NEW ACCOUNT'!E1144)</f>
        <v/>
      </c>
      <c r="F1143" t="str">
        <f>IF('NEW ACCOUNT'!A1144="","",'NEW ACCOUNT'!F1144)</f>
        <v/>
      </c>
      <c r="G1143" t="str">
        <f>IF('NEW ACCOUNT'!A1144="","",'NEW ACCOUNT'!G1144)</f>
        <v/>
      </c>
      <c r="H1143" t="str">
        <f>IF('NEW ACCOUNT'!A1144="","",'NEW ACCOUNT'!H1144)</f>
        <v/>
      </c>
      <c r="I1143" t="str">
        <f>IF('NEW ACCOUNT'!A1144="","",'NEW ACCOUNT'!I1144)</f>
        <v/>
      </c>
      <c r="J1143" t="str">
        <f>IF('NEW ACCOUNT'!A1144="","",'NEW ACCOUNT'!J1144)</f>
        <v/>
      </c>
      <c r="K1143" t="str">
        <f>IFERROR(IF(A1143="","",SUMIF(DB_Savings!$A:$A,A1143,DB_Savings!$F:$F)),"")</f>
        <v/>
      </c>
      <c r="L1143" t="str">
        <f>IFERROR(IF(A1143="","",SUMIF(DB_Withdrawals!$A:$A,A1143,DB_Withdrawals!$G:$G)),"")</f>
        <v/>
      </c>
      <c r="M1143" t="str">
        <f>IFERROR(IF(A1143="","",IFERROR(VALUE(H1143),0)+IFERROR(SUMIF(DB_Savings!$A:$A,A1143,DB_Savings!$F:$F),0)-IFERROR(SUMIF(DB_Withdrawals!$A:$A,A1143,DB_Withdrawals!$G:$G),0)),"")</f>
        <v/>
      </c>
      <c r="N1143" t="str">
        <f>IFERROR(IF(A1143="","",MAX(0,M1143-System_Config!$B$9)),"")</f>
        <v/>
      </c>
    </row>
    <row r="1144" spans="1:14" ht="15" customHeight="1" x14ac:dyDescent="0.25">
      <c r="A1144" t="str">
        <f>'NEW ACCOUNT'!A1145</f>
        <v/>
      </c>
      <c r="B1144" t="str">
        <f>IF('NEW ACCOUNT'!A1145="","",'NEW ACCOUNT'!B1145)</f>
        <v/>
      </c>
      <c r="C1144" t="str">
        <f>IF('NEW ACCOUNT'!A1145="","",'NEW ACCOUNT'!C1145)</f>
        <v/>
      </c>
      <c r="D1144" t="str">
        <f>IF('NEW ACCOUNT'!A1145="","",'NEW ACCOUNT'!D1145)</f>
        <v/>
      </c>
      <c r="E1144" t="str">
        <f>IF('NEW ACCOUNT'!A1145="","",'NEW ACCOUNT'!E1145)</f>
        <v/>
      </c>
      <c r="F1144" t="str">
        <f>IF('NEW ACCOUNT'!A1145="","",'NEW ACCOUNT'!F1145)</f>
        <v/>
      </c>
      <c r="G1144" t="str">
        <f>IF('NEW ACCOUNT'!A1145="","",'NEW ACCOUNT'!G1145)</f>
        <v/>
      </c>
      <c r="H1144" t="str">
        <f>IF('NEW ACCOUNT'!A1145="","",'NEW ACCOUNT'!H1145)</f>
        <v/>
      </c>
      <c r="I1144" t="str">
        <f>IF('NEW ACCOUNT'!A1145="","",'NEW ACCOUNT'!I1145)</f>
        <v/>
      </c>
      <c r="J1144" t="str">
        <f>IF('NEW ACCOUNT'!A1145="","",'NEW ACCOUNT'!J1145)</f>
        <v/>
      </c>
      <c r="K1144" t="str">
        <f>IFERROR(IF(A1144="","",SUMIF(DB_Savings!$A:$A,A1144,DB_Savings!$F:$F)),"")</f>
        <v/>
      </c>
      <c r="L1144" t="str">
        <f>IFERROR(IF(A1144="","",SUMIF(DB_Withdrawals!$A:$A,A1144,DB_Withdrawals!$G:$G)),"")</f>
        <v/>
      </c>
      <c r="M1144" t="str">
        <f>IFERROR(IF(A1144="","",IFERROR(VALUE(H1144),0)+IFERROR(SUMIF(DB_Savings!$A:$A,A1144,DB_Savings!$F:$F),0)-IFERROR(SUMIF(DB_Withdrawals!$A:$A,A1144,DB_Withdrawals!$G:$G),0)),"")</f>
        <v/>
      </c>
      <c r="N1144" t="str">
        <f>IFERROR(IF(A1144="","",MAX(0,M1144-System_Config!$B$9)),"")</f>
        <v/>
      </c>
    </row>
    <row r="1145" spans="1:14" ht="15" customHeight="1" x14ac:dyDescent="0.25">
      <c r="A1145" t="str">
        <f>'NEW ACCOUNT'!A1146</f>
        <v/>
      </c>
      <c r="B1145" t="str">
        <f>IF('NEW ACCOUNT'!A1146="","",'NEW ACCOUNT'!B1146)</f>
        <v/>
      </c>
      <c r="C1145" t="str">
        <f>IF('NEW ACCOUNT'!A1146="","",'NEW ACCOUNT'!C1146)</f>
        <v/>
      </c>
      <c r="D1145" t="str">
        <f>IF('NEW ACCOUNT'!A1146="","",'NEW ACCOUNT'!D1146)</f>
        <v/>
      </c>
      <c r="E1145" t="str">
        <f>IF('NEW ACCOUNT'!A1146="","",'NEW ACCOUNT'!E1146)</f>
        <v/>
      </c>
      <c r="F1145" t="str">
        <f>IF('NEW ACCOUNT'!A1146="","",'NEW ACCOUNT'!F1146)</f>
        <v/>
      </c>
      <c r="G1145" t="str">
        <f>IF('NEW ACCOUNT'!A1146="","",'NEW ACCOUNT'!G1146)</f>
        <v/>
      </c>
      <c r="H1145" t="str">
        <f>IF('NEW ACCOUNT'!A1146="","",'NEW ACCOUNT'!H1146)</f>
        <v/>
      </c>
      <c r="I1145" t="str">
        <f>IF('NEW ACCOUNT'!A1146="","",'NEW ACCOUNT'!I1146)</f>
        <v/>
      </c>
      <c r="J1145" t="str">
        <f>IF('NEW ACCOUNT'!A1146="","",'NEW ACCOUNT'!J1146)</f>
        <v/>
      </c>
      <c r="K1145" t="str">
        <f>IFERROR(IF(A1145="","",SUMIF(DB_Savings!$A:$A,A1145,DB_Savings!$F:$F)),"")</f>
        <v/>
      </c>
      <c r="L1145" t="str">
        <f>IFERROR(IF(A1145="","",SUMIF(DB_Withdrawals!$A:$A,A1145,DB_Withdrawals!$G:$G)),"")</f>
        <v/>
      </c>
      <c r="M1145" t="str">
        <f>IFERROR(IF(A1145="","",IFERROR(VALUE(H1145),0)+IFERROR(SUMIF(DB_Savings!$A:$A,A1145,DB_Savings!$F:$F),0)-IFERROR(SUMIF(DB_Withdrawals!$A:$A,A1145,DB_Withdrawals!$G:$G),0)),"")</f>
        <v/>
      </c>
      <c r="N1145" t="str">
        <f>IFERROR(IF(A1145="","",MAX(0,M1145-System_Config!$B$9)),"")</f>
        <v/>
      </c>
    </row>
    <row r="1146" spans="1:14" ht="15" customHeight="1" x14ac:dyDescent="0.25">
      <c r="A1146" t="str">
        <f>'NEW ACCOUNT'!A1147</f>
        <v/>
      </c>
      <c r="B1146" t="str">
        <f>IF('NEW ACCOUNT'!A1147="","",'NEW ACCOUNT'!B1147)</f>
        <v/>
      </c>
      <c r="C1146" t="str">
        <f>IF('NEW ACCOUNT'!A1147="","",'NEW ACCOUNT'!C1147)</f>
        <v/>
      </c>
      <c r="D1146" t="str">
        <f>IF('NEW ACCOUNT'!A1147="","",'NEW ACCOUNT'!D1147)</f>
        <v/>
      </c>
      <c r="E1146" t="str">
        <f>IF('NEW ACCOUNT'!A1147="","",'NEW ACCOUNT'!E1147)</f>
        <v/>
      </c>
      <c r="F1146" t="str">
        <f>IF('NEW ACCOUNT'!A1147="","",'NEW ACCOUNT'!F1147)</f>
        <v/>
      </c>
      <c r="G1146" t="str">
        <f>IF('NEW ACCOUNT'!A1147="","",'NEW ACCOUNT'!G1147)</f>
        <v/>
      </c>
      <c r="H1146" t="str">
        <f>IF('NEW ACCOUNT'!A1147="","",'NEW ACCOUNT'!H1147)</f>
        <v/>
      </c>
      <c r="I1146" t="str">
        <f>IF('NEW ACCOUNT'!A1147="","",'NEW ACCOUNT'!I1147)</f>
        <v/>
      </c>
      <c r="J1146" t="str">
        <f>IF('NEW ACCOUNT'!A1147="","",'NEW ACCOUNT'!J1147)</f>
        <v/>
      </c>
      <c r="K1146" t="str">
        <f>IFERROR(IF(A1146="","",SUMIF(DB_Savings!$A:$A,A1146,DB_Savings!$F:$F)),"")</f>
        <v/>
      </c>
      <c r="L1146" t="str">
        <f>IFERROR(IF(A1146="","",SUMIF(DB_Withdrawals!$A:$A,A1146,DB_Withdrawals!$G:$G)),"")</f>
        <v/>
      </c>
      <c r="M1146" t="str">
        <f>IFERROR(IF(A1146="","",IFERROR(VALUE(H1146),0)+IFERROR(SUMIF(DB_Savings!$A:$A,A1146,DB_Savings!$F:$F),0)-IFERROR(SUMIF(DB_Withdrawals!$A:$A,A1146,DB_Withdrawals!$G:$G),0)),"")</f>
        <v/>
      </c>
      <c r="N1146" t="str">
        <f>IFERROR(IF(A1146="","",MAX(0,M1146-System_Config!$B$9)),"")</f>
        <v/>
      </c>
    </row>
    <row r="1147" spans="1:14" ht="15" customHeight="1" x14ac:dyDescent="0.25">
      <c r="A1147" t="str">
        <f>'NEW ACCOUNT'!A1148</f>
        <v/>
      </c>
      <c r="B1147" t="str">
        <f>IF('NEW ACCOUNT'!A1148="","",'NEW ACCOUNT'!B1148)</f>
        <v/>
      </c>
      <c r="C1147" t="str">
        <f>IF('NEW ACCOUNT'!A1148="","",'NEW ACCOUNT'!C1148)</f>
        <v/>
      </c>
      <c r="D1147" t="str">
        <f>IF('NEW ACCOUNT'!A1148="","",'NEW ACCOUNT'!D1148)</f>
        <v/>
      </c>
      <c r="E1147" t="str">
        <f>IF('NEW ACCOUNT'!A1148="","",'NEW ACCOUNT'!E1148)</f>
        <v/>
      </c>
      <c r="F1147" t="str">
        <f>IF('NEW ACCOUNT'!A1148="","",'NEW ACCOUNT'!F1148)</f>
        <v/>
      </c>
      <c r="G1147" t="str">
        <f>IF('NEW ACCOUNT'!A1148="","",'NEW ACCOUNT'!G1148)</f>
        <v/>
      </c>
      <c r="H1147" t="str">
        <f>IF('NEW ACCOUNT'!A1148="","",'NEW ACCOUNT'!H1148)</f>
        <v/>
      </c>
      <c r="I1147" t="str">
        <f>IF('NEW ACCOUNT'!A1148="","",'NEW ACCOUNT'!I1148)</f>
        <v/>
      </c>
      <c r="J1147" t="str">
        <f>IF('NEW ACCOUNT'!A1148="","",'NEW ACCOUNT'!J1148)</f>
        <v/>
      </c>
      <c r="K1147" t="str">
        <f>IFERROR(IF(A1147="","",SUMIF(DB_Savings!$A:$A,A1147,DB_Savings!$F:$F)),"")</f>
        <v/>
      </c>
      <c r="L1147" t="str">
        <f>IFERROR(IF(A1147="","",SUMIF(DB_Withdrawals!$A:$A,A1147,DB_Withdrawals!$G:$G)),"")</f>
        <v/>
      </c>
      <c r="M1147" t="str">
        <f>IFERROR(IF(A1147="","",IFERROR(VALUE(H1147),0)+IFERROR(SUMIF(DB_Savings!$A:$A,A1147,DB_Savings!$F:$F),0)-IFERROR(SUMIF(DB_Withdrawals!$A:$A,A1147,DB_Withdrawals!$G:$G),0)),"")</f>
        <v/>
      </c>
      <c r="N1147" t="str">
        <f>IFERROR(IF(A1147="","",MAX(0,M1147-System_Config!$B$9)),"")</f>
        <v/>
      </c>
    </row>
    <row r="1148" spans="1:14" ht="15" customHeight="1" x14ac:dyDescent="0.25">
      <c r="A1148" t="str">
        <f>'NEW ACCOUNT'!A1149</f>
        <v/>
      </c>
      <c r="B1148" t="str">
        <f>IF('NEW ACCOUNT'!A1149="","",'NEW ACCOUNT'!B1149)</f>
        <v/>
      </c>
      <c r="C1148" t="str">
        <f>IF('NEW ACCOUNT'!A1149="","",'NEW ACCOUNT'!C1149)</f>
        <v/>
      </c>
      <c r="D1148" t="str">
        <f>IF('NEW ACCOUNT'!A1149="","",'NEW ACCOUNT'!D1149)</f>
        <v/>
      </c>
      <c r="E1148" t="str">
        <f>IF('NEW ACCOUNT'!A1149="","",'NEW ACCOUNT'!E1149)</f>
        <v/>
      </c>
      <c r="F1148" t="str">
        <f>IF('NEW ACCOUNT'!A1149="","",'NEW ACCOUNT'!F1149)</f>
        <v/>
      </c>
      <c r="G1148" t="str">
        <f>IF('NEW ACCOUNT'!A1149="","",'NEW ACCOUNT'!G1149)</f>
        <v/>
      </c>
      <c r="H1148" t="str">
        <f>IF('NEW ACCOUNT'!A1149="","",'NEW ACCOUNT'!H1149)</f>
        <v/>
      </c>
      <c r="I1148" t="str">
        <f>IF('NEW ACCOUNT'!A1149="","",'NEW ACCOUNT'!I1149)</f>
        <v/>
      </c>
      <c r="J1148" t="str">
        <f>IF('NEW ACCOUNT'!A1149="","",'NEW ACCOUNT'!J1149)</f>
        <v/>
      </c>
      <c r="K1148" t="str">
        <f>IFERROR(IF(A1148="","",SUMIF(DB_Savings!$A:$A,A1148,DB_Savings!$F:$F)),"")</f>
        <v/>
      </c>
      <c r="L1148" t="str">
        <f>IFERROR(IF(A1148="","",SUMIF(DB_Withdrawals!$A:$A,A1148,DB_Withdrawals!$G:$G)),"")</f>
        <v/>
      </c>
      <c r="M1148" t="str">
        <f>IFERROR(IF(A1148="","",IFERROR(VALUE(H1148),0)+IFERROR(SUMIF(DB_Savings!$A:$A,A1148,DB_Savings!$F:$F),0)-IFERROR(SUMIF(DB_Withdrawals!$A:$A,A1148,DB_Withdrawals!$G:$G),0)),"")</f>
        <v/>
      </c>
      <c r="N1148" t="str">
        <f>IFERROR(IF(A1148="","",MAX(0,M1148-System_Config!$B$9)),"")</f>
        <v/>
      </c>
    </row>
    <row r="1149" spans="1:14" ht="15" customHeight="1" x14ac:dyDescent="0.25">
      <c r="A1149" t="str">
        <f>'NEW ACCOUNT'!A1150</f>
        <v/>
      </c>
      <c r="B1149" t="str">
        <f>IF('NEW ACCOUNT'!A1150="","",'NEW ACCOUNT'!B1150)</f>
        <v/>
      </c>
      <c r="C1149" t="str">
        <f>IF('NEW ACCOUNT'!A1150="","",'NEW ACCOUNT'!C1150)</f>
        <v/>
      </c>
      <c r="D1149" t="str">
        <f>IF('NEW ACCOUNT'!A1150="","",'NEW ACCOUNT'!D1150)</f>
        <v/>
      </c>
      <c r="E1149" t="str">
        <f>IF('NEW ACCOUNT'!A1150="","",'NEW ACCOUNT'!E1150)</f>
        <v/>
      </c>
      <c r="F1149" t="str">
        <f>IF('NEW ACCOUNT'!A1150="","",'NEW ACCOUNT'!F1150)</f>
        <v/>
      </c>
      <c r="G1149" t="str">
        <f>IF('NEW ACCOUNT'!A1150="","",'NEW ACCOUNT'!G1150)</f>
        <v/>
      </c>
      <c r="H1149" t="str">
        <f>IF('NEW ACCOUNT'!A1150="","",'NEW ACCOUNT'!H1150)</f>
        <v/>
      </c>
      <c r="I1149" t="str">
        <f>IF('NEW ACCOUNT'!A1150="","",'NEW ACCOUNT'!I1150)</f>
        <v/>
      </c>
      <c r="J1149" t="str">
        <f>IF('NEW ACCOUNT'!A1150="","",'NEW ACCOUNT'!J1150)</f>
        <v/>
      </c>
      <c r="K1149" t="str">
        <f>IFERROR(IF(A1149="","",SUMIF(DB_Savings!$A:$A,A1149,DB_Savings!$F:$F)),"")</f>
        <v/>
      </c>
      <c r="L1149" t="str">
        <f>IFERROR(IF(A1149="","",SUMIF(DB_Withdrawals!$A:$A,A1149,DB_Withdrawals!$G:$G)),"")</f>
        <v/>
      </c>
      <c r="M1149" t="str">
        <f>IFERROR(IF(A1149="","",IFERROR(VALUE(H1149),0)+IFERROR(SUMIF(DB_Savings!$A:$A,A1149,DB_Savings!$F:$F),0)-IFERROR(SUMIF(DB_Withdrawals!$A:$A,A1149,DB_Withdrawals!$G:$G),0)),"")</f>
        <v/>
      </c>
      <c r="N1149" t="str">
        <f>IFERROR(IF(A1149="","",MAX(0,M1149-System_Config!$B$9)),"")</f>
        <v/>
      </c>
    </row>
    <row r="1150" spans="1:14" ht="15" customHeight="1" x14ac:dyDescent="0.25">
      <c r="A1150" t="str">
        <f>'NEW ACCOUNT'!A1151</f>
        <v/>
      </c>
      <c r="B1150" t="str">
        <f>IF('NEW ACCOUNT'!A1151="","",'NEW ACCOUNT'!B1151)</f>
        <v/>
      </c>
      <c r="C1150" t="str">
        <f>IF('NEW ACCOUNT'!A1151="","",'NEW ACCOUNT'!C1151)</f>
        <v/>
      </c>
      <c r="D1150" t="str">
        <f>IF('NEW ACCOUNT'!A1151="","",'NEW ACCOUNT'!D1151)</f>
        <v/>
      </c>
      <c r="E1150" t="str">
        <f>IF('NEW ACCOUNT'!A1151="","",'NEW ACCOUNT'!E1151)</f>
        <v/>
      </c>
      <c r="F1150" t="str">
        <f>IF('NEW ACCOUNT'!A1151="","",'NEW ACCOUNT'!F1151)</f>
        <v/>
      </c>
      <c r="G1150" t="str">
        <f>IF('NEW ACCOUNT'!A1151="","",'NEW ACCOUNT'!G1151)</f>
        <v/>
      </c>
      <c r="H1150" t="str">
        <f>IF('NEW ACCOUNT'!A1151="","",'NEW ACCOUNT'!H1151)</f>
        <v/>
      </c>
      <c r="I1150" t="str">
        <f>IF('NEW ACCOUNT'!A1151="","",'NEW ACCOUNT'!I1151)</f>
        <v/>
      </c>
      <c r="J1150" t="str">
        <f>IF('NEW ACCOUNT'!A1151="","",'NEW ACCOUNT'!J1151)</f>
        <v/>
      </c>
      <c r="K1150" t="str">
        <f>IFERROR(IF(A1150="","",SUMIF(DB_Savings!$A:$A,A1150,DB_Savings!$F:$F)),"")</f>
        <v/>
      </c>
      <c r="L1150" t="str">
        <f>IFERROR(IF(A1150="","",SUMIF(DB_Withdrawals!$A:$A,A1150,DB_Withdrawals!$G:$G)),"")</f>
        <v/>
      </c>
      <c r="M1150" t="str">
        <f>IFERROR(IF(A1150="","",IFERROR(VALUE(H1150),0)+IFERROR(SUMIF(DB_Savings!$A:$A,A1150,DB_Savings!$F:$F),0)-IFERROR(SUMIF(DB_Withdrawals!$A:$A,A1150,DB_Withdrawals!$G:$G),0)),"")</f>
        <v/>
      </c>
      <c r="N1150" t="str">
        <f>IFERROR(IF(A1150="","",MAX(0,M1150-System_Config!$B$9)),"")</f>
        <v/>
      </c>
    </row>
    <row r="1151" spans="1:14" ht="15" customHeight="1" x14ac:dyDescent="0.25">
      <c r="A1151" t="str">
        <f>'NEW ACCOUNT'!A1152</f>
        <v/>
      </c>
      <c r="B1151" t="str">
        <f>IF('NEW ACCOUNT'!A1152="","",'NEW ACCOUNT'!B1152)</f>
        <v/>
      </c>
      <c r="C1151" t="str">
        <f>IF('NEW ACCOUNT'!A1152="","",'NEW ACCOUNT'!C1152)</f>
        <v/>
      </c>
      <c r="D1151" t="str">
        <f>IF('NEW ACCOUNT'!A1152="","",'NEW ACCOUNT'!D1152)</f>
        <v/>
      </c>
      <c r="E1151" t="str">
        <f>IF('NEW ACCOUNT'!A1152="","",'NEW ACCOUNT'!E1152)</f>
        <v/>
      </c>
      <c r="F1151" t="str">
        <f>IF('NEW ACCOUNT'!A1152="","",'NEW ACCOUNT'!F1152)</f>
        <v/>
      </c>
      <c r="G1151" t="str">
        <f>IF('NEW ACCOUNT'!A1152="","",'NEW ACCOUNT'!G1152)</f>
        <v/>
      </c>
      <c r="H1151" t="str">
        <f>IF('NEW ACCOUNT'!A1152="","",'NEW ACCOUNT'!H1152)</f>
        <v/>
      </c>
      <c r="I1151" t="str">
        <f>IF('NEW ACCOUNT'!A1152="","",'NEW ACCOUNT'!I1152)</f>
        <v/>
      </c>
      <c r="J1151" t="str">
        <f>IF('NEW ACCOUNT'!A1152="","",'NEW ACCOUNT'!J1152)</f>
        <v/>
      </c>
      <c r="K1151" t="str">
        <f>IFERROR(IF(A1151="","",SUMIF(DB_Savings!$A:$A,A1151,DB_Savings!$F:$F)),"")</f>
        <v/>
      </c>
      <c r="L1151" t="str">
        <f>IFERROR(IF(A1151="","",SUMIF(DB_Withdrawals!$A:$A,A1151,DB_Withdrawals!$G:$G)),"")</f>
        <v/>
      </c>
      <c r="M1151" t="str">
        <f>IFERROR(IF(A1151="","",IFERROR(VALUE(H1151),0)+IFERROR(SUMIF(DB_Savings!$A:$A,A1151,DB_Savings!$F:$F),0)-IFERROR(SUMIF(DB_Withdrawals!$A:$A,A1151,DB_Withdrawals!$G:$G),0)),"")</f>
        <v/>
      </c>
      <c r="N1151" t="str">
        <f>IFERROR(IF(A1151="","",MAX(0,M1151-System_Config!$B$9)),"")</f>
        <v/>
      </c>
    </row>
    <row r="1152" spans="1:14" ht="15" customHeight="1" x14ac:dyDescent="0.25">
      <c r="A1152" t="str">
        <f>'NEW ACCOUNT'!A1153</f>
        <v/>
      </c>
      <c r="B1152" t="str">
        <f>IF('NEW ACCOUNT'!A1153="","",'NEW ACCOUNT'!B1153)</f>
        <v/>
      </c>
      <c r="C1152" t="str">
        <f>IF('NEW ACCOUNT'!A1153="","",'NEW ACCOUNT'!C1153)</f>
        <v/>
      </c>
      <c r="D1152" t="str">
        <f>IF('NEW ACCOUNT'!A1153="","",'NEW ACCOUNT'!D1153)</f>
        <v/>
      </c>
      <c r="E1152" t="str">
        <f>IF('NEW ACCOUNT'!A1153="","",'NEW ACCOUNT'!E1153)</f>
        <v/>
      </c>
      <c r="F1152" t="str">
        <f>IF('NEW ACCOUNT'!A1153="","",'NEW ACCOUNT'!F1153)</f>
        <v/>
      </c>
      <c r="G1152" t="str">
        <f>IF('NEW ACCOUNT'!A1153="","",'NEW ACCOUNT'!G1153)</f>
        <v/>
      </c>
      <c r="H1152" t="str">
        <f>IF('NEW ACCOUNT'!A1153="","",'NEW ACCOUNT'!H1153)</f>
        <v/>
      </c>
      <c r="I1152" t="str">
        <f>IF('NEW ACCOUNT'!A1153="","",'NEW ACCOUNT'!I1153)</f>
        <v/>
      </c>
      <c r="J1152" t="str">
        <f>IF('NEW ACCOUNT'!A1153="","",'NEW ACCOUNT'!J1153)</f>
        <v/>
      </c>
      <c r="K1152" t="str">
        <f>IFERROR(IF(A1152="","",SUMIF(DB_Savings!$A:$A,A1152,DB_Savings!$F:$F)),"")</f>
        <v/>
      </c>
      <c r="L1152" t="str">
        <f>IFERROR(IF(A1152="","",SUMIF(DB_Withdrawals!$A:$A,A1152,DB_Withdrawals!$G:$G)),"")</f>
        <v/>
      </c>
      <c r="M1152" t="str">
        <f>IFERROR(IF(A1152="","",IFERROR(VALUE(H1152),0)+IFERROR(SUMIF(DB_Savings!$A:$A,A1152,DB_Savings!$F:$F),0)-IFERROR(SUMIF(DB_Withdrawals!$A:$A,A1152,DB_Withdrawals!$G:$G),0)),"")</f>
        <v/>
      </c>
      <c r="N1152" t="str">
        <f>IFERROR(IF(A1152="","",MAX(0,M1152-System_Config!$B$9)),"")</f>
        <v/>
      </c>
    </row>
    <row r="1153" spans="1:14" ht="15" customHeight="1" x14ac:dyDescent="0.25">
      <c r="A1153" t="str">
        <f>'NEW ACCOUNT'!A1154</f>
        <v/>
      </c>
      <c r="B1153" t="str">
        <f>IF('NEW ACCOUNT'!A1154="","",'NEW ACCOUNT'!B1154)</f>
        <v/>
      </c>
      <c r="C1153" t="str">
        <f>IF('NEW ACCOUNT'!A1154="","",'NEW ACCOUNT'!C1154)</f>
        <v/>
      </c>
      <c r="D1153" t="str">
        <f>IF('NEW ACCOUNT'!A1154="","",'NEW ACCOUNT'!D1154)</f>
        <v/>
      </c>
      <c r="E1153" t="str">
        <f>IF('NEW ACCOUNT'!A1154="","",'NEW ACCOUNT'!E1154)</f>
        <v/>
      </c>
      <c r="F1153" t="str">
        <f>IF('NEW ACCOUNT'!A1154="","",'NEW ACCOUNT'!F1154)</f>
        <v/>
      </c>
      <c r="G1153" t="str">
        <f>IF('NEW ACCOUNT'!A1154="","",'NEW ACCOUNT'!G1154)</f>
        <v/>
      </c>
      <c r="H1153" t="str">
        <f>IF('NEW ACCOUNT'!A1154="","",'NEW ACCOUNT'!H1154)</f>
        <v/>
      </c>
      <c r="I1153" t="str">
        <f>IF('NEW ACCOUNT'!A1154="","",'NEW ACCOUNT'!I1154)</f>
        <v/>
      </c>
      <c r="J1153" t="str">
        <f>IF('NEW ACCOUNT'!A1154="","",'NEW ACCOUNT'!J1154)</f>
        <v/>
      </c>
      <c r="K1153" t="str">
        <f>IFERROR(IF(A1153="","",SUMIF(DB_Savings!$A:$A,A1153,DB_Savings!$F:$F)),"")</f>
        <v/>
      </c>
      <c r="L1153" t="str">
        <f>IFERROR(IF(A1153="","",SUMIF(DB_Withdrawals!$A:$A,A1153,DB_Withdrawals!$G:$G)),"")</f>
        <v/>
      </c>
      <c r="M1153" t="str">
        <f>IFERROR(IF(A1153="","",IFERROR(VALUE(H1153),0)+IFERROR(SUMIF(DB_Savings!$A:$A,A1153,DB_Savings!$F:$F),0)-IFERROR(SUMIF(DB_Withdrawals!$A:$A,A1153,DB_Withdrawals!$G:$G),0)),"")</f>
        <v/>
      </c>
      <c r="N1153" t="str">
        <f>IFERROR(IF(A1153="","",MAX(0,M1153-System_Config!$B$9)),"")</f>
        <v/>
      </c>
    </row>
    <row r="1154" spans="1:14" ht="15" customHeight="1" x14ac:dyDescent="0.25">
      <c r="A1154" t="str">
        <f>'NEW ACCOUNT'!A1155</f>
        <v/>
      </c>
      <c r="B1154" t="str">
        <f>IF('NEW ACCOUNT'!A1155="","",'NEW ACCOUNT'!B1155)</f>
        <v/>
      </c>
      <c r="C1154" t="str">
        <f>IF('NEW ACCOUNT'!A1155="","",'NEW ACCOUNT'!C1155)</f>
        <v/>
      </c>
      <c r="D1154" t="str">
        <f>IF('NEW ACCOUNT'!A1155="","",'NEW ACCOUNT'!D1155)</f>
        <v/>
      </c>
      <c r="E1154" t="str">
        <f>IF('NEW ACCOUNT'!A1155="","",'NEW ACCOUNT'!E1155)</f>
        <v/>
      </c>
      <c r="F1154" t="str">
        <f>IF('NEW ACCOUNT'!A1155="","",'NEW ACCOUNT'!F1155)</f>
        <v/>
      </c>
      <c r="G1154" t="str">
        <f>IF('NEW ACCOUNT'!A1155="","",'NEW ACCOUNT'!G1155)</f>
        <v/>
      </c>
      <c r="H1154" t="str">
        <f>IF('NEW ACCOUNT'!A1155="","",'NEW ACCOUNT'!H1155)</f>
        <v/>
      </c>
      <c r="I1154" t="str">
        <f>IF('NEW ACCOUNT'!A1155="","",'NEW ACCOUNT'!I1155)</f>
        <v/>
      </c>
      <c r="J1154" t="str">
        <f>IF('NEW ACCOUNT'!A1155="","",'NEW ACCOUNT'!J1155)</f>
        <v/>
      </c>
      <c r="K1154" t="str">
        <f>IFERROR(IF(A1154="","",SUMIF(DB_Savings!$A:$A,A1154,DB_Savings!$F:$F)),"")</f>
        <v/>
      </c>
      <c r="L1154" t="str">
        <f>IFERROR(IF(A1154="","",SUMIF(DB_Withdrawals!$A:$A,A1154,DB_Withdrawals!$G:$G)),"")</f>
        <v/>
      </c>
      <c r="M1154" t="str">
        <f>IFERROR(IF(A1154="","",IFERROR(VALUE(H1154),0)+IFERROR(SUMIF(DB_Savings!$A:$A,A1154,DB_Savings!$F:$F),0)-IFERROR(SUMIF(DB_Withdrawals!$A:$A,A1154,DB_Withdrawals!$G:$G),0)),"")</f>
        <v/>
      </c>
      <c r="N1154" t="str">
        <f>IFERROR(IF(A1154="","",MAX(0,M1154-System_Config!$B$9)),"")</f>
        <v/>
      </c>
    </row>
    <row r="1155" spans="1:14" ht="15" customHeight="1" x14ac:dyDescent="0.25">
      <c r="A1155" t="str">
        <f>'NEW ACCOUNT'!A1156</f>
        <v/>
      </c>
      <c r="B1155" t="str">
        <f>IF('NEW ACCOUNT'!A1156="","",'NEW ACCOUNT'!B1156)</f>
        <v/>
      </c>
      <c r="C1155" t="str">
        <f>IF('NEW ACCOUNT'!A1156="","",'NEW ACCOUNT'!C1156)</f>
        <v/>
      </c>
      <c r="D1155" t="str">
        <f>IF('NEW ACCOUNT'!A1156="","",'NEW ACCOUNT'!D1156)</f>
        <v/>
      </c>
      <c r="E1155" t="str">
        <f>IF('NEW ACCOUNT'!A1156="","",'NEW ACCOUNT'!E1156)</f>
        <v/>
      </c>
      <c r="F1155" t="str">
        <f>IF('NEW ACCOUNT'!A1156="","",'NEW ACCOUNT'!F1156)</f>
        <v/>
      </c>
      <c r="G1155" t="str">
        <f>IF('NEW ACCOUNT'!A1156="","",'NEW ACCOUNT'!G1156)</f>
        <v/>
      </c>
      <c r="H1155" t="str">
        <f>IF('NEW ACCOUNT'!A1156="","",'NEW ACCOUNT'!H1156)</f>
        <v/>
      </c>
      <c r="I1155" t="str">
        <f>IF('NEW ACCOUNT'!A1156="","",'NEW ACCOUNT'!I1156)</f>
        <v/>
      </c>
      <c r="J1155" t="str">
        <f>IF('NEW ACCOUNT'!A1156="","",'NEW ACCOUNT'!J1156)</f>
        <v/>
      </c>
      <c r="K1155" t="str">
        <f>IFERROR(IF(A1155="","",SUMIF(DB_Savings!$A:$A,A1155,DB_Savings!$F:$F)),"")</f>
        <v/>
      </c>
      <c r="L1155" t="str">
        <f>IFERROR(IF(A1155="","",SUMIF(DB_Withdrawals!$A:$A,A1155,DB_Withdrawals!$G:$G)),"")</f>
        <v/>
      </c>
      <c r="M1155" t="str">
        <f>IFERROR(IF(A1155="","",IFERROR(VALUE(H1155),0)+IFERROR(SUMIF(DB_Savings!$A:$A,A1155,DB_Savings!$F:$F),0)-IFERROR(SUMIF(DB_Withdrawals!$A:$A,A1155,DB_Withdrawals!$G:$G),0)),"")</f>
        <v/>
      </c>
      <c r="N1155" t="str">
        <f>IFERROR(IF(A1155="","",MAX(0,M1155-System_Config!$B$9)),"")</f>
        <v/>
      </c>
    </row>
    <row r="1156" spans="1:14" ht="15" customHeight="1" x14ac:dyDescent="0.25">
      <c r="A1156" t="str">
        <f>'NEW ACCOUNT'!A1157</f>
        <v/>
      </c>
      <c r="B1156" t="str">
        <f>IF('NEW ACCOUNT'!A1157="","",'NEW ACCOUNT'!B1157)</f>
        <v/>
      </c>
      <c r="C1156" t="str">
        <f>IF('NEW ACCOUNT'!A1157="","",'NEW ACCOUNT'!C1157)</f>
        <v/>
      </c>
      <c r="D1156" t="str">
        <f>IF('NEW ACCOUNT'!A1157="","",'NEW ACCOUNT'!D1157)</f>
        <v/>
      </c>
      <c r="E1156" t="str">
        <f>IF('NEW ACCOUNT'!A1157="","",'NEW ACCOUNT'!E1157)</f>
        <v/>
      </c>
      <c r="F1156" t="str">
        <f>IF('NEW ACCOUNT'!A1157="","",'NEW ACCOUNT'!F1157)</f>
        <v/>
      </c>
      <c r="G1156" t="str">
        <f>IF('NEW ACCOUNT'!A1157="","",'NEW ACCOUNT'!G1157)</f>
        <v/>
      </c>
      <c r="H1156" t="str">
        <f>IF('NEW ACCOUNT'!A1157="","",'NEW ACCOUNT'!H1157)</f>
        <v/>
      </c>
      <c r="I1156" t="str">
        <f>IF('NEW ACCOUNT'!A1157="","",'NEW ACCOUNT'!I1157)</f>
        <v/>
      </c>
      <c r="J1156" t="str">
        <f>IF('NEW ACCOUNT'!A1157="","",'NEW ACCOUNT'!J1157)</f>
        <v/>
      </c>
      <c r="K1156" t="str">
        <f>IFERROR(IF(A1156="","",SUMIF(DB_Savings!$A:$A,A1156,DB_Savings!$F:$F)),"")</f>
        <v/>
      </c>
      <c r="L1156" t="str">
        <f>IFERROR(IF(A1156="","",SUMIF(DB_Withdrawals!$A:$A,A1156,DB_Withdrawals!$G:$G)),"")</f>
        <v/>
      </c>
      <c r="M1156" t="str">
        <f>IFERROR(IF(A1156="","",IFERROR(VALUE(H1156),0)+IFERROR(SUMIF(DB_Savings!$A:$A,A1156,DB_Savings!$F:$F),0)-IFERROR(SUMIF(DB_Withdrawals!$A:$A,A1156,DB_Withdrawals!$G:$G),0)),"")</f>
        <v/>
      </c>
      <c r="N1156" t="str">
        <f>IFERROR(IF(A1156="","",MAX(0,M1156-System_Config!$B$9)),"")</f>
        <v/>
      </c>
    </row>
    <row r="1157" spans="1:14" ht="15" customHeight="1" x14ac:dyDescent="0.25">
      <c r="A1157" t="str">
        <f>'NEW ACCOUNT'!A1158</f>
        <v/>
      </c>
      <c r="B1157" t="str">
        <f>IF('NEW ACCOUNT'!A1158="","",'NEW ACCOUNT'!B1158)</f>
        <v/>
      </c>
      <c r="C1157" t="str">
        <f>IF('NEW ACCOUNT'!A1158="","",'NEW ACCOUNT'!C1158)</f>
        <v/>
      </c>
      <c r="D1157" t="str">
        <f>IF('NEW ACCOUNT'!A1158="","",'NEW ACCOUNT'!D1158)</f>
        <v/>
      </c>
      <c r="E1157" t="str">
        <f>IF('NEW ACCOUNT'!A1158="","",'NEW ACCOUNT'!E1158)</f>
        <v/>
      </c>
      <c r="F1157" t="str">
        <f>IF('NEW ACCOUNT'!A1158="","",'NEW ACCOUNT'!F1158)</f>
        <v/>
      </c>
      <c r="G1157" t="str">
        <f>IF('NEW ACCOUNT'!A1158="","",'NEW ACCOUNT'!G1158)</f>
        <v/>
      </c>
      <c r="H1157" t="str">
        <f>IF('NEW ACCOUNT'!A1158="","",'NEW ACCOUNT'!H1158)</f>
        <v/>
      </c>
      <c r="I1157" t="str">
        <f>IF('NEW ACCOUNT'!A1158="","",'NEW ACCOUNT'!I1158)</f>
        <v/>
      </c>
      <c r="J1157" t="str">
        <f>IF('NEW ACCOUNT'!A1158="","",'NEW ACCOUNT'!J1158)</f>
        <v/>
      </c>
      <c r="K1157" t="str">
        <f>IFERROR(IF(A1157="","",SUMIF(DB_Savings!$A:$A,A1157,DB_Savings!$F:$F)),"")</f>
        <v/>
      </c>
      <c r="L1157" t="str">
        <f>IFERROR(IF(A1157="","",SUMIF(DB_Withdrawals!$A:$A,A1157,DB_Withdrawals!$G:$G)),"")</f>
        <v/>
      </c>
      <c r="M1157" t="str">
        <f>IFERROR(IF(A1157="","",IFERROR(VALUE(H1157),0)+IFERROR(SUMIF(DB_Savings!$A:$A,A1157,DB_Savings!$F:$F),0)-IFERROR(SUMIF(DB_Withdrawals!$A:$A,A1157,DB_Withdrawals!$G:$G),0)),"")</f>
        <v/>
      </c>
      <c r="N1157" t="str">
        <f>IFERROR(IF(A1157="","",MAX(0,M1157-System_Config!$B$9)),"")</f>
        <v/>
      </c>
    </row>
    <row r="1158" spans="1:14" ht="15" customHeight="1" x14ac:dyDescent="0.25">
      <c r="A1158" t="str">
        <f>'NEW ACCOUNT'!A1159</f>
        <v/>
      </c>
      <c r="B1158" t="str">
        <f>IF('NEW ACCOUNT'!A1159="","",'NEW ACCOUNT'!B1159)</f>
        <v/>
      </c>
      <c r="C1158" t="str">
        <f>IF('NEW ACCOUNT'!A1159="","",'NEW ACCOUNT'!C1159)</f>
        <v/>
      </c>
      <c r="D1158" t="str">
        <f>IF('NEW ACCOUNT'!A1159="","",'NEW ACCOUNT'!D1159)</f>
        <v/>
      </c>
      <c r="E1158" t="str">
        <f>IF('NEW ACCOUNT'!A1159="","",'NEW ACCOUNT'!E1159)</f>
        <v/>
      </c>
      <c r="F1158" t="str">
        <f>IF('NEW ACCOUNT'!A1159="","",'NEW ACCOUNT'!F1159)</f>
        <v/>
      </c>
      <c r="G1158" t="str">
        <f>IF('NEW ACCOUNT'!A1159="","",'NEW ACCOUNT'!G1159)</f>
        <v/>
      </c>
      <c r="H1158" t="str">
        <f>IF('NEW ACCOUNT'!A1159="","",'NEW ACCOUNT'!H1159)</f>
        <v/>
      </c>
      <c r="I1158" t="str">
        <f>IF('NEW ACCOUNT'!A1159="","",'NEW ACCOUNT'!I1159)</f>
        <v/>
      </c>
      <c r="J1158" t="str">
        <f>IF('NEW ACCOUNT'!A1159="","",'NEW ACCOUNT'!J1159)</f>
        <v/>
      </c>
      <c r="K1158" t="str">
        <f>IFERROR(IF(A1158="","",SUMIF(DB_Savings!$A:$A,A1158,DB_Savings!$F:$F)),"")</f>
        <v/>
      </c>
      <c r="L1158" t="str">
        <f>IFERROR(IF(A1158="","",SUMIF(DB_Withdrawals!$A:$A,A1158,DB_Withdrawals!$G:$G)),"")</f>
        <v/>
      </c>
      <c r="M1158" t="str">
        <f>IFERROR(IF(A1158="","",IFERROR(VALUE(H1158),0)+IFERROR(SUMIF(DB_Savings!$A:$A,A1158,DB_Savings!$F:$F),0)-IFERROR(SUMIF(DB_Withdrawals!$A:$A,A1158,DB_Withdrawals!$G:$G),0)),"")</f>
        <v/>
      </c>
      <c r="N1158" t="str">
        <f>IFERROR(IF(A1158="","",MAX(0,M1158-System_Config!$B$9)),"")</f>
        <v/>
      </c>
    </row>
    <row r="1159" spans="1:14" ht="15" customHeight="1" x14ac:dyDescent="0.25">
      <c r="A1159" t="str">
        <f>'NEW ACCOUNT'!A1160</f>
        <v/>
      </c>
      <c r="B1159" t="str">
        <f>IF('NEW ACCOUNT'!A1160="","",'NEW ACCOUNT'!B1160)</f>
        <v/>
      </c>
      <c r="C1159" t="str">
        <f>IF('NEW ACCOUNT'!A1160="","",'NEW ACCOUNT'!C1160)</f>
        <v/>
      </c>
      <c r="D1159" t="str">
        <f>IF('NEW ACCOUNT'!A1160="","",'NEW ACCOUNT'!D1160)</f>
        <v/>
      </c>
      <c r="E1159" t="str">
        <f>IF('NEW ACCOUNT'!A1160="","",'NEW ACCOUNT'!E1160)</f>
        <v/>
      </c>
      <c r="F1159" t="str">
        <f>IF('NEW ACCOUNT'!A1160="","",'NEW ACCOUNT'!F1160)</f>
        <v/>
      </c>
      <c r="G1159" t="str">
        <f>IF('NEW ACCOUNT'!A1160="","",'NEW ACCOUNT'!G1160)</f>
        <v/>
      </c>
      <c r="H1159" t="str">
        <f>IF('NEW ACCOUNT'!A1160="","",'NEW ACCOUNT'!H1160)</f>
        <v/>
      </c>
      <c r="I1159" t="str">
        <f>IF('NEW ACCOUNT'!A1160="","",'NEW ACCOUNT'!I1160)</f>
        <v/>
      </c>
      <c r="J1159" t="str">
        <f>IF('NEW ACCOUNT'!A1160="","",'NEW ACCOUNT'!J1160)</f>
        <v/>
      </c>
      <c r="K1159" t="str">
        <f>IFERROR(IF(A1159="","",SUMIF(DB_Savings!$A:$A,A1159,DB_Savings!$F:$F)),"")</f>
        <v/>
      </c>
      <c r="L1159" t="str">
        <f>IFERROR(IF(A1159="","",SUMIF(DB_Withdrawals!$A:$A,A1159,DB_Withdrawals!$G:$G)),"")</f>
        <v/>
      </c>
      <c r="M1159" t="str">
        <f>IFERROR(IF(A1159="","",IFERROR(VALUE(H1159),0)+IFERROR(SUMIF(DB_Savings!$A:$A,A1159,DB_Savings!$F:$F),0)-IFERROR(SUMIF(DB_Withdrawals!$A:$A,A1159,DB_Withdrawals!$G:$G),0)),"")</f>
        <v/>
      </c>
      <c r="N1159" t="str">
        <f>IFERROR(IF(A1159="","",MAX(0,M1159-System_Config!$B$9)),"")</f>
        <v/>
      </c>
    </row>
    <row r="1160" spans="1:14" ht="15" customHeight="1" x14ac:dyDescent="0.25">
      <c r="A1160" t="str">
        <f>'NEW ACCOUNT'!A1161</f>
        <v/>
      </c>
      <c r="B1160" t="str">
        <f>IF('NEW ACCOUNT'!A1161="","",'NEW ACCOUNT'!B1161)</f>
        <v/>
      </c>
      <c r="C1160" t="str">
        <f>IF('NEW ACCOUNT'!A1161="","",'NEW ACCOUNT'!C1161)</f>
        <v/>
      </c>
      <c r="D1160" t="str">
        <f>IF('NEW ACCOUNT'!A1161="","",'NEW ACCOUNT'!D1161)</f>
        <v/>
      </c>
      <c r="E1160" t="str">
        <f>IF('NEW ACCOUNT'!A1161="","",'NEW ACCOUNT'!E1161)</f>
        <v/>
      </c>
      <c r="F1160" t="str">
        <f>IF('NEW ACCOUNT'!A1161="","",'NEW ACCOUNT'!F1161)</f>
        <v/>
      </c>
      <c r="G1160" t="str">
        <f>IF('NEW ACCOUNT'!A1161="","",'NEW ACCOUNT'!G1161)</f>
        <v/>
      </c>
      <c r="H1160" t="str">
        <f>IF('NEW ACCOUNT'!A1161="","",'NEW ACCOUNT'!H1161)</f>
        <v/>
      </c>
      <c r="I1160" t="str">
        <f>IF('NEW ACCOUNT'!A1161="","",'NEW ACCOUNT'!I1161)</f>
        <v/>
      </c>
      <c r="J1160" t="str">
        <f>IF('NEW ACCOUNT'!A1161="","",'NEW ACCOUNT'!J1161)</f>
        <v/>
      </c>
      <c r="K1160" t="str">
        <f>IFERROR(IF(A1160="","",SUMIF(DB_Savings!$A:$A,A1160,DB_Savings!$F:$F)),"")</f>
        <v/>
      </c>
      <c r="L1160" t="str">
        <f>IFERROR(IF(A1160="","",SUMIF(DB_Withdrawals!$A:$A,A1160,DB_Withdrawals!$G:$G)),"")</f>
        <v/>
      </c>
      <c r="M1160" t="str">
        <f>IFERROR(IF(A1160="","",IFERROR(VALUE(H1160),0)+IFERROR(SUMIF(DB_Savings!$A:$A,A1160,DB_Savings!$F:$F),0)-IFERROR(SUMIF(DB_Withdrawals!$A:$A,A1160,DB_Withdrawals!$G:$G),0)),"")</f>
        <v/>
      </c>
      <c r="N1160" t="str">
        <f>IFERROR(IF(A1160="","",MAX(0,M1160-System_Config!$B$9)),"")</f>
        <v/>
      </c>
    </row>
    <row r="1161" spans="1:14" ht="15" customHeight="1" x14ac:dyDescent="0.25">
      <c r="A1161" t="str">
        <f>'NEW ACCOUNT'!A1162</f>
        <v/>
      </c>
      <c r="B1161" t="str">
        <f>IF('NEW ACCOUNT'!A1162="","",'NEW ACCOUNT'!B1162)</f>
        <v/>
      </c>
      <c r="C1161" t="str">
        <f>IF('NEW ACCOUNT'!A1162="","",'NEW ACCOUNT'!C1162)</f>
        <v/>
      </c>
      <c r="D1161" t="str">
        <f>IF('NEW ACCOUNT'!A1162="","",'NEW ACCOUNT'!D1162)</f>
        <v/>
      </c>
      <c r="E1161" t="str">
        <f>IF('NEW ACCOUNT'!A1162="","",'NEW ACCOUNT'!E1162)</f>
        <v/>
      </c>
      <c r="F1161" t="str">
        <f>IF('NEW ACCOUNT'!A1162="","",'NEW ACCOUNT'!F1162)</f>
        <v/>
      </c>
      <c r="G1161" t="str">
        <f>IF('NEW ACCOUNT'!A1162="","",'NEW ACCOUNT'!G1162)</f>
        <v/>
      </c>
      <c r="H1161" t="str">
        <f>IF('NEW ACCOUNT'!A1162="","",'NEW ACCOUNT'!H1162)</f>
        <v/>
      </c>
      <c r="I1161" t="str">
        <f>IF('NEW ACCOUNT'!A1162="","",'NEW ACCOUNT'!I1162)</f>
        <v/>
      </c>
      <c r="J1161" t="str">
        <f>IF('NEW ACCOUNT'!A1162="","",'NEW ACCOUNT'!J1162)</f>
        <v/>
      </c>
      <c r="K1161" t="str">
        <f>IFERROR(IF(A1161="","",SUMIF(DB_Savings!$A:$A,A1161,DB_Savings!$F:$F)),"")</f>
        <v/>
      </c>
      <c r="L1161" t="str">
        <f>IFERROR(IF(A1161="","",SUMIF(DB_Withdrawals!$A:$A,A1161,DB_Withdrawals!$G:$G)),"")</f>
        <v/>
      </c>
      <c r="M1161" t="str">
        <f>IFERROR(IF(A1161="","",IFERROR(VALUE(H1161),0)+IFERROR(SUMIF(DB_Savings!$A:$A,A1161,DB_Savings!$F:$F),0)-IFERROR(SUMIF(DB_Withdrawals!$A:$A,A1161,DB_Withdrawals!$G:$G),0)),"")</f>
        <v/>
      </c>
      <c r="N1161" t="str">
        <f>IFERROR(IF(A1161="","",MAX(0,M1161-System_Config!$B$9)),"")</f>
        <v/>
      </c>
    </row>
    <row r="1162" spans="1:14" ht="15" customHeight="1" x14ac:dyDescent="0.25">
      <c r="A1162" t="str">
        <f>'NEW ACCOUNT'!A1163</f>
        <v/>
      </c>
      <c r="B1162" t="str">
        <f>IF('NEW ACCOUNT'!A1163="","",'NEW ACCOUNT'!B1163)</f>
        <v/>
      </c>
      <c r="C1162" t="str">
        <f>IF('NEW ACCOUNT'!A1163="","",'NEW ACCOUNT'!C1163)</f>
        <v/>
      </c>
      <c r="D1162" t="str">
        <f>IF('NEW ACCOUNT'!A1163="","",'NEW ACCOUNT'!D1163)</f>
        <v/>
      </c>
      <c r="E1162" t="str">
        <f>IF('NEW ACCOUNT'!A1163="","",'NEW ACCOUNT'!E1163)</f>
        <v/>
      </c>
      <c r="F1162" t="str">
        <f>IF('NEW ACCOUNT'!A1163="","",'NEW ACCOUNT'!F1163)</f>
        <v/>
      </c>
      <c r="G1162" t="str">
        <f>IF('NEW ACCOUNT'!A1163="","",'NEW ACCOUNT'!G1163)</f>
        <v/>
      </c>
      <c r="H1162" t="str">
        <f>IF('NEW ACCOUNT'!A1163="","",'NEW ACCOUNT'!H1163)</f>
        <v/>
      </c>
      <c r="I1162" t="str">
        <f>IF('NEW ACCOUNT'!A1163="","",'NEW ACCOUNT'!I1163)</f>
        <v/>
      </c>
      <c r="J1162" t="str">
        <f>IF('NEW ACCOUNT'!A1163="","",'NEW ACCOUNT'!J1163)</f>
        <v/>
      </c>
      <c r="K1162" t="str">
        <f>IFERROR(IF(A1162="","",SUMIF(DB_Savings!$A:$A,A1162,DB_Savings!$F:$F)),"")</f>
        <v/>
      </c>
      <c r="L1162" t="str">
        <f>IFERROR(IF(A1162="","",SUMIF(DB_Withdrawals!$A:$A,A1162,DB_Withdrawals!$G:$G)),"")</f>
        <v/>
      </c>
      <c r="M1162" t="str">
        <f>IFERROR(IF(A1162="","",IFERROR(VALUE(H1162),0)+IFERROR(SUMIF(DB_Savings!$A:$A,A1162,DB_Savings!$F:$F),0)-IFERROR(SUMIF(DB_Withdrawals!$A:$A,A1162,DB_Withdrawals!$G:$G),0)),"")</f>
        <v/>
      </c>
      <c r="N1162" t="str">
        <f>IFERROR(IF(A1162="","",MAX(0,M1162-System_Config!$B$9)),"")</f>
        <v/>
      </c>
    </row>
    <row r="1163" spans="1:14" ht="15" customHeight="1" x14ac:dyDescent="0.25">
      <c r="A1163" t="str">
        <f>'NEW ACCOUNT'!A1164</f>
        <v/>
      </c>
      <c r="B1163" t="str">
        <f>IF('NEW ACCOUNT'!A1164="","",'NEW ACCOUNT'!B1164)</f>
        <v/>
      </c>
      <c r="C1163" t="str">
        <f>IF('NEW ACCOUNT'!A1164="","",'NEW ACCOUNT'!C1164)</f>
        <v/>
      </c>
      <c r="D1163" t="str">
        <f>IF('NEW ACCOUNT'!A1164="","",'NEW ACCOUNT'!D1164)</f>
        <v/>
      </c>
      <c r="E1163" t="str">
        <f>IF('NEW ACCOUNT'!A1164="","",'NEW ACCOUNT'!E1164)</f>
        <v/>
      </c>
      <c r="F1163" t="str">
        <f>IF('NEW ACCOUNT'!A1164="","",'NEW ACCOUNT'!F1164)</f>
        <v/>
      </c>
      <c r="G1163" t="str">
        <f>IF('NEW ACCOUNT'!A1164="","",'NEW ACCOUNT'!G1164)</f>
        <v/>
      </c>
      <c r="H1163" t="str">
        <f>IF('NEW ACCOUNT'!A1164="","",'NEW ACCOUNT'!H1164)</f>
        <v/>
      </c>
      <c r="I1163" t="str">
        <f>IF('NEW ACCOUNT'!A1164="","",'NEW ACCOUNT'!I1164)</f>
        <v/>
      </c>
      <c r="J1163" t="str">
        <f>IF('NEW ACCOUNT'!A1164="","",'NEW ACCOUNT'!J1164)</f>
        <v/>
      </c>
      <c r="K1163" t="str">
        <f>IFERROR(IF(A1163="","",SUMIF(DB_Savings!$A:$A,A1163,DB_Savings!$F:$F)),"")</f>
        <v/>
      </c>
      <c r="L1163" t="str">
        <f>IFERROR(IF(A1163="","",SUMIF(DB_Withdrawals!$A:$A,A1163,DB_Withdrawals!$G:$G)),"")</f>
        <v/>
      </c>
      <c r="M1163" t="str">
        <f>IFERROR(IF(A1163="","",IFERROR(VALUE(H1163),0)+IFERROR(SUMIF(DB_Savings!$A:$A,A1163,DB_Savings!$F:$F),0)-IFERROR(SUMIF(DB_Withdrawals!$A:$A,A1163,DB_Withdrawals!$G:$G),0)),"")</f>
        <v/>
      </c>
      <c r="N1163" t="str">
        <f>IFERROR(IF(A1163="","",MAX(0,M1163-System_Config!$B$9)),"")</f>
        <v/>
      </c>
    </row>
    <row r="1164" spans="1:14" ht="15" customHeight="1" x14ac:dyDescent="0.25">
      <c r="A1164" t="str">
        <f>'NEW ACCOUNT'!A1165</f>
        <v/>
      </c>
      <c r="B1164" t="str">
        <f>IF('NEW ACCOUNT'!A1165="","",'NEW ACCOUNT'!B1165)</f>
        <v/>
      </c>
      <c r="C1164" t="str">
        <f>IF('NEW ACCOUNT'!A1165="","",'NEW ACCOUNT'!C1165)</f>
        <v/>
      </c>
      <c r="D1164" t="str">
        <f>IF('NEW ACCOUNT'!A1165="","",'NEW ACCOUNT'!D1165)</f>
        <v/>
      </c>
      <c r="E1164" t="str">
        <f>IF('NEW ACCOUNT'!A1165="","",'NEW ACCOUNT'!E1165)</f>
        <v/>
      </c>
      <c r="F1164" t="str">
        <f>IF('NEW ACCOUNT'!A1165="","",'NEW ACCOUNT'!F1165)</f>
        <v/>
      </c>
      <c r="G1164" t="str">
        <f>IF('NEW ACCOUNT'!A1165="","",'NEW ACCOUNT'!G1165)</f>
        <v/>
      </c>
      <c r="H1164" t="str">
        <f>IF('NEW ACCOUNT'!A1165="","",'NEW ACCOUNT'!H1165)</f>
        <v/>
      </c>
      <c r="I1164" t="str">
        <f>IF('NEW ACCOUNT'!A1165="","",'NEW ACCOUNT'!I1165)</f>
        <v/>
      </c>
      <c r="J1164" t="str">
        <f>IF('NEW ACCOUNT'!A1165="","",'NEW ACCOUNT'!J1165)</f>
        <v/>
      </c>
      <c r="K1164" t="str">
        <f>IFERROR(IF(A1164="","",SUMIF(DB_Savings!$A:$A,A1164,DB_Savings!$F:$F)),"")</f>
        <v/>
      </c>
      <c r="L1164" t="str">
        <f>IFERROR(IF(A1164="","",SUMIF(DB_Withdrawals!$A:$A,A1164,DB_Withdrawals!$G:$G)),"")</f>
        <v/>
      </c>
      <c r="M1164" t="str">
        <f>IFERROR(IF(A1164="","",IFERROR(VALUE(H1164),0)+IFERROR(SUMIF(DB_Savings!$A:$A,A1164,DB_Savings!$F:$F),0)-IFERROR(SUMIF(DB_Withdrawals!$A:$A,A1164,DB_Withdrawals!$G:$G),0)),"")</f>
        <v/>
      </c>
      <c r="N1164" t="str">
        <f>IFERROR(IF(A1164="","",MAX(0,M1164-System_Config!$B$9)),"")</f>
        <v/>
      </c>
    </row>
    <row r="1165" spans="1:14" ht="15" customHeight="1" x14ac:dyDescent="0.25">
      <c r="A1165" t="str">
        <f>'NEW ACCOUNT'!A1166</f>
        <v/>
      </c>
      <c r="B1165" t="str">
        <f>IF('NEW ACCOUNT'!A1166="","",'NEW ACCOUNT'!B1166)</f>
        <v/>
      </c>
      <c r="C1165" t="str">
        <f>IF('NEW ACCOUNT'!A1166="","",'NEW ACCOUNT'!C1166)</f>
        <v/>
      </c>
      <c r="D1165" t="str">
        <f>IF('NEW ACCOUNT'!A1166="","",'NEW ACCOUNT'!D1166)</f>
        <v/>
      </c>
      <c r="E1165" t="str">
        <f>IF('NEW ACCOUNT'!A1166="","",'NEW ACCOUNT'!E1166)</f>
        <v/>
      </c>
      <c r="F1165" t="str">
        <f>IF('NEW ACCOUNT'!A1166="","",'NEW ACCOUNT'!F1166)</f>
        <v/>
      </c>
      <c r="G1165" t="str">
        <f>IF('NEW ACCOUNT'!A1166="","",'NEW ACCOUNT'!G1166)</f>
        <v/>
      </c>
      <c r="H1165" t="str">
        <f>IF('NEW ACCOUNT'!A1166="","",'NEW ACCOUNT'!H1166)</f>
        <v/>
      </c>
      <c r="I1165" t="str">
        <f>IF('NEW ACCOUNT'!A1166="","",'NEW ACCOUNT'!I1166)</f>
        <v/>
      </c>
      <c r="J1165" t="str">
        <f>IF('NEW ACCOUNT'!A1166="","",'NEW ACCOUNT'!J1166)</f>
        <v/>
      </c>
      <c r="K1165" t="str">
        <f>IFERROR(IF(A1165="","",SUMIF(DB_Savings!$A:$A,A1165,DB_Savings!$F:$F)),"")</f>
        <v/>
      </c>
      <c r="L1165" t="str">
        <f>IFERROR(IF(A1165="","",SUMIF(DB_Withdrawals!$A:$A,A1165,DB_Withdrawals!$G:$G)),"")</f>
        <v/>
      </c>
      <c r="M1165" t="str">
        <f>IFERROR(IF(A1165="","",IFERROR(VALUE(H1165),0)+IFERROR(SUMIF(DB_Savings!$A:$A,A1165,DB_Savings!$F:$F),0)-IFERROR(SUMIF(DB_Withdrawals!$A:$A,A1165,DB_Withdrawals!$G:$G),0)),"")</f>
        <v/>
      </c>
      <c r="N1165" t="str">
        <f>IFERROR(IF(A1165="","",MAX(0,M1165-System_Config!$B$9)),"")</f>
        <v/>
      </c>
    </row>
    <row r="1166" spans="1:14" ht="15" customHeight="1" x14ac:dyDescent="0.25">
      <c r="A1166" t="str">
        <f>'NEW ACCOUNT'!A1167</f>
        <v/>
      </c>
      <c r="B1166" t="str">
        <f>IF('NEW ACCOUNT'!A1167="","",'NEW ACCOUNT'!B1167)</f>
        <v/>
      </c>
      <c r="C1166" t="str">
        <f>IF('NEW ACCOUNT'!A1167="","",'NEW ACCOUNT'!C1167)</f>
        <v/>
      </c>
      <c r="D1166" t="str">
        <f>IF('NEW ACCOUNT'!A1167="","",'NEW ACCOUNT'!D1167)</f>
        <v/>
      </c>
      <c r="E1166" t="str">
        <f>IF('NEW ACCOUNT'!A1167="","",'NEW ACCOUNT'!E1167)</f>
        <v/>
      </c>
      <c r="F1166" t="str">
        <f>IF('NEW ACCOUNT'!A1167="","",'NEW ACCOUNT'!F1167)</f>
        <v/>
      </c>
      <c r="G1166" t="str">
        <f>IF('NEW ACCOUNT'!A1167="","",'NEW ACCOUNT'!G1167)</f>
        <v/>
      </c>
      <c r="H1166" t="str">
        <f>IF('NEW ACCOUNT'!A1167="","",'NEW ACCOUNT'!H1167)</f>
        <v/>
      </c>
      <c r="I1166" t="str">
        <f>IF('NEW ACCOUNT'!A1167="","",'NEW ACCOUNT'!I1167)</f>
        <v/>
      </c>
      <c r="J1166" t="str">
        <f>IF('NEW ACCOUNT'!A1167="","",'NEW ACCOUNT'!J1167)</f>
        <v/>
      </c>
      <c r="K1166" t="str">
        <f>IFERROR(IF(A1166="","",SUMIF(DB_Savings!$A:$A,A1166,DB_Savings!$F:$F)),"")</f>
        <v/>
      </c>
      <c r="L1166" t="str">
        <f>IFERROR(IF(A1166="","",SUMIF(DB_Withdrawals!$A:$A,A1166,DB_Withdrawals!$G:$G)),"")</f>
        <v/>
      </c>
      <c r="M1166" t="str">
        <f>IFERROR(IF(A1166="","",IFERROR(VALUE(H1166),0)+IFERROR(SUMIF(DB_Savings!$A:$A,A1166,DB_Savings!$F:$F),0)-IFERROR(SUMIF(DB_Withdrawals!$A:$A,A1166,DB_Withdrawals!$G:$G),0)),"")</f>
        <v/>
      </c>
      <c r="N1166" t="str">
        <f>IFERROR(IF(A1166="","",MAX(0,M1166-System_Config!$B$9)),"")</f>
        <v/>
      </c>
    </row>
    <row r="1167" spans="1:14" ht="15" customHeight="1" x14ac:dyDescent="0.25">
      <c r="A1167" t="str">
        <f>'NEW ACCOUNT'!A1168</f>
        <v/>
      </c>
      <c r="B1167" t="str">
        <f>IF('NEW ACCOUNT'!A1168="","",'NEW ACCOUNT'!B1168)</f>
        <v/>
      </c>
      <c r="C1167" t="str">
        <f>IF('NEW ACCOUNT'!A1168="","",'NEW ACCOUNT'!C1168)</f>
        <v/>
      </c>
      <c r="D1167" t="str">
        <f>IF('NEW ACCOUNT'!A1168="","",'NEW ACCOUNT'!D1168)</f>
        <v/>
      </c>
      <c r="E1167" t="str">
        <f>IF('NEW ACCOUNT'!A1168="","",'NEW ACCOUNT'!E1168)</f>
        <v/>
      </c>
      <c r="F1167" t="str">
        <f>IF('NEW ACCOUNT'!A1168="","",'NEW ACCOUNT'!F1168)</f>
        <v/>
      </c>
      <c r="G1167" t="str">
        <f>IF('NEW ACCOUNT'!A1168="","",'NEW ACCOUNT'!G1168)</f>
        <v/>
      </c>
      <c r="H1167" t="str">
        <f>IF('NEW ACCOUNT'!A1168="","",'NEW ACCOUNT'!H1168)</f>
        <v/>
      </c>
      <c r="I1167" t="str">
        <f>IF('NEW ACCOUNT'!A1168="","",'NEW ACCOUNT'!I1168)</f>
        <v/>
      </c>
      <c r="J1167" t="str">
        <f>IF('NEW ACCOUNT'!A1168="","",'NEW ACCOUNT'!J1168)</f>
        <v/>
      </c>
      <c r="K1167" t="str">
        <f>IFERROR(IF(A1167="","",SUMIF(DB_Savings!$A:$A,A1167,DB_Savings!$F:$F)),"")</f>
        <v/>
      </c>
      <c r="L1167" t="str">
        <f>IFERROR(IF(A1167="","",SUMIF(DB_Withdrawals!$A:$A,A1167,DB_Withdrawals!$G:$G)),"")</f>
        <v/>
      </c>
      <c r="M1167" t="str">
        <f>IFERROR(IF(A1167="","",IFERROR(VALUE(H1167),0)+IFERROR(SUMIF(DB_Savings!$A:$A,A1167,DB_Savings!$F:$F),0)-IFERROR(SUMIF(DB_Withdrawals!$A:$A,A1167,DB_Withdrawals!$G:$G),0)),"")</f>
        <v/>
      </c>
      <c r="N1167" t="str">
        <f>IFERROR(IF(A1167="","",MAX(0,M1167-System_Config!$B$9)),"")</f>
        <v/>
      </c>
    </row>
    <row r="1168" spans="1:14" ht="15" customHeight="1" x14ac:dyDescent="0.25">
      <c r="A1168" t="str">
        <f>'NEW ACCOUNT'!A1169</f>
        <v/>
      </c>
      <c r="B1168" t="str">
        <f>IF('NEW ACCOUNT'!A1169="","",'NEW ACCOUNT'!B1169)</f>
        <v/>
      </c>
      <c r="C1168" t="str">
        <f>IF('NEW ACCOUNT'!A1169="","",'NEW ACCOUNT'!C1169)</f>
        <v/>
      </c>
      <c r="D1168" t="str">
        <f>IF('NEW ACCOUNT'!A1169="","",'NEW ACCOUNT'!D1169)</f>
        <v/>
      </c>
      <c r="E1168" t="str">
        <f>IF('NEW ACCOUNT'!A1169="","",'NEW ACCOUNT'!E1169)</f>
        <v/>
      </c>
      <c r="F1168" t="str">
        <f>IF('NEW ACCOUNT'!A1169="","",'NEW ACCOUNT'!F1169)</f>
        <v/>
      </c>
      <c r="G1168" t="str">
        <f>IF('NEW ACCOUNT'!A1169="","",'NEW ACCOUNT'!G1169)</f>
        <v/>
      </c>
      <c r="H1168" t="str">
        <f>IF('NEW ACCOUNT'!A1169="","",'NEW ACCOUNT'!H1169)</f>
        <v/>
      </c>
      <c r="I1168" t="str">
        <f>IF('NEW ACCOUNT'!A1169="","",'NEW ACCOUNT'!I1169)</f>
        <v/>
      </c>
      <c r="J1168" t="str">
        <f>IF('NEW ACCOUNT'!A1169="","",'NEW ACCOUNT'!J1169)</f>
        <v/>
      </c>
      <c r="K1168" t="str">
        <f>IFERROR(IF(A1168="","",SUMIF(DB_Savings!$A:$A,A1168,DB_Savings!$F:$F)),"")</f>
        <v/>
      </c>
      <c r="L1168" t="str">
        <f>IFERROR(IF(A1168="","",SUMIF(DB_Withdrawals!$A:$A,A1168,DB_Withdrawals!$G:$G)),"")</f>
        <v/>
      </c>
      <c r="M1168" t="str">
        <f>IFERROR(IF(A1168="","",IFERROR(VALUE(H1168),0)+IFERROR(SUMIF(DB_Savings!$A:$A,A1168,DB_Savings!$F:$F),0)-IFERROR(SUMIF(DB_Withdrawals!$A:$A,A1168,DB_Withdrawals!$G:$G),0)),"")</f>
        <v/>
      </c>
      <c r="N1168" t="str">
        <f>IFERROR(IF(A1168="","",MAX(0,M1168-System_Config!$B$9)),"")</f>
        <v/>
      </c>
    </row>
    <row r="1169" spans="1:14" ht="15" customHeight="1" x14ac:dyDescent="0.25">
      <c r="A1169" t="str">
        <f>'NEW ACCOUNT'!A1170</f>
        <v/>
      </c>
      <c r="B1169" t="str">
        <f>IF('NEW ACCOUNT'!A1170="","",'NEW ACCOUNT'!B1170)</f>
        <v/>
      </c>
      <c r="C1169" t="str">
        <f>IF('NEW ACCOUNT'!A1170="","",'NEW ACCOUNT'!C1170)</f>
        <v/>
      </c>
      <c r="D1169" t="str">
        <f>IF('NEW ACCOUNT'!A1170="","",'NEW ACCOUNT'!D1170)</f>
        <v/>
      </c>
      <c r="E1169" t="str">
        <f>IF('NEW ACCOUNT'!A1170="","",'NEW ACCOUNT'!E1170)</f>
        <v/>
      </c>
      <c r="F1169" t="str">
        <f>IF('NEW ACCOUNT'!A1170="","",'NEW ACCOUNT'!F1170)</f>
        <v/>
      </c>
      <c r="G1169" t="str">
        <f>IF('NEW ACCOUNT'!A1170="","",'NEW ACCOUNT'!G1170)</f>
        <v/>
      </c>
      <c r="H1169" t="str">
        <f>IF('NEW ACCOUNT'!A1170="","",'NEW ACCOUNT'!H1170)</f>
        <v/>
      </c>
      <c r="I1169" t="str">
        <f>IF('NEW ACCOUNT'!A1170="","",'NEW ACCOUNT'!I1170)</f>
        <v/>
      </c>
      <c r="J1169" t="str">
        <f>IF('NEW ACCOUNT'!A1170="","",'NEW ACCOUNT'!J1170)</f>
        <v/>
      </c>
      <c r="K1169" t="str">
        <f>IFERROR(IF(A1169="","",SUMIF(DB_Savings!$A:$A,A1169,DB_Savings!$F:$F)),"")</f>
        <v/>
      </c>
      <c r="L1169" t="str">
        <f>IFERROR(IF(A1169="","",SUMIF(DB_Withdrawals!$A:$A,A1169,DB_Withdrawals!$G:$G)),"")</f>
        <v/>
      </c>
      <c r="M1169" t="str">
        <f>IFERROR(IF(A1169="","",IFERROR(VALUE(H1169),0)+IFERROR(SUMIF(DB_Savings!$A:$A,A1169,DB_Savings!$F:$F),0)-IFERROR(SUMIF(DB_Withdrawals!$A:$A,A1169,DB_Withdrawals!$G:$G),0)),"")</f>
        <v/>
      </c>
      <c r="N1169" t="str">
        <f>IFERROR(IF(A1169="","",MAX(0,M1169-System_Config!$B$9)),"")</f>
        <v/>
      </c>
    </row>
    <row r="1170" spans="1:14" ht="15" customHeight="1" x14ac:dyDescent="0.25">
      <c r="A1170" t="str">
        <f>'NEW ACCOUNT'!A1171</f>
        <v/>
      </c>
      <c r="B1170" t="str">
        <f>IF('NEW ACCOUNT'!A1171="","",'NEW ACCOUNT'!B1171)</f>
        <v/>
      </c>
      <c r="C1170" t="str">
        <f>IF('NEW ACCOUNT'!A1171="","",'NEW ACCOUNT'!C1171)</f>
        <v/>
      </c>
      <c r="D1170" t="str">
        <f>IF('NEW ACCOUNT'!A1171="","",'NEW ACCOUNT'!D1171)</f>
        <v/>
      </c>
      <c r="E1170" t="str">
        <f>IF('NEW ACCOUNT'!A1171="","",'NEW ACCOUNT'!E1171)</f>
        <v/>
      </c>
      <c r="F1170" t="str">
        <f>IF('NEW ACCOUNT'!A1171="","",'NEW ACCOUNT'!F1171)</f>
        <v/>
      </c>
      <c r="G1170" t="str">
        <f>IF('NEW ACCOUNT'!A1171="","",'NEW ACCOUNT'!G1171)</f>
        <v/>
      </c>
      <c r="H1170" t="str">
        <f>IF('NEW ACCOUNT'!A1171="","",'NEW ACCOUNT'!H1171)</f>
        <v/>
      </c>
      <c r="I1170" t="str">
        <f>IF('NEW ACCOUNT'!A1171="","",'NEW ACCOUNT'!I1171)</f>
        <v/>
      </c>
      <c r="J1170" t="str">
        <f>IF('NEW ACCOUNT'!A1171="","",'NEW ACCOUNT'!J1171)</f>
        <v/>
      </c>
      <c r="K1170" t="str">
        <f>IFERROR(IF(A1170="","",SUMIF(DB_Savings!$A:$A,A1170,DB_Savings!$F:$F)),"")</f>
        <v/>
      </c>
      <c r="L1170" t="str">
        <f>IFERROR(IF(A1170="","",SUMIF(DB_Withdrawals!$A:$A,A1170,DB_Withdrawals!$G:$G)),"")</f>
        <v/>
      </c>
      <c r="M1170" t="str">
        <f>IFERROR(IF(A1170="","",IFERROR(VALUE(H1170),0)+IFERROR(SUMIF(DB_Savings!$A:$A,A1170,DB_Savings!$F:$F),0)-IFERROR(SUMIF(DB_Withdrawals!$A:$A,A1170,DB_Withdrawals!$G:$G),0)),"")</f>
        <v/>
      </c>
      <c r="N1170" t="str">
        <f>IFERROR(IF(A1170="","",MAX(0,M1170-System_Config!$B$9)),"")</f>
        <v/>
      </c>
    </row>
    <row r="1171" spans="1:14" ht="15" customHeight="1" x14ac:dyDescent="0.25">
      <c r="A1171" t="str">
        <f>'NEW ACCOUNT'!A1172</f>
        <v/>
      </c>
      <c r="B1171" t="str">
        <f>IF('NEW ACCOUNT'!A1172="","",'NEW ACCOUNT'!B1172)</f>
        <v/>
      </c>
      <c r="C1171" t="str">
        <f>IF('NEW ACCOUNT'!A1172="","",'NEW ACCOUNT'!C1172)</f>
        <v/>
      </c>
      <c r="D1171" t="str">
        <f>IF('NEW ACCOUNT'!A1172="","",'NEW ACCOUNT'!D1172)</f>
        <v/>
      </c>
      <c r="E1171" t="str">
        <f>IF('NEW ACCOUNT'!A1172="","",'NEW ACCOUNT'!E1172)</f>
        <v/>
      </c>
      <c r="F1171" t="str">
        <f>IF('NEW ACCOUNT'!A1172="","",'NEW ACCOUNT'!F1172)</f>
        <v/>
      </c>
      <c r="G1171" t="str">
        <f>IF('NEW ACCOUNT'!A1172="","",'NEW ACCOUNT'!G1172)</f>
        <v/>
      </c>
      <c r="H1171" t="str">
        <f>IF('NEW ACCOUNT'!A1172="","",'NEW ACCOUNT'!H1172)</f>
        <v/>
      </c>
      <c r="I1171" t="str">
        <f>IF('NEW ACCOUNT'!A1172="","",'NEW ACCOUNT'!I1172)</f>
        <v/>
      </c>
      <c r="J1171" t="str">
        <f>IF('NEW ACCOUNT'!A1172="","",'NEW ACCOUNT'!J1172)</f>
        <v/>
      </c>
      <c r="K1171" t="str">
        <f>IFERROR(IF(A1171="","",SUMIF(DB_Savings!$A:$A,A1171,DB_Savings!$F:$F)),"")</f>
        <v/>
      </c>
      <c r="L1171" t="str">
        <f>IFERROR(IF(A1171="","",SUMIF(DB_Withdrawals!$A:$A,A1171,DB_Withdrawals!$G:$G)),"")</f>
        <v/>
      </c>
      <c r="M1171" t="str">
        <f>IFERROR(IF(A1171="","",IFERROR(VALUE(H1171),0)+IFERROR(SUMIF(DB_Savings!$A:$A,A1171,DB_Savings!$F:$F),0)-IFERROR(SUMIF(DB_Withdrawals!$A:$A,A1171,DB_Withdrawals!$G:$G),0)),"")</f>
        <v/>
      </c>
      <c r="N1171" t="str">
        <f>IFERROR(IF(A1171="","",MAX(0,M1171-System_Config!$B$9)),"")</f>
        <v/>
      </c>
    </row>
    <row r="1172" spans="1:14" ht="15" customHeight="1" x14ac:dyDescent="0.25">
      <c r="A1172" t="str">
        <f>'NEW ACCOUNT'!A1173</f>
        <v/>
      </c>
      <c r="B1172" t="str">
        <f>IF('NEW ACCOUNT'!A1173="","",'NEW ACCOUNT'!B1173)</f>
        <v/>
      </c>
      <c r="C1172" t="str">
        <f>IF('NEW ACCOUNT'!A1173="","",'NEW ACCOUNT'!C1173)</f>
        <v/>
      </c>
      <c r="D1172" t="str">
        <f>IF('NEW ACCOUNT'!A1173="","",'NEW ACCOUNT'!D1173)</f>
        <v/>
      </c>
      <c r="E1172" t="str">
        <f>IF('NEW ACCOUNT'!A1173="","",'NEW ACCOUNT'!E1173)</f>
        <v/>
      </c>
      <c r="F1172" t="str">
        <f>IF('NEW ACCOUNT'!A1173="","",'NEW ACCOUNT'!F1173)</f>
        <v/>
      </c>
      <c r="G1172" t="str">
        <f>IF('NEW ACCOUNT'!A1173="","",'NEW ACCOUNT'!G1173)</f>
        <v/>
      </c>
      <c r="H1172" t="str">
        <f>IF('NEW ACCOUNT'!A1173="","",'NEW ACCOUNT'!H1173)</f>
        <v/>
      </c>
      <c r="I1172" t="str">
        <f>IF('NEW ACCOUNT'!A1173="","",'NEW ACCOUNT'!I1173)</f>
        <v/>
      </c>
      <c r="J1172" t="str">
        <f>IF('NEW ACCOUNT'!A1173="","",'NEW ACCOUNT'!J1173)</f>
        <v/>
      </c>
      <c r="K1172" t="str">
        <f>IFERROR(IF(A1172="","",SUMIF(DB_Savings!$A:$A,A1172,DB_Savings!$F:$F)),"")</f>
        <v/>
      </c>
      <c r="L1172" t="str">
        <f>IFERROR(IF(A1172="","",SUMIF(DB_Withdrawals!$A:$A,A1172,DB_Withdrawals!$G:$G)),"")</f>
        <v/>
      </c>
      <c r="M1172" t="str">
        <f>IFERROR(IF(A1172="","",IFERROR(VALUE(H1172),0)+IFERROR(SUMIF(DB_Savings!$A:$A,A1172,DB_Savings!$F:$F),0)-IFERROR(SUMIF(DB_Withdrawals!$A:$A,A1172,DB_Withdrawals!$G:$G),0)),"")</f>
        <v/>
      </c>
      <c r="N1172" t="str">
        <f>IFERROR(IF(A1172="","",MAX(0,M1172-System_Config!$B$9)),"")</f>
        <v/>
      </c>
    </row>
    <row r="1173" spans="1:14" ht="15" customHeight="1" x14ac:dyDescent="0.25">
      <c r="A1173" t="str">
        <f>'NEW ACCOUNT'!A1174</f>
        <v/>
      </c>
      <c r="B1173" t="str">
        <f>IF('NEW ACCOUNT'!A1174="","",'NEW ACCOUNT'!B1174)</f>
        <v/>
      </c>
      <c r="C1173" t="str">
        <f>IF('NEW ACCOUNT'!A1174="","",'NEW ACCOUNT'!C1174)</f>
        <v/>
      </c>
      <c r="D1173" t="str">
        <f>IF('NEW ACCOUNT'!A1174="","",'NEW ACCOUNT'!D1174)</f>
        <v/>
      </c>
      <c r="E1173" t="str">
        <f>IF('NEW ACCOUNT'!A1174="","",'NEW ACCOUNT'!E1174)</f>
        <v/>
      </c>
      <c r="F1173" t="str">
        <f>IF('NEW ACCOUNT'!A1174="","",'NEW ACCOUNT'!F1174)</f>
        <v/>
      </c>
      <c r="G1173" t="str">
        <f>IF('NEW ACCOUNT'!A1174="","",'NEW ACCOUNT'!G1174)</f>
        <v/>
      </c>
      <c r="H1173" t="str">
        <f>IF('NEW ACCOUNT'!A1174="","",'NEW ACCOUNT'!H1174)</f>
        <v/>
      </c>
      <c r="I1173" t="str">
        <f>IF('NEW ACCOUNT'!A1174="","",'NEW ACCOUNT'!I1174)</f>
        <v/>
      </c>
      <c r="J1173" t="str">
        <f>IF('NEW ACCOUNT'!A1174="","",'NEW ACCOUNT'!J1174)</f>
        <v/>
      </c>
      <c r="K1173" t="str">
        <f>IFERROR(IF(A1173="","",SUMIF(DB_Savings!$A:$A,A1173,DB_Savings!$F:$F)),"")</f>
        <v/>
      </c>
      <c r="L1173" t="str">
        <f>IFERROR(IF(A1173="","",SUMIF(DB_Withdrawals!$A:$A,A1173,DB_Withdrawals!$G:$G)),"")</f>
        <v/>
      </c>
      <c r="M1173" t="str">
        <f>IFERROR(IF(A1173="","",IFERROR(VALUE(H1173),0)+IFERROR(SUMIF(DB_Savings!$A:$A,A1173,DB_Savings!$F:$F),0)-IFERROR(SUMIF(DB_Withdrawals!$A:$A,A1173,DB_Withdrawals!$G:$G),0)),"")</f>
        <v/>
      </c>
      <c r="N1173" t="str">
        <f>IFERROR(IF(A1173="","",MAX(0,M1173-System_Config!$B$9)),"")</f>
        <v/>
      </c>
    </row>
    <row r="1174" spans="1:14" ht="15" customHeight="1" x14ac:dyDescent="0.25">
      <c r="A1174" t="str">
        <f>'NEW ACCOUNT'!A1175</f>
        <v/>
      </c>
      <c r="B1174" t="str">
        <f>IF('NEW ACCOUNT'!A1175="","",'NEW ACCOUNT'!B1175)</f>
        <v/>
      </c>
      <c r="C1174" t="str">
        <f>IF('NEW ACCOUNT'!A1175="","",'NEW ACCOUNT'!C1175)</f>
        <v/>
      </c>
      <c r="D1174" t="str">
        <f>IF('NEW ACCOUNT'!A1175="","",'NEW ACCOUNT'!D1175)</f>
        <v/>
      </c>
      <c r="E1174" t="str">
        <f>IF('NEW ACCOUNT'!A1175="","",'NEW ACCOUNT'!E1175)</f>
        <v/>
      </c>
      <c r="F1174" t="str">
        <f>IF('NEW ACCOUNT'!A1175="","",'NEW ACCOUNT'!F1175)</f>
        <v/>
      </c>
      <c r="G1174" t="str">
        <f>IF('NEW ACCOUNT'!A1175="","",'NEW ACCOUNT'!G1175)</f>
        <v/>
      </c>
      <c r="H1174" t="str">
        <f>IF('NEW ACCOUNT'!A1175="","",'NEW ACCOUNT'!H1175)</f>
        <v/>
      </c>
      <c r="I1174" t="str">
        <f>IF('NEW ACCOUNT'!A1175="","",'NEW ACCOUNT'!I1175)</f>
        <v/>
      </c>
      <c r="J1174" t="str">
        <f>IF('NEW ACCOUNT'!A1175="","",'NEW ACCOUNT'!J1175)</f>
        <v/>
      </c>
      <c r="K1174" t="str">
        <f>IFERROR(IF(A1174="","",SUMIF(DB_Savings!$A:$A,A1174,DB_Savings!$F:$F)),"")</f>
        <v/>
      </c>
      <c r="L1174" t="str">
        <f>IFERROR(IF(A1174="","",SUMIF(DB_Withdrawals!$A:$A,A1174,DB_Withdrawals!$G:$G)),"")</f>
        <v/>
      </c>
      <c r="M1174" t="str">
        <f>IFERROR(IF(A1174="","",IFERROR(VALUE(H1174),0)+IFERROR(SUMIF(DB_Savings!$A:$A,A1174,DB_Savings!$F:$F),0)-IFERROR(SUMIF(DB_Withdrawals!$A:$A,A1174,DB_Withdrawals!$G:$G),0)),"")</f>
        <v/>
      </c>
      <c r="N1174" t="str">
        <f>IFERROR(IF(A1174="","",MAX(0,M1174-System_Config!$B$9)),"")</f>
        <v/>
      </c>
    </row>
    <row r="1175" spans="1:14" ht="15" customHeight="1" x14ac:dyDescent="0.25">
      <c r="A1175" t="str">
        <f>'NEW ACCOUNT'!A1176</f>
        <v/>
      </c>
      <c r="B1175" t="str">
        <f>IF('NEW ACCOUNT'!A1176="","",'NEW ACCOUNT'!B1176)</f>
        <v/>
      </c>
      <c r="C1175" t="str">
        <f>IF('NEW ACCOUNT'!A1176="","",'NEW ACCOUNT'!C1176)</f>
        <v/>
      </c>
      <c r="D1175" t="str">
        <f>IF('NEW ACCOUNT'!A1176="","",'NEW ACCOUNT'!D1176)</f>
        <v/>
      </c>
      <c r="E1175" t="str">
        <f>IF('NEW ACCOUNT'!A1176="","",'NEW ACCOUNT'!E1176)</f>
        <v/>
      </c>
      <c r="F1175" t="str">
        <f>IF('NEW ACCOUNT'!A1176="","",'NEW ACCOUNT'!F1176)</f>
        <v/>
      </c>
      <c r="G1175" t="str">
        <f>IF('NEW ACCOUNT'!A1176="","",'NEW ACCOUNT'!G1176)</f>
        <v/>
      </c>
      <c r="H1175" t="str">
        <f>IF('NEW ACCOUNT'!A1176="","",'NEW ACCOUNT'!H1176)</f>
        <v/>
      </c>
      <c r="I1175" t="str">
        <f>IF('NEW ACCOUNT'!A1176="","",'NEW ACCOUNT'!I1176)</f>
        <v/>
      </c>
      <c r="J1175" t="str">
        <f>IF('NEW ACCOUNT'!A1176="","",'NEW ACCOUNT'!J1176)</f>
        <v/>
      </c>
      <c r="K1175" t="str">
        <f>IFERROR(IF(A1175="","",SUMIF(DB_Savings!$A:$A,A1175,DB_Savings!$F:$F)),"")</f>
        <v/>
      </c>
      <c r="L1175" t="str">
        <f>IFERROR(IF(A1175="","",SUMIF(DB_Withdrawals!$A:$A,A1175,DB_Withdrawals!$G:$G)),"")</f>
        <v/>
      </c>
      <c r="M1175" t="str">
        <f>IFERROR(IF(A1175="","",IFERROR(VALUE(H1175),0)+IFERROR(SUMIF(DB_Savings!$A:$A,A1175,DB_Savings!$F:$F),0)-IFERROR(SUMIF(DB_Withdrawals!$A:$A,A1175,DB_Withdrawals!$G:$G),0)),"")</f>
        <v/>
      </c>
      <c r="N1175" t="str">
        <f>IFERROR(IF(A1175="","",MAX(0,M1175-System_Config!$B$9)),"")</f>
        <v/>
      </c>
    </row>
    <row r="1176" spans="1:14" ht="15" customHeight="1" x14ac:dyDescent="0.25">
      <c r="A1176" t="str">
        <f>'NEW ACCOUNT'!A1177</f>
        <v/>
      </c>
      <c r="B1176" t="str">
        <f>IF('NEW ACCOUNT'!A1177="","",'NEW ACCOUNT'!B1177)</f>
        <v/>
      </c>
      <c r="C1176" t="str">
        <f>IF('NEW ACCOUNT'!A1177="","",'NEW ACCOUNT'!C1177)</f>
        <v/>
      </c>
      <c r="D1176" t="str">
        <f>IF('NEW ACCOUNT'!A1177="","",'NEW ACCOUNT'!D1177)</f>
        <v/>
      </c>
      <c r="E1176" t="str">
        <f>IF('NEW ACCOUNT'!A1177="","",'NEW ACCOUNT'!E1177)</f>
        <v/>
      </c>
      <c r="F1176" t="str">
        <f>IF('NEW ACCOUNT'!A1177="","",'NEW ACCOUNT'!F1177)</f>
        <v/>
      </c>
      <c r="G1176" t="str">
        <f>IF('NEW ACCOUNT'!A1177="","",'NEW ACCOUNT'!G1177)</f>
        <v/>
      </c>
      <c r="H1176" t="str">
        <f>IF('NEW ACCOUNT'!A1177="","",'NEW ACCOUNT'!H1177)</f>
        <v/>
      </c>
      <c r="I1176" t="str">
        <f>IF('NEW ACCOUNT'!A1177="","",'NEW ACCOUNT'!I1177)</f>
        <v/>
      </c>
      <c r="J1176" t="str">
        <f>IF('NEW ACCOUNT'!A1177="","",'NEW ACCOUNT'!J1177)</f>
        <v/>
      </c>
      <c r="K1176" t="str">
        <f>IFERROR(IF(A1176="","",SUMIF(DB_Savings!$A:$A,A1176,DB_Savings!$F:$F)),"")</f>
        <v/>
      </c>
      <c r="L1176" t="str">
        <f>IFERROR(IF(A1176="","",SUMIF(DB_Withdrawals!$A:$A,A1176,DB_Withdrawals!$G:$G)),"")</f>
        <v/>
      </c>
      <c r="M1176" t="str">
        <f>IFERROR(IF(A1176="","",IFERROR(VALUE(H1176),0)+IFERROR(SUMIF(DB_Savings!$A:$A,A1176,DB_Savings!$F:$F),0)-IFERROR(SUMIF(DB_Withdrawals!$A:$A,A1176,DB_Withdrawals!$G:$G),0)),"")</f>
        <v/>
      </c>
      <c r="N1176" t="str">
        <f>IFERROR(IF(A1176="","",MAX(0,M1176-System_Config!$B$9)),"")</f>
        <v/>
      </c>
    </row>
    <row r="1177" spans="1:14" ht="15" customHeight="1" x14ac:dyDescent="0.25">
      <c r="A1177" t="str">
        <f>'NEW ACCOUNT'!A1178</f>
        <v/>
      </c>
      <c r="B1177" t="str">
        <f>IF('NEW ACCOUNT'!A1178="","",'NEW ACCOUNT'!B1178)</f>
        <v/>
      </c>
      <c r="C1177" t="str">
        <f>IF('NEW ACCOUNT'!A1178="","",'NEW ACCOUNT'!C1178)</f>
        <v/>
      </c>
      <c r="D1177" t="str">
        <f>IF('NEW ACCOUNT'!A1178="","",'NEW ACCOUNT'!D1178)</f>
        <v/>
      </c>
      <c r="E1177" t="str">
        <f>IF('NEW ACCOUNT'!A1178="","",'NEW ACCOUNT'!E1178)</f>
        <v/>
      </c>
      <c r="F1177" t="str">
        <f>IF('NEW ACCOUNT'!A1178="","",'NEW ACCOUNT'!F1178)</f>
        <v/>
      </c>
      <c r="G1177" t="str">
        <f>IF('NEW ACCOUNT'!A1178="","",'NEW ACCOUNT'!G1178)</f>
        <v/>
      </c>
      <c r="H1177" t="str">
        <f>IF('NEW ACCOUNT'!A1178="","",'NEW ACCOUNT'!H1178)</f>
        <v/>
      </c>
      <c r="I1177" t="str">
        <f>IF('NEW ACCOUNT'!A1178="","",'NEW ACCOUNT'!I1178)</f>
        <v/>
      </c>
      <c r="J1177" t="str">
        <f>IF('NEW ACCOUNT'!A1178="","",'NEW ACCOUNT'!J1178)</f>
        <v/>
      </c>
      <c r="K1177" t="str">
        <f>IFERROR(IF(A1177="","",SUMIF(DB_Savings!$A:$A,A1177,DB_Savings!$F:$F)),"")</f>
        <v/>
      </c>
      <c r="L1177" t="str">
        <f>IFERROR(IF(A1177="","",SUMIF(DB_Withdrawals!$A:$A,A1177,DB_Withdrawals!$G:$G)),"")</f>
        <v/>
      </c>
      <c r="M1177" t="str">
        <f>IFERROR(IF(A1177="","",IFERROR(VALUE(H1177),0)+IFERROR(SUMIF(DB_Savings!$A:$A,A1177,DB_Savings!$F:$F),0)-IFERROR(SUMIF(DB_Withdrawals!$A:$A,A1177,DB_Withdrawals!$G:$G),0)),"")</f>
        <v/>
      </c>
      <c r="N1177" t="str">
        <f>IFERROR(IF(A1177="","",MAX(0,M1177-System_Config!$B$9)),"")</f>
        <v/>
      </c>
    </row>
    <row r="1178" spans="1:14" ht="15" customHeight="1" x14ac:dyDescent="0.25">
      <c r="A1178" t="str">
        <f>'NEW ACCOUNT'!A1179</f>
        <v/>
      </c>
      <c r="B1178" t="str">
        <f>IF('NEW ACCOUNT'!A1179="","",'NEW ACCOUNT'!B1179)</f>
        <v/>
      </c>
      <c r="C1178" t="str">
        <f>IF('NEW ACCOUNT'!A1179="","",'NEW ACCOUNT'!C1179)</f>
        <v/>
      </c>
      <c r="D1178" t="str">
        <f>IF('NEW ACCOUNT'!A1179="","",'NEW ACCOUNT'!D1179)</f>
        <v/>
      </c>
      <c r="E1178" t="str">
        <f>IF('NEW ACCOUNT'!A1179="","",'NEW ACCOUNT'!E1179)</f>
        <v/>
      </c>
      <c r="F1178" t="str">
        <f>IF('NEW ACCOUNT'!A1179="","",'NEW ACCOUNT'!F1179)</f>
        <v/>
      </c>
      <c r="G1178" t="str">
        <f>IF('NEW ACCOUNT'!A1179="","",'NEW ACCOUNT'!G1179)</f>
        <v/>
      </c>
      <c r="H1178" t="str">
        <f>IF('NEW ACCOUNT'!A1179="","",'NEW ACCOUNT'!H1179)</f>
        <v/>
      </c>
      <c r="I1178" t="str">
        <f>IF('NEW ACCOUNT'!A1179="","",'NEW ACCOUNT'!I1179)</f>
        <v/>
      </c>
      <c r="J1178" t="str">
        <f>IF('NEW ACCOUNT'!A1179="","",'NEW ACCOUNT'!J1179)</f>
        <v/>
      </c>
      <c r="K1178" t="str">
        <f>IFERROR(IF(A1178="","",SUMIF(DB_Savings!$A:$A,A1178,DB_Savings!$F:$F)),"")</f>
        <v/>
      </c>
      <c r="L1178" t="str">
        <f>IFERROR(IF(A1178="","",SUMIF(DB_Withdrawals!$A:$A,A1178,DB_Withdrawals!$G:$G)),"")</f>
        <v/>
      </c>
      <c r="M1178" t="str">
        <f>IFERROR(IF(A1178="","",IFERROR(VALUE(H1178),0)+IFERROR(SUMIF(DB_Savings!$A:$A,A1178,DB_Savings!$F:$F),0)-IFERROR(SUMIF(DB_Withdrawals!$A:$A,A1178,DB_Withdrawals!$G:$G),0)),"")</f>
        <v/>
      </c>
      <c r="N1178" t="str">
        <f>IFERROR(IF(A1178="","",MAX(0,M1178-System_Config!$B$9)),"")</f>
        <v/>
      </c>
    </row>
    <row r="1179" spans="1:14" ht="15" customHeight="1" x14ac:dyDescent="0.25">
      <c r="A1179" t="str">
        <f>'NEW ACCOUNT'!A1180</f>
        <v/>
      </c>
      <c r="B1179" t="str">
        <f>IF('NEW ACCOUNT'!A1180="","",'NEW ACCOUNT'!B1180)</f>
        <v/>
      </c>
      <c r="C1179" t="str">
        <f>IF('NEW ACCOUNT'!A1180="","",'NEW ACCOUNT'!C1180)</f>
        <v/>
      </c>
      <c r="D1179" t="str">
        <f>IF('NEW ACCOUNT'!A1180="","",'NEW ACCOUNT'!D1180)</f>
        <v/>
      </c>
      <c r="E1179" t="str">
        <f>IF('NEW ACCOUNT'!A1180="","",'NEW ACCOUNT'!E1180)</f>
        <v/>
      </c>
      <c r="F1179" t="str">
        <f>IF('NEW ACCOUNT'!A1180="","",'NEW ACCOUNT'!F1180)</f>
        <v/>
      </c>
      <c r="G1179" t="str">
        <f>IF('NEW ACCOUNT'!A1180="","",'NEW ACCOUNT'!G1180)</f>
        <v/>
      </c>
      <c r="H1179" t="str">
        <f>IF('NEW ACCOUNT'!A1180="","",'NEW ACCOUNT'!H1180)</f>
        <v/>
      </c>
      <c r="I1179" t="str">
        <f>IF('NEW ACCOUNT'!A1180="","",'NEW ACCOUNT'!I1180)</f>
        <v/>
      </c>
      <c r="J1179" t="str">
        <f>IF('NEW ACCOUNT'!A1180="","",'NEW ACCOUNT'!J1180)</f>
        <v/>
      </c>
      <c r="K1179" t="str">
        <f>IFERROR(IF(A1179="","",SUMIF(DB_Savings!$A:$A,A1179,DB_Savings!$F:$F)),"")</f>
        <v/>
      </c>
      <c r="L1179" t="str">
        <f>IFERROR(IF(A1179="","",SUMIF(DB_Withdrawals!$A:$A,A1179,DB_Withdrawals!$G:$G)),"")</f>
        <v/>
      </c>
      <c r="M1179" t="str">
        <f>IFERROR(IF(A1179="","",IFERROR(VALUE(H1179),0)+IFERROR(SUMIF(DB_Savings!$A:$A,A1179,DB_Savings!$F:$F),0)-IFERROR(SUMIF(DB_Withdrawals!$A:$A,A1179,DB_Withdrawals!$G:$G),0)),"")</f>
        <v/>
      </c>
      <c r="N1179" t="str">
        <f>IFERROR(IF(A1179="","",MAX(0,M1179-System_Config!$B$9)),"")</f>
        <v/>
      </c>
    </row>
    <row r="1180" spans="1:14" ht="15" customHeight="1" x14ac:dyDescent="0.25">
      <c r="A1180" t="str">
        <f>'NEW ACCOUNT'!A1181</f>
        <v/>
      </c>
      <c r="B1180" t="str">
        <f>IF('NEW ACCOUNT'!A1181="","",'NEW ACCOUNT'!B1181)</f>
        <v/>
      </c>
      <c r="C1180" t="str">
        <f>IF('NEW ACCOUNT'!A1181="","",'NEW ACCOUNT'!C1181)</f>
        <v/>
      </c>
      <c r="D1180" t="str">
        <f>IF('NEW ACCOUNT'!A1181="","",'NEW ACCOUNT'!D1181)</f>
        <v/>
      </c>
      <c r="E1180" t="str">
        <f>IF('NEW ACCOUNT'!A1181="","",'NEW ACCOUNT'!E1181)</f>
        <v/>
      </c>
      <c r="F1180" t="str">
        <f>IF('NEW ACCOUNT'!A1181="","",'NEW ACCOUNT'!F1181)</f>
        <v/>
      </c>
      <c r="G1180" t="str">
        <f>IF('NEW ACCOUNT'!A1181="","",'NEW ACCOUNT'!G1181)</f>
        <v/>
      </c>
      <c r="H1180" t="str">
        <f>IF('NEW ACCOUNT'!A1181="","",'NEW ACCOUNT'!H1181)</f>
        <v/>
      </c>
      <c r="I1180" t="str">
        <f>IF('NEW ACCOUNT'!A1181="","",'NEW ACCOUNT'!I1181)</f>
        <v/>
      </c>
      <c r="J1180" t="str">
        <f>IF('NEW ACCOUNT'!A1181="","",'NEW ACCOUNT'!J1181)</f>
        <v/>
      </c>
      <c r="K1180" t="str">
        <f>IFERROR(IF(A1180="","",SUMIF(DB_Savings!$A:$A,A1180,DB_Savings!$F:$F)),"")</f>
        <v/>
      </c>
      <c r="L1180" t="str">
        <f>IFERROR(IF(A1180="","",SUMIF(DB_Withdrawals!$A:$A,A1180,DB_Withdrawals!$G:$G)),"")</f>
        <v/>
      </c>
      <c r="M1180" t="str">
        <f>IFERROR(IF(A1180="","",IFERROR(VALUE(H1180),0)+IFERROR(SUMIF(DB_Savings!$A:$A,A1180,DB_Savings!$F:$F),0)-IFERROR(SUMIF(DB_Withdrawals!$A:$A,A1180,DB_Withdrawals!$G:$G),0)),"")</f>
        <v/>
      </c>
      <c r="N1180" t="str">
        <f>IFERROR(IF(A1180="","",MAX(0,M1180-System_Config!$B$9)),"")</f>
        <v/>
      </c>
    </row>
    <row r="1181" spans="1:14" ht="15" customHeight="1" x14ac:dyDescent="0.25">
      <c r="A1181" t="str">
        <f>'NEW ACCOUNT'!A1182</f>
        <v/>
      </c>
      <c r="B1181" t="str">
        <f>IF('NEW ACCOUNT'!A1182="","",'NEW ACCOUNT'!B1182)</f>
        <v/>
      </c>
      <c r="C1181" t="str">
        <f>IF('NEW ACCOUNT'!A1182="","",'NEW ACCOUNT'!C1182)</f>
        <v/>
      </c>
      <c r="D1181" t="str">
        <f>IF('NEW ACCOUNT'!A1182="","",'NEW ACCOUNT'!D1182)</f>
        <v/>
      </c>
      <c r="E1181" t="str">
        <f>IF('NEW ACCOUNT'!A1182="","",'NEW ACCOUNT'!E1182)</f>
        <v/>
      </c>
      <c r="F1181" t="str">
        <f>IF('NEW ACCOUNT'!A1182="","",'NEW ACCOUNT'!F1182)</f>
        <v/>
      </c>
      <c r="G1181" t="str">
        <f>IF('NEW ACCOUNT'!A1182="","",'NEW ACCOUNT'!G1182)</f>
        <v/>
      </c>
      <c r="H1181" t="str">
        <f>IF('NEW ACCOUNT'!A1182="","",'NEW ACCOUNT'!H1182)</f>
        <v/>
      </c>
      <c r="I1181" t="str">
        <f>IF('NEW ACCOUNT'!A1182="","",'NEW ACCOUNT'!I1182)</f>
        <v/>
      </c>
      <c r="J1181" t="str">
        <f>IF('NEW ACCOUNT'!A1182="","",'NEW ACCOUNT'!J1182)</f>
        <v/>
      </c>
      <c r="K1181" t="str">
        <f>IFERROR(IF(A1181="","",SUMIF(DB_Savings!$A:$A,A1181,DB_Savings!$F:$F)),"")</f>
        <v/>
      </c>
      <c r="L1181" t="str">
        <f>IFERROR(IF(A1181="","",SUMIF(DB_Withdrawals!$A:$A,A1181,DB_Withdrawals!$G:$G)),"")</f>
        <v/>
      </c>
      <c r="M1181" t="str">
        <f>IFERROR(IF(A1181="","",IFERROR(VALUE(H1181),0)+IFERROR(SUMIF(DB_Savings!$A:$A,A1181,DB_Savings!$F:$F),0)-IFERROR(SUMIF(DB_Withdrawals!$A:$A,A1181,DB_Withdrawals!$G:$G),0)),"")</f>
        <v/>
      </c>
      <c r="N1181" t="str">
        <f>IFERROR(IF(A1181="","",MAX(0,M1181-System_Config!$B$9)),"")</f>
        <v/>
      </c>
    </row>
    <row r="1182" spans="1:14" ht="15" customHeight="1" x14ac:dyDescent="0.25">
      <c r="A1182" t="str">
        <f>'NEW ACCOUNT'!A1183</f>
        <v/>
      </c>
      <c r="B1182" t="str">
        <f>IF('NEW ACCOUNT'!A1183="","",'NEW ACCOUNT'!B1183)</f>
        <v/>
      </c>
      <c r="C1182" t="str">
        <f>IF('NEW ACCOUNT'!A1183="","",'NEW ACCOUNT'!C1183)</f>
        <v/>
      </c>
      <c r="D1182" t="str">
        <f>IF('NEW ACCOUNT'!A1183="","",'NEW ACCOUNT'!D1183)</f>
        <v/>
      </c>
      <c r="E1182" t="str">
        <f>IF('NEW ACCOUNT'!A1183="","",'NEW ACCOUNT'!E1183)</f>
        <v/>
      </c>
      <c r="F1182" t="str">
        <f>IF('NEW ACCOUNT'!A1183="","",'NEW ACCOUNT'!F1183)</f>
        <v/>
      </c>
      <c r="G1182" t="str">
        <f>IF('NEW ACCOUNT'!A1183="","",'NEW ACCOUNT'!G1183)</f>
        <v/>
      </c>
      <c r="H1182" t="str">
        <f>IF('NEW ACCOUNT'!A1183="","",'NEW ACCOUNT'!H1183)</f>
        <v/>
      </c>
      <c r="I1182" t="str">
        <f>IF('NEW ACCOUNT'!A1183="","",'NEW ACCOUNT'!I1183)</f>
        <v/>
      </c>
      <c r="J1182" t="str">
        <f>IF('NEW ACCOUNT'!A1183="","",'NEW ACCOUNT'!J1183)</f>
        <v/>
      </c>
      <c r="K1182" t="str">
        <f>IFERROR(IF(A1182="","",SUMIF(DB_Savings!$A:$A,A1182,DB_Savings!$F:$F)),"")</f>
        <v/>
      </c>
      <c r="L1182" t="str">
        <f>IFERROR(IF(A1182="","",SUMIF(DB_Withdrawals!$A:$A,A1182,DB_Withdrawals!$G:$G)),"")</f>
        <v/>
      </c>
      <c r="M1182" t="str">
        <f>IFERROR(IF(A1182="","",IFERROR(VALUE(H1182),0)+IFERROR(SUMIF(DB_Savings!$A:$A,A1182,DB_Savings!$F:$F),0)-IFERROR(SUMIF(DB_Withdrawals!$A:$A,A1182,DB_Withdrawals!$G:$G),0)),"")</f>
        <v/>
      </c>
      <c r="N1182" t="str">
        <f>IFERROR(IF(A1182="","",MAX(0,M1182-System_Config!$B$9)),"")</f>
        <v/>
      </c>
    </row>
    <row r="1183" spans="1:14" ht="15" customHeight="1" x14ac:dyDescent="0.25">
      <c r="A1183" t="str">
        <f>'NEW ACCOUNT'!A1184</f>
        <v/>
      </c>
      <c r="B1183" t="str">
        <f>IF('NEW ACCOUNT'!A1184="","",'NEW ACCOUNT'!B1184)</f>
        <v/>
      </c>
      <c r="C1183" t="str">
        <f>IF('NEW ACCOUNT'!A1184="","",'NEW ACCOUNT'!C1184)</f>
        <v/>
      </c>
      <c r="D1183" t="str">
        <f>IF('NEW ACCOUNT'!A1184="","",'NEW ACCOUNT'!D1184)</f>
        <v/>
      </c>
      <c r="E1183" t="str">
        <f>IF('NEW ACCOUNT'!A1184="","",'NEW ACCOUNT'!E1184)</f>
        <v/>
      </c>
      <c r="F1183" t="str">
        <f>IF('NEW ACCOUNT'!A1184="","",'NEW ACCOUNT'!F1184)</f>
        <v/>
      </c>
      <c r="G1183" t="str">
        <f>IF('NEW ACCOUNT'!A1184="","",'NEW ACCOUNT'!G1184)</f>
        <v/>
      </c>
      <c r="H1183" t="str">
        <f>IF('NEW ACCOUNT'!A1184="","",'NEW ACCOUNT'!H1184)</f>
        <v/>
      </c>
      <c r="I1183" t="str">
        <f>IF('NEW ACCOUNT'!A1184="","",'NEW ACCOUNT'!I1184)</f>
        <v/>
      </c>
      <c r="J1183" t="str">
        <f>IF('NEW ACCOUNT'!A1184="","",'NEW ACCOUNT'!J1184)</f>
        <v/>
      </c>
      <c r="K1183" t="str">
        <f>IFERROR(IF(A1183="","",SUMIF(DB_Savings!$A:$A,A1183,DB_Savings!$F:$F)),"")</f>
        <v/>
      </c>
      <c r="L1183" t="str">
        <f>IFERROR(IF(A1183="","",SUMIF(DB_Withdrawals!$A:$A,A1183,DB_Withdrawals!$G:$G)),"")</f>
        <v/>
      </c>
      <c r="M1183" t="str">
        <f>IFERROR(IF(A1183="","",IFERROR(VALUE(H1183),0)+IFERROR(SUMIF(DB_Savings!$A:$A,A1183,DB_Savings!$F:$F),0)-IFERROR(SUMIF(DB_Withdrawals!$A:$A,A1183,DB_Withdrawals!$G:$G),0)),"")</f>
        <v/>
      </c>
      <c r="N1183" t="str">
        <f>IFERROR(IF(A1183="","",MAX(0,M1183-System_Config!$B$9)),"")</f>
        <v/>
      </c>
    </row>
    <row r="1184" spans="1:14" ht="15" customHeight="1" x14ac:dyDescent="0.25">
      <c r="A1184" t="str">
        <f>'NEW ACCOUNT'!A1185</f>
        <v/>
      </c>
      <c r="B1184" t="str">
        <f>IF('NEW ACCOUNT'!A1185="","",'NEW ACCOUNT'!B1185)</f>
        <v/>
      </c>
      <c r="C1184" t="str">
        <f>IF('NEW ACCOUNT'!A1185="","",'NEW ACCOUNT'!C1185)</f>
        <v/>
      </c>
      <c r="D1184" t="str">
        <f>IF('NEW ACCOUNT'!A1185="","",'NEW ACCOUNT'!D1185)</f>
        <v/>
      </c>
      <c r="E1184" t="str">
        <f>IF('NEW ACCOUNT'!A1185="","",'NEW ACCOUNT'!E1185)</f>
        <v/>
      </c>
      <c r="F1184" t="str">
        <f>IF('NEW ACCOUNT'!A1185="","",'NEW ACCOUNT'!F1185)</f>
        <v/>
      </c>
      <c r="G1184" t="str">
        <f>IF('NEW ACCOUNT'!A1185="","",'NEW ACCOUNT'!G1185)</f>
        <v/>
      </c>
      <c r="H1184" t="str">
        <f>IF('NEW ACCOUNT'!A1185="","",'NEW ACCOUNT'!H1185)</f>
        <v/>
      </c>
      <c r="I1184" t="str">
        <f>IF('NEW ACCOUNT'!A1185="","",'NEW ACCOUNT'!I1185)</f>
        <v/>
      </c>
      <c r="J1184" t="str">
        <f>IF('NEW ACCOUNT'!A1185="","",'NEW ACCOUNT'!J1185)</f>
        <v/>
      </c>
      <c r="K1184" t="str">
        <f>IFERROR(IF(A1184="","",SUMIF(DB_Savings!$A:$A,A1184,DB_Savings!$F:$F)),"")</f>
        <v/>
      </c>
      <c r="L1184" t="str">
        <f>IFERROR(IF(A1184="","",SUMIF(DB_Withdrawals!$A:$A,A1184,DB_Withdrawals!$G:$G)),"")</f>
        <v/>
      </c>
      <c r="M1184" t="str">
        <f>IFERROR(IF(A1184="","",IFERROR(VALUE(H1184),0)+IFERROR(SUMIF(DB_Savings!$A:$A,A1184,DB_Savings!$F:$F),0)-IFERROR(SUMIF(DB_Withdrawals!$A:$A,A1184,DB_Withdrawals!$G:$G),0)),"")</f>
        <v/>
      </c>
      <c r="N1184" t="str">
        <f>IFERROR(IF(A1184="","",MAX(0,M1184-System_Config!$B$9)),"")</f>
        <v/>
      </c>
    </row>
    <row r="1185" spans="1:14" ht="15" customHeight="1" x14ac:dyDescent="0.25">
      <c r="A1185" t="str">
        <f>'NEW ACCOUNT'!A1186</f>
        <v/>
      </c>
      <c r="B1185" t="str">
        <f>IF('NEW ACCOUNT'!A1186="","",'NEW ACCOUNT'!B1186)</f>
        <v/>
      </c>
      <c r="C1185" t="str">
        <f>IF('NEW ACCOUNT'!A1186="","",'NEW ACCOUNT'!C1186)</f>
        <v/>
      </c>
      <c r="D1185" t="str">
        <f>IF('NEW ACCOUNT'!A1186="","",'NEW ACCOUNT'!D1186)</f>
        <v/>
      </c>
      <c r="E1185" t="str">
        <f>IF('NEW ACCOUNT'!A1186="","",'NEW ACCOUNT'!E1186)</f>
        <v/>
      </c>
      <c r="F1185" t="str">
        <f>IF('NEW ACCOUNT'!A1186="","",'NEW ACCOUNT'!F1186)</f>
        <v/>
      </c>
      <c r="G1185" t="str">
        <f>IF('NEW ACCOUNT'!A1186="","",'NEW ACCOUNT'!G1186)</f>
        <v/>
      </c>
      <c r="H1185" t="str">
        <f>IF('NEW ACCOUNT'!A1186="","",'NEW ACCOUNT'!H1186)</f>
        <v/>
      </c>
      <c r="I1185" t="str">
        <f>IF('NEW ACCOUNT'!A1186="","",'NEW ACCOUNT'!I1186)</f>
        <v/>
      </c>
      <c r="J1185" t="str">
        <f>IF('NEW ACCOUNT'!A1186="","",'NEW ACCOUNT'!J1186)</f>
        <v/>
      </c>
      <c r="K1185" t="str">
        <f>IFERROR(IF(A1185="","",SUMIF(DB_Savings!$A:$A,A1185,DB_Savings!$F:$F)),"")</f>
        <v/>
      </c>
      <c r="L1185" t="str">
        <f>IFERROR(IF(A1185="","",SUMIF(DB_Withdrawals!$A:$A,A1185,DB_Withdrawals!$G:$G)),"")</f>
        <v/>
      </c>
      <c r="M1185" t="str">
        <f>IFERROR(IF(A1185="","",IFERROR(VALUE(H1185),0)+IFERROR(SUMIF(DB_Savings!$A:$A,A1185,DB_Savings!$F:$F),0)-IFERROR(SUMIF(DB_Withdrawals!$A:$A,A1185,DB_Withdrawals!$G:$G),0)),"")</f>
        <v/>
      </c>
      <c r="N1185" t="str">
        <f>IFERROR(IF(A1185="","",MAX(0,M1185-System_Config!$B$9)),"")</f>
        <v/>
      </c>
    </row>
    <row r="1186" spans="1:14" ht="15" customHeight="1" x14ac:dyDescent="0.25">
      <c r="A1186" t="str">
        <f>'NEW ACCOUNT'!A1187</f>
        <v/>
      </c>
      <c r="B1186" t="str">
        <f>IF('NEW ACCOUNT'!A1187="","",'NEW ACCOUNT'!B1187)</f>
        <v/>
      </c>
      <c r="C1186" t="str">
        <f>IF('NEW ACCOUNT'!A1187="","",'NEW ACCOUNT'!C1187)</f>
        <v/>
      </c>
      <c r="D1186" t="str">
        <f>IF('NEW ACCOUNT'!A1187="","",'NEW ACCOUNT'!D1187)</f>
        <v/>
      </c>
      <c r="E1186" t="str">
        <f>IF('NEW ACCOUNT'!A1187="","",'NEW ACCOUNT'!E1187)</f>
        <v/>
      </c>
      <c r="F1186" t="str">
        <f>IF('NEW ACCOUNT'!A1187="","",'NEW ACCOUNT'!F1187)</f>
        <v/>
      </c>
      <c r="G1186" t="str">
        <f>IF('NEW ACCOUNT'!A1187="","",'NEW ACCOUNT'!G1187)</f>
        <v/>
      </c>
      <c r="H1186" t="str">
        <f>IF('NEW ACCOUNT'!A1187="","",'NEW ACCOUNT'!H1187)</f>
        <v/>
      </c>
      <c r="I1186" t="str">
        <f>IF('NEW ACCOUNT'!A1187="","",'NEW ACCOUNT'!I1187)</f>
        <v/>
      </c>
      <c r="J1186" t="str">
        <f>IF('NEW ACCOUNT'!A1187="","",'NEW ACCOUNT'!J1187)</f>
        <v/>
      </c>
      <c r="K1186" t="str">
        <f>IFERROR(IF(A1186="","",SUMIF(DB_Savings!$A:$A,A1186,DB_Savings!$F:$F)),"")</f>
        <v/>
      </c>
      <c r="L1186" t="str">
        <f>IFERROR(IF(A1186="","",SUMIF(DB_Withdrawals!$A:$A,A1186,DB_Withdrawals!$G:$G)),"")</f>
        <v/>
      </c>
      <c r="M1186" t="str">
        <f>IFERROR(IF(A1186="","",IFERROR(VALUE(H1186),0)+IFERROR(SUMIF(DB_Savings!$A:$A,A1186,DB_Savings!$F:$F),0)-IFERROR(SUMIF(DB_Withdrawals!$A:$A,A1186,DB_Withdrawals!$G:$G),0)),"")</f>
        <v/>
      </c>
      <c r="N1186" t="str">
        <f>IFERROR(IF(A1186="","",MAX(0,M1186-System_Config!$B$9)),"")</f>
        <v/>
      </c>
    </row>
    <row r="1187" spans="1:14" ht="15" customHeight="1" x14ac:dyDescent="0.25">
      <c r="A1187" t="str">
        <f>'NEW ACCOUNT'!A1188</f>
        <v/>
      </c>
      <c r="B1187" t="str">
        <f>IF('NEW ACCOUNT'!A1188="","",'NEW ACCOUNT'!B1188)</f>
        <v/>
      </c>
      <c r="C1187" t="str">
        <f>IF('NEW ACCOUNT'!A1188="","",'NEW ACCOUNT'!C1188)</f>
        <v/>
      </c>
      <c r="D1187" t="str">
        <f>IF('NEW ACCOUNT'!A1188="","",'NEW ACCOUNT'!D1188)</f>
        <v/>
      </c>
      <c r="E1187" t="str">
        <f>IF('NEW ACCOUNT'!A1188="","",'NEW ACCOUNT'!E1188)</f>
        <v/>
      </c>
      <c r="F1187" t="str">
        <f>IF('NEW ACCOUNT'!A1188="","",'NEW ACCOUNT'!F1188)</f>
        <v/>
      </c>
      <c r="G1187" t="str">
        <f>IF('NEW ACCOUNT'!A1188="","",'NEW ACCOUNT'!G1188)</f>
        <v/>
      </c>
      <c r="H1187" t="str">
        <f>IF('NEW ACCOUNT'!A1188="","",'NEW ACCOUNT'!H1188)</f>
        <v/>
      </c>
      <c r="I1187" t="str">
        <f>IF('NEW ACCOUNT'!A1188="","",'NEW ACCOUNT'!I1188)</f>
        <v/>
      </c>
      <c r="J1187" t="str">
        <f>IF('NEW ACCOUNT'!A1188="","",'NEW ACCOUNT'!J1188)</f>
        <v/>
      </c>
      <c r="K1187" t="str">
        <f>IFERROR(IF(A1187="","",SUMIF(DB_Savings!$A:$A,A1187,DB_Savings!$F:$F)),"")</f>
        <v/>
      </c>
      <c r="L1187" t="str">
        <f>IFERROR(IF(A1187="","",SUMIF(DB_Withdrawals!$A:$A,A1187,DB_Withdrawals!$G:$G)),"")</f>
        <v/>
      </c>
      <c r="M1187" t="str">
        <f>IFERROR(IF(A1187="","",IFERROR(VALUE(H1187),0)+IFERROR(SUMIF(DB_Savings!$A:$A,A1187,DB_Savings!$F:$F),0)-IFERROR(SUMIF(DB_Withdrawals!$A:$A,A1187,DB_Withdrawals!$G:$G),0)),"")</f>
        <v/>
      </c>
      <c r="N1187" t="str">
        <f>IFERROR(IF(A1187="","",MAX(0,M1187-System_Config!$B$9)),"")</f>
        <v/>
      </c>
    </row>
    <row r="1188" spans="1:14" ht="15" customHeight="1" x14ac:dyDescent="0.25">
      <c r="A1188" t="str">
        <f>'NEW ACCOUNT'!A1189</f>
        <v/>
      </c>
      <c r="B1188" t="str">
        <f>IF('NEW ACCOUNT'!A1189="","",'NEW ACCOUNT'!B1189)</f>
        <v/>
      </c>
      <c r="C1188" t="str">
        <f>IF('NEW ACCOUNT'!A1189="","",'NEW ACCOUNT'!C1189)</f>
        <v/>
      </c>
      <c r="D1188" t="str">
        <f>IF('NEW ACCOUNT'!A1189="","",'NEW ACCOUNT'!D1189)</f>
        <v/>
      </c>
      <c r="E1188" t="str">
        <f>IF('NEW ACCOUNT'!A1189="","",'NEW ACCOUNT'!E1189)</f>
        <v/>
      </c>
      <c r="F1188" t="str">
        <f>IF('NEW ACCOUNT'!A1189="","",'NEW ACCOUNT'!F1189)</f>
        <v/>
      </c>
      <c r="G1188" t="str">
        <f>IF('NEW ACCOUNT'!A1189="","",'NEW ACCOUNT'!G1189)</f>
        <v/>
      </c>
      <c r="H1188" t="str">
        <f>IF('NEW ACCOUNT'!A1189="","",'NEW ACCOUNT'!H1189)</f>
        <v/>
      </c>
      <c r="I1188" t="str">
        <f>IF('NEW ACCOUNT'!A1189="","",'NEW ACCOUNT'!I1189)</f>
        <v/>
      </c>
      <c r="J1188" t="str">
        <f>IF('NEW ACCOUNT'!A1189="","",'NEW ACCOUNT'!J1189)</f>
        <v/>
      </c>
      <c r="K1188" t="str">
        <f>IFERROR(IF(A1188="","",SUMIF(DB_Savings!$A:$A,A1188,DB_Savings!$F:$F)),"")</f>
        <v/>
      </c>
      <c r="L1188" t="str">
        <f>IFERROR(IF(A1188="","",SUMIF(DB_Withdrawals!$A:$A,A1188,DB_Withdrawals!$G:$G)),"")</f>
        <v/>
      </c>
      <c r="M1188" t="str">
        <f>IFERROR(IF(A1188="","",IFERROR(VALUE(H1188),0)+IFERROR(SUMIF(DB_Savings!$A:$A,A1188,DB_Savings!$F:$F),0)-IFERROR(SUMIF(DB_Withdrawals!$A:$A,A1188,DB_Withdrawals!$G:$G),0)),"")</f>
        <v/>
      </c>
      <c r="N1188" t="str">
        <f>IFERROR(IF(A1188="","",MAX(0,M1188-System_Config!$B$9)),"")</f>
        <v/>
      </c>
    </row>
    <row r="1189" spans="1:14" ht="15" customHeight="1" x14ac:dyDescent="0.25">
      <c r="A1189" t="str">
        <f>'NEW ACCOUNT'!A1190</f>
        <v/>
      </c>
      <c r="B1189" t="str">
        <f>IF('NEW ACCOUNT'!A1190="","",'NEW ACCOUNT'!B1190)</f>
        <v/>
      </c>
      <c r="C1189" t="str">
        <f>IF('NEW ACCOUNT'!A1190="","",'NEW ACCOUNT'!C1190)</f>
        <v/>
      </c>
      <c r="D1189" t="str">
        <f>IF('NEW ACCOUNT'!A1190="","",'NEW ACCOUNT'!D1190)</f>
        <v/>
      </c>
      <c r="E1189" t="str">
        <f>IF('NEW ACCOUNT'!A1190="","",'NEW ACCOUNT'!E1190)</f>
        <v/>
      </c>
      <c r="F1189" t="str">
        <f>IF('NEW ACCOUNT'!A1190="","",'NEW ACCOUNT'!F1190)</f>
        <v/>
      </c>
      <c r="G1189" t="str">
        <f>IF('NEW ACCOUNT'!A1190="","",'NEW ACCOUNT'!G1190)</f>
        <v/>
      </c>
      <c r="H1189" t="str">
        <f>IF('NEW ACCOUNT'!A1190="","",'NEW ACCOUNT'!H1190)</f>
        <v/>
      </c>
      <c r="I1189" t="str">
        <f>IF('NEW ACCOUNT'!A1190="","",'NEW ACCOUNT'!I1190)</f>
        <v/>
      </c>
      <c r="J1189" t="str">
        <f>IF('NEW ACCOUNT'!A1190="","",'NEW ACCOUNT'!J1190)</f>
        <v/>
      </c>
      <c r="K1189" t="str">
        <f>IFERROR(IF(A1189="","",SUMIF(DB_Savings!$A:$A,A1189,DB_Savings!$F:$F)),"")</f>
        <v/>
      </c>
      <c r="L1189" t="str">
        <f>IFERROR(IF(A1189="","",SUMIF(DB_Withdrawals!$A:$A,A1189,DB_Withdrawals!$G:$G)),"")</f>
        <v/>
      </c>
      <c r="M1189" t="str">
        <f>IFERROR(IF(A1189="","",IFERROR(VALUE(H1189),0)+IFERROR(SUMIF(DB_Savings!$A:$A,A1189,DB_Savings!$F:$F),0)-IFERROR(SUMIF(DB_Withdrawals!$A:$A,A1189,DB_Withdrawals!$G:$G),0)),"")</f>
        <v/>
      </c>
      <c r="N1189" t="str">
        <f>IFERROR(IF(A1189="","",MAX(0,M1189-System_Config!$B$9)),"")</f>
        <v/>
      </c>
    </row>
    <row r="1190" spans="1:14" ht="15" customHeight="1" x14ac:dyDescent="0.25">
      <c r="A1190" t="str">
        <f>'NEW ACCOUNT'!A1191</f>
        <v/>
      </c>
      <c r="B1190" t="str">
        <f>IF('NEW ACCOUNT'!A1191="","",'NEW ACCOUNT'!B1191)</f>
        <v/>
      </c>
      <c r="C1190" t="str">
        <f>IF('NEW ACCOUNT'!A1191="","",'NEW ACCOUNT'!C1191)</f>
        <v/>
      </c>
      <c r="D1190" t="str">
        <f>IF('NEW ACCOUNT'!A1191="","",'NEW ACCOUNT'!D1191)</f>
        <v/>
      </c>
      <c r="E1190" t="str">
        <f>IF('NEW ACCOUNT'!A1191="","",'NEW ACCOUNT'!E1191)</f>
        <v/>
      </c>
      <c r="F1190" t="str">
        <f>IF('NEW ACCOUNT'!A1191="","",'NEW ACCOUNT'!F1191)</f>
        <v/>
      </c>
      <c r="G1190" t="str">
        <f>IF('NEW ACCOUNT'!A1191="","",'NEW ACCOUNT'!G1191)</f>
        <v/>
      </c>
      <c r="H1190" t="str">
        <f>IF('NEW ACCOUNT'!A1191="","",'NEW ACCOUNT'!H1191)</f>
        <v/>
      </c>
      <c r="I1190" t="str">
        <f>IF('NEW ACCOUNT'!A1191="","",'NEW ACCOUNT'!I1191)</f>
        <v/>
      </c>
      <c r="J1190" t="str">
        <f>IF('NEW ACCOUNT'!A1191="","",'NEW ACCOUNT'!J1191)</f>
        <v/>
      </c>
      <c r="K1190" t="str">
        <f>IFERROR(IF(A1190="","",SUMIF(DB_Savings!$A:$A,A1190,DB_Savings!$F:$F)),"")</f>
        <v/>
      </c>
      <c r="L1190" t="str">
        <f>IFERROR(IF(A1190="","",SUMIF(DB_Withdrawals!$A:$A,A1190,DB_Withdrawals!$G:$G)),"")</f>
        <v/>
      </c>
      <c r="M1190" t="str">
        <f>IFERROR(IF(A1190="","",IFERROR(VALUE(H1190),0)+IFERROR(SUMIF(DB_Savings!$A:$A,A1190,DB_Savings!$F:$F),0)-IFERROR(SUMIF(DB_Withdrawals!$A:$A,A1190,DB_Withdrawals!$G:$G),0)),"")</f>
        <v/>
      </c>
      <c r="N1190" t="str">
        <f>IFERROR(IF(A1190="","",MAX(0,M1190-System_Config!$B$9)),"")</f>
        <v/>
      </c>
    </row>
    <row r="1191" spans="1:14" ht="15" customHeight="1" x14ac:dyDescent="0.25">
      <c r="A1191" t="str">
        <f>'NEW ACCOUNT'!A1192</f>
        <v/>
      </c>
      <c r="B1191" t="str">
        <f>IF('NEW ACCOUNT'!A1192="","",'NEW ACCOUNT'!B1192)</f>
        <v/>
      </c>
      <c r="C1191" t="str">
        <f>IF('NEW ACCOUNT'!A1192="","",'NEW ACCOUNT'!C1192)</f>
        <v/>
      </c>
      <c r="D1191" t="str">
        <f>IF('NEW ACCOUNT'!A1192="","",'NEW ACCOUNT'!D1192)</f>
        <v/>
      </c>
      <c r="E1191" t="str">
        <f>IF('NEW ACCOUNT'!A1192="","",'NEW ACCOUNT'!E1192)</f>
        <v/>
      </c>
      <c r="F1191" t="str">
        <f>IF('NEW ACCOUNT'!A1192="","",'NEW ACCOUNT'!F1192)</f>
        <v/>
      </c>
      <c r="G1191" t="str">
        <f>IF('NEW ACCOUNT'!A1192="","",'NEW ACCOUNT'!G1192)</f>
        <v/>
      </c>
      <c r="H1191" t="str">
        <f>IF('NEW ACCOUNT'!A1192="","",'NEW ACCOUNT'!H1192)</f>
        <v/>
      </c>
      <c r="I1191" t="str">
        <f>IF('NEW ACCOUNT'!A1192="","",'NEW ACCOUNT'!I1192)</f>
        <v/>
      </c>
      <c r="J1191" t="str">
        <f>IF('NEW ACCOUNT'!A1192="","",'NEW ACCOUNT'!J1192)</f>
        <v/>
      </c>
      <c r="K1191" t="str">
        <f>IFERROR(IF(A1191="","",SUMIF(DB_Savings!$A:$A,A1191,DB_Savings!$F:$F)),"")</f>
        <v/>
      </c>
      <c r="L1191" t="str">
        <f>IFERROR(IF(A1191="","",SUMIF(DB_Withdrawals!$A:$A,A1191,DB_Withdrawals!$G:$G)),"")</f>
        <v/>
      </c>
      <c r="M1191" t="str">
        <f>IFERROR(IF(A1191="","",IFERROR(VALUE(H1191),0)+IFERROR(SUMIF(DB_Savings!$A:$A,A1191,DB_Savings!$F:$F),0)-IFERROR(SUMIF(DB_Withdrawals!$A:$A,A1191,DB_Withdrawals!$G:$G),0)),"")</f>
        <v/>
      </c>
      <c r="N1191" t="str">
        <f>IFERROR(IF(A1191="","",MAX(0,M1191-System_Config!$B$9)),"")</f>
        <v/>
      </c>
    </row>
    <row r="1192" spans="1:14" ht="15" customHeight="1" x14ac:dyDescent="0.25">
      <c r="A1192" t="str">
        <f>'NEW ACCOUNT'!A1193</f>
        <v/>
      </c>
      <c r="B1192" t="str">
        <f>IF('NEW ACCOUNT'!A1193="","",'NEW ACCOUNT'!B1193)</f>
        <v/>
      </c>
      <c r="C1192" t="str">
        <f>IF('NEW ACCOUNT'!A1193="","",'NEW ACCOUNT'!C1193)</f>
        <v/>
      </c>
      <c r="D1192" t="str">
        <f>IF('NEW ACCOUNT'!A1193="","",'NEW ACCOUNT'!D1193)</f>
        <v/>
      </c>
      <c r="E1192" t="str">
        <f>IF('NEW ACCOUNT'!A1193="","",'NEW ACCOUNT'!E1193)</f>
        <v/>
      </c>
      <c r="F1192" t="str">
        <f>IF('NEW ACCOUNT'!A1193="","",'NEW ACCOUNT'!F1193)</f>
        <v/>
      </c>
      <c r="G1192" t="str">
        <f>IF('NEW ACCOUNT'!A1193="","",'NEW ACCOUNT'!G1193)</f>
        <v/>
      </c>
      <c r="H1192" t="str">
        <f>IF('NEW ACCOUNT'!A1193="","",'NEW ACCOUNT'!H1193)</f>
        <v/>
      </c>
      <c r="I1192" t="str">
        <f>IF('NEW ACCOUNT'!A1193="","",'NEW ACCOUNT'!I1193)</f>
        <v/>
      </c>
      <c r="J1192" t="str">
        <f>IF('NEW ACCOUNT'!A1193="","",'NEW ACCOUNT'!J1193)</f>
        <v/>
      </c>
      <c r="K1192" t="str">
        <f>IFERROR(IF(A1192="","",SUMIF(DB_Savings!$A:$A,A1192,DB_Savings!$F:$F)),"")</f>
        <v/>
      </c>
      <c r="L1192" t="str">
        <f>IFERROR(IF(A1192="","",SUMIF(DB_Withdrawals!$A:$A,A1192,DB_Withdrawals!$G:$G)),"")</f>
        <v/>
      </c>
      <c r="M1192" t="str">
        <f>IFERROR(IF(A1192="","",IFERROR(VALUE(H1192),0)+IFERROR(SUMIF(DB_Savings!$A:$A,A1192,DB_Savings!$F:$F),0)-IFERROR(SUMIF(DB_Withdrawals!$A:$A,A1192,DB_Withdrawals!$G:$G),0)),"")</f>
        <v/>
      </c>
      <c r="N1192" t="str">
        <f>IFERROR(IF(A1192="","",MAX(0,M1192-System_Config!$B$9)),"")</f>
        <v/>
      </c>
    </row>
    <row r="1193" spans="1:14" ht="15" customHeight="1" x14ac:dyDescent="0.25">
      <c r="A1193" t="str">
        <f>'NEW ACCOUNT'!A1194</f>
        <v/>
      </c>
      <c r="B1193" t="str">
        <f>IF('NEW ACCOUNT'!A1194="","",'NEW ACCOUNT'!B1194)</f>
        <v/>
      </c>
      <c r="C1193" t="str">
        <f>IF('NEW ACCOUNT'!A1194="","",'NEW ACCOUNT'!C1194)</f>
        <v/>
      </c>
      <c r="D1193" t="str">
        <f>IF('NEW ACCOUNT'!A1194="","",'NEW ACCOUNT'!D1194)</f>
        <v/>
      </c>
      <c r="E1193" t="str">
        <f>IF('NEW ACCOUNT'!A1194="","",'NEW ACCOUNT'!E1194)</f>
        <v/>
      </c>
      <c r="F1193" t="str">
        <f>IF('NEW ACCOUNT'!A1194="","",'NEW ACCOUNT'!F1194)</f>
        <v/>
      </c>
      <c r="G1193" t="str">
        <f>IF('NEW ACCOUNT'!A1194="","",'NEW ACCOUNT'!G1194)</f>
        <v/>
      </c>
      <c r="H1193" t="str">
        <f>IF('NEW ACCOUNT'!A1194="","",'NEW ACCOUNT'!H1194)</f>
        <v/>
      </c>
      <c r="I1193" t="str">
        <f>IF('NEW ACCOUNT'!A1194="","",'NEW ACCOUNT'!I1194)</f>
        <v/>
      </c>
      <c r="J1193" t="str">
        <f>IF('NEW ACCOUNT'!A1194="","",'NEW ACCOUNT'!J1194)</f>
        <v/>
      </c>
      <c r="K1193" t="str">
        <f>IFERROR(IF(A1193="","",SUMIF(DB_Savings!$A:$A,A1193,DB_Savings!$F:$F)),"")</f>
        <v/>
      </c>
      <c r="L1193" t="str">
        <f>IFERROR(IF(A1193="","",SUMIF(DB_Withdrawals!$A:$A,A1193,DB_Withdrawals!$G:$G)),"")</f>
        <v/>
      </c>
      <c r="M1193" t="str">
        <f>IFERROR(IF(A1193="","",IFERROR(VALUE(H1193),0)+IFERROR(SUMIF(DB_Savings!$A:$A,A1193,DB_Savings!$F:$F),0)-IFERROR(SUMIF(DB_Withdrawals!$A:$A,A1193,DB_Withdrawals!$G:$G),0)),"")</f>
        <v/>
      </c>
      <c r="N1193" t="str">
        <f>IFERROR(IF(A1193="","",MAX(0,M1193-System_Config!$B$9)),"")</f>
        <v/>
      </c>
    </row>
    <row r="1194" spans="1:14" ht="15" customHeight="1" x14ac:dyDescent="0.25">
      <c r="A1194" t="str">
        <f>'NEW ACCOUNT'!A1195</f>
        <v/>
      </c>
      <c r="B1194" t="str">
        <f>IF('NEW ACCOUNT'!A1195="","",'NEW ACCOUNT'!B1195)</f>
        <v/>
      </c>
      <c r="C1194" t="str">
        <f>IF('NEW ACCOUNT'!A1195="","",'NEW ACCOUNT'!C1195)</f>
        <v/>
      </c>
      <c r="D1194" t="str">
        <f>IF('NEW ACCOUNT'!A1195="","",'NEW ACCOUNT'!D1195)</f>
        <v/>
      </c>
      <c r="E1194" t="str">
        <f>IF('NEW ACCOUNT'!A1195="","",'NEW ACCOUNT'!E1195)</f>
        <v/>
      </c>
      <c r="F1194" t="str">
        <f>IF('NEW ACCOUNT'!A1195="","",'NEW ACCOUNT'!F1195)</f>
        <v/>
      </c>
      <c r="G1194" t="str">
        <f>IF('NEW ACCOUNT'!A1195="","",'NEW ACCOUNT'!G1195)</f>
        <v/>
      </c>
      <c r="H1194" t="str">
        <f>IF('NEW ACCOUNT'!A1195="","",'NEW ACCOUNT'!H1195)</f>
        <v/>
      </c>
      <c r="I1194" t="str">
        <f>IF('NEW ACCOUNT'!A1195="","",'NEW ACCOUNT'!I1195)</f>
        <v/>
      </c>
      <c r="J1194" t="str">
        <f>IF('NEW ACCOUNT'!A1195="","",'NEW ACCOUNT'!J1195)</f>
        <v/>
      </c>
      <c r="K1194" t="str">
        <f>IFERROR(IF(A1194="","",SUMIF(DB_Savings!$A:$A,A1194,DB_Savings!$F:$F)),"")</f>
        <v/>
      </c>
      <c r="L1194" t="str">
        <f>IFERROR(IF(A1194="","",SUMIF(DB_Withdrawals!$A:$A,A1194,DB_Withdrawals!$G:$G)),"")</f>
        <v/>
      </c>
      <c r="M1194" t="str">
        <f>IFERROR(IF(A1194="","",IFERROR(VALUE(H1194),0)+IFERROR(SUMIF(DB_Savings!$A:$A,A1194,DB_Savings!$F:$F),0)-IFERROR(SUMIF(DB_Withdrawals!$A:$A,A1194,DB_Withdrawals!$G:$G),0)),"")</f>
        <v/>
      </c>
      <c r="N1194" t="str">
        <f>IFERROR(IF(A1194="","",MAX(0,M1194-System_Config!$B$9)),"")</f>
        <v/>
      </c>
    </row>
    <row r="1195" spans="1:14" ht="15" customHeight="1" x14ac:dyDescent="0.25">
      <c r="A1195" t="str">
        <f>'NEW ACCOUNT'!A1196</f>
        <v/>
      </c>
      <c r="B1195" t="str">
        <f>IF('NEW ACCOUNT'!A1196="","",'NEW ACCOUNT'!B1196)</f>
        <v/>
      </c>
      <c r="C1195" t="str">
        <f>IF('NEW ACCOUNT'!A1196="","",'NEW ACCOUNT'!C1196)</f>
        <v/>
      </c>
      <c r="D1195" t="str">
        <f>IF('NEW ACCOUNT'!A1196="","",'NEW ACCOUNT'!D1196)</f>
        <v/>
      </c>
      <c r="E1195" t="str">
        <f>IF('NEW ACCOUNT'!A1196="","",'NEW ACCOUNT'!E1196)</f>
        <v/>
      </c>
      <c r="F1195" t="str">
        <f>IF('NEW ACCOUNT'!A1196="","",'NEW ACCOUNT'!F1196)</f>
        <v/>
      </c>
      <c r="G1195" t="str">
        <f>IF('NEW ACCOUNT'!A1196="","",'NEW ACCOUNT'!G1196)</f>
        <v/>
      </c>
      <c r="H1195" t="str">
        <f>IF('NEW ACCOUNT'!A1196="","",'NEW ACCOUNT'!H1196)</f>
        <v/>
      </c>
      <c r="I1195" t="str">
        <f>IF('NEW ACCOUNT'!A1196="","",'NEW ACCOUNT'!I1196)</f>
        <v/>
      </c>
      <c r="J1195" t="str">
        <f>IF('NEW ACCOUNT'!A1196="","",'NEW ACCOUNT'!J1196)</f>
        <v/>
      </c>
      <c r="K1195" t="str">
        <f>IFERROR(IF(A1195="","",SUMIF(DB_Savings!$A:$A,A1195,DB_Savings!$F:$F)),"")</f>
        <v/>
      </c>
      <c r="L1195" t="str">
        <f>IFERROR(IF(A1195="","",SUMIF(DB_Withdrawals!$A:$A,A1195,DB_Withdrawals!$G:$G)),"")</f>
        <v/>
      </c>
      <c r="M1195" t="str">
        <f>IFERROR(IF(A1195="","",IFERROR(VALUE(H1195),0)+IFERROR(SUMIF(DB_Savings!$A:$A,A1195,DB_Savings!$F:$F),0)-IFERROR(SUMIF(DB_Withdrawals!$A:$A,A1195,DB_Withdrawals!$G:$G),0)),"")</f>
        <v/>
      </c>
      <c r="N1195" t="str">
        <f>IFERROR(IF(A1195="","",MAX(0,M1195-System_Config!$B$9)),"")</f>
        <v/>
      </c>
    </row>
    <row r="1196" spans="1:14" ht="15" customHeight="1" x14ac:dyDescent="0.25">
      <c r="A1196" t="str">
        <f>'NEW ACCOUNT'!A1197</f>
        <v/>
      </c>
      <c r="B1196" t="str">
        <f>IF('NEW ACCOUNT'!A1197="","",'NEW ACCOUNT'!B1197)</f>
        <v/>
      </c>
      <c r="C1196" t="str">
        <f>IF('NEW ACCOUNT'!A1197="","",'NEW ACCOUNT'!C1197)</f>
        <v/>
      </c>
      <c r="D1196" t="str">
        <f>IF('NEW ACCOUNT'!A1197="","",'NEW ACCOUNT'!D1197)</f>
        <v/>
      </c>
      <c r="E1196" t="str">
        <f>IF('NEW ACCOUNT'!A1197="","",'NEW ACCOUNT'!E1197)</f>
        <v/>
      </c>
      <c r="F1196" t="str">
        <f>IF('NEW ACCOUNT'!A1197="","",'NEW ACCOUNT'!F1197)</f>
        <v/>
      </c>
      <c r="G1196" t="str">
        <f>IF('NEW ACCOUNT'!A1197="","",'NEW ACCOUNT'!G1197)</f>
        <v/>
      </c>
      <c r="H1196" t="str">
        <f>IF('NEW ACCOUNT'!A1197="","",'NEW ACCOUNT'!H1197)</f>
        <v/>
      </c>
      <c r="I1196" t="str">
        <f>IF('NEW ACCOUNT'!A1197="","",'NEW ACCOUNT'!I1197)</f>
        <v/>
      </c>
      <c r="J1196" t="str">
        <f>IF('NEW ACCOUNT'!A1197="","",'NEW ACCOUNT'!J1197)</f>
        <v/>
      </c>
      <c r="K1196" t="str">
        <f>IFERROR(IF(A1196="","",SUMIF(DB_Savings!$A:$A,A1196,DB_Savings!$F:$F)),"")</f>
        <v/>
      </c>
      <c r="L1196" t="str">
        <f>IFERROR(IF(A1196="","",SUMIF(DB_Withdrawals!$A:$A,A1196,DB_Withdrawals!$G:$G)),"")</f>
        <v/>
      </c>
      <c r="M1196" t="str">
        <f>IFERROR(IF(A1196="","",IFERROR(VALUE(H1196),0)+IFERROR(SUMIF(DB_Savings!$A:$A,A1196,DB_Savings!$F:$F),0)-IFERROR(SUMIF(DB_Withdrawals!$A:$A,A1196,DB_Withdrawals!$G:$G),0)),"")</f>
        <v/>
      </c>
      <c r="N1196" t="str">
        <f>IFERROR(IF(A1196="","",MAX(0,M1196-System_Config!$B$9)),"")</f>
        <v/>
      </c>
    </row>
    <row r="1197" spans="1:14" ht="15" customHeight="1" x14ac:dyDescent="0.25">
      <c r="A1197" t="str">
        <f>'NEW ACCOUNT'!A1198</f>
        <v/>
      </c>
      <c r="B1197" t="str">
        <f>IF('NEW ACCOUNT'!A1198="","",'NEW ACCOUNT'!B1198)</f>
        <v/>
      </c>
      <c r="C1197" t="str">
        <f>IF('NEW ACCOUNT'!A1198="","",'NEW ACCOUNT'!C1198)</f>
        <v/>
      </c>
      <c r="D1197" t="str">
        <f>IF('NEW ACCOUNT'!A1198="","",'NEW ACCOUNT'!D1198)</f>
        <v/>
      </c>
      <c r="E1197" t="str">
        <f>IF('NEW ACCOUNT'!A1198="","",'NEW ACCOUNT'!E1198)</f>
        <v/>
      </c>
      <c r="F1197" t="str">
        <f>IF('NEW ACCOUNT'!A1198="","",'NEW ACCOUNT'!F1198)</f>
        <v/>
      </c>
      <c r="G1197" t="str">
        <f>IF('NEW ACCOUNT'!A1198="","",'NEW ACCOUNT'!G1198)</f>
        <v/>
      </c>
      <c r="H1197" t="str">
        <f>IF('NEW ACCOUNT'!A1198="","",'NEW ACCOUNT'!H1198)</f>
        <v/>
      </c>
      <c r="I1197" t="str">
        <f>IF('NEW ACCOUNT'!A1198="","",'NEW ACCOUNT'!I1198)</f>
        <v/>
      </c>
      <c r="J1197" t="str">
        <f>IF('NEW ACCOUNT'!A1198="","",'NEW ACCOUNT'!J1198)</f>
        <v/>
      </c>
      <c r="K1197" t="str">
        <f>IFERROR(IF(A1197="","",SUMIF(DB_Savings!$A:$A,A1197,DB_Savings!$F:$F)),"")</f>
        <v/>
      </c>
      <c r="L1197" t="str">
        <f>IFERROR(IF(A1197="","",SUMIF(DB_Withdrawals!$A:$A,A1197,DB_Withdrawals!$G:$G)),"")</f>
        <v/>
      </c>
      <c r="M1197" t="str">
        <f>IFERROR(IF(A1197="","",IFERROR(VALUE(H1197),0)+IFERROR(SUMIF(DB_Savings!$A:$A,A1197,DB_Savings!$F:$F),0)-IFERROR(SUMIF(DB_Withdrawals!$A:$A,A1197,DB_Withdrawals!$G:$G),0)),"")</f>
        <v/>
      </c>
      <c r="N1197" t="str">
        <f>IFERROR(IF(A1197="","",MAX(0,M1197-System_Config!$B$9)),"")</f>
        <v/>
      </c>
    </row>
    <row r="1198" spans="1:14" ht="15" customHeight="1" x14ac:dyDescent="0.25">
      <c r="A1198" t="str">
        <f>'NEW ACCOUNT'!A1199</f>
        <v/>
      </c>
      <c r="B1198" t="str">
        <f>IF('NEW ACCOUNT'!A1199="","",'NEW ACCOUNT'!B1199)</f>
        <v/>
      </c>
      <c r="C1198" t="str">
        <f>IF('NEW ACCOUNT'!A1199="","",'NEW ACCOUNT'!C1199)</f>
        <v/>
      </c>
      <c r="D1198" t="str">
        <f>IF('NEW ACCOUNT'!A1199="","",'NEW ACCOUNT'!D1199)</f>
        <v/>
      </c>
      <c r="E1198" t="str">
        <f>IF('NEW ACCOUNT'!A1199="","",'NEW ACCOUNT'!E1199)</f>
        <v/>
      </c>
      <c r="F1198" t="str">
        <f>IF('NEW ACCOUNT'!A1199="","",'NEW ACCOUNT'!F1199)</f>
        <v/>
      </c>
      <c r="G1198" t="str">
        <f>IF('NEW ACCOUNT'!A1199="","",'NEW ACCOUNT'!G1199)</f>
        <v/>
      </c>
      <c r="H1198" t="str">
        <f>IF('NEW ACCOUNT'!A1199="","",'NEW ACCOUNT'!H1199)</f>
        <v/>
      </c>
      <c r="I1198" t="str">
        <f>IF('NEW ACCOUNT'!A1199="","",'NEW ACCOUNT'!I1199)</f>
        <v/>
      </c>
      <c r="J1198" t="str">
        <f>IF('NEW ACCOUNT'!A1199="","",'NEW ACCOUNT'!J1199)</f>
        <v/>
      </c>
      <c r="K1198" t="str">
        <f>IFERROR(IF(A1198="","",SUMIF(DB_Savings!$A:$A,A1198,DB_Savings!$F:$F)),"")</f>
        <v/>
      </c>
      <c r="L1198" t="str">
        <f>IFERROR(IF(A1198="","",SUMIF(DB_Withdrawals!$A:$A,A1198,DB_Withdrawals!$G:$G)),"")</f>
        <v/>
      </c>
      <c r="M1198" t="str">
        <f>IFERROR(IF(A1198="","",IFERROR(VALUE(H1198),0)+IFERROR(SUMIF(DB_Savings!$A:$A,A1198,DB_Savings!$F:$F),0)-IFERROR(SUMIF(DB_Withdrawals!$A:$A,A1198,DB_Withdrawals!$G:$G),0)),"")</f>
        <v/>
      </c>
      <c r="N1198" t="str">
        <f>IFERROR(IF(A1198="","",MAX(0,M1198-System_Config!$B$9)),"")</f>
        <v/>
      </c>
    </row>
    <row r="1199" spans="1:14" ht="15" customHeight="1" x14ac:dyDescent="0.25">
      <c r="A1199" t="str">
        <f>'NEW ACCOUNT'!A1200</f>
        <v/>
      </c>
      <c r="B1199" t="str">
        <f>IF('NEW ACCOUNT'!A1200="","",'NEW ACCOUNT'!B1200)</f>
        <v/>
      </c>
      <c r="C1199" t="str">
        <f>IF('NEW ACCOUNT'!A1200="","",'NEW ACCOUNT'!C1200)</f>
        <v/>
      </c>
      <c r="D1199" t="str">
        <f>IF('NEW ACCOUNT'!A1200="","",'NEW ACCOUNT'!D1200)</f>
        <v/>
      </c>
      <c r="E1199" t="str">
        <f>IF('NEW ACCOUNT'!A1200="","",'NEW ACCOUNT'!E1200)</f>
        <v/>
      </c>
      <c r="F1199" t="str">
        <f>IF('NEW ACCOUNT'!A1200="","",'NEW ACCOUNT'!F1200)</f>
        <v/>
      </c>
      <c r="G1199" t="str">
        <f>IF('NEW ACCOUNT'!A1200="","",'NEW ACCOUNT'!G1200)</f>
        <v/>
      </c>
      <c r="H1199" t="str">
        <f>IF('NEW ACCOUNT'!A1200="","",'NEW ACCOUNT'!H1200)</f>
        <v/>
      </c>
      <c r="I1199" t="str">
        <f>IF('NEW ACCOUNT'!A1200="","",'NEW ACCOUNT'!I1200)</f>
        <v/>
      </c>
      <c r="J1199" t="str">
        <f>IF('NEW ACCOUNT'!A1200="","",'NEW ACCOUNT'!J1200)</f>
        <v/>
      </c>
      <c r="K1199" t="str">
        <f>IFERROR(IF(A1199="","",SUMIF(DB_Savings!$A:$A,A1199,DB_Savings!$F:$F)),"")</f>
        <v/>
      </c>
      <c r="L1199" t="str">
        <f>IFERROR(IF(A1199="","",SUMIF(DB_Withdrawals!$A:$A,A1199,DB_Withdrawals!$G:$G)),"")</f>
        <v/>
      </c>
      <c r="M1199" t="str">
        <f>IFERROR(IF(A1199="","",IFERROR(VALUE(H1199),0)+IFERROR(SUMIF(DB_Savings!$A:$A,A1199,DB_Savings!$F:$F),0)-IFERROR(SUMIF(DB_Withdrawals!$A:$A,A1199,DB_Withdrawals!$G:$G),0)),"")</f>
        <v/>
      </c>
      <c r="N1199" t="str">
        <f>IFERROR(IF(A1199="","",MAX(0,M1199-System_Config!$B$9)),"")</f>
        <v/>
      </c>
    </row>
    <row r="1200" spans="1:14" ht="15" customHeight="1" x14ac:dyDescent="0.25">
      <c r="A1200" t="str">
        <f>'NEW ACCOUNT'!A1201</f>
        <v/>
      </c>
      <c r="B1200" t="str">
        <f>IF('NEW ACCOUNT'!A1201="","",'NEW ACCOUNT'!B1201)</f>
        <v/>
      </c>
      <c r="C1200" t="str">
        <f>IF('NEW ACCOUNT'!A1201="","",'NEW ACCOUNT'!C1201)</f>
        <v/>
      </c>
      <c r="D1200" t="str">
        <f>IF('NEW ACCOUNT'!A1201="","",'NEW ACCOUNT'!D1201)</f>
        <v/>
      </c>
      <c r="E1200" t="str">
        <f>IF('NEW ACCOUNT'!A1201="","",'NEW ACCOUNT'!E1201)</f>
        <v/>
      </c>
      <c r="F1200" t="str">
        <f>IF('NEW ACCOUNT'!A1201="","",'NEW ACCOUNT'!F1201)</f>
        <v/>
      </c>
      <c r="G1200" t="str">
        <f>IF('NEW ACCOUNT'!A1201="","",'NEW ACCOUNT'!G1201)</f>
        <v/>
      </c>
      <c r="H1200" t="str">
        <f>IF('NEW ACCOUNT'!A1201="","",'NEW ACCOUNT'!H1201)</f>
        <v/>
      </c>
      <c r="I1200" t="str">
        <f>IF('NEW ACCOUNT'!A1201="","",'NEW ACCOUNT'!I1201)</f>
        <v/>
      </c>
      <c r="J1200" t="str">
        <f>IF('NEW ACCOUNT'!A1201="","",'NEW ACCOUNT'!J1201)</f>
        <v/>
      </c>
      <c r="K1200" t="str">
        <f>IFERROR(IF(A1200="","",SUMIF(DB_Savings!$A:$A,A1200,DB_Savings!$F:$F)),"")</f>
        <v/>
      </c>
      <c r="L1200" t="str">
        <f>IFERROR(IF(A1200="","",SUMIF(DB_Withdrawals!$A:$A,A1200,DB_Withdrawals!$G:$G)),"")</f>
        <v/>
      </c>
      <c r="M1200" t="str">
        <f>IFERROR(IF(A1200="","",IFERROR(VALUE(H1200),0)+IFERROR(SUMIF(DB_Savings!$A:$A,A1200,DB_Savings!$F:$F),0)-IFERROR(SUMIF(DB_Withdrawals!$A:$A,A1200,DB_Withdrawals!$G:$G),0)),"")</f>
        <v/>
      </c>
      <c r="N1200" t="str">
        <f>IFERROR(IF(A1200="","",MAX(0,M1200-System_Config!$B$9)),"")</f>
        <v/>
      </c>
    </row>
    <row r="1201" spans="1:14" ht="15" customHeight="1" x14ac:dyDescent="0.25">
      <c r="A1201" t="str">
        <f>'NEW ACCOUNT'!A1202</f>
        <v/>
      </c>
      <c r="B1201" t="str">
        <f>IF('NEW ACCOUNT'!A1202="","",'NEW ACCOUNT'!B1202)</f>
        <v/>
      </c>
      <c r="C1201" t="str">
        <f>IF('NEW ACCOUNT'!A1202="","",'NEW ACCOUNT'!C1202)</f>
        <v/>
      </c>
      <c r="D1201" t="str">
        <f>IF('NEW ACCOUNT'!A1202="","",'NEW ACCOUNT'!D1202)</f>
        <v/>
      </c>
      <c r="E1201" t="str">
        <f>IF('NEW ACCOUNT'!A1202="","",'NEW ACCOUNT'!E1202)</f>
        <v/>
      </c>
      <c r="F1201" t="str">
        <f>IF('NEW ACCOUNT'!A1202="","",'NEW ACCOUNT'!F1202)</f>
        <v/>
      </c>
      <c r="G1201" t="str">
        <f>IF('NEW ACCOUNT'!A1202="","",'NEW ACCOUNT'!G1202)</f>
        <v/>
      </c>
      <c r="H1201" t="str">
        <f>IF('NEW ACCOUNT'!A1202="","",'NEW ACCOUNT'!H1202)</f>
        <v/>
      </c>
      <c r="I1201" t="str">
        <f>IF('NEW ACCOUNT'!A1202="","",'NEW ACCOUNT'!I1202)</f>
        <v/>
      </c>
      <c r="J1201" t="str">
        <f>IF('NEW ACCOUNT'!A1202="","",'NEW ACCOUNT'!J1202)</f>
        <v/>
      </c>
      <c r="K1201" t="str">
        <f>IFERROR(IF(A1201="","",SUMIF(DB_Savings!$A:$A,A1201,DB_Savings!$F:$F)),"")</f>
        <v/>
      </c>
      <c r="L1201" t="str">
        <f>IFERROR(IF(A1201="","",SUMIF(DB_Withdrawals!$A:$A,A1201,DB_Withdrawals!$G:$G)),"")</f>
        <v/>
      </c>
      <c r="M1201" t="str">
        <f>IFERROR(IF(A1201="","",IFERROR(VALUE(H1201),0)+IFERROR(SUMIF(DB_Savings!$A:$A,A1201,DB_Savings!$F:$F),0)-IFERROR(SUMIF(DB_Withdrawals!$A:$A,A1201,DB_Withdrawals!$G:$G),0)),"")</f>
        <v/>
      </c>
      <c r="N1201" t="str">
        <f>IFERROR(IF(A1201="","",MAX(0,M1201-System_Config!$B$9)),"")</f>
        <v/>
      </c>
    </row>
    <row r="1202" spans="1:14" ht="15" customHeight="1" x14ac:dyDescent="0.25">
      <c r="A1202" t="str">
        <f>'NEW ACCOUNT'!A1203</f>
        <v/>
      </c>
      <c r="B1202" t="str">
        <f>IF('NEW ACCOUNT'!A1203="","",'NEW ACCOUNT'!B1203)</f>
        <v/>
      </c>
      <c r="C1202" t="str">
        <f>IF('NEW ACCOUNT'!A1203="","",'NEW ACCOUNT'!C1203)</f>
        <v/>
      </c>
      <c r="D1202" t="str">
        <f>IF('NEW ACCOUNT'!A1203="","",'NEW ACCOUNT'!D1203)</f>
        <v/>
      </c>
      <c r="E1202" t="str">
        <f>IF('NEW ACCOUNT'!A1203="","",'NEW ACCOUNT'!E1203)</f>
        <v/>
      </c>
      <c r="F1202" t="str">
        <f>IF('NEW ACCOUNT'!A1203="","",'NEW ACCOUNT'!F1203)</f>
        <v/>
      </c>
      <c r="G1202" t="str">
        <f>IF('NEW ACCOUNT'!A1203="","",'NEW ACCOUNT'!G1203)</f>
        <v/>
      </c>
      <c r="H1202" t="str">
        <f>IF('NEW ACCOUNT'!A1203="","",'NEW ACCOUNT'!H1203)</f>
        <v/>
      </c>
      <c r="I1202" t="str">
        <f>IF('NEW ACCOUNT'!A1203="","",'NEW ACCOUNT'!I1203)</f>
        <v/>
      </c>
      <c r="J1202" t="str">
        <f>IF('NEW ACCOUNT'!A1203="","",'NEW ACCOUNT'!J1203)</f>
        <v/>
      </c>
      <c r="K1202" t="str">
        <f>IFERROR(IF(A1202="","",SUMIF(DB_Savings!$A:$A,A1202,DB_Savings!$F:$F)),"")</f>
        <v/>
      </c>
      <c r="L1202" t="str">
        <f>IFERROR(IF(A1202="","",SUMIF(DB_Withdrawals!$A:$A,A1202,DB_Withdrawals!$G:$G)),"")</f>
        <v/>
      </c>
      <c r="M1202" t="str">
        <f>IFERROR(IF(A1202="","",IFERROR(VALUE(H1202),0)+IFERROR(SUMIF(DB_Savings!$A:$A,A1202,DB_Savings!$F:$F),0)-IFERROR(SUMIF(DB_Withdrawals!$A:$A,A1202,DB_Withdrawals!$G:$G),0)),"")</f>
        <v/>
      </c>
      <c r="N1202" t="str">
        <f>IFERROR(IF(A1202="","",MAX(0,M1202-System_Config!$B$9)),"")</f>
        <v/>
      </c>
    </row>
    <row r="1203" spans="1:14" ht="15" customHeight="1" x14ac:dyDescent="0.25">
      <c r="A1203" t="str">
        <f>'NEW ACCOUNT'!A1204</f>
        <v/>
      </c>
      <c r="B1203" t="str">
        <f>IF('NEW ACCOUNT'!A1204="","",'NEW ACCOUNT'!B1204)</f>
        <v/>
      </c>
      <c r="C1203" t="str">
        <f>IF('NEW ACCOUNT'!A1204="","",'NEW ACCOUNT'!C1204)</f>
        <v/>
      </c>
      <c r="D1203" t="str">
        <f>IF('NEW ACCOUNT'!A1204="","",'NEW ACCOUNT'!D1204)</f>
        <v/>
      </c>
      <c r="E1203" t="str">
        <f>IF('NEW ACCOUNT'!A1204="","",'NEW ACCOUNT'!E1204)</f>
        <v/>
      </c>
      <c r="F1203" t="str">
        <f>IF('NEW ACCOUNT'!A1204="","",'NEW ACCOUNT'!F1204)</f>
        <v/>
      </c>
      <c r="G1203" t="str">
        <f>IF('NEW ACCOUNT'!A1204="","",'NEW ACCOUNT'!G1204)</f>
        <v/>
      </c>
      <c r="H1203" t="str">
        <f>IF('NEW ACCOUNT'!A1204="","",'NEW ACCOUNT'!H1204)</f>
        <v/>
      </c>
      <c r="I1203" t="str">
        <f>IF('NEW ACCOUNT'!A1204="","",'NEW ACCOUNT'!I1204)</f>
        <v/>
      </c>
      <c r="J1203" t="str">
        <f>IF('NEW ACCOUNT'!A1204="","",'NEW ACCOUNT'!J1204)</f>
        <v/>
      </c>
      <c r="K1203" t="str">
        <f>IFERROR(IF(A1203="","",SUMIF(DB_Savings!$A:$A,A1203,DB_Savings!$F:$F)),"")</f>
        <v/>
      </c>
      <c r="L1203" t="str">
        <f>IFERROR(IF(A1203="","",SUMIF(DB_Withdrawals!$A:$A,A1203,DB_Withdrawals!$G:$G)),"")</f>
        <v/>
      </c>
      <c r="M1203" t="str">
        <f>IFERROR(IF(A1203="","",IFERROR(VALUE(H1203),0)+IFERROR(SUMIF(DB_Savings!$A:$A,A1203,DB_Savings!$F:$F),0)-IFERROR(SUMIF(DB_Withdrawals!$A:$A,A1203,DB_Withdrawals!$G:$G),0)),"")</f>
        <v/>
      </c>
      <c r="N1203" t="str">
        <f>IFERROR(IF(A1203="","",MAX(0,M1203-System_Config!$B$9)),"")</f>
        <v/>
      </c>
    </row>
    <row r="1204" spans="1:14" ht="15" customHeight="1" x14ac:dyDescent="0.25">
      <c r="A1204" t="str">
        <f>'NEW ACCOUNT'!A1205</f>
        <v/>
      </c>
      <c r="B1204" t="str">
        <f>IF('NEW ACCOUNT'!A1205="","",'NEW ACCOUNT'!B1205)</f>
        <v/>
      </c>
      <c r="C1204" t="str">
        <f>IF('NEW ACCOUNT'!A1205="","",'NEW ACCOUNT'!C1205)</f>
        <v/>
      </c>
      <c r="D1204" t="str">
        <f>IF('NEW ACCOUNT'!A1205="","",'NEW ACCOUNT'!D1205)</f>
        <v/>
      </c>
      <c r="E1204" t="str">
        <f>IF('NEW ACCOUNT'!A1205="","",'NEW ACCOUNT'!E1205)</f>
        <v/>
      </c>
      <c r="F1204" t="str">
        <f>IF('NEW ACCOUNT'!A1205="","",'NEW ACCOUNT'!F1205)</f>
        <v/>
      </c>
      <c r="G1204" t="str">
        <f>IF('NEW ACCOUNT'!A1205="","",'NEW ACCOUNT'!G1205)</f>
        <v/>
      </c>
      <c r="H1204" t="str">
        <f>IF('NEW ACCOUNT'!A1205="","",'NEW ACCOUNT'!H1205)</f>
        <v/>
      </c>
      <c r="I1204" t="str">
        <f>IF('NEW ACCOUNT'!A1205="","",'NEW ACCOUNT'!I1205)</f>
        <v/>
      </c>
      <c r="J1204" t="str">
        <f>IF('NEW ACCOUNT'!A1205="","",'NEW ACCOUNT'!J1205)</f>
        <v/>
      </c>
      <c r="K1204" t="str">
        <f>IFERROR(IF(A1204="","",SUMIF(DB_Savings!$A:$A,A1204,DB_Savings!$F:$F)),"")</f>
        <v/>
      </c>
      <c r="L1204" t="str">
        <f>IFERROR(IF(A1204="","",SUMIF(DB_Withdrawals!$A:$A,A1204,DB_Withdrawals!$G:$G)),"")</f>
        <v/>
      </c>
      <c r="M1204" t="str">
        <f>IFERROR(IF(A1204="","",IFERROR(VALUE(H1204),0)+IFERROR(SUMIF(DB_Savings!$A:$A,A1204,DB_Savings!$F:$F),0)-IFERROR(SUMIF(DB_Withdrawals!$A:$A,A1204,DB_Withdrawals!$G:$G),0)),"")</f>
        <v/>
      </c>
      <c r="N1204" t="str">
        <f>IFERROR(IF(A1204="","",MAX(0,M1204-System_Config!$B$9)),"")</f>
        <v/>
      </c>
    </row>
    <row r="1205" spans="1:14" ht="15" customHeight="1" x14ac:dyDescent="0.25">
      <c r="A1205" t="str">
        <f>'NEW ACCOUNT'!A1206</f>
        <v/>
      </c>
      <c r="B1205" t="str">
        <f>IF('NEW ACCOUNT'!A1206="","",'NEW ACCOUNT'!B1206)</f>
        <v/>
      </c>
      <c r="C1205" t="str">
        <f>IF('NEW ACCOUNT'!A1206="","",'NEW ACCOUNT'!C1206)</f>
        <v/>
      </c>
      <c r="D1205" t="str">
        <f>IF('NEW ACCOUNT'!A1206="","",'NEW ACCOUNT'!D1206)</f>
        <v/>
      </c>
      <c r="E1205" t="str">
        <f>IF('NEW ACCOUNT'!A1206="","",'NEW ACCOUNT'!E1206)</f>
        <v/>
      </c>
      <c r="F1205" t="str">
        <f>IF('NEW ACCOUNT'!A1206="","",'NEW ACCOUNT'!F1206)</f>
        <v/>
      </c>
      <c r="G1205" t="str">
        <f>IF('NEW ACCOUNT'!A1206="","",'NEW ACCOUNT'!G1206)</f>
        <v/>
      </c>
      <c r="H1205" t="str">
        <f>IF('NEW ACCOUNT'!A1206="","",'NEW ACCOUNT'!H1206)</f>
        <v/>
      </c>
      <c r="I1205" t="str">
        <f>IF('NEW ACCOUNT'!A1206="","",'NEW ACCOUNT'!I1206)</f>
        <v/>
      </c>
      <c r="J1205" t="str">
        <f>IF('NEW ACCOUNT'!A1206="","",'NEW ACCOUNT'!J1206)</f>
        <v/>
      </c>
      <c r="K1205" t="str">
        <f>IFERROR(IF(A1205="","",SUMIF(DB_Savings!$A:$A,A1205,DB_Savings!$F:$F)),"")</f>
        <v/>
      </c>
      <c r="L1205" t="str">
        <f>IFERROR(IF(A1205="","",SUMIF(DB_Withdrawals!$A:$A,A1205,DB_Withdrawals!$G:$G)),"")</f>
        <v/>
      </c>
      <c r="M1205" t="str">
        <f>IFERROR(IF(A1205="","",IFERROR(VALUE(H1205),0)+IFERROR(SUMIF(DB_Savings!$A:$A,A1205,DB_Savings!$F:$F),0)-IFERROR(SUMIF(DB_Withdrawals!$A:$A,A1205,DB_Withdrawals!$G:$G),0)),"")</f>
        <v/>
      </c>
      <c r="N1205" t="str">
        <f>IFERROR(IF(A1205="","",MAX(0,M1205-System_Config!$B$9)),"")</f>
        <v/>
      </c>
    </row>
    <row r="1206" spans="1:14" ht="15" customHeight="1" x14ac:dyDescent="0.25">
      <c r="A1206" t="str">
        <f>'NEW ACCOUNT'!A1207</f>
        <v/>
      </c>
      <c r="B1206" t="str">
        <f>IF('NEW ACCOUNT'!A1207="","",'NEW ACCOUNT'!B1207)</f>
        <v/>
      </c>
      <c r="C1206" t="str">
        <f>IF('NEW ACCOUNT'!A1207="","",'NEW ACCOUNT'!C1207)</f>
        <v/>
      </c>
      <c r="D1206" t="str">
        <f>IF('NEW ACCOUNT'!A1207="","",'NEW ACCOUNT'!D1207)</f>
        <v/>
      </c>
      <c r="E1206" t="str">
        <f>IF('NEW ACCOUNT'!A1207="","",'NEW ACCOUNT'!E1207)</f>
        <v/>
      </c>
      <c r="F1206" t="str">
        <f>IF('NEW ACCOUNT'!A1207="","",'NEW ACCOUNT'!F1207)</f>
        <v/>
      </c>
      <c r="G1206" t="str">
        <f>IF('NEW ACCOUNT'!A1207="","",'NEW ACCOUNT'!G1207)</f>
        <v/>
      </c>
      <c r="H1206" t="str">
        <f>IF('NEW ACCOUNT'!A1207="","",'NEW ACCOUNT'!H1207)</f>
        <v/>
      </c>
      <c r="I1206" t="str">
        <f>IF('NEW ACCOUNT'!A1207="","",'NEW ACCOUNT'!I1207)</f>
        <v/>
      </c>
      <c r="J1206" t="str">
        <f>IF('NEW ACCOUNT'!A1207="","",'NEW ACCOUNT'!J1207)</f>
        <v/>
      </c>
      <c r="K1206" t="str">
        <f>IFERROR(IF(A1206="","",SUMIF(DB_Savings!$A:$A,A1206,DB_Savings!$F:$F)),"")</f>
        <v/>
      </c>
      <c r="L1206" t="str">
        <f>IFERROR(IF(A1206="","",SUMIF(DB_Withdrawals!$A:$A,A1206,DB_Withdrawals!$G:$G)),"")</f>
        <v/>
      </c>
      <c r="M1206" t="str">
        <f>IFERROR(IF(A1206="","",IFERROR(VALUE(H1206),0)+IFERROR(SUMIF(DB_Savings!$A:$A,A1206,DB_Savings!$F:$F),0)-IFERROR(SUMIF(DB_Withdrawals!$A:$A,A1206,DB_Withdrawals!$G:$G),0)),"")</f>
        <v/>
      </c>
      <c r="N1206" t="str">
        <f>IFERROR(IF(A1206="","",MAX(0,M1206-System_Config!$B$9)),"")</f>
        <v/>
      </c>
    </row>
    <row r="1207" spans="1:14" ht="15" customHeight="1" x14ac:dyDescent="0.25">
      <c r="A1207" t="str">
        <f>'NEW ACCOUNT'!A1208</f>
        <v/>
      </c>
      <c r="B1207" t="str">
        <f>IF('NEW ACCOUNT'!A1208="","",'NEW ACCOUNT'!B1208)</f>
        <v/>
      </c>
      <c r="C1207" t="str">
        <f>IF('NEW ACCOUNT'!A1208="","",'NEW ACCOUNT'!C1208)</f>
        <v/>
      </c>
      <c r="D1207" t="str">
        <f>IF('NEW ACCOUNT'!A1208="","",'NEW ACCOUNT'!D1208)</f>
        <v/>
      </c>
      <c r="E1207" t="str">
        <f>IF('NEW ACCOUNT'!A1208="","",'NEW ACCOUNT'!E1208)</f>
        <v/>
      </c>
      <c r="F1207" t="str">
        <f>IF('NEW ACCOUNT'!A1208="","",'NEW ACCOUNT'!F1208)</f>
        <v/>
      </c>
      <c r="G1207" t="str">
        <f>IF('NEW ACCOUNT'!A1208="","",'NEW ACCOUNT'!G1208)</f>
        <v/>
      </c>
      <c r="H1207" t="str">
        <f>IF('NEW ACCOUNT'!A1208="","",'NEW ACCOUNT'!H1208)</f>
        <v/>
      </c>
      <c r="I1207" t="str">
        <f>IF('NEW ACCOUNT'!A1208="","",'NEW ACCOUNT'!I1208)</f>
        <v/>
      </c>
      <c r="J1207" t="str">
        <f>IF('NEW ACCOUNT'!A1208="","",'NEW ACCOUNT'!J1208)</f>
        <v/>
      </c>
      <c r="K1207" t="str">
        <f>IFERROR(IF(A1207="","",SUMIF(DB_Savings!$A:$A,A1207,DB_Savings!$F:$F)),"")</f>
        <v/>
      </c>
      <c r="L1207" t="str">
        <f>IFERROR(IF(A1207="","",SUMIF(DB_Withdrawals!$A:$A,A1207,DB_Withdrawals!$G:$G)),"")</f>
        <v/>
      </c>
      <c r="M1207" t="str">
        <f>IFERROR(IF(A1207="","",IFERROR(VALUE(H1207),0)+IFERROR(SUMIF(DB_Savings!$A:$A,A1207,DB_Savings!$F:$F),0)-IFERROR(SUMIF(DB_Withdrawals!$A:$A,A1207,DB_Withdrawals!$G:$G),0)),"")</f>
        <v/>
      </c>
      <c r="N1207" t="str">
        <f>IFERROR(IF(A1207="","",MAX(0,M1207-System_Config!$B$9)),"")</f>
        <v/>
      </c>
    </row>
    <row r="1208" spans="1:14" ht="15" customHeight="1" x14ac:dyDescent="0.25">
      <c r="A1208" t="str">
        <f>'NEW ACCOUNT'!A1209</f>
        <v/>
      </c>
      <c r="B1208" t="str">
        <f>IF('NEW ACCOUNT'!A1209="","",'NEW ACCOUNT'!B1209)</f>
        <v/>
      </c>
      <c r="C1208" t="str">
        <f>IF('NEW ACCOUNT'!A1209="","",'NEW ACCOUNT'!C1209)</f>
        <v/>
      </c>
      <c r="D1208" t="str">
        <f>IF('NEW ACCOUNT'!A1209="","",'NEW ACCOUNT'!D1209)</f>
        <v/>
      </c>
      <c r="E1208" t="str">
        <f>IF('NEW ACCOUNT'!A1209="","",'NEW ACCOUNT'!E1209)</f>
        <v/>
      </c>
      <c r="F1208" t="str">
        <f>IF('NEW ACCOUNT'!A1209="","",'NEW ACCOUNT'!F1209)</f>
        <v/>
      </c>
      <c r="G1208" t="str">
        <f>IF('NEW ACCOUNT'!A1209="","",'NEW ACCOUNT'!G1209)</f>
        <v/>
      </c>
      <c r="H1208" t="str">
        <f>IF('NEW ACCOUNT'!A1209="","",'NEW ACCOUNT'!H1209)</f>
        <v/>
      </c>
      <c r="I1208" t="str">
        <f>IF('NEW ACCOUNT'!A1209="","",'NEW ACCOUNT'!I1209)</f>
        <v/>
      </c>
      <c r="J1208" t="str">
        <f>IF('NEW ACCOUNT'!A1209="","",'NEW ACCOUNT'!J1209)</f>
        <v/>
      </c>
      <c r="K1208" t="str">
        <f>IFERROR(IF(A1208="","",SUMIF(DB_Savings!$A:$A,A1208,DB_Savings!$F:$F)),"")</f>
        <v/>
      </c>
      <c r="L1208" t="str">
        <f>IFERROR(IF(A1208="","",SUMIF(DB_Withdrawals!$A:$A,A1208,DB_Withdrawals!$G:$G)),"")</f>
        <v/>
      </c>
      <c r="M1208" t="str">
        <f>IFERROR(IF(A1208="","",IFERROR(VALUE(H1208),0)+IFERROR(SUMIF(DB_Savings!$A:$A,A1208,DB_Savings!$F:$F),0)-IFERROR(SUMIF(DB_Withdrawals!$A:$A,A1208,DB_Withdrawals!$G:$G),0)),"")</f>
        <v/>
      </c>
      <c r="N1208" t="str">
        <f>IFERROR(IF(A1208="","",MAX(0,M1208-System_Config!$B$9)),"")</f>
        <v/>
      </c>
    </row>
    <row r="1209" spans="1:14" ht="15" customHeight="1" x14ac:dyDescent="0.25">
      <c r="A1209" t="str">
        <f>'NEW ACCOUNT'!A1210</f>
        <v/>
      </c>
      <c r="B1209" t="str">
        <f>IF('NEW ACCOUNT'!A1210="","",'NEW ACCOUNT'!B1210)</f>
        <v/>
      </c>
      <c r="C1209" t="str">
        <f>IF('NEW ACCOUNT'!A1210="","",'NEW ACCOUNT'!C1210)</f>
        <v/>
      </c>
      <c r="D1209" t="str">
        <f>IF('NEW ACCOUNT'!A1210="","",'NEW ACCOUNT'!D1210)</f>
        <v/>
      </c>
      <c r="E1209" t="str">
        <f>IF('NEW ACCOUNT'!A1210="","",'NEW ACCOUNT'!E1210)</f>
        <v/>
      </c>
      <c r="F1209" t="str">
        <f>IF('NEW ACCOUNT'!A1210="","",'NEW ACCOUNT'!F1210)</f>
        <v/>
      </c>
      <c r="G1209" t="str">
        <f>IF('NEW ACCOUNT'!A1210="","",'NEW ACCOUNT'!G1210)</f>
        <v/>
      </c>
      <c r="H1209" t="str">
        <f>IF('NEW ACCOUNT'!A1210="","",'NEW ACCOUNT'!H1210)</f>
        <v/>
      </c>
      <c r="I1209" t="str">
        <f>IF('NEW ACCOUNT'!A1210="","",'NEW ACCOUNT'!I1210)</f>
        <v/>
      </c>
      <c r="J1209" t="str">
        <f>IF('NEW ACCOUNT'!A1210="","",'NEW ACCOUNT'!J1210)</f>
        <v/>
      </c>
      <c r="K1209" t="str">
        <f>IFERROR(IF(A1209="","",SUMIF(DB_Savings!$A:$A,A1209,DB_Savings!$F:$F)),"")</f>
        <v/>
      </c>
      <c r="L1209" t="str">
        <f>IFERROR(IF(A1209="","",SUMIF(DB_Withdrawals!$A:$A,A1209,DB_Withdrawals!$G:$G)),"")</f>
        <v/>
      </c>
      <c r="M1209" t="str">
        <f>IFERROR(IF(A1209="","",IFERROR(VALUE(H1209),0)+IFERROR(SUMIF(DB_Savings!$A:$A,A1209,DB_Savings!$F:$F),0)-IFERROR(SUMIF(DB_Withdrawals!$A:$A,A1209,DB_Withdrawals!$G:$G),0)),"")</f>
        <v/>
      </c>
      <c r="N1209" t="str">
        <f>IFERROR(IF(A1209="","",MAX(0,M1209-System_Config!$B$9)),"")</f>
        <v/>
      </c>
    </row>
    <row r="1210" spans="1:14" ht="15" customHeight="1" x14ac:dyDescent="0.25">
      <c r="A1210" t="str">
        <f>'NEW ACCOUNT'!A1211</f>
        <v/>
      </c>
      <c r="B1210" t="str">
        <f>IF('NEW ACCOUNT'!A1211="","",'NEW ACCOUNT'!B1211)</f>
        <v/>
      </c>
      <c r="C1210" t="str">
        <f>IF('NEW ACCOUNT'!A1211="","",'NEW ACCOUNT'!C1211)</f>
        <v/>
      </c>
      <c r="D1210" t="str">
        <f>IF('NEW ACCOUNT'!A1211="","",'NEW ACCOUNT'!D1211)</f>
        <v/>
      </c>
      <c r="E1210" t="str">
        <f>IF('NEW ACCOUNT'!A1211="","",'NEW ACCOUNT'!E1211)</f>
        <v/>
      </c>
      <c r="F1210" t="str">
        <f>IF('NEW ACCOUNT'!A1211="","",'NEW ACCOUNT'!F1211)</f>
        <v/>
      </c>
      <c r="G1210" t="str">
        <f>IF('NEW ACCOUNT'!A1211="","",'NEW ACCOUNT'!G1211)</f>
        <v/>
      </c>
      <c r="H1210" t="str">
        <f>IF('NEW ACCOUNT'!A1211="","",'NEW ACCOUNT'!H1211)</f>
        <v/>
      </c>
      <c r="I1210" t="str">
        <f>IF('NEW ACCOUNT'!A1211="","",'NEW ACCOUNT'!I1211)</f>
        <v/>
      </c>
      <c r="J1210" t="str">
        <f>IF('NEW ACCOUNT'!A1211="","",'NEW ACCOUNT'!J1211)</f>
        <v/>
      </c>
      <c r="K1210" t="str">
        <f>IFERROR(IF(A1210="","",SUMIF(DB_Savings!$A:$A,A1210,DB_Savings!$F:$F)),"")</f>
        <v/>
      </c>
      <c r="L1210" t="str">
        <f>IFERROR(IF(A1210="","",SUMIF(DB_Withdrawals!$A:$A,A1210,DB_Withdrawals!$G:$G)),"")</f>
        <v/>
      </c>
      <c r="M1210" t="str">
        <f>IFERROR(IF(A1210="","",IFERROR(VALUE(H1210),0)+IFERROR(SUMIF(DB_Savings!$A:$A,A1210,DB_Savings!$F:$F),0)-IFERROR(SUMIF(DB_Withdrawals!$A:$A,A1210,DB_Withdrawals!$G:$G),0)),"")</f>
        <v/>
      </c>
      <c r="N1210" t="str">
        <f>IFERROR(IF(A1210="","",MAX(0,M1210-System_Config!$B$9)),"")</f>
        <v/>
      </c>
    </row>
    <row r="1211" spans="1:14" ht="15" customHeight="1" x14ac:dyDescent="0.25">
      <c r="A1211" t="str">
        <f>'NEW ACCOUNT'!A1212</f>
        <v/>
      </c>
      <c r="B1211" t="str">
        <f>IF('NEW ACCOUNT'!A1212="","",'NEW ACCOUNT'!B1212)</f>
        <v/>
      </c>
      <c r="C1211" t="str">
        <f>IF('NEW ACCOUNT'!A1212="","",'NEW ACCOUNT'!C1212)</f>
        <v/>
      </c>
      <c r="D1211" t="str">
        <f>IF('NEW ACCOUNT'!A1212="","",'NEW ACCOUNT'!D1212)</f>
        <v/>
      </c>
      <c r="E1211" t="str">
        <f>IF('NEW ACCOUNT'!A1212="","",'NEW ACCOUNT'!E1212)</f>
        <v/>
      </c>
      <c r="F1211" t="str">
        <f>IF('NEW ACCOUNT'!A1212="","",'NEW ACCOUNT'!F1212)</f>
        <v/>
      </c>
      <c r="G1211" t="str">
        <f>IF('NEW ACCOUNT'!A1212="","",'NEW ACCOUNT'!G1212)</f>
        <v/>
      </c>
      <c r="H1211" t="str">
        <f>IF('NEW ACCOUNT'!A1212="","",'NEW ACCOUNT'!H1212)</f>
        <v/>
      </c>
      <c r="I1211" t="str">
        <f>IF('NEW ACCOUNT'!A1212="","",'NEW ACCOUNT'!I1212)</f>
        <v/>
      </c>
      <c r="J1211" t="str">
        <f>IF('NEW ACCOUNT'!A1212="","",'NEW ACCOUNT'!J1212)</f>
        <v/>
      </c>
      <c r="K1211" t="str">
        <f>IFERROR(IF(A1211="","",SUMIF(DB_Savings!$A:$A,A1211,DB_Savings!$F:$F)),"")</f>
        <v/>
      </c>
      <c r="L1211" t="str">
        <f>IFERROR(IF(A1211="","",SUMIF(DB_Withdrawals!$A:$A,A1211,DB_Withdrawals!$G:$G)),"")</f>
        <v/>
      </c>
      <c r="M1211" t="str">
        <f>IFERROR(IF(A1211="","",IFERROR(VALUE(H1211),0)+IFERROR(SUMIF(DB_Savings!$A:$A,A1211,DB_Savings!$F:$F),0)-IFERROR(SUMIF(DB_Withdrawals!$A:$A,A1211,DB_Withdrawals!$G:$G),0)),"")</f>
        <v/>
      </c>
      <c r="N1211" t="str">
        <f>IFERROR(IF(A1211="","",MAX(0,M1211-System_Config!$B$9)),"")</f>
        <v/>
      </c>
    </row>
    <row r="1212" spans="1:14" ht="15" customHeight="1" x14ac:dyDescent="0.25">
      <c r="A1212" t="str">
        <f>'NEW ACCOUNT'!A1213</f>
        <v/>
      </c>
      <c r="B1212" t="str">
        <f>IF('NEW ACCOUNT'!A1213="","",'NEW ACCOUNT'!B1213)</f>
        <v/>
      </c>
      <c r="C1212" t="str">
        <f>IF('NEW ACCOUNT'!A1213="","",'NEW ACCOUNT'!C1213)</f>
        <v/>
      </c>
      <c r="D1212" t="str">
        <f>IF('NEW ACCOUNT'!A1213="","",'NEW ACCOUNT'!D1213)</f>
        <v/>
      </c>
      <c r="E1212" t="str">
        <f>IF('NEW ACCOUNT'!A1213="","",'NEW ACCOUNT'!E1213)</f>
        <v/>
      </c>
      <c r="F1212" t="str">
        <f>IF('NEW ACCOUNT'!A1213="","",'NEW ACCOUNT'!F1213)</f>
        <v/>
      </c>
      <c r="G1212" t="str">
        <f>IF('NEW ACCOUNT'!A1213="","",'NEW ACCOUNT'!G1213)</f>
        <v/>
      </c>
      <c r="H1212" t="str">
        <f>IF('NEW ACCOUNT'!A1213="","",'NEW ACCOUNT'!H1213)</f>
        <v/>
      </c>
      <c r="I1212" t="str">
        <f>IF('NEW ACCOUNT'!A1213="","",'NEW ACCOUNT'!I1213)</f>
        <v/>
      </c>
      <c r="J1212" t="str">
        <f>IF('NEW ACCOUNT'!A1213="","",'NEW ACCOUNT'!J1213)</f>
        <v/>
      </c>
      <c r="K1212" t="str">
        <f>IFERROR(IF(A1212="","",SUMIF(DB_Savings!$A:$A,A1212,DB_Savings!$F:$F)),"")</f>
        <v/>
      </c>
      <c r="L1212" t="str">
        <f>IFERROR(IF(A1212="","",SUMIF(DB_Withdrawals!$A:$A,A1212,DB_Withdrawals!$G:$G)),"")</f>
        <v/>
      </c>
      <c r="M1212" t="str">
        <f>IFERROR(IF(A1212="","",IFERROR(VALUE(H1212),0)+IFERROR(SUMIF(DB_Savings!$A:$A,A1212,DB_Savings!$F:$F),0)-IFERROR(SUMIF(DB_Withdrawals!$A:$A,A1212,DB_Withdrawals!$G:$G),0)),"")</f>
        <v/>
      </c>
      <c r="N1212" t="str">
        <f>IFERROR(IF(A1212="","",MAX(0,M1212-System_Config!$B$9)),"")</f>
        <v/>
      </c>
    </row>
    <row r="1213" spans="1:14" ht="15" customHeight="1" x14ac:dyDescent="0.25">
      <c r="A1213" t="str">
        <f>'NEW ACCOUNT'!A1214</f>
        <v/>
      </c>
      <c r="B1213" t="str">
        <f>IF('NEW ACCOUNT'!A1214="","",'NEW ACCOUNT'!B1214)</f>
        <v/>
      </c>
      <c r="C1213" t="str">
        <f>IF('NEW ACCOUNT'!A1214="","",'NEW ACCOUNT'!C1214)</f>
        <v/>
      </c>
      <c r="D1213" t="str">
        <f>IF('NEW ACCOUNT'!A1214="","",'NEW ACCOUNT'!D1214)</f>
        <v/>
      </c>
      <c r="E1213" t="str">
        <f>IF('NEW ACCOUNT'!A1214="","",'NEW ACCOUNT'!E1214)</f>
        <v/>
      </c>
      <c r="F1213" t="str">
        <f>IF('NEW ACCOUNT'!A1214="","",'NEW ACCOUNT'!F1214)</f>
        <v/>
      </c>
      <c r="G1213" t="str">
        <f>IF('NEW ACCOUNT'!A1214="","",'NEW ACCOUNT'!G1214)</f>
        <v/>
      </c>
      <c r="H1213" t="str">
        <f>IF('NEW ACCOUNT'!A1214="","",'NEW ACCOUNT'!H1214)</f>
        <v/>
      </c>
      <c r="I1213" t="str">
        <f>IF('NEW ACCOUNT'!A1214="","",'NEW ACCOUNT'!I1214)</f>
        <v/>
      </c>
      <c r="J1213" t="str">
        <f>IF('NEW ACCOUNT'!A1214="","",'NEW ACCOUNT'!J1214)</f>
        <v/>
      </c>
      <c r="K1213" t="str">
        <f>IFERROR(IF(A1213="","",SUMIF(DB_Savings!$A:$A,A1213,DB_Savings!$F:$F)),"")</f>
        <v/>
      </c>
      <c r="L1213" t="str">
        <f>IFERROR(IF(A1213="","",SUMIF(DB_Withdrawals!$A:$A,A1213,DB_Withdrawals!$G:$G)),"")</f>
        <v/>
      </c>
      <c r="M1213" t="str">
        <f>IFERROR(IF(A1213="","",IFERROR(VALUE(H1213),0)+IFERROR(SUMIF(DB_Savings!$A:$A,A1213,DB_Savings!$F:$F),0)-IFERROR(SUMIF(DB_Withdrawals!$A:$A,A1213,DB_Withdrawals!$G:$G),0)),"")</f>
        <v/>
      </c>
      <c r="N1213" t="str">
        <f>IFERROR(IF(A1213="","",MAX(0,M1213-System_Config!$B$9)),"")</f>
        <v/>
      </c>
    </row>
    <row r="1214" spans="1:14" ht="15" customHeight="1" x14ac:dyDescent="0.25">
      <c r="A1214" t="str">
        <f>'NEW ACCOUNT'!A1215</f>
        <v/>
      </c>
      <c r="B1214" t="str">
        <f>IF('NEW ACCOUNT'!A1215="","",'NEW ACCOUNT'!B1215)</f>
        <v/>
      </c>
      <c r="C1214" t="str">
        <f>IF('NEW ACCOUNT'!A1215="","",'NEW ACCOUNT'!C1215)</f>
        <v/>
      </c>
      <c r="D1214" t="str">
        <f>IF('NEW ACCOUNT'!A1215="","",'NEW ACCOUNT'!D1215)</f>
        <v/>
      </c>
      <c r="E1214" t="str">
        <f>IF('NEW ACCOUNT'!A1215="","",'NEW ACCOUNT'!E1215)</f>
        <v/>
      </c>
      <c r="F1214" t="str">
        <f>IF('NEW ACCOUNT'!A1215="","",'NEW ACCOUNT'!F1215)</f>
        <v/>
      </c>
      <c r="G1214" t="str">
        <f>IF('NEW ACCOUNT'!A1215="","",'NEW ACCOUNT'!G1215)</f>
        <v/>
      </c>
      <c r="H1214" t="str">
        <f>IF('NEW ACCOUNT'!A1215="","",'NEW ACCOUNT'!H1215)</f>
        <v/>
      </c>
      <c r="I1214" t="str">
        <f>IF('NEW ACCOUNT'!A1215="","",'NEW ACCOUNT'!I1215)</f>
        <v/>
      </c>
      <c r="J1214" t="str">
        <f>IF('NEW ACCOUNT'!A1215="","",'NEW ACCOUNT'!J1215)</f>
        <v/>
      </c>
      <c r="K1214" t="str">
        <f>IFERROR(IF(A1214="","",SUMIF(DB_Savings!$A:$A,A1214,DB_Savings!$F:$F)),"")</f>
        <v/>
      </c>
      <c r="L1214" t="str">
        <f>IFERROR(IF(A1214="","",SUMIF(DB_Withdrawals!$A:$A,A1214,DB_Withdrawals!$G:$G)),"")</f>
        <v/>
      </c>
      <c r="M1214" t="str">
        <f>IFERROR(IF(A1214="","",IFERROR(VALUE(H1214),0)+IFERROR(SUMIF(DB_Savings!$A:$A,A1214,DB_Savings!$F:$F),0)-IFERROR(SUMIF(DB_Withdrawals!$A:$A,A1214,DB_Withdrawals!$G:$G),0)),"")</f>
        <v/>
      </c>
      <c r="N1214" t="str">
        <f>IFERROR(IF(A1214="","",MAX(0,M1214-System_Config!$B$9)),"")</f>
        <v/>
      </c>
    </row>
    <row r="1215" spans="1:14" ht="15" customHeight="1" x14ac:dyDescent="0.25">
      <c r="A1215" t="str">
        <f>'NEW ACCOUNT'!A1216</f>
        <v/>
      </c>
      <c r="B1215" t="str">
        <f>IF('NEW ACCOUNT'!A1216="","",'NEW ACCOUNT'!B1216)</f>
        <v/>
      </c>
      <c r="C1215" t="str">
        <f>IF('NEW ACCOUNT'!A1216="","",'NEW ACCOUNT'!C1216)</f>
        <v/>
      </c>
      <c r="D1215" t="str">
        <f>IF('NEW ACCOUNT'!A1216="","",'NEW ACCOUNT'!D1216)</f>
        <v/>
      </c>
      <c r="E1215" t="str">
        <f>IF('NEW ACCOUNT'!A1216="","",'NEW ACCOUNT'!E1216)</f>
        <v/>
      </c>
      <c r="F1215" t="str">
        <f>IF('NEW ACCOUNT'!A1216="","",'NEW ACCOUNT'!F1216)</f>
        <v/>
      </c>
      <c r="G1215" t="str">
        <f>IF('NEW ACCOUNT'!A1216="","",'NEW ACCOUNT'!G1216)</f>
        <v/>
      </c>
      <c r="H1215" t="str">
        <f>IF('NEW ACCOUNT'!A1216="","",'NEW ACCOUNT'!H1216)</f>
        <v/>
      </c>
      <c r="I1215" t="str">
        <f>IF('NEW ACCOUNT'!A1216="","",'NEW ACCOUNT'!I1216)</f>
        <v/>
      </c>
      <c r="J1215" t="str">
        <f>IF('NEW ACCOUNT'!A1216="","",'NEW ACCOUNT'!J1216)</f>
        <v/>
      </c>
      <c r="K1215" t="str">
        <f>IFERROR(IF(A1215="","",SUMIF(DB_Savings!$A:$A,A1215,DB_Savings!$F:$F)),"")</f>
        <v/>
      </c>
      <c r="L1215" t="str">
        <f>IFERROR(IF(A1215="","",SUMIF(DB_Withdrawals!$A:$A,A1215,DB_Withdrawals!$G:$G)),"")</f>
        <v/>
      </c>
      <c r="M1215" t="str">
        <f>IFERROR(IF(A1215="","",IFERROR(VALUE(H1215),0)+IFERROR(SUMIF(DB_Savings!$A:$A,A1215,DB_Savings!$F:$F),0)-IFERROR(SUMIF(DB_Withdrawals!$A:$A,A1215,DB_Withdrawals!$G:$G),0)),"")</f>
        <v/>
      </c>
      <c r="N1215" t="str">
        <f>IFERROR(IF(A1215="","",MAX(0,M1215-System_Config!$B$9)),"")</f>
        <v/>
      </c>
    </row>
    <row r="1216" spans="1:14" ht="15" customHeight="1" x14ac:dyDescent="0.25">
      <c r="A1216" t="str">
        <f>'NEW ACCOUNT'!A1217</f>
        <v/>
      </c>
      <c r="B1216" t="str">
        <f>IF('NEW ACCOUNT'!A1217="","",'NEW ACCOUNT'!B1217)</f>
        <v/>
      </c>
      <c r="C1216" t="str">
        <f>IF('NEW ACCOUNT'!A1217="","",'NEW ACCOUNT'!C1217)</f>
        <v/>
      </c>
      <c r="D1216" t="str">
        <f>IF('NEW ACCOUNT'!A1217="","",'NEW ACCOUNT'!D1217)</f>
        <v/>
      </c>
      <c r="E1216" t="str">
        <f>IF('NEW ACCOUNT'!A1217="","",'NEW ACCOUNT'!E1217)</f>
        <v/>
      </c>
      <c r="F1216" t="str">
        <f>IF('NEW ACCOUNT'!A1217="","",'NEW ACCOUNT'!F1217)</f>
        <v/>
      </c>
      <c r="G1216" t="str">
        <f>IF('NEW ACCOUNT'!A1217="","",'NEW ACCOUNT'!G1217)</f>
        <v/>
      </c>
      <c r="H1216" t="str">
        <f>IF('NEW ACCOUNT'!A1217="","",'NEW ACCOUNT'!H1217)</f>
        <v/>
      </c>
      <c r="I1216" t="str">
        <f>IF('NEW ACCOUNT'!A1217="","",'NEW ACCOUNT'!I1217)</f>
        <v/>
      </c>
      <c r="J1216" t="str">
        <f>IF('NEW ACCOUNT'!A1217="","",'NEW ACCOUNT'!J1217)</f>
        <v/>
      </c>
      <c r="K1216" t="str">
        <f>IFERROR(IF(A1216="","",SUMIF(DB_Savings!$A:$A,A1216,DB_Savings!$F:$F)),"")</f>
        <v/>
      </c>
      <c r="L1216" t="str">
        <f>IFERROR(IF(A1216="","",SUMIF(DB_Withdrawals!$A:$A,A1216,DB_Withdrawals!$G:$G)),"")</f>
        <v/>
      </c>
      <c r="M1216" t="str">
        <f>IFERROR(IF(A1216="","",IFERROR(VALUE(H1216),0)+IFERROR(SUMIF(DB_Savings!$A:$A,A1216,DB_Savings!$F:$F),0)-IFERROR(SUMIF(DB_Withdrawals!$A:$A,A1216,DB_Withdrawals!$G:$G),0)),"")</f>
        <v/>
      </c>
      <c r="N1216" t="str">
        <f>IFERROR(IF(A1216="","",MAX(0,M1216-System_Config!$B$9)),"")</f>
        <v/>
      </c>
    </row>
    <row r="1217" spans="1:14" ht="15" customHeight="1" x14ac:dyDescent="0.25">
      <c r="A1217" t="str">
        <f>'NEW ACCOUNT'!A1218</f>
        <v/>
      </c>
      <c r="B1217" t="str">
        <f>IF('NEW ACCOUNT'!A1218="","",'NEW ACCOUNT'!B1218)</f>
        <v/>
      </c>
      <c r="C1217" t="str">
        <f>IF('NEW ACCOUNT'!A1218="","",'NEW ACCOUNT'!C1218)</f>
        <v/>
      </c>
      <c r="D1217" t="str">
        <f>IF('NEW ACCOUNT'!A1218="","",'NEW ACCOUNT'!D1218)</f>
        <v/>
      </c>
      <c r="E1217" t="str">
        <f>IF('NEW ACCOUNT'!A1218="","",'NEW ACCOUNT'!E1218)</f>
        <v/>
      </c>
      <c r="F1217" t="str">
        <f>IF('NEW ACCOUNT'!A1218="","",'NEW ACCOUNT'!F1218)</f>
        <v/>
      </c>
      <c r="G1217" t="str">
        <f>IF('NEW ACCOUNT'!A1218="","",'NEW ACCOUNT'!G1218)</f>
        <v/>
      </c>
      <c r="H1217" t="str">
        <f>IF('NEW ACCOUNT'!A1218="","",'NEW ACCOUNT'!H1218)</f>
        <v/>
      </c>
      <c r="I1217" t="str">
        <f>IF('NEW ACCOUNT'!A1218="","",'NEW ACCOUNT'!I1218)</f>
        <v/>
      </c>
      <c r="J1217" t="str">
        <f>IF('NEW ACCOUNT'!A1218="","",'NEW ACCOUNT'!J1218)</f>
        <v/>
      </c>
      <c r="K1217" t="str">
        <f>IFERROR(IF(A1217="","",SUMIF(DB_Savings!$A:$A,A1217,DB_Savings!$F:$F)),"")</f>
        <v/>
      </c>
      <c r="L1217" t="str">
        <f>IFERROR(IF(A1217="","",SUMIF(DB_Withdrawals!$A:$A,A1217,DB_Withdrawals!$G:$G)),"")</f>
        <v/>
      </c>
      <c r="M1217" t="str">
        <f>IFERROR(IF(A1217="","",IFERROR(VALUE(H1217),0)+IFERROR(SUMIF(DB_Savings!$A:$A,A1217,DB_Savings!$F:$F),0)-IFERROR(SUMIF(DB_Withdrawals!$A:$A,A1217,DB_Withdrawals!$G:$G),0)),"")</f>
        <v/>
      </c>
      <c r="N1217" t="str">
        <f>IFERROR(IF(A1217="","",MAX(0,M1217-System_Config!$B$9)),"")</f>
        <v/>
      </c>
    </row>
    <row r="1218" spans="1:14" ht="15" customHeight="1" x14ac:dyDescent="0.25">
      <c r="A1218" t="str">
        <f>'NEW ACCOUNT'!A1219</f>
        <v/>
      </c>
      <c r="B1218" t="str">
        <f>IF('NEW ACCOUNT'!A1219="","",'NEW ACCOUNT'!B1219)</f>
        <v/>
      </c>
      <c r="C1218" t="str">
        <f>IF('NEW ACCOUNT'!A1219="","",'NEW ACCOUNT'!C1219)</f>
        <v/>
      </c>
      <c r="D1218" t="str">
        <f>IF('NEW ACCOUNT'!A1219="","",'NEW ACCOUNT'!D1219)</f>
        <v/>
      </c>
      <c r="E1218" t="str">
        <f>IF('NEW ACCOUNT'!A1219="","",'NEW ACCOUNT'!E1219)</f>
        <v/>
      </c>
      <c r="F1218" t="str">
        <f>IF('NEW ACCOUNT'!A1219="","",'NEW ACCOUNT'!F1219)</f>
        <v/>
      </c>
      <c r="G1218" t="str">
        <f>IF('NEW ACCOUNT'!A1219="","",'NEW ACCOUNT'!G1219)</f>
        <v/>
      </c>
      <c r="H1218" t="str">
        <f>IF('NEW ACCOUNT'!A1219="","",'NEW ACCOUNT'!H1219)</f>
        <v/>
      </c>
      <c r="I1218" t="str">
        <f>IF('NEW ACCOUNT'!A1219="","",'NEW ACCOUNT'!I1219)</f>
        <v/>
      </c>
      <c r="J1218" t="str">
        <f>IF('NEW ACCOUNT'!A1219="","",'NEW ACCOUNT'!J1219)</f>
        <v/>
      </c>
      <c r="K1218" t="str">
        <f>IFERROR(IF(A1218="","",SUMIF(DB_Savings!$A:$A,A1218,DB_Savings!$F:$F)),"")</f>
        <v/>
      </c>
      <c r="L1218" t="str">
        <f>IFERROR(IF(A1218="","",SUMIF(DB_Withdrawals!$A:$A,A1218,DB_Withdrawals!$G:$G)),"")</f>
        <v/>
      </c>
      <c r="M1218" t="str">
        <f>IFERROR(IF(A1218="","",IFERROR(VALUE(H1218),0)+IFERROR(SUMIF(DB_Savings!$A:$A,A1218,DB_Savings!$F:$F),0)-IFERROR(SUMIF(DB_Withdrawals!$A:$A,A1218,DB_Withdrawals!$G:$G),0)),"")</f>
        <v/>
      </c>
      <c r="N1218" t="str">
        <f>IFERROR(IF(A1218="","",MAX(0,M1218-System_Config!$B$9)),"")</f>
        <v/>
      </c>
    </row>
    <row r="1219" spans="1:14" ht="15" customHeight="1" x14ac:dyDescent="0.25">
      <c r="A1219" t="str">
        <f>'NEW ACCOUNT'!A1220</f>
        <v/>
      </c>
      <c r="B1219" t="str">
        <f>IF('NEW ACCOUNT'!A1220="","",'NEW ACCOUNT'!B1220)</f>
        <v/>
      </c>
      <c r="C1219" t="str">
        <f>IF('NEW ACCOUNT'!A1220="","",'NEW ACCOUNT'!C1220)</f>
        <v/>
      </c>
      <c r="D1219" t="str">
        <f>IF('NEW ACCOUNT'!A1220="","",'NEW ACCOUNT'!D1220)</f>
        <v/>
      </c>
      <c r="E1219" t="str">
        <f>IF('NEW ACCOUNT'!A1220="","",'NEW ACCOUNT'!E1220)</f>
        <v/>
      </c>
      <c r="F1219" t="str">
        <f>IF('NEW ACCOUNT'!A1220="","",'NEW ACCOUNT'!F1220)</f>
        <v/>
      </c>
      <c r="G1219" t="str">
        <f>IF('NEW ACCOUNT'!A1220="","",'NEW ACCOUNT'!G1220)</f>
        <v/>
      </c>
      <c r="H1219" t="str">
        <f>IF('NEW ACCOUNT'!A1220="","",'NEW ACCOUNT'!H1220)</f>
        <v/>
      </c>
      <c r="I1219" t="str">
        <f>IF('NEW ACCOUNT'!A1220="","",'NEW ACCOUNT'!I1220)</f>
        <v/>
      </c>
      <c r="J1219" t="str">
        <f>IF('NEW ACCOUNT'!A1220="","",'NEW ACCOUNT'!J1220)</f>
        <v/>
      </c>
      <c r="K1219" t="str">
        <f>IFERROR(IF(A1219="","",SUMIF(DB_Savings!$A:$A,A1219,DB_Savings!$F:$F)),"")</f>
        <v/>
      </c>
      <c r="L1219" t="str">
        <f>IFERROR(IF(A1219="","",SUMIF(DB_Withdrawals!$A:$A,A1219,DB_Withdrawals!$G:$G)),"")</f>
        <v/>
      </c>
      <c r="M1219" t="str">
        <f>IFERROR(IF(A1219="","",IFERROR(VALUE(H1219),0)+IFERROR(SUMIF(DB_Savings!$A:$A,A1219,DB_Savings!$F:$F),0)-IFERROR(SUMIF(DB_Withdrawals!$A:$A,A1219,DB_Withdrawals!$G:$G),0)),"")</f>
        <v/>
      </c>
      <c r="N1219" t="str">
        <f>IFERROR(IF(A1219="","",MAX(0,M1219-System_Config!$B$9)),"")</f>
        <v/>
      </c>
    </row>
    <row r="1220" spans="1:14" ht="15" customHeight="1" x14ac:dyDescent="0.25">
      <c r="A1220" t="str">
        <f>'NEW ACCOUNT'!A1221</f>
        <v/>
      </c>
      <c r="B1220" t="str">
        <f>IF('NEW ACCOUNT'!A1221="","",'NEW ACCOUNT'!B1221)</f>
        <v/>
      </c>
      <c r="C1220" t="str">
        <f>IF('NEW ACCOUNT'!A1221="","",'NEW ACCOUNT'!C1221)</f>
        <v/>
      </c>
      <c r="D1220" t="str">
        <f>IF('NEW ACCOUNT'!A1221="","",'NEW ACCOUNT'!D1221)</f>
        <v/>
      </c>
      <c r="E1220" t="str">
        <f>IF('NEW ACCOUNT'!A1221="","",'NEW ACCOUNT'!E1221)</f>
        <v/>
      </c>
      <c r="F1220" t="str">
        <f>IF('NEW ACCOUNT'!A1221="","",'NEW ACCOUNT'!F1221)</f>
        <v/>
      </c>
      <c r="G1220" t="str">
        <f>IF('NEW ACCOUNT'!A1221="","",'NEW ACCOUNT'!G1221)</f>
        <v/>
      </c>
      <c r="H1220" t="str">
        <f>IF('NEW ACCOUNT'!A1221="","",'NEW ACCOUNT'!H1221)</f>
        <v/>
      </c>
      <c r="I1220" t="str">
        <f>IF('NEW ACCOUNT'!A1221="","",'NEW ACCOUNT'!I1221)</f>
        <v/>
      </c>
      <c r="J1220" t="str">
        <f>IF('NEW ACCOUNT'!A1221="","",'NEW ACCOUNT'!J1221)</f>
        <v/>
      </c>
      <c r="K1220" t="str">
        <f>IFERROR(IF(A1220="","",SUMIF(DB_Savings!$A:$A,A1220,DB_Savings!$F:$F)),"")</f>
        <v/>
      </c>
      <c r="L1220" t="str">
        <f>IFERROR(IF(A1220="","",SUMIF(DB_Withdrawals!$A:$A,A1220,DB_Withdrawals!$G:$G)),"")</f>
        <v/>
      </c>
      <c r="M1220" t="str">
        <f>IFERROR(IF(A1220="","",IFERROR(VALUE(H1220),0)+IFERROR(SUMIF(DB_Savings!$A:$A,A1220,DB_Savings!$F:$F),0)-IFERROR(SUMIF(DB_Withdrawals!$A:$A,A1220,DB_Withdrawals!$G:$G),0)),"")</f>
        <v/>
      </c>
      <c r="N1220" t="str">
        <f>IFERROR(IF(A1220="","",MAX(0,M1220-System_Config!$B$9)),"")</f>
        <v/>
      </c>
    </row>
    <row r="1221" spans="1:14" ht="15" customHeight="1" x14ac:dyDescent="0.25">
      <c r="A1221" t="str">
        <f>'NEW ACCOUNT'!A1222</f>
        <v/>
      </c>
      <c r="B1221" t="str">
        <f>IF('NEW ACCOUNT'!A1222="","",'NEW ACCOUNT'!B1222)</f>
        <v/>
      </c>
      <c r="C1221" t="str">
        <f>IF('NEW ACCOUNT'!A1222="","",'NEW ACCOUNT'!C1222)</f>
        <v/>
      </c>
      <c r="D1221" t="str">
        <f>IF('NEW ACCOUNT'!A1222="","",'NEW ACCOUNT'!D1222)</f>
        <v/>
      </c>
      <c r="E1221" t="str">
        <f>IF('NEW ACCOUNT'!A1222="","",'NEW ACCOUNT'!E1222)</f>
        <v/>
      </c>
      <c r="F1221" t="str">
        <f>IF('NEW ACCOUNT'!A1222="","",'NEW ACCOUNT'!F1222)</f>
        <v/>
      </c>
      <c r="G1221" t="str">
        <f>IF('NEW ACCOUNT'!A1222="","",'NEW ACCOUNT'!G1222)</f>
        <v/>
      </c>
      <c r="H1221" t="str">
        <f>IF('NEW ACCOUNT'!A1222="","",'NEW ACCOUNT'!H1222)</f>
        <v/>
      </c>
      <c r="I1221" t="str">
        <f>IF('NEW ACCOUNT'!A1222="","",'NEW ACCOUNT'!I1222)</f>
        <v/>
      </c>
      <c r="J1221" t="str">
        <f>IF('NEW ACCOUNT'!A1222="","",'NEW ACCOUNT'!J1222)</f>
        <v/>
      </c>
      <c r="K1221" t="str">
        <f>IFERROR(IF(A1221="","",SUMIF(DB_Savings!$A:$A,A1221,DB_Savings!$F:$F)),"")</f>
        <v/>
      </c>
      <c r="L1221" t="str">
        <f>IFERROR(IF(A1221="","",SUMIF(DB_Withdrawals!$A:$A,A1221,DB_Withdrawals!$G:$G)),"")</f>
        <v/>
      </c>
      <c r="M1221" t="str">
        <f>IFERROR(IF(A1221="","",IFERROR(VALUE(H1221),0)+IFERROR(SUMIF(DB_Savings!$A:$A,A1221,DB_Savings!$F:$F),0)-IFERROR(SUMIF(DB_Withdrawals!$A:$A,A1221,DB_Withdrawals!$G:$G),0)),"")</f>
        <v/>
      </c>
      <c r="N1221" t="str">
        <f>IFERROR(IF(A1221="","",MAX(0,M1221-System_Config!$B$9)),"")</f>
        <v/>
      </c>
    </row>
    <row r="1222" spans="1:14" ht="15" customHeight="1" x14ac:dyDescent="0.25">
      <c r="A1222" t="str">
        <f>'NEW ACCOUNT'!A1223</f>
        <v/>
      </c>
      <c r="B1222" t="str">
        <f>IF('NEW ACCOUNT'!A1223="","",'NEW ACCOUNT'!B1223)</f>
        <v/>
      </c>
      <c r="C1222" t="str">
        <f>IF('NEW ACCOUNT'!A1223="","",'NEW ACCOUNT'!C1223)</f>
        <v/>
      </c>
      <c r="D1222" t="str">
        <f>IF('NEW ACCOUNT'!A1223="","",'NEW ACCOUNT'!D1223)</f>
        <v/>
      </c>
      <c r="E1222" t="str">
        <f>IF('NEW ACCOUNT'!A1223="","",'NEW ACCOUNT'!E1223)</f>
        <v/>
      </c>
      <c r="F1222" t="str">
        <f>IF('NEW ACCOUNT'!A1223="","",'NEW ACCOUNT'!F1223)</f>
        <v/>
      </c>
      <c r="G1222" t="str">
        <f>IF('NEW ACCOUNT'!A1223="","",'NEW ACCOUNT'!G1223)</f>
        <v/>
      </c>
      <c r="H1222" t="str">
        <f>IF('NEW ACCOUNT'!A1223="","",'NEW ACCOUNT'!H1223)</f>
        <v/>
      </c>
      <c r="I1222" t="str">
        <f>IF('NEW ACCOUNT'!A1223="","",'NEW ACCOUNT'!I1223)</f>
        <v/>
      </c>
      <c r="J1222" t="str">
        <f>IF('NEW ACCOUNT'!A1223="","",'NEW ACCOUNT'!J1223)</f>
        <v/>
      </c>
      <c r="K1222" t="str">
        <f>IFERROR(IF(A1222="","",SUMIF(DB_Savings!$A:$A,A1222,DB_Savings!$F:$F)),"")</f>
        <v/>
      </c>
      <c r="L1222" t="str">
        <f>IFERROR(IF(A1222="","",SUMIF(DB_Withdrawals!$A:$A,A1222,DB_Withdrawals!$G:$G)),"")</f>
        <v/>
      </c>
      <c r="M1222" t="str">
        <f>IFERROR(IF(A1222="","",IFERROR(VALUE(H1222),0)+IFERROR(SUMIF(DB_Savings!$A:$A,A1222,DB_Savings!$F:$F),0)-IFERROR(SUMIF(DB_Withdrawals!$A:$A,A1222,DB_Withdrawals!$G:$G),0)),"")</f>
        <v/>
      </c>
      <c r="N1222" t="str">
        <f>IFERROR(IF(A1222="","",MAX(0,M1222-System_Config!$B$9)),"")</f>
        <v/>
      </c>
    </row>
    <row r="1223" spans="1:14" ht="15" customHeight="1" x14ac:dyDescent="0.25">
      <c r="A1223" t="str">
        <f>'NEW ACCOUNT'!A1224</f>
        <v/>
      </c>
      <c r="B1223" t="str">
        <f>IF('NEW ACCOUNT'!A1224="","",'NEW ACCOUNT'!B1224)</f>
        <v/>
      </c>
      <c r="C1223" t="str">
        <f>IF('NEW ACCOUNT'!A1224="","",'NEW ACCOUNT'!C1224)</f>
        <v/>
      </c>
      <c r="D1223" t="str">
        <f>IF('NEW ACCOUNT'!A1224="","",'NEW ACCOUNT'!D1224)</f>
        <v/>
      </c>
      <c r="E1223" t="str">
        <f>IF('NEW ACCOUNT'!A1224="","",'NEW ACCOUNT'!E1224)</f>
        <v/>
      </c>
      <c r="F1223" t="str">
        <f>IF('NEW ACCOUNT'!A1224="","",'NEW ACCOUNT'!F1224)</f>
        <v/>
      </c>
      <c r="G1223" t="str">
        <f>IF('NEW ACCOUNT'!A1224="","",'NEW ACCOUNT'!G1224)</f>
        <v/>
      </c>
      <c r="H1223" t="str">
        <f>IF('NEW ACCOUNT'!A1224="","",'NEW ACCOUNT'!H1224)</f>
        <v/>
      </c>
      <c r="I1223" t="str">
        <f>IF('NEW ACCOUNT'!A1224="","",'NEW ACCOUNT'!I1224)</f>
        <v/>
      </c>
      <c r="J1223" t="str">
        <f>IF('NEW ACCOUNT'!A1224="","",'NEW ACCOUNT'!J1224)</f>
        <v/>
      </c>
      <c r="K1223" t="str">
        <f>IFERROR(IF(A1223="","",SUMIF(DB_Savings!$A:$A,A1223,DB_Savings!$F:$F)),"")</f>
        <v/>
      </c>
      <c r="L1223" t="str">
        <f>IFERROR(IF(A1223="","",SUMIF(DB_Withdrawals!$A:$A,A1223,DB_Withdrawals!$G:$G)),"")</f>
        <v/>
      </c>
      <c r="M1223" t="str">
        <f>IFERROR(IF(A1223="","",IFERROR(VALUE(H1223),0)+IFERROR(SUMIF(DB_Savings!$A:$A,A1223,DB_Savings!$F:$F),0)-IFERROR(SUMIF(DB_Withdrawals!$A:$A,A1223,DB_Withdrawals!$G:$G),0)),"")</f>
        <v/>
      </c>
      <c r="N1223" t="str">
        <f>IFERROR(IF(A1223="","",MAX(0,M1223-System_Config!$B$9)),"")</f>
        <v/>
      </c>
    </row>
    <row r="1224" spans="1:14" ht="15" customHeight="1" x14ac:dyDescent="0.25">
      <c r="A1224" t="str">
        <f>'NEW ACCOUNT'!A1225</f>
        <v/>
      </c>
      <c r="B1224" t="str">
        <f>IF('NEW ACCOUNT'!A1225="","",'NEW ACCOUNT'!B1225)</f>
        <v/>
      </c>
      <c r="C1224" t="str">
        <f>IF('NEW ACCOUNT'!A1225="","",'NEW ACCOUNT'!C1225)</f>
        <v/>
      </c>
      <c r="D1224" t="str">
        <f>IF('NEW ACCOUNT'!A1225="","",'NEW ACCOUNT'!D1225)</f>
        <v/>
      </c>
      <c r="E1224" t="str">
        <f>IF('NEW ACCOUNT'!A1225="","",'NEW ACCOUNT'!E1225)</f>
        <v/>
      </c>
      <c r="F1224" t="str">
        <f>IF('NEW ACCOUNT'!A1225="","",'NEW ACCOUNT'!F1225)</f>
        <v/>
      </c>
      <c r="G1224" t="str">
        <f>IF('NEW ACCOUNT'!A1225="","",'NEW ACCOUNT'!G1225)</f>
        <v/>
      </c>
      <c r="H1224" t="str">
        <f>IF('NEW ACCOUNT'!A1225="","",'NEW ACCOUNT'!H1225)</f>
        <v/>
      </c>
      <c r="I1224" t="str">
        <f>IF('NEW ACCOUNT'!A1225="","",'NEW ACCOUNT'!I1225)</f>
        <v/>
      </c>
      <c r="J1224" t="str">
        <f>IF('NEW ACCOUNT'!A1225="","",'NEW ACCOUNT'!J1225)</f>
        <v/>
      </c>
      <c r="K1224" t="str">
        <f>IFERROR(IF(A1224="","",SUMIF(DB_Savings!$A:$A,A1224,DB_Savings!$F:$F)),"")</f>
        <v/>
      </c>
      <c r="L1224" t="str">
        <f>IFERROR(IF(A1224="","",SUMIF(DB_Withdrawals!$A:$A,A1224,DB_Withdrawals!$G:$G)),"")</f>
        <v/>
      </c>
      <c r="M1224" t="str">
        <f>IFERROR(IF(A1224="","",IFERROR(VALUE(H1224),0)+IFERROR(SUMIF(DB_Savings!$A:$A,A1224,DB_Savings!$F:$F),0)-IFERROR(SUMIF(DB_Withdrawals!$A:$A,A1224,DB_Withdrawals!$G:$G),0)),"")</f>
        <v/>
      </c>
      <c r="N1224" t="str">
        <f>IFERROR(IF(A1224="","",MAX(0,M1224-System_Config!$B$9)),"")</f>
        <v/>
      </c>
    </row>
    <row r="1225" spans="1:14" ht="15" customHeight="1" x14ac:dyDescent="0.25">
      <c r="A1225" t="str">
        <f>'NEW ACCOUNT'!A1226</f>
        <v/>
      </c>
      <c r="B1225" t="str">
        <f>IF('NEW ACCOUNT'!A1226="","",'NEW ACCOUNT'!B1226)</f>
        <v/>
      </c>
      <c r="C1225" t="str">
        <f>IF('NEW ACCOUNT'!A1226="","",'NEW ACCOUNT'!C1226)</f>
        <v/>
      </c>
      <c r="D1225" t="str">
        <f>IF('NEW ACCOUNT'!A1226="","",'NEW ACCOUNT'!D1226)</f>
        <v/>
      </c>
      <c r="E1225" t="str">
        <f>IF('NEW ACCOUNT'!A1226="","",'NEW ACCOUNT'!E1226)</f>
        <v/>
      </c>
      <c r="F1225" t="str">
        <f>IF('NEW ACCOUNT'!A1226="","",'NEW ACCOUNT'!F1226)</f>
        <v/>
      </c>
      <c r="G1225" t="str">
        <f>IF('NEW ACCOUNT'!A1226="","",'NEW ACCOUNT'!G1226)</f>
        <v/>
      </c>
      <c r="H1225" t="str">
        <f>IF('NEW ACCOUNT'!A1226="","",'NEW ACCOUNT'!H1226)</f>
        <v/>
      </c>
      <c r="I1225" t="str">
        <f>IF('NEW ACCOUNT'!A1226="","",'NEW ACCOUNT'!I1226)</f>
        <v/>
      </c>
      <c r="J1225" t="str">
        <f>IF('NEW ACCOUNT'!A1226="","",'NEW ACCOUNT'!J1226)</f>
        <v/>
      </c>
      <c r="K1225" t="str">
        <f>IFERROR(IF(A1225="","",SUMIF(DB_Savings!$A:$A,A1225,DB_Savings!$F:$F)),"")</f>
        <v/>
      </c>
      <c r="L1225" t="str">
        <f>IFERROR(IF(A1225="","",SUMIF(DB_Withdrawals!$A:$A,A1225,DB_Withdrawals!$G:$G)),"")</f>
        <v/>
      </c>
      <c r="M1225" t="str">
        <f>IFERROR(IF(A1225="","",IFERROR(VALUE(H1225),0)+IFERROR(SUMIF(DB_Savings!$A:$A,A1225,DB_Savings!$F:$F),0)-IFERROR(SUMIF(DB_Withdrawals!$A:$A,A1225,DB_Withdrawals!$G:$G),0)),"")</f>
        <v/>
      </c>
      <c r="N1225" t="str">
        <f>IFERROR(IF(A1225="","",MAX(0,M1225-System_Config!$B$9)),"")</f>
        <v/>
      </c>
    </row>
    <row r="1226" spans="1:14" ht="15" customHeight="1" x14ac:dyDescent="0.25">
      <c r="A1226" t="str">
        <f>'NEW ACCOUNT'!A1227</f>
        <v/>
      </c>
      <c r="B1226" t="str">
        <f>IF('NEW ACCOUNT'!A1227="","",'NEW ACCOUNT'!B1227)</f>
        <v/>
      </c>
      <c r="C1226" t="str">
        <f>IF('NEW ACCOUNT'!A1227="","",'NEW ACCOUNT'!C1227)</f>
        <v/>
      </c>
      <c r="D1226" t="str">
        <f>IF('NEW ACCOUNT'!A1227="","",'NEW ACCOUNT'!D1227)</f>
        <v/>
      </c>
      <c r="E1226" t="str">
        <f>IF('NEW ACCOUNT'!A1227="","",'NEW ACCOUNT'!E1227)</f>
        <v/>
      </c>
      <c r="F1226" t="str">
        <f>IF('NEW ACCOUNT'!A1227="","",'NEW ACCOUNT'!F1227)</f>
        <v/>
      </c>
      <c r="G1226" t="str">
        <f>IF('NEW ACCOUNT'!A1227="","",'NEW ACCOUNT'!G1227)</f>
        <v/>
      </c>
      <c r="H1226" t="str">
        <f>IF('NEW ACCOUNT'!A1227="","",'NEW ACCOUNT'!H1227)</f>
        <v/>
      </c>
      <c r="I1226" t="str">
        <f>IF('NEW ACCOUNT'!A1227="","",'NEW ACCOUNT'!I1227)</f>
        <v/>
      </c>
      <c r="J1226" t="str">
        <f>IF('NEW ACCOUNT'!A1227="","",'NEW ACCOUNT'!J1227)</f>
        <v/>
      </c>
      <c r="K1226" t="str">
        <f>IFERROR(IF(A1226="","",SUMIF(DB_Savings!$A:$A,A1226,DB_Savings!$F:$F)),"")</f>
        <v/>
      </c>
      <c r="L1226" t="str">
        <f>IFERROR(IF(A1226="","",SUMIF(DB_Withdrawals!$A:$A,A1226,DB_Withdrawals!$G:$G)),"")</f>
        <v/>
      </c>
      <c r="M1226" t="str">
        <f>IFERROR(IF(A1226="","",IFERROR(VALUE(H1226),0)+IFERROR(SUMIF(DB_Savings!$A:$A,A1226,DB_Savings!$F:$F),0)-IFERROR(SUMIF(DB_Withdrawals!$A:$A,A1226,DB_Withdrawals!$G:$G),0)),"")</f>
        <v/>
      </c>
      <c r="N1226" t="str">
        <f>IFERROR(IF(A1226="","",MAX(0,M1226-System_Config!$B$9)),"")</f>
        <v/>
      </c>
    </row>
    <row r="1227" spans="1:14" ht="15" customHeight="1" x14ac:dyDescent="0.25">
      <c r="A1227" t="str">
        <f>'NEW ACCOUNT'!A1228</f>
        <v/>
      </c>
      <c r="B1227" t="str">
        <f>IF('NEW ACCOUNT'!A1228="","",'NEW ACCOUNT'!B1228)</f>
        <v/>
      </c>
      <c r="C1227" t="str">
        <f>IF('NEW ACCOUNT'!A1228="","",'NEW ACCOUNT'!C1228)</f>
        <v/>
      </c>
      <c r="D1227" t="str">
        <f>IF('NEW ACCOUNT'!A1228="","",'NEW ACCOUNT'!D1228)</f>
        <v/>
      </c>
      <c r="E1227" t="str">
        <f>IF('NEW ACCOUNT'!A1228="","",'NEW ACCOUNT'!E1228)</f>
        <v/>
      </c>
      <c r="F1227" t="str">
        <f>IF('NEW ACCOUNT'!A1228="","",'NEW ACCOUNT'!F1228)</f>
        <v/>
      </c>
      <c r="G1227" t="str">
        <f>IF('NEW ACCOUNT'!A1228="","",'NEW ACCOUNT'!G1228)</f>
        <v/>
      </c>
      <c r="H1227" t="str">
        <f>IF('NEW ACCOUNT'!A1228="","",'NEW ACCOUNT'!H1228)</f>
        <v/>
      </c>
      <c r="I1227" t="str">
        <f>IF('NEW ACCOUNT'!A1228="","",'NEW ACCOUNT'!I1228)</f>
        <v/>
      </c>
      <c r="J1227" t="str">
        <f>IF('NEW ACCOUNT'!A1228="","",'NEW ACCOUNT'!J1228)</f>
        <v/>
      </c>
      <c r="K1227" t="str">
        <f>IFERROR(IF(A1227="","",SUMIF(DB_Savings!$A:$A,A1227,DB_Savings!$F:$F)),"")</f>
        <v/>
      </c>
      <c r="L1227" t="str">
        <f>IFERROR(IF(A1227="","",SUMIF(DB_Withdrawals!$A:$A,A1227,DB_Withdrawals!$G:$G)),"")</f>
        <v/>
      </c>
      <c r="M1227" t="str">
        <f>IFERROR(IF(A1227="","",IFERROR(VALUE(H1227),0)+IFERROR(SUMIF(DB_Savings!$A:$A,A1227,DB_Savings!$F:$F),0)-IFERROR(SUMIF(DB_Withdrawals!$A:$A,A1227,DB_Withdrawals!$G:$G),0)),"")</f>
        <v/>
      </c>
      <c r="N1227" t="str">
        <f>IFERROR(IF(A1227="","",MAX(0,M1227-System_Config!$B$9)),"")</f>
        <v/>
      </c>
    </row>
    <row r="1228" spans="1:14" ht="15" customHeight="1" x14ac:dyDescent="0.25">
      <c r="A1228" t="str">
        <f>'NEW ACCOUNT'!A1229</f>
        <v/>
      </c>
      <c r="B1228" t="str">
        <f>IF('NEW ACCOUNT'!A1229="","",'NEW ACCOUNT'!B1229)</f>
        <v/>
      </c>
      <c r="C1228" t="str">
        <f>IF('NEW ACCOUNT'!A1229="","",'NEW ACCOUNT'!C1229)</f>
        <v/>
      </c>
      <c r="D1228" t="str">
        <f>IF('NEW ACCOUNT'!A1229="","",'NEW ACCOUNT'!D1229)</f>
        <v/>
      </c>
      <c r="E1228" t="str">
        <f>IF('NEW ACCOUNT'!A1229="","",'NEW ACCOUNT'!E1229)</f>
        <v/>
      </c>
      <c r="F1228" t="str">
        <f>IF('NEW ACCOUNT'!A1229="","",'NEW ACCOUNT'!F1229)</f>
        <v/>
      </c>
      <c r="G1228" t="str">
        <f>IF('NEW ACCOUNT'!A1229="","",'NEW ACCOUNT'!G1229)</f>
        <v/>
      </c>
      <c r="H1228" t="str">
        <f>IF('NEW ACCOUNT'!A1229="","",'NEW ACCOUNT'!H1229)</f>
        <v/>
      </c>
      <c r="I1228" t="str">
        <f>IF('NEW ACCOUNT'!A1229="","",'NEW ACCOUNT'!I1229)</f>
        <v/>
      </c>
      <c r="J1228" t="str">
        <f>IF('NEW ACCOUNT'!A1229="","",'NEW ACCOUNT'!J1229)</f>
        <v/>
      </c>
      <c r="K1228" t="str">
        <f>IFERROR(IF(A1228="","",SUMIF(DB_Savings!$A:$A,A1228,DB_Savings!$F:$F)),"")</f>
        <v/>
      </c>
      <c r="L1228" t="str">
        <f>IFERROR(IF(A1228="","",SUMIF(DB_Withdrawals!$A:$A,A1228,DB_Withdrawals!$G:$G)),"")</f>
        <v/>
      </c>
      <c r="M1228" t="str">
        <f>IFERROR(IF(A1228="","",IFERROR(VALUE(H1228),0)+IFERROR(SUMIF(DB_Savings!$A:$A,A1228,DB_Savings!$F:$F),0)-IFERROR(SUMIF(DB_Withdrawals!$A:$A,A1228,DB_Withdrawals!$G:$G),0)),"")</f>
        <v/>
      </c>
      <c r="N1228" t="str">
        <f>IFERROR(IF(A1228="","",MAX(0,M1228-System_Config!$B$9)),"")</f>
        <v/>
      </c>
    </row>
    <row r="1229" spans="1:14" ht="15" customHeight="1" x14ac:dyDescent="0.25">
      <c r="A1229" t="str">
        <f>'NEW ACCOUNT'!A1230</f>
        <v/>
      </c>
      <c r="B1229" t="str">
        <f>IF('NEW ACCOUNT'!A1230="","",'NEW ACCOUNT'!B1230)</f>
        <v/>
      </c>
      <c r="C1229" t="str">
        <f>IF('NEW ACCOUNT'!A1230="","",'NEW ACCOUNT'!C1230)</f>
        <v/>
      </c>
      <c r="D1229" t="str">
        <f>IF('NEW ACCOUNT'!A1230="","",'NEW ACCOUNT'!D1230)</f>
        <v/>
      </c>
      <c r="E1229" t="str">
        <f>IF('NEW ACCOUNT'!A1230="","",'NEW ACCOUNT'!E1230)</f>
        <v/>
      </c>
      <c r="F1229" t="str">
        <f>IF('NEW ACCOUNT'!A1230="","",'NEW ACCOUNT'!F1230)</f>
        <v/>
      </c>
      <c r="G1229" t="str">
        <f>IF('NEW ACCOUNT'!A1230="","",'NEW ACCOUNT'!G1230)</f>
        <v/>
      </c>
      <c r="H1229" t="str">
        <f>IF('NEW ACCOUNT'!A1230="","",'NEW ACCOUNT'!H1230)</f>
        <v/>
      </c>
      <c r="I1229" t="str">
        <f>IF('NEW ACCOUNT'!A1230="","",'NEW ACCOUNT'!I1230)</f>
        <v/>
      </c>
      <c r="J1229" t="str">
        <f>IF('NEW ACCOUNT'!A1230="","",'NEW ACCOUNT'!J1230)</f>
        <v/>
      </c>
      <c r="K1229" t="str">
        <f>IFERROR(IF(A1229="","",SUMIF(DB_Savings!$A:$A,A1229,DB_Savings!$F:$F)),"")</f>
        <v/>
      </c>
      <c r="L1229" t="str">
        <f>IFERROR(IF(A1229="","",SUMIF(DB_Withdrawals!$A:$A,A1229,DB_Withdrawals!$G:$G)),"")</f>
        <v/>
      </c>
      <c r="M1229" t="str">
        <f>IFERROR(IF(A1229="","",IFERROR(VALUE(H1229),0)+IFERROR(SUMIF(DB_Savings!$A:$A,A1229,DB_Savings!$F:$F),0)-IFERROR(SUMIF(DB_Withdrawals!$A:$A,A1229,DB_Withdrawals!$G:$G),0)),"")</f>
        <v/>
      </c>
      <c r="N1229" t="str">
        <f>IFERROR(IF(A1229="","",MAX(0,M1229-System_Config!$B$9)),"")</f>
        <v/>
      </c>
    </row>
    <row r="1230" spans="1:14" ht="15" customHeight="1" x14ac:dyDescent="0.25">
      <c r="A1230" t="str">
        <f>'NEW ACCOUNT'!A1231</f>
        <v/>
      </c>
      <c r="B1230" t="str">
        <f>IF('NEW ACCOUNT'!A1231="","",'NEW ACCOUNT'!B1231)</f>
        <v/>
      </c>
      <c r="C1230" t="str">
        <f>IF('NEW ACCOUNT'!A1231="","",'NEW ACCOUNT'!C1231)</f>
        <v/>
      </c>
      <c r="D1230" t="str">
        <f>IF('NEW ACCOUNT'!A1231="","",'NEW ACCOUNT'!D1231)</f>
        <v/>
      </c>
      <c r="E1230" t="str">
        <f>IF('NEW ACCOUNT'!A1231="","",'NEW ACCOUNT'!E1231)</f>
        <v/>
      </c>
      <c r="F1230" t="str">
        <f>IF('NEW ACCOUNT'!A1231="","",'NEW ACCOUNT'!F1231)</f>
        <v/>
      </c>
      <c r="G1230" t="str">
        <f>IF('NEW ACCOUNT'!A1231="","",'NEW ACCOUNT'!G1231)</f>
        <v/>
      </c>
      <c r="H1230" t="str">
        <f>IF('NEW ACCOUNT'!A1231="","",'NEW ACCOUNT'!H1231)</f>
        <v/>
      </c>
      <c r="I1230" t="str">
        <f>IF('NEW ACCOUNT'!A1231="","",'NEW ACCOUNT'!I1231)</f>
        <v/>
      </c>
      <c r="J1230" t="str">
        <f>IF('NEW ACCOUNT'!A1231="","",'NEW ACCOUNT'!J1231)</f>
        <v/>
      </c>
      <c r="K1230" t="str">
        <f>IFERROR(IF(A1230="","",SUMIF(DB_Savings!$A:$A,A1230,DB_Savings!$F:$F)),"")</f>
        <v/>
      </c>
      <c r="L1230" t="str">
        <f>IFERROR(IF(A1230="","",SUMIF(DB_Withdrawals!$A:$A,A1230,DB_Withdrawals!$G:$G)),"")</f>
        <v/>
      </c>
      <c r="M1230" t="str">
        <f>IFERROR(IF(A1230="","",IFERROR(VALUE(H1230),0)+IFERROR(SUMIF(DB_Savings!$A:$A,A1230,DB_Savings!$F:$F),0)-IFERROR(SUMIF(DB_Withdrawals!$A:$A,A1230,DB_Withdrawals!$G:$G),0)),"")</f>
        <v/>
      </c>
      <c r="N1230" t="str">
        <f>IFERROR(IF(A1230="","",MAX(0,M1230-System_Config!$B$9)),"")</f>
        <v/>
      </c>
    </row>
    <row r="1231" spans="1:14" ht="15" customHeight="1" x14ac:dyDescent="0.25">
      <c r="A1231" t="str">
        <f>'NEW ACCOUNT'!A1232</f>
        <v/>
      </c>
      <c r="B1231" t="str">
        <f>IF('NEW ACCOUNT'!A1232="","",'NEW ACCOUNT'!B1232)</f>
        <v/>
      </c>
      <c r="C1231" t="str">
        <f>IF('NEW ACCOUNT'!A1232="","",'NEW ACCOUNT'!C1232)</f>
        <v/>
      </c>
      <c r="D1231" t="str">
        <f>IF('NEW ACCOUNT'!A1232="","",'NEW ACCOUNT'!D1232)</f>
        <v/>
      </c>
      <c r="E1231" t="str">
        <f>IF('NEW ACCOUNT'!A1232="","",'NEW ACCOUNT'!E1232)</f>
        <v/>
      </c>
      <c r="F1231" t="str">
        <f>IF('NEW ACCOUNT'!A1232="","",'NEW ACCOUNT'!F1232)</f>
        <v/>
      </c>
      <c r="G1231" t="str">
        <f>IF('NEW ACCOUNT'!A1232="","",'NEW ACCOUNT'!G1232)</f>
        <v/>
      </c>
      <c r="H1231" t="str">
        <f>IF('NEW ACCOUNT'!A1232="","",'NEW ACCOUNT'!H1232)</f>
        <v/>
      </c>
      <c r="I1231" t="str">
        <f>IF('NEW ACCOUNT'!A1232="","",'NEW ACCOUNT'!I1232)</f>
        <v/>
      </c>
      <c r="J1231" t="str">
        <f>IF('NEW ACCOUNT'!A1232="","",'NEW ACCOUNT'!J1232)</f>
        <v/>
      </c>
      <c r="K1231" t="str">
        <f>IFERROR(IF(A1231="","",SUMIF(DB_Savings!$A:$A,A1231,DB_Savings!$F:$F)),"")</f>
        <v/>
      </c>
      <c r="L1231" t="str">
        <f>IFERROR(IF(A1231="","",SUMIF(DB_Withdrawals!$A:$A,A1231,DB_Withdrawals!$G:$G)),"")</f>
        <v/>
      </c>
      <c r="M1231" t="str">
        <f>IFERROR(IF(A1231="","",IFERROR(VALUE(H1231),0)+IFERROR(SUMIF(DB_Savings!$A:$A,A1231,DB_Savings!$F:$F),0)-IFERROR(SUMIF(DB_Withdrawals!$A:$A,A1231,DB_Withdrawals!$G:$G),0)),"")</f>
        <v/>
      </c>
      <c r="N1231" t="str">
        <f>IFERROR(IF(A1231="","",MAX(0,M1231-System_Config!$B$9)),"")</f>
        <v/>
      </c>
    </row>
    <row r="1232" spans="1:14" ht="15" customHeight="1" x14ac:dyDescent="0.25">
      <c r="A1232" t="str">
        <f>'NEW ACCOUNT'!A1233</f>
        <v/>
      </c>
      <c r="B1232" t="str">
        <f>IF('NEW ACCOUNT'!A1233="","",'NEW ACCOUNT'!B1233)</f>
        <v/>
      </c>
      <c r="C1232" t="str">
        <f>IF('NEW ACCOUNT'!A1233="","",'NEW ACCOUNT'!C1233)</f>
        <v/>
      </c>
      <c r="D1232" t="str">
        <f>IF('NEW ACCOUNT'!A1233="","",'NEW ACCOUNT'!D1233)</f>
        <v/>
      </c>
      <c r="E1232" t="str">
        <f>IF('NEW ACCOUNT'!A1233="","",'NEW ACCOUNT'!E1233)</f>
        <v/>
      </c>
      <c r="F1232" t="str">
        <f>IF('NEW ACCOUNT'!A1233="","",'NEW ACCOUNT'!F1233)</f>
        <v/>
      </c>
      <c r="G1232" t="str">
        <f>IF('NEW ACCOUNT'!A1233="","",'NEW ACCOUNT'!G1233)</f>
        <v/>
      </c>
      <c r="H1232" t="str">
        <f>IF('NEW ACCOUNT'!A1233="","",'NEW ACCOUNT'!H1233)</f>
        <v/>
      </c>
      <c r="I1232" t="str">
        <f>IF('NEW ACCOUNT'!A1233="","",'NEW ACCOUNT'!I1233)</f>
        <v/>
      </c>
      <c r="J1232" t="str">
        <f>IF('NEW ACCOUNT'!A1233="","",'NEW ACCOUNT'!J1233)</f>
        <v/>
      </c>
      <c r="K1232" t="str">
        <f>IFERROR(IF(A1232="","",SUMIF(DB_Savings!$A:$A,A1232,DB_Savings!$F:$F)),"")</f>
        <v/>
      </c>
      <c r="L1232" t="str">
        <f>IFERROR(IF(A1232="","",SUMIF(DB_Withdrawals!$A:$A,A1232,DB_Withdrawals!$G:$G)),"")</f>
        <v/>
      </c>
      <c r="M1232" t="str">
        <f>IFERROR(IF(A1232="","",IFERROR(VALUE(H1232),0)+IFERROR(SUMIF(DB_Savings!$A:$A,A1232,DB_Savings!$F:$F),0)-IFERROR(SUMIF(DB_Withdrawals!$A:$A,A1232,DB_Withdrawals!$G:$G),0)),"")</f>
        <v/>
      </c>
      <c r="N1232" t="str">
        <f>IFERROR(IF(A1232="","",MAX(0,M1232-System_Config!$B$9)),"")</f>
        <v/>
      </c>
    </row>
    <row r="1233" spans="1:14" ht="15" customHeight="1" x14ac:dyDescent="0.25">
      <c r="A1233" t="str">
        <f>'NEW ACCOUNT'!A1234</f>
        <v/>
      </c>
      <c r="B1233" t="str">
        <f>IF('NEW ACCOUNT'!A1234="","",'NEW ACCOUNT'!B1234)</f>
        <v/>
      </c>
      <c r="C1233" t="str">
        <f>IF('NEW ACCOUNT'!A1234="","",'NEW ACCOUNT'!C1234)</f>
        <v/>
      </c>
      <c r="D1233" t="str">
        <f>IF('NEW ACCOUNT'!A1234="","",'NEW ACCOUNT'!D1234)</f>
        <v/>
      </c>
      <c r="E1233" t="str">
        <f>IF('NEW ACCOUNT'!A1234="","",'NEW ACCOUNT'!E1234)</f>
        <v/>
      </c>
      <c r="F1233" t="str">
        <f>IF('NEW ACCOUNT'!A1234="","",'NEW ACCOUNT'!F1234)</f>
        <v/>
      </c>
      <c r="G1233" t="str">
        <f>IF('NEW ACCOUNT'!A1234="","",'NEW ACCOUNT'!G1234)</f>
        <v/>
      </c>
      <c r="H1233" t="str">
        <f>IF('NEW ACCOUNT'!A1234="","",'NEW ACCOUNT'!H1234)</f>
        <v/>
      </c>
      <c r="I1233" t="str">
        <f>IF('NEW ACCOUNT'!A1234="","",'NEW ACCOUNT'!I1234)</f>
        <v/>
      </c>
      <c r="J1233" t="str">
        <f>IF('NEW ACCOUNT'!A1234="","",'NEW ACCOUNT'!J1234)</f>
        <v/>
      </c>
      <c r="K1233" t="str">
        <f>IFERROR(IF(A1233="","",SUMIF(DB_Savings!$A:$A,A1233,DB_Savings!$F:$F)),"")</f>
        <v/>
      </c>
      <c r="L1233" t="str">
        <f>IFERROR(IF(A1233="","",SUMIF(DB_Withdrawals!$A:$A,A1233,DB_Withdrawals!$G:$G)),"")</f>
        <v/>
      </c>
      <c r="M1233" t="str">
        <f>IFERROR(IF(A1233="","",IFERROR(VALUE(H1233),0)+IFERROR(SUMIF(DB_Savings!$A:$A,A1233,DB_Savings!$F:$F),0)-IFERROR(SUMIF(DB_Withdrawals!$A:$A,A1233,DB_Withdrawals!$G:$G),0)),"")</f>
        <v/>
      </c>
      <c r="N1233" t="str">
        <f>IFERROR(IF(A1233="","",MAX(0,M1233-System_Config!$B$9)),"")</f>
        <v/>
      </c>
    </row>
    <row r="1234" spans="1:14" ht="15" customHeight="1" x14ac:dyDescent="0.25">
      <c r="A1234" t="str">
        <f>'NEW ACCOUNT'!A1235</f>
        <v/>
      </c>
      <c r="B1234" t="str">
        <f>IF('NEW ACCOUNT'!A1235="","",'NEW ACCOUNT'!B1235)</f>
        <v/>
      </c>
      <c r="C1234" t="str">
        <f>IF('NEW ACCOUNT'!A1235="","",'NEW ACCOUNT'!C1235)</f>
        <v/>
      </c>
      <c r="D1234" t="str">
        <f>IF('NEW ACCOUNT'!A1235="","",'NEW ACCOUNT'!D1235)</f>
        <v/>
      </c>
      <c r="E1234" t="str">
        <f>IF('NEW ACCOUNT'!A1235="","",'NEW ACCOUNT'!E1235)</f>
        <v/>
      </c>
      <c r="F1234" t="str">
        <f>IF('NEW ACCOUNT'!A1235="","",'NEW ACCOUNT'!F1235)</f>
        <v/>
      </c>
      <c r="G1234" t="str">
        <f>IF('NEW ACCOUNT'!A1235="","",'NEW ACCOUNT'!G1235)</f>
        <v/>
      </c>
      <c r="H1234" t="str">
        <f>IF('NEW ACCOUNT'!A1235="","",'NEW ACCOUNT'!H1235)</f>
        <v/>
      </c>
      <c r="I1234" t="str">
        <f>IF('NEW ACCOUNT'!A1235="","",'NEW ACCOUNT'!I1235)</f>
        <v/>
      </c>
      <c r="J1234" t="str">
        <f>IF('NEW ACCOUNT'!A1235="","",'NEW ACCOUNT'!J1235)</f>
        <v/>
      </c>
      <c r="K1234" t="str">
        <f>IFERROR(IF(A1234="","",SUMIF(DB_Savings!$A:$A,A1234,DB_Savings!$F:$F)),"")</f>
        <v/>
      </c>
      <c r="L1234" t="str">
        <f>IFERROR(IF(A1234="","",SUMIF(DB_Withdrawals!$A:$A,A1234,DB_Withdrawals!$G:$G)),"")</f>
        <v/>
      </c>
      <c r="M1234" t="str">
        <f>IFERROR(IF(A1234="","",IFERROR(VALUE(H1234),0)+IFERROR(SUMIF(DB_Savings!$A:$A,A1234,DB_Savings!$F:$F),0)-IFERROR(SUMIF(DB_Withdrawals!$A:$A,A1234,DB_Withdrawals!$G:$G),0)),"")</f>
        <v/>
      </c>
      <c r="N1234" t="str">
        <f>IFERROR(IF(A1234="","",MAX(0,M1234-System_Config!$B$9)),"")</f>
        <v/>
      </c>
    </row>
    <row r="1235" spans="1:14" ht="15" customHeight="1" x14ac:dyDescent="0.25">
      <c r="A1235" t="str">
        <f>'NEW ACCOUNT'!A1236</f>
        <v/>
      </c>
      <c r="B1235" t="str">
        <f>IF('NEW ACCOUNT'!A1236="","",'NEW ACCOUNT'!B1236)</f>
        <v/>
      </c>
      <c r="C1235" t="str">
        <f>IF('NEW ACCOUNT'!A1236="","",'NEW ACCOUNT'!C1236)</f>
        <v/>
      </c>
      <c r="D1235" t="str">
        <f>IF('NEW ACCOUNT'!A1236="","",'NEW ACCOUNT'!D1236)</f>
        <v/>
      </c>
      <c r="E1235" t="str">
        <f>IF('NEW ACCOUNT'!A1236="","",'NEW ACCOUNT'!E1236)</f>
        <v/>
      </c>
      <c r="F1235" t="str">
        <f>IF('NEW ACCOUNT'!A1236="","",'NEW ACCOUNT'!F1236)</f>
        <v/>
      </c>
      <c r="G1235" t="str">
        <f>IF('NEW ACCOUNT'!A1236="","",'NEW ACCOUNT'!G1236)</f>
        <v/>
      </c>
      <c r="H1235" t="str">
        <f>IF('NEW ACCOUNT'!A1236="","",'NEW ACCOUNT'!H1236)</f>
        <v/>
      </c>
      <c r="I1235" t="str">
        <f>IF('NEW ACCOUNT'!A1236="","",'NEW ACCOUNT'!I1236)</f>
        <v/>
      </c>
      <c r="J1235" t="str">
        <f>IF('NEW ACCOUNT'!A1236="","",'NEW ACCOUNT'!J1236)</f>
        <v/>
      </c>
      <c r="K1235" t="str">
        <f>IFERROR(IF(A1235="","",SUMIF(DB_Savings!$A:$A,A1235,DB_Savings!$F:$F)),"")</f>
        <v/>
      </c>
      <c r="L1235" t="str">
        <f>IFERROR(IF(A1235="","",SUMIF(DB_Withdrawals!$A:$A,A1235,DB_Withdrawals!$G:$G)),"")</f>
        <v/>
      </c>
      <c r="M1235" t="str">
        <f>IFERROR(IF(A1235="","",IFERROR(VALUE(H1235),0)+IFERROR(SUMIF(DB_Savings!$A:$A,A1235,DB_Savings!$F:$F),0)-IFERROR(SUMIF(DB_Withdrawals!$A:$A,A1235,DB_Withdrawals!$G:$G),0)),"")</f>
        <v/>
      </c>
      <c r="N1235" t="str">
        <f>IFERROR(IF(A1235="","",MAX(0,M1235-System_Config!$B$9)),"")</f>
        <v/>
      </c>
    </row>
    <row r="1236" spans="1:14" ht="15" customHeight="1" x14ac:dyDescent="0.25">
      <c r="A1236" t="str">
        <f>'NEW ACCOUNT'!A1237</f>
        <v/>
      </c>
      <c r="B1236" t="str">
        <f>IF('NEW ACCOUNT'!A1237="","",'NEW ACCOUNT'!B1237)</f>
        <v/>
      </c>
      <c r="C1236" t="str">
        <f>IF('NEW ACCOUNT'!A1237="","",'NEW ACCOUNT'!C1237)</f>
        <v/>
      </c>
      <c r="D1236" t="str">
        <f>IF('NEW ACCOUNT'!A1237="","",'NEW ACCOUNT'!D1237)</f>
        <v/>
      </c>
      <c r="E1236" t="str">
        <f>IF('NEW ACCOUNT'!A1237="","",'NEW ACCOUNT'!E1237)</f>
        <v/>
      </c>
      <c r="F1236" t="str">
        <f>IF('NEW ACCOUNT'!A1237="","",'NEW ACCOUNT'!F1237)</f>
        <v/>
      </c>
      <c r="G1236" t="str">
        <f>IF('NEW ACCOUNT'!A1237="","",'NEW ACCOUNT'!G1237)</f>
        <v/>
      </c>
      <c r="H1236" t="str">
        <f>IF('NEW ACCOUNT'!A1237="","",'NEW ACCOUNT'!H1237)</f>
        <v/>
      </c>
      <c r="I1236" t="str">
        <f>IF('NEW ACCOUNT'!A1237="","",'NEW ACCOUNT'!I1237)</f>
        <v/>
      </c>
      <c r="J1236" t="str">
        <f>IF('NEW ACCOUNT'!A1237="","",'NEW ACCOUNT'!J1237)</f>
        <v/>
      </c>
      <c r="K1236" t="str">
        <f>IFERROR(IF(A1236="","",SUMIF(DB_Savings!$A:$A,A1236,DB_Savings!$F:$F)),"")</f>
        <v/>
      </c>
      <c r="L1236" t="str">
        <f>IFERROR(IF(A1236="","",SUMIF(DB_Withdrawals!$A:$A,A1236,DB_Withdrawals!$G:$G)),"")</f>
        <v/>
      </c>
      <c r="M1236" t="str">
        <f>IFERROR(IF(A1236="","",IFERROR(VALUE(H1236),0)+IFERROR(SUMIF(DB_Savings!$A:$A,A1236,DB_Savings!$F:$F),0)-IFERROR(SUMIF(DB_Withdrawals!$A:$A,A1236,DB_Withdrawals!$G:$G),0)),"")</f>
        <v/>
      </c>
      <c r="N1236" t="str">
        <f>IFERROR(IF(A1236="","",MAX(0,M1236-System_Config!$B$9)),"")</f>
        <v/>
      </c>
    </row>
    <row r="1237" spans="1:14" ht="15" customHeight="1" x14ac:dyDescent="0.25">
      <c r="A1237" t="str">
        <f>'NEW ACCOUNT'!A1238</f>
        <v/>
      </c>
      <c r="B1237" t="str">
        <f>IF('NEW ACCOUNT'!A1238="","",'NEW ACCOUNT'!B1238)</f>
        <v/>
      </c>
      <c r="C1237" t="str">
        <f>IF('NEW ACCOUNT'!A1238="","",'NEW ACCOUNT'!C1238)</f>
        <v/>
      </c>
      <c r="D1237" t="str">
        <f>IF('NEW ACCOUNT'!A1238="","",'NEW ACCOUNT'!D1238)</f>
        <v/>
      </c>
      <c r="E1237" t="str">
        <f>IF('NEW ACCOUNT'!A1238="","",'NEW ACCOUNT'!E1238)</f>
        <v/>
      </c>
      <c r="F1237" t="str">
        <f>IF('NEW ACCOUNT'!A1238="","",'NEW ACCOUNT'!F1238)</f>
        <v/>
      </c>
      <c r="G1237" t="str">
        <f>IF('NEW ACCOUNT'!A1238="","",'NEW ACCOUNT'!G1238)</f>
        <v/>
      </c>
      <c r="H1237" t="str">
        <f>IF('NEW ACCOUNT'!A1238="","",'NEW ACCOUNT'!H1238)</f>
        <v/>
      </c>
      <c r="I1237" t="str">
        <f>IF('NEW ACCOUNT'!A1238="","",'NEW ACCOUNT'!I1238)</f>
        <v/>
      </c>
      <c r="J1237" t="str">
        <f>IF('NEW ACCOUNT'!A1238="","",'NEW ACCOUNT'!J1238)</f>
        <v/>
      </c>
      <c r="K1237" t="str">
        <f>IFERROR(IF(A1237="","",SUMIF(DB_Savings!$A:$A,A1237,DB_Savings!$F:$F)),"")</f>
        <v/>
      </c>
      <c r="L1237" t="str">
        <f>IFERROR(IF(A1237="","",SUMIF(DB_Withdrawals!$A:$A,A1237,DB_Withdrawals!$G:$G)),"")</f>
        <v/>
      </c>
      <c r="M1237" t="str">
        <f>IFERROR(IF(A1237="","",IFERROR(VALUE(H1237),0)+IFERROR(SUMIF(DB_Savings!$A:$A,A1237,DB_Savings!$F:$F),0)-IFERROR(SUMIF(DB_Withdrawals!$A:$A,A1237,DB_Withdrawals!$G:$G),0)),"")</f>
        <v/>
      </c>
      <c r="N1237" t="str">
        <f>IFERROR(IF(A1237="","",MAX(0,M1237-System_Config!$B$9)),"")</f>
        <v/>
      </c>
    </row>
    <row r="1238" spans="1:14" ht="15" customHeight="1" x14ac:dyDescent="0.25">
      <c r="A1238" t="str">
        <f>'NEW ACCOUNT'!A1239</f>
        <v/>
      </c>
      <c r="B1238" t="str">
        <f>IF('NEW ACCOUNT'!A1239="","",'NEW ACCOUNT'!B1239)</f>
        <v/>
      </c>
      <c r="C1238" t="str">
        <f>IF('NEW ACCOUNT'!A1239="","",'NEW ACCOUNT'!C1239)</f>
        <v/>
      </c>
      <c r="D1238" t="str">
        <f>IF('NEW ACCOUNT'!A1239="","",'NEW ACCOUNT'!D1239)</f>
        <v/>
      </c>
      <c r="E1238" t="str">
        <f>IF('NEW ACCOUNT'!A1239="","",'NEW ACCOUNT'!E1239)</f>
        <v/>
      </c>
      <c r="F1238" t="str">
        <f>IF('NEW ACCOUNT'!A1239="","",'NEW ACCOUNT'!F1239)</f>
        <v/>
      </c>
      <c r="G1238" t="str">
        <f>IF('NEW ACCOUNT'!A1239="","",'NEW ACCOUNT'!G1239)</f>
        <v/>
      </c>
      <c r="H1238" t="str">
        <f>IF('NEW ACCOUNT'!A1239="","",'NEW ACCOUNT'!H1239)</f>
        <v/>
      </c>
      <c r="I1238" t="str">
        <f>IF('NEW ACCOUNT'!A1239="","",'NEW ACCOUNT'!I1239)</f>
        <v/>
      </c>
      <c r="J1238" t="str">
        <f>IF('NEW ACCOUNT'!A1239="","",'NEW ACCOUNT'!J1239)</f>
        <v/>
      </c>
      <c r="K1238" t="str">
        <f>IFERROR(IF(A1238="","",SUMIF(DB_Savings!$A:$A,A1238,DB_Savings!$F:$F)),"")</f>
        <v/>
      </c>
      <c r="L1238" t="str">
        <f>IFERROR(IF(A1238="","",SUMIF(DB_Withdrawals!$A:$A,A1238,DB_Withdrawals!$G:$G)),"")</f>
        <v/>
      </c>
      <c r="M1238" t="str">
        <f>IFERROR(IF(A1238="","",IFERROR(VALUE(H1238),0)+IFERROR(SUMIF(DB_Savings!$A:$A,A1238,DB_Savings!$F:$F),0)-IFERROR(SUMIF(DB_Withdrawals!$A:$A,A1238,DB_Withdrawals!$G:$G),0)),"")</f>
        <v/>
      </c>
      <c r="N1238" t="str">
        <f>IFERROR(IF(A1238="","",MAX(0,M1238-System_Config!$B$9)),"")</f>
        <v/>
      </c>
    </row>
    <row r="1239" spans="1:14" ht="15" customHeight="1" x14ac:dyDescent="0.25">
      <c r="A1239" t="str">
        <f>'NEW ACCOUNT'!A1240</f>
        <v/>
      </c>
      <c r="B1239" t="str">
        <f>IF('NEW ACCOUNT'!A1240="","",'NEW ACCOUNT'!B1240)</f>
        <v/>
      </c>
      <c r="C1239" t="str">
        <f>IF('NEW ACCOUNT'!A1240="","",'NEW ACCOUNT'!C1240)</f>
        <v/>
      </c>
      <c r="D1239" t="str">
        <f>IF('NEW ACCOUNT'!A1240="","",'NEW ACCOUNT'!D1240)</f>
        <v/>
      </c>
      <c r="E1239" t="str">
        <f>IF('NEW ACCOUNT'!A1240="","",'NEW ACCOUNT'!E1240)</f>
        <v/>
      </c>
      <c r="F1239" t="str">
        <f>IF('NEW ACCOUNT'!A1240="","",'NEW ACCOUNT'!F1240)</f>
        <v/>
      </c>
      <c r="G1239" t="str">
        <f>IF('NEW ACCOUNT'!A1240="","",'NEW ACCOUNT'!G1240)</f>
        <v/>
      </c>
      <c r="H1239" t="str">
        <f>IF('NEW ACCOUNT'!A1240="","",'NEW ACCOUNT'!H1240)</f>
        <v/>
      </c>
      <c r="I1239" t="str">
        <f>IF('NEW ACCOUNT'!A1240="","",'NEW ACCOUNT'!I1240)</f>
        <v/>
      </c>
      <c r="J1239" t="str">
        <f>IF('NEW ACCOUNT'!A1240="","",'NEW ACCOUNT'!J1240)</f>
        <v/>
      </c>
      <c r="K1239" t="str">
        <f>IFERROR(IF(A1239="","",SUMIF(DB_Savings!$A:$A,A1239,DB_Savings!$F:$F)),"")</f>
        <v/>
      </c>
      <c r="L1239" t="str">
        <f>IFERROR(IF(A1239="","",SUMIF(DB_Withdrawals!$A:$A,A1239,DB_Withdrawals!$G:$G)),"")</f>
        <v/>
      </c>
      <c r="M1239" t="str">
        <f>IFERROR(IF(A1239="","",IFERROR(VALUE(H1239),0)+IFERROR(SUMIF(DB_Savings!$A:$A,A1239,DB_Savings!$F:$F),0)-IFERROR(SUMIF(DB_Withdrawals!$A:$A,A1239,DB_Withdrawals!$G:$G),0)),"")</f>
        <v/>
      </c>
      <c r="N1239" t="str">
        <f>IFERROR(IF(A1239="","",MAX(0,M1239-System_Config!$B$9)),"")</f>
        <v/>
      </c>
    </row>
    <row r="1240" spans="1:14" ht="15" customHeight="1" x14ac:dyDescent="0.25">
      <c r="A1240" t="str">
        <f>'NEW ACCOUNT'!A1241</f>
        <v/>
      </c>
      <c r="B1240" t="str">
        <f>IF('NEW ACCOUNT'!A1241="","",'NEW ACCOUNT'!B1241)</f>
        <v/>
      </c>
      <c r="C1240" t="str">
        <f>IF('NEW ACCOUNT'!A1241="","",'NEW ACCOUNT'!C1241)</f>
        <v/>
      </c>
      <c r="D1240" t="str">
        <f>IF('NEW ACCOUNT'!A1241="","",'NEW ACCOUNT'!D1241)</f>
        <v/>
      </c>
      <c r="E1240" t="str">
        <f>IF('NEW ACCOUNT'!A1241="","",'NEW ACCOUNT'!E1241)</f>
        <v/>
      </c>
      <c r="F1240" t="str">
        <f>IF('NEW ACCOUNT'!A1241="","",'NEW ACCOUNT'!F1241)</f>
        <v/>
      </c>
      <c r="G1240" t="str">
        <f>IF('NEW ACCOUNT'!A1241="","",'NEW ACCOUNT'!G1241)</f>
        <v/>
      </c>
      <c r="H1240" t="str">
        <f>IF('NEW ACCOUNT'!A1241="","",'NEW ACCOUNT'!H1241)</f>
        <v/>
      </c>
      <c r="I1240" t="str">
        <f>IF('NEW ACCOUNT'!A1241="","",'NEW ACCOUNT'!I1241)</f>
        <v/>
      </c>
      <c r="J1240" t="str">
        <f>IF('NEW ACCOUNT'!A1241="","",'NEW ACCOUNT'!J1241)</f>
        <v/>
      </c>
      <c r="K1240" t="str">
        <f>IFERROR(IF(A1240="","",SUMIF(DB_Savings!$A:$A,A1240,DB_Savings!$F:$F)),"")</f>
        <v/>
      </c>
      <c r="L1240" t="str">
        <f>IFERROR(IF(A1240="","",SUMIF(DB_Withdrawals!$A:$A,A1240,DB_Withdrawals!$G:$G)),"")</f>
        <v/>
      </c>
      <c r="M1240" t="str">
        <f>IFERROR(IF(A1240="","",IFERROR(VALUE(H1240),0)+IFERROR(SUMIF(DB_Savings!$A:$A,A1240,DB_Savings!$F:$F),0)-IFERROR(SUMIF(DB_Withdrawals!$A:$A,A1240,DB_Withdrawals!$G:$G),0)),"")</f>
        <v/>
      </c>
      <c r="N1240" t="str">
        <f>IFERROR(IF(A1240="","",MAX(0,M1240-System_Config!$B$9)),"")</f>
        <v/>
      </c>
    </row>
    <row r="1241" spans="1:14" ht="15" customHeight="1" x14ac:dyDescent="0.25">
      <c r="A1241" t="str">
        <f>'NEW ACCOUNT'!A1242</f>
        <v/>
      </c>
      <c r="B1241" t="str">
        <f>IF('NEW ACCOUNT'!A1242="","",'NEW ACCOUNT'!B1242)</f>
        <v/>
      </c>
      <c r="C1241" t="str">
        <f>IF('NEW ACCOUNT'!A1242="","",'NEW ACCOUNT'!C1242)</f>
        <v/>
      </c>
      <c r="D1241" t="str">
        <f>IF('NEW ACCOUNT'!A1242="","",'NEW ACCOUNT'!D1242)</f>
        <v/>
      </c>
      <c r="E1241" t="str">
        <f>IF('NEW ACCOUNT'!A1242="","",'NEW ACCOUNT'!E1242)</f>
        <v/>
      </c>
      <c r="F1241" t="str">
        <f>IF('NEW ACCOUNT'!A1242="","",'NEW ACCOUNT'!F1242)</f>
        <v/>
      </c>
      <c r="G1241" t="str">
        <f>IF('NEW ACCOUNT'!A1242="","",'NEW ACCOUNT'!G1242)</f>
        <v/>
      </c>
      <c r="H1241" t="str">
        <f>IF('NEW ACCOUNT'!A1242="","",'NEW ACCOUNT'!H1242)</f>
        <v/>
      </c>
      <c r="I1241" t="str">
        <f>IF('NEW ACCOUNT'!A1242="","",'NEW ACCOUNT'!I1242)</f>
        <v/>
      </c>
      <c r="J1241" t="str">
        <f>IF('NEW ACCOUNT'!A1242="","",'NEW ACCOUNT'!J1242)</f>
        <v/>
      </c>
      <c r="K1241" t="str">
        <f>IFERROR(IF(A1241="","",SUMIF(DB_Savings!$A:$A,A1241,DB_Savings!$F:$F)),"")</f>
        <v/>
      </c>
      <c r="L1241" t="str">
        <f>IFERROR(IF(A1241="","",SUMIF(DB_Withdrawals!$A:$A,A1241,DB_Withdrawals!$G:$G)),"")</f>
        <v/>
      </c>
      <c r="M1241" t="str">
        <f>IFERROR(IF(A1241="","",IFERROR(VALUE(H1241),0)+IFERROR(SUMIF(DB_Savings!$A:$A,A1241,DB_Savings!$F:$F),0)-IFERROR(SUMIF(DB_Withdrawals!$A:$A,A1241,DB_Withdrawals!$G:$G),0)),"")</f>
        <v/>
      </c>
      <c r="N1241" t="str">
        <f>IFERROR(IF(A1241="","",MAX(0,M1241-System_Config!$B$9)),"")</f>
        <v/>
      </c>
    </row>
    <row r="1242" spans="1:14" ht="15" customHeight="1" x14ac:dyDescent="0.25">
      <c r="A1242" t="str">
        <f>'NEW ACCOUNT'!A1243</f>
        <v/>
      </c>
      <c r="B1242" t="str">
        <f>IF('NEW ACCOUNT'!A1243="","",'NEW ACCOUNT'!B1243)</f>
        <v/>
      </c>
      <c r="C1242" t="str">
        <f>IF('NEW ACCOUNT'!A1243="","",'NEW ACCOUNT'!C1243)</f>
        <v/>
      </c>
      <c r="D1242" t="str">
        <f>IF('NEW ACCOUNT'!A1243="","",'NEW ACCOUNT'!D1243)</f>
        <v/>
      </c>
      <c r="E1242" t="str">
        <f>IF('NEW ACCOUNT'!A1243="","",'NEW ACCOUNT'!E1243)</f>
        <v/>
      </c>
      <c r="F1242" t="str">
        <f>IF('NEW ACCOUNT'!A1243="","",'NEW ACCOUNT'!F1243)</f>
        <v/>
      </c>
      <c r="G1242" t="str">
        <f>IF('NEW ACCOUNT'!A1243="","",'NEW ACCOUNT'!G1243)</f>
        <v/>
      </c>
      <c r="H1242" t="str">
        <f>IF('NEW ACCOUNT'!A1243="","",'NEW ACCOUNT'!H1243)</f>
        <v/>
      </c>
      <c r="I1242" t="str">
        <f>IF('NEW ACCOUNT'!A1243="","",'NEW ACCOUNT'!I1243)</f>
        <v/>
      </c>
      <c r="J1242" t="str">
        <f>IF('NEW ACCOUNT'!A1243="","",'NEW ACCOUNT'!J1243)</f>
        <v/>
      </c>
      <c r="K1242" t="str">
        <f>IFERROR(IF(A1242="","",SUMIF(DB_Savings!$A:$A,A1242,DB_Savings!$F:$F)),"")</f>
        <v/>
      </c>
      <c r="L1242" t="str">
        <f>IFERROR(IF(A1242="","",SUMIF(DB_Withdrawals!$A:$A,A1242,DB_Withdrawals!$G:$G)),"")</f>
        <v/>
      </c>
      <c r="M1242" t="str">
        <f>IFERROR(IF(A1242="","",IFERROR(VALUE(H1242),0)+IFERROR(SUMIF(DB_Savings!$A:$A,A1242,DB_Savings!$F:$F),0)-IFERROR(SUMIF(DB_Withdrawals!$A:$A,A1242,DB_Withdrawals!$G:$G),0)),"")</f>
        <v/>
      </c>
      <c r="N1242" t="str">
        <f>IFERROR(IF(A1242="","",MAX(0,M1242-System_Config!$B$9)),"")</f>
        <v/>
      </c>
    </row>
    <row r="1243" spans="1:14" ht="15" customHeight="1" x14ac:dyDescent="0.25">
      <c r="A1243" t="str">
        <f>'NEW ACCOUNT'!A1244</f>
        <v/>
      </c>
      <c r="B1243" t="str">
        <f>IF('NEW ACCOUNT'!A1244="","",'NEW ACCOUNT'!B1244)</f>
        <v/>
      </c>
      <c r="C1243" t="str">
        <f>IF('NEW ACCOUNT'!A1244="","",'NEW ACCOUNT'!C1244)</f>
        <v/>
      </c>
      <c r="D1243" t="str">
        <f>IF('NEW ACCOUNT'!A1244="","",'NEW ACCOUNT'!D1244)</f>
        <v/>
      </c>
      <c r="E1243" t="str">
        <f>IF('NEW ACCOUNT'!A1244="","",'NEW ACCOUNT'!E1244)</f>
        <v/>
      </c>
      <c r="F1243" t="str">
        <f>IF('NEW ACCOUNT'!A1244="","",'NEW ACCOUNT'!F1244)</f>
        <v/>
      </c>
      <c r="G1243" t="str">
        <f>IF('NEW ACCOUNT'!A1244="","",'NEW ACCOUNT'!G1244)</f>
        <v/>
      </c>
      <c r="H1243" t="str">
        <f>IF('NEW ACCOUNT'!A1244="","",'NEW ACCOUNT'!H1244)</f>
        <v/>
      </c>
      <c r="I1243" t="str">
        <f>IF('NEW ACCOUNT'!A1244="","",'NEW ACCOUNT'!I1244)</f>
        <v/>
      </c>
      <c r="J1243" t="str">
        <f>IF('NEW ACCOUNT'!A1244="","",'NEW ACCOUNT'!J1244)</f>
        <v/>
      </c>
      <c r="K1243" t="str">
        <f>IFERROR(IF(A1243="","",SUMIF(DB_Savings!$A:$A,A1243,DB_Savings!$F:$F)),"")</f>
        <v/>
      </c>
      <c r="L1243" t="str">
        <f>IFERROR(IF(A1243="","",SUMIF(DB_Withdrawals!$A:$A,A1243,DB_Withdrawals!$G:$G)),"")</f>
        <v/>
      </c>
      <c r="M1243" t="str">
        <f>IFERROR(IF(A1243="","",IFERROR(VALUE(H1243),0)+IFERROR(SUMIF(DB_Savings!$A:$A,A1243,DB_Savings!$F:$F),0)-IFERROR(SUMIF(DB_Withdrawals!$A:$A,A1243,DB_Withdrawals!$G:$G),0)),"")</f>
        <v/>
      </c>
      <c r="N1243" t="str">
        <f>IFERROR(IF(A1243="","",MAX(0,M1243-System_Config!$B$9)),"")</f>
        <v/>
      </c>
    </row>
    <row r="1244" spans="1:14" ht="15" customHeight="1" x14ac:dyDescent="0.25">
      <c r="A1244" t="str">
        <f>'NEW ACCOUNT'!A1245</f>
        <v/>
      </c>
      <c r="B1244" t="str">
        <f>IF('NEW ACCOUNT'!A1245="","",'NEW ACCOUNT'!B1245)</f>
        <v/>
      </c>
      <c r="C1244" t="str">
        <f>IF('NEW ACCOUNT'!A1245="","",'NEW ACCOUNT'!C1245)</f>
        <v/>
      </c>
      <c r="D1244" t="str">
        <f>IF('NEW ACCOUNT'!A1245="","",'NEW ACCOUNT'!D1245)</f>
        <v/>
      </c>
      <c r="E1244" t="str">
        <f>IF('NEW ACCOUNT'!A1245="","",'NEW ACCOUNT'!E1245)</f>
        <v/>
      </c>
      <c r="F1244" t="str">
        <f>IF('NEW ACCOUNT'!A1245="","",'NEW ACCOUNT'!F1245)</f>
        <v/>
      </c>
      <c r="G1244" t="str">
        <f>IF('NEW ACCOUNT'!A1245="","",'NEW ACCOUNT'!G1245)</f>
        <v/>
      </c>
      <c r="H1244" t="str">
        <f>IF('NEW ACCOUNT'!A1245="","",'NEW ACCOUNT'!H1245)</f>
        <v/>
      </c>
      <c r="I1244" t="str">
        <f>IF('NEW ACCOUNT'!A1245="","",'NEW ACCOUNT'!I1245)</f>
        <v/>
      </c>
      <c r="J1244" t="str">
        <f>IF('NEW ACCOUNT'!A1245="","",'NEW ACCOUNT'!J1245)</f>
        <v/>
      </c>
      <c r="K1244" t="str">
        <f>IFERROR(IF(A1244="","",SUMIF(DB_Savings!$A:$A,A1244,DB_Savings!$F:$F)),"")</f>
        <v/>
      </c>
      <c r="L1244" t="str">
        <f>IFERROR(IF(A1244="","",SUMIF(DB_Withdrawals!$A:$A,A1244,DB_Withdrawals!$G:$G)),"")</f>
        <v/>
      </c>
      <c r="M1244" t="str">
        <f>IFERROR(IF(A1244="","",IFERROR(VALUE(H1244),0)+IFERROR(SUMIF(DB_Savings!$A:$A,A1244,DB_Savings!$F:$F),0)-IFERROR(SUMIF(DB_Withdrawals!$A:$A,A1244,DB_Withdrawals!$G:$G),0)),"")</f>
        <v/>
      </c>
      <c r="N1244" t="str">
        <f>IFERROR(IF(A1244="","",MAX(0,M1244-System_Config!$B$9)),"")</f>
        <v/>
      </c>
    </row>
    <row r="1245" spans="1:14" ht="15" customHeight="1" x14ac:dyDescent="0.25">
      <c r="A1245" t="str">
        <f>'NEW ACCOUNT'!A1246</f>
        <v/>
      </c>
      <c r="B1245" t="str">
        <f>IF('NEW ACCOUNT'!A1246="","",'NEW ACCOUNT'!B1246)</f>
        <v/>
      </c>
      <c r="C1245" t="str">
        <f>IF('NEW ACCOUNT'!A1246="","",'NEW ACCOUNT'!C1246)</f>
        <v/>
      </c>
      <c r="D1245" t="str">
        <f>IF('NEW ACCOUNT'!A1246="","",'NEW ACCOUNT'!D1246)</f>
        <v/>
      </c>
      <c r="E1245" t="str">
        <f>IF('NEW ACCOUNT'!A1246="","",'NEW ACCOUNT'!E1246)</f>
        <v/>
      </c>
      <c r="F1245" t="str">
        <f>IF('NEW ACCOUNT'!A1246="","",'NEW ACCOUNT'!F1246)</f>
        <v/>
      </c>
      <c r="G1245" t="str">
        <f>IF('NEW ACCOUNT'!A1246="","",'NEW ACCOUNT'!G1246)</f>
        <v/>
      </c>
      <c r="H1245" t="str">
        <f>IF('NEW ACCOUNT'!A1246="","",'NEW ACCOUNT'!H1246)</f>
        <v/>
      </c>
      <c r="I1245" t="str">
        <f>IF('NEW ACCOUNT'!A1246="","",'NEW ACCOUNT'!I1246)</f>
        <v/>
      </c>
      <c r="J1245" t="str">
        <f>IF('NEW ACCOUNT'!A1246="","",'NEW ACCOUNT'!J1246)</f>
        <v/>
      </c>
      <c r="K1245" t="str">
        <f>IFERROR(IF(A1245="","",SUMIF(DB_Savings!$A:$A,A1245,DB_Savings!$F:$F)),"")</f>
        <v/>
      </c>
      <c r="L1245" t="str">
        <f>IFERROR(IF(A1245="","",SUMIF(DB_Withdrawals!$A:$A,A1245,DB_Withdrawals!$G:$G)),"")</f>
        <v/>
      </c>
      <c r="M1245" t="str">
        <f>IFERROR(IF(A1245="","",IFERROR(VALUE(H1245),0)+IFERROR(SUMIF(DB_Savings!$A:$A,A1245,DB_Savings!$F:$F),0)-IFERROR(SUMIF(DB_Withdrawals!$A:$A,A1245,DB_Withdrawals!$G:$G),0)),"")</f>
        <v/>
      </c>
      <c r="N1245" t="str">
        <f>IFERROR(IF(A1245="","",MAX(0,M1245-System_Config!$B$9)),"")</f>
        <v/>
      </c>
    </row>
    <row r="1246" spans="1:14" ht="15" customHeight="1" x14ac:dyDescent="0.25">
      <c r="A1246" t="str">
        <f>'NEW ACCOUNT'!A1247</f>
        <v/>
      </c>
      <c r="B1246" t="str">
        <f>IF('NEW ACCOUNT'!A1247="","",'NEW ACCOUNT'!B1247)</f>
        <v/>
      </c>
      <c r="C1246" t="str">
        <f>IF('NEW ACCOUNT'!A1247="","",'NEW ACCOUNT'!C1247)</f>
        <v/>
      </c>
      <c r="D1246" t="str">
        <f>IF('NEW ACCOUNT'!A1247="","",'NEW ACCOUNT'!D1247)</f>
        <v/>
      </c>
      <c r="E1246" t="str">
        <f>IF('NEW ACCOUNT'!A1247="","",'NEW ACCOUNT'!E1247)</f>
        <v/>
      </c>
      <c r="F1246" t="str">
        <f>IF('NEW ACCOUNT'!A1247="","",'NEW ACCOUNT'!F1247)</f>
        <v/>
      </c>
      <c r="G1246" t="str">
        <f>IF('NEW ACCOUNT'!A1247="","",'NEW ACCOUNT'!G1247)</f>
        <v/>
      </c>
      <c r="H1246" t="str">
        <f>IF('NEW ACCOUNT'!A1247="","",'NEW ACCOUNT'!H1247)</f>
        <v/>
      </c>
      <c r="I1246" t="str">
        <f>IF('NEW ACCOUNT'!A1247="","",'NEW ACCOUNT'!I1247)</f>
        <v/>
      </c>
      <c r="J1246" t="str">
        <f>IF('NEW ACCOUNT'!A1247="","",'NEW ACCOUNT'!J1247)</f>
        <v/>
      </c>
      <c r="K1246" t="str">
        <f>IFERROR(IF(A1246="","",SUMIF(DB_Savings!$A:$A,A1246,DB_Savings!$F:$F)),"")</f>
        <v/>
      </c>
      <c r="L1246" t="str">
        <f>IFERROR(IF(A1246="","",SUMIF(DB_Withdrawals!$A:$A,A1246,DB_Withdrawals!$G:$G)),"")</f>
        <v/>
      </c>
      <c r="M1246" t="str">
        <f>IFERROR(IF(A1246="","",IFERROR(VALUE(H1246),0)+IFERROR(SUMIF(DB_Savings!$A:$A,A1246,DB_Savings!$F:$F),0)-IFERROR(SUMIF(DB_Withdrawals!$A:$A,A1246,DB_Withdrawals!$G:$G),0)),"")</f>
        <v/>
      </c>
      <c r="N1246" t="str">
        <f>IFERROR(IF(A1246="","",MAX(0,M1246-System_Config!$B$9)),"")</f>
        <v/>
      </c>
    </row>
    <row r="1247" spans="1:14" ht="15" customHeight="1" x14ac:dyDescent="0.25">
      <c r="A1247" t="str">
        <f>'NEW ACCOUNT'!A1248</f>
        <v/>
      </c>
      <c r="B1247" t="str">
        <f>IF('NEW ACCOUNT'!A1248="","",'NEW ACCOUNT'!B1248)</f>
        <v/>
      </c>
      <c r="C1247" t="str">
        <f>IF('NEW ACCOUNT'!A1248="","",'NEW ACCOUNT'!C1248)</f>
        <v/>
      </c>
      <c r="D1247" t="str">
        <f>IF('NEW ACCOUNT'!A1248="","",'NEW ACCOUNT'!D1248)</f>
        <v/>
      </c>
      <c r="E1247" t="str">
        <f>IF('NEW ACCOUNT'!A1248="","",'NEW ACCOUNT'!E1248)</f>
        <v/>
      </c>
      <c r="F1247" t="str">
        <f>IF('NEW ACCOUNT'!A1248="","",'NEW ACCOUNT'!F1248)</f>
        <v/>
      </c>
      <c r="G1247" t="str">
        <f>IF('NEW ACCOUNT'!A1248="","",'NEW ACCOUNT'!G1248)</f>
        <v/>
      </c>
      <c r="H1247" t="str">
        <f>IF('NEW ACCOUNT'!A1248="","",'NEW ACCOUNT'!H1248)</f>
        <v/>
      </c>
      <c r="I1247" t="str">
        <f>IF('NEW ACCOUNT'!A1248="","",'NEW ACCOUNT'!I1248)</f>
        <v/>
      </c>
      <c r="J1247" t="str">
        <f>IF('NEW ACCOUNT'!A1248="","",'NEW ACCOUNT'!J1248)</f>
        <v/>
      </c>
      <c r="K1247" t="str">
        <f>IFERROR(IF(A1247="","",SUMIF(DB_Savings!$A:$A,A1247,DB_Savings!$F:$F)),"")</f>
        <v/>
      </c>
      <c r="L1247" t="str">
        <f>IFERROR(IF(A1247="","",SUMIF(DB_Withdrawals!$A:$A,A1247,DB_Withdrawals!$G:$G)),"")</f>
        <v/>
      </c>
      <c r="M1247" t="str">
        <f>IFERROR(IF(A1247="","",IFERROR(VALUE(H1247),0)+IFERROR(SUMIF(DB_Savings!$A:$A,A1247,DB_Savings!$F:$F),0)-IFERROR(SUMIF(DB_Withdrawals!$A:$A,A1247,DB_Withdrawals!$G:$G),0)),"")</f>
        <v/>
      </c>
      <c r="N1247" t="str">
        <f>IFERROR(IF(A1247="","",MAX(0,M1247-System_Config!$B$9)),"")</f>
        <v/>
      </c>
    </row>
    <row r="1248" spans="1:14" ht="15" customHeight="1" x14ac:dyDescent="0.25">
      <c r="A1248" t="str">
        <f>'NEW ACCOUNT'!A1249</f>
        <v/>
      </c>
      <c r="B1248" t="str">
        <f>IF('NEW ACCOUNT'!A1249="","",'NEW ACCOUNT'!B1249)</f>
        <v/>
      </c>
      <c r="C1248" t="str">
        <f>IF('NEW ACCOUNT'!A1249="","",'NEW ACCOUNT'!C1249)</f>
        <v/>
      </c>
      <c r="D1248" t="str">
        <f>IF('NEW ACCOUNT'!A1249="","",'NEW ACCOUNT'!D1249)</f>
        <v/>
      </c>
      <c r="E1248" t="str">
        <f>IF('NEW ACCOUNT'!A1249="","",'NEW ACCOUNT'!E1249)</f>
        <v/>
      </c>
      <c r="F1248" t="str">
        <f>IF('NEW ACCOUNT'!A1249="","",'NEW ACCOUNT'!F1249)</f>
        <v/>
      </c>
      <c r="G1248" t="str">
        <f>IF('NEW ACCOUNT'!A1249="","",'NEW ACCOUNT'!G1249)</f>
        <v/>
      </c>
      <c r="H1248" t="str">
        <f>IF('NEW ACCOUNT'!A1249="","",'NEW ACCOUNT'!H1249)</f>
        <v/>
      </c>
      <c r="I1248" t="str">
        <f>IF('NEW ACCOUNT'!A1249="","",'NEW ACCOUNT'!I1249)</f>
        <v/>
      </c>
      <c r="J1248" t="str">
        <f>IF('NEW ACCOUNT'!A1249="","",'NEW ACCOUNT'!J1249)</f>
        <v/>
      </c>
      <c r="K1248" t="str">
        <f>IFERROR(IF(A1248="","",SUMIF(DB_Savings!$A:$A,A1248,DB_Savings!$F:$F)),"")</f>
        <v/>
      </c>
      <c r="L1248" t="str">
        <f>IFERROR(IF(A1248="","",SUMIF(DB_Withdrawals!$A:$A,A1248,DB_Withdrawals!$G:$G)),"")</f>
        <v/>
      </c>
      <c r="M1248" t="str">
        <f>IFERROR(IF(A1248="","",IFERROR(VALUE(H1248),0)+IFERROR(SUMIF(DB_Savings!$A:$A,A1248,DB_Savings!$F:$F),0)-IFERROR(SUMIF(DB_Withdrawals!$A:$A,A1248,DB_Withdrawals!$G:$G),0)),"")</f>
        <v/>
      </c>
      <c r="N1248" t="str">
        <f>IFERROR(IF(A1248="","",MAX(0,M1248-System_Config!$B$9)),"")</f>
        <v/>
      </c>
    </row>
    <row r="1249" spans="1:14" ht="15" customHeight="1" x14ac:dyDescent="0.25">
      <c r="A1249" t="str">
        <f>'NEW ACCOUNT'!A1250</f>
        <v/>
      </c>
      <c r="B1249" t="str">
        <f>IF('NEW ACCOUNT'!A1250="","",'NEW ACCOUNT'!B1250)</f>
        <v/>
      </c>
      <c r="C1249" t="str">
        <f>IF('NEW ACCOUNT'!A1250="","",'NEW ACCOUNT'!C1250)</f>
        <v/>
      </c>
      <c r="D1249" t="str">
        <f>IF('NEW ACCOUNT'!A1250="","",'NEW ACCOUNT'!D1250)</f>
        <v/>
      </c>
      <c r="E1249" t="str">
        <f>IF('NEW ACCOUNT'!A1250="","",'NEW ACCOUNT'!E1250)</f>
        <v/>
      </c>
      <c r="F1249" t="str">
        <f>IF('NEW ACCOUNT'!A1250="","",'NEW ACCOUNT'!F1250)</f>
        <v/>
      </c>
      <c r="G1249" t="str">
        <f>IF('NEW ACCOUNT'!A1250="","",'NEW ACCOUNT'!G1250)</f>
        <v/>
      </c>
      <c r="H1249" t="str">
        <f>IF('NEW ACCOUNT'!A1250="","",'NEW ACCOUNT'!H1250)</f>
        <v/>
      </c>
      <c r="I1249" t="str">
        <f>IF('NEW ACCOUNT'!A1250="","",'NEW ACCOUNT'!I1250)</f>
        <v/>
      </c>
      <c r="J1249" t="str">
        <f>IF('NEW ACCOUNT'!A1250="","",'NEW ACCOUNT'!J1250)</f>
        <v/>
      </c>
      <c r="K1249" t="str">
        <f>IFERROR(IF(A1249="","",SUMIF(DB_Savings!$A:$A,A1249,DB_Savings!$F:$F)),"")</f>
        <v/>
      </c>
      <c r="L1249" t="str">
        <f>IFERROR(IF(A1249="","",SUMIF(DB_Withdrawals!$A:$A,A1249,DB_Withdrawals!$G:$G)),"")</f>
        <v/>
      </c>
      <c r="M1249" t="str">
        <f>IFERROR(IF(A1249="","",IFERROR(VALUE(H1249),0)+IFERROR(SUMIF(DB_Savings!$A:$A,A1249,DB_Savings!$F:$F),0)-IFERROR(SUMIF(DB_Withdrawals!$A:$A,A1249,DB_Withdrawals!$G:$G),0)),"")</f>
        <v/>
      </c>
      <c r="N1249" t="str">
        <f>IFERROR(IF(A1249="","",MAX(0,M1249-System_Config!$B$9)),"")</f>
        <v/>
      </c>
    </row>
    <row r="1250" spans="1:14" ht="15" customHeight="1" x14ac:dyDescent="0.25">
      <c r="A1250" t="str">
        <f>'NEW ACCOUNT'!A1251</f>
        <v/>
      </c>
      <c r="B1250" t="str">
        <f>IF('NEW ACCOUNT'!A1251="","",'NEW ACCOUNT'!B1251)</f>
        <v/>
      </c>
      <c r="C1250" t="str">
        <f>IF('NEW ACCOUNT'!A1251="","",'NEW ACCOUNT'!C1251)</f>
        <v/>
      </c>
      <c r="D1250" t="str">
        <f>IF('NEW ACCOUNT'!A1251="","",'NEW ACCOUNT'!D1251)</f>
        <v/>
      </c>
      <c r="E1250" t="str">
        <f>IF('NEW ACCOUNT'!A1251="","",'NEW ACCOUNT'!E1251)</f>
        <v/>
      </c>
      <c r="F1250" t="str">
        <f>IF('NEW ACCOUNT'!A1251="","",'NEW ACCOUNT'!F1251)</f>
        <v/>
      </c>
      <c r="G1250" t="str">
        <f>IF('NEW ACCOUNT'!A1251="","",'NEW ACCOUNT'!G1251)</f>
        <v/>
      </c>
      <c r="H1250" t="str">
        <f>IF('NEW ACCOUNT'!A1251="","",'NEW ACCOUNT'!H1251)</f>
        <v/>
      </c>
      <c r="I1250" t="str">
        <f>IF('NEW ACCOUNT'!A1251="","",'NEW ACCOUNT'!I1251)</f>
        <v/>
      </c>
      <c r="J1250" t="str">
        <f>IF('NEW ACCOUNT'!A1251="","",'NEW ACCOUNT'!J1251)</f>
        <v/>
      </c>
      <c r="K1250" t="str">
        <f>IFERROR(IF(A1250="","",SUMIF(DB_Savings!$A:$A,A1250,DB_Savings!$F:$F)),"")</f>
        <v/>
      </c>
      <c r="L1250" t="str">
        <f>IFERROR(IF(A1250="","",SUMIF(DB_Withdrawals!$A:$A,A1250,DB_Withdrawals!$G:$G)),"")</f>
        <v/>
      </c>
      <c r="M1250" t="str">
        <f>IFERROR(IF(A1250="","",IFERROR(VALUE(H1250),0)+IFERROR(SUMIF(DB_Savings!$A:$A,A1250,DB_Savings!$F:$F),0)-IFERROR(SUMIF(DB_Withdrawals!$A:$A,A1250,DB_Withdrawals!$G:$G),0)),"")</f>
        <v/>
      </c>
      <c r="N1250" t="str">
        <f>IFERROR(IF(A1250="","",MAX(0,M1250-System_Config!$B$9)),"")</f>
        <v/>
      </c>
    </row>
    <row r="1251" spans="1:14" ht="15" customHeight="1" x14ac:dyDescent="0.25">
      <c r="A1251" t="str">
        <f>'NEW ACCOUNT'!A1252</f>
        <v/>
      </c>
      <c r="B1251" t="str">
        <f>IF('NEW ACCOUNT'!A1252="","",'NEW ACCOUNT'!B1252)</f>
        <v/>
      </c>
      <c r="C1251" t="str">
        <f>IF('NEW ACCOUNT'!A1252="","",'NEW ACCOUNT'!C1252)</f>
        <v/>
      </c>
      <c r="D1251" t="str">
        <f>IF('NEW ACCOUNT'!A1252="","",'NEW ACCOUNT'!D1252)</f>
        <v/>
      </c>
      <c r="E1251" t="str">
        <f>IF('NEW ACCOUNT'!A1252="","",'NEW ACCOUNT'!E1252)</f>
        <v/>
      </c>
      <c r="F1251" t="str">
        <f>IF('NEW ACCOUNT'!A1252="","",'NEW ACCOUNT'!F1252)</f>
        <v/>
      </c>
      <c r="G1251" t="str">
        <f>IF('NEW ACCOUNT'!A1252="","",'NEW ACCOUNT'!G1252)</f>
        <v/>
      </c>
      <c r="H1251" t="str">
        <f>IF('NEW ACCOUNT'!A1252="","",'NEW ACCOUNT'!H1252)</f>
        <v/>
      </c>
      <c r="I1251" t="str">
        <f>IF('NEW ACCOUNT'!A1252="","",'NEW ACCOUNT'!I1252)</f>
        <v/>
      </c>
      <c r="J1251" t="str">
        <f>IF('NEW ACCOUNT'!A1252="","",'NEW ACCOUNT'!J1252)</f>
        <v/>
      </c>
      <c r="K1251" t="str">
        <f>IFERROR(IF(A1251="","",SUMIF(DB_Savings!$A:$A,A1251,DB_Savings!$F:$F)),"")</f>
        <v/>
      </c>
      <c r="L1251" t="str">
        <f>IFERROR(IF(A1251="","",SUMIF(DB_Withdrawals!$A:$A,A1251,DB_Withdrawals!$G:$G)),"")</f>
        <v/>
      </c>
      <c r="M1251" t="str">
        <f>IFERROR(IF(A1251="","",IFERROR(VALUE(H1251),0)+IFERROR(SUMIF(DB_Savings!$A:$A,A1251,DB_Savings!$F:$F),0)-IFERROR(SUMIF(DB_Withdrawals!$A:$A,A1251,DB_Withdrawals!$G:$G),0)),"")</f>
        <v/>
      </c>
      <c r="N1251" t="str">
        <f>IFERROR(IF(A1251="","",MAX(0,M1251-System_Config!$B$9)),"")</f>
        <v/>
      </c>
    </row>
    <row r="1252" spans="1:14" ht="15" customHeight="1" x14ac:dyDescent="0.25">
      <c r="A1252" t="str">
        <f>'NEW ACCOUNT'!A1253</f>
        <v/>
      </c>
      <c r="B1252" t="str">
        <f>IF('NEW ACCOUNT'!A1253="","",'NEW ACCOUNT'!B1253)</f>
        <v/>
      </c>
      <c r="C1252" t="str">
        <f>IF('NEW ACCOUNT'!A1253="","",'NEW ACCOUNT'!C1253)</f>
        <v/>
      </c>
      <c r="D1252" t="str">
        <f>IF('NEW ACCOUNT'!A1253="","",'NEW ACCOUNT'!D1253)</f>
        <v/>
      </c>
      <c r="E1252" t="str">
        <f>IF('NEW ACCOUNT'!A1253="","",'NEW ACCOUNT'!E1253)</f>
        <v/>
      </c>
      <c r="F1252" t="str">
        <f>IF('NEW ACCOUNT'!A1253="","",'NEW ACCOUNT'!F1253)</f>
        <v/>
      </c>
      <c r="G1252" t="str">
        <f>IF('NEW ACCOUNT'!A1253="","",'NEW ACCOUNT'!G1253)</f>
        <v/>
      </c>
      <c r="H1252" t="str">
        <f>IF('NEW ACCOUNT'!A1253="","",'NEW ACCOUNT'!H1253)</f>
        <v/>
      </c>
      <c r="I1252" t="str">
        <f>IF('NEW ACCOUNT'!A1253="","",'NEW ACCOUNT'!I1253)</f>
        <v/>
      </c>
      <c r="J1252" t="str">
        <f>IF('NEW ACCOUNT'!A1253="","",'NEW ACCOUNT'!J1253)</f>
        <v/>
      </c>
      <c r="K1252" t="str">
        <f>IFERROR(IF(A1252="","",SUMIF(DB_Savings!$A:$A,A1252,DB_Savings!$F:$F)),"")</f>
        <v/>
      </c>
      <c r="L1252" t="str">
        <f>IFERROR(IF(A1252="","",SUMIF(DB_Withdrawals!$A:$A,A1252,DB_Withdrawals!$G:$G)),"")</f>
        <v/>
      </c>
      <c r="M1252" t="str">
        <f>IFERROR(IF(A1252="","",IFERROR(VALUE(H1252),0)+IFERROR(SUMIF(DB_Savings!$A:$A,A1252,DB_Savings!$F:$F),0)-IFERROR(SUMIF(DB_Withdrawals!$A:$A,A1252,DB_Withdrawals!$G:$G),0)),"")</f>
        <v/>
      </c>
      <c r="N1252" t="str">
        <f>IFERROR(IF(A1252="","",MAX(0,M1252-System_Config!$B$9)),"")</f>
        <v/>
      </c>
    </row>
    <row r="1253" spans="1:14" ht="15" customHeight="1" x14ac:dyDescent="0.25">
      <c r="A1253" t="str">
        <f>'NEW ACCOUNT'!A1254</f>
        <v/>
      </c>
      <c r="B1253" t="str">
        <f>IF('NEW ACCOUNT'!A1254="","",'NEW ACCOUNT'!B1254)</f>
        <v/>
      </c>
      <c r="C1253" t="str">
        <f>IF('NEW ACCOUNT'!A1254="","",'NEW ACCOUNT'!C1254)</f>
        <v/>
      </c>
      <c r="D1253" t="str">
        <f>IF('NEW ACCOUNT'!A1254="","",'NEW ACCOUNT'!D1254)</f>
        <v/>
      </c>
      <c r="E1253" t="str">
        <f>IF('NEW ACCOUNT'!A1254="","",'NEW ACCOUNT'!E1254)</f>
        <v/>
      </c>
      <c r="F1253" t="str">
        <f>IF('NEW ACCOUNT'!A1254="","",'NEW ACCOUNT'!F1254)</f>
        <v/>
      </c>
      <c r="G1253" t="str">
        <f>IF('NEW ACCOUNT'!A1254="","",'NEW ACCOUNT'!G1254)</f>
        <v/>
      </c>
      <c r="H1253" t="str">
        <f>IF('NEW ACCOUNT'!A1254="","",'NEW ACCOUNT'!H1254)</f>
        <v/>
      </c>
      <c r="I1253" t="str">
        <f>IF('NEW ACCOUNT'!A1254="","",'NEW ACCOUNT'!I1254)</f>
        <v/>
      </c>
      <c r="J1253" t="str">
        <f>IF('NEW ACCOUNT'!A1254="","",'NEW ACCOUNT'!J1254)</f>
        <v/>
      </c>
      <c r="K1253" t="str">
        <f>IFERROR(IF(A1253="","",SUMIF(DB_Savings!$A:$A,A1253,DB_Savings!$F:$F)),"")</f>
        <v/>
      </c>
      <c r="L1253" t="str">
        <f>IFERROR(IF(A1253="","",SUMIF(DB_Withdrawals!$A:$A,A1253,DB_Withdrawals!$G:$G)),"")</f>
        <v/>
      </c>
      <c r="M1253" t="str">
        <f>IFERROR(IF(A1253="","",IFERROR(VALUE(H1253),0)+IFERROR(SUMIF(DB_Savings!$A:$A,A1253,DB_Savings!$F:$F),0)-IFERROR(SUMIF(DB_Withdrawals!$A:$A,A1253,DB_Withdrawals!$G:$G),0)),"")</f>
        <v/>
      </c>
      <c r="N1253" t="str">
        <f>IFERROR(IF(A1253="","",MAX(0,M1253-System_Config!$B$9)),"")</f>
        <v/>
      </c>
    </row>
    <row r="1254" spans="1:14" ht="15" customHeight="1" x14ac:dyDescent="0.25">
      <c r="A1254" t="str">
        <f>'NEW ACCOUNT'!A1255</f>
        <v/>
      </c>
      <c r="B1254" t="str">
        <f>IF('NEW ACCOUNT'!A1255="","",'NEW ACCOUNT'!B1255)</f>
        <v/>
      </c>
      <c r="C1254" t="str">
        <f>IF('NEW ACCOUNT'!A1255="","",'NEW ACCOUNT'!C1255)</f>
        <v/>
      </c>
      <c r="D1254" t="str">
        <f>IF('NEW ACCOUNT'!A1255="","",'NEW ACCOUNT'!D1255)</f>
        <v/>
      </c>
      <c r="E1254" t="str">
        <f>IF('NEW ACCOUNT'!A1255="","",'NEW ACCOUNT'!E1255)</f>
        <v/>
      </c>
      <c r="F1254" t="str">
        <f>IF('NEW ACCOUNT'!A1255="","",'NEW ACCOUNT'!F1255)</f>
        <v/>
      </c>
      <c r="G1254" t="str">
        <f>IF('NEW ACCOUNT'!A1255="","",'NEW ACCOUNT'!G1255)</f>
        <v/>
      </c>
      <c r="H1254" t="str">
        <f>IF('NEW ACCOUNT'!A1255="","",'NEW ACCOUNT'!H1255)</f>
        <v/>
      </c>
      <c r="I1254" t="str">
        <f>IF('NEW ACCOUNT'!A1255="","",'NEW ACCOUNT'!I1255)</f>
        <v/>
      </c>
      <c r="J1254" t="str">
        <f>IF('NEW ACCOUNT'!A1255="","",'NEW ACCOUNT'!J1255)</f>
        <v/>
      </c>
      <c r="K1254" t="str">
        <f>IFERROR(IF(A1254="","",SUMIF(DB_Savings!$A:$A,A1254,DB_Savings!$F:$F)),"")</f>
        <v/>
      </c>
      <c r="L1254" t="str">
        <f>IFERROR(IF(A1254="","",SUMIF(DB_Withdrawals!$A:$A,A1254,DB_Withdrawals!$G:$G)),"")</f>
        <v/>
      </c>
      <c r="M1254" t="str">
        <f>IFERROR(IF(A1254="","",IFERROR(VALUE(H1254),0)+IFERROR(SUMIF(DB_Savings!$A:$A,A1254,DB_Savings!$F:$F),0)-IFERROR(SUMIF(DB_Withdrawals!$A:$A,A1254,DB_Withdrawals!$G:$G),0)),"")</f>
        <v/>
      </c>
      <c r="N1254" t="str">
        <f>IFERROR(IF(A1254="","",MAX(0,M1254-System_Config!$B$9)),"")</f>
        <v/>
      </c>
    </row>
    <row r="1255" spans="1:14" ht="15" customHeight="1" x14ac:dyDescent="0.25">
      <c r="A1255" t="str">
        <f>'NEW ACCOUNT'!A1256</f>
        <v/>
      </c>
      <c r="B1255" t="str">
        <f>IF('NEW ACCOUNT'!A1256="","",'NEW ACCOUNT'!B1256)</f>
        <v/>
      </c>
      <c r="C1255" t="str">
        <f>IF('NEW ACCOUNT'!A1256="","",'NEW ACCOUNT'!C1256)</f>
        <v/>
      </c>
      <c r="D1255" t="str">
        <f>IF('NEW ACCOUNT'!A1256="","",'NEW ACCOUNT'!D1256)</f>
        <v/>
      </c>
      <c r="E1255" t="str">
        <f>IF('NEW ACCOUNT'!A1256="","",'NEW ACCOUNT'!E1256)</f>
        <v/>
      </c>
      <c r="F1255" t="str">
        <f>IF('NEW ACCOUNT'!A1256="","",'NEW ACCOUNT'!F1256)</f>
        <v/>
      </c>
      <c r="G1255" t="str">
        <f>IF('NEW ACCOUNT'!A1256="","",'NEW ACCOUNT'!G1256)</f>
        <v/>
      </c>
      <c r="H1255" t="str">
        <f>IF('NEW ACCOUNT'!A1256="","",'NEW ACCOUNT'!H1256)</f>
        <v/>
      </c>
      <c r="I1255" t="str">
        <f>IF('NEW ACCOUNT'!A1256="","",'NEW ACCOUNT'!I1256)</f>
        <v/>
      </c>
      <c r="J1255" t="str">
        <f>IF('NEW ACCOUNT'!A1256="","",'NEW ACCOUNT'!J1256)</f>
        <v/>
      </c>
      <c r="K1255" t="str">
        <f>IFERROR(IF(A1255="","",SUMIF(DB_Savings!$A:$A,A1255,DB_Savings!$F:$F)),"")</f>
        <v/>
      </c>
      <c r="L1255" t="str">
        <f>IFERROR(IF(A1255="","",SUMIF(DB_Withdrawals!$A:$A,A1255,DB_Withdrawals!$G:$G)),"")</f>
        <v/>
      </c>
      <c r="M1255" t="str">
        <f>IFERROR(IF(A1255="","",IFERROR(VALUE(H1255),0)+IFERROR(SUMIF(DB_Savings!$A:$A,A1255,DB_Savings!$F:$F),0)-IFERROR(SUMIF(DB_Withdrawals!$A:$A,A1255,DB_Withdrawals!$G:$G),0)),"")</f>
        <v/>
      </c>
      <c r="N1255" t="str">
        <f>IFERROR(IF(A1255="","",MAX(0,M1255-System_Config!$B$9)),"")</f>
        <v/>
      </c>
    </row>
    <row r="1256" spans="1:14" ht="15" customHeight="1" x14ac:dyDescent="0.25">
      <c r="A1256" t="str">
        <f>'NEW ACCOUNT'!A1257</f>
        <v/>
      </c>
      <c r="B1256" t="str">
        <f>IF('NEW ACCOUNT'!A1257="","",'NEW ACCOUNT'!B1257)</f>
        <v/>
      </c>
      <c r="C1256" t="str">
        <f>IF('NEW ACCOUNT'!A1257="","",'NEW ACCOUNT'!C1257)</f>
        <v/>
      </c>
      <c r="D1256" t="str">
        <f>IF('NEW ACCOUNT'!A1257="","",'NEW ACCOUNT'!D1257)</f>
        <v/>
      </c>
      <c r="E1256" t="str">
        <f>IF('NEW ACCOUNT'!A1257="","",'NEW ACCOUNT'!E1257)</f>
        <v/>
      </c>
      <c r="F1256" t="str">
        <f>IF('NEW ACCOUNT'!A1257="","",'NEW ACCOUNT'!F1257)</f>
        <v/>
      </c>
      <c r="G1256" t="str">
        <f>IF('NEW ACCOUNT'!A1257="","",'NEW ACCOUNT'!G1257)</f>
        <v/>
      </c>
      <c r="H1256" t="str">
        <f>IF('NEW ACCOUNT'!A1257="","",'NEW ACCOUNT'!H1257)</f>
        <v/>
      </c>
      <c r="I1256" t="str">
        <f>IF('NEW ACCOUNT'!A1257="","",'NEW ACCOUNT'!I1257)</f>
        <v/>
      </c>
      <c r="J1256" t="str">
        <f>IF('NEW ACCOUNT'!A1257="","",'NEW ACCOUNT'!J1257)</f>
        <v/>
      </c>
      <c r="K1256" t="str">
        <f>IFERROR(IF(A1256="","",SUMIF(DB_Savings!$A:$A,A1256,DB_Savings!$F:$F)),"")</f>
        <v/>
      </c>
      <c r="L1256" t="str">
        <f>IFERROR(IF(A1256="","",SUMIF(DB_Withdrawals!$A:$A,A1256,DB_Withdrawals!$G:$G)),"")</f>
        <v/>
      </c>
      <c r="M1256" t="str">
        <f>IFERROR(IF(A1256="","",IFERROR(VALUE(H1256),0)+IFERROR(SUMIF(DB_Savings!$A:$A,A1256,DB_Savings!$F:$F),0)-IFERROR(SUMIF(DB_Withdrawals!$A:$A,A1256,DB_Withdrawals!$G:$G),0)),"")</f>
        <v/>
      </c>
      <c r="N1256" t="str">
        <f>IFERROR(IF(A1256="","",MAX(0,M1256-System_Config!$B$9)),"")</f>
        <v/>
      </c>
    </row>
    <row r="1257" spans="1:14" ht="15" customHeight="1" x14ac:dyDescent="0.25">
      <c r="A1257" t="str">
        <f>'NEW ACCOUNT'!A1258</f>
        <v/>
      </c>
      <c r="B1257" t="str">
        <f>IF('NEW ACCOUNT'!A1258="","",'NEW ACCOUNT'!B1258)</f>
        <v/>
      </c>
      <c r="C1257" t="str">
        <f>IF('NEW ACCOUNT'!A1258="","",'NEW ACCOUNT'!C1258)</f>
        <v/>
      </c>
      <c r="D1257" t="str">
        <f>IF('NEW ACCOUNT'!A1258="","",'NEW ACCOUNT'!D1258)</f>
        <v/>
      </c>
      <c r="E1257" t="str">
        <f>IF('NEW ACCOUNT'!A1258="","",'NEW ACCOUNT'!E1258)</f>
        <v/>
      </c>
      <c r="F1257" t="str">
        <f>IF('NEW ACCOUNT'!A1258="","",'NEW ACCOUNT'!F1258)</f>
        <v/>
      </c>
      <c r="G1257" t="str">
        <f>IF('NEW ACCOUNT'!A1258="","",'NEW ACCOUNT'!G1258)</f>
        <v/>
      </c>
      <c r="H1257" t="str">
        <f>IF('NEW ACCOUNT'!A1258="","",'NEW ACCOUNT'!H1258)</f>
        <v/>
      </c>
      <c r="I1257" t="str">
        <f>IF('NEW ACCOUNT'!A1258="","",'NEW ACCOUNT'!I1258)</f>
        <v/>
      </c>
      <c r="J1257" t="str">
        <f>IF('NEW ACCOUNT'!A1258="","",'NEW ACCOUNT'!J1258)</f>
        <v/>
      </c>
      <c r="K1257" t="str">
        <f>IFERROR(IF(A1257="","",SUMIF(DB_Savings!$A:$A,A1257,DB_Savings!$F:$F)),"")</f>
        <v/>
      </c>
      <c r="L1257" t="str">
        <f>IFERROR(IF(A1257="","",SUMIF(DB_Withdrawals!$A:$A,A1257,DB_Withdrawals!$G:$G)),"")</f>
        <v/>
      </c>
      <c r="M1257" t="str">
        <f>IFERROR(IF(A1257="","",IFERROR(VALUE(H1257),0)+IFERROR(SUMIF(DB_Savings!$A:$A,A1257,DB_Savings!$F:$F),0)-IFERROR(SUMIF(DB_Withdrawals!$A:$A,A1257,DB_Withdrawals!$G:$G),0)),"")</f>
        <v/>
      </c>
      <c r="N1257" t="str">
        <f>IFERROR(IF(A1257="","",MAX(0,M1257-System_Config!$B$9)),"")</f>
        <v/>
      </c>
    </row>
    <row r="1258" spans="1:14" ht="15" customHeight="1" x14ac:dyDescent="0.25">
      <c r="A1258" t="str">
        <f>'NEW ACCOUNT'!A1259</f>
        <v/>
      </c>
      <c r="B1258" t="str">
        <f>IF('NEW ACCOUNT'!A1259="","",'NEW ACCOUNT'!B1259)</f>
        <v/>
      </c>
      <c r="C1258" t="str">
        <f>IF('NEW ACCOUNT'!A1259="","",'NEW ACCOUNT'!C1259)</f>
        <v/>
      </c>
      <c r="D1258" t="str">
        <f>IF('NEW ACCOUNT'!A1259="","",'NEW ACCOUNT'!D1259)</f>
        <v/>
      </c>
      <c r="E1258" t="str">
        <f>IF('NEW ACCOUNT'!A1259="","",'NEW ACCOUNT'!E1259)</f>
        <v/>
      </c>
      <c r="F1258" t="str">
        <f>IF('NEW ACCOUNT'!A1259="","",'NEW ACCOUNT'!F1259)</f>
        <v/>
      </c>
      <c r="G1258" t="str">
        <f>IF('NEW ACCOUNT'!A1259="","",'NEW ACCOUNT'!G1259)</f>
        <v/>
      </c>
      <c r="H1258" t="str">
        <f>IF('NEW ACCOUNT'!A1259="","",'NEW ACCOUNT'!H1259)</f>
        <v/>
      </c>
      <c r="I1258" t="str">
        <f>IF('NEW ACCOUNT'!A1259="","",'NEW ACCOUNT'!I1259)</f>
        <v/>
      </c>
      <c r="J1258" t="str">
        <f>IF('NEW ACCOUNT'!A1259="","",'NEW ACCOUNT'!J1259)</f>
        <v/>
      </c>
      <c r="K1258" t="str">
        <f>IFERROR(IF(A1258="","",SUMIF(DB_Savings!$A:$A,A1258,DB_Savings!$F:$F)),"")</f>
        <v/>
      </c>
      <c r="L1258" t="str">
        <f>IFERROR(IF(A1258="","",SUMIF(DB_Withdrawals!$A:$A,A1258,DB_Withdrawals!$G:$G)),"")</f>
        <v/>
      </c>
      <c r="M1258" t="str">
        <f>IFERROR(IF(A1258="","",IFERROR(VALUE(H1258),0)+IFERROR(SUMIF(DB_Savings!$A:$A,A1258,DB_Savings!$F:$F),0)-IFERROR(SUMIF(DB_Withdrawals!$A:$A,A1258,DB_Withdrawals!$G:$G),0)),"")</f>
        <v/>
      </c>
      <c r="N1258" t="str">
        <f>IFERROR(IF(A1258="","",MAX(0,M1258-System_Config!$B$9)),"")</f>
        <v/>
      </c>
    </row>
    <row r="1259" spans="1:14" ht="15" customHeight="1" x14ac:dyDescent="0.25">
      <c r="A1259" t="str">
        <f>'NEW ACCOUNT'!A1260</f>
        <v/>
      </c>
      <c r="B1259" t="str">
        <f>IF('NEW ACCOUNT'!A1260="","",'NEW ACCOUNT'!B1260)</f>
        <v/>
      </c>
      <c r="C1259" t="str">
        <f>IF('NEW ACCOUNT'!A1260="","",'NEW ACCOUNT'!C1260)</f>
        <v/>
      </c>
      <c r="D1259" t="str">
        <f>IF('NEW ACCOUNT'!A1260="","",'NEW ACCOUNT'!D1260)</f>
        <v/>
      </c>
      <c r="E1259" t="str">
        <f>IF('NEW ACCOUNT'!A1260="","",'NEW ACCOUNT'!E1260)</f>
        <v/>
      </c>
      <c r="F1259" t="str">
        <f>IF('NEW ACCOUNT'!A1260="","",'NEW ACCOUNT'!F1260)</f>
        <v/>
      </c>
      <c r="G1259" t="str">
        <f>IF('NEW ACCOUNT'!A1260="","",'NEW ACCOUNT'!G1260)</f>
        <v/>
      </c>
      <c r="H1259" t="str">
        <f>IF('NEW ACCOUNT'!A1260="","",'NEW ACCOUNT'!H1260)</f>
        <v/>
      </c>
      <c r="I1259" t="str">
        <f>IF('NEW ACCOUNT'!A1260="","",'NEW ACCOUNT'!I1260)</f>
        <v/>
      </c>
      <c r="J1259" t="str">
        <f>IF('NEW ACCOUNT'!A1260="","",'NEW ACCOUNT'!J1260)</f>
        <v/>
      </c>
      <c r="K1259" t="str">
        <f>IFERROR(IF(A1259="","",SUMIF(DB_Savings!$A:$A,A1259,DB_Savings!$F:$F)),"")</f>
        <v/>
      </c>
      <c r="L1259" t="str">
        <f>IFERROR(IF(A1259="","",SUMIF(DB_Withdrawals!$A:$A,A1259,DB_Withdrawals!$G:$G)),"")</f>
        <v/>
      </c>
      <c r="M1259" t="str">
        <f>IFERROR(IF(A1259="","",IFERROR(VALUE(H1259),0)+IFERROR(SUMIF(DB_Savings!$A:$A,A1259,DB_Savings!$F:$F),0)-IFERROR(SUMIF(DB_Withdrawals!$A:$A,A1259,DB_Withdrawals!$G:$G),0)),"")</f>
        <v/>
      </c>
      <c r="N1259" t="str">
        <f>IFERROR(IF(A1259="","",MAX(0,M1259-System_Config!$B$9)),"")</f>
        <v/>
      </c>
    </row>
    <row r="1260" spans="1:14" ht="15" customHeight="1" x14ac:dyDescent="0.25">
      <c r="A1260" t="str">
        <f>'NEW ACCOUNT'!A1261</f>
        <v/>
      </c>
      <c r="B1260" t="str">
        <f>IF('NEW ACCOUNT'!A1261="","",'NEW ACCOUNT'!B1261)</f>
        <v/>
      </c>
      <c r="C1260" t="str">
        <f>IF('NEW ACCOUNT'!A1261="","",'NEW ACCOUNT'!C1261)</f>
        <v/>
      </c>
      <c r="D1260" t="str">
        <f>IF('NEW ACCOUNT'!A1261="","",'NEW ACCOUNT'!D1261)</f>
        <v/>
      </c>
      <c r="E1260" t="str">
        <f>IF('NEW ACCOUNT'!A1261="","",'NEW ACCOUNT'!E1261)</f>
        <v/>
      </c>
      <c r="F1260" t="str">
        <f>IF('NEW ACCOUNT'!A1261="","",'NEW ACCOUNT'!F1261)</f>
        <v/>
      </c>
      <c r="G1260" t="str">
        <f>IF('NEW ACCOUNT'!A1261="","",'NEW ACCOUNT'!G1261)</f>
        <v/>
      </c>
      <c r="H1260" t="str">
        <f>IF('NEW ACCOUNT'!A1261="","",'NEW ACCOUNT'!H1261)</f>
        <v/>
      </c>
      <c r="I1260" t="str">
        <f>IF('NEW ACCOUNT'!A1261="","",'NEW ACCOUNT'!I1261)</f>
        <v/>
      </c>
      <c r="J1260" t="str">
        <f>IF('NEW ACCOUNT'!A1261="","",'NEW ACCOUNT'!J1261)</f>
        <v/>
      </c>
      <c r="K1260" t="str">
        <f>IFERROR(IF(A1260="","",SUMIF(DB_Savings!$A:$A,A1260,DB_Savings!$F:$F)),"")</f>
        <v/>
      </c>
      <c r="L1260" t="str">
        <f>IFERROR(IF(A1260="","",SUMIF(DB_Withdrawals!$A:$A,A1260,DB_Withdrawals!$G:$G)),"")</f>
        <v/>
      </c>
      <c r="M1260" t="str">
        <f>IFERROR(IF(A1260="","",IFERROR(VALUE(H1260),0)+IFERROR(SUMIF(DB_Savings!$A:$A,A1260,DB_Savings!$F:$F),0)-IFERROR(SUMIF(DB_Withdrawals!$A:$A,A1260,DB_Withdrawals!$G:$G),0)),"")</f>
        <v/>
      </c>
      <c r="N1260" t="str">
        <f>IFERROR(IF(A1260="","",MAX(0,M1260-System_Config!$B$9)),"")</f>
        <v/>
      </c>
    </row>
    <row r="1261" spans="1:14" ht="15" customHeight="1" x14ac:dyDescent="0.25">
      <c r="A1261" t="str">
        <f>'NEW ACCOUNT'!A1262</f>
        <v/>
      </c>
      <c r="B1261" t="str">
        <f>IF('NEW ACCOUNT'!A1262="","",'NEW ACCOUNT'!B1262)</f>
        <v/>
      </c>
      <c r="C1261" t="str">
        <f>IF('NEW ACCOUNT'!A1262="","",'NEW ACCOUNT'!C1262)</f>
        <v/>
      </c>
      <c r="D1261" t="str">
        <f>IF('NEW ACCOUNT'!A1262="","",'NEW ACCOUNT'!D1262)</f>
        <v/>
      </c>
      <c r="E1261" t="str">
        <f>IF('NEW ACCOUNT'!A1262="","",'NEW ACCOUNT'!E1262)</f>
        <v/>
      </c>
      <c r="F1261" t="str">
        <f>IF('NEW ACCOUNT'!A1262="","",'NEW ACCOUNT'!F1262)</f>
        <v/>
      </c>
      <c r="G1261" t="str">
        <f>IF('NEW ACCOUNT'!A1262="","",'NEW ACCOUNT'!G1262)</f>
        <v/>
      </c>
      <c r="H1261" t="str">
        <f>IF('NEW ACCOUNT'!A1262="","",'NEW ACCOUNT'!H1262)</f>
        <v/>
      </c>
      <c r="I1261" t="str">
        <f>IF('NEW ACCOUNT'!A1262="","",'NEW ACCOUNT'!I1262)</f>
        <v/>
      </c>
      <c r="J1261" t="str">
        <f>IF('NEW ACCOUNT'!A1262="","",'NEW ACCOUNT'!J1262)</f>
        <v/>
      </c>
      <c r="K1261" t="str">
        <f>IFERROR(IF(A1261="","",SUMIF(DB_Savings!$A:$A,A1261,DB_Savings!$F:$F)),"")</f>
        <v/>
      </c>
      <c r="L1261" t="str">
        <f>IFERROR(IF(A1261="","",SUMIF(DB_Withdrawals!$A:$A,A1261,DB_Withdrawals!$G:$G)),"")</f>
        <v/>
      </c>
      <c r="M1261" t="str">
        <f>IFERROR(IF(A1261="","",IFERROR(VALUE(H1261),0)+IFERROR(SUMIF(DB_Savings!$A:$A,A1261,DB_Savings!$F:$F),0)-IFERROR(SUMIF(DB_Withdrawals!$A:$A,A1261,DB_Withdrawals!$G:$G),0)),"")</f>
        <v/>
      </c>
      <c r="N1261" t="str">
        <f>IFERROR(IF(A1261="","",MAX(0,M1261-System_Config!$B$9)),"")</f>
        <v/>
      </c>
    </row>
    <row r="1262" spans="1:14" ht="15" customHeight="1" x14ac:dyDescent="0.25">
      <c r="A1262" t="str">
        <f>'NEW ACCOUNT'!A1263</f>
        <v/>
      </c>
      <c r="B1262" t="str">
        <f>IF('NEW ACCOUNT'!A1263="","",'NEW ACCOUNT'!B1263)</f>
        <v/>
      </c>
      <c r="C1262" t="str">
        <f>IF('NEW ACCOUNT'!A1263="","",'NEW ACCOUNT'!C1263)</f>
        <v/>
      </c>
      <c r="D1262" t="str">
        <f>IF('NEW ACCOUNT'!A1263="","",'NEW ACCOUNT'!D1263)</f>
        <v/>
      </c>
      <c r="E1262" t="str">
        <f>IF('NEW ACCOUNT'!A1263="","",'NEW ACCOUNT'!E1263)</f>
        <v/>
      </c>
      <c r="F1262" t="str">
        <f>IF('NEW ACCOUNT'!A1263="","",'NEW ACCOUNT'!F1263)</f>
        <v/>
      </c>
      <c r="G1262" t="str">
        <f>IF('NEW ACCOUNT'!A1263="","",'NEW ACCOUNT'!G1263)</f>
        <v/>
      </c>
      <c r="H1262" t="str">
        <f>IF('NEW ACCOUNT'!A1263="","",'NEW ACCOUNT'!H1263)</f>
        <v/>
      </c>
      <c r="I1262" t="str">
        <f>IF('NEW ACCOUNT'!A1263="","",'NEW ACCOUNT'!I1263)</f>
        <v/>
      </c>
      <c r="J1262" t="str">
        <f>IF('NEW ACCOUNT'!A1263="","",'NEW ACCOUNT'!J1263)</f>
        <v/>
      </c>
      <c r="K1262" t="str">
        <f>IFERROR(IF(A1262="","",SUMIF(DB_Savings!$A:$A,A1262,DB_Savings!$F:$F)),"")</f>
        <v/>
      </c>
      <c r="L1262" t="str">
        <f>IFERROR(IF(A1262="","",SUMIF(DB_Withdrawals!$A:$A,A1262,DB_Withdrawals!$G:$G)),"")</f>
        <v/>
      </c>
      <c r="M1262" t="str">
        <f>IFERROR(IF(A1262="","",IFERROR(VALUE(H1262),0)+IFERROR(SUMIF(DB_Savings!$A:$A,A1262,DB_Savings!$F:$F),0)-IFERROR(SUMIF(DB_Withdrawals!$A:$A,A1262,DB_Withdrawals!$G:$G),0)),"")</f>
        <v/>
      </c>
      <c r="N1262" t="str">
        <f>IFERROR(IF(A1262="","",MAX(0,M1262-System_Config!$B$9)),"")</f>
        <v/>
      </c>
    </row>
    <row r="1263" spans="1:14" ht="15" customHeight="1" x14ac:dyDescent="0.25">
      <c r="A1263" t="str">
        <f>'NEW ACCOUNT'!A1264</f>
        <v/>
      </c>
      <c r="B1263" t="str">
        <f>IF('NEW ACCOUNT'!A1264="","",'NEW ACCOUNT'!B1264)</f>
        <v/>
      </c>
      <c r="C1263" t="str">
        <f>IF('NEW ACCOUNT'!A1264="","",'NEW ACCOUNT'!C1264)</f>
        <v/>
      </c>
      <c r="D1263" t="str">
        <f>IF('NEW ACCOUNT'!A1264="","",'NEW ACCOUNT'!D1264)</f>
        <v/>
      </c>
      <c r="E1263" t="str">
        <f>IF('NEW ACCOUNT'!A1264="","",'NEW ACCOUNT'!E1264)</f>
        <v/>
      </c>
      <c r="F1263" t="str">
        <f>IF('NEW ACCOUNT'!A1264="","",'NEW ACCOUNT'!F1264)</f>
        <v/>
      </c>
      <c r="G1263" t="str">
        <f>IF('NEW ACCOUNT'!A1264="","",'NEW ACCOUNT'!G1264)</f>
        <v/>
      </c>
      <c r="H1263" t="str">
        <f>IF('NEW ACCOUNT'!A1264="","",'NEW ACCOUNT'!H1264)</f>
        <v/>
      </c>
      <c r="I1263" t="str">
        <f>IF('NEW ACCOUNT'!A1264="","",'NEW ACCOUNT'!I1264)</f>
        <v/>
      </c>
      <c r="J1263" t="str">
        <f>IF('NEW ACCOUNT'!A1264="","",'NEW ACCOUNT'!J1264)</f>
        <v/>
      </c>
      <c r="K1263" t="str">
        <f>IFERROR(IF(A1263="","",SUMIF(DB_Savings!$A:$A,A1263,DB_Savings!$F:$F)),"")</f>
        <v/>
      </c>
      <c r="L1263" t="str">
        <f>IFERROR(IF(A1263="","",SUMIF(DB_Withdrawals!$A:$A,A1263,DB_Withdrawals!$G:$G)),"")</f>
        <v/>
      </c>
      <c r="M1263" t="str">
        <f>IFERROR(IF(A1263="","",IFERROR(VALUE(H1263),0)+IFERROR(SUMIF(DB_Savings!$A:$A,A1263,DB_Savings!$F:$F),0)-IFERROR(SUMIF(DB_Withdrawals!$A:$A,A1263,DB_Withdrawals!$G:$G),0)),"")</f>
        <v/>
      </c>
      <c r="N1263" t="str">
        <f>IFERROR(IF(A1263="","",MAX(0,M1263-System_Config!$B$9)),"")</f>
        <v/>
      </c>
    </row>
    <row r="1264" spans="1:14" ht="15" customHeight="1" x14ac:dyDescent="0.25">
      <c r="A1264" t="str">
        <f>'NEW ACCOUNT'!A1265</f>
        <v/>
      </c>
      <c r="B1264" t="str">
        <f>IF('NEW ACCOUNT'!A1265="","",'NEW ACCOUNT'!B1265)</f>
        <v/>
      </c>
      <c r="C1264" t="str">
        <f>IF('NEW ACCOUNT'!A1265="","",'NEW ACCOUNT'!C1265)</f>
        <v/>
      </c>
      <c r="D1264" t="str">
        <f>IF('NEW ACCOUNT'!A1265="","",'NEW ACCOUNT'!D1265)</f>
        <v/>
      </c>
      <c r="E1264" t="str">
        <f>IF('NEW ACCOUNT'!A1265="","",'NEW ACCOUNT'!E1265)</f>
        <v/>
      </c>
      <c r="F1264" t="str">
        <f>IF('NEW ACCOUNT'!A1265="","",'NEW ACCOUNT'!F1265)</f>
        <v/>
      </c>
      <c r="G1264" t="str">
        <f>IF('NEW ACCOUNT'!A1265="","",'NEW ACCOUNT'!G1265)</f>
        <v/>
      </c>
      <c r="H1264" t="str">
        <f>IF('NEW ACCOUNT'!A1265="","",'NEW ACCOUNT'!H1265)</f>
        <v/>
      </c>
      <c r="I1264" t="str">
        <f>IF('NEW ACCOUNT'!A1265="","",'NEW ACCOUNT'!I1265)</f>
        <v/>
      </c>
      <c r="J1264" t="str">
        <f>IF('NEW ACCOUNT'!A1265="","",'NEW ACCOUNT'!J1265)</f>
        <v/>
      </c>
      <c r="K1264" t="str">
        <f>IFERROR(IF(A1264="","",SUMIF(DB_Savings!$A:$A,A1264,DB_Savings!$F:$F)),"")</f>
        <v/>
      </c>
      <c r="L1264" t="str">
        <f>IFERROR(IF(A1264="","",SUMIF(DB_Withdrawals!$A:$A,A1264,DB_Withdrawals!$G:$G)),"")</f>
        <v/>
      </c>
      <c r="M1264" t="str">
        <f>IFERROR(IF(A1264="","",IFERROR(VALUE(H1264),0)+IFERROR(SUMIF(DB_Savings!$A:$A,A1264,DB_Savings!$F:$F),0)-IFERROR(SUMIF(DB_Withdrawals!$A:$A,A1264,DB_Withdrawals!$G:$G),0)),"")</f>
        <v/>
      </c>
      <c r="N1264" t="str">
        <f>IFERROR(IF(A1264="","",MAX(0,M1264-System_Config!$B$9)),"")</f>
        <v/>
      </c>
    </row>
    <row r="1265" spans="1:14" ht="15" customHeight="1" x14ac:dyDescent="0.25">
      <c r="A1265" t="str">
        <f>'NEW ACCOUNT'!A1266</f>
        <v/>
      </c>
      <c r="B1265" t="str">
        <f>IF('NEW ACCOUNT'!A1266="","",'NEW ACCOUNT'!B1266)</f>
        <v/>
      </c>
      <c r="C1265" t="str">
        <f>IF('NEW ACCOUNT'!A1266="","",'NEW ACCOUNT'!C1266)</f>
        <v/>
      </c>
      <c r="D1265" t="str">
        <f>IF('NEW ACCOUNT'!A1266="","",'NEW ACCOUNT'!D1266)</f>
        <v/>
      </c>
      <c r="E1265" t="str">
        <f>IF('NEW ACCOUNT'!A1266="","",'NEW ACCOUNT'!E1266)</f>
        <v/>
      </c>
      <c r="F1265" t="str">
        <f>IF('NEW ACCOUNT'!A1266="","",'NEW ACCOUNT'!F1266)</f>
        <v/>
      </c>
      <c r="G1265" t="str">
        <f>IF('NEW ACCOUNT'!A1266="","",'NEW ACCOUNT'!G1266)</f>
        <v/>
      </c>
      <c r="H1265" t="str">
        <f>IF('NEW ACCOUNT'!A1266="","",'NEW ACCOUNT'!H1266)</f>
        <v/>
      </c>
      <c r="I1265" t="str">
        <f>IF('NEW ACCOUNT'!A1266="","",'NEW ACCOUNT'!I1266)</f>
        <v/>
      </c>
      <c r="J1265" t="str">
        <f>IF('NEW ACCOUNT'!A1266="","",'NEW ACCOUNT'!J1266)</f>
        <v/>
      </c>
      <c r="K1265" t="str">
        <f>IFERROR(IF(A1265="","",SUMIF(DB_Savings!$A:$A,A1265,DB_Savings!$F:$F)),"")</f>
        <v/>
      </c>
      <c r="L1265" t="str">
        <f>IFERROR(IF(A1265="","",SUMIF(DB_Withdrawals!$A:$A,A1265,DB_Withdrawals!$G:$G)),"")</f>
        <v/>
      </c>
      <c r="M1265" t="str">
        <f>IFERROR(IF(A1265="","",IFERROR(VALUE(H1265),0)+IFERROR(SUMIF(DB_Savings!$A:$A,A1265,DB_Savings!$F:$F),0)-IFERROR(SUMIF(DB_Withdrawals!$A:$A,A1265,DB_Withdrawals!$G:$G),0)),"")</f>
        <v/>
      </c>
      <c r="N1265" t="str">
        <f>IFERROR(IF(A1265="","",MAX(0,M1265-System_Config!$B$9)),"")</f>
        <v/>
      </c>
    </row>
    <row r="1266" spans="1:14" ht="15" customHeight="1" x14ac:dyDescent="0.25">
      <c r="A1266" t="str">
        <f>'NEW ACCOUNT'!A1267</f>
        <v/>
      </c>
      <c r="B1266" t="str">
        <f>IF('NEW ACCOUNT'!A1267="","",'NEW ACCOUNT'!B1267)</f>
        <v/>
      </c>
      <c r="C1266" t="str">
        <f>IF('NEW ACCOUNT'!A1267="","",'NEW ACCOUNT'!C1267)</f>
        <v/>
      </c>
      <c r="D1266" t="str">
        <f>IF('NEW ACCOUNT'!A1267="","",'NEW ACCOUNT'!D1267)</f>
        <v/>
      </c>
      <c r="E1266" t="str">
        <f>IF('NEW ACCOUNT'!A1267="","",'NEW ACCOUNT'!E1267)</f>
        <v/>
      </c>
      <c r="F1266" t="str">
        <f>IF('NEW ACCOUNT'!A1267="","",'NEW ACCOUNT'!F1267)</f>
        <v/>
      </c>
      <c r="G1266" t="str">
        <f>IF('NEW ACCOUNT'!A1267="","",'NEW ACCOUNT'!G1267)</f>
        <v/>
      </c>
      <c r="H1266" t="str">
        <f>IF('NEW ACCOUNT'!A1267="","",'NEW ACCOUNT'!H1267)</f>
        <v/>
      </c>
      <c r="I1266" t="str">
        <f>IF('NEW ACCOUNT'!A1267="","",'NEW ACCOUNT'!I1267)</f>
        <v/>
      </c>
      <c r="J1266" t="str">
        <f>IF('NEW ACCOUNT'!A1267="","",'NEW ACCOUNT'!J1267)</f>
        <v/>
      </c>
      <c r="K1266" t="str">
        <f>IFERROR(IF(A1266="","",SUMIF(DB_Savings!$A:$A,A1266,DB_Savings!$F:$F)),"")</f>
        <v/>
      </c>
      <c r="L1266" t="str">
        <f>IFERROR(IF(A1266="","",SUMIF(DB_Withdrawals!$A:$A,A1266,DB_Withdrawals!$G:$G)),"")</f>
        <v/>
      </c>
      <c r="M1266" t="str">
        <f>IFERROR(IF(A1266="","",IFERROR(VALUE(H1266),0)+IFERROR(SUMIF(DB_Savings!$A:$A,A1266,DB_Savings!$F:$F),0)-IFERROR(SUMIF(DB_Withdrawals!$A:$A,A1266,DB_Withdrawals!$G:$G),0)),"")</f>
        <v/>
      </c>
      <c r="N1266" t="str">
        <f>IFERROR(IF(A1266="","",MAX(0,M1266-System_Config!$B$9)),"")</f>
        <v/>
      </c>
    </row>
    <row r="1267" spans="1:14" ht="15" customHeight="1" x14ac:dyDescent="0.25">
      <c r="A1267" t="str">
        <f>'NEW ACCOUNT'!A1268</f>
        <v/>
      </c>
      <c r="B1267" t="str">
        <f>IF('NEW ACCOUNT'!A1268="","",'NEW ACCOUNT'!B1268)</f>
        <v/>
      </c>
      <c r="C1267" t="str">
        <f>IF('NEW ACCOUNT'!A1268="","",'NEW ACCOUNT'!C1268)</f>
        <v/>
      </c>
      <c r="D1267" t="str">
        <f>IF('NEW ACCOUNT'!A1268="","",'NEW ACCOUNT'!D1268)</f>
        <v/>
      </c>
      <c r="E1267" t="str">
        <f>IF('NEW ACCOUNT'!A1268="","",'NEW ACCOUNT'!E1268)</f>
        <v/>
      </c>
      <c r="F1267" t="str">
        <f>IF('NEW ACCOUNT'!A1268="","",'NEW ACCOUNT'!F1268)</f>
        <v/>
      </c>
      <c r="G1267" t="str">
        <f>IF('NEW ACCOUNT'!A1268="","",'NEW ACCOUNT'!G1268)</f>
        <v/>
      </c>
      <c r="H1267" t="str">
        <f>IF('NEW ACCOUNT'!A1268="","",'NEW ACCOUNT'!H1268)</f>
        <v/>
      </c>
      <c r="I1267" t="str">
        <f>IF('NEW ACCOUNT'!A1268="","",'NEW ACCOUNT'!I1268)</f>
        <v/>
      </c>
      <c r="J1267" t="str">
        <f>IF('NEW ACCOUNT'!A1268="","",'NEW ACCOUNT'!J1268)</f>
        <v/>
      </c>
      <c r="K1267" t="str">
        <f>IFERROR(IF(A1267="","",SUMIF(DB_Savings!$A:$A,A1267,DB_Savings!$F:$F)),"")</f>
        <v/>
      </c>
      <c r="L1267" t="str">
        <f>IFERROR(IF(A1267="","",SUMIF(DB_Withdrawals!$A:$A,A1267,DB_Withdrawals!$G:$G)),"")</f>
        <v/>
      </c>
      <c r="M1267" t="str">
        <f>IFERROR(IF(A1267="","",IFERROR(VALUE(H1267),0)+IFERROR(SUMIF(DB_Savings!$A:$A,A1267,DB_Savings!$F:$F),0)-IFERROR(SUMIF(DB_Withdrawals!$A:$A,A1267,DB_Withdrawals!$G:$G),0)),"")</f>
        <v/>
      </c>
      <c r="N1267" t="str">
        <f>IFERROR(IF(A1267="","",MAX(0,M1267-System_Config!$B$9)),"")</f>
        <v/>
      </c>
    </row>
    <row r="1268" spans="1:14" ht="15" customHeight="1" x14ac:dyDescent="0.25">
      <c r="A1268" t="str">
        <f>'NEW ACCOUNT'!A1269</f>
        <v/>
      </c>
      <c r="B1268" t="str">
        <f>IF('NEW ACCOUNT'!A1269="","",'NEW ACCOUNT'!B1269)</f>
        <v/>
      </c>
      <c r="C1268" t="str">
        <f>IF('NEW ACCOUNT'!A1269="","",'NEW ACCOUNT'!C1269)</f>
        <v/>
      </c>
      <c r="D1268" t="str">
        <f>IF('NEW ACCOUNT'!A1269="","",'NEW ACCOUNT'!D1269)</f>
        <v/>
      </c>
      <c r="E1268" t="str">
        <f>IF('NEW ACCOUNT'!A1269="","",'NEW ACCOUNT'!E1269)</f>
        <v/>
      </c>
      <c r="F1268" t="str">
        <f>IF('NEW ACCOUNT'!A1269="","",'NEW ACCOUNT'!F1269)</f>
        <v/>
      </c>
      <c r="G1268" t="str">
        <f>IF('NEW ACCOUNT'!A1269="","",'NEW ACCOUNT'!G1269)</f>
        <v/>
      </c>
      <c r="H1268" t="str">
        <f>IF('NEW ACCOUNT'!A1269="","",'NEW ACCOUNT'!H1269)</f>
        <v/>
      </c>
      <c r="I1268" t="str">
        <f>IF('NEW ACCOUNT'!A1269="","",'NEW ACCOUNT'!I1269)</f>
        <v/>
      </c>
      <c r="J1268" t="str">
        <f>IF('NEW ACCOUNT'!A1269="","",'NEW ACCOUNT'!J1269)</f>
        <v/>
      </c>
      <c r="K1268" t="str">
        <f>IFERROR(IF(A1268="","",SUMIF(DB_Savings!$A:$A,A1268,DB_Savings!$F:$F)),"")</f>
        <v/>
      </c>
      <c r="L1268" t="str">
        <f>IFERROR(IF(A1268="","",SUMIF(DB_Withdrawals!$A:$A,A1268,DB_Withdrawals!$G:$G)),"")</f>
        <v/>
      </c>
      <c r="M1268" t="str">
        <f>IFERROR(IF(A1268="","",IFERROR(VALUE(H1268),0)+IFERROR(SUMIF(DB_Savings!$A:$A,A1268,DB_Savings!$F:$F),0)-IFERROR(SUMIF(DB_Withdrawals!$A:$A,A1268,DB_Withdrawals!$G:$G),0)),"")</f>
        <v/>
      </c>
      <c r="N1268" t="str">
        <f>IFERROR(IF(A1268="","",MAX(0,M1268-System_Config!$B$9)),"")</f>
        <v/>
      </c>
    </row>
    <row r="1269" spans="1:14" ht="15" customHeight="1" x14ac:dyDescent="0.25">
      <c r="A1269" t="str">
        <f>'NEW ACCOUNT'!A1270</f>
        <v/>
      </c>
      <c r="B1269" t="str">
        <f>IF('NEW ACCOUNT'!A1270="","",'NEW ACCOUNT'!B1270)</f>
        <v/>
      </c>
      <c r="C1269" t="str">
        <f>IF('NEW ACCOUNT'!A1270="","",'NEW ACCOUNT'!C1270)</f>
        <v/>
      </c>
      <c r="D1269" t="str">
        <f>IF('NEW ACCOUNT'!A1270="","",'NEW ACCOUNT'!D1270)</f>
        <v/>
      </c>
      <c r="E1269" t="str">
        <f>IF('NEW ACCOUNT'!A1270="","",'NEW ACCOUNT'!E1270)</f>
        <v/>
      </c>
      <c r="F1269" t="str">
        <f>IF('NEW ACCOUNT'!A1270="","",'NEW ACCOUNT'!F1270)</f>
        <v/>
      </c>
      <c r="G1269" t="str">
        <f>IF('NEW ACCOUNT'!A1270="","",'NEW ACCOUNT'!G1270)</f>
        <v/>
      </c>
      <c r="H1269" t="str">
        <f>IF('NEW ACCOUNT'!A1270="","",'NEW ACCOUNT'!H1270)</f>
        <v/>
      </c>
      <c r="I1269" t="str">
        <f>IF('NEW ACCOUNT'!A1270="","",'NEW ACCOUNT'!I1270)</f>
        <v/>
      </c>
      <c r="J1269" t="str">
        <f>IF('NEW ACCOUNT'!A1270="","",'NEW ACCOUNT'!J1270)</f>
        <v/>
      </c>
      <c r="K1269" t="str">
        <f>IFERROR(IF(A1269="","",SUMIF(DB_Savings!$A:$A,A1269,DB_Savings!$F:$F)),"")</f>
        <v/>
      </c>
      <c r="L1269" t="str">
        <f>IFERROR(IF(A1269="","",SUMIF(DB_Withdrawals!$A:$A,A1269,DB_Withdrawals!$G:$G)),"")</f>
        <v/>
      </c>
      <c r="M1269" t="str">
        <f>IFERROR(IF(A1269="","",IFERROR(VALUE(H1269),0)+IFERROR(SUMIF(DB_Savings!$A:$A,A1269,DB_Savings!$F:$F),0)-IFERROR(SUMIF(DB_Withdrawals!$A:$A,A1269,DB_Withdrawals!$G:$G),0)),"")</f>
        <v/>
      </c>
      <c r="N1269" t="str">
        <f>IFERROR(IF(A1269="","",MAX(0,M1269-System_Config!$B$9)),"")</f>
        <v/>
      </c>
    </row>
    <row r="1270" spans="1:14" ht="15" customHeight="1" x14ac:dyDescent="0.25">
      <c r="A1270" t="str">
        <f>'NEW ACCOUNT'!A1271</f>
        <v/>
      </c>
      <c r="B1270" t="str">
        <f>IF('NEW ACCOUNT'!A1271="","",'NEW ACCOUNT'!B1271)</f>
        <v/>
      </c>
      <c r="C1270" t="str">
        <f>IF('NEW ACCOUNT'!A1271="","",'NEW ACCOUNT'!C1271)</f>
        <v/>
      </c>
      <c r="D1270" t="str">
        <f>IF('NEW ACCOUNT'!A1271="","",'NEW ACCOUNT'!D1271)</f>
        <v/>
      </c>
      <c r="E1270" t="str">
        <f>IF('NEW ACCOUNT'!A1271="","",'NEW ACCOUNT'!E1271)</f>
        <v/>
      </c>
      <c r="F1270" t="str">
        <f>IF('NEW ACCOUNT'!A1271="","",'NEW ACCOUNT'!F1271)</f>
        <v/>
      </c>
      <c r="G1270" t="str">
        <f>IF('NEW ACCOUNT'!A1271="","",'NEW ACCOUNT'!G1271)</f>
        <v/>
      </c>
      <c r="H1270" t="str">
        <f>IF('NEW ACCOUNT'!A1271="","",'NEW ACCOUNT'!H1271)</f>
        <v/>
      </c>
      <c r="I1270" t="str">
        <f>IF('NEW ACCOUNT'!A1271="","",'NEW ACCOUNT'!I1271)</f>
        <v/>
      </c>
      <c r="J1270" t="str">
        <f>IF('NEW ACCOUNT'!A1271="","",'NEW ACCOUNT'!J1271)</f>
        <v/>
      </c>
      <c r="K1270" t="str">
        <f>IFERROR(IF(A1270="","",SUMIF(DB_Savings!$A:$A,A1270,DB_Savings!$F:$F)),"")</f>
        <v/>
      </c>
      <c r="L1270" t="str">
        <f>IFERROR(IF(A1270="","",SUMIF(DB_Withdrawals!$A:$A,A1270,DB_Withdrawals!$G:$G)),"")</f>
        <v/>
      </c>
      <c r="M1270" t="str">
        <f>IFERROR(IF(A1270="","",IFERROR(VALUE(H1270),0)+IFERROR(SUMIF(DB_Savings!$A:$A,A1270,DB_Savings!$F:$F),0)-IFERROR(SUMIF(DB_Withdrawals!$A:$A,A1270,DB_Withdrawals!$G:$G),0)),"")</f>
        <v/>
      </c>
      <c r="N1270" t="str">
        <f>IFERROR(IF(A1270="","",MAX(0,M1270-System_Config!$B$9)),"")</f>
        <v/>
      </c>
    </row>
    <row r="1271" spans="1:14" ht="15" customHeight="1" x14ac:dyDescent="0.25">
      <c r="A1271" t="str">
        <f>'NEW ACCOUNT'!A1272</f>
        <v/>
      </c>
      <c r="B1271" t="str">
        <f>IF('NEW ACCOUNT'!A1272="","",'NEW ACCOUNT'!B1272)</f>
        <v/>
      </c>
      <c r="C1271" t="str">
        <f>IF('NEW ACCOUNT'!A1272="","",'NEW ACCOUNT'!C1272)</f>
        <v/>
      </c>
      <c r="D1271" t="str">
        <f>IF('NEW ACCOUNT'!A1272="","",'NEW ACCOUNT'!D1272)</f>
        <v/>
      </c>
      <c r="E1271" t="str">
        <f>IF('NEW ACCOUNT'!A1272="","",'NEW ACCOUNT'!E1272)</f>
        <v/>
      </c>
      <c r="F1271" t="str">
        <f>IF('NEW ACCOUNT'!A1272="","",'NEW ACCOUNT'!F1272)</f>
        <v/>
      </c>
      <c r="G1271" t="str">
        <f>IF('NEW ACCOUNT'!A1272="","",'NEW ACCOUNT'!G1272)</f>
        <v/>
      </c>
      <c r="H1271" t="str">
        <f>IF('NEW ACCOUNT'!A1272="","",'NEW ACCOUNT'!H1272)</f>
        <v/>
      </c>
      <c r="I1271" t="str">
        <f>IF('NEW ACCOUNT'!A1272="","",'NEW ACCOUNT'!I1272)</f>
        <v/>
      </c>
      <c r="J1271" t="str">
        <f>IF('NEW ACCOUNT'!A1272="","",'NEW ACCOUNT'!J1272)</f>
        <v/>
      </c>
      <c r="K1271" t="str">
        <f>IFERROR(IF(A1271="","",SUMIF(DB_Savings!$A:$A,A1271,DB_Savings!$F:$F)),"")</f>
        <v/>
      </c>
      <c r="L1271" t="str">
        <f>IFERROR(IF(A1271="","",SUMIF(DB_Withdrawals!$A:$A,A1271,DB_Withdrawals!$G:$G)),"")</f>
        <v/>
      </c>
      <c r="M1271" t="str">
        <f>IFERROR(IF(A1271="","",IFERROR(VALUE(H1271),0)+IFERROR(SUMIF(DB_Savings!$A:$A,A1271,DB_Savings!$F:$F),0)-IFERROR(SUMIF(DB_Withdrawals!$A:$A,A1271,DB_Withdrawals!$G:$G),0)),"")</f>
        <v/>
      </c>
      <c r="N1271" t="str">
        <f>IFERROR(IF(A1271="","",MAX(0,M1271-System_Config!$B$9)),"")</f>
        <v/>
      </c>
    </row>
    <row r="1272" spans="1:14" ht="15" customHeight="1" x14ac:dyDescent="0.25">
      <c r="A1272" t="str">
        <f>'NEW ACCOUNT'!A1273</f>
        <v/>
      </c>
      <c r="B1272" t="str">
        <f>IF('NEW ACCOUNT'!A1273="","",'NEW ACCOUNT'!B1273)</f>
        <v/>
      </c>
      <c r="C1272" t="str">
        <f>IF('NEW ACCOUNT'!A1273="","",'NEW ACCOUNT'!C1273)</f>
        <v/>
      </c>
      <c r="D1272" t="str">
        <f>IF('NEW ACCOUNT'!A1273="","",'NEW ACCOUNT'!D1273)</f>
        <v/>
      </c>
      <c r="E1272" t="str">
        <f>IF('NEW ACCOUNT'!A1273="","",'NEW ACCOUNT'!E1273)</f>
        <v/>
      </c>
      <c r="F1272" t="str">
        <f>IF('NEW ACCOUNT'!A1273="","",'NEW ACCOUNT'!F1273)</f>
        <v/>
      </c>
      <c r="G1272" t="str">
        <f>IF('NEW ACCOUNT'!A1273="","",'NEW ACCOUNT'!G1273)</f>
        <v/>
      </c>
      <c r="H1272" t="str">
        <f>IF('NEW ACCOUNT'!A1273="","",'NEW ACCOUNT'!H1273)</f>
        <v/>
      </c>
      <c r="I1272" t="str">
        <f>IF('NEW ACCOUNT'!A1273="","",'NEW ACCOUNT'!I1273)</f>
        <v/>
      </c>
      <c r="J1272" t="str">
        <f>IF('NEW ACCOUNT'!A1273="","",'NEW ACCOUNT'!J1273)</f>
        <v/>
      </c>
      <c r="K1272" t="str">
        <f>IFERROR(IF(A1272="","",SUMIF(DB_Savings!$A:$A,A1272,DB_Savings!$F:$F)),"")</f>
        <v/>
      </c>
      <c r="L1272" t="str">
        <f>IFERROR(IF(A1272="","",SUMIF(DB_Withdrawals!$A:$A,A1272,DB_Withdrawals!$G:$G)),"")</f>
        <v/>
      </c>
      <c r="M1272" t="str">
        <f>IFERROR(IF(A1272="","",IFERROR(VALUE(H1272),0)+IFERROR(SUMIF(DB_Savings!$A:$A,A1272,DB_Savings!$F:$F),0)-IFERROR(SUMIF(DB_Withdrawals!$A:$A,A1272,DB_Withdrawals!$G:$G),0)),"")</f>
        <v/>
      </c>
      <c r="N1272" t="str">
        <f>IFERROR(IF(A1272="","",MAX(0,M1272-System_Config!$B$9)),"")</f>
        <v/>
      </c>
    </row>
    <row r="1273" spans="1:14" ht="15" customHeight="1" x14ac:dyDescent="0.25">
      <c r="A1273" t="str">
        <f>'NEW ACCOUNT'!A1274</f>
        <v/>
      </c>
      <c r="B1273" t="str">
        <f>IF('NEW ACCOUNT'!A1274="","",'NEW ACCOUNT'!B1274)</f>
        <v/>
      </c>
      <c r="C1273" t="str">
        <f>IF('NEW ACCOUNT'!A1274="","",'NEW ACCOUNT'!C1274)</f>
        <v/>
      </c>
      <c r="D1273" t="str">
        <f>IF('NEW ACCOUNT'!A1274="","",'NEW ACCOUNT'!D1274)</f>
        <v/>
      </c>
      <c r="E1273" t="str">
        <f>IF('NEW ACCOUNT'!A1274="","",'NEW ACCOUNT'!E1274)</f>
        <v/>
      </c>
      <c r="F1273" t="str">
        <f>IF('NEW ACCOUNT'!A1274="","",'NEW ACCOUNT'!F1274)</f>
        <v/>
      </c>
      <c r="G1273" t="str">
        <f>IF('NEW ACCOUNT'!A1274="","",'NEW ACCOUNT'!G1274)</f>
        <v/>
      </c>
      <c r="H1273" t="str">
        <f>IF('NEW ACCOUNT'!A1274="","",'NEW ACCOUNT'!H1274)</f>
        <v/>
      </c>
      <c r="I1273" t="str">
        <f>IF('NEW ACCOUNT'!A1274="","",'NEW ACCOUNT'!I1274)</f>
        <v/>
      </c>
      <c r="J1273" t="str">
        <f>IF('NEW ACCOUNT'!A1274="","",'NEW ACCOUNT'!J1274)</f>
        <v/>
      </c>
      <c r="K1273" t="str">
        <f>IFERROR(IF(A1273="","",SUMIF(DB_Savings!$A:$A,A1273,DB_Savings!$F:$F)),"")</f>
        <v/>
      </c>
      <c r="L1273" t="str">
        <f>IFERROR(IF(A1273="","",SUMIF(DB_Withdrawals!$A:$A,A1273,DB_Withdrawals!$G:$G)),"")</f>
        <v/>
      </c>
      <c r="M1273" t="str">
        <f>IFERROR(IF(A1273="","",IFERROR(VALUE(H1273),0)+IFERROR(SUMIF(DB_Savings!$A:$A,A1273,DB_Savings!$F:$F),0)-IFERROR(SUMIF(DB_Withdrawals!$A:$A,A1273,DB_Withdrawals!$G:$G),0)),"")</f>
        <v/>
      </c>
      <c r="N1273" t="str">
        <f>IFERROR(IF(A1273="","",MAX(0,M1273-System_Config!$B$9)),"")</f>
        <v/>
      </c>
    </row>
    <row r="1274" spans="1:14" ht="15" customHeight="1" x14ac:dyDescent="0.25">
      <c r="A1274" t="str">
        <f>'NEW ACCOUNT'!A1275</f>
        <v/>
      </c>
      <c r="B1274" t="str">
        <f>IF('NEW ACCOUNT'!A1275="","",'NEW ACCOUNT'!B1275)</f>
        <v/>
      </c>
      <c r="C1274" t="str">
        <f>IF('NEW ACCOUNT'!A1275="","",'NEW ACCOUNT'!C1275)</f>
        <v/>
      </c>
      <c r="D1274" t="str">
        <f>IF('NEW ACCOUNT'!A1275="","",'NEW ACCOUNT'!D1275)</f>
        <v/>
      </c>
      <c r="E1274" t="str">
        <f>IF('NEW ACCOUNT'!A1275="","",'NEW ACCOUNT'!E1275)</f>
        <v/>
      </c>
      <c r="F1274" t="str">
        <f>IF('NEW ACCOUNT'!A1275="","",'NEW ACCOUNT'!F1275)</f>
        <v/>
      </c>
      <c r="G1274" t="str">
        <f>IF('NEW ACCOUNT'!A1275="","",'NEW ACCOUNT'!G1275)</f>
        <v/>
      </c>
      <c r="H1274" t="str">
        <f>IF('NEW ACCOUNT'!A1275="","",'NEW ACCOUNT'!H1275)</f>
        <v/>
      </c>
      <c r="I1274" t="str">
        <f>IF('NEW ACCOUNT'!A1275="","",'NEW ACCOUNT'!I1275)</f>
        <v/>
      </c>
      <c r="J1274" t="str">
        <f>IF('NEW ACCOUNT'!A1275="","",'NEW ACCOUNT'!J1275)</f>
        <v/>
      </c>
      <c r="K1274" t="str">
        <f>IFERROR(IF(A1274="","",SUMIF(DB_Savings!$A:$A,A1274,DB_Savings!$F:$F)),"")</f>
        <v/>
      </c>
      <c r="L1274" t="str">
        <f>IFERROR(IF(A1274="","",SUMIF(DB_Withdrawals!$A:$A,A1274,DB_Withdrawals!$G:$G)),"")</f>
        <v/>
      </c>
      <c r="M1274" t="str">
        <f>IFERROR(IF(A1274="","",IFERROR(VALUE(H1274),0)+IFERROR(SUMIF(DB_Savings!$A:$A,A1274,DB_Savings!$F:$F),0)-IFERROR(SUMIF(DB_Withdrawals!$A:$A,A1274,DB_Withdrawals!$G:$G),0)),"")</f>
        <v/>
      </c>
      <c r="N1274" t="str">
        <f>IFERROR(IF(A1274="","",MAX(0,M1274-System_Config!$B$9)),"")</f>
        <v/>
      </c>
    </row>
    <row r="1275" spans="1:14" ht="15" customHeight="1" x14ac:dyDescent="0.25">
      <c r="A1275" t="str">
        <f>'NEW ACCOUNT'!A1276</f>
        <v/>
      </c>
      <c r="B1275" t="str">
        <f>IF('NEW ACCOUNT'!A1276="","",'NEW ACCOUNT'!B1276)</f>
        <v/>
      </c>
      <c r="C1275" t="str">
        <f>IF('NEW ACCOUNT'!A1276="","",'NEW ACCOUNT'!C1276)</f>
        <v/>
      </c>
      <c r="D1275" t="str">
        <f>IF('NEW ACCOUNT'!A1276="","",'NEW ACCOUNT'!D1276)</f>
        <v/>
      </c>
      <c r="E1275" t="str">
        <f>IF('NEW ACCOUNT'!A1276="","",'NEW ACCOUNT'!E1276)</f>
        <v/>
      </c>
      <c r="F1275" t="str">
        <f>IF('NEW ACCOUNT'!A1276="","",'NEW ACCOUNT'!F1276)</f>
        <v/>
      </c>
      <c r="G1275" t="str">
        <f>IF('NEW ACCOUNT'!A1276="","",'NEW ACCOUNT'!G1276)</f>
        <v/>
      </c>
      <c r="H1275" t="str">
        <f>IF('NEW ACCOUNT'!A1276="","",'NEW ACCOUNT'!H1276)</f>
        <v/>
      </c>
      <c r="I1275" t="str">
        <f>IF('NEW ACCOUNT'!A1276="","",'NEW ACCOUNT'!I1276)</f>
        <v/>
      </c>
      <c r="J1275" t="str">
        <f>IF('NEW ACCOUNT'!A1276="","",'NEW ACCOUNT'!J1276)</f>
        <v/>
      </c>
      <c r="K1275" t="str">
        <f>IFERROR(IF(A1275="","",SUMIF(DB_Savings!$A:$A,A1275,DB_Savings!$F:$F)),"")</f>
        <v/>
      </c>
      <c r="L1275" t="str">
        <f>IFERROR(IF(A1275="","",SUMIF(DB_Withdrawals!$A:$A,A1275,DB_Withdrawals!$G:$G)),"")</f>
        <v/>
      </c>
      <c r="M1275" t="str">
        <f>IFERROR(IF(A1275="","",IFERROR(VALUE(H1275),0)+IFERROR(SUMIF(DB_Savings!$A:$A,A1275,DB_Savings!$F:$F),0)-IFERROR(SUMIF(DB_Withdrawals!$A:$A,A1275,DB_Withdrawals!$G:$G),0)),"")</f>
        <v/>
      </c>
      <c r="N1275" t="str">
        <f>IFERROR(IF(A1275="","",MAX(0,M1275-System_Config!$B$9)),"")</f>
        <v/>
      </c>
    </row>
    <row r="1276" spans="1:14" ht="15" customHeight="1" x14ac:dyDescent="0.25">
      <c r="A1276" t="str">
        <f>'NEW ACCOUNT'!A1277</f>
        <v/>
      </c>
      <c r="B1276" t="str">
        <f>IF('NEW ACCOUNT'!A1277="","",'NEW ACCOUNT'!B1277)</f>
        <v/>
      </c>
      <c r="C1276" t="str">
        <f>IF('NEW ACCOUNT'!A1277="","",'NEW ACCOUNT'!C1277)</f>
        <v/>
      </c>
      <c r="D1276" t="str">
        <f>IF('NEW ACCOUNT'!A1277="","",'NEW ACCOUNT'!D1277)</f>
        <v/>
      </c>
      <c r="E1276" t="str">
        <f>IF('NEW ACCOUNT'!A1277="","",'NEW ACCOUNT'!E1277)</f>
        <v/>
      </c>
      <c r="F1276" t="str">
        <f>IF('NEW ACCOUNT'!A1277="","",'NEW ACCOUNT'!F1277)</f>
        <v/>
      </c>
      <c r="G1276" t="str">
        <f>IF('NEW ACCOUNT'!A1277="","",'NEW ACCOUNT'!G1277)</f>
        <v/>
      </c>
      <c r="H1276" t="str">
        <f>IF('NEW ACCOUNT'!A1277="","",'NEW ACCOUNT'!H1277)</f>
        <v/>
      </c>
      <c r="I1276" t="str">
        <f>IF('NEW ACCOUNT'!A1277="","",'NEW ACCOUNT'!I1277)</f>
        <v/>
      </c>
      <c r="J1276" t="str">
        <f>IF('NEW ACCOUNT'!A1277="","",'NEW ACCOUNT'!J1277)</f>
        <v/>
      </c>
      <c r="K1276" t="str">
        <f>IFERROR(IF(A1276="","",SUMIF(DB_Savings!$A:$A,A1276,DB_Savings!$F:$F)),"")</f>
        <v/>
      </c>
      <c r="L1276" t="str">
        <f>IFERROR(IF(A1276="","",SUMIF(DB_Withdrawals!$A:$A,A1276,DB_Withdrawals!$G:$G)),"")</f>
        <v/>
      </c>
      <c r="M1276" t="str">
        <f>IFERROR(IF(A1276="","",IFERROR(VALUE(H1276),0)+IFERROR(SUMIF(DB_Savings!$A:$A,A1276,DB_Savings!$F:$F),0)-IFERROR(SUMIF(DB_Withdrawals!$A:$A,A1276,DB_Withdrawals!$G:$G),0)),"")</f>
        <v/>
      </c>
      <c r="N1276" t="str">
        <f>IFERROR(IF(A1276="","",MAX(0,M1276-System_Config!$B$9)),"")</f>
        <v/>
      </c>
    </row>
    <row r="1277" spans="1:14" ht="15" customHeight="1" x14ac:dyDescent="0.25">
      <c r="A1277" t="str">
        <f>'NEW ACCOUNT'!A1278</f>
        <v/>
      </c>
      <c r="B1277" t="str">
        <f>IF('NEW ACCOUNT'!A1278="","",'NEW ACCOUNT'!B1278)</f>
        <v/>
      </c>
      <c r="C1277" t="str">
        <f>IF('NEW ACCOUNT'!A1278="","",'NEW ACCOUNT'!C1278)</f>
        <v/>
      </c>
      <c r="D1277" t="str">
        <f>IF('NEW ACCOUNT'!A1278="","",'NEW ACCOUNT'!D1278)</f>
        <v/>
      </c>
      <c r="E1277" t="str">
        <f>IF('NEW ACCOUNT'!A1278="","",'NEW ACCOUNT'!E1278)</f>
        <v/>
      </c>
      <c r="F1277" t="str">
        <f>IF('NEW ACCOUNT'!A1278="","",'NEW ACCOUNT'!F1278)</f>
        <v/>
      </c>
      <c r="G1277" t="str">
        <f>IF('NEW ACCOUNT'!A1278="","",'NEW ACCOUNT'!G1278)</f>
        <v/>
      </c>
      <c r="H1277" t="str">
        <f>IF('NEW ACCOUNT'!A1278="","",'NEW ACCOUNT'!H1278)</f>
        <v/>
      </c>
      <c r="I1277" t="str">
        <f>IF('NEW ACCOUNT'!A1278="","",'NEW ACCOUNT'!I1278)</f>
        <v/>
      </c>
      <c r="J1277" t="str">
        <f>IF('NEW ACCOUNT'!A1278="","",'NEW ACCOUNT'!J1278)</f>
        <v/>
      </c>
      <c r="K1277" t="str">
        <f>IFERROR(IF(A1277="","",SUMIF(DB_Savings!$A:$A,A1277,DB_Savings!$F:$F)),"")</f>
        <v/>
      </c>
      <c r="L1277" t="str">
        <f>IFERROR(IF(A1277="","",SUMIF(DB_Withdrawals!$A:$A,A1277,DB_Withdrawals!$G:$G)),"")</f>
        <v/>
      </c>
      <c r="M1277" t="str">
        <f>IFERROR(IF(A1277="","",IFERROR(VALUE(H1277),0)+IFERROR(SUMIF(DB_Savings!$A:$A,A1277,DB_Savings!$F:$F),0)-IFERROR(SUMIF(DB_Withdrawals!$A:$A,A1277,DB_Withdrawals!$G:$G),0)),"")</f>
        <v/>
      </c>
      <c r="N1277" t="str">
        <f>IFERROR(IF(A1277="","",MAX(0,M1277-System_Config!$B$9)),"")</f>
        <v/>
      </c>
    </row>
    <row r="1278" spans="1:14" ht="15" customHeight="1" x14ac:dyDescent="0.25">
      <c r="A1278" t="str">
        <f>'NEW ACCOUNT'!A1279</f>
        <v/>
      </c>
      <c r="B1278" t="str">
        <f>IF('NEW ACCOUNT'!A1279="","",'NEW ACCOUNT'!B1279)</f>
        <v/>
      </c>
      <c r="C1278" t="str">
        <f>IF('NEW ACCOUNT'!A1279="","",'NEW ACCOUNT'!C1279)</f>
        <v/>
      </c>
      <c r="D1278" t="str">
        <f>IF('NEW ACCOUNT'!A1279="","",'NEW ACCOUNT'!D1279)</f>
        <v/>
      </c>
      <c r="E1278" t="str">
        <f>IF('NEW ACCOUNT'!A1279="","",'NEW ACCOUNT'!E1279)</f>
        <v/>
      </c>
      <c r="F1278" t="str">
        <f>IF('NEW ACCOUNT'!A1279="","",'NEW ACCOUNT'!F1279)</f>
        <v/>
      </c>
      <c r="G1278" t="str">
        <f>IF('NEW ACCOUNT'!A1279="","",'NEW ACCOUNT'!G1279)</f>
        <v/>
      </c>
      <c r="H1278" t="str">
        <f>IF('NEW ACCOUNT'!A1279="","",'NEW ACCOUNT'!H1279)</f>
        <v/>
      </c>
      <c r="I1278" t="str">
        <f>IF('NEW ACCOUNT'!A1279="","",'NEW ACCOUNT'!I1279)</f>
        <v/>
      </c>
      <c r="J1278" t="str">
        <f>IF('NEW ACCOUNT'!A1279="","",'NEW ACCOUNT'!J1279)</f>
        <v/>
      </c>
      <c r="K1278" t="str">
        <f>IFERROR(IF(A1278="","",SUMIF(DB_Savings!$A:$A,A1278,DB_Savings!$F:$F)),"")</f>
        <v/>
      </c>
      <c r="L1278" t="str">
        <f>IFERROR(IF(A1278="","",SUMIF(DB_Withdrawals!$A:$A,A1278,DB_Withdrawals!$G:$G)),"")</f>
        <v/>
      </c>
      <c r="M1278" t="str">
        <f>IFERROR(IF(A1278="","",IFERROR(VALUE(H1278),0)+IFERROR(SUMIF(DB_Savings!$A:$A,A1278,DB_Savings!$F:$F),0)-IFERROR(SUMIF(DB_Withdrawals!$A:$A,A1278,DB_Withdrawals!$G:$G),0)),"")</f>
        <v/>
      </c>
      <c r="N1278" t="str">
        <f>IFERROR(IF(A1278="","",MAX(0,M1278-System_Config!$B$9)),"")</f>
        <v/>
      </c>
    </row>
    <row r="1279" spans="1:14" ht="15" customHeight="1" x14ac:dyDescent="0.25">
      <c r="A1279" t="str">
        <f>'NEW ACCOUNT'!A1280</f>
        <v/>
      </c>
      <c r="B1279" t="str">
        <f>IF('NEW ACCOUNT'!A1280="","",'NEW ACCOUNT'!B1280)</f>
        <v/>
      </c>
      <c r="C1279" t="str">
        <f>IF('NEW ACCOUNT'!A1280="","",'NEW ACCOUNT'!C1280)</f>
        <v/>
      </c>
      <c r="D1279" t="str">
        <f>IF('NEW ACCOUNT'!A1280="","",'NEW ACCOUNT'!D1280)</f>
        <v/>
      </c>
      <c r="E1279" t="str">
        <f>IF('NEW ACCOUNT'!A1280="","",'NEW ACCOUNT'!E1280)</f>
        <v/>
      </c>
      <c r="F1279" t="str">
        <f>IF('NEW ACCOUNT'!A1280="","",'NEW ACCOUNT'!F1280)</f>
        <v/>
      </c>
      <c r="G1279" t="str">
        <f>IF('NEW ACCOUNT'!A1280="","",'NEW ACCOUNT'!G1280)</f>
        <v/>
      </c>
      <c r="H1279" t="str">
        <f>IF('NEW ACCOUNT'!A1280="","",'NEW ACCOUNT'!H1280)</f>
        <v/>
      </c>
      <c r="I1279" t="str">
        <f>IF('NEW ACCOUNT'!A1280="","",'NEW ACCOUNT'!I1280)</f>
        <v/>
      </c>
      <c r="J1279" t="str">
        <f>IF('NEW ACCOUNT'!A1280="","",'NEW ACCOUNT'!J1280)</f>
        <v/>
      </c>
      <c r="K1279" t="str">
        <f>IFERROR(IF(A1279="","",SUMIF(DB_Savings!$A:$A,A1279,DB_Savings!$F:$F)),"")</f>
        <v/>
      </c>
      <c r="L1279" t="str">
        <f>IFERROR(IF(A1279="","",SUMIF(DB_Withdrawals!$A:$A,A1279,DB_Withdrawals!$G:$G)),"")</f>
        <v/>
      </c>
      <c r="M1279" t="str">
        <f>IFERROR(IF(A1279="","",IFERROR(VALUE(H1279),0)+IFERROR(SUMIF(DB_Savings!$A:$A,A1279,DB_Savings!$F:$F),0)-IFERROR(SUMIF(DB_Withdrawals!$A:$A,A1279,DB_Withdrawals!$G:$G),0)),"")</f>
        <v/>
      </c>
      <c r="N1279" t="str">
        <f>IFERROR(IF(A1279="","",MAX(0,M1279-System_Config!$B$9)),"")</f>
        <v/>
      </c>
    </row>
    <row r="1280" spans="1:14" ht="15" customHeight="1" x14ac:dyDescent="0.25">
      <c r="A1280" t="str">
        <f>'NEW ACCOUNT'!A1281</f>
        <v/>
      </c>
      <c r="B1280" t="str">
        <f>IF('NEW ACCOUNT'!A1281="","",'NEW ACCOUNT'!B1281)</f>
        <v/>
      </c>
      <c r="C1280" t="str">
        <f>IF('NEW ACCOUNT'!A1281="","",'NEW ACCOUNT'!C1281)</f>
        <v/>
      </c>
      <c r="D1280" t="str">
        <f>IF('NEW ACCOUNT'!A1281="","",'NEW ACCOUNT'!D1281)</f>
        <v/>
      </c>
      <c r="E1280" t="str">
        <f>IF('NEW ACCOUNT'!A1281="","",'NEW ACCOUNT'!E1281)</f>
        <v/>
      </c>
      <c r="F1280" t="str">
        <f>IF('NEW ACCOUNT'!A1281="","",'NEW ACCOUNT'!F1281)</f>
        <v/>
      </c>
      <c r="G1280" t="str">
        <f>IF('NEW ACCOUNT'!A1281="","",'NEW ACCOUNT'!G1281)</f>
        <v/>
      </c>
      <c r="H1280" t="str">
        <f>IF('NEW ACCOUNT'!A1281="","",'NEW ACCOUNT'!H1281)</f>
        <v/>
      </c>
      <c r="I1280" t="str">
        <f>IF('NEW ACCOUNT'!A1281="","",'NEW ACCOUNT'!I1281)</f>
        <v/>
      </c>
      <c r="J1280" t="str">
        <f>IF('NEW ACCOUNT'!A1281="","",'NEW ACCOUNT'!J1281)</f>
        <v/>
      </c>
      <c r="K1280" t="str">
        <f>IFERROR(IF(A1280="","",SUMIF(DB_Savings!$A:$A,A1280,DB_Savings!$F:$F)),"")</f>
        <v/>
      </c>
      <c r="L1280" t="str">
        <f>IFERROR(IF(A1280="","",SUMIF(DB_Withdrawals!$A:$A,A1280,DB_Withdrawals!$G:$G)),"")</f>
        <v/>
      </c>
      <c r="M1280" t="str">
        <f>IFERROR(IF(A1280="","",IFERROR(VALUE(H1280),0)+IFERROR(SUMIF(DB_Savings!$A:$A,A1280,DB_Savings!$F:$F),0)-IFERROR(SUMIF(DB_Withdrawals!$A:$A,A1280,DB_Withdrawals!$G:$G),0)),"")</f>
        <v/>
      </c>
      <c r="N1280" t="str">
        <f>IFERROR(IF(A1280="","",MAX(0,M1280-System_Config!$B$9)),"")</f>
        <v/>
      </c>
    </row>
    <row r="1281" spans="1:14" ht="15" customHeight="1" x14ac:dyDescent="0.25">
      <c r="A1281" t="str">
        <f>'NEW ACCOUNT'!A1282</f>
        <v/>
      </c>
      <c r="B1281" t="str">
        <f>IF('NEW ACCOUNT'!A1282="","",'NEW ACCOUNT'!B1282)</f>
        <v/>
      </c>
      <c r="C1281" t="str">
        <f>IF('NEW ACCOUNT'!A1282="","",'NEW ACCOUNT'!C1282)</f>
        <v/>
      </c>
      <c r="D1281" t="str">
        <f>IF('NEW ACCOUNT'!A1282="","",'NEW ACCOUNT'!D1282)</f>
        <v/>
      </c>
      <c r="E1281" t="str">
        <f>IF('NEW ACCOUNT'!A1282="","",'NEW ACCOUNT'!E1282)</f>
        <v/>
      </c>
      <c r="F1281" t="str">
        <f>IF('NEW ACCOUNT'!A1282="","",'NEW ACCOUNT'!F1282)</f>
        <v/>
      </c>
      <c r="G1281" t="str">
        <f>IF('NEW ACCOUNT'!A1282="","",'NEW ACCOUNT'!G1282)</f>
        <v/>
      </c>
      <c r="H1281" t="str">
        <f>IF('NEW ACCOUNT'!A1282="","",'NEW ACCOUNT'!H1282)</f>
        <v/>
      </c>
      <c r="I1281" t="str">
        <f>IF('NEW ACCOUNT'!A1282="","",'NEW ACCOUNT'!I1282)</f>
        <v/>
      </c>
      <c r="J1281" t="str">
        <f>IF('NEW ACCOUNT'!A1282="","",'NEW ACCOUNT'!J1282)</f>
        <v/>
      </c>
      <c r="K1281" t="str">
        <f>IFERROR(IF(A1281="","",SUMIF(DB_Savings!$A:$A,A1281,DB_Savings!$F:$F)),"")</f>
        <v/>
      </c>
      <c r="L1281" t="str">
        <f>IFERROR(IF(A1281="","",SUMIF(DB_Withdrawals!$A:$A,A1281,DB_Withdrawals!$G:$G)),"")</f>
        <v/>
      </c>
      <c r="M1281" t="str">
        <f>IFERROR(IF(A1281="","",IFERROR(VALUE(H1281),0)+IFERROR(SUMIF(DB_Savings!$A:$A,A1281,DB_Savings!$F:$F),0)-IFERROR(SUMIF(DB_Withdrawals!$A:$A,A1281,DB_Withdrawals!$G:$G),0)),"")</f>
        <v/>
      </c>
      <c r="N1281" t="str">
        <f>IFERROR(IF(A1281="","",MAX(0,M1281-System_Config!$B$9)),"")</f>
        <v/>
      </c>
    </row>
    <row r="1282" spans="1:14" ht="15" customHeight="1" x14ac:dyDescent="0.25">
      <c r="A1282" t="str">
        <f>'NEW ACCOUNT'!A1283</f>
        <v/>
      </c>
      <c r="B1282" t="str">
        <f>IF('NEW ACCOUNT'!A1283="","",'NEW ACCOUNT'!B1283)</f>
        <v/>
      </c>
      <c r="C1282" t="str">
        <f>IF('NEW ACCOUNT'!A1283="","",'NEW ACCOUNT'!C1283)</f>
        <v/>
      </c>
      <c r="D1282" t="str">
        <f>IF('NEW ACCOUNT'!A1283="","",'NEW ACCOUNT'!D1283)</f>
        <v/>
      </c>
      <c r="E1282" t="str">
        <f>IF('NEW ACCOUNT'!A1283="","",'NEW ACCOUNT'!E1283)</f>
        <v/>
      </c>
      <c r="F1282" t="str">
        <f>IF('NEW ACCOUNT'!A1283="","",'NEW ACCOUNT'!F1283)</f>
        <v/>
      </c>
      <c r="G1282" t="str">
        <f>IF('NEW ACCOUNT'!A1283="","",'NEW ACCOUNT'!G1283)</f>
        <v/>
      </c>
      <c r="H1282" t="str">
        <f>IF('NEW ACCOUNT'!A1283="","",'NEW ACCOUNT'!H1283)</f>
        <v/>
      </c>
      <c r="I1282" t="str">
        <f>IF('NEW ACCOUNT'!A1283="","",'NEW ACCOUNT'!I1283)</f>
        <v/>
      </c>
      <c r="J1282" t="str">
        <f>IF('NEW ACCOUNT'!A1283="","",'NEW ACCOUNT'!J1283)</f>
        <v/>
      </c>
      <c r="K1282" t="str">
        <f>IFERROR(IF(A1282="","",SUMIF(DB_Savings!$A:$A,A1282,DB_Savings!$F:$F)),"")</f>
        <v/>
      </c>
      <c r="L1282" t="str">
        <f>IFERROR(IF(A1282="","",SUMIF(DB_Withdrawals!$A:$A,A1282,DB_Withdrawals!$G:$G)),"")</f>
        <v/>
      </c>
      <c r="M1282" t="str">
        <f>IFERROR(IF(A1282="","",IFERROR(VALUE(H1282),0)+IFERROR(SUMIF(DB_Savings!$A:$A,A1282,DB_Savings!$F:$F),0)-IFERROR(SUMIF(DB_Withdrawals!$A:$A,A1282,DB_Withdrawals!$G:$G),0)),"")</f>
        <v/>
      </c>
      <c r="N1282" t="str">
        <f>IFERROR(IF(A1282="","",MAX(0,M1282-System_Config!$B$9)),"")</f>
        <v/>
      </c>
    </row>
    <row r="1283" spans="1:14" ht="15" customHeight="1" x14ac:dyDescent="0.25">
      <c r="A1283" t="str">
        <f>'NEW ACCOUNT'!A1284</f>
        <v/>
      </c>
      <c r="B1283" t="str">
        <f>IF('NEW ACCOUNT'!A1284="","",'NEW ACCOUNT'!B1284)</f>
        <v/>
      </c>
      <c r="C1283" t="str">
        <f>IF('NEW ACCOUNT'!A1284="","",'NEW ACCOUNT'!C1284)</f>
        <v/>
      </c>
      <c r="D1283" t="str">
        <f>IF('NEW ACCOUNT'!A1284="","",'NEW ACCOUNT'!D1284)</f>
        <v/>
      </c>
      <c r="E1283" t="str">
        <f>IF('NEW ACCOUNT'!A1284="","",'NEW ACCOUNT'!E1284)</f>
        <v/>
      </c>
      <c r="F1283" t="str">
        <f>IF('NEW ACCOUNT'!A1284="","",'NEW ACCOUNT'!F1284)</f>
        <v/>
      </c>
      <c r="G1283" t="str">
        <f>IF('NEW ACCOUNT'!A1284="","",'NEW ACCOUNT'!G1284)</f>
        <v/>
      </c>
      <c r="H1283" t="str">
        <f>IF('NEW ACCOUNT'!A1284="","",'NEW ACCOUNT'!H1284)</f>
        <v/>
      </c>
      <c r="I1283" t="str">
        <f>IF('NEW ACCOUNT'!A1284="","",'NEW ACCOUNT'!I1284)</f>
        <v/>
      </c>
      <c r="J1283" t="str">
        <f>IF('NEW ACCOUNT'!A1284="","",'NEW ACCOUNT'!J1284)</f>
        <v/>
      </c>
      <c r="K1283" t="str">
        <f>IFERROR(IF(A1283="","",SUMIF(DB_Savings!$A:$A,A1283,DB_Savings!$F:$F)),"")</f>
        <v/>
      </c>
      <c r="L1283" t="str">
        <f>IFERROR(IF(A1283="","",SUMIF(DB_Withdrawals!$A:$A,A1283,DB_Withdrawals!$G:$G)),"")</f>
        <v/>
      </c>
      <c r="M1283" t="str">
        <f>IFERROR(IF(A1283="","",IFERROR(VALUE(H1283),0)+IFERROR(SUMIF(DB_Savings!$A:$A,A1283,DB_Savings!$F:$F),0)-IFERROR(SUMIF(DB_Withdrawals!$A:$A,A1283,DB_Withdrawals!$G:$G),0)),"")</f>
        <v/>
      </c>
      <c r="N1283" t="str">
        <f>IFERROR(IF(A1283="","",MAX(0,M1283-System_Config!$B$9)),"")</f>
        <v/>
      </c>
    </row>
    <row r="1284" spans="1:14" ht="15" customHeight="1" x14ac:dyDescent="0.25">
      <c r="A1284" t="str">
        <f>'NEW ACCOUNT'!A1285</f>
        <v/>
      </c>
      <c r="B1284" t="str">
        <f>IF('NEW ACCOUNT'!A1285="","",'NEW ACCOUNT'!B1285)</f>
        <v/>
      </c>
      <c r="C1284" t="str">
        <f>IF('NEW ACCOUNT'!A1285="","",'NEW ACCOUNT'!C1285)</f>
        <v/>
      </c>
      <c r="D1284" t="str">
        <f>IF('NEW ACCOUNT'!A1285="","",'NEW ACCOUNT'!D1285)</f>
        <v/>
      </c>
      <c r="E1284" t="str">
        <f>IF('NEW ACCOUNT'!A1285="","",'NEW ACCOUNT'!E1285)</f>
        <v/>
      </c>
      <c r="F1284" t="str">
        <f>IF('NEW ACCOUNT'!A1285="","",'NEW ACCOUNT'!F1285)</f>
        <v/>
      </c>
      <c r="G1284" t="str">
        <f>IF('NEW ACCOUNT'!A1285="","",'NEW ACCOUNT'!G1285)</f>
        <v/>
      </c>
      <c r="H1284" t="str">
        <f>IF('NEW ACCOUNT'!A1285="","",'NEW ACCOUNT'!H1285)</f>
        <v/>
      </c>
      <c r="I1284" t="str">
        <f>IF('NEW ACCOUNT'!A1285="","",'NEW ACCOUNT'!I1285)</f>
        <v/>
      </c>
      <c r="J1284" t="str">
        <f>IF('NEW ACCOUNT'!A1285="","",'NEW ACCOUNT'!J1285)</f>
        <v/>
      </c>
      <c r="K1284" t="str">
        <f>IFERROR(IF(A1284="","",SUMIF(DB_Savings!$A:$A,A1284,DB_Savings!$F:$F)),"")</f>
        <v/>
      </c>
      <c r="L1284" t="str">
        <f>IFERROR(IF(A1284="","",SUMIF(DB_Withdrawals!$A:$A,A1284,DB_Withdrawals!$G:$G)),"")</f>
        <v/>
      </c>
      <c r="M1284" t="str">
        <f>IFERROR(IF(A1284="","",IFERROR(VALUE(H1284),0)+IFERROR(SUMIF(DB_Savings!$A:$A,A1284,DB_Savings!$F:$F),0)-IFERROR(SUMIF(DB_Withdrawals!$A:$A,A1284,DB_Withdrawals!$G:$G),0)),"")</f>
        <v/>
      </c>
      <c r="N1284" t="str">
        <f>IFERROR(IF(A1284="","",MAX(0,M1284-System_Config!$B$9)),"")</f>
        <v/>
      </c>
    </row>
    <row r="1285" spans="1:14" ht="15" customHeight="1" x14ac:dyDescent="0.25">
      <c r="A1285" t="str">
        <f>'NEW ACCOUNT'!A1286</f>
        <v/>
      </c>
      <c r="B1285" t="str">
        <f>IF('NEW ACCOUNT'!A1286="","",'NEW ACCOUNT'!B1286)</f>
        <v/>
      </c>
      <c r="C1285" t="str">
        <f>IF('NEW ACCOUNT'!A1286="","",'NEW ACCOUNT'!C1286)</f>
        <v/>
      </c>
      <c r="D1285" t="str">
        <f>IF('NEW ACCOUNT'!A1286="","",'NEW ACCOUNT'!D1286)</f>
        <v/>
      </c>
      <c r="E1285" t="str">
        <f>IF('NEW ACCOUNT'!A1286="","",'NEW ACCOUNT'!E1286)</f>
        <v/>
      </c>
      <c r="F1285" t="str">
        <f>IF('NEW ACCOUNT'!A1286="","",'NEW ACCOUNT'!F1286)</f>
        <v/>
      </c>
      <c r="G1285" t="str">
        <f>IF('NEW ACCOUNT'!A1286="","",'NEW ACCOUNT'!G1286)</f>
        <v/>
      </c>
      <c r="H1285" t="str">
        <f>IF('NEW ACCOUNT'!A1286="","",'NEW ACCOUNT'!H1286)</f>
        <v/>
      </c>
      <c r="I1285" t="str">
        <f>IF('NEW ACCOUNT'!A1286="","",'NEW ACCOUNT'!I1286)</f>
        <v/>
      </c>
      <c r="J1285" t="str">
        <f>IF('NEW ACCOUNT'!A1286="","",'NEW ACCOUNT'!J1286)</f>
        <v/>
      </c>
      <c r="K1285" t="str">
        <f>IFERROR(IF(A1285="","",SUMIF(DB_Savings!$A:$A,A1285,DB_Savings!$F:$F)),"")</f>
        <v/>
      </c>
      <c r="L1285" t="str">
        <f>IFERROR(IF(A1285="","",SUMIF(DB_Withdrawals!$A:$A,A1285,DB_Withdrawals!$G:$G)),"")</f>
        <v/>
      </c>
      <c r="M1285" t="str">
        <f>IFERROR(IF(A1285="","",IFERROR(VALUE(H1285),0)+IFERROR(SUMIF(DB_Savings!$A:$A,A1285,DB_Savings!$F:$F),0)-IFERROR(SUMIF(DB_Withdrawals!$A:$A,A1285,DB_Withdrawals!$G:$G),0)),"")</f>
        <v/>
      </c>
      <c r="N1285" t="str">
        <f>IFERROR(IF(A1285="","",MAX(0,M1285-System_Config!$B$9)),"")</f>
        <v/>
      </c>
    </row>
    <row r="1286" spans="1:14" ht="15" customHeight="1" x14ac:dyDescent="0.25">
      <c r="A1286" t="str">
        <f>'NEW ACCOUNT'!A1287</f>
        <v/>
      </c>
      <c r="B1286" t="str">
        <f>IF('NEW ACCOUNT'!A1287="","",'NEW ACCOUNT'!B1287)</f>
        <v/>
      </c>
      <c r="C1286" t="str">
        <f>IF('NEW ACCOUNT'!A1287="","",'NEW ACCOUNT'!C1287)</f>
        <v/>
      </c>
      <c r="D1286" t="str">
        <f>IF('NEW ACCOUNT'!A1287="","",'NEW ACCOUNT'!D1287)</f>
        <v/>
      </c>
      <c r="E1286" t="str">
        <f>IF('NEW ACCOUNT'!A1287="","",'NEW ACCOUNT'!E1287)</f>
        <v/>
      </c>
      <c r="F1286" t="str">
        <f>IF('NEW ACCOUNT'!A1287="","",'NEW ACCOUNT'!F1287)</f>
        <v/>
      </c>
      <c r="G1286" t="str">
        <f>IF('NEW ACCOUNT'!A1287="","",'NEW ACCOUNT'!G1287)</f>
        <v/>
      </c>
      <c r="H1286" t="str">
        <f>IF('NEW ACCOUNT'!A1287="","",'NEW ACCOUNT'!H1287)</f>
        <v/>
      </c>
      <c r="I1286" t="str">
        <f>IF('NEW ACCOUNT'!A1287="","",'NEW ACCOUNT'!I1287)</f>
        <v/>
      </c>
      <c r="J1286" t="str">
        <f>IF('NEW ACCOUNT'!A1287="","",'NEW ACCOUNT'!J1287)</f>
        <v/>
      </c>
      <c r="K1286" t="str">
        <f>IFERROR(IF(A1286="","",SUMIF(DB_Savings!$A:$A,A1286,DB_Savings!$F:$F)),"")</f>
        <v/>
      </c>
      <c r="L1286" t="str">
        <f>IFERROR(IF(A1286="","",SUMIF(DB_Withdrawals!$A:$A,A1286,DB_Withdrawals!$G:$G)),"")</f>
        <v/>
      </c>
      <c r="M1286" t="str">
        <f>IFERROR(IF(A1286="","",IFERROR(VALUE(H1286),0)+IFERROR(SUMIF(DB_Savings!$A:$A,A1286,DB_Savings!$F:$F),0)-IFERROR(SUMIF(DB_Withdrawals!$A:$A,A1286,DB_Withdrawals!$G:$G),0)),"")</f>
        <v/>
      </c>
      <c r="N1286" t="str">
        <f>IFERROR(IF(A1286="","",MAX(0,M1286-System_Config!$B$9)),"")</f>
        <v/>
      </c>
    </row>
    <row r="1287" spans="1:14" ht="15" customHeight="1" x14ac:dyDescent="0.25">
      <c r="A1287" t="str">
        <f>'NEW ACCOUNT'!A1288</f>
        <v/>
      </c>
      <c r="B1287" t="str">
        <f>IF('NEW ACCOUNT'!A1288="","",'NEW ACCOUNT'!B1288)</f>
        <v/>
      </c>
      <c r="C1287" t="str">
        <f>IF('NEW ACCOUNT'!A1288="","",'NEW ACCOUNT'!C1288)</f>
        <v/>
      </c>
      <c r="D1287" t="str">
        <f>IF('NEW ACCOUNT'!A1288="","",'NEW ACCOUNT'!D1288)</f>
        <v/>
      </c>
      <c r="E1287" t="str">
        <f>IF('NEW ACCOUNT'!A1288="","",'NEW ACCOUNT'!E1288)</f>
        <v/>
      </c>
      <c r="F1287" t="str">
        <f>IF('NEW ACCOUNT'!A1288="","",'NEW ACCOUNT'!F1288)</f>
        <v/>
      </c>
      <c r="G1287" t="str">
        <f>IF('NEW ACCOUNT'!A1288="","",'NEW ACCOUNT'!G1288)</f>
        <v/>
      </c>
      <c r="H1287" t="str">
        <f>IF('NEW ACCOUNT'!A1288="","",'NEW ACCOUNT'!H1288)</f>
        <v/>
      </c>
      <c r="I1287" t="str">
        <f>IF('NEW ACCOUNT'!A1288="","",'NEW ACCOUNT'!I1288)</f>
        <v/>
      </c>
      <c r="J1287" t="str">
        <f>IF('NEW ACCOUNT'!A1288="","",'NEW ACCOUNT'!J1288)</f>
        <v/>
      </c>
      <c r="K1287" t="str">
        <f>IFERROR(IF(A1287="","",SUMIF(DB_Savings!$A:$A,A1287,DB_Savings!$F:$F)),"")</f>
        <v/>
      </c>
      <c r="L1287" t="str">
        <f>IFERROR(IF(A1287="","",SUMIF(DB_Withdrawals!$A:$A,A1287,DB_Withdrawals!$G:$G)),"")</f>
        <v/>
      </c>
      <c r="M1287" t="str">
        <f>IFERROR(IF(A1287="","",IFERROR(VALUE(H1287),0)+IFERROR(SUMIF(DB_Savings!$A:$A,A1287,DB_Savings!$F:$F),0)-IFERROR(SUMIF(DB_Withdrawals!$A:$A,A1287,DB_Withdrawals!$G:$G),0)),"")</f>
        <v/>
      </c>
      <c r="N1287" t="str">
        <f>IFERROR(IF(A1287="","",MAX(0,M1287-System_Config!$B$9)),"")</f>
        <v/>
      </c>
    </row>
    <row r="1288" spans="1:14" ht="15" customHeight="1" x14ac:dyDescent="0.25">
      <c r="A1288" t="str">
        <f>'NEW ACCOUNT'!A1289</f>
        <v/>
      </c>
      <c r="B1288" t="str">
        <f>IF('NEW ACCOUNT'!A1289="","",'NEW ACCOUNT'!B1289)</f>
        <v/>
      </c>
      <c r="C1288" t="str">
        <f>IF('NEW ACCOUNT'!A1289="","",'NEW ACCOUNT'!C1289)</f>
        <v/>
      </c>
      <c r="D1288" t="str">
        <f>IF('NEW ACCOUNT'!A1289="","",'NEW ACCOUNT'!D1289)</f>
        <v/>
      </c>
      <c r="E1288" t="str">
        <f>IF('NEW ACCOUNT'!A1289="","",'NEW ACCOUNT'!E1289)</f>
        <v/>
      </c>
      <c r="F1288" t="str">
        <f>IF('NEW ACCOUNT'!A1289="","",'NEW ACCOUNT'!F1289)</f>
        <v/>
      </c>
      <c r="G1288" t="str">
        <f>IF('NEW ACCOUNT'!A1289="","",'NEW ACCOUNT'!G1289)</f>
        <v/>
      </c>
      <c r="H1288" t="str">
        <f>IF('NEW ACCOUNT'!A1289="","",'NEW ACCOUNT'!H1289)</f>
        <v/>
      </c>
      <c r="I1288" t="str">
        <f>IF('NEW ACCOUNT'!A1289="","",'NEW ACCOUNT'!I1289)</f>
        <v/>
      </c>
      <c r="J1288" t="str">
        <f>IF('NEW ACCOUNT'!A1289="","",'NEW ACCOUNT'!J1289)</f>
        <v/>
      </c>
      <c r="K1288" t="str">
        <f>IFERROR(IF(A1288="","",SUMIF(DB_Savings!$A:$A,A1288,DB_Savings!$F:$F)),"")</f>
        <v/>
      </c>
      <c r="L1288" t="str">
        <f>IFERROR(IF(A1288="","",SUMIF(DB_Withdrawals!$A:$A,A1288,DB_Withdrawals!$G:$G)),"")</f>
        <v/>
      </c>
      <c r="M1288" t="str">
        <f>IFERROR(IF(A1288="","",IFERROR(VALUE(H1288),0)+IFERROR(SUMIF(DB_Savings!$A:$A,A1288,DB_Savings!$F:$F),0)-IFERROR(SUMIF(DB_Withdrawals!$A:$A,A1288,DB_Withdrawals!$G:$G),0)),"")</f>
        <v/>
      </c>
      <c r="N1288" t="str">
        <f>IFERROR(IF(A1288="","",MAX(0,M1288-System_Config!$B$9)),"")</f>
        <v/>
      </c>
    </row>
    <row r="1289" spans="1:14" ht="15" customHeight="1" x14ac:dyDescent="0.25">
      <c r="A1289" t="str">
        <f>'NEW ACCOUNT'!A1290</f>
        <v/>
      </c>
      <c r="B1289" t="str">
        <f>IF('NEW ACCOUNT'!A1290="","",'NEW ACCOUNT'!B1290)</f>
        <v/>
      </c>
      <c r="C1289" t="str">
        <f>IF('NEW ACCOUNT'!A1290="","",'NEW ACCOUNT'!C1290)</f>
        <v/>
      </c>
      <c r="D1289" t="str">
        <f>IF('NEW ACCOUNT'!A1290="","",'NEW ACCOUNT'!D1290)</f>
        <v/>
      </c>
      <c r="E1289" t="str">
        <f>IF('NEW ACCOUNT'!A1290="","",'NEW ACCOUNT'!E1290)</f>
        <v/>
      </c>
      <c r="F1289" t="str">
        <f>IF('NEW ACCOUNT'!A1290="","",'NEW ACCOUNT'!F1290)</f>
        <v/>
      </c>
      <c r="G1289" t="str">
        <f>IF('NEW ACCOUNT'!A1290="","",'NEW ACCOUNT'!G1290)</f>
        <v/>
      </c>
      <c r="H1289" t="str">
        <f>IF('NEW ACCOUNT'!A1290="","",'NEW ACCOUNT'!H1290)</f>
        <v/>
      </c>
      <c r="I1289" t="str">
        <f>IF('NEW ACCOUNT'!A1290="","",'NEW ACCOUNT'!I1290)</f>
        <v/>
      </c>
      <c r="J1289" t="str">
        <f>IF('NEW ACCOUNT'!A1290="","",'NEW ACCOUNT'!J1290)</f>
        <v/>
      </c>
      <c r="K1289" t="str">
        <f>IFERROR(IF(A1289="","",SUMIF(DB_Savings!$A:$A,A1289,DB_Savings!$F:$F)),"")</f>
        <v/>
      </c>
      <c r="L1289" t="str">
        <f>IFERROR(IF(A1289="","",SUMIF(DB_Withdrawals!$A:$A,A1289,DB_Withdrawals!$G:$G)),"")</f>
        <v/>
      </c>
      <c r="M1289" t="str">
        <f>IFERROR(IF(A1289="","",IFERROR(VALUE(H1289),0)+IFERROR(SUMIF(DB_Savings!$A:$A,A1289,DB_Savings!$F:$F),0)-IFERROR(SUMIF(DB_Withdrawals!$A:$A,A1289,DB_Withdrawals!$G:$G),0)),"")</f>
        <v/>
      </c>
      <c r="N1289" t="str">
        <f>IFERROR(IF(A1289="","",MAX(0,M1289-System_Config!$B$9)),"")</f>
        <v/>
      </c>
    </row>
    <row r="1290" spans="1:14" ht="15" customHeight="1" x14ac:dyDescent="0.25">
      <c r="A1290" t="str">
        <f>'NEW ACCOUNT'!A1291</f>
        <v/>
      </c>
      <c r="B1290" t="str">
        <f>IF('NEW ACCOUNT'!A1291="","",'NEW ACCOUNT'!B1291)</f>
        <v/>
      </c>
      <c r="C1290" t="str">
        <f>IF('NEW ACCOUNT'!A1291="","",'NEW ACCOUNT'!C1291)</f>
        <v/>
      </c>
      <c r="D1290" t="str">
        <f>IF('NEW ACCOUNT'!A1291="","",'NEW ACCOUNT'!D1291)</f>
        <v/>
      </c>
      <c r="E1290" t="str">
        <f>IF('NEW ACCOUNT'!A1291="","",'NEW ACCOUNT'!E1291)</f>
        <v/>
      </c>
      <c r="F1290" t="str">
        <f>IF('NEW ACCOUNT'!A1291="","",'NEW ACCOUNT'!F1291)</f>
        <v/>
      </c>
      <c r="G1290" t="str">
        <f>IF('NEW ACCOUNT'!A1291="","",'NEW ACCOUNT'!G1291)</f>
        <v/>
      </c>
      <c r="H1290" t="str">
        <f>IF('NEW ACCOUNT'!A1291="","",'NEW ACCOUNT'!H1291)</f>
        <v/>
      </c>
      <c r="I1290" t="str">
        <f>IF('NEW ACCOUNT'!A1291="","",'NEW ACCOUNT'!I1291)</f>
        <v/>
      </c>
      <c r="J1290" t="str">
        <f>IF('NEW ACCOUNT'!A1291="","",'NEW ACCOUNT'!J1291)</f>
        <v/>
      </c>
      <c r="K1290" t="str">
        <f>IFERROR(IF(A1290="","",SUMIF(DB_Savings!$A:$A,A1290,DB_Savings!$F:$F)),"")</f>
        <v/>
      </c>
      <c r="L1290" t="str">
        <f>IFERROR(IF(A1290="","",SUMIF(DB_Withdrawals!$A:$A,A1290,DB_Withdrawals!$G:$G)),"")</f>
        <v/>
      </c>
      <c r="M1290" t="str">
        <f>IFERROR(IF(A1290="","",IFERROR(VALUE(H1290),0)+IFERROR(SUMIF(DB_Savings!$A:$A,A1290,DB_Savings!$F:$F),0)-IFERROR(SUMIF(DB_Withdrawals!$A:$A,A1290,DB_Withdrawals!$G:$G),0)),"")</f>
        <v/>
      </c>
      <c r="N1290" t="str">
        <f>IFERROR(IF(A1290="","",MAX(0,M1290-System_Config!$B$9)),"")</f>
        <v/>
      </c>
    </row>
    <row r="1291" spans="1:14" ht="15" customHeight="1" x14ac:dyDescent="0.25">
      <c r="A1291" t="str">
        <f>'NEW ACCOUNT'!A1292</f>
        <v/>
      </c>
      <c r="B1291" t="str">
        <f>IF('NEW ACCOUNT'!A1292="","",'NEW ACCOUNT'!B1292)</f>
        <v/>
      </c>
      <c r="C1291" t="str">
        <f>IF('NEW ACCOUNT'!A1292="","",'NEW ACCOUNT'!C1292)</f>
        <v/>
      </c>
      <c r="D1291" t="str">
        <f>IF('NEW ACCOUNT'!A1292="","",'NEW ACCOUNT'!D1292)</f>
        <v/>
      </c>
      <c r="E1291" t="str">
        <f>IF('NEW ACCOUNT'!A1292="","",'NEW ACCOUNT'!E1292)</f>
        <v/>
      </c>
      <c r="F1291" t="str">
        <f>IF('NEW ACCOUNT'!A1292="","",'NEW ACCOUNT'!F1292)</f>
        <v/>
      </c>
      <c r="G1291" t="str">
        <f>IF('NEW ACCOUNT'!A1292="","",'NEW ACCOUNT'!G1292)</f>
        <v/>
      </c>
      <c r="H1291" t="str">
        <f>IF('NEW ACCOUNT'!A1292="","",'NEW ACCOUNT'!H1292)</f>
        <v/>
      </c>
      <c r="I1291" t="str">
        <f>IF('NEW ACCOUNT'!A1292="","",'NEW ACCOUNT'!I1292)</f>
        <v/>
      </c>
      <c r="J1291" t="str">
        <f>IF('NEW ACCOUNT'!A1292="","",'NEW ACCOUNT'!J1292)</f>
        <v/>
      </c>
      <c r="K1291" t="str">
        <f>IFERROR(IF(A1291="","",SUMIF(DB_Savings!$A:$A,A1291,DB_Savings!$F:$F)),"")</f>
        <v/>
      </c>
      <c r="L1291" t="str">
        <f>IFERROR(IF(A1291="","",SUMIF(DB_Withdrawals!$A:$A,A1291,DB_Withdrawals!$G:$G)),"")</f>
        <v/>
      </c>
      <c r="M1291" t="str">
        <f>IFERROR(IF(A1291="","",IFERROR(VALUE(H1291),0)+IFERROR(SUMIF(DB_Savings!$A:$A,A1291,DB_Savings!$F:$F),0)-IFERROR(SUMIF(DB_Withdrawals!$A:$A,A1291,DB_Withdrawals!$G:$G),0)),"")</f>
        <v/>
      </c>
      <c r="N1291" t="str">
        <f>IFERROR(IF(A1291="","",MAX(0,M1291-System_Config!$B$9)),"")</f>
        <v/>
      </c>
    </row>
    <row r="1292" spans="1:14" ht="15" customHeight="1" x14ac:dyDescent="0.25">
      <c r="A1292" t="str">
        <f>'NEW ACCOUNT'!A1293</f>
        <v/>
      </c>
      <c r="B1292" t="str">
        <f>IF('NEW ACCOUNT'!A1293="","",'NEW ACCOUNT'!B1293)</f>
        <v/>
      </c>
      <c r="C1292" t="str">
        <f>IF('NEW ACCOUNT'!A1293="","",'NEW ACCOUNT'!C1293)</f>
        <v/>
      </c>
      <c r="D1292" t="str">
        <f>IF('NEW ACCOUNT'!A1293="","",'NEW ACCOUNT'!D1293)</f>
        <v/>
      </c>
      <c r="E1292" t="str">
        <f>IF('NEW ACCOUNT'!A1293="","",'NEW ACCOUNT'!E1293)</f>
        <v/>
      </c>
      <c r="F1292" t="str">
        <f>IF('NEW ACCOUNT'!A1293="","",'NEW ACCOUNT'!F1293)</f>
        <v/>
      </c>
      <c r="G1292" t="str">
        <f>IF('NEW ACCOUNT'!A1293="","",'NEW ACCOUNT'!G1293)</f>
        <v/>
      </c>
      <c r="H1292" t="str">
        <f>IF('NEW ACCOUNT'!A1293="","",'NEW ACCOUNT'!H1293)</f>
        <v/>
      </c>
      <c r="I1292" t="str">
        <f>IF('NEW ACCOUNT'!A1293="","",'NEW ACCOUNT'!I1293)</f>
        <v/>
      </c>
      <c r="J1292" t="str">
        <f>IF('NEW ACCOUNT'!A1293="","",'NEW ACCOUNT'!J1293)</f>
        <v/>
      </c>
      <c r="K1292" t="str">
        <f>IFERROR(IF(A1292="","",SUMIF(DB_Savings!$A:$A,A1292,DB_Savings!$F:$F)),"")</f>
        <v/>
      </c>
      <c r="L1292" t="str">
        <f>IFERROR(IF(A1292="","",SUMIF(DB_Withdrawals!$A:$A,A1292,DB_Withdrawals!$G:$G)),"")</f>
        <v/>
      </c>
      <c r="M1292" t="str">
        <f>IFERROR(IF(A1292="","",IFERROR(VALUE(H1292),0)+IFERROR(SUMIF(DB_Savings!$A:$A,A1292,DB_Savings!$F:$F),0)-IFERROR(SUMIF(DB_Withdrawals!$A:$A,A1292,DB_Withdrawals!$G:$G),0)),"")</f>
        <v/>
      </c>
      <c r="N1292" t="str">
        <f>IFERROR(IF(A1292="","",MAX(0,M1292-System_Config!$B$9)),"")</f>
        <v/>
      </c>
    </row>
    <row r="1293" spans="1:14" ht="15" customHeight="1" x14ac:dyDescent="0.25">
      <c r="A1293" t="str">
        <f>'NEW ACCOUNT'!A1294</f>
        <v/>
      </c>
      <c r="B1293" t="str">
        <f>IF('NEW ACCOUNT'!A1294="","",'NEW ACCOUNT'!B1294)</f>
        <v/>
      </c>
      <c r="C1293" t="str">
        <f>IF('NEW ACCOUNT'!A1294="","",'NEW ACCOUNT'!C1294)</f>
        <v/>
      </c>
      <c r="D1293" t="str">
        <f>IF('NEW ACCOUNT'!A1294="","",'NEW ACCOUNT'!D1294)</f>
        <v/>
      </c>
      <c r="E1293" t="str">
        <f>IF('NEW ACCOUNT'!A1294="","",'NEW ACCOUNT'!E1294)</f>
        <v/>
      </c>
      <c r="F1293" t="str">
        <f>IF('NEW ACCOUNT'!A1294="","",'NEW ACCOUNT'!F1294)</f>
        <v/>
      </c>
      <c r="G1293" t="str">
        <f>IF('NEW ACCOUNT'!A1294="","",'NEW ACCOUNT'!G1294)</f>
        <v/>
      </c>
      <c r="H1293" t="str">
        <f>IF('NEW ACCOUNT'!A1294="","",'NEW ACCOUNT'!H1294)</f>
        <v/>
      </c>
      <c r="I1293" t="str">
        <f>IF('NEW ACCOUNT'!A1294="","",'NEW ACCOUNT'!I1294)</f>
        <v/>
      </c>
      <c r="J1293" t="str">
        <f>IF('NEW ACCOUNT'!A1294="","",'NEW ACCOUNT'!J1294)</f>
        <v/>
      </c>
      <c r="K1293" t="str">
        <f>IFERROR(IF(A1293="","",SUMIF(DB_Savings!$A:$A,A1293,DB_Savings!$F:$F)),"")</f>
        <v/>
      </c>
      <c r="L1293" t="str">
        <f>IFERROR(IF(A1293="","",SUMIF(DB_Withdrawals!$A:$A,A1293,DB_Withdrawals!$G:$G)),"")</f>
        <v/>
      </c>
      <c r="M1293" t="str">
        <f>IFERROR(IF(A1293="","",IFERROR(VALUE(H1293),0)+IFERROR(SUMIF(DB_Savings!$A:$A,A1293,DB_Savings!$F:$F),0)-IFERROR(SUMIF(DB_Withdrawals!$A:$A,A1293,DB_Withdrawals!$G:$G),0)),"")</f>
        <v/>
      </c>
      <c r="N1293" t="str">
        <f>IFERROR(IF(A1293="","",MAX(0,M1293-System_Config!$B$9)),"")</f>
        <v/>
      </c>
    </row>
    <row r="1294" spans="1:14" ht="15" customHeight="1" x14ac:dyDescent="0.25">
      <c r="A1294" t="str">
        <f>'NEW ACCOUNT'!A1295</f>
        <v/>
      </c>
      <c r="B1294" t="str">
        <f>IF('NEW ACCOUNT'!A1295="","",'NEW ACCOUNT'!B1295)</f>
        <v/>
      </c>
      <c r="C1294" t="str">
        <f>IF('NEW ACCOUNT'!A1295="","",'NEW ACCOUNT'!C1295)</f>
        <v/>
      </c>
      <c r="D1294" t="str">
        <f>IF('NEW ACCOUNT'!A1295="","",'NEW ACCOUNT'!D1295)</f>
        <v/>
      </c>
      <c r="E1294" t="str">
        <f>IF('NEW ACCOUNT'!A1295="","",'NEW ACCOUNT'!E1295)</f>
        <v/>
      </c>
      <c r="F1294" t="str">
        <f>IF('NEW ACCOUNT'!A1295="","",'NEW ACCOUNT'!F1295)</f>
        <v/>
      </c>
      <c r="G1294" t="str">
        <f>IF('NEW ACCOUNT'!A1295="","",'NEW ACCOUNT'!G1295)</f>
        <v/>
      </c>
      <c r="H1294" t="str">
        <f>IF('NEW ACCOUNT'!A1295="","",'NEW ACCOUNT'!H1295)</f>
        <v/>
      </c>
      <c r="I1294" t="str">
        <f>IF('NEW ACCOUNT'!A1295="","",'NEW ACCOUNT'!I1295)</f>
        <v/>
      </c>
      <c r="J1294" t="str">
        <f>IF('NEW ACCOUNT'!A1295="","",'NEW ACCOUNT'!J1295)</f>
        <v/>
      </c>
      <c r="K1294" t="str">
        <f>IFERROR(IF(A1294="","",SUMIF(DB_Savings!$A:$A,A1294,DB_Savings!$F:$F)),"")</f>
        <v/>
      </c>
      <c r="L1294" t="str">
        <f>IFERROR(IF(A1294="","",SUMIF(DB_Withdrawals!$A:$A,A1294,DB_Withdrawals!$G:$G)),"")</f>
        <v/>
      </c>
      <c r="M1294" t="str">
        <f>IFERROR(IF(A1294="","",IFERROR(VALUE(H1294),0)+IFERROR(SUMIF(DB_Savings!$A:$A,A1294,DB_Savings!$F:$F),0)-IFERROR(SUMIF(DB_Withdrawals!$A:$A,A1294,DB_Withdrawals!$G:$G),0)),"")</f>
        <v/>
      </c>
      <c r="N1294" t="str">
        <f>IFERROR(IF(A1294="","",MAX(0,M1294-System_Config!$B$9)),"")</f>
        <v/>
      </c>
    </row>
    <row r="1295" spans="1:14" ht="15" customHeight="1" x14ac:dyDescent="0.25">
      <c r="A1295" t="str">
        <f>'NEW ACCOUNT'!A1296</f>
        <v/>
      </c>
      <c r="B1295" t="str">
        <f>IF('NEW ACCOUNT'!A1296="","",'NEW ACCOUNT'!B1296)</f>
        <v/>
      </c>
      <c r="C1295" t="str">
        <f>IF('NEW ACCOUNT'!A1296="","",'NEW ACCOUNT'!C1296)</f>
        <v/>
      </c>
      <c r="D1295" t="str">
        <f>IF('NEW ACCOUNT'!A1296="","",'NEW ACCOUNT'!D1296)</f>
        <v/>
      </c>
      <c r="E1295" t="str">
        <f>IF('NEW ACCOUNT'!A1296="","",'NEW ACCOUNT'!E1296)</f>
        <v/>
      </c>
      <c r="F1295" t="str">
        <f>IF('NEW ACCOUNT'!A1296="","",'NEW ACCOUNT'!F1296)</f>
        <v/>
      </c>
      <c r="G1295" t="str">
        <f>IF('NEW ACCOUNT'!A1296="","",'NEW ACCOUNT'!G1296)</f>
        <v/>
      </c>
      <c r="H1295" t="str">
        <f>IF('NEW ACCOUNT'!A1296="","",'NEW ACCOUNT'!H1296)</f>
        <v/>
      </c>
      <c r="I1295" t="str">
        <f>IF('NEW ACCOUNT'!A1296="","",'NEW ACCOUNT'!I1296)</f>
        <v/>
      </c>
      <c r="J1295" t="str">
        <f>IF('NEW ACCOUNT'!A1296="","",'NEW ACCOUNT'!J1296)</f>
        <v/>
      </c>
      <c r="K1295" t="str">
        <f>IFERROR(IF(A1295="","",SUMIF(DB_Savings!$A:$A,A1295,DB_Savings!$F:$F)),"")</f>
        <v/>
      </c>
      <c r="L1295" t="str">
        <f>IFERROR(IF(A1295="","",SUMIF(DB_Withdrawals!$A:$A,A1295,DB_Withdrawals!$G:$G)),"")</f>
        <v/>
      </c>
      <c r="M1295" t="str">
        <f>IFERROR(IF(A1295="","",IFERROR(VALUE(H1295),0)+IFERROR(SUMIF(DB_Savings!$A:$A,A1295,DB_Savings!$F:$F),0)-IFERROR(SUMIF(DB_Withdrawals!$A:$A,A1295,DB_Withdrawals!$G:$G),0)),"")</f>
        <v/>
      </c>
      <c r="N1295" t="str">
        <f>IFERROR(IF(A1295="","",MAX(0,M1295-System_Config!$B$9)),"")</f>
        <v/>
      </c>
    </row>
    <row r="1296" spans="1:14" ht="15" customHeight="1" x14ac:dyDescent="0.25">
      <c r="A1296" t="str">
        <f>'NEW ACCOUNT'!A1297</f>
        <v/>
      </c>
      <c r="B1296" t="str">
        <f>IF('NEW ACCOUNT'!A1297="","",'NEW ACCOUNT'!B1297)</f>
        <v/>
      </c>
      <c r="C1296" t="str">
        <f>IF('NEW ACCOUNT'!A1297="","",'NEW ACCOUNT'!C1297)</f>
        <v/>
      </c>
      <c r="D1296" t="str">
        <f>IF('NEW ACCOUNT'!A1297="","",'NEW ACCOUNT'!D1297)</f>
        <v/>
      </c>
      <c r="E1296" t="str">
        <f>IF('NEW ACCOUNT'!A1297="","",'NEW ACCOUNT'!E1297)</f>
        <v/>
      </c>
      <c r="F1296" t="str">
        <f>IF('NEW ACCOUNT'!A1297="","",'NEW ACCOUNT'!F1297)</f>
        <v/>
      </c>
      <c r="G1296" t="str">
        <f>IF('NEW ACCOUNT'!A1297="","",'NEW ACCOUNT'!G1297)</f>
        <v/>
      </c>
      <c r="H1296" t="str">
        <f>IF('NEW ACCOUNT'!A1297="","",'NEW ACCOUNT'!H1297)</f>
        <v/>
      </c>
      <c r="I1296" t="str">
        <f>IF('NEW ACCOUNT'!A1297="","",'NEW ACCOUNT'!I1297)</f>
        <v/>
      </c>
      <c r="J1296" t="str">
        <f>IF('NEW ACCOUNT'!A1297="","",'NEW ACCOUNT'!J1297)</f>
        <v/>
      </c>
      <c r="K1296" t="str">
        <f>IFERROR(IF(A1296="","",SUMIF(DB_Savings!$A:$A,A1296,DB_Savings!$F:$F)),"")</f>
        <v/>
      </c>
      <c r="L1296" t="str">
        <f>IFERROR(IF(A1296="","",SUMIF(DB_Withdrawals!$A:$A,A1296,DB_Withdrawals!$G:$G)),"")</f>
        <v/>
      </c>
      <c r="M1296" t="str">
        <f>IFERROR(IF(A1296="","",IFERROR(VALUE(H1296),0)+IFERROR(SUMIF(DB_Savings!$A:$A,A1296,DB_Savings!$F:$F),0)-IFERROR(SUMIF(DB_Withdrawals!$A:$A,A1296,DB_Withdrawals!$G:$G),0)),"")</f>
        <v/>
      </c>
      <c r="N1296" t="str">
        <f>IFERROR(IF(A1296="","",MAX(0,M1296-System_Config!$B$9)),"")</f>
        <v/>
      </c>
    </row>
    <row r="1297" spans="1:14" ht="15" customHeight="1" x14ac:dyDescent="0.25">
      <c r="A1297" t="str">
        <f>'NEW ACCOUNT'!A1298</f>
        <v/>
      </c>
      <c r="B1297" t="str">
        <f>IF('NEW ACCOUNT'!A1298="","",'NEW ACCOUNT'!B1298)</f>
        <v/>
      </c>
      <c r="C1297" t="str">
        <f>IF('NEW ACCOUNT'!A1298="","",'NEW ACCOUNT'!C1298)</f>
        <v/>
      </c>
      <c r="D1297" t="str">
        <f>IF('NEW ACCOUNT'!A1298="","",'NEW ACCOUNT'!D1298)</f>
        <v/>
      </c>
      <c r="E1297" t="str">
        <f>IF('NEW ACCOUNT'!A1298="","",'NEW ACCOUNT'!E1298)</f>
        <v/>
      </c>
      <c r="F1297" t="str">
        <f>IF('NEW ACCOUNT'!A1298="","",'NEW ACCOUNT'!F1298)</f>
        <v/>
      </c>
      <c r="G1297" t="str">
        <f>IF('NEW ACCOUNT'!A1298="","",'NEW ACCOUNT'!G1298)</f>
        <v/>
      </c>
      <c r="H1297" t="str">
        <f>IF('NEW ACCOUNT'!A1298="","",'NEW ACCOUNT'!H1298)</f>
        <v/>
      </c>
      <c r="I1297" t="str">
        <f>IF('NEW ACCOUNT'!A1298="","",'NEW ACCOUNT'!I1298)</f>
        <v/>
      </c>
      <c r="J1297" t="str">
        <f>IF('NEW ACCOUNT'!A1298="","",'NEW ACCOUNT'!J1298)</f>
        <v/>
      </c>
      <c r="K1297" t="str">
        <f>IFERROR(IF(A1297="","",SUMIF(DB_Savings!$A:$A,A1297,DB_Savings!$F:$F)),"")</f>
        <v/>
      </c>
      <c r="L1297" t="str">
        <f>IFERROR(IF(A1297="","",SUMIF(DB_Withdrawals!$A:$A,A1297,DB_Withdrawals!$G:$G)),"")</f>
        <v/>
      </c>
      <c r="M1297" t="str">
        <f>IFERROR(IF(A1297="","",IFERROR(VALUE(H1297),0)+IFERROR(SUMIF(DB_Savings!$A:$A,A1297,DB_Savings!$F:$F),0)-IFERROR(SUMIF(DB_Withdrawals!$A:$A,A1297,DB_Withdrawals!$G:$G),0)),"")</f>
        <v/>
      </c>
      <c r="N1297" t="str">
        <f>IFERROR(IF(A1297="","",MAX(0,M1297-System_Config!$B$9)),"")</f>
        <v/>
      </c>
    </row>
    <row r="1298" spans="1:14" ht="15" customHeight="1" x14ac:dyDescent="0.25">
      <c r="A1298" t="str">
        <f>'NEW ACCOUNT'!A1299</f>
        <v/>
      </c>
      <c r="B1298" t="str">
        <f>IF('NEW ACCOUNT'!A1299="","",'NEW ACCOUNT'!B1299)</f>
        <v/>
      </c>
      <c r="C1298" t="str">
        <f>IF('NEW ACCOUNT'!A1299="","",'NEW ACCOUNT'!C1299)</f>
        <v/>
      </c>
      <c r="D1298" t="str">
        <f>IF('NEW ACCOUNT'!A1299="","",'NEW ACCOUNT'!D1299)</f>
        <v/>
      </c>
      <c r="E1298" t="str">
        <f>IF('NEW ACCOUNT'!A1299="","",'NEW ACCOUNT'!E1299)</f>
        <v/>
      </c>
      <c r="F1298" t="str">
        <f>IF('NEW ACCOUNT'!A1299="","",'NEW ACCOUNT'!F1299)</f>
        <v/>
      </c>
      <c r="G1298" t="str">
        <f>IF('NEW ACCOUNT'!A1299="","",'NEW ACCOUNT'!G1299)</f>
        <v/>
      </c>
      <c r="H1298" t="str">
        <f>IF('NEW ACCOUNT'!A1299="","",'NEW ACCOUNT'!H1299)</f>
        <v/>
      </c>
      <c r="I1298" t="str">
        <f>IF('NEW ACCOUNT'!A1299="","",'NEW ACCOUNT'!I1299)</f>
        <v/>
      </c>
      <c r="J1298" t="str">
        <f>IF('NEW ACCOUNT'!A1299="","",'NEW ACCOUNT'!J1299)</f>
        <v/>
      </c>
      <c r="K1298" t="str">
        <f>IFERROR(IF(A1298="","",SUMIF(DB_Savings!$A:$A,A1298,DB_Savings!$F:$F)),"")</f>
        <v/>
      </c>
      <c r="L1298" t="str">
        <f>IFERROR(IF(A1298="","",SUMIF(DB_Withdrawals!$A:$A,A1298,DB_Withdrawals!$G:$G)),"")</f>
        <v/>
      </c>
      <c r="M1298" t="str">
        <f>IFERROR(IF(A1298="","",IFERROR(VALUE(H1298),0)+IFERROR(SUMIF(DB_Savings!$A:$A,A1298,DB_Savings!$F:$F),0)-IFERROR(SUMIF(DB_Withdrawals!$A:$A,A1298,DB_Withdrawals!$G:$G),0)),"")</f>
        <v/>
      </c>
      <c r="N1298" t="str">
        <f>IFERROR(IF(A1298="","",MAX(0,M1298-System_Config!$B$9)),"")</f>
        <v/>
      </c>
    </row>
    <row r="1299" spans="1:14" ht="15" customHeight="1" x14ac:dyDescent="0.25">
      <c r="A1299" t="str">
        <f>'NEW ACCOUNT'!A1300</f>
        <v/>
      </c>
      <c r="B1299" t="str">
        <f>IF('NEW ACCOUNT'!A1300="","",'NEW ACCOUNT'!B1300)</f>
        <v/>
      </c>
      <c r="C1299" t="str">
        <f>IF('NEW ACCOUNT'!A1300="","",'NEW ACCOUNT'!C1300)</f>
        <v/>
      </c>
      <c r="D1299" t="str">
        <f>IF('NEW ACCOUNT'!A1300="","",'NEW ACCOUNT'!D1300)</f>
        <v/>
      </c>
      <c r="E1299" t="str">
        <f>IF('NEW ACCOUNT'!A1300="","",'NEW ACCOUNT'!E1300)</f>
        <v/>
      </c>
      <c r="F1299" t="str">
        <f>IF('NEW ACCOUNT'!A1300="","",'NEW ACCOUNT'!F1300)</f>
        <v/>
      </c>
      <c r="G1299" t="str">
        <f>IF('NEW ACCOUNT'!A1300="","",'NEW ACCOUNT'!G1300)</f>
        <v/>
      </c>
      <c r="H1299" t="str">
        <f>IF('NEW ACCOUNT'!A1300="","",'NEW ACCOUNT'!H1300)</f>
        <v/>
      </c>
      <c r="I1299" t="str">
        <f>IF('NEW ACCOUNT'!A1300="","",'NEW ACCOUNT'!I1300)</f>
        <v/>
      </c>
      <c r="J1299" t="str">
        <f>IF('NEW ACCOUNT'!A1300="","",'NEW ACCOUNT'!J1300)</f>
        <v/>
      </c>
      <c r="K1299" t="str">
        <f>IFERROR(IF(A1299="","",SUMIF(DB_Savings!$A:$A,A1299,DB_Savings!$F:$F)),"")</f>
        <v/>
      </c>
      <c r="L1299" t="str">
        <f>IFERROR(IF(A1299="","",SUMIF(DB_Withdrawals!$A:$A,A1299,DB_Withdrawals!$G:$G)),"")</f>
        <v/>
      </c>
      <c r="M1299" t="str">
        <f>IFERROR(IF(A1299="","",IFERROR(VALUE(H1299),0)+IFERROR(SUMIF(DB_Savings!$A:$A,A1299,DB_Savings!$F:$F),0)-IFERROR(SUMIF(DB_Withdrawals!$A:$A,A1299,DB_Withdrawals!$G:$G),0)),"")</f>
        <v/>
      </c>
      <c r="N1299" t="str">
        <f>IFERROR(IF(A1299="","",MAX(0,M1299-System_Config!$B$9)),"")</f>
        <v/>
      </c>
    </row>
    <row r="1300" spans="1:14" ht="15" customHeight="1" x14ac:dyDescent="0.25">
      <c r="A1300" t="str">
        <f>'NEW ACCOUNT'!A1301</f>
        <v/>
      </c>
      <c r="B1300" t="str">
        <f>IF('NEW ACCOUNT'!A1301="","",'NEW ACCOUNT'!B1301)</f>
        <v/>
      </c>
      <c r="C1300" t="str">
        <f>IF('NEW ACCOUNT'!A1301="","",'NEW ACCOUNT'!C1301)</f>
        <v/>
      </c>
      <c r="D1300" t="str">
        <f>IF('NEW ACCOUNT'!A1301="","",'NEW ACCOUNT'!D1301)</f>
        <v/>
      </c>
      <c r="E1300" t="str">
        <f>IF('NEW ACCOUNT'!A1301="","",'NEW ACCOUNT'!E1301)</f>
        <v/>
      </c>
      <c r="F1300" t="str">
        <f>IF('NEW ACCOUNT'!A1301="","",'NEW ACCOUNT'!F1301)</f>
        <v/>
      </c>
      <c r="G1300" t="str">
        <f>IF('NEW ACCOUNT'!A1301="","",'NEW ACCOUNT'!G1301)</f>
        <v/>
      </c>
      <c r="H1300" t="str">
        <f>IF('NEW ACCOUNT'!A1301="","",'NEW ACCOUNT'!H1301)</f>
        <v/>
      </c>
      <c r="I1300" t="str">
        <f>IF('NEW ACCOUNT'!A1301="","",'NEW ACCOUNT'!I1301)</f>
        <v/>
      </c>
      <c r="J1300" t="str">
        <f>IF('NEW ACCOUNT'!A1301="","",'NEW ACCOUNT'!J1301)</f>
        <v/>
      </c>
      <c r="K1300" t="str">
        <f>IFERROR(IF(A1300="","",SUMIF(DB_Savings!$A:$A,A1300,DB_Savings!$F:$F)),"")</f>
        <v/>
      </c>
      <c r="L1300" t="str">
        <f>IFERROR(IF(A1300="","",SUMIF(DB_Withdrawals!$A:$A,A1300,DB_Withdrawals!$G:$G)),"")</f>
        <v/>
      </c>
      <c r="M1300" t="str">
        <f>IFERROR(IF(A1300="","",IFERROR(VALUE(H1300),0)+IFERROR(SUMIF(DB_Savings!$A:$A,A1300,DB_Savings!$F:$F),0)-IFERROR(SUMIF(DB_Withdrawals!$A:$A,A1300,DB_Withdrawals!$G:$G),0)),"")</f>
        <v/>
      </c>
      <c r="N1300" t="str">
        <f>IFERROR(IF(A1300="","",MAX(0,M1300-System_Config!$B$9)),"")</f>
        <v/>
      </c>
    </row>
    <row r="1301" spans="1:14" ht="15" customHeight="1" x14ac:dyDescent="0.25">
      <c r="A1301" t="str">
        <f>'NEW ACCOUNT'!A1302</f>
        <v/>
      </c>
      <c r="B1301" t="str">
        <f>IF('NEW ACCOUNT'!A1302="","",'NEW ACCOUNT'!B1302)</f>
        <v/>
      </c>
      <c r="C1301" t="str">
        <f>IF('NEW ACCOUNT'!A1302="","",'NEW ACCOUNT'!C1302)</f>
        <v/>
      </c>
      <c r="D1301" t="str">
        <f>IF('NEW ACCOUNT'!A1302="","",'NEW ACCOUNT'!D1302)</f>
        <v/>
      </c>
      <c r="E1301" t="str">
        <f>IF('NEW ACCOUNT'!A1302="","",'NEW ACCOUNT'!E1302)</f>
        <v/>
      </c>
      <c r="F1301" t="str">
        <f>IF('NEW ACCOUNT'!A1302="","",'NEW ACCOUNT'!F1302)</f>
        <v/>
      </c>
      <c r="G1301" t="str">
        <f>IF('NEW ACCOUNT'!A1302="","",'NEW ACCOUNT'!G1302)</f>
        <v/>
      </c>
      <c r="H1301" t="str">
        <f>IF('NEW ACCOUNT'!A1302="","",'NEW ACCOUNT'!H1302)</f>
        <v/>
      </c>
      <c r="I1301" t="str">
        <f>IF('NEW ACCOUNT'!A1302="","",'NEW ACCOUNT'!I1302)</f>
        <v/>
      </c>
      <c r="J1301" t="str">
        <f>IF('NEW ACCOUNT'!A1302="","",'NEW ACCOUNT'!J1302)</f>
        <v/>
      </c>
      <c r="K1301" t="str">
        <f>IFERROR(IF(A1301="","",SUMIF(DB_Savings!$A:$A,A1301,DB_Savings!$F:$F)),"")</f>
        <v/>
      </c>
      <c r="L1301" t="str">
        <f>IFERROR(IF(A1301="","",SUMIF(DB_Withdrawals!$A:$A,A1301,DB_Withdrawals!$G:$G)),"")</f>
        <v/>
      </c>
      <c r="M1301" t="str">
        <f>IFERROR(IF(A1301="","",IFERROR(VALUE(H1301),0)+IFERROR(SUMIF(DB_Savings!$A:$A,A1301,DB_Savings!$F:$F),0)-IFERROR(SUMIF(DB_Withdrawals!$A:$A,A1301,DB_Withdrawals!$G:$G),0)),"")</f>
        <v/>
      </c>
      <c r="N1301" t="str">
        <f>IFERROR(IF(A1301="","",MAX(0,M1301-System_Config!$B$9)),"")</f>
        <v/>
      </c>
    </row>
    <row r="1302" spans="1:14" ht="15" customHeight="1" x14ac:dyDescent="0.25">
      <c r="A1302" t="str">
        <f>'NEW ACCOUNT'!A1303</f>
        <v/>
      </c>
      <c r="B1302" t="str">
        <f>IF('NEW ACCOUNT'!A1303="","",'NEW ACCOUNT'!B1303)</f>
        <v/>
      </c>
      <c r="C1302" t="str">
        <f>IF('NEW ACCOUNT'!A1303="","",'NEW ACCOUNT'!C1303)</f>
        <v/>
      </c>
      <c r="D1302" t="str">
        <f>IF('NEW ACCOUNT'!A1303="","",'NEW ACCOUNT'!D1303)</f>
        <v/>
      </c>
      <c r="E1302" t="str">
        <f>IF('NEW ACCOUNT'!A1303="","",'NEW ACCOUNT'!E1303)</f>
        <v/>
      </c>
      <c r="F1302" t="str">
        <f>IF('NEW ACCOUNT'!A1303="","",'NEW ACCOUNT'!F1303)</f>
        <v/>
      </c>
      <c r="G1302" t="str">
        <f>IF('NEW ACCOUNT'!A1303="","",'NEW ACCOUNT'!G1303)</f>
        <v/>
      </c>
      <c r="H1302" t="str">
        <f>IF('NEW ACCOUNT'!A1303="","",'NEW ACCOUNT'!H1303)</f>
        <v/>
      </c>
      <c r="I1302" t="str">
        <f>IF('NEW ACCOUNT'!A1303="","",'NEW ACCOUNT'!I1303)</f>
        <v/>
      </c>
      <c r="J1302" t="str">
        <f>IF('NEW ACCOUNT'!A1303="","",'NEW ACCOUNT'!J1303)</f>
        <v/>
      </c>
      <c r="K1302" t="str">
        <f>IFERROR(IF(A1302="","",SUMIF(DB_Savings!$A:$A,A1302,DB_Savings!$F:$F)),"")</f>
        <v/>
      </c>
      <c r="L1302" t="str">
        <f>IFERROR(IF(A1302="","",SUMIF(DB_Withdrawals!$A:$A,A1302,DB_Withdrawals!$G:$G)),"")</f>
        <v/>
      </c>
      <c r="M1302" t="str">
        <f>IFERROR(IF(A1302="","",IFERROR(VALUE(H1302),0)+IFERROR(SUMIF(DB_Savings!$A:$A,A1302,DB_Savings!$F:$F),0)-IFERROR(SUMIF(DB_Withdrawals!$A:$A,A1302,DB_Withdrawals!$G:$G),0)),"")</f>
        <v/>
      </c>
      <c r="N1302" t="str">
        <f>IFERROR(IF(A1302="","",MAX(0,M1302-System_Config!$B$9)),"")</f>
        <v/>
      </c>
    </row>
    <row r="1303" spans="1:14" ht="15" customHeight="1" x14ac:dyDescent="0.25">
      <c r="A1303" t="str">
        <f>'NEW ACCOUNT'!A1304</f>
        <v/>
      </c>
      <c r="B1303" t="str">
        <f>IF('NEW ACCOUNT'!A1304="","",'NEW ACCOUNT'!B1304)</f>
        <v/>
      </c>
      <c r="C1303" t="str">
        <f>IF('NEW ACCOUNT'!A1304="","",'NEW ACCOUNT'!C1304)</f>
        <v/>
      </c>
      <c r="D1303" t="str">
        <f>IF('NEW ACCOUNT'!A1304="","",'NEW ACCOUNT'!D1304)</f>
        <v/>
      </c>
      <c r="E1303" t="str">
        <f>IF('NEW ACCOUNT'!A1304="","",'NEW ACCOUNT'!E1304)</f>
        <v/>
      </c>
      <c r="F1303" t="str">
        <f>IF('NEW ACCOUNT'!A1304="","",'NEW ACCOUNT'!F1304)</f>
        <v/>
      </c>
      <c r="G1303" t="str">
        <f>IF('NEW ACCOUNT'!A1304="","",'NEW ACCOUNT'!G1304)</f>
        <v/>
      </c>
      <c r="H1303" t="str">
        <f>IF('NEW ACCOUNT'!A1304="","",'NEW ACCOUNT'!H1304)</f>
        <v/>
      </c>
      <c r="I1303" t="str">
        <f>IF('NEW ACCOUNT'!A1304="","",'NEW ACCOUNT'!I1304)</f>
        <v/>
      </c>
      <c r="J1303" t="str">
        <f>IF('NEW ACCOUNT'!A1304="","",'NEW ACCOUNT'!J1304)</f>
        <v/>
      </c>
      <c r="K1303" t="str">
        <f>IFERROR(IF(A1303="","",SUMIF(DB_Savings!$A:$A,A1303,DB_Savings!$F:$F)),"")</f>
        <v/>
      </c>
      <c r="L1303" t="str">
        <f>IFERROR(IF(A1303="","",SUMIF(DB_Withdrawals!$A:$A,A1303,DB_Withdrawals!$G:$G)),"")</f>
        <v/>
      </c>
      <c r="M1303" t="str">
        <f>IFERROR(IF(A1303="","",IFERROR(VALUE(H1303),0)+IFERROR(SUMIF(DB_Savings!$A:$A,A1303,DB_Savings!$F:$F),0)-IFERROR(SUMIF(DB_Withdrawals!$A:$A,A1303,DB_Withdrawals!$G:$G),0)),"")</f>
        <v/>
      </c>
      <c r="N1303" t="str">
        <f>IFERROR(IF(A1303="","",MAX(0,M1303-System_Config!$B$9)),"")</f>
        <v/>
      </c>
    </row>
    <row r="1304" spans="1:14" ht="15" customHeight="1" x14ac:dyDescent="0.25">
      <c r="A1304" t="str">
        <f>'NEW ACCOUNT'!A1305</f>
        <v/>
      </c>
      <c r="B1304" t="str">
        <f>IF('NEW ACCOUNT'!A1305="","",'NEW ACCOUNT'!B1305)</f>
        <v/>
      </c>
      <c r="C1304" t="str">
        <f>IF('NEW ACCOUNT'!A1305="","",'NEW ACCOUNT'!C1305)</f>
        <v/>
      </c>
      <c r="D1304" t="str">
        <f>IF('NEW ACCOUNT'!A1305="","",'NEW ACCOUNT'!D1305)</f>
        <v/>
      </c>
      <c r="E1304" t="str">
        <f>IF('NEW ACCOUNT'!A1305="","",'NEW ACCOUNT'!E1305)</f>
        <v/>
      </c>
      <c r="F1304" t="str">
        <f>IF('NEW ACCOUNT'!A1305="","",'NEW ACCOUNT'!F1305)</f>
        <v/>
      </c>
      <c r="G1304" t="str">
        <f>IF('NEW ACCOUNT'!A1305="","",'NEW ACCOUNT'!G1305)</f>
        <v/>
      </c>
      <c r="H1304" t="str">
        <f>IF('NEW ACCOUNT'!A1305="","",'NEW ACCOUNT'!H1305)</f>
        <v/>
      </c>
      <c r="I1304" t="str">
        <f>IF('NEW ACCOUNT'!A1305="","",'NEW ACCOUNT'!I1305)</f>
        <v/>
      </c>
      <c r="J1304" t="str">
        <f>IF('NEW ACCOUNT'!A1305="","",'NEW ACCOUNT'!J1305)</f>
        <v/>
      </c>
      <c r="K1304" t="str">
        <f>IFERROR(IF(A1304="","",SUMIF(DB_Savings!$A:$A,A1304,DB_Savings!$F:$F)),"")</f>
        <v/>
      </c>
      <c r="L1304" t="str">
        <f>IFERROR(IF(A1304="","",SUMIF(DB_Withdrawals!$A:$A,A1304,DB_Withdrawals!$G:$G)),"")</f>
        <v/>
      </c>
      <c r="M1304" t="str">
        <f>IFERROR(IF(A1304="","",IFERROR(VALUE(H1304),0)+IFERROR(SUMIF(DB_Savings!$A:$A,A1304,DB_Savings!$F:$F),0)-IFERROR(SUMIF(DB_Withdrawals!$A:$A,A1304,DB_Withdrawals!$G:$G),0)),"")</f>
        <v/>
      </c>
      <c r="N1304" t="str">
        <f>IFERROR(IF(A1304="","",MAX(0,M1304-System_Config!$B$9)),"")</f>
        <v/>
      </c>
    </row>
    <row r="1305" spans="1:14" ht="15" customHeight="1" x14ac:dyDescent="0.25">
      <c r="A1305" t="str">
        <f>'NEW ACCOUNT'!A1306</f>
        <v/>
      </c>
      <c r="B1305" t="str">
        <f>IF('NEW ACCOUNT'!A1306="","",'NEW ACCOUNT'!B1306)</f>
        <v/>
      </c>
      <c r="C1305" t="str">
        <f>IF('NEW ACCOUNT'!A1306="","",'NEW ACCOUNT'!C1306)</f>
        <v/>
      </c>
      <c r="D1305" t="str">
        <f>IF('NEW ACCOUNT'!A1306="","",'NEW ACCOUNT'!D1306)</f>
        <v/>
      </c>
      <c r="E1305" t="str">
        <f>IF('NEW ACCOUNT'!A1306="","",'NEW ACCOUNT'!E1306)</f>
        <v/>
      </c>
      <c r="F1305" t="str">
        <f>IF('NEW ACCOUNT'!A1306="","",'NEW ACCOUNT'!F1306)</f>
        <v/>
      </c>
      <c r="G1305" t="str">
        <f>IF('NEW ACCOUNT'!A1306="","",'NEW ACCOUNT'!G1306)</f>
        <v/>
      </c>
      <c r="H1305" t="str">
        <f>IF('NEW ACCOUNT'!A1306="","",'NEW ACCOUNT'!H1306)</f>
        <v/>
      </c>
      <c r="I1305" t="str">
        <f>IF('NEW ACCOUNT'!A1306="","",'NEW ACCOUNT'!I1306)</f>
        <v/>
      </c>
      <c r="J1305" t="str">
        <f>IF('NEW ACCOUNT'!A1306="","",'NEW ACCOUNT'!J1306)</f>
        <v/>
      </c>
      <c r="K1305" t="str">
        <f>IFERROR(IF(A1305="","",SUMIF(DB_Savings!$A:$A,A1305,DB_Savings!$F:$F)),"")</f>
        <v/>
      </c>
      <c r="L1305" t="str">
        <f>IFERROR(IF(A1305="","",SUMIF(DB_Withdrawals!$A:$A,A1305,DB_Withdrawals!$G:$G)),"")</f>
        <v/>
      </c>
      <c r="M1305" t="str">
        <f>IFERROR(IF(A1305="","",IFERROR(VALUE(H1305),0)+IFERROR(SUMIF(DB_Savings!$A:$A,A1305,DB_Savings!$F:$F),0)-IFERROR(SUMIF(DB_Withdrawals!$A:$A,A1305,DB_Withdrawals!$G:$G),0)),"")</f>
        <v/>
      </c>
      <c r="N1305" t="str">
        <f>IFERROR(IF(A1305="","",MAX(0,M1305-System_Config!$B$9)),"")</f>
        <v/>
      </c>
    </row>
    <row r="1306" spans="1:14" ht="15" customHeight="1" x14ac:dyDescent="0.25">
      <c r="A1306" t="str">
        <f>'NEW ACCOUNT'!A1307</f>
        <v/>
      </c>
      <c r="B1306" t="str">
        <f>IF('NEW ACCOUNT'!A1307="","",'NEW ACCOUNT'!B1307)</f>
        <v/>
      </c>
      <c r="C1306" t="str">
        <f>IF('NEW ACCOUNT'!A1307="","",'NEW ACCOUNT'!C1307)</f>
        <v/>
      </c>
      <c r="D1306" t="str">
        <f>IF('NEW ACCOUNT'!A1307="","",'NEW ACCOUNT'!D1307)</f>
        <v/>
      </c>
      <c r="E1306" t="str">
        <f>IF('NEW ACCOUNT'!A1307="","",'NEW ACCOUNT'!E1307)</f>
        <v/>
      </c>
      <c r="F1306" t="str">
        <f>IF('NEW ACCOUNT'!A1307="","",'NEW ACCOUNT'!F1307)</f>
        <v/>
      </c>
      <c r="G1306" t="str">
        <f>IF('NEW ACCOUNT'!A1307="","",'NEW ACCOUNT'!G1307)</f>
        <v/>
      </c>
      <c r="H1306" t="str">
        <f>IF('NEW ACCOUNT'!A1307="","",'NEW ACCOUNT'!H1307)</f>
        <v/>
      </c>
      <c r="I1306" t="str">
        <f>IF('NEW ACCOUNT'!A1307="","",'NEW ACCOUNT'!I1307)</f>
        <v/>
      </c>
      <c r="J1306" t="str">
        <f>IF('NEW ACCOUNT'!A1307="","",'NEW ACCOUNT'!J1307)</f>
        <v/>
      </c>
      <c r="K1306" t="str">
        <f>IFERROR(IF(A1306="","",SUMIF(DB_Savings!$A:$A,A1306,DB_Savings!$F:$F)),"")</f>
        <v/>
      </c>
      <c r="L1306" t="str">
        <f>IFERROR(IF(A1306="","",SUMIF(DB_Withdrawals!$A:$A,A1306,DB_Withdrawals!$G:$G)),"")</f>
        <v/>
      </c>
      <c r="M1306" t="str">
        <f>IFERROR(IF(A1306="","",IFERROR(VALUE(H1306),0)+IFERROR(SUMIF(DB_Savings!$A:$A,A1306,DB_Savings!$F:$F),0)-IFERROR(SUMIF(DB_Withdrawals!$A:$A,A1306,DB_Withdrawals!$G:$G),0)),"")</f>
        <v/>
      </c>
      <c r="N1306" t="str">
        <f>IFERROR(IF(A1306="","",MAX(0,M1306-System_Config!$B$9)),"")</f>
        <v/>
      </c>
    </row>
    <row r="1307" spans="1:14" ht="15" customHeight="1" x14ac:dyDescent="0.25">
      <c r="A1307" t="str">
        <f>'NEW ACCOUNT'!A1308</f>
        <v/>
      </c>
      <c r="B1307" t="str">
        <f>IF('NEW ACCOUNT'!A1308="","",'NEW ACCOUNT'!B1308)</f>
        <v/>
      </c>
      <c r="C1307" t="str">
        <f>IF('NEW ACCOUNT'!A1308="","",'NEW ACCOUNT'!C1308)</f>
        <v/>
      </c>
      <c r="D1307" t="str">
        <f>IF('NEW ACCOUNT'!A1308="","",'NEW ACCOUNT'!D1308)</f>
        <v/>
      </c>
      <c r="E1307" t="str">
        <f>IF('NEW ACCOUNT'!A1308="","",'NEW ACCOUNT'!E1308)</f>
        <v/>
      </c>
      <c r="F1307" t="str">
        <f>IF('NEW ACCOUNT'!A1308="","",'NEW ACCOUNT'!F1308)</f>
        <v/>
      </c>
      <c r="G1307" t="str">
        <f>IF('NEW ACCOUNT'!A1308="","",'NEW ACCOUNT'!G1308)</f>
        <v/>
      </c>
      <c r="H1307" t="str">
        <f>IF('NEW ACCOUNT'!A1308="","",'NEW ACCOUNT'!H1308)</f>
        <v/>
      </c>
      <c r="I1307" t="str">
        <f>IF('NEW ACCOUNT'!A1308="","",'NEW ACCOUNT'!I1308)</f>
        <v/>
      </c>
      <c r="J1307" t="str">
        <f>IF('NEW ACCOUNT'!A1308="","",'NEW ACCOUNT'!J1308)</f>
        <v/>
      </c>
      <c r="K1307" t="str">
        <f>IFERROR(IF(A1307="","",SUMIF(DB_Savings!$A:$A,A1307,DB_Savings!$F:$F)),"")</f>
        <v/>
      </c>
      <c r="L1307" t="str">
        <f>IFERROR(IF(A1307="","",SUMIF(DB_Withdrawals!$A:$A,A1307,DB_Withdrawals!$G:$G)),"")</f>
        <v/>
      </c>
      <c r="M1307" t="str">
        <f>IFERROR(IF(A1307="","",IFERROR(VALUE(H1307),0)+IFERROR(SUMIF(DB_Savings!$A:$A,A1307,DB_Savings!$F:$F),0)-IFERROR(SUMIF(DB_Withdrawals!$A:$A,A1307,DB_Withdrawals!$G:$G),0)),"")</f>
        <v/>
      </c>
      <c r="N1307" t="str">
        <f>IFERROR(IF(A1307="","",MAX(0,M1307-System_Config!$B$9)),"")</f>
        <v/>
      </c>
    </row>
    <row r="1308" spans="1:14" ht="15" customHeight="1" x14ac:dyDescent="0.25">
      <c r="A1308" t="str">
        <f>'NEW ACCOUNT'!A1309</f>
        <v/>
      </c>
      <c r="B1308" t="str">
        <f>IF('NEW ACCOUNT'!A1309="","",'NEW ACCOUNT'!B1309)</f>
        <v/>
      </c>
      <c r="C1308" t="str">
        <f>IF('NEW ACCOUNT'!A1309="","",'NEW ACCOUNT'!C1309)</f>
        <v/>
      </c>
      <c r="D1308" t="str">
        <f>IF('NEW ACCOUNT'!A1309="","",'NEW ACCOUNT'!D1309)</f>
        <v/>
      </c>
      <c r="E1308" t="str">
        <f>IF('NEW ACCOUNT'!A1309="","",'NEW ACCOUNT'!E1309)</f>
        <v/>
      </c>
      <c r="F1308" t="str">
        <f>IF('NEW ACCOUNT'!A1309="","",'NEW ACCOUNT'!F1309)</f>
        <v/>
      </c>
      <c r="G1308" t="str">
        <f>IF('NEW ACCOUNT'!A1309="","",'NEW ACCOUNT'!G1309)</f>
        <v/>
      </c>
      <c r="H1308" t="str">
        <f>IF('NEW ACCOUNT'!A1309="","",'NEW ACCOUNT'!H1309)</f>
        <v/>
      </c>
      <c r="I1308" t="str">
        <f>IF('NEW ACCOUNT'!A1309="","",'NEW ACCOUNT'!I1309)</f>
        <v/>
      </c>
      <c r="J1308" t="str">
        <f>IF('NEW ACCOUNT'!A1309="","",'NEW ACCOUNT'!J1309)</f>
        <v/>
      </c>
      <c r="K1308" t="str">
        <f>IFERROR(IF(A1308="","",SUMIF(DB_Savings!$A:$A,A1308,DB_Savings!$F:$F)),"")</f>
        <v/>
      </c>
      <c r="L1308" t="str">
        <f>IFERROR(IF(A1308="","",SUMIF(DB_Withdrawals!$A:$A,A1308,DB_Withdrawals!$G:$G)),"")</f>
        <v/>
      </c>
      <c r="M1308" t="str">
        <f>IFERROR(IF(A1308="","",IFERROR(VALUE(H1308),0)+IFERROR(SUMIF(DB_Savings!$A:$A,A1308,DB_Savings!$F:$F),0)-IFERROR(SUMIF(DB_Withdrawals!$A:$A,A1308,DB_Withdrawals!$G:$G),0)),"")</f>
        <v/>
      </c>
      <c r="N1308" t="str">
        <f>IFERROR(IF(A1308="","",MAX(0,M1308-System_Config!$B$9)),"")</f>
        <v/>
      </c>
    </row>
    <row r="1309" spans="1:14" ht="15" customHeight="1" x14ac:dyDescent="0.25">
      <c r="A1309" t="str">
        <f>'NEW ACCOUNT'!A1310</f>
        <v/>
      </c>
      <c r="B1309" t="str">
        <f>IF('NEW ACCOUNT'!A1310="","",'NEW ACCOUNT'!B1310)</f>
        <v/>
      </c>
      <c r="C1309" t="str">
        <f>IF('NEW ACCOUNT'!A1310="","",'NEW ACCOUNT'!C1310)</f>
        <v/>
      </c>
      <c r="D1309" t="str">
        <f>IF('NEW ACCOUNT'!A1310="","",'NEW ACCOUNT'!D1310)</f>
        <v/>
      </c>
      <c r="E1309" t="str">
        <f>IF('NEW ACCOUNT'!A1310="","",'NEW ACCOUNT'!E1310)</f>
        <v/>
      </c>
      <c r="F1309" t="str">
        <f>IF('NEW ACCOUNT'!A1310="","",'NEW ACCOUNT'!F1310)</f>
        <v/>
      </c>
      <c r="G1309" t="str">
        <f>IF('NEW ACCOUNT'!A1310="","",'NEW ACCOUNT'!G1310)</f>
        <v/>
      </c>
      <c r="H1309" t="str">
        <f>IF('NEW ACCOUNT'!A1310="","",'NEW ACCOUNT'!H1310)</f>
        <v/>
      </c>
      <c r="I1309" t="str">
        <f>IF('NEW ACCOUNT'!A1310="","",'NEW ACCOUNT'!I1310)</f>
        <v/>
      </c>
      <c r="J1309" t="str">
        <f>IF('NEW ACCOUNT'!A1310="","",'NEW ACCOUNT'!J1310)</f>
        <v/>
      </c>
      <c r="K1309" t="str">
        <f>IFERROR(IF(A1309="","",SUMIF(DB_Savings!$A:$A,A1309,DB_Savings!$F:$F)),"")</f>
        <v/>
      </c>
      <c r="L1309" t="str">
        <f>IFERROR(IF(A1309="","",SUMIF(DB_Withdrawals!$A:$A,A1309,DB_Withdrawals!$G:$G)),"")</f>
        <v/>
      </c>
      <c r="M1309" t="str">
        <f>IFERROR(IF(A1309="","",IFERROR(VALUE(H1309),0)+IFERROR(SUMIF(DB_Savings!$A:$A,A1309,DB_Savings!$F:$F),0)-IFERROR(SUMIF(DB_Withdrawals!$A:$A,A1309,DB_Withdrawals!$G:$G),0)),"")</f>
        <v/>
      </c>
      <c r="N1309" t="str">
        <f>IFERROR(IF(A1309="","",MAX(0,M1309-System_Config!$B$9)),"")</f>
        <v/>
      </c>
    </row>
    <row r="1310" spans="1:14" ht="15" customHeight="1" x14ac:dyDescent="0.25">
      <c r="A1310" t="str">
        <f>'NEW ACCOUNT'!A1311</f>
        <v/>
      </c>
      <c r="B1310" t="str">
        <f>IF('NEW ACCOUNT'!A1311="","",'NEW ACCOUNT'!B1311)</f>
        <v/>
      </c>
      <c r="C1310" t="str">
        <f>IF('NEW ACCOUNT'!A1311="","",'NEW ACCOUNT'!C1311)</f>
        <v/>
      </c>
      <c r="D1310" t="str">
        <f>IF('NEW ACCOUNT'!A1311="","",'NEW ACCOUNT'!D1311)</f>
        <v/>
      </c>
      <c r="E1310" t="str">
        <f>IF('NEW ACCOUNT'!A1311="","",'NEW ACCOUNT'!E1311)</f>
        <v/>
      </c>
      <c r="F1310" t="str">
        <f>IF('NEW ACCOUNT'!A1311="","",'NEW ACCOUNT'!F1311)</f>
        <v/>
      </c>
      <c r="G1310" t="str">
        <f>IF('NEW ACCOUNT'!A1311="","",'NEW ACCOUNT'!G1311)</f>
        <v/>
      </c>
      <c r="H1310" t="str">
        <f>IF('NEW ACCOUNT'!A1311="","",'NEW ACCOUNT'!H1311)</f>
        <v/>
      </c>
      <c r="I1310" t="str">
        <f>IF('NEW ACCOUNT'!A1311="","",'NEW ACCOUNT'!I1311)</f>
        <v/>
      </c>
      <c r="J1310" t="str">
        <f>IF('NEW ACCOUNT'!A1311="","",'NEW ACCOUNT'!J1311)</f>
        <v/>
      </c>
      <c r="K1310" t="str">
        <f>IFERROR(IF(A1310="","",SUMIF(DB_Savings!$A:$A,A1310,DB_Savings!$F:$F)),"")</f>
        <v/>
      </c>
      <c r="L1310" t="str">
        <f>IFERROR(IF(A1310="","",SUMIF(DB_Withdrawals!$A:$A,A1310,DB_Withdrawals!$G:$G)),"")</f>
        <v/>
      </c>
      <c r="M1310" t="str">
        <f>IFERROR(IF(A1310="","",IFERROR(VALUE(H1310),0)+IFERROR(SUMIF(DB_Savings!$A:$A,A1310,DB_Savings!$F:$F),0)-IFERROR(SUMIF(DB_Withdrawals!$A:$A,A1310,DB_Withdrawals!$G:$G),0)),"")</f>
        <v/>
      </c>
      <c r="N1310" t="str">
        <f>IFERROR(IF(A1310="","",MAX(0,M1310-System_Config!$B$9)),"")</f>
        <v/>
      </c>
    </row>
    <row r="1311" spans="1:14" ht="15" customHeight="1" x14ac:dyDescent="0.25">
      <c r="A1311" t="str">
        <f>'NEW ACCOUNT'!A1312</f>
        <v/>
      </c>
      <c r="B1311" t="str">
        <f>IF('NEW ACCOUNT'!A1312="","",'NEW ACCOUNT'!B1312)</f>
        <v/>
      </c>
      <c r="C1311" t="str">
        <f>IF('NEW ACCOUNT'!A1312="","",'NEW ACCOUNT'!C1312)</f>
        <v/>
      </c>
      <c r="D1311" t="str">
        <f>IF('NEW ACCOUNT'!A1312="","",'NEW ACCOUNT'!D1312)</f>
        <v/>
      </c>
      <c r="E1311" t="str">
        <f>IF('NEW ACCOUNT'!A1312="","",'NEW ACCOUNT'!E1312)</f>
        <v/>
      </c>
      <c r="F1311" t="str">
        <f>IF('NEW ACCOUNT'!A1312="","",'NEW ACCOUNT'!F1312)</f>
        <v/>
      </c>
      <c r="G1311" t="str">
        <f>IF('NEW ACCOUNT'!A1312="","",'NEW ACCOUNT'!G1312)</f>
        <v/>
      </c>
      <c r="H1311" t="str">
        <f>IF('NEW ACCOUNT'!A1312="","",'NEW ACCOUNT'!H1312)</f>
        <v/>
      </c>
      <c r="I1311" t="str">
        <f>IF('NEW ACCOUNT'!A1312="","",'NEW ACCOUNT'!I1312)</f>
        <v/>
      </c>
      <c r="J1311" t="str">
        <f>IF('NEW ACCOUNT'!A1312="","",'NEW ACCOUNT'!J1312)</f>
        <v/>
      </c>
      <c r="K1311" t="str">
        <f>IFERROR(IF(A1311="","",SUMIF(DB_Savings!$A:$A,A1311,DB_Savings!$F:$F)),"")</f>
        <v/>
      </c>
      <c r="L1311" t="str">
        <f>IFERROR(IF(A1311="","",SUMIF(DB_Withdrawals!$A:$A,A1311,DB_Withdrawals!$G:$G)),"")</f>
        <v/>
      </c>
      <c r="M1311" t="str">
        <f>IFERROR(IF(A1311="","",IFERROR(VALUE(H1311),0)+IFERROR(SUMIF(DB_Savings!$A:$A,A1311,DB_Savings!$F:$F),0)-IFERROR(SUMIF(DB_Withdrawals!$A:$A,A1311,DB_Withdrawals!$G:$G),0)),"")</f>
        <v/>
      </c>
      <c r="N1311" t="str">
        <f>IFERROR(IF(A1311="","",MAX(0,M1311-System_Config!$B$9)),"")</f>
        <v/>
      </c>
    </row>
    <row r="1312" spans="1:14" ht="15" customHeight="1" x14ac:dyDescent="0.25">
      <c r="A1312" t="str">
        <f>'NEW ACCOUNT'!A1313</f>
        <v/>
      </c>
      <c r="B1312" t="str">
        <f>IF('NEW ACCOUNT'!A1313="","",'NEW ACCOUNT'!B1313)</f>
        <v/>
      </c>
      <c r="C1312" t="str">
        <f>IF('NEW ACCOUNT'!A1313="","",'NEW ACCOUNT'!C1313)</f>
        <v/>
      </c>
      <c r="D1312" t="str">
        <f>IF('NEW ACCOUNT'!A1313="","",'NEW ACCOUNT'!D1313)</f>
        <v/>
      </c>
      <c r="E1312" t="str">
        <f>IF('NEW ACCOUNT'!A1313="","",'NEW ACCOUNT'!E1313)</f>
        <v/>
      </c>
      <c r="F1312" t="str">
        <f>IF('NEW ACCOUNT'!A1313="","",'NEW ACCOUNT'!F1313)</f>
        <v/>
      </c>
      <c r="G1312" t="str">
        <f>IF('NEW ACCOUNT'!A1313="","",'NEW ACCOUNT'!G1313)</f>
        <v/>
      </c>
      <c r="H1312" t="str">
        <f>IF('NEW ACCOUNT'!A1313="","",'NEW ACCOUNT'!H1313)</f>
        <v/>
      </c>
      <c r="I1312" t="str">
        <f>IF('NEW ACCOUNT'!A1313="","",'NEW ACCOUNT'!I1313)</f>
        <v/>
      </c>
      <c r="J1312" t="str">
        <f>IF('NEW ACCOUNT'!A1313="","",'NEW ACCOUNT'!J1313)</f>
        <v/>
      </c>
      <c r="K1312" t="str">
        <f>IFERROR(IF(A1312="","",SUMIF(DB_Savings!$A:$A,A1312,DB_Savings!$F:$F)),"")</f>
        <v/>
      </c>
      <c r="L1312" t="str">
        <f>IFERROR(IF(A1312="","",SUMIF(DB_Withdrawals!$A:$A,A1312,DB_Withdrawals!$G:$G)),"")</f>
        <v/>
      </c>
      <c r="M1312" t="str">
        <f>IFERROR(IF(A1312="","",IFERROR(VALUE(H1312),0)+IFERROR(SUMIF(DB_Savings!$A:$A,A1312,DB_Savings!$F:$F),0)-IFERROR(SUMIF(DB_Withdrawals!$A:$A,A1312,DB_Withdrawals!$G:$G),0)),"")</f>
        <v/>
      </c>
      <c r="N1312" t="str">
        <f>IFERROR(IF(A1312="","",MAX(0,M1312-System_Config!$B$9)),"")</f>
        <v/>
      </c>
    </row>
    <row r="1313" spans="1:14" ht="15" customHeight="1" x14ac:dyDescent="0.25">
      <c r="A1313" t="str">
        <f>'NEW ACCOUNT'!A1314</f>
        <v/>
      </c>
      <c r="B1313" t="str">
        <f>IF('NEW ACCOUNT'!A1314="","",'NEW ACCOUNT'!B1314)</f>
        <v/>
      </c>
      <c r="C1313" t="str">
        <f>IF('NEW ACCOUNT'!A1314="","",'NEW ACCOUNT'!C1314)</f>
        <v/>
      </c>
      <c r="D1313" t="str">
        <f>IF('NEW ACCOUNT'!A1314="","",'NEW ACCOUNT'!D1314)</f>
        <v/>
      </c>
      <c r="E1313" t="str">
        <f>IF('NEW ACCOUNT'!A1314="","",'NEW ACCOUNT'!E1314)</f>
        <v/>
      </c>
      <c r="F1313" t="str">
        <f>IF('NEW ACCOUNT'!A1314="","",'NEW ACCOUNT'!F1314)</f>
        <v/>
      </c>
      <c r="G1313" t="str">
        <f>IF('NEW ACCOUNT'!A1314="","",'NEW ACCOUNT'!G1314)</f>
        <v/>
      </c>
      <c r="H1313" t="str">
        <f>IF('NEW ACCOUNT'!A1314="","",'NEW ACCOUNT'!H1314)</f>
        <v/>
      </c>
      <c r="I1313" t="str">
        <f>IF('NEW ACCOUNT'!A1314="","",'NEW ACCOUNT'!I1314)</f>
        <v/>
      </c>
      <c r="J1313" t="str">
        <f>IF('NEW ACCOUNT'!A1314="","",'NEW ACCOUNT'!J1314)</f>
        <v/>
      </c>
      <c r="K1313" t="str">
        <f>IFERROR(IF(A1313="","",SUMIF(DB_Savings!$A:$A,A1313,DB_Savings!$F:$F)),"")</f>
        <v/>
      </c>
      <c r="L1313" t="str">
        <f>IFERROR(IF(A1313="","",SUMIF(DB_Withdrawals!$A:$A,A1313,DB_Withdrawals!$G:$G)),"")</f>
        <v/>
      </c>
      <c r="M1313" t="str">
        <f>IFERROR(IF(A1313="","",IFERROR(VALUE(H1313),0)+IFERROR(SUMIF(DB_Savings!$A:$A,A1313,DB_Savings!$F:$F),0)-IFERROR(SUMIF(DB_Withdrawals!$A:$A,A1313,DB_Withdrawals!$G:$G),0)),"")</f>
        <v/>
      </c>
      <c r="N1313" t="str">
        <f>IFERROR(IF(A1313="","",MAX(0,M1313-System_Config!$B$9)),"")</f>
        <v/>
      </c>
    </row>
    <row r="1314" spans="1:14" ht="15" customHeight="1" x14ac:dyDescent="0.25">
      <c r="A1314" t="str">
        <f>'NEW ACCOUNT'!A1315</f>
        <v/>
      </c>
      <c r="B1314" t="str">
        <f>IF('NEW ACCOUNT'!A1315="","",'NEW ACCOUNT'!B1315)</f>
        <v/>
      </c>
      <c r="C1314" t="str">
        <f>IF('NEW ACCOUNT'!A1315="","",'NEW ACCOUNT'!C1315)</f>
        <v/>
      </c>
      <c r="D1314" t="str">
        <f>IF('NEW ACCOUNT'!A1315="","",'NEW ACCOUNT'!D1315)</f>
        <v/>
      </c>
      <c r="E1314" t="str">
        <f>IF('NEW ACCOUNT'!A1315="","",'NEW ACCOUNT'!E1315)</f>
        <v/>
      </c>
      <c r="F1314" t="str">
        <f>IF('NEW ACCOUNT'!A1315="","",'NEW ACCOUNT'!F1315)</f>
        <v/>
      </c>
      <c r="G1314" t="str">
        <f>IF('NEW ACCOUNT'!A1315="","",'NEW ACCOUNT'!G1315)</f>
        <v/>
      </c>
      <c r="H1314" t="str">
        <f>IF('NEW ACCOUNT'!A1315="","",'NEW ACCOUNT'!H1315)</f>
        <v/>
      </c>
      <c r="I1314" t="str">
        <f>IF('NEW ACCOUNT'!A1315="","",'NEW ACCOUNT'!I1315)</f>
        <v/>
      </c>
      <c r="J1314" t="str">
        <f>IF('NEW ACCOUNT'!A1315="","",'NEW ACCOUNT'!J1315)</f>
        <v/>
      </c>
      <c r="K1314" t="str">
        <f>IFERROR(IF(A1314="","",SUMIF(DB_Savings!$A:$A,A1314,DB_Savings!$F:$F)),"")</f>
        <v/>
      </c>
      <c r="L1314" t="str">
        <f>IFERROR(IF(A1314="","",SUMIF(DB_Withdrawals!$A:$A,A1314,DB_Withdrawals!$G:$G)),"")</f>
        <v/>
      </c>
      <c r="M1314" t="str">
        <f>IFERROR(IF(A1314="","",IFERROR(VALUE(H1314),0)+IFERROR(SUMIF(DB_Savings!$A:$A,A1314,DB_Savings!$F:$F),0)-IFERROR(SUMIF(DB_Withdrawals!$A:$A,A1314,DB_Withdrawals!$G:$G),0)),"")</f>
        <v/>
      </c>
      <c r="N1314" t="str">
        <f>IFERROR(IF(A1314="","",MAX(0,M1314-System_Config!$B$9)),"")</f>
        <v/>
      </c>
    </row>
    <row r="1315" spans="1:14" ht="15" customHeight="1" x14ac:dyDescent="0.25">
      <c r="A1315" t="str">
        <f>'NEW ACCOUNT'!A1316</f>
        <v/>
      </c>
      <c r="B1315" t="str">
        <f>IF('NEW ACCOUNT'!A1316="","",'NEW ACCOUNT'!B1316)</f>
        <v/>
      </c>
      <c r="C1315" t="str">
        <f>IF('NEW ACCOUNT'!A1316="","",'NEW ACCOUNT'!C1316)</f>
        <v/>
      </c>
      <c r="D1315" t="str">
        <f>IF('NEW ACCOUNT'!A1316="","",'NEW ACCOUNT'!D1316)</f>
        <v/>
      </c>
      <c r="E1315" t="str">
        <f>IF('NEW ACCOUNT'!A1316="","",'NEW ACCOUNT'!E1316)</f>
        <v/>
      </c>
      <c r="F1315" t="str">
        <f>IF('NEW ACCOUNT'!A1316="","",'NEW ACCOUNT'!F1316)</f>
        <v/>
      </c>
      <c r="G1315" t="str">
        <f>IF('NEW ACCOUNT'!A1316="","",'NEW ACCOUNT'!G1316)</f>
        <v/>
      </c>
      <c r="H1315" t="str">
        <f>IF('NEW ACCOUNT'!A1316="","",'NEW ACCOUNT'!H1316)</f>
        <v/>
      </c>
      <c r="I1315" t="str">
        <f>IF('NEW ACCOUNT'!A1316="","",'NEW ACCOUNT'!I1316)</f>
        <v/>
      </c>
      <c r="J1315" t="str">
        <f>IF('NEW ACCOUNT'!A1316="","",'NEW ACCOUNT'!J1316)</f>
        <v/>
      </c>
      <c r="K1315" t="str">
        <f>IFERROR(IF(A1315="","",SUMIF(DB_Savings!$A:$A,A1315,DB_Savings!$F:$F)),"")</f>
        <v/>
      </c>
      <c r="L1315" t="str">
        <f>IFERROR(IF(A1315="","",SUMIF(DB_Withdrawals!$A:$A,A1315,DB_Withdrawals!$G:$G)),"")</f>
        <v/>
      </c>
      <c r="M1315" t="str">
        <f>IFERROR(IF(A1315="","",IFERROR(VALUE(H1315),0)+IFERROR(SUMIF(DB_Savings!$A:$A,A1315,DB_Savings!$F:$F),0)-IFERROR(SUMIF(DB_Withdrawals!$A:$A,A1315,DB_Withdrawals!$G:$G),0)),"")</f>
        <v/>
      </c>
      <c r="N1315" t="str">
        <f>IFERROR(IF(A1315="","",MAX(0,M1315-System_Config!$B$9)),"")</f>
        <v/>
      </c>
    </row>
    <row r="1316" spans="1:14" ht="15" customHeight="1" x14ac:dyDescent="0.25">
      <c r="A1316" t="str">
        <f>'NEW ACCOUNT'!A1317</f>
        <v/>
      </c>
      <c r="B1316" t="str">
        <f>IF('NEW ACCOUNT'!A1317="","",'NEW ACCOUNT'!B1317)</f>
        <v/>
      </c>
      <c r="C1316" t="str">
        <f>IF('NEW ACCOUNT'!A1317="","",'NEW ACCOUNT'!C1317)</f>
        <v/>
      </c>
      <c r="D1316" t="str">
        <f>IF('NEW ACCOUNT'!A1317="","",'NEW ACCOUNT'!D1317)</f>
        <v/>
      </c>
      <c r="E1316" t="str">
        <f>IF('NEW ACCOUNT'!A1317="","",'NEW ACCOUNT'!E1317)</f>
        <v/>
      </c>
      <c r="F1316" t="str">
        <f>IF('NEW ACCOUNT'!A1317="","",'NEW ACCOUNT'!F1317)</f>
        <v/>
      </c>
      <c r="G1316" t="str">
        <f>IF('NEW ACCOUNT'!A1317="","",'NEW ACCOUNT'!G1317)</f>
        <v/>
      </c>
      <c r="H1316" t="str">
        <f>IF('NEW ACCOUNT'!A1317="","",'NEW ACCOUNT'!H1317)</f>
        <v/>
      </c>
      <c r="I1316" t="str">
        <f>IF('NEW ACCOUNT'!A1317="","",'NEW ACCOUNT'!I1317)</f>
        <v/>
      </c>
      <c r="J1316" t="str">
        <f>IF('NEW ACCOUNT'!A1317="","",'NEW ACCOUNT'!J1317)</f>
        <v/>
      </c>
      <c r="K1316" t="str">
        <f>IFERROR(IF(A1316="","",SUMIF(DB_Savings!$A:$A,A1316,DB_Savings!$F:$F)),"")</f>
        <v/>
      </c>
      <c r="L1316" t="str">
        <f>IFERROR(IF(A1316="","",SUMIF(DB_Withdrawals!$A:$A,A1316,DB_Withdrawals!$G:$G)),"")</f>
        <v/>
      </c>
      <c r="M1316" t="str">
        <f>IFERROR(IF(A1316="","",IFERROR(VALUE(H1316),0)+IFERROR(SUMIF(DB_Savings!$A:$A,A1316,DB_Savings!$F:$F),0)-IFERROR(SUMIF(DB_Withdrawals!$A:$A,A1316,DB_Withdrawals!$G:$G),0)),"")</f>
        <v/>
      </c>
      <c r="N1316" t="str">
        <f>IFERROR(IF(A1316="","",MAX(0,M1316-System_Config!$B$9)),"")</f>
        <v/>
      </c>
    </row>
    <row r="1317" spans="1:14" ht="15" customHeight="1" x14ac:dyDescent="0.25">
      <c r="A1317" t="str">
        <f>'NEW ACCOUNT'!A1318</f>
        <v/>
      </c>
      <c r="B1317" t="str">
        <f>IF('NEW ACCOUNT'!A1318="","",'NEW ACCOUNT'!B1318)</f>
        <v/>
      </c>
      <c r="C1317" t="str">
        <f>IF('NEW ACCOUNT'!A1318="","",'NEW ACCOUNT'!C1318)</f>
        <v/>
      </c>
      <c r="D1317" t="str">
        <f>IF('NEW ACCOUNT'!A1318="","",'NEW ACCOUNT'!D1318)</f>
        <v/>
      </c>
      <c r="E1317" t="str">
        <f>IF('NEW ACCOUNT'!A1318="","",'NEW ACCOUNT'!E1318)</f>
        <v/>
      </c>
      <c r="F1317" t="str">
        <f>IF('NEW ACCOUNT'!A1318="","",'NEW ACCOUNT'!F1318)</f>
        <v/>
      </c>
      <c r="G1317" t="str">
        <f>IF('NEW ACCOUNT'!A1318="","",'NEW ACCOUNT'!G1318)</f>
        <v/>
      </c>
      <c r="H1317" t="str">
        <f>IF('NEW ACCOUNT'!A1318="","",'NEW ACCOUNT'!H1318)</f>
        <v/>
      </c>
      <c r="I1317" t="str">
        <f>IF('NEW ACCOUNT'!A1318="","",'NEW ACCOUNT'!I1318)</f>
        <v/>
      </c>
      <c r="J1317" t="str">
        <f>IF('NEW ACCOUNT'!A1318="","",'NEW ACCOUNT'!J1318)</f>
        <v/>
      </c>
      <c r="K1317" t="str">
        <f>IFERROR(IF(A1317="","",SUMIF(DB_Savings!$A:$A,A1317,DB_Savings!$F:$F)),"")</f>
        <v/>
      </c>
      <c r="L1317" t="str">
        <f>IFERROR(IF(A1317="","",SUMIF(DB_Withdrawals!$A:$A,A1317,DB_Withdrawals!$G:$G)),"")</f>
        <v/>
      </c>
      <c r="M1317" t="str">
        <f>IFERROR(IF(A1317="","",IFERROR(VALUE(H1317),0)+IFERROR(SUMIF(DB_Savings!$A:$A,A1317,DB_Savings!$F:$F),0)-IFERROR(SUMIF(DB_Withdrawals!$A:$A,A1317,DB_Withdrawals!$G:$G),0)),"")</f>
        <v/>
      </c>
      <c r="N1317" t="str">
        <f>IFERROR(IF(A1317="","",MAX(0,M1317-System_Config!$B$9)),"")</f>
        <v/>
      </c>
    </row>
    <row r="1318" spans="1:14" ht="15" customHeight="1" x14ac:dyDescent="0.25">
      <c r="A1318" t="str">
        <f>'NEW ACCOUNT'!A1319</f>
        <v/>
      </c>
      <c r="B1318" t="str">
        <f>IF('NEW ACCOUNT'!A1319="","",'NEW ACCOUNT'!B1319)</f>
        <v/>
      </c>
      <c r="C1318" t="str">
        <f>IF('NEW ACCOUNT'!A1319="","",'NEW ACCOUNT'!C1319)</f>
        <v/>
      </c>
      <c r="D1318" t="str">
        <f>IF('NEW ACCOUNT'!A1319="","",'NEW ACCOUNT'!D1319)</f>
        <v/>
      </c>
      <c r="E1318" t="str">
        <f>IF('NEW ACCOUNT'!A1319="","",'NEW ACCOUNT'!E1319)</f>
        <v/>
      </c>
      <c r="F1318" t="str">
        <f>IF('NEW ACCOUNT'!A1319="","",'NEW ACCOUNT'!F1319)</f>
        <v/>
      </c>
      <c r="G1318" t="str">
        <f>IF('NEW ACCOUNT'!A1319="","",'NEW ACCOUNT'!G1319)</f>
        <v/>
      </c>
      <c r="H1318" t="str">
        <f>IF('NEW ACCOUNT'!A1319="","",'NEW ACCOUNT'!H1319)</f>
        <v/>
      </c>
      <c r="I1318" t="str">
        <f>IF('NEW ACCOUNT'!A1319="","",'NEW ACCOUNT'!I1319)</f>
        <v/>
      </c>
      <c r="J1318" t="str">
        <f>IF('NEW ACCOUNT'!A1319="","",'NEW ACCOUNT'!J1319)</f>
        <v/>
      </c>
      <c r="K1318" t="str">
        <f>IFERROR(IF(A1318="","",SUMIF(DB_Savings!$A:$A,A1318,DB_Savings!$F:$F)),"")</f>
        <v/>
      </c>
      <c r="L1318" t="str">
        <f>IFERROR(IF(A1318="","",SUMIF(DB_Withdrawals!$A:$A,A1318,DB_Withdrawals!$G:$G)),"")</f>
        <v/>
      </c>
      <c r="M1318" t="str">
        <f>IFERROR(IF(A1318="","",IFERROR(VALUE(H1318),0)+IFERROR(SUMIF(DB_Savings!$A:$A,A1318,DB_Savings!$F:$F),0)-IFERROR(SUMIF(DB_Withdrawals!$A:$A,A1318,DB_Withdrawals!$G:$G),0)),"")</f>
        <v/>
      </c>
      <c r="N1318" t="str">
        <f>IFERROR(IF(A1318="","",MAX(0,M1318-System_Config!$B$9)),"")</f>
        <v/>
      </c>
    </row>
    <row r="1319" spans="1:14" ht="15" customHeight="1" x14ac:dyDescent="0.25">
      <c r="A1319" t="str">
        <f>'NEW ACCOUNT'!A1320</f>
        <v/>
      </c>
      <c r="B1319" t="str">
        <f>IF('NEW ACCOUNT'!A1320="","",'NEW ACCOUNT'!B1320)</f>
        <v/>
      </c>
      <c r="C1319" t="str">
        <f>IF('NEW ACCOUNT'!A1320="","",'NEW ACCOUNT'!C1320)</f>
        <v/>
      </c>
      <c r="D1319" t="str">
        <f>IF('NEW ACCOUNT'!A1320="","",'NEW ACCOUNT'!D1320)</f>
        <v/>
      </c>
      <c r="E1319" t="str">
        <f>IF('NEW ACCOUNT'!A1320="","",'NEW ACCOUNT'!E1320)</f>
        <v/>
      </c>
      <c r="F1319" t="str">
        <f>IF('NEW ACCOUNT'!A1320="","",'NEW ACCOUNT'!F1320)</f>
        <v/>
      </c>
      <c r="G1319" t="str">
        <f>IF('NEW ACCOUNT'!A1320="","",'NEW ACCOUNT'!G1320)</f>
        <v/>
      </c>
      <c r="H1319" t="str">
        <f>IF('NEW ACCOUNT'!A1320="","",'NEW ACCOUNT'!H1320)</f>
        <v/>
      </c>
      <c r="I1319" t="str">
        <f>IF('NEW ACCOUNT'!A1320="","",'NEW ACCOUNT'!I1320)</f>
        <v/>
      </c>
      <c r="J1319" t="str">
        <f>IF('NEW ACCOUNT'!A1320="","",'NEW ACCOUNT'!J1320)</f>
        <v/>
      </c>
      <c r="K1319" t="str">
        <f>IFERROR(IF(A1319="","",SUMIF(DB_Savings!$A:$A,A1319,DB_Savings!$F:$F)),"")</f>
        <v/>
      </c>
      <c r="L1319" t="str">
        <f>IFERROR(IF(A1319="","",SUMIF(DB_Withdrawals!$A:$A,A1319,DB_Withdrawals!$G:$G)),"")</f>
        <v/>
      </c>
      <c r="M1319" t="str">
        <f>IFERROR(IF(A1319="","",IFERROR(VALUE(H1319),0)+IFERROR(SUMIF(DB_Savings!$A:$A,A1319,DB_Savings!$F:$F),0)-IFERROR(SUMIF(DB_Withdrawals!$A:$A,A1319,DB_Withdrawals!$G:$G),0)),"")</f>
        <v/>
      </c>
      <c r="N1319" t="str">
        <f>IFERROR(IF(A1319="","",MAX(0,M1319-System_Config!$B$9)),"")</f>
        <v/>
      </c>
    </row>
    <row r="1320" spans="1:14" ht="15" customHeight="1" x14ac:dyDescent="0.25">
      <c r="A1320" t="str">
        <f>'NEW ACCOUNT'!A1321</f>
        <v/>
      </c>
      <c r="B1320" t="str">
        <f>IF('NEW ACCOUNT'!A1321="","",'NEW ACCOUNT'!B1321)</f>
        <v/>
      </c>
      <c r="C1320" t="str">
        <f>IF('NEW ACCOUNT'!A1321="","",'NEW ACCOUNT'!C1321)</f>
        <v/>
      </c>
      <c r="D1320" t="str">
        <f>IF('NEW ACCOUNT'!A1321="","",'NEW ACCOUNT'!D1321)</f>
        <v/>
      </c>
      <c r="E1320" t="str">
        <f>IF('NEW ACCOUNT'!A1321="","",'NEW ACCOUNT'!E1321)</f>
        <v/>
      </c>
      <c r="F1320" t="str">
        <f>IF('NEW ACCOUNT'!A1321="","",'NEW ACCOUNT'!F1321)</f>
        <v/>
      </c>
      <c r="G1320" t="str">
        <f>IF('NEW ACCOUNT'!A1321="","",'NEW ACCOUNT'!G1321)</f>
        <v/>
      </c>
      <c r="H1320" t="str">
        <f>IF('NEW ACCOUNT'!A1321="","",'NEW ACCOUNT'!H1321)</f>
        <v/>
      </c>
      <c r="I1320" t="str">
        <f>IF('NEW ACCOUNT'!A1321="","",'NEW ACCOUNT'!I1321)</f>
        <v/>
      </c>
      <c r="J1320" t="str">
        <f>IF('NEW ACCOUNT'!A1321="","",'NEW ACCOUNT'!J1321)</f>
        <v/>
      </c>
      <c r="K1320" t="str">
        <f>IFERROR(IF(A1320="","",SUMIF(DB_Savings!$A:$A,A1320,DB_Savings!$F:$F)),"")</f>
        <v/>
      </c>
      <c r="L1320" t="str">
        <f>IFERROR(IF(A1320="","",SUMIF(DB_Withdrawals!$A:$A,A1320,DB_Withdrawals!$G:$G)),"")</f>
        <v/>
      </c>
      <c r="M1320" t="str">
        <f>IFERROR(IF(A1320="","",IFERROR(VALUE(H1320),0)+IFERROR(SUMIF(DB_Savings!$A:$A,A1320,DB_Savings!$F:$F),0)-IFERROR(SUMIF(DB_Withdrawals!$A:$A,A1320,DB_Withdrawals!$G:$G),0)),"")</f>
        <v/>
      </c>
      <c r="N1320" t="str">
        <f>IFERROR(IF(A1320="","",MAX(0,M1320-System_Config!$B$9)),"")</f>
        <v/>
      </c>
    </row>
    <row r="1321" spans="1:14" ht="15" customHeight="1" x14ac:dyDescent="0.25">
      <c r="A1321" t="str">
        <f>'NEW ACCOUNT'!A1322</f>
        <v/>
      </c>
      <c r="B1321" t="str">
        <f>IF('NEW ACCOUNT'!A1322="","",'NEW ACCOUNT'!B1322)</f>
        <v/>
      </c>
      <c r="C1321" t="str">
        <f>IF('NEW ACCOUNT'!A1322="","",'NEW ACCOUNT'!C1322)</f>
        <v/>
      </c>
      <c r="D1321" t="str">
        <f>IF('NEW ACCOUNT'!A1322="","",'NEW ACCOUNT'!D1322)</f>
        <v/>
      </c>
      <c r="E1321" t="str">
        <f>IF('NEW ACCOUNT'!A1322="","",'NEW ACCOUNT'!E1322)</f>
        <v/>
      </c>
      <c r="F1321" t="str">
        <f>IF('NEW ACCOUNT'!A1322="","",'NEW ACCOUNT'!F1322)</f>
        <v/>
      </c>
      <c r="G1321" t="str">
        <f>IF('NEW ACCOUNT'!A1322="","",'NEW ACCOUNT'!G1322)</f>
        <v/>
      </c>
      <c r="H1321" t="str">
        <f>IF('NEW ACCOUNT'!A1322="","",'NEW ACCOUNT'!H1322)</f>
        <v/>
      </c>
      <c r="I1321" t="str">
        <f>IF('NEW ACCOUNT'!A1322="","",'NEW ACCOUNT'!I1322)</f>
        <v/>
      </c>
      <c r="J1321" t="str">
        <f>IF('NEW ACCOUNT'!A1322="","",'NEW ACCOUNT'!J1322)</f>
        <v/>
      </c>
      <c r="K1321" t="str">
        <f>IFERROR(IF(A1321="","",SUMIF(DB_Savings!$A:$A,A1321,DB_Savings!$F:$F)),"")</f>
        <v/>
      </c>
      <c r="L1321" t="str">
        <f>IFERROR(IF(A1321="","",SUMIF(DB_Withdrawals!$A:$A,A1321,DB_Withdrawals!$G:$G)),"")</f>
        <v/>
      </c>
      <c r="M1321" t="str">
        <f>IFERROR(IF(A1321="","",IFERROR(VALUE(H1321),0)+IFERROR(SUMIF(DB_Savings!$A:$A,A1321,DB_Savings!$F:$F),0)-IFERROR(SUMIF(DB_Withdrawals!$A:$A,A1321,DB_Withdrawals!$G:$G),0)),"")</f>
        <v/>
      </c>
      <c r="N1321" t="str">
        <f>IFERROR(IF(A1321="","",MAX(0,M1321-System_Config!$B$9)),"")</f>
        <v/>
      </c>
    </row>
    <row r="1322" spans="1:14" ht="15" customHeight="1" x14ac:dyDescent="0.25">
      <c r="A1322" t="str">
        <f>'NEW ACCOUNT'!A1323</f>
        <v/>
      </c>
      <c r="B1322" t="str">
        <f>IF('NEW ACCOUNT'!A1323="","",'NEW ACCOUNT'!B1323)</f>
        <v/>
      </c>
      <c r="C1322" t="str">
        <f>IF('NEW ACCOUNT'!A1323="","",'NEW ACCOUNT'!C1323)</f>
        <v/>
      </c>
      <c r="D1322" t="str">
        <f>IF('NEW ACCOUNT'!A1323="","",'NEW ACCOUNT'!D1323)</f>
        <v/>
      </c>
      <c r="E1322" t="str">
        <f>IF('NEW ACCOUNT'!A1323="","",'NEW ACCOUNT'!E1323)</f>
        <v/>
      </c>
      <c r="F1322" t="str">
        <f>IF('NEW ACCOUNT'!A1323="","",'NEW ACCOUNT'!F1323)</f>
        <v/>
      </c>
      <c r="G1322" t="str">
        <f>IF('NEW ACCOUNT'!A1323="","",'NEW ACCOUNT'!G1323)</f>
        <v/>
      </c>
      <c r="H1322" t="str">
        <f>IF('NEW ACCOUNT'!A1323="","",'NEW ACCOUNT'!H1323)</f>
        <v/>
      </c>
      <c r="I1322" t="str">
        <f>IF('NEW ACCOUNT'!A1323="","",'NEW ACCOUNT'!I1323)</f>
        <v/>
      </c>
      <c r="J1322" t="str">
        <f>IF('NEW ACCOUNT'!A1323="","",'NEW ACCOUNT'!J1323)</f>
        <v/>
      </c>
      <c r="K1322" t="str">
        <f>IFERROR(IF(A1322="","",SUMIF(DB_Savings!$A:$A,A1322,DB_Savings!$F:$F)),"")</f>
        <v/>
      </c>
      <c r="L1322" t="str">
        <f>IFERROR(IF(A1322="","",SUMIF(DB_Withdrawals!$A:$A,A1322,DB_Withdrawals!$G:$G)),"")</f>
        <v/>
      </c>
      <c r="M1322" t="str">
        <f>IFERROR(IF(A1322="","",IFERROR(VALUE(H1322),0)+IFERROR(SUMIF(DB_Savings!$A:$A,A1322,DB_Savings!$F:$F),0)-IFERROR(SUMIF(DB_Withdrawals!$A:$A,A1322,DB_Withdrawals!$G:$G),0)),"")</f>
        <v/>
      </c>
      <c r="N1322" t="str">
        <f>IFERROR(IF(A1322="","",MAX(0,M1322-System_Config!$B$9)),"")</f>
        <v/>
      </c>
    </row>
    <row r="1323" spans="1:14" ht="15" customHeight="1" x14ac:dyDescent="0.25">
      <c r="A1323" t="str">
        <f>'NEW ACCOUNT'!A1324</f>
        <v/>
      </c>
      <c r="B1323" t="str">
        <f>IF('NEW ACCOUNT'!A1324="","",'NEW ACCOUNT'!B1324)</f>
        <v/>
      </c>
      <c r="C1323" t="str">
        <f>IF('NEW ACCOUNT'!A1324="","",'NEW ACCOUNT'!C1324)</f>
        <v/>
      </c>
      <c r="D1323" t="str">
        <f>IF('NEW ACCOUNT'!A1324="","",'NEW ACCOUNT'!D1324)</f>
        <v/>
      </c>
      <c r="E1323" t="str">
        <f>IF('NEW ACCOUNT'!A1324="","",'NEW ACCOUNT'!E1324)</f>
        <v/>
      </c>
      <c r="F1323" t="str">
        <f>IF('NEW ACCOUNT'!A1324="","",'NEW ACCOUNT'!F1324)</f>
        <v/>
      </c>
      <c r="G1323" t="str">
        <f>IF('NEW ACCOUNT'!A1324="","",'NEW ACCOUNT'!G1324)</f>
        <v/>
      </c>
      <c r="H1323" t="str">
        <f>IF('NEW ACCOUNT'!A1324="","",'NEW ACCOUNT'!H1324)</f>
        <v/>
      </c>
      <c r="I1323" t="str">
        <f>IF('NEW ACCOUNT'!A1324="","",'NEW ACCOUNT'!I1324)</f>
        <v/>
      </c>
      <c r="J1323" t="str">
        <f>IF('NEW ACCOUNT'!A1324="","",'NEW ACCOUNT'!J1324)</f>
        <v/>
      </c>
      <c r="K1323" t="str">
        <f>IFERROR(IF(A1323="","",SUMIF(DB_Savings!$A:$A,A1323,DB_Savings!$F:$F)),"")</f>
        <v/>
      </c>
      <c r="L1323" t="str">
        <f>IFERROR(IF(A1323="","",SUMIF(DB_Withdrawals!$A:$A,A1323,DB_Withdrawals!$G:$G)),"")</f>
        <v/>
      </c>
      <c r="M1323" t="str">
        <f>IFERROR(IF(A1323="","",IFERROR(VALUE(H1323),0)+IFERROR(SUMIF(DB_Savings!$A:$A,A1323,DB_Savings!$F:$F),0)-IFERROR(SUMIF(DB_Withdrawals!$A:$A,A1323,DB_Withdrawals!$G:$G),0)),"")</f>
        <v/>
      </c>
      <c r="N1323" t="str">
        <f>IFERROR(IF(A1323="","",MAX(0,M1323-System_Config!$B$9)),"")</f>
        <v/>
      </c>
    </row>
    <row r="1324" spans="1:14" ht="15" customHeight="1" x14ac:dyDescent="0.25">
      <c r="A1324" t="str">
        <f>'NEW ACCOUNT'!A1325</f>
        <v/>
      </c>
      <c r="B1324" t="str">
        <f>IF('NEW ACCOUNT'!A1325="","",'NEW ACCOUNT'!B1325)</f>
        <v/>
      </c>
      <c r="C1324" t="str">
        <f>IF('NEW ACCOUNT'!A1325="","",'NEW ACCOUNT'!C1325)</f>
        <v/>
      </c>
      <c r="D1324" t="str">
        <f>IF('NEW ACCOUNT'!A1325="","",'NEW ACCOUNT'!D1325)</f>
        <v/>
      </c>
      <c r="E1324" t="str">
        <f>IF('NEW ACCOUNT'!A1325="","",'NEW ACCOUNT'!E1325)</f>
        <v/>
      </c>
      <c r="F1324" t="str">
        <f>IF('NEW ACCOUNT'!A1325="","",'NEW ACCOUNT'!F1325)</f>
        <v/>
      </c>
      <c r="G1324" t="str">
        <f>IF('NEW ACCOUNT'!A1325="","",'NEW ACCOUNT'!G1325)</f>
        <v/>
      </c>
      <c r="H1324" t="str">
        <f>IF('NEW ACCOUNT'!A1325="","",'NEW ACCOUNT'!H1325)</f>
        <v/>
      </c>
      <c r="I1324" t="str">
        <f>IF('NEW ACCOUNT'!A1325="","",'NEW ACCOUNT'!I1325)</f>
        <v/>
      </c>
      <c r="J1324" t="str">
        <f>IF('NEW ACCOUNT'!A1325="","",'NEW ACCOUNT'!J1325)</f>
        <v/>
      </c>
      <c r="K1324" t="str">
        <f>IFERROR(IF(A1324="","",SUMIF(DB_Savings!$A:$A,A1324,DB_Savings!$F:$F)),"")</f>
        <v/>
      </c>
      <c r="L1324" t="str">
        <f>IFERROR(IF(A1324="","",SUMIF(DB_Withdrawals!$A:$A,A1324,DB_Withdrawals!$G:$G)),"")</f>
        <v/>
      </c>
      <c r="M1324" t="str">
        <f>IFERROR(IF(A1324="","",IFERROR(VALUE(H1324),0)+IFERROR(SUMIF(DB_Savings!$A:$A,A1324,DB_Savings!$F:$F),0)-IFERROR(SUMIF(DB_Withdrawals!$A:$A,A1324,DB_Withdrawals!$G:$G),0)),"")</f>
        <v/>
      </c>
      <c r="N1324" t="str">
        <f>IFERROR(IF(A1324="","",MAX(0,M1324-System_Config!$B$9)),"")</f>
        <v/>
      </c>
    </row>
    <row r="1325" spans="1:14" ht="15" customHeight="1" x14ac:dyDescent="0.25">
      <c r="A1325" t="str">
        <f>'NEW ACCOUNT'!A1326</f>
        <v/>
      </c>
      <c r="B1325" t="str">
        <f>IF('NEW ACCOUNT'!A1326="","",'NEW ACCOUNT'!B1326)</f>
        <v/>
      </c>
      <c r="C1325" t="str">
        <f>IF('NEW ACCOUNT'!A1326="","",'NEW ACCOUNT'!C1326)</f>
        <v/>
      </c>
      <c r="D1325" t="str">
        <f>IF('NEW ACCOUNT'!A1326="","",'NEW ACCOUNT'!D1326)</f>
        <v/>
      </c>
      <c r="E1325" t="str">
        <f>IF('NEW ACCOUNT'!A1326="","",'NEW ACCOUNT'!E1326)</f>
        <v/>
      </c>
      <c r="F1325" t="str">
        <f>IF('NEW ACCOUNT'!A1326="","",'NEW ACCOUNT'!F1326)</f>
        <v/>
      </c>
      <c r="G1325" t="str">
        <f>IF('NEW ACCOUNT'!A1326="","",'NEW ACCOUNT'!G1326)</f>
        <v/>
      </c>
      <c r="H1325" t="str">
        <f>IF('NEW ACCOUNT'!A1326="","",'NEW ACCOUNT'!H1326)</f>
        <v/>
      </c>
      <c r="I1325" t="str">
        <f>IF('NEW ACCOUNT'!A1326="","",'NEW ACCOUNT'!I1326)</f>
        <v/>
      </c>
      <c r="J1325" t="str">
        <f>IF('NEW ACCOUNT'!A1326="","",'NEW ACCOUNT'!J1326)</f>
        <v/>
      </c>
      <c r="K1325" t="str">
        <f>IFERROR(IF(A1325="","",SUMIF(DB_Savings!$A:$A,A1325,DB_Savings!$F:$F)),"")</f>
        <v/>
      </c>
      <c r="L1325" t="str">
        <f>IFERROR(IF(A1325="","",SUMIF(DB_Withdrawals!$A:$A,A1325,DB_Withdrawals!$G:$G)),"")</f>
        <v/>
      </c>
      <c r="M1325" t="str">
        <f>IFERROR(IF(A1325="","",IFERROR(VALUE(H1325),0)+IFERROR(SUMIF(DB_Savings!$A:$A,A1325,DB_Savings!$F:$F),0)-IFERROR(SUMIF(DB_Withdrawals!$A:$A,A1325,DB_Withdrawals!$G:$G),0)),"")</f>
        <v/>
      </c>
      <c r="N1325" t="str">
        <f>IFERROR(IF(A1325="","",MAX(0,M1325-System_Config!$B$9)),"")</f>
        <v/>
      </c>
    </row>
    <row r="1326" spans="1:14" ht="15" customHeight="1" x14ac:dyDescent="0.25">
      <c r="A1326" t="str">
        <f>'NEW ACCOUNT'!A1327</f>
        <v/>
      </c>
      <c r="B1326" t="str">
        <f>IF('NEW ACCOUNT'!A1327="","",'NEW ACCOUNT'!B1327)</f>
        <v/>
      </c>
      <c r="C1326" t="str">
        <f>IF('NEW ACCOUNT'!A1327="","",'NEW ACCOUNT'!C1327)</f>
        <v/>
      </c>
      <c r="D1326" t="str">
        <f>IF('NEW ACCOUNT'!A1327="","",'NEW ACCOUNT'!D1327)</f>
        <v/>
      </c>
      <c r="E1326" t="str">
        <f>IF('NEW ACCOUNT'!A1327="","",'NEW ACCOUNT'!E1327)</f>
        <v/>
      </c>
      <c r="F1326" t="str">
        <f>IF('NEW ACCOUNT'!A1327="","",'NEW ACCOUNT'!F1327)</f>
        <v/>
      </c>
      <c r="G1326" t="str">
        <f>IF('NEW ACCOUNT'!A1327="","",'NEW ACCOUNT'!G1327)</f>
        <v/>
      </c>
      <c r="H1326" t="str">
        <f>IF('NEW ACCOUNT'!A1327="","",'NEW ACCOUNT'!H1327)</f>
        <v/>
      </c>
      <c r="I1326" t="str">
        <f>IF('NEW ACCOUNT'!A1327="","",'NEW ACCOUNT'!I1327)</f>
        <v/>
      </c>
      <c r="J1326" t="str">
        <f>IF('NEW ACCOUNT'!A1327="","",'NEW ACCOUNT'!J1327)</f>
        <v/>
      </c>
      <c r="K1326" t="str">
        <f>IFERROR(IF(A1326="","",SUMIF(DB_Savings!$A:$A,A1326,DB_Savings!$F:$F)),"")</f>
        <v/>
      </c>
      <c r="L1326" t="str">
        <f>IFERROR(IF(A1326="","",SUMIF(DB_Withdrawals!$A:$A,A1326,DB_Withdrawals!$G:$G)),"")</f>
        <v/>
      </c>
      <c r="M1326" t="str">
        <f>IFERROR(IF(A1326="","",IFERROR(VALUE(H1326),0)+IFERROR(SUMIF(DB_Savings!$A:$A,A1326,DB_Savings!$F:$F),0)-IFERROR(SUMIF(DB_Withdrawals!$A:$A,A1326,DB_Withdrawals!$G:$G),0)),"")</f>
        <v/>
      </c>
      <c r="N1326" t="str">
        <f>IFERROR(IF(A1326="","",MAX(0,M1326-System_Config!$B$9)),"")</f>
        <v/>
      </c>
    </row>
    <row r="1327" spans="1:14" ht="15" customHeight="1" x14ac:dyDescent="0.25">
      <c r="A1327" t="str">
        <f>'NEW ACCOUNT'!A1328</f>
        <v/>
      </c>
      <c r="B1327" t="str">
        <f>IF('NEW ACCOUNT'!A1328="","",'NEW ACCOUNT'!B1328)</f>
        <v/>
      </c>
      <c r="C1327" t="str">
        <f>IF('NEW ACCOUNT'!A1328="","",'NEW ACCOUNT'!C1328)</f>
        <v/>
      </c>
      <c r="D1327" t="str">
        <f>IF('NEW ACCOUNT'!A1328="","",'NEW ACCOUNT'!D1328)</f>
        <v/>
      </c>
      <c r="E1327" t="str">
        <f>IF('NEW ACCOUNT'!A1328="","",'NEW ACCOUNT'!E1328)</f>
        <v/>
      </c>
      <c r="F1327" t="str">
        <f>IF('NEW ACCOUNT'!A1328="","",'NEW ACCOUNT'!F1328)</f>
        <v/>
      </c>
      <c r="G1327" t="str">
        <f>IF('NEW ACCOUNT'!A1328="","",'NEW ACCOUNT'!G1328)</f>
        <v/>
      </c>
      <c r="H1327" t="str">
        <f>IF('NEW ACCOUNT'!A1328="","",'NEW ACCOUNT'!H1328)</f>
        <v/>
      </c>
      <c r="I1327" t="str">
        <f>IF('NEW ACCOUNT'!A1328="","",'NEW ACCOUNT'!I1328)</f>
        <v/>
      </c>
      <c r="J1327" t="str">
        <f>IF('NEW ACCOUNT'!A1328="","",'NEW ACCOUNT'!J1328)</f>
        <v/>
      </c>
      <c r="K1327" t="str">
        <f>IFERROR(IF(A1327="","",SUMIF(DB_Savings!$A:$A,A1327,DB_Savings!$F:$F)),"")</f>
        <v/>
      </c>
      <c r="L1327" t="str">
        <f>IFERROR(IF(A1327="","",SUMIF(DB_Withdrawals!$A:$A,A1327,DB_Withdrawals!$G:$G)),"")</f>
        <v/>
      </c>
      <c r="M1327" t="str">
        <f>IFERROR(IF(A1327="","",IFERROR(VALUE(H1327),0)+IFERROR(SUMIF(DB_Savings!$A:$A,A1327,DB_Savings!$F:$F),0)-IFERROR(SUMIF(DB_Withdrawals!$A:$A,A1327,DB_Withdrawals!$G:$G),0)),"")</f>
        <v/>
      </c>
      <c r="N1327" t="str">
        <f>IFERROR(IF(A1327="","",MAX(0,M1327-System_Config!$B$9)),"")</f>
        <v/>
      </c>
    </row>
    <row r="1328" spans="1:14" ht="15" customHeight="1" x14ac:dyDescent="0.25">
      <c r="A1328" t="str">
        <f>'NEW ACCOUNT'!A1329</f>
        <v/>
      </c>
      <c r="B1328" t="str">
        <f>IF('NEW ACCOUNT'!A1329="","",'NEW ACCOUNT'!B1329)</f>
        <v/>
      </c>
      <c r="C1328" t="str">
        <f>IF('NEW ACCOUNT'!A1329="","",'NEW ACCOUNT'!C1329)</f>
        <v/>
      </c>
      <c r="D1328" t="str">
        <f>IF('NEW ACCOUNT'!A1329="","",'NEW ACCOUNT'!D1329)</f>
        <v/>
      </c>
      <c r="E1328" t="str">
        <f>IF('NEW ACCOUNT'!A1329="","",'NEW ACCOUNT'!E1329)</f>
        <v/>
      </c>
      <c r="F1328" t="str">
        <f>IF('NEW ACCOUNT'!A1329="","",'NEW ACCOUNT'!F1329)</f>
        <v/>
      </c>
      <c r="G1328" t="str">
        <f>IF('NEW ACCOUNT'!A1329="","",'NEW ACCOUNT'!G1329)</f>
        <v/>
      </c>
      <c r="H1328" t="str">
        <f>IF('NEW ACCOUNT'!A1329="","",'NEW ACCOUNT'!H1329)</f>
        <v/>
      </c>
      <c r="I1328" t="str">
        <f>IF('NEW ACCOUNT'!A1329="","",'NEW ACCOUNT'!I1329)</f>
        <v/>
      </c>
      <c r="J1328" t="str">
        <f>IF('NEW ACCOUNT'!A1329="","",'NEW ACCOUNT'!J1329)</f>
        <v/>
      </c>
      <c r="K1328" t="str">
        <f>IFERROR(IF(A1328="","",SUMIF(DB_Savings!$A:$A,A1328,DB_Savings!$F:$F)),"")</f>
        <v/>
      </c>
      <c r="L1328" t="str">
        <f>IFERROR(IF(A1328="","",SUMIF(DB_Withdrawals!$A:$A,A1328,DB_Withdrawals!$G:$G)),"")</f>
        <v/>
      </c>
      <c r="M1328" t="str">
        <f>IFERROR(IF(A1328="","",IFERROR(VALUE(H1328),0)+IFERROR(SUMIF(DB_Savings!$A:$A,A1328,DB_Savings!$F:$F),0)-IFERROR(SUMIF(DB_Withdrawals!$A:$A,A1328,DB_Withdrawals!$G:$G),0)),"")</f>
        <v/>
      </c>
      <c r="N1328" t="str">
        <f>IFERROR(IF(A1328="","",MAX(0,M1328-System_Config!$B$9)),"")</f>
        <v/>
      </c>
    </row>
    <row r="1329" spans="1:14" ht="15" customHeight="1" x14ac:dyDescent="0.25">
      <c r="A1329" t="str">
        <f>'NEW ACCOUNT'!A1330</f>
        <v/>
      </c>
      <c r="B1329" t="str">
        <f>IF('NEW ACCOUNT'!A1330="","",'NEW ACCOUNT'!B1330)</f>
        <v/>
      </c>
      <c r="C1329" t="str">
        <f>IF('NEW ACCOUNT'!A1330="","",'NEW ACCOUNT'!C1330)</f>
        <v/>
      </c>
      <c r="D1329" t="str">
        <f>IF('NEW ACCOUNT'!A1330="","",'NEW ACCOUNT'!D1330)</f>
        <v/>
      </c>
      <c r="E1329" t="str">
        <f>IF('NEW ACCOUNT'!A1330="","",'NEW ACCOUNT'!E1330)</f>
        <v/>
      </c>
      <c r="F1329" t="str">
        <f>IF('NEW ACCOUNT'!A1330="","",'NEW ACCOUNT'!F1330)</f>
        <v/>
      </c>
      <c r="G1329" t="str">
        <f>IF('NEW ACCOUNT'!A1330="","",'NEW ACCOUNT'!G1330)</f>
        <v/>
      </c>
      <c r="H1329" t="str">
        <f>IF('NEW ACCOUNT'!A1330="","",'NEW ACCOUNT'!H1330)</f>
        <v/>
      </c>
      <c r="I1329" t="str">
        <f>IF('NEW ACCOUNT'!A1330="","",'NEW ACCOUNT'!I1330)</f>
        <v/>
      </c>
      <c r="J1329" t="str">
        <f>IF('NEW ACCOUNT'!A1330="","",'NEW ACCOUNT'!J1330)</f>
        <v/>
      </c>
      <c r="K1329" t="str">
        <f>IFERROR(IF(A1329="","",SUMIF(DB_Savings!$A:$A,A1329,DB_Savings!$F:$F)),"")</f>
        <v/>
      </c>
      <c r="L1329" t="str">
        <f>IFERROR(IF(A1329="","",SUMIF(DB_Withdrawals!$A:$A,A1329,DB_Withdrawals!$G:$G)),"")</f>
        <v/>
      </c>
      <c r="M1329" t="str">
        <f>IFERROR(IF(A1329="","",IFERROR(VALUE(H1329),0)+IFERROR(SUMIF(DB_Savings!$A:$A,A1329,DB_Savings!$F:$F),0)-IFERROR(SUMIF(DB_Withdrawals!$A:$A,A1329,DB_Withdrawals!$G:$G),0)),"")</f>
        <v/>
      </c>
      <c r="N1329" t="str">
        <f>IFERROR(IF(A1329="","",MAX(0,M1329-System_Config!$B$9)),"")</f>
        <v/>
      </c>
    </row>
    <row r="1330" spans="1:14" ht="15" customHeight="1" x14ac:dyDescent="0.25">
      <c r="A1330" t="str">
        <f>'NEW ACCOUNT'!A1331</f>
        <v/>
      </c>
      <c r="B1330" t="str">
        <f>IF('NEW ACCOUNT'!A1331="","",'NEW ACCOUNT'!B1331)</f>
        <v/>
      </c>
      <c r="C1330" t="str">
        <f>IF('NEW ACCOUNT'!A1331="","",'NEW ACCOUNT'!C1331)</f>
        <v/>
      </c>
      <c r="D1330" t="str">
        <f>IF('NEW ACCOUNT'!A1331="","",'NEW ACCOUNT'!D1331)</f>
        <v/>
      </c>
      <c r="E1330" t="str">
        <f>IF('NEW ACCOUNT'!A1331="","",'NEW ACCOUNT'!E1331)</f>
        <v/>
      </c>
      <c r="F1330" t="str">
        <f>IF('NEW ACCOUNT'!A1331="","",'NEW ACCOUNT'!F1331)</f>
        <v/>
      </c>
      <c r="G1330" t="str">
        <f>IF('NEW ACCOUNT'!A1331="","",'NEW ACCOUNT'!G1331)</f>
        <v/>
      </c>
      <c r="H1330" t="str">
        <f>IF('NEW ACCOUNT'!A1331="","",'NEW ACCOUNT'!H1331)</f>
        <v/>
      </c>
      <c r="I1330" t="str">
        <f>IF('NEW ACCOUNT'!A1331="","",'NEW ACCOUNT'!I1331)</f>
        <v/>
      </c>
      <c r="J1330" t="str">
        <f>IF('NEW ACCOUNT'!A1331="","",'NEW ACCOUNT'!J1331)</f>
        <v/>
      </c>
      <c r="K1330" t="str">
        <f>IFERROR(IF(A1330="","",SUMIF(DB_Savings!$A:$A,A1330,DB_Savings!$F:$F)),"")</f>
        <v/>
      </c>
      <c r="L1330" t="str">
        <f>IFERROR(IF(A1330="","",SUMIF(DB_Withdrawals!$A:$A,A1330,DB_Withdrawals!$G:$G)),"")</f>
        <v/>
      </c>
      <c r="M1330" t="str">
        <f>IFERROR(IF(A1330="","",IFERROR(VALUE(H1330),0)+IFERROR(SUMIF(DB_Savings!$A:$A,A1330,DB_Savings!$F:$F),0)-IFERROR(SUMIF(DB_Withdrawals!$A:$A,A1330,DB_Withdrawals!$G:$G),0)),"")</f>
        <v/>
      </c>
      <c r="N1330" t="str">
        <f>IFERROR(IF(A1330="","",MAX(0,M1330-System_Config!$B$9)),"")</f>
        <v/>
      </c>
    </row>
    <row r="1331" spans="1:14" ht="15" customHeight="1" x14ac:dyDescent="0.25">
      <c r="A1331" t="str">
        <f>'NEW ACCOUNT'!A1332</f>
        <v/>
      </c>
      <c r="B1331" t="str">
        <f>IF('NEW ACCOUNT'!A1332="","",'NEW ACCOUNT'!B1332)</f>
        <v/>
      </c>
      <c r="C1331" t="str">
        <f>IF('NEW ACCOUNT'!A1332="","",'NEW ACCOUNT'!C1332)</f>
        <v/>
      </c>
      <c r="D1331" t="str">
        <f>IF('NEW ACCOUNT'!A1332="","",'NEW ACCOUNT'!D1332)</f>
        <v/>
      </c>
      <c r="E1331" t="str">
        <f>IF('NEW ACCOUNT'!A1332="","",'NEW ACCOUNT'!E1332)</f>
        <v/>
      </c>
      <c r="F1331" t="str">
        <f>IF('NEW ACCOUNT'!A1332="","",'NEW ACCOUNT'!F1332)</f>
        <v/>
      </c>
      <c r="G1331" t="str">
        <f>IF('NEW ACCOUNT'!A1332="","",'NEW ACCOUNT'!G1332)</f>
        <v/>
      </c>
      <c r="H1331" t="str">
        <f>IF('NEW ACCOUNT'!A1332="","",'NEW ACCOUNT'!H1332)</f>
        <v/>
      </c>
      <c r="I1331" t="str">
        <f>IF('NEW ACCOUNT'!A1332="","",'NEW ACCOUNT'!I1332)</f>
        <v/>
      </c>
      <c r="J1331" t="str">
        <f>IF('NEW ACCOUNT'!A1332="","",'NEW ACCOUNT'!J1332)</f>
        <v/>
      </c>
      <c r="K1331" t="str">
        <f>IFERROR(IF(A1331="","",SUMIF(DB_Savings!$A:$A,A1331,DB_Savings!$F:$F)),"")</f>
        <v/>
      </c>
      <c r="L1331" t="str">
        <f>IFERROR(IF(A1331="","",SUMIF(DB_Withdrawals!$A:$A,A1331,DB_Withdrawals!$G:$G)),"")</f>
        <v/>
      </c>
      <c r="M1331" t="str">
        <f>IFERROR(IF(A1331="","",IFERROR(VALUE(H1331),0)+IFERROR(SUMIF(DB_Savings!$A:$A,A1331,DB_Savings!$F:$F),0)-IFERROR(SUMIF(DB_Withdrawals!$A:$A,A1331,DB_Withdrawals!$G:$G),0)),"")</f>
        <v/>
      </c>
      <c r="N1331" t="str">
        <f>IFERROR(IF(A1331="","",MAX(0,M1331-System_Config!$B$9)),"")</f>
        <v/>
      </c>
    </row>
    <row r="1332" spans="1:14" ht="15" customHeight="1" x14ac:dyDescent="0.25">
      <c r="A1332" t="str">
        <f>'NEW ACCOUNT'!A1333</f>
        <v/>
      </c>
      <c r="B1332" t="str">
        <f>IF('NEW ACCOUNT'!A1333="","",'NEW ACCOUNT'!B1333)</f>
        <v/>
      </c>
      <c r="C1332" t="str">
        <f>IF('NEW ACCOUNT'!A1333="","",'NEW ACCOUNT'!C1333)</f>
        <v/>
      </c>
      <c r="D1332" t="str">
        <f>IF('NEW ACCOUNT'!A1333="","",'NEW ACCOUNT'!D1333)</f>
        <v/>
      </c>
      <c r="E1332" t="str">
        <f>IF('NEW ACCOUNT'!A1333="","",'NEW ACCOUNT'!E1333)</f>
        <v/>
      </c>
      <c r="F1332" t="str">
        <f>IF('NEW ACCOUNT'!A1333="","",'NEW ACCOUNT'!F1333)</f>
        <v/>
      </c>
      <c r="G1332" t="str">
        <f>IF('NEW ACCOUNT'!A1333="","",'NEW ACCOUNT'!G1333)</f>
        <v/>
      </c>
      <c r="H1332" t="str">
        <f>IF('NEW ACCOUNT'!A1333="","",'NEW ACCOUNT'!H1333)</f>
        <v/>
      </c>
      <c r="I1332" t="str">
        <f>IF('NEW ACCOUNT'!A1333="","",'NEW ACCOUNT'!I1333)</f>
        <v/>
      </c>
      <c r="J1332" t="str">
        <f>IF('NEW ACCOUNT'!A1333="","",'NEW ACCOUNT'!J1333)</f>
        <v/>
      </c>
      <c r="K1332" t="str">
        <f>IFERROR(IF(A1332="","",SUMIF(DB_Savings!$A:$A,A1332,DB_Savings!$F:$F)),"")</f>
        <v/>
      </c>
      <c r="L1332" t="str">
        <f>IFERROR(IF(A1332="","",SUMIF(DB_Withdrawals!$A:$A,A1332,DB_Withdrawals!$G:$G)),"")</f>
        <v/>
      </c>
      <c r="M1332" t="str">
        <f>IFERROR(IF(A1332="","",IFERROR(VALUE(H1332),0)+IFERROR(SUMIF(DB_Savings!$A:$A,A1332,DB_Savings!$F:$F),0)-IFERROR(SUMIF(DB_Withdrawals!$A:$A,A1332,DB_Withdrawals!$G:$G),0)),"")</f>
        <v/>
      </c>
      <c r="N1332" t="str">
        <f>IFERROR(IF(A1332="","",MAX(0,M1332-System_Config!$B$9)),"")</f>
        <v/>
      </c>
    </row>
    <row r="1333" spans="1:14" ht="15" customHeight="1" x14ac:dyDescent="0.25">
      <c r="A1333" t="str">
        <f>'NEW ACCOUNT'!A1334</f>
        <v/>
      </c>
      <c r="B1333" t="str">
        <f>IF('NEW ACCOUNT'!A1334="","",'NEW ACCOUNT'!B1334)</f>
        <v/>
      </c>
      <c r="C1333" t="str">
        <f>IF('NEW ACCOUNT'!A1334="","",'NEW ACCOUNT'!C1334)</f>
        <v/>
      </c>
      <c r="D1333" t="str">
        <f>IF('NEW ACCOUNT'!A1334="","",'NEW ACCOUNT'!D1334)</f>
        <v/>
      </c>
      <c r="E1333" t="str">
        <f>IF('NEW ACCOUNT'!A1334="","",'NEW ACCOUNT'!E1334)</f>
        <v/>
      </c>
      <c r="F1333" t="str">
        <f>IF('NEW ACCOUNT'!A1334="","",'NEW ACCOUNT'!F1334)</f>
        <v/>
      </c>
      <c r="G1333" t="str">
        <f>IF('NEW ACCOUNT'!A1334="","",'NEW ACCOUNT'!G1334)</f>
        <v/>
      </c>
      <c r="H1333" t="str">
        <f>IF('NEW ACCOUNT'!A1334="","",'NEW ACCOUNT'!H1334)</f>
        <v/>
      </c>
      <c r="I1333" t="str">
        <f>IF('NEW ACCOUNT'!A1334="","",'NEW ACCOUNT'!I1334)</f>
        <v/>
      </c>
      <c r="J1333" t="str">
        <f>IF('NEW ACCOUNT'!A1334="","",'NEW ACCOUNT'!J1334)</f>
        <v/>
      </c>
      <c r="K1333" t="str">
        <f>IFERROR(IF(A1333="","",SUMIF(DB_Savings!$A:$A,A1333,DB_Savings!$F:$F)),"")</f>
        <v/>
      </c>
      <c r="L1333" t="str">
        <f>IFERROR(IF(A1333="","",SUMIF(DB_Withdrawals!$A:$A,A1333,DB_Withdrawals!$G:$G)),"")</f>
        <v/>
      </c>
      <c r="M1333" t="str">
        <f>IFERROR(IF(A1333="","",IFERROR(VALUE(H1333),0)+IFERROR(SUMIF(DB_Savings!$A:$A,A1333,DB_Savings!$F:$F),0)-IFERROR(SUMIF(DB_Withdrawals!$A:$A,A1333,DB_Withdrawals!$G:$G),0)),"")</f>
        <v/>
      </c>
      <c r="N1333" t="str">
        <f>IFERROR(IF(A1333="","",MAX(0,M1333-System_Config!$B$9)),"")</f>
        <v/>
      </c>
    </row>
    <row r="1334" spans="1:14" ht="15" customHeight="1" x14ac:dyDescent="0.25">
      <c r="A1334" t="str">
        <f>'NEW ACCOUNT'!A1335</f>
        <v/>
      </c>
      <c r="B1334" t="str">
        <f>IF('NEW ACCOUNT'!A1335="","",'NEW ACCOUNT'!B1335)</f>
        <v/>
      </c>
      <c r="C1334" t="str">
        <f>IF('NEW ACCOUNT'!A1335="","",'NEW ACCOUNT'!C1335)</f>
        <v/>
      </c>
      <c r="D1334" t="str">
        <f>IF('NEW ACCOUNT'!A1335="","",'NEW ACCOUNT'!D1335)</f>
        <v/>
      </c>
      <c r="E1334" t="str">
        <f>IF('NEW ACCOUNT'!A1335="","",'NEW ACCOUNT'!E1335)</f>
        <v/>
      </c>
      <c r="F1334" t="str">
        <f>IF('NEW ACCOUNT'!A1335="","",'NEW ACCOUNT'!F1335)</f>
        <v/>
      </c>
      <c r="G1334" t="str">
        <f>IF('NEW ACCOUNT'!A1335="","",'NEW ACCOUNT'!G1335)</f>
        <v/>
      </c>
      <c r="H1334" t="str">
        <f>IF('NEW ACCOUNT'!A1335="","",'NEW ACCOUNT'!H1335)</f>
        <v/>
      </c>
      <c r="I1334" t="str">
        <f>IF('NEW ACCOUNT'!A1335="","",'NEW ACCOUNT'!I1335)</f>
        <v/>
      </c>
      <c r="J1334" t="str">
        <f>IF('NEW ACCOUNT'!A1335="","",'NEW ACCOUNT'!J1335)</f>
        <v/>
      </c>
      <c r="K1334" t="str">
        <f>IFERROR(IF(A1334="","",SUMIF(DB_Savings!$A:$A,A1334,DB_Savings!$F:$F)),"")</f>
        <v/>
      </c>
      <c r="L1334" t="str">
        <f>IFERROR(IF(A1334="","",SUMIF(DB_Withdrawals!$A:$A,A1334,DB_Withdrawals!$G:$G)),"")</f>
        <v/>
      </c>
      <c r="M1334" t="str">
        <f>IFERROR(IF(A1334="","",IFERROR(VALUE(H1334),0)+IFERROR(SUMIF(DB_Savings!$A:$A,A1334,DB_Savings!$F:$F),0)-IFERROR(SUMIF(DB_Withdrawals!$A:$A,A1334,DB_Withdrawals!$G:$G),0)),"")</f>
        <v/>
      </c>
      <c r="N1334" t="str">
        <f>IFERROR(IF(A1334="","",MAX(0,M1334-System_Config!$B$9)),"")</f>
        <v/>
      </c>
    </row>
    <row r="1335" spans="1:14" ht="15" customHeight="1" x14ac:dyDescent="0.25">
      <c r="A1335" t="str">
        <f>'NEW ACCOUNT'!A1336</f>
        <v/>
      </c>
      <c r="B1335" t="str">
        <f>IF('NEW ACCOUNT'!A1336="","",'NEW ACCOUNT'!B1336)</f>
        <v/>
      </c>
      <c r="C1335" t="str">
        <f>IF('NEW ACCOUNT'!A1336="","",'NEW ACCOUNT'!C1336)</f>
        <v/>
      </c>
      <c r="D1335" t="str">
        <f>IF('NEW ACCOUNT'!A1336="","",'NEW ACCOUNT'!D1336)</f>
        <v/>
      </c>
      <c r="E1335" t="str">
        <f>IF('NEW ACCOUNT'!A1336="","",'NEW ACCOUNT'!E1336)</f>
        <v/>
      </c>
      <c r="F1335" t="str">
        <f>IF('NEW ACCOUNT'!A1336="","",'NEW ACCOUNT'!F1336)</f>
        <v/>
      </c>
      <c r="G1335" t="str">
        <f>IF('NEW ACCOUNT'!A1336="","",'NEW ACCOUNT'!G1336)</f>
        <v/>
      </c>
      <c r="H1335" t="str">
        <f>IF('NEW ACCOUNT'!A1336="","",'NEW ACCOUNT'!H1336)</f>
        <v/>
      </c>
      <c r="I1335" t="str">
        <f>IF('NEW ACCOUNT'!A1336="","",'NEW ACCOUNT'!I1336)</f>
        <v/>
      </c>
      <c r="J1335" t="str">
        <f>IF('NEW ACCOUNT'!A1336="","",'NEW ACCOUNT'!J1336)</f>
        <v/>
      </c>
      <c r="K1335" t="str">
        <f>IFERROR(IF(A1335="","",SUMIF(DB_Savings!$A:$A,A1335,DB_Savings!$F:$F)),"")</f>
        <v/>
      </c>
      <c r="L1335" t="str">
        <f>IFERROR(IF(A1335="","",SUMIF(DB_Withdrawals!$A:$A,A1335,DB_Withdrawals!$G:$G)),"")</f>
        <v/>
      </c>
      <c r="M1335" t="str">
        <f>IFERROR(IF(A1335="","",IFERROR(VALUE(H1335),0)+IFERROR(SUMIF(DB_Savings!$A:$A,A1335,DB_Savings!$F:$F),0)-IFERROR(SUMIF(DB_Withdrawals!$A:$A,A1335,DB_Withdrawals!$G:$G),0)),"")</f>
        <v/>
      </c>
      <c r="N1335" t="str">
        <f>IFERROR(IF(A1335="","",MAX(0,M1335-System_Config!$B$9)),"")</f>
        <v/>
      </c>
    </row>
    <row r="1336" spans="1:14" ht="15" customHeight="1" x14ac:dyDescent="0.25">
      <c r="A1336" t="str">
        <f>'NEW ACCOUNT'!A1337</f>
        <v/>
      </c>
      <c r="B1336" t="str">
        <f>IF('NEW ACCOUNT'!A1337="","",'NEW ACCOUNT'!B1337)</f>
        <v/>
      </c>
      <c r="C1336" t="str">
        <f>IF('NEW ACCOUNT'!A1337="","",'NEW ACCOUNT'!C1337)</f>
        <v/>
      </c>
      <c r="D1336" t="str">
        <f>IF('NEW ACCOUNT'!A1337="","",'NEW ACCOUNT'!D1337)</f>
        <v/>
      </c>
      <c r="E1336" t="str">
        <f>IF('NEW ACCOUNT'!A1337="","",'NEW ACCOUNT'!E1337)</f>
        <v/>
      </c>
      <c r="F1336" t="str">
        <f>IF('NEW ACCOUNT'!A1337="","",'NEW ACCOUNT'!F1337)</f>
        <v/>
      </c>
      <c r="G1336" t="str">
        <f>IF('NEW ACCOUNT'!A1337="","",'NEW ACCOUNT'!G1337)</f>
        <v/>
      </c>
      <c r="H1336" t="str">
        <f>IF('NEW ACCOUNT'!A1337="","",'NEW ACCOUNT'!H1337)</f>
        <v/>
      </c>
      <c r="I1336" t="str">
        <f>IF('NEW ACCOUNT'!A1337="","",'NEW ACCOUNT'!I1337)</f>
        <v/>
      </c>
      <c r="J1336" t="str">
        <f>IF('NEW ACCOUNT'!A1337="","",'NEW ACCOUNT'!J1337)</f>
        <v/>
      </c>
      <c r="K1336" t="str">
        <f>IFERROR(IF(A1336="","",SUMIF(DB_Savings!$A:$A,A1336,DB_Savings!$F:$F)),"")</f>
        <v/>
      </c>
      <c r="L1336" t="str">
        <f>IFERROR(IF(A1336="","",SUMIF(DB_Withdrawals!$A:$A,A1336,DB_Withdrawals!$G:$G)),"")</f>
        <v/>
      </c>
      <c r="M1336" t="str">
        <f>IFERROR(IF(A1336="","",IFERROR(VALUE(H1336),0)+IFERROR(SUMIF(DB_Savings!$A:$A,A1336,DB_Savings!$F:$F),0)-IFERROR(SUMIF(DB_Withdrawals!$A:$A,A1336,DB_Withdrawals!$G:$G),0)),"")</f>
        <v/>
      </c>
      <c r="N1336" t="str">
        <f>IFERROR(IF(A1336="","",MAX(0,M1336-System_Config!$B$9)),"")</f>
        <v/>
      </c>
    </row>
    <row r="1337" spans="1:14" ht="15" customHeight="1" x14ac:dyDescent="0.25">
      <c r="A1337" t="str">
        <f>'NEW ACCOUNT'!A1338</f>
        <v/>
      </c>
      <c r="B1337" t="str">
        <f>IF('NEW ACCOUNT'!A1338="","",'NEW ACCOUNT'!B1338)</f>
        <v/>
      </c>
      <c r="C1337" t="str">
        <f>IF('NEW ACCOUNT'!A1338="","",'NEW ACCOUNT'!C1338)</f>
        <v/>
      </c>
      <c r="D1337" t="str">
        <f>IF('NEW ACCOUNT'!A1338="","",'NEW ACCOUNT'!D1338)</f>
        <v/>
      </c>
      <c r="E1337" t="str">
        <f>IF('NEW ACCOUNT'!A1338="","",'NEW ACCOUNT'!E1338)</f>
        <v/>
      </c>
      <c r="F1337" t="str">
        <f>IF('NEW ACCOUNT'!A1338="","",'NEW ACCOUNT'!F1338)</f>
        <v/>
      </c>
      <c r="G1337" t="str">
        <f>IF('NEW ACCOUNT'!A1338="","",'NEW ACCOUNT'!G1338)</f>
        <v/>
      </c>
      <c r="H1337" t="str">
        <f>IF('NEW ACCOUNT'!A1338="","",'NEW ACCOUNT'!H1338)</f>
        <v/>
      </c>
      <c r="I1337" t="str">
        <f>IF('NEW ACCOUNT'!A1338="","",'NEW ACCOUNT'!I1338)</f>
        <v/>
      </c>
      <c r="J1337" t="str">
        <f>IF('NEW ACCOUNT'!A1338="","",'NEW ACCOUNT'!J1338)</f>
        <v/>
      </c>
      <c r="K1337" t="str">
        <f>IFERROR(IF(A1337="","",SUMIF(DB_Savings!$A:$A,A1337,DB_Savings!$F:$F)),"")</f>
        <v/>
      </c>
      <c r="L1337" t="str">
        <f>IFERROR(IF(A1337="","",SUMIF(DB_Withdrawals!$A:$A,A1337,DB_Withdrawals!$G:$G)),"")</f>
        <v/>
      </c>
      <c r="M1337" t="str">
        <f>IFERROR(IF(A1337="","",IFERROR(VALUE(H1337),0)+IFERROR(SUMIF(DB_Savings!$A:$A,A1337,DB_Savings!$F:$F),0)-IFERROR(SUMIF(DB_Withdrawals!$A:$A,A1337,DB_Withdrawals!$G:$G),0)),"")</f>
        <v/>
      </c>
      <c r="N1337" t="str">
        <f>IFERROR(IF(A1337="","",MAX(0,M1337-System_Config!$B$9)),"")</f>
        <v/>
      </c>
    </row>
    <row r="1338" spans="1:14" ht="15" customHeight="1" x14ac:dyDescent="0.25">
      <c r="A1338" t="str">
        <f>'NEW ACCOUNT'!A1339</f>
        <v/>
      </c>
      <c r="B1338" t="str">
        <f>IF('NEW ACCOUNT'!A1339="","",'NEW ACCOUNT'!B1339)</f>
        <v/>
      </c>
      <c r="C1338" t="str">
        <f>IF('NEW ACCOUNT'!A1339="","",'NEW ACCOUNT'!C1339)</f>
        <v/>
      </c>
      <c r="D1338" t="str">
        <f>IF('NEW ACCOUNT'!A1339="","",'NEW ACCOUNT'!D1339)</f>
        <v/>
      </c>
      <c r="E1338" t="str">
        <f>IF('NEW ACCOUNT'!A1339="","",'NEW ACCOUNT'!E1339)</f>
        <v/>
      </c>
      <c r="F1338" t="str">
        <f>IF('NEW ACCOUNT'!A1339="","",'NEW ACCOUNT'!F1339)</f>
        <v/>
      </c>
      <c r="G1338" t="str">
        <f>IF('NEW ACCOUNT'!A1339="","",'NEW ACCOUNT'!G1339)</f>
        <v/>
      </c>
      <c r="H1338" t="str">
        <f>IF('NEW ACCOUNT'!A1339="","",'NEW ACCOUNT'!H1339)</f>
        <v/>
      </c>
      <c r="I1338" t="str">
        <f>IF('NEW ACCOUNT'!A1339="","",'NEW ACCOUNT'!I1339)</f>
        <v/>
      </c>
      <c r="J1338" t="str">
        <f>IF('NEW ACCOUNT'!A1339="","",'NEW ACCOUNT'!J1339)</f>
        <v/>
      </c>
      <c r="K1338" t="str">
        <f>IFERROR(IF(A1338="","",SUMIF(DB_Savings!$A:$A,A1338,DB_Savings!$F:$F)),"")</f>
        <v/>
      </c>
      <c r="L1338" t="str">
        <f>IFERROR(IF(A1338="","",SUMIF(DB_Withdrawals!$A:$A,A1338,DB_Withdrawals!$G:$G)),"")</f>
        <v/>
      </c>
      <c r="M1338" t="str">
        <f>IFERROR(IF(A1338="","",IFERROR(VALUE(H1338),0)+IFERROR(SUMIF(DB_Savings!$A:$A,A1338,DB_Savings!$F:$F),0)-IFERROR(SUMIF(DB_Withdrawals!$A:$A,A1338,DB_Withdrawals!$G:$G),0)),"")</f>
        <v/>
      </c>
      <c r="N1338" t="str">
        <f>IFERROR(IF(A1338="","",MAX(0,M1338-System_Config!$B$9)),"")</f>
        <v/>
      </c>
    </row>
    <row r="1339" spans="1:14" ht="15" customHeight="1" x14ac:dyDescent="0.25">
      <c r="A1339" t="str">
        <f>'NEW ACCOUNT'!A1340</f>
        <v/>
      </c>
      <c r="B1339" t="str">
        <f>IF('NEW ACCOUNT'!A1340="","",'NEW ACCOUNT'!B1340)</f>
        <v/>
      </c>
      <c r="C1339" t="str">
        <f>IF('NEW ACCOUNT'!A1340="","",'NEW ACCOUNT'!C1340)</f>
        <v/>
      </c>
      <c r="D1339" t="str">
        <f>IF('NEW ACCOUNT'!A1340="","",'NEW ACCOUNT'!D1340)</f>
        <v/>
      </c>
      <c r="E1339" t="str">
        <f>IF('NEW ACCOUNT'!A1340="","",'NEW ACCOUNT'!E1340)</f>
        <v/>
      </c>
      <c r="F1339" t="str">
        <f>IF('NEW ACCOUNT'!A1340="","",'NEW ACCOUNT'!F1340)</f>
        <v/>
      </c>
      <c r="G1339" t="str">
        <f>IF('NEW ACCOUNT'!A1340="","",'NEW ACCOUNT'!G1340)</f>
        <v/>
      </c>
      <c r="H1339" t="str">
        <f>IF('NEW ACCOUNT'!A1340="","",'NEW ACCOUNT'!H1340)</f>
        <v/>
      </c>
      <c r="I1339" t="str">
        <f>IF('NEW ACCOUNT'!A1340="","",'NEW ACCOUNT'!I1340)</f>
        <v/>
      </c>
      <c r="J1339" t="str">
        <f>IF('NEW ACCOUNT'!A1340="","",'NEW ACCOUNT'!J1340)</f>
        <v/>
      </c>
      <c r="K1339" t="str">
        <f>IFERROR(IF(A1339="","",SUMIF(DB_Savings!$A:$A,A1339,DB_Savings!$F:$F)),"")</f>
        <v/>
      </c>
      <c r="L1339" t="str">
        <f>IFERROR(IF(A1339="","",SUMIF(DB_Withdrawals!$A:$A,A1339,DB_Withdrawals!$G:$G)),"")</f>
        <v/>
      </c>
      <c r="M1339" t="str">
        <f>IFERROR(IF(A1339="","",IFERROR(VALUE(H1339),0)+IFERROR(SUMIF(DB_Savings!$A:$A,A1339,DB_Savings!$F:$F),0)-IFERROR(SUMIF(DB_Withdrawals!$A:$A,A1339,DB_Withdrawals!$G:$G),0)),"")</f>
        <v/>
      </c>
      <c r="N1339" t="str">
        <f>IFERROR(IF(A1339="","",MAX(0,M1339-System_Config!$B$9)),"")</f>
        <v/>
      </c>
    </row>
    <row r="1340" spans="1:14" ht="15" customHeight="1" x14ac:dyDescent="0.25">
      <c r="A1340" t="str">
        <f>'NEW ACCOUNT'!A1341</f>
        <v/>
      </c>
      <c r="B1340" t="str">
        <f>IF('NEW ACCOUNT'!A1341="","",'NEW ACCOUNT'!B1341)</f>
        <v/>
      </c>
      <c r="C1340" t="str">
        <f>IF('NEW ACCOUNT'!A1341="","",'NEW ACCOUNT'!C1341)</f>
        <v/>
      </c>
      <c r="D1340" t="str">
        <f>IF('NEW ACCOUNT'!A1341="","",'NEW ACCOUNT'!D1341)</f>
        <v/>
      </c>
      <c r="E1340" t="str">
        <f>IF('NEW ACCOUNT'!A1341="","",'NEW ACCOUNT'!E1341)</f>
        <v/>
      </c>
      <c r="F1340" t="str">
        <f>IF('NEW ACCOUNT'!A1341="","",'NEW ACCOUNT'!F1341)</f>
        <v/>
      </c>
      <c r="G1340" t="str">
        <f>IF('NEW ACCOUNT'!A1341="","",'NEW ACCOUNT'!G1341)</f>
        <v/>
      </c>
      <c r="H1340" t="str">
        <f>IF('NEW ACCOUNT'!A1341="","",'NEW ACCOUNT'!H1341)</f>
        <v/>
      </c>
      <c r="I1340" t="str">
        <f>IF('NEW ACCOUNT'!A1341="","",'NEW ACCOUNT'!I1341)</f>
        <v/>
      </c>
      <c r="J1340" t="str">
        <f>IF('NEW ACCOUNT'!A1341="","",'NEW ACCOUNT'!J1341)</f>
        <v/>
      </c>
      <c r="K1340" t="str">
        <f>IFERROR(IF(A1340="","",SUMIF(DB_Savings!$A:$A,A1340,DB_Savings!$F:$F)),"")</f>
        <v/>
      </c>
      <c r="L1340" t="str">
        <f>IFERROR(IF(A1340="","",SUMIF(DB_Withdrawals!$A:$A,A1340,DB_Withdrawals!$G:$G)),"")</f>
        <v/>
      </c>
      <c r="M1340" t="str">
        <f>IFERROR(IF(A1340="","",IFERROR(VALUE(H1340),0)+IFERROR(SUMIF(DB_Savings!$A:$A,A1340,DB_Savings!$F:$F),0)-IFERROR(SUMIF(DB_Withdrawals!$A:$A,A1340,DB_Withdrawals!$G:$G),0)),"")</f>
        <v/>
      </c>
      <c r="N1340" t="str">
        <f>IFERROR(IF(A1340="","",MAX(0,M1340-System_Config!$B$9)),"")</f>
        <v/>
      </c>
    </row>
    <row r="1341" spans="1:14" ht="15" customHeight="1" x14ac:dyDescent="0.25">
      <c r="A1341" t="str">
        <f>'NEW ACCOUNT'!A1342</f>
        <v/>
      </c>
      <c r="B1341" t="str">
        <f>IF('NEW ACCOUNT'!A1342="","",'NEW ACCOUNT'!B1342)</f>
        <v/>
      </c>
      <c r="C1341" t="str">
        <f>IF('NEW ACCOUNT'!A1342="","",'NEW ACCOUNT'!C1342)</f>
        <v/>
      </c>
      <c r="D1341" t="str">
        <f>IF('NEW ACCOUNT'!A1342="","",'NEW ACCOUNT'!D1342)</f>
        <v/>
      </c>
      <c r="E1341" t="str">
        <f>IF('NEW ACCOUNT'!A1342="","",'NEW ACCOUNT'!E1342)</f>
        <v/>
      </c>
      <c r="F1341" t="str">
        <f>IF('NEW ACCOUNT'!A1342="","",'NEW ACCOUNT'!F1342)</f>
        <v/>
      </c>
      <c r="G1341" t="str">
        <f>IF('NEW ACCOUNT'!A1342="","",'NEW ACCOUNT'!G1342)</f>
        <v/>
      </c>
      <c r="H1341" t="str">
        <f>IF('NEW ACCOUNT'!A1342="","",'NEW ACCOUNT'!H1342)</f>
        <v/>
      </c>
      <c r="I1341" t="str">
        <f>IF('NEW ACCOUNT'!A1342="","",'NEW ACCOUNT'!I1342)</f>
        <v/>
      </c>
      <c r="J1341" t="str">
        <f>IF('NEW ACCOUNT'!A1342="","",'NEW ACCOUNT'!J1342)</f>
        <v/>
      </c>
      <c r="K1341" t="str">
        <f>IFERROR(IF(A1341="","",SUMIF(DB_Savings!$A:$A,A1341,DB_Savings!$F:$F)),"")</f>
        <v/>
      </c>
      <c r="L1341" t="str">
        <f>IFERROR(IF(A1341="","",SUMIF(DB_Withdrawals!$A:$A,A1341,DB_Withdrawals!$G:$G)),"")</f>
        <v/>
      </c>
      <c r="M1341" t="str">
        <f>IFERROR(IF(A1341="","",IFERROR(VALUE(H1341),0)+IFERROR(SUMIF(DB_Savings!$A:$A,A1341,DB_Savings!$F:$F),0)-IFERROR(SUMIF(DB_Withdrawals!$A:$A,A1341,DB_Withdrawals!$G:$G),0)),"")</f>
        <v/>
      </c>
      <c r="N1341" t="str">
        <f>IFERROR(IF(A1341="","",MAX(0,M1341-System_Config!$B$9)),"")</f>
        <v/>
      </c>
    </row>
    <row r="1342" spans="1:14" ht="15" customHeight="1" x14ac:dyDescent="0.25">
      <c r="A1342" t="str">
        <f>'NEW ACCOUNT'!A1343</f>
        <v/>
      </c>
      <c r="B1342" t="str">
        <f>IF('NEW ACCOUNT'!A1343="","",'NEW ACCOUNT'!B1343)</f>
        <v/>
      </c>
      <c r="C1342" t="str">
        <f>IF('NEW ACCOUNT'!A1343="","",'NEW ACCOUNT'!C1343)</f>
        <v/>
      </c>
      <c r="D1342" t="str">
        <f>IF('NEW ACCOUNT'!A1343="","",'NEW ACCOUNT'!D1343)</f>
        <v/>
      </c>
      <c r="E1342" t="str">
        <f>IF('NEW ACCOUNT'!A1343="","",'NEW ACCOUNT'!E1343)</f>
        <v/>
      </c>
      <c r="F1342" t="str">
        <f>IF('NEW ACCOUNT'!A1343="","",'NEW ACCOUNT'!F1343)</f>
        <v/>
      </c>
      <c r="G1342" t="str">
        <f>IF('NEW ACCOUNT'!A1343="","",'NEW ACCOUNT'!G1343)</f>
        <v/>
      </c>
      <c r="H1342" t="str">
        <f>IF('NEW ACCOUNT'!A1343="","",'NEW ACCOUNT'!H1343)</f>
        <v/>
      </c>
      <c r="I1342" t="str">
        <f>IF('NEW ACCOUNT'!A1343="","",'NEW ACCOUNT'!I1343)</f>
        <v/>
      </c>
      <c r="J1342" t="str">
        <f>IF('NEW ACCOUNT'!A1343="","",'NEW ACCOUNT'!J1343)</f>
        <v/>
      </c>
      <c r="K1342" t="str">
        <f>IFERROR(IF(A1342="","",SUMIF(DB_Savings!$A:$A,A1342,DB_Savings!$F:$F)),"")</f>
        <v/>
      </c>
      <c r="L1342" t="str">
        <f>IFERROR(IF(A1342="","",SUMIF(DB_Withdrawals!$A:$A,A1342,DB_Withdrawals!$G:$G)),"")</f>
        <v/>
      </c>
      <c r="M1342" t="str">
        <f>IFERROR(IF(A1342="","",IFERROR(VALUE(H1342),0)+IFERROR(SUMIF(DB_Savings!$A:$A,A1342,DB_Savings!$F:$F),0)-IFERROR(SUMIF(DB_Withdrawals!$A:$A,A1342,DB_Withdrawals!$G:$G),0)),"")</f>
        <v/>
      </c>
      <c r="N1342" t="str">
        <f>IFERROR(IF(A1342="","",MAX(0,M1342-System_Config!$B$9)),"")</f>
        <v/>
      </c>
    </row>
    <row r="1343" spans="1:14" ht="15" customHeight="1" x14ac:dyDescent="0.25">
      <c r="A1343" t="str">
        <f>'NEW ACCOUNT'!A1344</f>
        <v/>
      </c>
      <c r="B1343" t="str">
        <f>IF('NEW ACCOUNT'!A1344="","",'NEW ACCOUNT'!B1344)</f>
        <v/>
      </c>
      <c r="C1343" t="str">
        <f>IF('NEW ACCOUNT'!A1344="","",'NEW ACCOUNT'!C1344)</f>
        <v/>
      </c>
      <c r="D1343" t="str">
        <f>IF('NEW ACCOUNT'!A1344="","",'NEW ACCOUNT'!D1344)</f>
        <v/>
      </c>
      <c r="E1343" t="str">
        <f>IF('NEW ACCOUNT'!A1344="","",'NEW ACCOUNT'!E1344)</f>
        <v/>
      </c>
      <c r="F1343" t="str">
        <f>IF('NEW ACCOUNT'!A1344="","",'NEW ACCOUNT'!F1344)</f>
        <v/>
      </c>
      <c r="G1343" t="str">
        <f>IF('NEW ACCOUNT'!A1344="","",'NEW ACCOUNT'!G1344)</f>
        <v/>
      </c>
      <c r="H1343" t="str">
        <f>IF('NEW ACCOUNT'!A1344="","",'NEW ACCOUNT'!H1344)</f>
        <v/>
      </c>
      <c r="I1343" t="str">
        <f>IF('NEW ACCOUNT'!A1344="","",'NEW ACCOUNT'!I1344)</f>
        <v/>
      </c>
      <c r="J1343" t="str">
        <f>IF('NEW ACCOUNT'!A1344="","",'NEW ACCOUNT'!J1344)</f>
        <v/>
      </c>
      <c r="K1343" t="str">
        <f>IFERROR(IF(A1343="","",SUMIF(DB_Savings!$A:$A,A1343,DB_Savings!$F:$F)),"")</f>
        <v/>
      </c>
      <c r="L1343" t="str">
        <f>IFERROR(IF(A1343="","",SUMIF(DB_Withdrawals!$A:$A,A1343,DB_Withdrawals!$G:$G)),"")</f>
        <v/>
      </c>
      <c r="M1343" t="str">
        <f>IFERROR(IF(A1343="","",IFERROR(VALUE(H1343),0)+IFERROR(SUMIF(DB_Savings!$A:$A,A1343,DB_Savings!$F:$F),0)-IFERROR(SUMIF(DB_Withdrawals!$A:$A,A1343,DB_Withdrawals!$G:$G),0)),"")</f>
        <v/>
      </c>
      <c r="N1343" t="str">
        <f>IFERROR(IF(A1343="","",MAX(0,M1343-System_Config!$B$9)),"")</f>
        <v/>
      </c>
    </row>
    <row r="1344" spans="1:14" ht="15" customHeight="1" x14ac:dyDescent="0.25">
      <c r="A1344" t="str">
        <f>'NEW ACCOUNT'!A1345</f>
        <v/>
      </c>
      <c r="B1344" t="str">
        <f>IF('NEW ACCOUNT'!A1345="","",'NEW ACCOUNT'!B1345)</f>
        <v/>
      </c>
      <c r="C1344" t="str">
        <f>IF('NEW ACCOUNT'!A1345="","",'NEW ACCOUNT'!C1345)</f>
        <v/>
      </c>
      <c r="D1344" t="str">
        <f>IF('NEW ACCOUNT'!A1345="","",'NEW ACCOUNT'!D1345)</f>
        <v/>
      </c>
      <c r="E1344" t="str">
        <f>IF('NEW ACCOUNT'!A1345="","",'NEW ACCOUNT'!E1345)</f>
        <v/>
      </c>
      <c r="F1344" t="str">
        <f>IF('NEW ACCOUNT'!A1345="","",'NEW ACCOUNT'!F1345)</f>
        <v/>
      </c>
      <c r="G1344" t="str">
        <f>IF('NEW ACCOUNT'!A1345="","",'NEW ACCOUNT'!G1345)</f>
        <v/>
      </c>
      <c r="H1344" t="str">
        <f>IF('NEW ACCOUNT'!A1345="","",'NEW ACCOUNT'!H1345)</f>
        <v/>
      </c>
      <c r="I1344" t="str">
        <f>IF('NEW ACCOUNT'!A1345="","",'NEW ACCOUNT'!I1345)</f>
        <v/>
      </c>
      <c r="J1344" t="str">
        <f>IF('NEW ACCOUNT'!A1345="","",'NEW ACCOUNT'!J1345)</f>
        <v/>
      </c>
      <c r="K1344" t="str">
        <f>IFERROR(IF(A1344="","",SUMIF(DB_Savings!$A:$A,A1344,DB_Savings!$F:$F)),"")</f>
        <v/>
      </c>
      <c r="L1344" t="str">
        <f>IFERROR(IF(A1344="","",SUMIF(DB_Withdrawals!$A:$A,A1344,DB_Withdrawals!$G:$G)),"")</f>
        <v/>
      </c>
      <c r="M1344" t="str">
        <f>IFERROR(IF(A1344="","",IFERROR(VALUE(H1344),0)+IFERROR(SUMIF(DB_Savings!$A:$A,A1344,DB_Savings!$F:$F),0)-IFERROR(SUMIF(DB_Withdrawals!$A:$A,A1344,DB_Withdrawals!$G:$G),0)),"")</f>
        <v/>
      </c>
      <c r="N1344" t="str">
        <f>IFERROR(IF(A1344="","",MAX(0,M1344-System_Config!$B$9)),"")</f>
        <v/>
      </c>
    </row>
    <row r="1345" spans="1:14" ht="15" customHeight="1" x14ac:dyDescent="0.25">
      <c r="A1345" t="str">
        <f>'NEW ACCOUNT'!A1346</f>
        <v/>
      </c>
      <c r="B1345" t="str">
        <f>IF('NEW ACCOUNT'!A1346="","",'NEW ACCOUNT'!B1346)</f>
        <v/>
      </c>
      <c r="C1345" t="str">
        <f>IF('NEW ACCOUNT'!A1346="","",'NEW ACCOUNT'!C1346)</f>
        <v/>
      </c>
      <c r="D1345" t="str">
        <f>IF('NEW ACCOUNT'!A1346="","",'NEW ACCOUNT'!D1346)</f>
        <v/>
      </c>
      <c r="E1345" t="str">
        <f>IF('NEW ACCOUNT'!A1346="","",'NEW ACCOUNT'!E1346)</f>
        <v/>
      </c>
      <c r="F1345" t="str">
        <f>IF('NEW ACCOUNT'!A1346="","",'NEW ACCOUNT'!F1346)</f>
        <v/>
      </c>
      <c r="G1345" t="str">
        <f>IF('NEW ACCOUNT'!A1346="","",'NEW ACCOUNT'!G1346)</f>
        <v/>
      </c>
      <c r="H1345" t="str">
        <f>IF('NEW ACCOUNT'!A1346="","",'NEW ACCOUNT'!H1346)</f>
        <v/>
      </c>
      <c r="I1345" t="str">
        <f>IF('NEW ACCOUNT'!A1346="","",'NEW ACCOUNT'!I1346)</f>
        <v/>
      </c>
      <c r="J1345" t="str">
        <f>IF('NEW ACCOUNT'!A1346="","",'NEW ACCOUNT'!J1346)</f>
        <v/>
      </c>
      <c r="K1345" t="str">
        <f>IFERROR(IF(A1345="","",SUMIF(DB_Savings!$A:$A,A1345,DB_Savings!$F:$F)),"")</f>
        <v/>
      </c>
      <c r="L1345" t="str">
        <f>IFERROR(IF(A1345="","",SUMIF(DB_Withdrawals!$A:$A,A1345,DB_Withdrawals!$G:$G)),"")</f>
        <v/>
      </c>
      <c r="M1345" t="str">
        <f>IFERROR(IF(A1345="","",IFERROR(VALUE(H1345),0)+IFERROR(SUMIF(DB_Savings!$A:$A,A1345,DB_Savings!$F:$F),0)-IFERROR(SUMIF(DB_Withdrawals!$A:$A,A1345,DB_Withdrawals!$G:$G),0)),"")</f>
        <v/>
      </c>
      <c r="N1345" t="str">
        <f>IFERROR(IF(A1345="","",MAX(0,M1345-System_Config!$B$9)),"")</f>
        <v/>
      </c>
    </row>
    <row r="1346" spans="1:14" ht="15" customHeight="1" x14ac:dyDescent="0.25">
      <c r="A1346" t="str">
        <f>'NEW ACCOUNT'!A1347</f>
        <v/>
      </c>
      <c r="B1346" t="str">
        <f>IF('NEW ACCOUNT'!A1347="","",'NEW ACCOUNT'!B1347)</f>
        <v/>
      </c>
      <c r="C1346" t="str">
        <f>IF('NEW ACCOUNT'!A1347="","",'NEW ACCOUNT'!C1347)</f>
        <v/>
      </c>
      <c r="D1346" t="str">
        <f>IF('NEW ACCOUNT'!A1347="","",'NEW ACCOUNT'!D1347)</f>
        <v/>
      </c>
      <c r="E1346" t="str">
        <f>IF('NEW ACCOUNT'!A1347="","",'NEW ACCOUNT'!E1347)</f>
        <v/>
      </c>
      <c r="F1346" t="str">
        <f>IF('NEW ACCOUNT'!A1347="","",'NEW ACCOUNT'!F1347)</f>
        <v/>
      </c>
      <c r="G1346" t="str">
        <f>IF('NEW ACCOUNT'!A1347="","",'NEW ACCOUNT'!G1347)</f>
        <v/>
      </c>
      <c r="H1346" t="str">
        <f>IF('NEW ACCOUNT'!A1347="","",'NEW ACCOUNT'!H1347)</f>
        <v/>
      </c>
      <c r="I1346" t="str">
        <f>IF('NEW ACCOUNT'!A1347="","",'NEW ACCOUNT'!I1347)</f>
        <v/>
      </c>
      <c r="J1346" t="str">
        <f>IF('NEW ACCOUNT'!A1347="","",'NEW ACCOUNT'!J1347)</f>
        <v/>
      </c>
      <c r="K1346" t="str">
        <f>IFERROR(IF(A1346="","",SUMIF(DB_Savings!$A:$A,A1346,DB_Savings!$F:$F)),"")</f>
        <v/>
      </c>
      <c r="L1346" t="str">
        <f>IFERROR(IF(A1346="","",SUMIF(DB_Withdrawals!$A:$A,A1346,DB_Withdrawals!$G:$G)),"")</f>
        <v/>
      </c>
      <c r="M1346" t="str">
        <f>IFERROR(IF(A1346="","",IFERROR(VALUE(H1346),0)+IFERROR(SUMIF(DB_Savings!$A:$A,A1346,DB_Savings!$F:$F),0)-IFERROR(SUMIF(DB_Withdrawals!$A:$A,A1346,DB_Withdrawals!$G:$G),0)),"")</f>
        <v/>
      </c>
      <c r="N1346" t="str">
        <f>IFERROR(IF(A1346="","",MAX(0,M1346-System_Config!$B$9)),"")</f>
        <v/>
      </c>
    </row>
    <row r="1347" spans="1:14" ht="15" customHeight="1" x14ac:dyDescent="0.25">
      <c r="A1347" t="str">
        <f>'NEW ACCOUNT'!A1348</f>
        <v/>
      </c>
      <c r="B1347" t="str">
        <f>IF('NEW ACCOUNT'!A1348="","",'NEW ACCOUNT'!B1348)</f>
        <v/>
      </c>
      <c r="C1347" t="str">
        <f>IF('NEW ACCOUNT'!A1348="","",'NEW ACCOUNT'!C1348)</f>
        <v/>
      </c>
      <c r="D1347" t="str">
        <f>IF('NEW ACCOUNT'!A1348="","",'NEW ACCOUNT'!D1348)</f>
        <v/>
      </c>
      <c r="E1347" t="str">
        <f>IF('NEW ACCOUNT'!A1348="","",'NEW ACCOUNT'!E1348)</f>
        <v/>
      </c>
      <c r="F1347" t="str">
        <f>IF('NEW ACCOUNT'!A1348="","",'NEW ACCOUNT'!F1348)</f>
        <v/>
      </c>
      <c r="G1347" t="str">
        <f>IF('NEW ACCOUNT'!A1348="","",'NEW ACCOUNT'!G1348)</f>
        <v/>
      </c>
      <c r="H1347" t="str">
        <f>IF('NEW ACCOUNT'!A1348="","",'NEW ACCOUNT'!H1348)</f>
        <v/>
      </c>
      <c r="I1347" t="str">
        <f>IF('NEW ACCOUNT'!A1348="","",'NEW ACCOUNT'!I1348)</f>
        <v/>
      </c>
      <c r="J1347" t="str">
        <f>IF('NEW ACCOUNT'!A1348="","",'NEW ACCOUNT'!J1348)</f>
        <v/>
      </c>
      <c r="K1347" t="str">
        <f>IFERROR(IF(A1347="","",SUMIF(DB_Savings!$A:$A,A1347,DB_Savings!$F:$F)),"")</f>
        <v/>
      </c>
      <c r="L1347" t="str">
        <f>IFERROR(IF(A1347="","",SUMIF(DB_Withdrawals!$A:$A,A1347,DB_Withdrawals!$G:$G)),"")</f>
        <v/>
      </c>
      <c r="M1347" t="str">
        <f>IFERROR(IF(A1347="","",IFERROR(VALUE(H1347),0)+IFERROR(SUMIF(DB_Savings!$A:$A,A1347,DB_Savings!$F:$F),0)-IFERROR(SUMIF(DB_Withdrawals!$A:$A,A1347,DB_Withdrawals!$G:$G),0)),"")</f>
        <v/>
      </c>
      <c r="N1347" t="str">
        <f>IFERROR(IF(A1347="","",MAX(0,M1347-System_Config!$B$9)),"")</f>
        <v/>
      </c>
    </row>
    <row r="1348" spans="1:14" ht="15" customHeight="1" x14ac:dyDescent="0.25">
      <c r="A1348" t="str">
        <f>'NEW ACCOUNT'!A1349</f>
        <v/>
      </c>
      <c r="B1348" t="str">
        <f>IF('NEW ACCOUNT'!A1349="","",'NEW ACCOUNT'!B1349)</f>
        <v/>
      </c>
      <c r="C1348" t="str">
        <f>IF('NEW ACCOUNT'!A1349="","",'NEW ACCOUNT'!C1349)</f>
        <v/>
      </c>
      <c r="D1348" t="str">
        <f>IF('NEW ACCOUNT'!A1349="","",'NEW ACCOUNT'!D1349)</f>
        <v/>
      </c>
      <c r="E1348" t="str">
        <f>IF('NEW ACCOUNT'!A1349="","",'NEW ACCOUNT'!E1349)</f>
        <v/>
      </c>
      <c r="F1348" t="str">
        <f>IF('NEW ACCOUNT'!A1349="","",'NEW ACCOUNT'!F1349)</f>
        <v/>
      </c>
      <c r="G1348" t="str">
        <f>IF('NEW ACCOUNT'!A1349="","",'NEW ACCOUNT'!G1349)</f>
        <v/>
      </c>
      <c r="H1348" t="str">
        <f>IF('NEW ACCOUNT'!A1349="","",'NEW ACCOUNT'!H1349)</f>
        <v/>
      </c>
      <c r="I1348" t="str">
        <f>IF('NEW ACCOUNT'!A1349="","",'NEW ACCOUNT'!I1349)</f>
        <v/>
      </c>
      <c r="J1348" t="str">
        <f>IF('NEW ACCOUNT'!A1349="","",'NEW ACCOUNT'!J1349)</f>
        <v/>
      </c>
      <c r="K1348" t="str">
        <f>IFERROR(IF(A1348="","",SUMIF(DB_Savings!$A:$A,A1348,DB_Savings!$F:$F)),"")</f>
        <v/>
      </c>
      <c r="L1348" t="str">
        <f>IFERROR(IF(A1348="","",SUMIF(DB_Withdrawals!$A:$A,A1348,DB_Withdrawals!$G:$G)),"")</f>
        <v/>
      </c>
      <c r="M1348" t="str">
        <f>IFERROR(IF(A1348="","",IFERROR(VALUE(H1348),0)+IFERROR(SUMIF(DB_Savings!$A:$A,A1348,DB_Savings!$F:$F),0)-IFERROR(SUMIF(DB_Withdrawals!$A:$A,A1348,DB_Withdrawals!$G:$G),0)),"")</f>
        <v/>
      </c>
      <c r="N1348" t="str">
        <f>IFERROR(IF(A1348="","",MAX(0,M1348-System_Config!$B$9)),"")</f>
        <v/>
      </c>
    </row>
    <row r="1349" spans="1:14" ht="15" customHeight="1" x14ac:dyDescent="0.25">
      <c r="A1349" t="str">
        <f>'NEW ACCOUNT'!A1350</f>
        <v/>
      </c>
      <c r="B1349" t="str">
        <f>IF('NEW ACCOUNT'!A1350="","",'NEW ACCOUNT'!B1350)</f>
        <v/>
      </c>
      <c r="C1349" t="str">
        <f>IF('NEW ACCOUNT'!A1350="","",'NEW ACCOUNT'!C1350)</f>
        <v/>
      </c>
      <c r="D1349" t="str">
        <f>IF('NEW ACCOUNT'!A1350="","",'NEW ACCOUNT'!D1350)</f>
        <v/>
      </c>
      <c r="E1349" t="str">
        <f>IF('NEW ACCOUNT'!A1350="","",'NEW ACCOUNT'!E1350)</f>
        <v/>
      </c>
      <c r="F1349" t="str">
        <f>IF('NEW ACCOUNT'!A1350="","",'NEW ACCOUNT'!F1350)</f>
        <v/>
      </c>
      <c r="G1349" t="str">
        <f>IF('NEW ACCOUNT'!A1350="","",'NEW ACCOUNT'!G1350)</f>
        <v/>
      </c>
      <c r="H1349" t="str">
        <f>IF('NEW ACCOUNT'!A1350="","",'NEW ACCOUNT'!H1350)</f>
        <v/>
      </c>
      <c r="I1349" t="str">
        <f>IF('NEW ACCOUNT'!A1350="","",'NEW ACCOUNT'!I1350)</f>
        <v/>
      </c>
      <c r="J1349" t="str">
        <f>IF('NEW ACCOUNT'!A1350="","",'NEW ACCOUNT'!J1350)</f>
        <v/>
      </c>
      <c r="K1349" t="str">
        <f>IFERROR(IF(A1349="","",SUMIF(DB_Savings!$A:$A,A1349,DB_Savings!$F:$F)),"")</f>
        <v/>
      </c>
      <c r="L1349" t="str">
        <f>IFERROR(IF(A1349="","",SUMIF(DB_Withdrawals!$A:$A,A1349,DB_Withdrawals!$G:$G)),"")</f>
        <v/>
      </c>
      <c r="M1349" t="str">
        <f>IFERROR(IF(A1349="","",IFERROR(VALUE(H1349),0)+IFERROR(SUMIF(DB_Savings!$A:$A,A1349,DB_Savings!$F:$F),0)-IFERROR(SUMIF(DB_Withdrawals!$A:$A,A1349,DB_Withdrawals!$G:$G),0)),"")</f>
        <v/>
      </c>
      <c r="N1349" t="str">
        <f>IFERROR(IF(A1349="","",MAX(0,M1349-System_Config!$B$9)),"")</f>
        <v/>
      </c>
    </row>
    <row r="1350" spans="1:14" ht="15" customHeight="1" x14ac:dyDescent="0.25">
      <c r="A1350" t="str">
        <f>'NEW ACCOUNT'!A1351</f>
        <v/>
      </c>
      <c r="B1350" t="str">
        <f>IF('NEW ACCOUNT'!A1351="","",'NEW ACCOUNT'!B1351)</f>
        <v/>
      </c>
      <c r="C1350" t="str">
        <f>IF('NEW ACCOUNT'!A1351="","",'NEW ACCOUNT'!C1351)</f>
        <v/>
      </c>
      <c r="D1350" t="str">
        <f>IF('NEW ACCOUNT'!A1351="","",'NEW ACCOUNT'!D1351)</f>
        <v/>
      </c>
      <c r="E1350" t="str">
        <f>IF('NEW ACCOUNT'!A1351="","",'NEW ACCOUNT'!E1351)</f>
        <v/>
      </c>
      <c r="F1350" t="str">
        <f>IF('NEW ACCOUNT'!A1351="","",'NEW ACCOUNT'!F1351)</f>
        <v/>
      </c>
      <c r="G1350" t="str">
        <f>IF('NEW ACCOUNT'!A1351="","",'NEW ACCOUNT'!G1351)</f>
        <v/>
      </c>
      <c r="H1350" t="str">
        <f>IF('NEW ACCOUNT'!A1351="","",'NEW ACCOUNT'!H1351)</f>
        <v/>
      </c>
      <c r="I1350" t="str">
        <f>IF('NEW ACCOUNT'!A1351="","",'NEW ACCOUNT'!I1351)</f>
        <v/>
      </c>
      <c r="J1350" t="str">
        <f>IF('NEW ACCOUNT'!A1351="","",'NEW ACCOUNT'!J1351)</f>
        <v/>
      </c>
      <c r="K1350" t="str">
        <f>IFERROR(IF(A1350="","",SUMIF(DB_Savings!$A:$A,A1350,DB_Savings!$F:$F)),"")</f>
        <v/>
      </c>
      <c r="L1350" t="str">
        <f>IFERROR(IF(A1350="","",SUMIF(DB_Withdrawals!$A:$A,A1350,DB_Withdrawals!$G:$G)),"")</f>
        <v/>
      </c>
      <c r="M1350" t="str">
        <f>IFERROR(IF(A1350="","",IFERROR(VALUE(H1350),0)+IFERROR(SUMIF(DB_Savings!$A:$A,A1350,DB_Savings!$F:$F),0)-IFERROR(SUMIF(DB_Withdrawals!$A:$A,A1350,DB_Withdrawals!$G:$G),0)),"")</f>
        <v/>
      </c>
      <c r="N1350" t="str">
        <f>IFERROR(IF(A1350="","",MAX(0,M1350-System_Config!$B$9)),"")</f>
        <v/>
      </c>
    </row>
    <row r="1351" spans="1:14" ht="15" customHeight="1" x14ac:dyDescent="0.25">
      <c r="A1351" t="str">
        <f>'NEW ACCOUNT'!A1352</f>
        <v/>
      </c>
      <c r="B1351" t="str">
        <f>IF('NEW ACCOUNT'!A1352="","",'NEW ACCOUNT'!B1352)</f>
        <v/>
      </c>
      <c r="C1351" t="str">
        <f>IF('NEW ACCOUNT'!A1352="","",'NEW ACCOUNT'!C1352)</f>
        <v/>
      </c>
      <c r="D1351" t="str">
        <f>IF('NEW ACCOUNT'!A1352="","",'NEW ACCOUNT'!D1352)</f>
        <v/>
      </c>
      <c r="E1351" t="str">
        <f>IF('NEW ACCOUNT'!A1352="","",'NEW ACCOUNT'!E1352)</f>
        <v/>
      </c>
      <c r="F1351" t="str">
        <f>IF('NEW ACCOUNT'!A1352="","",'NEW ACCOUNT'!F1352)</f>
        <v/>
      </c>
      <c r="G1351" t="str">
        <f>IF('NEW ACCOUNT'!A1352="","",'NEW ACCOUNT'!G1352)</f>
        <v/>
      </c>
      <c r="H1351" t="str">
        <f>IF('NEW ACCOUNT'!A1352="","",'NEW ACCOUNT'!H1352)</f>
        <v/>
      </c>
      <c r="I1351" t="str">
        <f>IF('NEW ACCOUNT'!A1352="","",'NEW ACCOUNT'!I1352)</f>
        <v/>
      </c>
      <c r="J1351" t="str">
        <f>IF('NEW ACCOUNT'!A1352="","",'NEW ACCOUNT'!J1352)</f>
        <v/>
      </c>
      <c r="K1351" t="str">
        <f>IFERROR(IF(A1351="","",SUMIF(DB_Savings!$A:$A,A1351,DB_Savings!$F:$F)),"")</f>
        <v/>
      </c>
      <c r="L1351" t="str">
        <f>IFERROR(IF(A1351="","",SUMIF(DB_Withdrawals!$A:$A,A1351,DB_Withdrawals!$G:$G)),"")</f>
        <v/>
      </c>
      <c r="M1351" t="str">
        <f>IFERROR(IF(A1351="","",IFERROR(VALUE(H1351),0)+IFERROR(SUMIF(DB_Savings!$A:$A,A1351,DB_Savings!$F:$F),0)-IFERROR(SUMIF(DB_Withdrawals!$A:$A,A1351,DB_Withdrawals!$G:$G),0)),"")</f>
        <v/>
      </c>
      <c r="N1351" t="str">
        <f>IFERROR(IF(A1351="","",MAX(0,M1351-System_Config!$B$9)),"")</f>
        <v/>
      </c>
    </row>
    <row r="1352" spans="1:14" ht="15" customHeight="1" x14ac:dyDescent="0.25">
      <c r="A1352" t="str">
        <f>'NEW ACCOUNT'!A1353</f>
        <v/>
      </c>
      <c r="B1352" t="str">
        <f>IF('NEW ACCOUNT'!A1353="","",'NEW ACCOUNT'!B1353)</f>
        <v/>
      </c>
      <c r="C1352" t="str">
        <f>IF('NEW ACCOUNT'!A1353="","",'NEW ACCOUNT'!C1353)</f>
        <v/>
      </c>
      <c r="D1352" t="str">
        <f>IF('NEW ACCOUNT'!A1353="","",'NEW ACCOUNT'!D1353)</f>
        <v/>
      </c>
      <c r="E1352" t="str">
        <f>IF('NEW ACCOUNT'!A1353="","",'NEW ACCOUNT'!E1353)</f>
        <v/>
      </c>
      <c r="F1352" t="str">
        <f>IF('NEW ACCOUNT'!A1353="","",'NEW ACCOUNT'!F1353)</f>
        <v/>
      </c>
      <c r="G1352" t="str">
        <f>IF('NEW ACCOUNT'!A1353="","",'NEW ACCOUNT'!G1353)</f>
        <v/>
      </c>
      <c r="H1352" t="str">
        <f>IF('NEW ACCOUNT'!A1353="","",'NEW ACCOUNT'!H1353)</f>
        <v/>
      </c>
      <c r="I1352" t="str">
        <f>IF('NEW ACCOUNT'!A1353="","",'NEW ACCOUNT'!I1353)</f>
        <v/>
      </c>
      <c r="J1352" t="str">
        <f>IF('NEW ACCOUNT'!A1353="","",'NEW ACCOUNT'!J1353)</f>
        <v/>
      </c>
      <c r="K1352" t="str">
        <f>IFERROR(IF(A1352="","",SUMIF(DB_Savings!$A:$A,A1352,DB_Savings!$F:$F)),"")</f>
        <v/>
      </c>
      <c r="L1352" t="str">
        <f>IFERROR(IF(A1352="","",SUMIF(DB_Withdrawals!$A:$A,A1352,DB_Withdrawals!$G:$G)),"")</f>
        <v/>
      </c>
      <c r="M1352" t="str">
        <f>IFERROR(IF(A1352="","",IFERROR(VALUE(H1352),0)+IFERROR(SUMIF(DB_Savings!$A:$A,A1352,DB_Savings!$F:$F),0)-IFERROR(SUMIF(DB_Withdrawals!$A:$A,A1352,DB_Withdrawals!$G:$G),0)),"")</f>
        <v/>
      </c>
      <c r="N1352" t="str">
        <f>IFERROR(IF(A1352="","",MAX(0,M1352-System_Config!$B$9)),"")</f>
        <v/>
      </c>
    </row>
    <row r="1353" spans="1:14" ht="15" customHeight="1" x14ac:dyDescent="0.25">
      <c r="A1353" t="str">
        <f>'NEW ACCOUNT'!A1354</f>
        <v/>
      </c>
      <c r="B1353" t="str">
        <f>IF('NEW ACCOUNT'!A1354="","",'NEW ACCOUNT'!B1354)</f>
        <v/>
      </c>
      <c r="C1353" t="str">
        <f>IF('NEW ACCOUNT'!A1354="","",'NEW ACCOUNT'!C1354)</f>
        <v/>
      </c>
      <c r="D1353" t="str">
        <f>IF('NEW ACCOUNT'!A1354="","",'NEW ACCOUNT'!D1354)</f>
        <v/>
      </c>
      <c r="E1353" t="str">
        <f>IF('NEW ACCOUNT'!A1354="","",'NEW ACCOUNT'!E1354)</f>
        <v/>
      </c>
      <c r="F1353" t="str">
        <f>IF('NEW ACCOUNT'!A1354="","",'NEW ACCOUNT'!F1354)</f>
        <v/>
      </c>
      <c r="G1353" t="str">
        <f>IF('NEW ACCOUNT'!A1354="","",'NEW ACCOUNT'!G1354)</f>
        <v/>
      </c>
      <c r="H1353" t="str">
        <f>IF('NEW ACCOUNT'!A1354="","",'NEW ACCOUNT'!H1354)</f>
        <v/>
      </c>
      <c r="I1353" t="str">
        <f>IF('NEW ACCOUNT'!A1354="","",'NEW ACCOUNT'!I1354)</f>
        <v/>
      </c>
      <c r="J1353" t="str">
        <f>IF('NEW ACCOUNT'!A1354="","",'NEW ACCOUNT'!J1354)</f>
        <v/>
      </c>
      <c r="K1353" t="str">
        <f>IFERROR(IF(A1353="","",SUMIF(DB_Savings!$A:$A,A1353,DB_Savings!$F:$F)),"")</f>
        <v/>
      </c>
      <c r="L1353" t="str">
        <f>IFERROR(IF(A1353="","",SUMIF(DB_Withdrawals!$A:$A,A1353,DB_Withdrawals!$G:$G)),"")</f>
        <v/>
      </c>
      <c r="M1353" t="str">
        <f>IFERROR(IF(A1353="","",IFERROR(VALUE(H1353),0)+IFERROR(SUMIF(DB_Savings!$A:$A,A1353,DB_Savings!$F:$F),0)-IFERROR(SUMIF(DB_Withdrawals!$A:$A,A1353,DB_Withdrawals!$G:$G),0)),"")</f>
        <v/>
      </c>
      <c r="N1353" t="str">
        <f>IFERROR(IF(A1353="","",MAX(0,M1353-System_Config!$B$9)),"")</f>
        <v/>
      </c>
    </row>
    <row r="1354" spans="1:14" ht="15" customHeight="1" x14ac:dyDescent="0.25">
      <c r="A1354" t="str">
        <f>'NEW ACCOUNT'!A1355</f>
        <v/>
      </c>
      <c r="B1354" t="str">
        <f>IF('NEW ACCOUNT'!A1355="","",'NEW ACCOUNT'!B1355)</f>
        <v/>
      </c>
      <c r="C1354" t="str">
        <f>IF('NEW ACCOUNT'!A1355="","",'NEW ACCOUNT'!C1355)</f>
        <v/>
      </c>
      <c r="D1354" t="str">
        <f>IF('NEW ACCOUNT'!A1355="","",'NEW ACCOUNT'!D1355)</f>
        <v/>
      </c>
      <c r="E1354" t="str">
        <f>IF('NEW ACCOUNT'!A1355="","",'NEW ACCOUNT'!E1355)</f>
        <v/>
      </c>
      <c r="F1354" t="str">
        <f>IF('NEW ACCOUNT'!A1355="","",'NEW ACCOUNT'!F1355)</f>
        <v/>
      </c>
      <c r="G1354" t="str">
        <f>IF('NEW ACCOUNT'!A1355="","",'NEW ACCOUNT'!G1355)</f>
        <v/>
      </c>
      <c r="H1354" t="str">
        <f>IF('NEW ACCOUNT'!A1355="","",'NEW ACCOUNT'!H1355)</f>
        <v/>
      </c>
      <c r="I1354" t="str">
        <f>IF('NEW ACCOUNT'!A1355="","",'NEW ACCOUNT'!I1355)</f>
        <v/>
      </c>
      <c r="J1354" t="str">
        <f>IF('NEW ACCOUNT'!A1355="","",'NEW ACCOUNT'!J1355)</f>
        <v/>
      </c>
      <c r="K1354" t="str">
        <f>IFERROR(IF(A1354="","",SUMIF(DB_Savings!$A:$A,A1354,DB_Savings!$F:$F)),"")</f>
        <v/>
      </c>
      <c r="L1354" t="str">
        <f>IFERROR(IF(A1354="","",SUMIF(DB_Withdrawals!$A:$A,A1354,DB_Withdrawals!$G:$G)),"")</f>
        <v/>
      </c>
      <c r="M1354" t="str">
        <f>IFERROR(IF(A1354="","",IFERROR(VALUE(H1354),0)+IFERROR(SUMIF(DB_Savings!$A:$A,A1354,DB_Savings!$F:$F),0)-IFERROR(SUMIF(DB_Withdrawals!$A:$A,A1354,DB_Withdrawals!$G:$G),0)),"")</f>
        <v/>
      </c>
      <c r="N1354" t="str">
        <f>IFERROR(IF(A1354="","",MAX(0,M1354-System_Config!$B$9)),"")</f>
        <v/>
      </c>
    </row>
    <row r="1355" spans="1:14" ht="15" customHeight="1" x14ac:dyDescent="0.25">
      <c r="A1355" t="str">
        <f>'NEW ACCOUNT'!A1356</f>
        <v/>
      </c>
      <c r="B1355" t="str">
        <f>IF('NEW ACCOUNT'!A1356="","",'NEW ACCOUNT'!B1356)</f>
        <v/>
      </c>
      <c r="C1355" t="str">
        <f>IF('NEW ACCOUNT'!A1356="","",'NEW ACCOUNT'!C1356)</f>
        <v/>
      </c>
      <c r="D1355" t="str">
        <f>IF('NEW ACCOUNT'!A1356="","",'NEW ACCOUNT'!D1356)</f>
        <v/>
      </c>
      <c r="E1355" t="str">
        <f>IF('NEW ACCOUNT'!A1356="","",'NEW ACCOUNT'!E1356)</f>
        <v/>
      </c>
      <c r="F1355" t="str">
        <f>IF('NEW ACCOUNT'!A1356="","",'NEW ACCOUNT'!F1356)</f>
        <v/>
      </c>
      <c r="G1355" t="str">
        <f>IF('NEW ACCOUNT'!A1356="","",'NEW ACCOUNT'!G1356)</f>
        <v/>
      </c>
      <c r="H1355" t="str">
        <f>IF('NEW ACCOUNT'!A1356="","",'NEW ACCOUNT'!H1356)</f>
        <v/>
      </c>
      <c r="I1355" t="str">
        <f>IF('NEW ACCOUNT'!A1356="","",'NEW ACCOUNT'!I1356)</f>
        <v/>
      </c>
      <c r="J1355" t="str">
        <f>IF('NEW ACCOUNT'!A1356="","",'NEW ACCOUNT'!J1356)</f>
        <v/>
      </c>
      <c r="K1355" t="str">
        <f>IFERROR(IF(A1355="","",SUMIF(DB_Savings!$A:$A,A1355,DB_Savings!$F:$F)),"")</f>
        <v/>
      </c>
      <c r="L1355" t="str">
        <f>IFERROR(IF(A1355="","",SUMIF(DB_Withdrawals!$A:$A,A1355,DB_Withdrawals!$G:$G)),"")</f>
        <v/>
      </c>
      <c r="M1355" t="str">
        <f>IFERROR(IF(A1355="","",IFERROR(VALUE(H1355),0)+IFERROR(SUMIF(DB_Savings!$A:$A,A1355,DB_Savings!$F:$F),0)-IFERROR(SUMIF(DB_Withdrawals!$A:$A,A1355,DB_Withdrawals!$G:$G),0)),"")</f>
        <v/>
      </c>
      <c r="N1355" t="str">
        <f>IFERROR(IF(A1355="","",MAX(0,M1355-System_Config!$B$9)),"")</f>
        <v/>
      </c>
    </row>
    <row r="1356" spans="1:14" ht="15" customHeight="1" x14ac:dyDescent="0.25">
      <c r="A1356" t="str">
        <f>'NEW ACCOUNT'!A1357</f>
        <v/>
      </c>
      <c r="B1356" t="str">
        <f>IF('NEW ACCOUNT'!A1357="","",'NEW ACCOUNT'!B1357)</f>
        <v/>
      </c>
      <c r="C1356" t="str">
        <f>IF('NEW ACCOUNT'!A1357="","",'NEW ACCOUNT'!C1357)</f>
        <v/>
      </c>
      <c r="D1356" t="str">
        <f>IF('NEW ACCOUNT'!A1357="","",'NEW ACCOUNT'!D1357)</f>
        <v/>
      </c>
      <c r="E1356" t="str">
        <f>IF('NEW ACCOUNT'!A1357="","",'NEW ACCOUNT'!E1357)</f>
        <v/>
      </c>
      <c r="F1356" t="str">
        <f>IF('NEW ACCOUNT'!A1357="","",'NEW ACCOUNT'!F1357)</f>
        <v/>
      </c>
      <c r="G1356" t="str">
        <f>IF('NEW ACCOUNT'!A1357="","",'NEW ACCOUNT'!G1357)</f>
        <v/>
      </c>
      <c r="H1356" t="str">
        <f>IF('NEW ACCOUNT'!A1357="","",'NEW ACCOUNT'!H1357)</f>
        <v/>
      </c>
      <c r="I1356" t="str">
        <f>IF('NEW ACCOUNT'!A1357="","",'NEW ACCOUNT'!I1357)</f>
        <v/>
      </c>
      <c r="J1356" t="str">
        <f>IF('NEW ACCOUNT'!A1357="","",'NEW ACCOUNT'!J1357)</f>
        <v/>
      </c>
      <c r="K1356" t="str">
        <f>IFERROR(IF(A1356="","",SUMIF(DB_Savings!$A:$A,A1356,DB_Savings!$F:$F)),"")</f>
        <v/>
      </c>
      <c r="L1356" t="str">
        <f>IFERROR(IF(A1356="","",SUMIF(DB_Withdrawals!$A:$A,A1356,DB_Withdrawals!$G:$G)),"")</f>
        <v/>
      </c>
      <c r="M1356" t="str">
        <f>IFERROR(IF(A1356="","",IFERROR(VALUE(H1356),0)+IFERROR(SUMIF(DB_Savings!$A:$A,A1356,DB_Savings!$F:$F),0)-IFERROR(SUMIF(DB_Withdrawals!$A:$A,A1356,DB_Withdrawals!$G:$G),0)),"")</f>
        <v/>
      </c>
      <c r="N1356" t="str">
        <f>IFERROR(IF(A1356="","",MAX(0,M1356-System_Config!$B$9)),"")</f>
        <v/>
      </c>
    </row>
    <row r="1357" spans="1:14" ht="15" customHeight="1" x14ac:dyDescent="0.25">
      <c r="A1357" t="str">
        <f>'NEW ACCOUNT'!A1358</f>
        <v/>
      </c>
      <c r="B1357" t="str">
        <f>IF('NEW ACCOUNT'!A1358="","",'NEW ACCOUNT'!B1358)</f>
        <v/>
      </c>
      <c r="C1357" t="str">
        <f>IF('NEW ACCOUNT'!A1358="","",'NEW ACCOUNT'!C1358)</f>
        <v/>
      </c>
      <c r="D1357" t="str">
        <f>IF('NEW ACCOUNT'!A1358="","",'NEW ACCOUNT'!D1358)</f>
        <v/>
      </c>
      <c r="E1357" t="str">
        <f>IF('NEW ACCOUNT'!A1358="","",'NEW ACCOUNT'!E1358)</f>
        <v/>
      </c>
      <c r="F1357" t="str">
        <f>IF('NEW ACCOUNT'!A1358="","",'NEW ACCOUNT'!F1358)</f>
        <v/>
      </c>
      <c r="G1357" t="str">
        <f>IF('NEW ACCOUNT'!A1358="","",'NEW ACCOUNT'!G1358)</f>
        <v/>
      </c>
      <c r="H1357" t="str">
        <f>IF('NEW ACCOUNT'!A1358="","",'NEW ACCOUNT'!H1358)</f>
        <v/>
      </c>
      <c r="I1357" t="str">
        <f>IF('NEW ACCOUNT'!A1358="","",'NEW ACCOUNT'!I1358)</f>
        <v/>
      </c>
      <c r="J1357" t="str">
        <f>IF('NEW ACCOUNT'!A1358="","",'NEW ACCOUNT'!J1358)</f>
        <v/>
      </c>
      <c r="K1357" t="str">
        <f>IFERROR(IF(A1357="","",SUMIF(DB_Savings!$A:$A,A1357,DB_Savings!$F:$F)),"")</f>
        <v/>
      </c>
      <c r="L1357" t="str">
        <f>IFERROR(IF(A1357="","",SUMIF(DB_Withdrawals!$A:$A,A1357,DB_Withdrawals!$G:$G)),"")</f>
        <v/>
      </c>
      <c r="M1357" t="str">
        <f>IFERROR(IF(A1357="","",IFERROR(VALUE(H1357),0)+IFERROR(SUMIF(DB_Savings!$A:$A,A1357,DB_Savings!$F:$F),0)-IFERROR(SUMIF(DB_Withdrawals!$A:$A,A1357,DB_Withdrawals!$G:$G),0)),"")</f>
        <v/>
      </c>
      <c r="N1357" t="str">
        <f>IFERROR(IF(A1357="","",MAX(0,M1357-System_Config!$B$9)),"")</f>
        <v/>
      </c>
    </row>
    <row r="1358" spans="1:14" ht="15" customHeight="1" x14ac:dyDescent="0.25">
      <c r="A1358" t="str">
        <f>'NEW ACCOUNT'!A1359</f>
        <v/>
      </c>
      <c r="B1358" t="str">
        <f>IF('NEW ACCOUNT'!A1359="","",'NEW ACCOUNT'!B1359)</f>
        <v/>
      </c>
      <c r="C1358" t="str">
        <f>IF('NEW ACCOUNT'!A1359="","",'NEW ACCOUNT'!C1359)</f>
        <v/>
      </c>
      <c r="D1358" t="str">
        <f>IF('NEW ACCOUNT'!A1359="","",'NEW ACCOUNT'!D1359)</f>
        <v/>
      </c>
      <c r="E1358" t="str">
        <f>IF('NEW ACCOUNT'!A1359="","",'NEW ACCOUNT'!E1359)</f>
        <v/>
      </c>
      <c r="F1358" t="str">
        <f>IF('NEW ACCOUNT'!A1359="","",'NEW ACCOUNT'!F1359)</f>
        <v/>
      </c>
      <c r="G1358" t="str">
        <f>IF('NEW ACCOUNT'!A1359="","",'NEW ACCOUNT'!G1359)</f>
        <v/>
      </c>
      <c r="H1358" t="str">
        <f>IF('NEW ACCOUNT'!A1359="","",'NEW ACCOUNT'!H1359)</f>
        <v/>
      </c>
      <c r="I1358" t="str">
        <f>IF('NEW ACCOUNT'!A1359="","",'NEW ACCOUNT'!I1359)</f>
        <v/>
      </c>
      <c r="J1358" t="str">
        <f>IF('NEW ACCOUNT'!A1359="","",'NEW ACCOUNT'!J1359)</f>
        <v/>
      </c>
      <c r="K1358" t="str">
        <f>IFERROR(IF(A1358="","",SUMIF(DB_Savings!$A:$A,A1358,DB_Savings!$F:$F)),"")</f>
        <v/>
      </c>
      <c r="L1358" t="str">
        <f>IFERROR(IF(A1358="","",SUMIF(DB_Withdrawals!$A:$A,A1358,DB_Withdrawals!$G:$G)),"")</f>
        <v/>
      </c>
      <c r="M1358" t="str">
        <f>IFERROR(IF(A1358="","",IFERROR(VALUE(H1358),0)+IFERROR(SUMIF(DB_Savings!$A:$A,A1358,DB_Savings!$F:$F),0)-IFERROR(SUMIF(DB_Withdrawals!$A:$A,A1358,DB_Withdrawals!$G:$G),0)),"")</f>
        <v/>
      </c>
      <c r="N1358" t="str">
        <f>IFERROR(IF(A1358="","",MAX(0,M1358-System_Config!$B$9)),"")</f>
        <v/>
      </c>
    </row>
    <row r="1359" spans="1:14" ht="15" customHeight="1" x14ac:dyDescent="0.25">
      <c r="A1359" t="str">
        <f>'NEW ACCOUNT'!A1360</f>
        <v/>
      </c>
      <c r="B1359" t="str">
        <f>IF('NEW ACCOUNT'!A1360="","",'NEW ACCOUNT'!B1360)</f>
        <v/>
      </c>
      <c r="C1359" t="str">
        <f>IF('NEW ACCOUNT'!A1360="","",'NEW ACCOUNT'!C1360)</f>
        <v/>
      </c>
      <c r="D1359" t="str">
        <f>IF('NEW ACCOUNT'!A1360="","",'NEW ACCOUNT'!D1360)</f>
        <v/>
      </c>
      <c r="E1359" t="str">
        <f>IF('NEW ACCOUNT'!A1360="","",'NEW ACCOUNT'!E1360)</f>
        <v/>
      </c>
      <c r="F1359" t="str">
        <f>IF('NEW ACCOUNT'!A1360="","",'NEW ACCOUNT'!F1360)</f>
        <v/>
      </c>
      <c r="G1359" t="str">
        <f>IF('NEW ACCOUNT'!A1360="","",'NEW ACCOUNT'!G1360)</f>
        <v/>
      </c>
      <c r="H1359" t="str">
        <f>IF('NEW ACCOUNT'!A1360="","",'NEW ACCOUNT'!H1360)</f>
        <v/>
      </c>
      <c r="I1359" t="str">
        <f>IF('NEW ACCOUNT'!A1360="","",'NEW ACCOUNT'!I1360)</f>
        <v/>
      </c>
      <c r="J1359" t="str">
        <f>IF('NEW ACCOUNT'!A1360="","",'NEW ACCOUNT'!J1360)</f>
        <v/>
      </c>
      <c r="K1359" t="str">
        <f>IFERROR(IF(A1359="","",SUMIF(DB_Savings!$A:$A,A1359,DB_Savings!$F:$F)),"")</f>
        <v/>
      </c>
      <c r="L1359" t="str">
        <f>IFERROR(IF(A1359="","",SUMIF(DB_Withdrawals!$A:$A,A1359,DB_Withdrawals!$G:$G)),"")</f>
        <v/>
      </c>
      <c r="M1359" t="str">
        <f>IFERROR(IF(A1359="","",IFERROR(VALUE(H1359),0)+IFERROR(SUMIF(DB_Savings!$A:$A,A1359,DB_Savings!$F:$F),0)-IFERROR(SUMIF(DB_Withdrawals!$A:$A,A1359,DB_Withdrawals!$G:$G),0)),"")</f>
        <v/>
      </c>
      <c r="N1359" t="str">
        <f>IFERROR(IF(A1359="","",MAX(0,M1359-System_Config!$B$9)),"")</f>
        <v/>
      </c>
    </row>
    <row r="1360" spans="1:14" ht="15" customHeight="1" x14ac:dyDescent="0.25">
      <c r="A1360" t="str">
        <f>'NEW ACCOUNT'!A1361</f>
        <v/>
      </c>
      <c r="B1360" t="str">
        <f>IF('NEW ACCOUNT'!A1361="","",'NEW ACCOUNT'!B1361)</f>
        <v/>
      </c>
      <c r="C1360" t="str">
        <f>IF('NEW ACCOUNT'!A1361="","",'NEW ACCOUNT'!C1361)</f>
        <v/>
      </c>
      <c r="D1360" t="str">
        <f>IF('NEW ACCOUNT'!A1361="","",'NEW ACCOUNT'!D1361)</f>
        <v/>
      </c>
      <c r="E1360" t="str">
        <f>IF('NEW ACCOUNT'!A1361="","",'NEW ACCOUNT'!E1361)</f>
        <v/>
      </c>
      <c r="F1360" t="str">
        <f>IF('NEW ACCOUNT'!A1361="","",'NEW ACCOUNT'!F1361)</f>
        <v/>
      </c>
      <c r="G1360" t="str">
        <f>IF('NEW ACCOUNT'!A1361="","",'NEW ACCOUNT'!G1361)</f>
        <v/>
      </c>
      <c r="H1360" t="str">
        <f>IF('NEW ACCOUNT'!A1361="","",'NEW ACCOUNT'!H1361)</f>
        <v/>
      </c>
      <c r="I1360" t="str">
        <f>IF('NEW ACCOUNT'!A1361="","",'NEW ACCOUNT'!I1361)</f>
        <v/>
      </c>
      <c r="J1360" t="str">
        <f>IF('NEW ACCOUNT'!A1361="","",'NEW ACCOUNT'!J1361)</f>
        <v/>
      </c>
      <c r="K1360" t="str">
        <f>IFERROR(IF(A1360="","",SUMIF(DB_Savings!$A:$A,A1360,DB_Savings!$F:$F)),"")</f>
        <v/>
      </c>
      <c r="L1360" t="str">
        <f>IFERROR(IF(A1360="","",SUMIF(DB_Withdrawals!$A:$A,A1360,DB_Withdrawals!$G:$G)),"")</f>
        <v/>
      </c>
      <c r="M1360" t="str">
        <f>IFERROR(IF(A1360="","",IFERROR(VALUE(H1360),0)+IFERROR(SUMIF(DB_Savings!$A:$A,A1360,DB_Savings!$F:$F),0)-IFERROR(SUMIF(DB_Withdrawals!$A:$A,A1360,DB_Withdrawals!$G:$G),0)),"")</f>
        <v/>
      </c>
      <c r="N1360" t="str">
        <f>IFERROR(IF(A1360="","",MAX(0,M1360-System_Config!$B$9)),"")</f>
        <v/>
      </c>
    </row>
    <row r="1361" spans="1:14" ht="15" customHeight="1" x14ac:dyDescent="0.25">
      <c r="A1361" t="str">
        <f>'NEW ACCOUNT'!A1362</f>
        <v/>
      </c>
      <c r="B1361" t="str">
        <f>IF('NEW ACCOUNT'!A1362="","",'NEW ACCOUNT'!B1362)</f>
        <v/>
      </c>
      <c r="C1361" t="str">
        <f>IF('NEW ACCOUNT'!A1362="","",'NEW ACCOUNT'!C1362)</f>
        <v/>
      </c>
      <c r="D1361" t="str">
        <f>IF('NEW ACCOUNT'!A1362="","",'NEW ACCOUNT'!D1362)</f>
        <v/>
      </c>
      <c r="E1361" t="str">
        <f>IF('NEW ACCOUNT'!A1362="","",'NEW ACCOUNT'!E1362)</f>
        <v/>
      </c>
      <c r="F1361" t="str">
        <f>IF('NEW ACCOUNT'!A1362="","",'NEW ACCOUNT'!F1362)</f>
        <v/>
      </c>
      <c r="G1361" t="str">
        <f>IF('NEW ACCOUNT'!A1362="","",'NEW ACCOUNT'!G1362)</f>
        <v/>
      </c>
      <c r="H1361" t="str">
        <f>IF('NEW ACCOUNT'!A1362="","",'NEW ACCOUNT'!H1362)</f>
        <v/>
      </c>
      <c r="I1361" t="str">
        <f>IF('NEW ACCOUNT'!A1362="","",'NEW ACCOUNT'!I1362)</f>
        <v/>
      </c>
      <c r="J1361" t="str">
        <f>IF('NEW ACCOUNT'!A1362="","",'NEW ACCOUNT'!J1362)</f>
        <v/>
      </c>
      <c r="K1361" t="str">
        <f>IFERROR(IF(A1361="","",SUMIF(DB_Savings!$A:$A,A1361,DB_Savings!$F:$F)),"")</f>
        <v/>
      </c>
      <c r="L1361" t="str">
        <f>IFERROR(IF(A1361="","",SUMIF(DB_Withdrawals!$A:$A,A1361,DB_Withdrawals!$G:$G)),"")</f>
        <v/>
      </c>
      <c r="M1361" t="str">
        <f>IFERROR(IF(A1361="","",IFERROR(VALUE(H1361),0)+IFERROR(SUMIF(DB_Savings!$A:$A,A1361,DB_Savings!$F:$F),0)-IFERROR(SUMIF(DB_Withdrawals!$A:$A,A1361,DB_Withdrawals!$G:$G),0)),"")</f>
        <v/>
      </c>
      <c r="N1361" t="str">
        <f>IFERROR(IF(A1361="","",MAX(0,M1361-System_Config!$B$9)),"")</f>
        <v/>
      </c>
    </row>
    <row r="1362" spans="1:14" ht="15" customHeight="1" x14ac:dyDescent="0.25">
      <c r="A1362" t="str">
        <f>'NEW ACCOUNT'!A1363</f>
        <v/>
      </c>
      <c r="B1362" t="str">
        <f>IF('NEW ACCOUNT'!A1363="","",'NEW ACCOUNT'!B1363)</f>
        <v/>
      </c>
      <c r="C1362" t="str">
        <f>IF('NEW ACCOUNT'!A1363="","",'NEW ACCOUNT'!C1363)</f>
        <v/>
      </c>
      <c r="D1362" t="str">
        <f>IF('NEW ACCOUNT'!A1363="","",'NEW ACCOUNT'!D1363)</f>
        <v/>
      </c>
      <c r="E1362" t="str">
        <f>IF('NEW ACCOUNT'!A1363="","",'NEW ACCOUNT'!E1363)</f>
        <v/>
      </c>
      <c r="F1362" t="str">
        <f>IF('NEW ACCOUNT'!A1363="","",'NEW ACCOUNT'!F1363)</f>
        <v/>
      </c>
      <c r="G1362" t="str">
        <f>IF('NEW ACCOUNT'!A1363="","",'NEW ACCOUNT'!G1363)</f>
        <v/>
      </c>
      <c r="H1362" t="str">
        <f>IF('NEW ACCOUNT'!A1363="","",'NEW ACCOUNT'!H1363)</f>
        <v/>
      </c>
      <c r="I1362" t="str">
        <f>IF('NEW ACCOUNT'!A1363="","",'NEW ACCOUNT'!I1363)</f>
        <v/>
      </c>
      <c r="J1362" t="str">
        <f>IF('NEW ACCOUNT'!A1363="","",'NEW ACCOUNT'!J1363)</f>
        <v/>
      </c>
      <c r="K1362" t="str">
        <f>IFERROR(IF(A1362="","",SUMIF(DB_Savings!$A:$A,A1362,DB_Savings!$F:$F)),"")</f>
        <v/>
      </c>
      <c r="L1362" t="str">
        <f>IFERROR(IF(A1362="","",SUMIF(DB_Withdrawals!$A:$A,A1362,DB_Withdrawals!$G:$G)),"")</f>
        <v/>
      </c>
      <c r="M1362" t="str">
        <f>IFERROR(IF(A1362="","",IFERROR(VALUE(H1362),0)+IFERROR(SUMIF(DB_Savings!$A:$A,A1362,DB_Savings!$F:$F),0)-IFERROR(SUMIF(DB_Withdrawals!$A:$A,A1362,DB_Withdrawals!$G:$G),0)),"")</f>
        <v/>
      </c>
      <c r="N1362" t="str">
        <f>IFERROR(IF(A1362="","",MAX(0,M1362-System_Config!$B$9)),"")</f>
        <v/>
      </c>
    </row>
    <row r="1363" spans="1:14" ht="15" customHeight="1" x14ac:dyDescent="0.25">
      <c r="A1363" t="str">
        <f>'NEW ACCOUNT'!A1364</f>
        <v/>
      </c>
      <c r="B1363" t="str">
        <f>IF('NEW ACCOUNT'!A1364="","",'NEW ACCOUNT'!B1364)</f>
        <v/>
      </c>
      <c r="C1363" t="str">
        <f>IF('NEW ACCOUNT'!A1364="","",'NEW ACCOUNT'!C1364)</f>
        <v/>
      </c>
      <c r="D1363" t="str">
        <f>IF('NEW ACCOUNT'!A1364="","",'NEW ACCOUNT'!D1364)</f>
        <v/>
      </c>
      <c r="E1363" t="str">
        <f>IF('NEW ACCOUNT'!A1364="","",'NEW ACCOUNT'!E1364)</f>
        <v/>
      </c>
      <c r="F1363" t="str">
        <f>IF('NEW ACCOUNT'!A1364="","",'NEW ACCOUNT'!F1364)</f>
        <v/>
      </c>
      <c r="G1363" t="str">
        <f>IF('NEW ACCOUNT'!A1364="","",'NEW ACCOUNT'!G1364)</f>
        <v/>
      </c>
      <c r="H1363" t="str">
        <f>IF('NEW ACCOUNT'!A1364="","",'NEW ACCOUNT'!H1364)</f>
        <v/>
      </c>
      <c r="I1363" t="str">
        <f>IF('NEW ACCOUNT'!A1364="","",'NEW ACCOUNT'!I1364)</f>
        <v/>
      </c>
      <c r="J1363" t="str">
        <f>IF('NEW ACCOUNT'!A1364="","",'NEW ACCOUNT'!J1364)</f>
        <v/>
      </c>
      <c r="K1363" t="str">
        <f>IFERROR(IF(A1363="","",SUMIF(DB_Savings!$A:$A,A1363,DB_Savings!$F:$F)),"")</f>
        <v/>
      </c>
      <c r="L1363" t="str">
        <f>IFERROR(IF(A1363="","",SUMIF(DB_Withdrawals!$A:$A,A1363,DB_Withdrawals!$G:$G)),"")</f>
        <v/>
      </c>
      <c r="M1363" t="str">
        <f>IFERROR(IF(A1363="","",IFERROR(VALUE(H1363),0)+IFERROR(SUMIF(DB_Savings!$A:$A,A1363,DB_Savings!$F:$F),0)-IFERROR(SUMIF(DB_Withdrawals!$A:$A,A1363,DB_Withdrawals!$G:$G),0)),"")</f>
        <v/>
      </c>
      <c r="N1363" t="str">
        <f>IFERROR(IF(A1363="","",MAX(0,M1363-System_Config!$B$9)),"")</f>
        <v/>
      </c>
    </row>
    <row r="1364" spans="1:14" ht="15" customHeight="1" x14ac:dyDescent="0.25">
      <c r="A1364" t="str">
        <f>'NEW ACCOUNT'!A1365</f>
        <v/>
      </c>
      <c r="B1364" t="str">
        <f>IF('NEW ACCOUNT'!A1365="","",'NEW ACCOUNT'!B1365)</f>
        <v/>
      </c>
      <c r="C1364" t="str">
        <f>IF('NEW ACCOUNT'!A1365="","",'NEW ACCOUNT'!C1365)</f>
        <v/>
      </c>
      <c r="D1364" t="str">
        <f>IF('NEW ACCOUNT'!A1365="","",'NEW ACCOUNT'!D1365)</f>
        <v/>
      </c>
      <c r="E1364" t="str">
        <f>IF('NEW ACCOUNT'!A1365="","",'NEW ACCOUNT'!E1365)</f>
        <v/>
      </c>
      <c r="F1364" t="str">
        <f>IF('NEW ACCOUNT'!A1365="","",'NEW ACCOUNT'!F1365)</f>
        <v/>
      </c>
      <c r="G1364" t="str">
        <f>IF('NEW ACCOUNT'!A1365="","",'NEW ACCOUNT'!G1365)</f>
        <v/>
      </c>
      <c r="H1364" t="str">
        <f>IF('NEW ACCOUNT'!A1365="","",'NEW ACCOUNT'!H1365)</f>
        <v/>
      </c>
      <c r="I1364" t="str">
        <f>IF('NEW ACCOUNT'!A1365="","",'NEW ACCOUNT'!I1365)</f>
        <v/>
      </c>
      <c r="J1364" t="str">
        <f>IF('NEW ACCOUNT'!A1365="","",'NEW ACCOUNT'!J1365)</f>
        <v/>
      </c>
      <c r="K1364" t="str">
        <f>IFERROR(IF(A1364="","",SUMIF(DB_Savings!$A:$A,A1364,DB_Savings!$F:$F)),"")</f>
        <v/>
      </c>
      <c r="L1364" t="str">
        <f>IFERROR(IF(A1364="","",SUMIF(DB_Withdrawals!$A:$A,A1364,DB_Withdrawals!$G:$G)),"")</f>
        <v/>
      </c>
      <c r="M1364" t="str">
        <f>IFERROR(IF(A1364="","",IFERROR(VALUE(H1364),0)+IFERROR(SUMIF(DB_Savings!$A:$A,A1364,DB_Savings!$F:$F),0)-IFERROR(SUMIF(DB_Withdrawals!$A:$A,A1364,DB_Withdrawals!$G:$G),0)),"")</f>
        <v/>
      </c>
      <c r="N1364" t="str">
        <f>IFERROR(IF(A1364="","",MAX(0,M1364-System_Config!$B$9)),"")</f>
        <v/>
      </c>
    </row>
    <row r="1365" spans="1:14" ht="15" customHeight="1" x14ac:dyDescent="0.25">
      <c r="A1365" t="str">
        <f>'NEW ACCOUNT'!A1366</f>
        <v/>
      </c>
      <c r="B1365" t="str">
        <f>IF('NEW ACCOUNT'!A1366="","",'NEW ACCOUNT'!B1366)</f>
        <v/>
      </c>
      <c r="C1365" t="str">
        <f>IF('NEW ACCOUNT'!A1366="","",'NEW ACCOUNT'!C1366)</f>
        <v/>
      </c>
      <c r="D1365" t="str">
        <f>IF('NEW ACCOUNT'!A1366="","",'NEW ACCOUNT'!D1366)</f>
        <v/>
      </c>
      <c r="E1365" t="str">
        <f>IF('NEW ACCOUNT'!A1366="","",'NEW ACCOUNT'!E1366)</f>
        <v/>
      </c>
      <c r="F1365" t="str">
        <f>IF('NEW ACCOUNT'!A1366="","",'NEW ACCOUNT'!F1366)</f>
        <v/>
      </c>
      <c r="G1365" t="str">
        <f>IF('NEW ACCOUNT'!A1366="","",'NEW ACCOUNT'!G1366)</f>
        <v/>
      </c>
      <c r="H1365" t="str">
        <f>IF('NEW ACCOUNT'!A1366="","",'NEW ACCOUNT'!H1366)</f>
        <v/>
      </c>
      <c r="I1365" t="str">
        <f>IF('NEW ACCOUNT'!A1366="","",'NEW ACCOUNT'!I1366)</f>
        <v/>
      </c>
      <c r="J1365" t="str">
        <f>IF('NEW ACCOUNT'!A1366="","",'NEW ACCOUNT'!J1366)</f>
        <v/>
      </c>
      <c r="K1365" t="str">
        <f>IFERROR(IF(A1365="","",SUMIF(DB_Savings!$A:$A,A1365,DB_Savings!$F:$F)),"")</f>
        <v/>
      </c>
      <c r="L1365" t="str">
        <f>IFERROR(IF(A1365="","",SUMIF(DB_Withdrawals!$A:$A,A1365,DB_Withdrawals!$G:$G)),"")</f>
        <v/>
      </c>
      <c r="M1365" t="str">
        <f>IFERROR(IF(A1365="","",IFERROR(VALUE(H1365),0)+IFERROR(SUMIF(DB_Savings!$A:$A,A1365,DB_Savings!$F:$F),0)-IFERROR(SUMIF(DB_Withdrawals!$A:$A,A1365,DB_Withdrawals!$G:$G),0)),"")</f>
        <v/>
      </c>
      <c r="N1365" t="str">
        <f>IFERROR(IF(A1365="","",MAX(0,M1365-System_Config!$B$9)),"")</f>
        <v/>
      </c>
    </row>
    <row r="1366" spans="1:14" ht="15" customHeight="1" x14ac:dyDescent="0.25">
      <c r="A1366" t="str">
        <f>'NEW ACCOUNT'!A1367</f>
        <v/>
      </c>
      <c r="B1366" t="str">
        <f>IF('NEW ACCOUNT'!A1367="","",'NEW ACCOUNT'!B1367)</f>
        <v/>
      </c>
      <c r="C1366" t="str">
        <f>IF('NEW ACCOUNT'!A1367="","",'NEW ACCOUNT'!C1367)</f>
        <v/>
      </c>
      <c r="D1366" t="str">
        <f>IF('NEW ACCOUNT'!A1367="","",'NEW ACCOUNT'!D1367)</f>
        <v/>
      </c>
      <c r="E1366" t="str">
        <f>IF('NEW ACCOUNT'!A1367="","",'NEW ACCOUNT'!E1367)</f>
        <v/>
      </c>
      <c r="F1366" t="str">
        <f>IF('NEW ACCOUNT'!A1367="","",'NEW ACCOUNT'!F1367)</f>
        <v/>
      </c>
      <c r="G1366" t="str">
        <f>IF('NEW ACCOUNT'!A1367="","",'NEW ACCOUNT'!G1367)</f>
        <v/>
      </c>
      <c r="H1366" t="str">
        <f>IF('NEW ACCOUNT'!A1367="","",'NEW ACCOUNT'!H1367)</f>
        <v/>
      </c>
      <c r="I1366" t="str">
        <f>IF('NEW ACCOUNT'!A1367="","",'NEW ACCOUNT'!I1367)</f>
        <v/>
      </c>
      <c r="J1366" t="str">
        <f>IF('NEW ACCOUNT'!A1367="","",'NEW ACCOUNT'!J1367)</f>
        <v/>
      </c>
      <c r="K1366" t="str">
        <f>IFERROR(IF(A1366="","",SUMIF(DB_Savings!$A:$A,A1366,DB_Savings!$F:$F)),"")</f>
        <v/>
      </c>
      <c r="L1366" t="str">
        <f>IFERROR(IF(A1366="","",SUMIF(DB_Withdrawals!$A:$A,A1366,DB_Withdrawals!$G:$G)),"")</f>
        <v/>
      </c>
      <c r="M1366" t="str">
        <f>IFERROR(IF(A1366="","",IFERROR(VALUE(H1366),0)+IFERROR(SUMIF(DB_Savings!$A:$A,A1366,DB_Savings!$F:$F),0)-IFERROR(SUMIF(DB_Withdrawals!$A:$A,A1366,DB_Withdrawals!$G:$G),0)),"")</f>
        <v/>
      </c>
      <c r="N1366" t="str">
        <f>IFERROR(IF(A1366="","",MAX(0,M1366-System_Config!$B$9)),"")</f>
        <v/>
      </c>
    </row>
    <row r="1367" spans="1:14" ht="15" customHeight="1" x14ac:dyDescent="0.25">
      <c r="A1367" t="str">
        <f>'NEW ACCOUNT'!A1368</f>
        <v/>
      </c>
      <c r="B1367" t="str">
        <f>IF('NEW ACCOUNT'!A1368="","",'NEW ACCOUNT'!B1368)</f>
        <v/>
      </c>
      <c r="C1367" t="str">
        <f>IF('NEW ACCOUNT'!A1368="","",'NEW ACCOUNT'!C1368)</f>
        <v/>
      </c>
      <c r="D1367" t="str">
        <f>IF('NEW ACCOUNT'!A1368="","",'NEW ACCOUNT'!D1368)</f>
        <v/>
      </c>
      <c r="E1367" t="str">
        <f>IF('NEW ACCOUNT'!A1368="","",'NEW ACCOUNT'!E1368)</f>
        <v/>
      </c>
      <c r="F1367" t="str">
        <f>IF('NEW ACCOUNT'!A1368="","",'NEW ACCOUNT'!F1368)</f>
        <v/>
      </c>
      <c r="G1367" t="str">
        <f>IF('NEW ACCOUNT'!A1368="","",'NEW ACCOUNT'!G1368)</f>
        <v/>
      </c>
      <c r="H1367" t="str">
        <f>IF('NEW ACCOUNT'!A1368="","",'NEW ACCOUNT'!H1368)</f>
        <v/>
      </c>
      <c r="I1367" t="str">
        <f>IF('NEW ACCOUNT'!A1368="","",'NEW ACCOUNT'!I1368)</f>
        <v/>
      </c>
      <c r="J1367" t="str">
        <f>IF('NEW ACCOUNT'!A1368="","",'NEW ACCOUNT'!J1368)</f>
        <v/>
      </c>
      <c r="K1367" t="str">
        <f>IFERROR(IF(A1367="","",SUMIF(DB_Savings!$A:$A,A1367,DB_Savings!$F:$F)),"")</f>
        <v/>
      </c>
      <c r="L1367" t="str">
        <f>IFERROR(IF(A1367="","",SUMIF(DB_Withdrawals!$A:$A,A1367,DB_Withdrawals!$G:$G)),"")</f>
        <v/>
      </c>
      <c r="M1367" t="str">
        <f>IFERROR(IF(A1367="","",IFERROR(VALUE(H1367),0)+IFERROR(SUMIF(DB_Savings!$A:$A,A1367,DB_Savings!$F:$F),0)-IFERROR(SUMIF(DB_Withdrawals!$A:$A,A1367,DB_Withdrawals!$G:$G),0)),"")</f>
        <v/>
      </c>
      <c r="N1367" t="str">
        <f>IFERROR(IF(A1367="","",MAX(0,M1367-System_Config!$B$9)),"")</f>
        <v/>
      </c>
    </row>
    <row r="1368" spans="1:14" ht="15" customHeight="1" x14ac:dyDescent="0.25">
      <c r="A1368" t="str">
        <f>'NEW ACCOUNT'!A1369</f>
        <v/>
      </c>
      <c r="B1368" t="str">
        <f>IF('NEW ACCOUNT'!A1369="","",'NEW ACCOUNT'!B1369)</f>
        <v/>
      </c>
      <c r="C1368" t="str">
        <f>IF('NEW ACCOUNT'!A1369="","",'NEW ACCOUNT'!C1369)</f>
        <v/>
      </c>
      <c r="D1368" t="str">
        <f>IF('NEW ACCOUNT'!A1369="","",'NEW ACCOUNT'!D1369)</f>
        <v/>
      </c>
      <c r="E1368" t="str">
        <f>IF('NEW ACCOUNT'!A1369="","",'NEW ACCOUNT'!E1369)</f>
        <v/>
      </c>
      <c r="F1368" t="str">
        <f>IF('NEW ACCOUNT'!A1369="","",'NEW ACCOUNT'!F1369)</f>
        <v/>
      </c>
      <c r="G1368" t="str">
        <f>IF('NEW ACCOUNT'!A1369="","",'NEW ACCOUNT'!G1369)</f>
        <v/>
      </c>
      <c r="H1368" t="str">
        <f>IF('NEW ACCOUNT'!A1369="","",'NEW ACCOUNT'!H1369)</f>
        <v/>
      </c>
      <c r="I1368" t="str">
        <f>IF('NEW ACCOUNT'!A1369="","",'NEW ACCOUNT'!I1369)</f>
        <v/>
      </c>
      <c r="J1368" t="str">
        <f>IF('NEW ACCOUNT'!A1369="","",'NEW ACCOUNT'!J1369)</f>
        <v/>
      </c>
      <c r="K1368" t="str">
        <f>IFERROR(IF(A1368="","",SUMIF(DB_Savings!$A:$A,A1368,DB_Savings!$F:$F)),"")</f>
        <v/>
      </c>
      <c r="L1368" t="str">
        <f>IFERROR(IF(A1368="","",SUMIF(DB_Withdrawals!$A:$A,A1368,DB_Withdrawals!$G:$G)),"")</f>
        <v/>
      </c>
      <c r="M1368" t="str">
        <f>IFERROR(IF(A1368="","",IFERROR(VALUE(H1368),0)+IFERROR(SUMIF(DB_Savings!$A:$A,A1368,DB_Savings!$F:$F),0)-IFERROR(SUMIF(DB_Withdrawals!$A:$A,A1368,DB_Withdrawals!$G:$G),0)),"")</f>
        <v/>
      </c>
      <c r="N1368" t="str">
        <f>IFERROR(IF(A1368="","",MAX(0,M1368-System_Config!$B$9)),"")</f>
        <v/>
      </c>
    </row>
    <row r="1369" spans="1:14" ht="15" customHeight="1" x14ac:dyDescent="0.25">
      <c r="A1369" t="str">
        <f>'NEW ACCOUNT'!A1370</f>
        <v/>
      </c>
      <c r="B1369" t="str">
        <f>IF('NEW ACCOUNT'!A1370="","",'NEW ACCOUNT'!B1370)</f>
        <v/>
      </c>
      <c r="C1369" t="str">
        <f>IF('NEW ACCOUNT'!A1370="","",'NEW ACCOUNT'!C1370)</f>
        <v/>
      </c>
      <c r="D1369" t="str">
        <f>IF('NEW ACCOUNT'!A1370="","",'NEW ACCOUNT'!D1370)</f>
        <v/>
      </c>
      <c r="E1369" t="str">
        <f>IF('NEW ACCOUNT'!A1370="","",'NEW ACCOUNT'!E1370)</f>
        <v/>
      </c>
      <c r="F1369" t="str">
        <f>IF('NEW ACCOUNT'!A1370="","",'NEW ACCOUNT'!F1370)</f>
        <v/>
      </c>
      <c r="G1369" t="str">
        <f>IF('NEW ACCOUNT'!A1370="","",'NEW ACCOUNT'!G1370)</f>
        <v/>
      </c>
      <c r="H1369" t="str">
        <f>IF('NEW ACCOUNT'!A1370="","",'NEW ACCOUNT'!H1370)</f>
        <v/>
      </c>
      <c r="I1369" t="str">
        <f>IF('NEW ACCOUNT'!A1370="","",'NEW ACCOUNT'!I1370)</f>
        <v/>
      </c>
      <c r="J1369" t="str">
        <f>IF('NEW ACCOUNT'!A1370="","",'NEW ACCOUNT'!J1370)</f>
        <v/>
      </c>
      <c r="K1369" t="str">
        <f>IFERROR(IF(A1369="","",SUMIF(DB_Savings!$A:$A,A1369,DB_Savings!$F:$F)),"")</f>
        <v/>
      </c>
      <c r="L1369" t="str">
        <f>IFERROR(IF(A1369="","",SUMIF(DB_Withdrawals!$A:$A,A1369,DB_Withdrawals!$G:$G)),"")</f>
        <v/>
      </c>
      <c r="M1369" t="str">
        <f>IFERROR(IF(A1369="","",IFERROR(VALUE(H1369),0)+IFERROR(SUMIF(DB_Savings!$A:$A,A1369,DB_Savings!$F:$F),0)-IFERROR(SUMIF(DB_Withdrawals!$A:$A,A1369,DB_Withdrawals!$G:$G),0)),"")</f>
        <v/>
      </c>
      <c r="N1369" t="str">
        <f>IFERROR(IF(A1369="","",MAX(0,M1369-System_Config!$B$9)),"")</f>
        <v/>
      </c>
    </row>
    <row r="1370" spans="1:14" ht="15" customHeight="1" x14ac:dyDescent="0.25">
      <c r="A1370" t="str">
        <f>'NEW ACCOUNT'!A1371</f>
        <v/>
      </c>
      <c r="B1370" t="str">
        <f>IF('NEW ACCOUNT'!A1371="","",'NEW ACCOUNT'!B1371)</f>
        <v/>
      </c>
      <c r="C1370" t="str">
        <f>IF('NEW ACCOUNT'!A1371="","",'NEW ACCOUNT'!C1371)</f>
        <v/>
      </c>
      <c r="D1370" t="str">
        <f>IF('NEW ACCOUNT'!A1371="","",'NEW ACCOUNT'!D1371)</f>
        <v/>
      </c>
      <c r="E1370" t="str">
        <f>IF('NEW ACCOUNT'!A1371="","",'NEW ACCOUNT'!E1371)</f>
        <v/>
      </c>
      <c r="F1370" t="str">
        <f>IF('NEW ACCOUNT'!A1371="","",'NEW ACCOUNT'!F1371)</f>
        <v/>
      </c>
      <c r="G1370" t="str">
        <f>IF('NEW ACCOUNT'!A1371="","",'NEW ACCOUNT'!G1371)</f>
        <v/>
      </c>
      <c r="H1370" t="str">
        <f>IF('NEW ACCOUNT'!A1371="","",'NEW ACCOUNT'!H1371)</f>
        <v/>
      </c>
      <c r="I1370" t="str">
        <f>IF('NEW ACCOUNT'!A1371="","",'NEW ACCOUNT'!I1371)</f>
        <v/>
      </c>
      <c r="J1370" t="str">
        <f>IF('NEW ACCOUNT'!A1371="","",'NEW ACCOUNT'!J1371)</f>
        <v/>
      </c>
      <c r="K1370" t="str">
        <f>IFERROR(IF(A1370="","",SUMIF(DB_Savings!$A:$A,A1370,DB_Savings!$F:$F)),"")</f>
        <v/>
      </c>
      <c r="L1370" t="str">
        <f>IFERROR(IF(A1370="","",SUMIF(DB_Withdrawals!$A:$A,A1370,DB_Withdrawals!$G:$G)),"")</f>
        <v/>
      </c>
      <c r="M1370" t="str">
        <f>IFERROR(IF(A1370="","",IFERROR(VALUE(H1370),0)+IFERROR(SUMIF(DB_Savings!$A:$A,A1370,DB_Savings!$F:$F),0)-IFERROR(SUMIF(DB_Withdrawals!$A:$A,A1370,DB_Withdrawals!$G:$G),0)),"")</f>
        <v/>
      </c>
      <c r="N1370" t="str">
        <f>IFERROR(IF(A1370="","",MAX(0,M1370-System_Config!$B$9)),"")</f>
        <v/>
      </c>
    </row>
    <row r="1371" spans="1:14" ht="15" customHeight="1" x14ac:dyDescent="0.25">
      <c r="A1371" t="str">
        <f>'NEW ACCOUNT'!A1372</f>
        <v/>
      </c>
      <c r="B1371" t="str">
        <f>IF('NEW ACCOUNT'!A1372="","",'NEW ACCOUNT'!B1372)</f>
        <v/>
      </c>
      <c r="C1371" t="str">
        <f>IF('NEW ACCOUNT'!A1372="","",'NEW ACCOUNT'!C1372)</f>
        <v/>
      </c>
      <c r="D1371" t="str">
        <f>IF('NEW ACCOUNT'!A1372="","",'NEW ACCOUNT'!D1372)</f>
        <v/>
      </c>
      <c r="E1371" t="str">
        <f>IF('NEW ACCOUNT'!A1372="","",'NEW ACCOUNT'!E1372)</f>
        <v/>
      </c>
      <c r="F1371" t="str">
        <f>IF('NEW ACCOUNT'!A1372="","",'NEW ACCOUNT'!F1372)</f>
        <v/>
      </c>
      <c r="G1371" t="str">
        <f>IF('NEW ACCOUNT'!A1372="","",'NEW ACCOUNT'!G1372)</f>
        <v/>
      </c>
      <c r="H1371" t="str">
        <f>IF('NEW ACCOUNT'!A1372="","",'NEW ACCOUNT'!H1372)</f>
        <v/>
      </c>
      <c r="I1371" t="str">
        <f>IF('NEW ACCOUNT'!A1372="","",'NEW ACCOUNT'!I1372)</f>
        <v/>
      </c>
      <c r="J1371" t="str">
        <f>IF('NEW ACCOUNT'!A1372="","",'NEW ACCOUNT'!J1372)</f>
        <v/>
      </c>
      <c r="K1371" t="str">
        <f>IFERROR(IF(A1371="","",SUMIF(DB_Savings!$A:$A,A1371,DB_Savings!$F:$F)),"")</f>
        <v/>
      </c>
      <c r="L1371" t="str">
        <f>IFERROR(IF(A1371="","",SUMIF(DB_Withdrawals!$A:$A,A1371,DB_Withdrawals!$G:$G)),"")</f>
        <v/>
      </c>
      <c r="M1371" t="str">
        <f>IFERROR(IF(A1371="","",IFERROR(VALUE(H1371),0)+IFERROR(SUMIF(DB_Savings!$A:$A,A1371,DB_Savings!$F:$F),0)-IFERROR(SUMIF(DB_Withdrawals!$A:$A,A1371,DB_Withdrawals!$G:$G),0)),"")</f>
        <v/>
      </c>
      <c r="N1371" t="str">
        <f>IFERROR(IF(A1371="","",MAX(0,M1371-System_Config!$B$9)),"")</f>
        <v/>
      </c>
    </row>
    <row r="1372" spans="1:14" ht="15" customHeight="1" x14ac:dyDescent="0.25">
      <c r="A1372" t="str">
        <f>'NEW ACCOUNT'!A1373</f>
        <v/>
      </c>
      <c r="B1372" t="str">
        <f>IF('NEW ACCOUNT'!A1373="","",'NEW ACCOUNT'!B1373)</f>
        <v/>
      </c>
      <c r="C1372" t="str">
        <f>IF('NEW ACCOUNT'!A1373="","",'NEW ACCOUNT'!C1373)</f>
        <v/>
      </c>
      <c r="D1372" t="str">
        <f>IF('NEW ACCOUNT'!A1373="","",'NEW ACCOUNT'!D1373)</f>
        <v/>
      </c>
      <c r="E1372" t="str">
        <f>IF('NEW ACCOUNT'!A1373="","",'NEW ACCOUNT'!E1373)</f>
        <v/>
      </c>
      <c r="F1372" t="str">
        <f>IF('NEW ACCOUNT'!A1373="","",'NEW ACCOUNT'!F1373)</f>
        <v/>
      </c>
      <c r="G1372" t="str">
        <f>IF('NEW ACCOUNT'!A1373="","",'NEW ACCOUNT'!G1373)</f>
        <v/>
      </c>
      <c r="H1372" t="str">
        <f>IF('NEW ACCOUNT'!A1373="","",'NEW ACCOUNT'!H1373)</f>
        <v/>
      </c>
      <c r="I1372" t="str">
        <f>IF('NEW ACCOUNT'!A1373="","",'NEW ACCOUNT'!I1373)</f>
        <v/>
      </c>
      <c r="J1372" t="str">
        <f>IF('NEW ACCOUNT'!A1373="","",'NEW ACCOUNT'!J1373)</f>
        <v/>
      </c>
      <c r="K1372" t="str">
        <f>IFERROR(IF(A1372="","",SUMIF(DB_Savings!$A:$A,A1372,DB_Savings!$F:$F)),"")</f>
        <v/>
      </c>
      <c r="L1372" t="str">
        <f>IFERROR(IF(A1372="","",SUMIF(DB_Withdrawals!$A:$A,A1372,DB_Withdrawals!$G:$G)),"")</f>
        <v/>
      </c>
      <c r="M1372" t="str">
        <f>IFERROR(IF(A1372="","",IFERROR(VALUE(H1372),0)+IFERROR(SUMIF(DB_Savings!$A:$A,A1372,DB_Savings!$F:$F),0)-IFERROR(SUMIF(DB_Withdrawals!$A:$A,A1372,DB_Withdrawals!$G:$G),0)),"")</f>
        <v/>
      </c>
      <c r="N1372" t="str">
        <f>IFERROR(IF(A1372="","",MAX(0,M1372-System_Config!$B$9)),"")</f>
        <v/>
      </c>
    </row>
    <row r="1373" spans="1:14" ht="15" customHeight="1" x14ac:dyDescent="0.25">
      <c r="A1373" t="str">
        <f>'NEW ACCOUNT'!A1374</f>
        <v/>
      </c>
      <c r="B1373" t="str">
        <f>IF('NEW ACCOUNT'!A1374="","",'NEW ACCOUNT'!B1374)</f>
        <v/>
      </c>
      <c r="C1373" t="str">
        <f>IF('NEW ACCOUNT'!A1374="","",'NEW ACCOUNT'!C1374)</f>
        <v/>
      </c>
      <c r="D1373" t="str">
        <f>IF('NEW ACCOUNT'!A1374="","",'NEW ACCOUNT'!D1374)</f>
        <v/>
      </c>
      <c r="E1373" t="str">
        <f>IF('NEW ACCOUNT'!A1374="","",'NEW ACCOUNT'!E1374)</f>
        <v/>
      </c>
      <c r="F1373" t="str">
        <f>IF('NEW ACCOUNT'!A1374="","",'NEW ACCOUNT'!F1374)</f>
        <v/>
      </c>
      <c r="G1373" t="str">
        <f>IF('NEW ACCOUNT'!A1374="","",'NEW ACCOUNT'!G1374)</f>
        <v/>
      </c>
      <c r="H1373" t="str">
        <f>IF('NEW ACCOUNT'!A1374="","",'NEW ACCOUNT'!H1374)</f>
        <v/>
      </c>
      <c r="I1373" t="str">
        <f>IF('NEW ACCOUNT'!A1374="","",'NEW ACCOUNT'!I1374)</f>
        <v/>
      </c>
      <c r="J1373" t="str">
        <f>IF('NEW ACCOUNT'!A1374="","",'NEW ACCOUNT'!J1374)</f>
        <v/>
      </c>
      <c r="K1373" t="str">
        <f>IFERROR(IF(A1373="","",SUMIF(DB_Savings!$A:$A,A1373,DB_Savings!$F:$F)),"")</f>
        <v/>
      </c>
      <c r="L1373" t="str">
        <f>IFERROR(IF(A1373="","",SUMIF(DB_Withdrawals!$A:$A,A1373,DB_Withdrawals!$G:$G)),"")</f>
        <v/>
      </c>
      <c r="M1373" t="str">
        <f>IFERROR(IF(A1373="","",IFERROR(VALUE(H1373),0)+IFERROR(SUMIF(DB_Savings!$A:$A,A1373,DB_Savings!$F:$F),0)-IFERROR(SUMIF(DB_Withdrawals!$A:$A,A1373,DB_Withdrawals!$G:$G),0)),"")</f>
        <v/>
      </c>
      <c r="N1373" t="str">
        <f>IFERROR(IF(A1373="","",MAX(0,M1373-System_Config!$B$9)),"")</f>
        <v/>
      </c>
    </row>
    <row r="1374" spans="1:14" ht="15" customHeight="1" x14ac:dyDescent="0.25">
      <c r="A1374" t="str">
        <f>'NEW ACCOUNT'!A1375</f>
        <v/>
      </c>
      <c r="B1374" t="str">
        <f>IF('NEW ACCOUNT'!A1375="","",'NEW ACCOUNT'!B1375)</f>
        <v/>
      </c>
      <c r="C1374" t="str">
        <f>IF('NEW ACCOUNT'!A1375="","",'NEW ACCOUNT'!C1375)</f>
        <v/>
      </c>
      <c r="D1374" t="str">
        <f>IF('NEW ACCOUNT'!A1375="","",'NEW ACCOUNT'!D1375)</f>
        <v/>
      </c>
      <c r="E1374" t="str">
        <f>IF('NEW ACCOUNT'!A1375="","",'NEW ACCOUNT'!E1375)</f>
        <v/>
      </c>
      <c r="F1374" t="str">
        <f>IF('NEW ACCOUNT'!A1375="","",'NEW ACCOUNT'!F1375)</f>
        <v/>
      </c>
      <c r="G1374" t="str">
        <f>IF('NEW ACCOUNT'!A1375="","",'NEW ACCOUNT'!G1375)</f>
        <v/>
      </c>
      <c r="H1374" t="str">
        <f>IF('NEW ACCOUNT'!A1375="","",'NEW ACCOUNT'!H1375)</f>
        <v/>
      </c>
      <c r="I1374" t="str">
        <f>IF('NEW ACCOUNT'!A1375="","",'NEW ACCOUNT'!I1375)</f>
        <v/>
      </c>
      <c r="J1374" t="str">
        <f>IF('NEW ACCOUNT'!A1375="","",'NEW ACCOUNT'!J1375)</f>
        <v/>
      </c>
      <c r="K1374" t="str">
        <f>IFERROR(IF(A1374="","",SUMIF(DB_Savings!$A:$A,A1374,DB_Savings!$F:$F)),"")</f>
        <v/>
      </c>
      <c r="L1374" t="str">
        <f>IFERROR(IF(A1374="","",SUMIF(DB_Withdrawals!$A:$A,A1374,DB_Withdrawals!$G:$G)),"")</f>
        <v/>
      </c>
      <c r="M1374" t="str">
        <f>IFERROR(IF(A1374="","",IFERROR(VALUE(H1374),0)+IFERROR(SUMIF(DB_Savings!$A:$A,A1374,DB_Savings!$F:$F),0)-IFERROR(SUMIF(DB_Withdrawals!$A:$A,A1374,DB_Withdrawals!$G:$G),0)),"")</f>
        <v/>
      </c>
      <c r="N1374" t="str">
        <f>IFERROR(IF(A1374="","",MAX(0,M1374-System_Config!$B$9)),"")</f>
        <v/>
      </c>
    </row>
    <row r="1375" spans="1:14" ht="15" customHeight="1" x14ac:dyDescent="0.25">
      <c r="A1375" t="str">
        <f>'NEW ACCOUNT'!A1376</f>
        <v/>
      </c>
      <c r="B1375" t="str">
        <f>IF('NEW ACCOUNT'!A1376="","",'NEW ACCOUNT'!B1376)</f>
        <v/>
      </c>
      <c r="C1375" t="str">
        <f>IF('NEW ACCOUNT'!A1376="","",'NEW ACCOUNT'!C1376)</f>
        <v/>
      </c>
      <c r="D1375" t="str">
        <f>IF('NEW ACCOUNT'!A1376="","",'NEW ACCOUNT'!D1376)</f>
        <v/>
      </c>
      <c r="E1375" t="str">
        <f>IF('NEW ACCOUNT'!A1376="","",'NEW ACCOUNT'!E1376)</f>
        <v/>
      </c>
      <c r="F1375" t="str">
        <f>IF('NEW ACCOUNT'!A1376="","",'NEW ACCOUNT'!F1376)</f>
        <v/>
      </c>
      <c r="G1375" t="str">
        <f>IF('NEW ACCOUNT'!A1376="","",'NEW ACCOUNT'!G1376)</f>
        <v/>
      </c>
      <c r="H1375" t="str">
        <f>IF('NEW ACCOUNT'!A1376="","",'NEW ACCOUNT'!H1376)</f>
        <v/>
      </c>
      <c r="I1375" t="str">
        <f>IF('NEW ACCOUNT'!A1376="","",'NEW ACCOUNT'!I1376)</f>
        <v/>
      </c>
      <c r="J1375" t="str">
        <f>IF('NEW ACCOUNT'!A1376="","",'NEW ACCOUNT'!J1376)</f>
        <v/>
      </c>
      <c r="K1375" t="str">
        <f>IFERROR(IF(A1375="","",SUMIF(DB_Savings!$A:$A,A1375,DB_Savings!$F:$F)),"")</f>
        <v/>
      </c>
      <c r="L1375" t="str">
        <f>IFERROR(IF(A1375="","",SUMIF(DB_Withdrawals!$A:$A,A1375,DB_Withdrawals!$G:$G)),"")</f>
        <v/>
      </c>
      <c r="M1375" t="str">
        <f>IFERROR(IF(A1375="","",IFERROR(VALUE(H1375),0)+IFERROR(SUMIF(DB_Savings!$A:$A,A1375,DB_Savings!$F:$F),0)-IFERROR(SUMIF(DB_Withdrawals!$A:$A,A1375,DB_Withdrawals!$G:$G),0)),"")</f>
        <v/>
      </c>
      <c r="N1375" t="str">
        <f>IFERROR(IF(A1375="","",MAX(0,M1375-System_Config!$B$9)),"")</f>
        <v/>
      </c>
    </row>
    <row r="1376" spans="1:14" ht="15" customHeight="1" x14ac:dyDescent="0.25">
      <c r="A1376" t="str">
        <f>'NEW ACCOUNT'!A1377</f>
        <v/>
      </c>
      <c r="B1376" t="str">
        <f>IF('NEW ACCOUNT'!A1377="","",'NEW ACCOUNT'!B1377)</f>
        <v/>
      </c>
      <c r="C1376" t="str">
        <f>IF('NEW ACCOUNT'!A1377="","",'NEW ACCOUNT'!C1377)</f>
        <v/>
      </c>
      <c r="D1376" t="str">
        <f>IF('NEW ACCOUNT'!A1377="","",'NEW ACCOUNT'!D1377)</f>
        <v/>
      </c>
      <c r="E1376" t="str">
        <f>IF('NEW ACCOUNT'!A1377="","",'NEW ACCOUNT'!E1377)</f>
        <v/>
      </c>
      <c r="F1376" t="str">
        <f>IF('NEW ACCOUNT'!A1377="","",'NEW ACCOUNT'!F1377)</f>
        <v/>
      </c>
      <c r="G1376" t="str">
        <f>IF('NEW ACCOUNT'!A1377="","",'NEW ACCOUNT'!G1377)</f>
        <v/>
      </c>
      <c r="H1376" t="str">
        <f>IF('NEW ACCOUNT'!A1377="","",'NEW ACCOUNT'!H1377)</f>
        <v/>
      </c>
      <c r="I1376" t="str">
        <f>IF('NEW ACCOUNT'!A1377="","",'NEW ACCOUNT'!I1377)</f>
        <v/>
      </c>
      <c r="J1376" t="str">
        <f>IF('NEW ACCOUNT'!A1377="","",'NEW ACCOUNT'!J1377)</f>
        <v/>
      </c>
      <c r="K1376" t="str">
        <f>IFERROR(IF(A1376="","",SUMIF(DB_Savings!$A:$A,A1376,DB_Savings!$F:$F)),"")</f>
        <v/>
      </c>
      <c r="L1376" t="str">
        <f>IFERROR(IF(A1376="","",SUMIF(DB_Withdrawals!$A:$A,A1376,DB_Withdrawals!$G:$G)),"")</f>
        <v/>
      </c>
      <c r="M1376" t="str">
        <f>IFERROR(IF(A1376="","",IFERROR(VALUE(H1376),0)+IFERROR(SUMIF(DB_Savings!$A:$A,A1376,DB_Savings!$F:$F),0)-IFERROR(SUMIF(DB_Withdrawals!$A:$A,A1376,DB_Withdrawals!$G:$G),0)),"")</f>
        <v/>
      </c>
      <c r="N1376" t="str">
        <f>IFERROR(IF(A1376="","",MAX(0,M1376-System_Config!$B$9)),"")</f>
        <v/>
      </c>
    </row>
    <row r="1377" spans="1:14" ht="15" customHeight="1" x14ac:dyDescent="0.25">
      <c r="A1377" t="str">
        <f>'NEW ACCOUNT'!A1378</f>
        <v/>
      </c>
      <c r="B1377" t="str">
        <f>IF('NEW ACCOUNT'!A1378="","",'NEW ACCOUNT'!B1378)</f>
        <v/>
      </c>
      <c r="C1377" t="str">
        <f>IF('NEW ACCOUNT'!A1378="","",'NEW ACCOUNT'!C1378)</f>
        <v/>
      </c>
      <c r="D1377" t="str">
        <f>IF('NEW ACCOUNT'!A1378="","",'NEW ACCOUNT'!D1378)</f>
        <v/>
      </c>
      <c r="E1377" t="str">
        <f>IF('NEW ACCOUNT'!A1378="","",'NEW ACCOUNT'!E1378)</f>
        <v/>
      </c>
      <c r="F1377" t="str">
        <f>IF('NEW ACCOUNT'!A1378="","",'NEW ACCOUNT'!F1378)</f>
        <v/>
      </c>
      <c r="G1377" t="str">
        <f>IF('NEW ACCOUNT'!A1378="","",'NEW ACCOUNT'!G1378)</f>
        <v/>
      </c>
      <c r="H1377" t="str">
        <f>IF('NEW ACCOUNT'!A1378="","",'NEW ACCOUNT'!H1378)</f>
        <v/>
      </c>
      <c r="I1377" t="str">
        <f>IF('NEW ACCOUNT'!A1378="","",'NEW ACCOUNT'!I1378)</f>
        <v/>
      </c>
      <c r="J1377" t="str">
        <f>IF('NEW ACCOUNT'!A1378="","",'NEW ACCOUNT'!J1378)</f>
        <v/>
      </c>
      <c r="K1377" t="str">
        <f>IFERROR(IF(A1377="","",SUMIF(DB_Savings!$A:$A,A1377,DB_Savings!$F:$F)),"")</f>
        <v/>
      </c>
      <c r="L1377" t="str">
        <f>IFERROR(IF(A1377="","",SUMIF(DB_Withdrawals!$A:$A,A1377,DB_Withdrawals!$G:$G)),"")</f>
        <v/>
      </c>
      <c r="M1377" t="str">
        <f>IFERROR(IF(A1377="","",IFERROR(VALUE(H1377),0)+IFERROR(SUMIF(DB_Savings!$A:$A,A1377,DB_Savings!$F:$F),0)-IFERROR(SUMIF(DB_Withdrawals!$A:$A,A1377,DB_Withdrawals!$G:$G),0)),"")</f>
        <v/>
      </c>
      <c r="N1377" t="str">
        <f>IFERROR(IF(A1377="","",MAX(0,M1377-System_Config!$B$9)),"")</f>
        <v/>
      </c>
    </row>
    <row r="1378" spans="1:14" ht="15" customHeight="1" x14ac:dyDescent="0.25">
      <c r="A1378" t="str">
        <f>'NEW ACCOUNT'!A1379</f>
        <v/>
      </c>
      <c r="B1378" t="str">
        <f>IF('NEW ACCOUNT'!A1379="","",'NEW ACCOUNT'!B1379)</f>
        <v/>
      </c>
      <c r="C1378" t="str">
        <f>IF('NEW ACCOUNT'!A1379="","",'NEW ACCOUNT'!C1379)</f>
        <v/>
      </c>
      <c r="D1378" t="str">
        <f>IF('NEW ACCOUNT'!A1379="","",'NEW ACCOUNT'!D1379)</f>
        <v/>
      </c>
      <c r="E1378" t="str">
        <f>IF('NEW ACCOUNT'!A1379="","",'NEW ACCOUNT'!E1379)</f>
        <v/>
      </c>
      <c r="F1378" t="str">
        <f>IF('NEW ACCOUNT'!A1379="","",'NEW ACCOUNT'!F1379)</f>
        <v/>
      </c>
      <c r="G1378" t="str">
        <f>IF('NEW ACCOUNT'!A1379="","",'NEW ACCOUNT'!G1379)</f>
        <v/>
      </c>
      <c r="H1378" t="str">
        <f>IF('NEW ACCOUNT'!A1379="","",'NEW ACCOUNT'!H1379)</f>
        <v/>
      </c>
      <c r="I1378" t="str">
        <f>IF('NEW ACCOUNT'!A1379="","",'NEW ACCOUNT'!I1379)</f>
        <v/>
      </c>
      <c r="J1378" t="str">
        <f>IF('NEW ACCOUNT'!A1379="","",'NEW ACCOUNT'!J1379)</f>
        <v/>
      </c>
      <c r="K1378" t="str">
        <f>IFERROR(IF(A1378="","",SUMIF(DB_Savings!$A:$A,A1378,DB_Savings!$F:$F)),"")</f>
        <v/>
      </c>
      <c r="L1378" t="str">
        <f>IFERROR(IF(A1378="","",SUMIF(DB_Withdrawals!$A:$A,A1378,DB_Withdrawals!$G:$G)),"")</f>
        <v/>
      </c>
      <c r="M1378" t="str">
        <f>IFERROR(IF(A1378="","",IFERROR(VALUE(H1378),0)+IFERROR(SUMIF(DB_Savings!$A:$A,A1378,DB_Savings!$F:$F),0)-IFERROR(SUMIF(DB_Withdrawals!$A:$A,A1378,DB_Withdrawals!$G:$G),0)),"")</f>
        <v/>
      </c>
      <c r="N1378" t="str">
        <f>IFERROR(IF(A1378="","",MAX(0,M1378-System_Config!$B$9)),"")</f>
        <v/>
      </c>
    </row>
    <row r="1379" spans="1:14" ht="15" customHeight="1" x14ac:dyDescent="0.25">
      <c r="A1379" t="str">
        <f>'NEW ACCOUNT'!A1380</f>
        <v/>
      </c>
      <c r="B1379" t="str">
        <f>IF('NEW ACCOUNT'!A1380="","",'NEW ACCOUNT'!B1380)</f>
        <v/>
      </c>
      <c r="C1379" t="str">
        <f>IF('NEW ACCOUNT'!A1380="","",'NEW ACCOUNT'!C1380)</f>
        <v/>
      </c>
      <c r="D1379" t="str">
        <f>IF('NEW ACCOUNT'!A1380="","",'NEW ACCOUNT'!D1380)</f>
        <v/>
      </c>
      <c r="E1379" t="str">
        <f>IF('NEW ACCOUNT'!A1380="","",'NEW ACCOUNT'!E1380)</f>
        <v/>
      </c>
      <c r="F1379" t="str">
        <f>IF('NEW ACCOUNT'!A1380="","",'NEW ACCOUNT'!F1380)</f>
        <v/>
      </c>
      <c r="G1379" t="str">
        <f>IF('NEW ACCOUNT'!A1380="","",'NEW ACCOUNT'!G1380)</f>
        <v/>
      </c>
      <c r="H1379" t="str">
        <f>IF('NEW ACCOUNT'!A1380="","",'NEW ACCOUNT'!H1380)</f>
        <v/>
      </c>
      <c r="I1379" t="str">
        <f>IF('NEW ACCOUNT'!A1380="","",'NEW ACCOUNT'!I1380)</f>
        <v/>
      </c>
      <c r="J1379" t="str">
        <f>IF('NEW ACCOUNT'!A1380="","",'NEW ACCOUNT'!J1380)</f>
        <v/>
      </c>
      <c r="K1379" t="str">
        <f>IFERROR(IF(A1379="","",SUMIF(DB_Savings!$A:$A,A1379,DB_Savings!$F:$F)),"")</f>
        <v/>
      </c>
      <c r="L1379" t="str">
        <f>IFERROR(IF(A1379="","",SUMIF(DB_Withdrawals!$A:$A,A1379,DB_Withdrawals!$G:$G)),"")</f>
        <v/>
      </c>
      <c r="M1379" t="str">
        <f>IFERROR(IF(A1379="","",IFERROR(VALUE(H1379),0)+IFERROR(SUMIF(DB_Savings!$A:$A,A1379,DB_Savings!$F:$F),0)-IFERROR(SUMIF(DB_Withdrawals!$A:$A,A1379,DB_Withdrawals!$G:$G),0)),"")</f>
        <v/>
      </c>
      <c r="N1379" t="str">
        <f>IFERROR(IF(A1379="","",MAX(0,M1379-System_Config!$B$9)),"")</f>
        <v/>
      </c>
    </row>
    <row r="1380" spans="1:14" ht="15" customHeight="1" x14ac:dyDescent="0.25">
      <c r="A1380" t="str">
        <f>'NEW ACCOUNT'!A1381</f>
        <v/>
      </c>
      <c r="B1380" t="str">
        <f>IF('NEW ACCOUNT'!A1381="","",'NEW ACCOUNT'!B1381)</f>
        <v/>
      </c>
      <c r="C1380" t="str">
        <f>IF('NEW ACCOUNT'!A1381="","",'NEW ACCOUNT'!C1381)</f>
        <v/>
      </c>
      <c r="D1380" t="str">
        <f>IF('NEW ACCOUNT'!A1381="","",'NEW ACCOUNT'!D1381)</f>
        <v/>
      </c>
      <c r="E1380" t="str">
        <f>IF('NEW ACCOUNT'!A1381="","",'NEW ACCOUNT'!E1381)</f>
        <v/>
      </c>
      <c r="F1380" t="str">
        <f>IF('NEW ACCOUNT'!A1381="","",'NEW ACCOUNT'!F1381)</f>
        <v/>
      </c>
      <c r="G1380" t="str">
        <f>IF('NEW ACCOUNT'!A1381="","",'NEW ACCOUNT'!G1381)</f>
        <v/>
      </c>
      <c r="H1380" t="str">
        <f>IF('NEW ACCOUNT'!A1381="","",'NEW ACCOUNT'!H1381)</f>
        <v/>
      </c>
      <c r="I1380" t="str">
        <f>IF('NEW ACCOUNT'!A1381="","",'NEW ACCOUNT'!I1381)</f>
        <v/>
      </c>
      <c r="J1380" t="str">
        <f>IF('NEW ACCOUNT'!A1381="","",'NEW ACCOUNT'!J1381)</f>
        <v/>
      </c>
      <c r="K1380" t="str">
        <f>IFERROR(IF(A1380="","",SUMIF(DB_Savings!$A:$A,A1380,DB_Savings!$F:$F)),"")</f>
        <v/>
      </c>
      <c r="L1380" t="str">
        <f>IFERROR(IF(A1380="","",SUMIF(DB_Withdrawals!$A:$A,A1380,DB_Withdrawals!$G:$G)),"")</f>
        <v/>
      </c>
      <c r="M1380" t="str">
        <f>IFERROR(IF(A1380="","",IFERROR(VALUE(H1380),0)+IFERROR(SUMIF(DB_Savings!$A:$A,A1380,DB_Savings!$F:$F),0)-IFERROR(SUMIF(DB_Withdrawals!$A:$A,A1380,DB_Withdrawals!$G:$G),0)),"")</f>
        <v/>
      </c>
      <c r="N1380" t="str">
        <f>IFERROR(IF(A1380="","",MAX(0,M1380-System_Config!$B$9)),"")</f>
        <v/>
      </c>
    </row>
    <row r="1381" spans="1:14" ht="15" customHeight="1" x14ac:dyDescent="0.25">
      <c r="A1381" t="str">
        <f>'NEW ACCOUNT'!A1382</f>
        <v/>
      </c>
      <c r="B1381" t="str">
        <f>IF('NEW ACCOUNT'!A1382="","",'NEW ACCOUNT'!B1382)</f>
        <v/>
      </c>
      <c r="C1381" t="str">
        <f>IF('NEW ACCOUNT'!A1382="","",'NEW ACCOUNT'!C1382)</f>
        <v/>
      </c>
      <c r="D1381" t="str">
        <f>IF('NEW ACCOUNT'!A1382="","",'NEW ACCOUNT'!D1382)</f>
        <v/>
      </c>
      <c r="E1381" t="str">
        <f>IF('NEW ACCOUNT'!A1382="","",'NEW ACCOUNT'!E1382)</f>
        <v/>
      </c>
      <c r="F1381" t="str">
        <f>IF('NEW ACCOUNT'!A1382="","",'NEW ACCOUNT'!F1382)</f>
        <v/>
      </c>
      <c r="G1381" t="str">
        <f>IF('NEW ACCOUNT'!A1382="","",'NEW ACCOUNT'!G1382)</f>
        <v/>
      </c>
      <c r="H1381" t="str">
        <f>IF('NEW ACCOUNT'!A1382="","",'NEW ACCOUNT'!H1382)</f>
        <v/>
      </c>
      <c r="I1381" t="str">
        <f>IF('NEW ACCOUNT'!A1382="","",'NEW ACCOUNT'!I1382)</f>
        <v/>
      </c>
      <c r="J1381" t="str">
        <f>IF('NEW ACCOUNT'!A1382="","",'NEW ACCOUNT'!J1382)</f>
        <v/>
      </c>
      <c r="K1381" t="str">
        <f>IFERROR(IF(A1381="","",SUMIF(DB_Savings!$A:$A,A1381,DB_Savings!$F:$F)),"")</f>
        <v/>
      </c>
      <c r="L1381" t="str">
        <f>IFERROR(IF(A1381="","",SUMIF(DB_Withdrawals!$A:$A,A1381,DB_Withdrawals!$G:$G)),"")</f>
        <v/>
      </c>
      <c r="M1381" t="str">
        <f>IFERROR(IF(A1381="","",IFERROR(VALUE(H1381),0)+IFERROR(SUMIF(DB_Savings!$A:$A,A1381,DB_Savings!$F:$F),0)-IFERROR(SUMIF(DB_Withdrawals!$A:$A,A1381,DB_Withdrawals!$G:$G),0)),"")</f>
        <v/>
      </c>
      <c r="N1381" t="str">
        <f>IFERROR(IF(A1381="","",MAX(0,M1381-System_Config!$B$9)),"")</f>
        <v/>
      </c>
    </row>
    <row r="1382" spans="1:14" ht="15" customHeight="1" x14ac:dyDescent="0.25">
      <c r="A1382" t="str">
        <f>'NEW ACCOUNT'!A1383</f>
        <v/>
      </c>
      <c r="B1382" t="str">
        <f>IF('NEW ACCOUNT'!A1383="","",'NEW ACCOUNT'!B1383)</f>
        <v/>
      </c>
      <c r="C1382" t="str">
        <f>IF('NEW ACCOUNT'!A1383="","",'NEW ACCOUNT'!C1383)</f>
        <v/>
      </c>
      <c r="D1382" t="str">
        <f>IF('NEW ACCOUNT'!A1383="","",'NEW ACCOUNT'!D1383)</f>
        <v/>
      </c>
      <c r="E1382" t="str">
        <f>IF('NEW ACCOUNT'!A1383="","",'NEW ACCOUNT'!E1383)</f>
        <v/>
      </c>
      <c r="F1382" t="str">
        <f>IF('NEW ACCOUNT'!A1383="","",'NEW ACCOUNT'!F1383)</f>
        <v/>
      </c>
      <c r="G1382" t="str">
        <f>IF('NEW ACCOUNT'!A1383="","",'NEW ACCOUNT'!G1383)</f>
        <v/>
      </c>
      <c r="H1382" t="str">
        <f>IF('NEW ACCOUNT'!A1383="","",'NEW ACCOUNT'!H1383)</f>
        <v/>
      </c>
      <c r="I1382" t="str">
        <f>IF('NEW ACCOUNT'!A1383="","",'NEW ACCOUNT'!I1383)</f>
        <v/>
      </c>
      <c r="J1382" t="str">
        <f>IF('NEW ACCOUNT'!A1383="","",'NEW ACCOUNT'!J1383)</f>
        <v/>
      </c>
      <c r="K1382" t="str">
        <f>IFERROR(IF(A1382="","",SUMIF(DB_Savings!$A:$A,A1382,DB_Savings!$F:$F)),"")</f>
        <v/>
      </c>
      <c r="L1382" t="str">
        <f>IFERROR(IF(A1382="","",SUMIF(DB_Withdrawals!$A:$A,A1382,DB_Withdrawals!$G:$G)),"")</f>
        <v/>
      </c>
      <c r="M1382" t="str">
        <f>IFERROR(IF(A1382="","",IFERROR(VALUE(H1382),0)+IFERROR(SUMIF(DB_Savings!$A:$A,A1382,DB_Savings!$F:$F),0)-IFERROR(SUMIF(DB_Withdrawals!$A:$A,A1382,DB_Withdrawals!$G:$G),0)),"")</f>
        <v/>
      </c>
      <c r="N1382" t="str">
        <f>IFERROR(IF(A1382="","",MAX(0,M1382-System_Config!$B$9)),"")</f>
        <v/>
      </c>
    </row>
    <row r="1383" spans="1:14" ht="15" customHeight="1" x14ac:dyDescent="0.25">
      <c r="A1383" t="str">
        <f>'NEW ACCOUNT'!A1384</f>
        <v/>
      </c>
      <c r="B1383" t="str">
        <f>IF('NEW ACCOUNT'!A1384="","",'NEW ACCOUNT'!B1384)</f>
        <v/>
      </c>
      <c r="C1383" t="str">
        <f>IF('NEW ACCOUNT'!A1384="","",'NEW ACCOUNT'!C1384)</f>
        <v/>
      </c>
      <c r="D1383" t="str">
        <f>IF('NEW ACCOUNT'!A1384="","",'NEW ACCOUNT'!D1384)</f>
        <v/>
      </c>
      <c r="E1383" t="str">
        <f>IF('NEW ACCOUNT'!A1384="","",'NEW ACCOUNT'!E1384)</f>
        <v/>
      </c>
      <c r="F1383" t="str">
        <f>IF('NEW ACCOUNT'!A1384="","",'NEW ACCOUNT'!F1384)</f>
        <v/>
      </c>
      <c r="G1383" t="str">
        <f>IF('NEW ACCOUNT'!A1384="","",'NEW ACCOUNT'!G1384)</f>
        <v/>
      </c>
      <c r="H1383" t="str">
        <f>IF('NEW ACCOUNT'!A1384="","",'NEW ACCOUNT'!H1384)</f>
        <v/>
      </c>
      <c r="I1383" t="str">
        <f>IF('NEW ACCOUNT'!A1384="","",'NEW ACCOUNT'!I1384)</f>
        <v/>
      </c>
      <c r="J1383" t="str">
        <f>IF('NEW ACCOUNT'!A1384="","",'NEW ACCOUNT'!J1384)</f>
        <v/>
      </c>
      <c r="K1383" t="str">
        <f>IFERROR(IF(A1383="","",SUMIF(DB_Savings!$A:$A,A1383,DB_Savings!$F:$F)),"")</f>
        <v/>
      </c>
      <c r="L1383" t="str">
        <f>IFERROR(IF(A1383="","",SUMIF(DB_Withdrawals!$A:$A,A1383,DB_Withdrawals!$G:$G)),"")</f>
        <v/>
      </c>
      <c r="M1383" t="str">
        <f>IFERROR(IF(A1383="","",IFERROR(VALUE(H1383),0)+IFERROR(SUMIF(DB_Savings!$A:$A,A1383,DB_Savings!$F:$F),0)-IFERROR(SUMIF(DB_Withdrawals!$A:$A,A1383,DB_Withdrawals!$G:$G),0)),"")</f>
        <v/>
      </c>
      <c r="N1383" t="str">
        <f>IFERROR(IF(A1383="","",MAX(0,M1383-System_Config!$B$9)),"")</f>
        <v/>
      </c>
    </row>
    <row r="1384" spans="1:14" ht="15" customHeight="1" x14ac:dyDescent="0.25">
      <c r="A1384" t="str">
        <f>'NEW ACCOUNT'!A1385</f>
        <v/>
      </c>
      <c r="B1384" t="str">
        <f>IF('NEW ACCOUNT'!A1385="","",'NEW ACCOUNT'!B1385)</f>
        <v/>
      </c>
      <c r="C1384" t="str">
        <f>IF('NEW ACCOUNT'!A1385="","",'NEW ACCOUNT'!C1385)</f>
        <v/>
      </c>
      <c r="D1384" t="str">
        <f>IF('NEW ACCOUNT'!A1385="","",'NEW ACCOUNT'!D1385)</f>
        <v/>
      </c>
      <c r="E1384" t="str">
        <f>IF('NEW ACCOUNT'!A1385="","",'NEW ACCOUNT'!E1385)</f>
        <v/>
      </c>
      <c r="F1384" t="str">
        <f>IF('NEW ACCOUNT'!A1385="","",'NEW ACCOUNT'!F1385)</f>
        <v/>
      </c>
      <c r="G1384" t="str">
        <f>IF('NEW ACCOUNT'!A1385="","",'NEW ACCOUNT'!G1385)</f>
        <v/>
      </c>
      <c r="H1384" t="str">
        <f>IF('NEW ACCOUNT'!A1385="","",'NEW ACCOUNT'!H1385)</f>
        <v/>
      </c>
      <c r="I1384" t="str">
        <f>IF('NEW ACCOUNT'!A1385="","",'NEW ACCOUNT'!I1385)</f>
        <v/>
      </c>
      <c r="J1384" t="str">
        <f>IF('NEW ACCOUNT'!A1385="","",'NEW ACCOUNT'!J1385)</f>
        <v/>
      </c>
      <c r="K1384" t="str">
        <f>IFERROR(IF(A1384="","",SUMIF(DB_Savings!$A:$A,A1384,DB_Savings!$F:$F)),"")</f>
        <v/>
      </c>
      <c r="L1384" t="str">
        <f>IFERROR(IF(A1384="","",SUMIF(DB_Withdrawals!$A:$A,A1384,DB_Withdrawals!$G:$G)),"")</f>
        <v/>
      </c>
      <c r="M1384" t="str">
        <f>IFERROR(IF(A1384="","",IFERROR(VALUE(H1384),0)+IFERROR(SUMIF(DB_Savings!$A:$A,A1384,DB_Savings!$F:$F),0)-IFERROR(SUMIF(DB_Withdrawals!$A:$A,A1384,DB_Withdrawals!$G:$G),0)),"")</f>
        <v/>
      </c>
      <c r="N1384" t="str">
        <f>IFERROR(IF(A1384="","",MAX(0,M1384-System_Config!$B$9)),"")</f>
        <v/>
      </c>
    </row>
    <row r="1385" spans="1:14" ht="15" customHeight="1" x14ac:dyDescent="0.25">
      <c r="A1385" t="str">
        <f>'NEW ACCOUNT'!A1386</f>
        <v/>
      </c>
      <c r="B1385" t="str">
        <f>IF('NEW ACCOUNT'!A1386="","",'NEW ACCOUNT'!B1386)</f>
        <v/>
      </c>
      <c r="C1385" t="str">
        <f>IF('NEW ACCOUNT'!A1386="","",'NEW ACCOUNT'!C1386)</f>
        <v/>
      </c>
      <c r="D1385" t="str">
        <f>IF('NEW ACCOUNT'!A1386="","",'NEW ACCOUNT'!D1386)</f>
        <v/>
      </c>
      <c r="E1385" t="str">
        <f>IF('NEW ACCOUNT'!A1386="","",'NEW ACCOUNT'!E1386)</f>
        <v/>
      </c>
      <c r="F1385" t="str">
        <f>IF('NEW ACCOUNT'!A1386="","",'NEW ACCOUNT'!F1386)</f>
        <v/>
      </c>
      <c r="G1385" t="str">
        <f>IF('NEW ACCOUNT'!A1386="","",'NEW ACCOUNT'!G1386)</f>
        <v/>
      </c>
      <c r="H1385" t="str">
        <f>IF('NEW ACCOUNT'!A1386="","",'NEW ACCOUNT'!H1386)</f>
        <v/>
      </c>
      <c r="I1385" t="str">
        <f>IF('NEW ACCOUNT'!A1386="","",'NEW ACCOUNT'!I1386)</f>
        <v/>
      </c>
      <c r="J1385" t="str">
        <f>IF('NEW ACCOUNT'!A1386="","",'NEW ACCOUNT'!J1386)</f>
        <v/>
      </c>
      <c r="K1385" t="str">
        <f>IFERROR(IF(A1385="","",SUMIF(DB_Savings!$A:$A,A1385,DB_Savings!$F:$F)),"")</f>
        <v/>
      </c>
      <c r="L1385" t="str">
        <f>IFERROR(IF(A1385="","",SUMIF(DB_Withdrawals!$A:$A,A1385,DB_Withdrawals!$G:$G)),"")</f>
        <v/>
      </c>
      <c r="M1385" t="str">
        <f>IFERROR(IF(A1385="","",IFERROR(VALUE(H1385),0)+IFERROR(SUMIF(DB_Savings!$A:$A,A1385,DB_Savings!$F:$F),0)-IFERROR(SUMIF(DB_Withdrawals!$A:$A,A1385,DB_Withdrawals!$G:$G),0)),"")</f>
        <v/>
      </c>
      <c r="N1385" t="str">
        <f>IFERROR(IF(A1385="","",MAX(0,M1385-System_Config!$B$9)),"")</f>
        <v/>
      </c>
    </row>
    <row r="1386" spans="1:14" ht="15" customHeight="1" x14ac:dyDescent="0.25">
      <c r="A1386" t="str">
        <f>'NEW ACCOUNT'!A1387</f>
        <v/>
      </c>
      <c r="B1386" t="str">
        <f>IF('NEW ACCOUNT'!A1387="","",'NEW ACCOUNT'!B1387)</f>
        <v/>
      </c>
      <c r="C1386" t="str">
        <f>IF('NEW ACCOUNT'!A1387="","",'NEW ACCOUNT'!C1387)</f>
        <v/>
      </c>
      <c r="D1386" t="str">
        <f>IF('NEW ACCOUNT'!A1387="","",'NEW ACCOUNT'!D1387)</f>
        <v/>
      </c>
      <c r="E1386" t="str">
        <f>IF('NEW ACCOUNT'!A1387="","",'NEW ACCOUNT'!E1387)</f>
        <v/>
      </c>
      <c r="F1386" t="str">
        <f>IF('NEW ACCOUNT'!A1387="","",'NEW ACCOUNT'!F1387)</f>
        <v/>
      </c>
      <c r="G1386" t="str">
        <f>IF('NEW ACCOUNT'!A1387="","",'NEW ACCOUNT'!G1387)</f>
        <v/>
      </c>
      <c r="H1386" t="str">
        <f>IF('NEW ACCOUNT'!A1387="","",'NEW ACCOUNT'!H1387)</f>
        <v/>
      </c>
      <c r="I1386" t="str">
        <f>IF('NEW ACCOUNT'!A1387="","",'NEW ACCOUNT'!I1387)</f>
        <v/>
      </c>
      <c r="J1386" t="str">
        <f>IF('NEW ACCOUNT'!A1387="","",'NEW ACCOUNT'!J1387)</f>
        <v/>
      </c>
      <c r="K1386" t="str">
        <f>IFERROR(IF(A1386="","",SUMIF(DB_Savings!$A:$A,A1386,DB_Savings!$F:$F)),"")</f>
        <v/>
      </c>
      <c r="L1386" t="str">
        <f>IFERROR(IF(A1386="","",SUMIF(DB_Withdrawals!$A:$A,A1386,DB_Withdrawals!$G:$G)),"")</f>
        <v/>
      </c>
      <c r="M1386" t="str">
        <f>IFERROR(IF(A1386="","",IFERROR(VALUE(H1386),0)+IFERROR(SUMIF(DB_Savings!$A:$A,A1386,DB_Savings!$F:$F),0)-IFERROR(SUMIF(DB_Withdrawals!$A:$A,A1386,DB_Withdrawals!$G:$G),0)),"")</f>
        <v/>
      </c>
      <c r="N1386" t="str">
        <f>IFERROR(IF(A1386="","",MAX(0,M1386-System_Config!$B$9)),"")</f>
        <v/>
      </c>
    </row>
    <row r="1387" spans="1:14" ht="15" customHeight="1" x14ac:dyDescent="0.25">
      <c r="A1387" t="str">
        <f>'NEW ACCOUNT'!A1388</f>
        <v/>
      </c>
      <c r="B1387" t="str">
        <f>IF('NEW ACCOUNT'!A1388="","",'NEW ACCOUNT'!B1388)</f>
        <v/>
      </c>
      <c r="C1387" t="str">
        <f>IF('NEW ACCOUNT'!A1388="","",'NEW ACCOUNT'!C1388)</f>
        <v/>
      </c>
      <c r="D1387" t="str">
        <f>IF('NEW ACCOUNT'!A1388="","",'NEW ACCOUNT'!D1388)</f>
        <v/>
      </c>
      <c r="E1387" t="str">
        <f>IF('NEW ACCOUNT'!A1388="","",'NEW ACCOUNT'!E1388)</f>
        <v/>
      </c>
      <c r="F1387" t="str">
        <f>IF('NEW ACCOUNT'!A1388="","",'NEW ACCOUNT'!F1388)</f>
        <v/>
      </c>
      <c r="G1387" t="str">
        <f>IF('NEW ACCOUNT'!A1388="","",'NEW ACCOUNT'!G1388)</f>
        <v/>
      </c>
      <c r="H1387" t="str">
        <f>IF('NEW ACCOUNT'!A1388="","",'NEW ACCOUNT'!H1388)</f>
        <v/>
      </c>
      <c r="I1387" t="str">
        <f>IF('NEW ACCOUNT'!A1388="","",'NEW ACCOUNT'!I1388)</f>
        <v/>
      </c>
      <c r="J1387" t="str">
        <f>IF('NEW ACCOUNT'!A1388="","",'NEW ACCOUNT'!J1388)</f>
        <v/>
      </c>
      <c r="K1387" t="str">
        <f>IFERROR(IF(A1387="","",SUMIF(DB_Savings!$A:$A,A1387,DB_Savings!$F:$F)),"")</f>
        <v/>
      </c>
      <c r="L1387" t="str">
        <f>IFERROR(IF(A1387="","",SUMIF(DB_Withdrawals!$A:$A,A1387,DB_Withdrawals!$G:$G)),"")</f>
        <v/>
      </c>
      <c r="M1387" t="str">
        <f>IFERROR(IF(A1387="","",IFERROR(VALUE(H1387),0)+IFERROR(SUMIF(DB_Savings!$A:$A,A1387,DB_Savings!$F:$F),0)-IFERROR(SUMIF(DB_Withdrawals!$A:$A,A1387,DB_Withdrawals!$G:$G),0)),"")</f>
        <v/>
      </c>
      <c r="N1387" t="str">
        <f>IFERROR(IF(A1387="","",MAX(0,M1387-System_Config!$B$9)),"")</f>
        <v/>
      </c>
    </row>
    <row r="1388" spans="1:14" ht="15" customHeight="1" x14ac:dyDescent="0.25">
      <c r="A1388" t="str">
        <f>'NEW ACCOUNT'!A1389</f>
        <v/>
      </c>
      <c r="B1388" t="str">
        <f>IF('NEW ACCOUNT'!A1389="","",'NEW ACCOUNT'!B1389)</f>
        <v/>
      </c>
      <c r="C1388" t="str">
        <f>IF('NEW ACCOUNT'!A1389="","",'NEW ACCOUNT'!C1389)</f>
        <v/>
      </c>
      <c r="D1388" t="str">
        <f>IF('NEW ACCOUNT'!A1389="","",'NEW ACCOUNT'!D1389)</f>
        <v/>
      </c>
      <c r="E1388" t="str">
        <f>IF('NEW ACCOUNT'!A1389="","",'NEW ACCOUNT'!E1389)</f>
        <v/>
      </c>
      <c r="F1388" t="str">
        <f>IF('NEW ACCOUNT'!A1389="","",'NEW ACCOUNT'!F1389)</f>
        <v/>
      </c>
      <c r="G1388" t="str">
        <f>IF('NEW ACCOUNT'!A1389="","",'NEW ACCOUNT'!G1389)</f>
        <v/>
      </c>
      <c r="H1388" t="str">
        <f>IF('NEW ACCOUNT'!A1389="","",'NEW ACCOUNT'!H1389)</f>
        <v/>
      </c>
      <c r="I1388" t="str">
        <f>IF('NEW ACCOUNT'!A1389="","",'NEW ACCOUNT'!I1389)</f>
        <v/>
      </c>
      <c r="J1388" t="str">
        <f>IF('NEW ACCOUNT'!A1389="","",'NEW ACCOUNT'!J1389)</f>
        <v/>
      </c>
      <c r="K1388" t="str">
        <f>IFERROR(IF(A1388="","",SUMIF(DB_Savings!$A:$A,A1388,DB_Savings!$F:$F)),"")</f>
        <v/>
      </c>
      <c r="L1388" t="str">
        <f>IFERROR(IF(A1388="","",SUMIF(DB_Withdrawals!$A:$A,A1388,DB_Withdrawals!$G:$G)),"")</f>
        <v/>
      </c>
      <c r="M1388" t="str">
        <f>IFERROR(IF(A1388="","",IFERROR(VALUE(H1388),0)+IFERROR(SUMIF(DB_Savings!$A:$A,A1388,DB_Savings!$F:$F),0)-IFERROR(SUMIF(DB_Withdrawals!$A:$A,A1388,DB_Withdrawals!$G:$G),0)),"")</f>
        <v/>
      </c>
      <c r="N1388" t="str">
        <f>IFERROR(IF(A1388="","",MAX(0,M1388-System_Config!$B$9)),"")</f>
        <v/>
      </c>
    </row>
    <row r="1389" spans="1:14" ht="15" customHeight="1" x14ac:dyDescent="0.25">
      <c r="A1389" t="str">
        <f>'NEW ACCOUNT'!A1390</f>
        <v/>
      </c>
      <c r="B1389" t="str">
        <f>IF('NEW ACCOUNT'!A1390="","",'NEW ACCOUNT'!B1390)</f>
        <v/>
      </c>
      <c r="C1389" t="str">
        <f>IF('NEW ACCOUNT'!A1390="","",'NEW ACCOUNT'!C1390)</f>
        <v/>
      </c>
      <c r="D1389" t="str">
        <f>IF('NEW ACCOUNT'!A1390="","",'NEW ACCOUNT'!D1390)</f>
        <v/>
      </c>
      <c r="E1389" t="str">
        <f>IF('NEW ACCOUNT'!A1390="","",'NEW ACCOUNT'!E1390)</f>
        <v/>
      </c>
      <c r="F1389" t="str">
        <f>IF('NEW ACCOUNT'!A1390="","",'NEW ACCOUNT'!F1390)</f>
        <v/>
      </c>
      <c r="G1389" t="str">
        <f>IF('NEW ACCOUNT'!A1390="","",'NEW ACCOUNT'!G1390)</f>
        <v/>
      </c>
      <c r="H1389" t="str">
        <f>IF('NEW ACCOUNT'!A1390="","",'NEW ACCOUNT'!H1390)</f>
        <v/>
      </c>
      <c r="I1389" t="str">
        <f>IF('NEW ACCOUNT'!A1390="","",'NEW ACCOUNT'!I1390)</f>
        <v/>
      </c>
      <c r="J1389" t="str">
        <f>IF('NEW ACCOUNT'!A1390="","",'NEW ACCOUNT'!J1390)</f>
        <v/>
      </c>
      <c r="K1389" t="str">
        <f>IFERROR(IF(A1389="","",SUMIF(DB_Savings!$A:$A,A1389,DB_Savings!$F:$F)),"")</f>
        <v/>
      </c>
      <c r="L1389" t="str">
        <f>IFERROR(IF(A1389="","",SUMIF(DB_Withdrawals!$A:$A,A1389,DB_Withdrawals!$G:$G)),"")</f>
        <v/>
      </c>
      <c r="M1389" t="str">
        <f>IFERROR(IF(A1389="","",IFERROR(VALUE(H1389),0)+IFERROR(SUMIF(DB_Savings!$A:$A,A1389,DB_Savings!$F:$F),0)-IFERROR(SUMIF(DB_Withdrawals!$A:$A,A1389,DB_Withdrawals!$G:$G),0)),"")</f>
        <v/>
      </c>
      <c r="N1389" t="str">
        <f>IFERROR(IF(A1389="","",MAX(0,M1389-System_Config!$B$9)),"")</f>
        <v/>
      </c>
    </row>
    <row r="1390" spans="1:14" ht="15" customHeight="1" x14ac:dyDescent="0.25">
      <c r="A1390" t="str">
        <f>'NEW ACCOUNT'!A1391</f>
        <v/>
      </c>
      <c r="B1390" t="str">
        <f>IF('NEW ACCOUNT'!A1391="","",'NEW ACCOUNT'!B1391)</f>
        <v/>
      </c>
      <c r="C1390" t="str">
        <f>IF('NEW ACCOUNT'!A1391="","",'NEW ACCOUNT'!C1391)</f>
        <v/>
      </c>
      <c r="D1390" t="str">
        <f>IF('NEW ACCOUNT'!A1391="","",'NEW ACCOUNT'!D1391)</f>
        <v/>
      </c>
      <c r="E1390" t="str">
        <f>IF('NEW ACCOUNT'!A1391="","",'NEW ACCOUNT'!E1391)</f>
        <v/>
      </c>
      <c r="F1390" t="str">
        <f>IF('NEW ACCOUNT'!A1391="","",'NEW ACCOUNT'!F1391)</f>
        <v/>
      </c>
      <c r="G1390" t="str">
        <f>IF('NEW ACCOUNT'!A1391="","",'NEW ACCOUNT'!G1391)</f>
        <v/>
      </c>
      <c r="H1390" t="str">
        <f>IF('NEW ACCOUNT'!A1391="","",'NEW ACCOUNT'!H1391)</f>
        <v/>
      </c>
      <c r="I1390" t="str">
        <f>IF('NEW ACCOUNT'!A1391="","",'NEW ACCOUNT'!I1391)</f>
        <v/>
      </c>
      <c r="J1390" t="str">
        <f>IF('NEW ACCOUNT'!A1391="","",'NEW ACCOUNT'!J1391)</f>
        <v/>
      </c>
      <c r="K1390" t="str">
        <f>IFERROR(IF(A1390="","",SUMIF(DB_Savings!$A:$A,A1390,DB_Savings!$F:$F)),"")</f>
        <v/>
      </c>
      <c r="L1390" t="str">
        <f>IFERROR(IF(A1390="","",SUMIF(DB_Withdrawals!$A:$A,A1390,DB_Withdrawals!$G:$G)),"")</f>
        <v/>
      </c>
      <c r="M1390" t="str">
        <f>IFERROR(IF(A1390="","",IFERROR(VALUE(H1390),0)+IFERROR(SUMIF(DB_Savings!$A:$A,A1390,DB_Savings!$F:$F),0)-IFERROR(SUMIF(DB_Withdrawals!$A:$A,A1390,DB_Withdrawals!$G:$G),0)),"")</f>
        <v/>
      </c>
      <c r="N1390" t="str">
        <f>IFERROR(IF(A1390="","",MAX(0,M1390-System_Config!$B$9)),"")</f>
        <v/>
      </c>
    </row>
    <row r="1391" spans="1:14" ht="15" customHeight="1" x14ac:dyDescent="0.25">
      <c r="A1391" t="str">
        <f>'NEW ACCOUNT'!A1392</f>
        <v/>
      </c>
      <c r="B1391" t="str">
        <f>IF('NEW ACCOUNT'!A1392="","",'NEW ACCOUNT'!B1392)</f>
        <v/>
      </c>
      <c r="C1391" t="str">
        <f>IF('NEW ACCOUNT'!A1392="","",'NEW ACCOUNT'!C1392)</f>
        <v/>
      </c>
      <c r="D1391" t="str">
        <f>IF('NEW ACCOUNT'!A1392="","",'NEW ACCOUNT'!D1392)</f>
        <v/>
      </c>
      <c r="E1391" t="str">
        <f>IF('NEW ACCOUNT'!A1392="","",'NEW ACCOUNT'!E1392)</f>
        <v/>
      </c>
      <c r="F1391" t="str">
        <f>IF('NEW ACCOUNT'!A1392="","",'NEW ACCOUNT'!F1392)</f>
        <v/>
      </c>
      <c r="G1391" t="str">
        <f>IF('NEW ACCOUNT'!A1392="","",'NEW ACCOUNT'!G1392)</f>
        <v/>
      </c>
      <c r="H1391" t="str">
        <f>IF('NEW ACCOUNT'!A1392="","",'NEW ACCOUNT'!H1392)</f>
        <v/>
      </c>
      <c r="I1391" t="str">
        <f>IF('NEW ACCOUNT'!A1392="","",'NEW ACCOUNT'!I1392)</f>
        <v/>
      </c>
      <c r="J1391" t="str">
        <f>IF('NEW ACCOUNT'!A1392="","",'NEW ACCOUNT'!J1392)</f>
        <v/>
      </c>
      <c r="K1391" t="str">
        <f>IFERROR(IF(A1391="","",SUMIF(DB_Savings!$A:$A,A1391,DB_Savings!$F:$F)),"")</f>
        <v/>
      </c>
      <c r="L1391" t="str">
        <f>IFERROR(IF(A1391="","",SUMIF(DB_Withdrawals!$A:$A,A1391,DB_Withdrawals!$G:$G)),"")</f>
        <v/>
      </c>
      <c r="M1391" t="str">
        <f>IFERROR(IF(A1391="","",IFERROR(VALUE(H1391),0)+IFERROR(SUMIF(DB_Savings!$A:$A,A1391,DB_Savings!$F:$F),0)-IFERROR(SUMIF(DB_Withdrawals!$A:$A,A1391,DB_Withdrawals!$G:$G),0)),"")</f>
        <v/>
      </c>
      <c r="N1391" t="str">
        <f>IFERROR(IF(A1391="","",MAX(0,M1391-System_Config!$B$9)),"")</f>
        <v/>
      </c>
    </row>
    <row r="1392" spans="1:14" ht="15" customHeight="1" x14ac:dyDescent="0.25">
      <c r="A1392" t="str">
        <f>'NEW ACCOUNT'!A1393</f>
        <v/>
      </c>
      <c r="B1392" t="str">
        <f>IF('NEW ACCOUNT'!A1393="","",'NEW ACCOUNT'!B1393)</f>
        <v/>
      </c>
      <c r="C1392" t="str">
        <f>IF('NEW ACCOUNT'!A1393="","",'NEW ACCOUNT'!C1393)</f>
        <v/>
      </c>
      <c r="D1392" t="str">
        <f>IF('NEW ACCOUNT'!A1393="","",'NEW ACCOUNT'!D1393)</f>
        <v/>
      </c>
      <c r="E1392" t="str">
        <f>IF('NEW ACCOUNT'!A1393="","",'NEW ACCOUNT'!E1393)</f>
        <v/>
      </c>
      <c r="F1392" t="str">
        <f>IF('NEW ACCOUNT'!A1393="","",'NEW ACCOUNT'!F1393)</f>
        <v/>
      </c>
      <c r="G1392" t="str">
        <f>IF('NEW ACCOUNT'!A1393="","",'NEW ACCOUNT'!G1393)</f>
        <v/>
      </c>
      <c r="H1392" t="str">
        <f>IF('NEW ACCOUNT'!A1393="","",'NEW ACCOUNT'!H1393)</f>
        <v/>
      </c>
      <c r="I1392" t="str">
        <f>IF('NEW ACCOUNT'!A1393="","",'NEW ACCOUNT'!I1393)</f>
        <v/>
      </c>
      <c r="J1392" t="str">
        <f>IF('NEW ACCOUNT'!A1393="","",'NEW ACCOUNT'!J1393)</f>
        <v/>
      </c>
      <c r="K1392" t="str">
        <f>IFERROR(IF(A1392="","",SUMIF(DB_Savings!$A:$A,A1392,DB_Savings!$F:$F)),"")</f>
        <v/>
      </c>
      <c r="L1392" t="str">
        <f>IFERROR(IF(A1392="","",SUMIF(DB_Withdrawals!$A:$A,A1392,DB_Withdrawals!$G:$G)),"")</f>
        <v/>
      </c>
      <c r="M1392" t="str">
        <f>IFERROR(IF(A1392="","",IFERROR(VALUE(H1392),0)+IFERROR(SUMIF(DB_Savings!$A:$A,A1392,DB_Savings!$F:$F),0)-IFERROR(SUMIF(DB_Withdrawals!$A:$A,A1392,DB_Withdrawals!$G:$G),0)),"")</f>
        <v/>
      </c>
      <c r="N1392" t="str">
        <f>IFERROR(IF(A1392="","",MAX(0,M1392-System_Config!$B$9)),"")</f>
        <v/>
      </c>
    </row>
    <row r="1393" spans="1:14" ht="15" customHeight="1" x14ac:dyDescent="0.25">
      <c r="A1393" t="str">
        <f>'NEW ACCOUNT'!A1394</f>
        <v/>
      </c>
      <c r="B1393" t="str">
        <f>IF('NEW ACCOUNT'!A1394="","",'NEW ACCOUNT'!B1394)</f>
        <v/>
      </c>
      <c r="C1393" t="str">
        <f>IF('NEW ACCOUNT'!A1394="","",'NEW ACCOUNT'!C1394)</f>
        <v/>
      </c>
      <c r="D1393" t="str">
        <f>IF('NEW ACCOUNT'!A1394="","",'NEW ACCOUNT'!D1394)</f>
        <v/>
      </c>
      <c r="E1393" t="str">
        <f>IF('NEW ACCOUNT'!A1394="","",'NEW ACCOUNT'!E1394)</f>
        <v/>
      </c>
      <c r="F1393" t="str">
        <f>IF('NEW ACCOUNT'!A1394="","",'NEW ACCOUNT'!F1394)</f>
        <v/>
      </c>
      <c r="G1393" t="str">
        <f>IF('NEW ACCOUNT'!A1394="","",'NEW ACCOUNT'!G1394)</f>
        <v/>
      </c>
      <c r="H1393" t="str">
        <f>IF('NEW ACCOUNT'!A1394="","",'NEW ACCOUNT'!H1394)</f>
        <v/>
      </c>
      <c r="I1393" t="str">
        <f>IF('NEW ACCOUNT'!A1394="","",'NEW ACCOUNT'!I1394)</f>
        <v/>
      </c>
      <c r="J1393" t="str">
        <f>IF('NEW ACCOUNT'!A1394="","",'NEW ACCOUNT'!J1394)</f>
        <v/>
      </c>
      <c r="K1393" t="str">
        <f>IFERROR(IF(A1393="","",SUMIF(DB_Savings!$A:$A,A1393,DB_Savings!$F:$F)),"")</f>
        <v/>
      </c>
      <c r="L1393" t="str">
        <f>IFERROR(IF(A1393="","",SUMIF(DB_Withdrawals!$A:$A,A1393,DB_Withdrawals!$G:$G)),"")</f>
        <v/>
      </c>
      <c r="M1393" t="str">
        <f>IFERROR(IF(A1393="","",IFERROR(VALUE(H1393),0)+IFERROR(SUMIF(DB_Savings!$A:$A,A1393,DB_Savings!$F:$F),0)-IFERROR(SUMIF(DB_Withdrawals!$A:$A,A1393,DB_Withdrawals!$G:$G),0)),"")</f>
        <v/>
      </c>
      <c r="N1393" t="str">
        <f>IFERROR(IF(A1393="","",MAX(0,M1393-System_Config!$B$9)),"")</f>
        <v/>
      </c>
    </row>
    <row r="1394" spans="1:14" ht="15" customHeight="1" x14ac:dyDescent="0.25">
      <c r="A1394" t="str">
        <f>'NEW ACCOUNT'!A1395</f>
        <v/>
      </c>
      <c r="B1394" t="str">
        <f>IF('NEW ACCOUNT'!A1395="","",'NEW ACCOUNT'!B1395)</f>
        <v/>
      </c>
      <c r="C1394" t="str">
        <f>IF('NEW ACCOUNT'!A1395="","",'NEW ACCOUNT'!C1395)</f>
        <v/>
      </c>
      <c r="D1394" t="str">
        <f>IF('NEW ACCOUNT'!A1395="","",'NEW ACCOUNT'!D1395)</f>
        <v/>
      </c>
      <c r="E1394" t="str">
        <f>IF('NEW ACCOUNT'!A1395="","",'NEW ACCOUNT'!E1395)</f>
        <v/>
      </c>
      <c r="F1394" t="str">
        <f>IF('NEW ACCOUNT'!A1395="","",'NEW ACCOUNT'!F1395)</f>
        <v/>
      </c>
      <c r="G1394" t="str">
        <f>IF('NEW ACCOUNT'!A1395="","",'NEW ACCOUNT'!G1395)</f>
        <v/>
      </c>
      <c r="H1394" t="str">
        <f>IF('NEW ACCOUNT'!A1395="","",'NEW ACCOUNT'!H1395)</f>
        <v/>
      </c>
      <c r="I1394" t="str">
        <f>IF('NEW ACCOUNT'!A1395="","",'NEW ACCOUNT'!I1395)</f>
        <v/>
      </c>
      <c r="J1394" t="str">
        <f>IF('NEW ACCOUNT'!A1395="","",'NEW ACCOUNT'!J1395)</f>
        <v/>
      </c>
      <c r="K1394" t="str">
        <f>IFERROR(IF(A1394="","",SUMIF(DB_Savings!$A:$A,A1394,DB_Savings!$F:$F)),"")</f>
        <v/>
      </c>
      <c r="L1394" t="str">
        <f>IFERROR(IF(A1394="","",SUMIF(DB_Withdrawals!$A:$A,A1394,DB_Withdrawals!$G:$G)),"")</f>
        <v/>
      </c>
      <c r="M1394" t="str">
        <f>IFERROR(IF(A1394="","",IFERROR(VALUE(H1394),0)+IFERROR(SUMIF(DB_Savings!$A:$A,A1394,DB_Savings!$F:$F),0)-IFERROR(SUMIF(DB_Withdrawals!$A:$A,A1394,DB_Withdrawals!$G:$G),0)),"")</f>
        <v/>
      </c>
      <c r="N1394" t="str">
        <f>IFERROR(IF(A1394="","",MAX(0,M1394-System_Config!$B$9)),"")</f>
        <v/>
      </c>
    </row>
    <row r="1395" spans="1:14" ht="15" customHeight="1" x14ac:dyDescent="0.25">
      <c r="A1395" t="str">
        <f>'NEW ACCOUNT'!A1396</f>
        <v/>
      </c>
      <c r="B1395" t="str">
        <f>IF('NEW ACCOUNT'!A1396="","",'NEW ACCOUNT'!B1396)</f>
        <v/>
      </c>
      <c r="C1395" t="str">
        <f>IF('NEW ACCOUNT'!A1396="","",'NEW ACCOUNT'!C1396)</f>
        <v/>
      </c>
      <c r="D1395" t="str">
        <f>IF('NEW ACCOUNT'!A1396="","",'NEW ACCOUNT'!D1396)</f>
        <v/>
      </c>
      <c r="E1395" t="str">
        <f>IF('NEW ACCOUNT'!A1396="","",'NEW ACCOUNT'!E1396)</f>
        <v/>
      </c>
      <c r="F1395" t="str">
        <f>IF('NEW ACCOUNT'!A1396="","",'NEW ACCOUNT'!F1396)</f>
        <v/>
      </c>
      <c r="G1395" t="str">
        <f>IF('NEW ACCOUNT'!A1396="","",'NEW ACCOUNT'!G1396)</f>
        <v/>
      </c>
      <c r="H1395" t="str">
        <f>IF('NEW ACCOUNT'!A1396="","",'NEW ACCOUNT'!H1396)</f>
        <v/>
      </c>
      <c r="I1395" t="str">
        <f>IF('NEW ACCOUNT'!A1396="","",'NEW ACCOUNT'!I1396)</f>
        <v/>
      </c>
      <c r="J1395" t="str">
        <f>IF('NEW ACCOUNT'!A1396="","",'NEW ACCOUNT'!J1396)</f>
        <v/>
      </c>
      <c r="K1395" t="str">
        <f>IFERROR(IF(A1395="","",SUMIF(DB_Savings!$A:$A,A1395,DB_Savings!$F:$F)),"")</f>
        <v/>
      </c>
      <c r="L1395" t="str">
        <f>IFERROR(IF(A1395="","",SUMIF(DB_Withdrawals!$A:$A,A1395,DB_Withdrawals!$G:$G)),"")</f>
        <v/>
      </c>
      <c r="M1395" t="str">
        <f>IFERROR(IF(A1395="","",IFERROR(VALUE(H1395),0)+IFERROR(SUMIF(DB_Savings!$A:$A,A1395,DB_Savings!$F:$F),0)-IFERROR(SUMIF(DB_Withdrawals!$A:$A,A1395,DB_Withdrawals!$G:$G),0)),"")</f>
        <v/>
      </c>
      <c r="N1395" t="str">
        <f>IFERROR(IF(A1395="","",MAX(0,M1395-System_Config!$B$9)),"")</f>
        <v/>
      </c>
    </row>
    <row r="1396" spans="1:14" ht="15" customHeight="1" x14ac:dyDescent="0.25">
      <c r="A1396" t="str">
        <f>'NEW ACCOUNT'!A1397</f>
        <v/>
      </c>
      <c r="B1396" t="str">
        <f>IF('NEW ACCOUNT'!A1397="","",'NEW ACCOUNT'!B1397)</f>
        <v/>
      </c>
      <c r="C1396" t="str">
        <f>IF('NEW ACCOUNT'!A1397="","",'NEW ACCOUNT'!C1397)</f>
        <v/>
      </c>
      <c r="D1396" t="str">
        <f>IF('NEW ACCOUNT'!A1397="","",'NEW ACCOUNT'!D1397)</f>
        <v/>
      </c>
      <c r="E1396" t="str">
        <f>IF('NEW ACCOUNT'!A1397="","",'NEW ACCOUNT'!E1397)</f>
        <v/>
      </c>
      <c r="F1396" t="str">
        <f>IF('NEW ACCOUNT'!A1397="","",'NEW ACCOUNT'!F1397)</f>
        <v/>
      </c>
      <c r="G1396" t="str">
        <f>IF('NEW ACCOUNT'!A1397="","",'NEW ACCOUNT'!G1397)</f>
        <v/>
      </c>
      <c r="H1396" t="str">
        <f>IF('NEW ACCOUNT'!A1397="","",'NEW ACCOUNT'!H1397)</f>
        <v/>
      </c>
      <c r="I1396" t="str">
        <f>IF('NEW ACCOUNT'!A1397="","",'NEW ACCOUNT'!I1397)</f>
        <v/>
      </c>
      <c r="J1396" t="str">
        <f>IF('NEW ACCOUNT'!A1397="","",'NEW ACCOUNT'!J1397)</f>
        <v/>
      </c>
      <c r="K1396" t="str">
        <f>IFERROR(IF(A1396="","",SUMIF(DB_Savings!$A:$A,A1396,DB_Savings!$F:$F)),"")</f>
        <v/>
      </c>
      <c r="L1396" t="str">
        <f>IFERROR(IF(A1396="","",SUMIF(DB_Withdrawals!$A:$A,A1396,DB_Withdrawals!$G:$G)),"")</f>
        <v/>
      </c>
      <c r="M1396" t="str">
        <f>IFERROR(IF(A1396="","",IFERROR(VALUE(H1396),0)+IFERROR(SUMIF(DB_Savings!$A:$A,A1396,DB_Savings!$F:$F),0)-IFERROR(SUMIF(DB_Withdrawals!$A:$A,A1396,DB_Withdrawals!$G:$G),0)),"")</f>
        <v/>
      </c>
      <c r="N1396" t="str">
        <f>IFERROR(IF(A1396="","",MAX(0,M1396-System_Config!$B$9)),"")</f>
        <v/>
      </c>
    </row>
    <row r="1397" spans="1:14" ht="15" customHeight="1" x14ac:dyDescent="0.25">
      <c r="A1397" t="str">
        <f>'NEW ACCOUNT'!A1398</f>
        <v/>
      </c>
      <c r="B1397" t="str">
        <f>IF('NEW ACCOUNT'!A1398="","",'NEW ACCOUNT'!B1398)</f>
        <v/>
      </c>
      <c r="C1397" t="str">
        <f>IF('NEW ACCOUNT'!A1398="","",'NEW ACCOUNT'!C1398)</f>
        <v/>
      </c>
      <c r="D1397" t="str">
        <f>IF('NEW ACCOUNT'!A1398="","",'NEW ACCOUNT'!D1398)</f>
        <v/>
      </c>
      <c r="E1397" t="str">
        <f>IF('NEW ACCOUNT'!A1398="","",'NEW ACCOUNT'!E1398)</f>
        <v/>
      </c>
      <c r="F1397" t="str">
        <f>IF('NEW ACCOUNT'!A1398="","",'NEW ACCOUNT'!F1398)</f>
        <v/>
      </c>
      <c r="G1397" t="str">
        <f>IF('NEW ACCOUNT'!A1398="","",'NEW ACCOUNT'!G1398)</f>
        <v/>
      </c>
      <c r="H1397" t="str">
        <f>IF('NEW ACCOUNT'!A1398="","",'NEW ACCOUNT'!H1398)</f>
        <v/>
      </c>
      <c r="I1397" t="str">
        <f>IF('NEW ACCOUNT'!A1398="","",'NEW ACCOUNT'!I1398)</f>
        <v/>
      </c>
      <c r="J1397" t="str">
        <f>IF('NEW ACCOUNT'!A1398="","",'NEW ACCOUNT'!J1398)</f>
        <v/>
      </c>
      <c r="K1397" t="str">
        <f>IFERROR(IF(A1397="","",SUMIF(DB_Savings!$A:$A,A1397,DB_Savings!$F:$F)),"")</f>
        <v/>
      </c>
      <c r="L1397" t="str">
        <f>IFERROR(IF(A1397="","",SUMIF(DB_Withdrawals!$A:$A,A1397,DB_Withdrawals!$G:$G)),"")</f>
        <v/>
      </c>
      <c r="M1397" t="str">
        <f>IFERROR(IF(A1397="","",IFERROR(VALUE(H1397),0)+IFERROR(SUMIF(DB_Savings!$A:$A,A1397,DB_Savings!$F:$F),0)-IFERROR(SUMIF(DB_Withdrawals!$A:$A,A1397,DB_Withdrawals!$G:$G),0)),"")</f>
        <v/>
      </c>
      <c r="N1397" t="str">
        <f>IFERROR(IF(A1397="","",MAX(0,M1397-System_Config!$B$9)),"")</f>
        <v/>
      </c>
    </row>
    <row r="1398" spans="1:14" ht="15" customHeight="1" x14ac:dyDescent="0.25">
      <c r="A1398" t="str">
        <f>'NEW ACCOUNT'!A1399</f>
        <v/>
      </c>
      <c r="B1398" t="str">
        <f>IF('NEW ACCOUNT'!A1399="","",'NEW ACCOUNT'!B1399)</f>
        <v/>
      </c>
      <c r="C1398" t="str">
        <f>IF('NEW ACCOUNT'!A1399="","",'NEW ACCOUNT'!C1399)</f>
        <v/>
      </c>
      <c r="D1398" t="str">
        <f>IF('NEW ACCOUNT'!A1399="","",'NEW ACCOUNT'!D1399)</f>
        <v/>
      </c>
      <c r="E1398" t="str">
        <f>IF('NEW ACCOUNT'!A1399="","",'NEW ACCOUNT'!E1399)</f>
        <v/>
      </c>
      <c r="F1398" t="str">
        <f>IF('NEW ACCOUNT'!A1399="","",'NEW ACCOUNT'!F1399)</f>
        <v/>
      </c>
      <c r="G1398" t="str">
        <f>IF('NEW ACCOUNT'!A1399="","",'NEW ACCOUNT'!G1399)</f>
        <v/>
      </c>
      <c r="H1398" t="str">
        <f>IF('NEW ACCOUNT'!A1399="","",'NEW ACCOUNT'!H1399)</f>
        <v/>
      </c>
      <c r="I1398" t="str">
        <f>IF('NEW ACCOUNT'!A1399="","",'NEW ACCOUNT'!I1399)</f>
        <v/>
      </c>
      <c r="J1398" t="str">
        <f>IF('NEW ACCOUNT'!A1399="","",'NEW ACCOUNT'!J1399)</f>
        <v/>
      </c>
      <c r="K1398" t="str">
        <f>IFERROR(IF(A1398="","",SUMIF(DB_Savings!$A:$A,A1398,DB_Savings!$F:$F)),"")</f>
        <v/>
      </c>
      <c r="L1398" t="str">
        <f>IFERROR(IF(A1398="","",SUMIF(DB_Withdrawals!$A:$A,A1398,DB_Withdrawals!$G:$G)),"")</f>
        <v/>
      </c>
      <c r="M1398" t="str">
        <f>IFERROR(IF(A1398="","",IFERROR(VALUE(H1398),0)+IFERROR(SUMIF(DB_Savings!$A:$A,A1398,DB_Savings!$F:$F),0)-IFERROR(SUMIF(DB_Withdrawals!$A:$A,A1398,DB_Withdrawals!$G:$G),0)),"")</f>
        <v/>
      </c>
      <c r="N1398" t="str">
        <f>IFERROR(IF(A1398="","",MAX(0,M1398-System_Config!$B$9)),"")</f>
        <v/>
      </c>
    </row>
    <row r="1399" spans="1:14" ht="15" customHeight="1" x14ac:dyDescent="0.25">
      <c r="A1399" t="str">
        <f>'NEW ACCOUNT'!A1400</f>
        <v/>
      </c>
      <c r="B1399" t="str">
        <f>IF('NEW ACCOUNT'!A1400="","",'NEW ACCOUNT'!B1400)</f>
        <v/>
      </c>
      <c r="C1399" t="str">
        <f>IF('NEW ACCOUNT'!A1400="","",'NEW ACCOUNT'!C1400)</f>
        <v/>
      </c>
      <c r="D1399" t="str">
        <f>IF('NEW ACCOUNT'!A1400="","",'NEW ACCOUNT'!D1400)</f>
        <v/>
      </c>
      <c r="E1399" t="str">
        <f>IF('NEW ACCOUNT'!A1400="","",'NEW ACCOUNT'!E1400)</f>
        <v/>
      </c>
      <c r="F1399" t="str">
        <f>IF('NEW ACCOUNT'!A1400="","",'NEW ACCOUNT'!F1400)</f>
        <v/>
      </c>
      <c r="G1399" t="str">
        <f>IF('NEW ACCOUNT'!A1400="","",'NEW ACCOUNT'!G1400)</f>
        <v/>
      </c>
      <c r="H1399" t="str">
        <f>IF('NEW ACCOUNT'!A1400="","",'NEW ACCOUNT'!H1400)</f>
        <v/>
      </c>
      <c r="I1399" t="str">
        <f>IF('NEW ACCOUNT'!A1400="","",'NEW ACCOUNT'!I1400)</f>
        <v/>
      </c>
      <c r="J1399" t="str">
        <f>IF('NEW ACCOUNT'!A1400="","",'NEW ACCOUNT'!J1400)</f>
        <v/>
      </c>
      <c r="K1399" t="str">
        <f>IFERROR(IF(A1399="","",SUMIF(DB_Savings!$A:$A,A1399,DB_Savings!$F:$F)),"")</f>
        <v/>
      </c>
      <c r="L1399" t="str">
        <f>IFERROR(IF(A1399="","",SUMIF(DB_Withdrawals!$A:$A,A1399,DB_Withdrawals!$G:$G)),"")</f>
        <v/>
      </c>
      <c r="M1399" t="str">
        <f>IFERROR(IF(A1399="","",IFERROR(VALUE(H1399),0)+IFERROR(SUMIF(DB_Savings!$A:$A,A1399,DB_Savings!$F:$F),0)-IFERROR(SUMIF(DB_Withdrawals!$A:$A,A1399,DB_Withdrawals!$G:$G),0)),"")</f>
        <v/>
      </c>
      <c r="N1399" t="str">
        <f>IFERROR(IF(A1399="","",MAX(0,M1399-System_Config!$B$9)),"")</f>
        <v/>
      </c>
    </row>
    <row r="1400" spans="1:14" ht="15" customHeight="1" x14ac:dyDescent="0.25">
      <c r="A1400" t="str">
        <f>'NEW ACCOUNT'!A1401</f>
        <v/>
      </c>
      <c r="B1400" t="str">
        <f>IF('NEW ACCOUNT'!A1401="","",'NEW ACCOUNT'!B1401)</f>
        <v/>
      </c>
      <c r="C1400" t="str">
        <f>IF('NEW ACCOUNT'!A1401="","",'NEW ACCOUNT'!C1401)</f>
        <v/>
      </c>
      <c r="D1400" t="str">
        <f>IF('NEW ACCOUNT'!A1401="","",'NEW ACCOUNT'!D1401)</f>
        <v/>
      </c>
      <c r="E1400" t="str">
        <f>IF('NEW ACCOUNT'!A1401="","",'NEW ACCOUNT'!E1401)</f>
        <v/>
      </c>
      <c r="F1400" t="str">
        <f>IF('NEW ACCOUNT'!A1401="","",'NEW ACCOUNT'!F1401)</f>
        <v/>
      </c>
      <c r="G1400" t="str">
        <f>IF('NEW ACCOUNT'!A1401="","",'NEW ACCOUNT'!G1401)</f>
        <v/>
      </c>
      <c r="H1400" t="str">
        <f>IF('NEW ACCOUNT'!A1401="","",'NEW ACCOUNT'!H1401)</f>
        <v/>
      </c>
      <c r="I1400" t="str">
        <f>IF('NEW ACCOUNT'!A1401="","",'NEW ACCOUNT'!I1401)</f>
        <v/>
      </c>
      <c r="J1400" t="str">
        <f>IF('NEW ACCOUNT'!A1401="","",'NEW ACCOUNT'!J1401)</f>
        <v/>
      </c>
      <c r="K1400" t="str">
        <f>IFERROR(IF(A1400="","",SUMIF(DB_Savings!$A:$A,A1400,DB_Savings!$F:$F)),"")</f>
        <v/>
      </c>
      <c r="L1400" t="str">
        <f>IFERROR(IF(A1400="","",SUMIF(DB_Withdrawals!$A:$A,A1400,DB_Withdrawals!$G:$G)),"")</f>
        <v/>
      </c>
      <c r="M1400" t="str">
        <f>IFERROR(IF(A1400="","",IFERROR(VALUE(H1400),0)+IFERROR(SUMIF(DB_Savings!$A:$A,A1400,DB_Savings!$F:$F),0)-IFERROR(SUMIF(DB_Withdrawals!$A:$A,A1400,DB_Withdrawals!$G:$G),0)),"")</f>
        <v/>
      </c>
      <c r="N1400" t="str">
        <f>IFERROR(IF(A1400="","",MAX(0,M1400-System_Config!$B$9)),"")</f>
        <v/>
      </c>
    </row>
    <row r="1401" spans="1:14" ht="15" customHeight="1" x14ac:dyDescent="0.25">
      <c r="A1401" t="str">
        <f>'NEW ACCOUNT'!A1402</f>
        <v/>
      </c>
      <c r="B1401" t="str">
        <f>IF('NEW ACCOUNT'!A1402="","",'NEW ACCOUNT'!B1402)</f>
        <v/>
      </c>
      <c r="C1401" t="str">
        <f>IF('NEW ACCOUNT'!A1402="","",'NEW ACCOUNT'!C1402)</f>
        <v/>
      </c>
      <c r="D1401" t="str">
        <f>IF('NEW ACCOUNT'!A1402="","",'NEW ACCOUNT'!D1402)</f>
        <v/>
      </c>
      <c r="E1401" t="str">
        <f>IF('NEW ACCOUNT'!A1402="","",'NEW ACCOUNT'!E1402)</f>
        <v/>
      </c>
      <c r="F1401" t="str">
        <f>IF('NEW ACCOUNT'!A1402="","",'NEW ACCOUNT'!F1402)</f>
        <v/>
      </c>
      <c r="G1401" t="str">
        <f>IF('NEW ACCOUNT'!A1402="","",'NEW ACCOUNT'!G1402)</f>
        <v/>
      </c>
      <c r="H1401" t="str">
        <f>IF('NEW ACCOUNT'!A1402="","",'NEW ACCOUNT'!H1402)</f>
        <v/>
      </c>
      <c r="I1401" t="str">
        <f>IF('NEW ACCOUNT'!A1402="","",'NEW ACCOUNT'!I1402)</f>
        <v/>
      </c>
      <c r="J1401" t="str">
        <f>IF('NEW ACCOUNT'!A1402="","",'NEW ACCOUNT'!J1402)</f>
        <v/>
      </c>
      <c r="K1401" t="str">
        <f>IFERROR(IF(A1401="","",SUMIF(DB_Savings!$A:$A,A1401,DB_Savings!$F:$F)),"")</f>
        <v/>
      </c>
      <c r="L1401" t="str">
        <f>IFERROR(IF(A1401="","",SUMIF(DB_Withdrawals!$A:$A,A1401,DB_Withdrawals!$G:$G)),"")</f>
        <v/>
      </c>
      <c r="M1401" t="str">
        <f>IFERROR(IF(A1401="","",IFERROR(VALUE(H1401),0)+IFERROR(SUMIF(DB_Savings!$A:$A,A1401,DB_Savings!$F:$F),0)-IFERROR(SUMIF(DB_Withdrawals!$A:$A,A1401,DB_Withdrawals!$G:$G),0)),"")</f>
        <v/>
      </c>
      <c r="N1401" t="str">
        <f>IFERROR(IF(A1401="","",MAX(0,M1401-System_Config!$B$9)),"")</f>
        <v/>
      </c>
    </row>
    <row r="1402" spans="1:14" ht="15" customHeight="1" x14ac:dyDescent="0.25">
      <c r="A1402" t="str">
        <f>'NEW ACCOUNT'!A1403</f>
        <v/>
      </c>
      <c r="B1402" t="str">
        <f>IF('NEW ACCOUNT'!A1403="","",'NEW ACCOUNT'!B1403)</f>
        <v/>
      </c>
      <c r="C1402" t="str">
        <f>IF('NEW ACCOUNT'!A1403="","",'NEW ACCOUNT'!C1403)</f>
        <v/>
      </c>
      <c r="D1402" t="str">
        <f>IF('NEW ACCOUNT'!A1403="","",'NEW ACCOUNT'!D1403)</f>
        <v/>
      </c>
      <c r="E1402" t="str">
        <f>IF('NEW ACCOUNT'!A1403="","",'NEW ACCOUNT'!E1403)</f>
        <v/>
      </c>
      <c r="F1402" t="str">
        <f>IF('NEW ACCOUNT'!A1403="","",'NEW ACCOUNT'!F1403)</f>
        <v/>
      </c>
      <c r="G1402" t="str">
        <f>IF('NEW ACCOUNT'!A1403="","",'NEW ACCOUNT'!G1403)</f>
        <v/>
      </c>
      <c r="H1402" t="str">
        <f>IF('NEW ACCOUNT'!A1403="","",'NEW ACCOUNT'!H1403)</f>
        <v/>
      </c>
      <c r="I1402" t="str">
        <f>IF('NEW ACCOUNT'!A1403="","",'NEW ACCOUNT'!I1403)</f>
        <v/>
      </c>
      <c r="J1402" t="str">
        <f>IF('NEW ACCOUNT'!A1403="","",'NEW ACCOUNT'!J1403)</f>
        <v/>
      </c>
      <c r="K1402" t="str">
        <f>IFERROR(IF(A1402="","",SUMIF(DB_Savings!$A:$A,A1402,DB_Savings!$F:$F)),"")</f>
        <v/>
      </c>
      <c r="L1402" t="str">
        <f>IFERROR(IF(A1402="","",SUMIF(DB_Withdrawals!$A:$A,A1402,DB_Withdrawals!$G:$G)),"")</f>
        <v/>
      </c>
      <c r="M1402" t="str">
        <f>IFERROR(IF(A1402="","",IFERROR(VALUE(H1402),0)+IFERROR(SUMIF(DB_Savings!$A:$A,A1402,DB_Savings!$F:$F),0)-IFERROR(SUMIF(DB_Withdrawals!$A:$A,A1402,DB_Withdrawals!$G:$G),0)),"")</f>
        <v/>
      </c>
      <c r="N1402" t="str">
        <f>IFERROR(IF(A1402="","",MAX(0,M1402-System_Config!$B$9)),"")</f>
        <v/>
      </c>
    </row>
    <row r="1403" spans="1:14" ht="15" customHeight="1" x14ac:dyDescent="0.25">
      <c r="A1403" t="str">
        <f>'NEW ACCOUNT'!A1404</f>
        <v/>
      </c>
      <c r="B1403" t="str">
        <f>IF('NEW ACCOUNT'!A1404="","",'NEW ACCOUNT'!B1404)</f>
        <v/>
      </c>
      <c r="C1403" t="str">
        <f>IF('NEW ACCOUNT'!A1404="","",'NEW ACCOUNT'!C1404)</f>
        <v/>
      </c>
      <c r="D1403" t="str">
        <f>IF('NEW ACCOUNT'!A1404="","",'NEW ACCOUNT'!D1404)</f>
        <v/>
      </c>
      <c r="E1403" t="str">
        <f>IF('NEW ACCOUNT'!A1404="","",'NEW ACCOUNT'!E1404)</f>
        <v/>
      </c>
      <c r="F1403" t="str">
        <f>IF('NEW ACCOUNT'!A1404="","",'NEW ACCOUNT'!F1404)</f>
        <v/>
      </c>
      <c r="G1403" t="str">
        <f>IF('NEW ACCOUNT'!A1404="","",'NEW ACCOUNT'!G1404)</f>
        <v/>
      </c>
      <c r="H1403" t="str">
        <f>IF('NEW ACCOUNT'!A1404="","",'NEW ACCOUNT'!H1404)</f>
        <v/>
      </c>
      <c r="I1403" t="str">
        <f>IF('NEW ACCOUNT'!A1404="","",'NEW ACCOUNT'!I1404)</f>
        <v/>
      </c>
      <c r="J1403" t="str">
        <f>IF('NEW ACCOUNT'!A1404="","",'NEW ACCOUNT'!J1404)</f>
        <v/>
      </c>
      <c r="K1403" t="str">
        <f>IFERROR(IF(A1403="","",SUMIF(DB_Savings!$A:$A,A1403,DB_Savings!$F:$F)),"")</f>
        <v/>
      </c>
      <c r="L1403" t="str">
        <f>IFERROR(IF(A1403="","",SUMIF(DB_Withdrawals!$A:$A,A1403,DB_Withdrawals!$G:$G)),"")</f>
        <v/>
      </c>
      <c r="M1403" t="str">
        <f>IFERROR(IF(A1403="","",IFERROR(VALUE(H1403),0)+IFERROR(SUMIF(DB_Savings!$A:$A,A1403,DB_Savings!$F:$F),0)-IFERROR(SUMIF(DB_Withdrawals!$A:$A,A1403,DB_Withdrawals!$G:$G),0)),"")</f>
        <v/>
      </c>
      <c r="N1403" t="str">
        <f>IFERROR(IF(A1403="","",MAX(0,M1403-System_Config!$B$9)),"")</f>
        <v/>
      </c>
    </row>
    <row r="1404" spans="1:14" ht="15" customHeight="1" x14ac:dyDescent="0.25">
      <c r="A1404" t="str">
        <f>'NEW ACCOUNT'!A1405</f>
        <v/>
      </c>
      <c r="B1404" t="str">
        <f>IF('NEW ACCOUNT'!A1405="","",'NEW ACCOUNT'!B1405)</f>
        <v/>
      </c>
      <c r="C1404" t="str">
        <f>IF('NEW ACCOUNT'!A1405="","",'NEW ACCOUNT'!C1405)</f>
        <v/>
      </c>
      <c r="D1404" t="str">
        <f>IF('NEW ACCOUNT'!A1405="","",'NEW ACCOUNT'!D1405)</f>
        <v/>
      </c>
      <c r="E1404" t="str">
        <f>IF('NEW ACCOUNT'!A1405="","",'NEW ACCOUNT'!E1405)</f>
        <v/>
      </c>
      <c r="F1404" t="str">
        <f>IF('NEW ACCOUNT'!A1405="","",'NEW ACCOUNT'!F1405)</f>
        <v/>
      </c>
      <c r="G1404" t="str">
        <f>IF('NEW ACCOUNT'!A1405="","",'NEW ACCOUNT'!G1405)</f>
        <v/>
      </c>
      <c r="H1404" t="str">
        <f>IF('NEW ACCOUNT'!A1405="","",'NEW ACCOUNT'!H1405)</f>
        <v/>
      </c>
      <c r="I1404" t="str">
        <f>IF('NEW ACCOUNT'!A1405="","",'NEW ACCOUNT'!I1405)</f>
        <v/>
      </c>
      <c r="J1404" t="str">
        <f>IF('NEW ACCOUNT'!A1405="","",'NEW ACCOUNT'!J1405)</f>
        <v/>
      </c>
      <c r="K1404" t="str">
        <f>IFERROR(IF(A1404="","",SUMIF(DB_Savings!$A:$A,A1404,DB_Savings!$F:$F)),"")</f>
        <v/>
      </c>
      <c r="L1404" t="str">
        <f>IFERROR(IF(A1404="","",SUMIF(DB_Withdrawals!$A:$A,A1404,DB_Withdrawals!$G:$G)),"")</f>
        <v/>
      </c>
      <c r="M1404" t="str">
        <f>IFERROR(IF(A1404="","",IFERROR(VALUE(H1404),0)+IFERROR(SUMIF(DB_Savings!$A:$A,A1404,DB_Savings!$F:$F),0)-IFERROR(SUMIF(DB_Withdrawals!$A:$A,A1404,DB_Withdrawals!$G:$G),0)),"")</f>
        <v/>
      </c>
      <c r="N1404" t="str">
        <f>IFERROR(IF(A1404="","",MAX(0,M1404-System_Config!$B$9)),"")</f>
        <v/>
      </c>
    </row>
    <row r="1405" spans="1:14" ht="15" customHeight="1" x14ac:dyDescent="0.25">
      <c r="A1405" t="str">
        <f>'NEW ACCOUNT'!A1406</f>
        <v/>
      </c>
      <c r="B1405" t="str">
        <f>IF('NEW ACCOUNT'!A1406="","",'NEW ACCOUNT'!B1406)</f>
        <v/>
      </c>
      <c r="C1405" t="str">
        <f>IF('NEW ACCOUNT'!A1406="","",'NEW ACCOUNT'!C1406)</f>
        <v/>
      </c>
      <c r="D1405" t="str">
        <f>IF('NEW ACCOUNT'!A1406="","",'NEW ACCOUNT'!D1406)</f>
        <v/>
      </c>
      <c r="E1405" t="str">
        <f>IF('NEW ACCOUNT'!A1406="","",'NEW ACCOUNT'!E1406)</f>
        <v/>
      </c>
      <c r="F1405" t="str">
        <f>IF('NEW ACCOUNT'!A1406="","",'NEW ACCOUNT'!F1406)</f>
        <v/>
      </c>
      <c r="G1405" t="str">
        <f>IF('NEW ACCOUNT'!A1406="","",'NEW ACCOUNT'!G1406)</f>
        <v/>
      </c>
      <c r="H1405" t="str">
        <f>IF('NEW ACCOUNT'!A1406="","",'NEW ACCOUNT'!H1406)</f>
        <v/>
      </c>
      <c r="I1405" t="str">
        <f>IF('NEW ACCOUNT'!A1406="","",'NEW ACCOUNT'!I1406)</f>
        <v/>
      </c>
      <c r="J1405" t="str">
        <f>IF('NEW ACCOUNT'!A1406="","",'NEW ACCOUNT'!J1406)</f>
        <v/>
      </c>
      <c r="K1405" t="str">
        <f>IFERROR(IF(A1405="","",SUMIF(DB_Savings!$A:$A,A1405,DB_Savings!$F:$F)),"")</f>
        <v/>
      </c>
      <c r="L1405" t="str">
        <f>IFERROR(IF(A1405="","",SUMIF(DB_Withdrawals!$A:$A,A1405,DB_Withdrawals!$G:$G)),"")</f>
        <v/>
      </c>
      <c r="M1405" t="str">
        <f>IFERROR(IF(A1405="","",IFERROR(VALUE(H1405),0)+IFERROR(SUMIF(DB_Savings!$A:$A,A1405,DB_Savings!$F:$F),0)-IFERROR(SUMIF(DB_Withdrawals!$A:$A,A1405,DB_Withdrawals!$G:$G),0)),"")</f>
        <v/>
      </c>
      <c r="N1405" t="str">
        <f>IFERROR(IF(A1405="","",MAX(0,M1405-System_Config!$B$9)),"")</f>
        <v/>
      </c>
    </row>
    <row r="1406" spans="1:14" ht="15" customHeight="1" x14ac:dyDescent="0.25">
      <c r="A1406" t="str">
        <f>'NEW ACCOUNT'!A1407</f>
        <v/>
      </c>
      <c r="B1406" t="str">
        <f>IF('NEW ACCOUNT'!A1407="","",'NEW ACCOUNT'!B1407)</f>
        <v/>
      </c>
      <c r="C1406" t="str">
        <f>IF('NEW ACCOUNT'!A1407="","",'NEW ACCOUNT'!C1407)</f>
        <v/>
      </c>
      <c r="D1406" t="str">
        <f>IF('NEW ACCOUNT'!A1407="","",'NEW ACCOUNT'!D1407)</f>
        <v/>
      </c>
      <c r="E1406" t="str">
        <f>IF('NEW ACCOUNT'!A1407="","",'NEW ACCOUNT'!E1407)</f>
        <v/>
      </c>
      <c r="F1406" t="str">
        <f>IF('NEW ACCOUNT'!A1407="","",'NEW ACCOUNT'!F1407)</f>
        <v/>
      </c>
      <c r="G1406" t="str">
        <f>IF('NEW ACCOUNT'!A1407="","",'NEW ACCOUNT'!G1407)</f>
        <v/>
      </c>
      <c r="H1406" t="str">
        <f>IF('NEW ACCOUNT'!A1407="","",'NEW ACCOUNT'!H1407)</f>
        <v/>
      </c>
      <c r="I1406" t="str">
        <f>IF('NEW ACCOUNT'!A1407="","",'NEW ACCOUNT'!I1407)</f>
        <v/>
      </c>
      <c r="J1406" t="str">
        <f>IF('NEW ACCOUNT'!A1407="","",'NEW ACCOUNT'!J1407)</f>
        <v/>
      </c>
      <c r="K1406" t="str">
        <f>IFERROR(IF(A1406="","",SUMIF(DB_Savings!$A:$A,A1406,DB_Savings!$F:$F)),"")</f>
        <v/>
      </c>
      <c r="L1406" t="str">
        <f>IFERROR(IF(A1406="","",SUMIF(DB_Withdrawals!$A:$A,A1406,DB_Withdrawals!$G:$G)),"")</f>
        <v/>
      </c>
      <c r="M1406" t="str">
        <f>IFERROR(IF(A1406="","",IFERROR(VALUE(H1406),0)+IFERROR(SUMIF(DB_Savings!$A:$A,A1406,DB_Savings!$F:$F),0)-IFERROR(SUMIF(DB_Withdrawals!$A:$A,A1406,DB_Withdrawals!$G:$G),0)),"")</f>
        <v/>
      </c>
      <c r="N1406" t="str">
        <f>IFERROR(IF(A1406="","",MAX(0,M1406-System_Config!$B$9)),"")</f>
        <v/>
      </c>
    </row>
    <row r="1407" spans="1:14" ht="15" customHeight="1" x14ac:dyDescent="0.25">
      <c r="A1407" t="str">
        <f>'NEW ACCOUNT'!A1408</f>
        <v/>
      </c>
      <c r="B1407" t="str">
        <f>IF('NEW ACCOUNT'!A1408="","",'NEW ACCOUNT'!B1408)</f>
        <v/>
      </c>
      <c r="C1407" t="str">
        <f>IF('NEW ACCOUNT'!A1408="","",'NEW ACCOUNT'!C1408)</f>
        <v/>
      </c>
      <c r="D1407" t="str">
        <f>IF('NEW ACCOUNT'!A1408="","",'NEW ACCOUNT'!D1408)</f>
        <v/>
      </c>
      <c r="E1407" t="str">
        <f>IF('NEW ACCOUNT'!A1408="","",'NEW ACCOUNT'!E1408)</f>
        <v/>
      </c>
      <c r="F1407" t="str">
        <f>IF('NEW ACCOUNT'!A1408="","",'NEW ACCOUNT'!F1408)</f>
        <v/>
      </c>
      <c r="G1407" t="str">
        <f>IF('NEW ACCOUNT'!A1408="","",'NEW ACCOUNT'!G1408)</f>
        <v/>
      </c>
      <c r="H1407" t="str">
        <f>IF('NEW ACCOUNT'!A1408="","",'NEW ACCOUNT'!H1408)</f>
        <v/>
      </c>
      <c r="I1407" t="str">
        <f>IF('NEW ACCOUNT'!A1408="","",'NEW ACCOUNT'!I1408)</f>
        <v/>
      </c>
      <c r="J1407" t="str">
        <f>IF('NEW ACCOUNT'!A1408="","",'NEW ACCOUNT'!J1408)</f>
        <v/>
      </c>
      <c r="K1407" t="str">
        <f>IFERROR(IF(A1407="","",SUMIF(DB_Savings!$A:$A,A1407,DB_Savings!$F:$F)),"")</f>
        <v/>
      </c>
      <c r="L1407" t="str">
        <f>IFERROR(IF(A1407="","",SUMIF(DB_Withdrawals!$A:$A,A1407,DB_Withdrawals!$G:$G)),"")</f>
        <v/>
      </c>
      <c r="M1407" t="str">
        <f>IFERROR(IF(A1407="","",IFERROR(VALUE(H1407),0)+IFERROR(SUMIF(DB_Savings!$A:$A,A1407,DB_Savings!$F:$F),0)-IFERROR(SUMIF(DB_Withdrawals!$A:$A,A1407,DB_Withdrawals!$G:$G),0)),"")</f>
        <v/>
      </c>
      <c r="N1407" t="str">
        <f>IFERROR(IF(A1407="","",MAX(0,M1407-System_Config!$B$9)),"")</f>
        <v/>
      </c>
    </row>
    <row r="1408" spans="1:14" ht="15" customHeight="1" x14ac:dyDescent="0.25">
      <c r="A1408" t="str">
        <f>'NEW ACCOUNT'!A1409</f>
        <v/>
      </c>
      <c r="B1408" t="str">
        <f>IF('NEW ACCOUNT'!A1409="","",'NEW ACCOUNT'!B1409)</f>
        <v/>
      </c>
      <c r="C1408" t="str">
        <f>IF('NEW ACCOUNT'!A1409="","",'NEW ACCOUNT'!C1409)</f>
        <v/>
      </c>
      <c r="D1408" t="str">
        <f>IF('NEW ACCOUNT'!A1409="","",'NEW ACCOUNT'!D1409)</f>
        <v/>
      </c>
      <c r="E1408" t="str">
        <f>IF('NEW ACCOUNT'!A1409="","",'NEW ACCOUNT'!E1409)</f>
        <v/>
      </c>
      <c r="F1408" t="str">
        <f>IF('NEW ACCOUNT'!A1409="","",'NEW ACCOUNT'!F1409)</f>
        <v/>
      </c>
      <c r="G1408" t="str">
        <f>IF('NEW ACCOUNT'!A1409="","",'NEW ACCOUNT'!G1409)</f>
        <v/>
      </c>
      <c r="H1408" t="str">
        <f>IF('NEW ACCOUNT'!A1409="","",'NEW ACCOUNT'!H1409)</f>
        <v/>
      </c>
      <c r="I1408" t="str">
        <f>IF('NEW ACCOUNT'!A1409="","",'NEW ACCOUNT'!I1409)</f>
        <v/>
      </c>
      <c r="J1408" t="str">
        <f>IF('NEW ACCOUNT'!A1409="","",'NEW ACCOUNT'!J1409)</f>
        <v/>
      </c>
      <c r="K1408" t="str">
        <f>IFERROR(IF(A1408="","",SUMIF(DB_Savings!$A:$A,A1408,DB_Savings!$F:$F)),"")</f>
        <v/>
      </c>
      <c r="L1408" t="str">
        <f>IFERROR(IF(A1408="","",SUMIF(DB_Withdrawals!$A:$A,A1408,DB_Withdrawals!$G:$G)),"")</f>
        <v/>
      </c>
      <c r="M1408" t="str">
        <f>IFERROR(IF(A1408="","",IFERROR(VALUE(H1408),0)+IFERROR(SUMIF(DB_Savings!$A:$A,A1408,DB_Savings!$F:$F),0)-IFERROR(SUMIF(DB_Withdrawals!$A:$A,A1408,DB_Withdrawals!$G:$G),0)),"")</f>
        <v/>
      </c>
      <c r="N1408" t="str">
        <f>IFERROR(IF(A1408="","",MAX(0,M1408-System_Config!$B$9)),"")</f>
        <v/>
      </c>
    </row>
    <row r="1409" spans="1:14" ht="15" customHeight="1" x14ac:dyDescent="0.25">
      <c r="A1409" t="str">
        <f>'NEW ACCOUNT'!A1410</f>
        <v/>
      </c>
      <c r="B1409" t="str">
        <f>IF('NEW ACCOUNT'!A1410="","",'NEW ACCOUNT'!B1410)</f>
        <v/>
      </c>
      <c r="C1409" t="str">
        <f>IF('NEW ACCOUNT'!A1410="","",'NEW ACCOUNT'!C1410)</f>
        <v/>
      </c>
      <c r="D1409" t="str">
        <f>IF('NEW ACCOUNT'!A1410="","",'NEW ACCOUNT'!D1410)</f>
        <v/>
      </c>
      <c r="E1409" t="str">
        <f>IF('NEW ACCOUNT'!A1410="","",'NEW ACCOUNT'!E1410)</f>
        <v/>
      </c>
      <c r="F1409" t="str">
        <f>IF('NEW ACCOUNT'!A1410="","",'NEW ACCOUNT'!F1410)</f>
        <v/>
      </c>
      <c r="G1409" t="str">
        <f>IF('NEW ACCOUNT'!A1410="","",'NEW ACCOUNT'!G1410)</f>
        <v/>
      </c>
      <c r="H1409" t="str">
        <f>IF('NEW ACCOUNT'!A1410="","",'NEW ACCOUNT'!H1410)</f>
        <v/>
      </c>
      <c r="I1409" t="str">
        <f>IF('NEW ACCOUNT'!A1410="","",'NEW ACCOUNT'!I1410)</f>
        <v/>
      </c>
      <c r="J1409" t="str">
        <f>IF('NEW ACCOUNT'!A1410="","",'NEW ACCOUNT'!J1410)</f>
        <v/>
      </c>
      <c r="K1409" t="str">
        <f>IFERROR(IF(A1409="","",SUMIF(DB_Savings!$A:$A,A1409,DB_Savings!$F:$F)),"")</f>
        <v/>
      </c>
      <c r="L1409" t="str">
        <f>IFERROR(IF(A1409="","",SUMIF(DB_Withdrawals!$A:$A,A1409,DB_Withdrawals!$G:$G)),"")</f>
        <v/>
      </c>
      <c r="M1409" t="str">
        <f>IFERROR(IF(A1409="","",IFERROR(VALUE(H1409),0)+IFERROR(SUMIF(DB_Savings!$A:$A,A1409,DB_Savings!$F:$F),0)-IFERROR(SUMIF(DB_Withdrawals!$A:$A,A1409,DB_Withdrawals!$G:$G),0)),"")</f>
        <v/>
      </c>
      <c r="N1409" t="str">
        <f>IFERROR(IF(A1409="","",MAX(0,M1409-System_Config!$B$9)),"")</f>
        <v/>
      </c>
    </row>
    <row r="1410" spans="1:14" ht="15" customHeight="1" x14ac:dyDescent="0.25">
      <c r="A1410" t="str">
        <f>'NEW ACCOUNT'!A1411</f>
        <v/>
      </c>
      <c r="B1410" t="str">
        <f>IF('NEW ACCOUNT'!A1411="","",'NEW ACCOUNT'!B1411)</f>
        <v/>
      </c>
      <c r="C1410" t="str">
        <f>IF('NEW ACCOUNT'!A1411="","",'NEW ACCOUNT'!C1411)</f>
        <v/>
      </c>
      <c r="D1410" t="str">
        <f>IF('NEW ACCOUNT'!A1411="","",'NEW ACCOUNT'!D1411)</f>
        <v/>
      </c>
      <c r="E1410" t="str">
        <f>IF('NEW ACCOUNT'!A1411="","",'NEW ACCOUNT'!E1411)</f>
        <v/>
      </c>
      <c r="F1410" t="str">
        <f>IF('NEW ACCOUNT'!A1411="","",'NEW ACCOUNT'!F1411)</f>
        <v/>
      </c>
      <c r="G1410" t="str">
        <f>IF('NEW ACCOUNT'!A1411="","",'NEW ACCOUNT'!G1411)</f>
        <v/>
      </c>
      <c r="H1410" t="str">
        <f>IF('NEW ACCOUNT'!A1411="","",'NEW ACCOUNT'!H1411)</f>
        <v/>
      </c>
      <c r="I1410" t="str">
        <f>IF('NEW ACCOUNT'!A1411="","",'NEW ACCOUNT'!I1411)</f>
        <v/>
      </c>
      <c r="J1410" t="str">
        <f>IF('NEW ACCOUNT'!A1411="","",'NEW ACCOUNT'!J1411)</f>
        <v/>
      </c>
      <c r="K1410" t="str">
        <f>IFERROR(IF(A1410="","",SUMIF(DB_Savings!$A:$A,A1410,DB_Savings!$F:$F)),"")</f>
        <v/>
      </c>
      <c r="L1410" t="str">
        <f>IFERROR(IF(A1410="","",SUMIF(DB_Withdrawals!$A:$A,A1410,DB_Withdrawals!$G:$G)),"")</f>
        <v/>
      </c>
      <c r="M1410" t="str">
        <f>IFERROR(IF(A1410="","",IFERROR(VALUE(H1410),0)+IFERROR(SUMIF(DB_Savings!$A:$A,A1410,DB_Savings!$F:$F),0)-IFERROR(SUMIF(DB_Withdrawals!$A:$A,A1410,DB_Withdrawals!$G:$G),0)),"")</f>
        <v/>
      </c>
      <c r="N1410" t="str">
        <f>IFERROR(IF(A1410="","",MAX(0,M1410-System_Config!$B$9)),"")</f>
        <v/>
      </c>
    </row>
    <row r="1411" spans="1:14" ht="15" customHeight="1" x14ac:dyDescent="0.25">
      <c r="A1411" t="str">
        <f>'NEW ACCOUNT'!A1412</f>
        <v/>
      </c>
      <c r="B1411" t="str">
        <f>IF('NEW ACCOUNT'!A1412="","",'NEW ACCOUNT'!B1412)</f>
        <v/>
      </c>
      <c r="C1411" t="str">
        <f>IF('NEW ACCOUNT'!A1412="","",'NEW ACCOUNT'!C1412)</f>
        <v/>
      </c>
      <c r="D1411" t="str">
        <f>IF('NEW ACCOUNT'!A1412="","",'NEW ACCOUNT'!D1412)</f>
        <v/>
      </c>
      <c r="E1411" t="str">
        <f>IF('NEW ACCOUNT'!A1412="","",'NEW ACCOUNT'!E1412)</f>
        <v/>
      </c>
      <c r="F1411" t="str">
        <f>IF('NEW ACCOUNT'!A1412="","",'NEW ACCOUNT'!F1412)</f>
        <v/>
      </c>
      <c r="G1411" t="str">
        <f>IF('NEW ACCOUNT'!A1412="","",'NEW ACCOUNT'!G1412)</f>
        <v/>
      </c>
      <c r="H1411" t="str">
        <f>IF('NEW ACCOUNT'!A1412="","",'NEW ACCOUNT'!H1412)</f>
        <v/>
      </c>
      <c r="I1411" t="str">
        <f>IF('NEW ACCOUNT'!A1412="","",'NEW ACCOUNT'!I1412)</f>
        <v/>
      </c>
      <c r="J1411" t="str">
        <f>IF('NEW ACCOUNT'!A1412="","",'NEW ACCOUNT'!J1412)</f>
        <v/>
      </c>
      <c r="K1411" t="str">
        <f>IFERROR(IF(A1411="","",SUMIF(DB_Savings!$A:$A,A1411,DB_Savings!$F:$F)),"")</f>
        <v/>
      </c>
      <c r="L1411" t="str">
        <f>IFERROR(IF(A1411="","",SUMIF(DB_Withdrawals!$A:$A,A1411,DB_Withdrawals!$G:$G)),"")</f>
        <v/>
      </c>
      <c r="M1411" t="str">
        <f>IFERROR(IF(A1411="","",IFERROR(VALUE(H1411),0)+IFERROR(SUMIF(DB_Savings!$A:$A,A1411,DB_Savings!$F:$F),0)-IFERROR(SUMIF(DB_Withdrawals!$A:$A,A1411,DB_Withdrawals!$G:$G),0)),"")</f>
        <v/>
      </c>
      <c r="N1411" t="str">
        <f>IFERROR(IF(A1411="","",MAX(0,M1411-System_Config!$B$9)),"")</f>
        <v/>
      </c>
    </row>
    <row r="1412" spans="1:14" ht="15" customHeight="1" x14ac:dyDescent="0.25">
      <c r="A1412" t="str">
        <f>'NEW ACCOUNT'!A1413</f>
        <v/>
      </c>
      <c r="B1412" t="str">
        <f>IF('NEW ACCOUNT'!A1413="","",'NEW ACCOUNT'!B1413)</f>
        <v/>
      </c>
      <c r="C1412" t="str">
        <f>IF('NEW ACCOUNT'!A1413="","",'NEW ACCOUNT'!C1413)</f>
        <v/>
      </c>
      <c r="D1412" t="str">
        <f>IF('NEW ACCOUNT'!A1413="","",'NEW ACCOUNT'!D1413)</f>
        <v/>
      </c>
      <c r="E1412" t="str">
        <f>IF('NEW ACCOUNT'!A1413="","",'NEW ACCOUNT'!E1413)</f>
        <v/>
      </c>
      <c r="F1412" t="str">
        <f>IF('NEW ACCOUNT'!A1413="","",'NEW ACCOUNT'!F1413)</f>
        <v/>
      </c>
      <c r="G1412" t="str">
        <f>IF('NEW ACCOUNT'!A1413="","",'NEW ACCOUNT'!G1413)</f>
        <v/>
      </c>
      <c r="H1412" t="str">
        <f>IF('NEW ACCOUNT'!A1413="","",'NEW ACCOUNT'!H1413)</f>
        <v/>
      </c>
      <c r="I1412" t="str">
        <f>IF('NEW ACCOUNT'!A1413="","",'NEW ACCOUNT'!I1413)</f>
        <v/>
      </c>
      <c r="J1412" t="str">
        <f>IF('NEW ACCOUNT'!A1413="","",'NEW ACCOUNT'!J1413)</f>
        <v/>
      </c>
      <c r="K1412" t="str">
        <f>IFERROR(IF(A1412="","",SUMIF(DB_Savings!$A:$A,A1412,DB_Savings!$F:$F)),"")</f>
        <v/>
      </c>
      <c r="L1412" t="str">
        <f>IFERROR(IF(A1412="","",SUMIF(DB_Withdrawals!$A:$A,A1412,DB_Withdrawals!$G:$G)),"")</f>
        <v/>
      </c>
      <c r="M1412" t="str">
        <f>IFERROR(IF(A1412="","",IFERROR(VALUE(H1412),0)+IFERROR(SUMIF(DB_Savings!$A:$A,A1412,DB_Savings!$F:$F),0)-IFERROR(SUMIF(DB_Withdrawals!$A:$A,A1412,DB_Withdrawals!$G:$G),0)),"")</f>
        <v/>
      </c>
      <c r="N1412" t="str">
        <f>IFERROR(IF(A1412="","",MAX(0,M1412-System_Config!$B$9)),"")</f>
        <v/>
      </c>
    </row>
    <row r="1413" spans="1:14" ht="15" customHeight="1" x14ac:dyDescent="0.25">
      <c r="A1413" t="str">
        <f>'NEW ACCOUNT'!A1414</f>
        <v/>
      </c>
      <c r="B1413" t="str">
        <f>IF('NEW ACCOUNT'!A1414="","",'NEW ACCOUNT'!B1414)</f>
        <v/>
      </c>
      <c r="C1413" t="str">
        <f>IF('NEW ACCOUNT'!A1414="","",'NEW ACCOUNT'!C1414)</f>
        <v/>
      </c>
      <c r="D1413" t="str">
        <f>IF('NEW ACCOUNT'!A1414="","",'NEW ACCOUNT'!D1414)</f>
        <v/>
      </c>
      <c r="E1413" t="str">
        <f>IF('NEW ACCOUNT'!A1414="","",'NEW ACCOUNT'!E1414)</f>
        <v/>
      </c>
      <c r="F1413" t="str">
        <f>IF('NEW ACCOUNT'!A1414="","",'NEW ACCOUNT'!F1414)</f>
        <v/>
      </c>
      <c r="G1413" t="str">
        <f>IF('NEW ACCOUNT'!A1414="","",'NEW ACCOUNT'!G1414)</f>
        <v/>
      </c>
      <c r="H1413" t="str">
        <f>IF('NEW ACCOUNT'!A1414="","",'NEW ACCOUNT'!H1414)</f>
        <v/>
      </c>
      <c r="I1413" t="str">
        <f>IF('NEW ACCOUNT'!A1414="","",'NEW ACCOUNT'!I1414)</f>
        <v/>
      </c>
      <c r="J1413" t="str">
        <f>IF('NEW ACCOUNT'!A1414="","",'NEW ACCOUNT'!J1414)</f>
        <v/>
      </c>
      <c r="K1413" t="str">
        <f>IFERROR(IF(A1413="","",SUMIF(DB_Savings!$A:$A,A1413,DB_Savings!$F:$F)),"")</f>
        <v/>
      </c>
      <c r="L1413" t="str">
        <f>IFERROR(IF(A1413="","",SUMIF(DB_Withdrawals!$A:$A,A1413,DB_Withdrawals!$G:$G)),"")</f>
        <v/>
      </c>
      <c r="M1413" t="str">
        <f>IFERROR(IF(A1413="","",IFERROR(VALUE(H1413),0)+IFERROR(SUMIF(DB_Savings!$A:$A,A1413,DB_Savings!$F:$F),0)-IFERROR(SUMIF(DB_Withdrawals!$A:$A,A1413,DB_Withdrawals!$G:$G),0)),"")</f>
        <v/>
      </c>
      <c r="N1413" t="str">
        <f>IFERROR(IF(A1413="","",MAX(0,M1413-System_Config!$B$9)),"")</f>
        <v/>
      </c>
    </row>
    <row r="1414" spans="1:14" ht="15" customHeight="1" x14ac:dyDescent="0.25">
      <c r="A1414" t="str">
        <f>'NEW ACCOUNT'!A1415</f>
        <v/>
      </c>
      <c r="B1414" t="str">
        <f>IF('NEW ACCOUNT'!A1415="","",'NEW ACCOUNT'!B1415)</f>
        <v/>
      </c>
      <c r="C1414" t="str">
        <f>IF('NEW ACCOUNT'!A1415="","",'NEW ACCOUNT'!C1415)</f>
        <v/>
      </c>
      <c r="D1414" t="str">
        <f>IF('NEW ACCOUNT'!A1415="","",'NEW ACCOUNT'!D1415)</f>
        <v/>
      </c>
      <c r="E1414" t="str">
        <f>IF('NEW ACCOUNT'!A1415="","",'NEW ACCOUNT'!E1415)</f>
        <v/>
      </c>
      <c r="F1414" t="str">
        <f>IF('NEW ACCOUNT'!A1415="","",'NEW ACCOUNT'!F1415)</f>
        <v/>
      </c>
      <c r="G1414" t="str">
        <f>IF('NEW ACCOUNT'!A1415="","",'NEW ACCOUNT'!G1415)</f>
        <v/>
      </c>
      <c r="H1414" t="str">
        <f>IF('NEW ACCOUNT'!A1415="","",'NEW ACCOUNT'!H1415)</f>
        <v/>
      </c>
      <c r="I1414" t="str">
        <f>IF('NEW ACCOUNT'!A1415="","",'NEW ACCOUNT'!I1415)</f>
        <v/>
      </c>
      <c r="J1414" t="str">
        <f>IF('NEW ACCOUNT'!A1415="","",'NEW ACCOUNT'!J1415)</f>
        <v/>
      </c>
      <c r="K1414" t="str">
        <f>IFERROR(IF(A1414="","",SUMIF(DB_Savings!$A:$A,A1414,DB_Savings!$F:$F)),"")</f>
        <v/>
      </c>
      <c r="L1414" t="str">
        <f>IFERROR(IF(A1414="","",SUMIF(DB_Withdrawals!$A:$A,A1414,DB_Withdrawals!$G:$G)),"")</f>
        <v/>
      </c>
      <c r="M1414" t="str">
        <f>IFERROR(IF(A1414="","",IFERROR(VALUE(H1414),0)+IFERROR(SUMIF(DB_Savings!$A:$A,A1414,DB_Savings!$F:$F),0)-IFERROR(SUMIF(DB_Withdrawals!$A:$A,A1414,DB_Withdrawals!$G:$G),0)),"")</f>
        <v/>
      </c>
      <c r="N1414" t="str">
        <f>IFERROR(IF(A1414="","",MAX(0,M1414-System_Config!$B$9)),"")</f>
        <v/>
      </c>
    </row>
    <row r="1415" spans="1:14" ht="15" customHeight="1" x14ac:dyDescent="0.25">
      <c r="A1415" t="str">
        <f>'NEW ACCOUNT'!A1416</f>
        <v/>
      </c>
      <c r="B1415" t="str">
        <f>IF('NEW ACCOUNT'!A1416="","",'NEW ACCOUNT'!B1416)</f>
        <v/>
      </c>
      <c r="C1415" t="str">
        <f>IF('NEW ACCOUNT'!A1416="","",'NEW ACCOUNT'!C1416)</f>
        <v/>
      </c>
      <c r="D1415" t="str">
        <f>IF('NEW ACCOUNT'!A1416="","",'NEW ACCOUNT'!D1416)</f>
        <v/>
      </c>
      <c r="E1415" t="str">
        <f>IF('NEW ACCOUNT'!A1416="","",'NEW ACCOUNT'!E1416)</f>
        <v/>
      </c>
      <c r="F1415" t="str">
        <f>IF('NEW ACCOUNT'!A1416="","",'NEW ACCOUNT'!F1416)</f>
        <v/>
      </c>
      <c r="G1415" t="str">
        <f>IF('NEW ACCOUNT'!A1416="","",'NEW ACCOUNT'!G1416)</f>
        <v/>
      </c>
      <c r="H1415" t="str">
        <f>IF('NEW ACCOUNT'!A1416="","",'NEW ACCOUNT'!H1416)</f>
        <v/>
      </c>
      <c r="I1415" t="str">
        <f>IF('NEW ACCOUNT'!A1416="","",'NEW ACCOUNT'!I1416)</f>
        <v/>
      </c>
      <c r="J1415" t="str">
        <f>IF('NEW ACCOUNT'!A1416="","",'NEW ACCOUNT'!J1416)</f>
        <v/>
      </c>
      <c r="K1415" t="str">
        <f>IFERROR(IF(A1415="","",SUMIF(DB_Savings!$A:$A,A1415,DB_Savings!$F:$F)),"")</f>
        <v/>
      </c>
      <c r="L1415" t="str">
        <f>IFERROR(IF(A1415="","",SUMIF(DB_Withdrawals!$A:$A,A1415,DB_Withdrawals!$G:$G)),"")</f>
        <v/>
      </c>
      <c r="M1415" t="str">
        <f>IFERROR(IF(A1415="","",IFERROR(VALUE(H1415),0)+IFERROR(SUMIF(DB_Savings!$A:$A,A1415,DB_Savings!$F:$F),0)-IFERROR(SUMIF(DB_Withdrawals!$A:$A,A1415,DB_Withdrawals!$G:$G),0)),"")</f>
        <v/>
      </c>
      <c r="N1415" t="str">
        <f>IFERROR(IF(A1415="","",MAX(0,M1415-System_Config!$B$9)),"")</f>
        <v/>
      </c>
    </row>
    <row r="1416" spans="1:14" ht="15" customHeight="1" x14ac:dyDescent="0.25">
      <c r="A1416" t="str">
        <f>'NEW ACCOUNT'!A1417</f>
        <v/>
      </c>
      <c r="B1416" t="str">
        <f>IF('NEW ACCOUNT'!A1417="","",'NEW ACCOUNT'!B1417)</f>
        <v/>
      </c>
      <c r="C1416" t="str">
        <f>IF('NEW ACCOUNT'!A1417="","",'NEW ACCOUNT'!C1417)</f>
        <v/>
      </c>
      <c r="D1416" t="str">
        <f>IF('NEW ACCOUNT'!A1417="","",'NEW ACCOUNT'!D1417)</f>
        <v/>
      </c>
      <c r="E1416" t="str">
        <f>IF('NEW ACCOUNT'!A1417="","",'NEW ACCOUNT'!E1417)</f>
        <v/>
      </c>
      <c r="F1416" t="str">
        <f>IF('NEW ACCOUNT'!A1417="","",'NEW ACCOUNT'!F1417)</f>
        <v/>
      </c>
      <c r="G1416" t="str">
        <f>IF('NEW ACCOUNT'!A1417="","",'NEW ACCOUNT'!G1417)</f>
        <v/>
      </c>
      <c r="H1416" t="str">
        <f>IF('NEW ACCOUNT'!A1417="","",'NEW ACCOUNT'!H1417)</f>
        <v/>
      </c>
      <c r="I1416" t="str">
        <f>IF('NEW ACCOUNT'!A1417="","",'NEW ACCOUNT'!I1417)</f>
        <v/>
      </c>
      <c r="J1416" t="str">
        <f>IF('NEW ACCOUNT'!A1417="","",'NEW ACCOUNT'!J1417)</f>
        <v/>
      </c>
      <c r="K1416" t="str">
        <f>IFERROR(IF(A1416="","",SUMIF(DB_Savings!$A:$A,A1416,DB_Savings!$F:$F)),"")</f>
        <v/>
      </c>
      <c r="L1416" t="str">
        <f>IFERROR(IF(A1416="","",SUMIF(DB_Withdrawals!$A:$A,A1416,DB_Withdrawals!$G:$G)),"")</f>
        <v/>
      </c>
      <c r="M1416" t="str">
        <f>IFERROR(IF(A1416="","",IFERROR(VALUE(H1416),0)+IFERROR(SUMIF(DB_Savings!$A:$A,A1416,DB_Savings!$F:$F),0)-IFERROR(SUMIF(DB_Withdrawals!$A:$A,A1416,DB_Withdrawals!$G:$G),0)),"")</f>
        <v/>
      </c>
      <c r="N1416" t="str">
        <f>IFERROR(IF(A1416="","",MAX(0,M1416-System_Config!$B$9)),"")</f>
        <v/>
      </c>
    </row>
    <row r="1417" spans="1:14" ht="15" customHeight="1" x14ac:dyDescent="0.25">
      <c r="A1417" t="str">
        <f>'NEW ACCOUNT'!A1418</f>
        <v/>
      </c>
      <c r="B1417" t="str">
        <f>IF('NEW ACCOUNT'!A1418="","",'NEW ACCOUNT'!B1418)</f>
        <v/>
      </c>
      <c r="C1417" t="str">
        <f>IF('NEW ACCOUNT'!A1418="","",'NEW ACCOUNT'!C1418)</f>
        <v/>
      </c>
      <c r="D1417" t="str">
        <f>IF('NEW ACCOUNT'!A1418="","",'NEW ACCOUNT'!D1418)</f>
        <v/>
      </c>
      <c r="E1417" t="str">
        <f>IF('NEW ACCOUNT'!A1418="","",'NEW ACCOUNT'!E1418)</f>
        <v/>
      </c>
      <c r="F1417" t="str">
        <f>IF('NEW ACCOUNT'!A1418="","",'NEW ACCOUNT'!F1418)</f>
        <v/>
      </c>
      <c r="G1417" t="str">
        <f>IF('NEW ACCOUNT'!A1418="","",'NEW ACCOUNT'!G1418)</f>
        <v/>
      </c>
      <c r="H1417" t="str">
        <f>IF('NEW ACCOUNT'!A1418="","",'NEW ACCOUNT'!H1418)</f>
        <v/>
      </c>
      <c r="I1417" t="str">
        <f>IF('NEW ACCOUNT'!A1418="","",'NEW ACCOUNT'!I1418)</f>
        <v/>
      </c>
      <c r="J1417" t="str">
        <f>IF('NEW ACCOUNT'!A1418="","",'NEW ACCOUNT'!J1418)</f>
        <v/>
      </c>
      <c r="K1417" t="str">
        <f>IFERROR(IF(A1417="","",SUMIF(DB_Savings!$A:$A,A1417,DB_Savings!$F:$F)),"")</f>
        <v/>
      </c>
      <c r="L1417" t="str">
        <f>IFERROR(IF(A1417="","",SUMIF(DB_Withdrawals!$A:$A,A1417,DB_Withdrawals!$G:$G)),"")</f>
        <v/>
      </c>
      <c r="M1417" t="str">
        <f>IFERROR(IF(A1417="","",IFERROR(VALUE(H1417),0)+IFERROR(SUMIF(DB_Savings!$A:$A,A1417,DB_Savings!$F:$F),0)-IFERROR(SUMIF(DB_Withdrawals!$A:$A,A1417,DB_Withdrawals!$G:$G),0)),"")</f>
        <v/>
      </c>
      <c r="N1417" t="str">
        <f>IFERROR(IF(A1417="","",MAX(0,M1417-System_Config!$B$9)),"")</f>
        <v/>
      </c>
    </row>
    <row r="1418" spans="1:14" ht="15" customHeight="1" x14ac:dyDescent="0.25">
      <c r="A1418" t="str">
        <f>'NEW ACCOUNT'!A1419</f>
        <v/>
      </c>
      <c r="B1418" t="str">
        <f>IF('NEW ACCOUNT'!A1419="","",'NEW ACCOUNT'!B1419)</f>
        <v/>
      </c>
      <c r="C1418" t="str">
        <f>IF('NEW ACCOUNT'!A1419="","",'NEW ACCOUNT'!C1419)</f>
        <v/>
      </c>
      <c r="D1418" t="str">
        <f>IF('NEW ACCOUNT'!A1419="","",'NEW ACCOUNT'!D1419)</f>
        <v/>
      </c>
      <c r="E1418" t="str">
        <f>IF('NEW ACCOUNT'!A1419="","",'NEW ACCOUNT'!E1419)</f>
        <v/>
      </c>
      <c r="F1418" t="str">
        <f>IF('NEW ACCOUNT'!A1419="","",'NEW ACCOUNT'!F1419)</f>
        <v/>
      </c>
      <c r="G1418" t="str">
        <f>IF('NEW ACCOUNT'!A1419="","",'NEW ACCOUNT'!G1419)</f>
        <v/>
      </c>
      <c r="H1418" t="str">
        <f>IF('NEW ACCOUNT'!A1419="","",'NEW ACCOUNT'!H1419)</f>
        <v/>
      </c>
      <c r="I1418" t="str">
        <f>IF('NEW ACCOUNT'!A1419="","",'NEW ACCOUNT'!I1419)</f>
        <v/>
      </c>
      <c r="J1418" t="str">
        <f>IF('NEW ACCOUNT'!A1419="","",'NEW ACCOUNT'!J1419)</f>
        <v/>
      </c>
      <c r="K1418" t="str">
        <f>IFERROR(IF(A1418="","",SUMIF(DB_Savings!$A:$A,A1418,DB_Savings!$F:$F)),"")</f>
        <v/>
      </c>
      <c r="L1418" t="str">
        <f>IFERROR(IF(A1418="","",SUMIF(DB_Withdrawals!$A:$A,A1418,DB_Withdrawals!$G:$G)),"")</f>
        <v/>
      </c>
      <c r="M1418" t="str">
        <f>IFERROR(IF(A1418="","",IFERROR(VALUE(H1418),0)+IFERROR(SUMIF(DB_Savings!$A:$A,A1418,DB_Savings!$F:$F),0)-IFERROR(SUMIF(DB_Withdrawals!$A:$A,A1418,DB_Withdrawals!$G:$G),0)),"")</f>
        <v/>
      </c>
      <c r="N1418" t="str">
        <f>IFERROR(IF(A1418="","",MAX(0,M1418-System_Config!$B$9)),"")</f>
        <v/>
      </c>
    </row>
    <row r="1419" spans="1:14" ht="15" customHeight="1" x14ac:dyDescent="0.25">
      <c r="A1419" t="str">
        <f>'NEW ACCOUNT'!A1420</f>
        <v/>
      </c>
      <c r="B1419" t="str">
        <f>IF('NEW ACCOUNT'!A1420="","",'NEW ACCOUNT'!B1420)</f>
        <v/>
      </c>
      <c r="C1419" t="str">
        <f>IF('NEW ACCOUNT'!A1420="","",'NEW ACCOUNT'!C1420)</f>
        <v/>
      </c>
      <c r="D1419" t="str">
        <f>IF('NEW ACCOUNT'!A1420="","",'NEW ACCOUNT'!D1420)</f>
        <v/>
      </c>
      <c r="E1419" t="str">
        <f>IF('NEW ACCOUNT'!A1420="","",'NEW ACCOUNT'!E1420)</f>
        <v/>
      </c>
      <c r="F1419" t="str">
        <f>IF('NEW ACCOUNT'!A1420="","",'NEW ACCOUNT'!F1420)</f>
        <v/>
      </c>
      <c r="G1419" t="str">
        <f>IF('NEW ACCOUNT'!A1420="","",'NEW ACCOUNT'!G1420)</f>
        <v/>
      </c>
      <c r="H1419" t="str">
        <f>IF('NEW ACCOUNT'!A1420="","",'NEW ACCOUNT'!H1420)</f>
        <v/>
      </c>
      <c r="I1419" t="str">
        <f>IF('NEW ACCOUNT'!A1420="","",'NEW ACCOUNT'!I1420)</f>
        <v/>
      </c>
      <c r="J1419" t="str">
        <f>IF('NEW ACCOUNT'!A1420="","",'NEW ACCOUNT'!J1420)</f>
        <v/>
      </c>
      <c r="K1419" t="str">
        <f>IFERROR(IF(A1419="","",SUMIF(DB_Savings!$A:$A,A1419,DB_Savings!$F:$F)),"")</f>
        <v/>
      </c>
      <c r="L1419" t="str">
        <f>IFERROR(IF(A1419="","",SUMIF(DB_Withdrawals!$A:$A,A1419,DB_Withdrawals!$G:$G)),"")</f>
        <v/>
      </c>
      <c r="M1419" t="str">
        <f>IFERROR(IF(A1419="","",IFERROR(VALUE(H1419),0)+IFERROR(SUMIF(DB_Savings!$A:$A,A1419,DB_Savings!$F:$F),0)-IFERROR(SUMIF(DB_Withdrawals!$A:$A,A1419,DB_Withdrawals!$G:$G),0)),"")</f>
        <v/>
      </c>
      <c r="N1419" t="str">
        <f>IFERROR(IF(A1419="","",MAX(0,M1419-System_Config!$B$9)),"")</f>
        <v/>
      </c>
    </row>
    <row r="1420" spans="1:14" ht="15" customHeight="1" x14ac:dyDescent="0.25">
      <c r="A1420" t="str">
        <f>'NEW ACCOUNT'!A1421</f>
        <v/>
      </c>
      <c r="B1420" t="str">
        <f>IF('NEW ACCOUNT'!A1421="","",'NEW ACCOUNT'!B1421)</f>
        <v/>
      </c>
      <c r="C1420" t="str">
        <f>IF('NEW ACCOUNT'!A1421="","",'NEW ACCOUNT'!C1421)</f>
        <v/>
      </c>
      <c r="D1420" t="str">
        <f>IF('NEW ACCOUNT'!A1421="","",'NEW ACCOUNT'!D1421)</f>
        <v/>
      </c>
      <c r="E1420" t="str">
        <f>IF('NEW ACCOUNT'!A1421="","",'NEW ACCOUNT'!E1421)</f>
        <v/>
      </c>
      <c r="F1420" t="str">
        <f>IF('NEW ACCOUNT'!A1421="","",'NEW ACCOUNT'!F1421)</f>
        <v/>
      </c>
      <c r="G1420" t="str">
        <f>IF('NEW ACCOUNT'!A1421="","",'NEW ACCOUNT'!G1421)</f>
        <v/>
      </c>
      <c r="H1420" t="str">
        <f>IF('NEW ACCOUNT'!A1421="","",'NEW ACCOUNT'!H1421)</f>
        <v/>
      </c>
      <c r="I1420" t="str">
        <f>IF('NEW ACCOUNT'!A1421="","",'NEW ACCOUNT'!I1421)</f>
        <v/>
      </c>
      <c r="J1420" t="str">
        <f>IF('NEW ACCOUNT'!A1421="","",'NEW ACCOUNT'!J1421)</f>
        <v/>
      </c>
      <c r="K1420" t="str">
        <f>IFERROR(IF(A1420="","",SUMIF(DB_Savings!$A:$A,A1420,DB_Savings!$F:$F)),"")</f>
        <v/>
      </c>
      <c r="L1420" t="str">
        <f>IFERROR(IF(A1420="","",SUMIF(DB_Withdrawals!$A:$A,A1420,DB_Withdrawals!$G:$G)),"")</f>
        <v/>
      </c>
      <c r="M1420" t="str">
        <f>IFERROR(IF(A1420="","",IFERROR(VALUE(H1420),0)+IFERROR(SUMIF(DB_Savings!$A:$A,A1420,DB_Savings!$F:$F),0)-IFERROR(SUMIF(DB_Withdrawals!$A:$A,A1420,DB_Withdrawals!$G:$G),0)),"")</f>
        <v/>
      </c>
      <c r="N1420" t="str">
        <f>IFERROR(IF(A1420="","",MAX(0,M1420-System_Config!$B$9)),"")</f>
        <v/>
      </c>
    </row>
    <row r="1421" spans="1:14" ht="15" customHeight="1" x14ac:dyDescent="0.25">
      <c r="A1421" t="str">
        <f>'NEW ACCOUNT'!A1422</f>
        <v/>
      </c>
      <c r="B1421" t="str">
        <f>IF('NEW ACCOUNT'!A1422="","",'NEW ACCOUNT'!B1422)</f>
        <v/>
      </c>
      <c r="C1421" t="str">
        <f>IF('NEW ACCOUNT'!A1422="","",'NEW ACCOUNT'!C1422)</f>
        <v/>
      </c>
      <c r="D1421" t="str">
        <f>IF('NEW ACCOUNT'!A1422="","",'NEW ACCOUNT'!D1422)</f>
        <v/>
      </c>
      <c r="E1421" t="str">
        <f>IF('NEW ACCOUNT'!A1422="","",'NEW ACCOUNT'!E1422)</f>
        <v/>
      </c>
      <c r="F1421" t="str">
        <f>IF('NEW ACCOUNT'!A1422="","",'NEW ACCOUNT'!F1422)</f>
        <v/>
      </c>
      <c r="G1421" t="str">
        <f>IF('NEW ACCOUNT'!A1422="","",'NEW ACCOUNT'!G1422)</f>
        <v/>
      </c>
      <c r="H1421" t="str">
        <f>IF('NEW ACCOUNT'!A1422="","",'NEW ACCOUNT'!H1422)</f>
        <v/>
      </c>
      <c r="I1421" t="str">
        <f>IF('NEW ACCOUNT'!A1422="","",'NEW ACCOUNT'!I1422)</f>
        <v/>
      </c>
      <c r="J1421" t="str">
        <f>IF('NEW ACCOUNT'!A1422="","",'NEW ACCOUNT'!J1422)</f>
        <v/>
      </c>
      <c r="K1421" t="str">
        <f>IFERROR(IF(A1421="","",SUMIF(DB_Savings!$A:$A,A1421,DB_Savings!$F:$F)),"")</f>
        <v/>
      </c>
      <c r="L1421" t="str">
        <f>IFERROR(IF(A1421="","",SUMIF(DB_Withdrawals!$A:$A,A1421,DB_Withdrawals!$G:$G)),"")</f>
        <v/>
      </c>
      <c r="M1421" t="str">
        <f>IFERROR(IF(A1421="","",IFERROR(VALUE(H1421),0)+IFERROR(SUMIF(DB_Savings!$A:$A,A1421,DB_Savings!$F:$F),0)-IFERROR(SUMIF(DB_Withdrawals!$A:$A,A1421,DB_Withdrawals!$G:$G),0)),"")</f>
        <v/>
      </c>
      <c r="N1421" t="str">
        <f>IFERROR(IF(A1421="","",MAX(0,M1421-System_Config!$B$9)),"")</f>
        <v/>
      </c>
    </row>
    <row r="1422" spans="1:14" ht="15" customHeight="1" x14ac:dyDescent="0.25">
      <c r="A1422" t="str">
        <f>'NEW ACCOUNT'!A1423</f>
        <v/>
      </c>
      <c r="B1422" t="str">
        <f>IF('NEW ACCOUNT'!A1423="","",'NEW ACCOUNT'!B1423)</f>
        <v/>
      </c>
      <c r="C1422" t="str">
        <f>IF('NEW ACCOUNT'!A1423="","",'NEW ACCOUNT'!C1423)</f>
        <v/>
      </c>
      <c r="D1422" t="str">
        <f>IF('NEW ACCOUNT'!A1423="","",'NEW ACCOUNT'!D1423)</f>
        <v/>
      </c>
      <c r="E1422" t="str">
        <f>IF('NEW ACCOUNT'!A1423="","",'NEW ACCOUNT'!E1423)</f>
        <v/>
      </c>
      <c r="F1422" t="str">
        <f>IF('NEW ACCOUNT'!A1423="","",'NEW ACCOUNT'!F1423)</f>
        <v/>
      </c>
      <c r="G1422" t="str">
        <f>IF('NEW ACCOUNT'!A1423="","",'NEW ACCOUNT'!G1423)</f>
        <v/>
      </c>
      <c r="H1422" t="str">
        <f>IF('NEW ACCOUNT'!A1423="","",'NEW ACCOUNT'!H1423)</f>
        <v/>
      </c>
      <c r="I1422" t="str">
        <f>IF('NEW ACCOUNT'!A1423="","",'NEW ACCOUNT'!I1423)</f>
        <v/>
      </c>
      <c r="J1422" t="str">
        <f>IF('NEW ACCOUNT'!A1423="","",'NEW ACCOUNT'!J1423)</f>
        <v/>
      </c>
      <c r="K1422" t="str">
        <f>IFERROR(IF(A1422="","",SUMIF(DB_Savings!$A:$A,A1422,DB_Savings!$F:$F)),"")</f>
        <v/>
      </c>
      <c r="L1422" t="str">
        <f>IFERROR(IF(A1422="","",SUMIF(DB_Withdrawals!$A:$A,A1422,DB_Withdrawals!$G:$G)),"")</f>
        <v/>
      </c>
      <c r="M1422" t="str">
        <f>IFERROR(IF(A1422="","",IFERROR(VALUE(H1422),0)+IFERROR(SUMIF(DB_Savings!$A:$A,A1422,DB_Savings!$F:$F),0)-IFERROR(SUMIF(DB_Withdrawals!$A:$A,A1422,DB_Withdrawals!$G:$G),0)),"")</f>
        <v/>
      </c>
      <c r="N1422" t="str">
        <f>IFERROR(IF(A1422="","",MAX(0,M1422-System_Config!$B$9)),"")</f>
        <v/>
      </c>
    </row>
    <row r="1423" spans="1:14" ht="15" customHeight="1" x14ac:dyDescent="0.25">
      <c r="A1423" t="str">
        <f>'NEW ACCOUNT'!A1424</f>
        <v/>
      </c>
      <c r="B1423" t="str">
        <f>IF('NEW ACCOUNT'!A1424="","",'NEW ACCOUNT'!B1424)</f>
        <v/>
      </c>
      <c r="C1423" t="str">
        <f>IF('NEW ACCOUNT'!A1424="","",'NEW ACCOUNT'!C1424)</f>
        <v/>
      </c>
      <c r="D1423" t="str">
        <f>IF('NEW ACCOUNT'!A1424="","",'NEW ACCOUNT'!D1424)</f>
        <v/>
      </c>
      <c r="E1423" t="str">
        <f>IF('NEW ACCOUNT'!A1424="","",'NEW ACCOUNT'!E1424)</f>
        <v/>
      </c>
      <c r="F1423" t="str">
        <f>IF('NEW ACCOUNT'!A1424="","",'NEW ACCOUNT'!F1424)</f>
        <v/>
      </c>
      <c r="G1423" t="str">
        <f>IF('NEW ACCOUNT'!A1424="","",'NEW ACCOUNT'!G1424)</f>
        <v/>
      </c>
      <c r="H1423" t="str">
        <f>IF('NEW ACCOUNT'!A1424="","",'NEW ACCOUNT'!H1424)</f>
        <v/>
      </c>
      <c r="I1423" t="str">
        <f>IF('NEW ACCOUNT'!A1424="","",'NEW ACCOUNT'!I1424)</f>
        <v/>
      </c>
      <c r="J1423" t="str">
        <f>IF('NEW ACCOUNT'!A1424="","",'NEW ACCOUNT'!J1424)</f>
        <v/>
      </c>
      <c r="K1423" t="str">
        <f>IFERROR(IF(A1423="","",SUMIF(DB_Savings!$A:$A,A1423,DB_Savings!$F:$F)),"")</f>
        <v/>
      </c>
      <c r="L1423" t="str">
        <f>IFERROR(IF(A1423="","",SUMIF(DB_Withdrawals!$A:$A,A1423,DB_Withdrawals!$G:$G)),"")</f>
        <v/>
      </c>
      <c r="M1423" t="str">
        <f>IFERROR(IF(A1423="","",IFERROR(VALUE(H1423),0)+IFERROR(SUMIF(DB_Savings!$A:$A,A1423,DB_Savings!$F:$F),0)-IFERROR(SUMIF(DB_Withdrawals!$A:$A,A1423,DB_Withdrawals!$G:$G),0)),"")</f>
        <v/>
      </c>
      <c r="N1423" t="str">
        <f>IFERROR(IF(A1423="","",MAX(0,M1423-System_Config!$B$9)),"")</f>
        <v/>
      </c>
    </row>
    <row r="1424" spans="1:14" ht="15" customHeight="1" x14ac:dyDescent="0.25">
      <c r="A1424" t="str">
        <f>'NEW ACCOUNT'!A1425</f>
        <v/>
      </c>
      <c r="B1424" t="str">
        <f>IF('NEW ACCOUNT'!A1425="","",'NEW ACCOUNT'!B1425)</f>
        <v/>
      </c>
      <c r="C1424" t="str">
        <f>IF('NEW ACCOUNT'!A1425="","",'NEW ACCOUNT'!C1425)</f>
        <v/>
      </c>
      <c r="D1424" t="str">
        <f>IF('NEW ACCOUNT'!A1425="","",'NEW ACCOUNT'!D1425)</f>
        <v/>
      </c>
      <c r="E1424" t="str">
        <f>IF('NEW ACCOUNT'!A1425="","",'NEW ACCOUNT'!E1425)</f>
        <v/>
      </c>
      <c r="F1424" t="str">
        <f>IF('NEW ACCOUNT'!A1425="","",'NEW ACCOUNT'!F1425)</f>
        <v/>
      </c>
      <c r="G1424" t="str">
        <f>IF('NEW ACCOUNT'!A1425="","",'NEW ACCOUNT'!G1425)</f>
        <v/>
      </c>
      <c r="H1424" t="str">
        <f>IF('NEW ACCOUNT'!A1425="","",'NEW ACCOUNT'!H1425)</f>
        <v/>
      </c>
      <c r="I1424" t="str">
        <f>IF('NEW ACCOUNT'!A1425="","",'NEW ACCOUNT'!I1425)</f>
        <v/>
      </c>
      <c r="J1424" t="str">
        <f>IF('NEW ACCOUNT'!A1425="","",'NEW ACCOUNT'!J1425)</f>
        <v/>
      </c>
      <c r="K1424" t="str">
        <f>IFERROR(IF(A1424="","",SUMIF(DB_Savings!$A:$A,A1424,DB_Savings!$F:$F)),"")</f>
        <v/>
      </c>
      <c r="L1424" t="str">
        <f>IFERROR(IF(A1424="","",SUMIF(DB_Withdrawals!$A:$A,A1424,DB_Withdrawals!$G:$G)),"")</f>
        <v/>
      </c>
      <c r="M1424" t="str">
        <f>IFERROR(IF(A1424="","",IFERROR(VALUE(H1424),0)+IFERROR(SUMIF(DB_Savings!$A:$A,A1424,DB_Savings!$F:$F),0)-IFERROR(SUMIF(DB_Withdrawals!$A:$A,A1424,DB_Withdrawals!$G:$G),0)),"")</f>
        <v/>
      </c>
      <c r="N1424" t="str">
        <f>IFERROR(IF(A1424="","",MAX(0,M1424-System_Config!$B$9)),"")</f>
        <v/>
      </c>
    </row>
    <row r="1425" spans="1:14" ht="15" customHeight="1" x14ac:dyDescent="0.25">
      <c r="A1425" t="str">
        <f>'NEW ACCOUNT'!A1426</f>
        <v/>
      </c>
      <c r="B1425" t="str">
        <f>IF('NEW ACCOUNT'!A1426="","",'NEW ACCOUNT'!B1426)</f>
        <v/>
      </c>
      <c r="C1425" t="str">
        <f>IF('NEW ACCOUNT'!A1426="","",'NEW ACCOUNT'!C1426)</f>
        <v/>
      </c>
      <c r="D1425" t="str">
        <f>IF('NEW ACCOUNT'!A1426="","",'NEW ACCOUNT'!D1426)</f>
        <v/>
      </c>
      <c r="E1425" t="str">
        <f>IF('NEW ACCOUNT'!A1426="","",'NEW ACCOUNT'!E1426)</f>
        <v/>
      </c>
      <c r="F1425" t="str">
        <f>IF('NEW ACCOUNT'!A1426="","",'NEW ACCOUNT'!F1426)</f>
        <v/>
      </c>
      <c r="G1425" t="str">
        <f>IF('NEW ACCOUNT'!A1426="","",'NEW ACCOUNT'!G1426)</f>
        <v/>
      </c>
      <c r="H1425" t="str">
        <f>IF('NEW ACCOUNT'!A1426="","",'NEW ACCOUNT'!H1426)</f>
        <v/>
      </c>
      <c r="I1425" t="str">
        <f>IF('NEW ACCOUNT'!A1426="","",'NEW ACCOUNT'!I1426)</f>
        <v/>
      </c>
      <c r="J1425" t="str">
        <f>IF('NEW ACCOUNT'!A1426="","",'NEW ACCOUNT'!J1426)</f>
        <v/>
      </c>
      <c r="K1425" t="str">
        <f>IFERROR(IF(A1425="","",SUMIF(DB_Savings!$A:$A,A1425,DB_Savings!$F:$F)),"")</f>
        <v/>
      </c>
      <c r="L1425" t="str">
        <f>IFERROR(IF(A1425="","",SUMIF(DB_Withdrawals!$A:$A,A1425,DB_Withdrawals!$G:$G)),"")</f>
        <v/>
      </c>
      <c r="M1425" t="str">
        <f>IFERROR(IF(A1425="","",IFERROR(VALUE(H1425),0)+IFERROR(SUMIF(DB_Savings!$A:$A,A1425,DB_Savings!$F:$F),0)-IFERROR(SUMIF(DB_Withdrawals!$A:$A,A1425,DB_Withdrawals!$G:$G),0)),"")</f>
        <v/>
      </c>
      <c r="N1425" t="str">
        <f>IFERROR(IF(A1425="","",MAX(0,M1425-System_Config!$B$9)),"")</f>
        <v/>
      </c>
    </row>
    <row r="1426" spans="1:14" ht="15" customHeight="1" x14ac:dyDescent="0.25">
      <c r="A1426" t="str">
        <f>'NEW ACCOUNT'!A1427</f>
        <v/>
      </c>
      <c r="B1426" t="str">
        <f>IF('NEW ACCOUNT'!A1427="","",'NEW ACCOUNT'!B1427)</f>
        <v/>
      </c>
      <c r="C1426" t="str">
        <f>IF('NEW ACCOUNT'!A1427="","",'NEW ACCOUNT'!C1427)</f>
        <v/>
      </c>
      <c r="D1426" t="str">
        <f>IF('NEW ACCOUNT'!A1427="","",'NEW ACCOUNT'!D1427)</f>
        <v/>
      </c>
      <c r="E1426" t="str">
        <f>IF('NEW ACCOUNT'!A1427="","",'NEW ACCOUNT'!E1427)</f>
        <v/>
      </c>
      <c r="F1426" t="str">
        <f>IF('NEW ACCOUNT'!A1427="","",'NEW ACCOUNT'!F1427)</f>
        <v/>
      </c>
      <c r="G1426" t="str">
        <f>IF('NEW ACCOUNT'!A1427="","",'NEW ACCOUNT'!G1427)</f>
        <v/>
      </c>
      <c r="H1426" t="str">
        <f>IF('NEW ACCOUNT'!A1427="","",'NEW ACCOUNT'!H1427)</f>
        <v/>
      </c>
      <c r="I1426" t="str">
        <f>IF('NEW ACCOUNT'!A1427="","",'NEW ACCOUNT'!I1427)</f>
        <v/>
      </c>
      <c r="J1426" t="str">
        <f>IF('NEW ACCOUNT'!A1427="","",'NEW ACCOUNT'!J1427)</f>
        <v/>
      </c>
      <c r="K1426" t="str">
        <f>IFERROR(IF(A1426="","",SUMIF(DB_Savings!$A:$A,A1426,DB_Savings!$F:$F)),"")</f>
        <v/>
      </c>
      <c r="L1426" t="str">
        <f>IFERROR(IF(A1426="","",SUMIF(DB_Withdrawals!$A:$A,A1426,DB_Withdrawals!$G:$G)),"")</f>
        <v/>
      </c>
      <c r="M1426" t="str">
        <f>IFERROR(IF(A1426="","",IFERROR(VALUE(H1426),0)+IFERROR(SUMIF(DB_Savings!$A:$A,A1426,DB_Savings!$F:$F),0)-IFERROR(SUMIF(DB_Withdrawals!$A:$A,A1426,DB_Withdrawals!$G:$G),0)),"")</f>
        <v/>
      </c>
      <c r="N1426" t="str">
        <f>IFERROR(IF(A1426="","",MAX(0,M1426-System_Config!$B$9)),"")</f>
        <v/>
      </c>
    </row>
    <row r="1427" spans="1:14" ht="15" customHeight="1" x14ac:dyDescent="0.25">
      <c r="A1427" t="str">
        <f>'NEW ACCOUNT'!A1428</f>
        <v/>
      </c>
      <c r="B1427" t="str">
        <f>IF('NEW ACCOUNT'!A1428="","",'NEW ACCOUNT'!B1428)</f>
        <v/>
      </c>
      <c r="C1427" t="str">
        <f>IF('NEW ACCOUNT'!A1428="","",'NEW ACCOUNT'!C1428)</f>
        <v/>
      </c>
      <c r="D1427" t="str">
        <f>IF('NEW ACCOUNT'!A1428="","",'NEW ACCOUNT'!D1428)</f>
        <v/>
      </c>
      <c r="E1427" t="str">
        <f>IF('NEW ACCOUNT'!A1428="","",'NEW ACCOUNT'!E1428)</f>
        <v/>
      </c>
      <c r="F1427" t="str">
        <f>IF('NEW ACCOUNT'!A1428="","",'NEW ACCOUNT'!F1428)</f>
        <v/>
      </c>
      <c r="G1427" t="str">
        <f>IF('NEW ACCOUNT'!A1428="","",'NEW ACCOUNT'!G1428)</f>
        <v/>
      </c>
      <c r="H1427" t="str">
        <f>IF('NEW ACCOUNT'!A1428="","",'NEW ACCOUNT'!H1428)</f>
        <v/>
      </c>
      <c r="I1427" t="str">
        <f>IF('NEW ACCOUNT'!A1428="","",'NEW ACCOUNT'!I1428)</f>
        <v/>
      </c>
      <c r="J1427" t="str">
        <f>IF('NEW ACCOUNT'!A1428="","",'NEW ACCOUNT'!J1428)</f>
        <v/>
      </c>
      <c r="K1427" t="str">
        <f>IFERROR(IF(A1427="","",SUMIF(DB_Savings!$A:$A,A1427,DB_Savings!$F:$F)),"")</f>
        <v/>
      </c>
      <c r="L1427" t="str">
        <f>IFERROR(IF(A1427="","",SUMIF(DB_Withdrawals!$A:$A,A1427,DB_Withdrawals!$G:$G)),"")</f>
        <v/>
      </c>
      <c r="M1427" t="str">
        <f>IFERROR(IF(A1427="","",IFERROR(VALUE(H1427),0)+IFERROR(SUMIF(DB_Savings!$A:$A,A1427,DB_Savings!$F:$F),0)-IFERROR(SUMIF(DB_Withdrawals!$A:$A,A1427,DB_Withdrawals!$G:$G),0)),"")</f>
        <v/>
      </c>
      <c r="N1427" t="str">
        <f>IFERROR(IF(A1427="","",MAX(0,M1427-System_Config!$B$9)),"")</f>
        <v/>
      </c>
    </row>
    <row r="1428" spans="1:14" ht="15" customHeight="1" x14ac:dyDescent="0.25">
      <c r="A1428" t="str">
        <f>'NEW ACCOUNT'!A1429</f>
        <v/>
      </c>
      <c r="B1428" t="str">
        <f>IF('NEW ACCOUNT'!A1429="","",'NEW ACCOUNT'!B1429)</f>
        <v/>
      </c>
      <c r="C1428" t="str">
        <f>IF('NEW ACCOUNT'!A1429="","",'NEW ACCOUNT'!C1429)</f>
        <v/>
      </c>
      <c r="D1428" t="str">
        <f>IF('NEW ACCOUNT'!A1429="","",'NEW ACCOUNT'!D1429)</f>
        <v/>
      </c>
      <c r="E1428" t="str">
        <f>IF('NEW ACCOUNT'!A1429="","",'NEW ACCOUNT'!E1429)</f>
        <v/>
      </c>
      <c r="F1428" t="str">
        <f>IF('NEW ACCOUNT'!A1429="","",'NEW ACCOUNT'!F1429)</f>
        <v/>
      </c>
      <c r="G1428" t="str">
        <f>IF('NEW ACCOUNT'!A1429="","",'NEW ACCOUNT'!G1429)</f>
        <v/>
      </c>
      <c r="H1428" t="str">
        <f>IF('NEW ACCOUNT'!A1429="","",'NEW ACCOUNT'!H1429)</f>
        <v/>
      </c>
      <c r="I1428" t="str">
        <f>IF('NEW ACCOUNT'!A1429="","",'NEW ACCOUNT'!I1429)</f>
        <v/>
      </c>
      <c r="J1428" t="str">
        <f>IF('NEW ACCOUNT'!A1429="","",'NEW ACCOUNT'!J1429)</f>
        <v/>
      </c>
      <c r="K1428" t="str">
        <f>IFERROR(IF(A1428="","",SUMIF(DB_Savings!$A:$A,A1428,DB_Savings!$F:$F)),"")</f>
        <v/>
      </c>
      <c r="L1428" t="str">
        <f>IFERROR(IF(A1428="","",SUMIF(DB_Withdrawals!$A:$A,A1428,DB_Withdrawals!$G:$G)),"")</f>
        <v/>
      </c>
      <c r="M1428" t="str">
        <f>IFERROR(IF(A1428="","",IFERROR(VALUE(H1428),0)+IFERROR(SUMIF(DB_Savings!$A:$A,A1428,DB_Savings!$F:$F),0)-IFERROR(SUMIF(DB_Withdrawals!$A:$A,A1428,DB_Withdrawals!$G:$G),0)),"")</f>
        <v/>
      </c>
      <c r="N1428" t="str">
        <f>IFERROR(IF(A1428="","",MAX(0,M1428-System_Config!$B$9)),"")</f>
        <v/>
      </c>
    </row>
    <row r="1429" spans="1:14" ht="15" customHeight="1" x14ac:dyDescent="0.25">
      <c r="A1429" t="str">
        <f>'NEW ACCOUNT'!A1430</f>
        <v/>
      </c>
      <c r="B1429" t="str">
        <f>IF('NEW ACCOUNT'!A1430="","",'NEW ACCOUNT'!B1430)</f>
        <v/>
      </c>
      <c r="C1429" t="str">
        <f>IF('NEW ACCOUNT'!A1430="","",'NEW ACCOUNT'!C1430)</f>
        <v/>
      </c>
      <c r="D1429" t="str">
        <f>IF('NEW ACCOUNT'!A1430="","",'NEW ACCOUNT'!D1430)</f>
        <v/>
      </c>
      <c r="E1429" t="str">
        <f>IF('NEW ACCOUNT'!A1430="","",'NEW ACCOUNT'!E1430)</f>
        <v/>
      </c>
      <c r="F1429" t="str">
        <f>IF('NEW ACCOUNT'!A1430="","",'NEW ACCOUNT'!F1430)</f>
        <v/>
      </c>
      <c r="G1429" t="str">
        <f>IF('NEW ACCOUNT'!A1430="","",'NEW ACCOUNT'!G1430)</f>
        <v/>
      </c>
      <c r="H1429" t="str">
        <f>IF('NEW ACCOUNT'!A1430="","",'NEW ACCOUNT'!H1430)</f>
        <v/>
      </c>
      <c r="I1429" t="str">
        <f>IF('NEW ACCOUNT'!A1430="","",'NEW ACCOUNT'!I1430)</f>
        <v/>
      </c>
      <c r="J1429" t="str">
        <f>IF('NEW ACCOUNT'!A1430="","",'NEW ACCOUNT'!J1430)</f>
        <v/>
      </c>
      <c r="K1429" t="str">
        <f>IFERROR(IF(A1429="","",SUMIF(DB_Savings!$A:$A,A1429,DB_Savings!$F:$F)),"")</f>
        <v/>
      </c>
      <c r="L1429" t="str">
        <f>IFERROR(IF(A1429="","",SUMIF(DB_Withdrawals!$A:$A,A1429,DB_Withdrawals!$G:$G)),"")</f>
        <v/>
      </c>
      <c r="M1429" t="str">
        <f>IFERROR(IF(A1429="","",IFERROR(VALUE(H1429),0)+IFERROR(SUMIF(DB_Savings!$A:$A,A1429,DB_Savings!$F:$F),0)-IFERROR(SUMIF(DB_Withdrawals!$A:$A,A1429,DB_Withdrawals!$G:$G),0)),"")</f>
        <v/>
      </c>
      <c r="N1429" t="str">
        <f>IFERROR(IF(A1429="","",MAX(0,M1429-System_Config!$B$9)),"")</f>
        <v/>
      </c>
    </row>
    <row r="1430" spans="1:14" ht="15" customHeight="1" x14ac:dyDescent="0.25">
      <c r="A1430" t="str">
        <f>'NEW ACCOUNT'!A1431</f>
        <v/>
      </c>
      <c r="B1430" t="str">
        <f>IF('NEW ACCOUNT'!A1431="","",'NEW ACCOUNT'!B1431)</f>
        <v/>
      </c>
      <c r="C1430" t="str">
        <f>IF('NEW ACCOUNT'!A1431="","",'NEW ACCOUNT'!C1431)</f>
        <v/>
      </c>
      <c r="D1430" t="str">
        <f>IF('NEW ACCOUNT'!A1431="","",'NEW ACCOUNT'!D1431)</f>
        <v/>
      </c>
      <c r="E1430" t="str">
        <f>IF('NEW ACCOUNT'!A1431="","",'NEW ACCOUNT'!E1431)</f>
        <v/>
      </c>
      <c r="F1430" t="str">
        <f>IF('NEW ACCOUNT'!A1431="","",'NEW ACCOUNT'!F1431)</f>
        <v/>
      </c>
      <c r="G1430" t="str">
        <f>IF('NEW ACCOUNT'!A1431="","",'NEW ACCOUNT'!G1431)</f>
        <v/>
      </c>
      <c r="H1430" t="str">
        <f>IF('NEW ACCOUNT'!A1431="","",'NEW ACCOUNT'!H1431)</f>
        <v/>
      </c>
      <c r="I1430" t="str">
        <f>IF('NEW ACCOUNT'!A1431="","",'NEW ACCOUNT'!I1431)</f>
        <v/>
      </c>
      <c r="J1430" t="str">
        <f>IF('NEW ACCOUNT'!A1431="","",'NEW ACCOUNT'!J1431)</f>
        <v/>
      </c>
      <c r="K1430" t="str">
        <f>IFERROR(IF(A1430="","",SUMIF(DB_Savings!$A:$A,A1430,DB_Savings!$F:$F)),"")</f>
        <v/>
      </c>
      <c r="L1430" t="str">
        <f>IFERROR(IF(A1430="","",SUMIF(DB_Withdrawals!$A:$A,A1430,DB_Withdrawals!$G:$G)),"")</f>
        <v/>
      </c>
      <c r="M1430" t="str">
        <f>IFERROR(IF(A1430="","",IFERROR(VALUE(H1430),0)+IFERROR(SUMIF(DB_Savings!$A:$A,A1430,DB_Savings!$F:$F),0)-IFERROR(SUMIF(DB_Withdrawals!$A:$A,A1430,DB_Withdrawals!$G:$G),0)),"")</f>
        <v/>
      </c>
      <c r="N1430" t="str">
        <f>IFERROR(IF(A1430="","",MAX(0,M1430-System_Config!$B$9)),"")</f>
        <v/>
      </c>
    </row>
    <row r="1431" spans="1:14" ht="15" customHeight="1" x14ac:dyDescent="0.25">
      <c r="A1431" t="str">
        <f>'NEW ACCOUNT'!A1432</f>
        <v/>
      </c>
      <c r="B1431" t="str">
        <f>IF('NEW ACCOUNT'!A1432="","",'NEW ACCOUNT'!B1432)</f>
        <v/>
      </c>
      <c r="C1431" t="str">
        <f>IF('NEW ACCOUNT'!A1432="","",'NEW ACCOUNT'!C1432)</f>
        <v/>
      </c>
      <c r="D1431" t="str">
        <f>IF('NEW ACCOUNT'!A1432="","",'NEW ACCOUNT'!D1432)</f>
        <v/>
      </c>
      <c r="E1431" t="str">
        <f>IF('NEW ACCOUNT'!A1432="","",'NEW ACCOUNT'!E1432)</f>
        <v/>
      </c>
      <c r="F1431" t="str">
        <f>IF('NEW ACCOUNT'!A1432="","",'NEW ACCOUNT'!F1432)</f>
        <v/>
      </c>
      <c r="G1431" t="str">
        <f>IF('NEW ACCOUNT'!A1432="","",'NEW ACCOUNT'!G1432)</f>
        <v/>
      </c>
      <c r="H1431" t="str">
        <f>IF('NEW ACCOUNT'!A1432="","",'NEW ACCOUNT'!H1432)</f>
        <v/>
      </c>
      <c r="I1431" t="str">
        <f>IF('NEW ACCOUNT'!A1432="","",'NEW ACCOUNT'!I1432)</f>
        <v/>
      </c>
      <c r="J1431" t="str">
        <f>IF('NEW ACCOUNT'!A1432="","",'NEW ACCOUNT'!J1432)</f>
        <v/>
      </c>
      <c r="K1431" t="str">
        <f>IFERROR(IF(A1431="","",SUMIF(DB_Savings!$A:$A,A1431,DB_Savings!$F:$F)),"")</f>
        <v/>
      </c>
      <c r="L1431" t="str">
        <f>IFERROR(IF(A1431="","",SUMIF(DB_Withdrawals!$A:$A,A1431,DB_Withdrawals!$G:$G)),"")</f>
        <v/>
      </c>
      <c r="M1431" t="str">
        <f>IFERROR(IF(A1431="","",IFERROR(VALUE(H1431),0)+IFERROR(SUMIF(DB_Savings!$A:$A,A1431,DB_Savings!$F:$F),0)-IFERROR(SUMIF(DB_Withdrawals!$A:$A,A1431,DB_Withdrawals!$G:$G),0)),"")</f>
        <v/>
      </c>
      <c r="N1431" t="str">
        <f>IFERROR(IF(A1431="","",MAX(0,M1431-System_Config!$B$9)),"")</f>
        <v/>
      </c>
    </row>
    <row r="1432" spans="1:14" ht="15" customHeight="1" x14ac:dyDescent="0.25">
      <c r="A1432" t="str">
        <f>'NEW ACCOUNT'!A1433</f>
        <v/>
      </c>
      <c r="B1432" t="str">
        <f>IF('NEW ACCOUNT'!A1433="","",'NEW ACCOUNT'!B1433)</f>
        <v/>
      </c>
      <c r="C1432" t="str">
        <f>IF('NEW ACCOUNT'!A1433="","",'NEW ACCOUNT'!C1433)</f>
        <v/>
      </c>
      <c r="D1432" t="str">
        <f>IF('NEW ACCOUNT'!A1433="","",'NEW ACCOUNT'!D1433)</f>
        <v/>
      </c>
      <c r="E1432" t="str">
        <f>IF('NEW ACCOUNT'!A1433="","",'NEW ACCOUNT'!E1433)</f>
        <v/>
      </c>
      <c r="F1432" t="str">
        <f>IF('NEW ACCOUNT'!A1433="","",'NEW ACCOUNT'!F1433)</f>
        <v/>
      </c>
      <c r="G1432" t="str">
        <f>IF('NEW ACCOUNT'!A1433="","",'NEW ACCOUNT'!G1433)</f>
        <v/>
      </c>
      <c r="H1432" t="str">
        <f>IF('NEW ACCOUNT'!A1433="","",'NEW ACCOUNT'!H1433)</f>
        <v/>
      </c>
      <c r="I1432" t="str">
        <f>IF('NEW ACCOUNT'!A1433="","",'NEW ACCOUNT'!I1433)</f>
        <v/>
      </c>
      <c r="J1432" t="str">
        <f>IF('NEW ACCOUNT'!A1433="","",'NEW ACCOUNT'!J1433)</f>
        <v/>
      </c>
      <c r="K1432" t="str">
        <f>IFERROR(IF(A1432="","",SUMIF(DB_Savings!$A:$A,A1432,DB_Savings!$F:$F)),"")</f>
        <v/>
      </c>
      <c r="L1432" t="str">
        <f>IFERROR(IF(A1432="","",SUMIF(DB_Withdrawals!$A:$A,A1432,DB_Withdrawals!$G:$G)),"")</f>
        <v/>
      </c>
      <c r="M1432" t="str">
        <f>IFERROR(IF(A1432="","",IFERROR(VALUE(H1432),0)+IFERROR(SUMIF(DB_Savings!$A:$A,A1432,DB_Savings!$F:$F),0)-IFERROR(SUMIF(DB_Withdrawals!$A:$A,A1432,DB_Withdrawals!$G:$G),0)),"")</f>
        <v/>
      </c>
      <c r="N1432" t="str">
        <f>IFERROR(IF(A1432="","",MAX(0,M1432-System_Config!$B$9)),"")</f>
        <v/>
      </c>
    </row>
    <row r="1433" spans="1:14" ht="15" customHeight="1" x14ac:dyDescent="0.25">
      <c r="A1433" t="str">
        <f>'NEW ACCOUNT'!A1434</f>
        <v/>
      </c>
      <c r="B1433" t="str">
        <f>IF('NEW ACCOUNT'!A1434="","",'NEW ACCOUNT'!B1434)</f>
        <v/>
      </c>
      <c r="C1433" t="str">
        <f>IF('NEW ACCOUNT'!A1434="","",'NEW ACCOUNT'!C1434)</f>
        <v/>
      </c>
      <c r="D1433" t="str">
        <f>IF('NEW ACCOUNT'!A1434="","",'NEW ACCOUNT'!D1434)</f>
        <v/>
      </c>
      <c r="E1433" t="str">
        <f>IF('NEW ACCOUNT'!A1434="","",'NEW ACCOUNT'!E1434)</f>
        <v/>
      </c>
      <c r="F1433" t="str">
        <f>IF('NEW ACCOUNT'!A1434="","",'NEW ACCOUNT'!F1434)</f>
        <v/>
      </c>
      <c r="G1433" t="str">
        <f>IF('NEW ACCOUNT'!A1434="","",'NEW ACCOUNT'!G1434)</f>
        <v/>
      </c>
      <c r="H1433" t="str">
        <f>IF('NEW ACCOUNT'!A1434="","",'NEW ACCOUNT'!H1434)</f>
        <v/>
      </c>
      <c r="I1433" t="str">
        <f>IF('NEW ACCOUNT'!A1434="","",'NEW ACCOUNT'!I1434)</f>
        <v/>
      </c>
      <c r="J1433" t="str">
        <f>IF('NEW ACCOUNT'!A1434="","",'NEW ACCOUNT'!J1434)</f>
        <v/>
      </c>
      <c r="K1433" t="str">
        <f>IFERROR(IF(A1433="","",SUMIF(DB_Savings!$A:$A,A1433,DB_Savings!$F:$F)),"")</f>
        <v/>
      </c>
      <c r="L1433" t="str">
        <f>IFERROR(IF(A1433="","",SUMIF(DB_Withdrawals!$A:$A,A1433,DB_Withdrawals!$G:$G)),"")</f>
        <v/>
      </c>
      <c r="M1433" t="str">
        <f>IFERROR(IF(A1433="","",IFERROR(VALUE(H1433),0)+IFERROR(SUMIF(DB_Savings!$A:$A,A1433,DB_Savings!$F:$F),0)-IFERROR(SUMIF(DB_Withdrawals!$A:$A,A1433,DB_Withdrawals!$G:$G),0)),"")</f>
        <v/>
      </c>
      <c r="N1433" t="str">
        <f>IFERROR(IF(A1433="","",MAX(0,M1433-System_Config!$B$9)),"")</f>
        <v/>
      </c>
    </row>
    <row r="1434" spans="1:14" ht="15" customHeight="1" x14ac:dyDescent="0.25">
      <c r="A1434" t="str">
        <f>'NEW ACCOUNT'!A1435</f>
        <v/>
      </c>
      <c r="B1434" t="str">
        <f>IF('NEW ACCOUNT'!A1435="","",'NEW ACCOUNT'!B1435)</f>
        <v/>
      </c>
      <c r="C1434" t="str">
        <f>IF('NEW ACCOUNT'!A1435="","",'NEW ACCOUNT'!C1435)</f>
        <v/>
      </c>
      <c r="D1434" t="str">
        <f>IF('NEW ACCOUNT'!A1435="","",'NEW ACCOUNT'!D1435)</f>
        <v/>
      </c>
      <c r="E1434" t="str">
        <f>IF('NEW ACCOUNT'!A1435="","",'NEW ACCOUNT'!E1435)</f>
        <v/>
      </c>
      <c r="F1434" t="str">
        <f>IF('NEW ACCOUNT'!A1435="","",'NEW ACCOUNT'!F1435)</f>
        <v/>
      </c>
      <c r="G1434" t="str">
        <f>IF('NEW ACCOUNT'!A1435="","",'NEW ACCOUNT'!G1435)</f>
        <v/>
      </c>
      <c r="H1434" t="str">
        <f>IF('NEW ACCOUNT'!A1435="","",'NEW ACCOUNT'!H1435)</f>
        <v/>
      </c>
      <c r="I1434" t="str">
        <f>IF('NEW ACCOUNT'!A1435="","",'NEW ACCOUNT'!I1435)</f>
        <v/>
      </c>
      <c r="J1434" t="str">
        <f>IF('NEW ACCOUNT'!A1435="","",'NEW ACCOUNT'!J1435)</f>
        <v/>
      </c>
      <c r="K1434" t="str">
        <f>IFERROR(IF(A1434="","",SUMIF(DB_Savings!$A:$A,A1434,DB_Savings!$F:$F)),"")</f>
        <v/>
      </c>
      <c r="L1434" t="str">
        <f>IFERROR(IF(A1434="","",SUMIF(DB_Withdrawals!$A:$A,A1434,DB_Withdrawals!$G:$G)),"")</f>
        <v/>
      </c>
      <c r="M1434" t="str">
        <f>IFERROR(IF(A1434="","",IFERROR(VALUE(H1434),0)+IFERROR(SUMIF(DB_Savings!$A:$A,A1434,DB_Savings!$F:$F),0)-IFERROR(SUMIF(DB_Withdrawals!$A:$A,A1434,DB_Withdrawals!$G:$G),0)),"")</f>
        <v/>
      </c>
      <c r="N1434" t="str">
        <f>IFERROR(IF(A1434="","",MAX(0,M1434-System_Config!$B$9)),"")</f>
        <v/>
      </c>
    </row>
    <row r="1435" spans="1:14" ht="15" customHeight="1" x14ac:dyDescent="0.25">
      <c r="A1435" t="str">
        <f>'NEW ACCOUNT'!A1436</f>
        <v/>
      </c>
      <c r="B1435" t="str">
        <f>IF('NEW ACCOUNT'!A1436="","",'NEW ACCOUNT'!B1436)</f>
        <v/>
      </c>
      <c r="C1435" t="str">
        <f>IF('NEW ACCOUNT'!A1436="","",'NEW ACCOUNT'!C1436)</f>
        <v/>
      </c>
      <c r="D1435" t="str">
        <f>IF('NEW ACCOUNT'!A1436="","",'NEW ACCOUNT'!D1436)</f>
        <v/>
      </c>
      <c r="E1435" t="str">
        <f>IF('NEW ACCOUNT'!A1436="","",'NEW ACCOUNT'!E1436)</f>
        <v/>
      </c>
      <c r="F1435" t="str">
        <f>IF('NEW ACCOUNT'!A1436="","",'NEW ACCOUNT'!F1436)</f>
        <v/>
      </c>
      <c r="G1435" t="str">
        <f>IF('NEW ACCOUNT'!A1436="","",'NEW ACCOUNT'!G1436)</f>
        <v/>
      </c>
      <c r="H1435" t="str">
        <f>IF('NEW ACCOUNT'!A1436="","",'NEW ACCOUNT'!H1436)</f>
        <v/>
      </c>
      <c r="I1435" t="str">
        <f>IF('NEW ACCOUNT'!A1436="","",'NEW ACCOUNT'!I1436)</f>
        <v/>
      </c>
      <c r="J1435" t="str">
        <f>IF('NEW ACCOUNT'!A1436="","",'NEW ACCOUNT'!J1436)</f>
        <v/>
      </c>
      <c r="K1435" t="str">
        <f>IFERROR(IF(A1435="","",SUMIF(DB_Savings!$A:$A,A1435,DB_Savings!$F:$F)),"")</f>
        <v/>
      </c>
      <c r="L1435" t="str">
        <f>IFERROR(IF(A1435="","",SUMIF(DB_Withdrawals!$A:$A,A1435,DB_Withdrawals!$G:$G)),"")</f>
        <v/>
      </c>
      <c r="M1435" t="str">
        <f>IFERROR(IF(A1435="","",IFERROR(VALUE(H1435),0)+IFERROR(SUMIF(DB_Savings!$A:$A,A1435,DB_Savings!$F:$F),0)-IFERROR(SUMIF(DB_Withdrawals!$A:$A,A1435,DB_Withdrawals!$G:$G),0)),"")</f>
        <v/>
      </c>
      <c r="N1435" t="str">
        <f>IFERROR(IF(A1435="","",MAX(0,M1435-System_Config!$B$9)),"")</f>
        <v/>
      </c>
    </row>
    <row r="1436" spans="1:14" ht="15" customHeight="1" x14ac:dyDescent="0.25">
      <c r="A1436" t="str">
        <f>'NEW ACCOUNT'!A1437</f>
        <v/>
      </c>
      <c r="B1436" t="str">
        <f>IF('NEW ACCOUNT'!A1437="","",'NEW ACCOUNT'!B1437)</f>
        <v/>
      </c>
      <c r="C1436" t="str">
        <f>IF('NEW ACCOUNT'!A1437="","",'NEW ACCOUNT'!C1437)</f>
        <v/>
      </c>
      <c r="D1436" t="str">
        <f>IF('NEW ACCOUNT'!A1437="","",'NEW ACCOUNT'!D1437)</f>
        <v/>
      </c>
      <c r="E1436" t="str">
        <f>IF('NEW ACCOUNT'!A1437="","",'NEW ACCOUNT'!E1437)</f>
        <v/>
      </c>
      <c r="F1436" t="str">
        <f>IF('NEW ACCOUNT'!A1437="","",'NEW ACCOUNT'!F1437)</f>
        <v/>
      </c>
      <c r="G1436" t="str">
        <f>IF('NEW ACCOUNT'!A1437="","",'NEW ACCOUNT'!G1437)</f>
        <v/>
      </c>
      <c r="H1436" t="str">
        <f>IF('NEW ACCOUNT'!A1437="","",'NEW ACCOUNT'!H1437)</f>
        <v/>
      </c>
      <c r="I1436" t="str">
        <f>IF('NEW ACCOUNT'!A1437="","",'NEW ACCOUNT'!I1437)</f>
        <v/>
      </c>
      <c r="J1436" t="str">
        <f>IF('NEW ACCOUNT'!A1437="","",'NEW ACCOUNT'!J1437)</f>
        <v/>
      </c>
      <c r="K1436" t="str">
        <f>IFERROR(IF(A1436="","",SUMIF(DB_Savings!$A:$A,A1436,DB_Savings!$F:$F)),"")</f>
        <v/>
      </c>
      <c r="L1436" t="str">
        <f>IFERROR(IF(A1436="","",SUMIF(DB_Withdrawals!$A:$A,A1436,DB_Withdrawals!$G:$G)),"")</f>
        <v/>
      </c>
      <c r="M1436" t="str">
        <f>IFERROR(IF(A1436="","",IFERROR(VALUE(H1436),0)+IFERROR(SUMIF(DB_Savings!$A:$A,A1436,DB_Savings!$F:$F),0)-IFERROR(SUMIF(DB_Withdrawals!$A:$A,A1436,DB_Withdrawals!$G:$G),0)),"")</f>
        <v/>
      </c>
      <c r="N1436" t="str">
        <f>IFERROR(IF(A1436="","",MAX(0,M1436-System_Config!$B$9)),"")</f>
        <v/>
      </c>
    </row>
    <row r="1437" spans="1:14" ht="15" customHeight="1" x14ac:dyDescent="0.25">
      <c r="A1437" t="str">
        <f>'NEW ACCOUNT'!A1438</f>
        <v/>
      </c>
      <c r="B1437" t="str">
        <f>IF('NEW ACCOUNT'!A1438="","",'NEW ACCOUNT'!B1438)</f>
        <v/>
      </c>
      <c r="C1437" t="str">
        <f>IF('NEW ACCOUNT'!A1438="","",'NEW ACCOUNT'!C1438)</f>
        <v/>
      </c>
      <c r="D1437" t="str">
        <f>IF('NEW ACCOUNT'!A1438="","",'NEW ACCOUNT'!D1438)</f>
        <v/>
      </c>
      <c r="E1437" t="str">
        <f>IF('NEW ACCOUNT'!A1438="","",'NEW ACCOUNT'!E1438)</f>
        <v/>
      </c>
      <c r="F1437" t="str">
        <f>IF('NEW ACCOUNT'!A1438="","",'NEW ACCOUNT'!F1438)</f>
        <v/>
      </c>
      <c r="G1437" t="str">
        <f>IF('NEW ACCOUNT'!A1438="","",'NEW ACCOUNT'!G1438)</f>
        <v/>
      </c>
      <c r="H1437" t="str">
        <f>IF('NEW ACCOUNT'!A1438="","",'NEW ACCOUNT'!H1438)</f>
        <v/>
      </c>
      <c r="I1437" t="str">
        <f>IF('NEW ACCOUNT'!A1438="","",'NEW ACCOUNT'!I1438)</f>
        <v/>
      </c>
      <c r="J1437" t="str">
        <f>IF('NEW ACCOUNT'!A1438="","",'NEW ACCOUNT'!J1438)</f>
        <v/>
      </c>
      <c r="K1437" t="str">
        <f>IFERROR(IF(A1437="","",SUMIF(DB_Savings!$A:$A,A1437,DB_Savings!$F:$F)),"")</f>
        <v/>
      </c>
      <c r="L1437" t="str">
        <f>IFERROR(IF(A1437="","",SUMIF(DB_Withdrawals!$A:$A,A1437,DB_Withdrawals!$G:$G)),"")</f>
        <v/>
      </c>
      <c r="M1437" t="str">
        <f>IFERROR(IF(A1437="","",IFERROR(VALUE(H1437),0)+IFERROR(SUMIF(DB_Savings!$A:$A,A1437,DB_Savings!$F:$F),0)-IFERROR(SUMIF(DB_Withdrawals!$A:$A,A1437,DB_Withdrawals!$G:$G),0)),"")</f>
        <v/>
      </c>
      <c r="N1437" t="str">
        <f>IFERROR(IF(A1437="","",MAX(0,M1437-System_Config!$B$9)),"")</f>
        <v/>
      </c>
    </row>
    <row r="1438" spans="1:14" ht="15" customHeight="1" x14ac:dyDescent="0.25">
      <c r="A1438" t="str">
        <f>'NEW ACCOUNT'!A1439</f>
        <v/>
      </c>
      <c r="B1438" t="str">
        <f>IF('NEW ACCOUNT'!A1439="","",'NEW ACCOUNT'!B1439)</f>
        <v/>
      </c>
      <c r="C1438" t="str">
        <f>IF('NEW ACCOUNT'!A1439="","",'NEW ACCOUNT'!C1439)</f>
        <v/>
      </c>
      <c r="D1438" t="str">
        <f>IF('NEW ACCOUNT'!A1439="","",'NEW ACCOUNT'!D1439)</f>
        <v/>
      </c>
      <c r="E1438" t="str">
        <f>IF('NEW ACCOUNT'!A1439="","",'NEW ACCOUNT'!E1439)</f>
        <v/>
      </c>
      <c r="F1438" t="str">
        <f>IF('NEW ACCOUNT'!A1439="","",'NEW ACCOUNT'!F1439)</f>
        <v/>
      </c>
      <c r="G1438" t="str">
        <f>IF('NEW ACCOUNT'!A1439="","",'NEW ACCOUNT'!G1439)</f>
        <v/>
      </c>
      <c r="H1438" t="str">
        <f>IF('NEW ACCOUNT'!A1439="","",'NEW ACCOUNT'!H1439)</f>
        <v/>
      </c>
      <c r="I1438" t="str">
        <f>IF('NEW ACCOUNT'!A1439="","",'NEW ACCOUNT'!I1439)</f>
        <v/>
      </c>
      <c r="J1438" t="str">
        <f>IF('NEW ACCOUNT'!A1439="","",'NEW ACCOUNT'!J1439)</f>
        <v/>
      </c>
      <c r="K1438" t="str">
        <f>IFERROR(IF(A1438="","",SUMIF(DB_Savings!$A:$A,A1438,DB_Savings!$F:$F)),"")</f>
        <v/>
      </c>
      <c r="L1438" t="str">
        <f>IFERROR(IF(A1438="","",SUMIF(DB_Withdrawals!$A:$A,A1438,DB_Withdrawals!$G:$G)),"")</f>
        <v/>
      </c>
      <c r="M1438" t="str">
        <f>IFERROR(IF(A1438="","",IFERROR(VALUE(H1438),0)+IFERROR(SUMIF(DB_Savings!$A:$A,A1438,DB_Savings!$F:$F),0)-IFERROR(SUMIF(DB_Withdrawals!$A:$A,A1438,DB_Withdrawals!$G:$G),0)),"")</f>
        <v/>
      </c>
      <c r="N1438" t="str">
        <f>IFERROR(IF(A1438="","",MAX(0,M1438-System_Config!$B$9)),"")</f>
        <v/>
      </c>
    </row>
    <row r="1439" spans="1:14" ht="15" customHeight="1" x14ac:dyDescent="0.25">
      <c r="A1439" t="str">
        <f>'NEW ACCOUNT'!A1440</f>
        <v/>
      </c>
      <c r="B1439" t="str">
        <f>IF('NEW ACCOUNT'!A1440="","",'NEW ACCOUNT'!B1440)</f>
        <v/>
      </c>
      <c r="C1439" t="str">
        <f>IF('NEW ACCOUNT'!A1440="","",'NEW ACCOUNT'!C1440)</f>
        <v/>
      </c>
      <c r="D1439" t="str">
        <f>IF('NEW ACCOUNT'!A1440="","",'NEW ACCOUNT'!D1440)</f>
        <v/>
      </c>
      <c r="E1439" t="str">
        <f>IF('NEW ACCOUNT'!A1440="","",'NEW ACCOUNT'!E1440)</f>
        <v/>
      </c>
      <c r="F1439" t="str">
        <f>IF('NEW ACCOUNT'!A1440="","",'NEW ACCOUNT'!F1440)</f>
        <v/>
      </c>
      <c r="G1439" t="str">
        <f>IF('NEW ACCOUNT'!A1440="","",'NEW ACCOUNT'!G1440)</f>
        <v/>
      </c>
      <c r="H1439" t="str">
        <f>IF('NEW ACCOUNT'!A1440="","",'NEW ACCOUNT'!H1440)</f>
        <v/>
      </c>
      <c r="I1439" t="str">
        <f>IF('NEW ACCOUNT'!A1440="","",'NEW ACCOUNT'!I1440)</f>
        <v/>
      </c>
      <c r="J1439" t="str">
        <f>IF('NEW ACCOUNT'!A1440="","",'NEW ACCOUNT'!J1440)</f>
        <v/>
      </c>
      <c r="K1439" t="str">
        <f>IFERROR(IF(A1439="","",SUMIF(DB_Savings!$A:$A,A1439,DB_Savings!$F:$F)),"")</f>
        <v/>
      </c>
      <c r="L1439" t="str">
        <f>IFERROR(IF(A1439="","",SUMIF(DB_Withdrawals!$A:$A,A1439,DB_Withdrawals!$G:$G)),"")</f>
        <v/>
      </c>
      <c r="M1439" t="str">
        <f>IFERROR(IF(A1439="","",IFERROR(VALUE(H1439),0)+IFERROR(SUMIF(DB_Savings!$A:$A,A1439,DB_Savings!$F:$F),0)-IFERROR(SUMIF(DB_Withdrawals!$A:$A,A1439,DB_Withdrawals!$G:$G),0)),"")</f>
        <v/>
      </c>
      <c r="N1439" t="str">
        <f>IFERROR(IF(A1439="","",MAX(0,M1439-System_Config!$B$9)),"")</f>
        <v/>
      </c>
    </row>
    <row r="1440" spans="1:14" ht="15" customHeight="1" x14ac:dyDescent="0.25">
      <c r="A1440" t="str">
        <f>'NEW ACCOUNT'!A1441</f>
        <v/>
      </c>
      <c r="B1440" t="str">
        <f>IF('NEW ACCOUNT'!A1441="","",'NEW ACCOUNT'!B1441)</f>
        <v/>
      </c>
      <c r="C1440" t="str">
        <f>IF('NEW ACCOUNT'!A1441="","",'NEW ACCOUNT'!C1441)</f>
        <v/>
      </c>
      <c r="D1440" t="str">
        <f>IF('NEW ACCOUNT'!A1441="","",'NEW ACCOUNT'!D1441)</f>
        <v/>
      </c>
      <c r="E1440" t="str">
        <f>IF('NEW ACCOUNT'!A1441="","",'NEW ACCOUNT'!E1441)</f>
        <v/>
      </c>
      <c r="F1440" t="str">
        <f>IF('NEW ACCOUNT'!A1441="","",'NEW ACCOUNT'!F1441)</f>
        <v/>
      </c>
      <c r="G1440" t="str">
        <f>IF('NEW ACCOUNT'!A1441="","",'NEW ACCOUNT'!G1441)</f>
        <v/>
      </c>
      <c r="H1440" t="str">
        <f>IF('NEW ACCOUNT'!A1441="","",'NEW ACCOUNT'!H1441)</f>
        <v/>
      </c>
      <c r="I1440" t="str">
        <f>IF('NEW ACCOUNT'!A1441="","",'NEW ACCOUNT'!I1441)</f>
        <v/>
      </c>
      <c r="J1440" t="str">
        <f>IF('NEW ACCOUNT'!A1441="","",'NEW ACCOUNT'!J1441)</f>
        <v/>
      </c>
      <c r="K1440" t="str">
        <f>IFERROR(IF(A1440="","",SUMIF(DB_Savings!$A:$A,A1440,DB_Savings!$F:$F)),"")</f>
        <v/>
      </c>
      <c r="L1440" t="str">
        <f>IFERROR(IF(A1440="","",SUMIF(DB_Withdrawals!$A:$A,A1440,DB_Withdrawals!$G:$G)),"")</f>
        <v/>
      </c>
      <c r="M1440" t="str">
        <f>IFERROR(IF(A1440="","",IFERROR(VALUE(H1440),0)+IFERROR(SUMIF(DB_Savings!$A:$A,A1440,DB_Savings!$F:$F),0)-IFERROR(SUMIF(DB_Withdrawals!$A:$A,A1440,DB_Withdrawals!$G:$G),0)),"")</f>
        <v/>
      </c>
      <c r="N1440" t="str">
        <f>IFERROR(IF(A1440="","",MAX(0,M1440-System_Config!$B$9)),"")</f>
        <v/>
      </c>
    </row>
    <row r="1441" spans="1:14" ht="15" customHeight="1" x14ac:dyDescent="0.25">
      <c r="A1441" t="str">
        <f>'NEW ACCOUNT'!A1442</f>
        <v/>
      </c>
      <c r="B1441" t="str">
        <f>IF('NEW ACCOUNT'!A1442="","",'NEW ACCOUNT'!B1442)</f>
        <v/>
      </c>
      <c r="C1441" t="str">
        <f>IF('NEW ACCOUNT'!A1442="","",'NEW ACCOUNT'!C1442)</f>
        <v/>
      </c>
      <c r="D1441" t="str">
        <f>IF('NEW ACCOUNT'!A1442="","",'NEW ACCOUNT'!D1442)</f>
        <v/>
      </c>
      <c r="E1441" t="str">
        <f>IF('NEW ACCOUNT'!A1442="","",'NEW ACCOUNT'!E1442)</f>
        <v/>
      </c>
      <c r="F1441" t="str">
        <f>IF('NEW ACCOUNT'!A1442="","",'NEW ACCOUNT'!F1442)</f>
        <v/>
      </c>
      <c r="G1441" t="str">
        <f>IF('NEW ACCOUNT'!A1442="","",'NEW ACCOUNT'!G1442)</f>
        <v/>
      </c>
      <c r="H1441" t="str">
        <f>IF('NEW ACCOUNT'!A1442="","",'NEW ACCOUNT'!H1442)</f>
        <v/>
      </c>
      <c r="I1441" t="str">
        <f>IF('NEW ACCOUNT'!A1442="","",'NEW ACCOUNT'!I1442)</f>
        <v/>
      </c>
      <c r="J1441" t="str">
        <f>IF('NEW ACCOUNT'!A1442="","",'NEW ACCOUNT'!J1442)</f>
        <v/>
      </c>
      <c r="K1441" t="str">
        <f>IFERROR(IF(A1441="","",SUMIF(DB_Savings!$A:$A,A1441,DB_Savings!$F:$F)),"")</f>
        <v/>
      </c>
      <c r="L1441" t="str">
        <f>IFERROR(IF(A1441="","",SUMIF(DB_Withdrawals!$A:$A,A1441,DB_Withdrawals!$G:$G)),"")</f>
        <v/>
      </c>
      <c r="M1441" t="str">
        <f>IFERROR(IF(A1441="","",IFERROR(VALUE(H1441),0)+IFERROR(SUMIF(DB_Savings!$A:$A,A1441,DB_Savings!$F:$F),0)-IFERROR(SUMIF(DB_Withdrawals!$A:$A,A1441,DB_Withdrawals!$G:$G),0)),"")</f>
        <v/>
      </c>
      <c r="N1441" t="str">
        <f>IFERROR(IF(A1441="","",MAX(0,M1441-System_Config!$B$9)),"")</f>
        <v/>
      </c>
    </row>
    <row r="1442" spans="1:14" ht="15" customHeight="1" x14ac:dyDescent="0.25">
      <c r="A1442" t="str">
        <f>'NEW ACCOUNT'!A1443</f>
        <v/>
      </c>
      <c r="B1442" t="str">
        <f>IF('NEW ACCOUNT'!A1443="","",'NEW ACCOUNT'!B1443)</f>
        <v/>
      </c>
      <c r="C1442" t="str">
        <f>IF('NEW ACCOUNT'!A1443="","",'NEW ACCOUNT'!C1443)</f>
        <v/>
      </c>
      <c r="D1442" t="str">
        <f>IF('NEW ACCOUNT'!A1443="","",'NEW ACCOUNT'!D1443)</f>
        <v/>
      </c>
      <c r="E1442" t="str">
        <f>IF('NEW ACCOUNT'!A1443="","",'NEW ACCOUNT'!E1443)</f>
        <v/>
      </c>
      <c r="F1442" t="str">
        <f>IF('NEW ACCOUNT'!A1443="","",'NEW ACCOUNT'!F1443)</f>
        <v/>
      </c>
      <c r="G1442" t="str">
        <f>IF('NEW ACCOUNT'!A1443="","",'NEW ACCOUNT'!G1443)</f>
        <v/>
      </c>
      <c r="H1442" t="str">
        <f>IF('NEW ACCOUNT'!A1443="","",'NEW ACCOUNT'!H1443)</f>
        <v/>
      </c>
      <c r="I1442" t="str">
        <f>IF('NEW ACCOUNT'!A1443="","",'NEW ACCOUNT'!I1443)</f>
        <v/>
      </c>
      <c r="J1442" t="str">
        <f>IF('NEW ACCOUNT'!A1443="","",'NEW ACCOUNT'!J1443)</f>
        <v/>
      </c>
      <c r="K1442" t="str">
        <f>IFERROR(IF(A1442="","",SUMIF(DB_Savings!$A:$A,A1442,DB_Savings!$F:$F)),"")</f>
        <v/>
      </c>
      <c r="L1442" t="str">
        <f>IFERROR(IF(A1442="","",SUMIF(DB_Withdrawals!$A:$A,A1442,DB_Withdrawals!$G:$G)),"")</f>
        <v/>
      </c>
      <c r="M1442" t="str">
        <f>IFERROR(IF(A1442="","",IFERROR(VALUE(H1442),0)+IFERROR(SUMIF(DB_Savings!$A:$A,A1442,DB_Savings!$F:$F),0)-IFERROR(SUMIF(DB_Withdrawals!$A:$A,A1442,DB_Withdrawals!$G:$G),0)),"")</f>
        <v/>
      </c>
      <c r="N1442" t="str">
        <f>IFERROR(IF(A1442="","",MAX(0,M1442-System_Config!$B$9)),"")</f>
        <v/>
      </c>
    </row>
    <row r="1443" spans="1:14" ht="15" customHeight="1" x14ac:dyDescent="0.25">
      <c r="A1443" t="str">
        <f>'NEW ACCOUNT'!A1444</f>
        <v/>
      </c>
      <c r="B1443" t="str">
        <f>IF('NEW ACCOUNT'!A1444="","",'NEW ACCOUNT'!B1444)</f>
        <v/>
      </c>
      <c r="C1443" t="str">
        <f>IF('NEW ACCOUNT'!A1444="","",'NEW ACCOUNT'!C1444)</f>
        <v/>
      </c>
      <c r="D1443" t="str">
        <f>IF('NEW ACCOUNT'!A1444="","",'NEW ACCOUNT'!D1444)</f>
        <v/>
      </c>
      <c r="E1443" t="str">
        <f>IF('NEW ACCOUNT'!A1444="","",'NEW ACCOUNT'!E1444)</f>
        <v/>
      </c>
      <c r="F1443" t="str">
        <f>IF('NEW ACCOUNT'!A1444="","",'NEW ACCOUNT'!F1444)</f>
        <v/>
      </c>
      <c r="G1443" t="str">
        <f>IF('NEW ACCOUNT'!A1444="","",'NEW ACCOUNT'!G1444)</f>
        <v/>
      </c>
      <c r="H1443" t="str">
        <f>IF('NEW ACCOUNT'!A1444="","",'NEW ACCOUNT'!H1444)</f>
        <v/>
      </c>
      <c r="I1443" t="str">
        <f>IF('NEW ACCOUNT'!A1444="","",'NEW ACCOUNT'!I1444)</f>
        <v/>
      </c>
      <c r="J1443" t="str">
        <f>IF('NEW ACCOUNT'!A1444="","",'NEW ACCOUNT'!J1444)</f>
        <v/>
      </c>
      <c r="K1443" t="str">
        <f>IFERROR(IF(A1443="","",SUMIF(DB_Savings!$A:$A,A1443,DB_Savings!$F:$F)),"")</f>
        <v/>
      </c>
      <c r="L1443" t="str">
        <f>IFERROR(IF(A1443="","",SUMIF(DB_Withdrawals!$A:$A,A1443,DB_Withdrawals!$G:$G)),"")</f>
        <v/>
      </c>
      <c r="M1443" t="str">
        <f>IFERROR(IF(A1443="","",IFERROR(VALUE(H1443),0)+IFERROR(SUMIF(DB_Savings!$A:$A,A1443,DB_Savings!$F:$F),0)-IFERROR(SUMIF(DB_Withdrawals!$A:$A,A1443,DB_Withdrawals!$G:$G),0)),"")</f>
        <v/>
      </c>
      <c r="N1443" t="str">
        <f>IFERROR(IF(A1443="","",MAX(0,M1443-System_Config!$B$9)),"")</f>
        <v/>
      </c>
    </row>
    <row r="1444" spans="1:14" ht="15" customHeight="1" x14ac:dyDescent="0.25">
      <c r="A1444" t="str">
        <f>'NEW ACCOUNT'!A1445</f>
        <v/>
      </c>
      <c r="B1444" t="str">
        <f>IF('NEW ACCOUNT'!A1445="","",'NEW ACCOUNT'!B1445)</f>
        <v/>
      </c>
      <c r="C1444" t="str">
        <f>IF('NEW ACCOUNT'!A1445="","",'NEW ACCOUNT'!C1445)</f>
        <v/>
      </c>
      <c r="D1444" t="str">
        <f>IF('NEW ACCOUNT'!A1445="","",'NEW ACCOUNT'!D1445)</f>
        <v/>
      </c>
      <c r="E1444" t="str">
        <f>IF('NEW ACCOUNT'!A1445="","",'NEW ACCOUNT'!E1445)</f>
        <v/>
      </c>
      <c r="F1444" t="str">
        <f>IF('NEW ACCOUNT'!A1445="","",'NEW ACCOUNT'!F1445)</f>
        <v/>
      </c>
      <c r="G1444" t="str">
        <f>IF('NEW ACCOUNT'!A1445="","",'NEW ACCOUNT'!G1445)</f>
        <v/>
      </c>
      <c r="H1444" t="str">
        <f>IF('NEW ACCOUNT'!A1445="","",'NEW ACCOUNT'!H1445)</f>
        <v/>
      </c>
      <c r="I1444" t="str">
        <f>IF('NEW ACCOUNT'!A1445="","",'NEW ACCOUNT'!I1445)</f>
        <v/>
      </c>
      <c r="J1444" t="str">
        <f>IF('NEW ACCOUNT'!A1445="","",'NEW ACCOUNT'!J1445)</f>
        <v/>
      </c>
      <c r="K1444" t="str">
        <f>IFERROR(IF(A1444="","",SUMIF(DB_Savings!$A:$A,A1444,DB_Savings!$F:$F)),"")</f>
        <v/>
      </c>
      <c r="L1444" t="str">
        <f>IFERROR(IF(A1444="","",SUMIF(DB_Withdrawals!$A:$A,A1444,DB_Withdrawals!$G:$G)),"")</f>
        <v/>
      </c>
      <c r="M1444" t="str">
        <f>IFERROR(IF(A1444="","",IFERROR(VALUE(H1444),0)+IFERROR(SUMIF(DB_Savings!$A:$A,A1444,DB_Savings!$F:$F),0)-IFERROR(SUMIF(DB_Withdrawals!$A:$A,A1444,DB_Withdrawals!$G:$G),0)),"")</f>
        <v/>
      </c>
      <c r="N1444" t="str">
        <f>IFERROR(IF(A1444="","",MAX(0,M1444-System_Config!$B$9)),"")</f>
        <v/>
      </c>
    </row>
    <row r="1445" spans="1:14" ht="15" customHeight="1" x14ac:dyDescent="0.25">
      <c r="A1445" t="str">
        <f>'NEW ACCOUNT'!A1446</f>
        <v/>
      </c>
      <c r="B1445" t="str">
        <f>IF('NEW ACCOUNT'!A1446="","",'NEW ACCOUNT'!B1446)</f>
        <v/>
      </c>
      <c r="C1445" t="str">
        <f>IF('NEW ACCOUNT'!A1446="","",'NEW ACCOUNT'!C1446)</f>
        <v/>
      </c>
      <c r="D1445" t="str">
        <f>IF('NEW ACCOUNT'!A1446="","",'NEW ACCOUNT'!D1446)</f>
        <v/>
      </c>
      <c r="E1445" t="str">
        <f>IF('NEW ACCOUNT'!A1446="","",'NEW ACCOUNT'!E1446)</f>
        <v/>
      </c>
      <c r="F1445" t="str">
        <f>IF('NEW ACCOUNT'!A1446="","",'NEW ACCOUNT'!F1446)</f>
        <v/>
      </c>
      <c r="G1445" t="str">
        <f>IF('NEW ACCOUNT'!A1446="","",'NEW ACCOUNT'!G1446)</f>
        <v/>
      </c>
      <c r="H1445" t="str">
        <f>IF('NEW ACCOUNT'!A1446="","",'NEW ACCOUNT'!H1446)</f>
        <v/>
      </c>
      <c r="I1445" t="str">
        <f>IF('NEW ACCOUNT'!A1446="","",'NEW ACCOUNT'!I1446)</f>
        <v/>
      </c>
      <c r="J1445" t="str">
        <f>IF('NEW ACCOUNT'!A1446="","",'NEW ACCOUNT'!J1446)</f>
        <v/>
      </c>
      <c r="K1445" t="str">
        <f>IFERROR(IF(A1445="","",SUMIF(DB_Savings!$A:$A,A1445,DB_Savings!$F:$F)),"")</f>
        <v/>
      </c>
      <c r="L1445" t="str">
        <f>IFERROR(IF(A1445="","",SUMIF(DB_Withdrawals!$A:$A,A1445,DB_Withdrawals!$G:$G)),"")</f>
        <v/>
      </c>
      <c r="M1445" t="str">
        <f>IFERROR(IF(A1445="","",IFERROR(VALUE(H1445),0)+IFERROR(SUMIF(DB_Savings!$A:$A,A1445,DB_Savings!$F:$F),0)-IFERROR(SUMIF(DB_Withdrawals!$A:$A,A1445,DB_Withdrawals!$G:$G),0)),"")</f>
        <v/>
      </c>
      <c r="N1445" t="str">
        <f>IFERROR(IF(A1445="","",MAX(0,M1445-System_Config!$B$9)),"")</f>
        <v/>
      </c>
    </row>
    <row r="1446" spans="1:14" ht="15" customHeight="1" x14ac:dyDescent="0.25">
      <c r="A1446" t="str">
        <f>'NEW ACCOUNT'!A1447</f>
        <v/>
      </c>
      <c r="B1446" t="str">
        <f>IF('NEW ACCOUNT'!A1447="","",'NEW ACCOUNT'!B1447)</f>
        <v/>
      </c>
      <c r="C1446" t="str">
        <f>IF('NEW ACCOUNT'!A1447="","",'NEW ACCOUNT'!C1447)</f>
        <v/>
      </c>
      <c r="D1446" t="str">
        <f>IF('NEW ACCOUNT'!A1447="","",'NEW ACCOUNT'!D1447)</f>
        <v/>
      </c>
      <c r="E1446" t="str">
        <f>IF('NEW ACCOUNT'!A1447="","",'NEW ACCOUNT'!E1447)</f>
        <v/>
      </c>
      <c r="F1446" t="str">
        <f>IF('NEW ACCOUNT'!A1447="","",'NEW ACCOUNT'!F1447)</f>
        <v/>
      </c>
      <c r="G1446" t="str">
        <f>IF('NEW ACCOUNT'!A1447="","",'NEW ACCOUNT'!G1447)</f>
        <v/>
      </c>
      <c r="H1446" t="str">
        <f>IF('NEW ACCOUNT'!A1447="","",'NEW ACCOUNT'!H1447)</f>
        <v/>
      </c>
      <c r="I1446" t="str">
        <f>IF('NEW ACCOUNT'!A1447="","",'NEW ACCOUNT'!I1447)</f>
        <v/>
      </c>
      <c r="J1446" t="str">
        <f>IF('NEW ACCOUNT'!A1447="","",'NEW ACCOUNT'!J1447)</f>
        <v/>
      </c>
      <c r="K1446" t="str">
        <f>IFERROR(IF(A1446="","",SUMIF(DB_Savings!$A:$A,A1446,DB_Savings!$F:$F)),"")</f>
        <v/>
      </c>
      <c r="L1446" t="str">
        <f>IFERROR(IF(A1446="","",SUMIF(DB_Withdrawals!$A:$A,A1446,DB_Withdrawals!$G:$G)),"")</f>
        <v/>
      </c>
      <c r="M1446" t="str">
        <f>IFERROR(IF(A1446="","",IFERROR(VALUE(H1446),0)+IFERROR(SUMIF(DB_Savings!$A:$A,A1446,DB_Savings!$F:$F),0)-IFERROR(SUMIF(DB_Withdrawals!$A:$A,A1446,DB_Withdrawals!$G:$G),0)),"")</f>
        <v/>
      </c>
      <c r="N1446" t="str">
        <f>IFERROR(IF(A1446="","",MAX(0,M1446-System_Config!$B$9)),"")</f>
        <v/>
      </c>
    </row>
    <row r="1447" spans="1:14" ht="15" customHeight="1" x14ac:dyDescent="0.25">
      <c r="A1447" t="str">
        <f>'NEW ACCOUNT'!A1448</f>
        <v/>
      </c>
      <c r="B1447" t="str">
        <f>IF('NEW ACCOUNT'!A1448="","",'NEW ACCOUNT'!B1448)</f>
        <v/>
      </c>
      <c r="C1447" t="str">
        <f>IF('NEW ACCOUNT'!A1448="","",'NEW ACCOUNT'!C1448)</f>
        <v/>
      </c>
      <c r="D1447" t="str">
        <f>IF('NEW ACCOUNT'!A1448="","",'NEW ACCOUNT'!D1448)</f>
        <v/>
      </c>
      <c r="E1447" t="str">
        <f>IF('NEW ACCOUNT'!A1448="","",'NEW ACCOUNT'!E1448)</f>
        <v/>
      </c>
      <c r="F1447" t="str">
        <f>IF('NEW ACCOUNT'!A1448="","",'NEW ACCOUNT'!F1448)</f>
        <v/>
      </c>
      <c r="G1447" t="str">
        <f>IF('NEW ACCOUNT'!A1448="","",'NEW ACCOUNT'!G1448)</f>
        <v/>
      </c>
      <c r="H1447" t="str">
        <f>IF('NEW ACCOUNT'!A1448="","",'NEW ACCOUNT'!H1448)</f>
        <v/>
      </c>
      <c r="I1447" t="str">
        <f>IF('NEW ACCOUNT'!A1448="","",'NEW ACCOUNT'!I1448)</f>
        <v/>
      </c>
      <c r="J1447" t="str">
        <f>IF('NEW ACCOUNT'!A1448="","",'NEW ACCOUNT'!J1448)</f>
        <v/>
      </c>
      <c r="K1447" t="str">
        <f>IFERROR(IF(A1447="","",SUMIF(DB_Savings!$A:$A,A1447,DB_Savings!$F:$F)),"")</f>
        <v/>
      </c>
      <c r="L1447" t="str">
        <f>IFERROR(IF(A1447="","",SUMIF(DB_Withdrawals!$A:$A,A1447,DB_Withdrawals!$G:$G)),"")</f>
        <v/>
      </c>
      <c r="M1447" t="str">
        <f>IFERROR(IF(A1447="","",IFERROR(VALUE(H1447),0)+IFERROR(SUMIF(DB_Savings!$A:$A,A1447,DB_Savings!$F:$F),0)-IFERROR(SUMIF(DB_Withdrawals!$A:$A,A1447,DB_Withdrawals!$G:$G),0)),"")</f>
        <v/>
      </c>
      <c r="N1447" t="str">
        <f>IFERROR(IF(A1447="","",MAX(0,M1447-System_Config!$B$9)),"")</f>
        <v/>
      </c>
    </row>
    <row r="1448" spans="1:14" ht="15" customHeight="1" x14ac:dyDescent="0.25">
      <c r="A1448" t="str">
        <f>'NEW ACCOUNT'!A1449</f>
        <v/>
      </c>
      <c r="B1448" t="str">
        <f>IF('NEW ACCOUNT'!A1449="","",'NEW ACCOUNT'!B1449)</f>
        <v/>
      </c>
      <c r="C1448" t="str">
        <f>IF('NEW ACCOUNT'!A1449="","",'NEW ACCOUNT'!C1449)</f>
        <v/>
      </c>
      <c r="D1448" t="str">
        <f>IF('NEW ACCOUNT'!A1449="","",'NEW ACCOUNT'!D1449)</f>
        <v/>
      </c>
      <c r="E1448" t="str">
        <f>IF('NEW ACCOUNT'!A1449="","",'NEW ACCOUNT'!E1449)</f>
        <v/>
      </c>
      <c r="F1448" t="str">
        <f>IF('NEW ACCOUNT'!A1449="","",'NEW ACCOUNT'!F1449)</f>
        <v/>
      </c>
      <c r="G1448" t="str">
        <f>IF('NEW ACCOUNT'!A1449="","",'NEW ACCOUNT'!G1449)</f>
        <v/>
      </c>
      <c r="H1448" t="str">
        <f>IF('NEW ACCOUNT'!A1449="","",'NEW ACCOUNT'!H1449)</f>
        <v/>
      </c>
      <c r="I1448" t="str">
        <f>IF('NEW ACCOUNT'!A1449="","",'NEW ACCOUNT'!I1449)</f>
        <v/>
      </c>
      <c r="J1448" t="str">
        <f>IF('NEW ACCOUNT'!A1449="","",'NEW ACCOUNT'!J1449)</f>
        <v/>
      </c>
      <c r="K1448" t="str">
        <f>IFERROR(IF(A1448="","",SUMIF(DB_Savings!$A:$A,A1448,DB_Savings!$F:$F)),"")</f>
        <v/>
      </c>
      <c r="L1448" t="str">
        <f>IFERROR(IF(A1448="","",SUMIF(DB_Withdrawals!$A:$A,A1448,DB_Withdrawals!$G:$G)),"")</f>
        <v/>
      </c>
      <c r="M1448" t="str">
        <f>IFERROR(IF(A1448="","",IFERROR(VALUE(H1448),0)+IFERROR(SUMIF(DB_Savings!$A:$A,A1448,DB_Savings!$F:$F),0)-IFERROR(SUMIF(DB_Withdrawals!$A:$A,A1448,DB_Withdrawals!$G:$G),0)),"")</f>
        <v/>
      </c>
      <c r="N1448" t="str">
        <f>IFERROR(IF(A1448="","",MAX(0,M1448-System_Config!$B$9)),"")</f>
        <v/>
      </c>
    </row>
    <row r="1449" spans="1:14" ht="15" customHeight="1" x14ac:dyDescent="0.25">
      <c r="A1449" t="str">
        <f>'NEW ACCOUNT'!A1450</f>
        <v/>
      </c>
      <c r="B1449" t="str">
        <f>IF('NEW ACCOUNT'!A1450="","",'NEW ACCOUNT'!B1450)</f>
        <v/>
      </c>
      <c r="C1449" t="str">
        <f>IF('NEW ACCOUNT'!A1450="","",'NEW ACCOUNT'!C1450)</f>
        <v/>
      </c>
      <c r="D1449" t="str">
        <f>IF('NEW ACCOUNT'!A1450="","",'NEW ACCOUNT'!D1450)</f>
        <v/>
      </c>
      <c r="E1449" t="str">
        <f>IF('NEW ACCOUNT'!A1450="","",'NEW ACCOUNT'!E1450)</f>
        <v/>
      </c>
      <c r="F1449" t="str">
        <f>IF('NEW ACCOUNT'!A1450="","",'NEW ACCOUNT'!F1450)</f>
        <v/>
      </c>
      <c r="G1449" t="str">
        <f>IF('NEW ACCOUNT'!A1450="","",'NEW ACCOUNT'!G1450)</f>
        <v/>
      </c>
      <c r="H1449" t="str">
        <f>IF('NEW ACCOUNT'!A1450="","",'NEW ACCOUNT'!H1450)</f>
        <v/>
      </c>
      <c r="I1449" t="str">
        <f>IF('NEW ACCOUNT'!A1450="","",'NEW ACCOUNT'!I1450)</f>
        <v/>
      </c>
      <c r="J1449" t="str">
        <f>IF('NEW ACCOUNT'!A1450="","",'NEW ACCOUNT'!J1450)</f>
        <v/>
      </c>
      <c r="K1449" t="str">
        <f>IFERROR(IF(A1449="","",SUMIF(DB_Savings!$A:$A,A1449,DB_Savings!$F:$F)),"")</f>
        <v/>
      </c>
      <c r="L1449" t="str">
        <f>IFERROR(IF(A1449="","",SUMIF(DB_Withdrawals!$A:$A,A1449,DB_Withdrawals!$G:$G)),"")</f>
        <v/>
      </c>
      <c r="M1449" t="str">
        <f>IFERROR(IF(A1449="","",IFERROR(VALUE(H1449),0)+IFERROR(SUMIF(DB_Savings!$A:$A,A1449,DB_Savings!$F:$F),0)-IFERROR(SUMIF(DB_Withdrawals!$A:$A,A1449,DB_Withdrawals!$G:$G),0)),"")</f>
        <v/>
      </c>
      <c r="N1449" t="str">
        <f>IFERROR(IF(A1449="","",MAX(0,M1449-System_Config!$B$9)),"")</f>
        <v/>
      </c>
    </row>
    <row r="1450" spans="1:14" ht="15" customHeight="1" x14ac:dyDescent="0.25">
      <c r="A1450" t="str">
        <f>'NEW ACCOUNT'!A1451</f>
        <v/>
      </c>
      <c r="B1450" t="str">
        <f>IF('NEW ACCOUNT'!A1451="","",'NEW ACCOUNT'!B1451)</f>
        <v/>
      </c>
      <c r="C1450" t="str">
        <f>IF('NEW ACCOUNT'!A1451="","",'NEW ACCOUNT'!C1451)</f>
        <v/>
      </c>
      <c r="D1450" t="str">
        <f>IF('NEW ACCOUNT'!A1451="","",'NEW ACCOUNT'!D1451)</f>
        <v/>
      </c>
      <c r="E1450" t="str">
        <f>IF('NEW ACCOUNT'!A1451="","",'NEW ACCOUNT'!E1451)</f>
        <v/>
      </c>
      <c r="F1450" t="str">
        <f>IF('NEW ACCOUNT'!A1451="","",'NEW ACCOUNT'!F1451)</f>
        <v/>
      </c>
      <c r="G1450" t="str">
        <f>IF('NEW ACCOUNT'!A1451="","",'NEW ACCOUNT'!G1451)</f>
        <v/>
      </c>
      <c r="H1450" t="str">
        <f>IF('NEW ACCOUNT'!A1451="","",'NEW ACCOUNT'!H1451)</f>
        <v/>
      </c>
      <c r="I1450" t="str">
        <f>IF('NEW ACCOUNT'!A1451="","",'NEW ACCOUNT'!I1451)</f>
        <v/>
      </c>
      <c r="J1450" t="str">
        <f>IF('NEW ACCOUNT'!A1451="","",'NEW ACCOUNT'!J1451)</f>
        <v/>
      </c>
      <c r="K1450" t="str">
        <f>IFERROR(IF(A1450="","",SUMIF(DB_Savings!$A:$A,A1450,DB_Savings!$F:$F)),"")</f>
        <v/>
      </c>
      <c r="L1450" t="str">
        <f>IFERROR(IF(A1450="","",SUMIF(DB_Withdrawals!$A:$A,A1450,DB_Withdrawals!$G:$G)),"")</f>
        <v/>
      </c>
      <c r="M1450" t="str">
        <f>IFERROR(IF(A1450="","",IFERROR(VALUE(H1450),0)+IFERROR(SUMIF(DB_Savings!$A:$A,A1450,DB_Savings!$F:$F),0)-IFERROR(SUMIF(DB_Withdrawals!$A:$A,A1450,DB_Withdrawals!$G:$G),0)),"")</f>
        <v/>
      </c>
      <c r="N1450" t="str">
        <f>IFERROR(IF(A1450="","",MAX(0,M1450-System_Config!$B$9)),"")</f>
        <v/>
      </c>
    </row>
    <row r="1451" spans="1:14" ht="15" customHeight="1" x14ac:dyDescent="0.25">
      <c r="A1451" t="str">
        <f>'NEW ACCOUNT'!A1452</f>
        <v/>
      </c>
      <c r="B1451" t="str">
        <f>IF('NEW ACCOUNT'!A1452="","",'NEW ACCOUNT'!B1452)</f>
        <v/>
      </c>
      <c r="C1451" t="str">
        <f>IF('NEW ACCOUNT'!A1452="","",'NEW ACCOUNT'!C1452)</f>
        <v/>
      </c>
      <c r="D1451" t="str">
        <f>IF('NEW ACCOUNT'!A1452="","",'NEW ACCOUNT'!D1452)</f>
        <v/>
      </c>
      <c r="E1451" t="str">
        <f>IF('NEW ACCOUNT'!A1452="","",'NEW ACCOUNT'!E1452)</f>
        <v/>
      </c>
      <c r="F1451" t="str">
        <f>IF('NEW ACCOUNT'!A1452="","",'NEW ACCOUNT'!F1452)</f>
        <v/>
      </c>
      <c r="G1451" t="str">
        <f>IF('NEW ACCOUNT'!A1452="","",'NEW ACCOUNT'!G1452)</f>
        <v/>
      </c>
      <c r="H1451" t="str">
        <f>IF('NEW ACCOUNT'!A1452="","",'NEW ACCOUNT'!H1452)</f>
        <v/>
      </c>
      <c r="I1451" t="str">
        <f>IF('NEW ACCOUNT'!A1452="","",'NEW ACCOUNT'!I1452)</f>
        <v/>
      </c>
      <c r="J1451" t="str">
        <f>IF('NEW ACCOUNT'!A1452="","",'NEW ACCOUNT'!J1452)</f>
        <v/>
      </c>
      <c r="K1451" t="str">
        <f>IFERROR(IF(A1451="","",SUMIF(DB_Savings!$A:$A,A1451,DB_Savings!$F:$F)),"")</f>
        <v/>
      </c>
      <c r="L1451" t="str">
        <f>IFERROR(IF(A1451="","",SUMIF(DB_Withdrawals!$A:$A,A1451,DB_Withdrawals!$G:$G)),"")</f>
        <v/>
      </c>
      <c r="M1451" t="str">
        <f>IFERROR(IF(A1451="","",IFERROR(VALUE(H1451),0)+IFERROR(SUMIF(DB_Savings!$A:$A,A1451,DB_Savings!$F:$F),0)-IFERROR(SUMIF(DB_Withdrawals!$A:$A,A1451,DB_Withdrawals!$G:$G),0)),"")</f>
        <v/>
      </c>
      <c r="N1451" t="str">
        <f>IFERROR(IF(A1451="","",MAX(0,M1451-System_Config!$B$9)),"")</f>
        <v/>
      </c>
    </row>
    <row r="1452" spans="1:14" ht="15" customHeight="1" x14ac:dyDescent="0.25">
      <c r="A1452" t="str">
        <f>'NEW ACCOUNT'!A1453</f>
        <v/>
      </c>
      <c r="B1452" t="str">
        <f>IF('NEW ACCOUNT'!A1453="","",'NEW ACCOUNT'!B1453)</f>
        <v/>
      </c>
      <c r="C1452" t="str">
        <f>IF('NEW ACCOUNT'!A1453="","",'NEW ACCOUNT'!C1453)</f>
        <v/>
      </c>
      <c r="D1452" t="str">
        <f>IF('NEW ACCOUNT'!A1453="","",'NEW ACCOUNT'!D1453)</f>
        <v/>
      </c>
      <c r="E1452" t="str">
        <f>IF('NEW ACCOUNT'!A1453="","",'NEW ACCOUNT'!E1453)</f>
        <v/>
      </c>
      <c r="F1452" t="str">
        <f>IF('NEW ACCOUNT'!A1453="","",'NEW ACCOUNT'!F1453)</f>
        <v/>
      </c>
      <c r="G1452" t="str">
        <f>IF('NEW ACCOUNT'!A1453="","",'NEW ACCOUNT'!G1453)</f>
        <v/>
      </c>
      <c r="H1452" t="str">
        <f>IF('NEW ACCOUNT'!A1453="","",'NEW ACCOUNT'!H1453)</f>
        <v/>
      </c>
      <c r="I1452" t="str">
        <f>IF('NEW ACCOUNT'!A1453="","",'NEW ACCOUNT'!I1453)</f>
        <v/>
      </c>
      <c r="J1452" t="str">
        <f>IF('NEW ACCOUNT'!A1453="","",'NEW ACCOUNT'!J1453)</f>
        <v/>
      </c>
      <c r="K1452" t="str">
        <f>IFERROR(IF(A1452="","",SUMIF(DB_Savings!$A:$A,A1452,DB_Savings!$F:$F)),"")</f>
        <v/>
      </c>
      <c r="L1452" t="str">
        <f>IFERROR(IF(A1452="","",SUMIF(DB_Withdrawals!$A:$A,A1452,DB_Withdrawals!$G:$G)),"")</f>
        <v/>
      </c>
      <c r="M1452" t="str">
        <f>IFERROR(IF(A1452="","",IFERROR(VALUE(H1452),0)+IFERROR(SUMIF(DB_Savings!$A:$A,A1452,DB_Savings!$F:$F),0)-IFERROR(SUMIF(DB_Withdrawals!$A:$A,A1452,DB_Withdrawals!$G:$G),0)),"")</f>
        <v/>
      </c>
      <c r="N1452" t="str">
        <f>IFERROR(IF(A1452="","",MAX(0,M1452-System_Config!$B$9)),"")</f>
        <v/>
      </c>
    </row>
    <row r="1453" spans="1:14" ht="15" customHeight="1" x14ac:dyDescent="0.25">
      <c r="A1453" t="str">
        <f>'NEW ACCOUNT'!A1454</f>
        <v/>
      </c>
      <c r="B1453" t="str">
        <f>IF('NEW ACCOUNT'!A1454="","",'NEW ACCOUNT'!B1454)</f>
        <v/>
      </c>
      <c r="C1453" t="str">
        <f>IF('NEW ACCOUNT'!A1454="","",'NEW ACCOUNT'!C1454)</f>
        <v/>
      </c>
      <c r="D1453" t="str">
        <f>IF('NEW ACCOUNT'!A1454="","",'NEW ACCOUNT'!D1454)</f>
        <v/>
      </c>
      <c r="E1453" t="str">
        <f>IF('NEW ACCOUNT'!A1454="","",'NEW ACCOUNT'!E1454)</f>
        <v/>
      </c>
      <c r="F1453" t="str">
        <f>IF('NEW ACCOUNT'!A1454="","",'NEW ACCOUNT'!F1454)</f>
        <v/>
      </c>
      <c r="G1453" t="str">
        <f>IF('NEW ACCOUNT'!A1454="","",'NEW ACCOUNT'!G1454)</f>
        <v/>
      </c>
      <c r="H1453" t="str">
        <f>IF('NEW ACCOUNT'!A1454="","",'NEW ACCOUNT'!H1454)</f>
        <v/>
      </c>
      <c r="I1453" t="str">
        <f>IF('NEW ACCOUNT'!A1454="","",'NEW ACCOUNT'!I1454)</f>
        <v/>
      </c>
      <c r="J1453" t="str">
        <f>IF('NEW ACCOUNT'!A1454="","",'NEW ACCOUNT'!J1454)</f>
        <v/>
      </c>
      <c r="K1453" t="str">
        <f>IFERROR(IF(A1453="","",SUMIF(DB_Savings!$A:$A,A1453,DB_Savings!$F:$F)),"")</f>
        <v/>
      </c>
      <c r="L1453" t="str">
        <f>IFERROR(IF(A1453="","",SUMIF(DB_Withdrawals!$A:$A,A1453,DB_Withdrawals!$G:$G)),"")</f>
        <v/>
      </c>
      <c r="M1453" t="str">
        <f>IFERROR(IF(A1453="","",IFERROR(VALUE(H1453),0)+IFERROR(SUMIF(DB_Savings!$A:$A,A1453,DB_Savings!$F:$F),0)-IFERROR(SUMIF(DB_Withdrawals!$A:$A,A1453,DB_Withdrawals!$G:$G),0)),"")</f>
        <v/>
      </c>
      <c r="N1453" t="str">
        <f>IFERROR(IF(A1453="","",MAX(0,M1453-System_Config!$B$9)),"")</f>
        <v/>
      </c>
    </row>
    <row r="1454" spans="1:14" ht="15" customHeight="1" x14ac:dyDescent="0.25">
      <c r="A1454" t="str">
        <f>'NEW ACCOUNT'!A1455</f>
        <v/>
      </c>
      <c r="B1454" t="str">
        <f>IF('NEW ACCOUNT'!A1455="","",'NEW ACCOUNT'!B1455)</f>
        <v/>
      </c>
      <c r="C1454" t="str">
        <f>IF('NEW ACCOUNT'!A1455="","",'NEW ACCOUNT'!C1455)</f>
        <v/>
      </c>
      <c r="D1454" t="str">
        <f>IF('NEW ACCOUNT'!A1455="","",'NEW ACCOUNT'!D1455)</f>
        <v/>
      </c>
      <c r="E1454" t="str">
        <f>IF('NEW ACCOUNT'!A1455="","",'NEW ACCOUNT'!E1455)</f>
        <v/>
      </c>
      <c r="F1454" t="str">
        <f>IF('NEW ACCOUNT'!A1455="","",'NEW ACCOUNT'!F1455)</f>
        <v/>
      </c>
      <c r="G1454" t="str">
        <f>IF('NEW ACCOUNT'!A1455="","",'NEW ACCOUNT'!G1455)</f>
        <v/>
      </c>
      <c r="H1454" t="str">
        <f>IF('NEW ACCOUNT'!A1455="","",'NEW ACCOUNT'!H1455)</f>
        <v/>
      </c>
      <c r="I1454" t="str">
        <f>IF('NEW ACCOUNT'!A1455="","",'NEW ACCOUNT'!I1455)</f>
        <v/>
      </c>
      <c r="J1454" t="str">
        <f>IF('NEW ACCOUNT'!A1455="","",'NEW ACCOUNT'!J1455)</f>
        <v/>
      </c>
      <c r="K1454" t="str">
        <f>IFERROR(IF(A1454="","",SUMIF(DB_Savings!$A:$A,A1454,DB_Savings!$F:$F)),"")</f>
        <v/>
      </c>
      <c r="L1454" t="str">
        <f>IFERROR(IF(A1454="","",SUMIF(DB_Withdrawals!$A:$A,A1454,DB_Withdrawals!$G:$G)),"")</f>
        <v/>
      </c>
      <c r="M1454" t="str">
        <f>IFERROR(IF(A1454="","",IFERROR(VALUE(H1454),0)+IFERROR(SUMIF(DB_Savings!$A:$A,A1454,DB_Savings!$F:$F),0)-IFERROR(SUMIF(DB_Withdrawals!$A:$A,A1454,DB_Withdrawals!$G:$G),0)),"")</f>
        <v/>
      </c>
      <c r="N1454" t="str">
        <f>IFERROR(IF(A1454="","",MAX(0,M1454-System_Config!$B$9)),"")</f>
        <v/>
      </c>
    </row>
    <row r="1455" spans="1:14" ht="15" customHeight="1" x14ac:dyDescent="0.25">
      <c r="A1455" t="str">
        <f>'NEW ACCOUNT'!A1456</f>
        <v/>
      </c>
      <c r="B1455" t="str">
        <f>IF('NEW ACCOUNT'!A1456="","",'NEW ACCOUNT'!B1456)</f>
        <v/>
      </c>
      <c r="C1455" t="str">
        <f>IF('NEW ACCOUNT'!A1456="","",'NEW ACCOUNT'!C1456)</f>
        <v/>
      </c>
      <c r="D1455" t="str">
        <f>IF('NEW ACCOUNT'!A1456="","",'NEW ACCOUNT'!D1456)</f>
        <v/>
      </c>
      <c r="E1455" t="str">
        <f>IF('NEW ACCOUNT'!A1456="","",'NEW ACCOUNT'!E1456)</f>
        <v/>
      </c>
      <c r="F1455" t="str">
        <f>IF('NEW ACCOUNT'!A1456="","",'NEW ACCOUNT'!F1456)</f>
        <v/>
      </c>
      <c r="G1455" t="str">
        <f>IF('NEW ACCOUNT'!A1456="","",'NEW ACCOUNT'!G1456)</f>
        <v/>
      </c>
      <c r="H1455" t="str">
        <f>IF('NEW ACCOUNT'!A1456="","",'NEW ACCOUNT'!H1456)</f>
        <v/>
      </c>
      <c r="I1455" t="str">
        <f>IF('NEW ACCOUNT'!A1456="","",'NEW ACCOUNT'!I1456)</f>
        <v/>
      </c>
      <c r="J1455" t="str">
        <f>IF('NEW ACCOUNT'!A1456="","",'NEW ACCOUNT'!J1456)</f>
        <v/>
      </c>
      <c r="K1455" t="str">
        <f>IFERROR(IF(A1455="","",SUMIF(DB_Savings!$A:$A,A1455,DB_Savings!$F:$F)),"")</f>
        <v/>
      </c>
      <c r="L1455" t="str">
        <f>IFERROR(IF(A1455="","",SUMIF(DB_Withdrawals!$A:$A,A1455,DB_Withdrawals!$G:$G)),"")</f>
        <v/>
      </c>
      <c r="M1455" t="str">
        <f>IFERROR(IF(A1455="","",IFERROR(VALUE(H1455),0)+IFERROR(SUMIF(DB_Savings!$A:$A,A1455,DB_Savings!$F:$F),0)-IFERROR(SUMIF(DB_Withdrawals!$A:$A,A1455,DB_Withdrawals!$G:$G),0)),"")</f>
        <v/>
      </c>
      <c r="N1455" t="str">
        <f>IFERROR(IF(A1455="","",MAX(0,M1455-System_Config!$B$9)),"")</f>
        <v/>
      </c>
    </row>
    <row r="1456" spans="1:14" ht="15" customHeight="1" x14ac:dyDescent="0.25">
      <c r="A1456" t="str">
        <f>'NEW ACCOUNT'!A1457</f>
        <v/>
      </c>
      <c r="B1456" t="str">
        <f>IF('NEW ACCOUNT'!A1457="","",'NEW ACCOUNT'!B1457)</f>
        <v/>
      </c>
      <c r="C1456" t="str">
        <f>IF('NEW ACCOUNT'!A1457="","",'NEW ACCOUNT'!C1457)</f>
        <v/>
      </c>
      <c r="D1456" t="str">
        <f>IF('NEW ACCOUNT'!A1457="","",'NEW ACCOUNT'!D1457)</f>
        <v/>
      </c>
      <c r="E1456" t="str">
        <f>IF('NEW ACCOUNT'!A1457="","",'NEW ACCOUNT'!E1457)</f>
        <v/>
      </c>
      <c r="F1456" t="str">
        <f>IF('NEW ACCOUNT'!A1457="","",'NEW ACCOUNT'!F1457)</f>
        <v/>
      </c>
      <c r="G1456" t="str">
        <f>IF('NEW ACCOUNT'!A1457="","",'NEW ACCOUNT'!G1457)</f>
        <v/>
      </c>
      <c r="H1456" t="str">
        <f>IF('NEW ACCOUNT'!A1457="","",'NEW ACCOUNT'!H1457)</f>
        <v/>
      </c>
      <c r="I1456" t="str">
        <f>IF('NEW ACCOUNT'!A1457="","",'NEW ACCOUNT'!I1457)</f>
        <v/>
      </c>
      <c r="J1456" t="str">
        <f>IF('NEW ACCOUNT'!A1457="","",'NEW ACCOUNT'!J1457)</f>
        <v/>
      </c>
      <c r="K1456" t="str">
        <f>IFERROR(IF(A1456="","",SUMIF(DB_Savings!$A:$A,A1456,DB_Savings!$F:$F)),"")</f>
        <v/>
      </c>
      <c r="L1456" t="str">
        <f>IFERROR(IF(A1456="","",SUMIF(DB_Withdrawals!$A:$A,A1456,DB_Withdrawals!$G:$G)),"")</f>
        <v/>
      </c>
      <c r="M1456" t="str">
        <f>IFERROR(IF(A1456="","",IFERROR(VALUE(H1456),0)+IFERROR(SUMIF(DB_Savings!$A:$A,A1456,DB_Savings!$F:$F),0)-IFERROR(SUMIF(DB_Withdrawals!$A:$A,A1456,DB_Withdrawals!$G:$G),0)),"")</f>
        <v/>
      </c>
      <c r="N1456" t="str">
        <f>IFERROR(IF(A1456="","",MAX(0,M1456-System_Config!$B$9)),"")</f>
        <v/>
      </c>
    </row>
    <row r="1457" spans="1:14" ht="15" customHeight="1" x14ac:dyDescent="0.25">
      <c r="A1457" t="str">
        <f>'NEW ACCOUNT'!A1458</f>
        <v/>
      </c>
      <c r="B1457" t="str">
        <f>IF('NEW ACCOUNT'!A1458="","",'NEW ACCOUNT'!B1458)</f>
        <v/>
      </c>
      <c r="C1457" t="str">
        <f>IF('NEW ACCOUNT'!A1458="","",'NEW ACCOUNT'!C1458)</f>
        <v/>
      </c>
      <c r="D1457" t="str">
        <f>IF('NEW ACCOUNT'!A1458="","",'NEW ACCOUNT'!D1458)</f>
        <v/>
      </c>
      <c r="E1457" t="str">
        <f>IF('NEW ACCOUNT'!A1458="","",'NEW ACCOUNT'!E1458)</f>
        <v/>
      </c>
      <c r="F1457" t="str">
        <f>IF('NEW ACCOUNT'!A1458="","",'NEW ACCOUNT'!F1458)</f>
        <v/>
      </c>
      <c r="G1457" t="str">
        <f>IF('NEW ACCOUNT'!A1458="","",'NEW ACCOUNT'!G1458)</f>
        <v/>
      </c>
      <c r="H1457" t="str">
        <f>IF('NEW ACCOUNT'!A1458="","",'NEW ACCOUNT'!H1458)</f>
        <v/>
      </c>
      <c r="I1457" t="str">
        <f>IF('NEW ACCOUNT'!A1458="","",'NEW ACCOUNT'!I1458)</f>
        <v/>
      </c>
      <c r="J1457" t="str">
        <f>IF('NEW ACCOUNT'!A1458="","",'NEW ACCOUNT'!J1458)</f>
        <v/>
      </c>
      <c r="K1457" t="str">
        <f>IFERROR(IF(A1457="","",SUMIF(DB_Savings!$A:$A,A1457,DB_Savings!$F:$F)),"")</f>
        <v/>
      </c>
      <c r="L1457" t="str">
        <f>IFERROR(IF(A1457="","",SUMIF(DB_Withdrawals!$A:$A,A1457,DB_Withdrawals!$G:$G)),"")</f>
        <v/>
      </c>
      <c r="M1457" t="str">
        <f>IFERROR(IF(A1457="","",IFERROR(VALUE(H1457),0)+IFERROR(SUMIF(DB_Savings!$A:$A,A1457,DB_Savings!$F:$F),0)-IFERROR(SUMIF(DB_Withdrawals!$A:$A,A1457,DB_Withdrawals!$G:$G),0)),"")</f>
        <v/>
      </c>
      <c r="N1457" t="str">
        <f>IFERROR(IF(A1457="","",MAX(0,M1457-System_Config!$B$9)),"")</f>
        <v/>
      </c>
    </row>
    <row r="1458" spans="1:14" ht="15" customHeight="1" x14ac:dyDescent="0.25">
      <c r="A1458" t="str">
        <f>'NEW ACCOUNT'!A1459</f>
        <v/>
      </c>
      <c r="B1458" t="str">
        <f>IF('NEW ACCOUNT'!A1459="","",'NEW ACCOUNT'!B1459)</f>
        <v/>
      </c>
      <c r="C1458" t="str">
        <f>IF('NEW ACCOUNT'!A1459="","",'NEW ACCOUNT'!C1459)</f>
        <v/>
      </c>
      <c r="D1458" t="str">
        <f>IF('NEW ACCOUNT'!A1459="","",'NEW ACCOUNT'!D1459)</f>
        <v/>
      </c>
      <c r="E1458" t="str">
        <f>IF('NEW ACCOUNT'!A1459="","",'NEW ACCOUNT'!E1459)</f>
        <v/>
      </c>
      <c r="F1458" t="str">
        <f>IF('NEW ACCOUNT'!A1459="","",'NEW ACCOUNT'!F1459)</f>
        <v/>
      </c>
      <c r="G1458" t="str">
        <f>IF('NEW ACCOUNT'!A1459="","",'NEW ACCOUNT'!G1459)</f>
        <v/>
      </c>
      <c r="H1458" t="str">
        <f>IF('NEW ACCOUNT'!A1459="","",'NEW ACCOUNT'!H1459)</f>
        <v/>
      </c>
      <c r="I1458" t="str">
        <f>IF('NEW ACCOUNT'!A1459="","",'NEW ACCOUNT'!I1459)</f>
        <v/>
      </c>
      <c r="J1458" t="str">
        <f>IF('NEW ACCOUNT'!A1459="","",'NEW ACCOUNT'!J1459)</f>
        <v/>
      </c>
      <c r="K1458" t="str">
        <f>IFERROR(IF(A1458="","",SUMIF(DB_Savings!$A:$A,A1458,DB_Savings!$F:$F)),"")</f>
        <v/>
      </c>
      <c r="L1458" t="str">
        <f>IFERROR(IF(A1458="","",SUMIF(DB_Withdrawals!$A:$A,A1458,DB_Withdrawals!$G:$G)),"")</f>
        <v/>
      </c>
      <c r="M1458" t="str">
        <f>IFERROR(IF(A1458="","",IFERROR(VALUE(H1458),0)+IFERROR(SUMIF(DB_Savings!$A:$A,A1458,DB_Savings!$F:$F),0)-IFERROR(SUMIF(DB_Withdrawals!$A:$A,A1458,DB_Withdrawals!$G:$G),0)),"")</f>
        <v/>
      </c>
      <c r="N1458" t="str">
        <f>IFERROR(IF(A1458="","",MAX(0,M1458-System_Config!$B$9)),"")</f>
        <v/>
      </c>
    </row>
    <row r="1459" spans="1:14" ht="15" customHeight="1" x14ac:dyDescent="0.25">
      <c r="A1459" t="str">
        <f>'NEW ACCOUNT'!A1460</f>
        <v/>
      </c>
      <c r="B1459" t="str">
        <f>IF('NEW ACCOUNT'!A1460="","",'NEW ACCOUNT'!B1460)</f>
        <v/>
      </c>
      <c r="C1459" t="str">
        <f>IF('NEW ACCOUNT'!A1460="","",'NEW ACCOUNT'!C1460)</f>
        <v/>
      </c>
      <c r="D1459" t="str">
        <f>IF('NEW ACCOUNT'!A1460="","",'NEW ACCOUNT'!D1460)</f>
        <v/>
      </c>
      <c r="E1459" t="str">
        <f>IF('NEW ACCOUNT'!A1460="","",'NEW ACCOUNT'!E1460)</f>
        <v/>
      </c>
      <c r="F1459" t="str">
        <f>IF('NEW ACCOUNT'!A1460="","",'NEW ACCOUNT'!F1460)</f>
        <v/>
      </c>
      <c r="G1459" t="str">
        <f>IF('NEW ACCOUNT'!A1460="","",'NEW ACCOUNT'!G1460)</f>
        <v/>
      </c>
      <c r="H1459" t="str">
        <f>IF('NEW ACCOUNT'!A1460="","",'NEW ACCOUNT'!H1460)</f>
        <v/>
      </c>
      <c r="I1459" t="str">
        <f>IF('NEW ACCOUNT'!A1460="","",'NEW ACCOUNT'!I1460)</f>
        <v/>
      </c>
      <c r="J1459" t="str">
        <f>IF('NEW ACCOUNT'!A1460="","",'NEW ACCOUNT'!J1460)</f>
        <v/>
      </c>
      <c r="K1459" t="str">
        <f>IFERROR(IF(A1459="","",SUMIF(DB_Savings!$A:$A,A1459,DB_Savings!$F:$F)),"")</f>
        <v/>
      </c>
      <c r="L1459" t="str">
        <f>IFERROR(IF(A1459="","",SUMIF(DB_Withdrawals!$A:$A,A1459,DB_Withdrawals!$G:$G)),"")</f>
        <v/>
      </c>
      <c r="M1459" t="str">
        <f>IFERROR(IF(A1459="","",IFERROR(VALUE(H1459),0)+IFERROR(SUMIF(DB_Savings!$A:$A,A1459,DB_Savings!$F:$F),0)-IFERROR(SUMIF(DB_Withdrawals!$A:$A,A1459,DB_Withdrawals!$G:$G),0)),"")</f>
        <v/>
      </c>
      <c r="N1459" t="str">
        <f>IFERROR(IF(A1459="","",MAX(0,M1459-System_Config!$B$9)),"")</f>
        <v/>
      </c>
    </row>
    <row r="1460" spans="1:14" ht="15" customHeight="1" x14ac:dyDescent="0.25">
      <c r="A1460" t="str">
        <f>'NEW ACCOUNT'!A1461</f>
        <v/>
      </c>
      <c r="B1460" t="str">
        <f>IF('NEW ACCOUNT'!A1461="","",'NEW ACCOUNT'!B1461)</f>
        <v/>
      </c>
      <c r="C1460" t="str">
        <f>IF('NEW ACCOUNT'!A1461="","",'NEW ACCOUNT'!C1461)</f>
        <v/>
      </c>
      <c r="D1460" t="str">
        <f>IF('NEW ACCOUNT'!A1461="","",'NEW ACCOUNT'!D1461)</f>
        <v/>
      </c>
      <c r="E1460" t="str">
        <f>IF('NEW ACCOUNT'!A1461="","",'NEW ACCOUNT'!E1461)</f>
        <v/>
      </c>
      <c r="F1460" t="str">
        <f>IF('NEW ACCOUNT'!A1461="","",'NEW ACCOUNT'!F1461)</f>
        <v/>
      </c>
      <c r="G1460" t="str">
        <f>IF('NEW ACCOUNT'!A1461="","",'NEW ACCOUNT'!G1461)</f>
        <v/>
      </c>
      <c r="H1460" t="str">
        <f>IF('NEW ACCOUNT'!A1461="","",'NEW ACCOUNT'!H1461)</f>
        <v/>
      </c>
      <c r="I1460" t="str">
        <f>IF('NEW ACCOUNT'!A1461="","",'NEW ACCOUNT'!I1461)</f>
        <v/>
      </c>
      <c r="J1460" t="str">
        <f>IF('NEW ACCOUNT'!A1461="","",'NEW ACCOUNT'!J1461)</f>
        <v/>
      </c>
      <c r="K1460" t="str">
        <f>IFERROR(IF(A1460="","",SUMIF(DB_Savings!$A:$A,A1460,DB_Savings!$F:$F)),"")</f>
        <v/>
      </c>
      <c r="L1460" t="str">
        <f>IFERROR(IF(A1460="","",SUMIF(DB_Withdrawals!$A:$A,A1460,DB_Withdrawals!$G:$G)),"")</f>
        <v/>
      </c>
      <c r="M1460" t="str">
        <f>IFERROR(IF(A1460="","",IFERROR(VALUE(H1460),0)+IFERROR(SUMIF(DB_Savings!$A:$A,A1460,DB_Savings!$F:$F),0)-IFERROR(SUMIF(DB_Withdrawals!$A:$A,A1460,DB_Withdrawals!$G:$G),0)),"")</f>
        <v/>
      </c>
      <c r="N1460" t="str">
        <f>IFERROR(IF(A1460="","",MAX(0,M1460-System_Config!$B$9)),"")</f>
        <v/>
      </c>
    </row>
    <row r="1461" spans="1:14" ht="15" customHeight="1" x14ac:dyDescent="0.25">
      <c r="A1461" t="str">
        <f>'NEW ACCOUNT'!A1462</f>
        <v/>
      </c>
      <c r="B1461" t="str">
        <f>IF('NEW ACCOUNT'!A1462="","",'NEW ACCOUNT'!B1462)</f>
        <v/>
      </c>
      <c r="C1461" t="str">
        <f>IF('NEW ACCOUNT'!A1462="","",'NEW ACCOUNT'!C1462)</f>
        <v/>
      </c>
      <c r="D1461" t="str">
        <f>IF('NEW ACCOUNT'!A1462="","",'NEW ACCOUNT'!D1462)</f>
        <v/>
      </c>
      <c r="E1461" t="str">
        <f>IF('NEW ACCOUNT'!A1462="","",'NEW ACCOUNT'!E1462)</f>
        <v/>
      </c>
      <c r="F1461" t="str">
        <f>IF('NEW ACCOUNT'!A1462="","",'NEW ACCOUNT'!F1462)</f>
        <v/>
      </c>
      <c r="G1461" t="str">
        <f>IF('NEW ACCOUNT'!A1462="","",'NEW ACCOUNT'!G1462)</f>
        <v/>
      </c>
      <c r="H1461" t="str">
        <f>IF('NEW ACCOUNT'!A1462="","",'NEW ACCOUNT'!H1462)</f>
        <v/>
      </c>
      <c r="I1461" t="str">
        <f>IF('NEW ACCOUNT'!A1462="","",'NEW ACCOUNT'!I1462)</f>
        <v/>
      </c>
      <c r="J1461" t="str">
        <f>IF('NEW ACCOUNT'!A1462="","",'NEW ACCOUNT'!J1462)</f>
        <v/>
      </c>
      <c r="K1461" t="str">
        <f>IFERROR(IF(A1461="","",SUMIF(DB_Savings!$A:$A,A1461,DB_Savings!$F:$F)),"")</f>
        <v/>
      </c>
      <c r="L1461" t="str">
        <f>IFERROR(IF(A1461="","",SUMIF(DB_Withdrawals!$A:$A,A1461,DB_Withdrawals!$G:$G)),"")</f>
        <v/>
      </c>
      <c r="M1461" t="str">
        <f>IFERROR(IF(A1461="","",IFERROR(VALUE(H1461),0)+IFERROR(SUMIF(DB_Savings!$A:$A,A1461,DB_Savings!$F:$F),0)-IFERROR(SUMIF(DB_Withdrawals!$A:$A,A1461,DB_Withdrawals!$G:$G),0)),"")</f>
        <v/>
      </c>
      <c r="N1461" t="str">
        <f>IFERROR(IF(A1461="","",MAX(0,M1461-System_Config!$B$9)),"")</f>
        <v/>
      </c>
    </row>
    <row r="1462" spans="1:14" ht="15" customHeight="1" x14ac:dyDescent="0.25">
      <c r="A1462" t="str">
        <f>'NEW ACCOUNT'!A1463</f>
        <v/>
      </c>
      <c r="B1462" t="str">
        <f>IF('NEW ACCOUNT'!A1463="","",'NEW ACCOUNT'!B1463)</f>
        <v/>
      </c>
      <c r="C1462" t="str">
        <f>IF('NEW ACCOUNT'!A1463="","",'NEW ACCOUNT'!C1463)</f>
        <v/>
      </c>
      <c r="D1462" t="str">
        <f>IF('NEW ACCOUNT'!A1463="","",'NEW ACCOUNT'!D1463)</f>
        <v/>
      </c>
      <c r="E1462" t="str">
        <f>IF('NEW ACCOUNT'!A1463="","",'NEW ACCOUNT'!E1463)</f>
        <v/>
      </c>
      <c r="F1462" t="str">
        <f>IF('NEW ACCOUNT'!A1463="","",'NEW ACCOUNT'!F1463)</f>
        <v/>
      </c>
      <c r="G1462" t="str">
        <f>IF('NEW ACCOUNT'!A1463="","",'NEW ACCOUNT'!G1463)</f>
        <v/>
      </c>
      <c r="H1462" t="str">
        <f>IF('NEW ACCOUNT'!A1463="","",'NEW ACCOUNT'!H1463)</f>
        <v/>
      </c>
      <c r="I1462" t="str">
        <f>IF('NEW ACCOUNT'!A1463="","",'NEW ACCOUNT'!I1463)</f>
        <v/>
      </c>
      <c r="J1462" t="str">
        <f>IF('NEW ACCOUNT'!A1463="","",'NEW ACCOUNT'!J1463)</f>
        <v/>
      </c>
      <c r="K1462" t="str">
        <f>IFERROR(IF(A1462="","",SUMIF(DB_Savings!$A:$A,A1462,DB_Savings!$F:$F)),"")</f>
        <v/>
      </c>
      <c r="L1462" t="str">
        <f>IFERROR(IF(A1462="","",SUMIF(DB_Withdrawals!$A:$A,A1462,DB_Withdrawals!$G:$G)),"")</f>
        <v/>
      </c>
      <c r="M1462" t="str">
        <f>IFERROR(IF(A1462="","",IFERROR(VALUE(H1462),0)+IFERROR(SUMIF(DB_Savings!$A:$A,A1462,DB_Savings!$F:$F),0)-IFERROR(SUMIF(DB_Withdrawals!$A:$A,A1462,DB_Withdrawals!$G:$G),0)),"")</f>
        <v/>
      </c>
      <c r="N1462" t="str">
        <f>IFERROR(IF(A1462="","",MAX(0,M1462-System_Config!$B$9)),"")</f>
        <v/>
      </c>
    </row>
    <row r="1463" spans="1:14" ht="15" customHeight="1" x14ac:dyDescent="0.25">
      <c r="A1463" t="str">
        <f>'NEW ACCOUNT'!A1464</f>
        <v/>
      </c>
      <c r="B1463" t="str">
        <f>IF('NEW ACCOUNT'!A1464="","",'NEW ACCOUNT'!B1464)</f>
        <v/>
      </c>
      <c r="C1463" t="str">
        <f>IF('NEW ACCOUNT'!A1464="","",'NEW ACCOUNT'!C1464)</f>
        <v/>
      </c>
      <c r="D1463" t="str">
        <f>IF('NEW ACCOUNT'!A1464="","",'NEW ACCOUNT'!D1464)</f>
        <v/>
      </c>
      <c r="E1463" t="str">
        <f>IF('NEW ACCOUNT'!A1464="","",'NEW ACCOUNT'!E1464)</f>
        <v/>
      </c>
      <c r="F1463" t="str">
        <f>IF('NEW ACCOUNT'!A1464="","",'NEW ACCOUNT'!F1464)</f>
        <v/>
      </c>
      <c r="G1463" t="str">
        <f>IF('NEW ACCOUNT'!A1464="","",'NEW ACCOUNT'!G1464)</f>
        <v/>
      </c>
      <c r="H1463" t="str">
        <f>IF('NEW ACCOUNT'!A1464="","",'NEW ACCOUNT'!H1464)</f>
        <v/>
      </c>
      <c r="I1463" t="str">
        <f>IF('NEW ACCOUNT'!A1464="","",'NEW ACCOUNT'!I1464)</f>
        <v/>
      </c>
      <c r="J1463" t="str">
        <f>IF('NEW ACCOUNT'!A1464="","",'NEW ACCOUNT'!J1464)</f>
        <v/>
      </c>
      <c r="K1463" t="str">
        <f>IFERROR(IF(A1463="","",SUMIF(DB_Savings!$A:$A,A1463,DB_Savings!$F:$F)),"")</f>
        <v/>
      </c>
      <c r="L1463" t="str">
        <f>IFERROR(IF(A1463="","",SUMIF(DB_Withdrawals!$A:$A,A1463,DB_Withdrawals!$G:$G)),"")</f>
        <v/>
      </c>
      <c r="M1463" t="str">
        <f>IFERROR(IF(A1463="","",IFERROR(VALUE(H1463),0)+IFERROR(SUMIF(DB_Savings!$A:$A,A1463,DB_Savings!$F:$F),0)-IFERROR(SUMIF(DB_Withdrawals!$A:$A,A1463,DB_Withdrawals!$G:$G),0)),"")</f>
        <v/>
      </c>
      <c r="N1463" t="str">
        <f>IFERROR(IF(A1463="","",MAX(0,M1463-System_Config!$B$9)),"")</f>
        <v/>
      </c>
    </row>
    <row r="1464" spans="1:14" ht="15" customHeight="1" x14ac:dyDescent="0.25">
      <c r="A1464" t="str">
        <f>'NEW ACCOUNT'!A1465</f>
        <v/>
      </c>
      <c r="B1464" t="str">
        <f>IF('NEW ACCOUNT'!A1465="","",'NEW ACCOUNT'!B1465)</f>
        <v/>
      </c>
      <c r="C1464" t="str">
        <f>IF('NEW ACCOUNT'!A1465="","",'NEW ACCOUNT'!C1465)</f>
        <v/>
      </c>
      <c r="D1464" t="str">
        <f>IF('NEW ACCOUNT'!A1465="","",'NEW ACCOUNT'!D1465)</f>
        <v/>
      </c>
      <c r="E1464" t="str">
        <f>IF('NEW ACCOUNT'!A1465="","",'NEW ACCOUNT'!E1465)</f>
        <v/>
      </c>
      <c r="F1464" t="str">
        <f>IF('NEW ACCOUNT'!A1465="","",'NEW ACCOUNT'!F1465)</f>
        <v/>
      </c>
      <c r="G1464" t="str">
        <f>IF('NEW ACCOUNT'!A1465="","",'NEW ACCOUNT'!G1465)</f>
        <v/>
      </c>
      <c r="H1464" t="str">
        <f>IF('NEW ACCOUNT'!A1465="","",'NEW ACCOUNT'!H1465)</f>
        <v/>
      </c>
      <c r="I1464" t="str">
        <f>IF('NEW ACCOUNT'!A1465="","",'NEW ACCOUNT'!I1465)</f>
        <v/>
      </c>
      <c r="J1464" t="str">
        <f>IF('NEW ACCOUNT'!A1465="","",'NEW ACCOUNT'!J1465)</f>
        <v/>
      </c>
      <c r="K1464" t="str">
        <f>IFERROR(IF(A1464="","",SUMIF(DB_Savings!$A:$A,A1464,DB_Savings!$F:$F)),"")</f>
        <v/>
      </c>
      <c r="L1464" t="str">
        <f>IFERROR(IF(A1464="","",SUMIF(DB_Withdrawals!$A:$A,A1464,DB_Withdrawals!$G:$G)),"")</f>
        <v/>
      </c>
      <c r="M1464" t="str">
        <f>IFERROR(IF(A1464="","",IFERROR(VALUE(H1464),0)+IFERROR(SUMIF(DB_Savings!$A:$A,A1464,DB_Savings!$F:$F),0)-IFERROR(SUMIF(DB_Withdrawals!$A:$A,A1464,DB_Withdrawals!$G:$G),0)),"")</f>
        <v/>
      </c>
      <c r="N1464" t="str">
        <f>IFERROR(IF(A1464="","",MAX(0,M1464-System_Config!$B$9)),"")</f>
        <v/>
      </c>
    </row>
    <row r="1465" spans="1:14" ht="15" customHeight="1" x14ac:dyDescent="0.25">
      <c r="A1465" t="str">
        <f>'NEW ACCOUNT'!A1466</f>
        <v/>
      </c>
      <c r="B1465" t="str">
        <f>IF('NEW ACCOUNT'!A1466="","",'NEW ACCOUNT'!B1466)</f>
        <v/>
      </c>
      <c r="C1465" t="str">
        <f>IF('NEW ACCOUNT'!A1466="","",'NEW ACCOUNT'!C1466)</f>
        <v/>
      </c>
      <c r="D1465" t="str">
        <f>IF('NEW ACCOUNT'!A1466="","",'NEW ACCOUNT'!D1466)</f>
        <v/>
      </c>
      <c r="E1465" t="str">
        <f>IF('NEW ACCOUNT'!A1466="","",'NEW ACCOUNT'!E1466)</f>
        <v/>
      </c>
      <c r="F1465" t="str">
        <f>IF('NEW ACCOUNT'!A1466="","",'NEW ACCOUNT'!F1466)</f>
        <v/>
      </c>
      <c r="G1465" t="str">
        <f>IF('NEW ACCOUNT'!A1466="","",'NEW ACCOUNT'!G1466)</f>
        <v/>
      </c>
      <c r="H1465" t="str">
        <f>IF('NEW ACCOUNT'!A1466="","",'NEW ACCOUNT'!H1466)</f>
        <v/>
      </c>
      <c r="I1465" t="str">
        <f>IF('NEW ACCOUNT'!A1466="","",'NEW ACCOUNT'!I1466)</f>
        <v/>
      </c>
      <c r="J1465" t="str">
        <f>IF('NEW ACCOUNT'!A1466="","",'NEW ACCOUNT'!J1466)</f>
        <v/>
      </c>
      <c r="K1465" t="str">
        <f>IFERROR(IF(A1465="","",SUMIF(DB_Savings!$A:$A,A1465,DB_Savings!$F:$F)),"")</f>
        <v/>
      </c>
      <c r="L1465" t="str">
        <f>IFERROR(IF(A1465="","",SUMIF(DB_Withdrawals!$A:$A,A1465,DB_Withdrawals!$G:$G)),"")</f>
        <v/>
      </c>
      <c r="M1465" t="str">
        <f>IFERROR(IF(A1465="","",IFERROR(VALUE(H1465),0)+IFERROR(SUMIF(DB_Savings!$A:$A,A1465,DB_Savings!$F:$F),0)-IFERROR(SUMIF(DB_Withdrawals!$A:$A,A1465,DB_Withdrawals!$G:$G),0)),"")</f>
        <v/>
      </c>
      <c r="N1465" t="str">
        <f>IFERROR(IF(A1465="","",MAX(0,M1465-System_Config!$B$9)),"")</f>
        <v/>
      </c>
    </row>
    <row r="1466" spans="1:14" ht="15" customHeight="1" x14ac:dyDescent="0.25">
      <c r="A1466" t="str">
        <f>'NEW ACCOUNT'!A1467</f>
        <v/>
      </c>
      <c r="B1466" t="str">
        <f>IF('NEW ACCOUNT'!A1467="","",'NEW ACCOUNT'!B1467)</f>
        <v/>
      </c>
      <c r="C1466" t="str">
        <f>IF('NEW ACCOUNT'!A1467="","",'NEW ACCOUNT'!C1467)</f>
        <v/>
      </c>
      <c r="D1466" t="str">
        <f>IF('NEW ACCOUNT'!A1467="","",'NEW ACCOUNT'!D1467)</f>
        <v/>
      </c>
      <c r="E1466" t="str">
        <f>IF('NEW ACCOUNT'!A1467="","",'NEW ACCOUNT'!E1467)</f>
        <v/>
      </c>
      <c r="F1466" t="str">
        <f>IF('NEW ACCOUNT'!A1467="","",'NEW ACCOUNT'!F1467)</f>
        <v/>
      </c>
      <c r="G1466" t="str">
        <f>IF('NEW ACCOUNT'!A1467="","",'NEW ACCOUNT'!G1467)</f>
        <v/>
      </c>
      <c r="H1466" t="str">
        <f>IF('NEW ACCOUNT'!A1467="","",'NEW ACCOUNT'!H1467)</f>
        <v/>
      </c>
      <c r="I1466" t="str">
        <f>IF('NEW ACCOUNT'!A1467="","",'NEW ACCOUNT'!I1467)</f>
        <v/>
      </c>
      <c r="J1466" t="str">
        <f>IF('NEW ACCOUNT'!A1467="","",'NEW ACCOUNT'!J1467)</f>
        <v/>
      </c>
      <c r="K1466" t="str">
        <f>IFERROR(IF(A1466="","",SUMIF(DB_Savings!$A:$A,A1466,DB_Savings!$F:$F)),"")</f>
        <v/>
      </c>
      <c r="L1466" t="str">
        <f>IFERROR(IF(A1466="","",SUMIF(DB_Withdrawals!$A:$A,A1466,DB_Withdrawals!$G:$G)),"")</f>
        <v/>
      </c>
      <c r="M1466" t="str">
        <f>IFERROR(IF(A1466="","",IFERROR(VALUE(H1466),0)+IFERROR(SUMIF(DB_Savings!$A:$A,A1466,DB_Savings!$F:$F),0)-IFERROR(SUMIF(DB_Withdrawals!$A:$A,A1466,DB_Withdrawals!$G:$G),0)),"")</f>
        <v/>
      </c>
      <c r="N1466" t="str">
        <f>IFERROR(IF(A1466="","",MAX(0,M1466-System_Config!$B$9)),"")</f>
        <v/>
      </c>
    </row>
    <row r="1467" spans="1:14" ht="15" customHeight="1" x14ac:dyDescent="0.25">
      <c r="A1467" t="str">
        <f>'NEW ACCOUNT'!A1468</f>
        <v/>
      </c>
      <c r="B1467" t="str">
        <f>IF('NEW ACCOUNT'!A1468="","",'NEW ACCOUNT'!B1468)</f>
        <v/>
      </c>
      <c r="C1467" t="str">
        <f>IF('NEW ACCOUNT'!A1468="","",'NEW ACCOUNT'!C1468)</f>
        <v/>
      </c>
      <c r="D1467" t="str">
        <f>IF('NEW ACCOUNT'!A1468="","",'NEW ACCOUNT'!D1468)</f>
        <v/>
      </c>
      <c r="E1467" t="str">
        <f>IF('NEW ACCOUNT'!A1468="","",'NEW ACCOUNT'!E1468)</f>
        <v/>
      </c>
      <c r="F1467" t="str">
        <f>IF('NEW ACCOUNT'!A1468="","",'NEW ACCOUNT'!F1468)</f>
        <v/>
      </c>
      <c r="G1467" t="str">
        <f>IF('NEW ACCOUNT'!A1468="","",'NEW ACCOUNT'!G1468)</f>
        <v/>
      </c>
      <c r="H1467" t="str">
        <f>IF('NEW ACCOUNT'!A1468="","",'NEW ACCOUNT'!H1468)</f>
        <v/>
      </c>
      <c r="I1467" t="str">
        <f>IF('NEW ACCOUNT'!A1468="","",'NEW ACCOUNT'!I1468)</f>
        <v/>
      </c>
      <c r="J1467" t="str">
        <f>IF('NEW ACCOUNT'!A1468="","",'NEW ACCOUNT'!J1468)</f>
        <v/>
      </c>
      <c r="K1467" t="str">
        <f>IFERROR(IF(A1467="","",SUMIF(DB_Savings!$A:$A,A1467,DB_Savings!$F:$F)),"")</f>
        <v/>
      </c>
      <c r="L1467" t="str">
        <f>IFERROR(IF(A1467="","",SUMIF(DB_Withdrawals!$A:$A,A1467,DB_Withdrawals!$G:$G)),"")</f>
        <v/>
      </c>
      <c r="M1467" t="str">
        <f>IFERROR(IF(A1467="","",IFERROR(VALUE(H1467),0)+IFERROR(SUMIF(DB_Savings!$A:$A,A1467,DB_Savings!$F:$F),0)-IFERROR(SUMIF(DB_Withdrawals!$A:$A,A1467,DB_Withdrawals!$G:$G),0)),"")</f>
        <v/>
      </c>
      <c r="N1467" t="str">
        <f>IFERROR(IF(A1467="","",MAX(0,M1467-System_Config!$B$9)),"")</f>
        <v/>
      </c>
    </row>
    <row r="1468" spans="1:14" ht="15" customHeight="1" x14ac:dyDescent="0.25">
      <c r="A1468" t="str">
        <f>'NEW ACCOUNT'!A1469</f>
        <v/>
      </c>
      <c r="B1468" t="str">
        <f>IF('NEW ACCOUNT'!A1469="","",'NEW ACCOUNT'!B1469)</f>
        <v/>
      </c>
      <c r="C1468" t="str">
        <f>IF('NEW ACCOUNT'!A1469="","",'NEW ACCOUNT'!C1469)</f>
        <v/>
      </c>
      <c r="D1468" t="str">
        <f>IF('NEW ACCOUNT'!A1469="","",'NEW ACCOUNT'!D1469)</f>
        <v/>
      </c>
      <c r="E1468" t="str">
        <f>IF('NEW ACCOUNT'!A1469="","",'NEW ACCOUNT'!E1469)</f>
        <v/>
      </c>
      <c r="F1468" t="str">
        <f>IF('NEW ACCOUNT'!A1469="","",'NEW ACCOUNT'!F1469)</f>
        <v/>
      </c>
      <c r="G1468" t="str">
        <f>IF('NEW ACCOUNT'!A1469="","",'NEW ACCOUNT'!G1469)</f>
        <v/>
      </c>
      <c r="H1468" t="str">
        <f>IF('NEW ACCOUNT'!A1469="","",'NEW ACCOUNT'!H1469)</f>
        <v/>
      </c>
      <c r="I1468" t="str">
        <f>IF('NEW ACCOUNT'!A1469="","",'NEW ACCOUNT'!I1469)</f>
        <v/>
      </c>
      <c r="J1468" t="str">
        <f>IF('NEW ACCOUNT'!A1469="","",'NEW ACCOUNT'!J1469)</f>
        <v/>
      </c>
      <c r="K1468" t="str">
        <f>IFERROR(IF(A1468="","",SUMIF(DB_Savings!$A:$A,A1468,DB_Savings!$F:$F)),"")</f>
        <v/>
      </c>
      <c r="L1468" t="str">
        <f>IFERROR(IF(A1468="","",SUMIF(DB_Withdrawals!$A:$A,A1468,DB_Withdrawals!$G:$G)),"")</f>
        <v/>
      </c>
      <c r="M1468" t="str">
        <f>IFERROR(IF(A1468="","",IFERROR(VALUE(H1468),0)+IFERROR(SUMIF(DB_Savings!$A:$A,A1468,DB_Savings!$F:$F),0)-IFERROR(SUMIF(DB_Withdrawals!$A:$A,A1468,DB_Withdrawals!$G:$G),0)),"")</f>
        <v/>
      </c>
      <c r="N1468" t="str">
        <f>IFERROR(IF(A1468="","",MAX(0,M1468-System_Config!$B$9)),"")</f>
        <v/>
      </c>
    </row>
    <row r="1469" spans="1:14" ht="15" customHeight="1" x14ac:dyDescent="0.25">
      <c r="A1469" t="str">
        <f>'NEW ACCOUNT'!A1470</f>
        <v/>
      </c>
      <c r="B1469" t="str">
        <f>IF('NEW ACCOUNT'!A1470="","",'NEW ACCOUNT'!B1470)</f>
        <v/>
      </c>
      <c r="C1469" t="str">
        <f>IF('NEW ACCOUNT'!A1470="","",'NEW ACCOUNT'!C1470)</f>
        <v/>
      </c>
      <c r="D1469" t="str">
        <f>IF('NEW ACCOUNT'!A1470="","",'NEW ACCOUNT'!D1470)</f>
        <v/>
      </c>
      <c r="E1469" t="str">
        <f>IF('NEW ACCOUNT'!A1470="","",'NEW ACCOUNT'!E1470)</f>
        <v/>
      </c>
      <c r="F1469" t="str">
        <f>IF('NEW ACCOUNT'!A1470="","",'NEW ACCOUNT'!F1470)</f>
        <v/>
      </c>
      <c r="G1469" t="str">
        <f>IF('NEW ACCOUNT'!A1470="","",'NEW ACCOUNT'!G1470)</f>
        <v/>
      </c>
      <c r="H1469" t="str">
        <f>IF('NEW ACCOUNT'!A1470="","",'NEW ACCOUNT'!H1470)</f>
        <v/>
      </c>
      <c r="I1469" t="str">
        <f>IF('NEW ACCOUNT'!A1470="","",'NEW ACCOUNT'!I1470)</f>
        <v/>
      </c>
      <c r="J1469" t="str">
        <f>IF('NEW ACCOUNT'!A1470="","",'NEW ACCOUNT'!J1470)</f>
        <v/>
      </c>
      <c r="K1469" t="str">
        <f>IFERROR(IF(A1469="","",SUMIF(DB_Savings!$A:$A,A1469,DB_Savings!$F:$F)),"")</f>
        <v/>
      </c>
      <c r="L1469" t="str">
        <f>IFERROR(IF(A1469="","",SUMIF(DB_Withdrawals!$A:$A,A1469,DB_Withdrawals!$G:$G)),"")</f>
        <v/>
      </c>
      <c r="M1469" t="str">
        <f>IFERROR(IF(A1469="","",IFERROR(VALUE(H1469),0)+IFERROR(SUMIF(DB_Savings!$A:$A,A1469,DB_Savings!$F:$F),0)-IFERROR(SUMIF(DB_Withdrawals!$A:$A,A1469,DB_Withdrawals!$G:$G),0)),"")</f>
        <v/>
      </c>
      <c r="N1469" t="str">
        <f>IFERROR(IF(A1469="","",MAX(0,M1469-System_Config!$B$9)),"")</f>
        <v/>
      </c>
    </row>
    <row r="1470" spans="1:14" ht="15" customHeight="1" x14ac:dyDescent="0.25">
      <c r="A1470" t="str">
        <f>'NEW ACCOUNT'!A1471</f>
        <v/>
      </c>
      <c r="B1470" t="str">
        <f>IF('NEW ACCOUNT'!A1471="","",'NEW ACCOUNT'!B1471)</f>
        <v/>
      </c>
      <c r="C1470" t="str">
        <f>IF('NEW ACCOUNT'!A1471="","",'NEW ACCOUNT'!C1471)</f>
        <v/>
      </c>
      <c r="D1470" t="str">
        <f>IF('NEW ACCOUNT'!A1471="","",'NEW ACCOUNT'!D1471)</f>
        <v/>
      </c>
      <c r="E1470" t="str">
        <f>IF('NEW ACCOUNT'!A1471="","",'NEW ACCOUNT'!E1471)</f>
        <v/>
      </c>
      <c r="F1470" t="str">
        <f>IF('NEW ACCOUNT'!A1471="","",'NEW ACCOUNT'!F1471)</f>
        <v/>
      </c>
      <c r="G1470" t="str">
        <f>IF('NEW ACCOUNT'!A1471="","",'NEW ACCOUNT'!G1471)</f>
        <v/>
      </c>
      <c r="H1470" t="str">
        <f>IF('NEW ACCOUNT'!A1471="","",'NEW ACCOUNT'!H1471)</f>
        <v/>
      </c>
      <c r="I1470" t="str">
        <f>IF('NEW ACCOUNT'!A1471="","",'NEW ACCOUNT'!I1471)</f>
        <v/>
      </c>
      <c r="J1470" t="str">
        <f>IF('NEW ACCOUNT'!A1471="","",'NEW ACCOUNT'!J1471)</f>
        <v/>
      </c>
      <c r="K1470" t="str">
        <f>IFERROR(IF(A1470="","",SUMIF(DB_Savings!$A:$A,A1470,DB_Savings!$F:$F)),"")</f>
        <v/>
      </c>
      <c r="L1470" t="str">
        <f>IFERROR(IF(A1470="","",SUMIF(DB_Withdrawals!$A:$A,A1470,DB_Withdrawals!$G:$G)),"")</f>
        <v/>
      </c>
      <c r="M1470" t="str">
        <f>IFERROR(IF(A1470="","",IFERROR(VALUE(H1470),0)+IFERROR(SUMIF(DB_Savings!$A:$A,A1470,DB_Savings!$F:$F),0)-IFERROR(SUMIF(DB_Withdrawals!$A:$A,A1470,DB_Withdrawals!$G:$G),0)),"")</f>
        <v/>
      </c>
      <c r="N1470" t="str">
        <f>IFERROR(IF(A1470="","",MAX(0,M1470-System_Config!$B$9)),"")</f>
        <v/>
      </c>
    </row>
    <row r="1471" spans="1:14" ht="15" customHeight="1" x14ac:dyDescent="0.25">
      <c r="A1471" t="str">
        <f>'NEW ACCOUNT'!A1472</f>
        <v/>
      </c>
      <c r="B1471" t="str">
        <f>IF('NEW ACCOUNT'!A1472="","",'NEW ACCOUNT'!B1472)</f>
        <v/>
      </c>
      <c r="C1471" t="str">
        <f>IF('NEW ACCOUNT'!A1472="","",'NEW ACCOUNT'!C1472)</f>
        <v/>
      </c>
      <c r="D1471" t="str">
        <f>IF('NEW ACCOUNT'!A1472="","",'NEW ACCOUNT'!D1472)</f>
        <v/>
      </c>
      <c r="E1471" t="str">
        <f>IF('NEW ACCOUNT'!A1472="","",'NEW ACCOUNT'!E1472)</f>
        <v/>
      </c>
      <c r="F1471" t="str">
        <f>IF('NEW ACCOUNT'!A1472="","",'NEW ACCOUNT'!F1472)</f>
        <v/>
      </c>
      <c r="G1471" t="str">
        <f>IF('NEW ACCOUNT'!A1472="","",'NEW ACCOUNT'!G1472)</f>
        <v/>
      </c>
      <c r="H1471" t="str">
        <f>IF('NEW ACCOUNT'!A1472="","",'NEW ACCOUNT'!H1472)</f>
        <v/>
      </c>
      <c r="I1471" t="str">
        <f>IF('NEW ACCOUNT'!A1472="","",'NEW ACCOUNT'!I1472)</f>
        <v/>
      </c>
      <c r="J1471" t="str">
        <f>IF('NEW ACCOUNT'!A1472="","",'NEW ACCOUNT'!J1472)</f>
        <v/>
      </c>
      <c r="K1471" t="str">
        <f>IFERROR(IF(A1471="","",SUMIF(DB_Savings!$A:$A,A1471,DB_Savings!$F:$F)),"")</f>
        <v/>
      </c>
      <c r="L1471" t="str">
        <f>IFERROR(IF(A1471="","",SUMIF(DB_Withdrawals!$A:$A,A1471,DB_Withdrawals!$G:$G)),"")</f>
        <v/>
      </c>
      <c r="M1471" t="str">
        <f>IFERROR(IF(A1471="","",IFERROR(VALUE(H1471),0)+IFERROR(SUMIF(DB_Savings!$A:$A,A1471,DB_Savings!$F:$F),0)-IFERROR(SUMIF(DB_Withdrawals!$A:$A,A1471,DB_Withdrawals!$G:$G),0)),"")</f>
        <v/>
      </c>
      <c r="N1471" t="str">
        <f>IFERROR(IF(A1471="","",MAX(0,M1471-System_Config!$B$9)),"")</f>
        <v/>
      </c>
    </row>
    <row r="1472" spans="1:14" ht="15" customHeight="1" x14ac:dyDescent="0.25">
      <c r="A1472" t="str">
        <f>'NEW ACCOUNT'!A1473</f>
        <v/>
      </c>
      <c r="B1472" t="str">
        <f>IF('NEW ACCOUNT'!A1473="","",'NEW ACCOUNT'!B1473)</f>
        <v/>
      </c>
      <c r="C1472" t="str">
        <f>IF('NEW ACCOUNT'!A1473="","",'NEW ACCOUNT'!C1473)</f>
        <v/>
      </c>
      <c r="D1472" t="str">
        <f>IF('NEW ACCOUNT'!A1473="","",'NEW ACCOUNT'!D1473)</f>
        <v/>
      </c>
      <c r="E1472" t="str">
        <f>IF('NEW ACCOUNT'!A1473="","",'NEW ACCOUNT'!E1473)</f>
        <v/>
      </c>
      <c r="F1472" t="str">
        <f>IF('NEW ACCOUNT'!A1473="","",'NEW ACCOUNT'!F1473)</f>
        <v/>
      </c>
      <c r="G1472" t="str">
        <f>IF('NEW ACCOUNT'!A1473="","",'NEW ACCOUNT'!G1473)</f>
        <v/>
      </c>
      <c r="H1472" t="str">
        <f>IF('NEW ACCOUNT'!A1473="","",'NEW ACCOUNT'!H1473)</f>
        <v/>
      </c>
      <c r="I1472" t="str">
        <f>IF('NEW ACCOUNT'!A1473="","",'NEW ACCOUNT'!I1473)</f>
        <v/>
      </c>
      <c r="J1472" t="str">
        <f>IF('NEW ACCOUNT'!A1473="","",'NEW ACCOUNT'!J1473)</f>
        <v/>
      </c>
      <c r="K1472" t="str">
        <f>IFERROR(IF(A1472="","",SUMIF(DB_Savings!$A:$A,A1472,DB_Savings!$F:$F)),"")</f>
        <v/>
      </c>
      <c r="L1472" t="str">
        <f>IFERROR(IF(A1472="","",SUMIF(DB_Withdrawals!$A:$A,A1472,DB_Withdrawals!$G:$G)),"")</f>
        <v/>
      </c>
      <c r="M1472" t="str">
        <f>IFERROR(IF(A1472="","",IFERROR(VALUE(H1472),0)+IFERROR(SUMIF(DB_Savings!$A:$A,A1472,DB_Savings!$F:$F),0)-IFERROR(SUMIF(DB_Withdrawals!$A:$A,A1472,DB_Withdrawals!$G:$G),0)),"")</f>
        <v/>
      </c>
      <c r="N1472" t="str">
        <f>IFERROR(IF(A1472="","",MAX(0,M1472-System_Config!$B$9)),"")</f>
        <v/>
      </c>
    </row>
    <row r="1473" spans="1:14" ht="15" customHeight="1" x14ac:dyDescent="0.25">
      <c r="A1473" t="str">
        <f>'NEW ACCOUNT'!A1474</f>
        <v/>
      </c>
      <c r="B1473" t="str">
        <f>IF('NEW ACCOUNT'!A1474="","",'NEW ACCOUNT'!B1474)</f>
        <v/>
      </c>
      <c r="C1473" t="str">
        <f>IF('NEW ACCOUNT'!A1474="","",'NEW ACCOUNT'!C1474)</f>
        <v/>
      </c>
      <c r="D1473" t="str">
        <f>IF('NEW ACCOUNT'!A1474="","",'NEW ACCOUNT'!D1474)</f>
        <v/>
      </c>
      <c r="E1473" t="str">
        <f>IF('NEW ACCOUNT'!A1474="","",'NEW ACCOUNT'!E1474)</f>
        <v/>
      </c>
      <c r="F1473" t="str">
        <f>IF('NEW ACCOUNT'!A1474="","",'NEW ACCOUNT'!F1474)</f>
        <v/>
      </c>
      <c r="G1473" t="str">
        <f>IF('NEW ACCOUNT'!A1474="","",'NEW ACCOUNT'!G1474)</f>
        <v/>
      </c>
      <c r="H1473" t="str">
        <f>IF('NEW ACCOUNT'!A1474="","",'NEW ACCOUNT'!H1474)</f>
        <v/>
      </c>
      <c r="I1473" t="str">
        <f>IF('NEW ACCOUNT'!A1474="","",'NEW ACCOUNT'!I1474)</f>
        <v/>
      </c>
      <c r="J1473" t="str">
        <f>IF('NEW ACCOUNT'!A1474="","",'NEW ACCOUNT'!J1474)</f>
        <v/>
      </c>
      <c r="K1473" t="str">
        <f>IFERROR(IF(A1473="","",SUMIF(DB_Savings!$A:$A,A1473,DB_Savings!$F:$F)),"")</f>
        <v/>
      </c>
      <c r="L1473" t="str">
        <f>IFERROR(IF(A1473="","",SUMIF(DB_Withdrawals!$A:$A,A1473,DB_Withdrawals!$G:$G)),"")</f>
        <v/>
      </c>
      <c r="M1473" t="str">
        <f>IFERROR(IF(A1473="","",IFERROR(VALUE(H1473),0)+IFERROR(SUMIF(DB_Savings!$A:$A,A1473,DB_Savings!$F:$F),0)-IFERROR(SUMIF(DB_Withdrawals!$A:$A,A1473,DB_Withdrawals!$G:$G),0)),"")</f>
        <v/>
      </c>
      <c r="N1473" t="str">
        <f>IFERROR(IF(A1473="","",MAX(0,M1473-System_Config!$B$9)),"")</f>
        <v/>
      </c>
    </row>
    <row r="1474" spans="1:14" ht="15" customHeight="1" x14ac:dyDescent="0.25">
      <c r="A1474" t="str">
        <f>'NEW ACCOUNT'!A1475</f>
        <v/>
      </c>
      <c r="B1474" t="str">
        <f>IF('NEW ACCOUNT'!A1475="","",'NEW ACCOUNT'!B1475)</f>
        <v/>
      </c>
      <c r="C1474" t="str">
        <f>IF('NEW ACCOUNT'!A1475="","",'NEW ACCOUNT'!C1475)</f>
        <v/>
      </c>
      <c r="D1474" t="str">
        <f>IF('NEW ACCOUNT'!A1475="","",'NEW ACCOUNT'!D1475)</f>
        <v/>
      </c>
      <c r="E1474" t="str">
        <f>IF('NEW ACCOUNT'!A1475="","",'NEW ACCOUNT'!E1475)</f>
        <v/>
      </c>
      <c r="F1474" t="str">
        <f>IF('NEW ACCOUNT'!A1475="","",'NEW ACCOUNT'!F1475)</f>
        <v/>
      </c>
      <c r="G1474" t="str">
        <f>IF('NEW ACCOUNT'!A1475="","",'NEW ACCOUNT'!G1475)</f>
        <v/>
      </c>
      <c r="H1474" t="str">
        <f>IF('NEW ACCOUNT'!A1475="","",'NEW ACCOUNT'!H1475)</f>
        <v/>
      </c>
      <c r="I1474" t="str">
        <f>IF('NEW ACCOUNT'!A1475="","",'NEW ACCOUNT'!I1475)</f>
        <v/>
      </c>
      <c r="J1474" t="str">
        <f>IF('NEW ACCOUNT'!A1475="","",'NEW ACCOUNT'!J1475)</f>
        <v/>
      </c>
      <c r="K1474" t="str">
        <f>IFERROR(IF(A1474="","",SUMIF(DB_Savings!$A:$A,A1474,DB_Savings!$F:$F)),"")</f>
        <v/>
      </c>
      <c r="L1474" t="str">
        <f>IFERROR(IF(A1474="","",SUMIF(DB_Withdrawals!$A:$A,A1474,DB_Withdrawals!$G:$G)),"")</f>
        <v/>
      </c>
      <c r="M1474" t="str">
        <f>IFERROR(IF(A1474="","",IFERROR(VALUE(H1474),0)+IFERROR(SUMIF(DB_Savings!$A:$A,A1474,DB_Savings!$F:$F),0)-IFERROR(SUMIF(DB_Withdrawals!$A:$A,A1474,DB_Withdrawals!$G:$G),0)),"")</f>
        <v/>
      </c>
      <c r="N1474" t="str">
        <f>IFERROR(IF(A1474="","",MAX(0,M1474-System_Config!$B$9)),"")</f>
        <v/>
      </c>
    </row>
    <row r="1475" spans="1:14" ht="15" customHeight="1" x14ac:dyDescent="0.25">
      <c r="A1475" t="str">
        <f>'NEW ACCOUNT'!A1476</f>
        <v/>
      </c>
      <c r="B1475" t="str">
        <f>IF('NEW ACCOUNT'!A1476="","",'NEW ACCOUNT'!B1476)</f>
        <v/>
      </c>
      <c r="C1475" t="str">
        <f>IF('NEW ACCOUNT'!A1476="","",'NEW ACCOUNT'!C1476)</f>
        <v/>
      </c>
      <c r="D1475" t="str">
        <f>IF('NEW ACCOUNT'!A1476="","",'NEW ACCOUNT'!D1476)</f>
        <v/>
      </c>
      <c r="E1475" t="str">
        <f>IF('NEW ACCOUNT'!A1476="","",'NEW ACCOUNT'!E1476)</f>
        <v/>
      </c>
      <c r="F1475" t="str">
        <f>IF('NEW ACCOUNT'!A1476="","",'NEW ACCOUNT'!F1476)</f>
        <v/>
      </c>
      <c r="G1475" t="str">
        <f>IF('NEW ACCOUNT'!A1476="","",'NEW ACCOUNT'!G1476)</f>
        <v/>
      </c>
      <c r="H1475" t="str">
        <f>IF('NEW ACCOUNT'!A1476="","",'NEW ACCOUNT'!H1476)</f>
        <v/>
      </c>
      <c r="I1475" t="str">
        <f>IF('NEW ACCOUNT'!A1476="","",'NEW ACCOUNT'!I1476)</f>
        <v/>
      </c>
      <c r="J1475" t="str">
        <f>IF('NEW ACCOUNT'!A1476="","",'NEW ACCOUNT'!J1476)</f>
        <v/>
      </c>
      <c r="K1475" t="str">
        <f>IFERROR(IF(A1475="","",SUMIF(DB_Savings!$A:$A,A1475,DB_Savings!$F:$F)),"")</f>
        <v/>
      </c>
      <c r="L1475" t="str">
        <f>IFERROR(IF(A1475="","",SUMIF(DB_Withdrawals!$A:$A,A1475,DB_Withdrawals!$G:$G)),"")</f>
        <v/>
      </c>
      <c r="M1475" t="str">
        <f>IFERROR(IF(A1475="","",IFERROR(VALUE(H1475),0)+IFERROR(SUMIF(DB_Savings!$A:$A,A1475,DB_Savings!$F:$F),0)-IFERROR(SUMIF(DB_Withdrawals!$A:$A,A1475,DB_Withdrawals!$G:$G),0)),"")</f>
        <v/>
      </c>
      <c r="N1475" t="str">
        <f>IFERROR(IF(A1475="","",MAX(0,M1475-System_Config!$B$9)),"")</f>
        <v/>
      </c>
    </row>
    <row r="1476" spans="1:14" ht="15" customHeight="1" x14ac:dyDescent="0.25">
      <c r="A1476" t="str">
        <f>'NEW ACCOUNT'!A1477</f>
        <v/>
      </c>
      <c r="B1476" t="str">
        <f>IF('NEW ACCOUNT'!A1477="","",'NEW ACCOUNT'!B1477)</f>
        <v/>
      </c>
      <c r="C1476" t="str">
        <f>IF('NEW ACCOUNT'!A1477="","",'NEW ACCOUNT'!C1477)</f>
        <v/>
      </c>
      <c r="D1476" t="str">
        <f>IF('NEW ACCOUNT'!A1477="","",'NEW ACCOUNT'!D1477)</f>
        <v/>
      </c>
      <c r="E1476" t="str">
        <f>IF('NEW ACCOUNT'!A1477="","",'NEW ACCOUNT'!E1477)</f>
        <v/>
      </c>
      <c r="F1476" t="str">
        <f>IF('NEW ACCOUNT'!A1477="","",'NEW ACCOUNT'!F1477)</f>
        <v/>
      </c>
      <c r="G1476" t="str">
        <f>IF('NEW ACCOUNT'!A1477="","",'NEW ACCOUNT'!G1477)</f>
        <v/>
      </c>
      <c r="H1476" t="str">
        <f>IF('NEW ACCOUNT'!A1477="","",'NEW ACCOUNT'!H1477)</f>
        <v/>
      </c>
      <c r="I1476" t="str">
        <f>IF('NEW ACCOUNT'!A1477="","",'NEW ACCOUNT'!I1477)</f>
        <v/>
      </c>
      <c r="J1476" t="str">
        <f>IF('NEW ACCOUNT'!A1477="","",'NEW ACCOUNT'!J1477)</f>
        <v/>
      </c>
      <c r="K1476" t="str">
        <f>IFERROR(IF(A1476="","",SUMIF(DB_Savings!$A:$A,A1476,DB_Savings!$F:$F)),"")</f>
        <v/>
      </c>
      <c r="L1476" t="str">
        <f>IFERROR(IF(A1476="","",SUMIF(DB_Withdrawals!$A:$A,A1476,DB_Withdrawals!$G:$G)),"")</f>
        <v/>
      </c>
      <c r="M1476" t="str">
        <f>IFERROR(IF(A1476="","",IFERROR(VALUE(H1476),0)+IFERROR(SUMIF(DB_Savings!$A:$A,A1476,DB_Savings!$F:$F),0)-IFERROR(SUMIF(DB_Withdrawals!$A:$A,A1476,DB_Withdrawals!$G:$G),0)),"")</f>
        <v/>
      </c>
      <c r="N1476" t="str">
        <f>IFERROR(IF(A1476="","",MAX(0,M1476-System_Config!$B$9)),"")</f>
        <v/>
      </c>
    </row>
    <row r="1477" spans="1:14" ht="15" customHeight="1" x14ac:dyDescent="0.25">
      <c r="A1477" t="str">
        <f>'NEW ACCOUNT'!A1478</f>
        <v/>
      </c>
      <c r="B1477" t="str">
        <f>IF('NEW ACCOUNT'!A1478="","",'NEW ACCOUNT'!B1478)</f>
        <v/>
      </c>
      <c r="C1477" t="str">
        <f>IF('NEW ACCOUNT'!A1478="","",'NEW ACCOUNT'!C1478)</f>
        <v/>
      </c>
      <c r="D1477" t="str">
        <f>IF('NEW ACCOUNT'!A1478="","",'NEW ACCOUNT'!D1478)</f>
        <v/>
      </c>
      <c r="E1477" t="str">
        <f>IF('NEW ACCOUNT'!A1478="","",'NEW ACCOUNT'!E1478)</f>
        <v/>
      </c>
      <c r="F1477" t="str">
        <f>IF('NEW ACCOUNT'!A1478="","",'NEW ACCOUNT'!F1478)</f>
        <v/>
      </c>
      <c r="G1477" t="str">
        <f>IF('NEW ACCOUNT'!A1478="","",'NEW ACCOUNT'!G1478)</f>
        <v/>
      </c>
      <c r="H1477" t="str">
        <f>IF('NEW ACCOUNT'!A1478="","",'NEW ACCOUNT'!H1478)</f>
        <v/>
      </c>
      <c r="I1477" t="str">
        <f>IF('NEW ACCOUNT'!A1478="","",'NEW ACCOUNT'!I1478)</f>
        <v/>
      </c>
      <c r="J1477" t="str">
        <f>IF('NEW ACCOUNT'!A1478="","",'NEW ACCOUNT'!J1478)</f>
        <v/>
      </c>
      <c r="K1477" t="str">
        <f>IFERROR(IF(A1477="","",SUMIF(DB_Savings!$A:$A,A1477,DB_Savings!$F:$F)),"")</f>
        <v/>
      </c>
      <c r="L1477" t="str">
        <f>IFERROR(IF(A1477="","",SUMIF(DB_Withdrawals!$A:$A,A1477,DB_Withdrawals!$G:$G)),"")</f>
        <v/>
      </c>
      <c r="M1477" t="str">
        <f>IFERROR(IF(A1477="","",IFERROR(VALUE(H1477),0)+IFERROR(SUMIF(DB_Savings!$A:$A,A1477,DB_Savings!$F:$F),0)-IFERROR(SUMIF(DB_Withdrawals!$A:$A,A1477,DB_Withdrawals!$G:$G),0)),"")</f>
        <v/>
      </c>
      <c r="N1477" t="str">
        <f>IFERROR(IF(A1477="","",MAX(0,M1477-System_Config!$B$9)),"")</f>
        <v/>
      </c>
    </row>
    <row r="1478" spans="1:14" ht="15" customHeight="1" x14ac:dyDescent="0.25">
      <c r="A1478" t="str">
        <f>'NEW ACCOUNT'!A1479</f>
        <v/>
      </c>
      <c r="B1478" t="str">
        <f>IF('NEW ACCOUNT'!A1479="","",'NEW ACCOUNT'!B1479)</f>
        <v/>
      </c>
      <c r="C1478" t="str">
        <f>IF('NEW ACCOUNT'!A1479="","",'NEW ACCOUNT'!C1479)</f>
        <v/>
      </c>
      <c r="D1478" t="str">
        <f>IF('NEW ACCOUNT'!A1479="","",'NEW ACCOUNT'!D1479)</f>
        <v/>
      </c>
      <c r="E1478" t="str">
        <f>IF('NEW ACCOUNT'!A1479="","",'NEW ACCOUNT'!E1479)</f>
        <v/>
      </c>
      <c r="F1478" t="str">
        <f>IF('NEW ACCOUNT'!A1479="","",'NEW ACCOUNT'!F1479)</f>
        <v/>
      </c>
      <c r="G1478" t="str">
        <f>IF('NEW ACCOUNT'!A1479="","",'NEW ACCOUNT'!G1479)</f>
        <v/>
      </c>
      <c r="H1478" t="str">
        <f>IF('NEW ACCOUNT'!A1479="","",'NEW ACCOUNT'!H1479)</f>
        <v/>
      </c>
      <c r="I1478" t="str">
        <f>IF('NEW ACCOUNT'!A1479="","",'NEW ACCOUNT'!I1479)</f>
        <v/>
      </c>
      <c r="J1478" t="str">
        <f>IF('NEW ACCOUNT'!A1479="","",'NEW ACCOUNT'!J1479)</f>
        <v/>
      </c>
      <c r="K1478" t="str">
        <f>IFERROR(IF(A1478="","",SUMIF(DB_Savings!$A:$A,A1478,DB_Savings!$F:$F)),"")</f>
        <v/>
      </c>
      <c r="L1478" t="str">
        <f>IFERROR(IF(A1478="","",SUMIF(DB_Withdrawals!$A:$A,A1478,DB_Withdrawals!$G:$G)),"")</f>
        <v/>
      </c>
      <c r="M1478" t="str">
        <f>IFERROR(IF(A1478="","",IFERROR(VALUE(H1478),0)+IFERROR(SUMIF(DB_Savings!$A:$A,A1478,DB_Savings!$F:$F),0)-IFERROR(SUMIF(DB_Withdrawals!$A:$A,A1478,DB_Withdrawals!$G:$G),0)),"")</f>
        <v/>
      </c>
      <c r="N1478" t="str">
        <f>IFERROR(IF(A1478="","",MAX(0,M1478-System_Config!$B$9)),"")</f>
        <v/>
      </c>
    </row>
    <row r="1479" spans="1:14" ht="15" customHeight="1" x14ac:dyDescent="0.25">
      <c r="A1479" t="str">
        <f>'NEW ACCOUNT'!A1480</f>
        <v/>
      </c>
      <c r="B1479" t="str">
        <f>IF('NEW ACCOUNT'!A1480="","",'NEW ACCOUNT'!B1480)</f>
        <v/>
      </c>
      <c r="C1479" t="str">
        <f>IF('NEW ACCOUNT'!A1480="","",'NEW ACCOUNT'!C1480)</f>
        <v/>
      </c>
      <c r="D1479" t="str">
        <f>IF('NEW ACCOUNT'!A1480="","",'NEW ACCOUNT'!D1480)</f>
        <v/>
      </c>
      <c r="E1479" t="str">
        <f>IF('NEW ACCOUNT'!A1480="","",'NEW ACCOUNT'!E1480)</f>
        <v/>
      </c>
      <c r="F1479" t="str">
        <f>IF('NEW ACCOUNT'!A1480="","",'NEW ACCOUNT'!F1480)</f>
        <v/>
      </c>
      <c r="G1479" t="str">
        <f>IF('NEW ACCOUNT'!A1480="","",'NEW ACCOUNT'!G1480)</f>
        <v/>
      </c>
      <c r="H1479" t="str">
        <f>IF('NEW ACCOUNT'!A1480="","",'NEW ACCOUNT'!H1480)</f>
        <v/>
      </c>
      <c r="I1479" t="str">
        <f>IF('NEW ACCOUNT'!A1480="","",'NEW ACCOUNT'!I1480)</f>
        <v/>
      </c>
      <c r="J1479" t="str">
        <f>IF('NEW ACCOUNT'!A1480="","",'NEW ACCOUNT'!J1480)</f>
        <v/>
      </c>
      <c r="K1479" t="str">
        <f>IFERROR(IF(A1479="","",SUMIF(DB_Savings!$A:$A,A1479,DB_Savings!$F:$F)),"")</f>
        <v/>
      </c>
      <c r="L1479" t="str">
        <f>IFERROR(IF(A1479="","",SUMIF(DB_Withdrawals!$A:$A,A1479,DB_Withdrawals!$G:$G)),"")</f>
        <v/>
      </c>
      <c r="M1479" t="str">
        <f>IFERROR(IF(A1479="","",IFERROR(VALUE(H1479),0)+IFERROR(SUMIF(DB_Savings!$A:$A,A1479,DB_Savings!$F:$F),0)-IFERROR(SUMIF(DB_Withdrawals!$A:$A,A1479,DB_Withdrawals!$G:$G),0)),"")</f>
        <v/>
      </c>
      <c r="N1479" t="str">
        <f>IFERROR(IF(A1479="","",MAX(0,M1479-System_Config!$B$9)),"")</f>
        <v/>
      </c>
    </row>
    <row r="1480" spans="1:14" ht="15" customHeight="1" x14ac:dyDescent="0.25">
      <c r="A1480" t="str">
        <f>'NEW ACCOUNT'!A1481</f>
        <v/>
      </c>
      <c r="B1480" t="str">
        <f>IF('NEW ACCOUNT'!A1481="","",'NEW ACCOUNT'!B1481)</f>
        <v/>
      </c>
      <c r="C1480" t="str">
        <f>IF('NEW ACCOUNT'!A1481="","",'NEW ACCOUNT'!C1481)</f>
        <v/>
      </c>
      <c r="D1480" t="str">
        <f>IF('NEW ACCOUNT'!A1481="","",'NEW ACCOUNT'!D1481)</f>
        <v/>
      </c>
      <c r="E1480" t="str">
        <f>IF('NEW ACCOUNT'!A1481="","",'NEW ACCOUNT'!E1481)</f>
        <v/>
      </c>
      <c r="F1480" t="str">
        <f>IF('NEW ACCOUNT'!A1481="","",'NEW ACCOUNT'!F1481)</f>
        <v/>
      </c>
      <c r="G1480" t="str">
        <f>IF('NEW ACCOUNT'!A1481="","",'NEW ACCOUNT'!G1481)</f>
        <v/>
      </c>
      <c r="H1480" t="str">
        <f>IF('NEW ACCOUNT'!A1481="","",'NEW ACCOUNT'!H1481)</f>
        <v/>
      </c>
      <c r="I1480" t="str">
        <f>IF('NEW ACCOUNT'!A1481="","",'NEW ACCOUNT'!I1481)</f>
        <v/>
      </c>
      <c r="J1480" t="str">
        <f>IF('NEW ACCOUNT'!A1481="","",'NEW ACCOUNT'!J1481)</f>
        <v/>
      </c>
      <c r="K1480" t="str">
        <f>IFERROR(IF(A1480="","",SUMIF(DB_Savings!$A:$A,A1480,DB_Savings!$F:$F)),"")</f>
        <v/>
      </c>
      <c r="L1480" t="str">
        <f>IFERROR(IF(A1480="","",SUMIF(DB_Withdrawals!$A:$A,A1480,DB_Withdrawals!$G:$G)),"")</f>
        <v/>
      </c>
      <c r="M1480" t="str">
        <f>IFERROR(IF(A1480="","",IFERROR(VALUE(H1480),0)+IFERROR(SUMIF(DB_Savings!$A:$A,A1480,DB_Savings!$F:$F),0)-IFERROR(SUMIF(DB_Withdrawals!$A:$A,A1480,DB_Withdrawals!$G:$G),0)),"")</f>
        <v/>
      </c>
      <c r="N1480" t="str">
        <f>IFERROR(IF(A1480="","",MAX(0,M1480-System_Config!$B$9)),"")</f>
        <v/>
      </c>
    </row>
    <row r="1481" spans="1:14" ht="15" customHeight="1" x14ac:dyDescent="0.25">
      <c r="A1481" t="str">
        <f>'NEW ACCOUNT'!A1482</f>
        <v/>
      </c>
      <c r="B1481" t="str">
        <f>IF('NEW ACCOUNT'!A1482="","",'NEW ACCOUNT'!B1482)</f>
        <v/>
      </c>
      <c r="C1481" t="str">
        <f>IF('NEW ACCOUNT'!A1482="","",'NEW ACCOUNT'!C1482)</f>
        <v/>
      </c>
      <c r="D1481" t="str">
        <f>IF('NEW ACCOUNT'!A1482="","",'NEW ACCOUNT'!D1482)</f>
        <v/>
      </c>
      <c r="E1481" t="str">
        <f>IF('NEW ACCOUNT'!A1482="","",'NEW ACCOUNT'!E1482)</f>
        <v/>
      </c>
      <c r="F1481" t="str">
        <f>IF('NEW ACCOUNT'!A1482="","",'NEW ACCOUNT'!F1482)</f>
        <v/>
      </c>
      <c r="G1481" t="str">
        <f>IF('NEW ACCOUNT'!A1482="","",'NEW ACCOUNT'!G1482)</f>
        <v/>
      </c>
      <c r="H1481" t="str">
        <f>IF('NEW ACCOUNT'!A1482="","",'NEW ACCOUNT'!H1482)</f>
        <v/>
      </c>
      <c r="I1481" t="str">
        <f>IF('NEW ACCOUNT'!A1482="","",'NEW ACCOUNT'!I1482)</f>
        <v/>
      </c>
      <c r="J1481" t="str">
        <f>IF('NEW ACCOUNT'!A1482="","",'NEW ACCOUNT'!J1482)</f>
        <v/>
      </c>
      <c r="K1481" t="str">
        <f>IFERROR(IF(A1481="","",SUMIF(DB_Savings!$A:$A,A1481,DB_Savings!$F:$F)),"")</f>
        <v/>
      </c>
      <c r="L1481" t="str">
        <f>IFERROR(IF(A1481="","",SUMIF(DB_Withdrawals!$A:$A,A1481,DB_Withdrawals!$G:$G)),"")</f>
        <v/>
      </c>
      <c r="M1481" t="str">
        <f>IFERROR(IF(A1481="","",IFERROR(VALUE(H1481),0)+IFERROR(SUMIF(DB_Savings!$A:$A,A1481,DB_Savings!$F:$F),0)-IFERROR(SUMIF(DB_Withdrawals!$A:$A,A1481,DB_Withdrawals!$G:$G),0)),"")</f>
        <v/>
      </c>
      <c r="N1481" t="str">
        <f>IFERROR(IF(A1481="","",MAX(0,M1481-System_Config!$B$9)),"")</f>
        <v/>
      </c>
    </row>
    <row r="1482" spans="1:14" ht="15" customHeight="1" x14ac:dyDescent="0.25">
      <c r="A1482" t="str">
        <f>'NEW ACCOUNT'!A1483</f>
        <v/>
      </c>
      <c r="B1482" t="str">
        <f>IF('NEW ACCOUNT'!A1483="","",'NEW ACCOUNT'!B1483)</f>
        <v/>
      </c>
      <c r="C1482" t="str">
        <f>IF('NEW ACCOUNT'!A1483="","",'NEW ACCOUNT'!C1483)</f>
        <v/>
      </c>
      <c r="D1482" t="str">
        <f>IF('NEW ACCOUNT'!A1483="","",'NEW ACCOUNT'!D1483)</f>
        <v/>
      </c>
      <c r="E1482" t="str">
        <f>IF('NEW ACCOUNT'!A1483="","",'NEW ACCOUNT'!E1483)</f>
        <v/>
      </c>
      <c r="F1482" t="str">
        <f>IF('NEW ACCOUNT'!A1483="","",'NEW ACCOUNT'!F1483)</f>
        <v/>
      </c>
      <c r="G1482" t="str">
        <f>IF('NEW ACCOUNT'!A1483="","",'NEW ACCOUNT'!G1483)</f>
        <v/>
      </c>
      <c r="H1482" t="str">
        <f>IF('NEW ACCOUNT'!A1483="","",'NEW ACCOUNT'!H1483)</f>
        <v/>
      </c>
      <c r="I1482" t="str">
        <f>IF('NEW ACCOUNT'!A1483="","",'NEW ACCOUNT'!I1483)</f>
        <v/>
      </c>
      <c r="J1482" t="str">
        <f>IF('NEW ACCOUNT'!A1483="","",'NEW ACCOUNT'!J1483)</f>
        <v/>
      </c>
      <c r="K1482" t="str">
        <f>IFERROR(IF(A1482="","",SUMIF(DB_Savings!$A:$A,A1482,DB_Savings!$F:$F)),"")</f>
        <v/>
      </c>
      <c r="L1482" t="str">
        <f>IFERROR(IF(A1482="","",SUMIF(DB_Withdrawals!$A:$A,A1482,DB_Withdrawals!$G:$G)),"")</f>
        <v/>
      </c>
      <c r="M1482" t="str">
        <f>IFERROR(IF(A1482="","",IFERROR(VALUE(H1482),0)+IFERROR(SUMIF(DB_Savings!$A:$A,A1482,DB_Savings!$F:$F),0)-IFERROR(SUMIF(DB_Withdrawals!$A:$A,A1482,DB_Withdrawals!$G:$G),0)),"")</f>
        <v/>
      </c>
      <c r="N1482" t="str">
        <f>IFERROR(IF(A1482="","",MAX(0,M1482-System_Config!$B$9)),"")</f>
        <v/>
      </c>
    </row>
    <row r="1483" spans="1:14" ht="15" customHeight="1" x14ac:dyDescent="0.25">
      <c r="A1483" t="str">
        <f>'NEW ACCOUNT'!A1484</f>
        <v/>
      </c>
      <c r="B1483" t="str">
        <f>IF('NEW ACCOUNT'!A1484="","",'NEW ACCOUNT'!B1484)</f>
        <v/>
      </c>
      <c r="C1483" t="str">
        <f>IF('NEW ACCOUNT'!A1484="","",'NEW ACCOUNT'!C1484)</f>
        <v/>
      </c>
      <c r="D1483" t="str">
        <f>IF('NEW ACCOUNT'!A1484="","",'NEW ACCOUNT'!D1484)</f>
        <v/>
      </c>
      <c r="E1483" t="str">
        <f>IF('NEW ACCOUNT'!A1484="","",'NEW ACCOUNT'!E1484)</f>
        <v/>
      </c>
      <c r="F1483" t="str">
        <f>IF('NEW ACCOUNT'!A1484="","",'NEW ACCOUNT'!F1484)</f>
        <v/>
      </c>
      <c r="G1483" t="str">
        <f>IF('NEW ACCOUNT'!A1484="","",'NEW ACCOUNT'!G1484)</f>
        <v/>
      </c>
      <c r="H1483" t="str">
        <f>IF('NEW ACCOUNT'!A1484="","",'NEW ACCOUNT'!H1484)</f>
        <v/>
      </c>
      <c r="I1483" t="str">
        <f>IF('NEW ACCOUNT'!A1484="","",'NEW ACCOUNT'!I1484)</f>
        <v/>
      </c>
      <c r="J1483" t="str">
        <f>IF('NEW ACCOUNT'!A1484="","",'NEW ACCOUNT'!J1484)</f>
        <v/>
      </c>
      <c r="K1483" t="str">
        <f>IFERROR(IF(A1483="","",SUMIF(DB_Savings!$A:$A,A1483,DB_Savings!$F:$F)),"")</f>
        <v/>
      </c>
      <c r="L1483" t="str">
        <f>IFERROR(IF(A1483="","",SUMIF(DB_Withdrawals!$A:$A,A1483,DB_Withdrawals!$G:$G)),"")</f>
        <v/>
      </c>
      <c r="M1483" t="str">
        <f>IFERROR(IF(A1483="","",IFERROR(VALUE(H1483),0)+IFERROR(SUMIF(DB_Savings!$A:$A,A1483,DB_Savings!$F:$F),0)-IFERROR(SUMIF(DB_Withdrawals!$A:$A,A1483,DB_Withdrawals!$G:$G),0)),"")</f>
        <v/>
      </c>
      <c r="N1483" t="str">
        <f>IFERROR(IF(A1483="","",MAX(0,M1483-System_Config!$B$9)),"")</f>
        <v/>
      </c>
    </row>
    <row r="1484" spans="1:14" ht="15" customHeight="1" x14ac:dyDescent="0.25">
      <c r="A1484" t="str">
        <f>'NEW ACCOUNT'!A1485</f>
        <v/>
      </c>
      <c r="B1484" t="str">
        <f>IF('NEW ACCOUNT'!A1485="","",'NEW ACCOUNT'!B1485)</f>
        <v/>
      </c>
      <c r="C1484" t="str">
        <f>IF('NEW ACCOUNT'!A1485="","",'NEW ACCOUNT'!C1485)</f>
        <v/>
      </c>
      <c r="D1484" t="str">
        <f>IF('NEW ACCOUNT'!A1485="","",'NEW ACCOUNT'!D1485)</f>
        <v/>
      </c>
      <c r="E1484" t="str">
        <f>IF('NEW ACCOUNT'!A1485="","",'NEW ACCOUNT'!E1485)</f>
        <v/>
      </c>
      <c r="F1484" t="str">
        <f>IF('NEW ACCOUNT'!A1485="","",'NEW ACCOUNT'!F1485)</f>
        <v/>
      </c>
      <c r="G1484" t="str">
        <f>IF('NEW ACCOUNT'!A1485="","",'NEW ACCOUNT'!G1485)</f>
        <v/>
      </c>
      <c r="H1484" t="str">
        <f>IF('NEW ACCOUNT'!A1485="","",'NEW ACCOUNT'!H1485)</f>
        <v/>
      </c>
      <c r="I1484" t="str">
        <f>IF('NEW ACCOUNT'!A1485="","",'NEW ACCOUNT'!I1485)</f>
        <v/>
      </c>
      <c r="J1484" t="str">
        <f>IF('NEW ACCOUNT'!A1485="","",'NEW ACCOUNT'!J1485)</f>
        <v/>
      </c>
      <c r="K1484" t="str">
        <f>IFERROR(IF(A1484="","",SUMIF(DB_Savings!$A:$A,A1484,DB_Savings!$F:$F)),"")</f>
        <v/>
      </c>
      <c r="L1484" t="str">
        <f>IFERROR(IF(A1484="","",SUMIF(DB_Withdrawals!$A:$A,A1484,DB_Withdrawals!$G:$G)),"")</f>
        <v/>
      </c>
      <c r="M1484" t="str">
        <f>IFERROR(IF(A1484="","",IFERROR(VALUE(H1484),0)+IFERROR(SUMIF(DB_Savings!$A:$A,A1484,DB_Savings!$F:$F),0)-IFERROR(SUMIF(DB_Withdrawals!$A:$A,A1484,DB_Withdrawals!$G:$G),0)),"")</f>
        <v/>
      </c>
      <c r="N1484" t="str">
        <f>IFERROR(IF(A1484="","",MAX(0,M1484-System_Config!$B$9)),"")</f>
        <v/>
      </c>
    </row>
    <row r="1485" spans="1:14" ht="15" customHeight="1" x14ac:dyDescent="0.25">
      <c r="A1485" t="str">
        <f>'NEW ACCOUNT'!A1486</f>
        <v/>
      </c>
      <c r="B1485" t="str">
        <f>IF('NEW ACCOUNT'!A1486="","",'NEW ACCOUNT'!B1486)</f>
        <v/>
      </c>
      <c r="C1485" t="str">
        <f>IF('NEW ACCOUNT'!A1486="","",'NEW ACCOUNT'!C1486)</f>
        <v/>
      </c>
      <c r="D1485" t="str">
        <f>IF('NEW ACCOUNT'!A1486="","",'NEW ACCOUNT'!D1486)</f>
        <v/>
      </c>
      <c r="E1485" t="str">
        <f>IF('NEW ACCOUNT'!A1486="","",'NEW ACCOUNT'!E1486)</f>
        <v/>
      </c>
      <c r="F1485" t="str">
        <f>IF('NEW ACCOUNT'!A1486="","",'NEW ACCOUNT'!F1486)</f>
        <v/>
      </c>
      <c r="G1485" t="str">
        <f>IF('NEW ACCOUNT'!A1486="","",'NEW ACCOUNT'!G1486)</f>
        <v/>
      </c>
      <c r="H1485" t="str">
        <f>IF('NEW ACCOUNT'!A1486="","",'NEW ACCOUNT'!H1486)</f>
        <v/>
      </c>
      <c r="I1485" t="str">
        <f>IF('NEW ACCOUNT'!A1486="","",'NEW ACCOUNT'!I1486)</f>
        <v/>
      </c>
      <c r="J1485" t="str">
        <f>IF('NEW ACCOUNT'!A1486="","",'NEW ACCOUNT'!J1486)</f>
        <v/>
      </c>
      <c r="K1485" t="str">
        <f>IFERROR(IF(A1485="","",SUMIF(DB_Savings!$A:$A,A1485,DB_Savings!$F:$F)),"")</f>
        <v/>
      </c>
      <c r="L1485" t="str">
        <f>IFERROR(IF(A1485="","",SUMIF(DB_Withdrawals!$A:$A,A1485,DB_Withdrawals!$G:$G)),"")</f>
        <v/>
      </c>
      <c r="M1485" t="str">
        <f>IFERROR(IF(A1485="","",IFERROR(VALUE(H1485),0)+IFERROR(SUMIF(DB_Savings!$A:$A,A1485,DB_Savings!$F:$F),0)-IFERROR(SUMIF(DB_Withdrawals!$A:$A,A1485,DB_Withdrawals!$G:$G),0)),"")</f>
        <v/>
      </c>
      <c r="N1485" t="str">
        <f>IFERROR(IF(A1485="","",MAX(0,M1485-System_Config!$B$9)),"")</f>
        <v/>
      </c>
    </row>
    <row r="1486" spans="1:14" ht="15" customHeight="1" x14ac:dyDescent="0.25">
      <c r="A1486" t="str">
        <f>'NEW ACCOUNT'!A1487</f>
        <v/>
      </c>
      <c r="B1486" t="str">
        <f>IF('NEW ACCOUNT'!A1487="","",'NEW ACCOUNT'!B1487)</f>
        <v/>
      </c>
      <c r="C1486" t="str">
        <f>IF('NEW ACCOUNT'!A1487="","",'NEW ACCOUNT'!C1487)</f>
        <v/>
      </c>
      <c r="D1486" t="str">
        <f>IF('NEW ACCOUNT'!A1487="","",'NEW ACCOUNT'!D1487)</f>
        <v/>
      </c>
      <c r="E1486" t="str">
        <f>IF('NEW ACCOUNT'!A1487="","",'NEW ACCOUNT'!E1487)</f>
        <v/>
      </c>
      <c r="F1486" t="str">
        <f>IF('NEW ACCOUNT'!A1487="","",'NEW ACCOUNT'!F1487)</f>
        <v/>
      </c>
      <c r="G1486" t="str">
        <f>IF('NEW ACCOUNT'!A1487="","",'NEW ACCOUNT'!G1487)</f>
        <v/>
      </c>
      <c r="H1486" t="str">
        <f>IF('NEW ACCOUNT'!A1487="","",'NEW ACCOUNT'!H1487)</f>
        <v/>
      </c>
      <c r="I1486" t="str">
        <f>IF('NEW ACCOUNT'!A1487="","",'NEW ACCOUNT'!I1487)</f>
        <v/>
      </c>
      <c r="J1486" t="str">
        <f>IF('NEW ACCOUNT'!A1487="","",'NEW ACCOUNT'!J1487)</f>
        <v/>
      </c>
      <c r="K1486" t="str">
        <f>IFERROR(IF(A1486="","",SUMIF(DB_Savings!$A:$A,A1486,DB_Savings!$F:$F)),"")</f>
        <v/>
      </c>
      <c r="L1486" t="str">
        <f>IFERROR(IF(A1486="","",SUMIF(DB_Withdrawals!$A:$A,A1486,DB_Withdrawals!$G:$G)),"")</f>
        <v/>
      </c>
      <c r="M1486" t="str">
        <f>IFERROR(IF(A1486="","",IFERROR(VALUE(H1486),0)+IFERROR(SUMIF(DB_Savings!$A:$A,A1486,DB_Savings!$F:$F),0)-IFERROR(SUMIF(DB_Withdrawals!$A:$A,A1486,DB_Withdrawals!$G:$G),0)),"")</f>
        <v/>
      </c>
      <c r="N1486" t="str">
        <f>IFERROR(IF(A1486="","",MAX(0,M1486-System_Config!$B$9)),"")</f>
        <v/>
      </c>
    </row>
    <row r="1487" spans="1:14" ht="15" customHeight="1" x14ac:dyDescent="0.25">
      <c r="A1487" t="str">
        <f>'NEW ACCOUNT'!A1488</f>
        <v/>
      </c>
      <c r="B1487" t="str">
        <f>IF('NEW ACCOUNT'!A1488="","",'NEW ACCOUNT'!B1488)</f>
        <v/>
      </c>
      <c r="C1487" t="str">
        <f>IF('NEW ACCOUNT'!A1488="","",'NEW ACCOUNT'!C1488)</f>
        <v/>
      </c>
      <c r="D1487" t="str">
        <f>IF('NEW ACCOUNT'!A1488="","",'NEW ACCOUNT'!D1488)</f>
        <v/>
      </c>
      <c r="E1487" t="str">
        <f>IF('NEW ACCOUNT'!A1488="","",'NEW ACCOUNT'!E1488)</f>
        <v/>
      </c>
      <c r="F1487" t="str">
        <f>IF('NEW ACCOUNT'!A1488="","",'NEW ACCOUNT'!F1488)</f>
        <v/>
      </c>
      <c r="G1487" t="str">
        <f>IF('NEW ACCOUNT'!A1488="","",'NEW ACCOUNT'!G1488)</f>
        <v/>
      </c>
      <c r="H1487" t="str">
        <f>IF('NEW ACCOUNT'!A1488="","",'NEW ACCOUNT'!H1488)</f>
        <v/>
      </c>
      <c r="I1487" t="str">
        <f>IF('NEW ACCOUNT'!A1488="","",'NEW ACCOUNT'!I1488)</f>
        <v/>
      </c>
      <c r="J1487" t="str">
        <f>IF('NEW ACCOUNT'!A1488="","",'NEW ACCOUNT'!J1488)</f>
        <v/>
      </c>
      <c r="K1487" t="str">
        <f>IFERROR(IF(A1487="","",SUMIF(DB_Savings!$A:$A,A1487,DB_Savings!$F:$F)),"")</f>
        <v/>
      </c>
      <c r="L1487" t="str">
        <f>IFERROR(IF(A1487="","",SUMIF(DB_Withdrawals!$A:$A,A1487,DB_Withdrawals!$G:$G)),"")</f>
        <v/>
      </c>
      <c r="M1487" t="str">
        <f>IFERROR(IF(A1487="","",IFERROR(VALUE(H1487),0)+IFERROR(SUMIF(DB_Savings!$A:$A,A1487,DB_Savings!$F:$F),0)-IFERROR(SUMIF(DB_Withdrawals!$A:$A,A1487,DB_Withdrawals!$G:$G),0)),"")</f>
        <v/>
      </c>
      <c r="N1487" t="str">
        <f>IFERROR(IF(A1487="","",MAX(0,M1487-System_Config!$B$9)),"")</f>
        <v/>
      </c>
    </row>
    <row r="1488" spans="1:14" ht="15" customHeight="1" x14ac:dyDescent="0.25">
      <c r="A1488" t="str">
        <f>'NEW ACCOUNT'!A1489</f>
        <v/>
      </c>
      <c r="B1488" t="str">
        <f>IF('NEW ACCOUNT'!A1489="","",'NEW ACCOUNT'!B1489)</f>
        <v/>
      </c>
      <c r="C1488" t="str">
        <f>IF('NEW ACCOUNT'!A1489="","",'NEW ACCOUNT'!C1489)</f>
        <v/>
      </c>
      <c r="D1488" t="str">
        <f>IF('NEW ACCOUNT'!A1489="","",'NEW ACCOUNT'!D1489)</f>
        <v/>
      </c>
      <c r="E1488" t="str">
        <f>IF('NEW ACCOUNT'!A1489="","",'NEW ACCOUNT'!E1489)</f>
        <v/>
      </c>
      <c r="F1488" t="str">
        <f>IF('NEW ACCOUNT'!A1489="","",'NEW ACCOUNT'!F1489)</f>
        <v/>
      </c>
      <c r="G1488" t="str">
        <f>IF('NEW ACCOUNT'!A1489="","",'NEW ACCOUNT'!G1489)</f>
        <v/>
      </c>
      <c r="H1488" t="str">
        <f>IF('NEW ACCOUNT'!A1489="","",'NEW ACCOUNT'!H1489)</f>
        <v/>
      </c>
      <c r="I1488" t="str">
        <f>IF('NEW ACCOUNT'!A1489="","",'NEW ACCOUNT'!I1489)</f>
        <v/>
      </c>
      <c r="J1488" t="str">
        <f>IF('NEW ACCOUNT'!A1489="","",'NEW ACCOUNT'!J1489)</f>
        <v/>
      </c>
      <c r="K1488" t="str">
        <f>IFERROR(IF(A1488="","",SUMIF(DB_Savings!$A:$A,A1488,DB_Savings!$F:$F)),"")</f>
        <v/>
      </c>
      <c r="L1488" t="str">
        <f>IFERROR(IF(A1488="","",SUMIF(DB_Withdrawals!$A:$A,A1488,DB_Withdrawals!$G:$G)),"")</f>
        <v/>
      </c>
      <c r="M1488" t="str">
        <f>IFERROR(IF(A1488="","",IFERROR(VALUE(H1488),0)+IFERROR(SUMIF(DB_Savings!$A:$A,A1488,DB_Savings!$F:$F),0)-IFERROR(SUMIF(DB_Withdrawals!$A:$A,A1488,DB_Withdrawals!$G:$G),0)),"")</f>
        <v/>
      </c>
      <c r="N1488" t="str">
        <f>IFERROR(IF(A1488="","",MAX(0,M1488-System_Config!$B$9)),"")</f>
        <v/>
      </c>
    </row>
    <row r="1489" spans="1:14" ht="15" customHeight="1" x14ac:dyDescent="0.25">
      <c r="A1489" t="str">
        <f>'NEW ACCOUNT'!A1490</f>
        <v/>
      </c>
      <c r="B1489" t="str">
        <f>IF('NEW ACCOUNT'!A1490="","",'NEW ACCOUNT'!B1490)</f>
        <v/>
      </c>
      <c r="C1489" t="str">
        <f>IF('NEW ACCOUNT'!A1490="","",'NEW ACCOUNT'!C1490)</f>
        <v/>
      </c>
      <c r="D1489" t="str">
        <f>IF('NEW ACCOUNT'!A1490="","",'NEW ACCOUNT'!D1490)</f>
        <v/>
      </c>
      <c r="E1489" t="str">
        <f>IF('NEW ACCOUNT'!A1490="","",'NEW ACCOUNT'!E1490)</f>
        <v/>
      </c>
      <c r="F1489" t="str">
        <f>IF('NEW ACCOUNT'!A1490="","",'NEW ACCOUNT'!F1490)</f>
        <v/>
      </c>
      <c r="G1489" t="str">
        <f>IF('NEW ACCOUNT'!A1490="","",'NEW ACCOUNT'!G1490)</f>
        <v/>
      </c>
      <c r="H1489" t="str">
        <f>IF('NEW ACCOUNT'!A1490="","",'NEW ACCOUNT'!H1490)</f>
        <v/>
      </c>
      <c r="I1489" t="str">
        <f>IF('NEW ACCOUNT'!A1490="","",'NEW ACCOUNT'!I1490)</f>
        <v/>
      </c>
      <c r="J1489" t="str">
        <f>IF('NEW ACCOUNT'!A1490="","",'NEW ACCOUNT'!J1490)</f>
        <v/>
      </c>
      <c r="K1489" t="str">
        <f>IFERROR(IF(A1489="","",SUMIF(DB_Savings!$A:$A,A1489,DB_Savings!$F:$F)),"")</f>
        <v/>
      </c>
      <c r="L1489" t="str">
        <f>IFERROR(IF(A1489="","",SUMIF(DB_Withdrawals!$A:$A,A1489,DB_Withdrawals!$G:$G)),"")</f>
        <v/>
      </c>
      <c r="M1489" t="str">
        <f>IFERROR(IF(A1489="","",IFERROR(VALUE(H1489),0)+IFERROR(SUMIF(DB_Savings!$A:$A,A1489,DB_Savings!$F:$F),0)-IFERROR(SUMIF(DB_Withdrawals!$A:$A,A1489,DB_Withdrawals!$G:$G),0)),"")</f>
        <v/>
      </c>
      <c r="N1489" t="str">
        <f>IFERROR(IF(A1489="","",MAX(0,M1489-System_Config!$B$9)),"")</f>
        <v/>
      </c>
    </row>
    <row r="1490" spans="1:14" ht="15" customHeight="1" x14ac:dyDescent="0.25">
      <c r="A1490" t="str">
        <f>'NEW ACCOUNT'!A1491</f>
        <v/>
      </c>
      <c r="B1490" t="str">
        <f>IF('NEW ACCOUNT'!A1491="","",'NEW ACCOUNT'!B1491)</f>
        <v/>
      </c>
      <c r="C1490" t="str">
        <f>IF('NEW ACCOUNT'!A1491="","",'NEW ACCOUNT'!C1491)</f>
        <v/>
      </c>
      <c r="D1490" t="str">
        <f>IF('NEW ACCOUNT'!A1491="","",'NEW ACCOUNT'!D1491)</f>
        <v/>
      </c>
      <c r="E1490" t="str">
        <f>IF('NEW ACCOUNT'!A1491="","",'NEW ACCOUNT'!E1491)</f>
        <v/>
      </c>
      <c r="F1490" t="str">
        <f>IF('NEW ACCOUNT'!A1491="","",'NEW ACCOUNT'!F1491)</f>
        <v/>
      </c>
      <c r="G1490" t="str">
        <f>IF('NEW ACCOUNT'!A1491="","",'NEW ACCOUNT'!G1491)</f>
        <v/>
      </c>
      <c r="H1490" t="str">
        <f>IF('NEW ACCOUNT'!A1491="","",'NEW ACCOUNT'!H1491)</f>
        <v/>
      </c>
      <c r="I1490" t="str">
        <f>IF('NEW ACCOUNT'!A1491="","",'NEW ACCOUNT'!I1491)</f>
        <v/>
      </c>
      <c r="J1490" t="str">
        <f>IF('NEW ACCOUNT'!A1491="","",'NEW ACCOUNT'!J1491)</f>
        <v/>
      </c>
      <c r="K1490" t="str">
        <f>IFERROR(IF(A1490="","",SUMIF(DB_Savings!$A:$A,A1490,DB_Savings!$F:$F)),"")</f>
        <v/>
      </c>
      <c r="L1490" t="str">
        <f>IFERROR(IF(A1490="","",SUMIF(DB_Withdrawals!$A:$A,A1490,DB_Withdrawals!$G:$G)),"")</f>
        <v/>
      </c>
      <c r="M1490" t="str">
        <f>IFERROR(IF(A1490="","",IFERROR(VALUE(H1490),0)+IFERROR(SUMIF(DB_Savings!$A:$A,A1490,DB_Savings!$F:$F),0)-IFERROR(SUMIF(DB_Withdrawals!$A:$A,A1490,DB_Withdrawals!$G:$G),0)),"")</f>
        <v/>
      </c>
      <c r="N1490" t="str">
        <f>IFERROR(IF(A1490="","",MAX(0,M1490-System_Config!$B$9)),"")</f>
        <v/>
      </c>
    </row>
    <row r="1491" spans="1:14" ht="15" customHeight="1" x14ac:dyDescent="0.25">
      <c r="A1491" t="str">
        <f>'NEW ACCOUNT'!A1492</f>
        <v/>
      </c>
      <c r="B1491" t="str">
        <f>IF('NEW ACCOUNT'!A1492="","",'NEW ACCOUNT'!B1492)</f>
        <v/>
      </c>
      <c r="C1491" t="str">
        <f>IF('NEW ACCOUNT'!A1492="","",'NEW ACCOUNT'!C1492)</f>
        <v/>
      </c>
      <c r="D1491" t="str">
        <f>IF('NEW ACCOUNT'!A1492="","",'NEW ACCOUNT'!D1492)</f>
        <v/>
      </c>
      <c r="E1491" t="str">
        <f>IF('NEW ACCOUNT'!A1492="","",'NEW ACCOUNT'!E1492)</f>
        <v/>
      </c>
      <c r="F1491" t="str">
        <f>IF('NEW ACCOUNT'!A1492="","",'NEW ACCOUNT'!F1492)</f>
        <v/>
      </c>
      <c r="G1491" t="str">
        <f>IF('NEW ACCOUNT'!A1492="","",'NEW ACCOUNT'!G1492)</f>
        <v/>
      </c>
      <c r="H1491" t="str">
        <f>IF('NEW ACCOUNT'!A1492="","",'NEW ACCOUNT'!H1492)</f>
        <v/>
      </c>
      <c r="I1491" t="str">
        <f>IF('NEW ACCOUNT'!A1492="","",'NEW ACCOUNT'!I1492)</f>
        <v/>
      </c>
      <c r="J1491" t="str">
        <f>IF('NEW ACCOUNT'!A1492="","",'NEW ACCOUNT'!J1492)</f>
        <v/>
      </c>
      <c r="K1491" t="str">
        <f>IFERROR(IF(A1491="","",SUMIF(DB_Savings!$A:$A,A1491,DB_Savings!$F:$F)),"")</f>
        <v/>
      </c>
      <c r="L1491" t="str">
        <f>IFERROR(IF(A1491="","",SUMIF(DB_Withdrawals!$A:$A,A1491,DB_Withdrawals!$G:$G)),"")</f>
        <v/>
      </c>
      <c r="M1491" t="str">
        <f>IFERROR(IF(A1491="","",IFERROR(VALUE(H1491),0)+IFERROR(SUMIF(DB_Savings!$A:$A,A1491,DB_Savings!$F:$F),0)-IFERROR(SUMIF(DB_Withdrawals!$A:$A,A1491,DB_Withdrawals!$G:$G),0)),"")</f>
        <v/>
      </c>
      <c r="N1491" t="str">
        <f>IFERROR(IF(A1491="","",MAX(0,M1491-System_Config!$B$9)),"")</f>
        <v/>
      </c>
    </row>
    <row r="1492" spans="1:14" ht="15" customHeight="1" x14ac:dyDescent="0.25">
      <c r="A1492" t="str">
        <f>'NEW ACCOUNT'!A1493</f>
        <v/>
      </c>
      <c r="B1492" t="str">
        <f>IF('NEW ACCOUNT'!A1493="","",'NEW ACCOUNT'!B1493)</f>
        <v/>
      </c>
      <c r="C1492" t="str">
        <f>IF('NEW ACCOUNT'!A1493="","",'NEW ACCOUNT'!C1493)</f>
        <v/>
      </c>
      <c r="D1492" t="str">
        <f>IF('NEW ACCOUNT'!A1493="","",'NEW ACCOUNT'!D1493)</f>
        <v/>
      </c>
      <c r="E1492" t="str">
        <f>IF('NEW ACCOUNT'!A1493="","",'NEW ACCOUNT'!E1493)</f>
        <v/>
      </c>
      <c r="F1492" t="str">
        <f>IF('NEW ACCOUNT'!A1493="","",'NEW ACCOUNT'!F1493)</f>
        <v/>
      </c>
      <c r="G1492" t="str">
        <f>IF('NEW ACCOUNT'!A1493="","",'NEW ACCOUNT'!G1493)</f>
        <v/>
      </c>
      <c r="H1492" t="str">
        <f>IF('NEW ACCOUNT'!A1493="","",'NEW ACCOUNT'!H1493)</f>
        <v/>
      </c>
      <c r="I1492" t="str">
        <f>IF('NEW ACCOUNT'!A1493="","",'NEW ACCOUNT'!I1493)</f>
        <v/>
      </c>
      <c r="J1492" t="str">
        <f>IF('NEW ACCOUNT'!A1493="","",'NEW ACCOUNT'!J1493)</f>
        <v/>
      </c>
      <c r="K1492" t="str">
        <f>IFERROR(IF(A1492="","",SUMIF(DB_Savings!$A:$A,A1492,DB_Savings!$F:$F)),"")</f>
        <v/>
      </c>
      <c r="L1492" t="str">
        <f>IFERROR(IF(A1492="","",SUMIF(DB_Withdrawals!$A:$A,A1492,DB_Withdrawals!$G:$G)),"")</f>
        <v/>
      </c>
      <c r="M1492" t="str">
        <f>IFERROR(IF(A1492="","",IFERROR(VALUE(H1492),0)+IFERROR(SUMIF(DB_Savings!$A:$A,A1492,DB_Savings!$F:$F),0)-IFERROR(SUMIF(DB_Withdrawals!$A:$A,A1492,DB_Withdrawals!$G:$G),0)),"")</f>
        <v/>
      </c>
      <c r="N1492" t="str">
        <f>IFERROR(IF(A1492="","",MAX(0,M1492-System_Config!$B$9)),"")</f>
        <v/>
      </c>
    </row>
    <row r="1493" spans="1:14" ht="15" customHeight="1" x14ac:dyDescent="0.25">
      <c r="A1493" t="str">
        <f>'NEW ACCOUNT'!A1494</f>
        <v/>
      </c>
      <c r="B1493" t="str">
        <f>IF('NEW ACCOUNT'!A1494="","",'NEW ACCOUNT'!B1494)</f>
        <v/>
      </c>
      <c r="C1493" t="str">
        <f>IF('NEW ACCOUNT'!A1494="","",'NEW ACCOUNT'!C1494)</f>
        <v/>
      </c>
      <c r="D1493" t="str">
        <f>IF('NEW ACCOUNT'!A1494="","",'NEW ACCOUNT'!D1494)</f>
        <v/>
      </c>
      <c r="E1493" t="str">
        <f>IF('NEW ACCOUNT'!A1494="","",'NEW ACCOUNT'!E1494)</f>
        <v/>
      </c>
      <c r="F1493" t="str">
        <f>IF('NEW ACCOUNT'!A1494="","",'NEW ACCOUNT'!F1494)</f>
        <v/>
      </c>
      <c r="G1493" t="str">
        <f>IF('NEW ACCOUNT'!A1494="","",'NEW ACCOUNT'!G1494)</f>
        <v/>
      </c>
      <c r="H1493" t="str">
        <f>IF('NEW ACCOUNT'!A1494="","",'NEW ACCOUNT'!H1494)</f>
        <v/>
      </c>
      <c r="I1493" t="str">
        <f>IF('NEW ACCOUNT'!A1494="","",'NEW ACCOUNT'!I1494)</f>
        <v/>
      </c>
      <c r="J1493" t="str">
        <f>IF('NEW ACCOUNT'!A1494="","",'NEW ACCOUNT'!J1494)</f>
        <v/>
      </c>
      <c r="K1493" t="str">
        <f>IFERROR(IF(A1493="","",SUMIF(DB_Savings!$A:$A,A1493,DB_Savings!$F:$F)),"")</f>
        <v/>
      </c>
      <c r="L1493" t="str">
        <f>IFERROR(IF(A1493="","",SUMIF(DB_Withdrawals!$A:$A,A1493,DB_Withdrawals!$G:$G)),"")</f>
        <v/>
      </c>
      <c r="M1493" t="str">
        <f>IFERROR(IF(A1493="","",IFERROR(VALUE(H1493),0)+IFERROR(SUMIF(DB_Savings!$A:$A,A1493,DB_Savings!$F:$F),0)-IFERROR(SUMIF(DB_Withdrawals!$A:$A,A1493,DB_Withdrawals!$G:$G),0)),"")</f>
        <v/>
      </c>
      <c r="N1493" t="str">
        <f>IFERROR(IF(A1493="","",MAX(0,M1493-System_Config!$B$9)),"")</f>
        <v/>
      </c>
    </row>
    <row r="1494" spans="1:14" ht="15" customHeight="1" x14ac:dyDescent="0.25">
      <c r="A1494" t="str">
        <f>'NEW ACCOUNT'!A1495</f>
        <v/>
      </c>
      <c r="B1494" t="str">
        <f>IF('NEW ACCOUNT'!A1495="","",'NEW ACCOUNT'!B1495)</f>
        <v/>
      </c>
      <c r="C1494" t="str">
        <f>IF('NEW ACCOUNT'!A1495="","",'NEW ACCOUNT'!C1495)</f>
        <v/>
      </c>
      <c r="D1494" t="str">
        <f>IF('NEW ACCOUNT'!A1495="","",'NEW ACCOUNT'!D1495)</f>
        <v/>
      </c>
      <c r="E1494" t="str">
        <f>IF('NEW ACCOUNT'!A1495="","",'NEW ACCOUNT'!E1495)</f>
        <v/>
      </c>
      <c r="F1494" t="str">
        <f>IF('NEW ACCOUNT'!A1495="","",'NEW ACCOUNT'!F1495)</f>
        <v/>
      </c>
      <c r="G1494" t="str">
        <f>IF('NEW ACCOUNT'!A1495="","",'NEW ACCOUNT'!G1495)</f>
        <v/>
      </c>
      <c r="H1494" t="str">
        <f>IF('NEW ACCOUNT'!A1495="","",'NEW ACCOUNT'!H1495)</f>
        <v/>
      </c>
      <c r="I1494" t="str">
        <f>IF('NEW ACCOUNT'!A1495="","",'NEW ACCOUNT'!I1495)</f>
        <v/>
      </c>
      <c r="J1494" t="str">
        <f>IF('NEW ACCOUNT'!A1495="","",'NEW ACCOUNT'!J1495)</f>
        <v/>
      </c>
      <c r="K1494" t="str">
        <f>IFERROR(IF(A1494="","",SUMIF(DB_Savings!$A:$A,A1494,DB_Savings!$F:$F)),"")</f>
        <v/>
      </c>
      <c r="L1494" t="str">
        <f>IFERROR(IF(A1494="","",SUMIF(DB_Withdrawals!$A:$A,A1494,DB_Withdrawals!$G:$G)),"")</f>
        <v/>
      </c>
      <c r="M1494" t="str">
        <f>IFERROR(IF(A1494="","",IFERROR(VALUE(H1494),0)+IFERROR(SUMIF(DB_Savings!$A:$A,A1494,DB_Savings!$F:$F),0)-IFERROR(SUMIF(DB_Withdrawals!$A:$A,A1494,DB_Withdrawals!$G:$G),0)),"")</f>
        <v/>
      </c>
      <c r="N1494" t="str">
        <f>IFERROR(IF(A1494="","",MAX(0,M1494-System_Config!$B$9)),"")</f>
        <v/>
      </c>
    </row>
    <row r="1495" spans="1:14" ht="15" customHeight="1" x14ac:dyDescent="0.25">
      <c r="A1495" t="str">
        <f>'NEW ACCOUNT'!A1496</f>
        <v/>
      </c>
      <c r="B1495" t="str">
        <f>IF('NEW ACCOUNT'!A1496="","",'NEW ACCOUNT'!B1496)</f>
        <v/>
      </c>
      <c r="C1495" t="str">
        <f>IF('NEW ACCOUNT'!A1496="","",'NEW ACCOUNT'!C1496)</f>
        <v/>
      </c>
      <c r="D1495" t="str">
        <f>IF('NEW ACCOUNT'!A1496="","",'NEW ACCOUNT'!D1496)</f>
        <v/>
      </c>
      <c r="E1495" t="str">
        <f>IF('NEW ACCOUNT'!A1496="","",'NEW ACCOUNT'!E1496)</f>
        <v/>
      </c>
      <c r="F1495" t="str">
        <f>IF('NEW ACCOUNT'!A1496="","",'NEW ACCOUNT'!F1496)</f>
        <v/>
      </c>
      <c r="G1495" t="str">
        <f>IF('NEW ACCOUNT'!A1496="","",'NEW ACCOUNT'!G1496)</f>
        <v/>
      </c>
      <c r="H1495" t="str">
        <f>IF('NEW ACCOUNT'!A1496="","",'NEW ACCOUNT'!H1496)</f>
        <v/>
      </c>
      <c r="I1495" t="str">
        <f>IF('NEW ACCOUNT'!A1496="","",'NEW ACCOUNT'!I1496)</f>
        <v/>
      </c>
      <c r="J1495" t="str">
        <f>IF('NEW ACCOUNT'!A1496="","",'NEW ACCOUNT'!J1496)</f>
        <v/>
      </c>
      <c r="K1495" t="str">
        <f>IFERROR(IF(A1495="","",SUMIF(DB_Savings!$A:$A,A1495,DB_Savings!$F:$F)),"")</f>
        <v/>
      </c>
      <c r="L1495" t="str">
        <f>IFERROR(IF(A1495="","",SUMIF(DB_Withdrawals!$A:$A,A1495,DB_Withdrawals!$G:$G)),"")</f>
        <v/>
      </c>
      <c r="M1495" t="str">
        <f>IFERROR(IF(A1495="","",IFERROR(VALUE(H1495),0)+IFERROR(SUMIF(DB_Savings!$A:$A,A1495,DB_Savings!$F:$F),0)-IFERROR(SUMIF(DB_Withdrawals!$A:$A,A1495,DB_Withdrawals!$G:$G),0)),"")</f>
        <v/>
      </c>
      <c r="N1495" t="str">
        <f>IFERROR(IF(A1495="","",MAX(0,M1495-System_Config!$B$9)),"")</f>
        <v/>
      </c>
    </row>
    <row r="1496" spans="1:14" ht="15" customHeight="1" x14ac:dyDescent="0.25">
      <c r="A1496" t="str">
        <f>'NEW ACCOUNT'!A1497</f>
        <v/>
      </c>
      <c r="B1496" t="str">
        <f>IF('NEW ACCOUNT'!A1497="","",'NEW ACCOUNT'!B1497)</f>
        <v/>
      </c>
      <c r="C1496" t="str">
        <f>IF('NEW ACCOUNT'!A1497="","",'NEW ACCOUNT'!C1497)</f>
        <v/>
      </c>
      <c r="D1496" t="str">
        <f>IF('NEW ACCOUNT'!A1497="","",'NEW ACCOUNT'!D1497)</f>
        <v/>
      </c>
      <c r="E1496" t="str">
        <f>IF('NEW ACCOUNT'!A1497="","",'NEW ACCOUNT'!E1497)</f>
        <v/>
      </c>
      <c r="F1496" t="str">
        <f>IF('NEW ACCOUNT'!A1497="","",'NEW ACCOUNT'!F1497)</f>
        <v/>
      </c>
      <c r="G1496" t="str">
        <f>IF('NEW ACCOUNT'!A1497="","",'NEW ACCOUNT'!G1497)</f>
        <v/>
      </c>
      <c r="H1496" t="str">
        <f>IF('NEW ACCOUNT'!A1497="","",'NEW ACCOUNT'!H1497)</f>
        <v/>
      </c>
      <c r="I1496" t="str">
        <f>IF('NEW ACCOUNT'!A1497="","",'NEW ACCOUNT'!I1497)</f>
        <v/>
      </c>
      <c r="J1496" t="str">
        <f>IF('NEW ACCOUNT'!A1497="","",'NEW ACCOUNT'!J1497)</f>
        <v/>
      </c>
      <c r="K1496" t="str">
        <f>IFERROR(IF(A1496="","",SUMIF(DB_Savings!$A:$A,A1496,DB_Savings!$F:$F)),"")</f>
        <v/>
      </c>
      <c r="L1496" t="str">
        <f>IFERROR(IF(A1496="","",SUMIF(DB_Withdrawals!$A:$A,A1496,DB_Withdrawals!$G:$G)),"")</f>
        <v/>
      </c>
      <c r="M1496" t="str">
        <f>IFERROR(IF(A1496="","",IFERROR(VALUE(H1496),0)+IFERROR(SUMIF(DB_Savings!$A:$A,A1496,DB_Savings!$F:$F),0)-IFERROR(SUMIF(DB_Withdrawals!$A:$A,A1496,DB_Withdrawals!$G:$G),0)),"")</f>
        <v/>
      </c>
      <c r="N1496" t="str">
        <f>IFERROR(IF(A1496="","",MAX(0,M1496-System_Config!$B$9)),"")</f>
        <v/>
      </c>
    </row>
    <row r="1497" spans="1:14" ht="15" customHeight="1" x14ac:dyDescent="0.25">
      <c r="A1497" t="str">
        <f>'NEW ACCOUNT'!A1498</f>
        <v/>
      </c>
      <c r="B1497" t="str">
        <f>IF('NEW ACCOUNT'!A1498="","",'NEW ACCOUNT'!B1498)</f>
        <v/>
      </c>
      <c r="C1497" t="str">
        <f>IF('NEW ACCOUNT'!A1498="","",'NEW ACCOUNT'!C1498)</f>
        <v/>
      </c>
      <c r="D1497" t="str">
        <f>IF('NEW ACCOUNT'!A1498="","",'NEW ACCOUNT'!D1498)</f>
        <v/>
      </c>
      <c r="E1497" t="str">
        <f>IF('NEW ACCOUNT'!A1498="","",'NEW ACCOUNT'!E1498)</f>
        <v/>
      </c>
      <c r="F1497" t="str">
        <f>IF('NEW ACCOUNT'!A1498="","",'NEW ACCOUNT'!F1498)</f>
        <v/>
      </c>
      <c r="G1497" t="str">
        <f>IF('NEW ACCOUNT'!A1498="","",'NEW ACCOUNT'!G1498)</f>
        <v/>
      </c>
      <c r="H1497" t="str">
        <f>IF('NEW ACCOUNT'!A1498="","",'NEW ACCOUNT'!H1498)</f>
        <v/>
      </c>
      <c r="I1497" t="str">
        <f>IF('NEW ACCOUNT'!A1498="","",'NEW ACCOUNT'!I1498)</f>
        <v/>
      </c>
      <c r="J1497" t="str">
        <f>IF('NEW ACCOUNT'!A1498="","",'NEW ACCOUNT'!J1498)</f>
        <v/>
      </c>
      <c r="K1497" t="str">
        <f>IFERROR(IF(A1497="","",SUMIF(DB_Savings!$A:$A,A1497,DB_Savings!$F:$F)),"")</f>
        <v/>
      </c>
      <c r="L1497" t="str">
        <f>IFERROR(IF(A1497="","",SUMIF(DB_Withdrawals!$A:$A,A1497,DB_Withdrawals!$G:$G)),"")</f>
        <v/>
      </c>
      <c r="M1497" t="str">
        <f>IFERROR(IF(A1497="","",IFERROR(VALUE(H1497),0)+IFERROR(SUMIF(DB_Savings!$A:$A,A1497,DB_Savings!$F:$F),0)-IFERROR(SUMIF(DB_Withdrawals!$A:$A,A1497,DB_Withdrawals!$G:$G),0)),"")</f>
        <v/>
      </c>
      <c r="N1497" t="str">
        <f>IFERROR(IF(A1497="","",MAX(0,M1497-System_Config!$B$9)),"")</f>
        <v/>
      </c>
    </row>
    <row r="1498" spans="1:14" ht="15" customHeight="1" x14ac:dyDescent="0.25">
      <c r="A1498" t="str">
        <f>'NEW ACCOUNT'!A1499</f>
        <v/>
      </c>
      <c r="B1498" t="str">
        <f>IF('NEW ACCOUNT'!A1499="","",'NEW ACCOUNT'!B1499)</f>
        <v/>
      </c>
      <c r="C1498" t="str">
        <f>IF('NEW ACCOUNT'!A1499="","",'NEW ACCOUNT'!C1499)</f>
        <v/>
      </c>
      <c r="D1498" t="str">
        <f>IF('NEW ACCOUNT'!A1499="","",'NEW ACCOUNT'!D1499)</f>
        <v/>
      </c>
      <c r="E1498" t="str">
        <f>IF('NEW ACCOUNT'!A1499="","",'NEW ACCOUNT'!E1499)</f>
        <v/>
      </c>
      <c r="F1498" t="str">
        <f>IF('NEW ACCOUNT'!A1499="","",'NEW ACCOUNT'!F1499)</f>
        <v/>
      </c>
      <c r="G1498" t="str">
        <f>IF('NEW ACCOUNT'!A1499="","",'NEW ACCOUNT'!G1499)</f>
        <v/>
      </c>
      <c r="H1498" t="str">
        <f>IF('NEW ACCOUNT'!A1499="","",'NEW ACCOUNT'!H1499)</f>
        <v/>
      </c>
      <c r="I1498" t="str">
        <f>IF('NEW ACCOUNT'!A1499="","",'NEW ACCOUNT'!I1499)</f>
        <v/>
      </c>
      <c r="J1498" t="str">
        <f>IF('NEW ACCOUNT'!A1499="","",'NEW ACCOUNT'!J1499)</f>
        <v/>
      </c>
      <c r="K1498" t="str">
        <f>IFERROR(IF(A1498="","",SUMIF(DB_Savings!$A:$A,A1498,DB_Savings!$F:$F)),"")</f>
        <v/>
      </c>
      <c r="L1498" t="str">
        <f>IFERROR(IF(A1498="","",SUMIF(DB_Withdrawals!$A:$A,A1498,DB_Withdrawals!$G:$G)),"")</f>
        <v/>
      </c>
      <c r="M1498" t="str">
        <f>IFERROR(IF(A1498="","",IFERROR(VALUE(H1498),0)+IFERROR(SUMIF(DB_Savings!$A:$A,A1498,DB_Savings!$F:$F),0)-IFERROR(SUMIF(DB_Withdrawals!$A:$A,A1498,DB_Withdrawals!$G:$G),0)),"")</f>
        <v/>
      </c>
      <c r="N1498" t="str">
        <f>IFERROR(IF(A1498="","",MAX(0,M1498-System_Config!$B$9)),"")</f>
        <v/>
      </c>
    </row>
    <row r="1499" spans="1:14" ht="15" customHeight="1" x14ac:dyDescent="0.25">
      <c r="A1499" t="str">
        <f>'NEW ACCOUNT'!A1500</f>
        <v/>
      </c>
      <c r="B1499" t="str">
        <f>IF('NEW ACCOUNT'!A1500="","",'NEW ACCOUNT'!B1500)</f>
        <v/>
      </c>
      <c r="C1499" t="str">
        <f>IF('NEW ACCOUNT'!A1500="","",'NEW ACCOUNT'!C1500)</f>
        <v/>
      </c>
      <c r="D1499" t="str">
        <f>IF('NEW ACCOUNT'!A1500="","",'NEW ACCOUNT'!D1500)</f>
        <v/>
      </c>
      <c r="E1499" t="str">
        <f>IF('NEW ACCOUNT'!A1500="","",'NEW ACCOUNT'!E1500)</f>
        <v/>
      </c>
      <c r="F1499" t="str">
        <f>IF('NEW ACCOUNT'!A1500="","",'NEW ACCOUNT'!F1500)</f>
        <v/>
      </c>
      <c r="G1499" t="str">
        <f>IF('NEW ACCOUNT'!A1500="","",'NEW ACCOUNT'!G1500)</f>
        <v/>
      </c>
      <c r="H1499" t="str">
        <f>IF('NEW ACCOUNT'!A1500="","",'NEW ACCOUNT'!H1500)</f>
        <v/>
      </c>
      <c r="I1499" t="str">
        <f>IF('NEW ACCOUNT'!A1500="","",'NEW ACCOUNT'!I1500)</f>
        <v/>
      </c>
      <c r="J1499" t="str">
        <f>IF('NEW ACCOUNT'!A1500="","",'NEW ACCOUNT'!J1500)</f>
        <v/>
      </c>
      <c r="K1499" t="str">
        <f>IFERROR(IF(A1499="","",SUMIF(DB_Savings!$A:$A,A1499,DB_Savings!$F:$F)),"")</f>
        <v/>
      </c>
      <c r="L1499" t="str">
        <f>IFERROR(IF(A1499="","",SUMIF(DB_Withdrawals!$A:$A,A1499,DB_Withdrawals!$G:$G)),"")</f>
        <v/>
      </c>
      <c r="M1499" t="str">
        <f>IFERROR(IF(A1499="","",IFERROR(VALUE(H1499),0)+IFERROR(SUMIF(DB_Savings!$A:$A,A1499,DB_Savings!$F:$F),0)-IFERROR(SUMIF(DB_Withdrawals!$A:$A,A1499,DB_Withdrawals!$G:$G),0)),"")</f>
        <v/>
      </c>
      <c r="N1499" t="str">
        <f>IFERROR(IF(A1499="","",MAX(0,M1499-System_Config!$B$9)),"")</f>
        <v/>
      </c>
    </row>
    <row r="1500" spans="1:14" ht="15" customHeight="1" x14ac:dyDescent="0.25">
      <c r="A1500" t="str">
        <f>'NEW ACCOUNT'!A1501</f>
        <v/>
      </c>
      <c r="B1500" t="str">
        <f>IF('NEW ACCOUNT'!A1501="","",'NEW ACCOUNT'!B1501)</f>
        <v/>
      </c>
      <c r="C1500" t="str">
        <f>IF('NEW ACCOUNT'!A1501="","",'NEW ACCOUNT'!C1501)</f>
        <v/>
      </c>
      <c r="D1500" t="str">
        <f>IF('NEW ACCOUNT'!A1501="","",'NEW ACCOUNT'!D1501)</f>
        <v/>
      </c>
      <c r="E1500" t="str">
        <f>IF('NEW ACCOUNT'!A1501="","",'NEW ACCOUNT'!E1501)</f>
        <v/>
      </c>
      <c r="F1500" t="str">
        <f>IF('NEW ACCOUNT'!A1501="","",'NEW ACCOUNT'!F1501)</f>
        <v/>
      </c>
      <c r="G1500" t="str">
        <f>IF('NEW ACCOUNT'!A1501="","",'NEW ACCOUNT'!G1501)</f>
        <v/>
      </c>
      <c r="H1500" t="str">
        <f>IF('NEW ACCOUNT'!A1501="","",'NEW ACCOUNT'!H1501)</f>
        <v/>
      </c>
      <c r="I1500" t="str">
        <f>IF('NEW ACCOUNT'!A1501="","",'NEW ACCOUNT'!I1501)</f>
        <v/>
      </c>
      <c r="J1500" t="str">
        <f>IF('NEW ACCOUNT'!A1501="","",'NEW ACCOUNT'!J1501)</f>
        <v/>
      </c>
      <c r="K1500" t="str">
        <f>IFERROR(IF(A1500="","",SUMIF(DB_Savings!$A:$A,A1500,DB_Savings!$F:$F)),"")</f>
        <v/>
      </c>
      <c r="L1500" t="str">
        <f>IFERROR(IF(A1500="","",SUMIF(DB_Withdrawals!$A:$A,A1500,DB_Withdrawals!$G:$G)),"")</f>
        <v/>
      </c>
      <c r="M1500" t="str">
        <f>IFERROR(IF(A1500="","",IFERROR(VALUE(H1500),0)+IFERROR(SUMIF(DB_Savings!$A:$A,A1500,DB_Savings!$F:$F),0)-IFERROR(SUMIF(DB_Withdrawals!$A:$A,A1500,DB_Withdrawals!$G:$G),0)),"")</f>
        <v/>
      </c>
      <c r="N1500" t="str">
        <f>IFERROR(IF(A1500="","",MAX(0,M1500-System_Config!$B$9)),"")</f>
        <v/>
      </c>
    </row>
    <row r="1501" spans="1:14" ht="15" customHeight="1" x14ac:dyDescent="0.25">
      <c r="A1501" t="str">
        <f>'NEW ACCOUNT'!A1502</f>
        <v/>
      </c>
      <c r="B1501" t="str">
        <f>IF('NEW ACCOUNT'!A1502="","",'NEW ACCOUNT'!B1502)</f>
        <v/>
      </c>
      <c r="C1501" t="str">
        <f>IF('NEW ACCOUNT'!A1502="","",'NEW ACCOUNT'!C1502)</f>
        <v/>
      </c>
      <c r="D1501" t="str">
        <f>IF('NEW ACCOUNT'!A1502="","",'NEW ACCOUNT'!D1502)</f>
        <v/>
      </c>
      <c r="E1501" t="str">
        <f>IF('NEW ACCOUNT'!A1502="","",'NEW ACCOUNT'!E1502)</f>
        <v/>
      </c>
      <c r="F1501" t="str">
        <f>IF('NEW ACCOUNT'!A1502="","",'NEW ACCOUNT'!F1502)</f>
        <v/>
      </c>
      <c r="G1501" t="str">
        <f>IF('NEW ACCOUNT'!A1502="","",'NEW ACCOUNT'!G1502)</f>
        <v/>
      </c>
      <c r="H1501" t="str">
        <f>IF('NEW ACCOUNT'!A1502="","",'NEW ACCOUNT'!H1502)</f>
        <v/>
      </c>
      <c r="I1501" t="str">
        <f>IF('NEW ACCOUNT'!A1502="","",'NEW ACCOUNT'!I1502)</f>
        <v/>
      </c>
      <c r="J1501" t="str">
        <f>IF('NEW ACCOUNT'!A1502="","",'NEW ACCOUNT'!J1502)</f>
        <v/>
      </c>
      <c r="K1501" t="str">
        <f>IFERROR(IF(A1501="","",SUMIF(DB_Savings!$A:$A,A1501,DB_Savings!$F:$F)),"")</f>
        <v/>
      </c>
      <c r="L1501" t="str">
        <f>IFERROR(IF(A1501="","",SUMIF(DB_Withdrawals!$A:$A,A1501,DB_Withdrawals!$G:$G)),"")</f>
        <v/>
      </c>
      <c r="M1501" t="str">
        <f>IFERROR(IF(A1501="","",IFERROR(VALUE(H1501),0)+IFERROR(SUMIF(DB_Savings!$A:$A,A1501,DB_Savings!$F:$F),0)-IFERROR(SUMIF(DB_Withdrawals!$A:$A,A1501,DB_Withdrawals!$G:$G),0)),"")</f>
        <v/>
      </c>
      <c r="N1501" t="str">
        <f>IFERROR(IF(A1501="","",MAX(0,M1501-System_Config!$B$9)),"")</f>
        <v/>
      </c>
    </row>
    <row r="1502" spans="1:14" ht="15" customHeight="1" x14ac:dyDescent="0.25">
      <c r="A1502" t="str">
        <f>'NEW ACCOUNT'!A1503</f>
        <v/>
      </c>
      <c r="B1502" t="str">
        <f>IF('NEW ACCOUNT'!A1503="","",'NEW ACCOUNT'!B1503)</f>
        <v/>
      </c>
      <c r="C1502" t="str">
        <f>IF('NEW ACCOUNT'!A1503="","",'NEW ACCOUNT'!C1503)</f>
        <v/>
      </c>
      <c r="D1502" t="str">
        <f>IF('NEW ACCOUNT'!A1503="","",'NEW ACCOUNT'!D1503)</f>
        <v/>
      </c>
      <c r="E1502" t="str">
        <f>IF('NEW ACCOUNT'!A1503="","",'NEW ACCOUNT'!E1503)</f>
        <v/>
      </c>
      <c r="F1502" t="str">
        <f>IF('NEW ACCOUNT'!A1503="","",'NEW ACCOUNT'!F1503)</f>
        <v/>
      </c>
      <c r="G1502" t="str">
        <f>IF('NEW ACCOUNT'!A1503="","",'NEW ACCOUNT'!G1503)</f>
        <v/>
      </c>
      <c r="H1502" t="str">
        <f>IF('NEW ACCOUNT'!A1503="","",'NEW ACCOUNT'!H1503)</f>
        <v/>
      </c>
      <c r="I1502" t="str">
        <f>IF('NEW ACCOUNT'!A1503="","",'NEW ACCOUNT'!I1503)</f>
        <v/>
      </c>
      <c r="J1502" t="str">
        <f>IF('NEW ACCOUNT'!A1503="","",'NEW ACCOUNT'!J1503)</f>
        <v/>
      </c>
      <c r="K1502" t="str">
        <f>IFERROR(IF(A1502="","",SUMIF(DB_Savings!$A:$A,A1502,DB_Savings!$F:$F)),"")</f>
        <v/>
      </c>
      <c r="L1502" t="str">
        <f>IFERROR(IF(A1502="","",SUMIF(DB_Withdrawals!$A:$A,A1502,DB_Withdrawals!$G:$G)),"")</f>
        <v/>
      </c>
      <c r="M1502" t="str">
        <f>IFERROR(IF(A1502="","",IFERROR(VALUE(H1502),0)+IFERROR(SUMIF(DB_Savings!$A:$A,A1502,DB_Savings!$F:$F),0)-IFERROR(SUMIF(DB_Withdrawals!$A:$A,A1502,DB_Withdrawals!$G:$G),0)),"")</f>
        <v/>
      </c>
      <c r="N1502" t="str">
        <f>IFERROR(IF(A1502="","",MAX(0,M1502-System_Config!$B$9)),"")</f>
        <v/>
      </c>
    </row>
    <row r="1503" spans="1:14" ht="15" customHeight="1" x14ac:dyDescent="0.25">
      <c r="A1503" t="str">
        <f>'NEW ACCOUNT'!A1504</f>
        <v/>
      </c>
      <c r="B1503" t="str">
        <f>IF('NEW ACCOUNT'!A1504="","",'NEW ACCOUNT'!B1504)</f>
        <v/>
      </c>
      <c r="C1503" t="str">
        <f>IF('NEW ACCOUNT'!A1504="","",'NEW ACCOUNT'!C1504)</f>
        <v/>
      </c>
      <c r="D1503" t="str">
        <f>IF('NEW ACCOUNT'!A1504="","",'NEW ACCOUNT'!D1504)</f>
        <v/>
      </c>
      <c r="E1503" t="str">
        <f>IF('NEW ACCOUNT'!A1504="","",'NEW ACCOUNT'!E1504)</f>
        <v/>
      </c>
      <c r="F1503" t="str">
        <f>IF('NEW ACCOUNT'!A1504="","",'NEW ACCOUNT'!F1504)</f>
        <v/>
      </c>
      <c r="G1503" t="str">
        <f>IF('NEW ACCOUNT'!A1504="","",'NEW ACCOUNT'!G1504)</f>
        <v/>
      </c>
      <c r="H1503" t="str">
        <f>IF('NEW ACCOUNT'!A1504="","",'NEW ACCOUNT'!H1504)</f>
        <v/>
      </c>
      <c r="I1503" t="str">
        <f>IF('NEW ACCOUNT'!A1504="","",'NEW ACCOUNT'!I1504)</f>
        <v/>
      </c>
      <c r="J1503" t="str">
        <f>IF('NEW ACCOUNT'!A1504="","",'NEW ACCOUNT'!J1504)</f>
        <v/>
      </c>
      <c r="K1503" t="str">
        <f>IFERROR(IF(A1503="","",SUMIF(DB_Savings!$A:$A,A1503,DB_Savings!$F:$F)),"")</f>
        <v/>
      </c>
      <c r="L1503" t="str">
        <f>IFERROR(IF(A1503="","",SUMIF(DB_Withdrawals!$A:$A,A1503,DB_Withdrawals!$G:$G)),"")</f>
        <v/>
      </c>
      <c r="M1503" t="str">
        <f>IFERROR(IF(A1503="","",IFERROR(VALUE(H1503),0)+IFERROR(SUMIF(DB_Savings!$A:$A,A1503,DB_Savings!$F:$F),0)-IFERROR(SUMIF(DB_Withdrawals!$A:$A,A1503,DB_Withdrawals!$G:$G),0)),"")</f>
        <v/>
      </c>
      <c r="N1503" t="str">
        <f>IFERROR(IF(A1503="","",MAX(0,M1503-System_Config!$B$9)),"")</f>
        <v/>
      </c>
    </row>
    <row r="1504" spans="1:14" ht="15" customHeight="1" x14ac:dyDescent="0.25">
      <c r="A1504" t="str">
        <f>'NEW ACCOUNT'!A1505</f>
        <v/>
      </c>
      <c r="B1504" t="str">
        <f>IF('NEW ACCOUNT'!A1505="","",'NEW ACCOUNT'!B1505)</f>
        <v/>
      </c>
      <c r="C1504" t="str">
        <f>IF('NEW ACCOUNT'!A1505="","",'NEW ACCOUNT'!C1505)</f>
        <v/>
      </c>
      <c r="D1504" t="str">
        <f>IF('NEW ACCOUNT'!A1505="","",'NEW ACCOUNT'!D1505)</f>
        <v/>
      </c>
      <c r="E1504" t="str">
        <f>IF('NEW ACCOUNT'!A1505="","",'NEW ACCOUNT'!E1505)</f>
        <v/>
      </c>
      <c r="F1504" t="str">
        <f>IF('NEW ACCOUNT'!A1505="","",'NEW ACCOUNT'!F1505)</f>
        <v/>
      </c>
      <c r="G1504" t="str">
        <f>IF('NEW ACCOUNT'!A1505="","",'NEW ACCOUNT'!G1505)</f>
        <v/>
      </c>
      <c r="H1504" t="str">
        <f>IF('NEW ACCOUNT'!A1505="","",'NEW ACCOUNT'!H1505)</f>
        <v/>
      </c>
      <c r="I1504" t="str">
        <f>IF('NEW ACCOUNT'!A1505="","",'NEW ACCOUNT'!I1505)</f>
        <v/>
      </c>
      <c r="J1504" t="str">
        <f>IF('NEW ACCOUNT'!A1505="","",'NEW ACCOUNT'!J1505)</f>
        <v/>
      </c>
      <c r="K1504" t="str">
        <f>IFERROR(IF(A1504="","",SUMIF(DB_Savings!$A:$A,A1504,DB_Savings!$F:$F)),"")</f>
        <v/>
      </c>
      <c r="L1504" t="str">
        <f>IFERROR(IF(A1504="","",SUMIF(DB_Withdrawals!$A:$A,A1504,DB_Withdrawals!$G:$G)),"")</f>
        <v/>
      </c>
      <c r="M1504" t="str">
        <f>IFERROR(IF(A1504="","",IFERROR(VALUE(H1504),0)+IFERROR(SUMIF(DB_Savings!$A:$A,A1504,DB_Savings!$F:$F),0)-IFERROR(SUMIF(DB_Withdrawals!$A:$A,A1504,DB_Withdrawals!$G:$G),0)),"")</f>
        <v/>
      </c>
      <c r="N1504" t="str">
        <f>IFERROR(IF(A1504="","",MAX(0,M1504-System_Config!$B$9)),"")</f>
        <v/>
      </c>
    </row>
    <row r="1505" spans="1:14" ht="15" customHeight="1" x14ac:dyDescent="0.25">
      <c r="A1505" t="str">
        <f>'NEW ACCOUNT'!A1506</f>
        <v/>
      </c>
      <c r="B1505" t="str">
        <f>IF('NEW ACCOUNT'!A1506="","",'NEW ACCOUNT'!B1506)</f>
        <v/>
      </c>
      <c r="C1505" t="str">
        <f>IF('NEW ACCOUNT'!A1506="","",'NEW ACCOUNT'!C1506)</f>
        <v/>
      </c>
      <c r="D1505" t="str">
        <f>IF('NEW ACCOUNT'!A1506="","",'NEW ACCOUNT'!D1506)</f>
        <v/>
      </c>
      <c r="E1505" t="str">
        <f>IF('NEW ACCOUNT'!A1506="","",'NEW ACCOUNT'!E1506)</f>
        <v/>
      </c>
      <c r="F1505" t="str">
        <f>IF('NEW ACCOUNT'!A1506="","",'NEW ACCOUNT'!F1506)</f>
        <v/>
      </c>
      <c r="G1505" t="str">
        <f>IF('NEW ACCOUNT'!A1506="","",'NEW ACCOUNT'!G1506)</f>
        <v/>
      </c>
      <c r="H1505" t="str">
        <f>IF('NEW ACCOUNT'!A1506="","",'NEW ACCOUNT'!H1506)</f>
        <v/>
      </c>
      <c r="I1505" t="str">
        <f>IF('NEW ACCOUNT'!A1506="","",'NEW ACCOUNT'!I1506)</f>
        <v/>
      </c>
      <c r="J1505" t="str">
        <f>IF('NEW ACCOUNT'!A1506="","",'NEW ACCOUNT'!J1506)</f>
        <v/>
      </c>
      <c r="K1505" t="str">
        <f>IFERROR(IF(A1505="","",SUMIF(DB_Savings!$A:$A,A1505,DB_Savings!$F:$F)),"")</f>
        <v/>
      </c>
      <c r="L1505" t="str">
        <f>IFERROR(IF(A1505="","",SUMIF(DB_Withdrawals!$A:$A,A1505,DB_Withdrawals!$G:$G)),"")</f>
        <v/>
      </c>
      <c r="M1505" t="str">
        <f>IFERROR(IF(A1505="","",IFERROR(VALUE(H1505),0)+IFERROR(SUMIF(DB_Savings!$A:$A,A1505,DB_Savings!$F:$F),0)-IFERROR(SUMIF(DB_Withdrawals!$A:$A,A1505,DB_Withdrawals!$G:$G),0)),"")</f>
        <v/>
      </c>
      <c r="N1505" t="str">
        <f>IFERROR(IF(A1505="","",MAX(0,M1505-System_Config!$B$9)),"")</f>
        <v/>
      </c>
    </row>
    <row r="1506" spans="1:14" ht="15" customHeight="1" x14ac:dyDescent="0.25">
      <c r="A1506" t="str">
        <f>'NEW ACCOUNT'!A1507</f>
        <v/>
      </c>
      <c r="B1506" t="str">
        <f>IF('NEW ACCOUNT'!A1507="","",'NEW ACCOUNT'!B1507)</f>
        <v/>
      </c>
      <c r="C1506" t="str">
        <f>IF('NEW ACCOUNT'!A1507="","",'NEW ACCOUNT'!C1507)</f>
        <v/>
      </c>
      <c r="D1506" t="str">
        <f>IF('NEW ACCOUNT'!A1507="","",'NEW ACCOUNT'!D1507)</f>
        <v/>
      </c>
      <c r="E1506" t="str">
        <f>IF('NEW ACCOUNT'!A1507="","",'NEW ACCOUNT'!E1507)</f>
        <v/>
      </c>
      <c r="F1506" t="str">
        <f>IF('NEW ACCOUNT'!A1507="","",'NEW ACCOUNT'!F1507)</f>
        <v/>
      </c>
      <c r="G1506" t="str">
        <f>IF('NEW ACCOUNT'!A1507="","",'NEW ACCOUNT'!G1507)</f>
        <v/>
      </c>
      <c r="H1506" t="str">
        <f>IF('NEW ACCOUNT'!A1507="","",'NEW ACCOUNT'!H1507)</f>
        <v/>
      </c>
      <c r="I1506" t="str">
        <f>IF('NEW ACCOUNT'!A1507="","",'NEW ACCOUNT'!I1507)</f>
        <v/>
      </c>
      <c r="J1506" t="str">
        <f>IF('NEW ACCOUNT'!A1507="","",'NEW ACCOUNT'!J1507)</f>
        <v/>
      </c>
      <c r="K1506" t="str">
        <f>IFERROR(IF(A1506="","",SUMIF(DB_Savings!$A:$A,A1506,DB_Savings!$F:$F)),"")</f>
        <v/>
      </c>
      <c r="L1506" t="str">
        <f>IFERROR(IF(A1506="","",SUMIF(DB_Withdrawals!$A:$A,A1506,DB_Withdrawals!$G:$G)),"")</f>
        <v/>
      </c>
      <c r="M1506" t="str">
        <f>IFERROR(IF(A1506="","",IFERROR(VALUE(H1506),0)+IFERROR(SUMIF(DB_Savings!$A:$A,A1506,DB_Savings!$F:$F),0)-IFERROR(SUMIF(DB_Withdrawals!$A:$A,A1506,DB_Withdrawals!$G:$G),0)),"")</f>
        <v/>
      </c>
      <c r="N1506" t="str">
        <f>IFERROR(IF(A1506="","",MAX(0,M1506-System_Config!$B$9)),"")</f>
        <v/>
      </c>
    </row>
    <row r="1507" spans="1:14" ht="15" customHeight="1" x14ac:dyDescent="0.25">
      <c r="A1507" t="str">
        <f>'NEW ACCOUNT'!A1508</f>
        <v/>
      </c>
      <c r="B1507" t="str">
        <f>IF('NEW ACCOUNT'!A1508="","",'NEW ACCOUNT'!B1508)</f>
        <v/>
      </c>
      <c r="C1507" t="str">
        <f>IF('NEW ACCOUNT'!A1508="","",'NEW ACCOUNT'!C1508)</f>
        <v/>
      </c>
      <c r="D1507" t="str">
        <f>IF('NEW ACCOUNT'!A1508="","",'NEW ACCOUNT'!D1508)</f>
        <v/>
      </c>
      <c r="E1507" t="str">
        <f>IF('NEW ACCOUNT'!A1508="","",'NEW ACCOUNT'!E1508)</f>
        <v/>
      </c>
      <c r="F1507" t="str">
        <f>IF('NEW ACCOUNT'!A1508="","",'NEW ACCOUNT'!F1508)</f>
        <v/>
      </c>
      <c r="G1507" t="str">
        <f>IF('NEW ACCOUNT'!A1508="","",'NEW ACCOUNT'!G1508)</f>
        <v/>
      </c>
      <c r="H1507" t="str">
        <f>IF('NEW ACCOUNT'!A1508="","",'NEW ACCOUNT'!H1508)</f>
        <v/>
      </c>
      <c r="I1507" t="str">
        <f>IF('NEW ACCOUNT'!A1508="","",'NEW ACCOUNT'!I1508)</f>
        <v/>
      </c>
      <c r="J1507" t="str">
        <f>IF('NEW ACCOUNT'!A1508="","",'NEW ACCOUNT'!J1508)</f>
        <v/>
      </c>
      <c r="K1507" t="str">
        <f>IFERROR(IF(A1507="","",SUMIF(DB_Savings!$A:$A,A1507,DB_Savings!$F:$F)),"")</f>
        <v/>
      </c>
      <c r="L1507" t="str">
        <f>IFERROR(IF(A1507="","",SUMIF(DB_Withdrawals!$A:$A,A1507,DB_Withdrawals!$G:$G)),"")</f>
        <v/>
      </c>
      <c r="M1507" t="str">
        <f>IFERROR(IF(A1507="","",IFERROR(VALUE(H1507),0)+IFERROR(SUMIF(DB_Savings!$A:$A,A1507,DB_Savings!$F:$F),0)-IFERROR(SUMIF(DB_Withdrawals!$A:$A,A1507,DB_Withdrawals!$G:$G),0)),"")</f>
        <v/>
      </c>
      <c r="N1507" t="str">
        <f>IFERROR(IF(A1507="","",MAX(0,M1507-System_Config!$B$9)),"")</f>
        <v/>
      </c>
    </row>
    <row r="1508" spans="1:14" ht="15" customHeight="1" x14ac:dyDescent="0.25">
      <c r="A1508" t="str">
        <f>'NEW ACCOUNT'!A1509</f>
        <v/>
      </c>
      <c r="B1508" t="str">
        <f>IF('NEW ACCOUNT'!A1509="","",'NEW ACCOUNT'!B1509)</f>
        <v/>
      </c>
      <c r="C1508" t="str">
        <f>IF('NEW ACCOUNT'!A1509="","",'NEW ACCOUNT'!C1509)</f>
        <v/>
      </c>
      <c r="D1508" t="str">
        <f>IF('NEW ACCOUNT'!A1509="","",'NEW ACCOUNT'!D1509)</f>
        <v/>
      </c>
      <c r="E1508" t="str">
        <f>IF('NEW ACCOUNT'!A1509="","",'NEW ACCOUNT'!E1509)</f>
        <v/>
      </c>
      <c r="F1508" t="str">
        <f>IF('NEW ACCOUNT'!A1509="","",'NEW ACCOUNT'!F1509)</f>
        <v/>
      </c>
      <c r="G1508" t="str">
        <f>IF('NEW ACCOUNT'!A1509="","",'NEW ACCOUNT'!G1509)</f>
        <v/>
      </c>
      <c r="H1508" t="str">
        <f>IF('NEW ACCOUNT'!A1509="","",'NEW ACCOUNT'!H1509)</f>
        <v/>
      </c>
      <c r="I1508" t="str">
        <f>IF('NEW ACCOUNT'!A1509="","",'NEW ACCOUNT'!I1509)</f>
        <v/>
      </c>
      <c r="J1508" t="str">
        <f>IF('NEW ACCOUNT'!A1509="","",'NEW ACCOUNT'!J1509)</f>
        <v/>
      </c>
      <c r="K1508" t="str">
        <f>IFERROR(IF(A1508="","",SUMIF(DB_Savings!$A:$A,A1508,DB_Savings!$F:$F)),"")</f>
        <v/>
      </c>
      <c r="L1508" t="str">
        <f>IFERROR(IF(A1508="","",SUMIF(DB_Withdrawals!$A:$A,A1508,DB_Withdrawals!$G:$G)),"")</f>
        <v/>
      </c>
      <c r="M1508" t="str">
        <f>IFERROR(IF(A1508="","",IFERROR(VALUE(H1508),0)+IFERROR(SUMIF(DB_Savings!$A:$A,A1508,DB_Savings!$F:$F),0)-IFERROR(SUMIF(DB_Withdrawals!$A:$A,A1508,DB_Withdrawals!$G:$G),0)),"")</f>
        <v/>
      </c>
      <c r="N1508" t="str">
        <f>IFERROR(IF(A1508="","",MAX(0,M1508-System_Config!$B$9)),"")</f>
        <v/>
      </c>
    </row>
    <row r="1509" spans="1:14" ht="15" customHeight="1" x14ac:dyDescent="0.25">
      <c r="A1509" t="str">
        <f>'NEW ACCOUNT'!A1510</f>
        <v/>
      </c>
      <c r="B1509" t="str">
        <f>IF('NEW ACCOUNT'!A1510="","",'NEW ACCOUNT'!B1510)</f>
        <v/>
      </c>
      <c r="C1509" t="str">
        <f>IF('NEW ACCOUNT'!A1510="","",'NEW ACCOUNT'!C1510)</f>
        <v/>
      </c>
      <c r="D1509" t="str">
        <f>IF('NEW ACCOUNT'!A1510="","",'NEW ACCOUNT'!D1510)</f>
        <v/>
      </c>
      <c r="E1509" t="str">
        <f>IF('NEW ACCOUNT'!A1510="","",'NEW ACCOUNT'!E1510)</f>
        <v/>
      </c>
      <c r="F1509" t="str">
        <f>IF('NEW ACCOUNT'!A1510="","",'NEW ACCOUNT'!F1510)</f>
        <v/>
      </c>
      <c r="G1509" t="str">
        <f>IF('NEW ACCOUNT'!A1510="","",'NEW ACCOUNT'!G1510)</f>
        <v/>
      </c>
      <c r="H1509" t="str">
        <f>IF('NEW ACCOUNT'!A1510="","",'NEW ACCOUNT'!H1510)</f>
        <v/>
      </c>
      <c r="I1509" t="str">
        <f>IF('NEW ACCOUNT'!A1510="","",'NEW ACCOUNT'!I1510)</f>
        <v/>
      </c>
      <c r="J1509" t="str">
        <f>IF('NEW ACCOUNT'!A1510="","",'NEW ACCOUNT'!J1510)</f>
        <v/>
      </c>
      <c r="K1509" t="str">
        <f>IFERROR(IF(A1509="","",SUMIF(DB_Savings!$A:$A,A1509,DB_Savings!$F:$F)),"")</f>
        <v/>
      </c>
      <c r="L1509" t="str">
        <f>IFERROR(IF(A1509="","",SUMIF(DB_Withdrawals!$A:$A,A1509,DB_Withdrawals!$G:$G)),"")</f>
        <v/>
      </c>
      <c r="M1509" t="str">
        <f>IFERROR(IF(A1509="","",IFERROR(VALUE(H1509),0)+IFERROR(SUMIF(DB_Savings!$A:$A,A1509,DB_Savings!$F:$F),0)-IFERROR(SUMIF(DB_Withdrawals!$A:$A,A1509,DB_Withdrawals!$G:$G),0)),"")</f>
        <v/>
      </c>
      <c r="N1509" t="str">
        <f>IFERROR(IF(A1509="","",MAX(0,M1509-System_Config!$B$9)),"")</f>
        <v/>
      </c>
    </row>
    <row r="1510" spans="1:14" ht="15" customHeight="1" x14ac:dyDescent="0.25">
      <c r="A1510" t="str">
        <f>'NEW ACCOUNT'!A1511</f>
        <v/>
      </c>
      <c r="B1510" t="str">
        <f>IF('NEW ACCOUNT'!A1511="","",'NEW ACCOUNT'!B1511)</f>
        <v/>
      </c>
      <c r="C1510" t="str">
        <f>IF('NEW ACCOUNT'!A1511="","",'NEW ACCOUNT'!C1511)</f>
        <v/>
      </c>
      <c r="D1510" t="str">
        <f>IF('NEW ACCOUNT'!A1511="","",'NEW ACCOUNT'!D1511)</f>
        <v/>
      </c>
      <c r="E1510" t="str">
        <f>IF('NEW ACCOUNT'!A1511="","",'NEW ACCOUNT'!E1511)</f>
        <v/>
      </c>
      <c r="F1510" t="str">
        <f>IF('NEW ACCOUNT'!A1511="","",'NEW ACCOUNT'!F1511)</f>
        <v/>
      </c>
      <c r="G1510" t="str">
        <f>IF('NEW ACCOUNT'!A1511="","",'NEW ACCOUNT'!G1511)</f>
        <v/>
      </c>
      <c r="H1510" t="str">
        <f>IF('NEW ACCOUNT'!A1511="","",'NEW ACCOUNT'!H1511)</f>
        <v/>
      </c>
      <c r="I1510" t="str">
        <f>IF('NEW ACCOUNT'!A1511="","",'NEW ACCOUNT'!I1511)</f>
        <v/>
      </c>
      <c r="J1510" t="str">
        <f>IF('NEW ACCOUNT'!A1511="","",'NEW ACCOUNT'!J1511)</f>
        <v/>
      </c>
      <c r="K1510" t="str">
        <f>IFERROR(IF(A1510="","",SUMIF(DB_Savings!$A:$A,A1510,DB_Savings!$F:$F)),"")</f>
        <v/>
      </c>
      <c r="L1510" t="str">
        <f>IFERROR(IF(A1510="","",SUMIF(DB_Withdrawals!$A:$A,A1510,DB_Withdrawals!$G:$G)),"")</f>
        <v/>
      </c>
      <c r="M1510" t="str">
        <f>IFERROR(IF(A1510="","",IFERROR(VALUE(H1510),0)+IFERROR(SUMIF(DB_Savings!$A:$A,A1510,DB_Savings!$F:$F),0)-IFERROR(SUMIF(DB_Withdrawals!$A:$A,A1510,DB_Withdrawals!$G:$G),0)),"")</f>
        <v/>
      </c>
      <c r="N1510" t="str">
        <f>IFERROR(IF(A1510="","",MAX(0,M1510-System_Config!$B$9)),"")</f>
        <v/>
      </c>
    </row>
    <row r="1511" spans="1:14" ht="15" customHeight="1" x14ac:dyDescent="0.25">
      <c r="A1511" t="str">
        <f>'NEW ACCOUNT'!A1512</f>
        <v/>
      </c>
      <c r="B1511" t="str">
        <f>IF('NEW ACCOUNT'!A1512="","",'NEW ACCOUNT'!B1512)</f>
        <v/>
      </c>
      <c r="C1511" t="str">
        <f>IF('NEW ACCOUNT'!A1512="","",'NEW ACCOUNT'!C1512)</f>
        <v/>
      </c>
      <c r="D1511" t="str">
        <f>IF('NEW ACCOUNT'!A1512="","",'NEW ACCOUNT'!D1512)</f>
        <v/>
      </c>
      <c r="E1511" t="str">
        <f>IF('NEW ACCOUNT'!A1512="","",'NEW ACCOUNT'!E1512)</f>
        <v/>
      </c>
      <c r="F1511" t="str">
        <f>IF('NEW ACCOUNT'!A1512="","",'NEW ACCOUNT'!F1512)</f>
        <v/>
      </c>
      <c r="G1511" t="str">
        <f>IF('NEW ACCOUNT'!A1512="","",'NEW ACCOUNT'!G1512)</f>
        <v/>
      </c>
      <c r="H1511" t="str">
        <f>IF('NEW ACCOUNT'!A1512="","",'NEW ACCOUNT'!H1512)</f>
        <v/>
      </c>
      <c r="I1511" t="str">
        <f>IF('NEW ACCOUNT'!A1512="","",'NEW ACCOUNT'!I1512)</f>
        <v/>
      </c>
      <c r="J1511" t="str">
        <f>IF('NEW ACCOUNT'!A1512="","",'NEW ACCOUNT'!J1512)</f>
        <v/>
      </c>
      <c r="K1511" t="str">
        <f>IFERROR(IF(A1511="","",SUMIF(DB_Savings!$A:$A,A1511,DB_Savings!$F:$F)),"")</f>
        <v/>
      </c>
      <c r="L1511" t="str">
        <f>IFERROR(IF(A1511="","",SUMIF(DB_Withdrawals!$A:$A,A1511,DB_Withdrawals!$G:$G)),"")</f>
        <v/>
      </c>
      <c r="M1511" t="str">
        <f>IFERROR(IF(A1511="","",IFERROR(VALUE(H1511),0)+IFERROR(SUMIF(DB_Savings!$A:$A,A1511,DB_Savings!$F:$F),0)-IFERROR(SUMIF(DB_Withdrawals!$A:$A,A1511,DB_Withdrawals!$G:$G),0)),"")</f>
        <v/>
      </c>
      <c r="N1511" t="str">
        <f>IFERROR(IF(A1511="","",MAX(0,M1511-System_Config!$B$9)),"")</f>
        <v/>
      </c>
    </row>
    <row r="1512" spans="1:14" ht="15" customHeight="1" x14ac:dyDescent="0.25">
      <c r="A1512" t="str">
        <f>'NEW ACCOUNT'!A1513</f>
        <v/>
      </c>
      <c r="B1512" t="str">
        <f>IF('NEW ACCOUNT'!A1513="","",'NEW ACCOUNT'!B1513)</f>
        <v/>
      </c>
      <c r="C1512" t="str">
        <f>IF('NEW ACCOUNT'!A1513="","",'NEW ACCOUNT'!C1513)</f>
        <v/>
      </c>
      <c r="D1512" t="str">
        <f>IF('NEW ACCOUNT'!A1513="","",'NEW ACCOUNT'!D1513)</f>
        <v/>
      </c>
      <c r="E1512" t="str">
        <f>IF('NEW ACCOUNT'!A1513="","",'NEW ACCOUNT'!E1513)</f>
        <v/>
      </c>
      <c r="F1512" t="str">
        <f>IF('NEW ACCOUNT'!A1513="","",'NEW ACCOUNT'!F1513)</f>
        <v/>
      </c>
      <c r="G1512" t="str">
        <f>IF('NEW ACCOUNT'!A1513="","",'NEW ACCOUNT'!G1513)</f>
        <v/>
      </c>
      <c r="H1512" t="str">
        <f>IF('NEW ACCOUNT'!A1513="","",'NEW ACCOUNT'!H1513)</f>
        <v/>
      </c>
      <c r="I1512" t="str">
        <f>IF('NEW ACCOUNT'!A1513="","",'NEW ACCOUNT'!I1513)</f>
        <v/>
      </c>
      <c r="J1512" t="str">
        <f>IF('NEW ACCOUNT'!A1513="","",'NEW ACCOUNT'!J1513)</f>
        <v/>
      </c>
      <c r="K1512" t="str">
        <f>IFERROR(IF(A1512="","",SUMIF(DB_Savings!$A:$A,A1512,DB_Savings!$F:$F)),"")</f>
        <v/>
      </c>
      <c r="L1512" t="str">
        <f>IFERROR(IF(A1512="","",SUMIF(DB_Withdrawals!$A:$A,A1512,DB_Withdrawals!$G:$G)),"")</f>
        <v/>
      </c>
      <c r="M1512" t="str">
        <f>IFERROR(IF(A1512="","",IFERROR(VALUE(H1512),0)+IFERROR(SUMIF(DB_Savings!$A:$A,A1512,DB_Savings!$F:$F),0)-IFERROR(SUMIF(DB_Withdrawals!$A:$A,A1512,DB_Withdrawals!$G:$G),0)),"")</f>
        <v/>
      </c>
      <c r="N1512" t="str">
        <f>IFERROR(IF(A1512="","",MAX(0,M1512-System_Config!$B$9)),"")</f>
        <v/>
      </c>
    </row>
    <row r="1513" spans="1:14" ht="15" customHeight="1" x14ac:dyDescent="0.25">
      <c r="A1513" t="str">
        <f>'NEW ACCOUNT'!A1514</f>
        <v/>
      </c>
      <c r="B1513" t="str">
        <f>IF('NEW ACCOUNT'!A1514="","",'NEW ACCOUNT'!B1514)</f>
        <v/>
      </c>
      <c r="C1513" t="str">
        <f>IF('NEW ACCOUNT'!A1514="","",'NEW ACCOUNT'!C1514)</f>
        <v/>
      </c>
      <c r="D1513" t="str">
        <f>IF('NEW ACCOUNT'!A1514="","",'NEW ACCOUNT'!D1514)</f>
        <v/>
      </c>
      <c r="E1513" t="str">
        <f>IF('NEW ACCOUNT'!A1514="","",'NEW ACCOUNT'!E1514)</f>
        <v/>
      </c>
      <c r="F1513" t="str">
        <f>IF('NEW ACCOUNT'!A1514="","",'NEW ACCOUNT'!F1514)</f>
        <v/>
      </c>
      <c r="G1513" t="str">
        <f>IF('NEW ACCOUNT'!A1514="","",'NEW ACCOUNT'!G1514)</f>
        <v/>
      </c>
      <c r="H1513" t="str">
        <f>IF('NEW ACCOUNT'!A1514="","",'NEW ACCOUNT'!H1514)</f>
        <v/>
      </c>
      <c r="I1513" t="str">
        <f>IF('NEW ACCOUNT'!A1514="","",'NEW ACCOUNT'!I1514)</f>
        <v/>
      </c>
      <c r="J1513" t="str">
        <f>IF('NEW ACCOUNT'!A1514="","",'NEW ACCOUNT'!J1514)</f>
        <v/>
      </c>
      <c r="K1513" t="str">
        <f>IFERROR(IF(A1513="","",SUMIF(DB_Savings!$A:$A,A1513,DB_Savings!$F:$F)),"")</f>
        <v/>
      </c>
      <c r="L1513" t="str">
        <f>IFERROR(IF(A1513="","",SUMIF(DB_Withdrawals!$A:$A,A1513,DB_Withdrawals!$G:$G)),"")</f>
        <v/>
      </c>
      <c r="M1513" t="str">
        <f>IFERROR(IF(A1513="","",IFERROR(VALUE(H1513),0)+IFERROR(SUMIF(DB_Savings!$A:$A,A1513,DB_Savings!$F:$F),0)-IFERROR(SUMIF(DB_Withdrawals!$A:$A,A1513,DB_Withdrawals!$G:$G),0)),"")</f>
        <v/>
      </c>
      <c r="N1513" t="str">
        <f>IFERROR(IF(A1513="","",MAX(0,M1513-System_Config!$B$9)),"")</f>
        <v/>
      </c>
    </row>
    <row r="1514" spans="1:14" ht="15" customHeight="1" x14ac:dyDescent="0.25">
      <c r="A1514" t="str">
        <f>'NEW ACCOUNT'!A1515</f>
        <v/>
      </c>
      <c r="B1514" t="str">
        <f>IF('NEW ACCOUNT'!A1515="","",'NEW ACCOUNT'!B1515)</f>
        <v/>
      </c>
      <c r="C1514" t="str">
        <f>IF('NEW ACCOUNT'!A1515="","",'NEW ACCOUNT'!C1515)</f>
        <v/>
      </c>
      <c r="D1514" t="str">
        <f>IF('NEW ACCOUNT'!A1515="","",'NEW ACCOUNT'!D1515)</f>
        <v/>
      </c>
      <c r="E1514" t="str">
        <f>IF('NEW ACCOUNT'!A1515="","",'NEW ACCOUNT'!E1515)</f>
        <v/>
      </c>
      <c r="F1514" t="str">
        <f>IF('NEW ACCOUNT'!A1515="","",'NEW ACCOUNT'!F1515)</f>
        <v/>
      </c>
      <c r="G1514" t="str">
        <f>IF('NEW ACCOUNT'!A1515="","",'NEW ACCOUNT'!G1515)</f>
        <v/>
      </c>
      <c r="H1514" t="str">
        <f>IF('NEW ACCOUNT'!A1515="","",'NEW ACCOUNT'!H1515)</f>
        <v/>
      </c>
      <c r="I1514" t="str">
        <f>IF('NEW ACCOUNT'!A1515="","",'NEW ACCOUNT'!I1515)</f>
        <v/>
      </c>
      <c r="J1514" t="str">
        <f>IF('NEW ACCOUNT'!A1515="","",'NEW ACCOUNT'!J1515)</f>
        <v/>
      </c>
      <c r="K1514" t="str">
        <f>IFERROR(IF(A1514="","",SUMIF(DB_Savings!$A:$A,A1514,DB_Savings!$F:$F)),"")</f>
        <v/>
      </c>
      <c r="L1514" t="str">
        <f>IFERROR(IF(A1514="","",SUMIF(DB_Withdrawals!$A:$A,A1514,DB_Withdrawals!$G:$G)),"")</f>
        <v/>
      </c>
      <c r="M1514" t="str">
        <f>IFERROR(IF(A1514="","",IFERROR(VALUE(H1514),0)+IFERROR(SUMIF(DB_Savings!$A:$A,A1514,DB_Savings!$F:$F),0)-IFERROR(SUMIF(DB_Withdrawals!$A:$A,A1514,DB_Withdrawals!$G:$G),0)),"")</f>
        <v/>
      </c>
      <c r="N1514" t="str">
        <f>IFERROR(IF(A1514="","",MAX(0,M1514-System_Config!$B$9)),"")</f>
        <v/>
      </c>
    </row>
    <row r="1515" spans="1:14" ht="15" customHeight="1" x14ac:dyDescent="0.25">
      <c r="A1515" t="str">
        <f>'NEW ACCOUNT'!A1516</f>
        <v/>
      </c>
      <c r="B1515" t="str">
        <f>IF('NEW ACCOUNT'!A1516="","",'NEW ACCOUNT'!B1516)</f>
        <v/>
      </c>
      <c r="C1515" t="str">
        <f>IF('NEW ACCOUNT'!A1516="","",'NEW ACCOUNT'!C1516)</f>
        <v/>
      </c>
      <c r="D1515" t="str">
        <f>IF('NEW ACCOUNT'!A1516="","",'NEW ACCOUNT'!D1516)</f>
        <v/>
      </c>
      <c r="E1515" t="str">
        <f>IF('NEW ACCOUNT'!A1516="","",'NEW ACCOUNT'!E1516)</f>
        <v/>
      </c>
      <c r="F1515" t="str">
        <f>IF('NEW ACCOUNT'!A1516="","",'NEW ACCOUNT'!F1516)</f>
        <v/>
      </c>
      <c r="G1515" t="str">
        <f>IF('NEW ACCOUNT'!A1516="","",'NEW ACCOUNT'!G1516)</f>
        <v/>
      </c>
      <c r="H1515" t="str">
        <f>IF('NEW ACCOUNT'!A1516="","",'NEW ACCOUNT'!H1516)</f>
        <v/>
      </c>
      <c r="I1515" t="str">
        <f>IF('NEW ACCOUNT'!A1516="","",'NEW ACCOUNT'!I1516)</f>
        <v/>
      </c>
      <c r="J1515" t="str">
        <f>IF('NEW ACCOUNT'!A1516="","",'NEW ACCOUNT'!J1516)</f>
        <v/>
      </c>
      <c r="K1515" t="str">
        <f>IFERROR(IF(A1515="","",SUMIF(DB_Savings!$A:$A,A1515,DB_Savings!$F:$F)),"")</f>
        <v/>
      </c>
      <c r="L1515" t="str">
        <f>IFERROR(IF(A1515="","",SUMIF(DB_Withdrawals!$A:$A,A1515,DB_Withdrawals!$G:$G)),"")</f>
        <v/>
      </c>
      <c r="M1515" t="str">
        <f>IFERROR(IF(A1515="","",IFERROR(VALUE(H1515),0)+IFERROR(SUMIF(DB_Savings!$A:$A,A1515,DB_Savings!$F:$F),0)-IFERROR(SUMIF(DB_Withdrawals!$A:$A,A1515,DB_Withdrawals!$G:$G),0)),"")</f>
        <v/>
      </c>
      <c r="N1515" t="str">
        <f>IFERROR(IF(A1515="","",MAX(0,M1515-System_Config!$B$9)),"")</f>
        <v/>
      </c>
    </row>
    <row r="1516" spans="1:14" ht="15" customHeight="1" x14ac:dyDescent="0.25">
      <c r="A1516" t="str">
        <f>'NEW ACCOUNT'!A1517</f>
        <v/>
      </c>
      <c r="B1516" t="str">
        <f>IF('NEW ACCOUNT'!A1517="","",'NEW ACCOUNT'!B1517)</f>
        <v/>
      </c>
      <c r="C1516" t="str">
        <f>IF('NEW ACCOUNT'!A1517="","",'NEW ACCOUNT'!C1517)</f>
        <v/>
      </c>
      <c r="D1516" t="str">
        <f>IF('NEW ACCOUNT'!A1517="","",'NEW ACCOUNT'!D1517)</f>
        <v/>
      </c>
      <c r="E1516" t="str">
        <f>IF('NEW ACCOUNT'!A1517="","",'NEW ACCOUNT'!E1517)</f>
        <v/>
      </c>
      <c r="F1516" t="str">
        <f>IF('NEW ACCOUNT'!A1517="","",'NEW ACCOUNT'!F1517)</f>
        <v/>
      </c>
      <c r="G1516" t="str">
        <f>IF('NEW ACCOUNT'!A1517="","",'NEW ACCOUNT'!G1517)</f>
        <v/>
      </c>
      <c r="H1516" t="str">
        <f>IF('NEW ACCOUNT'!A1517="","",'NEW ACCOUNT'!H1517)</f>
        <v/>
      </c>
      <c r="I1516" t="str">
        <f>IF('NEW ACCOUNT'!A1517="","",'NEW ACCOUNT'!I1517)</f>
        <v/>
      </c>
      <c r="J1516" t="str">
        <f>IF('NEW ACCOUNT'!A1517="","",'NEW ACCOUNT'!J1517)</f>
        <v/>
      </c>
      <c r="K1516" t="str">
        <f>IFERROR(IF(A1516="","",SUMIF(DB_Savings!$A:$A,A1516,DB_Savings!$F:$F)),"")</f>
        <v/>
      </c>
      <c r="L1516" t="str">
        <f>IFERROR(IF(A1516="","",SUMIF(DB_Withdrawals!$A:$A,A1516,DB_Withdrawals!$G:$G)),"")</f>
        <v/>
      </c>
      <c r="M1516" t="str">
        <f>IFERROR(IF(A1516="","",IFERROR(VALUE(H1516),0)+IFERROR(SUMIF(DB_Savings!$A:$A,A1516,DB_Savings!$F:$F),0)-IFERROR(SUMIF(DB_Withdrawals!$A:$A,A1516,DB_Withdrawals!$G:$G),0)),"")</f>
        <v/>
      </c>
      <c r="N1516" t="str">
        <f>IFERROR(IF(A1516="","",MAX(0,M1516-System_Config!$B$9)),"")</f>
        <v/>
      </c>
    </row>
    <row r="1517" spans="1:14" ht="15" customHeight="1" x14ac:dyDescent="0.25">
      <c r="A1517" t="str">
        <f>'NEW ACCOUNT'!A1518</f>
        <v/>
      </c>
      <c r="B1517" t="str">
        <f>IF('NEW ACCOUNT'!A1518="","",'NEW ACCOUNT'!B1518)</f>
        <v/>
      </c>
      <c r="C1517" t="str">
        <f>IF('NEW ACCOUNT'!A1518="","",'NEW ACCOUNT'!C1518)</f>
        <v/>
      </c>
      <c r="D1517" t="str">
        <f>IF('NEW ACCOUNT'!A1518="","",'NEW ACCOUNT'!D1518)</f>
        <v/>
      </c>
      <c r="E1517" t="str">
        <f>IF('NEW ACCOUNT'!A1518="","",'NEW ACCOUNT'!E1518)</f>
        <v/>
      </c>
      <c r="F1517" t="str">
        <f>IF('NEW ACCOUNT'!A1518="","",'NEW ACCOUNT'!F1518)</f>
        <v/>
      </c>
      <c r="G1517" t="str">
        <f>IF('NEW ACCOUNT'!A1518="","",'NEW ACCOUNT'!G1518)</f>
        <v/>
      </c>
      <c r="H1517" t="str">
        <f>IF('NEW ACCOUNT'!A1518="","",'NEW ACCOUNT'!H1518)</f>
        <v/>
      </c>
      <c r="I1517" t="str">
        <f>IF('NEW ACCOUNT'!A1518="","",'NEW ACCOUNT'!I1518)</f>
        <v/>
      </c>
      <c r="J1517" t="str">
        <f>IF('NEW ACCOUNT'!A1518="","",'NEW ACCOUNT'!J1518)</f>
        <v/>
      </c>
      <c r="K1517" t="str">
        <f>IFERROR(IF(A1517="","",SUMIF(DB_Savings!$A:$A,A1517,DB_Savings!$F:$F)),"")</f>
        <v/>
      </c>
      <c r="L1517" t="str">
        <f>IFERROR(IF(A1517="","",SUMIF(DB_Withdrawals!$A:$A,A1517,DB_Withdrawals!$G:$G)),"")</f>
        <v/>
      </c>
      <c r="M1517" t="str">
        <f>IFERROR(IF(A1517="","",IFERROR(VALUE(H1517),0)+IFERROR(SUMIF(DB_Savings!$A:$A,A1517,DB_Savings!$F:$F),0)-IFERROR(SUMIF(DB_Withdrawals!$A:$A,A1517,DB_Withdrawals!$G:$G),0)),"")</f>
        <v/>
      </c>
      <c r="N1517" t="str">
        <f>IFERROR(IF(A1517="","",MAX(0,M1517-System_Config!$B$9)),"")</f>
        <v/>
      </c>
    </row>
    <row r="1518" spans="1:14" ht="15" customHeight="1" x14ac:dyDescent="0.25">
      <c r="A1518" t="str">
        <f>'NEW ACCOUNT'!A1519</f>
        <v/>
      </c>
      <c r="B1518" t="str">
        <f>IF('NEW ACCOUNT'!A1519="","",'NEW ACCOUNT'!B1519)</f>
        <v/>
      </c>
      <c r="C1518" t="str">
        <f>IF('NEW ACCOUNT'!A1519="","",'NEW ACCOUNT'!C1519)</f>
        <v/>
      </c>
      <c r="D1518" t="str">
        <f>IF('NEW ACCOUNT'!A1519="","",'NEW ACCOUNT'!D1519)</f>
        <v/>
      </c>
      <c r="E1518" t="str">
        <f>IF('NEW ACCOUNT'!A1519="","",'NEW ACCOUNT'!E1519)</f>
        <v/>
      </c>
      <c r="F1518" t="str">
        <f>IF('NEW ACCOUNT'!A1519="","",'NEW ACCOUNT'!F1519)</f>
        <v/>
      </c>
      <c r="G1518" t="str">
        <f>IF('NEW ACCOUNT'!A1519="","",'NEW ACCOUNT'!G1519)</f>
        <v/>
      </c>
      <c r="H1518" t="str">
        <f>IF('NEW ACCOUNT'!A1519="","",'NEW ACCOUNT'!H1519)</f>
        <v/>
      </c>
      <c r="I1518" t="str">
        <f>IF('NEW ACCOUNT'!A1519="","",'NEW ACCOUNT'!I1519)</f>
        <v/>
      </c>
      <c r="J1518" t="str">
        <f>IF('NEW ACCOUNT'!A1519="","",'NEW ACCOUNT'!J1519)</f>
        <v/>
      </c>
      <c r="K1518" t="str">
        <f>IFERROR(IF(A1518="","",SUMIF(DB_Savings!$A:$A,A1518,DB_Savings!$F:$F)),"")</f>
        <v/>
      </c>
      <c r="L1518" t="str">
        <f>IFERROR(IF(A1518="","",SUMIF(DB_Withdrawals!$A:$A,A1518,DB_Withdrawals!$G:$G)),"")</f>
        <v/>
      </c>
      <c r="M1518" t="str">
        <f>IFERROR(IF(A1518="","",IFERROR(VALUE(H1518),0)+IFERROR(SUMIF(DB_Savings!$A:$A,A1518,DB_Savings!$F:$F),0)-IFERROR(SUMIF(DB_Withdrawals!$A:$A,A1518,DB_Withdrawals!$G:$G),0)),"")</f>
        <v/>
      </c>
      <c r="N1518" t="str">
        <f>IFERROR(IF(A1518="","",MAX(0,M1518-System_Config!$B$9)),"")</f>
        <v/>
      </c>
    </row>
    <row r="1519" spans="1:14" ht="15" customHeight="1" x14ac:dyDescent="0.25">
      <c r="A1519" t="str">
        <f>'NEW ACCOUNT'!A1520</f>
        <v/>
      </c>
      <c r="B1519" t="str">
        <f>IF('NEW ACCOUNT'!A1520="","",'NEW ACCOUNT'!B1520)</f>
        <v/>
      </c>
      <c r="C1519" t="str">
        <f>IF('NEW ACCOUNT'!A1520="","",'NEW ACCOUNT'!C1520)</f>
        <v/>
      </c>
      <c r="D1519" t="str">
        <f>IF('NEW ACCOUNT'!A1520="","",'NEW ACCOUNT'!D1520)</f>
        <v/>
      </c>
      <c r="E1519" t="str">
        <f>IF('NEW ACCOUNT'!A1520="","",'NEW ACCOUNT'!E1520)</f>
        <v/>
      </c>
      <c r="F1519" t="str">
        <f>IF('NEW ACCOUNT'!A1520="","",'NEW ACCOUNT'!F1520)</f>
        <v/>
      </c>
      <c r="G1519" t="str">
        <f>IF('NEW ACCOUNT'!A1520="","",'NEW ACCOUNT'!G1520)</f>
        <v/>
      </c>
      <c r="H1519" t="str">
        <f>IF('NEW ACCOUNT'!A1520="","",'NEW ACCOUNT'!H1520)</f>
        <v/>
      </c>
      <c r="I1519" t="str">
        <f>IF('NEW ACCOUNT'!A1520="","",'NEW ACCOUNT'!I1520)</f>
        <v/>
      </c>
      <c r="J1519" t="str">
        <f>IF('NEW ACCOUNT'!A1520="","",'NEW ACCOUNT'!J1520)</f>
        <v/>
      </c>
      <c r="K1519" t="str">
        <f>IFERROR(IF(A1519="","",SUMIF(DB_Savings!$A:$A,A1519,DB_Savings!$F:$F)),"")</f>
        <v/>
      </c>
      <c r="L1519" t="str">
        <f>IFERROR(IF(A1519="","",SUMIF(DB_Withdrawals!$A:$A,A1519,DB_Withdrawals!$G:$G)),"")</f>
        <v/>
      </c>
      <c r="M1519" t="str">
        <f>IFERROR(IF(A1519="","",IFERROR(VALUE(H1519),0)+IFERROR(SUMIF(DB_Savings!$A:$A,A1519,DB_Savings!$F:$F),0)-IFERROR(SUMIF(DB_Withdrawals!$A:$A,A1519,DB_Withdrawals!$G:$G),0)),"")</f>
        <v/>
      </c>
      <c r="N1519" t="str">
        <f>IFERROR(IF(A1519="","",MAX(0,M1519-System_Config!$B$9)),"")</f>
        <v/>
      </c>
    </row>
    <row r="1520" spans="1:14" ht="15" customHeight="1" x14ac:dyDescent="0.25">
      <c r="A1520" t="str">
        <f>'NEW ACCOUNT'!A1521</f>
        <v/>
      </c>
      <c r="B1520" t="str">
        <f>IF('NEW ACCOUNT'!A1521="","",'NEW ACCOUNT'!B1521)</f>
        <v/>
      </c>
      <c r="C1520" t="str">
        <f>IF('NEW ACCOUNT'!A1521="","",'NEW ACCOUNT'!C1521)</f>
        <v/>
      </c>
      <c r="D1520" t="str">
        <f>IF('NEW ACCOUNT'!A1521="","",'NEW ACCOUNT'!D1521)</f>
        <v/>
      </c>
      <c r="E1520" t="str">
        <f>IF('NEW ACCOUNT'!A1521="","",'NEW ACCOUNT'!E1521)</f>
        <v/>
      </c>
      <c r="F1520" t="str">
        <f>IF('NEW ACCOUNT'!A1521="","",'NEW ACCOUNT'!F1521)</f>
        <v/>
      </c>
      <c r="G1520" t="str">
        <f>IF('NEW ACCOUNT'!A1521="","",'NEW ACCOUNT'!G1521)</f>
        <v/>
      </c>
      <c r="H1520" t="str">
        <f>IF('NEW ACCOUNT'!A1521="","",'NEW ACCOUNT'!H1521)</f>
        <v/>
      </c>
      <c r="I1520" t="str">
        <f>IF('NEW ACCOUNT'!A1521="","",'NEW ACCOUNT'!I1521)</f>
        <v/>
      </c>
      <c r="J1520" t="str">
        <f>IF('NEW ACCOUNT'!A1521="","",'NEW ACCOUNT'!J1521)</f>
        <v/>
      </c>
      <c r="K1520" t="str">
        <f>IFERROR(IF(A1520="","",SUMIF(DB_Savings!$A:$A,A1520,DB_Savings!$F:$F)),"")</f>
        <v/>
      </c>
      <c r="L1520" t="str">
        <f>IFERROR(IF(A1520="","",SUMIF(DB_Withdrawals!$A:$A,A1520,DB_Withdrawals!$G:$G)),"")</f>
        <v/>
      </c>
      <c r="M1520" t="str">
        <f>IFERROR(IF(A1520="","",IFERROR(VALUE(H1520),0)+IFERROR(SUMIF(DB_Savings!$A:$A,A1520,DB_Savings!$F:$F),0)-IFERROR(SUMIF(DB_Withdrawals!$A:$A,A1520,DB_Withdrawals!$G:$G),0)),"")</f>
        <v/>
      </c>
      <c r="N1520" t="str">
        <f>IFERROR(IF(A1520="","",MAX(0,M1520-System_Config!$B$9)),"")</f>
        <v/>
      </c>
    </row>
    <row r="1521" spans="1:14" ht="15" customHeight="1" x14ac:dyDescent="0.25">
      <c r="A1521" t="str">
        <f>'NEW ACCOUNT'!A1522</f>
        <v/>
      </c>
      <c r="B1521" t="str">
        <f>IF('NEW ACCOUNT'!A1522="","",'NEW ACCOUNT'!B1522)</f>
        <v/>
      </c>
      <c r="C1521" t="str">
        <f>IF('NEW ACCOUNT'!A1522="","",'NEW ACCOUNT'!C1522)</f>
        <v/>
      </c>
      <c r="D1521" t="str">
        <f>IF('NEW ACCOUNT'!A1522="","",'NEW ACCOUNT'!D1522)</f>
        <v/>
      </c>
      <c r="E1521" t="str">
        <f>IF('NEW ACCOUNT'!A1522="","",'NEW ACCOUNT'!E1522)</f>
        <v/>
      </c>
      <c r="F1521" t="str">
        <f>IF('NEW ACCOUNT'!A1522="","",'NEW ACCOUNT'!F1522)</f>
        <v/>
      </c>
      <c r="G1521" t="str">
        <f>IF('NEW ACCOUNT'!A1522="","",'NEW ACCOUNT'!G1522)</f>
        <v/>
      </c>
      <c r="H1521" t="str">
        <f>IF('NEW ACCOUNT'!A1522="","",'NEW ACCOUNT'!H1522)</f>
        <v/>
      </c>
      <c r="I1521" t="str">
        <f>IF('NEW ACCOUNT'!A1522="","",'NEW ACCOUNT'!I1522)</f>
        <v/>
      </c>
      <c r="J1521" t="str">
        <f>IF('NEW ACCOUNT'!A1522="","",'NEW ACCOUNT'!J1522)</f>
        <v/>
      </c>
      <c r="K1521" t="str">
        <f>IFERROR(IF(A1521="","",SUMIF(DB_Savings!$A:$A,A1521,DB_Savings!$F:$F)),"")</f>
        <v/>
      </c>
      <c r="L1521" t="str">
        <f>IFERROR(IF(A1521="","",SUMIF(DB_Withdrawals!$A:$A,A1521,DB_Withdrawals!$G:$G)),"")</f>
        <v/>
      </c>
      <c r="M1521" t="str">
        <f>IFERROR(IF(A1521="","",IFERROR(VALUE(H1521),0)+IFERROR(SUMIF(DB_Savings!$A:$A,A1521,DB_Savings!$F:$F),0)-IFERROR(SUMIF(DB_Withdrawals!$A:$A,A1521,DB_Withdrawals!$G:$G),0)),"")</f>
        <v/>
      </c>
      <c r="N1521" t="str">
        <f>IFERROR(IF(A1521="","",MAX(0,M1521-System_Config!$B$9)),"")</f>
        <v/>
      </c>
    </row>
    <row r="1522" spans="1:14" ht="15" customHeight="1" x14ac:dyDescent="0.25">
      <c r="A1522" t="str">
        <f>'NEW ACCOUNT'!A1523</f>
        <v/>
      </c>
      <c r="B1522" t="str">
        <f>IF('NEW ACCOUNT'!A1523="","",'NEW ACCOUNT'!B1523)</f>
        <v/>
      </c>
      <c r="C1522" t="str">
        <f>IF('NEW ACCOUNT'!A1523="","",'NEW ACCOUNT'!C1523)</f>
        <v/>
      </c>
      <c r="D1522" t="str">
        <f>IF('NEW ACCOUNT'!A1523="","",'NEW ACCOUNT'!D1523)</f>
        <v/>
      </c>
      <c r="E1522" t="str">
        <f>IF('NEW ACCOUNT'!A1523="","",'NEW ACCOUNT'!E1523)</f>
        <v/>
      </c>
      <c r="F1522" t="str">
        <f>IF('NEW ACCOUNT'!A1523="","",'NEW ACCOUNT'!F1523)</f>
        <v/>
      </c>
      <c r="G1522" t="str">
        <f>IF('NEW ACCOUNT'!A1523="","",'NEW ACCOUNT'!G1523)</f>
        <v/>
      </c>
      <c r="H1522" t="str">
        <f>IF('NEW ACCOUNT'!A1523="","",'NEW ACCOUNT'!H1523)</f>
        <v/>
      </c>
      <c r="I1522" t="str">
        <f>IF('NEW ACCOUNT'!A1523="","",'NEW ACCOUNT'!I1523)</f>
        <v/>
      </c>
      <c r="J1522" t="str">
        <f>IF('NEW ACCOUNT'!A1523="","",'NEW ACCOUNT'!J1523)</f>
        <v/>
      </c>
      <c r="K1522" t="str">
        <f>IFERROR(IF(A1522="","",SUMIF(DB_Savings!$A:$A,A1522,DB_Savings!$F:$F)),"")</f>
        <v/>
      </c>
      <c r="L1522" t="str">
        <f>IFERROR(IF(A1522="","",SUMIF(DB_Withdrawals!$A:$A,A1522,DB_Withdrawals!$G:$G)),"")</f>
        <v/>
      </c>
      <c r="M1522" t="str">
        <f>IFERROR(IF(A1522="","",IFERROR(VALUE(H1522),0)+IFERROR(SUMIF(DB_Savings!$A:$A,A1522,DB_Savings!$F:$F),0)-IFERROR(SUMIF(DB_Withdrawals!$A:$A,A1522,DB_Withdrawals!$G:$G),0)),"")</f>
        <v/>
      </c>
      <c r="N1522" t="str">
        <f>IFERROR(IF(A1522="","",MAX(0,M1522-System_Config!$B$9)),"")</f>
        <v/>
      </c>
    </row>
    <row r="1523" spans="1:14" ht="15" customHeight="1" x14ac:dyDescent="0.25">
      <c r="A1523" t="str">
        <f>'NEW ACCOUNT'!A1524</f>
        <v/>
      </c>
      <c r="B1523" t="str">
        <f>IF('NEW ACCOUNT'!A1524="","",'NEW ACCOUNT'!B1524)</f>
        <v/>
      </c>
      <c r="C1523" t="str">
        <f>IF('NEW ACCOUNT'!A1524="","",'NEW ACCOUNT'!C1524)</f>
        <v/>
      </c>
      <c r="D1523" t="str">
        <f>IF('NEW ACCOUNT'!A1524="","",'NEW ACCOUNT'!D1524)</f>
        <v/>
      </c>
      <c r="E1523" t="str">
        <f>IF('NEW ACCOUNT'!A1524="","",'NEW ACCOUNT'!E1524)</f>
        <v/>
      </c>
      <c r="F1523" t="str">
        <f>IF('NEW ACCOUNT'!A1524="","",'NEW ACCOUNT'!F1524)</f>
        <v/>
      </c>
      <c r="G1523" t="str">
        <f>IF('NEW ACCOUNT'!A1524="","",'NEW ACCOUNT'!G1524)</f>
        <v/>
      </c>
      <c r="H1523" t="str">
        <f>IF('NEW ACCOUNT'!A1524="","",'NEW ACCOUNT'!H1524)</f>
        <v/>
      </c>
      <c r="I1523" t="str">
        <f>IF('NEW ACCOUNT'!A1524="","",'NEW ACCOUNT'!I1524)</f>
        <v/>
      </c>
      <c r="J1523" t="str">
        <f>IF('NEW ACCOUNT'!A1524="","",'NEW ACCOUNT'!J1524)</f>
        <v/>
      </c>
      <c r="K1523" t="str">
        <f>IFERROR(IF(A1523="","",SUMIF(DB_Savings!$A:$A,A1523,DB_Savings!$F:$F)),"")</f>
        <v/>
      </c>
      <c r="L1523" t="str">
        <f>IFERROR(IF(A1523="","",SUMIF(DB_Withdrawals!$A:$A,A1523,DB_Withdrawals!$G:$G)),"")</f>
        <v/>
      </c>
      <c r="M1523" t="str">
        <f>IFERROR(IF(A1523="","",IFERROR(VALUE(H1523),0)+IFERROR(SUMIF(DB_Savings!$A:$A,A1523,DB_Savings!$F:$F),0)-IFERROR(SUMIF(DB_Withdrawals!$A:$A,A1523,DB_Withdrawals!$G:$G),0)),"")</f>
        <v/>
      </c>
      <c r="N1523" t="str">
        <f>IFERROR(IF(A1523="","",MAX(0,M1523-System_Config!$B$9)),"")</f>
        <v/>
      </c>
    </row>
    <row r="1524" spans="1:14" ht="15" customHeight="1" x14ac:dyDescent="0.25">
      <c r="A1524" t="str">
        <f>'NEW ACCOUNT'!A1525</f>
        <v/>
      </c>
      <c r="B1524" t="str">
        <f>IF('NEW ACCOUNT'!A1525="","",'NEW ACCOUNT'!B1525)</f>
        <v/>
      </c>
      <c r="C1524" t="str">
        <f>IF('NEW ACCOUNT'!A1525="","",'NEW ACCOUNT'!C1525)</f>
        <v/>
      </c>
      <c r="D1524" t="str">
        <f>IF('NEW ACCOUNT'!A1525="","",'NEW ACCOUNT'!D1525)</f>
        <v/>
      </c>
      <c r="E1524" t="str">
        <f>IF('NEW ACCOUNT'!A1525="","",'NEW ACCOUNT'!E1525)</f>
        <v/>
      </c>
      <c r="F1524" t="str">
        <f>IF('NEW ACCOUNT'!A1525="","",'NEW ACCOUNT'!F1525)</f>
        <v/>
      </c>
      <c r="G1524" t="str">
        <f>IF('NEW ACCOUNT'!A1525="","",'NEW ACCOUNT'!G1525)</f>
        <v/>
      </c>
      <c r="H1524" t="str">
        <f>IF('NEW ACCOUNT'!A1525="","",'NEW ACCOUNT'!H1525)</f>
        <v/>
      </c>
      <c r="I1524" t="str">
        <f>IF('NEW ACCOUNT'!A1525="","",'NEW ACCOUNT'!I1525)</f>
        <v/>
      </c>
      <c r="J1524" t="str">
        <f>IF('NEW ACCOUNT'!A1525="","",'NEW ACCOUNT'!J1525)</f>
        <v/>
      </c>
      <c r="K1524" t="str">
        <f>IFERROR(IF(A1524="","",SUMIF(DB_Savings!$A:$A,A1524,DB_Savings!$F:$F)),"")</f>
        <v/>
      </c>
      <c r="L1524" t="str">
        <f>IFERROR(IF(A1524="","",SUMIF(DB_Withdrawals!$A:$A,A1524,DB_Withdrawals!$G:$G)),"")</f>
        <v/>
      </c>
      <c r="M1524" t="str">
        <f>IFERROR(IF(A1524="","",IFERROR(VALUE(H1524),0)+IFERROR(SUMIF(DB_Savings!$A:$A,A1524,DB_Savings!$F:$F),0)-IFERROR(SUMIF(DB_Withdrawals!$A:$A,A1524,DB_Withdrawals!$G:$G),0)),"")</f>
        <v/>
      </c>
      <c r="N1524" t="str">
        <f>IFERROR(IF(A1524="","",MAX(0,M1524-System_Config!$B$9)),"")</f>
        <v/>
      </c>
    </row>
    <row r="1525" spans="1:14" ht="15" customHeight="1" x14ac:dyDescent="0.25">
      <c r="A1525" t="str">
        <f>'NEW ACCOUNT'!A1526</f>
        <v/>
      </c>
      <c r="B1525" t="str">
        <f>IF('NEW ACCOUNT'!A1526="","",'NEW ACCOUNT'!B1526)</f>
        <v/>
      </c>
      <c r="C1525" t="str">
        <f>IF('NEW ACCOUNT'!A1526="","",'NEW ACCOUNT'!C1526)</f>
        <v/>
      </c>
      <c r="D1525" t="str">
        <f>IF('NEW ACCOUNT'!A1526="","",'NEW ACCOUNT'!D1526)</f>
        <v/>
      </c>
      <c r="E1525" t="str">
        <f>IF('NEW ACCOUNT'!A1526="","",'NEW ACCOUNT'!E1526)</f>
        <v/>
      </c>
      <c r="F1525" t="str">
        <f>IF('NEW ACCOUNT'!A1526="","",'NEW ACCOUNT'!F1526)</f>
        <v/>
      </c>
      <c r="G1525" t="str">
        <f>IF('NEW ACCOUNT'!A1526="","",'NEW ACCOUNT'!G1526)</f>
        <v/>
      </c>
      <c r="H1525" t="str">
        <f>IF('NEW ACCOUNT'!A1526="","",'NEW ACCOUNT'!H1526)</f>
        <v/>
      </c>
      <c r="I1525" t="str">
        <f>IF('NEW ACCOUNT'!A1526="","",'NEW ACCOUNT'!I1526)</f>
        <v/>
      </c>
      <c r="J1525" t="str">
        <f>IF('NEW ACCOUNT'!A1526="","",'NEW ACCOUNT'!J1526)</f>
        <v/>
      </c>
      <c r="K1525" t="str">
        <f>IFERROR(IF(A1525="","",SUMIF(DB_Savings!$A:$A,A1525,DB_Savings!$F:$F)),"")</f>
        <v/>
      </c>
      <c r="L1525" t="str">
        <f>IFERROR(IF(A1525="","",SUMIF(DB_Withdrawals!$A:$A,A1525,DB_Withdrawals!$G:$G)),"")</f>
        <v/>
      </c>
      <c r="M1525" t="str">
        <f>IFERROR(IF(A1525="","",IFERROR(VALUE(H1525),0)+IFERROR(SUMIF(DB_Savings!$A:$A,A1525,DB_Savings!$F:$F),0)-IFERROR(SUMIF(DB_Withdrawals!$A:$A,A1525,DB_Withdrawals!$G:$G),0)),"")</f>
        <v/>
      </c>
      <c r="N1525" t="str">
        <f>IFERROR(IF(A1525="","",MAX(0,M1525-System_Config!$B$9)),"")</f>
        <v/>
      </c>
    </row>
    <row r="1526" spans="1:14" ht="15" customHeight="1" x14ac:dyDescent="0.25">
      <c r="A1526" t="str">
        <f>'NEW ACCOUNT'!A1527</f>
        <v/>
      </c>
      <c r="B1526" t="str">
        <f>IF('NEW ACCOUNT'!A1527="","",'NEW ACCOUNT'!B1527)</f>
        <v/>
      </c>
      <c r="C1526" t="str">
        <f>IF('NEW ACCOUNT'!A1527="","",'NEW ACCOUNT'!C1527)</f>
        <v/>
      </c>
      <c r="D1526" t="str">
        <f>IF('NEW ACCOUNT'!A1527="","",'NEW ACCOUNT'!D1527)</f>
        <v/>
      </c>
      <c r="E1526" t="str">
        <f>IF('NEW ACCOUNT'!A1527="","",'NEW ACCOUNT'!E1527)</f>
        <v/>
      </c>
      <c r="F1526" t="str">
        <f>IF('NEW ACCOUNT'!A1527="","",'NEW ACCOUNT'!F1527)</f>
        <v/>
      </c>
      <c r="G1526" t="str">
        <f>IF('NEW ACCOUNT'!A1527="","",'NEW ACCOUNT'!G1527)</f>
        <v/>
      </c>
      <c r="H1526" t="str">
        <f>IF('NEW ACCOUNT'!A1527="","",'NEW ACCOUNT'!H1527)</f>
        <v/>
      </c>
      <c r="I1526" t="str">
        <f>IF('NEW ACCOUNT'!A1527="","",'NEW ACCOUNT'!I1527)</f>
        <v/>
      </c>
      <c r="J1526" t="str">
        <f>IF('NEW ACCOUNT'!A1527="","",'NEW ACCOUNT'!J1527)</f>
        <v/>
      </c>
      <c r="K1526" t="str">
        <f>IFERROR(IF(A1526="","",SUMIF(DB_Savings!$A:$A,A1526,DB_Savings!$F:$F)),"")</f>
        <v/>
      </c>
      <c r="L1526" t="str">
        <f>IFERROR(IF(A1526="","",SUMIF(DB_Withdrawals!$A:$A,A1526,DB_Withdrawals!$G:$G)),"")</f>
        <v/>
      </c>
      <c r="M1526" t="str">
        <f>IFERROR(IF(A1526="","",IFERROR(VALUE(H1526),0)+IFERROR(SUMIF(DB_Savings!$A:$A,A1526,DB_Savings!$F:$F),0)-IFERROR(SUMIF(DB_Withdrawals!$A:$A,A1526,DB_Withdrawals!$G:$G),0)),"")</f>
        <v/>
      </c>
      <c r="N1526" t="str">
        <f>IFERROR(IF(A1526="","",MAX(0,M1526-System_Config!$B$9)),"")</f>
        <v/>
      </c>
    </row>
    <row r="1527" spans="1:14" ht="15" customHeight="1" x14ac:dyDescent="0.25">
      <c r="A1527" t="str">
        <f>'NEW ACCOUNT'!A1528</f>
        <v/>
      </c>
      <c r="B1527" t="str">
        <f>IF('NEW ACCOUNT'!A1528="","",'NEW ACCOUNT'!B1528)</f>
        <v/>
      </c>
      <c r="C1527" t="str">
        <f>IF('NEW ACCOUNT'!A1528="","",'NEW ACCOUNT'!C1528)</f>
        <v/>
      </c>
      <c r="D1527" t="str">
        <f>IF('NEW ACCOUNT'!A1528="","",'NEW ACCOUNT'!D1528)</f>
        <v/>
      </c>
      <c r="E1527" t="str">
        <f>IF('NEW ACCOUNT'!A1528="","",'NEW ACCOUNT'!E1528)</f>
        <v/>
      </c>
      <c r="F1527" t="str">
        <f>IF('NEW ACCOUNT'!A1528="","",'NEW ACCOUNT'!F1528)</f>
        <v/>
      </c>
      <c r="G1527" t="str">
        <f>IF('NEW ACCOUNT'!A1528="","",'NEW ACCOUNT'!G1528)</f>
        <v/>
      </c>
      <c r="H1527" t="str">
        <f>IF('NEW ACCOUNT'!A1528="","",'NEW ACCOUNT'!H1528)</f>
        <v/>
      </c>
      <c r="I1527" t="str">
        <f>IF('NEW ACCOUNT'!A1528="","",'NEW ACCOUNT'!I1528)</f>
        <v/>
      </c>
      <c r="J1527" t="str">
        <f>IF('NEW ACCOUNT'!A1528="","",'NEW ACCOUNT'!J1528)</f>
        <v/>
      </c>
      <c r="K1527" t="str">
        <f>IFERROR(IF(A1527="","",SUMIF(DB_Savings!$A:$A,A1527,DB_Savings!$F:$F)),"")</f>
        <v/>
      </c>
      <c r="L1527" t="str">
        <f>IFERROR(IF(A1527="","",SUMIF(DB_Withdrawals!$A:$A,A1527,DB_Withdrawals!$G:$G)),"")</f>
        <v/>
      </c>
      <c r="M1527" t="str">
        <f>IFERROR(IF(A1527="","",IFERROR(VALUE(H1527),0)+IFERROR(SUMIF(DB_Savings!$A:$A,A1527,DB_Savings!$F:$F),0)-IFERROR(SUMIF(DB_Withdrawals!$A:$A,A1527,DB_Withdrawals!$G:$G),0)),"")</f>
        <v/>
      </c>
      <c r="N1527" t="str">
        <f>IFERROR(IF(A1527="","",MAX(0,M1527-System_Config!$B$9)),"")</f>
        <v/>
      </c>
    </row>
    <row r="1528" spans="1:14" ht="15" customHeight="1" x14ac:dyDescent="0.25">
      <c r="A1528" t="str">
        <f>'NEW ACCOUNT'!A1529</f>
        <v/>
      </c>
      <c r="B1528" t="str">
        <f>IF('NEW ACCOUNT'!A1529="","",'NEW ACCOUNT'!B1529)</f>
        <v/>
      </c>
      <c r="C1528" t="str">
        <f>IF('NEW ACCOUNT'!A1529="","",'NEW ACCOUNT'!C1529)</f>
        <v/>
      </c>
      <c r="D1528" t="str">
        <f>IF('NEW ACCOUNT'!A1529="","",'NEW ACCOUNT'!D1529)</f>
        <v/>
      </c>
      <c r="E1528" t="str">
        <f>IF('NEW ACCOUNT'!A1529="","",'NEW ACCOUNT'!E1529)</f>
        <v/>
      </c>
      <c r="F1528" t="str">
        <f>IF('NEW ACCOUNT'!A1529="","",'NEW ACCOUNT'!F1529)</f>
        <v/>
      </c>
      <c r="G1528" t="str">
        <f>IF('NEW ACCOUNT'!A1529="","",'NEW ACCOUNT'!G1529)</f>
        <v/>
      </c>
      <c r="H1528" t="str">
        <f>IF('NEW ACCOUNT'!A1529="","",'NEW ACCOUNT'!H1529)</f>
        <v/>
      </c>
      <c r="I1528" t="str">
        <f>IF('NEW ACCOUNT'!A1529="","",'NEW ACCOUNT'!I1529)</f>
        <v/>
      </c>
      <c r="J1528" t="str">
        <f>IF('NEW ACCOUNT'!A1529="","",'NEW ACCOUNT'!J1529)</f>
        <v/>
      </c>
      <c r="K1528" t="str">
        <f>IFERROR(IF(A1528="","",SUMIF(DB_Savings!$A:$A,A1528,DB_Savings!$F:$F)),"")</f>
        <v/>
      </c>
      <c r="L1528" t="str">
        <f>IFERROR(IF(A1528="","",SUMIF(DB_Withdrawals!$A:$A,A1528,DB_Withdrawals!$G:$G)),"")</f>
        <v/>
      </c>
      <c r="M1528" t="str">
        <f>IFERROR(IF(A1528="","",IFERROR(VALUE(H1528),0)+IFERROR(SUMIF(DB_Savings!$A:$A,A1528,DB_Savings!$F:$F),0)-IFERROR(SUMIF(DB_Withdrawals!$A:$A,A1528,DB_Withdrawals!$G:$G),0)),"")</f>
        <v/>
      </c>
      <c r="N1528" t="str">
        <f>IFERROR(IF(A1528="","",MAX(0,M1528-System_Config!$B$9)),"")</f>
        <v/>
      </c>
    </row>
    <row r="1529" spans="1:14" ht="15" customHeight="1" x14ac:dyDescent="0.25">
      <c r="A1529" t="str">
        <f>'NEW ACCOUNT'!A1530</f>
        <v/>
      </c>
      <c r="B1529" t="str">
        <f>IF('NEW ACCOUNT'!A1530="","",'NEW ACCOUNT'!B1530)</f>
        <v/>
      </c>
      <c r="C1529" t="str">
        <f>IF('NEW ACCOUNT'!A1530="","",'NEW ACCOUNT'!C1530)</f>
        <v/>
      </c>
      <c r="D1529" t="str">
        <f>IF('NEW ACCOUNT'!A1530="","",'NEW ACCOUNT'!D1530)</f>
        <v/>
      </c>
      <c r="E1529" t="str">
        <f>IF('NEW ACCOUNT'!A1530="","",'NEW ACCOUNT'!E1530)</f>
        <v/>
      </c>
      <c r="F1529" t="str">
        <f>IF('NEW ACCOUNT'!A1530="","",'NEW ACCOUNT'!F1530)</f>
        <v/>
      </c>
      <c r="G1529" t="str">
        <f>IF('NEW ACCOUNT'!A1530="","",'NEW ACCOUNT'!G1530)</f>
        <v/>
      </c>
      <c r="H1529" t="str">
        <f>IF('NEW ACCOUNT'!A1530="","",'NEW ACCOUNT'!H1530)</f>
        <v/>
      </c>
      <c r="I1529" t="str">
        <f>IF('NEW ACCOUNT'!A1530="","",'NEW ACCOUNT'!I1530)</f>
        <v/>
      </c>
      <c r="J1529" t="str">
        <f>IF('NEW ACCOUNT'!A1530="","",'NEW ACCOUNT'!J1530)</f>
        <v/>
      </c>
      <c r="K1529" t="str">
        <f>IFERROR(IF(A1529="","",SUMIF(DB_Savings!$A:$A,A1529,DB_Savings!$F:$F)),"")</f>
        <v/>
      </c>
      <c r="L1529" t="str">
        <f>IFERROR(IF(A1529="","",SUMIF(DB_Withdrawals!$A:$A,A1529,DB_Withdrawals!$G:$G)),"")</f>
        <v/>
      </c>
      <c r="M1529" t="str">
        <f>IFERROR(IF(A1529="","",IFERROR(VALUE(H1529),0)+IFERROR(SUMIF(DB_Savings!$A:$A,A1529,DB_Savings!$F:$F),0)-IFERROR(SUMIF(DB_Withdrawals!$A:$A,A1529,DB_Withdrawals!$G:$G),0)),"")</f>
        <v/>
      </c>
      <c r="N1529" t="str">
        <f>IFERROR(IF(A1529="","",MAX(0,M1529-System_Config!$B$9)),"")</f>
        <v/>
      </c>
    </row>
    <row r="1530" spans="1:14" ht="15" customHeight="1" x14ac:dyDescent="0.25">
      <c r="A1530" t="str">
        <f>'NEW ACCOUNT'!A1531</f>
        <v/>
      </c>
      <c r="B1530" t="str">
        <f>IF('NEW ACCOUNT'!A1531="","",'NEW ACCOUNT'!B1531)</f>
        <v/>
      </c>
      <c r="C1530" t="str">
        <f>IF('NEW ACCOUNT'!A1531="","",'NEW ACCOUNT'!C1531)</f>
        <v/>
      </c>
      <c r="D1530" t="str">
        <f>IF('NEW ACCOUNT'!A1531="","",'NEW ACCOUNT'!D1531)</f>
        <v/>
      </c>
      <c r="E1530" t="str">
        <f>IF('NEW ACCOUNT'!A1531="","",'NEW ACCOUNT'!E1531)</f>
        <v/>
      </c>
      <c r="F1530" t="str">
        <f>IF('NEW ACCOUNT'!A1531="","",'NEW ACCOUNT'!F1531)</f>
        <v/>
      </c>
      <c r="G1530" t="str">
        <f>IF('NEW ACCOUNT'!A1531="","",'NEW ACCOUNT'!G1531)</f>
        <v/>
      </c>
      <c r="H1530" t="str">
        <f>IF('NEW ACCOUNT'!A1531="","",'NEW ACCOUNT'!H1531)</f>
        <v/>
      </c>
      <c r="I1530" t="str">
        <f>IF('NEW ACCOUNT'!A1531="","",'NEW ACCOUNT'!I1531)</f>
        <v/>
      </c>
      <c r="J1530" t="str">
        <f>IF('NEW ACCOUNT'!A1531="","",'NEW ACCOUNT'!J1531)</f>
        <v/>
      </c>
      <c r="K1530" t="str">
        <f>IFERROR(IF(A1530="","",SUMIF(DB_Savings!$A:$A,A1530,DB_Savings!$F:$F)),"")</f>
        <v/>
      </c>
      <c r="L1530" t="str">
        <f>IFERROR(IF(A1530="","",SUMIF(DB_Withdrawals!$A:$A,A1530,DB_Withdrawals!$G:$G)),"")</f>
        <v/>
      </c>
      <c r="M1530" t="str">
        <f>IFERROR(IF(A1530="","",IFERROR(VALUE(H1530),0)+IFERROR(SUMIF(DB_Savings!$A:$A,A1530,DB_Savings!$F:$F),0)-IFERROR(SUMIF(DB_Withdrawals!$A:$A,A1530,DB_Withdrawals!$G:$G),0)),"")</f>
        <v/>
      </c>
      <c r="N1530" t="str">
        <f>IFERROR(IF(A1530="","",MAX(0,M1530-System_Config!$B$9)),"")</f>
        <v/>
      </c>
    </row>
    <row r="1531" spans="1:14" ht="15" customHeight="1" x14ac:dyDescent="0.25">
      <c r="A1531" t="str">
        <f>'NEW ACCOUNT'!A1532</f>
        <v/>
      </c>
      <c r="B1531" t="str">
        <f>IF('NEW ACCOUNT'!A1532="","",'NEW ACCOUNT'!B1532)</f>
        <v/>
      </c>
      <c r="C1531" t="str">
        <f>IF('NEW ACCOUNT'!A1532="","",'NEW ACCOUNT'!C1532)</f>
        <v/>
      </c>
      <c r="D1531" t="str">
        <f>IF('NEW ACCOUNT'!A1532="","",'NEW ACCOUNT'!D1532)</f>
        <v/>
      </c>
      <c r="E1531" t="str">
        <f>IF('NEW ACCOUNT'!A1532="","",'NEW ACCOUNT'!E1532)</f>
        <v/>
      </c>
      <c r="F1531" t="str">
        <f>IF('NEW ACCOUNT'!A1532="","",'NEW ACCOUNT'!F1532)</f>
        <v/>
      </c>
      <c r="G1531" t="str">
        <f>IF('NEW ACCOUNT'!A1532="","",'NEW ACCOUNT'!G1532)</f>
        <v/>
      </c>
      <c r="H1531" t="str">
        <f>IF('NEW ACCOUNT'!A1532="","",'NEW ACCOUNT'!H1532)</f>
        <v/>
      </c>
      <c r="I1531" t="str">
        <f>IF('NEW ACCOUNT'!A1532="","",'NEW ACCOUNT'!I1532)</f>
        <v/>
      </c>
      <c r="J1531" t="str">
        <f>IF('NEW ACCOUNT'!A1532="","",'NEW ACCOUNT'!J1532)</f>
        <v/>
      </c>
      <c r="K1531" t="str">
        <f>IFERROR(IF(A1531="","",SUMIF(DB_Savings!$A:$A,A1531,DB_Savings!$F:$F)),"")</f>
        <v/>
      </c>
      <c r="L1531" t="str">
        <f>IFERROR(IF(A1531="","",SUMIF(DB_Withdrawals!$A:$A,A1531,DB_Withdrawals!$G:$G)),"")</f>
        <v/>
      </c>
      <c r="M1531" t="str">
        <f>IFERROR(IF(A1531="","",IFERROR(VALUE(H1531),0)+IFERROR(SUMIF(DB_Savings!$A:$A,A1531,DB_Savings!$F:$F),0)-IFERROR(SUMIF(DB_Withdrawals!$A:$A,A1531,DB_Withdrawals!$G:$G),0)),"")</f>
        <v/>
      </c>
      <c r="N1531" t="str">
        <f>IFERROR(IF(A1531="","",MAX(0,M1531-System_Config!$B$9)),"")</f>
        <v/>
      </c>
    </row>
    <row r="1532" spans="1:14" ht="15" customHeight="1" x14ac:dyDescent="0.25">
      <c r="A1532" t="str">
        <f>'NEW ACCOUNT'!A1533</f>
        <v/>
      </c>
      <c r="B1532" t="str">
        <f>IF('NEW ACCOUNT'!A1533="","",'NEW ACCOUNT'!B1533)</f>
        <v/>
      </c>
      <c r="C1532" t="str">
        <f>IF('NEW ACCOUNT'!A1533="","",'NEW ACCOUNT'!C1533)</f>
        <v/>
      </c>
      <c r="D1532" t="str">
        <f>IF('NEW ACCOUNT'!A1533="","",'NEW ACCOUNT'!D1533)</f>
        <v/>
      </c>
      <c r="E1532" t="str">
        <f>IF('NEW ACCOUNT'!A1533="","",'NEW ACCOUNT'!E1533)</f>
        <v/>
      </c>
      <c r="F1532" t="str">
        <f>IF('NEW ACCOUNT'!A1533="","",'NEW ACCOUNT'!F1533)</f>
        <v/>
      </c>
      <c r="G1532" t="str">
        <f>IF('NEW ACCOUNT'!A1533="","",'NEW ACCOUNT'!G1533)</f>
        <v/>
      </c>
      <c r="H1532" t="str">
        <f>IF('NEW ACCOUNT'!A1533="","",'NEW ACCOUNT'!H1533)</f>
        <v/>
      </c>
      <c r="I1532" t="str">
        <f>IF('NEW ACCOUNT'!A1533="","",'NEW ACCOUNT'!I1533)</f>
        <v/>
      </c>
      <c r="J1532" t="str">
        <f>IF('NEW ACCOUNT'!A1533="","",'NEW ACCOUNT'!J1533)</f>
        <v/>
      </c>
      <c r="K1532" t="str">
        <f>IFERROR(IF(A1532="","",SUMIF(DB_Savings!$A:$A,A1532,DB_Savings!$F:$F)),"")</f>
        <v/>
      </c>
      <c r="L1532" t="str">
        <f>IFERROR(IF(A1532="","",SUMIF(DB_Withdrawals!$A:$A,A1532,DB_Withdrawals!$G:$G)),"")</f>
        <v/>
      </c>
      <c r="M1532" t="str">
        <f>IFERROR(IF(A1532="","",IFERROR(VALUE(H1532),0)+IFERROR(SUMIF(DB_Savings!$A:$A,A1532,DB_Savings!$F:$F),0)-IFERROR(SUMIF(DB_Withdrawals!$A:$A,A1532,DB_Withdrawals!$G:$G),0)),"")</f>
        <v/>
      </c>
      <c r="N1532" t="str">
        <f>IFERROR(IF(A1532="","",MAX(0,M1532-System_Config!$B$9)),"")</f>
        <v/>
      </c>
    </row>
    <row r="1533" spans="1:14" ht="15" customHeight="1" x14ac:dyDescent="0.25">
      <c r="A1533" t="str">
        <f>'NEW ACCOUNT'!A1534</f>
        <v/>
      </c>
      <c r="B1533" t="str">
        <f>IF('NEW ACCOUNT'!A1534="","",'NEW ACCOUNT'!B1534)</f>
        <v/>
      </c>
      <c r="C1533" t="str">
        <f>IF('NEW ACCOUNT'!A1534="","",'NEW ACCOUNT'!C1534)</f>
        <v/>
      </c>
      <c r="D1533" t="str">
        <f>IF('NEW ACCOUNT'!A1534="","",'NEW ACCOUNT'!D1534)</f>
        <v/>
      </c>
      <c r="E1533" t="str">
        <f>IF('NEW ACCOUNT'!A1534="","",'NEW ACCOUNT'!E1534)</f>
        <v/>
      </c>
      <c r="F1533" t="str">
        <f>IF('NEW ACCOUNT'!A1534="","",'NEW ACCOUNT'!F1534)</f>
        <v/>
      </c>
      <c r="G1533" t="str">
        <f>IF('NEW ACCOUNT'!A1534="","",'NEW ACCOUNT'!G1534)</f>
        <v/>
      </c>
      <c r="H1533" t="str">
        <f>IF('NEW ACCOUNT'!A1534="","",'NEW ACCOUNT'!H1534)</f>
        <v/>
      </c>
      <c r="I1533" t="str">
        <f>IF('NEW ACCOUNT'!A1534="","",'NEW ACCOUNT'!I1534)</f>
        <v/>
      </c>
      <c r="J1533" t="str">
        <f>IF('NEW ACCOUNT'!A1534="","",'NEW ACCOUNT'!J1534)</f>
        <v/>
      </c>
      <c r="K1533" t="str">
        <f>IFERROR(IF(A1533="","",SUMIF(DB_Savings!$A:$A,A1533,DB_Savings!$F:$F)),"")</f>
        <v/>
      </c>
      <c r="L1533" t="str">
        <f>IFERROR(IF(A1533="","",SUMIF(DB_Withdrawals!$A:$A,A1533,DB_Withdrawals!$G:$G)),"")</f>
        <v/>
      </c>
      <c r="M1533" t="str">
        <f>IFERROR(IF(A1533="","",IFERROR(VALUE(H1533),0)+IFERROR(SUMIF(DB_Savings!$A:$A,A1533,DB_Savings!$F:$F),0)-IFERROR(SUMIF(DB_Withdrawals!$A:$A,A1533,DB_Withdrawals!$G:$G),0)),"")</f>
        <v/>
      </c>
      <c r="N1533" t="str">
        <f>IFERROR(IF(A1533="","",MAX(0,M1533-System_Config!$B$9)),"")</f>
        <v/>
      </c>
    </row>
    <row r="1534" spans="1:14" ht="15" customHeight="1" x14ac:dyDescent="0.25">
      <c r="A1534" t="str">
        <f>'NEW ACCOUNT'!A1535</f>
        <v/>
      </c>
      <c r="B1534" t="str">
        <f>IF('NEW ACCOUNT'!A1535="","",'NEW ACCOUNT'!B1535)</f>
        <v/>
      </c>
      <c r="C1534" t="str">
        <f>IF('NEW ACCOUNT'!A1535="","",'NEW ACCOUNT'!C1535)</f>
        <v/>
      </c>
      <c r="D1534" t="str">
        <f>IF('NEW ACCOUNT'!A1535="","",'NEW ACCOUNT'!D1535)</f>
        <v/>
      </c>
      <c r="E1534" t="str">
        <f>IF('NEW ACCOUNT'!A1535="","",'NEW ACCOUNT'!E1535)</f>
        <v/>
      </c>
      <c r="F1534" t="str">
        <f>IF('NEW ACCOUNT'!A1535="","",'NEW ACCOUNT'!F1535)</f>
        <v/>
      </c>
      <c r="G1534" t="str">
        <f>IF('NEW ACCOUNT'!A1535="","",'NEW ACCOUNT'!G1535)</f>
        <v/>
      </c>
      <c r="H1534" t="str">
        <f>IF('NEW ACCOUNT'!A1535="","",'NEW ACCOUNT'!H1535)</f>
        <v/>
      </c>
      <c r="I1534" t="str">
        <f>IF('NEW ACCOUNT'!A1535="","",'NEW ACCOUNT'!I1535)</f>
        <v/>
      </c>
      <c r="J1534" t="str">
        <f>IF('NEW ACCOUNT'!A1535="","",'NEW ACCOUNT'!J1535)</f>
        <v/>
      </c>
      <c r="K1534" t="str">
        <f>IFERROR(IF(A1534="","",SUMIF(DB_Savings!$A:$A,A1534,DB_Savings!$F:$F)),"")</f>
        <v/>
      </c>
      <c r="L1534" t="str">
        <f>IFERROR(IF(A1534="","",SUMIF(DB_Withdrawals!$A:$A,A1534,DB_Withdrawals!$G:$G)),"")</f>
        <v/>
      </c>
      <c r="M1534" t="str">
        <f>IFERROR(IF(A1534="","",IFERROR(VALUE(H1534),0)+IFERROR(SUMIF(DB_Savings!$A:$A,A1534,DB_Savings!$F:$F),0)-IFERROR(SUMIF(DB_Withdrawals!$A:$A,A1534,DB_Withdrawals!$G:$G),0)),"")</f>
        <v/>
      </c>
      <c r="N1534" t="str">
        <f>IFERROR(IF(A1534="","",MAX(0,M1534-System_Config!$B$9)),"")</f>
        <v/>
      </c>
    </row>
    <row r="1535" spans="1:14" ht="15" customHeight="1" x14ac:dyDescent="0.25">
      <c r="A1535" t="str">
        <f>'NEW ACCOUNT'!A1536</f>
        <v/>
      </c>
      <c r="B1535" t="str">
        <f>IF('NEW ACCOUNT'!A1536="","",'NEW ACCOUNT'!B1536)</f>
        <v/>
      </c>
      <c r="C1535" t="str">
        <f>IF('NEW ACCOUNT'!A1536="","",'NEW ACCOUNT'!C1536)</f>
        <v/>
      </c>
      <c r="D1535" t="str">
        <f>IF('NEW ACCOUNT'!A1536="","",'NEW ACCOUNT'!D1536)</f>
        <v/>
      </c>
      <c r="E1535" t="str">
        <f>IF('NEW ACCOUNT'!A1536="","",'NEW ACCOUNT'!E1536)</f>
        <v/>
      </c>
      <c r="F1535" t="str">
        <f>IF('NEW ACCOUNT'!A1536="","",'NEW ACCOUNT'!F1536)</f>
        <v/>
      </c>
      <c r="G1535" t="str">
        <f>IF('NEW ACCOUNT'!A1536="","",'NEW ACCOUNT'!G1536)</f>
        <v/>
      </c>
      <c r="H1535" t="str">
        <f>IF('NEW ACCOUNT'!A1536="","",'NEW ACCOUNT'!H1536)</f>
        <v/>
      </c>
      <c r="I1535" t="str">
        <f>IF('NEW ACCOUNT'!A1536="","",'NEW ACCOUNT'!I1536)</f>
        <v/>
      </c>
      <c r="J1535" t="str">
        <f>IF('NEW ACCOUNT'!A1536="","",'NEW ACCOUNT'!J1536)</f>
        <v/>
      </c>
      <c r="K1535" t="str">
        <f>IFERROR(IF(A1535="","",SUMIF(DB_Savings!$A:$A,A1535,DB_Savings!$F:$F)),"")</f>
        <v/>
      </c>
      <c r="L1535" t="str">
        <f>IFERROR(IF(A1535="","",SUMIF(DB_Withdrawals!$A:$A,A1535,DB_Withdrawals!$G:$G)),"")</f>
        <v/>
      </c>
      <c r="M1535" t="str">
        <f>IFERROR(IF(A1535="","",IFERROR(VALUE(H1535),0)+IFERROR(SUMIF(DB_Savings!$A:$A,A1535,DB_Savings!$F:$F),0)-IFERROR(SUMIF(DB_Withdrawals!$A:$A,A1535,DB_Withdrawals!$G:$G),0)),"")</f>
        <v/>
      </c>
      <c r="N1535" t="str">
        <f>IFERROR(IF(A1535="","",MAX(0,M1535-System_Config!$B$9)),"")</f>
        <v/>
      </c>
    </row>
    <row r="1536" spans="1:14" ht="15" customHeight="1" x14ac:dyDescent="0.25">
      <c r="A1536" t="str">
        <f>'NEW ACCOUNT'!A1537</f>
        <v/>
      </c>
      <c r="B1536" t="str">
        <f>IF('NEW ACCOUNT'!A1537="","",'NEW ACCOUNT'!B1537)</f>
        <v/>
      </c>
      <c r="C1536" t="str">
        <f>IF('NEW ACCOUNT'!A1537="","",'NEW ACCOUNT'!C1537)</f>
        <v/>
      </c>
      <c r="D1536" t="str">
        <f>IF('NEW ACCOUNT'!A1537="","",'NEW ACCOUNT'!D1537)</f>
        <v/>
      </c>
      <c r="E1536" t="str">
        <f>IF('NEW ACCOUNT'!A1537="","",'NEW ACCOUNT'!E1537)</f>
        <v/>
      </c>
      <c r="F1536" t="str">
        <f>IF('NEW ACCOUNT'!A1537="","",'NEW ACCOUNT'!F1537)</f>
        <v/>
      </c>
      <c r="G1536" t="str">
        <f>IF('NEW ACCOUNT'!A1537="","",'NEW ACCOUNT'!G1537)</f>
        <v/>
      </c>
      <c r="H1536" t="str">
        <f>IF('NEW ACCOUNT'!A1537="","",'NEW ACCOUNT'!H1537)</f>
        <v/>
      </c>
      <c r="I1536" t="str">
        <f>IF('NEW ACCOUNT'!A1537="","",'NEW ACCOUNT'!I1537)</f>
        <v/>
      </c>
      <c r="J1536" t="str">
        <f>IF('NEW ACCOUNT'!A1537="","",'NEW ACCOUNT'!J1537)</f>
        <v/>
      </c>
      <c r="K1536" t="str">
        <f>IFERROR(IF(A1536="","",SUMIF(DB_Savings!$A:$A,A1536,DB_Savings!$F:$F)),"")</f>
        <v/>
      </c>
      <c r="L1536" t="str">
        <f>IFERROR(IF(A1536="","",SUMIF(DB_Withdrawals!$A:$A,A1536,DB_Withdrawals!$G:$G)),"")</f>
        <v/>
      </c>
      <c r="M1536" t="str">
        <f>IFERROR(IF(A1536="","",IFERROR(VALUE(H1536),0)+IFERROR(SUMIF(DB_Savings!$A:$A,A1536,DB_Savings!$F:$F),0)-IFERROR(SUMIF(DB_Withdrawals!$A:$A,A1536,DB_Withdrawals!$G:$G),0)),"")</f>
        <v/>
      </c>
      <c r="N1536" t="str">
        <f>IFERROR(IF(A1536="","",MAX(0,M1536-System_Config!$B$9)),"")</f>
        <v/>
      </c>
    </row>
    <row r="1537" spans="1:14" ht="15" customHeight="1" x14ac:dyDescent="0.25">
      <c r="A1537" t="str">
        <f>'NEW ACCOUNT'!A1538</f>
        <v/>
      </c>
      <c r="B1537" t="str">
        <f>IF('NEW ACCOUNT'!A1538="","",'NEW ACCOUNT'!B1538)</f>
        <v/>
      </c>
      <c r="C1537" t="str">
        <f>IF('NEW ACCOUNT'!A1538="","",'NEW ACCOUNT'!C1538)</f>
        <v/>
      </c>
      <c r="D1537" t="str">
        <f>IF('NEW ACCOUNT'!A1538="","",'NEW ACCOUNT'!D1538)</f>
        <v/>
      </c>
      <c r="E1537" t="str">
        <f>IF('NEW ACCOUNT'!A1538="","",'NEW ACCOUNT'!E1538)</f>
        <v/>
      </c>
      <c r="F1537" t="str">
        <f>IF('NEW ACCOUNT'!A1538="","",'NEW ACCOUNT'!F1538)</f>
        <v/>
      </c>
      <c r="G1537" t="str">
        <f>IF('NEW ACCOUNT'!A1538="","",'NEW ACCOUNT'!G1538)</f>
        <v/>
      </c>
      <c r="H1537" t="str">
        <f>IF('NEW ACCOUNT'!A1538="","",'NEW ACCOUNT'!H1538)</f>
        <v/>
      </c>
      <c r="I1537" t="str">
        <f>IF('NEW ACCOUNT'!A1538="","",'NEW ACCOUNT'!I1538)</f>
        <v/>
      </c>
      <c r="J1537" t="str">
        <f>IF('NEW ACCOUNT'!A1538="","",'NEW ACCOUNT'!J1538)</f>
        <v/>
      </c>
      <c r="K1537" t="str">
        <f>IFERROR(IF(A1537="","",SUMIF(DB_Savings!$A:$A,A1537,DB_Savings!$F:$F)),"")</f>
        <v/>
      </c>
      <c r="L1537" t="str">
        <f>IFERROR(IF(A1537="","",SUMIF(DB_Withdrawals!$A:$A,A1537,DB_Withdrawals!$G:$G)),"")</f>
        <v/>
      </c>
      <c r="M1537" t="str">
        <f>IFERROR(IF(A1537="","",IFERROR(VALUE(H1537),0)+IFERROR(SUMIF(DB_Savings!$A:$A,A1537,DB_Savings!$F:$F),0)-IFERROR(SUMIF(DB_Withdrawals!$A:$A,A1537,DB_Withdrawals!$G:$G),0)),"")</f>
        <v/>
      </c>
      <c r="N1537" t="str">
        <f>IFERROR(IF(A1537="","",MAX(0,M1537-System_Config!$B$9)),"")</f>
        <v/>
      </c>
    </row>
    <row r="1538" spans="1:14" ht="15" customHeight="1" x14ac:dyDescent="0.25">
      <c r="A1538" t="str">
        <f>'NEW ACCOUNT'!A1539</f>
        <v/>
      </c>
      <c r="B1538" t="str">
        <f>IF('NEW ACCOUNT'!A1539="","",'NEW ACCOUNT'!B1539)</f>
        <v/>
      </c>
      <c r="C1538" t="str">
        <f>IF('NEW ACCOUNT'!A1539="","",'NEW ACCOUNT'!C1539)</f>
        <v/>
      </c>
      <c r="D1538" t="str">
        <f>IF('NEW ACCOUNT'!A1539="","",'NEW ACCOUNT'!D1539)</f>
        <v/>
      </c>
      <c r="E1538" t="str">
        <f>IF('NEW ACCOUNT'!A1539="","",'NEW ACCOUNT'!E1539)</f>
        <v/>
      </c>
      <c r="F1538" t="str">
        <f>IF('NEW ACCOUNT'!A1539="","",'NEW ACCOUNT'!F1539)</f>
        <v/>
      </c>
      <c r="G1538" t="str">
        <f>IF('NEW ACCOUNT'!A1539="","",'NEW ACCOUNT'!G1539)</f>
        <v/>
      </c>
      <c r="H1538" t="str">
        <f>IF('NEW ACCOUNT'!A1539="","",'NEW ACCOUNT'!H1539)</f>
        <v/>
      </c>
      <c r="I1538" t="str">
        <f>IF('NEW ACCOUNT'!A1539="","",'NEW ACCOUNT'!I1539)</f>
        <v/>
      </c>
      <c r="J1538" t="str">
        <f>IF('NEW ACCOUNT'!A1539="","",'NEW ACCOUNT'!J1539)</f>
        <v/>
      </c>
      <c r="K1538" t="str">
        <f>IFERROR(IF(A1538="","",SUMIF(DB_Savings!$A:$A,A1538,DB_Savings!$F:$F)),"")</f>
        <v/>
      </c>
      <c r="L1538" t="str">
        <f>IFERROR(IF(A1538="","",SUMIF(DB_Withdrawals!$A:$A,A1538,DB_Withdrawals!$G:$G)),"")</f>
        <v/>
      </c>
      <c r="M1538" t="str">
        <f>IFERROR(IF(A1538="","",IFERROR(VALUE(H1538),0)+IFERROR(SUMIF(DB_Savings!$A:$A,A1538,DB_Savings!$F:$F),0)-IFERROR(SUMIF(DB_Withdrawals!$A:$A,A1538,DB_Withdrawals!$G:$G),0)),"")</f>
        <v/>
      </c>
      <c r="N1538" t="str">
        <f>IFERROR(IF(A1538="","",MAX(0,M1538-System_Config!$B$9)),"")</f>
        <v/>
      </c>
    </row>
    <row r="1539" spans="1:14" ht="15" customHeight="1" x14ac:dyDescent="0.25">
      <c r="A1539" t="str">
        <f>'NEW ACCOUNT'!A1540</f>
        <v/>
      </c>
      <c r="B1539" t="str">
        <f>IF('NEW ACCOUNT'!A1540="","",'NEW ACCOUNT'!B1540)</f>
        <v/>
      </c>
      <c r="C1539" t="str">
        <f>IF('NEW ACCOUNT'!A1540="","",'NEW ACCOUNT'!C1540)</f>
        <v/>
      </c>
      <c r="D1539" t="str">
        <f>IF('NEW ACCOUNT'!A1540="","",'NEW ACCOUNT'!D1540)</f>
        <v/>
      </c>
      <c r="E1539" t="str">
        <f>IF('NEW ACCOUNT'!A1540="","",'NEW ACCOUNT'!E1540)</f>
        <v/>
      </c>
      <c r="F1539" t="str">
        <f>IF('NEW ACCOUNT'!A1540="","",'NEW ACCOUNT'!F1540)</f>
        <v/>
      </c>
      <c r="G1539" t="str">
        <f>IF('NEW ACCOUNT'!A1540="","",'NEW ACCOUNT'!G1540)</f>
        <v/>
      </c>
      <c r="H1539" t="str">
        <f>IF('NEW ACCOUNT'!A1540="","",'NEW ACCOUNT'!H1540)</f>
        <v/>
      </c>
      <c r="I1539" t="str">
        <f>IF('NEW ACCOUNT'!A1540="","",'NEW ACCOUNT'!I1540)</f>
        <v/>
      </c>
      <c r="J1539" t="str">
        <f>IF('NEW ACCOUNT'!A1540="","",'NEW ACCOUNT'!J1540)</f>
        <v/>
      </c>
      <c r="K1539" t="str">
        <f>IFERROR(IF(A1539="","",SUMIF(DB_Savings!$A:$A,A1539,DB_Savings!$F:$F)),"")</f>
        <v/>
      </c>
      <c r="L1539" t="str">
        <f>IFERROR(IF(A1539="","",SUMIF(DB_Withdrawals!$A:$A,A1539,DB_Withdrawals!$G:$G)),"")</f>
        <v/>
      </c>
      <c r="M1539" t="str">
        <f>IFERROR(IF(A1539="","",IFERROR(VALUE(H1539),0)+IFERROR(SUMIF(DB_Savings!$A:$A,A1539,DB_Savings!$F:$F),0)-IFERROR(SUMIF(DB_Withdrawals!$A:$A,A1539,DB_Withdrawals!$G:$G),0)),"")</f>
        <v/>
      </c>
      <c r="N1539" t="str">
        <f>IFERROR(IF(A1539="","",MAX(0,M1539-System_Config!$B$9)),"")</f>
        <v/>
      </c>
    </row>
    <row r="1540" spans="1:14" ht="15" customHeight="1" x14ac:dyDescent="0.25">
      <c r="A1540" t="str">
        <f>'NEW ACCOUNT'!A1541</f>
        <v/>
      </c>
      <c r="B1540" t="str">
        <f>IF('NEW ACCOUNT'!A1541="","",'NEW ACCOUNT'!B1541)</f>
        <v/>
      </c>
      <c r="C1540" t="str">
        <f>IF('NEW ACCOUNT'!A1541="","",'NEW ACCOUNT'!C1541)</f>
        <v/>
      </c>
      <c r="D1540" t="str">
        <f>IF('NEW ACCOUNT'!A1541="","",'NEW ACCOUNT'!D1541)</f>
        <v/>
      </c>
      <c r="E1540" t="str">
        <f>IF('NEW ACCOUNT'!A1541="","",'NEW ACCOUNT'!E1541)</f>
        <v/>
      </c>
      <c r="F1540" t="str">
        <f>IF('NEW ACCOUNT'!A1541="","",'NEW ACCOUNT'!F1541)</f>
        <v/>
      </c>
      <c r="G1540" t="str">
        <f>IF('NEW ACCOUNT'!A1541="","",'NEW ACCOUNT'!G1541)</f>
        <v/>
      </c>
      <c r="H1540" t="str">
        <f>IF('NEW ACCOUNT'!A1541="","",'NEW ACCOUNT'!H1541)</f>
        <v/>
      </c>
      <c r="I1540" t="str">
        <f>IF('NEW ACCOUNT'!A1541="","",'NEW ACCOUNT'!I1541)</f>
        <v/>
      </c>
      <c r="J1540" t="str">
        <f>IF('NEW ACCOUNT'!A1541="","",'NEW ACCOUNT'!J1541)</f>
        <v/>
      </c>
      <c r="K1540" t="str">
        <f>IFERROR(IF(A1540="","",SUMIF(DB_Savings!$A:$A,A1540,DB_Savings!$F:$F)),"")</f>
        <v/>
      </c>
      <c r="L1540" t="str">
        <f>IFERROR(IF(A1540="","",SUMIF(DB_Withdrawals!$A:$A,A1540,DB_Withdrawals!$G:$G)),"")</f>
        <v/>
      </c>
      <c r="M1540" t="str">
        <f>IFERROR(IF(A1540="","",IFERROR(VALUE(H1540),0)+IFERROR(SUMIF(DB_Savings!$A:$A,A1540,DB_Savings!$F:$F),0)-IFERROR(SUMIF(DB_Withdrawals!$A:$A,A1540,DB_Withdrawals!$G:$G),0)),"")</f>
        <v/>
      </c>
      <c r="N1540" t="str">
        <f>IFERROR(IF(A1540="","",MAX(0,M1540-System_Config!$B$9)),"")</f>
        <v/>
      </c>
    </row>
    <row r="1541" spans="1:14" ht="15" customHeight="1" x14ac:dyDescent="0.25">
      <c r="A1541" t="str">
        <f>'NEW ACCOUNT'!A1542</f>
        <v/>
      </c>
      <c r="B1541" t="str">
        <f>IF('NEW ACCOUNT'!A1542="","",'NEW ACCOUNT'!B1542)</f>
        <v/>
      </c>
      <c r="C1541" t="str">
        <f>IF('NEW ACCOUNT'!A1542="","",'NEW ACCOUNT'!C1542)</f>
        <v/>
      </c>
      <c r="D1541" t="str">
        <f>IF('NEW ACCOUNT'!A1542="","",'NEW ACCOUNT'!D1542)</f>
        <v/>
      </c>
      <c r="E1541" t="str">
        <f>IF('NEW ACCOUNT'!A1542="","",'NEW ACCOUNT'!E1542)</f>
        <v/>
      </c>
      <c r="F1541" t="str">
        <f>IF('NEW ACCOUNT'!A1542="","",'NEW ACCOUNT'!F1542)</f>
        <v/>
      </c>
      <c r="G1541" t="str">
        <f>IF('NEW ACCOUNT'!A1542="","",'NEW ACCOUNT'!G1542)</f>
        <v/>
      </c>
      <c r="H1541" t="str">
        <f>IF('NEW ACCOUNT'!A1542="","",'NEW ACCOUNT'!H1542)</f>
        <v/>
      </c>
      <c r="I1541" t="str">
        <f>IF('NEW ACCOUNT'!A1542="","",'NEW ACCOUNT'!I1542)</f>
        <v/>
      </c>
      <c r="J1541" t="str">
        <f>IF('NEW ACCOUNT'!A1542="","",'NEW ACCOUNT'!J1542)</f>
        <v/>
      </c>
      <c r="K1541" t="str">
        <f>IFERROR(IF(A1541="","",SUMIF(DB_Savings!$A:$A,A1541,DB_Savings!$F:$F)),"")</f>
        <v/>
      </c>
      <c r="L1541" t="str">
        <f>IFERROR(IF(A1541="","",SUMIF(DB_Withdrawals!$A:$A,A1541,DB_Withdrawals!$G:$G)),"")</f>
        <v/>
      </c>
      <c r="M1541" t="str">
        <f>IFERROR(IF(A1541="","",IFERROR(VALUE(H1541),0)+IFERROR(SUMIF(DB_Savings!$A:$A,A1541,DB_Savings!$F:$F),0)-IFERROR(SUMIF(DB_Withdrawals!$A:$A,A1541,DB_Withdrawals!$G:$G),0)),"")</f>
        <v/>
      </c>
      <c r="N1541" t="str">
        <f>IFERROR(IF(A1541="","",MAX(0,M1541-System_Config!$B$9)),"")</f>
        <v/>
      </c>
    </row>
    <row r="1542" spans="1:14" ht="15" customHeight="1" x14ac:dyDescent="0.25">
      <c r="A1542" t="str">
        <f>'NEW ACCOUNT'!A1543</f>
        <v/>
      </c>
      <c r="B1542" t="str">
        <f>IF('NEW ACCOUNT'!A1543="","",'NEW ACCOUNT'!B1543)</f>
        <v/>
      </c>
      <c r="C1542" t="str">
        <f>IF('NEW ACCOUNT'!A1543="","",'NEW ACCOUNT'!C1543)</f>
        <v/>
      </c>
      <c r="D1542" t="str">
        <f>IF('NEW ACCOUNT'!A1543="","",'NEW ACCOUNT'!D1543)</f>
        <v/>
      </c>
      <c r="E1542" t="str">
        <f>IF('NEW ACCOUNT'!A1543="","",'NEW ACCOUNT'!E1543)</f>
        <v/>
      </c>
      <c r="F1542" t="str">
        <f>IF('NEW ACCOUNT'!A1543="","",'NEW ACCOUNT'!F1543)</f>
        <v/>
      </c>
      <c r="G1542" t="str">
        <f>IF('NEW ACCOUNT'!A1543="","",'NEW ACCOUNT'!G1543)</f>
        <v/>
      </c>
      <c r="H1542" t="str">
        <f>IF('NEW ACCOUNT'!A1543="","",'NEW ACCOUNT'!H1543)</f>
        <v/>
      </c>
      <c r="I1542" t="str">
        <f>IF('NEW ACCOUNT'!A1543="","",'NEW ACCOUNT'!I1543)</f>
        <v/>
      </c>
      <c r="J1542" t="str">
        <f>IF('NEW ACCOUNT'!A1543="","",'NEW ACCOUNT'!J1543)</f>
        <v/>
      </c>
      <c r="K1542" t="str">
        <f>IFERROR(IF(A1542="","",SUMIF(DB_Savings!$A:$A,A1542,DB_Savings!$F:$F)),"")</f>
        <v/>
      </c>
      <c r="L1542" t="str">
        <f>IFERROR(IF(A1542="","",SUMIF(DB_Withdrawals!$A:$A,A1542,DB_Withdrawals!$G:$G)),"")</f>
        <v/>
      </c>
      <c r="M1542" t="str">
        <f>IFERROR(IF(A1542="","",IFERROR(VALUE(H1542),0)+IFERROR(SUMIF(DB_Savings!$A:$A,A1542,DB_Savings!$F:$F),0)-IFERROR(SUMIF(DB_Withdrawals!$A:$A,A1542,DB_Withdrawals!$G:$G),0)),"")</f>
        <v/>
      </c>
      <c r="N1542" t="str">
        <f>IFERROR(IF(A1542="","",MAX(0,M1542-System_Config!$B$9)),"")</f>
        <v/>
      </c>
    </row>
    <row r="1543" spans="1:14" ht="15" customHeight="1" x14ac:dyDescent="0.25">
      <c r="A1543" t="str">
        <f>'NEW ACCOUNT'!A1544</f>
        <v/>
      </c>
      <c r="B1543" t="str">
        <f>IF('NEW ACCOUNT'!A1544="","",'NEW ACCOUNT'!B1544)</f>
        <v/>
      </c>
      <c r="C1543" t="str">
        <f>IF('NEW ACCOUNT'!A1544="","",'NEW ACCOUNT'!C1544)</f>
        <v/>
      </c>
      <c r="D1543" t="str">
        <f>IF('NEW ACCOUNT'!A1544="","",'NEW ACCOUNT'!D1544)</f>
        <v/>
      </c>
      <c r="E1543" t="str">
        <f>IF('NEW ACCOUNT'!A1544="","",'NEW ACCOUNT'!E1544)</f>
        <v/>
      </c>
      <c r="F1543" t="str">
        <f>IF('NEW ACCOUNT'!A1544="","",'NEW ACCOUNT'!F1544)</f>
        <v/>
      </c>
      <c r="G1543" t="str">
        <f>IF('NEW ACCOUNT'!A1544="","",'NEW ACCOUNT'!G1544)</f>
        <v/>
      </c>
      <c r="H1543" t="str">
        <f>IF('NEW ACCOUNT'!A1544="","",'NEW ACCOUNT'!H1544)</f>
        <v/>
      </c>
      <c r="I1543" t="str">
        <f>IF('NEW ACCOUNT'!A1544="","",'NEW ACCOUNT'!I1544)</f>
        <v/>
      </c>
      <c r="J1543" t="str">
        <f>IF('NEW ACCOUNT'!A1544="","",'NEW ACCOUNT'!J1544)</f>
        <v/>
      </c>
      <c r="K1543" t="str">
        <f>IFERROR(IF(A1543="","",SUMIF(DB_Savings!$A:$A,A1543,DB_Savings!$F:$F)),"")</f>
        <v/>
      </c>
      <c r="L1543" t="str">
        <f>IFERROR(IF(A1543="","",SUMIF(DB_Withdrawals!$A:$A,A1543,DB_Withdrawals!$G:$G)),"")</f>
        <v/>
      </c>
      <c r="M1543" t="str">
        <f>IFERROR(IF(A1543="","",IFERROR(VALUE(H1543),0)+IFERROR(SUMIF(DB_Savings!$A:$A,A1543,DB_Savings!$F:$F),0)-IFERROR(SUMIF(DB_Withdrawals!$A:$A,A1543,DB_Withdrawals!$G:$G),0)),"")</f>
        <v/>
      </c>
      <c r="N1543" t="str">
        <f>IFERROR(IF(A1543="","",MAX(0,M1543-System_Config!$B$9)),"")</f>
        <v/>
      </c>
    </row>
    <row r="1544" spans="1:14" ht="15" customHeight="1" x14ac:dyDescent="0.25">
      <c r="A1544" t="str">
        <f>'NEW ACCOUNT'!A1545</f>
        <v/>
      </c>
      <c r="B1544" t="str">
        <f>IF('NEW ACCOUNT'!A1545="","",'NEW ACCOUNT'!B1545)</f>
        <v/>
      </c>
      <c r="C1544" t="str">
        <f>IF('NEW ACCOUNT'!A1545="","",'NEW ACCOUNT'!C1545)</f>
        <v/>
      </c>
      <c r="D1544" t="str">
        <f>IF('NEW ACCOUNT'!A1545="","",'NEW ACCOUNT'!D1545)</f>
        <v/>
      </c>
      <c r="E1544" t="str">
        <f>IF('NEW ACCOUNT'!A1545="","",'NEW ACCOUNT'!E1545)</f>
        <v/>
      </c>
      <c r="F1544" t="str">
        <f>IF('NEW ACCOUNT'!A1545="","",'NEW ACCOUNT'!F1545)</f>
        <v/>
      </c>
      <c r="G1544" t="str">
        <f>IF('NEW ACCOUNT'!A1545="","",'NEW ACCOUNT'!G1545)</f>
        <v/>
      </c>
      <c r="H1544" t="str">
        <f>IF('NEW ACCOUNT'!A1545="","",'NEW ACCOUNT'!H1545)</f>
        <v/>
      </c>
      <c r="I1544" t="str">
        <f>IF('NEW ACCOUNT'!A1545="","",'NEW ACCOUNT'!I1545)</f>
        <v/>
      </c>
      <c r="J1544" t="str">
        <f>IF('NEW ACCOUNT'!A1545="","",'NEW ACCOUNT'!J1545)</f>
        <v/>
      </c>
      <c r="K1544" t="str">
        <f>IFERROR(IF(A1544="","",SUMIF(DB_Savings!$A:$A,A1544,DB_Savings!$F:$F)),"")</f>
        <v/>
      </c>
      <c r="L1544" t="str">
        <f>IFERROR(IF(A1544="","",SUMIF(DB_Withdrawals!$A:$A,A1544,DB_Withdrawals!$G:$G)),"")</f>
        <v/>
      </c>
      <c r="M1544" t="str">
        <f>IFERROR(IF(A1544="","",IFERROR(VALUE(H1544),0)+IFERROR(SUMIF(DB_Savings!$A:$A,A1544,DB_Savings!$F:$F),0)-IFERROR(SUMIF(DB_Withdrawals!$A:$A,A1544,DB_Withdrawals!$G:$G),0)),"")</f>
        <v/>
      </c>
      <c r="N1544" t="str">
        <f>IFERROR(IF(A1544="","",MAX(0,M1544-System_Config!$B$9)),"")</f>
        <v/>
      </c>
    </row>
    <row r="1545" spans="1:14" ht="15" customHeight="1" x14ac:dyDescent="0.25">
      <c r="A1545" t="str">
        <f>'NEW ACCOUNT'!A1546</f>
        <v/>
      </c>
      <c r="B1545" t="str">
        <f>IF('NEW ACCOUNT'!A1546="","",'NEW ACCOUNT'!B1546)</f>
        <v/>
      </c>
      <c r="C1545" t="str">
        <f>IF('NEW ACCOUNT'!A1546="","",'NEW ACCOUNT'!C1546)</f>
        <v/>
      </c>
      <c r="D1545" t="str">
        <f>IF('NEW ACCOUNT'!A1546="","",'NEW ACCOUNT'!D1546)</f>
        <v/>
      </c>
      <c r="E1545" t="str">
        <f>IF('NEW ACCOUNT'!A1546="","",'NEW ACCOUNT'!E1546)</f>
        <v/>
      </c>
      <c r="F1545" t="str">
        <f>IF('NEW ACCOUNT'!A1546="","",'NEW ACCOUNT'!F1546)</f>
        <v/>
      </c>
      <c r="G1545" t="str">
        <f>IF('NEW ACCOUNT'!A1546="","",'NEW ACCOUNT'!G1546)</f>
        <v/>
      </c>
      <c r="H1545" t="str">
        <f>IF('NEW ACCOUNT'!A1546="","",'NEW ACCOUNT'!H1546)</f>
        <v/>
      </c>
      <c r="I1545" t="str">
        <f>IF('NEW ACCOUNT'!A1546="","",'NEW ACCOUNT'!I1546)</f>
        <v/>
      </c>
      <c r="J1545" t="str">
        <f>IF('NEW ACCOUNT'!A1546="","",'NEW ACCOUNT'!J1546)</f>
        <v/>
      </c>
      <c r="K1545" t="str">
        <f>IFERROR(IF(A1545="","",SUMIF(DB_Savings!$A:$A,A1545,DB_Savings!$F:$F)),"")</f>
        <v/>
      </c>
      <c r="L1545" t="str">
        <f>IFERROR(IF(A1545="","",SUMIF(DB_Withdrawals!$A:$A,A1545,DB_Withdrawals!$G:$G)),"")</f>
        <v/>
      </c>
      <c r="M1545" t="str">
        <f>IFERROR(IF(A1545="","",IFERROR(VALUE(H1545),0)+IFERROR(SUMIF(DB_Savings!$A:$A,A1545,DB_Savings!$F:$F),0)-IFERROR(SUMIF(DB_Withdrawals!$A:$A,A1545,DB_Withdrawals!$G:$G),0)),"")</f>
        <v/>
      </c>
      <c r="N1545" t="str">
        <f>IFERROR(IF(A1545="","",MAX(0,M1545-System_Config!$B$9)),"")</f>
        <v/>
      </c>
    </row>
    <row r="1546" spans="1:14" ht="15" customHeight="1" x14ac:dyDescent="0.25">
      <c r="A1546" t="str">
        <f>'NEW ACCOUNT'!A1547</f>
        <v/>
      </c>
      <c r="B1546" t="str">
        <f>IF('NEW ACCOUNT'!A1547="","",'NEW ACCOUNT'!B1547)</f>
        <v/>
      </c>
      <c r="C1546" t="str">
        <f>IF('NEW ACCOUNT'!A1547="","",'NEW ACCOUNT'!C1547)</f>
        <v/>
      </c>
      <c r="D1546" t="str">
        <f>IF('NEW ACCOUNT'!A1547="","",'NEW ACCOUNT'!D1547)</f>
        <v/>
      </c>
      <c r="E1546" t="str">
        <f>IF('NEW ACCOUNT'!A1547="","",'NEW ACCOUNT'!E1547)</f>
        <v/>
      </c>
      <c r="F1546" t="str">
        <f>IF('NEW ACCOUNT'!A1547="","",'NEW ACCOUNT'!F1547)</f>
        <v/>
      </c>
      <c r="G1546" t="str">
        <f>IF('NEW ACCOUNT'!A1547="","",'NEW ACCOUNT'!G1547)</f>
        <v/>
      </c>
      <c r="H1546" t="str">
        <f>IF('NEW ACCOUNT'!A1547="","",'NEW ACCOUNT'!H1547)</f>
        <v/>
      </c>
      <c r="I1546" t="str">
        <f>IF('NEW ACCOUNT'!A1547="","",'NEW ACCOUNT'!I1547)</f>
        <v/>
      </c>
      <c r="J1546" t="str">
        <f>IF('NEW ACCOUNT'!A1547="","",'NEW ACCOUNT'!J1547)</f>
        <v/>
      </c>
      <c r="K1546" t="str">
        <f>IFERROR(IF(A1546="","",SUMIF(DB_Savings!$A:$A,A1546,DB_Savings!$F:$F)),"")</f>
        <v/>
      </c>
      <c r="L1546" t="str">
        <f>IFERROR(IF(A1546="","",SUMIF(DB_Withdrawals!$A:$A,A1546,DB_Withdrawals!$G:$G)),"")</f>
        <v/>
      </c>
      <c r="M1546" t="str">
        <f>IFERROR(IF(A1546="","",IFERROR(VALUE(H1546),0)+IFERROR(SUMIF(DB_Savings!$A:$A,A1546,DB_Savings!$F:$F),0)-IFERROR(SUMIF(DB_Withdrawals!$A:$A,A1546,DB_Withdrawals!$G:$G),0)),"")</f>
        <v/>
      </c>
      <c r="N1546" t="str">
        <f>IFERROR(IF(A1546="","",MAX(0,M1546-System_Config!$B$9)),"")</f>
        <v/>
      </c>
    </row>
    <row r="1547" spans="1:14" ht="15" customHeight="1" x14ac:dyDescent="0.25">
      <c r="A1547" t="str">
        <f>'NEW ACCOUNT'!A1548</f>
        <v/>
      </c>
      <c r="B1547" t="str">
        <f>IF('NEW ACCOUNT'!A1548="","",'NEW ACCOUNT'!B1548)</f>
        <v/>
      </c>
      <c r="C1547" t="str">
        <f>IF('NEW ACCOUNT'!A1548="","",'NEW ACCOUNT'!C1548)</f>
        <v/>
      </c>
      <c r="D1547" t="str">
        <f>IF('NEW ACCOUNT'!A1548="","",'NEW ACCOUNT'!D1548)</f>
        <v/>
      </c>
      <c r="E1547" t="str">
        <f>IF('NEW ACCOUNT'!A1548="","",'NEW ACCOUNT'!E1548)</f>
        <v/>
      </c>
      <c r="F1547" t="str">
        <f>IF('NEW ACCOUNT'!A1548="","",'NEW ACCOUNT'!F1548)</f>
        <v/>
      </c>
      <c r="G1547" t="str">
        <f>IF('NEW ACCOUNT'!A1548="","",'NEW ACCOUNT'!G1548)</f>
        <v/>
      </c>
      <c r="H1547" t="str">
        <f>IF('NEW ACCOUNT'!A1548="","",'NEW ACCOUNT'!H1548)</f>
        <v/>
      </c>
      <c r="I1547" t="str">
        <f>IF('NEW ACCOUNT'!A1548="","",'NEW ACCOUNT'!I1548)</f>
        <v/>
      </c>
      <c r="J1547" t="str">
        <f>IF('NEW ACCOUNT'!A1548="","",'NEW ACCOUNT'!J1548)</f>
        <v/>
      </c>
      <c r="K1547" t="str">
        <f>IFERROR(IF(A1547="","",SUMIF(DB_Savings!$A:$A,A1547,DB_Savings!$F:$F)),"")</f>
        <v/>
      </c>
      <c r="L1547" t="str">
        <f>IFERROR(IF(A1547="","",SUMIF(DB_Withdrawals!$A:$A,A1547,DB_Withdrawals!$G:$G)),"")</f>
        <v/>
      </c>
      <c r="M1547" t="str">
        <f>IFERROR(IF(A1547="","",IFERROR(VALUE(H1547),0)+IFERROR(SUMIF(DB_Savings!$A:$A,A1547,DB_Savings!$F:$F),0)-IFERROR(SUMIF(DB_Withdrawals!$A:$A,A1547,DB_Withdrawals!$G:$G),0)),"")</f>
        <v/>
      </c>
      <c r="N1547" t="str">
        <f>IFERROR(IF(A1547="","",MAX(0,M1547-System_Config!$B$9)),"")</f>
        <v/>
      </c>
    </row>
    <row r="1548" spans="1:14" ht="15" customHeight="1" x14ac:dyDescent="0.25">
      <c r="A1548" t="str">
        <f>'NEW ACCOUNT'!A1549</f>
        <v/>
      </c>
      <c r="B1548" t="str">
        <f>IF('NEW ACCOUNT'!A1549="","",'NEW ACCOUNT'!B1549)</f>
        <v/>
      </c>
      <c r="C1548" t="str">
        <f>IF('NEW ACCOUNT'!A1549="","",'NEW ACCOUNT'!C1549)</f>
        <v/>
      </c>
      <c r="D1548" t="str">
        <f>IF('NEW ACCOUNT'!A1549="","",'NEW ACCOUNT'!D1549)</f>
        <v/>
      </c>
      <c r="E1548" t="str">
        <f>IF('NEW ACCOUNT'!A1549="","",'NEW ACCOUNT'!E1549)</f>
        <v/>
      </c>
      <c r="F1548" t="str">
        <f>IF('NEW ACCOUNT'!A1549="","",'NEW ACCOUNT'!F1549)</f>
        <v/>
      </c>
      <c r="G1548" t="str">
        <f>IF('NEW ACCOUNT'!A1549="","",'NEW ACCOUNT'!G1549)</f>
        <v/>
      </c>
      <c r="H1548" t="str">
        <f>IF('NEW ACCOUNT'!A1549="","",'NEW ACCOUNT'!H1549)</f>
        <v/>
      </c>
      <c r="I1548" t="str">
        <f>IF('NEW ACCOUNT'!A1549="","",'NEW ACCOUNT'!I1549)</f>
        <v/>
      </c>
      <c r="J1548" t="str">
        <f>IF('NEW ACCOUNT'!A1549="","",'NEW ACCOUNT'!J1549)</f>
        <v/>
      </c>
      <c r="K1548" t="str">
        <f>IFERROR(IF(A1548="","",SUMIF(DB_Savings!$A:$A,A1548,DB_Savings!$F:$F)),"")</f>
        <v/>
      </c>
      <c r="L1548" t="str">
        <f>IFERROR(IF(A1548="","",SUMIF(DB_Withdrawals!$A:$A,A1548,DB_Withdrawals!$G:$G)),"")</f>
        <v/>
      </c>
      <c r="M1548" t="str">
        <f>IFERROR(IF(A1548="","",IFERROR(VALUE(H1548),0)+IFERROR(SUMIF(DB_Savings!$A:$A,A1548,DB_Savings!$F:$F),0)-IFERROR(SUMIF(DB_Withdrawals!$A:$A,A1548,DB_Withdrawals!$G:$G),0)),"")</f>
        <v/>
      </c>
      <c r="N1548" t="str">
        <f>IFERROR(IF(A1548="","",MAX(0,M1548-System_Config!$B$9)),"")</f>
        <v/>
      </c>
    </row>
    <row r="1549" spans="1:14" ht="15" customHeight="1" x14ac:dyDescent="0.25">
      <c r="A1549" t="str">
        <f>'NEW ACCOUNT'!A1550</f>
        <v/>
      </c>
      <c r="B1549" t="str">
        <f>IF('NEW ACCOUNT'!A1550="","",'NEW ACCOUNT'!B1550)</f>
        <v/>
      </c>
      <c r="C1549" t="str">
        <f>IF('NEW ACCOUNT'!A1550="","",'NEW ACCOUNT'!C1550)</f>
        <v/>
      </c>
      <c r="D1549" t="str">
        <f>IF('NEW ACCOUNT'!A1550="","",'NEW ACCOUNT'!D1550)</f>
        <v/>
      </c>
      <c r="E1549" t="str">
        <f>IF('NEW ACCOUNT'!A1550="","",'NEW ACCOUNT'!E1550)</f>
        <v/>
      </c>
      <c r="F1549" t="str">
        <f>IF('NEW ACCOUNT'!A1550="","",'NEW ACCOUNT'!F1550)</f>
        <v/>
      </c>
      <c r="G1549" t="str">
        <f>IF('NEW ACCOUNT'!A1550="","",'NEW ACCOUNT'!G1550)</f>
        <v/>
      </c>
      <c r="H1549" t="str">
        <f>IF('NEW ACCOUNT'!A1550="","",'NEW ACCOUNT'!H1550)</f>
        <v/>
      </c>
      <c r="I1549" t="str">
        <f>IF('NEW ACCOUNT'!A1550="","",'NEW ACCOUNT'!I1550)</f>
        <v/>
      </c>
      <c r="J1549" t="str">
        <f>IF('NEW ACCOUNT'!A1550="","",'NEW ACCOUNT'!J1550)</f>
        <v/>
      </c>
      <c r="K1549" t="str">
        <f>IFERROR(IF(A1549="","",SUMIF(DB_Savings!$A:$A,A1549,DB_Savings!$F:$F)),"")</f>
        <v/>
      </c>
      <c r="L1549" t="str">
        <f>IFERROR(IF(A1549="","",SUMIF(DB_Withdrawals!$A:$A,A1549,DB_Withdrawals!$G:$G)),"")</f>
        <v/>
      </c>
      <c r="M1549" t="str">
        <f>IFERROR(IF(A1549="","",IFERROR(VALUE(H1549),0)+IFERROR(SUMIF(DB_Savings!$A:$A,A1549,DB_Savings!$F:$F),0)-IFERROR(SUMIF(DB_Withdrawals!$A:$A,A1549,DB_Withdrawals!$G:$G),0)),"")</f>
        <v/>
      </c>
      <c r="N1549" t="str">
        <f>IFERROR(IF(A1549="","",MAX(0,M1549-System_Config!$B$9)),"")</f>
        <v/>
      </c>
    </row>
    <row r="1550" spans="1:14" ht="15" customHeight="1" x14ac:dyDescent="0.25">
      <c r="A1550" t="str">
        <f>'NEW ACCOUNT'!A1551</f>
        <v/>
      </c>
      <c r="B1550" t="str">
        <f>IF('NEW ACCOUNT'!A1551="","",'NEW ACCOUNT'!B1551)</f>
        <v/>
      </c>
      <c r="C1550" t="str">
        <f>IF('NEW ACCOUNT'!A1551="","",'NEW ACCOUNT'!C1551)</f>
        <v/>
      </c>
      <c r="D1550" t="str">
        <f>IF('NEW ACCOUNT'!A1551="","",'NEW ACCOUNT'!D1551)</f>
        <v/>
      </c>
      <c r="E1550" t="str">
        <f>IF('NEW ACCOUNT'!A1551="","",'NEW ACCOUNT'!E1551)</f>
        <v/>
      </c>
      <c r="F1550" t="str">
        <f>IF('NEW ACCOUNT'!A1551="","",'NEW ACCOUNT'!F1551)</f>
        <v/>
      </c>
      <c r="G1550" t="str">
        <f>IF('NEW ACCOUNT'!A1551="","",'NEW ACCOUNT'!G1551)</f>
        <v/>
      </c>
      <c r="H1550" t="str">
        <f>IF('NEW ACCOUNT'!A1551="","",'NEW ACCOUNT'!H1551)</f>
        <v/>
      </c>
      <c r="I1550" t="str">
        <f>IF('NEW ACCOUNT'!A1551="","",'NEW ACCOUNT'!I1551)</f>
        <v/>
      </c>
      <c r="J1550" t="str">
        <f>IF('NEW ACCOUNT'!A1551="","",'NEW ACCOUNT'!J1551)</f>
        <v/>
      </c>
      <c r="K1550" t="str">
        <f>IFERROR(IF(A1550="","",SUMIF(DB_Savings!$A:$A,A1550,DB_Savings!$F:$F)),"")</f>
        <v/>
      </c>
      <c r="L1550" t="str">
        <f>IFERROR(IF(A1550="","",SUMIF(DB_Withdrawals!$A:$A,A1550,DB_Withdrawals!$G:$G)),"")</f>
        <v/>
      </c>
      <c r="M1550" t="str">
        <f>IFERROR(IF(A1550="","",IFERROR(VALUE(H1550),0)+IFERROR(SUMIF(DB_Savings!$A:$A,A1550,DB_Savings!$F:$F),0)-IFERROR(SUMIF(DB_Withdrawals!$A:$A,A1550,DB_Withdrawals!$G:$G),0)),"")</f>
        <v/>
      </c>
      <c r="N1550" t="str">
        <f>IFERROR(IF(A1550="","",MAX(0,M1550-System_Config!$B$9)),"")</f>
        <v/>
      </c>
    </row>
    <row r="1551" spans="1:14" ht="15" customHeight="1" x14ac:dyDescent="0.25">
      <c r="A1551" t="str">
        <f>'NEW ACCOUNT'!A1552</f>
        <v/>
      </c>
      <c r="B1551" t="str">
        <f>IF('NEW ACCOUNT'!A1552="","",'NEW ACCOUNT'!B1552)</f>
        <v/>
      </c>
      <c r="C1551" t="str">
        <f>IF('NEW ACCOUNT'!A1552="","",'NEW ACCOUNT'!C1552)</f>
        <v/>
      </c>
      <c r="D1551" t="str">
        <f>IF('NEW ACCOUNT'!A1552="","",'NEW ACCOUNT'!D1552)</f>
        <v/>
      </c>
      <c r="E1551" t="str">
        <f>IF('NEW ACCOUNT'!A1552="","",'NEW ACCOUNT'!E1552)</f>
        <v/>
      </c>
      <c r="F1551" t="str">
        <f>IF('NEW ACCOUNT'!A1552="","",'NEW ACCOUNT'!F1552)</f>
        <v/>
      </c>
      <c r="G1551" t="str">
        <f>IF('NEW ACCOUNT'!A1552="","",'NEW ACCOUNT'!G1552)</f>
        <v/>
      </c>
      <c r="H1551" t="str">
        <f>IF('NEW ACCOUNT'!A1552="","",'NEW ACCOUNT'!H1552)</f>
        <v/>
      </c>
      <c r="I1551" t="str">
        <f>IF('NEW ACCOUNT'!A1552="","",'NEW ACCOUNT'!I1552)</f>
        <v/>
      </c>
      <c r="J1551" t="str">
        <f>IF('NEW ACCOUNT'!A1552="","",'NEW ACCOUNT'!J1552)</f>
        <v/>
      </c>
      <c r="K1551" t="str">
        <f>IFERROR(IF(A1551="","",SUMIF(DB_Savings!$A:$A,A1551,DB_Savings!$F:$F)),"")</f>
        <v/>
      </c>
      <c r="L1551" t="str">
        <f>IFERROR(IF(A1551="","",SUMIF(DB_Withdrawals!$A:$A,A1551,DB_Withdrawals!$G:$G)),"")</f>
        <v/>
      </c>
      <c r="M1551" t="str">
        <f>IFERROR(IF(A1551="","",IFERROR(VALUE(H1551),0)+IFERROR(SUMIF(DB_Savings!$A:$A,A1551,DB_Savings!$F:$F),0)-IFERROR(SUMIF(DB_Withdrawals!$A:$A,A1551,DB_Withdrawals!$G:$G),0)),"")</f>
        <v/>
      </c>
      <c r="N1551" t="str">
        <f>IFERROR(IF(A1551="","",MAX(0,M1551-System_Config!$B$9)),"")</f>
        <v/>
      </c>
    </row>
    <row r="1552" spans="1:14" ht="15" customHeight="1" x14ac:dyDescent="0.25">
      <c r="A1552" t="str">
        <f>'NEW ACCOUNT'!A1553</f>
        <v/>
      </c>
      <c r="B1552" t="str">
        <f>IF('NEW ACCOUNT'!A1553="","",'NEW ACCOUNT'!B1553)</f>
        <v/>
      </c>
      <c r="C1552" t="str">
        <f>IF('NEW ACCOUNT'!A1553="","",'NEW ACCOUNT'!C1553)</f>
        <v/>
      </c>
      <c r="D1552" t="str">
        <f>IF('NEW ACCOUNT'!A1553="","",'NEW ACCOUNT'!D1553)</f>
        <v/>
      </c>
      <c r="E1552" t="str">
        <f>IF('NEW ACCOUNT'!A1553="","",'NEW ACCOUNT'!E1553)</f>
        <v/>
      </c>
      <c r="F1552" t="str">
        <f>IF('NEW ACCOUNT'!A1553="","",'NEW ACCOUNT'!F1553)</f>
        <v/>
      </c>
      <c r="G1552" t="str">
        <f>IF('NEW ACCOUNT'!A1553="","",'NEW ACCOUNT'!G1553)</f>
        <v/>
      </c>
      <c r="H1552" t="str">
        <f>IF('NEW ACCOUNT'!A1553="","",'NEW ACCOUNT'!H1553)</f>
        <v/>
      </c>
      <c r="I1552" t="str">
        <f>IF('NEW ACCOUNT'!A1553="","",'NEW ACCOUNT'!I1553)</f>
        <v/>
      </c>
      <c r="J1552" t="str">
        <f>IF('NEW ACCOUNT'!A1553="","",'NEW ACCOUNT'!J1553)</f>
        <v/>
      </c>
      <c r="K1552" t="str">
        <f>IFERROR(IF(A1552="","",SUMIF(DB_Savings!$A:$A,A1552,DB_Savings!$F:$F)),"")</f>
        <v/>
      </c>
      <c r="L1552" t="str">
        <f>IFERROR(IF(A1552="","",SUMIF(DB_Withdrawals!$A:$A,A1552,DB_Withdrawals!$G:$G)),"")</f>
        <v/>
      </c>
      <c r="M1552" t="str">
        <f>IFERROR(IF(A1552="","",IFERROR(VALUE(H1552),0)+IFERROR(SUMIF(DB_Savings!$A:$A,A1552,DB_Savings!$F:$F),0)-IFERROR(SUMIF(DB_Withdrawals!$A:$A,A1552,DB_Withdrawals!$G:$G),0)),"")</f>
        <v/>
      </c>
      <c r="N1552" t="str">
        <f>IFERROR(IF(A1552="","",MAX(0,M1552-System_Config!$B$9)),"")</f>
        <v/>
      </c>
    </row>
    <row r="1553" spans="1:14" ht="15" customHeight="1" x14ac:dyDescent="0.25">
      <c r="A1553" t="str">
        <f>'NEW ACCOUNT'!A1554</f>
        <v/>
      </c>
      <c r="B1553" t="str">
        <f>IF('NEW ACCOUNT'!A1554="","",'NEW ACCOUNT'!B1554)</f>
        <v/>
      </c>
      <c r="C1553" t="str">
        <f>IF('NEW ACCOUNT'!A1554="","",'NEW ACCOUNT'!C1554)</f>
        <v/>
      </c>
      <c r="D1553" t="str">
        <f>IF('NEW ACCOUNT'!A1554="","",'NEW ACCOUNT'!D1554)</f>
        <v/>
      </c>
      <c r="E1553" t="str">
        <f>IF('NEW ACCOUNT'!A1554="","",'NEW ACCOUNT'!E1554)</f>
        <v/>
      </c>
      <c r="F1553" t="str">
        <f>IF('NEW ACCOUNT'!A1554="","",'NEW ACCOUNT'!F1554)</f>
        <v/>
      </c>
      <c r="G1553" t="str">
        <f>IF('NEW ACCOUNT'!A1554="","",'NEW ACCOUNT'!G1554)</f>
        <v/>
      </c>
      <c r="H1553" t="str">
        <f>IF('NEW ACCOUNT'!A1554="","",'NEW ACCOUNT'!H1554)</f>
        <v/>
      </c>
      <c r="I1553" t="str">
        <f>IF('NEW ACCOUNT'!A1554="","",'NEW ACCOUNT'!I1554)</f>
        <v/>
      </c>
      <c r="J1553" t="str">
        <f>IF('NEW ACCOUNT'!A1554="","",'NEW ACCOUNT'!J1554)</f>
        <v/>
      </c>
      <c r="K1553" t="str">
        <f>IFERROR(IF(A1553="","",SUMIF(DB_Savings!$A:$A,A1553,DB_Savings!$F:$F)),"")</f>
        <v/>
      </c>
      <c r="L1553" t="str">
        <f>IFERROR(IF(A1553="","",SUMIF(DB_Withdrawals!$A:$A,A1553,DB_Withdrawals!$G:$G)),"")</f>
        <v/>
      </c>
      <c r="M1553" t="str">
        <f>IFERROR(IF(A1553="","",IFERROR(VALUE(H1553),0)+IFERROR(SUMIF(DB_Savings!$A:$A,A1553,DB_Savings!$F:$F),0)-IFERROR(SUMIF(DB_Withdrawals!$A:$A,A1553,DB_Withdrawals!$G:$G),0)),"")</f>
        <v/>
      </c>
      <c r="N1553" t="str">
        <f>IFERROR(IF(A1553="","",MAX(0,M1553-System_Config!$B$9)),"")</f>
        <v/>
      </c>
    </row>
    <row r="1554" spans="1:14" ht="15" customHeight="1" x14ac:dyDescent="0.25">
      <c r="A1554" t="str">
        <f>'NEW ACCOUNT'!A1555</f>
        <v/>
      </c>
      <c r="B1554" t="str">
        <f>IF('NEW ACCOUNT'!A1555="","",'NEW ACCOUNT'!B1555)</f>
        <v/>
      </c>
      <c r="C1554" t="str">
        <f>IF('NEW ACCOUNT'!A1555="","",'NEW ACCOUNT'!C1555)</f>
        <v/>
      </c>
      <c r="D1554" t="str">
        <f>IF('NEW ACCOUNT'!A1555="","",'NEW ACCOUNT'!D1555)</f>
        <v/>
      </c>
      <c r="E1554" t="str">
        <f>IF('NEW ACCOUNT'!A1555="","",'NEW ACCOUNT'!E1555)</f>
        <v/>
      </c>
      <c r="F1554" t="str">
        <f>IF('NEW ACCOUNT'!A1555="","",'NEW ACCOUNT'!F1555)</f>
        <v/>
      </c>
      <c r="G1554" t="str">
        <f>IF('NEW ACCOUNT'!A1555="","",'NEW ACCOUNT'!G1555)</f>
        <v/>
      </c>
      <c r="H1554" t="str">
        <f>IF('NEW ACCOUNT'!A1555="","",'NEW ACCOUNT'!H1555)</f>
        <v/>
      </c>
      <c r="I1554" t="str">
        <f>IF('NEW ACCOUNT'!A1555="","",'NEW ACCOUNT'!I1555)</f>
        <v/>
      </c>
      <c r="J1554" t="str">
        <f>IF('NEW ACCOUNT'!A1555="","",'NEW ACCOUNT'!J1555)</f>
        <v/>
      </c>
      <c r="K1554" t="str">
        <f>IFERROR(IF(A1554="","",SUMIF(DB_Savings!$A:$A,A1554,DB_Savings!$F:$F)),"")</f>
        <v/>
      </c>
      <c r="L1554" t="str">
        <f>IFERROR(IF(A1554="","",SUMIF(DB_Withdrawals!$A:$A,A1554,DB_Withdrawals!$G:$G)),"")</f>
        <v/>
      </c>
      <c r="M1554" t="str">
        <f>IFERROR(IF(A1554="","",IFERROR(VALUE(H1554),0)+IFERROR(SUMIF(DB_Savings!$A:$A,A1554,DB_Savings!$F:$F),0)-IFERROR(SUMIF(DB_Withdrawals!$A:$A,A1554,DB_Withdrawals!$G:$G),0)),"")</f>
        <v/>
      </c>
      <c r="N1554" t="str">
        <f>IFERROR(IF(A1554="","",MAX(0,M1554-System_Config!$B$9)),"")</f>
        <v/>
      </c>
    </row>
    <row r="1555" spans="1:14" ht="15" customHeight="1" x14ac:dyDescent="0.25">
      <c r="A1555" t="str">
        <f>'NEW ACCOUNT'!A1556</f>
        <v/>
      </c>
      <c r="B1555" t="str">
        <f>IF('NEW ACCOUNT'!A1556="","",'NEW ACCOUNT'!B1556)</f>
        <v/>
      </c>
      <c r="C1555" t="str">
        <f>IF('NEW ACCOUNT'!A1556="","",'NEW ACCOUNT'!C1556)</f>
        <v/>
      </c>
      <c r="D1555" t="str">
        <f>IF('NEW ACCOUNT'!A1556="","",'NEW ACCOUNT'!D1556)</f>
        <v/>
      </c>
      <c r="E1555" t="str">
        <f>IF('NEW ACCOUNT'!A1556="","",'NEW ACCOUNT'!E1556)</f>
        <v/>
      </c>
      <c r="F1555" t="str">
        <f>IF('NEW ACCOUNT'!A1556="","",'NEW ACCOUNT'!F1556)</f>
        <v/>
      </c>
      <c r="G1555" t="str">
        <f>IF('NEW ACCOUNT'!A1556="","",'NEW ACCOUNT'!G1556)</f>
        <v/>
      </c>
      <c r="H1555" t="str">
        <f>IF('NEW ACCOUNT'!A1556="","",'NEW ACCOUNT'!H1556)</f>
        <v/>
      </c>
      <c r="I1555" t="str">
        <f>IF('NEW ACCOUNT'!A1556="","",'NEW ACCOUNT'!I1556)</f>
        <v/>
      </c>
      <c r="J1555" t="str">
        <f>IF('NEW ACCOUNT'!A1556="","",'NEW ACCOUNT'!J1556)</f>
        <v/>
      </c>
      <c r="K1555" t="str">
        <f>IFERROR(IF(A1555="","",SUMIF(DB_Savings!$A:$A,A1555,DB_Savings!$F:$F)),"")</f>
        <v/>
      </c>
      <c r="L1555" t="str">
        <f>IFERROR(IF(A1555="","",SUMIF(DB_Withdrawals!$A:$A,A1555,DB_Withdrawals!$G:$G)),"")</f>
        <v/>
      </c>
      <c r="M1555" t="str">
        <f>IFERROR(IF(A1555="","",IFERROR(VALUE(H1555),0)+IFERROR(SUMIF(DB_Savings!$A:$A,A1555,DB_Savings!$F:$F),0)-IFERROR(SUMIF(DB_Withdrawals!$A:$A,A1555,DB_Withdrawals!$G:$G),0)),"")</f>
        <v/>
      </c>
      <c r="N1555" t="str">
        <f>IFERROR(IF(A1555="","",MAX(0,M1555-System_Config!$B$9)),"")</f>
        <v/>
      </c>
    </row>
    <row r="1556" spans="1:14" ht="15" customHeight="1" x14ac:dyDescent="0.25">
      <c r="A1556" t="str">
        <f>'NEW ACCOUNT'!A1557</f>
        <v/>
      </c>
      <c r="B1556" t="str">
        <f>IF('NEW ACCOUNT'!A1557="","",'NEW ACCOUNT'!B1557)</f>
        <v/>
      </c>
      <c r="C1556" t="str">
        <f>IF('NEW ACCOUNT'!A1557="","",'NEW ACCOUNT'!C1557)</f>
        <v/>
      </c>
      <c r="D1556" t="str">
        <f>IF('NEW ACCOUNT'!A1557="","",'NEW ACCOUNT'!D1557)</f>
        <v/>
      </c>
      <c r="E1556" t="str">
        <f>IF('NEW ACCOUNT'!A1557="","",'NEW ACCOUNT'!E1557)</f>
        <v/>
      </c>
      <c r="F1556" t="str">
        <f>IF('NEW ACCOUNT'!A1557="","",'NEW ACCOUNT'!F1557)</f>
        <v/>
      </c>
      <c r="G1556" t="str">
        <f>IF('NEW ACCOUNT'!A1557="","",'NEW ACCOUNT'!G1557)</f>
        <v/>
      </c>
      <c r="H1556" t="str">
        <f>IF('NEW ACCOUNT'!A1557="","",'NEW ACCOUNT'!H1557)</f>
        <v/>
      </c>
      <c r="I1556" t="str">
        <f>IF('NEW ACCOUNT'!A1557="","",'NEW ACCOUNT'!I1557)</f>
        <v/>
      </c>
      <c r="J1556" t="str">
        <f>IF('NEW ACCOUNT'!A1557="","",'NEW ACCOUNT'!J1557)</f>
        <v/>
      </c>
      <c r="K1556" t="str">
        <f>IFERROR(IF(A1556="","",SUMIF(DB_Savings!$A:$A,A1556,DB_Savings!$F:$F)),"")</f>
        <v/>
      </c>
      <c r="L1556" t="str">
        <f>IFERROR(IF(A1556="","",SUMIF(DB_Withdrawals!$A:$A,A1556,DB_Withdrawals!$G:$G)),"")</f>
        <v/>
      </c>
      <c r="M1556" t="str">
        <f>IFERROR(IF(A1556="","",IFERROR(VALUE(H1556),0)+IFERROR(SUMIF(DB_Savings!$A:$A,A1556,DB_Savings!$F:$F),0)-IFERROR(SUMIF(DB_Withdrawals!$A:$A,A1556,DB_Withdrawals!$G:$G),0)),"")</f>
        <v/>
      </c>
      <c r="N1556" t="str">
        <f>IFERROR(IF(A1556="","",MAX(0,M1556-System_Config!$B$9)),"")</f>
        <v/>
      </c>
    </row>
    <row r="1557" spans="1:14" ht="15" customHeight="1" x14ac:dyDescent="0.25">
      <c r="A1557" t="str">
        <f>'NEW ACCOUNT'!A1558</f>
        <v/>
      </c>
      <c r="B1557" t="str">
        <f>IF('NEW ACCOUNT'!A1558="","",'NEW ACCOUNT'!B1558)</f>
        <v/>
      </c>
      <c r="C1557" t="str">
        <f>IF('NEW ACCOUNT'!A1558="","",'NEW ACCOUNT'!C1558)</f>
        <v/>
      </c>
      <c r="D1557" t="str">
        <f>IF('NEW ACCOUNT'!A1558="","",'NEW ACCOUNT'!D1558)</f>
        <v/>
      </c>
      <c r="E1557" t="str">
        <f>IF('NEW ACCOUNT'!A1558="","",'NEW ACCOUNT'!E1558)</f>
        <v/>
      </c>
      <c r="F1557" t="str">
        <f>IF('NEW ACCOUNT'!A1558="","",'NEW ACCOUNT'!F1558)</f>
        <v/>
      </c>
      <c r="G1557" t="str">
        <f>IF('NEW ACCOUNT'!A1558="","",'NEW ACCOUNT'!G1558)</f>
        <v/>
      </c>
      <c r="H1557" t="str">
        <f>IF('NEW ACCOUNT'!A1558="","",'NEW ACCOUNT'!H1558)</f>
        <v/>
      </c>
      <c r="I1557" t="str">
        <f>IF('NEW ACCOUNT'!A1558="","",'NEW ACCOUNT'!I1558)</f>
        <v/>
      </c>
      <c r="J1557" t="str">
        <f>IF('NEW ACCOUNT'!A1558="","",'NEW ACCOUNT'!J1558)</f>
        <v/>
      </c>
      <c r="K1557" t="str">
        <f>IFERROR(IF(A1557="","",SUMIF(DB_Savings!$A:$A,A1557,DB_Savings!$F:$F)),"")</f>
        <v/>
      </c>
      <c r="L1557" t="str">
        <f>IFERROR(IF(A1557="","",SUMIF(DB_Withdrawals!$A:$A,A1557,DB_Withdrawals!$G:$G)),"")</f>
        <v/>
      </c>
      <c r="M1557" t="str">
        <f>IFERROR(IF(A1557="","",IFERROR(VALUE(H1557),0)+IFERROR(SUMIF(DB_Savings!$A:$A,A1557,DB_Savings!$F:$F),0)-IFERROR(SUMIF(DB_Withdrawals!$A:$A,A1557,DB_Withdrawals!$G:$G),0)),"")</f>
        <v/>
      </c>
      <c r="N1557" t="str">
        <f>IFERROR(IF(A1557="","",MAX(0,M1557-System_Config!$B$9)),"")</f>
        <v/>
      </c>
    </row>
    <row r="1558" spans="1:14" ht="15" customHeight="1" x14ac:dyDescent="0.25">
      <c r="A1558" t="str">
        <f>'NEW ACCOUNT'!A1559</f>
        <v/>
      </c>
      <c r="B1558" t="str">
        <f>IF('NEW ACCOUNT'!A1559="","",'NEW ACCOUNT'!B1559)</f>
        <v/>
      </c>
      <c r="C1558" t="str">
        <f>IF('NEW ACCOUNT'!A1559="","",'NEW ACCOUNT'!C1559)</f>
        <v/>
      </c>
      <c r="D1558" t="str">
        <f>IF('NEW ACCOUNT'!A1559="","",'NEW ACCOUNT'!D1559)</f>
        <v/>
      </c>
      <c r="E1558" t="str">
        <f>IF('NEW ACCOUNT'!A1559="","",'NEW ACCOUNT'!E1559)</f>
        <v/>
      </c>
      <c r="F1558" t="str">
        <f>IF('NEW ACCOUNT'!A1559="","",'NEW ACCOUNT'!F1559)</f>
        <v/>
      </c>
      <c r="G1558" t="str">
        <f>IF('NEW ACCOUNT'!A1559="","",'NEW ACCOUNT'!G1559)</f>
        <v/>
      </c>
      <c r="H1558" t="str">
        <f>IF('NEW ACCOUNT'!A1559="","",'NEW ACCOUNT'!H1559)</f>
        <v/>
      </c>
      <c r="I1558" t="str">
        <f>IF('NEW ACCOUNT'!A1559="","",'NEW ACCOUNT'!I1559)</f>
        <v/>
      </c>
      <c r="J1558" t="str">
        <f>IF('NEW ACCOUNT'!A1559="","",'NEW ACCOUNT'!J1559)</f>
        <v/>
      </c>
      <c r="K1558" t="str">
        <f>IFERROR(IF(A1558="","",SUMIF(DB_Savings!$A:$A,A1558,DB_Savings!$F:$F)),"")</f>
        <v/>
      </c>
      <c r="L1558" t="str">
        <f>IFERROR(IF(A1558="","",SUMIF(DB_Withdrawals!$A:$A,A1558,DB_Withdrawals!$G:$G)),"")</f>
        <v/>
      </c>
      <c r="M1558" t="str">
        <f>IFERROR(IF(A1558="","",IFERROR(VALUE(H1558),0)+IFERROR(SUMIF(DB_Savings!$A:$A,A1558,DB_Savings!$F:$F),0)-IFERROR(SUMIF(DB_Withdrawals!$A:$A,A1558,DB_Withdrawals!$G:$G),0)),"")</f>
        <v/>
      </c>
      <c r="N1558" t="str">
        <f>IFERROR(IF(A1558="","",MAX(0,M1558-System_Config!$B$9)),"")</f>
        <v/>
      </c>
    </row>
    <row r="1559" spans="1:14" ht="15" customHeight="1" x14ac:dyDescent="0.25">
      <c r="A1559" t="str">
        <f>'NEW ACCOUNT'!A1560</f>
        <v/>
      </c>
      <c r="B1559" t="str">
        <f>IF('NEW ACCOUNT'!A1560="","",'NEW ACCOUNT'!B1560)</f>
        <v/>
      </c>
      <c r="C1559" t="str">
        <f>IF('NEW ACCOUNT'!A1560="","",'NEW ACCOUNT'!C1560)</f>
        <v/>
      </c>
      <c r="D1559" t="str">
        <f>IF('NEW ACCOUNT'!A1560="","",'NEW ACCOUNT'!D1560)</f>
        <v/>
      </c>
      <c r="E1559" t="str">
        <f>IF('NEW ACCOUNT'!A1560="","",'NEW ACCOUNT'!E1560)</f>
        <v/>
      </c>
      <c r="F1559" t="str">
        <f>IF('NEW ACCOUNT'!A1560="","",'NEW ACCOUNT'!F1560)</f>
        <v/>
      </c>
      <c r="G1559" t="str">
        <f>IF('NEW ACCOUNT'!A1560="","",'NEW ACCOUNT'!G1560)</f>
        <v/>
      </c>
      <c r="H1559" t="str">
        <f>IF('NEW ACCOUNT'!A1560="","",'NEW ACCOUNT'!H1560)</f>
        <v/>
      </c>
      <c r="I1559" t="str">
        <f>IF('NEW ACCOUNT'!A1560="","",'NEW ACCOUNT'!I1560)</f>
        <v/>
      </c>
      <c r="J1559" t="str">
        <f>IF('NEW ACCOUNT'!A1560="","",'NEW ACCOUNT'!J1560)</f>
        <v/>
      </c>
      <c r="K1559" t="str">
        <f>IFERROR(IF(A1559="","",SUMIF(DB_Savings!$A:$A,A1559,DB_Savings!$F:$F)),"")</f>
        <v/>
      </c>
      <c r="L1559" t="str">
        <f>IFERROR(IF(A1559="","",SUMIF(DB_Withdrawals!$A:$A,A1559,DB_Withdrawals!$G:$G)),"")</f>
        <v/>
      </c>
      <c r="M1559" t="str">
        <f>IFERROR(IF(A1559="","",IFERROR(VALUE(H1559),0)+IFERROR(SUMIF(DB_Savings!$A:$A,A1559,DB_Savings!$F:$F),0)-IFERROR(SUMIF(DB_Withdrawals!$A:$A,A1559,DB_Withdrawals!$G:$G),0)),"")</f>
        <v/>
      </c>
      <c r="N1559" t="str">
        <f>IFERROR(IF(A1559="","",MAX(0,M1559-System_Config!$B$9)),"")</f>
        <v/>
      </c>
    </row>
    <row r="1560" spans="1:14" ht="15" customHeight="1" x14ac:dyDescent="0.25">
      <c r="A1560" t="str">
        <f>'NEW ACCOUNT'!A1561</f>
        <v/>
      </c>
      <c r="B1560" t="str">
        <f>IF('NEW ACCOUNT'!A1561="","",'NEW ACCOUNT'!B1561)</f>
        <v/>
      </c>
      <c r="C1560" t="str">
        <f>IF('NEW ACCOUNT'!A1561="","",'NEW ACCOUNT'!C1561)</f>
        <v/>
      </c>
      <c r="D1560" t="str">
        <f>IF('NEW ACCOUNT'!A1561="","",'NEW ACCOUNT'!D1561)</f>
        <v/>
      </c>
      <c r="E1560" t="str">
        <f>IF('NEW ACCOUNT'!A1561="","",'NEW ACCOUNT'!E1561)</f>
        <v/>
      </c>
      <c r="F1560" t="str">
        <f>IF('NEW ACCOUNT'!A1561="","",'NEW ACCOUNT'!F1561)</f>
        <v/>
      </c>
      <c r="G1560" t="str">
        <f>IF('NEW ACCOUNT'!A1561="","",'NEW ACCOUNT'!G1561)</f>
        <v/>
      </c>
      <c r="H1560" t="str">
        <f>IF('NEW ACCOUNT'!A1561="","",'NEW ACCOUNT'!H1561)</f>
        <v/>
      </c>
      <c r="I1560" t="str">
        <f>IF('NEW ACCOUNT'!A1561="","",'NEW ACCOUNT'!I1561)</f>
        <v/>
      </c>
      <c r="J1560" t="str">
        <f>IF('NEW ACCOUNT'!A1561="","",'NEW ACCOUNT'!J1561)</f>
        <v/>
      </c>
      <c r="K1560" t="str">
        <f>IFERROR(IF(A1560="","",SUMIF(DB_Savings!$A:$A,A1560,DB_Savings!$F:$F)),"")</f>
        <v/>
      </c>
      <c r="L1560" t="str">
        <f>IFERROR(IF(A1560="","",SUMIF(DB_Withdrawals!$A:$A,A1560,DB_Withdrawals!$G:$G)),"")</f>
        <v/>
      </c>
      <c r="M1560" t="str">
        <f>IFERROR(IF(A1560="","",IFERROR(VALUE(H1560),0)+IFERROR(SUMIF(DB_Savings!$A:$A,A1560,DB_Savings!$F:$F),0)-IFERROR(SUMIF(DB_Withdrawals!$A:$A,A1560,DB_Withdrawals!$G:$G),0)),"")</f>
        <v/>
      </c>
      <c r="N1560" t="str">
        <f>IFERROR(IF(A1560="","",MAX(0,M1560-System_Config!$B$9)),"")</f>
        <v/>
      </c>
    </row>
    <row r="1561" spans="1:14" ht="15" customHeight="1" x14ac:dyDescent="0.25">
      <c r="A1561" t="str">
        <f>'NEW ACCOUNT'!A1562</f>
        <v/>
      </c>
      <c r="B1561" t="str">
        <f>IF('NEW ACCOUNT'!A1562="","",'NEW ACCOUNT'!B1562)</f>
        <v/>
      </c>
      <c r="C1561" t="str">
        <f>IF('NEW ACCOUNT'!A1562="","",'NEW ACCOUNT'!C1562)</f>
        <v/>
      </c>
      <c r="D1561" t="str">
        <f>IF('NEW ACCOUNT'!A1562="","",'NEW ACCOUNT'!D1562)</f>
        <v/>
      </c>
      <c r="E1561" t="str">
        <f>IF('NEW ACCOUNT'!A1562="","",'NEW ACCOUNT'!E1562)</f>
        <v/>
      </c>
      <c r="F1561" t="str">
        <f>IF('NEW ACCOUNT'!A1562="","",'NEW ACCOUNT'!F1562)</f>
        <v/>
      </c>
      <c r="G1561" t="str">
        <f>IF('NEW ACCOUNT'!A1562="","",'NEW ACCOUNT'!G1562)</f>
        <v/>
      </c>
      <c r="H1561" t="str">
        <f>IF('NEW ACCOUNT'!A1562="","",'NEW ACCOUNT'!H1562)</f>
        <v/>
      </c>
      <c r="I1561" t="str">
        <f>IF('NEW ACCOUNT'!A1562="","",'NEW ACCOUNT'!I1562)</f>
        <v/>
      </c>
      <c r="J1561" t="str">
        <f>IF('NEW ACCOUNT'!A1562="","",'NEW ACCOUNT'!J1562)</f>
        <v/>
      </c>
      <c r="K1561" t="str">
        <f>IFERROR(IF(A1561="","",SUMIF(DB_Savings!$A:$A,A1561,DB_Savings!$F:$F)),"")</f>
        <v/>
      </c>
      <c r="L1561" t="str">
        <f>IFERROR(IF(A1561="","",SUMIF(DB_Withdrawals!$A:$A,A1561,DB_Withdrawals!$G:$G)),"")</f>
        <v/>
      </c>
      <c r="M1561" t="str">
        <f>IFERROR(IF(A1561="","",IFERROR(VALUE(H1561),0)+IFERROR(SUMIF(DB_Savings!$A:$A,A1561,DB_Savings!$F:$F),0)-IFERROR(SUMIF(DB_Withdrawals!$A:$A,A1561,DB_Withdrawals!$G:$G),0)),"")</f>
        <v/>
      </c>
      <c r="N1561" t="str">
        <f>IFERROR(IF(A1561="","",MAX(0,M1561-System_Config!$B$9)),"")</f>
        <v/>
      </c>
    </row>
    <row r="1562" spans="1:14" ht="15" customHeight="1" x14ac:dyDescent="0.25">
      <c r="A1562" t="str">
        <f>'NEW ACCOUNT'!A1563</f>
        <v/>
      </c>
      <c r="B1562" t="str">
        <f>IF('NEW ACCOUNT'!A1563="","",'NEW ACCOUNT'!B1563)</f>
        <v/>
      </c>
      <c r="C1562" t="str">
        <f>IF('NEW ACCOUNT'!A1563="","",'NEW ACCOUNT'!C1563)</f>
        <v/>
      </c>
      <c r="D1562" t="str">
        <f>IF('NEW ACCOUNT'!A1563="","",'NEW ACCOUNT'!D1563)</f>
        <v/>
      </c>
      <c r="E1562" t="str">
        <f>IF('NEW ACCOUNT'!A1563="","",'NEW ACCOUNT'!E1563)</f>
        <v/>
      </c>
      <c r="F1562" t="str">
        <f>IF('NEW ACCOUNT'!A1563="","",'NEW ACCOUNT'!F1563)</f>
        <v/>
      </c>
      <c r="G1562" t="str">
        <f>IF('NEW ACCOUNT'!A1563="","",'NEW ACCOUNT'!G1563)</f>
        <v/>
      </c>
      <c r="H1562" t="str">
        <f>IF('NEW ACCOUNT'!A1563="","",'NEW ACCOUNT'!H1563)</f>
        <v/>
      </c>
      <c r="I1562" t="str">
        <f>IF('NEW ACCOUNT'!A1563="","",'NEW ACCOUNT'!I1563)</f>
        <v/>
      </c>
      <c r="J1562" t="str">
        <f>IF('NEW ACCOUNT'!A1563="","",'NEW ACCOUNT'!J1563)</f>
        <v/>
      </c>
      <c r="K1562" t="str">
        <f>IFERROR(IF(A1562="","",SUMIF(DB_Savings!$A:$A,A1562,DB_Savings!$F:$F)),"")</f>
        <v/>
      </c>
      <c r="L1562" t="str">
        <f>IFERROR(IF(A1562="","",SUMIF(DB_Withdrawals!$A:$A,A1562,DB_Withdrawals!$G:$G)),"")</f>
        <v/>
      </c>
      <c r="M1562" t="str">
        <f>IFERROR(IF(A1562="","",IFERROR(VALUE(H1562),0)+IFERROR(SUMIF(DB_Savings!$A:$A,A1562,DB_Savings!$F:$F),0)-IFERROR(SUMIF(DB_Withdrawals!$A:$A,A1562,DB_Withdrawals!$G:$G),0)),"")</f>
        <v/>
      </c>
      <c r="N1562" t="str">
        <f>IFERROR(IF(A1562="","",MAX(0,M1562-System_Config!$B$9)),"")</f>
        <v/>
      </c>
    </row>
    <row r="1563" spans="1:14" ht="15" customHeight="1" x14ac:dyDescent="0.25">
      <c r="A1563" t="str">
        <f>'NEW ACCOUNT'!A1564</f>
        <v/>
      </c>
      <c r="B1563" t="str">
        <f>IF('NEW ACCOUNT'!A1564="","",'NEW ACCOUNT'!B1564)</f>
        <v/>
      </c>
      <c r="C1563" t="str">
        <f>IF('NEW ACCOUNT'!A1564="","",'NEW ACCOUNT'!C1564)</f>
        <v/>
      </c>
      <c r="D1563" t="str">
        <f>IF('NEW ACCOUNT'!A1564="","",'NEW ACCOUNT'!D1564)</f>
        <v/>
      </c>
      <c r="E1563" t="str">
        <f>IF('NEW ACCOUNT'!A1564="","",'NEW ACCOUNT'!E1564)</f>
        <v/>
      </c>
      <c r="F1563" t="str">
        <f>IF('NEW ACCOUNT'!A1564="","",'NEW ACCOUNT'!F1564)</f>
        <v/>
      </c>
      <c r="G1563" t="str">
        <f>IF('NEW ACCOUNT'!A1564="","",'NEW ACCOUNT'!G1564)</f>
        <v/>
      </c>
      <c r="H1563" t="str">
        <f>IF('NEW ACCOUNT'!A1564="","",'NEW ACCOUNT'!H1564)</f>
        <v/>
      </c>
      <c r="I1563" t="str">
        <f>IF('NEW ACCOUNT'!A1564="","",'NEW ACCOUNT'!I1564)</f>
        <v/>
      </c>
      <c r="J1563" t="str">
        <f>IF('NEW ACCOUNT'!A1564="","",'NEW ACCOUNT'!J1564)</f>
        <v/>
      </c>
      <c r="K1563" t="str">
        <f>IFERROR(IF(A1563="","",SUMIF(DB_Savings!$A:$A,A1563,DB_Savings!$F:$F)),"")</f>
        <v/>
      </c>
      <c r="L1563" t="str">
        <f>IFERROR(IF(A1563="","",SUMIF(DB_Withdrawals!$A:$A,A1563,DB_Withdrawals!$G:$G)),"")</f>
        <v/>
      </c>
      <c r="M1563" t="str">
        <f>IFERROR(IF(A1563="","",IFERROR(VALUE(H1563),0)+IFERROR(SUMIF(DB_Savings!$A:$A,A1563,DB_Savings!$F:$F),0)-IFERROR(SUMIF(DB_Withdrawals!$A:$A,A1563,DB_Withdrawals!$G:$G),0)),"")</f>
        <v/>
      </c>
      <c r="N1563" t="str">
        <f>IFERROR(IF(A1563="","",MAX(0,M1563-System_Config!$B$9)),"")</f>
        <v/>
      </c>
    </row>
    <row r="1564" spans="1:14" ht="15" customHeight="1" x14ac:dyDescent="0.25">
      <c r="A1564" t="str">
        <f>'NEW ACCOUNT'!A1565</f>
        <v/>
      </c>
      <c r="B1564" t="str">
        <f>IF('NEW ACCOUNT'!A1565="","",'NEW ACCOUNT'!B1565)</f>
        <v/>
      </c>
      <c r="C1564" t="str">
        <f>IF('NEW ACCOUNT'!A1565="","",'NEW ACCOUNT'!C1565)</f>
        <v/>
      </c>
      <c r="D1564" t="str">
        <f>IF('NEW ACCOUNT'!A1565="","",'NEW ACCOUNT'!D1565)</f>
        <v/>
      </c>
      <c r="E1564" t="str">
        <f>IF('NEW ACCOUNT'!A1565="","",'NEW ACCOUNT'!E1565)</f>
        <v/>
      </c>
      <c r="F1564" t="str">
        <f>IF('NEW ACCOUNT'!A1565="","",'NEW ACCOUNT'!F1565)</f>
        <v/>
      </c>
      <c r="G1564" t="str">
        <f>IF('NEW ACCOUNT'!A1565="","",'NEW ACCOUNT'!G1565)</f>
        <v/>
      </c>
      <c r="H1564" t="str">
        <f>IF('NEW ACCOUNT'!A1565="","",'NEW ACCOUNT'!H1565)</f>
        <v/>
      </c>
      <c r="I1564" t="str">
        <f>IF('NEW ACCOUNT'!A1565="","",'NEW ACCOUNT'!I1565)</f>
        <v/>
      </c>
      <c r="J1564" t="str">
        <f>IF('NEW ACCOUNT'!A1565="","",'NEW ACCOUNT'!J1565)</f>
        <v/>
      </c>
      <c r="K1564" t="str">
        <f>IFERROR(IF(A1564="","",SUMIF(DB_Savings!$A:$A,A1564,DB_Savings!$F:$F)),"")</f>
        <v/>
      </c>
      <c r="L1564" t="str">
        <f>IFERROR(IF(A1564="","",SUMIF(DB_Withdrawals!$A:$A,A1564,DB_Withdrawals!$G:$G)),"")</f>
        <v/>
      </c>
      <c r="M1564" t="str">
        <f>IFERROR(IF(A1564="","",IFERROR(VALUE(H1564),0)+IFERROR(SUMIF(DB_Savings!$A:$A,A1564,DB_Savings!$F:$F),0)-IFERROR(SUMIF(DB_Withdrawals!$A:$A,A1564,DB_Withdrawals!$G:$G),0)),"")</f>
        <v/>
      </c>
      <c r="N1564" t="str">
        <f>IFERROR(IF(A1564="","",MAX(0,M1564-System_Config!$B$9)),"")</f>
        <v/>
      </c>
    </row>
    <row r="1565" spans="1:14" ht="15" customHeight="1" x14ac:dyDescent="0.25">
      <c r="A1565" t="str">
        <f>'NEW ACCOUNT'!A1566</f>
        <v/>
      </c>
      <c r="B1565" t="str">
        <f>IF('NEW ACCOUNT'!A1566="","",'NEW ACCOUNT'!B1566)</f>
        <v/>
      </c>
      <c r="C1565" t="str">
        <f>IF('NEW ACCOUNT'!A1566="","",'NEW ACCOUNT'!C1566)</f>
        <v/>
      </c>
      <c r="D1565" t="str">
        <f>IF('NEW ACCOUNT'!A1566="","",'NEW ACCOUNT'!D1566)</f>
        <v/>
      </c>
      <c r="E1565" t="str">
        <f>IF('NEW ACCOUNT'!A1566="","",'NEW ACCOUNT'!E1566)</f>
        <v/>
      </c>
      <c r="F1565" t="str">
        <f>IF('NEW ACCOUNT'!A1566="","",'NEW ACCOUNT'!F1566)</f>
        <v/>
      </c>
      <c r="G1565" t="str">
        <f>IF('NEW ACCOUNT'!A1566="","",'NEW ACCOUNT'!G1566)</f>
        <v/>
      </c>
      <c r="H1565" t="str">
        <f>IF('NEW ACCOUNT'!A1566="","",'NEW ACCOUNT'!H1566)</f>
        <v/>
      </c>
      <c r="I1565" t="str">
        <f>IF('NEW ACCOUNT'!A1566="","",'NEW ACCOUNT'!I1566)</f>
        <v/>
      </c>
      <c r="J1565" t="str">
        <f>IF('NEW ACCOUNT'!A1566="","",'NEW ACCOUNT'!J1566)</f>
        <v/>
      </c>
      <c r="K1565" t="str">
        <f>IFERROR(IF(A1565="","",SUMIF(DB_Savings!$A:$A,A1565,DB_Savings!$F:$F)),"")</f>
        <v/>
      </c>
      <c r="L1565" t="str">
        <f>IFERROR(IF(A1565="","",SUMIF(DB_Withdrawals!$A:$A,A1565,DB_Withdrawals!$G:$G)),"")</f>
        <v/>
      </c>
      <c r="M1565" t="str">
        <f>IFERROR(IF(A1565="","",IFERROR(VALUE(H1565),0)+IFERROR(SUMIF(DB_Savings!$A:$A,A1565,DB_Savings!$F:$F),0)-IFERROR(SUMIF(DB_Withdrawals!$A:$A,A1565,DB_Withdrawals!$G:$G),0)),"")</f>
        <v/>
      </c>
      <c r="N1565" t="str">
        <f>IFERROR(IF(A1565="","",MAX(0,M1565-System_Config!$B$9)),"")</f>
        <v/>
      </c>
    </row>
    <row r="1566" spans="1:14" ht="15" customHeight="1" x14ac:dyDescent="0.25">
      <c r="A1566" t="str">
        <f>'NEW ACCOUNT'!A1567</f>
        <v/>
      </c>
      <c r="B1566" t="str">
        <f>IF('NEW ACCOUNT'!A1567="","",'NEW ACCOUNT'!B1567)</f>
        <v/>
      </c>
      <c r="C1566" t="str">
        <f>IF('NEW ACCOUNT'!A1567="","",'NEW ACCOUNT'!C1567)</f>
        <v/>
      </c>
      <c r="D1566" t="str">
        <f>IF('NEW ACCOUNT'!A1567="","",'NEW ACCOUNT'!D1567)</f>
        <v/>
      </c>
      <c r="E1566" t="str">
        <f>IF('NEW ACCOUNT'!A1567="","",'NEW ACCOUNT'!E1567)</f>
        <v/>
      </c>
      <c r="F1566" t="str">
        <f>IF('NEW ACCOUNT'!A1567="","",'NEW ACCOUNT'!F1567)</f>
        <v/>
      </c>
      <c r="G1566" t="str">
        <f>IF('NEW ACCOUNT'!A1567="","",'NEW ACCOUNT'!G1567)</f>
        <v/>
      </c>
      <c r="H1566" t="str">
        <f>IF('NEW ACCOUNT'!A1567="","",'NEW ACCOUNT'!H1567)</f>
        <v/>
      </c>
      <c r="I1566" t="str">
        <f>IF('NEW ACCOUNT'!A1567="","",'NEW ACCOUNT'!I1567)</f>
        <v/>
      </c>
      <c r="J1566" t="str">
        <f>IF('NEW ACCOUNT'!A1567="","",'NEW ACCOUNT'!J1567)</f>
        <v/>
      </c>
      <c r="K1566" t="str">
        <f>IFERROR(IF(A1566="","",SUMIF(DB_Savings!$A:$A,A1566,DB_Savings!$F:$F)),"")</f>
        <v/>
      </c>
      <c r="L1566" t="str">
        <f>IFERROR(IF(A1566="","",SUMIF(DB_Withdrawals!$A:$A,A1566,DB_Withdrawals!$G:$G)),"")</f>
        <v/>
      </c>
      <c r="M1566" t="str">
        <f>IFERROR(IF(A1566="","",IFERROR(VALUE(H1566),0)+IFERROR(SUMIF(DB_Savings!$A:$A,A1566,DB_Savings!$F:$F),0)-IFERROR(SUMIF(DB_Withdrawals!$A:$A,A1566,DB_Withdrawals!$G:$G),0)),"")</f>
        <v/>
      </c>
      <c r="N1566" t="str">
        <f>IFERROR(IF(A1566="","",MAX(0,M1566-System_Config!$B$9)),"")</f>
        <v/>
      </c>
    </row>
    <row r="1567" spans="1:14" ht="15" customHeight="1" x14ac:dyDescent="0.25">
      <c r="A1567" t="str">
        <f>'NEW ACCOUNT'!A1568</f>
        <v/>
      </c>
      <c r="B1567" t="str">
        <f>IF('NEW ACCOUNT'!A1568="","",'NEW ACCOUNT'!B1568)</f>
        <v/>
      </c>
      <c r="C1567" t="str">
        <f>IF('NEW ACCOUNT'!A1568="","",'NEW ACCOUNT'!C1568)</f>
        <v/>
      </c>
      <c r="D1567" t="str">
        <f>IF('NEW ACCOUNT'!A1568="","",'NEW ACCOUNT'!D1568)</f>
        <v/>
      </c>
      <c r="E1567" t="str">
        <f>IF('NEW ACCOUNT'!A1568="","",'NEW ACCOUNT'!E1568)</f>
        <v/>
      </c>
      <c r="F1567" t="str">
        <f>IF('NEW ACCOUNT'!A1568="","",'NEW ACCOUNT'!F1568)</f>
        <v/>
      </c>
      <c r="G1567" t="str">
        <f>IF('NEW ACCOUNT'!A1568="","",'NEW ACCOUNT'!G1568)</f>
        <v/>
      </c>
      <c r="H1567" t="str">
        <f>IF('NEW ACCOUNT'!A1568="","",'NEW ACCOUNT'!H1568)</f>
        <v/>
      </c>
      <c r="I1567" t="str">
        <f>IF('NEW ACCOUNT'!A1568="","",'NEW ACCOUNT'!I1568)</f>
        <v/>
      </c>
      <c r="J1567" t="str">
        <f>IF('NEW ACCOUNT'!A1568="","",'NEW ACCOUNT'!J1568)</f>
        <v/>
      </c>
      <c r="K1567" t="str">
        <f>IFERROR(IF(A1567="","",SUMIF(DB_Savings!$A:$A,A1567,DB_Savings!$F:$F)),"")</f>
        <v/>
      </c>
      <c r="L1567" t="str">
        <f>IFERROR(IF(A1567="","",SUMIF(DB_Withdrawals!$A:$A,A1567,DB_Withdrawals!$G:$G)),"")</f>
        <v/>
      </c>
      <c r="M1567" t="str">
        <f>IFERROR(IF(A1567="","",IFERROR(VALUE(H1567),0)+IFERROR(SUMIF(DB_Savings!$A:$A,A1567,DB_Savings!$F:$F),0)-IFERROR(SUMIF(DB_Withdrawals!$A:$A,A1567,DB_Withdrawals!$G:$G),0)),"")</f>
        <v/>
      </c>
      <c r="N1567" t="str">
        <f>IFERROR(IF(A1567="","",MAX(0,M1567-System_Config!$B$9)),"")</f>
        <v/>
      </c>
    </row>
    <row r="1568" spans="1:14" ht="15" customHeight="1" x14ac:dyDescent="0.25">
      <c r="A1568" t="str">
        <f>'NEW ACCOUNT'!A1569</f>
        <v/>
      </c>
      <c r="B1568" t="str">
        <f>IF('NEW ACCOUNT'!A1569="","",'NEW ACCOUNT'!B1569)</f>
        <v/>
      </c>
      <c r="C1568" t="str">
        <f>IF('NEW ACCOUNT'!A1569="","",'NEW ACCOUNT'!C1569)</f>
        <v/>
      </c>
      <c r="D1568" t="str">
        <f>IF('NEW ACCOUNT'!A1569="","",'NEW ACCOUNT'!D1569)</f>
        <v/>
      </c>
      <c r="E1568" t="str">
        <f>IF('NEW ACCOUNT'!A1569="","",'NEW ACCOUNT'!E1569)</f>
        <v/>
      </c>
      <c r="F1568" t="str">
        <f>IF('NEW ACCOUNT'!A1569="","",'NEW ACCOUNT'!F1569)</f>
        <v/>
      </c>
      <c r="G1568" t="str">
        <f>IF('NEW ACCOUNT'!A1569="","",'NEW ACCOUNT'!G1569)</f>
        <v/>
      </c>
      <c r="H1568" t="str">
        <f>IF('NEW ACCOUNT'!A1569="","",'NEW ACCOUNT'!H1569)</f>
        <v/>
      </c>
      <c r="I1568" t="str">
        <f>IF('NEW ACCOUNT'!A1569="","",'NEW ACCOUNT'!I1569)</f>
        <v/>
      </c>
      <c r="J1568" t="str">
        <f>IF('NEW ACCOUNT'!A1569="","",'NEW ACCOUNT'!J1569)</f>
        <v/>
      </c>
      <c r="K1568" t="str">
        <f>IFERROR(IF(A1568="","",SUMIF(DB_Savings!$A:$A,A1568,DB_Savings!$F:$F)),"")</f>
        <v/>
      </c>
      <c r="L1568" t="str">
        <f>IFERROR(IF(A1568="","",SUMIF(DB_Withdrawals!$A:$A,A1568,DB_Withdrawals!$G:$G)),"")</f>
        <v/>
      </c>
      <c r="M1568" t="str">
        <f>IFERROR(IF(A1568="","",IFERROR(VALUE(H1568),0)+IFERROR(SUMIF(DB_Savings!$A:$A,A1568,DB_Savings!$F:$F),0)-IFERROR(SUMIF(DB_Withdrawals!$A:$A,A1568,DB_Withdrawals!$G:$G),0)),"")</f>
        <v/>
      </c>
      <c r="N1568" t="str">
        <f>IFERROR(IF(A1568="","",MAX(0,M1568-System_Config!$B$9)),"")</f>
        <v/>
      </c>
    </row>
    <row r="1569" spans="1:14" ht="15" customHeight="1" x14ac:dyDescent="0.25">
      <c r="A1569" t="str">
        <f>'NEW ACCOUNT'!A1570</f>
        <v/>
      </c>
      <c r="B1569" t="str">
        <f>IF('NEW ACCOUNT'!A1570="","",'NEW ACCOUNT'!B1570)</f>
        <v/>
      </c>
      <c r="C1569" t="str">
        <f>IF('NEW ACCOUNT'!A1570="","",'NEW ACCOUNT'!C1570)</f>
        <v/>
      </c>
      <c r="D1569" t="str">
        <f>IF('NEW ACCOUNT'!A1570="","",'NEW ACCOUNT'!D1570)</f>
        <v/>
      </c>
      <c r="E1569" t="str">
        <f>IF('NEW ACCOUNT'!A1570="","",'NEW ACCOUNT'!E1570)</f>
        <v/>
      </c>
      <c r="F1569" t="str">
        <f>IF('NEW ACCOUNT'!A1570="","",'NEW ACCOUNT'!F1570)</f>
        <v/>
      </c>
      <c r="G1569" t="str">
        <f>IF('NEW ACCOUNT'!A1570="","",'NEW ACCOUNT'!G1570)</f>
        <v/>
      </c>
      <c r="H1569" t="str">
        <f>IF('NEW ACCOUNT'!A1570="","",'NEW ACCOUNT'!H1570)</f>
        <v/>
      </c>
      <c r="I1569" t="str">
        <f>IF('NEW ACCOUNT'!A1570="","",'NEW ACCOUNT'!I1570)</f>
        <v/>
      </c>
      <c r="J1569" t="str">
        <f>IF('NEW ACCOUNT'!A1570="","",'NEW ACCOUNT'!J1570)</f>
        <v/>
      </c>
      <c r="K1569" t="str">
        <f>IFERROR(IF(A1569="","",SUMIF(DB_Savings!$A:$A,A1569,DB_Savings!$F:$F)),"")</f>
        <v/>
      </c>
      <c r="L1569" t="str">
        <f>IFERROR(IF(A1569="","",SUMIF(DB_Withdrawals!$A:$A,A1569,DB_Withdrawals!$G:$G)),"")</f>
        <v/>
      </c>
      <c r="M1569" t="str">
        <f>IFERROR(IF(A1569="","",IFERROR(VALUE(H1569),0)+IFERROR(SUMIF(DB_Savings!$A:$A,A1569,DB_Savings!$F:$F),0)-IFERROR(SUMIF(DB_Withdrawals!$A:$A,A1569,DB_Withdrawals!$G:$G),0)),"")</f>
        <v/>
      </c>
      <c r="N1569" t="str">
        <f>IFERROR(IF(A1569="","",MAX(0,M1569-System_Config!$B$9)),"")</f>
        <v/>
      </c>
    </row>
    <row r="1570" spans="1:14" ht="15" customHeight="1" x14ac:dyDescent="0.25">
      <c r="A1570" t="str">
        <f>'NEW ACCOUNT'!A1571</f>
        <v/>
      </c>
      <c r="B1570" t="str">
        <f>IF('NEW ACCOUNT'!A1571="","",'NEW ACCOUNT'!B1571)</f>
        <v/>
      </c>
      <c r="C1570" t="str">
        <f>IF('NEW ACCOUNT'!A1571="","",'NEW ACCOUNT'!C1571)</f>
        <v/>
      </c>
      <c r="D1570" t="str">
        <f>IF('NEW ACCOUNT'!A1571="","",'NEW ACCOUNT'!D1571)</f>
        <v/>
      </c>
      <c r="E1570" t="str">
        <f>IF('NEW ACCOUNT'!A1571="","",'NEW ACCOUNT'!E1571)</f>
        <v/>
      </c>
      <c r="F1570" t="str">
        <f>IF('NEW ACCOUNT'!A1571="","",'NEW ACCOUNT'!F1571)</f>
        <v/>
      </c>
      <c r="G1570" t="str">
        <f>IF('NEW ACCOUNT'!A1571="","",'NEW ACCOUNT'!G1571)</f>
        <v/>
      </c>
      <c r="H1570" t="str">
        <f>IF('NEW ACCOUNT'!A1571="","",'NEW ACCOUNT'!H1571)</f>
        <v/>
      </c>
      <c r="I1570" t="str">
        <f>IF('NEW ACCOUNT'!A1571="","",'NEW ACCOUNT'!I1571)</f>
        <v/>
      </c>
      <c r="J1570" t="str">
        <f>IF('NEW ACCOUNT'!A1571="","",'NEW ACCOUNT'!J1571)</f>
        <v/>
      </c>
      <c r="K1570" t="str">
        <f>IFERROR(IF(A1570="","",SUMIF(DB_Savings!$A:$A,A1570,DB_Savings!$F:$F)),"")</f>
        <v/>
      </c>
      <c r="L1570" t="str">
        <f>IFERROR(IF(A1570="","",SUMIF(DB_Withdrawals!$A:$A,A1570,DB_Withdrawals!$G:$G)),"")</f>
        <v/>
      </c>
      <c r="M1570" t="str">
        <f>IFERROR(IF(A1570="","",IFERROR(VALUE(H1570),0)+IFERROR(SUMIF(DB_Savings!$A:$A,A1570,DB_Savings!$F:$F),0)-IFERROR(SUMIF(DB_Withdrawals!$A:$A,A1570,DB_Withdrawals!$G:$G),0)),"")</f>
        <v/>
      </c>
      <c r="N1570" t="str">
        <f>IFERROR(IF(A1570="","",MAX(0,M1570-System_Config!$B$9)),"")</f>
        <v/>
      </c>
    </row>
    <row r="1571" spans="1:14" ht="15" customHeight="1" x14ac:dyDescent="0.25">
      <c r="A1571" t="str">
        <f>'NEW ACCOUNT'!A1572</f>
        <v/>
      </c>
      <c r="B1571" t="str">
        <f>IF('NEW ACCOUNT'!A1572="","",'NEW ACCOUNT'!B1572)</f>
        <v/>
      </c>
      <c r="C1571" t="str">
        <f>IF('NEW ACCOUNT'!A1572="","",'NEW ACCOUNT'!C1572)</f>
        <v/>
      </c>
      <c r="D1571" t="str">
        <f>IF('NEW ACCOUNT'!A1572="","",'NEW ACCOUNT'!D1572)</f>
        <v/>
      </c>
      <c r="E1571" t="str">
        <f>IF('NEW ACCOUNT'!A1572="","",'NEW ACCOUNT'!E1572)</f>
        <v/>
      </c>
      <c r="F1571" t="str">
        <f>IF('NEW ACCOUNT'!A1572="","",'NEW ACCOUNT'!F1572)</f>
        <v/>
      </c>
      <c r="G1571" t="str">
        <f>IF('NEW ACCOUNT'!A1572="","",'NEW ACCOUNT'!G1572)</f>
        <v/>
      </c>
      <c r="H1571" t="str">
        <f>IF('NEW ACCOUNT'!A1572="","",'NEW ACCOUNT'!H1572)</f>
        <v/>
      </c>
      <c r="I1571" t="str">
        <f>IF('NEW ACCOUNT'!A1572="","",'NEW ACCOUNT'!I1572)</f>
        <v/>
      </c>
      <c r="J1571" t="str">
        <f>IF('NEW ACCOUNT'!A1572="","",'NEW ACCOUNT'!J1572)</f>
        <v/>
      </c>
      <c r="K1571" t="str">
        <f>IFERROR(IF(A1571="","",SUMIF(DB_Savings!$A:$A,A1571,DB_Savings!$F:$F)),"")</f>
        <v/>
      </c>
      <c r="L1571" t="str">
        <f>IFERROR(IF(A1571="","",SUMIF(DB_Withdrawals!$A:$A,A1571,DB_Withdrawals!$G:$G)),"")</f>
        <v/>
      </c>
      <c r="M1571" t="str">
        <f>IFERROR(IF(A1571="","",IFERROR(VALUE(H1571),0)+IFERROR(SUMIF(DB_Savings!$A:$A,A1571,DB_Savings!$F:$F),0)-IFERROR(SUMIF(DB_Withdrawals!$A:$A,A1571,DB_Withdrawals!$G:$G),0)),"")</f>
        <v/>
      </c>
      <c r="N1571" t="str">
        <f>IFERROR(IF(A1571="","",MAX(0,M1571-System_Config!$B$9)),"")</f>
        <v/>
      </c>
    </row>
    <row r="1572" spans="1:14" ht="15" customHeight="1" x14ac:dyDescent="0.25">
      <c r="A1572" t="str">
        <f>'NEW ACCOUNT'!A1573</f>
        <v/>
      </c>
      <c r="B1572" t="str">
        <f>IF('NEW ACCOUNT'!A1573="","",'NEW ACCOUNT'!B1573)</f>
        <v/>
      </c>
      <c r="C1572" t="str">
        <f>IF('NEW ACCOUNT'!A1573="","",'NEW ACCOUNT'!C1573)</f>
        <v/>
      </c>
      <c r="D1572" t="str">
        <f>IF('NEW ACCOUNT'!A1573="","",'NEW ACCOUNT'!D1573)</f>
        <v/>
      </c>
      <c r="E1572" t="str">
        <f>IF('NEW ACCOUNT'!A1573="","",'NEW ACCOUNT'!E1573)</f>
        <v/>
      </c>
      <c r="F1572" t="str">
        <f>IF('NEW ACCOUNT'!A1573="","",'NEW ACCOUNT'!F1573)</f>
        <v/>
      </c>
      <c r="G1572" t="str">
        <f>IF('NEW ACCOUNT'!A1573="","",'NEW ACCOUNT'!G1573)</f>
        <v/>
      </c>
      <c r="H1572" t="str">
        <f>IF('NEW ACCOUNT'!A1573="","",'NEW ACCOUNT'!H1573)</f>
        <v/>
      </c>
      <c r="I1572" t="str">
        <f>IF('NEW ACCOUNT'!A1573="","",'NEW ACCOUNT'!I1573)</f>
        <v/>
      </c>
      <c r="J1572" t="str">
        <f>IF('NEW ACCOUNT'!A1573="","",'NEW ACCOUNT'!J1573)</f>
        <v/>
      </c>
      <c r="K1572" t="str">
        <f>IFERROR(IF(A1572="","",SUMIF(DB_Savings!$A:$A,A1572,DB_Savings!$F:$F)),"")</f>
        <v/>
      </c>
      <c r="L1572" t="str">
        <f>IFERROR(IF(A1572="","",SUMIF(DB_Withdrawals!$A:$A,A1572,DB_Withdrawals!$G:$G)),"")</f>
        <v/>
      </c>
      <c r="M1572" t="str">
        <f>IFERROR(IF(A1572="","",IFERROR(VALUE(H1572),0)+IFERROR(SUMIF(DB_Savings!$A:$A,A1572,DB_Savings!$F:$F),0)-IFERROR(SUMIF(DB_Withdrawals!$A:$A,A1572,DB_Withdrawals!$G:$G),0)),"")</f>
        <v/>
      </c>
      <c r="N1572" t="str">
        <f>IFERROR(IF(A1572="","",MAX(0,M1572-System_Config!$B$9)),"")</f>
        <v/>
      </c>
    </row>
    <row r="1573" spans="1:14" ht="15" customHeight="1" x14ac:dyDescent="0.25">
      <c r="A1573" t="str">
        <f>'NEW ACCOUNT'!A1574</f>
        <v/>
      </c>
      <c r="B1573" t="str">
        <f>IF('NEW ACCOUNT'!A1574="","",'NEW ACCOUNT'!B1574)</f>
        <v/>
      </c>
      <c r="C1573" t="str">
        <f>IF('NEW ACCOUNT'!A1574="","",'NEW ACCOUNT'!C1574)</f>
        <v/>
      </c>
      <c r="D1573" t="str">
        <f>IF('NEW ACCOUNT'!A1574="","",'NEW ACCOUNT'!D1574)</f>
        <v/>
      </c>
      <c r="E1573" t="str">
        <f>IF('NEW ACCOUNT'!A1574="","",'NEW ACCOUNT'!E1574)</f>
        <v/>
      </c>
      <c r="F1573" t="str">
        <f>IF('NEW ACCOUNT'!A1574="","",'NEW ACCOUNT'!F1574)</f>
        <v/>
      </c>
      <c r="G1573" t="str">
        <f>IF('NEW ACCOUNT'!A1574="","",'NEW ACCOUNT'!G1574)</f>
        <v/>
      </c>
      <c r="H1573" t="str">
        <f>IF('NEW ACCOUNT'!A1574="","",'NEW ACCOUNT'!H1574)</f>
        <v/>
      </c>
      <c r="I1573" t="str">
        <f>IF('NEW ACCOUNT'!A1574="","",'NEW ACCOUNT'!I1574)</f>
        <v/>
      </c>
      <c r="J1573" t="str">
        <f>IF('NEW ACCOUNT'!A1574="","",'NEW ACCOUNT'!J1574)</f>
        <v/>
      </c>
      <c r="K1573" t="str">
        <f>IFERROR(IF(A1573="","",SUMIF(DB_Savings!$A:$A,A1573,DB_Savings!$F:$F)),"")</f>
        <v/>
      </c>
      <c r="L1573" t="str">
        <f>IFERROR(IF(A1573="","",SUMIF(DB_Withdrawals!$A:$A,A1573,DB_Withdrawals!$G:$G)),"")</f>
        <v/>
      </c>
      <c r="M1573" t="str">
        <f>IFERROR(IF(A1573="","",IFERROR(VALUE(H1573),0)+IFERROR(SUMIF(DB_Savings!$A:$A,A1573,DB_Savings!$F:$F),0)-IFERROR(SUMIF(DB_Withdrawals!$A:$A,A1573,DB_Withdrawals!$G:$G),0)),"")</f>
        <v/>
      </c>
      <c r="N1573" t="str">
        <f>IFERROR(IF(A1573="","",MAX(0,M1573-System_Config!$B$9)),"")</f>
        <v/>
      </c>
    </row>
    <row r="1574" spans="1:14" ht="15" customHeight="1" x14ac:dyDescent="0.25">
      <c r="A1574" t="str">
        <f>'NEW ACCOUNT'!A1575</f>
        <v/>
      </c>
      <c r="B1574" t="str">
        <f>IF('NEW ACCOUNT'!A1575="","",'NEW ACCOUNT'!B1575)</f>
        <v/>
      </c>
      <c r="C1574" t="str">
        <f>IF('NEW ACCOUNT'!A1575="","",'NEW ACCOUNT'!C1575)</f>
        <v/>
      </c>
      <c r="D1574" t="str">
        <f>IF('NEW ACCOUNT'!A1575="","",'NEW ACCOUNT'!D1575)</f>
        <v/>
      </c>
      <c r="E1574" t="str">
        <f>IF('NEW ACCOUNT'!A1575="","",'NEW ACCOUNT'!E1575)</f>
        <v/>
      </c>
      <c r="F1574" t="str">
        <f>IF('NEW ACCOUNT'!A1575="","",'NEW ACCOUNT'!F1575)</f>
        <v/>
      </c>
      <c r="G1574" t="str">
        <f>IF('NEW ACCOUNT'!A1575="","",'NEW ACCOUNT'!G1575)</f>
        <v/>
      </c>
      <c r="H1574" t="str">
        <f>IF('NEW ACCOUNT'!A1575="","",'NEW ACCOUNT'!H1575)</f>
        <v/>
      </c>
      <c r="I1574" t="str">
        <f>IF('NEW ACCOUNT'!A1575="","",'NEW ACCOUNT'!I1575)</f>
        <v/>
      </c>
      <c r="J1574" t="str">
        <f>IF('NEW ACCOUNT'!A1575="","",'NEW ACCOUNT'!J1575)</f>
        <v/>
      </c>
      <c r="K1574" t="str">
        <f>IFERROR(IF(A1574="","",SUMIF(DB_Savings!$A:$A,A1574,DB_Savings!$F:$F)),"")</f>
        <v/>
      </c>
      <c r="L1574" t="str">
        <f>IFERROR(IF(A1574="","",SUMIF(DB_Withdrawals!$A:$A,A1574,DB_Withdrawals!$G:$G)),"")</f>
        <v/>
      </c>
      <c r="M1574" t="str">
        <f>IFERROR(IF(A1574="","",IFERROR(VALUE(H1574),0)+IFERROR(SUMIF(DB_Savings!$A:$A,A1574,DB_Savings!$F:$F),0)-IFERROR(SUMIF(DB_Withdrawals!$A:$A,A1574,DB_Withdrawals!$G:$G),0)),"")</f>
        <v/>
      </c>
      <c r="N1574" t="str">
        <f>IFERROR(IF(A1574="","",MAX(0,M1574-System_Config!$B$9)),"")</f>
        <v/>
      </c>
    </row>
    <row r="1575" spans="1:14" ht="15" customHeight="1" x14ac:dyDescent="0.25">
      <c r="A1575" t="str">
        <f>'NEW ACCOUNT'!A1576</f>
        <v/>
      </c>
      <c r="B1575" t="str">
        <f>IF('NEW ACCOUNT'!A1576="","",'NEW ACCOUNT'!B1576)</f>
        <v/>
      </c>
      <c r="C1575" t="str">
        <f>IF('NEW ACCOUNT'!A1576="","",'NEW ACCOUNT'!C1576)</f>
        <v/>
      </c>
      <c r="D1575" t="str">
        <f>IF('NEW ACCOUNT'!A1576="","",'NEW ACCOUNT'!D1576)</f>
        <v/>
      </c>
      <c r="E1575" t="str">
        <f>IF('NEW ACCOUNT'!A1576="","",'NEW ACCOUNT'!E1576)</f>
        <v/>
      </c>
      <c r="F1575" t="str">
        <f>IF('NEW ACCOUNT'!A1576="","",'NEW ACCOUNT'!F1576)</f>
        <v/>
      </c>
      <c r="G1575" t="str">
        <f>IF('NEW ACCOUNT'!A1576="","",'NEW ACCOUNT'!G1576)</f>
        <v/>
      </c>
      <c r="H1575" t="str">
        <f>IF('NEW ACCOUNT'!A1576="","",'NEW ACCOUNT'!H1576)</f>
        <v/>
      </c>
      <c r="I1575" t="str">
        <f>IF('NEW ACCOUNT'!A1576="","",'NEW ACCOUNT'!I1576)</f>
        <v/>
      </c>
      <c r="J1575" t="str">
        <f>IF('NEW ACCOUNT'!A1576="","",'NEW ACCOUNT'!J1576)</f>
        <v/>
      </c>
      <c r="K1575" t="str">
        <f>IFERROR(IF(A1575="","",SUMIF(DB_Savings!$A:$A,A1575,DB_Savings!$F:$F)),"")</f>
        <v/>
      </c>
      <c r="L1575" t="str">
        <f>IFERROR(IF(A1575="","",SUMIF(DB_Withdrawals!$A:$A,A1575,DB_Withdrawals!$G:$G)),"")</f>
        <v/>
      </c>
      <c r="M1575" t="str">
        <f>IFERROR(IF(A1575="","",IFERROR(VALUE(H1575),0)+IFERROR(SUMIF(DB_Savings!$A:$A,A1575,DB_Savings!$F:$F),0)-IFERROR(SUMIF(DB_Withdrawals!$A:$A,A1575,DB_Withdrawals!$G:$G),0)),"")</f>
        <v/>
      </c>
      <c r="N1575" t="str">
        <f>IFERROR(IF(A1575="","",MAX(0,M1575-System_Config!$B$9)),"")</f>
        <v/>
      </c>
    </row>
    <row r="1576" spans="1:14" ht="15" customHeight="1" x14ac:dyDescent="0.25">
      <c r="A1576" t="str">
        <f>'NEW ACCOUNT'!A1577</f>
        <v/>
      </c>
      <c r="B1576" t="str">
        <f>IF('NEW ACCOUNT'!A1577="","",'NEW ACCOUNT'!B1577)</f>
        <v/>
      </c>
      <c r="C1576" t="str">
        <f>IF('NEW ACCOUNT'!A1577="","",'NEW ACCOUNT'!C1577)</f>
        <v/>
      </c>
      <c r="D1576" t="str">
        <f>IF('NEW ACCOUNT'!A1577="","",'NEW ACCOUNT'!D1577)</f>
        <v/>
      </c>
      <c r="E1576" t="str">
        <f>IF('NEW ACCOUNT'!A1577="","",'NEW ACCOUNT'!E1577)</f>
        <v/>
      </c>
      <c r="F1576" t="str">
        <f>IF('NEW ACCOUNT'!A1577="","",'NEW ACCOUNT'!F1577)</f>
        <v/>
      </c>
      <c r="G1576" t="str">
        <f>IF('NEW ACCOUNT'!A1577="","",'NEW ACCOUNT'!G1577)</f>
        <v/>
      </c>
      <c r="H1576" t="str">
        <f>IF('NEW ACCOUNT'!A1577="","",'NEW ACCOUNT'!H1577)</f>
        <v/>
      </c>
      <c r="I1576" t="str">
        <f>IF('NEW ACCOUNT'!A1577="","",'NEW ACCOUNT'!I1577)</f>
        <v/>
      </c>
      <c r="J1576" t="str">
        <f>IF('NEW ACCOUNT'!A1577="","",'NEW ACCOUNT'!J1577)</f>
        <v/>
      </c>
      <c r="K1576" t="str">
        <f>IFERROR(IF(A1576="","",SUMIF(DB_Savings!$A:$A,A1576,DB_Savings!$F:$F)),"")</f>
        <v/>
      </c>
      <c r="L1576" t="str">
        <f>IFERROR(IF(A1576="","",SUMIF(DB_Withdrawals!$A:$A,A1576,DB_Withdrawals!$G:$G)),"")</f>
        <v/>
      </c>
      <c r="M1576" t="str">
        <f>IFERROR(IF(A1576="","",IFERROR(VALUE(H1576),0)+IFERROR(SUMIF(DB_Savings!$A:$A,A1576,DB_Savings!$F:$F),0)-IFERROR(SUMIF(DB_Withdrawals!$A:$A,A1576,DB_Withdrawals!$G:$G),0)),"")</f>
        <v/>
      </c>
      <c r="N1576" t="str">
        <f>IFERROR(IF(A1576="","",MAX(0,M1576-System_Config!$B$9)),"")</f>
        <v/>
      </c>
    </row>
    <row r="1577" spans="1:14" ht="15" customHeight="1" x14ac:dyDescent="0.25">
      <c r="A1577" t="str">
        <f>'NEW ACCOUNT'!A1578</f>
        <v/>
      </c>
      <c r="B1577" t="str">
        <f>IF('NEW ACCOUNT'!A1578="","",'NEW ACCOUNT'!B1578)</f>
        <v/>
      </c>
      <c r="C1577" t="str">
        <f>IF('NEW ACCOUNT'!A1578="","",'NEW ACCOUNT'!C1578)</f>
        <v/>
      </c>
      <c r="D1577" t="str">
        <f>IF('NEW ACCOUNT'!A1578="","",'NEW ACCOUNT'!D1578)</f>
        <v/>
      </c>
      <c r="E1577" t="str">
        <f>IF('NEW ACCOUNT'!A1578="","",'NEW ACCOUNT'!E1578)</f>
        <v/>
      </c>
      <c r="F1577" t="str">
        <f>IF('NEW ACCOUNT'!A1578="","",'NEW ACCOUNT'!F1578)</f>
        <v/>
      </c>
      <c r="G1577" t="str">
        <f>IF('NEW ACCOUNT'!A1578="","",'NEW ACCOUNT'!G1578)</f>
        <v/>
      </c>
      <c r="H1577" t="str">
        <f>IF('NEW ACCOUNT'!A1578="","",'NEW ACCOUNT'!H1578)</f>
        <v/>
      </c>
      <c r="I1577" t="str">
        <f>IF('NEW ACCOUNT'!A1578="","",'NEW ACCOUNT'!I1578)</f>
        <v/>
      </c>
      <c r="J1577" t="str">
        <f>IF('NEW ACCOUNT'!A1578="","",'NEW ACCOUNT'!J1578)</f>
        <v/>
      </c>
      <c r="K1577" t="str">
        <f>IFERROR(IF(A1577="","",SUMIF(DB_Savings!$A:$A,A1577,DB_Savings!$F:$F)),"")</f>
        <v/>
      </c>
      <c r="L1577" t="str">
        <f>IFERROR(IF(A1577="","",SUMIF(DB_Withdrawals!$A:$A,A1577,DB_Withdrawals!$G:$G)),"")</f>
        <v/>
      </c>
      <c r="M1577" t="str">
        <f>IFERROR(IF(A1577="","",IFERROR(VALUE(H1577),0)+IFERROR(SUMIF(DB_Savings!$A:$A,A1577,DB_Savings!$F:$F),0)-IFERROR(SUMIF(DB_Withdrawals!$A:$A,A1577,DB_Withdrawals!$G:$G),0)),"")</f>
        <v/>
      </c>
      <c r="N1577" t="str">
        <f>IFERROR(IF(A1577="","",MAX(0,M1577-System_Config!$B$9)),"")</f>
        <v/>
      </c>
    </row>
    <row r="1578" spans="1:14" ht="15" customHeight="1" x14ac:dyDescent="0.25">
      <c r="A1578" t="str">
        <f>'NEW ACCOUNT'!A1579</f>
        <v/>
      </c>
      <c r="B1578" t="str">
        <f>IF('NEW ACCOUNT'!A1579="","",'NEW ACCOUNT'!B1579)</f>
        <v/>
      </c>
      <c r="C1578" t="str">
        <f>IF('NEW ACCOUNT'!A1579="","",'NEW ACCOUNT'!C1579)</f>
        <v/>
      </c>
      <c r="D1578" t="str">
        <f>IF('NEW ACCOUNT'!A1579="","",'NEW ACCOUNT'!D1579)</f>
        <v/>
      </c>
      <c r="E1578" t="str">
        <f>IF('NEW ACCOUNT'!A1579="","",'NEW ACCOUNT'!E1579)</f>
        <v/>
      </c>
      <c r="F1578" t="str">
        <f>IF('NEW ACCOUNT'!A1579="","",'NEW ACCOUNT'!F1579)</f>
        <v/>
      </c>
      <c r="G1578" t="str">
        <f>IF('NEW ACCOUNT'!A1579="","",'NEW ACCOUNT'!G1579)</f>
        <v/>
      </c>
      <c r="H1578" t="str">
        <f>IF('NEW ACCOUNT'!A1579="","",'NEW ACCOUNT'!H1579)</f>
        <v/>
      </c>
      <c r="I1578" t="str">
        <f>IF('NEW ACCOUNT'!A1579="","",'NEW ACCOUNT'!I1579)</f>
        <v/>
      </c>
      <c r="J1578" t="str">
        <f>IF('NEW ACCOUNT'!A1579="","",'NEW ACCOUNT'!J1579)</f>
        <v/>
      </c>
      <c r="K1578" t="str">
        <f>IFERROR(IF(A1578="","",SUMIF(DB_Savings!$A:$A,A1578,DB_Savings!$F:$F)),"")</f>
        <v/>
      </c>
      <c r="L1578" t="str">
        <f>IFERROR(IF(A1578="","",SUMIF(DB_Withdrawals!$A:$A,A1578,DB_Withdrawals!$G:$G)),"")</f>
        <v/>
      </c>
      <c r="M1578" t="str">
        <f>IFERROR(IF(A1578="","",IFERROR(VALUE(H1578),0)+IFERROR(SUMIF(DB_Savings!$A:$A,A1578,DB_Savings!$F:$F),0)-IFERROR(SUMIF(DB_Withdrawals!$A:$A,A1578,DB_Withdrawals!$G:$G),0)),"")</f>
        <v/>
      </c>
      <c r="N1578" t="str">
        <f>IFERROR(IF(A1578="","",MAX(0,M1578-System_Config!$B$9)),"")</f>
        <v/>
      </c>
    </row>
    <row r="1579" spans="1:14" ht="15" customHeight="1" x14ac:dyDescent="0.25">
      <c r="A1579" t="str">
        <f>'NEW ACCOUNT'!A1580</f>
        <v/>
      </c>
      <c r="B1579" t="str">
        <f>IF('NEW ACCOUNT'!A1580="","",'NEW ACCOUNT'!B1580)</f>
        <v/>
      </c>
      <c r="C1579" t="str">
        <f>IF('NEW ACCOUNT'!A1580="","",'NEW ACCOUNT'!C1580)</f>
        <v/>
      </c>
      <c r="D1579" t="str">
        <f>IF('NEW ACCOUNT'!A1580="","",'NEW ACCOUNT'!D1580)</f>
        <v/>
      </c>
      <c r="E1579" t="str">
        <f>IF('NEW ACCOUNT'!A1580="","",'NEW ACCOUNT'!E1580)</f>
        <v/>
      </c>
      <c r="F1579" t="str">
        <f>IF('NEW ACCOUNT'!A1580="","",'NEW ACCOUNT'!F1580)</f>
        <v/>
      </c>
      <c r="G1579" t="str">
        <f>IF('NEW ACCOUNT'!A1580="","",'NEW ACCOUNT'!G1580)</f>
        <v/>
      </c>
      <c r="H1579" t="str">
        <f>IF('NEW ACCOUNT'!A1580="","",'NEW ACCOUNT'!H1580)</f>
        <v/>
      </c>
      <c r="I1579" t="str">
        <f>IF('NEW ACCOUNT'!A1580="","",'NEW ACCOUNT'!I1580)</f>
        <v/>
      </c>
      <c r="J1579" t="str">
        <f>IF('NEW ACCOUNT'!A1580="","",'NEW ACCOUNT'!J1580)</f>
        <v/>
      </c>
      <c r="K1579" t="str">
        <f>IFERROR(IF(A1579="","",SUMIF(DB_Savings!$A:$A,A1579,DB_Savings!$F:$F)),"")</f>
        <v/>
      </c>
      <c r="L1579" t="str">
        <f>IFERROR(IF(A1579="","",SUMIF(DB_Withdrawals!$A:$A,A1579,DB_Withdrawals!$G:$G)),"")</f>
        <v/>
      </c>
      <c r="M1579" t="str">
        <f>IFERROR(IF(A1579="","",IFERROR(VALUE(H1579),0)+IFERROR(SUMIF(DB_Savings!$A:$A,A1579,DB_Savings!$F:$F),0)-IFERROR(SUMIF(DB_Withdrawals!$A:$A,A1579,DB_Withdrawals!$G:$G),0)),"")</f>
        <v/>
      </c>
      <c r="N1579" t="str">
        <f>IFERROR(IF(A1579="","",MAX(0,M1579-System_Config!$B$9)),"")</f>
        <v/>
      </c>
    </row>
    <row r="1580" spans="1:14" ht="15" customHeight="1" x14ac:dyDescent="0.25">
      <c r="A1580" t="str">
        <f>'NEW ACCOUNT'!A1581</f>
        <v/>
      </c>
      <c r="B1580" t="str">
        <f>IF('NEW ACCOUNT'!A1581="","",'NEW ACCOUNT'!B1581)</f>
        <v/>
      </c>
      <c r="C1580" t="str">
        <f>IF('NEW ACCOUNT'!A1581="","",'NEW ACCOUNT'!C1581)</f>
        <v/>
      </c>
      <c r="D1580" t="str">
        <f>IF('NEW ACCOUNT'!A1581="","",'NEW ACCOUNT'!D1581)</f>
        <v/>
      </c>
      <c r="E1580" t="str">
        <f>IF('NEW ACCOUNT'!A1581="","",'NEW ACCOUNT'!E1581)</f>
        <v/>
      </c>
      <c r="F1580" t="str">
        <f>IF('NEW ACCOUNT'!A1581="","",'NEW ACCOUNT'!F1581)</f>
        <v/>
      </c>
      <c r="G1580" t="str">
        <f>IF('NEW ACCOUNT'!A1581="","",'NEW ACCOUNT'!G1581)</f>
        <v/>
      </c>
      <c r="H1580" t="str">
        <f>IF('NEW ACCOUNT'!A1581="","",'NEW ACCOUNT'!H1581)</f>
        <v/>
      </c>
      <c r="I1580" t="str">
        <f>IF('NEW ACCOUNT'!A1581="","",'NEW ACCOUNT'!I1581)</f>
        <v/>
      </c>
      <c r="J1580" t="str">
        <f>IF('NEW ACCOUNT'!A1581="","",'NEW ACCOUNT'!J1581)</f>
        <v/>
      </c>
      <c r="K1580" t="str">
        <f>IFERROR(IF(A1580="","",SUMIF(DB_Savings!$A:$A,A1580,DB_Savings!$F:$F)),"")</f>
        <v/>
      </c>
      <c r="L1580" t="str">
        <f>IFERROR(IF(A1580="","",SUMIF(DB_Withdrawals!$A:$A,A1580,DB_Withdrawals!$G:$G)),"")</f>
        <v/>
      </c>
      <c r="M1580" t="str">
        <f>IFERROR(IF(A1580="","",IFERROR(VALUE(H1580),0)+IFERROR(SUMIF(DB_Savings!$A:$A,A1580,DB_Savings!$F:$F),0)-IFERROR(SUMIF(DB_Withdrawals!$A:$A,A1580,DB_Withdrawals!$G:$G),0)),"")</f>
        <v/>
      </c>
      <c r="N1580" t="str">
        <f>IFERROR(IF(A1580="","",MAX(0,M1580-System_Config!$B$9)),"")</f>
        <v/>
      </c>
    </row>
    <row r="1581" spans="1:14" ht="15" customHeight="1" x14ac:dyDescent="0.25">
      <c r="A1581" t="str">
        <f>'NEW ACCOUNT'!A1582</f>
        <v/>
      </c>
      <c r="B1581" t="str">
        <f>IF('NEW ACCOUNT'!A1582="","",'NEW ACCOUNT'!B1582)</f>
        <v/>
      </c>
      <c r="C1581" t="str">
        <f>IF('NEW ACCOUNT'!A1582="","",'NEW ACCOUNT'!C1582)</f>
        <v/>
      </c>
      <c r="D1581" t="str">
        <f>IF('NEW ACCOUNT'!A1582="","",'NEW ACCOUNT'!D1582)</f>
        <v/>
      </c>
      <c r="E1581" t="str">
        <f>IF('NEW ACCOUNT'!A1582="","",'NEW ACCOUNT'!E1582)</f>
        <v/>
      </c>
      <c r="F1581" t="str">
        <f>IF('NEW ACCOUNT'!A1582="","",'NEW ACCOUNT'!F1582)</f>
        <v/>
      </c>
      <c r="G1581" t="str">
        <f>IF('NEW ACCOUNT'!A1582="","",'NEW ACCOUNT'!G1582)</f>
        <v/>
      </c>
      <c r="H1581" t="str">
        <f>IF('NEW ACCOUNT'!A1582="","",'NEW ACCOUNT'!H1582)</f>
        <v/>
      </c>
      <c r="I1581" t="str">
        <f>IF('NEW ACCOUNT'!A1582="","",'NEW ACCOUNT'!I1582)</f>
        <v/>
      </c>
      <c r="J1581" t="str">
        <f>IF('NEW ACCOUNT'!A1582="","",'NEW ACCOUNT'!J1582)</f>
        <v/>
      </c>
      <c r="K1581" t="str">
        <f>IFERROR(IF(A1581="","",SUMIF(DB_Savings!$A:$A,A1581,DB_Savings!$F:$F)),"")</f>
        <v/>
      </c>
      <c r="L1581" t="str">
        <f>IFERROR(IF(A1581="","",SUMIF(DB_Withdrawals!$A:$A,A1581,DB_Withdrawals!$G:$G)),"")</f>
        <v/>
      </c>
      <c r="M1581" t="str">
        <f>IFERROR(IF(A1581="","",IFERROR(VALUE(H1581),0)+IFERROR(SUMIF(DB_Savings!$A:$A,A1581,DB_Savings!$F:$F),0)-IFERROR(SUMIF(DB_Withdrawals!$A:$A,A1581,DB_Withdrawals!$G:$G),0)),"")</f>
        <v/>
      </c>
      <c r="N1581" t="str">
        <f>IFERROR(IF(A1581="","",MAX(0,M1581-System_Config!$B$9)),"")</f>
        <v/>
      </c>
    </row>
    <row r="1582" spans="1:14" ht="15" customHeight="1" x14ac:dyDescent="0.25">
      <c r="A1582" t="str">
        <f>'NEW ACCOUNT'!A1583</f>
        <v/>
      </c>
      <c r="B1582" t="str">
        <f>IF('NEW ACCOUNT'!A1583="","",'NEW ACCOUNT'!B1583)</f>
        <v/>
      </c>
      <c r="C1582" t="str">
        <f>IF('NEW ACCOUNT'!A1583="","",'NEW ACCOUNT'!C1583)</f>
        <v/>
      </c>
      <c r="D1582" t="str">
        <f>IF('NEW ACCOUNT'!A1583="","",'NEW ACCOUNT'!D1583)</f>
        <v/>
      </c>
      <c r="E1582" t="str">
        <f>IF('NEW ACCOUNT'!A1583="","",'NEW ACCOUNT'!E1583)</f>
        <v/>
      </c>
      <c r="F1582" t="str">
        <f>IF('NEW ACCOUNT'!A1583="","",'NEW ACCOUNT'!F1583)</f>
        <v/>
      </c>
      <c r="G1582" t="str">
        <f>IF('NEW ACCOUNT'!A1583="","",'NEW ACCOUNT'!G1583)</f>
        <v/>
      </c>
      <c r="H1582" t="str">
        <f>IF('NEW ACCOUNT'!A1583="","",'NEW ACCOUNT'!H1583)</f>
        <v/>
      </c>
      <c r="I1582" t="str">
        <f>IF('NEW ACCOUNT'!A1583="","",'NEW ACCOUNT'!I1583)</f>
        <v/>
      </c>
      <c r="J1582" t="str">
        <f>IF('NEW ACCOUNT'!A1583="","",'NEW ACCOUNT'!J1583)</f>
        <v/>
      </c>
      <c r="K1582" t="str">
        <f>IFERROR(IF(A1582="","",SUMIF(DB_Savings!$A:$A,A1582,DB_Savings!$F:$F)),"")</f>
        <v/>
      </c>
      <c r="L1582" t="str">
        <f>IFERROR(IF(A1582="","",SUMIF(DB_Withdrawals!$A:$A,A1582,DB_Withdrawals!$G:$G)),"")</f>
        <v/>
      </c>
      <c r="M1582" t="str">
        <f>IFERROR(IF(A1582="","",IFERROR(VALUE(H1582),0)+IFERROR(SUMIF(DB_Savings!$A:$A,A1582,DB_Savings!$F:$F),0)-IFERROR(SUMIF(DB_Withdrawals!$A:$A,A1582,DB_Withdrawals!$G:$G),0)),"")</f>
        <v/>
      </c>
      <c r="N1582" t="str">
        <f>IFERROR(IF(A1582="","",MAX(0,M1582-System_Config!$B$9)),"")</f>
        <v/>
      </c>
    </row>
    <row r="1583" spans="1:14" ht="15" customHeight="1" x14ac:dyDescent="0.25">
      <c r="A1583" t="str">
        <f>'NEW ACCOUNT'!A1584</f>
        <v/>
      </c>
      <c r="B1583" t="str">
        <f>IF('NEW ACCOUNT'!A1584="","",'NEW ACCOUNT'!B1584)</f>
        <v/>
      </c>
      <c r="C1583" t="str">
        <f>IF('NEW ACCOUNT'!A1584="","",'NEW ACCOUNT'!C1584)</f>
        <v/>
      </c>
      <c r="D1583" t="str">
        <f>IF('NEW ACCOUNT'!A1584="","",'NEW ACCOUNT'!D1584)</f>
        <v/>
      </c>
      <c r="E1583" t="str">
        <f>IF('NEW ACCOUNT'!A1584="","",'NEW ACCOUNT'!E1584)</f>
        <v/>
      </c>
      <c r="F1583" t="str">
        <f>IF('NEW ACCOUNT'!A1584="","",'NEW ACCOUNT'!F1584)</f>
        <v/>
      </c>
      <c r="G1583" t="str">
        <f>IF('NEW ACCOUNT'!A1584="","",'NEW ACCOUNT'!G1584)</f>
        <v/>
      </c>
      <c r="H1583" t="str">
        <f>IF('NEW ACCOUNT'!A1584="","",'NEW ACCOUNT'!H1584)</f>
        <v/>
      </c>
      <c r="I1583" t="str">
        <f>IF('NEW ACCOUNT'!A1584="","",'NEW ACCOUNT'!I1584)</f>
        <v/>
      </c>
      <c r="J1583" t="str">
        <f>IF('NEW ACCOUNT'!A1584="","",'NEW ACCOUNT'!J1584)</f>
        <v/>
      </c>
      <c r="K1583" t="str">
        <f>IFERROR(IF(A1583="","",SUMIF(DB_Savings!$A:$A,A1583,DB_Savings!$F:$F)),"")</f>
        <v/>
      </c>
      <c r="L1583" t="str">
        <f>IFERROR(IF(A1583="","",SUMIF(DB_Withdrawals!$A:$A,A1583,DB_Withdrawals!$G:$G)),"")</f>
        <v/>
      </c>
      <c r="M1583" t="str">
        <f>IFERROR(IF(A1583="","",IFERROR(VALUE(H1583),0)+IFERROR(SUMIF(DB_Savings!$A:$A,A1583,DB_Savings!$F:$F),0)-IFERROR(SUMIF(DB_Withdrawals!$A:$A,A1583,DB_Withdrawals!$G:$G),0)),"")</f>
        <v/>
      </c>
      <c r="N1583" t="str">
        <f>IFERROR(IF(A1583="","",MAX(0,M1583-System_Config!$B$9)),"")</f>
        <v/>
      </c>
    </row>
    <row r="1584" spans="1:14" ht="15" customHeight="1" x14ac:dyDescent="0.25">
      <c r="A1584" t="str">
        <f>'NEW ACCOUNT'!A1585</f>
        <v/>
      </c>
      <c r="B1584" t="str">
        <f>IF('NEW ACCOUNT'!A1585="","",'NEW ACCOUNT'!B1585)</f>
        <v/>
      </c>
      <c r="C1584" t="str">
        <f>IF('NEW ACCOUNT'!A1585="","",'NEW ACCOUNT'!C1585)</f>
        <v/>
      </c>
      <c r="D1584" t="str">
        <f>IF('NEW ACCOUNT'!A1585="","",'NEW ACCOUNT'!D1585)</f>
        <v/>
      </c>
      <c r="E1584" t="str">
        <f>IF('NEW ACCOUNT'!A1585="","",'NEW ACCOUNT'!E1585)</f>
        <v/>
      </c>
      <c r="F1584" t="str">
        <f>IF('NEW ACCOUNT'!A1585="","",'NEW ACCOUNT'!F1585)</f>
        <v/>
      </c>
      <c r="G1584" t="str">
        <f>IF('NEW ACCOUNT'!A1585="","",'NEW ACCOUNT'!G1585)</f>
        <v/>
      </c>
      <c r="H1584" t="str">
        <f>IF('NEW ACCOUNT'!A1585="","",'NEW ACCOUNT'!H1585)</f>
        <v/>
      </c>
      <c r="I1584" t="str">
        <f>IF('NEW ACCOUNT'!A1585="","",'NEW ACCOUNT'!I1585)</f>
        <v/>
      </c>
      <c r="J1584" t="str">
        <f>IF('NEW ACCOUNT'!A1585="","",'NEW ACCOUNT'!J1585)</f>
        <v/>
      </c>
      <c r="K1584" t="str">
        <f>IFERROR(IF(A1584="","",SUMIF(DB_Savings!$A:$A,A1584,DB_Savings!$F:$F)),"")</f>
        <v/>
      </c>
      <c r="L1584" t="str">
        <f>IFERROR(IF(A1584="","",SUMIF(DB_Withdrawals!$A:$A,A1584,DB_Withdrawals!$G:$G)),"")</f>
        <v/>
      </c>
      <c r="M1584" t="str">
        <f>IFERROR(IF(A1584="","",IFERROR(VALUE(H1584),0)+IFERROR(SUMIF(DB_Savings!$A:$A,A1584,DB_Savings!$F:$F),0)-IFERROR(SUMIF(DB_Withdrawals!$A:$A,A1584,DB_Withdrawals!$G:$G),0)),"")</f>
        <v/>
      </c>
      <c r="N1584" t="str">
        <f>IFERROR(IF(A1584="","",MAX(0,M1584-System_Config!$B$9)),"")</f>
        <v/>
      </c>
    </row>
    <row r="1585" spans="1:14" ht="15" customHeight="1" x14ac:dyDescent="0.25">
      <c r="A1585" t="str">
        <f>'NEW ACCOUNT'!A1586</f>
        <v/>
      </c>
      <c r="B1585" t="str">
        <f>IF('NEW ACCOUNT'!A1586="","",'NEW ACCOUNT'!B1586)</f>
        <v/>
      </c>
      <c r="C1585" t="str">
        <f>IF('NEW ACCOUNT'!A1586="","",'NEW ACCOUNT'!C1586)</f>
        <v/>
      </c>
      <c r="D1585" t="str">
        <f>IF('NEW ACCOUNT'!A1586="","",'NEW ACCOUNT'!D1586)</f>
        <v/>
      </c>
      <c r="E1585" t="str">
        <f>IF('NEW ACCOUNT'!A1586="","",'NEW ACCOUNT'!E1586)</f>
        <v/>
      </c>
      <c r="F1585" t="str">
        <f>IF('NEW ACCOUNT'!A1586="","",'NEW ACCOUNT'!F1586)</f>
        <v/>
      </c>
      <c r="G1585" t="str">
        <f>IF('NEW ACCOUNT'!A1586="","",'NEW ACCOUNT'!G1586)</f>
        <v/>
      </c>
      <c r="H1585" t="str">
        <f>IF('NEW ACCOUNT'!A1586="","",'NEW ACCOUNT'!H1586)</f>
        <v/>
      </c>
      <c r="I1585" t="str">
        <f>IF('NEW ACCOUNT'!A1586="","",'NEW ACCOUNT'!I1586)</f>
        <v/>
      </c>
      <c r="J1585" t="str">
        <f>IF('NEW ACCOUNT'!A1586="","",'NEW ACCOUNT'!J1586)</f>
        <v/>
      </c>
      <c r="K1585" t="str">
        <f>IFERROR(IF(A1585="","",SUMIF(DB_Savings!$A:$A,A1585,DB_Savings!$F:$F)),"")</f>
        <v/>
      </c>
      <c r="L1585" t="str">
        <f>IFERROR(IF(A1585="","",SUMIF(DB_Withdrawals!$A:$A,A1585,DB_Withdrawals!$G:$G)),"")</f>
        <v/>
      </c>
      <c r="M1585" t="str">
        <f>IFERROR(IF(A1585="","",IFERROR(VALUE(H1585),0)+IFERROR(SUMIF(DB_Savings!$A:$A,A1585,DB_Savings!$F:$F),0)-IFERROR(SUMIF(DB_Withdrawals!$A:$A,A1585,DB_Withdrawals!$G:$G),0)),"")</f>
        <v/>
      </c>
      <c r="N1585" t="str">
        <f>IFERROR(IF(A1585="","",MAX(0,M1585-System_Config!$B$9)),"")</f>
        <v/>
      </c>
    </row>
    <row r="1586" spans="1:14" ht="15" customHeight="1" x14ac:dyDescent="0.25">
      <c r="A1586" t="str">
        <f>'NEW ACCOUNT'!A1587</f>
        <v/>
      </c>
      <c r="B1586" t="str">
        <f>IF('NEW ACCOUNT'!A1587="","",'NEW ACCOUNT'!B1587)</f>
        <v/>
      </c>
      <c r="C1586" t="str">
        <f>IF('NEW ACCOUNT'!A1587="","",'NEW ACCOUNT'!C1587)</f>
        <v/>
      </c>
      <c r="D1586" t="str">
        <f>IF('NEW ACCOUNT'!A1587="","",'NEW ACCOUNT'!D1587)</f>
        <v/>
      </c>
      <c r="E1586" t="str">
        <f>IF('NEW ACCOUNT'!A1587="","",'NEW ACCOUNT'!E1587)</f>
        <v/>
      </c>
      <c r="F1586" t="str">
        <f>IF('NEW ACCOUNT'!A1587="","",'NEW ACCOUNT'!F1587)</f>
        <v/>
      </c>
      <c r="G1586" t="str">
        <f>IF('NEW ACCOUNT'!A1587="","",'NEW ACCOUNT'!G1587)</f>
        <v/>
      </c>
      <c r="H1586" t="str">
        <f>IF('NEW ACCOUNT'!A1587="","",'NEW ACCOUNT'!H1587)</f>
        <v/>
      </c>
      <c r="I1586" t="str">
        <f>IF('NEW ACCOUNT'!A1587="","",'NEW ACCOUNT'!I1587)</f>
        <v/>
      </c>
      <c r="J1586" t="str">
        <f>IF('NEW ACCOUNT'!A1587="","",'NEW ACCOUNT'!J1587)</f>
        <v/>
      </c>
      <c r="K1586" t="str">
        <f>IFERROR(IF(A1586="","",SUMIF(DB_Savings!$A:$A,A1586,DB_Savings!$F:$F)),"")</f>
        <v/>
      </c>
      <c r="L1586" t="str">
        <f>IFERROR(IF(A1586="","",SUMIF(DB_Withdrawals!$A:$A,A1586,DB_Withdrawals!$G:$G)),"")</f>
        <v/>
      </c>
      <c r="M1586" t="str">
        <f>IFERROR(IF(A1586="","",IFERROR(VALUE(H1586),0)+IFERROR(SUMIF(DB_Savings!$A:$A,A1586,DB_Savings!$F:$F),0)-IFERROR(SUMIF(DB_Withdrawals!$A:$A,A1586,DB_Withdrawals!$G:$G),0)),"")</f>
        <v/>
      </c>
      <c r="N1586" t="str">
        <f>IFERROR(IF(A1586="","",MAX(0,M1586-System_Config!$B$9)),"")</f>
        <v/>
      </c>
    </row>
    <row r="1587" spans="1:14" ht="15" customHeight="1" x14ac:dyDescent="0.25">
      <c r="A1587" t="str">
        <f>'NEW ACCOUNT'!A1588</f>
        <v/>
      </c>
      <c r="B1587" t="str">
        <f>IF('NEW ACCOUNT'!A1588="","",'NEW ACCOUNT'!B1588)</f>
        <v/>
      </c>
      <c r="C1587" t="str">
        <f>IF('NEW ACCOUNT'!A1588="","",'NEW ACCOUNT'!C1588)</f>
        <v/>
      </c>
      <c r="D1587" t="str">
        <f>IF('NEW ACCOUNT'!A1588="","",'NEW ACCOUNT'!D1588)</f>
        <v/>
      </c>
      <c r="E1587" t="str">
        <f>IF('NEW ACCOUNT'!A1588="","",'NEW ACCOUNT'!E1588)</f>
        <v/>
      </c>
      <c r="F1587" t="str">
        <f>IF('NEW ACCOUNT'!A1588="","",'NEW ACCOUNT'!F1588)</f>
        <v/>
      </c>
      <c r="G1587" t="str">
        <f>IF('NEW ACCOUNT'!A1588="","",'NEW ACCOUNT'!G1588)</f>
        <v/>
      </c>
      <c r="H1587" t="str">
        <f>IF('NEW ACCOUNT'!A1588="","",'NEW ACCOUNT'!H1588)</f>
        <v/>
      </c>
      <c r="I1587" t="str">
        <f>IF('NEW ACCOUNT'!A1588="","",'NEW ACCOUNT'!I1588)</f>
        <v/>
      </c>
      <c r="J1587" t="str">
        <f>IF('NEW ACCOUNT'!A1588="","",'NEW ACCOUNT'!J1588)</f>
        <v/>
      </c>
      <c r="K1587" t="str">
        <f>IFERROR(IF(A1587="","",SUMIF(DB_Savings!$A:$A,A1587,DB_Savings!$F:$F)),"")</f>
        <v/>
      </c>
      <c r="L1587" t="str">
        <f>IFERROR(IF(A1587="","",SUMIF(DB_Withdrawals!$A:$A,A1587,DB_Withdrawals!$G:$G)),"")</f>
        <v/>
      </c>
      <c r="M1587" t="str">
        <f>IFERROR(IF(A1587="","",IFERROR(VALUE(H1587),0)+IFERROR(SUMIF(DB_Savings!$A:$A,A1587,DB_Savings!$F:$F),0)-IFERROR(SUMIF(DB_Withdrawals!$A:$A,A1587,DB_Withdrawals!$G:$G),0)),"")</f>
        <v/>
      </c>
      <c r="N1587" t="str">
        <f>IFERROR(IF(A1587="","",MAX(0,M1587-System_Config!$B$9)),"")</f>
        <v/>
      </c>
    </row>
    <row r="1588" spans="1:14" ht="15" customHeight="1" x14ac:dyDescent="0.25">
      <c r="A1588" t="str">
        <f>'NEW ACCOUNT'!A1589</f>
        <v/>
      </c>
      <c r="B1588" t="str">
        <f>IF('NEW ACCOUNT'!A1589="","",'NEW ACCOUNT'!B1589)</f>
        <v/>
      </c>
      <c r="C1588" t="str">
        <f>IF('NEW ACCOUNT'!A1589="","",'NEW ACCOUNT'!C1589)</f>
        <v/>
      </c>
      <c r="D1588" t="str">
        <f>IF('NEW ACCOUNT'!A1589="","",'NEW ACCOUNT'!D1589)</f>
        <v/>
      </c>
      <c r="E1588" t="str">
        <f>IF('NEW ACCOUNT'!A1589="","",'NEW ACCOUNT'!E1589)</f>
        <v/>
      </c>
      <c r="F1588" t="str">
        <f>IF('NEW ACCOUNT'!A1589="","",'NEW ACCOUNT'!F1589)</f>
        <v/>
      </c>
      <c r="G1588" t="str">
        <f>IF('NEW ACCOUNT'!A1589="","",'NEW ACCOUNT'!G1589)</f>
        <v/>
      </c>
      <c r="H1588" t="str">
        <f>IF('NEW ACCOUNT'!A1589="","",'NEW ACCOUNT'!H1589)</f>
        <v/>
      </c>
      <c r="I1588" t="str">
        <f>IF('NEW ACCOUNT'!A1589="","",'NEW ACCOUNT'!I1589)</f>
        <v/>
      </c>
      <c r="J1588" t="str">
        <f>IF('NEW ACCOUNT'!A1589="","",'NEW ACCOUNT'!J1589)</f>
        <v/>
      </c>
      <c r="K1588" t="str">
        <f>IFERROR(IF(A1588="","",SUMIF(DB_Savings!$A:$A,A1588,DB_Savings!$F:$F)),"")</f>
        <v/>
      </c>
      <c r="L1588" t="str">
        <f>IFERROR(IF(A1588="","",SUMIF(DB_Withdrawals!$A:$A,A1588,DB_Withdrawals!$G:$G)),"")</f>
        <v/>
      </c>
      <c r="M1588" t="str">
        <f>IFERROR(IF(A1588="","",IFERROR(VALUE(H1588),0)+IFERROR(SUMIF(DB_Savings!$A:$A,A1588,DB_Savings!$F:$F),0)-IFERROR(SUMIF(DB_Withdrawals!$A:$A,A1588,DB_Withdrawals!$G:$G),0)),"")</f>
        <v/>
      </c>
      <c r="N1588" t="str">
        <f>IFERROR(IF(A1588="","",MAX(0,M1588-System_Config!$B$9)),"")</f>
        <v/>
      </c>
    </row>
    <row r="1589" spans="1:14" ht="15" customHeight="1" x14ac:dyDescent="0.25">
      <c r="A1589" t="str">
        <f>'NEW ACCOUNT'!A1590</f>
        <v/>
      </c>
      <c r="B1589" t="str">
        <f>IF('NEW ACCOUNT'!A1590="","",'NEW ACCOUNT'!B1590)</f>
        <v/>
      </c>
      <c r="C1589" t="str">
        <f>IF('NEW ACCOUNT'!A1590="","",'NEW ACCOUNT'!C1590)</f>
        <v/>
      </c>
      <c r="D1589" t="str">
        <f>IF('NEW ACCOUNT'!A1590="","",'NEW ACCOUNT'!D1590)</f>
        <v/>
      </c>
      <c r="E1589" t="str">
        <f>IF('NEW ACCOUNT'!A1590="","",'NEW ACCOUNT'!E1590)</f>
        <v/>
      </c>
      <c r="F1589" t="str">
        <f>IF('NEW ACCOUNT'!A1590="","",'NEW ACCOUNT'!F1590)</f>
        <v/>
      </c>
      <c r="G1589" t="str">
        <f>IF('NEW ACCOUNT'!A1590="","",'NEW ACCOUNT'!G1590)</f>
        <v/>
      </c>
      <c r="H1589" t="str">
        <f>IF('NEW ACCOUNT'!A1590="","",'NEW ACCOUNT'!H1590)</f>
        <v/>
      </c>
      <c r="I1589" t="str">
        <f>IF('NEW ACCOUNT'!A1590="","",'NEW ACCOUNT'!I1590)</f>
        <v/>
      </c>
      <c r="J1589" t="str">
        <f>IF('NEW ACCOUNT'!A1590="","",'NEW ACCOUNT'!J1590)</f>
        <v/>
      </c>
      <c r="K1589" t="str">
        <f>IFERROR(IF(A1589="","",SUMIF(DB_Savings!$A:$A,A1589,DB_Savings!$F:$F)),"")</f>
        <v/>
      </c>
      <c r="L1589" t="str">
        <f>IFERROR(IF(A1589="","",SUMIF(DB_Withdrawals!$A:$A,A1589,DB_Withdrawals!$G:$G)),"")</f>
        <v/>
      </c>
      <c r="M1589" t="str">
        <f>IFERROR(IF(A1589="","",IFERROR(VALUE(H1589),0)+IFERROR(SUMIF(DB_Savings!$A:$A,A1589,DB_Savings!$F:$F),0)-IFERROR(SUMIF(DB_Withdrawals!$A:$A,A1589,DB_Withdrawals!$G:$G),0)),"")</f>
        <v/>
      </c>
      <c r="N1589" t="str">
        <f>IFERROR(IF(A1589="","",MAX(0,M1589-System_Config!$B$9)),"")</f>
        <v/>
      </c>
    </row>
    <row r="1590" spans="1:14" ht="15" customHeight="1" x14ac:dyDescent="0.25">
      <c r="A1590" t="str">
        <f>'NEW ACCOUNT'!A1591</f>
        <v/>
      </c>
      <c r="B1590" t="str">
        <f>IF('NEW ACCOUNT'!A1591="","",'NEW ACCOUNT'!B1591)</f>
        <v/>
      </c>
      <c r="C1590" t="str">
        <f>IF('NEW ACCOUNT'!A1591="","",'NEW ACCOUNT'!C1591)</f>
        <v/>
      </c>
      <c r="D1590" t="str">
        <f>IF('NEW ACCOUNT'!A1591="","",'NEW ACCOUNT'!D1591)</f>
        <v/>
      </c>
      <c r="E1590" t="str">
        <f>IF('NEW ACCOUNT'!A1591="","",'NEW ACCOUNT'!E1591)</f>
        <v/>
      </c>
      <c r="F1590" t="str">
        <f>IF('NEW ACCOUNT'!A1591="","",'NEW ACCOUNT'!F1591)</f>
        <v/>
      </c>
      <c r="G1590" t="str">
        <f>IF('NEW ACCOUNT'!A1591="","",'NEW ACCOUNT'!G1591)</f>
        <v/>
      </c>
      <c r="H1590" t="str">
        <f>IF('NEW ACCOUNT'!A1591="","",'NEW ACCOUNT'!H1591)</f>
        <v/>
      </c>
      <c r="I1590" t="str">
        <f>IF('NEW ACCOUNT'!A1591="","",'NEW ACCOUNT'!I1591)</f>
        <v/>
      </c>
      <c r="J1590" t="str">
        <f>IF('NEW ACCOUNT'!A1591="","",'NEW ACCOUNT'!J1591)</f>
        <v/>
      </c>
      <c r="K1590" t="str">
        <f>IFERROR(IF(A1590="","",SUMIF(DB_Savings!$A:$A,A1590,DB_Savings!$F:$F)),"")</f>
        <v/>
      </c>
      <c r="L1590" t="str">
        <f>IFERROR(IF(A1590="","",SUMIF(DB_Withdrawals!$A:$A,A1590,DB_Withdrawals!$G:$G)),"")</f>
        <v/>
      </c>
      <c r="M1590" t="str">
        <f>IFERROR(IF(A1590="","",IFERROR(VALUE(H1590),0)+IFERROR(SUMIF(DB_Savings!$A:$A,A1590,DB_Savings!$F:$F),0)-IFERROR(SUMIF(DB_Withdrawals!$A:$A,A1590,DB_Withdrawals!$G:$G),0)),"")</f>
        <v/>
      </c>
      <c r="N1590" t="str">
        <f>IFERROR(IF(A1590="","",MAX(0,M1590-System_Config!$B$9)),"")</f>
        <v/>
      </c>
    </row>
    <row r="1591" spans="1:14" ht="15" customHeight="1" x14ac:dyDescent="0.25">
      <c r="A1591" t="str">
        <f>'NEW ACCOUNT'!A1592</f>
        <v/>
      </c>
      <c r="B1591" t="str">
        <f>IF('NEW ACCOUNT'!A1592="","",'NEW ACCOUNT'!B1592)</f>
        <v/>
      </c>
      <c r="C1591" t="str">
        <f>IF('NEW ACCOUNT'!A1592="","",'NEW ACCOUNT'!C1592)</f>
        <v/>
      </c>
      <c r="D1591" t="str">
        <f>IF('NEW ACCOUNT'!A1592="","",'NEW ACCOUNT'!D1592)</f>
        <v/>
      </c>
      <c r="E1591" t="str">
        <f>IF('NEW ACCOUNT'!A1592="","",'NEW ACCOUNT'!E1592)</f>
        <v/>
      </c>
      <c r="F1591" t="str">
        <f>IF('NEW ACCOUNT'!A1592="","",'NEW ACCOUNT'!F1592)</f>
        <v/>
      </c>
      <c r="G1591" t="str">
        <f>IF('NEW ACCOUNT'!A1592="","",'NEW ACCOUNT'!G1592)</f>
        <v/>
      </c>
      <c r="H1591" t="str">
        <f>IF('NEW ACCOUNT'!A1592="","",'NEW ACCOUNT'!H1592)</f>
        <v/>
      </c>
      <c r="I1591" t="str">
        <f>IF('NEW ACCOUNT'!A1592="","",'NEW ACCOUNT'!I1592)</f>
        <v/>
      </c>
      <c r="J1591" t="str">
        <f>IF('NEW ACCOUNT'!A1592="","",'NEW ACCOUNT'!J1592)</f>
        <v/>
      </c>
      <c r="K1591" t="str">
        <f>IFERROR(IF(A1591="","",SUMIF(DB_Savings!$A:$A,A1591,DB_Savings!$F:$F)),"")</f>
        <v/>
      </c>
      <c r="L1591" t="str">
        <f>IFERROR(IF(A1591="","",SUMIF(DB_Withdrawals!$A:$A,A1591,DB_Withdrawals!$G:$G)),"")</f>
        <v/>
      </c>
      <c r="M1591" t="str">
        <f>IFERROR(IF(A1591="","",IFERROR(VALUE(H1591),0)+IFERROR(SUMIF(DB_Savings!$A:$A,A1591,DB_Savings!$F:$F),0)-IFERROR(SUMIF(DB_Withdrawals!$A:$A,A1591,DB_Withdrawals!$G:$G),0)),"")</f>
        <v/>
      </c>
      <c r="N1591" t="str">
        <f>IFERROR(IF(A1591="","",MAX(0,M1591-System_Config!$B$9)),"")</f>
        <v/>
      </c>
    </row>
    <row r="1592" spans="1:14" ht="15" customHeight="1" x14ac:dyDescent="0.25">
      <c r="A1592" t="str">
        <f>'NEW ACCOUNT'!A1593</f>
        <v/>
      </c>
      <c r="B1592" t="str">
        <f>IF('NEW ACCOUNT'!A1593="","",'NEW ACCOUNT'!B1593)</f>
        <v/>
      </c>
      <c r="C1592" t="str">
        <f>IF('NEW ACCOUNT'!A1593="","",'NEW ACCOUNT'!C1593)</f>
        <v/>
      </c>
      <c r="D1592" t="str">
        <f>IF('NEW ACCOUNT'!A1593="","",'NEW ACCOUNT'!D1593)</f>
        <v/>
      </c>
      <c r="E1592" t="str">
        <f>IF('NEW ACCOUNT'!A1593="","",'NEW ACCOUNT'!E1593)</f>
        <v/>
      </c>
      <c r="F1592" t="str">
        <f>IF('NEW ACCOUNT'!A1593="","",'NEW ACCOUNT'!F1593)</f>
        <v/>
      </c>
      <c r="G1592" t="str">
        <f>IF('NEW ACCOUNT'!A1593="","",'NEW ACCOUNT'!G1593)</f>
        <v/>
      </c>
      <c r="H1592" t="str">
        <f>IF('NEW ACCOUNT'!A1593="","",'NEW ACCOUNT'!H1593)</f>
        <v/>
      </c>
      <c r="I1592" t="str">
        <f>IF('NEW ACCOUNT'!A1593="","",'NEW ACCOUNT'!I1593)</f>
        <v/>
      </c>
      <c r="J1592" t="str">
        <f>IF('NEW ACCOUNT'!A1593="","",'NEW ACCOUNT'!J1593)</f>
        <v/>
      </c>
      <c r="K1592" t="str">
        <f>IFERROR(IF(A1592="","",SUMIF(DB_Savings!$A:$A,A1592,DB_Savings!$F:$F)),"")</f>
        <v/>
      </c>
      <c r="L1592" t="str">
        <f>IFERROR(IF(A1592="","",SUMIF(DB_Withdrawals!$A:$A,A1592,DB_Withdrawals!$G:$G)),"")</f>
        <v/>
      </c>
      <c r="M1592" t="str">
        <f>IFERROR(IF(A1592="","",IFERROR(VALUE(H1592),0)+IFERROR(SUMIF(DB_Savings!$A:$A,A1592,DB_Savings!$F:$F),0)-IFERROR(SUMIF(DB_Withdrawals!$A:$A,A1592,DB_Withdrawals!$G:$G),0)),"")</f>
        <v/>
      </c>
      <c r="N1592" t="str">
        <f>IFERROR(IF(A1592="","",MAX(0,M1592-System_Config!$B$9)),"")</f>
        <v/>
      </c>
    </row>
    <row r="1593" spans="1:14" ht="15" customHeight="1" x14ac:dyDescent="0.25">
      <c r="A1593" t="str">
        <f>'NEW ACCOUNT'!A1594</f>
        <v/>
      </c>
      <c r="B1593" t="str">
        <f>IF('NEW ACCOUNT'!A1594="","",'NEW ACCOUNT'!B1594)</f>
        <v/>
      </c>
      <c r="C1593" t="str">
        <f>IF('NEW ACCOUNT'!A1594="","",'NEW ACCOUNT'!C1594)</f>
        <v/>
      </c>
      <c r="D1593" t="str">
        <f>IF('NEW ACCOUNT'!A1594="","",'NEW ACCOUNT'!D1594)</f>
        <v/>
      </c>
      <c r="E1593" t="str">
        <f>IF('NEW ACCOUNT'!A1594="","",'NEW ACCOUNT'!E1594)</f>
        <v/>
      </c>
      <c r="F1593" t="str">
        <f>IF('NEW ACCOUNT'!A1594="","",'NEW ACCOUNT'!F1594)</f>
        <v/>
      </c>
      <c r="G1593" t="str">
        <f>IF('NEW ACCOUNT'!A1594="","",'NEW ACCOUNT'!G1594)</f>
        <v/>
      </c>
      <c r="H1593" t="str">
        <f>IF('NEW ACCOUNT'!A1594="","",'NEW ACCOUNT'!H1594)</f>
        <v/>
      </c>
      <c r="I1593" t="str">
        <f>IF('NEW ACCOUNT'!A1594="","",'NEW ACCOUNT'!I1594)</f>
        <v/>
      </c>
      <c r="J1593" t="str">
        <f>IF('NEW ACCOUNT'!A1594="","",'NEW ACCOUNT'!J1594)</f>
        <v/>
      </c>
      <c r="K1593" t="str">
        <f>IFERROR(IF(A1593="","",SUMIF(DB_Savings!$A:$A,A1593,DB_Savings!$F:$F)),"")</f>
        <v/>
      </c>
      <c r="L1593" t="str">
        <f>IFERROR(IF(A1593="","",SUMIF(DB_Withdrawals!$A:$A,A1593,DB_Withdrawals!$G:$G)),"")</f>
        <v/>
      </c>
      <c r="M1593" t="str">
        <f>IFERROR(IF(A1593="","",IFERROR(VALUE(H1593),0)+IFERROR(SUMIF(DB_Savings!$A:$A,A1593,DB_Savings!$F:$F),0)-IFERROR(SUMIF(DB_Withdrawals!$A:$A,A1593,DB_Withdrawals!$G:$G),0)),"")</f>
        <v/>
      </c>
      <c r="N1593" t="str">
        <f>IFERROR(IF(A1593="","",MAX(0,M1593-System_Config!$B$9)),"")</f>
        <v/>
      </c>
    </row>
    <row r="1594" spans="1:14" ht="15" customHeight="1" x14ac:dyDescent="0.25">
      <c r="A1594" t="str">
        <f>'NEW ACCOUNT'!A1595</f>
        <v/>
      </c>
      <c r="B1594" t="str">
        <f>IF('NEW ACCOUNT'!A1595="","",'NEW ACCOUNT'!B1595)</f>
        <v/>
      </c>
      <c r="C1594" t="str">
        <f>IF('NEW ACCOUNT'!A1595="","",'NEW ACCOUNT'!C1595)</f>
        <v/>
      </c>
      <c r="D1594" t="str">
        <f>IF('NEW ACCOUNT'!A1595="","",'NEW ACCOUNT'!D1595)</f>
        <v/>
      </c>
      <c r="E1594" t="str">
        <f>IF('NEW ACCOUNT'!A1595="","",'NEW ACCOUNT'!E1595)</f>
        <v/>
      </c>
      <c r="F1594" t="str">
        <f>IF('NEW ACCOUNT'!A1595="","",'NEW ACCOUNT'!F1595)</f>
        <v/>
      </c>
      <c r="G1594" t="str">
        <f>IF('NEW ACCOUNT'!A1595="","",'NEW ACCOUNT'!G1595)</f>
        <v/>
      </c>
      <c r="H1594" t="str">
        <f>IF('NEW ACCOUNT'!A1595="","",'NEW ACCOUNT'!H1595)</f>
        <v/>
      </c>
      <c r="I1594" t="str">
        <f>IF('NEW ACCOUNT'!A1595="","",'NEW ACCOUNT'!I1595)</f>
        <v/>
      </c>
      <c r="J1594" t="str">
        <f>IF('NEW ACCOUNT'!A1595="","",'NEW ACCOUNT'!J1595)</f>
        <v/>
      </c>
      <c r="K1594" t="str">
        <f>IFERROR(IF(A1594="","",SUMIF(DB_Savings!$A:$A,A1594,DB_Savings!$F:$F)),"")</f>
        <v/>
      </c>
      <c r="L1594" t="str">
        <f>IFERROR(IF(A1594="","",SUMIF(DB_Withdrawals!$A:$A,A1594,DB_Withdrawals!$G:$G)),"")</f>
        <v/>
      </c>
      <c r="M1594" t="str">
        <f>IFERROR(IF(A1594="","",IFERROR(VALUE(H1594),0)+IFERROR(SUMIF(DB_Savings!$A:$A,A1594,DB_Savings!$F:$F),0)-IFERROR(SUMIF(DB_Withdrawals!$A:$A,A1594,DB_Withdrawals!$G:$G),0)),"")</f>
        <v/>
      </c>
      <c r="N1594" t="str">
        <f>IFERROR(IF(A1594="","",MAX(0,M1594-System_Config!$B$9)),"")</f>
        <v/>
      </c>
    </row>
    <row r="1595" spans="1:14" ht="15" customHeight="1" x14ac:dyDescent="0.25">
      <c r="A1595" t="str">
        <f>'NEW ACCOUNT'!A1596</f>
        <v/>
      </c>
      <c r="B1595" t="str">
        <f>IF('NEW ACCOUNT'!A1596="","",'NEW ACCOUNT'!B1596)</f>
        <v/>
      </c>
      <c r="C1595" t="str">
        <f>IF('NEW ACCOUNT'!A1596="","",'NEW ACCOUNT'!C1596)</f>
        <v/>
      </c>
      <c r="D1595" t="str">
        <f>IF('NEW ACCOUNT'!A1596="","",'NEW ACCOUNT'!D1596)</f>
        <v/>
      </c>
      <c r="E1595" t="str">
        <f>IF('NEW ACCOUNT'!A1596="","",'NEW ACCOUNT'!E1596)</f>
        <v/>
      </c>
      <c r="F1595" t="str">
        <f>IF('NEW ACCOUNT'!A1596="","",'NEW ACCOUNT'!F1596)</f>
        <v/>
      </c>
      <c r="G1595" t="str">
        <f>IF('NEW ACCOUNT'!A1596="","",'NEW ACCOUNT'!G1596)</f>
        <v/>
      </c>
      <c r="H1595" t="str">
        <f>IF('NEW ACCOUNT'!A1596="","",'NEW ACCOUNT'!H1596)</f>
        <v/>
      </c>
      <c r="I1595" t="str">
        <f>IF('NEW ACCOUNT'!A1596="","",'NEW ACCOUNT'!I1596)</f>
        <v/>
      </c>
      <c r="J1595" t="str">
        <f>IF('NEW ACCOUNT'!A1596="","",'NEW ACCOUNT'!J1596)</f>
        <v/>
      </c>
      <c r="K1595" t="str">
        <f>IFERROR(IF(A1595="","",SUMIF(DB_Savings!$A:$A,A1595,DB_Savings!$F:$F)),"")</f>
        <v/>
      </c>
      <c r="L1595" t="str">
        <f>IFERROR(IF(A1595="","",SUMIF(DB_Withdrawals!$A:$A,A1595,DB_Withdrawals!$G:$G)),"")</f>
        <v/>
      </c>
      <c r="M1595" t="str">
        <f>IFERROR(IF(A1595="","",IFERROR(VALUE(H1595),0)+IFERROR(SUMIF(DB_Savings!$A:$A,A1595,DB_Savings!$F:$F),0)-IFERROR(SUMIF(DB_Withdrawals!$A:$A,A1595,DB_Withdrawals!$G:$G),0)),"")</f>
        <v/>
      </c>
      <c r="N1595" t="str">
        <f>IFERROR(IF(A1595="","",MAX(0,M1595-System_Config!$B$9)),"")</f>
        <v/>
      </c>
    </row>
    <row r="1596" spans="1:14" ht="15" customHeight="1" x14ac:dyDescent="0.25">
      <c r="A1596" t="str">
        <f>'NEW ACCOUNT'!A1597</f>
        <v/>
      </c>
      <c r="B1596" t="str">
        <f>IF('NEW ACCOUNT'!A1597="","",'NEW ACCOUNT'!B1597)</f>
        <v/>
      </c>
      <c r="C1596" t="str">
        <f>IF('NEW ACCOUNT'!A1597="","",'NEW ACCOUNT'!C1597)</f>
        <v/>
      </c>
      <c r="D1596" t="str">
        <f>IF('NEW ACCOUNT'!A1597="","",'NEW ACCOUNT'!D1597)</f>
        <v/>
      </c>
      <c r="E1596" t="str">
        <f>IF('NEW ACCOUNT'!A1597="","",'NEW ACCOUNT'!E1597)</f>
        <v/>
      </c>
      <c r="F1596" t="str">
        <f>IF('NEW ACCOUNT'!A1597="","",'NEW ACCOUNT'!F1597)</f>
        <v/>
      </c>
      <c r="G1596" t="str">
        <f>IF('NEW ACCOUNT'!A1597="","",'NEW ACCOUNT'!G1597)</f>
        <v/>
      </c>
      <c r="H1596" t="str">
        <f>IF('NEW ACCOUNT'!A1597="","",'NEW ACCOUNT'!H1597)</f>
        <v/>
      </c>
      <c r="I1596" t="str">
        <f>IF('NEW ACCOUNT'!A1597="","",'NEW ACCOUNT'!I1597)</f>
        <v/>
      </c>
      <c r="J1596" t="str">
        <f>IF('NEW ACCOUNT'!A1597="","",'NEW ACCOUNT'!J1597)</f>
        <v/>
      </c>
      <c r="K1596" t="str">
        <f>IFERROR(IF(A1596="","",SUMIF(DB_Savings!$A:$A,A1596,DB_Savings!$F:$F)),"")</f>
        <v/>
      </c>
      <c r="L1596" t="str">
        <f>IFERROR(IF(A1596="","",SUMIF(DB_Withdrawals!$A:$A,A1596,DB_Withdrawals!$G:$G)),"")</f>
        <v/>
      </c>
      <c r="M1596" t="str">
        <f>IFERROR(IF(A1596="","",IFERROR(VALUE(H1596),0)+IFERROR(SUMIF(DB_Savings!$A:$A,A1596,DB_Savings!$F:$F),0)-IFERROR(SUMIF(DB_Withdrawals!$A:$A,A1596,DB_Withdrawals!$G:$G),0)),"")</f>
        <v/>
      </c>
      <c r="N1596" t="str">
        <f>IFERROR(IF(A1596="","",MAX(0,M1596-System_Config!$B$9)),"")</f>
        <v/>
      </c>
    </row>
    <row r="1597" spans="1:14" ht="15" customHeight="1" x14ac:dyDescent="0.25">
      <c r="A1597" t="str">
        <f>'NEW ACCOUNT'!A1598</f>
        <v/>
      </c>
      <c r="B1597" t="str">
        <f>IF('NEW ACCOUNT'!A1598="","",'NEW ACCOUNT'!B1598)</f>
        <v/>
      </c>
      <c r="C1597" t="str">
        <f>IF('NEW ACCOUNT'!A1598="","",'NEW ACCOUNT'!C1598)</f>
        <v/>
      </c>
      <c r="D1597" t="str">
        <f>IF('NEW ACCOUNT'!A1598="","",'NEW ACCOUNT'!D1598)</f>
        <v/>
      </c>
      <c r="E1597" t="str">
        <f>IF('NEW ACCOUNT'!A1598="","",'NEW ACCOUNT'!E1598)</f>
        <v/>
      </c>
      <c r="F1597" t="str">
        <f>IF('NEW ACCOUNT'!A1598="","",'NEW ACCOUNT'!F1598)</f>
        <v/>
      </c>
      <c r="G1597" t="str">
        <f>IF('NEW ACCOUNT'!A1598="","",'NEW ACCOUNT'!G1598)</f>
        <v/>
      </c>
      <c r="H1597" t="str">
        <f>IF('NEW ACCOUNT'!A1598="","",'NEW ACCOUNT'!H1598)</f>
        <v/>
      </c>
      <c r="I1597" t="str">
        <f>IF('NEW ACCOUNT'!A1598="","",'NEW ACCOUNT'!I1598)</f>
        <v/>
      </c>
      <c r="J1597" t="str">
        <f>IF('NEW ACCOUNT'!A1598="","",'NEW ACCOUNT'!J1598)</f>
        <v/>
      </c>
      <c r="K1597" t="str">
        <f>IFERROR(IF(A1597="","",SUMIF(DB_Savings!$A:$A,A1597,DB_Savings!$F:$F)),"")</f>
        <v/>
      </c>
      <c r="L1597" t="str">
        <f>IFERROR(IF(A1597="","",SUMIF(DB_Withdrawals!$A:$A,A1597,DB_Withdrawals!$G:$G)),"")</f>
        <v/>
      </c>
      <c r="M1597" t="str">
        <f>IFERROR(IF(A1597="","",IFERROR(VALUE(H1597),0)+IFERROR(SUMIF(DB_Savings!$A:$A,A1597,DB_Savings!$F:$F),0)-IFERROR(SUMIF(DB_Withdrawals!$A:$A,A1597,DB_Withdrawals!$G:$G),0)),"")</f>
        <v/>
      </c>
      <c r="N1597" t="str">
        <f>IFERROR(IF(A1597="","",MAX(0,M1597-System_Config!$B$9)),"")</f>
        <v/>
      </c>
    </row>
    <row r="1598" spans="1:14" ht="15" customHeight="1" x14ac:dyDescent="0.25">
      <c r="A1598" t="str">
        <f>'NEW ACCOUNT'!A1599</f>
        <v/>
      </c>
      <c r="B1598" t="str">
        <f>IF('NEW ACCOUNT'!A1599="","",'NEW ACCOUNT'!B1599)</f>
        <v/>
      </c>
      <c r="C1598" t="str">
        <f>IF('NEW ACCOUNT'!A1599="","",'NEW ACCOUNT'!C1599)</f>
        <v/>
      </c>
      <c r="D1598" t="str">
        <f>IF('NEW ACCOUNT'!A1599="","",'NEW ACCOUNT'!D1599)</f>
        <v/>
      </c>
      <c r="E1598" t="str">
        <f>IF('NEW ACCOUNT'!A1599="","",'NEW ACCOUNT'!E1599)</f>
        <v/>
      </c>
      <c r="F1598" t="str">
        <f>IF('NEW ACCOUNT'!A1599="","",'NEW ACCOUNT'!F1599)</f>
        <v/>
      </c>
      <c r="G1598" t="str">
        <f>IF('NEW ACCOUNT'!A1599="","",'NEW ACCOUNT'!G1599)</f>
        <v/>
      </c>
      <c r="H1598" t="str">
        <f>IF('NEW ACCOUNT'!A1599="","",'NEW ACCOUNT'!H1599)</f>
        <v/>
      </c>
      <c r="I1598" t="str">
        <f>IF('NEW ACCOUNT'!A1599="","",'NEW ACCOUNT'!I1599)</f>
        <v/>
      </c>
      <c r="J1598" t="str">
        <f>IF('NEW ACCOUNT'!A1599="","",'NEW ACCOUNT'!J1599)</f>
        <v/>
      </c>
      <c r="K1598" t="str">
        <f>IFERROR(IF(A1598="","",SUMIF(DB_Savings!$A:$A,A1598,DB_Savings!$F:$F)),"")</f>
        <v/>
      </c>
      <c r="L1598" t="str">
        <f>IFERROR(IF(A1598="","",SUMIF(DB_Withdrawals!$A:$A,A1598,DB_Withdrawals!$G:$G)),"")</f>
        <v/>
      </c>
      <c r="M1598" t="str">
        <f>IFERROR(IF(A1598="","",IFERROR(VALUE(H1598),0)+IFERROR(SUMIF(DB_Savings!$A:$A,A1598,DB_Savings!$F:$F),0)-IFERROR(SUMIF(DB_Withdrawals!$A:$A,A1598,DB_Withdrawals!$G:$G),0)),"")</f>
        <v/>
      </c>
      <c r="N1598" t="str">
        <f>IFERROR(IF(A1598="","",MAX(0,M1598-System_Config!$B$9)),"")</f>
        <v/>
      </c>
    </row>
    <row r="1599" spans="1:14" ht="15" customHeight="1" x14ac:dyDescent="0.25">
      <c r="A1599" t="str">
        <f>'NEW ACCOUNT'!A1600</f>
        <v/>
      </c>
      <c r="B1599" t="str">
        <f>IF('NEW ACCOUNT'!A1600="","",'NEW ACCOUNT'!B1600)</f>
        <v/>
      </c>
      <c r="C1599" t="str">
        <f>IF('NEW ACCOUNT'!A1600="","",'NEW ACCOUNT'!C1600)</f>
        <v/>
      </c>
      <c r="D1599" t="str">
        <f>IF('NEW ACCOUNT'!A1600="","",'NEW ACCOUNT'!D1600)</f>
        <v/>
      </c>
      <c r="E1599" t="str">
        <f>IF('NEW ACCOUNT'!A1600="","",'NEW ACCOUNT'!E1600)</f>
        <v/>
      </c>
      <c r="F1599" t="str">
        <f>IF('NEW ACCOUNT'!A1600="","",'NEW ACCOUNT'!F1600)</f>
        <v/>
      </c>
      <c r="G1599" t="str">
        <f>IF('NEW ACCOUNT'!A1600="","",'NEW ACCOUNT'!G1600)</f>
        <v/>
      </c>
      <c r="H1599" t="str">
        <f>IF('NEW ACCOUNT'!A1600="","",'NEW ACCOUNT'!H1600)</f>
        <v/>
      </c>
      <c r="I1599" t="str">
        <f>IF('NEW ACCOUNT'!A1600="","",'NEW ACCOUNT'!I1600)</f>
        <v/>
      </c>
      <c r="J1599" t="str">
        <f>IF('NEW ACCOUNT'!A1600="","",'NEW ACCOUNT'!J1600)</f>
        <v/>
      </c>
      <c r="K1599" t="str">
        <f>IFERROR(IF(A1599="","",SUMIF(DB_Savings!$A:$A,A1599,DB_Savings!$F:$F)),"")</f>
        <v/>
      </c>
      <c r="L1599" t="str">
        <f>IFERROR(IF(A1599="","",SUMIF(DB_Withdrawals!$A:$A,A1599,DB_Withdrawals!$G:$G)),"")</f>
        <v/>
      </c>
      <c r="M1599" t="str">
        <f>IFERROR(IF(A1599="","",IFERROR(VALUE(H1599),0)+IFERROR(SUMIF(DB_Savings!$A:$A,A1599,DB_Savings!$F:$F),0)-IFERROR(SUMIF(DB_Withdrawals!$A:$A,A1599,DB_Withdrawals!$G:$G),0)),"")</f>
        <v/>
      </c>
      <c r="N1599" t="str">
        <f>IFERROR(IF(A1599="","",MAX(0,M1599-System_Config!$B$9)),"")</f>
        <v/>
      </c>
    </row>
    <row r="1600" spans="1:14" ht="15" customHeight="1" x14ac:dyDescent="0.25">
      <c r="A1600" t="str">
        <f>'NEW ACCOUNT'!A1601</f>
        <v/>
      </c>
      <c r="B1600" t="str">
        <f>IF('NEW ACCOUNT'!A1601="","",'NEW ACCOUNT'!B1601)</f>
        <v/>
      </c>
      <c r="C1600" t="str">
        <f>IF('NEW ACCOUNT'!A1601="","",'NEW ACCOUNT'!C1601)</f>
        <v/>
      </c>
      <c r="D1600" t="str">
        <f>IF('NEW ACCOUNT'!A1601="","",'NEW ACCOUNT'!D1601)</f>
        <v/>
      </c>
      <c r="E1600" t="str">
        <f>IF('NEW ACCOUNT'!A1601="","",'NEW ACCOUNT'!E1601)</f>
        <v/>
      </c>
      <c r="F1600" t="str">
        <f>IF('NEW ACCOUNT'!A1601="","",'NEW ACCOUNT'!F1601)</f>
        <v/>
      </c>
      <c r="G1600" t="str">
        <f>IF('NEW ACCOUNT'!A1601="","",'NEW ACCOUNT'!G1601)</f>
        <v/>
      </c>
      <c r="H1600" t="str">
        <f>IF('NEW ACCOUNT'!A1601="","",'NEW ACCOUNT'!H1601)</f>
        <v/>
      </c>
      <c r="I1600" t="str">
        <f>IF('NEW ACCOUNT'!A1601="","",'NEW ACCOUNT'!I1601)</f>
        <v/>
      </c>
      <c r="J1600" t="str">
        <f>IF('NEW ACCOUNT'!A1601="","",'NEW ACCOUNT'!J1601)</f>
        <v/>
      </c>
      <c r="K1600" t="str">
        <f>IFERROR(IF(A1600="","",SUMIF(DB_Savings!$A:$A,A1600,DB_Savings!$F:$F)),"")</f>
        <v/>
      </c>
      <c r="L1600" t="str">
        <f>IFERROR(IF(A1600="","",SUMIF(DB_Withdrawals!$A:$A,A1600,DB_Withdrawals!$G:$G)),"")</f>
        <v/>
      </c>
      <c r="M1600" t="str">
        <f>IFERROR(IF(A1600="","",IFERROR(VALUE(H1600),0)+IFERROR(SUMIF(DB_Savings!$A:$A,A1600,DB_Savings!$F:$F),0)-IFERROR(SUMIF(DB_Withdrawals!$A:$A,A1600,DB_Withdrawals!$G:$G),0)),"")</f>
        <v/>
      </c>
      <c r="N1600" t="str">
        <f>IFERROR(IF(A1600="","",MAX(0,M1600-System_Config!$B$9)),"")</f>
        <v/>
      </c>
    </row>
    <row r="1601" spans="1:14" ht="15" customHeight="1" x14ac:dyDescent="0.25">
      <c r="A1601" t="str">
        <f>'NEW ACCOUNT'!A1602</f>
        <v/>
      </c>
      <c r="B1601" t="str">
        <f>IF('NEW ACCOUNT'!A1602="","",'NEW ACCOUNT'!B1602)</f>
        <v/>
      </c>
      <c r="C1601" t="str">
        <f>IF('NEW ACCOUNT'!A1602="","",'NEW ACCOUNT'!C1602)</f>
        <v/>
      </c>
      <c r="D1601" t="str">
        <f>IF('NEW ACCOUNT'!A1602="","",'NEW ACCOUNT'!D1602)</f>
        <v/>
      </c>
      <c r="E1601" t="str">
        <f>IF('NEW ACCOUNT'!A1602="","",'NEW ACCOUNT'!E1602)</f>
        <v/>
      </c>
      <c r="F1601" t="str">
        <f>IF('NEW ACCOUNT'!A1602="","",'NEW ACCOUNT'!F1602)</f>
        <v/>
      </c>
      <c r="G1601" t="str">
        <f>IF('NEW ACCOUNT'!A1602="","",'NEW ACCOUNT'!G1602)</f>
        <v/>
      </c>
      <c r="H1601" t="str">
        <f>IF('NEW ACCOUNT'!A1602="","",'NEW ACCOUNT'!H1602)</f>
        <v/>
      </c>
      <c r="I1601" t="str">
        <f>IF('NEW ACCOUNT'!A1602="","",'NEW ACCOUNT'!I1602)</f>
        <v/>
      </c>
      <c r="J1601" t="str">
        <f>IF('NEW ACCOUNT'!A1602="","",'NEW ACCOUNT'!J1602)</f>
        <v/>
      </c>
      <c r="K1601" t="str">
        <f>IFERROR(IF(A1601="","",SUMIF(DB_Savings!$A:$A,A1601,DB_Savings!$F:$F)),"")</f>
        <v/>
      </c>
      <c r="L1601" t="str">
        <f>IFERROR(IF(A1601="","",SUMIF(DB_Withdrawals!$A:$A,A1601,DB_Withdrawals!$G:$G)),"")</f>
        <v/>
      </c>
      <c r="M1601" t="str">
        <f>IFERROR(IF(A1601="","",IFERROR(VALUE(H1601),0)+IFERROR(SUMIF(DB_Savings!$A:$A,A1601,DB_Savings!$F:$F),0)-IFERROR(SUMIF(DB_Withdrawals!$A:$A,A1601,DB_Withdrawals!$G:$G),0)),"")</f>
        <v/>
      </c>
      <c r="N1601" t="str">
        <f>IFERROR(IF(A1601="","",MAX(0,M1601-System_Config!$B$9)),"")</f>
        <v/>
      </c>
    </row>
    <row r="1602" spans="1:14" ht="15" customHeight="1" x14ac:dyDescent="0.25">
      <c r="A1602" t="str">
        <f>'NEW ACCOUNT'!A1603</f>
        <v/>
      </c>
      <c r="B1602" t="str">
        <f>IF('NEW ACCOUNT'!A1603="","",'NEW ACCOUNT'!B1603)</f>
        <v/>
      </c>
      <c r="C1602" t="str">
        <f>IF('NEW ACCOUNT'!A1603="","",'NEW ACCOUNT'!C1603)</f>
        <v/>
      </c>
      <c r="D1602" t="str">
        <f>IF('NEW ACCOUNT'!A1603="","",'NEW ACCOUNT'!D1603)</f>
        <v/>
      </c>
      <c r="E1602" t="str">
        <f>IF('NEW ACCOUNT'!A1603="","",'NEW ACCOUNT'!E1603)</f>
        <v/>
      </c>
      <c r="F1602" t="str">
        <f>IF('NEW ACCOUNT'!A1603="","",'NEW ACCOUNT'!F1603)</f>
        <v/>
      </c>
      <c r="G1602" t="str">
        <f>IF('NEW ACCOUNT'!A1603="","",'NEW ACCOUNT'!G1603)</f>
        <v/>
      </c>
      <c r="H1602" t="str">
        <f>IF('NEW ACCOUNT'!A1603="","",'NEW ACCOUNT'!H1603)</f>
        <v/>
      </c>
      <c r="I1602" t="str">
        <f>IF('NEW ACCOUNT'!A1603="","",'NEW ACCOUNT'!I1603)</f>
        <v/>
      </c>
      <c r="J1602" t="str">
        <f>IF('NEW ACCOUNT'!A1603="","",'NEW ACCOUNT'!J1603)</f>
        <v/>
      </c>
      <c r="K1602" t="str">
        <f>IFERROR(IF(A1602="","",SUMIF(DB_Savings!$A:$A,A1602,DB_Savings!$F:$F)),"")</f>
        <v/>
      </c>
      <c r="L1602" t="str">
        <f>IFERROR(IF(A1602="","",SUMIF(DB_Withdrawals!$A:$A,A1602,DB_Withdrawals!$G:$G)),"")</f>
        <v/>
      </c>
      <c r="M1602" t="str">
        <f>IFERROR(IF(A1602="","",IFERROR(VALUE(H1602),0)+IFERROR(SUMIF(DB_Savings!$A:$A,A1602,DB_Savings!$F:$F),0)-IFERROR(SUMIF(DB_Withdrawals!$A:$A,A1602,DB_Withdrawals!$G:$G),0)),"")</f>
        <v/>
      </c>
      <c r="N1602" t="str">
        <f>IFERROR(IF(A1602="","",MAX(0,M1602-System_Config!$B$9)),"")</f>
        <v/>
      </c>
    </row>
    <row r="1603" spans="1:14" ht="15" customHeight="1" x14ac:dyDescent="0.25">
      <c r="A1603" t="str">
        <f>'NEW ACCOUNT'!A1604</f>
        <v/>
      </c>
      <c r="B1603" t="str">
        <f>IF('NEW ACCOUNT'!A1604="","",'NEW ACCOUNT'!B1604)</f>
        <v/>
      </c>
      <c r="C1603" t="str">
        <f>IF('NEW ACCOUNT'!A1604="","",'NEW ACCOUNT'!C1604)</f>
        <v/>
      </c>
      <c r="D1603" t="str">
        <f>IF('NEW ACCOUNT'!A1604="","",'NEW ACCOUNT'!D1604)</f>
        <v/>
      </c>
      <c r="E1603" t="str">
        <f>IF('NEW ACCOUNT'!A1604="","",'NEW ACCOUNT'!E1604)</f>
        <v/>
      </c>
      <c r="F1603" t="str">
        <f>IF('NEW ACCOUNT'!A1604="","",'NEW ACCOUNT'!F1604)</f>
        <v/>
      </c>
      <c r="G1603" t="str">
        <f>IF('NEW ACCOUNT'!A1604="","",'NEW ACCOUNT'!G1604)</f>
        <v/>
      </c>
      <c r="H1603" t="str">
        <f>IF('NEW ACCOUNT'!A1604="","",'NEW ACCOUNT'!H1604)</f>
        <v/>
      </c>
      <c r="I1603" t="str">
        <f>IF('NEW ACCOUNT'!A1604="","",'NEW ACCOUNT'!I1604)</f>
        <v/>
      </c>
      <c r="J1603" t="str">
        <f>IF('NEW ACCOUNT'!A1604="","",'NEW ACCOUNT'!J1604)</f>
        <v/>
      </c>
      <c r="K1603" t="str">
        <f>IFERROR(IF(A1603="","",SUMIF(DB_Savings!$A:$A,A1603,DB_Savings!$F:$F)),"")</f>
        <v/>
      </c>
      <c r="L1603" t="str">
        <f>IFERROR(IF(A1603="","",SUMIF(DB_Withdrawals!$A:$A,A1603,DB_Withdrawals!$G:$G)),"")</f>
        <v/>
      </c>
      <c r="M1603" t="str">
        <f>IFERROR(IF(A1603="","",IFERROR(VALUE(H1603),0)+IFERROR(SUMIF(DB_Savings!$A:$A,A1603,DB_Savings!$F:$F),0)-IFERROR(SUMIF(DB_Withdrawals!$A:$A,A1603,DB_Withdrawals!$G:$G),0)),"")</f>
        <v/>
      </c>
      <c r="N1603" t="str">
        <f>IFERROR(IF(A1603="","",MAX(0,M1603-System_Config!$B$9)),"")</f>
        <v/>
      </c>
    </row>
    <row r="1604" spans="1:14" ht="15" customHeight="1" x14ac:dyDescent="0.25">
      <c r="A1604" t="str">
        <f>'NEW ACCOUNT'!A1605</f>
        <v/>
      </c>
      <c r="B1604" t="str">
        <f>IF('NEW ACCOUNT'!A1605="","",'NEW ACCOUNT'!B1605)</f>
        <v/>
      </c>
      <c r="C1604" t="str">
        <f>IF('NEW ACCOUNT'!A1605="","",'NEW ACCOUNT'!C1605)</f>
        <v/>
      </c>
      <c r="D1604" t="str">
        <f>IF('NEW ACCOUNT'!A1605="","",'NEW ACCOUNT'!D1605)</f>
        <v/>
      </c>
      <c r="E1604" t="str">
        <f>IF('NEW ACCOUNT'!A1605="","",'NEW ACCOUNT'!E1605)</f>
        <v/>
      </c>
      <c r="F1604" t="str">
        <f>IF('NEW ACCOUNT'!A1605="","",'NEW ACCOUNT'!F1605)</f>
        <v/>
      </c>
      <c r="G1604" t="str">
        <f>IF('NEW ACCOUNT'!A1605="","",'NEW ACCOUNT'!G1605)</f>
        <v/>
      </c>
      <c r="H1604" t="str">
        <f>IF('NEW ACCOUNT'!A1605="","",'NEW ACCOUNT'!H1605)</f>
        <v/>
      </c>
      <c r="I1604" t="str">
        <f>IF('NEW ACCOUNT'!A1605="","",'NEW ACCOUNT'!I1605)</f>
        <v/>
      </c>
      <c r="J1604" t="str">
        <f>IF('NEW ACCOUNT'!A1605="","",'NEW ACCOUNT'!J1605)</f>
        <v/>
      </c>
      <c r="K1604" t="str">
        <f>IFERROR(IF(A1604="","",SUMIF(DB_Savings!$A:$A,A1604,DB_Savings!$F:$F)),"")</f>
        <v/>
      </c>
      <c r="L1604" t="str">
        <f>IFERROR(IF(A1604="","",SUMIF(DB_Withdrawals!$A:$A,A1604,DB_Withdrawals!$G:$G)),"")</f>
        <v/>
      </c>
      <c r="M1604" t="str">
        <f>IFERROR(IF(A1604="","",IFERROR(VALUE(H1604),0)+IFERROR(SUMIF(DB_Savings!$A:$A,A1604,DB_Savings!$F:$F),0)-IFERROR(SUMIF(DB_Withdrawals!$A:$A,A1604,DB_Withdrawals!$G:$G),0)),"")</f>
        <v/>
      </c>
      <c r="N1604" t="str">
        <f>IFERROR(IF(A1604="","",MAX(0,M1604-System_Config!$B$9)),"")</f>
        <v/>
      </c>
    </row>
    <row r="1605" spans="1:14" ht="15" customHeight="1" x14ac:dyDescent="0.25">
      <c r="A1605" t="str">
        <f>'NEW ACCOUNT'!A1606</f>
        <v/>
      </c>
      <c r="B1605" t="str">
        <f>IF('NEW ACCOUNT'!A1606="","",'NEW ACCOUNT'!B1606)</f>
        <v/>
      </c>
      <c r="C1605" t="str">
        <f>IF('NEW ACCOUNT'!A1606="","",'NEW ACCOUNT'!C1606)</f>
        <v/>
      </c>
      <c r="D1605" t="str">
        <f>IF('NEW ACCOUNT'!A1606="","",'NEW ACCOUNT'!D1606)</f>
        <v/>
      </c>
      <c r="E1605" t="str">
        <f>IF('NEW ACCOUNT'!A1606="","",'NEW ACCOUNT'!E1606)</f>
        <v/>
      </c>
      <c r="F1605" t="str">
        <f>IF('NEW ACCOUNT'!A1606="","",'NEW ACCOUNT'!F1606)</f>
        <v/>
      </c>
      <c r="G1605" t="str">
        <f>IF('NEW ACCOUNT'!A1606="","",'NEW ACCOUNT'!G1606)</f>
        <v/>
      </c>
      <c r="H1605" t="str">
        <f>IF('NEW ACCOUNT'!A1606="","",'NEW ACCOUNT'!H1606)</f>
        <v/>
      </c>
      <c r="I1605" t="str">
        <f>IF('NEW ACCOUNT'!A1606="","",'NEW ACCOUNT'!I1606)</f>
        <v/>
      </c>
      <c r="J1605" t="str">
        <f>IF('NEW ACCOUNT'!A1606="","",'NEW ACCOUNT'!J1606)</f>
        <v/>
      </c>
      <c r="K1605" t="str">
        <f>IFERROR(IF(A1605="","",SUMIF(DB_Savings!$A:$A,A1605,DB_Savings!$F:$F)),"")</f>
        <v/>
      </c>
      <c r="L1605" t="str">
        <f>IFERROR(IF(A1605="","",SUMIF(DB_Withdrawals!$A:$A,A1605,DB_Withdrawals!$G:$G)),"")</f>
        <v/>
      </c>
      <c r="M1605" t="str">
        <f>IFERROR(IF(A1605="","",IFERROR(VALUE(H1605),0)+IFERROR(SUMIF(DB_Savings!$A:$A,A1605,DB_Savings!$F:$F),0)-IFERROR(SUMIF(DB_Withdrawals!$A:$A,A1605,DB_Withdrawals!$G:$G),0)),"")</f>
        <v/>
      </c>
      <c r="N1605" t="str">
        <f>IFERROR(IF(A1605="","",MAX(0,M1605-System_Config!$B$9)),"")</f>
        <v/>
      </c>
    </row>
    <row r="1606" spans="1:14" ht="15" customHeight="1" x14ac:dyDescent="0.25">
      <c r="A1606" t="str">
        <f>'NEW ACCOUNT'!A1607</f>
        <v/>
      </c>
      <c r="B1606" t="str">
        <f>IF('NEW ACCOUNT'!A1607="","",'NEW ACCOUNT'!B1607)</f>
        <v/>
      </c>
      <c r="C1606" t="str">
        <f>IF('NEW ACCOUNT'!A1607="","",'NEW ACCOUNT'!C1607)</f>
        <v/>
      </c>
      <c r="D1606" t="str">
        <f>IF('NEW ACCOUNT'!A1607="","",'NEW ACCOUNT'!D1607)</f>
        <v/>
      </c>
      <c r="E1606" t="str">
        <f>IF('NEW ACCOUNT'!A1607="","",'NEW ACCOUNT'!E1607)</f>
        <v/>
      </c>
      <c r="F1606" t="str">
        <f>IF('NEW ACCOUNT'!A1607="","",'NEW ACCOUNT'!F1607)</f>
        <v/>
      </c>
      <c r="G1606" t="str">
        <f>IF('NEW ACCOUNT'!A1607="","",'NEW ACCOUNT'!G1607)</f>
        <v/>
      </c>
      <c r="H1606" t="str">
        <f>IF('NEW ACCOUNT'!A1607="","",'NEW ACCOUNT'!H1607)</f>
        <v/>
      </c>
      <c r="I1606" t="str">
        <f>IF('NEW ACCOUNT'!A1607="","",'NEW ACCOUNT'!I1607)</f>
        <v/>
      </c>
      <c r="J1606" t="str">
        <f>IF('NEW ACCOUNT'!A1607="","",'NEW ACCOUNT'!J1607)</f>
        <v/>
      </c>
      <c r="K1606" t="str">
        <f>IFERROR(IF(A1606="","",SUMIF(DB_Savings!$A:$A,A1606,DB_Savings!$F:$F)),"")</f>
        <v/>
      </c>
      <c r="L1606" t="str">
        <f>IFERROR(IF(A1606="","",SUMIF(DB_Withdrawals!$A:$A,A1606,DB_Withdrawals!$G:$G)),"")</f>
        <v/>
      </c>
      <c r="M1606" t="str">
        <f>IFERROR(IF(A1606="","",IFERROR(VALUE(H1606),0)+IFERROR(SUMIF(DB_Savings!$A:$A,A1606,DB_Savings!$F:$F),0)-IFERROR(SUMIF(DB_Withdrawals!$A:$A,A1606,DB_Withdrawals!$G:$G),0)),"")</f>
        <v/>
      </c>
      <c r="N1606" t="str">
        <f>IFERROR(IF(A1606="","",MAX(0,M1606-System_Config!$B$9)),"")</f>
        <v/>
      </c>
    </row>
    <row r="1607" spans="1:14" ht="15" customHeight="1" x14ac:dyDescent="0.25">
      <c r="A1607" t="str">
        <f>'NEW ACCOUNT'!A1608</f>
        <v/>
      </c>
      <c r="B1607" t="str">
        <f>IF('NEW ACCOUNT'!A1608="","",'NEW ACCOUNT'!B1608)</f>
        <v/>
      </c>
      <c r="C1607" t="str">
        <f>IF('NEW ACCOUNT'!A1608="","",'NEW ACCOUNT'!C1608)</f>
        <v/>
      </c>
      <c r="D1607" t="str">
        <f>IF('NEW ACCOUNT'!A1608="","",'NEW ACCOUNT'!D1608)</f>
        <v/>
      </c>
      <c r="E1607" t="str">
        <f>IF('NEW ACCOUNT'!A1608="","",'NEW ACCOUNT'!E1608)</f>
        <v/>
      </c>
      <c r="F1607" t="str">
        <f>IF('NEW ACCOUNT'!A1608="","",'NEW ACCOUNT'!F1608)</f>
        <v/>
      </c>
      <c r="G1607" t="str">
        <f>IF('NEW ACCOUNT'!A1608="","",'NEW ACCOUNT'!G1608)</f>
        <v/>
      </c>
      <c r="H1607" t="str">
        <f>IF('NEW ACCOUNT'!A1608="","",'NEW ACCOUNT'!H1608)</f>
        <v/>
      </c>
      <c r="I1607" t="str">
        <f>IF('NEW ACCOUNT'!A1608="","",'NEW ACCOUNT'!I1608)</f>
        <v/>
      </c>
      <c r="J1607" t="str">
        <f>IF('NEW ACCOUNT'!A1608="","",'NEW ACCOUNT'!J1608)</f>
        <v/>
      </c>
      <c r="K1607" t="str">
        <f>IFERROR(IF(A1607="","",SUMIF(DB_Savings!$A:$A,A1607,DB_Savings!$F:$F)),"")</f>
        <v/>
      </c>
      <c r="L1607" t="str">
        <f>IFERROR(IF(A1607="","",SUMIF(DB_Withdrawals!$A:$A,A1607,DB_Withdrawals!$G:$G)),"")</f>
        <v/>
      </c>
      <c r="M1607" t="str">
        <f>IFERROR(IF(A1607="","",IFERROR(VALUE(H1607),0)+IFERROR(SUMIF(DB_Savings!$A:$A,A1607,DB_Savings!$F:$F),0)-IFERROR(SUMIF(DB_Withdrawals!$A:$A,A1607,DB_Withdrawals!$G:$G),0)),"")</f>
        <v/>
      </c>
      <c r="N1607" t="str">
        <f>IFERROR(IF(A1607="","",MAX(0,M1607-System_Config!$B$9)),"")</f>
        <v/>
      </c>
    </row>
    <row r="1608" spans="1:14" ht="15" customHeight="1" x14ac:dyDescent="0.25">
      <c r="A1608" t="str">
        <f>'NEW ACCOUNT'!A1609</f>
        <v/>
      </c>
      <c r="B1608" t="str">
        <f>IF('NEW ACCOUNT'!A1609="","",'NEW ACCOUNT'!B1609)</f>
        <v/>
      </c>
      <c r="C1608" t="str">
        <f>IF('NEW ACCOUNT'!A1609="","",'NEW ACCOUNT'!C1609)</f>
        <v/>
      </c>
      <c r="D1608" t="str">
        <f>IF('NEW ACCOUNT'!A1609="","",'NEW ACCOUNT'!D1609)</f>
        <v/>
      </c>
      <c r="E1608" t="str">
        <f>IF('NEW ACCOUNT'!A1609="","",'NEW ACCOUNT'!E1609)</f>
        <v/>
      </c>
      <c r="F1608" t="str">
        <f>IF('NEW ACCOUNT'!A1609="","",'NEW ACCOUNT'!F1609)</f>
        <v/>
      </c>
      <c r="G1608" t="str">
        <f>IF('NEW ACCOUNT'!A1609="","",'NEW ACCOUNT'!G1609)</f>
        <v/>
      </c>
      <c r="H1608" t="str">
        <f>IF('NEW ACCOUNT'!A1609="","",'NEW ACCOUNT'!H1609)</f>
        <v/>
      </c>
      <c r="I1608" t="str">
        <f>IF('NEW ACCOUNT'!A1609="","",'NEW ACCOUNT'!I1609)</f>
        <v/>
      </c>
      <c r="J1608" t="str">
        <f>IF('NEW ACCOUNT'!A1609="","",'NEW ACCOUNT'!J1609)</f>
        <v/>
      </c>
      <c r="K1608" t="str">
        <f>IFERROR(IF(A1608="","",SUMIF(DB_Savings!$A:$A,A1608,DB_Savings!$F:$F)),"")</f>
        <v/>
      </c>
      <c r="L1608" t="str">
        <f>IFERROR(IF(A1608="","",SUMIF(DB_Withdrawals!$A:$A,A1608,DB_Withdrawals!$G:$G)),"")</f>
        <v/>
      </c>
      <c r="M1608" t="str">
        <f>IFERROR(IF(A1608="","",IFERROR(VALUE(H1608),0)+IFERROR(SUMIF(DB_Savings!$A:$A,A1608,DB_Savings!$F:$F),0)-IFERROR(SUMIF(DB_Withdrawals!$A:$A,A1608,DB_Withdrawals!$G:$G),0)),"")</f>
        <v/>
      </c>
      <c r="N1608" t="str">
        <f>IFERROR(IF(A1608="","",MAX(0,M1608-System_Config!$B$9)),"")</f>
        <v/>
      </c>
    </row>
    <row r="1609" spans="1:14" ht="15" customHeight="1" x14ac:dyDescent="0.25">
      <c r="A1609" t="str">
        <f>'NEW ACCOUNT'!A1610</f>
        <v/>
      </c>
      <c r="B1609" t="str">
        <f>IF('NEW ACCOUNT'!A1610="","",'NEW ACCOUNT'!B1610)</f>
        <v/>
      </c>
      <c r="C1609" t="str">
        <f>IF('NEW ACCOUNT'!A1610="","",'NEW ACCOUNT'!C1610)</f>
        <v/>
      </c>
      <c r="D1609" t="str">
        <f>IF('NEW ACCOUNT'!A1610="","",'NEW ACCOUNT'!D1610)</f>
        <v/>
      </c>
      <c r="E1609" t="str">
        <f>IF('NEW ACCOUNT'!A1610="","",'NEW ACCOUNT'!E1610)</f>
        <v/>
      </c>
      <c r="F1609" t="str">
        <f>IF('NEW ACCOUNT'!A1610="","",'NEW ACCOUNT'!F1610)</f>
        <v/>
      </c>
      <c r="G1609" t="str">
        <f>IF('NEW ACCOUNT'!A1610="","",'NEW ACCOUNT'!G1610)</f>
        <v/>
      </c>
      <c r="H1609" t="str">
        <f>IF('NEW ACCOUNT'!A1610="","",'NEW ACCOUNT'!H1610)</f>
        <v/>
      </c>
      <c r="I1609" t="str">
        <f>IF('NEW ACCOUNT'!A1610="","",'NEW ACCOUNT'!I1610)</f>
        <v/>
      </c>
      <c r="J1609" t="str">
        <f>IF('NEW ACCOUNT'!A1610="","",'NEW ACCOUNT'!J1610)</f>
        <v/>
      </c>
      <c r="K1609" t="str">
        <f>IFERROR(IF(A1609="","",SUMIF(DB_Savings!$A:$A,A1609,DB_Savings!$F:$F)),"")</f>
        <v/>
      </c>
      <c r="L1609" t="str">
        <f>IFERROR(IF(A1609="","",SUMIF(DB_Withdrawals!$A:$A,A1609,DB_Withdrawals!$G:$G)),"")</f>
        <v/>
      </c>
      <c r="M1609" t="str">
        <f>IFERROR(IF(A1609="","",IFERROR(VALUE(H1609),0)+IFERROR(SUMIF(DB_Savings!$A:$A,A1609,DB_Savings!$F:$F),0)-IFERROR(SUMIF(DB_Withdrawals!$A:$A,A1609,DB_Withdrawals!$G:$G),0)),"")</f>
        <v/>
      </c>
      <c r="N1609" t="str">
        <f>IFERROR(IF(A1609="","",MAX(0,M1609-System_Config!$B$9)),"")</f>
        <v/>
      </c>
    </row>
    <row r="1610" spans="1:14" ht="15" customHeight="1" x14ac:dyDescent="0.25">
      <c r="A1610" t="str">
        <f>'NEW ACCOUNT'!A1611</f>
        <v/>
      </c>
      <c r="B1610" t="str">
        <f>IF('NEW ACCOUNT'!A1611="","",'NEW ACCOUNT'!B1611)</f>
        <v/>
      </c>
      <c r="C1610" t="str">
        <f>IF('NEW ACCOUNT'!A1611="","",'NEW ACCOUNT'!C1611)</f>
        <v/>
      </c>
      <c r="D1610" t="str">
        <f>IF('NEW ACCOUNT'!A1611="","",'NEW ACCOUNT'!D1611)</f>
        <v/>
      </c>
      <c r="E1610" t="str">
        <f>IF('NEW ACCOUNT'!A1611="","",'NEW ACCOUNT'!E1611)</f>
        <v/>
      </c>
      <c r="F1610" t="str">
        <f>IF('NEW ACCOUNT'!A1611="","",'NEW ACCOUNT'!F1611)</f>
        <v/>
      </c>
      <c r="G1610" t="str">
        <f>IF('NEW ACCOUNT'!A1611="","",'NEW ACCOUNT'!G1611)</f>
        <v/>
      </c>
      <c r="H1610" t="str">
        <f>IF('NEW ACCOUNT'!A1611="","",'NEW ACCOUNT'!H1611)</f>
        <v/>
      </c>
      <c r="I1610" t="str">
        <f>IF('NEW ACCOUNT'!A1611="","",'NEW ACCOUNT'!I1611)</f>
        <v/>
      </c>
      <c r="J1610" t="str">
        <f>IF('NEW ACCOUNT'!A1611="","",'NEW ACCOUNT'!J1611)</f>
        <v/>
      </c>
      <c r="K1610" t="str">
        <f>IFERROR(IF(A1610="","",SUMIF(DB_Savings!$A:$A,A1610,DB_Savings!$F:$F)),"")</f>
        <v/>
      </c>
      <c r="L1610" t="str">
        <f>IFERROR(IF(A1610="","",SUMIF(DB_Withdrawals!$A:$A,A1610,DB_Withdrawals!$G:$G)),"")</f>
        <v/>
      </c>
      <c r="M1610" t="str">
        <f>IFERROR(IF(A1610="","",IFERROR(VALUE(H1610),0)+IFERROR(SUMIF(DB_Savings!$A:$A,A1610,DB_Savings!$F:$F),0)-IFERROR(SUMIF(DB_Withdrawals!$A:$A,A1610,DB_Withdrawals!$G:$G),0)),"")</f>
        <v/>
      </c>
      <c r="N1610" t="str">
        <f>IFERROR(IF(A1610="","",MAX(0,M1610-System_Config!$B$9)),"")</f>
        <v/>
      </c>
    </row>
    <row r="1611" spans="1:14" ht="15" customHeight="1" x14ac:dyDescent="0.25">
      <c r="A1611" t="str">
        <f>'NEW ACCOUNT'!A1612</f>
        <v/>
      </c>
      <c r="B1611" t="str">
        <f>IF('NEW ACCOUNT'!A1612="","",'NEW ACCOUNT'!B1612)</f>
        <v/>
      </c>
      <c r="C1611" t="str">
        <f>IF('NEW ACCOUNT'!A1612="","",'NEW ACCOUNT'!C1612)</f>
        <v/>
      </c>
      <c r="D1611" t="str">
        <f>IF('NEW ACCOUNT'!A1612="","",'NEW ACCOUNT'!D1612)</f>
        <v/>
      </c>
      <c r="E1611" t="str">
        <f>IF('NEW ACCOUNT'!A1612="","",'NEW ACCOUNT'!E1612)</f>
        <v/>
      </c>
      <c r="F1611" t="str">
        <f>IF('NEW ACCOUNT'!A1612="","",'NEW ACCOUNT'!F1612)</f>
        <v/>
      </c>
      <c r="G1611" t="str">
        <f>IF('NEW ACCOUNT'!A1612="","",'NEW ACCOUNT'!G1612)</f>
        <v/>
      </c>
      <c r="H1611" t="str">
        <f>IF('NEW ACCOUNT'!A1612="","",'NEW ACCOUNT'!H1612)</f>
        <v/>
      </c>
      <c r="I1611" t="str">
        <f>IF('NEW ACCOUNT'!A1612="","",'NEW ACCOUNT'!I1612)</f>
        <v/>
      </c>
      <c r="J1611" t="str">
        <f>IF('NEW ACCOUNT'!A1612="","",'NEW ACCOUNT'!J1612)</f>
        <v/>
      </c>
      <c r="K1611" t="str">
        <f>IFERROR(IF(A1611="","",SUMIF(DB_Savings!$A:$A,A1611,DB_Savings!$F:$F)),"")</f>
        <v/>
      </c>
      <c r="L1611" t="str">
        <f>IFERROR(IF(A1611="","",SUMIF(DB_Withdrawals!$A:$A,A1611,DB_Withdrawals!$G:$G)),"")</f>
        <v/>
      </c>
      <c r="M1611" t="str">
        <f>IFERROR(IF(A1611="","",IFERROR(VALUE(H1611),0)+IFERROR(SUMIF(DB_Savings!$A:$A,A1611,DB_Savings!$F:$F),0)-IFERROR(SUMIF(DB_Withdrawals!$A:$A,A1611,DB_Withdrawals!$G:$G),0)),"")</f>
        <v/>
      </c>
      <c r="N1611" t="str">
        <f>IFERROR(IF(A1611="","",MAX(0,M1611-System_Config!$B$9)),"")</f>
        <v/>
      </c>
    </row>
    <row r="1612" spans="1:14" ht="15" customHeight="1" x14ac:dyDescent="0.25">
      <c r="A1612" t="str">
        <f>'NEW ACCOUNT'!A1613</f>
        <v/>
      </c>
      <c r="B1612" t="str">
        <f>IF('NEW ACCOUNT'!A1613="","",'NEW ACCOUNT'!B1613)</f>
        <v/>
      </c>
      <c r="C1612" t="str">
        <f>IF('NEW ACCOUNT'!A1613="","",'NEW ACCOUNT'!C1613)</f>
        <v/>
      </c>
      <c r="D1612" t="str">
        <f>IF('NEW ACCOUNT'!A1613="","",'NEW ACCOUNT'!D1613)</f>
        <v/>
      </c>
      <c r="E1612" t="str">
        <f>IF('NEW ACCOUNT'!A1613="","",'NEW ACCOUNT'!E1613)</f>
        <v/>
      </c>
      <c r="F1612" t="str">
        <f>IF('NEW ACCOUNT'!A1613="","",'NEW ACCOUNT'!F1613)</f>
        <v/>
      </c>
      <c r="G1612" t="str">
        <f>IF('NEW ACCOUNT'!A1613="","",'NEW ACCOUNT'!G1613)</f>
        <v/>
      </c>
      <c r="H1612" t="str">
        <f>IF('NEW ACCOUNT'!A1613="","",'NEW ACCOUNT'!H1613)</f>
        <v/>
      </c>
      <c r="I1612" t="str">
        <f>IF('NEW ACCOUNT'!A1613="","",'NEW ACCOUNT'!I1613)</f>
        <v/>
      </c>
      <c r="J1612" t="str">
        <f>IF('NEW ACCOUNT'!A1613="","",'NEW ACCOUNT'!J1613)</f>
        <v/>
      </c>
      <c r="K1612" t="str">
        <f>IFERROR(IF(A1612="","",SUMIF(DB_Savings!$A:$A,A1612,DB_Savings!$F:$F)),"")</f>
        <v/>
      </c>
      <c r="L1612" t="str">
        <f>IFERROR(IF(A1612="","",SUMIF(DB_Withdrawals!$A:$A,A1612,DB_Withdrawals!$G:$G)),"")</f>
        <v/>
      </c>
      <c r="M1612" t="str">
        <f>IFERROR(IF(A1612="","",IFERROR(VALUE(H1612),0)+IFERROR(SUMIF(DB_Savings!$A:$A,A1612,DB_Savings!$F:$F),0)-IFERROR(SUMIF(DB_Withdrawals!$A:$A,A1612,DB_Withdrawals!$G:$G),0)),"")</f>
        <v/>
      </c>
      <c r="N1612" t="str">
        <f>IFERROR(IF(A1612="","",MAX(0,M1612-System_Config!$B$9)),"")</f>
        <v/>
      </c>
    </row>
    <row r="1613" spans="1:14" ht="15" customHeight="1" x14ac:dyDescent="0.25">
      <c r="A1613" t="str">
        <f>'NEW ACCOUNT'!A1614</f>
        <v/>
      </c>
      <c r="B1613" t="str">
        <f>IF('NEW ACCOUNT'!A1614="","",'NEW ACCOUNT'!B1614)</f>
        <v/>
      </c>
      <c r="C1613" t="str">
        <f>IF('NEW ACCOUNT'!A1614="","",'NEW ACCOUNT'!C1614)</f>
        <v/>
      </c>
      <c r="D1613" t="str">
        <f>IF('NEW ACCOUNT'!A1614="","",'NEW ACCOUNT'!D1614)</f>
        <v/>
      </c>
      <c r="E1613" t="str">
        <f>IF('NEW ACCOUNT'!A1614="","",'NEW ACCOUNT'!E1614)</f>
        <v/>
      </c>
      <c r="F1613" t="str">
        <f>IF('NEW ACCOUNT'!A1614="","",'NEW ACCOUNT'!F1614)</f>
        <v/>
      </c>
      <c r="G1613" t="str">
        <f>IF('NEW ACCOUNT'!A1614="","",'NEW ACCOUNT'!G1614)</f>
        <v/>
      </c>
      <c r="H1613" t="str">
        <f>IF('NEW ACCOUNT'!A1614="","",'NEW ACCOUNT'!H1614)</f>
        <v/>
      </c>
      <c r="I1613" t="str">
        <f>IF('NEW ACCOUNT'!A1614="","",'NEW ACCOUNT'!I1614)</f>
        <v/>
      </c>
      <c r="J1613" t="str">
        <f>IF('NEW ACCOUNT'!A1614="","",'NEW ACCOUNT'!J1614)</f>
        <v/>
      </c>
      <c r="K1613" t="str">
        <f>IFERROR(IF(A1613="","",SUMIF(DB_Savings!$A:$A,A1613,DB_Savings!$F:$F)),"")</f>
        <v/>
      </c>
      <c r="L1613" t="str">
        <f>IFERROR(IF(A1613="","",SUMIF(DB_Withdrawals!$A:$A,A1613,DB_Withdrawals!$G:$G)),"")</f>
        <v/>
      </c>
      <c r="M1613" t="str">
        <f>IFERROR(IF(A1613="","",IFERROR(VALUE(H1613),0)+IFERROR(SUMIF(DB_Savings!$A:$A,A1613,DB_Savings!$F:$F),0)-IFERROR(SUMIF(DB_Withdrawals!$A:$A,A1613,DB_Withdrawals!$G:$G),0)),"")</f>
        <v/>
      </c>
      <c r="N1613" t="str">
        <f>IFERROR(IF(A1613="","",MAX(0,M1613-System_Config!$B$9)),"")</f>
        <v/>
      </c>
    </row>
    <row r="1614" spans="1:14" ht="15" customHeight="1" x14ac:dyDescent="0.25">
      <c r="A1614" t="str">
        <f>'NEW ACCOUNT'!A1615</f>
        <v/>
      </c>
      <c r="B1614" t="str">
        <f>IF('NEW ACCOUNT'!A1615="","",'NEW ACCOUNT'!B1615)</f>
        <v/>
      </c>
      <c r="C1614" t="str">
        <f>IF('NEW ACCOUNT'!A1615="","",'NEW ACCOUNT'!C1615)</f>
        <v/>
      </c>
      <c r="D1614" t="str">
        <f>IF('NEW ACCOUNT'!A1615="","",'NEW ACCOUNT'!D1615)</f>
        <v/>
      </c>
      <c r="E1614" t="str">
        <f>IF('NEW ACCOUNT'!A1615="","",'NEW ACCOUNT'!E1615)</f>
        <v/>
      </c>
      <c r="F1614" t="str">
        <f>IF('NEW ACCOUNT'!A1615="","",'NEW ACCOUNT'!F1615)</f>
        <v/>
      </c>
      <c r="G1614" t="str">
        <f>IF('NEW ACCOUNT'!A1615="","",'NEW ACCOUNT'!G1615)</f>
        <v/>
      </c>
      <c r="H1614" t="str">
        <f>IF('NEW ACCOUNT'!A1615="","",'NEW ACCOUNT'!H1615)</f>
        <v/>
      </c>
      <c r="I1614" t="str">
        <f>IF('NEW ACCOUNT'!A1615="","",'NEW ACCOUNT'!I1615)</f>
        <v/>
      </c>
      <c r="J1614" t="str">
        <f>IF('NEW ACCOUNT'!A1615="","",'NEW ACCOUNT'!J1615)</f>
        <v/>
      </c>
      <c r="K1614" t="str">
        <f>IFERROR(IF(A1614="","",SUMIF(DB_Savings!$A:$A,A1614,DB_Savings!$F:$F)),"")</f>
        <v/>
      </c>
      <c r="L1614" t="str">
        <f>IFERROR(IF(A1614="","",SUMIF(DB_Withdrawals!$A:$A,A1614,DB_Withdrawals!$G:$G)),"")</f>
        <v/>
      </c>
      <c r="M1614" t="str">
        <f>IFERROR(IF(A1614="","",IFERROR(VALUE(H1614),0)+IFERROR(SUMIF(DB_Savings!$A:$A,A1614,DB_Savings!$F:$F),0)-IFERROR(SUMIF(DB_Withdrawals!$A:$A,A1614,DB_Withdrawals!$G:$G),0)),"")</f>
        <v/>
      </c>
      <c r="N1614" t="str">
        <f>IFERROR(IF(A1614="","",MAX(0,M1614-System_Config!$B$9)),"")</f>
        <v/>
      </c>
    </row>
    <row r="1615" spans="1:14" ht="15" customHeight="1" x14ac:dyDescent="0.25">
      <c r="A1615" t="str">
        <f>'NEW ACCOUNT'!A1616</f>
        <v/>
      </c>
      <c r="B1615" t="str">
        <f>IF('NEW ACCOUNT'!A1616="","",'NEW ACCOUNT'!B1616)</f>
        <v/>
      </c>
      <c r="C1615" t="str">
        <f>IF('NEW ACCOUNT'!A1616="","",'NEW ACCOUNT'!C1616)</f>
        <v/>
      </c>
      <c r="D1615" t="str">
        <f>IF('NEW ACCOUNT'!A1616="","",'NEW ACCOUNT'!D1616)</f>
        <v/>
      </c>
      <c r="E1615" t="str">
        <f>IF('NEW ACCOUNT'!A1616="","",'NEW ACCOUNT'!E1616)</f>
        <v/>
      </c>
      <c r="F1615" t="str">
        <f>IF('NEW ACCOUNT'!A1616="","",'NEW ACCOUNT'!F1616)</f>
        <v/>
      </c>
      <c r="G1615" t="str">
        <f>IF('NEW ACCOUNT'!A1616="","",'NEW ACCOUNT'!G1616)</f>
        <v/>
      </c>
      <c r="H1615" t="str">
        <f>IF('NEW ACCOUNT'!A1616="","",'NEW ACCOUNT'!H1616)</f>
        <v/>
      </c>
      <c r="I1615" t="str">
        <f>IF('NEW ACCOUNT'!A1616="","",'NEW ACCOUNT'!I1616)</f>
        <v/>
      </c>
      <c r="J1615" t="str">
        <f>IF('NEW ACCOUNT'!A1616="","",'NEW ACCOUNT'!J1616)</f>
        <v/>
      </c>
      <c r="K1615" t="str">
        <f>IFERROR(IF(A1615="","",SUMIF(DB_Savings!$A:$A,A1615,DB_Savings!$F:$F)),"")</f>
        <v/>
      </c>
      <c r="L1615" t="str">
        <f>IFERROR(IF(A1615="","",SUMIF(DB_Withdrawals!$A:$A,A1615,DB_Withdrawals!$G:$G)),"")</f>
        <v/>
      </c>
      <c r="M1615" t="str">
        <f>IFERROR(IF(A1615="","",IFERROR(VALUE(H1615),0)+IFERROR(SUMIF(DB_Savings!$A:$A,A1615,DB_Savings!$F:$F),0)-IFERROR(SUMIF(DB_Withdrawals!$A:$A,A1615,DB_Withdrawals!$G:$G),0)),"")</f>
        <v/>
      </c>
      <c r="N1615" t="str">
        <f>IFERROR(IF(A1615="","",MAX(0,M1615-System_Config!$B$9)),"")</f>
        <v/>
      </c>
    </row>
    <row r="1616" spans="1:14" ht="15" customHeight="1" x14ac:dyDescent="0.25">
      <c r="A1616" t="str">
        <f>'NEW ACCOUNT'!A1617</f>
        <v/>
      </c>
      <c r="B1616" t="str">
        <f>IF('NEW ACCOUNT'!A1617="","",'NEW ACCOUNT'!B1617)</f>
        <v/>
      </c>
      <c r="C1616" t="str">
        <f>IF('NEW ACCOUNT'!A1617="","",'NEW ACCOUNT'!C1617)</f>
        <v/>
      </c>
      <c r="D1616" t="str">
        <f>IF('NEW ACCOUNT'!A1617="","",'NEW ACCOUNT'!D1617)</f>
        <v/>
      </c>
      <c r="E1616" t="str">
        <f>IF('NEW ACCOUNT'!A1617="","",'NEW ACCOUNT'!E1617)</f>
        <v/>
      </c>
      <c r="F1616" t="str">
        <f>IF('NEW ACCOUNT'!A1617="","",'NEW ACCOUNT'!F1617)</f>
        <v/>
      </c>
      <c r="G1616" t="str">
        <f>IF('NEW ACCOUNT'!A1617="","",'NEW ACCOUNT'!G1617)</f>
        <v/>
      </c>
      <c r="H1616" t="str">
        <f>IF('NEW ACCOUNT'!A1617="","",'NEW ACCOUNT'!H1617)</f>
        <v/>
      </c>
      <c r="I1616" t="str">
        <f>IF('NEW ACCOUNT'!A1617="","",'NEW ACCOUNT'!I1617)</f>
        <v/>
      </c>
      <c r="J1616" t="str">
        <f>IF('NEW ACCOUNT'!A1617="","",'NEW ACCOUNT'!J1617)</f>
        <v/>
      </c>
      <c r="K1616" t="str">
        <f>IFERROR(IF(A1616="","",SUMIF(DB_Savings!$A:$A,A1616,DB_Savings!$F:$F)),"")</f>
        <v/>
      </c>
      <c r="L1616" t="str">
        <f>IFERROR(IF(A1616="","",SUMIF(DB_Withdrawals!$A:$A,A1616,DB_Withdrawals!$G:$G)),"")</f>
        <v/>
      </c>
      <c r="M1616" t="str">
        <f>IFERROR(IF(A1616="","",IFERROR(VALUE(H1616),0)+IFERROR(SUMIF(DB_Savings!$A:$A,A1616,DB_Savings!$F:$F),0)-IFERROR(SUMIF(DB_Withdrawals!$A:$A,A1616,DB_Withdrawals!$G:$G),0)),"")</f>
        <v/>
      </c>
      <c r="N1616" t="str">
        <f>IFERROR(IF(A1616="","",MAX(0,M1616-System_Config!$B$9)),"")</f>
        <v/>
      </c>
    </row>
    <row r="1617" spans="1:14" ht="15" customHeight="1" x14ac:dyDescent="0.25">
      <c r="A1617" t="str">
        <f>'NEW ACCOUNT'!A1618</f>
        <v/>
      </c>
      <c r="B1617" t="str">
        <f>IF('NEW ACCOUNT'!A1618="","",'NEW ACCOUNT'!B1618)</f>
        <v/>
      </c>
      <c r="C1617" t="str">
        <f>IF('NEW ACCOUNT'!A1618="","",'NEW ACCOUNT'!C1618)</f>
        <v/>
      </c>
      <c r="D1617" t="str">
        <f>IF('NEW ACCOUNT'!A1618="","",'NEW ACCOUNT'!D1618)</f>
        <v/>
      </c>
      <c r="E1617" t="str">
        <f>IF('NEW ACCOUNT'!A1618="","",'NEW ACCOUNT'!E1618)</f>
        <v/>
      </c>
      <c r="F1617" t="str">
        <f>IF('NEW ACCOUNT'!A1618="","",'NEW ACCOUNT'!F1618)</f>
        <v/>
      </c>
      <c r="G1617" t="str">
        <f>IF('NEW ACCOUNT'!A1618="","",'NEW ACCOUNT'!G1618)</f>
        <v/>
      </c>
      <c r="H1617" t="str">
        <f>IF('NEW ACCOUNT'!A1618="","",'NEW ACCOUNT'!H1618)</f>
        <v/>
      </c>
      <c r="I1617" t="str">
        <f>IF('NEW ACCOUNT'!A1618="","",'NEW ACCOUNT'!I1618)</f>
        <v/>
      </c>
      <c r="J1617" t="str">
        <f>IF('NEW ACCOUNT'!A1618="","",'NEW ACCOUNT'!J1618)</f>
        <v/>
      </c>
      <c r="K1617" t="str">
        <f>IFERROR(IF(A1617="","",SUMIF(DB_Savings!$A:$A,A1617,DB_Savings!$F:$F)),"")</f>
        <v/>
      </c>
      <c r="L1617" t="str">
        <f>IFERROR(IF(A1617="","",SUMIF(DB_Withdrawals!$A:$A,A1617,DB_Withdrawals!$G:$G)),"")</f>
        <v/>
      </c>
      <c r="M1617" t="str">
        <f>IFERROR(IF(A1617="","",IFERROR(VALUE(H1617),0)+IFERROR(SUMIF(DB_Savings!$A:$A,A1617,DB_Savings!$F:$F),0)-IFERROR(SUMIF(DB_Withdrawals!$A:$A,A1617,DB_Withdrawals!$G:$G),0)),"")</f>
        <v/>
      </c>
      <c r="N1617" t="str">
        <f>IFERROR(IF(A1617="","",MAX(0,M1617-System_Config!$B$9)),"")</f>
        <v/>
      </c>
    </row>
    <row r="1618" spans="1:14" ht="15" customHeight="1" x14ac:dyDescent="0.25">
      <c r="A1618" t="str">
        <f>'NEW ACCOUNT'!A1619</f>
        <v/>
      </c>
      <c r="B1618" t="str">
        <f>IF('NEW ACCOUNT'!A1619="","",'NEW ACCOUNT'!B1619)</f>
        <v/>
      </c>
      <c r="C1618" t="str">
        <f>IF('NEW ACCOUNT'!A1619="","",'NEW ACCOUNT'!C1619)</f>
        <v/>
      </c>
      <c r="D1618" t="str">
        <f>IF('NEW ACCOUNT'!A1619="","",'NEW ACCOUNT'!D1619)</f>
        <v/>
      </c>
      <c r="E1618" t="str">
        <f>IF('NEW ACCOUNT'!A1619="","",'NEW ACCOUNT'!E1619)</f>
        <v/>
      </c>
      <c r="F1618" t="str">
        <f>IF('NEW ACCOUNT'!A1619="","",'NEW ACCOUNT'!F1619)</f>
        <v/>
      </c>
      <c r="G1618" t="str">
        <f>IF('NEW ACCOUNT'!A1619="","",'NEW ACCOUNT'!G1619)</f>
        <v/>
      </c>
      <c r="H1618" t="str">
        <f>IF('NEW ACCOUNT'!A1619="","",'NEW ACCOUNT'!H1619)</f>
        <v/>
      </c>
      <c r="I1618" t="str">
        <f>IF('NEW ACCOUNT'!A1619="","",'NEW ACCOUNT'!I1619)</f>
        <v/>
      </c>
      <c r="J1618" t="str">
        <f>IF('NEW ACCOUNT'!A1619="","",'NEW ACCOUNT'!J1619)</f>
        <v/>
      </c>
      <c r="K1618" t="str">
        <f>IFERROR(IF(A1618="","",SUMIF(DB_Savings!$A:$A,A1618,DB_Savings!$F:$F)),"")</f>
        <v/>
      </c>
      <c r="L1618" t="str">
        <f>IFERROR(IF(A1618="","",SUMIF(DB_Withdrawals!$A:$A,A1618,DB_Withdrawals!$G:$G)),"")</f>
        <v/>
      </c>
      <c r="M1618" t="str">
        <f>IFERROR(IF(A1618="","",IFERROR(VALUE(H1618),0)+IFERROR(SUMIF(DB_Savings!$A:$A,A1618,DB_Savings!$F:$F),0)-IFERROR(SUMIF(DB_Withdrawals!$A:$A,A1618,DB_Withdrawals!$G:$G),0)),"")</f>
        <v/>
      </c>
      <c r="N1618" t="str">
        <f>IFERROR(IF(A1618="","",MAX(0,M1618-System_Config!$B$9)),"")</f>
        <v/>
      </c>
    </row>
    <row r="1619" spans="1:14" ht="15" customHeight="1" x14ac:dyDescent="0.25">
      <c r="A1619" t="str">
        <f>'NEW ACCOUNT'!A1620</f>
        <v/>
      </c>
      <c r="B1619" t="str">
        <f>IF('NEW ACCOUNT'!A1620="","",'NEW ACCOUNT'!B1620)</f>
        <v/>
      </c>
      <c r="C1619" t="str">
        <f>IF('NEW ACCOUNT'!A1620="","",'NEW ACCOUNT'!C1620)</f>
        <v/>
      </c>
      <c r="D1619" t="str">
        <f>IF('NEW ACCOUNT'!A1620="","",'NEW ACCOUNT'!D1620)</f>
        <v/>
      </c>
      <c r="E1619" t="str">
        <f>IF('NEW ACCOUNT'!A1620="","",'NEW ACCOUNT'!E1620)</f>
        <v/>
      </c>
      <c r="F1619" t="str">
        <f>IF('NEW ACCOUNT'!A1620="","",'NEW ACCOUNT'!F1620)</f>
        <v/>
      </c>
      <c r="G1619" t="str">
        <f>IF('NEW ACCOUNT'!A1620="","",'NEW ACCOUNT'!G1620)</f>
        <v/>
      </c>
      <c r="H1619" t="str">
        <f>IF('NEW ACCOUNT'!A1620="","",'NEW ACCOUNT'!H1620)</f>
        <v/>
      </c>
      <c r="I1619" t="str">
        <f>IF('NEW ACCOUNT'!A1620="","",'NEW ACCOUNT'!I1620)</f>
        <v/>
      </c>
      <c r="J1619" t="str">
        <f>IF('NEW ACCOUNT'!A1620="","",'NEW ACCOUNT'!J1620)</f>
        <v/>
      </c>
      <c r="K1619" t="str">
        <f>IFERROR(IF(A1619="","",SUMIF(DB_Savings!$A:$A,A1619,DB_Savings!$F:$F)),"")</f>
        <v/>
      </c>
      <c r="L1619" t="str">
        <f>IFERROR(IF(A1619="","",SUMIF(DB_Withdrawals!$A:$A,A1619,DB_Withdrawals!$G:$G)),"")</f>
        <v/>
      </c>
      <c r="M1619" t="str">
        <f>IFERROR(IF(A1619="","",IFERROR(VALUE(H1619),0)+IFERROR(SUMIF(DB_Savings!$A:$A,A1619,DB_Savings!$F:$F),0)-IFERROR(SUMIF(DB_Withdrawals!$A:$A,A1619,DB_Withdrawals!$G:$G),0)),"")</f>
        <v/>
      </c>
      <c r="N1619" t="str">
        <f>IFERROR(IF(A1619="","",MAX(0,M1619-System_Config!$B$9)),"")</f>
        <v/>
      </c>
    </row>
    <row r="1620" spans="1:14" ht="15" customHeight="1" x14ac:dyDescent="0.25">
      <c r="A1620" t="str">
        <f>'NEW ACCOUNT'!A1621</f>
        <v/>
      </c>
      <c r="B1620" t="str">
        <f>IF('NEW ACCOUNT'!A1621="","",'NEW ACCOUNT'!B1621)</f>
        <v/>
      </c>
      <c r="C1620" t="str">
        <f>IF('NEW ACCOUNT'!A1621="","",'NEW ACCOUNT'!C1621)</f>
        <v/>
      </c>
      <c r="D1620" t="str">
        <f>IF('NEW ACCOUNT'!A1621="","",'NEW ACCOUNT'!D1621)</f>
        <v/>
      </c>
      <c r="E1620" t="str">
        <f>IF('NEW ACCOUNT'!A1621="","",'NEW ACCOUNT'!E1621)</f>
        <v/>
      </c>
      <c r="F1620" t="str">
        <f>IF('NEW ACCOUNT'!A1621="","",'NEW ACCOUNT'!F1621)</f>
        <v/>
      </c>
      <c r="G1620" t="str">
        <f>IF('NEW ACCOUNT'!A1621="","",'NEW ACCOUNT'!G1621)</f>
        <v/>
      </c>
      <c r="H1620" t="str">
        <f>IF('NEW ACCOUNT'!A1621="","",'NEW ACCOUNT'!H1621)</f>
        <v/>
      </c>
      <c r="I1620" t="str">
        <f>IF('NEW ACCOUNT'!A1621="","",'NEW ACCOUNT'!I1621)</f>
        <v/>
      </c>
      <c r="J1620" t="str">
        <f>IF('NEW ACCOUNT'!A1621="","",'NEW ACCOUNT'!J1621)</f>
        <v/>
      </c>
      <c r="K1620" t="str">
        <f>IFERROR(IF(A1620="","",SUMIF(DB_Savings!$A:$A,A1620,DB_Savings!$F:$F)),"")</f>
        <v/>
      </c>
      <c r="L1620" t="str">
        <f>IFERROR(IF(A1620="","",SUMIF(DB_Withdrawals!$A:$A,A1620,DB_Withdrawals!$G:$G)),"")</f>
        <v/>
      </c>
      <c r="M1620" t="str">
        <f>IFERROR(IF(A1620="","",IFERROR(VALUE(H1620),0)+IFERROR(SUMIF(DB_Savings!$A:$A,A1620,DB_Savings!$F:$F),0)-IFERROR(SUMIF(DB_Withdrawals!$A:$A,A1620,DB_Withdrawals!$G:$G),0)),"")</f>
        <v/>
      </c>
      <c r="N1620" t="str">
        <f>IFERROR(IF(A1620="","",MAX(0,M1620-System_Config!$B$9)),"")</f>
        <v/>
      </c>
    </row>
    <row r="1621" spans="1:14" ht="15" customHeight="1" x14ac:dyDescent="0.25">
      <c r="A1621" t="str">
        <f>'NEW ACCOUNT'!A1622</f>
        <v/>
      </c>
      <c r="B1621" t="str">
        <f>IF('NEW ACCOUNT'!A1622="","",'NEW ACCOUNT'!B1622)</f>
        <v/>
      </c>
      <c r="C1621" t="str">
        <f>IF('NEW ACCOUNT'!A1622="","",'NEW ACCOUNT'!C1622)</f>
        <v/>
      </c>
      <c r="D1621" t="str">
        <f>IF('NEW ACCOUNT'!A1622="","",'NEW ACCOUNT'!D1622)</f>
        <v/>
      </c>
      <c r="E1621" t="str">
        <f>IF('NEW ACCOUNT'!A1622="","",'NEW ACCOUNT'!E1622)</f>
        <v/>
      </c>
      <c r="F1621" t="str">
        <f>IF('NEW ACCOUNT'!A1622="","",'NEW ACCOUNT'!F1622)</f>
        <v/>
      </c>
      <c r="G1621" t="str">
        <f>IF('NEW ACCOUNT'!A1622="","",'NEW ACCOUNT'!G1622)</f>
        <v/>
      </c>
      <c r="H1621" t="str">
        <f>IF('NEW ACCOUNT'!A1622="","",'NEW ACCOUNT'!H1622)</f>
        <v/>
      </c>
      <c r="I1621" t="str">
        <f>IF('NEW ACCOUNT'!A1622="","",'NEW ACCOUNT'!I1622)</f>
        <v/>
      </c>
      <c r="J1621" t="str">
        <f>IF('NEW ACCOUNT'!A1622="","",'NEW ACCOUNT'!J1622)</f>
        <v/>
      </c>
      <c r="K1621" t="str">
        <f>IFERROR(IF(A1621="","",SUMIF(DB_Savings!$A:$A,A1621,DB_Savings!$F:$F)),"")</f>
        <v/>
      </c>
      <c r="L1621" t="str">
        <f>IFERROR(IF(A1621="","",SUMIF(DB_Withdrawals!$A:$A,A1621,DB_Withdrawals!$G:$G)),"")</f>
        <v/>
      </c>
      <c r="M1621" t="str">
        <f>IFERROR(IF(A1621="","",IFERROR(VALUE(H1621),0)+IFERROR(SUMIF(DB_Savings!$A:$A,A1621,DB_Savings!$F:$F),0)-IFERROR(SUMIF(DB_Withdrawals!$A:$A,A1621,DB_Withdrawals!$G:$G),0)),"")</f>
        <v/>
      </c>
      <c r="N1621" t="str">
        <f>IFERROR(IF(A1621="","",MAX(0,M1621-System_Config!$B$9)),"")</f>
        <v/>
      </c>
    </row>
    <row r="1622" spans="1:14" ht="15" customHeight="1" x14ac:dyDescent="0.25">
      <c r="A1622" t="str">
        <f>'NEW ACCOUNT'!A1623</f>
        <v/>
      </c>
      <c r="B1622" t="str">
        <f>IF('NEW ACCOUNT'!A1623="","",'NEW ACCOUNT'!B1623)</f>
        <v/>
      </c>
      <c r="C1622" t="str">
        <f>IF('NEW ACCOUNT'!A1623="","",'NEW ACCOUNT'!C1623)</f>
        <v/>
      </c>
      <c r="D1622" t="str">
        <f>IF('NEW ACCOUNT'!A1623="","",'NEW ACCOUNT'!D1623)</f>
        <v/>
      </c>
      <c r="E1622" t="str">
        <f>IF('NEW ACCOUNT'!A1623="","",'NEW ACCOUNT'!E1623)</f>
        <v/>
      </c>
      <c r="F1622" t="str">
        <f>IF('NEW ACCOUNT'!A1623="","",'NEW ACCOUNT'!F1623)</f>
        <v/>
      </c>
      <c r="G1622" t="str">
        <f>IF('NEW ACCOUNT'!A1623="","",'NEW ACCOUNT'!G1623)</f>
        <v/>
      </c>
      <c r="H1622" t="str">
        <f>IF('NEW ACCOUNT'!A1623="","",'NEW ACCOUNT'!H1623)</f>
        <v/>
      </c>
      <c r="I1622" t="str">
        <f>IF('NEW ACCOUNT'!A1623="","",'NEW ACCOUNT'!I1623)</f>
        <v/>
      </c>
      <c r="J1622" t="str">
        <f>IF('NEW ACCOUNT'!A1623="","",'NEW ACCOUNT'!J1623)</f>
        <v/>
      </c>
      <c r="K1622" t="str">
        <f>IFERROR(IF(A1622="","",SUMIF(DB_Savings!$A:$A,A1622,DB_Savings!$F:$F)),"")</f>
        <v/>
      </c>
      <c r="L1622" t="str">
        <f>IFERROR(IF(A1622="","",SUMIF(DB_Withdrawals!$A:$A,A1622,DB_Withdrawals!$G:$G)),"")</f>
        <v/>
      </c>
      <c r="M1622" t="str">
        <f>IFERROR(IF(A1622="","",IFERROR(VALUE(H1622),0)+IFERROR(SUMIF(DB_Savings!$A:$A,A1622,DB_Savings!$F:$F),0)-IFERROR(SUMIF(DB_Withdrawals!$A:$A,A1622,DB_Withdrawals!$G:$G),0)),"")</f>
        <v/>
      </c>
      <c r="N1622" t="str">
        <f>IFERROR(IF(A1622="","",MAX(0,M1622-System_Config!$B$9)),"")</f>
        <v/>
      </c>
    </row>
    <row r="1623" spans="1:14" ht="15" customHeight="1" x14ac:dyDescent="0.25">
      <c r="A1623" t="str">
        <f>'NEW ACCOUNT'!A1624</f>
        <v/>
      </c>
      <c r="B1623" t="str">
        <f>IF('NEW ACCOUNT'!A1624="","",'NEW ACCOUNT'!B1624)</f>
        <v/>
      </c>
      <c r="C1623" t="str">
        <f>IF('NEW ACCOUNT'!A1624="","",'NEW ACCOUNT'!C1624)</f>
        <v/>
      </c>
      <c r="D1623" t="str">
        <f>IF('NEW ACCOUNT'!A1624="","",'NEW ACCOUNT'!D1624)</f>
        <v/>
      </c>
      <c r="E1623" t="str">
        <f>IF('NEW ACCOUNT'!A1624="","",'NEW ACCOUNT'!E1624)</f>
        <v/>
      </c>
      <c r="F1623" t="str">
        <f>IF('NEW ACCOUNT'!A1624="","",'NEW ACCOUNT'!F1624)</f>
        <v/>
      </c>
      <c r="G1623" t="str">
        <f>IF('NEW ACCOUNT'!A1624="","",'NEW ACCOUNT'!G1624)</f>
        <v/>
      </c>
      <c r="H1623" t="str">
        <f>IF('NEW ACCOUNT'!A1624="","",'NEW ACCOUNT'!H1624)</f>
        <v/>
      </c>
      <c r="I1623" t="str">
        <f>IF('NEW ACCOUNT'!A1624="","",'NEW ACCOUNT'!I1624)</f>
        <v/>
      </c>
      <c r="J1623" t="str">
        <f>IF('NEW ACCOUNT'!A1624="","",'NEW ACCOUNT'!J1624)</f>
        <v/>
      </c>
      <c r="K1623" t="str">
        <f>IFERROR(IF(A1623="","",SUMIF(DB_Savings!$A:$A,A1623,DB_Savings!$F:$F)),"")</f>
        <v/>
      </c>
      <c r="L1623" t="str">
        <f>IFERROR(IF(A1623="","",SUMIF(DB_Withdrawals!$A:$A,A1623,DB_Withdrawals!$G:$G)),"")</f>
        <v/>
      </c>
      <c r="M1623" t="str">
        <f>IFERROR(IF(A1623="","",IFERROR(VALUE(H1623),0)+IFERROR(SUMIF(DB_Savings!$A:$A,A1623,DB_Savings!$F:$F),0)-IFERROR(SUMIF(DB_Withdrawals!$A:$A,A1623,DB_Withdrawals!$G:$G),0)),"")</f>
        <v/>
      </c>
      <c r="N1623" t="str">
        <f>IFERROR(IF(A1623="","",MAX(0,M1623-System_Config!$B$9)),"")</f>
        <v/>
      </c>
    </row>
    <row r="1624" spans="1:14" ht="15" customHeight="1" x14ac:dyDescent="0.25">
      <c r="A1624" t="str">
        <f>'NEW ACCOUNT'!A1625</f>
        <v/>
      </c>
      <c r="B1624" t="str">
        <f>IF('NEW ACCOUNT'!A1625="","",'NEW ACCOUNT'!B1625)</f>
        <v/>
      </c>
      <c r="C1624" t="str">
        <f>IF('NEW ACCOUNT'!A1625="","",'NEW ACCOUNT'!C1625)</f>
        <v/>
      </c>
      <c r="D1624" t="str">
        <f>IF('NEW ACCOUNT'!A1625="","",'NEW ACCOUNT'!D1625)</f>
        <v/>
      </c>
      <c r="E1624" t="str">
        <f>IF('NEW ACCOUNT'!A1625="","",'NEW ACCOUNT'!E1625)</f>
        <v/>
      </c>
      <c r="F1624" t="str">
        <f>IF('NEW ACCOUNT'!A1625="","",'NEW ACCOUNT'!F1625)</f>
        <v/>
      </c>
      <c r="G1624" t="str">
        <f>IF('NEW ACCOUNT'!A1625="","",'NEW ACCOUNT'!G1625)</f>
        <v/>
      </c>
      <c r="H1624" t="str">
        <f>IF('NEW ACCOUNT'!A1625="","",'NEW ACCOUNT'!H1625)</f>
        <v/>
      </c>
      <c r="I1624" t="str">
        <f>IF('NEW ACCOUNT'!A1625="","",'NEW ACCOUNT'!I1625)</f>
        <v/>
      </c>
      <c r="J1624" t="str">
        <f>IF('NEW ACCOUNT'!A1625="","",'NEW ACCOUNT'!J1625)</f>
        <v/>
      </c>
      <c r="K1624" t="str">
        <f>IFERROR(IF(A1624="","",SUMIF(DB_Savings!$A:$A,A1624,DB_Savings!$F:$F)),"")</f>
        <v/>
      </c>
      <c r="L1624" t="str">
        <f>IFERROR(IF(A1624="","",SUMIF(DB_Withdrawals!$A:$A,A1624,DB_Withdrawals!$G:$G)),"")</f>
        <v/>
      </c>
      <c r="M1624" t="str">
        <f>IFERROR(IF(A1624="","",IFERROR(VALUE(H1624),0)+IFERROR(SUMIF(DB_Savings!$A:$A,A1624,DB_Savings!$F:$F),0)-IFERROR(SUMIF(DB_Withdrawals!$A:$A,A1624,DB_Withdrawals!$G:$G),0)),"")</f>
        <v/>
      </c>
      <c r="N1624" t="str">
        <f>IFERROR(IF(A1624="","",MAX(0,M1624-System_Config!$B$9)),"")</f>
        <v/>
      </c>
    </row>
    <row r="1625" spans="1:14" ht="15" customHeight="1" x14ac:dyDescent="0.25">
      <c r="A1625" t="str">
        <f>'NEW ACCOUNT'!A1626</f>
        <v/>
      </c>
      <c r="B1625" t="str">
        <f>IF('NEW ACCOUNT'!A1626="","",'NEW ACCOUNT'!B1626)</f>
        <v/>
      </c>
      <c r="C1625" t="str">
        <f>IF('NEW ACCOUNT'!A1626="","",'NEW ACCOUNT'!C1626)</f>
        <v/>
      </c>
      <c r="D1625" t="str">
        <f>IF('NEW ACCOUNT'!A1626="","",'NEW ACCOUNT'!D1626)</f>
        <v/>
      </c>
      <c r="E1625" t="str">
        <f>IF('NEW ACCOUNT'!A1626="","",'NEW ACCOUNT'!E1626)</f>
        <v/>
      </c>
      <c r="F1625" t="str">
        <f>IF('NEW ACCOUNT'!A1626="","",'NEW ACCOUNT'!F1626)</f>
        <v/>
      </c>
      <c r="G1625" t="str">
        <f>IF('NEW ACCOUNT'!A1626="","",'NEW ACCOUNT'!G1626)</f>
        <v/>
      </c>
      <c r="H1625" t="str">
        <f>IF('NEW ACCOUNT'!A1626="","",'NEW ACCOUNT'!H1626)</f>
        <v/>
      </c>
      <c r="I1625" t="str">
        <f>IF('NEW ACCOUNT'!A1626="","",'NEW ACCOUNT'!I1626)</f>
        <v/>
      </c>
      <c r="J1625" t="str">
        <f>IF('NEW ACCOUNT'!A1626="","",'NEW ACCOUNT'!J1626)</f>
        <v/>
      </c>
      <c r="K1625" t="str">
        <f>IFERROR(IF(A1625="","",SUMIF(DB_Savings!$A:$A,A1625,DB_Savings!$F:$F)),"")</f>
        <v/>
      </c>
      <c r="L1625" t="str">
        <f>IFERROR(IF(A1625="","",SUMIF(DB_Withdrawals!$A:$A,A1625,DB_Withdrawals!$G:$G)),"")</f>
        <v/>
      </c>
      <c r="M1625" t="str">
        <f>IFERROR(IF(A1625="","",IFERROR(VALUE(H1625),0)+IFERROR(SUMIF(DB_Savings!$A:$A,A1625,DB_Savings!$F:$F),0)-IFERROR(SUMIF(DB_Withdrawals!$A:$A,A1625,DB_Withdrawals!$G:$G),0)),"")</f>
        <v/>
      </c>
      <c r="N1625" t="str">
        <f>IFERROR(IF(A1625="","",MAX(0,M1625-System_Config!$B$9)),"")</f>
        <v/>
      </c>
    </row>
    <row r="1626" spans="1:14" ht="15" customHeight="1" x14ac:dyDescent="0.25">
      <c r="A1626" t="str">
        <f>'NEW ACCOUNT'!A1627</f>
        <v/>
      </c>
      <c r="B1626" t="str">
        <f>IF('NEW ACCOUNT'!A1627="","",'NEW ACCOUNT'!B1627)</f>
        <v/>
      </c>
      <c r="C1626" t="str">
        <f>IF('NEW ACCOUNT'!A1627="","",'NEW ACCOUNT'!C1627)</f>
        <v/>
      </c>
      <c r="D1626" t="str">
        <f>IF('NEW ACCOUNT'!A1627="","",'NEW ACCOUNT'!D1627)</f>
        <v/>
      </c>
      <c r="E1626" t="str">
        <f>IF('NEW ACCOUNT'!A1627="","",'NEW ACCOUNT'!E1627)</f>
        <v/>
      </c>
      <c r="F1626" t="str">
        <f>IF('NEW ACCOUNT'!A1627="","",'NEW ACCOUNT'!F1627)</f>
        <v/>
      </c>
      <c r="G1626" t="str">
        <f>IF('NEW ACCOUNT'!A1627="","",'NEW ACCOUNT'!G1627)</f>
        <v/>
      </c>
      <c r="H1626" t="str">
        <f>IF('NEW ACCOUNT'!A1627="","",'NEW ACCOUNT'!H1627)</f>
        <v/>
      </c>
      <c r="I1626" t="str">
        <f>IF('NEW ACCOUNT'!A1627="","",'NEW ACCOUNT'!I1627)</f>
        <v/>
      </c>
      <c r="J1626" t="str">
        <f>IF('NEW ACCOUNT'!A1627="","",'NEW ACCOUNT'!J1627)</f>
        <v/>
      </c>
      <c r="K1626" t="str">
        <f>IFERROR(IF(A1626="","",SUMIF(DB_Savings!$A:$A,A1626,DB_Savings!$F:$F)),"")</f>
        <v/>
      </c>
      <c r="L1626" t="str">
        <f>IFERROR(IF(A1626="","",SUMIF(DB_Withdrawals!$A:$A,A1626,DB_Withdrawals!$G:$G)),"")</f>
        <v/>
      </c>
      <c r="M1626" t="str">
        <f>IFERROR(IF(A1626="","",IFERROR(VALUE(H1626),0)+IFERROR(SUMIF(DB_Savings!$A:$A,A1626,DB_Savings!$F:$F),0)-IFERROR(SUMIF(DB_Withdrawals!$A:$A,A1626,DB_Withdrawals!$G:$G),0)),"")</f>
        <v/>
      </c>
      <c r="N1626" t="str">
        <f>IFERROR(IF(A1626="","",MAX(0,M1626-System_Config!$B$9)),"")</f>
        <v/>
      </c>
    </row>
    <row r="1627" spans="1:14" ht="15" customHeight="1" x14ac:dyDescent="0.25">
      <c r="A1627" t="str">
        <f>'NEW ACCOUNT'!A1628</f>
        <v/>
      </c>
      <c r="B1627" t="str">
        <f>IF('NEW ACCOUNT'!A1628="","",'NEW ACCOUNT'!B1628)</f>
        <v/>
      </c>
      <c r="C1627" t="str">
        <f>IF('NEW ACCOUNT'!A1628="","",'NEW ACCOUNT'!C1628)</f>
        <v/>
      </c>
      <c r="D1627" t="str">
        <f>IF('NEW ACCOUNT'!A1628="","",'NEW ACCOUNT'!D1628)</f>
        <v/>
      </c>
      <c r="E1627" t="str">
        <f>IF('NEW ACCOUNT'!A1628="","",'NEW ACCOUNT'!E1628)</f>
        <v/>
      </c>
      <c r="F1627" t="str">
        <f>IF('NEW ACCOUNT'!A1628="","",'NEW ACCOUNT'!F1628)</f>
        <v/>
      </c>
      <c r="G1627" t="str">
        <f>IF('NEW ACCOUNT'!A1628="","",'NEW ACCOUNT'!G1628)</f>
        <v/>
      </c>
      <c r="H1627" t="str">
        <f>IF('NEW ACCOUNT'!A1628="","",'NEW ACCOUNT'!H1628)</f>
        <v/>
      </c>
      <c r="I1627" t="str">
        <f>IF('NEW ACCOUNT'!A1628="","",'NEW ACCOUNT'!I1628)</f>
        <v/>
      </c>
      <c r="J1627" t="str">
        <f>IF('NEW ACCOUNT'!A1628="","",'NEW ACCOUNT'!J1628)</f>
        <v/>
      </c>
      <c r="K1627" t="str">
        <f>IFERROR(IF(A1627="","",SUMIF(DB_Savings!$A:$A,A1627,DB_Savings!$F:$F)),"")</f>
        <v/>
      </c>
      <c r="L1627" t="str">
        <f>IFERROR(IF(A1627="","",SUMIF(DB_Withdrawals!$A:$A,A1627,DB_Withdrawals!$G:$G)),"")</f>
        <v/>
      </c>
      <c r="M1627" t="str">
        <f>IFERROR(IF(A1627="","",IFERROR(VALUE(H1627),0)+IFERROR(SUMIF(DB_Savings!$A:$A,A1627,DB_Savings!$F:$F),0)-IFERROR(SUMIF(DB_Withdrawals!$A:$A,A1627,DB_Withdrawals!$G:$G),0)),"")</f>
        <v/>
      </c>
      <c r="N1627" t="str">
        <f>IFERROR(IF(A1627="","",MAX(0,M1627-System_Config!$B$9)),"")</f>
        <v/>
      </c>
    </row>
    <row r="1628" spans="1:14" ht="15" customHeight="1" x14ac:dyDescent="0.25">
      <c r="A1628" t="str">
        <f>'NEW ACCOUNT'!A1629</f>
        <v/>
      </c>
      <c r="B1628" t="str">
        <f>IF('NEW ACCOUNT'!A1629="","",'NEW ACCOUNT'!B1629)</f>
        <v/>
      </c>
      <c r="C1628" t="str">
        <f>IF('NEW ACCOUNT'!A1629="","",'NEW ACCOUNT'!C1629)</f>
        <v/>
      </c>
      <c r="D1628" t="str">
        <f>IF('NEW ACCOUNT'!A1629="","",'NEW ACCOUNT'!D1629)</f>
        <v/>
      </c>
      <c r="E1628" t="str">
        <f>IF('NEW ACCOUNT'!A1629="","",'NEW ACCOUNT'!E1629)</f>
        <v/>
      </c>
      <c r="F1628" t="str">
        <f>IF('NEW ACCOUNT'!A1629="","",'NEW ACCOUNT'!F1629)</f>
        <v/>
      </c>
      <c r="G1628" t="str">
        <f>IF('NEW ACCOUNT'!A1629="","",'NEW ACCOUNT'!G1629)</f>
        <v/>
      </c>
      <c r="H1628" t="str">
        <f>IF('NEW ACCOUNT'!A1629="","",'NEW ACCOUNT'!H1629)</f>
        <v/>
      </c>
      <c r="I1628" t="str">
        <f>IF('NEW ACCOUNT'!A1629="","",'NEW ACCOUNT'!I1629)</f>
        <v/>
      </c>
      <c r="J1628" t="str">
        <f>IF('NEW ACCOUNT'!A1629="","",'NEW ACCOUNT'!J1629)</f>
        <v/>
      </c>
      <c r="K1628" t="str">
        <f>IFERROR(IF(A1628="","",SUMIF(DB_Savings!$A:$A,A1628,DB_Savings!$F:$F)),"")</f>
        <v/>
      </c>
      <c r="L1628" t="str">
        <f>IFERROR(IF(A1628="","",SUMIF(DB_Withdrawals!$A:$A,A1628,DB_Withdrawals!$G:$G)),"")</f>
        <v/>
      </c>
      <c r="M1628" t="str">
        <f>IFERROR(IF(A1628="","",IFERROR(VALUE(H1628),0)+IFERROR(SUMIF(DB_Savings!$A:$A,A1628,DB_Savings!$F:$F),0)-IFERROR(SUMIF(DB_Withdrawals!$A:$A,A1628,DB_Withdrawals!$G:$G),0)),"")</f>
        <v/>
      </c>
      <c r="N1628" t="str">
        <f>IFERROR(IF(A1628="","",MAX(0,M1628-System_Config!$B$9)),"")</f>
        <v/>
      </c>
    </row>
    <row r="1629" spans="1:14" ht="15" customHeight="1" x14ac:dyDescent="0.25">
      <c r="A1629" t="str">
        <f>'NEW ACCOUNT'!A1630</f>
        <v/>
      </c>
      <c r="B1629" t="str">
        <f>IF('NEW ACCOUNT'!A1630="","",'NEW ACCOUNT'!B1630)</f>
        <v/>
      </c>
      <c r="C1629" t="str">
        <f>IF('NEW ACCOUNT'!A1630="","",'NEW ACCOUNT'!C1630)</f>
        <v/>
      </c>
      <c r="D1629" t="str">
        <f>IF('NEW ACCOUNT'!A1630="","",'NEW ACCOUNT'!D1630)</f>
        <v/>
      </c>
      <c r="E1629" t="str">
        <f>IF('NEW ACCOUNT'!A1630="","",'NEW ACCOUNT'!E1630)</f>
        <v/>
      </c>
      <c r="F1629" t="str">
        <f>IF('NEW ACCOUNT'!A1630="","",'NEW ACCOUNT'!F1630)</f>
        <v/>
      </c>
      <c r="G1629" t="str">
        <f>IF('NEW ACCOUNT'!A1630="","",'NEW ACCOUNT'!G1630)</f>
        <v/>
      </c>
      <c r="H1629" t="str">
        <f>IF('NEW ACCOUNT'!A1630="","",'NEW ACCOUNT'!H1630)</f>
        <v/>
      </c>
      <c r="I1629" t="str">
        <f>IF('NEW ACCOUNT'!A1630="","",'NEW ACCOUNT'!I1630)</f>
        <v/>
      </c>
      <c r="J1629" t="str">
        <f>IF('NEW ACCOUNT'!A1630="","",'NEW ACCOUNT'!J1630)</f>
        <v/>
      </c>
      <c r="K1629" t="str">
        <f>IFERROR(IF(A1629="","",SUMIF(DB_Savings!$A:$A,A1629,DB_Savings!$F:$F)),"")</f>
        <v/>
      </c>
      <c r="L1629" t="str">
        <f>IFERROR(IF(A1629="","",SUMIF(DB_Withdrawals!$A:$A,A1629,DB_Withdrawals!$G:$G)),"")</f>
        <v/>
      </c>
      <c r="M1629" t="str">
        <f>IFERROR(IF(A1629="","",IFERROR(VALUE(H1629),0)+IFERROR(SUMIF(DB_Savings!$A:$A,A1629,DB_Savings!$F:$F),0)-IFERROR(SUMIF(DB_Withdrawals!$A:$A,A1629,DB_Withdrawals!$G:$G),0)),"")</f>
        <v/>
      </c>
      <c r="N1629" t="str">
        <f>IFERROR(IF(A1629="","",MAX(0,M1629-System_Config!$B$9)),"")</f>
        <v/>
      </c>
    </row>
    <row r="1630" spans="1:14" ht="15" customHeight="1" x14ac:dyDescent="0.25">
      <c r="A1630" t="str">
        <f>'NEW ACCOUNT'!A1631</f>
        <v/>
      </c>
      <c r="B1630" t="str">
        <f>IF('NEW ACCOUNT'!A1631="","",'NEW ACCOUNT'!B1631)</f>
        <v/>
      </c>
      <c r="C1630" t="str">
        <f>IF('NEW ACCOUNT'!A1631="","",'NEW ACCOUNT'!C1631)</f>
        <v/>
      </c>
      <c r="D1630" t="str">
        <f>IF('NEW ACCOUNT'!A1631="","",'NEW ACCOUNT'!D1631)</f>
        <v/>
      </c>
      <c r="E1630" t="str">
        <f>IF('NEW ACCOUNT'!A1631="","",'NEW ACCOUNT'!E1631)</f>
        <v/>
      </c>
      <c r="F1630" t="str">
        <f>IF('NEW ACCOUNT'!A1631="","",'NEW ACCOUNT'!F1631)</f>
        <v/>
      </c>
      <c r="G1630" t="str">
        <f>IF('NEW ACCOUNT'!A1631="","",'NEW ACCOUNT'!G1631)</f>
        <v/>
      </c>
      <c r="H1630" t="str">
        <f>IF('NEW ACCOUNT'!A1631="","",'NEW ACCOUNT'!H1631)</f>
        <v/>
      </c>
      <c r="I1630" t="str">
        <f>IF('NEW ACCOUNT'!A1631="","",'NEW ACCOUNT'!I1631)</f>
        <v/>
      </c>
      <c r="J1630" t="str">
        <f>IF('NEW ACCOUNT'!A1631="","",'NEW ACCOUNT'!J1631)</f>
        <v/>
      </c>
      <c r="K1630" t="str">
        <f>IFERROR(IF(A1630="","",SUMIF(DB_Savings!$A:$A,A1630,DB_Savings!$F:$F)),"")</f>
        <v/>
      </c>
      <c r="L1630" t="str">
        <f>IFERROR(IF(A1630="","",SUMIF(DB_Withdrawals!$A:$A,A1630,DB_Withdrawals!$G:$G)),"")</f>
        <v/>
      </c>
      <c r="M1630" t="str">
        <f>IFERROR(IF(A1630="","",IFERROR(VALUE(H1630),0)+IFERROR(SUMIF(DB_Savings!$A:$A,A1630,DB_Savings!$F:$F),0)-IFERROR(SUMIF(DB_Withdrawals!$A:$A,A1630,DB_Withdrawals!$G:$G),0)),"")</f>
        <v/>
      </c>
      <c r="N1630" t="str">
        <f>IFERROR(IF(A1630="","",MAX(0,M1630-System_Config!$B$9)),"")</f>
        <v/>
      </c>
    </row>
    <row r="1631" spans="1:14" ht="15" customHeight="1" x14ac:dyDescent="0.25">
      <c r="A1631" t="str">
        <f>'NEW ACCOUNT'!A1632</f>
        <v/>
      </c>
      <c r="B1631" t="str">
        <f>IF('NEW ACCOUNT'!A1632="","",'NEW ACCOUNT'!B1632)</f>
        <v/>
      </c>
      <c r="C1631" t="str">
        <f>IF('NEW ACCOUNT'!A1632="","",'NEW ACCOUNT'!C1632)</f>
        <v/>
      </c>
      <c r="D1631" t="str">
        <f>IF('NEW ACCOUNT'!A1632="","",'NEW ACCOUNT'!D1632)</f>
        <v/>
      </c>
      <c r="E1631" t="str">
        <f>IF('NEW ACCOUNT'!A1632="","",'NEW ACCOUNT'!E1632)</f>
        <v/>
      </c>
      <c r="F1631" t="str">
        <f>IF('NEW ACCOUNT'!A1632="","",'NEW ACCOUNT'!F1632)</f>
        <v/>
      </c>
      <c r="G1631" t="str">
        <f>IF('NEW ACCOUNT'!A1632="","",'NEW ACCOUNT'!G1632)</f>
        <v/>
      </c>
      <c r="H1631" t="str">
        <f>IF('NEW ACCOUNT'!A1632="","",'NEW ACCOUNT'!H1632)</f>
        <v/>
      </c>
      <c r="I1631" t="str">
        <f>IF('NEW ACCOUNT'!A1632="","",'NEW ACCOUNT'!I1632)</f>
        <v/>
      </c>
      <c r="J1631" t="str">
        <f>IF('NEW ACCOUNT'!A1632="","",'NEW ACCOUNT'!J1632)</f>
        <v/>
      </c>
      <c r="K1631" t="str">
        <f>IFERROR(IF(A1631="","",SUMIF(DB_Savings!$A:$A,A1631,DB_Savings!$F:$F)),"")</f>
        <v/>
      </c>
      <c r="L1631" t="str">
        <f>IFERROR(IF(A1631="","",SUMIF(DB_Withdrawals!$A:$A,A1631,DB_Withdrawals!$G:$G)),"")</f>
        <v/>
      </c>
      <c r="M1631" t="str">
        <f>IFERROR(IF(A1631="","",IFERROR(VALUE(H1631),0)+IFERROR(SUMIF(DB_Savings!$A:$A,A1631,DB_Savings!$F:$F),0)-IFERROR(SUMIF(DB_Withdrawals!$A:$A,A1631,DB_Withdrawals!$G:$G),0)),"")</f>
        <v/>
      </c>
      <c r="N1631" t="str">
        <f>IFERROR(IF(A1631="","",MAX(0,M1631-System_Config!$B$9)),"")</f>
        <v/>
      </c>
    </row>
    <row r="1632" spans="1:14" ht="15" customHeight="1" x14ac:dyDescent="0.25">
      <c r="A1632" t="str">
        <f>'NEW ACCOUNT'!A1633</f>
        <v/>
      </c>
      <c r="B1632" t="str">
        <f>IF('NEW ACCOUNT'!A1633="","",'NEW ACCOUNT'!B1633)</f>
        <v/>
      </c>
      <c r="C1632" t="str">
        <f>IF('NEW ACCOUNT'!A1633="","",'NEW ACCOUNT'!C1633)</f>
        <v/>
      </c>
      <c r="D1632" t="str">
        <f>IF('NEW ACCOUNT'!A1633="","",'NEW ACCOUNT'!D1633)</f>
        <v/>
      </c>
      <c r="E1632" t="str">
        <f>IF('NEW ACCOUNT'!A1633="","",'NEW ACCOUNT'!E1633)</f>
        <v/>
      </c>
      <c r="F1632" t="str">
        <f>IF('NEW ACCOUNT'!A1633="","",'NEW ACCOUNT'!F1633)</f>
        <v/>
      </c>
      <c r="G1632" t="str">
        <f>IF('NEW ACCOUNT'!A1633="","",'NEW ACCOUNT'!G1633)</f>
        <v/>
      </c>
      <c r="H1632" t="str">
        <f>IF('NEW ACCOUNT'!A1633="","",'NEW ACCOUNT'!H1633)</f>
        <v/>
      </c>
      <c r="I1632" t="str">
        <f>IF('NEW ACCOUNT'!A1633="","",'NEW ACCOUNT'!I1633)</f>
        <v/>
      </c>
      <c r="J1632" t="str">
        <f>IF('NEW ACCOUNT'!A1633="","",'NEW ACCOUNT'!J1633)</f>
        <v/>
      </c>
      <c r="K1632" t="str">
        <f>IFERROR(IF(A1632="","",SUMIF(DB_Savings!$A:$A,A1632,DB_Savings!$F:$F)),"")</f>
        <v/>
      </c>
      <c r="L1632" t="str">
        <f>IFERROR(IF(A1632="","",SUMIF(DB_Withdrawals!$A:$A,A1632,DB_Withdrawals!$G:$G)),"")</f>
        <v/>
      </c>
      <c r="M1632" t="str">
        <f>IFERROR(IF(A1632="","",IFERROR(VALUE(H1632),0)+IFERROR(SUMIF(DB_Savings!$A:$A,A1632,DB_Savings!$F:$F),0)-IFERROR(SUMIF(DB_Withdrawals!$A:$A,A1632,DB_Withdrawals!$G:$G),0)),"")</f>
        <v/>
      </c>
      <c r="N1632" t="str">
        <f>IFERROR(IF(A1632="","",MAX(0,M1632-System_Config!$B$9)),"")</f>
        <v/>
      </c>
    </row>
    <row r="1633" spans="1:14" ht="15" customHeight="1" x14ac:dyDescent="0.25">
      <c r="A1633" t="str">
        <f>'NEW ACCOUNT'!A1634</f>
        <v/>
      </c>
      <c r="B1633" t="str">
        <f>IF('NEW ACCOUNT'!A1634="","",'NEW ACCOUNT'!B1634)</f>
        <v/>
      </c>
      <c r="C1633" t="str">
        <f>IF('NEW ACCOUNT'!A1634="","",'NEW ACCOUNT'!C1634)</f>
        <v/>
      </c>
      <c r="D1633" t="str">
        <f>IF('NEW ACCOUNT'!A1634="","",'NEW ACCOUNT'!D1634)</f>
        <v/>
      </c>
      <c r="E1633" t="str">
        <f>IF('NEW ACCOUNT'!A1634="","",'NEW ACCOUNT'!E1634)</f>
        <v/>
      </c>
      <c r="F1633" t="str">
        <f>IF('NEW ACCOUNT'!A1634="","",'NEW ACCOUNT'!F1634)</f>
        <v/>
      </c>
      <c r="G1633" t="str">
        <f>IF('NEW ACCOUNT'!A1634="","",'NEW ACCOUNT'!G1634)</f>
        <v/>
      </c>
      <c r="H1633" t="str">
        <f>IF('NEW ACCOUNT'!A1634="","",'NEW ACCOUNT'!H1634)</f>
        <v/>
      </c>
      <c r="I1633" t="str">
        <f>IF('NEW ACCOUNT'!A1634="","",'NEW ACCOUNT'!I1634)</f>
        <v/>
      </c>
      <c r="J1633" t="str">
        <f>IF('NEW ACCOUNT'!A1634="","",'NEW ACCOUNT'!J1634)</f>
        <v/>
      </c>
      <c r="K1633" t="str">
        <f>IFERROR(IF(A1633="","",SUMIF(DB_Savings!$A:$A,A1633,DB_Savings!$F:$F)),"")</f>
        <v/>
      </c>
      <c r="L1633" t="str">
        <f>IFERROR(IF(A1633="","",SUMIF(DB_Withdrawals!$A:$A,A1633,DB_Withdrawals!$G:$G)),"")</f>
        <v/>
      </c>
      <c r="M1633" t="str">
        <f>IFERROR(IF(A1633="","",IFERROR(VALUE(H1633),0)+IFERROR(SUMIF(DB_Savings!$A:$A,A1633,DB_Savings!$F:$F),0)-IFERROR(SUMIF(DB_Withdrawals!$A:$A,A1633,DB_Withdrawals!$G:$G),0)),"")</f>
        <v/>
      </c>
      <c r="N1633" t="str">
        <f>IFERROR(IF(A1633="","",MAX(0,M1633-System_Config!$B$9)),"")</f>
        <v/>
      </c>
    </row>
    <row r="1634" spans="1:14" ht="15" customHeight="1" x14ac:dyDescent="0.25">
      <c r="A1634" t="str">
        <f>'NEW ACCOUNT'!A1635</f>
        <v/>
      </c>
      <c r="B1634" t="str">
        <f>IF('NEW ACCOUNT'!A1635="","",'NEW ACCOUNT'!B1635)</f>
        <v/>
      </c>
      <c r="C1634" t="str">
        <f>IF('NEW ACCOUNT'!A1635="","",'NEW ACCOUNT'!C1635)</f>
        <v/>
      </c>
      <c r="D1634" t="str">
        <f>IF('NEW ACCOUNT'!A1635="","",'NEW ACCOUNT'!D1635)</f>
        <v/>
      </c>
      <c r="E1634" t="str">
        <f>IF('NEW ACCOUNT'!A1635="","",'NEW ACCOUNT'!E1635)</f>
        <v/>
      </c>
      <c r="F1634" t="str">
        <f>IF('NEW ACCOUNT'!A1635="","",'NEW ACCOUNT'!F1635)</f>
        <v/>
      </c>
      <c r="G1634" t="str">
        <f>IF('NEW ACCOUNT'!A1635="","",'NEW ACCOUNT'!G1635)</f>
        <v/>
      </c>
      <c r="H1634" t="str">
        <f>IF('NEW ACCOUNT'!A1635="","",'NEW ACCOUNT'!H1635)</f>
        <v/>
      </c>
      <c r="I1634" t="str">
        <f>IF('NEW ACCOUNT'!A1635="","",'NEW ACCOUNT'!I1635)</f>
        <v/>
      </c>
      <c r="J1634" t="str">
        <f>IF('NEW ACCOUNT'!A1635="","",'NEW ACCOUNT'!J1635)</f>
        <v/>
      </c>
      <c r="K1634" t="str">
        <f>IFERROR(IF(A1634="","",SUMIF(DB_Savings!$A:$A,A1634,DB_Savings!$F:$F)),"")</f>
        <v/>
      </c>
      <c r="L1634" t="str">
        <f>IFERROR(IF(A1634="","",SUMIF(DB_Withdrawals!$A:$A,A1634,DB_Withdrawals!$G:$G)),"")</f>
        <v/>
      </c>
      <c r="M1634" t="str">
        <f>IFERROR(IF(A1634="","",IFERROR(VALUE(H1634),0)+IFERROR(SUMIF(DB_Savings!$A:$A,A1634,DB_Savings!$F:$F),0)-IFERROR(SUMIF(DB_Withdrawals!$A:$A,A1634,DB_Withdrawals!$G:$G),0)),"")</f>
        <v/>
      </c>
      <c r="N1634" t="str">
        <f>IFERROR(IF(A1634="","",MAX(0,M1634-System_Config!$B$9)),"")</f>
        <v/>
      </c>
    </row>
    <row r="1635" spans="1:14" ht="15" customHeight="1" x14ac:dyDescent="0.25">
      <c r="A1635" t="str">
        <f>'NEW ACCOUNT'!A1636</f>
        <v/>
      </c>
      <c r="B1635" t="str">
        <f>IF('NEW ACCOUNT'!A1636="","",'NEW ACCOUNT'!B1636)</f>
        <v/>
      </c>
      <c r="C1635" t="str">
        <f>IF('NEW ACCOUNT'!A1636="","",'NEW ACCOUNT'!C1636)</f>
        <v/>
      </c>
      <c r="D1635" t="str">
        <f>IF('NEW ACCOUNT'!A1636="","",'NEW ACCOUNT'!D1636)</f>
        <v/>
      </c>
      <c r="E1635" t="str">
        <f>IF('NEW ACCOUNT'!A1636="","",'NEW ACCOUNT'!E1636)</f>
        <v/>
      </c>
      <c r="F1635" t="str">
        <f>IF('NEW ACCOUNT'!A1636="","",'NEW ACCOUNT'!F1636)</f>
        <v/>
      </c>
      <c r="G1635" t="str">
        <f>IF('NEW ACCOUNT'!A1636="","",'NEW ACCOUNT'!G1636)</f>
        <v/>
      </c>
      <c r="H1635" t="str">
        <f>IF('NEW ACCOUNT'!A1636="","",'NEW ACCOUNT'!H1636)</f>
        <v/>
      </c>
      <c r="I1635" t="str">
        <f>IF('NEW ACCOUNT'!A1636="","",'NEW ACCOUNT'!I1636)</f>
        <v/>
      </c>
      <c r="J1635" t="str">
        <f>IF('NEW ACCOUNT'!A1636="","",'NEW ACCOUNT'!J1636)</f>
        <v/>
      </c>
      <c r="K1635" t="str">
        <f>IFERROR(IF(A1635="","",SUMIF(DB_Savings!$A:$A,A1635,DB_Savings!$F:$F)),"")</f>
        <v/>
      </c>
      <c r="L1635" t="str">
        <f>IFERROR(IF(A1635="","",SUMIF(DB_Withdrawals!$A:$A,A1635,DB_Withdrawals!$G:$G)),"")</f>
        <v/>
      </c>
      <c r="M1635" t="str">
        <f>IFERROR(IF(A1635="","",IFERROR(VALUE(H1635),0)+IFERROR(SUMIF(DB_Savings!$A:$A,A1635,DB_Savings!$F:$F),0)-IFERROR(SUMIF(DB_Withdrawals!$A:$A,A1635,DB_Withdrawals!$G:$G),0)),"")</f>
        <v/>
      </c>
      <c r="N1635" t="str">
        <f>IFERROR(IF(A1635="","",MAX(0,M1635-System_Config!$B$9)),"")</f>
        <v/>
      </c>
    </row>
    <row r="1636" spans="1:14" ht="15" customHeight="1" x14ac:dyDescent="0.25">
      <c r="A1636" t="str">
        <f>'NEW ACCOUNT'!A1637</f>
        <v/>
      </c>
      <c r="B1636" t="str">
        <f>IF('NEW ACCOUNT'!A1637="","",'NEW ACCOUNT'!B1637)</f>
        <v/>
      </c>
      <c r="C1636" t="str">
        <f>IF('NEW ACCOUNT'!A1637="","",'NEW ACCOUNT'!C1637)</f>
        <v/>
      </c>
      <c r="D1636" t="str">
        <f>IF('NEW ACCOUNT'!A1637="","",'NEW ACCOUNT'!D1637)</f>
        <v/>
      </c>
      <c r="E1636" t="str">
        <f>IF('NEW ACCOUNT'!A1637="","",'NEW ACCOUNT'!E1637)</f>
        <v/>
      </c>
      <c r="F1636" t="str">
        <f>IF('NEW ACCOUNT'!A1637="","",'NEW ACCOUNT'!F1637)</f>
        <v/>
      </c>
      <c r="G1636" t="str">
        <f>IF('NEW ACCOUNT'!A1637="","",'NEW ACCOUNT'!G1637)</f>
        <v/>
      </c>
      <c r="H1636" t="str">
        <f>IF('NEW ACCOUNT'!A1637="","",'NEW ACCOUNT'!H1637)</f>
        <v/>
      </c>
      <c r="I1636" t="str">
        <f>IF('NEW ACCOUNT'!A1637="","",'NEW ACCOUNT'!I1637)</f>
        <v/>
      </c>
      <c r="J1636" t="str">
        <f>IF('NEW ACCOUNT'!A1637="","",'NEW ACCOUNT'!J1637)</f>
        <v/>
      </c>
      <c r="K1636" t="str">
        <f>IFERROR(IF(A1636="","",SUMIF(DB_Savings!$A:$A,A1636,DB_Savings!$F:$F)),"")</f>
        <v/>
      </c>
      <c r="L1636" t="str">
        <f>IFERROR(IF(A1636="","",SUMIF(DB_Withdrawals!$A:$A,A1636,DB_Withdrawals!$G:$G)),"")</f>
        <v/>
      </c>
      <c r="M1636" t="str">
        <f>IFERROR(IF(A1636="","",IFERROR(VALUE(H1636),0)+IFERROR(SUMIF(DB_Savings!$A:$A,A1636,DB_Savings!$F:$F),0)-IFERROR(SUMIF(DB_Withdrawals!$A:$A,A1636,DB_Withdrawals!$G:$G),0)),"")</f>
        <v/>
      </c>
      <c r="N1636" t="str">
        <f>IFERROR(IF(A1636="","",MAX(0,M1636-System_Config!$B$9)),"")</f>
        <v/>
      </c>
    </row>
    <row r="1637" spans="1:14" ht="15" customHeight="1" x14ac:dyDescent="0.25">
      <c r="A1637" t="str">
        <f>'NEW ACCOUNT'!A1638</f>
        <v/>
      </c>
      <c r="B1637" t="str">
        <f>IF('NEW ACCOUNT'!A1638="","",'NEW ACCOUNT'!B1638)</f>
        <v/>
      </c>
      <c r="C1637" t="str">
        <f>IF('NEW ACCOUNT'!A1638="","",'NEW ACCOUNT'!C1638)</f>
        <v/>
      </c>
      <c r="D1637" t="str">
        <f>IF('NEW ACCOUNT'!A1638="","",'NEW ACCOUNT'!D1638)</f>
        <v/>
      </c>
      <c r="E1637" t="str">
        <f>IF('NEW ACCOUNT'!A1638="","",'NEW ACCOUNT'!E1638)</f>
        <v/>
      </c>
      <c r="F1637" t="str">
        <f>IF('NEW ACCOUNT'!A1638="","",'NEW ACCOUNT'!F1638)</f>
        <v/>
      </c>
      <c r="G1637" t="str">
        <f>IF('NEW ACCOUNT'!A1638="","",'NEW ACCOUNT'!G1638)</f>
        <v/>
      </c>
      <c r="H1637" t="str">
        <f>IF('NEW ACCOUNT'!A1638="","",'NEW ACCOUNT'!H1638)</f>
        <v/>
      </c>
      <c r="I1637" t="str">
        <f>IF('NEW ACCOUNT'!A1638="","",'NEW ACCOUNT'!I1638)</f>
        <v/>
      </c>
      <c r="J1637" t="str">
        <f>IF('NEW ACCOUNT'!A1638="","",'NEW ACCOUNT'!J1638)</f>
        <v/>
      </c>
      <c r="K1637" t="str">
        <f>IFERROR(IF(A1637="","",SUMIF(DB_Savings!$A:$A,A1637,DB_Savings!$F:$F)),"")</f>
        <v/>
      </c>
      <c r="L1637" t="str">
        <f>IFERROR(IF(A1637="","",SUMIF(DB_Withdrawals!$A:$A,A1637,DB_Withdrawals!$G:$G)),"")</f>
        <v/>
      </c>
      <c r="M1637" t="str">
        <f>IFERROR(IF(A1637="","",IFERROR(VALUE(H1637),0)+IFERROR(SUMIF(DB_Savings!$A:$A,A1637,DB_Savings!$F:$F),0)-IFERROR(SUMIF(DB_Withdrawals!$A:$A,A1637,DB_Withdrawals!$G:$G),0)),"")</f>
        <v/>
      </c>
      <c r="N1637" t="str">
        <f>IFERROR(IF(A1637="","",MAX(0,M1637-System_Config!$B$9)),"")</f>
        <v/>
      </c>
    </row>
    <row r="1638" spans="1:14" ht="15" customHeight="1" x14ac:dyDescent="0.25">
      <c r="A1638" t="str">
        <f>'NEW ACCOUNT'!A1639</f>
        <v/>
      </c>
      <c r="B1638" t="str">
        <f>IF('NEW ACCOUNT'!A1639="","",'NEW ACCOUNT'!B1639)</f>
        <v/>
      </c>
      <c r="C1638" t="str">
        <f>IF('NEW ACCOUNT'!A1639="","",'NEW ACCOUNT'!C1639)</f>
        <v/>
      </c>
      <c r="D1638" t="str">
        <f>IF('NEW ACCOUNT'!A1639="","",'NEW ACCOUNT'!D1639)</f>
        <v/>
      </c>
      <c r="E1638" t="str">
        <f>IF('NEW ACCOUNT'!A1639="","",'NEW ACCOUNT'!E1639)</f>
        <v/>
      </c>
      <c r="F1638" t="str">
        <f>IF('NEW ACCOUNT'!A1639="","",'NEW ACCOUNT'!F1639)</f>
        <v/>
      </c>
      <c r="G1638" t="str">
        <f>IF('NEW ACCOUNT'!A1639="","",'NEW ACCOUNT'!G1639)</f>
        <v/>
      </c>
      <c r="H1638" t="str">
        <f>IF('NEW ACCOUNT'!A1639="","",'NEW ACCOUNT'!H1639)</f>
        <v/>
      </c>
      <c r="I1638" t="str">
        <f>IF('NEW ACCOUNT'!A1639="","",'NEW ACCOUNT'!I1639)</f>
        <v/>
      </c>
      <c r="J1638" t="str">
        <f>IF('NEW ACCOUNT'!A1639="","",'NEW ACCOUNT'!J1639)</f>
        <v/>
      </c>
      <c r="K1638" t="str">
        <f>IFERROR(IF(A1638="","",SUMIF(DB_Savings!$A:$A,A1638,DB_Savings!$F:$F)),"")</f>
        <v/>
      </c>
      <c r="L1638" t="str">
        <f>IFERROR(IF(A1638="","",SUMIF(DB_Withdrawals!$A:$A,A1638,DB_Withdrawals!$G:$G)),"")</f>
        <v/>
      </c>
      <c r="M1638" t="str">
        <f>IFERROR(IF(A1638="","",IFERROR(VALUE(H1638),0)+IFERROR(SUMIF(DB_Savings!$A:$A,A1638,DB_Savings!$F:$F),0)-IFERROR(SUMIF(DB_Withdrawals!$A:$A,A1638,DB_Withdrawals!$G:$G),0)),"")</f>
        <v/>
      </c>
      <c r="N1638" t="str">
        <f>IFERROR(IF(A1638="","",MAX(0,M1638-System_Config!$B$9)),"")</f>
        <v/>
      </c>
    </row>
    <row r="1639" spans="1:14" ht="15" customHeight="1" x14ac:dyDescent="0.25">
      <c r="A1639" t="str">
        <f>'NEW ACCOUNT'!A1640</f>
        <v/>
      </c>
      <c r="B1639" t="str">
        <f>IF('NEW ACCOUNT'!A1640="","",'NEW ACCOUNT'!B1640)</f>
        <v/>
      </c>
      <c r="C1639" t="str">
        <f>IF('NEW ACCOUNT'!A1640="","",'NEW ACCOUNT'!C1640)</f>
        <v/>
      </c>
      <c r="D1639" t="str">
        <f>IF('NEW ACCOUNT'!A1640="","",'NEW ACCOUNT'!D1640)</f>
        <v/>
      </c>
      <c r="E1639" t="str">
        <f>IF('NEW ACCOUNT'!A1640="","",'NEW ACCOUNT'!E1640)</f>
        <v/>
      </c>
      <c r="F1639" t="str">
        <f>IF('NEW ACCOUNT'!A1640="","",'NEW ACCOUNT'!F1640)</f>
        <v/>
      </c>
      <c r="G1639" t="str">
        <f>IF('NEW ACCOUNT'!A1640="","",'NEW ACCOUNT'!G1640)</f>
        <v/>
      </c>
      <c r="H1639" t="str">
        <f>IF('NEW ACCOUNT'!A1640="","",'NEW ACCOUNT'!H1640)</f>
        <v/>
      </c>
      <c r="I1639" t="str">
        <f>IF('NEW ACCOUNT'!A1640="","",'NEW ACCOUNT'!I1640)</f>
        <v/>
      </c>
      <c r="J1639" t="str">
        <f>IF('NEW ACCOUNT'!A1640="","",'NEW ACCOUNT'!J1640)</f>
        <v/>
      </c>
      <c r="K1639" t="str">
        <f>IFERROR(IF(A1639="","",SUMIF(DB_Savings!$A:$A,A1639,DB_Savings!$F:$F)),"")</f>
        <v/>
      </c>
      <c r="L1639" t="str">
        <f>IFERROR(IF(A1639="","",SUMIF(DB_Withdrawals!$A:$A,A1639,DB_Withdrawals!$G:$G)),"")</f>
        <v/>
      </c>
      <c r="M1639" t="str">
        <f>IFERROR(IF(A1639="","",IFERROR(VALUE(H1639),0)+IFERROR(SUMIF(DB_Savings!$A:$A,A1639,DB_Savings!$F:$F),0)-IFERROR(SUMIF(DB_Withdrawals!$A:$A,A1639,DB_Withdrawals!$G:$G),0)),"")</f>
        <v/>
      </c>
      <c r="N1639" t="str">
        <f>IFERROR(IF(A1639="","",MAX(0,M1639-System_Config!$B$9)),"")</f>
        <v/>
      </c>
    </row>
    <row r="1640" spans="1:14" ht="15" customHeight="1" x14ac:dyDescent="0.25">
      <c r="A1640" t="str">
        <f>'NEW ACCOUNT'!A1641</f>
        <v/>
      </c>
      <c r="B1640" t="str">
        <f>IF('NEW ACCOUNT'!A1641="","",'NEW ACCOUNT'!B1641)</f>
        <v/>
      </c>
      <c r="C1640" t="str">
        <f>IF('NEW ACCOUNT'!A1641="","",'NEW ACCOUNT'!C1641)</f>
        <v/>
      </c>
      <c r="D1640" t="str">
        <f>IF('NEW ACCOUNT'!A1641="","",'NEW ACCOUNT'!D1641)</f>
        <v/>
      </c>
      <c r="E1640" t="str">
        <f>IF('NEW ACCOUNT'!A1641="","",'NEW ACCOUNT'!E1641)</f>
        <v/>
      </c>
      <c r="F1640" t="str">
        <f>IF('NEW ACCOUNT'!A1641="","",'NEW ACCOUNT'!F1641)</f>
        <v/>
      </c>
      <c r="G1640" t="str">
        <f>IF('NEW ACCOUNT'!A1641="","",'NEW ACCOUNT'!G1641)</f>
        <v/>
      </c>
      <c r="H1640" t="str">
        <f>IF('NEW ACCOUNT'!A1641="","",'NEW ACCOUNT'!H1641)</f>
        <v/>
      </c>
      <c r="I1640" t="str">
        <f>IF('NEW ACCOUNT'!A1641="","",'NEW ACCOUNT'!I1641)</f>
        <v/>
      </c>
      <c r="J1640" t="str">
        <f>IF('NEW ACCOUNT'!A1641="","",'NEW ACCOUNT'!J1641)</f>
        <v/>
      </c>
      <c r="K1640" t="str">
        <f>IFERROR(IF(A1640="","",SUMIF(DB_Savings!$A:$A,A1640,DB_Savings!$F:$F)),"")</f>
        <v/>
      </c>
      <c r="L1640" t="str">
        <f>IFERROR(IF(A1640="","",SUMIF(DB_Withdrawals!$A:$A,A1640,DB_Withdrawals!$G:$G)),"")</f>
        <v/>
      </c>
      <c r="M1640" t="str">
        <f>IFERROR(IF(A1640="","",IFERROR(VALUE(H1640),0)+IFERROR(SUMIF(DB_Savings!$A:$A,A1640,DB_Savings!$F:$F),0)-IFERROR(SUMIF(DB_Withdrawals!$A:$A,A1640,DB_Withdrawals!$G:$G),0)),"")</f>
        <v/>
      </c>
      <c r="N1640" t="str">
        <f>IFERROR(IF(A1640="","",MAX(0,M1640-System_Config!$B$9)),"")</f>
        <v/>
      </c>
    </row>
    <row r="1641" spans="1:14" ht="15" customHeight="1" x14ac:dyDescent="0.25">
      <c r="A1641" t="str">
        <f>'NEW ACCOUNT'!A1642</f>
        <v/>
      </c>
      <c r="B1641" t="str">
        <f>IF('NEW ACCOUNT'!A1642="","",'NEW ACCOUNT'!B1642)</f>
        <v/>
      </c>
      <c r="C1641" t="str">
        <f>IF('NEW ACCOUNT'!A1642="","",'NEW ACCOUNT'!C1642)</f>
        <v/>
      </c>
      <c r="D1641" t="str">
        <f>IF('NEW ACCOUNT'!A1642="","",'NEW ACCOUNT'!D1642)</f>
        <v/>
      </c>
      <c r="E1641" t="str">
        <f>IF('NEW ACCOUNT'!A1642="","",'NEW ACCOUNT'!E1642)</f>
        <v/>
      </c>
      <c r="F1641" t="str">
        <f>IF('NEW ACCOUNT'!A1642="","",'NEW ACCOUNT'!F1642)</f>
        <v/>
      </c>
      <c r="G1641" t="str">
        <f>IF('NEW ACCOUNT'!A1642="","",'NEW ACCOUNT'!G1642)</f>
        <v/>
      </c>
      <c r="H1641" t="str">
        <f>IF('NEW ACCOUNT'!A1642="","",'NEW ACCOUNT'!H1642)</f>
        <v/>
      </c>
      <c r="I1641" t="str">
        <f>IF('NEW ACCOUNT'!A1642="","",'NEW ACCOUNT'!I1642)</f>
        <v/>
      </c>
      <c r="J1641" t="str">
        <f>IF('NEW ACCOUNT'!A1642="","",'NEW ACCOUNT'!J1642)</f>
        <v/>
      </c>
      <c r="K1641" t="str">
        <f>IFERROR(IF(A1641="","",SUMIF(DB_Savings!$A:$A,A1641,DB_Savings!$F:$F)),"")</f>
        <v/>
      </c>
      <c r="L1641" t="str">
        <f>IFERROR(IF(A1641="","",SUMIF(DB_Withdrawals!$A:$A,A1641,DB_Withdrawals!$G:$G)),"")</f>
        <v/>
      </c>
      <c r="M1641" t="str">
        <f>IFERROR(IF(A1641="","",IFERROR(VALUE(H1641),0)+IFERROR(SUMIF(DB_Savings!$A:$A,A1641,DB_Savings!$F:$F),0)-IFERROR(SUMIF(DB_Withdrawals!$A:$A,A1641,DB_Withdrawals!$G:$G),0)),"")</f>
        <v/>
      </c>
      <c r="N1641" t="str">
        <f>IFERROR(IF(A1641="","",MAX(0,M1641-System_Config!$B$9)),"")</f>
        <v/>
      </c>
    </row>
    <row r="1642" spans="1:14" ht="15" customHeight="1" x14ac:dyDescent="0.25">
      <c r="A1642" t="str">
        <f>'NEW ACCOUNT'!A1643</f>
        <v/>
      </c>
      <c r="B1642" t="str">
        <f>IF('NEW ACCOUNT'!A1643="","",'NEW ACCOUNT'!B1643)</f>
        <v/>
      </c>
      <c r="C1642" t="str">
        <f>IF('NEW ACCOUNT'!A1643="","",'NEW ACCOUNT'!C1643)</f>
        <v/>
      </c>
      <c r="D1642" t="str">
        <f>IF('NEW ACCOUNT'!A1643="","",'NEW ACCOUNT'!D1643)</f>
        <v/>
      </c>
      <c r="E1642" t="str">
        <f>IF('NEW ACCOUNT'!A1643="","",'NEW ACCOUNT'!E1643)</f>
        <v/>
      </c>
      <c r="F1642" t="str">
        <f>IF('NEW ACCOUNT'!A1643="","",'NEW ACCOUNT'!F1643)</f>
        <v/>
      </c>
      <c r="G1642" t="str">
        <f>IF('NEW ACCOUNT'!A1643="","",'NEW ACCOUNT'!G1643)</f>
        <v/>
      </c>
      <c r="H1642" t="str">
        <f>IF('NEW ACCOUNT'!A1643="","",'NEW ACCOUNT'!H1643)</f>
        <v/>
      </c>
      <c r="I1642" t="str">
        <f>IF('NEW ACCOUNT'!A1643="","",'NEW ACCOUNT'!I1643)</f>
        <v/>
      </c>
      <c r="J1642" t="str">
        <f>IF('NEW ACCOUNT'!A1643="","",'NEW ACCOUNT'!J1643)</f>
        <v/>
      </c>
      <c r="K1642" t="str">
        <f>IFERROR(IF(A1642="","",SUMIF(DB_Savings!$A:$A,A1642,DB_Savings!$F:$F)),"")</f>
        <v/>
      </c>
      <c r="L1642" t="str">
        <f>IFERROR(IF(A1642="","",SUMIF(DB_Withdrawals!$A:$A,A1642,DB_Withdrawals!$G:$G)),"")</f>
        <v/>
      </c>
      <c r="M1642" t="str">
        <f>IFERROR(IF(A1642="","",IFERROR(VALUE(H1642),0)+IFERROR(SUMIF(DB_Savings!$A:$A,A1642,DB_Savings!$F:$F),0)-IFERROR(SUMIF(DB_Withdrawals!$A:$A,A1642,DB_Withdrawals!$G:$G),0)),"")</f>
        <v/>
      </c>
      <c r="N1642" t="str">
        <f>IFERROR(IF(A1642="","",MAX(0,M1642-System_Config!$B$9)),"")</f>
        <v/>
      </c>
    </row>
    <row r="1643" spans="1:14" ht="15" customHeight="1" x14ac:dyDescent="0.25">
      <c r="A1643" t="str">
        <f>'NEW ACCOUNT'!A1644</f>
        <v/>
      </c>
      <c r="B1643" t="str">
        <f>IF('NEW ACCOUNT'!A1644="","",'NEW ACCOUNT'!B1644)</f>
        <v/>
      </c>
      <c r="C1643" t="str">
        <f>IF('NEW ACCOUNT'!A1644="","",'NEW ACCOUNT'!C1644)</f>
        <v/>
      </c>
      <c r="D1643" t="str">
        <f>IF('NEW ACCOUNT'!A1644="","",'NEW ACCOUNT'!D1644)</f>
        <v/>
      </c>
      <c r="E1643" t="str">
        <f>IF('NEW ACCOUNT'!A1644="","",'NEW ACCOUNT'!E1644)</f>
        <v/>
      </c>
      <c r="F1643" t="str">
        <f>IF('NEW ACCOUNT'!A1644="","",'NEW ACCOUNT'!F1644)</f>
        <v/>
      </c>
      <c r="G1643" t="str">
        <f>IF('NEW ACCOUNT'!A1644="","",'NEW ACCOUNT'!G1644)</f>
        <v/>
      </c>
      <c r="H1643" t="str">
        <f>IF('NEW ACCOUNT'!A1644="","",'NEW ACCOUNT'!H1644)</f>
        <v/>
      </c>
      <c r="I1643" t="str">
        <f>IF('NEW ACCOUNT'!A1644="","",'NEW ACCOUNT'!I1644)</f>
        <v/>
      </c>
      <c r="J1643" t="str">
        <f>IF('NEW ACCOUNT'!A1644="","",'NEW ACCOUNT'!J1644)</f>
        <v/>
      </c>
      <c r="K1643" t="str">
        <f>IFERROR(IF(A1643="","",SUMIF(DB_Savings!$A:$A,A1643,DB_Savings!$F:$F)),"")</f>
        <v/>
      </c>
      <c r="L1643" t="str">
        <f>IFERROR(IF(A1643="","",SUMIF(DB_Withdrawals!$A:$A,A1643,DB_Withdrawals!$G:$G)),"")</f>
        <v/>
      </c>
      <c r="M1643" t="str">
        <f>IFERROR(IF(A1643="","",IFERROR(VALUE(H1643),0)+IFERROR(SUMIF(DB_Savings!$A:$A,A1643,DB_Savings!$F:$F),0)-IFERROR(SUMIF(DB_Withdrawals!$A:$A,A1643,DB_Withdrawals!$G:$G),0)),"")</f>
        <v/>
      </c>
      <c r="N1643" t="str">
        <f>IFERROR(IF(A1643="","",MAX(0,M1643-System_Config!$B$9)),"")</f>
        <v/>
      </c>
    </row>
    <row r="1644" spans="1:14" ht="15" customHeight="1" x14ac:dyDescent="0.25">
      <c r="A1644" t="str">
        <f>'NEW ACCOUNT'!A1645</f>
        <v/>
      </c>
      <c r="B1644" t="str">
        <f>IF('NEW ACCOUNT'!A1645="","",'NEW ACCOUNT'!B1645)</f>
        <v/>
      </c>
      <c r="C1644" t="str">
        <f>IF('NEW ACCOUNT'!A1645="","",'NEW ACCOUNT'!C1645)</f>
        <v/>
      </c>
      <c r="D1644" t="str">
        <f>IF('NEW ACCOUNT'!A1645="","",'NEW ACCOUNT'!D1645)</f>
        <v/>
      </c>
      <c r="E1644" t="str">
        <f>IF('NEW ACCOUNT'!A1645="","",'NEW ACCOUNT'!E1645)</f>
        <v/>
      </c>
      <c r="F1644" t="str">
        <f>IF('NEW ACCOUNT'!A1645="","",'NEW ACCOUNT'!F1645)</f>
        <v/>
      </c>
      <c r="G1644" t="str">
        <f>IF('NEW ACCOUNT'!A1645="","",'NEW ACCOUNT'!G1645)</f>
        <v/>
      </c>
      <c r="H1644" t="str">
        <f>IF('NEW ACCOUNT'!A1645="","",'NEW ACCOUNT'!H1645)</f>
        <v/>
      </c>
      <c r="I1644" t="str">
        <f>IF('NEW ACCOUNT'!A1645="","",'NEW ACCOUNT'!I1645)</f>
        <v/>
      </c>
      <c r="J1644" t="str">
        <f>IF('NEW ACCOUNT'!A1645="","",'NEW ACCOUNT'!J1645)</f>
        <v/>
      </c>
      <c r="K1644" t="str">
        <f>IFERROR(IF(A1644="","",SUMIF(DB_Savings!$A:$A,A1644,DB_Savings!$F:$F)),"")</f>
        <v/>
      </c>
      <c r="L1644" t="str">
        <f>IFERROR(IF(A1644="","",SUMIF(DB_Withdrawals!$A:$A,A1644,DB_Withdrawals!$G:$G)),"")</f>
        <v/>
      </c>
      <c r="M1644" t="str">
        <f>IFERROR(IF(A1644="","",IFERROR(VALUE(H1644),0)+IFERROR(SUMIF(DB_Savings!$A:$A,A1644,DB_Savings!$F:$F),0)-IFERROR(SUMIF(DB_Withdrawals!$A:$A,A1644,DB_Withdrawals!$G:$G),0)),"")</f>
        <v/>
      </c>
      <c r="N1644" t="str">
        <f>IFERROR(IF(A1644="","",MAX(0,M1644-System_Config!$B$9)),"")</f>
        <v/>
      </c>
    </row>
    <row r="1645" spans="1:14" ht="15" customHeight="1" x14ac:dyDescent="0.25">
      <c r="A1645" t="str">
        <f>'NEW ACCOUNT'!A1646</f>
        <v/>
      </c>
      <c r="B1645" t="str">
        <f>IF('NEW ACCOUNT'!A1646="","",'NEW ACCOUNT'!B1646)</f>
        <v/>
      </c>
      <c r="C1645" t="str">
        <f>IF('NEW ACCOUNT'!A1646="","",'NEW ACCOUNT'!C1646)</f>
        <v/>
      </c>
      <c r="D1645" t="str">
        <f>IF('NEW ACCOUNT'!A1646="","",'NEW ACCOUNT'!D1646)</f>
        <v/>
      </c>
      <c r="E1645" t="str">
        <f>IF('NEW ACCOUNT'!A1646="","",'NEW ACCOUNT'!E1646)</f>
        <v/>
      </c>
      <c r="F1645" t="str">
        <f>IF('NEW ACCOUNT'!A1646="","",'NEW ACCOUNT'!F1646)</f>
        <v/>
      </c>
      <c r="G1645" t="str">
        <f>IF('NEW ACCOUNT'!A1646="","",'NEW ACCOUNT'!G1646)</f>
        <v/>
      </c>
      <c r="H1645" t="str">
        <f>IF('NEW ACCOUNT'!A1646="","",'NEW ACCOUNT'!H1646)</f>
        <v/>
      </c>
      <c r="I1645" t="str">
        <f>IF('NEW ACCOUNT'!A1646="","",'NEW ACCOUNT'!I1646)</f>
        <v/>
      </c>
      <c r="J1645" t="str">
        <f>IF('NEW ACCOUNT'!A1646="","",'NEW ACCOUNT'!J1646)</f>
        <v/>
      </c>
      <c r="K1645" t="str">
        <f>IFERROR(IF(A1645="","",SUMIF(DB_Savings!$A:$A,A1645,DB_Savings!$F:$F)),"")</f>
        <v/>
      </c>
      <c r="L1645" t="str">
        <f>IFERROR(IF(A1645="","",SUMIF(DB_Withdrawals!$A:$A,A1645,DB_Withdrawals!$G:$G)),"")</f>
        <v/>
      </c>
      <c r="M1645" t="str">
        <f>IFERROR(IF(A1645="","",IFERROR(VALUE(H1645),0)+IFERROR(SUMIF(DB_Savings!$A:$A,A1645,DB_Savings!$F:$F),0)-IFERROR(SUMIF(DB_Withdrawals!$A:$A,A1645,DB_Withdrawals!$G:$G),0)),"")</f>
        <v/>
      </c>
      <c r="N1645" t="str">
        <f>IFERROR(IF(A1645="","",MAX(0,M1645-System_Config!$B$9)),"")</f>
        <v/>
      </c>
    </row>
    <row r="1646" spans="1:14" ht="15" customHeight="1" x14ac:dyDescent="0.25">
      <c r="A1646" t="str">
        <f>'NEW ACCOUNT'!A1647</f>
        <v/>
      </c>
      <c r="B1646" t="str">
        <f>IF('NEW ACCOUNT'!A1647="","",'NEW ACCOUNT'!B1647)</f>
        <v/>
      </c>
      <c r="C1646" t="str">
        <f>IF('NEW ACCOUNT'!A1647="","",'NEW ACCOUNT'!C1647)</f>
        <v/>
      </c>
      <c r="D1646" t="str">
        <f>IF('NEW ACCOUNT'!A1647="","",'NEW ACCOUNT'!D1647)</f>
        <v/>
      </c>
      <c r="E1646" t="str">
        <f>IF('NEW ACCOUNT'!A1647="","",'NEW ACCOUNT'!E1647)</f>
        <v/>
      </c>
      <c r="F1646" t="str">
        <f>IF('NEW ACCOUNT'!A1647="","",'NEW ACCOUNT'!F1647)</f>
        <v/>
      </c>
      <c r="G1646" t="str">
        <f>IF('NEW ACCOUNT'!A1647="","",'NEW ACCOUNT'!G1647)</f>
        <v/>
      </c>
      <c r="H1646" t="str">
        <f>IF('NEW ACCOUNT'!A1647="","",'NEW ACCOUNT'!H1647)</f>
        <v/>
      </c>
      <c r="I1646" t="str">
        <f>IF('NEW ACCOUNT'!A1647="","",'NEW ACCOUNT'!I1647)</f>
        <v/>
      </c>
      <c r="J1646" t="str">
        <f>IF('NEW ACCOUNT'!A1647="","",'NEW ACCOUNT'!J1647)</f>
        <v/>
      </c>
      <c r="K1646" t="str">
        <f>IFERROR(IF(A1646="","",SUMIF(DB_Savings!$A:$A,A1646,DB_Savings!$F:$F)),"")</f>
        <v/>
      </c>
      <c r="L1646" t="str">
        <f>IFERROR(IF(A1646="","",SUMIF(DB_Withdrawals!$A:$A,A1646,DB_Withdrawals!$G:$G)),"")</f>
        <v/>
      </c>
      <c r="M1646" t="str">
        <f>IFERROR(IF(A1646="","",IFERROR(VALUE(H1646),0)+IFERROR(SUMIF(DB_Savings!$A:$A,A1646,DB_Savings!$F:$F),0)-IFERROR(SUMIF(DB_Withdrawals!$A:$A,A1646,DB_Withdrawals!$G:$G),0)),"")</f>
        <v/>
      </c>
      <c r="N1646" t="str">
        <f>IFERROR(IF(A1646="","",MAX(0,M1646-System_Config!$B$9)),"")</f>
        <v/>
      </c>
    </row>
    <row r="1647" spans="1:14" ht="15" customHeight="1" x14ac:dyDescent="0.25">
      <c r="A1647" t="str">
        <f>'NEW ACCOUNT'!A1648</f>
        <v/>
      </c>
      <c r="B1647" t="str">
        <f>IF('NEW ACCOUNT'!A1648="","",'NEW ACCOUNT'!B1648)</f>
        <v/>
      </c>
      <c r="C1647" t="str">
        <f>IF('NEW ACCOUNT'!A1648="","",'NEW ACCOUNT'!C1648)</f>
        <v/>
      </c>
      <c r="D1647" t="str">
        <f>IF('NEW ACCOUNT'!A1648="","",'NEW ACCOUNT'!D1648)</f>
        <v/>
      </c>
      <c r="E1647" t="str">
        <f>IF('NEW ACCOUNT'!A1648="","",'NEW ACCOUNT'!E1648)</f>
        <v/>
      </c>
      <c r="F1647" t="str">
        <f>IF('NEW ACCOUNT'!A1648="","",'NEW ACCOUNT'!F1648)</f>
        <v/>
      </c>
      <c r="G1647" t="str">
        <f>IF('NEW ACCOUNT'!A1648="","",'NEW ACCOUNT'!G1648)</f>
        <v/>
      </c>
      <c r="H1647" t="str">
        <f>IF('NEW ACCOUNT'!A1648="","",'NEW ACCOUNT'!H1648)</f>
        <v/>
      </c>
      <c r="I1647" t="str">
        <f>IF('NEW ACCOUNT'!A1648="","",'NEW ACCOUNT'!I1648)</f>
        <v/>
      </c>
      <c r="J1647" t="str">
        <f>IF('NEW ACCOUNT'!A1648="","",'NEW ACCOUNT'!J1648)</f>
        <v/>
      </c>
      <c r="K1647" t="str">
        <f>IFERROR(IF(A1647="","",SUMIF(DB_Savings!$A:$A,A1647,DB_Savings!$F:$F)),"")</f>
        <v/>
      </c>
      <c r="L1647" t="str">
        <f>IFERROR(IF(A1647="","",SUMIF(DB_Withdrawals!$A:$A,A1647,DB_Withdrawals!$G:$G)),"")</f>
        <v/>
      </c>
      <c r="M1647" t="str">
        <f>IFERROR(IF(A1647="","",IFERROR(VALUE(H1647),0)+IFERROR(SUMIF(DB_Savings!$A:$A,A1647,DB_Savings!$F:$F),0)-IFERROR(SUMIF(DB_Withdrawals!$A:$A,A1647,DB_Withdrawals!$G:$G),0)),"")</f>
        <v/>
      </c>
      <c r="N1647" t="str">
        <f>IFERROR(IF(A1647="","",MAX(0,M1647-System_Config!$B$9)),"")</f>
        <v/>
      </c>
    </row>
    <row r="1648" spans="1:14" ht="15" customHeight="1" x14ac:dyDescent="0.25">
      <c r="A1648" t="str">
        <f>'NEW ACCOUNT'!A1649</f>
        <v/>
      </c>
      <c r="B1648" t="str">
        <f>IF('NEW ACCOUNT'!A1649="","",'NEW ACCOUNT'!B1649)</f>
        <v/>
      </c>
      <c r="C1648" t="str">
        <f>IF('NEW ACCOUNT'!A1649="","",'NEW ACCOUNT'!C1649)</f>
        <v/>
      </c>
      <c r="D1648" t="str">
        <f>IF('NEW ACCOUNT'!A1649="","",'NEW ACCOUNT'!D1649)</f>
        <v/>
      </c>
      <c r="E1648" t="str">
        <f>IF('NEW ACCOUNT'!A1649="","",'NEW ACCOUNT'!E1649)</f>
        <v/>
      </c>
      <c r="F1648" t="str">
        <f>IF('NEW ACCOUNT'!A1649="","",'NEW ACCOUNT'!F1649)</f>
        <v/>
      </c>
      <c r="G1648" t="str">
        <f>IF('NEW ACCOUNT'!A1649="","",'NEW ACCOUNT'!G1649)</f>
        <v/>
      </c>
      <c r="H1648" t="str">
        <f>IF('NEW ACCOUNT'!A1649="","",'NEW ACCOUNT'!H1649)</f>
        <v/>
      </c>
      <c r="I1648" t="str">
        <f>IF('NEW ACCOUNT'!A1649="","",'NEW ACCOUNT'!I1649)</f>
        <v/>
      </c>
      <c r="J1648" t="str">
        <f>IF('NEW ACCOUNT'!A1649="","",'NEW ACCOUNT'!J1649)</f>
        <v/>
      </c>
      <c r="K1648" t="str">
        <f>IFERROR(IF(A1648="","",SUMIF(DB_Savings!$A:$A,A1648,DB_Savings!$F:$F)),"")</f>
        <v/>
      </c>
      <c r="L1648" t="str">
        <f>IFERROR(IF(A1648="","",SUMIF(DB_Withdrawals!$A:$A,A1648,DB_Withdrawals!$G:$G)),"")</f>
        <v/>
      </c>
      <c r="M1648" t="str">
        <f>IFERROR(IF(A1648="","",IFERROR(VALUE(H1648),0)+IFERROR(SUMIF(DB_Savings!$A:$A,A1648,DB_Savings!$F:$F),0)-IFERROR(SUMIF(DB_Withdrawals!$A:$A,A1648,DB_Withdrawals!$G:$G),0)),"")</f>
        <v/>
      </c>
      <c r="N1648" t="str">
        <f>IFERROR(IF(A1648="","",MAX(0,M1648-System_Config!$B$9)),"")</f>
        <v/>
      </c>
    </row>
    <row r="1649" spans="1:14" ht="15" customHeight="1" x14ac:dyDescent="0.25">
      <c r="A1649" t="str">
        <f>'NEW ACCOUNT'!A1650</f>
        <v/>
      </c>
      <c r="B1649" t="str">
        <f>IF('NEW ACCOUNT'!A1650="","",'NEW ACCOUNT'!B1650)</f>
        <v/>
      </c>
      <c r="C1649" t="str">
        <f>IF('NEW ACCOUNT'!A1650="","",'NEW ACCOUNT'!C1650)</f>
        <v/>
      </c>
      <c r="D1649" t="str">
        <f>IF('NEW ACCOUNT'!A1650="","",'NEW ACCOUNT'!D1650)</f>
        <v/>
      </c>
      <c r="E1649" t="str">
        <f>IF('NEW ACCOUNT'!A1650="","",'NEW ACCOUNT'!E1650)</f>
        <v/>
      </c>
      <c r="F1649" t="str">
        <f>IF('NEW ACCOUNT'!A1650="","",'NEW ACCOUNT'!F1650)</f>
        <v/>
      </c>
      <c r="G1649" t="str">
        <f>IF('NEW ACCOUNT'!A1650="","",'NEW ACCOUNT'!G1650)</f>
        <v/>
      </c>
      <c r="H1649" t="str">
        <f>IF('NEW ACCOUNT'!A1650="","",'NEW ACCOUNT'!H1650)</f>
        <v/>
      </c>
      <c r="I1649" t="str">
        <f>IF('NEW ACCOUNT'!A1650="","",'NEW ACCOUNT'!I1650)</f>
        <v/>
      </c>
      <c r="J1649" t="str">
        <f>IF('NEW ACCOUNT'!A1650="","",'NEW ACCOUNT'!J1650)</f>
        <v/>
      </c>
      <c r="K1649" t="str">
        <f>IFERROR(IF(A1649="","",SUMIF(DB_Savings!$A:$A,A1649,DB_Savings!$F:$F)),"")</f>
        <v/>
      </c>
      <c r="L1649" t="str">
        <f>IFERROR(IF(A1649="","",SUMIF(DB_Withdrawals!$A:$A,A1649,DB_Withdrawals!$G:$G)),"")</f>
        <v/>
      </c>
      <c r="M1649" t="str">
        <f>IFERROR(IF(A1649="","",IFERROR(VALUE(H1649),0)+IFERROR(SUMIF(DB_Savings!$A:$A,A1649,DB_Savings!$F:$F),0)-IFERROR(SUMIF(DB_Withdrawals!$A:$A,A1649,DB_Withdrawals!$G:$G),0)),"")</f>
        <v/>
      </c>
      <c r="N1649" t="str">
        <f>IFERROR(IF(A1649="","",MAX(0,M1649-System_Config!$B$9)),"")</f>
        <v/>
      </c>
    </row>
    <row r="1650" spans="1:14" ht="15" customHeight="1" x14ac:dyDescent="0.25">
      <c r="A1650" t="str">
        <f>'NEW ACCOUNT'!A1651</f>
        <v/>
      </c>
      <c r="B1650" t="str">
        <f>IF('NEW ACCOUNT'!A1651="","",'NEW ACCOUNT'!B1651)</f>
        <v/>
      </c>
      <c r="C1650" t="str">
        <f>IF('NEW ACCOUNT'!A1651="","",'NEW ACCOUNT'!C1651)</f>
        <v/>
      </c>
      <c r="D1650" t="str">
        <f>IF('NEW ACCOUNT'!A1651="","",'NEW ACCOUNT'!D1651)</f>
        <v/>
      </c>
      <c r="E1650" t="str">
        <f>IF('NEW ACCOUNT'!A1651="","",'NEW ACCOUNT'!E1651)</f>
        <v/>
      </c>
      <c r="F1650" t="str">
        <f>IF('NEW ACCOUNT'!A1651="","",'NEW ACCOUNT'!F1651)</f>
        <v/>
      </c>
      <c r="G1650" t="str">
        <f>IF('NEW ACCOUNT'!A1651="","",'NEW ACCOUNT'!G1651)</f>
        <v/>
      </c>
      <c r="H1650" t="str">
        <f>IF('NEW ACCOUNT'!A1651="","",'NEW ACCOUNT'!H1651)</f>
        <v/>
      </c>
      <c r="I1650" t="str">
        <f>IF('NEW ACCOUNT'!A1651="","",'NEW ACCOUNT'!I1651)</f>
        <v/>
      </c>
      <c r="J1650" t="str">
        <f>IF('NEW ACCOUNT'!A1651="","",'NEW ACCOUNT'!J1651)</f>
        <v/>
      </c>
      <c r="K1650" t="str">
        <f>IFERROR(IF(A1650="","",SUMIF(DB_Savings!$A:$A,A1650,DB_Savings!$F:$F)),"")</f>
        <v/>
      </c>
      <c r="L1650" t="str">
        <f>IFERROR(IF(A1650="","",SUMIF(DB_Withdrawals!$A:$A,A1650,DB_Withdrawals!$G:$G)),"")</f>
        <v/>
      </c>
      <c r="M1650" t="str">
        <f>IFERROR(IF(A1650="","",IFERROR(VALUE(H1650),0)+IFERROR(SUMIF(DB_Savings!$A:$A,A1650,DB_Savings!$F:$F),0)-IFERROR(SUMIF(DB_Withdrawals!$A:$A,A1650,DB_Withdrawals!$G:$G),0)),"")</f>
        <v/>
      </c>
      <c r="N1650" t="str">
        <f>IFERROR(IF(A1650="","",MAX(0,M1650-System_Config!$B$9)),"")</f>
        <v/>
      </c>
    </row>
    <row r="1651" spans="1:14" ht="15" customHeight="1" x14ac:dyDescent="0.25">
      <c r="A1651" t="str">
        <f>'NEW ACCOUNT'!A1652</f>
        <v/>
      </c>
      <c r="B1651" t="str">
        <f>IF('NEW ACCOUNT'!A1652="","",'NEW ACCOUNT'!B1652)</f>
        <v/>
      </c>
      <c r="C1651" t="str">
        <f>IF('NEW ACCOUNT'!A1652="","",'NEW ACCOUNT'!C1652)</f>
        <v/>
      </c>
      <c r="D1651" t="str">
        <f>IF('NEW ACCOUNT'!A1652="","",'NEW ACCOUNT'!D1652)</f>
        <v/>
      </c>
      <c r="E1651" t="str">
        <f>IF('NEW ACCOUNT'!A1652="","",'NEW ACCOUNT'!E1652)</f>
        <v/>
      </c>
      <c r="F1651" t="str">
        <f>IF('NEW ACCOUNT'!A1652="","",'NEW ACCOUNT'!F1652)</f>
        <v/>
      </c>
      <c r="G1651" t="str">
        <f>IF('NEW ACCOUNT'!A1652="","",'NEW ACCOUNT'!G1652)</f>
        <v/>
      </c>
      <c r="H1651" t="str">
        <f>IF('NEW ACCOUNT'!A1652="","",'NEW ACCOUNT'!H1652)</f>
        <v/>
      </c>
      <c r="I1651" t="str">
        <f>IF('NEW ACCOUNT'!A1652="","",'NEW ACCOUNT'!I1652)</f>
        <v/>
      </c>
      <c r="J1651" t="str">
        <f>IF('NEW ACCOUNT'!A1652="","",'NEW ACCOUNT'!J1652)</f>
        <v/>
      </c>
      <c r="K1651" t="str">
        <f>IFERROR(IF(A1651="","",SUMIF(DB_Savings!$A:$A,A1651,DB_Savings!$F:$F)),"")</f>
        <v/>
      </c>
      <c r="L1651" t="str">
        <f>IFERROR(IF(A1651="","",SUMIF(DB_Withdrawals!$A:$A,A1651,DB_Withdrawals!$G:$G)),"")</f>
        <v/>
      </c>
      <c r="M1651" t="str">
        <f>IFERROR(IF(A1651="","",IFERROR(VALUE(H1651),0)+IFERROR(SUMIF(DB_Savings!$A:$A,A1651,DB_Savings!$F:$F),0)-IFERROR(SUMIF(DB_Withdrawals!$A:$A,A1651,DB_Withdrawals!$G:$G),0)),"")</f>
        <v/>
      </c>
      <c r="N1651" t="str">
        <f>IFERROR(IF(A1651="","",MAX(0,M1651-System_Config!$B$9)),"")</f>
        <v/>
      </c>
    </row>
    <row r="1652" spans="1:14" ht="15" customHeight="1" x14ac:dyDescent="0.25">
      <c r="A1652" t="str">
        <f>'NEW ACCOUNT'!A1653</f>
        <v/>
      </c>
      <c r="B1652" t="str">
        <f>IF('NEW ACCOUNT'!A1653="","",'NEW ACCOUNT'!B1653)</f>
        <v/>
      </c>
      <c r="C1652" t="str">
        <f>IF('NEW ACCOUNT'!A1653="","",'NEW ACCOUNT'!C1653)</f>
        <v/>
      </c>
      <c r="D1652" t="str">
        <f>IF('NEW ACCOUNT'!A1653="","",'NEW ACCOUNT'!D1653)</f>
        <v/>
      </c>
      <c r="E1652" t="str">
        <f>IF('NEW ACCOUNT'!A1653="","",'NEW ACCOUNT'!E1653)</f>
        <v/>
      </c>
      <c r="F1652" t="str">
        <f>IF('NEW ACCOUNT'!A1653="","",'NEW ACCOUNT'!F1653)</f>
        <v/>
      </c>
      <c r="G1652" t="str">
        <f>IF('NEW ACCOUNT'!A1653="","",'NEW ACCOUNT'!G1653)</f>
        <v/>
      </c>
      <c r="H1652" t="str">
        <f>IF('NEW ACCOUNT'!A1653="","",'NEW ACCOUNT'!H1653)</f>
        <v/>
      </c>
      <c r="I1652" t="str">
        <f>IF('NEW ACCOUNT'!A1653="","",'NEW ACCOUNT'!I1653)</f>
        <v/>
      </c>
      <c r="J1652" t="str">
        <f>IF('NEW ACCOUNT'!A1653="","",'NEW ACCOUNT'!J1653)</f>
        <v/>
      </c>
      <c r="K1652" t="str">
        <f>IFERROR(IF(A1652="","",SUMIF(DB_Savings!$A:$A,A1652,DB_Savings!$F:$F)),"")</f>
        <v/>
      </c>
      <c r="L1652" t="str">
        <f>IFERROR(IF(A1652="","",SUMIF(DB_Withdrawals!$A:$A,A1652,DB_Withdrawals!$G:$G)),"")</f>
        <v/>
      </c>
      <c r="M1652" t="str">
        <f>IFERROR(IF(A1652="","",IFERROR(VALUE(H1652),0)+IFERROR(SUMIF(DB_Savings!$A:$A,A1652,DB_Savings!$F:$F),0)-IFERROR(SUMIF(DB_Withdrawals!$A:$A,A1652,DB_Withdrawals!$G:$G),0)),"")</f>
        <v/>
      </c>
      <c r="N1652" t="str">
        <f>IFERROR(IF(A1652="","",MAX(0,M1652-System_Config!$B$9)),"")</f>
        <v/>
      </c>
    </row>
    <row r="1653" spans="1:14" ht="15" customHeight="1" x14ac:dyDescent="0.25">
      <c r="A1653" t="str">
        <f>'NEW ACCOUNT'!A1654</f>
        <v/>
      </c>
      <c r="B1653" t="str">
        <f>IF('NEW ACCOUNT'!A1654="","",'NEW ACCOUNT'!B1654)</f>
        <v/>
      </c>
      <c r="C1653" t="str">
        <f>IF('NEW ACCOUNT'!A1654="","",'NEW ACCOUNT'!C1654)</f>
        <v/>
      </c>
      <c r="D1653" t="str">
        <f>IF('NEW ACCOUNT'!A1654="","",'NEW ACCOUNT'!D1654)</f>
        <v/>
      </c>
      <c r="E1653" t="str">
        <f>IF('NEW ACCOUNT'!A1654="","",'NEW ACCOUNT'!E1654)</f>
        <v/>
      </c>
      <c r="F1653" t="str">
        <f>IF('NEW ACCOUNT'!A1654="","",'NEW ACCOUNT'!F1654)</f>
        <v/>
      </c>
      <c r="G1653" t="str">
        <f>IF('NEW ACCOUNT'!A1654="","",'NEW ACCOUNT'!G1654)</f>
        <v/>
      </c>
      <c r="H1653" t="str">
        <f>IF('NEW ACCOUNT'!A1654="","",'NEW ACCOUNT'!H1654)</f>
        <v/>
      </c>
      <c r="I1653" t="str">
        <f>IF('NEW ACCOUNT'!A1654="","",'NEW ACCOUNT'!I1654)</f>
        <v/>
      </c>
      <c r="J1653" t="str">
        <f>IF('NEW ACCOUNT'!A1654="","",'NEW ACCOUNT'!J1654)</f>
        <v/>
      </c>
      <c r="K1653" t="str">
        <f>IFERROR(IF(A1653="","",SUMIF(DB_Savings!$A:$A,A1653,DB_Savings!$F:$F)),"")</f>
        <v/>
      </c>
      <c r="L1653" t="str">
        <f>IFERROR(IF(A1653="","",SUMIF(DB_Withdrawals!$A:$A,A1653,DB_Withdrawals!$G:$G)),"")</f>
        <v/>
      </c>
      <c r="M1653" t="str">
        <f>IFERROR(IF(A1653="","",IFERROR(VALUE(H1653),0)+IFERROR(SUMIF(DB_Savings!$A:$A,A1653,DB_Savings!$F:$F),0)-IFERROR(SUMIF(DB_Withdrawals!$A:$A,A1653,DB_Withdrawals!$G:$G),0)),"")</f>
        <v/>
      </c>
      <c r="N1653" t="str">
        <f>IFERROR(IF(A1653="","",MAX(0,M1653-System_Config!$B$9)),"")</f>
        <v/>
      </c>
    </row>
    <row r="1654" spans="1:14" ht="15" customHeight="1" x14ac:dyDescent="0.25">
      <c r="A1654" t="str">
        <f>'NEW ACCOUNT'!A1655</f>
        <v/>
      </c>
      <c r="B1654" t="str">
        <f>IF('NEW ACCOUNT'!A1655="","",'NEW ACCOUNT'!B1655)</f>
        <v/>
      </c>
      <c r="C1654" t="str">
        <f>IF('NEW ACCOUNT'!A1655="","",'NEW ACCOUNT'!C1655)</f>
        <v/>
      </c>
      <c r="D1654" t="str">
        <f>IF('NEW ACCOUNT'!A1655="","",'NEW ACCOUNT'!D1655)</f>
        <v/>
      </c>
      <c r="E1654" t="str">
        <f>IF('NEW ACCOUNT'!A1655="","",'NEW ACCOUNT'!E1655)</f>
        <v/>
      </c>
      <c r="F1654" t="str">
        <f>IF('NEW ACCOUNT'!A1655="","",'NEW ACCOUNT'!F1655)</f>
        <v/>
      </c>
      <c r="G1654" t="str">
        <f>IF('NEW ACCOUNT'!A1655="","",'NEW ACCOUNT'!G1655)</f>
        <v/>
      </c>
      <c r="H1654" t="str">
        <f>IF('NEW ACCOUNT'!A1655="","",'NEW ACCOUNT'!H1655)</f>
        <v/>
      </c>
      <c r="I1654" t="str">
        <f>IF('NEW ACCOUNT'!A1655="","",'NEW ACCOUNT'!I1655)</f>
        <v/>
      </c>
      <c r="J1654" t="str">
        <f>IF('NEW ACCOUNT'!A1655="","",'NEW ACCOUNT'!J1655)</f>
        <v/>
      </c>
      <c r="K1654" t="str">
        <f>IFERROR(IF(A1654="","",SUMIF(DB_Savings!$A:$A,A1654,DB_Savings!$F:$F)),"")</f>
        <v/>
      </c>
      <c r="L1654" t="str">
        <f>IFERROR(IF(A1654="","",SUMIF(DB_Withdrawals!$A:$A,A1654,DB_Withdrawals!$G:$G)),"")</f>
        <v/>
      </c>
      <c r="M1654" t="str">
        <f>IFERROR(IF(A1654="","",IFERROR(VALUE(H1654),0)+IFERROR(SUMIF(DB_Savings!$A:$A,A1654,DB_Savings!$F:$F),0)-IFERROR(SUMIF(DB_Withdrawals!$A:$A,A1654,DB_Withdrawals!$G:$G),0)),"")</f>
        <v/>
      </c>
      <c r="N1654" t="str">
        <f>IFERROR(IF(A1654="","",MAX(0,M1654-System_Config!$B$9)),"")</f>
        <v/>
      </c>
    </row>
    <row r="1655" spans="1:14" ht="15" customHeight="1" x14ac:dyDescent="0.25">
      <c r="A1655" t="str">
        <f>'NEW ACCOUNT'!A1656</f>
        <v/>
      </c>
      <c r="B1655" t="str">
        <f>IF('NEW ACCOUNT'!A1656="","",'NEW ACCOUNT'!B1656)</f>
        <v/>
      </c>
      <c r="C1655" t="str">
        <f>IF('NEW ACCOUNT'!A1656="","",'NEW ACCOUNT'!C1656)</f>
        <v/>
      </c>
      <c r="D1655" t="str">
        <f>IF('NEW ACCOUNT'!A1656="","",'NEW ACCOUNT'!D1656)</f>
        <v/>
      </c>
      <c r="E1655" t="str">
        <f>IF('NEW ACCOUNT'!A1656="","",'NEW ACCOUNT'!E1656)</f>
        <v/>
      </c>
      <c r="F1655" t="str">
        <f>IF('NEW ACCOUNT'!A1656="","",'NEW ACCOUNT'!F1656)</f>
        <v/>
      </c>
      <c r="G1655" t="str">
        <f>IF('NEW ACCOUNT'!A1656="","",'NEW ACCOUNT'!G1656)</f>
        <v/>
      </c>
      <c r="H1655" t="str">
        <f>IF('NEW ACCOUNT'!A1656="","",'NEW ACCOUNT'!H1656)</f>
        <v/>
      </c>
      <c r="I1655" t="str">
        <f>IF('NEW ACCOUNT'!A1656="","",'NEW ACCOUNT'!I1656)</f>
        <v/>
      </c>
      <c r="J1655" t="str">
        <f>IF('NEW ACCOUNT'!A1656="","",'NEW ACCOUNT'!J1656)</f>
        <v/>
      </c>
      <c r="K1655" t="str">
        <f>IFERROR(IF(A1655="","",SUMIF(DB_Savings!$A:$A,A1655,DB_Savings!$F:$F)),"")</f>
        <v/>
      </c>
      <c r="L1655" t="str">
        <f>IFERROR(IF(A1655="","",SUMIF(DB_Withdrawals!$A:$A,A1655,DB_Withdrawals!$G:$G)),"")</f>
        <v/>
      </c>
      <c r="M1655" t="str">
        <f>IFERROR(IF(A1655="","",IFERROR(VALUE(H1655),0)+IFERROR(SUMIF(DB_Savings!$A:$A,A1655,DB_Savings!$F:$F),0)-IFERROR(SUMIF(DB_Withdrawals!$A:$A,A1655,DB_Withdrawals!$G:$G),0)),"")</f>
        <v/>
      </c>
      <c r="N1655" t="str">
        <f>IFERROR(IF(A1655="","",MAX(0,M1655-System_Config!$B$9)),"")</f>
        <v/>
      </c>
    </row>
    <row r="1656" spans="1:14" ht="15" customHeight="1" x14ac:dyDescent="0.25">
      <c r="A1656" t="str">
        <f>'NEW ACCOUNT'!A1657</f>
        <v/>
      </c>
      <c r="B1656" t="str">
        <f>IF('NEW ACCOUNT'!A1657="","",'NEW ACCOUNT'!B1657)</f>
        <v/>
      </c>
      <c r="C1656" t="str">
        <f>IF('NEW ACCOUNT'!A1657="","",'NEW ACCOUNT'!C1657)</f>
        <v/>
      </c>
      <c r="D1656" t="str">
        <f>IF('NEW ACCOUNT'!A1657="","",'NEW ACCOUNT'!D1657)</f>
        <v/>
      </c>
      <c r="E1656" t="str">
        <f>IF('NEW ACCOUNT'!A1657="","",'NEW ACCOUNT'!E1657)</f>
        <v/>
      </c>
      <c r="F1656" t="str">
        <f>IF('NEW ACCOUNT'!A1657="","",'NEW ACCOUNT'!F1657)</f>
        <v/>
      </c>
      <c r="G1656" t="str">
        <f>IF('NEW ACCOUNT'!A1657="","",'NEW ACCOUNT'!G1657)</f>
        <v/>
      </c>
      <c r="H1656" t="str">
        <f>IF('NEW ACCOUNT'!A1657="","",'NEW ACCOUNT'!H1657)</f>
        <v/>
      </c>
      <c r="I1656" t="str">
        <f>IF('NEW ACCOUNT'!A1657="","",'NEW ACCOUNT'!I1657)</f>
        <v/>
      </c>
      <c r="J1656" t="str">
        <f>IF('NEW ACCOUNT'!A1657="","",'NEW ACCOUNT'!J1657)</f>
        <v/>
      </c>
      <c r="K1656" t="str">
        <f>IFERROR(IF(A1656="","",SUMIF(DB_Savings!$A:$A,A1656,DB_Savings!$F:$F)),"")</f>
        <v/>
      </c>
      <c r="L1656" t="str">
        <f>IFERROR(IF(A1656="","",SUMIF(DB_Withdrawals!$A:$A,A1656,DB_Withdrawals!$G:$G)),"")</f>
        <v/>
      </c>
      <c r="M1656" t="str">
        <f>IFERROR(IF(A1656="","",IFERROR(VALUE(H1656),0)+IFERROR(SUMIF(DB_Savings!$A:$A,A1656,DB_Savings!$F:$F),0)-IFERROR(SUMIF(DB_Withdrawals!$A:$A,A1656,DB_Withdrawals!$G:$G),0)),"")</f>
        <v/>
      </c>
      <c r="N1656" t="str">
        <f>IFERROR(IF(A1656="","",MAX(0,M1656-System_Config!$B$9)),"")</f>
        <v/>
      </c>
    </row>
    <row r="1657" spans="1:14" ht="15" customHeight="1" x14ac:dyDescent="0.25">
      <c r="A1657" t="str">
        <f>'NEW ACCOUNT'!A1658</f>
        <v/>
      </c>
      <c r="B1657" t="str">
        <f>IF('NEW ACCOUNT'!A1658="","",'NEW ACCOUNT'!B1658)</f>
        <v/>
      </c>
      <c r="C1657" t="str">
        <f>IF('NEW ACCOUNT'!A1658="","",'NEW ACCOUNT'!C1658)</f>
        <v/>
      </c>
      <c r="D1657" t="str">
        <f>IF('NEW ACCOUNT'!A1658="","",'NEW ACCOUNT'!D1658)</f>
        <v/>
      </c>
      <c r="E1657" t="str">
        <f>IF('NEW ACCOUNT'!A1658="","",'NEW ACCOUNT'!E1658)</f>
        <v/>
      </c>
      <c r="F1657" t="str">
        <f>IF('NEW ACCOUNT'!A1658="","",'NEW ACCOUNT'!F1658)</f>
        <v/>
      </c>
      <c r="G1657" t="str">
        <f>IF('NEW ACCOUNT'!A1658="","",'NEW ACCOUNT'!G1658)</f>
        <v/>
      </c>
      <c r="H1657" t="str">
        <f>IF('NEW ACCOUNT'!A1658="","",'NEW ACCOUNT'!H1658)</f>
        <v/>
      </c>
      <c r="I1657" t="str">
        <f>IF('NEW ACCOUNT'!A1658="","",'NEW ACCOUNT'!I1658)</f>
        <v/>
      </c>
      <c r="J1657" t="str">
        <f>IF('NEW ACCOUNT'!A1658="","",'NEW ACCOUNT'!J1658)</f>
        <v/>
      </c>
      <c r="K1657" t="str">
        <f>IFERROR(IF(A1657="","",SUMIF(DB_Savings!$A:$A,A1657,DB_Savings!$F:$F)),"")</f>
        <v/>
      </c>
      <c r="L1657" t="str">
        <f>IFERROR(IF(A1657="","",SUMIF(DB_Withdrawals!$A:$A,A1657,DB_Withdrawals!$G:$G)),"")</f>
        <v/>
      </c>
      <c r="M1657" t="str">
        <f>IFERROR(IF(A1657="","",IFERROR(VALUE(H1657),0)+IFERROR(SUMIF(DB_Savings!$A:$A,A1657,DB_Savings!$F:$F),0)-IFERROR(SUMIF(DB_Withdrawals!$A:$A,A1657,DB_Withdrawals!$G:$G),0)),"")</f>
        <v/>
      </c>
      <c r="N1657" t="str">
        <f>IFERROR(IF(A1657="","",MAX(0,M1657-System_Config!$B$9)),"")</f>
        <v/>
      </c>
    </row>
    <row r="1658" spans="1:14" ht="15" customHeight="1" x14ac:dyDescent="0.25">
      <c r="A1658" t="str">
        <f>'NEW ACCOUNT'!A1659</f>
        <v/>
      </c>
      <c r="B1658" t="str">
        <f>IF('NEW ACCOUNT'!A1659="","",'NEW ACCOUNT'!B1659)</f>
        <v/>
      </c>
      <c r="C1658" t="str">
        <f>IF('NEW ACCOUNT'!A1659="","",'NEW ACCOUNT'!C1659)</f>
        <v/>
      </c>
      <c r="D1658" t="str">
        <f>IF('NEW ACCOUNT'!A1659="","",'NEW ACCOUNT'!D1659)</f>
        <v/>
      </c>
      <c r="E1658" t="str">
        <f>IF('NEW ACCOUNT'!A1659="","",'NEW ACCOUNT'!E1659)</f>
        <v/>
      </c>
      <c r="F1658" t="str">
        <f>IF('NEW ACCOUNT'!A1659="","",'NEW ACCOUNT'!F1659)</f>
        <v/>
      </c>
      <c r="G1658" t="str">
        <f>IF('NEW ACCOUNT'!A1659="","",'NEW ACCOUNT'!G1659)</f>
        <v/>
      </c>
      <c r="H1658" t="str">
        <f>IF('NEW ACCOUNT'!A1659="","",'NEW ACCOUNT'!H1659)</f>
        <v/>
      </c>
      <c r="I1658" t="str">
        <f>IF('NEW ACCOUNT'!A1659="","",'NEW ACCOUNT'!I1659)</f>
        <v/>
      </c>
      <c r="J1658" t="str">
        <f>IF('NEW ACCOUNT'!A1659="","",'NEW ACCOUNT'!J1659)</f>
        <v/>
      </c>
      <c r="K1658" t="str">
        <f>IFERROR(IF(A1658="","",SUMIF(DB_Savings!$A:$A,A1658,DB_Savings!$F:$F)),"")</f>
        <v/>
      </c>
      <c r="L1658" t="str">
        <f>IFERROR(IF(A1658="","",SUMIF(DB_Withdrawals!$A:$A,A1658,DB_Withdrawals!$G:$G)),"")</f>
        <v/>
      </c>
      <c r="M1658" t="str">
        <f>IFERROR(IF(A1658="","",IFERROR(VALUE(H1658),0)+IFERROR(SUMIF(DB_Savings!$A:$A,A1658,DB_Savings!$F:$F),0)-IFERROR(SUMIF(DB_Withdrawals!$A:$A,A1658,DB_Withdrawals!$G:$G),0)),"")</f>
        <v/>
      </c>
      <c r="N1658" t="str">
        <f>IFERROR(IF(A1658="","",MAX(0,M1658-System_Config!$B$9)),"")</f>
        <v/>
      </c>
    </row>
    <row r="1659" spans="1:14" ht="15" customHeight="1" x14ac:dyDescent="0.25">
      <c r="A1659" t="str">
        <f>'NEW ACCOUNT'!A1660</f>
        <v/>
      </c>
      <c r="B1659" t="str">
        <f>IF('NEW ACCOUNT'!A1660="","",'NEW ACCOUNT'!B1660)</f>
        <v/>
      </c>
      <c r="C1659" t="str">
        <f>IF('NEW ACCOUNT'!A1660="","",'NEW ACCOUNT'!C1660)</f>
        <v/>
      </c>
      <c r="D1659" t="str">
        <f>IF('NEW ACCOUNT'!A1660="","",'NEW ACCOUNT'!D1660)</f>
        <v/>
      </c>
      <c r="E1659" t="str">
        <f>IF('NEW ACCOUNT'!A1660="","",'NEW ACCOUNT'!E1660)</f>
        <v/>
      </c>
      <c r="F1659" t="str">
        <f>IF('NEW ACCOUNT'!A1660="","",'NEW ACCOUNT'!F1660)</f>
        <v/>
      </c>
      <c r="G1659" t="str">
        <f>IF('NEW ACCOUNT'!A1660="","",'NEW ACCOUNT'!G1660)</f>
        <v/>
      </c>
      <c r="H1659" t="str">
        <f>IF('NEW ACCOUNT'!A1660="","",'NEW ACCOUNT'!H1660)</f>
        <v/>
      </c>
      <c r="I1659" t="str">
        <f>IF('NEW ACCOUNT'!A1660="","",'NEW ACCOUNT'!I1660)</f>
        <v/>
      </c>
      <c r="J1659" t="str">
        <f>IF('NEW ACCOUNT'!A1660="","",'NEW ACCOUNT'!J1660)</f>
        <v/>
      </c>
      <c r="K1659" t="str">
        <f>IFERROR(IF(A1659="","",SUMIF(DB_Savings!$A:$A,A1659,DB_Savings!$F:$F)),"")</f>
        <v/>
      </c>
      <c r="L1659" t="str">
        <f>IFERROR(IF(A1659="","",SUMIF(DB_Withdrawals!$A:$A,A1659,DB_Withdrawals!$G:$G)),"")</f>
        <v/>
      </c>
      <c r="M1659" t="str">
        <f>IFERROR(IF(A1659="","",IFERROR(VALUE(H1659),0)+IFERROR(SUMIF(DB_Savings!$A:$A,A1659,DB_Savings!$F:$F),0)-IFERROR(SUMIF(DB_Withdrawals!$A:$A,A1659,DB_Withdrawals!$G:$G),0)),"")</f>
        <v/>
      </c>
      <c r="N1659" t="str">
        <f>IFERROR(IF(A1659="","",MAX(0,M1659-System_Config!$B$9)),"")</f>
        <v/>
      </c>
    </row>
    <row r="1660" spans="1:14" ht="15" customHeight="1" x14ac:dyDescent="0.25">
      <c r="A1660" t="str">
        <f>'NEW ACCOUNT'!A1661</f>
        <v/>
      </c>
      <c r="B1660" t="str">
        <f>IF('NEW ACCOUNT'!A1661="","",'NEW ACCOUNT'!B1661)</f>
        <v/>
      </c>
      <c r="C1660" t="str">
        <f>IF('NEW ACCOUNT'!A1661="","",'NEW ACCOUNT'!C1661)</f>
        <v/>
      </c>
      <c r="D1660" t="str">
        <f>IF('NEW ACCOUNT'!A1661="","",'NEW ACCOUNT'!D1661)</f>
        <v/>
      </c>
      <c r="E1660" t="str">
        <f>IF('NEW ACCOUNT'!A1661="","",'NEW ACCOUNT'!E1661)</f>
        <v/>
      </c>
      <c r="F1660" t="str">
        <f>IF('NEW ACCOUNT'!A1661="","",'NEW ACCOUNT'!F1661)</f>
        <v/>
      </c>
      <c r="G1660" t="str">
        <f>IF('NEW ACCOUNT'!A1661="","",'NEW ACCOUNT'!G1661)</f>
        <v/>
      </c>
      <c r="H1660" t="str">
        <f>IF('NEW ACCOUNT'!A1661="","",'NEW ACCOUNT'!H1661)</f>
        <v/>
      </c>
      <c r="I1660" t="str">
        <f>IF('NEW ACCOUNT'!A1661="","",'NEW ACCOUNT'!I1661)</f>
        <v/>
      </c>
      <c r="J1660" t="str">
        <f>IF('NEW ACCOUNT'!A1661="","",'NEW ACCOUNT'!J1661)</f>
        <v/>
      </c>
      <c r="K1660" t="str">
        <f>IFERROR(IF(A1660="","",SUMIF(DB_Savings!$A:$A,A1660,DB_Savings!$F:$F)),"")</f>
        <v/>
      </c>
      <c r="L1660" t="str">
        <f>IFERROR(IF(A1660="","",SUMIF(DB_Withdrawals!$A:$A,A1660,DB_Withdrawals!$G:$G)),"")</f>
        <v/>
      </c>
      <c r="M1660" t="str">
        <f>IFERROR(IF(A1660="","",IFERROR(VALUE(H1660),0)+IFERROR(SUMIF(DB_Savings!$A:$A,A1660,DB_Savings!$F:$F),0)-IFERROR(SUMIF(DB_Withdrawals!$A:$A,A1660,DB_Withdrawals!$G:$G),0)),"")</f>
        <v/>
      </c>
      <c r="N1660" t="str">
        <f>IFERROR(IF(A1660="","",MAX(0,M1660-System_Config!$B$9)),"")</f>
        <v/>
      </c>
    </row>
    <row r="1661" spans="1:14" ht="15" customHeight="1" x14ac:dyDescent="0.25">
      <c r="A1661" t="str">
        <f>'NEW ACCOUNT'!A1662</f>
        <v/>
      </c>
      <c r="B1661" t="str">
        <f>IF('NEW ACCOUNT'!A1662="","",'NEW ACCOUNT'!B1662)</f>
        <v/>
      </c>
      <c r="C1661" t="str">
        <f>IF('NEW ACCOUNT'!A1662="","",'NEW ACCOUNT'!C1662)</f>
        <v/>
      </c>
      <c r="D1661" t="str">
        <f>IF('NEW ACCOUNT'!A1662="","",'NEW ACCOUNT'!D1662)</f>
        <v/>
      </c>
      <c r="E1661" t="str">
        <f>IF('NEW ACCOUNT'!A1662="","",'NEW ACCOUNT'!E1662)</f>
        <v/>
      </c>
      <c r="F1661" t="str">
        <f>IF('NEW ACCOUNT'!A1662="","",'NEW ACCOUNT'!F1662)</f>
        <v/>
      </c>
      <c r="G1661" t="str">
        <f>IF('NEW ACCOUNT'!A1662="","",'NEW ACCOUNT'!G1662)</f>
        <v/>
      </c>
      <c r="H1661" t="str">
        <f>IF('NEW ACCOUNT'!A1662="","",'NEW ACCOUNT'!H1662)</f>
        <v/>
      </c>
      <c r="I1661" t="str">
        <f>IF('NEW ACCOUNT'!A1662="","",'NEW ACCOUNT'!I1662)</f>
        <v/>
      </c>
      <c r="J1661" t="str">
        <f>IF('NEW ACCOUNT'!A1662="","",'NEW ACCOUNT'!J1662)</f>
        <v/>
      </c>
      <c r="K1661" t="str">
        <f>IFERROR(IF(A1661="","",SUMIF(DB_Savings!$A:$A,A1661,DB_Savings!$F:$F)),"")</f>
        <v/>
      </c>
      <c r="L1661" t="str">
        <f>IFERROR(IF(A1661="","",SUMIF(DB_Withdrawals!$A:$A,A1661,DB_Withdrawals!$G:$G)),"")</f>
        <v/>
      </c>
      <c r="M1661" t="str">
        <f>IFERROR(IF(A1661="","",IFERROR(VALUE(H1661),0)+IFERROR(SUMIF(DB_Savings!$A:$A,A1661,DB_Savings!$F:$F),0)-IFERROR(SUMIF(DB_Withdrawals!$A:$A,A1661,DB_Withdrawals!$G:$G),0)),"")</f>
        <v/>
      </c>
      <c r="N1661" t="str">
        <f>IFERROR(IF(A1661="","",MAX(0,M1661-System_Config!$B$9)),"")</f>
        <v/>
      </c>
    </row>
    <row r="1662" spans="1:14" ht="15" customHeight="1" x14ac:dyDescent="0.25">
      <c r="A1662" t="str">
        <f>'NEW ACCOUNT'!A1663</f>
        <v/>
      </c>
      <c r="B1662" t="str">
        <f>IF('NEW ACCOUNT'!A1663="","",'NEW ACCOUNT'!B1663)</f>
        <v/>
      </c>
      <c r="C1662" t="str">
        <f>IF('NEW ACCOUNT'!A1663="","",'NEW ACCOUNT'!C1663)</f>
        <v/>
      </c>
      <c r="D1662" t="str">
        <f>IF('NEW ACCOUNT'!A1663="","",'NEW ACCOUNT'!D1663)</f>
        <v/>
      </c>
      <c r="E1662" t="str">
        <f>IF('NEW ACCOUNT'!A1663="","",'NEW ACCOUNT'!E1663)</f>
        <v/>
      </c>
      <c r="F1662" t="str">
        <f>IF('NEW ACCOUNT'!A1663="","",'NEW ACCOUNT'!F1663)</f>
        <v/>
      </c>
      <c r="G1662" t="str">
        <f>IF('NEW ACCOUNT'!A1663="","",'NEW ACCOUNT'!G1663)</f>
        <v/>
      </c>
      <c r="H1662" t="str">
        <f>IF('NEW ACCOUNT'!A1663="","",'NEW ACCOUNT'!H1663)</f>
        <v/>
      </c>
      <c r="I1662" t="str">
        <f>IF('NEW ACCOUNT'!A1663="","",'NEW ACCOUNT'!I1663)</f>
        <v/>
      </c>
      <c r="J1662" t="str">
        <f>IF('NEW ACCOUNT'!A1663="","",'NEW ACCOUNT'!J1663)</f>
        <v/>
      </c>
      <c r="K1662" t="str">
        <f>IFERROR(IF(A1662="","",SUMIF(DB_Savings!$A:$A,A1662,DB_Savings!$F:$F)),"")</f>
        <v/>
      </c>
      <c r="L1662" t="str">
        <f>IFERROR(IF(A1662="","",SUMIF(DB_Withdrawals!$A:$A,A1662,DB_Withdrawals!$G:$G)),"")</f>
        <v/>
      </c>
      <c r="M1662" t="str">
        <f>IFERROR(IF(A1662="","",IFERROR(VALUE(H1662),0)+IFERROR(SUMIF(DB_Savings!$A:$A,A1662,DB_Savings!$F:$F),0)-IFERROR(SUMIF(DB_Withdrawals!$A:$A,A1662,DB_Withdrawals!$G:$G),0)),"")</f>
        <v/>
      </c>
      <c r="N1662" t="str">
        <f>IFERROR(IF(A1662="","",MAX(0,M1662-System_Config!$B$9)),"")</f>
        <v/>
      </c>
    </row>
    <row r="1663" spans="1:14" ht="15" customHeight="1" x14ac:dyDescent="0.25">
      <c r="A1663" t="str">
        <f>'NEW ACCOUNT'!A1664</f>
        <v/>
      </c>
      <c r="B1663" t="str">
        <f>IF('NEW ACCOUNT'!A1664="","",'NEW ACCOUNT'!B1664)</f>
        <v/>
      </c>
      <c r="C1663" t="str">
        <f>IF('NEW ACCOUNT'!A1664="","",'NEW ACCOUNT'!C1664)</f>
        <v/>
      </c>
      <c r="D1663" t="str">
        <f>IF('NEW ACCOUNT'!A1664="","",'NEW ACCOUNT'!D1664)</f>
        <v/>
      </c>
      <c r="E1663" t="str">
        <f>IF('NEW ACCOUNT'!A1664="","",'NEW ACCOUNT'!E1664)</f>
        <v/>
      </c>
      <c r="F1663" t="str">
        <f>IF('NEW ACCOUNT'!A1664="","",'NEW ACCOUNT'!F1664)</f>
        <v/>
      </c>
      <c r="G1663" t="str">
        <f>IF('NEW ACCOUNT'!A1664="","",'NEW ACCOUNT'!G1664)</f>
        <v/>
      </c>
      <c r="H1663" t="str">
        <f>IF('NEW ACCOUNT'!A1664="","",'NEW ACCOUNT'!H1664)</f>
        <v/>
      </c>
      <c r="I1663" t="str">
        <f>IF('NEW ACCOUNT'!A1664="","",'NEW ACCOUNT'!I1664)</f>
        <v/>
      </c>
      <c r="J1663" t="str">
        <f>IF('NEW ACCOUNT'!A1664="","",'NEW ACCOUNT'!J1664)</f>
        <v/>
      </c>
      <c r="K1663" t="str">
        <f>IFERROR(IF(A1663="","",SUMIF(DB_Savings!$A:$A,A1663,DB_Savings!$F:$F)),"")</f>
        <v/>
      </c>
      <c r="L1663" t="str">
        <f>IFERROR(IF(A1663="","",SUMIF(DB_Withdrawals!$A:$A,A1663,DB_Withdrawals!$G:$G)),"")</f>
        <v/>
      </c>
      <c r="M1663" t="str">
        <f>IFERROR(IF(A1663="","",IFERROR(VALUE(H1663),0)+IFERROR(SUMIF(DB_Savings!$A:$A,A1663,DB_Savings!$F:$F),0)-IFERROR(SUMIF(DB_Withdrawals!$A:$A,A1663,DB_Withdrawals!$G:$G),0)),"")</f>
        <v/>
      </c>
      <c r="N1663" t="str">
        <f>IFERROR(IF(A1663="","",MAX(0,M1663-System_Config!$B$9)),"")</f>
        <v/>
      </c>
    </row>
    <row r="1664" spans="1:14" ht="15" customHeight="1" x14ac:dyDescent="0.25">
      <c r="A1664" t="str">
        <f>'NEW ACCOUNT'!A1665</f>
        <v/>
      </c>
      <c r="B1664" t="str">
        <f>IF('NEW ACCOUNT'!A1665="","",'NEW ACCOUNT'!B1665)</f>
        <v/>
      </c>
      <c r="C1664" t="str">
        <f>IF('NEW ACCOUNT'!A1665="","",'NEW ACCOUNT'!C1665)</f>
        <v/>
      </c>
      <c r="D1664" t="str">
        <f>IF('NEW ACCOUNT'!A1665="","",'NEW ACCOUNT'!D1665)</f>
        <v/>
      </c>
      <c r="E1664" t="str">
        <f>IF('NEW ACCOUNT'!A1665="","",'NEW ACCOUNT'!E1665)</f>
        <v/>
      </c>
      <c r="F1664" t="str">
        <f>IF('NEW ACCOUNT'!A1665="","",'NEW ACCOUNT'!F1665)</f>
        <v/>
      </c>
      <c r="G1664" t="str">
        <f>IF('NEW ACCOUNT'!A1665="","",'NEW ACCOUNT'!G1665)</f>
        <v/>
      </c>
      <c r="H1664" t="str">
        <f>IF('NEW ACCOUNT'!A1665="","",'NEW ACCOUNT'!H1665)</f>
        <v/>
      </c>
      <c r="I1664" t="str">
        <f>IF('NEW ACCOUNT'!A1665="","",'NEW ACCOUNT'!I1665)</f>
        <v/>
      </c>
      <c r="J1664" t="str">
        <f>IF('NEW ACCOUNT'!A1665="","",'NEW ACCOUNT'!J1665)</f>
        <v/>
      </c>
      <c r="K1664" t="str">
        <f>IFERROR(IF(A1664="","",SUMIF(DB_Savings!$A:$A,A1664,DB_Savings!$F:$F)),"")</f>
        <v/>
      </c>
      <c r="L1664" t="str">
        <f>IFERROR(IF(A1664="","",SUMIF(DB_Withdrawals!$A:$A,A1664,DB_Withdrawals!$G:$G)),"")</f>
        <v/>
      </c>
      <c r="M1664" t="str">
        <f>IFERROR(IF(A1664="","",IFERROR(VALUE(H1664),0)+IFERROR(SUMIF(DB_Savings!$A:$A,A1664,DB_Savings!$F:$F),0)-IFERROR(SUMIF(DB_Withdrawals!$A:$A,A1664,DB_Withdrawals!$G:$G),0)),"")</f>
        <v/>
      </c>
      <c r="N1664" t="str">
        <f>IFERROR(IF(A1664="","",MAX(0,M1664-System_Config!$B$9)),"")</f>
        <v/>
      </c>
    </row>
    <row r="1665" spans="1:14" ht="15" customHeight="1" x14ac:dyDescent="0.25">
      <c r="A1665" t="str">
        <f>'NEW ACCOUNT'!A1666</f>
        <v/>
      </c>
      <c r="B1665" t="str">
        <f>IF('NEW ACCOUNT'!A1666="","",'NEW ACCOUNT'!B1666)</f>
        <v/>
      </c>
      <c r="C1665" t="str">
        <f>IF('NEW ACCOUNT'!A1666="","",'NEW ACCOUNT'!C1666)</f>
        <v/>
      </c>
      <c r="D1665" t="str">
        <f>IF('NEW ACCOUNT'!A1666="","",'NEW ACCOUNT'!D1666)</f>
        <v/>
      </c>
      <c r="E1665" t="str">
        <f>IF('NEW ACCOUNT'!A1666="","",'NEW ACCOUNT'!E1666)</f>
        <v/>
      </c>
      <c r="F1665" t="str">
        <f>IF('NEW ACCOUNT'!A1666="","",'NEW ACCOUNT'!F1666)</f>
        <v/>
      </c>
      <c r="G1665" t="str">
        <f>IF('NEW ACCOUNT'!A1666="","",'NEW ACCOUNT'!G1666)</f>
        <v/>
      </c>
      <c r="H1665" t="str">
        <f>IF('NEW ACCOUNT'!A1666="","",'NEW ACCOUNT'!H1666)</f>
        <v/>
      </c>
      <c r="I1665" t="str">
        <f>IF('NEW ACCOUNT'!A1666="","",'NEW ACCOUNT'!I1666)</f>
        <v/>
      </c>
      <c r="J1665" t="str">
        <f>IF('NEW ACCOUNT'!A1666="","",'NEW ACCOUNT'!J1666)</f>
        <v/>
      </c>
      <c r="K1665" t="str">
        <f>IFERROR(IF(A1665="","",SUMIF(DB_Savings!$A:$A,A1665,DB_Savings!$F:$F)),"")</f>
        <v/>
      </c>
      <c r="L1665" t="str">
        <f>IFERROR(IF(A1665="","",SUMIF(DB_Withdrawals!$A:$A,A1665,DB_Withdrawals!$G:$G)),"")</f>
        <v/>
      </c>
      <c r="M1665" t="str">
        <f>IFERROR(IF(A1665="","",IFERROR(VALUE(H1665),0)+IFERROR(SUMIF(DB_Savings!$A:$A,A1665,DB_Savings!$F:$F),0)-IFERROR(SUMIF(DB_Withdrawals!$A:$A,A1665,DB_Withdrawals!$G:$G),0)),"")</f>
        <v/>
      </c>
      <c r="N1665" t="str">
        <f>IFERROR(IF(A1665="","",MAX(0,M1665-System_Config!$B$9)),"")</f>
        <v/>
      </c>
    </row>
    <row r="1666" spans="1:14" ht="15" customHeight="1" x14ac:dyDescent="0.25">
      <c r="A1666" t="str">
        <f>'NEW ACCOUNT'!A1667</f>
        <v/>
      </c>
      <c r="B1666" t="str">
        <f>IF('NEW ACCOUNT'!A1667="","",'NEW ACCOUNT'!B1667)</f>
        <v/>
      </c>
      <c r="C1666" t="str">
        <f>IF('NEW ACCOUNT'!A1667="","",'NEW ACCOUNT'!C1667)</f>
        <v/>
      </c>
      <c r="D1666" t="str">
        <f>IF('NEW ACCOUNT'!A1667="","",'NEW ACCOUNT'!D1667)</f>
        <v/>
      </c>
      <c r="E1666" t="str">
        <f>IF('NEW ACCOUNT'!A1667="","",'NEW ACCOUNT'!E1667)</f>
        <v/>
      </c>
      <c r="F1666" t="str">
        <f>IF('NEW ACCOUNT'!A1667="","",'NEW ACCOUNT'!F1667)</f>
        <v/>
      </c>
      <c r="G1666" t="str">
        <f>IF('NEW ACCOUNT'!A1667="","",'NEW ACCOUNT'!G1667)</f>
        <v/>
      </c>
      <c r="H1666" t="str">
        <f>IF('NEW ACCOUNT'!A1667="","",'NEW ACCOUNT'!H1667)</f>
        <v/>
      </c>
      <c r="I1666" t="str">
        <f>IF('NEW ACCOUNT'!A1667="","",'NEW ACCOUNT'!I1667)</f>
        <v/>
      </c>
      <c r="J1666" t="str">
        <f>IF('NEW ACCOUNT'!A1667="","",'NEW ACCOUNT'!J1667)</f>
        <v/>
      </c>
      <c r="K1666" t="str">
        <f>IFERROR(IF(A1666="","",SUMIF(DB_Savings!$A:$A,A1666,DB_Savings!$F:$F)),"")</f>
        <v/>
      </c>
      <c r="L1666" t="str">
        <f>IFERROR(IF(A1666="","",SUMIF(DB_Withdrawals!$A:$A,A1666,DB_Withdrawals!$G:$G)),"")</f>
        <v/>
      </c>
      <c r="M1666" t="str">
        <f>IFERROR(IF(A1666="","",IFERROR(VALUE(H1666),0)+IFERROR(SUMIF(DB_Savings!$A:$A,A1666,DB_Savings!$F:$F),0)-IFERROR(SUMIF(DB_Withdrawals!$A:$A,A1666,DB_Withdrawals!$G:$G),0)),"")</f>
        <v/>
      </c>
      <c r="N1666" t="str">
        <f>IFERROR(IF(A1666="","",MAX(0,M1666-System_Config!$B$9)),"")</f>
        <v/>
      </c>
    </row>
    <row r="1667" spans="1:14" ht="15" customHeight="1" x14ac:dyDescent="0.25">
      <c r="A1667" t="str">
        <f>'NEW ACCOUNT'!A1668</f>
        <v/>
      </c>
      <c r="B1667" t="str">
        <f>IF('NEW ACCOUNT'!A1668="","",'NEW ACCOUNT'!B1668)</f>
        <v/>
      </c>
      <c r="C1667" t="str">
        <f>IF('NEW ACCOUNT'!A1668="","",'NEW ACCOUNT'!C1668)</f>
        <v/>
      </c>
      <c r="D1667" t="str">
        <f>IF('NEW ACCOUNT'!A1668="","",'NEW ACCOUNT'!D1668)</f>
        <v/>
      </c>
      <c r="E1667" t="str">
        <f>IF('NEW ACCOUNT'!A1668="","",'NEW ACCOUNT'!E1668)</f>
        <v/>
      </c>
      <c r="F1667" t="str">
        <f>IF('NEW ACCOUNT'!A1668="","",'NEW ACCOUNT'!F1668)</f>
        <v/>
      </c>
      <c r="G1667" t="str">
        <f>IF('NEW ACCOUNT'!A1668="","",'NEW ACCOUNT'!G1668)</f>
        <v/>
      </c>
      <c r="H1667" t="str">
        <f>IF('NEW ACCOUNT'!A1668="","",'NEW ACCOUNT'!H1668)</f>
        <v/>
      </c>
      <c r="I1667" t="str">
        <f>IF('NEW ACCOUNT'!A1668="","",'NEW ACCOUNT'!I1668)</f>
        <v/>
      </c>
      <c r="J1667" t="str">
        <f>IF('NEW ACCOUNT'!A1668="","",'NEW ACCOUNT'!J1668)</f>
        <v/>
      </c>
      <c r="K1667" t="str">
        <f>IFERROR(IF(A1667="","",SUMIF(DB_Savings!$A:$A,A1667,DB_Savings!$F:$F)),"")</f>
        <v/>
      </c>
      <c r="L1667" t="str">
        <f>IFERROR(IF(A1667="","",SUMIF(DB_Withdrawals!$A:$A,A1667,DB_Withdrawals!$G:$G)),"")</f>
        <v/>
      </c>
      <c r="M1667" t="str">
        <f>IFERROR(IF(A1667="","",IFERROR(VALUE(H1667),0)+IFERROR(SUMIF(DB_Savings!$A:$A,A1667,DB_Savings!$F:$F),0)-IFERROR(SUMIF(DB_Withdrawals!$A:$A,A1667,DB_Withdrawals!$G:$G),0)),"")</f>
        <v/>
      </c>
      <c r="N1667" t="str">
        <f>IFERROR(IF(A1667="","",MAX(0,M1667-System_Config!$B$9)),"")</f>
        <v/>
      </c>
    </row>
    <row r="1668" spans="1:14" ht="15" customHeight="1" x14ac:dyDescent="0.25">
      <c r="A1668" t="str">
        <f>'NEW ACCOUNT'!A1669</f>
        <v/>
      </c>
      <c r="B1668" t="str">
        <f>IF('NEW ACCOUNT'!A1669="","",'NEW ACCOUNT'!B1669)</f>
        <v/>
      </c>
      <c r="C1668" t="str">
        <f>IF('NEW ACCOUNT'!A1669="","",'NEW ACCOUNT'!C1669)</f>
        <v/>
      </c>
      <c r="D1668" t="str">
        <f>IF('NEW ACCOUNT'!A1669="","",'NEW ACCOUNT'!D1669)</f>
        <v/>
      </c>
      <c r="E1668" t="str">
        <f>IF('NEW ACCOUNT'!A1669="","",'NEW ACCOUNT'!E1669)</f>
        <v/>
      </c>
      <c r="F1668" t="str">
        <f>IF('NEW ACCOUNT'!A1669="","",'NEW ACCOUNT'!F1669)</f>
        <v/>
      </c>
      <c r="G1668" t="str">
        <f>IF('NEW ACCOUNT'!A1669="","",'NEW ACCOUNT'!G1669)</f>
        <v/>
      </c>
      <c r="H1668" t="str">
        <f>IF('NEW ACCOUNT'!A1669="","",'NEW ACCOUNT'!H1669)</f>
        <v/>
      </c>
      <c r="I1668" t="str">
        <f>IF('NEW ACCOUNT'!A1669="","",'NEW ACCOUNT'!I1669)</f>
        <v/>
      </c>
      <c r="J1668" t="str">
        <f>IF('NEW ACCOUNT'!A1669="","",'NEW ACCOUNT'!J1669)</f>
        <v/>
      </c>
      <c r="K1668" t="str">
        <f>IFERROR(IF(A1668="","",SUMIF(DB_Savings!$A:$A,A1668,DB_Savings!$F:$F)),"")</f>
        <v/>
      </c>
      <c r="L1668" t="str">
        <f>IFERROR(IF(A1668="","",SUMIF(DB_Withdrawals!$A:$A,A1668,DB_Withdrawals!$G:$G)),"")</f>
        <v/>
      </c>
      <c r="M1668" t="str">
        <f>IFERROR(IF(A1668="","",IFERROR(VALUE(H1668),0)+IFERROR(SUMIF(DB_Savings!$A:$A,A1668,DB_Savings!$F:$F),0)-IFERROR(SUMIF(DB_Withdrawals!$A:$A,A1668,DB_Withdrawals!$G:$G),0)),"")</f>
        <v/>
      </c>
      <c r="N1668" t="str">
        <f>IFERROR(IF(A1668="","",MAX(0,M1668-System_Config!$B$9)),"")</f>
        <v/>
      </c>
    </row>
    <row r="1669" spans="1:14" ht="15" customHeight="1" x14ac:dyDescent="0.25">
      <c r="A1669" t="str">
        <f>'NEW ACCOUNT'!A1670</f>
        <v/>
      </c>
      <c r="B1669" t="str">
        <f>IF('NEW ACCOUNT'!A1670="","",'NEW ACCOUNT'!B1670)</f>
        <v/>
      </c>
      <c r="C1669" t="str">
        <f>IF('NEW ACCOUNT'!A1670="","",'NEW ACCOUNT'!C1670)</f>
        <v/>
      </c>
      <c r="D1669" t="str">
        <f>IF('NEW ACCOUNT'!A1670="","",'NEW ACCOUNT'!D1670)</f>
        <v/>
      </c>
      <c r="E1669" t="str">
        <f>IF('NEW ACCOUNT'!A1670="","",'NEW ACCOUNT'!E1670)</f>
        <v/>
      </c>
      <c r="F1669" t="str">
        <f>IF('NEW ACCOUNT'!A1670="","",'NEW ACCOUNT'!F1670)</f>
        <v/>
      </c>
      <c r="G1669" t="str">
        <f>IF('NEW ACCOUNT'!A1670="","",'NEW ACCOUNT'!G1670)</f>
        <v/>
      </c>
      <c r="H1669" t="str">
        <f>IF('NEW ACCOUNT'!A1670="","",'NEW ACCOUNT'!H1670)</f>
        <v/>
      </c>
      <c r="I1669" t="str">
        <f>IF('NEW ACCOUNT'!A1670="","",'NEW ACCOUNT'!I1670)</f>
        <v/>
      </c>
      <c r="J1669" t="str">
        <f>IF('NEW ACCOUNT'!A1670="","",'NEW ACCOUNT'!J1670)</f>
        <v/>
      </c>
      <c r="K1669" t="str">
        <f>IFERROR(IF(A1669="","",SUMIF(DB_Savings!$A:$A,A1669,DB_Savings!$F:$F)),"")</f>
        <v/>
      </c>
      <c r="L1669" t="str">
        <f>IFERROR(IF(A1669="","",SUMIF(DB_Withdrawals!$A:$A,A1669,DB_Withdrawals!$G:$G)),"")</f>
        <v/>
      </c>
      <c r="M1669" t="str">
        <f>IFERROR(IF(A1669="","",IFERROR(VALUE(H1669),0)+IFERROR(SUMIF(DB_Savings!$A:$A,A1669,DB_Savings!$F:$F),0)-IFERROR(SUMIF(DB_Withdrawals!$A:$A,A1669,DB_Withdrawals!$G:$G),0)),"")</f>
        <v/>
      </c>
      <c r="N1669" t="str">
        <f>IFERROR(IF(A1669="","",MAX(0,M1669-System_Config!$B$9)),"")</f>
        <v/>
      </c>
    </row>
    <row r="1670" spans="1:14" ht="15" customHeight="1" x14ac:dyDescent="0.25">
      <c r="A1670" t="str">
        <f>'NEW ACCOUNT'!A1671</f>
        <v/>
      </c>
      <c r="B1670" t="str">
        <f>IF('NEW ACCOUNT'!A1671="","",'NEW ACCOUNT'!B1671)</f>
        <v/>
      </c>
      <c r="C1670" t="str">
        <f>IF('NEW ACCOUNT'!A1671="","",'NEW ACCOUNT'!C1671)</f>
        <v/>
      </c>
      <c r="D1670" t="str">
        <f>IF('NEW ACCOUNT'!A1671="","",'NEW ACCOUNT'!D1671)</f>
        <v/>
      </c>
      <c r="E1670" t="str">
        <f>IF('NEW ACCOUNT'!A1671="","",'NEW ACCOUNT'!E1671)</f>
        <v/>
      </c>
      <c r="F1670" t="str">
        <f>IF('NEW ACCOUNT'!A1671="","",'NEW ACCOUNT'!F1671)</f>
        <v/>
      </c>
      <c r="G1670" t="str">
        <f>IF('NEW ACCOUNT'!A1671="","",'NEW ACCOUNT'!G1671)</f>
        <v/>
      </c>
      <c r="H1670" t="str">
        <f>IF('NEW ACCOUNT'!A1671="","",'NEW ACCOUNT'!H1671)</f>
        <v/>
      </c>
      <c r="I1670" t="str">
        <f>IF('NEW ACCOUNT'!A1671="","",'NEW ACCOUNT'!I1671)</f>
        <v/>
      </c>
      <c r="J1670" t="str">
        <f>IF('NEW ACCOUNT'!A1671="","",'NEW ACCOUNT'!J1671)</f>
        <v/>
      </c>
      <c r="K1670" t="str">
        <f>IFERROR(IF(A1670="","",SUMIF(DB_Savings!$A:$A,A1670,DB_Savings!$F:$F)),"")</f>
        <v/>
      </c>
      <c r="L1670" t="str">
        <f>IFERROR(IF(A1670="","",SUMIF(DB_Withdrawals!$A:$A,A1670,DB_Withdrawals!$G:$G)),"")</f>
        <v/>
      </c>
      <c r="M1670" t="str">
        <f>IFERROR(IF(A1670="","",IFERROR(VALUE(H1670),0)+IFERROR(SUMIF(DB_Savings!$A:$A,A1670,DB_Savings!$F:$F),0)-IFERROR(SUMIF(DB_Withdrawals!$A:$A,A1670,DB_Withdrawals!$G:$G),0)),"")</f>
        <v/>
      </c>
      <c r="N1670" t="str">
        <f>IFERROR(IF(A1670="","",MAX(0,M1670-System_Config!$B$9)),"")</f>
        <v/>
      </c>
    </row>
    <row r="1671" spans="1:14" ht="15" customHeight="1" x14ac:dyDescent="0.25">
      <c r="A1671" t="str">
        <f>'NEW ACCOUNT'!A1672</f>
        <v/>
      </c>
      <c r="B1671" t="str">
        <f>IF('NEW ACCOUNT'!A1672="","",'NEW ACCOUNT'!B1672)</f>
        <v/>
      </c>
      <c r="C1671" t="str">
        <f>IF('NEW ACCOUNT'!A1672="","",'NEW ACCOUNT'!C1672)</f>
        <v/>
      </c>
      <c r="D1671" t="str">
        <f>IF('NEW ACCOUNT'!A1672="","",'NEW ACCOUNT'!D1672)</f>
        <v/>
      </c>
      <c r="E1671" t="str">
        <f>IF('NEW ACCOUNT'!A1672="","",'NEW ACCOUNT'!E1672)</f>
        <v/>
      </c>
      <c r="F1671" t="str">
        <f>IF('NEW ACCOUNT'!A1672="","",'NEW ACCOUNT'!F1672)</f>
        <v/>
      </c>
      <c r="G1671" t="str">
        <f>IF('NEW ACCOUNT'!A1672="","",'NEW ACCOUNT'!G1672)</f>
        <v/>
      </c>
      <c r="H1671" t="str">
        <f>IF('NEW ACCOUNT'!A1672="","",'NEW ACCOUNT'!H1672)</f>
        <v/>
      </c>
      <c r="I1671" t="str">
        <f>IF('NEW ACCOUNT'!A1672="","",'NEW ACCOUNT'!I1672)</f>
        <v/>
      </c>
      <c r="J1671" t="str">
        <f>IF('NEW ACCOUNT'!A1672="","",'NEW ACCOUNT'!J1672)</f>
        <v/>
      </c>
      <c r="K1671" t="str">
        <f>IFERROR(IF(A1671="","",SUMIF(DB_Savings!$A:$A,A1671,DB_Savings!$F:$F)),"")</f>
        <v/>
      </c>
      <c r="L1671" t="str">
        <f>IFERROR(IF(A1671="","",SUMIF(DB_Withdrawals!$A:$A,A1671,DB_Withdrawals!$G:$G)),"")</f>
        <v/>
      </c>
      <c r="M1671" t="str">
        <f>IFERROR(IF(A1671="","",IFERROR(VALUE(H1671),0)+IFERROR(SUMIF(DB_Savings!$A:$A,A1671,DB_Savings!$F:$F),0)-IFERROR(SUMIF(DB_Withdrawals!$A:$A,A1671,DB_Withdrawals!$G:$G),0)),"")</f>
        <v/>
      </c>
      <c r="N1671" t="str">
        <f>IFERROR(IF(A1671="","",MAX(0,M1671-System_Config!$B$9)),"")</f>
        <v/>
      </c>
    </row>
    <row r="1672" spans="1:14" ht="15" customHeight="1" x14ac:dyDescent="0.25">
      <c r="A1672" t="str">
        <f>'NEW ACCOUNT'!A1673</f>
        <v/>
      </c>
      <c r="B1672" t="str">
        <f>IF('NEW ACCOUNT'!A1673="","",'NEW ACCOUNT'!B1673)</f>
        <v/>
      </c>
      <c r="C1672" t="str">
        <f>IF('NEW ACCOUNT'!A1673="","",'NEW ACCOUNT'!C1673)</f>
        <v/>
      </c>
      <c r="D1672" t="str">
        <f>IF('NEW ACCOUNT'!A1673="","",'NEW ACCOUNT'!D1673)</f>
        <v/>
      </c>
      <c r="E1672" t="str">
        <f>IF('NEW ACCOUNT'!A1673="","",'NEW ACCOUNT'!E1673)</f>
        <v/>
      </c>
      <c r="F1672" t="str">
        <f>IF('NEW ACCOUNT'!A1673="","",'NEW ACCOUNT'!F1673)</f>
        <v/>
      </c>
      <c r="G1672" t="str">
        <f>IF('NEW ACCOUNT'!A1673="","",'NEW ACCOUNT'!G1673)</f>
        <v/>
      </c>
      <c r="H1672" t="str">
        <f>IF('NEW ACCOUNT'!A1673="","",'NEW ACCOUNT'!H1673)</f>
        <v/>
      </c>
      <c r="I1672" t="str">
        <f>IF('NEW ACCOUNT'!A1673="","",'NEW ACCOUNT'!I1673)</f>
        <v/>
      </c>
      <c r="J1672" t="str">
        <f>IF('NEW ACCOUNT'!A1673="","",'NEW ACCOUNT'!J1673)</f>
        <v/>
      </c>
      <c r="K1672" t="str">
        <f>IFERROR(IF(A1672="","",SUMIF(DB_Savings!$A:$A,A1672,DB_Savings!$F:$F)),"")</f>
        <v/>
      </c>
      <c r="L1672" t="str">
        <f>IFERROR(IF(A1672="","",SUMIF(DB_Withdrawals!$A:$A,A1672,DB_Withdrawals!$G:$G)),"")</f>
        <v/>
      </c>
      <c r="M1672" t="str">
        <f>IFERROR(IF(A1672="","",IFERROR(VALUE(H1672),0)+IFERROR(SUMIF(DB_Savings!$A:$A,A1672,DB_Savings!$F:$F),0)-IFERROR(SUMIF(DB_Withdrawals!$A:$A,A1672,DB_Withdrawals!$G:$G),0)),"")</f>
        <v/>
      </c>
      <c r="N1672" t="str">
        <f>IFERROR(IF(A1672="","",MAX(0,M1672-System_Config!$B$9)),"")</f>
        <v/>
      </c>
    </row>
    <row r="1673" spans="1:14" ht="15" customHeight="1" x14ac:dyDescent="0.25">
      <c r="A1673" t="str">
        <f>'NEW ACCOUNT'!A1674</f>
        <v/>
      </c>
      <c r="B1673" t="str">
        <f>IF('NEW ACCOUNT'!A1674="","",'NEW ACCOUNT'!B1674)</f>
        <v/>
      </c>
      <c r="C1673" t="str">
        <f>IF('NEW ACCOUNT'!A1674="","",'NEW ACCOUNT'!C1674)</f>
        <v/>
      </c>
      <c r="D1673" t="str">
        <f>IF('NEW ACCOUNT'!A1674="","",'NEW ACCOUNT'!D1674)</f>
        <v/>
      </c>
      <c r="E1673" t="str">
        <f>IF('NEW ACCOUNT'!A1674="","",'NEW ACCOUNT'!E1674)</f>
        <v/>
      </c>
      <c r="F1673" t="str">
        <f>IF('NEW ACCOUNT'!A1674="","",'NEW ACCOUNT'!F1674)</f>
        <v/>
      </c>
      <c r="G1673" t="str">
        <f>IF('NEW ACCOUNT'!A1674="","",'NEW ACCOUNT'!G1674)</f>
        <v/>
      </c>
      <c r="H1673" t="str">
        <f>IF('NEW ACCOUNT'!A1674="","",'NEW ACCOUNT'!H1674)</f>
        <v/>
      </c>
      <c r="I1673" t="str">
        <f>IF('NEW ACCOUNT'!A1674="","",'NEW ACCOUNT'!I1674)</f>
        <v/>
      </c>
      <c r="J1673" t="str">
        <f>IF('NEW ACCOUNT'!A1674="","",'NEW ACCOUNT'!J1674)</f>
        <v/>
      </c>
      <c r="K1673" t="str">
        <f>IFERROR(IF(A1673="","",SUMIF(DB_Savings!$A:$A,A1673,DB_Savings!$F:$F)),"")</f>
        <v/>
      </c>
      <c r="L1673" t="str">
        <f>IFERROR(IF(A1673="","",SUMIF(DB_Withdrawals!$A:$A,A1673,DB_Withdrawals!$G:$G)),"")</f>
        <v/>
      </c>
      <c r="M1673" t="str">
        <f>IFERROR(IF(A1673="","",IFERROR(VALUE(H1673),0)+IFERROR(SUMIF(DB_Savings!$A:$A,A1673,DB_Savings!$F:$F),0)-IFERROR(SUMIF(DB_Withdrawals!$A:$A,A1673,DB_Withdrawals!$G:$G),0)),"")</f>
        <v/>
      </c>
      <c r="N1673" t="str">
        <f>IFERROR(IF(A1673="","",MAX(0,M1673-System_Config!$B$9)),"")</f>
        <v/>
      </c>
    </row>
    <row r="1674" spans="1:14" ht="15" customHeight="1" x14ac:dyDescent="0.25">
      <c r="A1674" t="str">
        <f>'NEW ACCOUNT'!A1675</f>
        <v/>
      </c>
      <c r="B1674" t="str">
        <f>IF('NEW ACCOUNT'!A1675="","",'NEW ACCOUNT'!B1675)</f>
        <v/>
      </c>
      <c r="C1674" t="str">
        <f>IF('NEW ACCOUNT'!A1675="","",'NEW ACCOUNT'!C1675)</f>
        <v/>
      </c>
      <c r="D1674" t="str">
        <f>IF('NEW ACCOUNT'!A1675="","",'NEW ACCOUNT'!D1675)</f>
        <v/>
      </c>
      <c r="E1674" t="str">
        <f>IF('NEW ACCOUNT'!A1675="","",'NEW ACCOUNT'!E1675)</f>
        <v/>
      </c>
      <c r="F1674" t="str">
        <f>IF('NEW ACCOUNT'!A1675="","",'NEW ACCOUNT'!F1675)</f>
        <v/>
      </c>
      <c r="G1674" t="str">
        <f>IF('NEW ACCOUNT'!A1675="","",'NEW ACCOUNT'!G1675)</f>
        <v/>
      </c>
      <c r="H1674" t="str">
        <f>IF('NEW ACCOUNT'!A1675="","",'NEW ACCOUNT'!H1675)</f>
        <v/>
      </c>
      <c r="I1674" t="str">
        <f>IF('NEW ACCOUNT'!A1675="","",'NEW ACCOUNT'!I1675)</f>
        <v/>
      </c>
      <c r="J1674" t="str">
        <f>IF('NEW ACCOUNT'!A1675="","",'NEW ACCOUNT'!J1675)</f>
        <v/>
      </c>
      <c r="K1674" t="str">
        <f>IFERROR(IF(A1674="","",SUMIF(DB_Savings!$A:$A,A1674,DB_Savings!$F:$F)),"")</f>
        <v/>
      </c>
      <c r="L1674" t="str">
        <f>IFERROR(IF(A1674="","",SUMIF(DB_Withdrawals!$A:$A,A1674,DB_Withdrawals!$G:$G)),"")</f>
        <v/>
      </c>
      <c r="M1674" t="str">
        <f>IFERROR(IF(A1674="","",IFERROR(VALUE(H1674),0)+IFERROR(SUMIF(DB_Savings!$A:$A,A1674,DB_Savings!$F:$F),0)-IFERROR(SUMIF(DB_Withdrawals!$A:$A,A1674,DB_Withdrawals!$G:$G),0)),"")</f>
        <v/>
      </c>
      <c r="N1674" t="str">
        <f>IFERROR(IF(A1674="","",MAX(0,M1674-System_Config!$B$9)),"")</f>
        <v/>
      </c>
    </row>
    <row r="1675" spans="1:14" ht="15" customHeight="1" x14ac:dyDescent="0.25">
      <c r="A1675" t="str">
        <f>'NEW ACCOUNT'!A1676</f>
        <v/>
      </c>
      <c r="B1675" t="str">
        <f>IF('NEW ACCOUNT'!A1676="","",'NEW ACCOUNT'!B1676)</f>
        <v/>
      </c>
      <c r="C1675" t="str">
        <f>IF('NEW ACCOUNT'!A1676="","",'NEW ACCOUNT'!C1676)</f>
        <v/>
      </c>
      <c r="D1675" t="str">
        <f>IF('NEW ACCOUNT'!A1676="","",'NEW ACCOUNT'!D1676)</f>
        <v/>
      </c>
      <c r="E1675" t="str">
        <f>IF('NEW ACCOUNT'!A1676="","",'NEW ACCOUNT'!E1676)</f>
        <v/>
      </c>
      <c r="F1675" t="str">
        <f>IF('NEW ACCOUNT'!A1676="","",'NEW ACCOUNT'!F1676)</f>
        <v/>
      </c>
      <c r="G1675" t="str">
        <f>IF('NEW ACCOUNT'!A1676="","",'NEW ACCOUNT'!G1676)</f>
        <v/>
      </c>
      <c r="H1675" t="str">
        <f>IF('NEW ACCOUNT'!A1676="","",'NEW ACCOUNT'!H1676)</f>
        <v/>
      </c>
      <c r="I1675" t="str">
        <f>IF('NEW ACCOUNT'!A1676="","",'NEW ACCOUNT'!I1676)</f>
        <v/>
      </c>
      <c r="J1675" t="str">
        <f>IF('NEW ACCOUNT'!A1676="","",'NEW ACCOUNT'!J1676)</f>
        <v/>
      </c>
      <c r="K1675" t="str">
        <f>IFERROR(IF(A1675="","",SUMIF(DB_Savings!$A:$A,A1675,DB_Savings!$F:$F)),"")</f>
        <v/>
      </c>
      <c r="L1675" t="str">
        <f>IFERROR(IF(A1675="","",SUMIF(DB_Withdrawals!$A:$A,A1675,DB_Withdrawals!$G:$G)),"")</f>
        <v/>
      </c>
      <c r="M1675" t="str">
        <f>IFERROR(IF(A1675="","",IFERROR(VALUE(H1675),0)+IFERROR(SUMIF(DB_Savings!$A:$A,A1675,DB_Savings!$F:$F),0)-IFERROR(SUMIF(DB_Withdrawals!$A:$A,A1675,DB_Withdrawals!$G:$G),0)),"")</f>
        <v/>
      </c>
      <c r="N1675" t="str">
        <f>IFERROR(IF(A1675="","",MAX(0,M1675-System_Config!$B$9)),"")</f>
        <v/>
      </c>
    </row>
    <row r="1676" spans="1:14" ht="15" customHeight="1" x14ac:dyDescent="0.25">
      <c r="A1676" t="str">
        <f>'NEW ACCOUNT'!A1677</f>
        <v/>
      </c>
      <c r="B1676" t="str">
        <f>IF('NEW ACCOUNT'!A1677="","",'NEW ACCOUNT'!B1677)</f>
        <v/>
      </c>
      <c r="C1676" t="str">
        <f>IF('NEW ACCOUNT'!A1677="","",'NEW ACCOUNT'!C1677)</f>
        <v/>
      </c>
      <c r="D1676" t="str">
        <f>IF('NEW ACCOUNT'!A1677="","",'NEW ACCOUNT'!D1677)</f>
        <v/>
      </c>
      <c r="E1676" t="str">
        <f>IF('NEW ACCOUNT'!A1677="","",'NEW ACCOUNT'!E1677)</f>
        <v/>
      </c>
      <c r="F1676" t="str">
        <f>IF('NEW ACCOUNT'!A1677="","",'NEW ACCOUNT'!F1677)</f>
        <v/>
      </c>
      <c r="G1676" t="str">
        <f>IF('NEW ACCOUNT'!A1677="","",'NEW ACCOUNT'!G1677)</f>
        <v/>
      </c>
      <c r="H1676" t="str">
        <f>IF('NEW ACCOUNT'!A1677="","",'NEW ACCOUNT'!H1677)</f>
        <v/>
      </c>
      <c r="I1676" t="str">
        <f>IF('NEW ACCOUNT'!A1677="","",'NEW ACCOUNT'!I1677)</f>
        <v/>
      </c>
      <c r="J1676" t="str">
        <f>IF('NEW ACCOUNT'!A1677="","",'NEW ACCOUNT'!J1677)</f>
        <v/>
      </c>
      <c r="K1676" t="str">
        <f>IFERROR(IF(A1676="","",SUMIF(DB_Savings!$A:$A,A1676,DB_Savings!$F:$F)),"")</f>
        <v/>
      </c>
      <c r="L1676" t="str">
        <f>IFERROR(IF(A1676="","",SUMIF(DB_Withdrawals!$A:$A,A1676,DB_Withdrawals!$G:$G)),"")</f>
        <v/>
      </c>
      <c r="M1676" t="str">
        <f>IFERROR(IF(A1676="","",IFERROR(VALUE(H1676),0)+IFERROR(SUMIF(DB_Savings!$A:$A,A1676,DB_Savings!$F:$F),0)-IFERROR(SUMIF(DB_Withdrawals!$A:$A,A1676,DB_Withdrawals!$G:$G),0)),"")</f>
        <v/>
      </c>
      <c r="N1676" t="str">
        <f>IFERROR(IF(A1676="","",MAX(0,M1676-System_Config!$B$9)),"")</f>
        <v/>
      </c>
    </row>
    <row r="1677" spans="1:14" ht="15" customHeight="1" x14ac:dyDescent="0.25">
      <c r="A1677" t="str">
        <f>'NEW ACCOUNT'!A1678</f>
        <v/>
      </c>
      <c r="B1677" t="str">
        <f>IF('NEW ACCOUNT'!A1678="","",'NEW ACCOUNT'!B1678)</f>
        <v/>
      </c>
      <c r="C1677" t="str">
        <f>IF('NEW ACCOUNT'!A1678="","",'NEW ACCOUNT'!C1678)</f>
        <v/>
      </c>
      <c r="D1677" t="str">
        <f>IF('NEW ACCOUNT'!A1678="","",'NEW ACCOUNT'!D1678)</f>
        <v/>
      </c>
      <c r="E1677" t="str">
        <f>IF('NEW ACCOUNT'!A1678="","",'NEW ACCOUNT'!E1678)</f>
        <v/>
      </c>
      <c r="F1677" t="str">
        <f>IF('NEW ACCOUNT'!A1678="","",'NEW ACCOUNT'!F1678)</f>
        <v/>
      </c>
      <c r="G1677" t="str">
        <f>IF('NEW ACCOUNT'!A1678="","",'NEW ACCOUNT'!G1678)</f>
        <v/>
      </c>
      <c r="H1677" t="str">
        <f>IF('NEW ACCOUNT'!A1678="","",'NEW ACCOUNT'!H1678)</f>
        <v/>
      </c>
      <c r="I1677" t="str">
        <f>IF('NEW ACCOUNT'!A1678="","",'NEW ACCOUNT'!I1678)</f>
        <v/>
      </c>
      <c r="J1677" t="str">
        <f>IF('NEW ACCOUNT'!A1678="","",'NEW ACCOUNT'!J1678)</f>
        <v/>
      </c>
      <c r="K1677" t="str">
        <f>IFERROR(IF(A1677="","",SUMIF(DB_Savings!$A:$A,A1677,DB_Savings!$F:$F)),"")</f>
        <v/>
      </c>
      <c r="L1677" t="str">
        <f>IFERROR(IF(A1677="","",SUMIF(DB_Withdrawals!$A:$A,A1677,DB_Withdrawals!$G:$G)),"")</f>
        <v/>
      </c>
      <c r="M1677" t="str">
        <f>IFERROR(IF(A1677="","",IFERROR(VALUE(H1677),0)+IFERROR(SUMIF(DB_Savings!$A:$A,A1677,DB_Savings!$F:$F),0)-IFERROR(SUMIF(DB_Withdrawals!$A:$A,A1677,DB_Withdrawals!$G:$G),0)),"")</f>
        <v/>
      </c>
      <c r="N1677" t="str">
        <f>IFERROR(IF(A1677="","",MAX(0,M1677-System_Config!$B$9)),"")</f>
        <v/>
      </c>
    </row>
    <row r="1678" spans="1:14" ht="15" customHeight="1" x14ac:dyDescent="0.25">
      <c r="A1678" t="str">
        <f>'NEW ACCOUNT'!A1679</f>
        <v/>
      </c>
      <c r="B1678" t="str">
        <f>IF('NEW ACCOUNT'!A1679="","",'NEW ACCOUNT'!B1679)</f>
        <v/>
      </c>
      <c r="C1678" t="str">
        <f>IF('NEW ACCOUNT'!A1679="","",'NEW ACCOUNT'!C1679)</f>
        <v/>
      </c>
      <c r="D1678" t="str">
        <f>IF('NEW ACCOUNT'!A1679="","",'NEW ACCOUNT'!D1679)</f>
        <v/>
      </c>
      <c r="E1678" t="str">
        <f>IF('NEW ACCOUNT'!A1679="","",'NEW ACCOUNT'!E1679)</f>
        <v/>
      </c>
      <c r="F1678" t="str">
        <f>IF('NEW ACCOUNT'!A1679="","",'NEW ACCOUNT'!F1679)</f>
        <v/>
      </c>
      <c r="G1678" t="str">
        <f>IF('NEW ACCOUNT'!A1679="","",'NEW ACCOUNT'!G1679)</f>
        <v/>
      </c>
      <c r="H1678" t="str">
        <f>IF('NEW ACCOUNT'!A1679="","",'NEW ACCOUNT'!H1679)</f>
        <v/>
      </c>
      <c r="I1678" t="str">
        <f>IF('NEW ACCOUNT'!A1679="","",'NEW ACCOUNT'!I1679)</f>
        <v/>
      </c>
      <c r="J1678" t="str">
        <f>IF('NEW ACCOUNT'!A1679="","",'NEW ACCOUNT'!J1679)</f>
        <v/>
      </c>
      <c r="K1678" t="str">
        <f>IFERROR(IF(A1678="","",SUMIF(DB_Savings!$A:$A,A1678,DB_Savings!$F:$F)),"")</f>
        <v/>
      </c>
      <c r="L1678" t="str">
        <f>IFERROR(IF(A1678="","",SUMIF(DB_Withdrawals!$A:$A,A1678,DB_Withdrawals!$G:$G)),"")</f>
        <v/>
      </c>
      <c r="M1678" t="str">
        <f>IFERROR(IF(A1678="","",IFERROR(VALUE(H1678),0)+IFERROR(SUMIF(DB_Savings!$A:$A,A1678,DB_Savings!$F:$F),0)-IFERROR(SUMIF(DB_Withdrawals!$A:$A,A1678,DB_Withdrawals!$G:$G),0)),"")</f>
        <v/>
      </c>
      <c r="N1678" t="str">
        <f>IFERROR(IF(A1678="","",MAX(0,M1678-System_Config!$B$9)),"")</f>
        <v/>
      </c>
    </row>
    <row r="1679" spans="1:14" ht="15" customHeight="1" x14ac:dyDescent="0.25">
      <c r="A1679" t="str">
        <f>'NEW ACCOUNT'!A1680</f>
        <v/>
      </c>
      <c r="B1679" t="str">
        <f>IF('NEW ACCOUNT'!A1680="","",'NEW ACCOUNT'!B1680)</f>
        <v/>
      </c>
      <c r="C1679" t="str">
        <f>IF('NEW ACCOUNT'!A1680="","",'NEW ACCOUNT'!C1680)</f>
        <v/>
      </c>
      <c r="D1679" t="str">
        <f>IF('NEW ACCOUNT'!A1680="","",'NEW ACCOUNT'!D1680)</f>
        <v/>
      </c>
      <c r="E1679" t="str">
        <f>IF('NEW ACCOUNT'!A1680="","",'NEW ACCOUNT'!E1680)</f>
        <v/>
      </c>
      <c r="F1679" t="str">
        <f>IF('NEW ACCOUNT'!A1680="","",'NEW ACCOUNT'!F1680)</f>
        <v/>
      </c>
      <c r="G1679" t="str">
        <f>IF('NEW ACCOUNT'!A1680="","",'NEW ACCOUNT'!G1680)</f>
        <v/>
      </c>
      <c r="H1679" t="str">
        <f>IF('NEW ACCOUNT'!A1680="","",'NEW ACCOUNT'!H1680)</f>
        <v/>
      </c>
      <c r="I1679" t="str">
        <f>IF('NEW ACCOUNT'!A1680="","",'NEW ACCOUNT'!I1680)</f>
        <v/>
      </c>
      <c r="J1679" t="str">
        <f>IF('NEW ACCOUNT'!A1680="","",'NEW ACCOUNT'!J1680)</f>
        <v/>
      </c>
      <c r="K1679" t="str">
        <f>IFERROR(IF(A1679="","",SUMIF(DB_Savings!$A:$A,A1679,DB_Savings!$F:$F)),"")</f>
        <v/>
      </c>
      <c r="L1679" t="str">
        <f>IFERROR(IF(A1679="","",SUMIF(DB_Withdrawals!$A:$A,A1679,DB_Withdrawals!$G:$G)),"")</f>
        <v/>
      </c>
      <c r="M1679" t="str">
        <f>IFERROR(IF(A1679="","",IFERROR(VALUE(H1679),0)+IFERROR(SUMIF(DB_Savings!$A:$A,A1679,DB_Savings!$F:$F),0)-IFERROR(SUMIF(DB_Withdrawals!$A:$A,A1679,DB_Withdrawals!$G:$G),0)),"")</f>
        <v/>
      </c>
      <c r="N1679" t="str">
        <f>IFERROR(IF(A1679="","",MAX(0,M1679-System_Config!$B$9)),"")</f>
        <v/>
      </c>
    </row>
    <row r="1680" spans="1:14" ht="15" customHeight="1" x14ac:dyDescent="0.25">
      <c r="A1680" t="str">
        <f>'NEW ACCOUNT'!A1681</f>
        <v/>
      </c>
      <c r="B1680" t="str">
        <f>IF('NEW ACCOUNT'!A1681="","",'NEW ACCOUNT'!B1681)</f>
        <v/>
      </c>
      <c r="C1680" t="str">
        <f>IF('NEW ACCOUNT'!A1681="","",'NEW ACCOUNT'!C1681)</f>
        <v/>
      </c>
      <c r="D1680" t="str">
        <f>IF('NEW ACCOUNT'!A1681="","",'NEW ACCOUNT'!D1681)</f>
        <v/>
      </c>
      <c r="E1680" t="str">
        <f>IF('NEW ACCOUNT'!A1681="","",'NEW ACCOUNT'!E1681)</f>
        <v/>
      </c>
      <c r="F1680" t="str">
        <f>IF('NEW ACCOUNT'!A1681="","",'NEW ACCOUNT'!F1681)</f>
        <v/>
      </c>
      <c r="G1680" t="str">
        <f>IF('NEW ACCOUNT'!A1681="","",'NEW ACCOUNT'!G1681)</f>
        <v/>
      </c>
      <c r="H1680" t="str">
        <f>IF('NEW ACCOUNT'!A1681="","",'NEW ACCOUNT'!H1681)</f>
        <v/>
      </c>
      <c r="I1680" t="str">
        <f>IF('NEW ACCOUNT'!A1681="","",'NEW ACCOUNT'!I1681)</f>
        <v/>
      </c>
      <c r="J1680" t="str">
        <f>IF('NEW ACCOUNT'!A1681="","",'NEW ACCOUNT'!J1681)</f>
        <v/>
      </c>
      <c r="K1680" t="str">
        <f>IFERROR(IF(A1680="","",SUMIF(DB_Savings!$A:$A,A1680,DB_Savings!$F:$F)),"")</f>
        <v/>
      </c>
      <c r="L1680" t="str">
        <f>IFERROR(IF(A1680="","",SUMIF(DB_Withdrawals!$A:$A,A1680,DB_Withdrawals!$G:$G)),"")</f>
        <v/>
      </c>
      <c r="M1680" t="str">
        <f>IFERROR(IF(A1680="","",IFERROR(VALUE(H1680),0)+IFERROR(SUMIF(DB_Savings!$A:$A,A1680,DB_Savings!$F:$F),0)-IFERROR(SUMIF(DB_Withdrawals!$A:$A,A1680,DB_Withdrawals!$G:$G),0)),"")</f>
        <v/>
      </c>
      <c r="N1680" t="str">
        <f>IFERROR(IF(A1680="","",MAX(0,M1680-System_Config!$B$9)),"")</f>
        <v/>
      </c>
    </row>
    <row r="1681" spans="1:14" ht="15" customHeight="1" x14ac:dyDescent="0.25">
      <c r="A1681" t="str">
        <f>'NEW ACCOUNT'!A1682</f>
        <v/>
      </c>
      <c r="B1681" t="str">
        <f>IF('NEW ACCOUNT'!A1682="","",'NEW ACCOUNT'!B1682)</f>
        <v/>
      </c>
      <c r="C1681" t="str">
        <f>IF('NEW ACCOUNT'!A1682="","",'NEW ACCOUNT'!C1682)</f>
        <v/>
      </c>
      <c r="D1681" t="str">
        <f>IF('NEW ACCOUNT'!A1682="","",'NEW ACCOUNT'!D1682)</f>
        <v/>
      </c>
      <c r="E1681" t="str">
        <f>IF('NEW ACCOUNT'!A1682="","",'NEW ACCOUNT'!E1682)</f>
        <v/>
      </c>
      <c r="F1681" t="str">
        <f>IF('NEW ACCOUNT'!A1682="","",'NEW ACCOUNT'!F1682)</f>
        <v/>
      </c>
      <c r="G1681" t="str">
        <f>IF('NEW ACCOUNT'!A1682="","",'NEW ACCOUNT'!G1682)</f>
        <v/>
      </c>
      <c r="H1681" t="str">
        <f>IF('NEW ACCOUNT'!A1682="","",'NEW ACCOUNT'!H1682)</f>
        <v/>
      </c>
      <c r="I1681" t="str">
        <f>IF('NEW ACCOUNT'!A1682="","",'NEW ACCOUNT'!I1682)</f>
        <v/>
      </c>
      <c r="J1681" t="str">
        <f>IF('NEW ACCOUNT'!A1682="","",'NEW ACCOUNT'!J1682)</f>
        <v/>
      </c>
      <c r="K1681" t="str">
        <f>IFERROR(IF(A1681="","",SUMIF(DB_Savings!$A:$A,A1681,DB_Savings!$F:$F)),"")</f>
        <v/>
      </c>
      <c r="L1681" t="str">
        <f>IFERROR(IF(A1681="","",SUMIF(DB_Withdrawals!$A:$A,A1681,DB_Withdrawals!$G:$G)),"")</f>
        <v/>
      </c>
      <c r="M1681" t="str">
        <f>IFERROR(IF(A1681="","",IFERROR(VALUE(H1681),0)+IFERROR(SUMIF(DB_Savings!$A:$A,A1681,DB_Savings!$F:$F),0)-IFERROR(SUMIF(DB_Withdrawals!$A:$A,A1681,DB_Withdrawals!$G:$G),0)),"")</f>
        <v/>
      </c>
      <c r="N1681" t="str">
        <f>IFERROR(IF(A1681="","",MAX(0,M1681-System_Config!$B$9)),"")</f>
        <v/>
      </c>
    </row>
    <row r="1682" spans="1:14" ht="15" customHeight="1" x14ac:dyDescent="0.25">
      <c r="A1682" t="str">
        <f>'NEW ACCOUNT'!A1683</f>
        <v/>
      </c>
      <c r="B1682" t="str">
        <f>IF('NEW ACCOUNT'!A1683="","",'NEW ACCOUNT'!B1683)</f>
        <v/>
      </c>
      <c r="C1682" t="str">
        <f>IF('NEW ACCOUNT'!A1683="","",'NEW ACCOUNT'!C1683)</f>
        <v/>
      </c>
      <c r="D1682" t="str">
        <f>IF('NEW ACCOUNT'!A1683="","",'NEW ACCOUNT'!D1683)</f>
        <v/>
      </c>
      <c r="E1682" t="str">
        <f>IF('NEW ACCOUNT'!A1683="","",'NEW ACCOUNT'!E1683)</f>
        <v/>
      </c>
      <c r="F1682" t="str">
        <f>IF('NEW ACCOUNT'!A1683="","",'NEW ACCOUNT'!F1683)</f>
        <v/>
      </c>
      <c r="G1682" t="str">
        <f>IF('NEW ACCOUNT'!A1683="","",'NEW ACCOUNT'!G1683)</f>
        <v/>
      </c>
      <c r="H1682" t="str">
        <f>IF('NEW ACCOUNT'!A1683="","",'NEW ACCOUNT'!H1683)</f>
        <v/>
      </c>
      <c r="I1682" t="str">
        <f>IF('NEW ACCOUNT'!A1683="","",'NEW ACCOUNT'!I1683)</f>
        <v/>
      </c>
      <c r="J1682" t="str">
        <f>IF('NEW ACCOUNT'!A1683="","",'NEW ACCOUNT'!J1683)</f>
        <v/>
      </c>
      <c r="K1682" t="str">
        <f>IFERROR(IF(A1682="","",SUMIF(DB_Savings!$A:$A,A1682,DB_Savings!$F:$F)),"")</f>
        <v/>
      </c>
      <c r="L1682" t="str">
        <f>IFERROR(IF(A1682="","",SUMIF(DB_Withdrawals!$A:$A,A1682,DB_Withdrawals!$G:$G)),"")</f>
        <v/>
      </c>
      <c r="M1682" t="str">
        <f>IFERROR(IF(A1682="","",IFERROR(VALUE(H1682),0)+IFERROR(SUMIF(DB_Savings!$A:$A,A1682,DB_Savings!$F:$F),0)-IFERROR(SUMIF(DB_Withdrawals!$A:$A,A1682,DB_Withdrawals!$G:$G),0)),"")</f>
        <v/>
      </c>
      <c r="N1682" t="str">
        <f>IFERROR(IF(A1682="","",MAX(0,M1682-System_Config!$B$9)),"")</f>
        <v/>
      </c>
    </row>
    <row r="1683" spans="1:14" ht="15" customHeight="1" x14ac:dyDescent="0.25">
      <c r="A1683" t="str">
        <f>'NEW ACCOUNT'!A1684</f>
        <v/>
      </c>
      <c r="B1683" t="str">
        <f>IF('NEW ACCOUNT'!A1684="","",'NEW ACCOUNT'!B1684)</f>
        <v/>
      </c>
      <c r="C1683" t="str">
        <f>IF('NEW ACCOUNT'!A1684="","",'NEW ACCOUNT'!C1684)</f>
        <v/>
      </c>
      <c r="D1683" t="str">
        <f>IF('NEW ACCOUNT'!A1684="","",'NEW ACCOUNT'!D1684)</f>
        <v/>
      </c>
      <c r="E1683" t="str">
        <f>IF('NEW ACCOUNT'!A1684="","",'NEW ACCOUNT'!E1684)</f>
        <v/>
      </c>
      <c r="F1683" t="str">
        <f>IF('NEW ACCOUNT'!A1684="","",'NEW ACCOUNT'!F1684)</f>
        <v/>
      </c>
      <c r="G1683" t="str">
        <f>IF('NEW ACCOUNT'!A1684="","",'NEW ACCOUNT'!G1684)</f>
        <v/>
      </c>
      <c r="H1683" t="str">
        <f>IF('NEW ACCOUNT'!A1684="","",'NEW ACCOUNT'!H1684)</f>
        <v/>
      </c>
      <c r="I1683" t="str">
        <f>IF('NEW ACCOUNT'!A1684="","",'NEW ACCOUNT'!I1684)</f>
        <v/>
      </c>
      <c r="J1683" t="str">
        <f>IF('NEW ACCOUNT'!A1684="","",'NEW ACCOUNT'!J1684)</f>
        <v/>
      </c>
      <c r="K1683" t="str">
        <f>IFERROR(IF(A1683="","",SUMIF(DB_Savings!$A:$A,A1683,DB_Savings!$F:$F)),"")</f>
        <v/>
      </c>
      <c r="L1683" t="str">
        <f>IFERROR(IF(A1683="","",SUMIF(DB_Withdrawals!$A:$A,A1683,DB_Withdrawals!$G:$G)),"")</f>
        <v/>
      </c>
      <c r="M1683" t="str">
        <f>IFERROR(IF(A1683="","",IFERROR(VALUE(H1683),0)+IFERROR(SUMIF(DB_Savings!$A:$A,A1683,DB_Savings!$F:$F),0)-IFERROR(SUMIF(DB_Withdrawals!$A:$A,A1683,DB_Withdrawals!$G:$G),0)),"")</f>
        <v/>
      </c>
      <c r="N1683" t="str">
        <f>IFERROR(IF(A1683="","",MAX(0,M1683-System_Config!$B$9)),"")</f>
        <v/>
      </c>
    </row>
    <row r="1684" spans="1:14" ht="15" customHeight="1" x14ac:dyDescent="0.25">
      <c r="A1684" t="str">
        <f>'NEW ACCOUNT'!A1685</f>
        <v/>
      </c>
      <c r="B1684" t="str">
        <f>IF('NEW ACCOUNT'!A1685="","",'NEW ACCOUNT'!B1685)</f>
        <v/>
      </c>
      <c r="C1684" t="str">
        <f>IF('NEW ACCOUNT'!A1685="","",'NEW ACCOUNT'!C1685)</f>
        <v/>
      </c>
      <c r="D1684" t="str">
        <f>IF('NEW ACCOUNT'!A1685="","",'NEW ACCOUNT'!D1685)</f>
        <v/>
      </c>
      <c r="E1684" t="str">
        <f>IF('NEW ACCOUNT'!A1685="","",'NEW ACCOUNT'!E1685)</f>
        <v/>
      </c>
      <c r="F1684" t="str">
        <f>IF('NEW ACCOUNT'!A1685="","",'NEW ACCOUNT'!F1685)</f>
        <v/>
      </c>
      <c r="G1684" t="str">
        <f>IF('NEW ACCOUNT'!A1685="","",'NEW ACCOUNT'!G1685)</f>
        <v/>
      </c>
      <c r="H1684" t="str">
        <f>IF('NEW ACCOUNT'!A1685="","",'NEW ACCOUNT'!H1685)</f>
        <v/>
      </c>
      <c r="I1684" t="str">
        <f>IF('NEW ACCOUNT'!A1685="","",'NEW ACCOUNT'!I1685)</f>
        <v/>
      </c>
      <c r="J1684" t="str">
        <f>IF('NEW ACCOUNT'!A1685="","",'NEW ACCOUNT'!J1685)</f>
        <v/>
      </c>
      <c r="K1684" t="str">
        <f>IFERROR(IF(A1684="","",SUMIF(DB_Savings!$A:$A,A1684,DB_Savings!$F:$F)),"")</f>
        <v/>
      </c>
      <c r="L1684" t="str">
        <f>IFERROR(IF(A1684="","",SUMIF(DB_Withdrawals!$A:$A,A1684,DB_Withdrawals!$G:$G)),"")</f>
        <v/>
      </c>
      <c r="M1684" t="str">
        <f>IFERROR(IF(A1684="","",IFERROR(VALUE(H1684),0)+IFERROR(SUMIF(DB_Savings!$A:$A,A1684,DB_Savings!$F:$F),0)-IFERROR(SUMIF(DB_Withdrawals!$A:$A,A1684,DB_Withdrawals!$G:$G),0)),"")</f>
        <v/>
      </c>
      <c r="N1684" t="str">
        <f>IFERROR(IF(A1684="","",MAX(0,M1684-System_Config!$B$9)),"")</f>
        <v/>
      </c>
    </row>
    <row r="1685" spans="1:14" ht="15" customHeight="1" x14ac:dyDescent="0.25">
      <c r="A1685" t="str">
        <f>'NEW ACCOUNT'!A1686</f>
        <v/>
      </c>
      <c r="B1685" t="str">
        <f>IF('NEW ACCOUNT'!A1686="","",'NEW ACCOUNT'!B1686)</f>
        <v/>
      </c>
      <c r="C1685" t="str">
        <f>IF('NEW ACCOUNT'!A1686="","",'NEW ACCOUNT'!C1686)</f>
        <v/>
      </c>
      <c r="D1685" t="str">
        <f>IF('NEW ACCOUNT'!A1686="","",'NEW ACCOUNT'!D1686)</f>
        <v/>
      </c>
      <c r="E1685" t="str">
        <f>IF('NEW ACCOUNT'!A1686="","",'NEW ACCOUNT'!E1686)</f>
        <v/>
      </c>
      <c r="F1685" t="str">
        <f>IF('NEW ACCOUNT'!A1686="","",'NEW ACCOUNT'!F1686)</f>
        <v/>
      </c>
      <c r="G1685" t="str">
        <f>IF('NEW ACCOUNT'!A1686="","",'NEW ACCOUNT'!G1686)</f>
        <v/>
      </c>
      <c r="H1685" t="str">
        <f>IF('NEW ACCOUNT'!A1686="","",'NEW ACCOUNT'!H1686)</f>
        <v/>
      </c>
      <c r="I1685" t="str">
        <f>IF('NEW ACCOUNT'!A1686="","",'NEW ACCOUNT'!I1686)</f>
        <v/>
      </c>
      <c r="J1685" t="str">
        <f>IF('NEW ACCOUNT'!A1686="","",'NEW ACCOUNT'!J1686)</f>
        <v/>
      </c>
      <c r="K1685" t="str">
        <f>IFERROR(IF(A1685="","",SUMIF(DB_Savings!$A:$A,A1685,DB_Savings!$F:$F)),"")</f>
        <v/>
      </c>
      <c r="L1685" t="str">
        <f>IFERROR(IF(A1685="","",SUMIF(DB_Withdrawals!$A:$A,A1685,DB_Withdrawals!$G:$G)),"")</f>
        <v/>
      </c>
      <c r="M1685" t="str">
        <f>IFERROR(IF(A1685="","",IFERROR(VALUE(H1685),0)+IFERROR(SUMIF(DB_Savings!$A:$A,A1685,DB_Savings!$F:$F),0)-IFERROR(SUMIF(DB_Withdrawals!$A:$A,A1685,DB_Withdrawals!$G:$G),0)),"")</f>
        <v/>
      </c>
      <c r="N1685" t="str">
        <f>IFERROR(IF(A1685="","",MAX(0,M1685-System_Config!$B$9)),"")</f>
        <v/>
      </c>
    </row>
    <row r="1686" spans="1:14" ht="15" customHeight="1" x14ac:dyDescent="0.25">
      <c r="A1686" t="str">
        <f>'NEW ACCOUNT'!A1687</f>
        <v/>
      </c>
      <c r="B1686" t="str">
        <f>IF('NEW ACCOUNT'!A1687="","",'NEW ACCOUNT'!B1687)</f>
        <v/>
      </c>
      <c r="C1686" t="str">
        <f>IF('NEW ACCOUNT'!A1687="","",'NEW ACCOUNT'!C1687)</f>
        <v/>
      </c>
      <c r="D1686" t="str">
        <f>IF('NEW ACCOUNT'!A1687="","",'NEW ACCOUNT'!D1687)</f>
        <v/>
      </c>
      <c r="E1686" t="str">
        <f>IF('NEW ACCOUNT'!A1687="","",'NEW ACCOUNT'!E1687)</f>
        <v/>
      </c>
      <c r="F1686" t="str">
        <f>IF('NEW ACCOUNT'!A1687="","",'NEW ACCOUNT'!F1687)</f>
        <v/>
      </c>
      <c r="G1686" t="str">
        <f>IF('NEW ACCOUNT'!A1687="","",'NEW ACCOUNT'!G1687)</f>
        <v/>
      </c>
      <c r="H1686" t="str">
        <f>IF('NEW ACCOUNT'!A1687="","",'NEW ACCOUNT'!H1687)</f>
        <v/>
      </c>
      <c r="I1686" t="str">
        <f>IF('NEW ACCOUNT'!A1687="","",'NEW ACCOUNT'!I1687)</f>
        <v/>
      </c>
      <c r="J1686" t="str">
        <f>IF('NEW ACCOUNT'!A1687="","",'NEW ACCOUNT'!J1687)</f>
        <v/>
      </c>
      <c r="K1686" t="str">
        <f>IFERROR(IF(A1686="","",SUMIF(DB_Savings!$A:$A,A1686,DB_Savings!$F:$F)),"")</f>
        <v/>
      </c>
      <c r="L1686" t="str">
        <f>IFERROR(IF(A1686="","",SUMIF(DB_Withdrawals!$A:$A,A1686,DB_Withdrawals!$G:$G)),"")</f>
        <v/>
      </c>
      <c r="M1686" t="str">
        <f>IFERROR(IF(A1686="","",IFERROR(VALUE(H1686),0)+IFERROR(SUMIF(DB_Savings!$A:$A,A1686,DB_Savings!$F:$F),0)-IFERROR(SUMIF(DB_Withdrawals!$A:$A,A1686,DB_Withdrawals!$G:$G),0)),"")</f>
        <v/>
      </c>
      <c r="N1686" t="str">
        <f>IFERROR(IF(A1686="","",MAX(0,M1686-System_Config!$B$9)),"")</f>
        <v/>
      </c>
    </row>
    <row r="1687" spans="1:14" ht="15" customHeight="1" x14ac:dyDescent="0.25">
      <c r="A1687" t="str">
        <f>'NEW ACCOUNT'!A1688</f>
        <v/>
      </c>
      <c r="B1687" t="str">
        <f>IF('NEW ACCOUNT'!A1688="","",'NEW ACCOUNT'!B1688)</f>
        <v/>
      </c>
      <c r="C1687" t="str">
        <f>IF('NEW ACCOUNT'!A1688="","",'NEW ACCOUNT'!C1688)</f>
        <v/>
      </c>
      <c r="D1687" t="str">
        <f>IF('NEW ACCOUNT'!A1688="","",'NEW ACCOUNT'!D1688)</f>
        <v/>
      </c>
      <c r="E1687" t="str">
        <f>IF('NEW ACCOUNT'!A1688="","",'NEW ACCOUNT'!E1688)</f>
        <v/>
      </c>
      <c r="F1687" t="str">
        <f>IF('NEW ACCOUNT'!A1688="","",'NEW ACCOUNT'!F1688)</f>
        <v/>
      </c>
      <c r="G1687" t="str">
        <f>IF('NEW ACCOUNT'!A1688="","",'NEW ACCOUNT'!G1688)</f>
        <v/>
      </c>
      <c r="H1687" t="str">
        <f>IF('NEW ACCOUNT'!A1688="","",'NEW ACCOUNT'!H1688)</f>
        <v/>
      </c>
      <c r="I1687" t="str">
        <f>IF('NEW ACCOUNT'!A1688="","",'NEW ACCOUNT'!I1688)</f>
        <v/>
      </c>
      <c r="J1687" t="str">
        <f>IF('NEW ACCOUNT'!A1688="","",'NEW ACCOUNT'!J1688)</f>
        <v/>
      </c>
      <c r="K1687" t="str">
        <f>IFERROR(IF(A1687="","",SUMIF(DB_Savings!$A:$A,A1687,DB_Savings!$F:$F)),"")</f>
        <v/>
      </c>
      <c r="L1687" t="str">
        <f>IFERROR(IF(A1687="","",SUMIF(DB_Withdrawals!$A:$A,A1687,DB_Withdrawals!$G:$G)),"")</f>
        <v/>
      </c>
      <c r="M1687" t="str">
        <f>IFERROR(IF(A1687="","",IFERROR(VALUE(H1687),0)+IFERROR(SUMIF(DB_Savings!$A:$A,A1687,DB_Savings!$F:$F),0)-IFERROR(SUMIF(DB_Withdrawals!$A:$A,A1687,DB_Withdrawals!$G:$G),0)),"")</f>
        <v/>
      </c>
      <c r="N1687" t="str">
        <f>IFERROR(IF(A1687="","",MAX(0,M1687-System_Config!$B$9)),"")</f>
        <v/>
      </c>
    </row>
    <row r="1688" spans="1:14" ht="15" customHeight="1" x14ac:dyDescent="0.25">
      <c r="A1688" t="str">
        <f>'NEW ACCOUNT'!A1689</f>
        <v/>
      </c>
      <c r="B1688" t="str">
        <f>IF('NEW ACCOUNT'!A1689="","",'NEW ACCOUNT'!B1689)</f>
        <v/>
      </c>
      <c r="C1688" t="str">
        <f>IF('NEW ACCOUNT'!A1689="","",'NEW ACCOUNT'!C1689)</f>
        <v/>
      </c>
      <c r="D1688" t="str">
        <f>IF('NEW ACCOUNT'!A1689="","",'NEW ACCOUNT'!D1689)</f>
        <v/>
      </c>
      <c r="E1688" t="str">
        <f>IF('NEW ACCOUNT'!A1689="","",'NEW ACCOUNT'!E1689)</f>
        <v/>
      </c>
      <c r="F1688" t="str">
        <f>IF('NEW ACCOUNT'!A1689="","",'NEW ACCOUNT'!F1689)</f>
        <v/>
      </c>
      <c r="G1688" t="str">
        <f>IF('NEW ACCOUNT'!A1689="","",'NEW ACCOUNT'!G1689)</f>
        <v/>
      </c>
      <c r="H1688" t="str">
        <f>IF('NEW ACCOUNT'!A1689="","",'NEW ACCOUNT'!H1689)</f>
        <v/>
      </c>
      <c r="I1688" t="str">
        <f>IF('NEW ACCOUNT'!A1689="","",'NEW ACCOUNT'!I1689)</f>
        <v/>
      </c>
      <c r="J1688" t="str">
        <f>IF('NEW ACCOUNT'!A1689="","",'NEW ACCOUNT'!J1689)</f>
        <v/>
      </c>
      <c r="K1688" t="str">
        <f>IFERROR(IF(A1688="","",SUMIF(DB_Savings!$A:$A,A1688,DB_Savings!$F:$F)),"")</f>
        <v/>
      </c>
      <c r="L1688" t="str">
        <f>IFERROR(IF(A1688="","",SUMIF(DB_Withdrawals!$A:$A,A1688,DB_Withdrawals!$G:$G)),"")</f>
        <v/>
      </c>
      <c r="M1688" t="str">
        <f>IFERROR(IF(A1688="","",IFERROR(VALUE(H1688),0)+IFERROR(SUMIF(DB_Savings!$A:$A,A1688,DB_Savings!$F:$F),0)-IFERROR(SUMIF(DB_Withdrawals!$A:$A,A1688,DB_Withdrawals!$G:$G),0)),"")</f>
        <v/>
      </c>
      <c r="N1688" t="str">
        <f>IFERROR(IF(A1688="","",MAX(0,M1688-System_Config!$B$9)),"")</f>
        <v/>
      </c>
    </row>
    <row r="1689" spans="1:14" ht="15" customHeight="1" x14ac:dyDescent="0.25">
      <c r="A1689" t="str">
        <f>'NEW ACCOUNT'!A1690</f>
        <v/>
      </c>
      <c r="B1689" t="str">
        <f>IF('NEW ACCOUNT'!A1690="","",'NEW ACCOUNT'!B1690)</f>
        <v/>
      </c>
      <c r="C1689" t="str">
        <f>IF('NEW ACCOUNT'!A1690="","",'NEW ACCOUNT'!C1690)</f>
        <v/>
      </c>
      <c r="D1689" t="str">
        <f>IF('NEW ACCOUNT'!A1690="","",'NEW ACCOUNT'!D1690)</f>
        <v/>
      </c>
      <c r="E1689" t="str">
        <f>IF('NEW ACCOUNT'!A1690="","",'NEW ACCOUNT'!E1690)</f>
        <v/>
      </c>
      <c r="F1689" t="str">
        <f>IF('NEW ACCOUNT'!A1690="","",'NEW ACCOUNT'!F1690)</f>
        <v/>
      </c>
      <c r="G1689" t="str">
        <f>IF('NEW ACCOUNT'!A1690="","",'NEW ACCOUNT'!G1690)</f>
        <v/>
      </c>
      <c r="H1689" t="str">
        <f>IF('NEW ACCOUNT'!A1690="","",'NEW ACCOUNT'!H1690)</f>
        <v/>
      </c>
      <c r="I1689" t="str">
        <f>IF('NEW ACCOUNT'!A1690="","",'NEW ACCOUNT'!I1690)</f>
        <v/>
      </c>
      <c r="J1689" t="str">
        <f>IF('NEW ACCOUNT'!A1690="","",'NEW ACCOUNT'!J1690)</f>
        <v/>
      </c>
      <c r="K1689" t="str">
        <f>IFERROR(IF(A1689="","",SUMIF(DB_Savings!$A:$A,A1689,DB_Savings!$F:$F)),"")</f>
        <v/>
      </c>
      <c r="L1689" t="str">
        <f>IFERROR(IF(A1689="","",SUMIF(DB_Withdrawals!$A:$A,A1689,DB_Withdrawals!$G:$G)),"")</f>
        <v/>
      </c>
      <c r="M1689" t="str">
        <f>IFERROR(IF(A1689="","",IFERROR(VALUE(H1689),0)+IFERROR(SUMIF(DB_Savings!$A:$A,A1689,DB_Savings!$F:$F),0)-IFERROR(SUMIF(DB_Withdrawals!$A:$A,A1689,DB_Withdrawals!$G:$G),0)),"")</f>
        <v/>
      </c>
      <c r="N1689" t="str">
        <f>IFERROR(IF(A1689="","",MAX(0,M1689-System_Config!$B$9)),"")</f>
        <v/>
      </c>
    </row>
    <row r="1690" spans="1:14" ht="15" customHeight="1" x14ac:dyDescent="0.25">
      <c r="A1690" t="str">
        <f>'NEW ACCOUNT'!A1691</f>
        <v/>
      </c>
      <c r="B1690" t="str">
        <f>IF('NEW ACCOUNT'!A1691="","",'NEW ACCOUNT'!B1691)</f>
        <v/>
      </c>
      <c r="C1690" t="str">
        <f>IF('NEW ACCOUNT'!A1691="","",'NEW ACCOUNT'!C1691)</f>
        <v/>
      </c>
      <c r="D1690" t="str">
        <f>IF('NEW ACCOUNT'!A1691="","",'NEW ACCOUNT'!D1691)</f>
        <v/>
      </c>
      <c r="E1690" t="str">
        <f>IF('NEW ACCOUNT'!A1691="","",'NEW ACCOUNT'!E1691)</f>
        <v/>
      </c>
      <c r="F1690" t="str">
        <f>IF('NEW ACCOUNT'!A1691="","",'NEW ACCOUNT'!F1691)</f>
        <v/>
      </c>
      <c r="G1690" t="str">
        <f>IF('NEW ACCOUNT'!A1691="","",'NEW ACCOUNT'!G1691)</f>
        <v/>
      </c>
      <c r="H1690" t="str">
        <f>IF('NEW ACCOUNT'!A1691="","",'NEW ACCOUNT'!H1691)</f>
        <v/>
      </c>
      <c r="I1690" t="str">
        <f>IF('NEW ACCOUNT'!A1691="","",'NEW ACCOUNT'!I1691)</f>
        <v/>
      </c>
      <c r="J1690" t="str">
        <f>IF('NEW ACCOUNT'!A1691="","",'NEW ACCOUNT'!J1691)</f>
        <v/>
      </c>
      <c r="K1690" t="str">
        <f>IFERROR(IF(A1690="","",SUMIF(DB_Savings!$A:$A,A1690,DB_Savings!$F:$F)),"")</f>
        <v/>
      </c>
      <c r="L1690" t="str">
        <f>IFERROR(IF(A1690="","",SUMIF(DB_Withdrawals!$A:$A,A1690,DB_Withdrawals!$G:$G)),"")</f>
        <v/>
      </c>
      <c r="M1690" t="str">
        <f>IFERROR(IF(A1690="","",IFERROR(VALUE(H1690),0)+IFERROR(SUMIF(DB_Savings!$A:$A,A1690,DB_Savings!$F:$F),0)-IFERROR(SUMIF(DB_Withdrawals!$A:$A,A1690,DB_Withdrawals!$G:$G),0)),"")</f>
        <v/>
      </c>
      <c r="N1690" t="str">
        <f>IFERROR(IF(A1690="","",MAX(0,M1690-System_Config!$B$9)),"")</f>
        <v/>
      </c>
    </row>
    <row r="1691" spans="1:14" ht="15" customHeight="1" x14ac:dyDescent="0.25">
      <c r="A1691" t="str">
        <f>'NEW ACCOUNT'!A1692</f>
        <v/>
      </c>
      <c r="B1691" t="str">
        <f>IF('NEW ACCOUNT'!A1692="","",'NEW ACCOUNT'!B1692)</f>
        <v/>
      </c>
      <c r="C1691" t="str">
        <f>IF('NEW ACCOUNT'!A1692="","",'NEW ACCOUNT'!C1692)</f>
        <v/>
      </c>
      <c r="D1691" t="str">
        <f>IF('NEW ACCOUNT'!A1692="","",'NEW ACCOUNT'!D1692)</f>
        <v/>
      </c>
      <c r="E1691" t="str">
        <f>IF('NEW ACCOUNT'!A1692="","",'NEW ACCOUNT'!E1692)</f>
        <v/>
      </c>
      <c r="F1691" t="str">
        <f>IF('NEW ACCOUNT'!A1692="","",'NEW ACCOUNT'!F1692)</f>
        <v/>
      </c>
      <c r="G1691" t="str">
        <f>IF('NEW ACCOUNT'!A1692="","",'NEW ACCOUNT'!G1692)</f>
        <v/>
      </c>
      <c r="H1691" t="str">
        <f>IF('NEW ACCOUNT'!A1692="","",'NEW ACCOUNT'!H1692)</f>
        <v/>
      </c>
      <c r="I1691" t="str">
        <f>IF('NEW ACCOUNT'!A1692="","",'NEW ACCOUNT'!I1692)</f>
        <v/>
      </c>
      <c r="J1691" t="str">
        <f>IF('NEW ACCOUNT'!A1692="","",'NEW ACCOUNT'!J1692)</f>
        <v/>
      </c>
      <c r="K1691" t="str">
        <f>IFERROR(IF(A1691="","",SUMIF(DB_Savings!$A:$A,A1691,DB_Savings!$F:$F)),"")</f>
        <v/>
      </c>
      <c r="L1691" t="str">
        <f>IFERROR(IF(A1691="","",SUMIF(DB_Withdrawals!$A:$A,A1691,DB_Withdrawals!$G:$G)),"")</f>
        <v/>
      </c>
      <c r="M1691" t="str">
        <f>IFERROR(IF(A1691="","",IFERROR(VALUE(H1691),0)+IFERROR(SUMIF(DB_Savings!$A:$A,A1691,DB_Savings!$F:$F),0)-IFERROR(SUMIF(DB_Withdrawals!$A:$A,A1691,DB_Withdrawals!$G:$G),0)),"")</f>
        <v/>
      </c>
      <c r="N1691" t="str">
        <f>IFERROR(IF(A1691="","",MAX(0,M1691-System_Config!$B$9)),"")</f>
        <v/>
      </c>
    </row>
    <row r="1692" spans="1:14" ht="15" customHeight="1" x14ac:dyDescent="0.25">
      <c r="A1692" t="str">
        <f>'NEW ACCOUNT'!A1693</f>
        <v/>
      </c>
      <c r="B1692" t="str">
        <f>IF('NEW ACCOUNT'!A1693="","",'NEW ACCOUNT'!B1693)</f>
        <v/>
      </c>
      <c r="C1692" t="str">
        <f>IF('NEW ACCOUNT'!A1693="","",'NEW ACCOUNT'!C1693)</f>
        <v/>
      </c>
      <c r="D1692" t="str">
        <f>IF('NEW ACCOUNT'!A1693="","",'NEW ACCOUNT'!D1693)</f>
        <v/>
      </c>
      <c r="E1692" t="str">
        <f>IF('NEW ACCOUNT'!A1693="","",'NEW ACCOUNT'!E1693)</f>
        <v/>
      </c>
      <c r="F1692" t="str">
        <f>IF('NEW ACCOUNT'!A1693="","",'NEW ACCOUNT'!F1693)</f>
        <v/>
      </c>
      <c r="G1692" t="str">
        <f>IF('NEW ACCOUNT'!A1693="","",'NEW ACCOUNT'!G1693)</f>
        <v/>
      </c>
      <c r="H1692" t="str">
        <f>IF('NEW ACCOUNT'!A1693="","",'NEW ACCOUNT'!H1693)</f>
        <v/>
      </c>
      <c r="I1692" t="str">
        <f>IF('NEW ACCOUNT'!A1693="","",'NEW ACCOUNT'!I1693)</f>
        <v/>
      </c>
      <c r="J1692" t="str">
        <f>IF('NEW ACCOUNT'!A1693="","",'NEW ACCOUNT'!J1693)</f>
        <v/>
      </c>
      <c r="K1692" t="str">
        <f>IFERROR(IF(A1692="","",SUMIF(DB_Savings!$A:$A,A1692,DB_Savings!$F:$F)),"")</f>
        <v/>
      </c>
      <c r="L1692" t="str">
        <f>IFERROR(IF(A1692="","",SUMIF(DB_Withdrawals!$A:$A,A1692,DB_Withdrawals!$G:$G)),"")</f>
        <v/>
      </c>
      <c r="M1692" t="str">
        <f>IFERROR(IF(A1692="","",IFERROR(VALUE(H1692),0)+IFERROR(SUMIF(DB_Savings!$A:$A,A1692,DB_Savings!$F:$F),0)-IFERROR(SUMIF(DB_Withdrawals!$A:$A,A1692,DB_Withdrawals!$G:$G),0)),"")</f>
        <v/>
      </c>
      <c r="N1692" t="str">
        <f>IFERROR(IF(A1692="","",MAX(0,M1692-System_Config!$B$9)),"")</f>
        <v/>
      </c>
    </row>
    <row r="1693" spans="1:14" ht="15" customHeight="1" x14ac:dyDescent="0.25">
      <c r="A1693" t="str">
        <f>'NEW ACCOUNT'!A1694</f>
        <v/>
      </c>
      <c r="B1693" t="str">
        <f>IF('NEW ACCOUNT'!A1694="","",'NEW ACCOUNT'!B1694)</f>
        <v/>
      </c>
      <c r="C1693" t="str">
        <f>IF('NEW ACCOUNT'!A1694="","",'NEW ACCOUNT'!C1694)</f>
        <v/>
      </c>
      <c r="D1693" t="str">
        <f>IF('NEW ACCOUNT'!A1694="","",'NEW ACCOUNT'!D1694)</f>
        <v/>
      </c>
      <c r="E1693" t="str">
        <f>IF('NEW ACCOUNT'!A1694="","",'NEW ACCOUNT'!E1694)</f>
        <v/>
      </c>
      <c r="F1693" t="str">
        <f>IF('NEW ACCOUNT'!A1694="","",'NEW ACCOUNT'!F1694)</f>
        <v/>
      </c>
      <c r="G1693" t="str">
        <f>IF('NEW ACCOUNT'!A1694="","",'NEW ACCOUNT'!G1694)</f>
        <v/>
      </c>
      <c r="H1693" t="str">
        <f>IF('NEW ACCOUNT'!A1694="","",'NEW ACCOUNT'!H1694)</f>
        <v/>
      </c>
      <c r="I1693" t="str">
        <f>IF('NEW ACCOUNT'!A1694="","",'NEW ACCOUNT'!I1694)</f>
        <v/>
      </c>
      <c r="J1693" t="str">
        <f>IF('NEW ACCOUNT'!A1694="","",'NEW ACCOUNT'!J1694)</f>
        <v/>
      </c>
      <c r="K1693" t="str">
        <f>IFERROR(IF(A1693="","",SUMIF(DB_Savings!$A:$A,A1693,DB_Savings!$F:$F)),"")</f>
        <v/>
      </c>
      <c r="L1693" t="str">
        <f>IFERROR(IF(A1693="","",SUMIF(DB_Withdrawals!$A:$A,A1693,DB_Withdrawals!$G:$G)),"")</f>
        <v/>
      </c>
      <c r="M1693" t="str">
        <f>IFERROR(IF(A1693="","",IFERROR(VALUE(H1693),0)+IFERROR(SUMIF(DB_Savings!$A:$A,A1693,DB_Savings!$F:$F),0)-IFERROR(SUMIF(DB_Withdrawals!$A:$A,A1693,DB_Withdrawals!$G:$G),0)),"")</f>
        <v/>
      </c>
      <c r="N1693" t="str">
        <f>IFERROR(IF(A1693="","",MAX(0,M1693-System_Config!$B$9)),"")</f>
        <v/>
      </c>
    </row>
    <row r="1694" spans="1:14" ht="15" customHeight="1" x14ac:dyDescent="0.25">
      <c r="A1694" t="str">
        <f>'NEW ACCOUNT'!A1695</f>
        <v/>
      </c>
      <c r="B1694" t="str">
        <f>IF('NEW ACCOUNT'!A1695="","",'NEW ACCOUNT'!B1695)</f>
        <v/>
      </c>
      <c r="C1694" t="str">
        <f>IF('NEW ACCOUNT'!A1695="","",'NEW ACCOUNT'!C1695)</f>
        <v/>
      </c>
      <c r="D1694" t="str">
        <f>IF('NEW ACCOUNT'!A1695="","",'NEW ACCOUNT'!D1695)</f>
        <v/>
      </c>
      <c r="E1694" t="str">
        <f>IF('NEW ACCOUNT'!A1695="","",'NEW ACCOUNT'!E1695)</f>
        <v/>
      </c>
      <c r="F1694" t="str">
        <f>IF('NEW ACCOUNT'!A1695="","",'NEW ACCOUNT'!F1695)</f>
        <v/>
      </c>
      <c r="G1694" t="str">
        <f>IF('NEW ACCOUNT'!A1695="","",'NEW ACCOUNT'!G1695)</f>
        <v/>
      </c>
      <c r="H1694" t="str">
        <f>IF('NEW ACCOUNT'!A1695="","",'NEW ACCOUNT'!H1695)</f>
        <v/>
      </c>
      <c r="I1694" t="str">
        <f>IF('NEW ACCOUNT'!A1695="","",'NEW ACCOUNT'!I1695)</f>
        <v/>
      </c>
      <c r="J1694" t="str">
        <f>IF('NEW ACCOUNT'!A1695="","",'NEW ACCOUNT'!J1695)</f>
        <v/>
      </c>
      <c r="K1694" t="str">
        <f>IFERROR(IF(A1694="","",SUMIF(DB_Savings!$A:$A,A1694,DB_Savings!$F:$F)),"")</f>
        <v/>
      </c>
      <c r="L1694" t="str">
        <f>IFERROR(IF(A1694="","",SUMIF(DB_Withdrawals!$A:$A,A1694,DB_Withdrawals!$G:$G)),"")</f>
        <v/>
      </c>
      <c r="M1694" t="str">
        <f>IFERROR(IF(A1694="","",IFERROR(VALUE(H1694),0)+IFERROR(SUMIF(DB_Savings!$A:$A,A1694,DB_Savings!$F:$F),0)-IFERROR(SUMIF(DB_Withdrawals!$A:$A,A1694,DB_Withdrawals!$G:$G),0)),"")</f>
        <v/>
      </c>
      <c r="N1694" t="str">
        <f>IFERROR(IF(A1694="","",MAX(0,M1694-System_Config!$B$9)),"")</f>
        <v/>
      </c>
    </row>
    <row r="1695" spans="1:14" ht="15" customHeight="1" x14ac:dyDescent="0.25">
      <c r="A1695" t="str">
        <f>'NEW ACCOUNT'!A1696</f>
        <v/>
      </c>
      <c r="B1695" t="str">
        <f>IF('NEW ACCOUNT'!A1696="","",'NEW ACCOUNT'!B1696)</f>
        <v/>
      </c>
      <c r="C1695" t="str">
        <f>IF('NEW ACCOUNT'!A1696="","",'NEW ACCOUNT'!C1696)</f>
        <v/>
      </c>
      <c r="D1695" t="str">
        <f>IF('NEW ACCOUNT'!A1696="","",'NEW ACCOUNT'!D1696)</f>
        <v/>
      </c>
      <c r="E1695" t="str">
        <f>IF('NEW ACCOUNT'!A1696="","",'NEW ACCOUNT'!E1696)</f>
        <v/>
      </c>
      <c r="F1695" t="str">
        <f>IF('NEW ACCOUNT'!A1696="","",'NEW ACCOUNT'!F1696)</f>
        <v/>
      </c>
      <c r="G1695" t="str">
        <f>IF('NEW ACCOUNT'!A1696="","",'NEW ACCOUNT'!G1696)</f>
        <v/>
      </c>
      <c r="H1695" t="str">
        <f>IF('NEW ACCOUNT'!A1696="","",'NEW ACCOUNT'!H1696)</f>
        <v/>
      </c>
      <c r="I1695" t="str">
        <f>IF('NEW ACCOUNT'!A1696="","",'NEW ACCOUNT'!I1696)</f>
        <v/>
      </c>
      <c r="J1695" t="str">
        <f>IF('NEW ACCOUNT'!A1696="","",'NEW ACCOUNT'!J1696)</f>
        <v/>
      </c>
      <c r="K1695" t="str">
        <f>IFERROR(IF(A1695="","",SUMIF(DB_Savings!$A:$A,A1695,DB_Savings!$F:$F)),"")</f>
        <v/>
      </c>
      <c r="L1695" t="str">
        <f>IFERROR(IF(A1695="","",SUMIF(DB_Withdrawals!$A:$A,A1695,DB_Withdrawals!$G:$G)),"")</f>
        <v/>
      </c>
      <c r="M1695" t="str">
        <f>IFERROR(IF(A1695="","",IFERROR(VALUE(H1695),0)+IFERROR(SUMIF(DB_Savings!$A:$A,A1695,DB_Savings!$F:$F),0)-IFERROR(SUMIF(DB_Withdrawals!$A:$A,A1695,DB_Withdrawals!$G:$G),0)),"")</f>
        <v/>
      </c>
      <c r="N1695" t="str">
        <f>IFERROR(IF(A1695="","",MAX(0,M1695-System_Config!$B$9)),"")</f>
        <v/>
      </c>
    </row>
    <row r="1696" spans="1:14" ht="15" customHeight="1" x14ac:dyDescent="0.25">
      <c r="A1696" t="str">
        <f>'NEW ACCOUNT'!A1697</f>
        <v/>
      </c>
      <c r="B1696" t="str">
        <f>IF('NEW ACCOUNT'!A1697="","",'NEW ACCOUNT'!B1697)</f>
        <v/>
      </c>
      <c r="C1696" t="str">
        <f>IF('NEW ACCOUNT'!A1697="","",'NEW ACCOUNT'!C1697)</f>
        <v/>
      </c>
      <c r="D1696" t="str">
        <f>IF('NEW ACCOUNT'!A1697="","",'NEW ACCOUNT'!D1697)</f>
        <v/>
      </c>
      <c r="E1696" t="str">
        <f>IF('NEW ACCOUNT'!A1697="","",'NEW ACCOUNT'!E1697)</f>
        <v/>
      </c>
      <c r="F1696" t="str">
        <f>IF('NEW ACCOUNT'!A1697="","",'NEW ACCOUNT'!F1697)</f>
        <v/>
      </c>
      <c r="G1696" t="str">
        <f>IF('NEW ACCOUNT'!A1697="","",'NEW ACCOUNT'!G1697)</f>
        <v/>
      </c>
      <c r="H1696" t="str">
        <f>IF('NEW ACCOUNT'!A1697="","",'NEW ACCOUNT'!H1697)</f>
        <v/>
      </c>
      <c r="I1696" t="str">
        <f>IF('NEW ACCOUNT'!A1697="","",'NEW ACCOUNT'!I1697)</f>
        <v/>
      </c>
      <c r="J1696" t="str">
        <f>IF('NEW ACCOUNT'!A1697="","",'NEW ACCOUNT'!J1697)</f>
        <v/>
      </c>
      <c r="K1696" t="str">
        <f>IFERROR(IF(A1696="","",SUMIF(DB_Savings!$A:$A,A1696,DB_Savings!$F:$F)),"")</f>
        <v/>
      </c>
      <c r="L1696" t="str">
        <f>IFERROR(IF(A1696="","",SUMIF(DB_Withdrawals!$A:$A,A1696,DB_Withdrawals!$G:$G)),"")</f>
        <v/>
      </c>
      <c r="M1696" t="str">
        <f>IFERROR(IF(A1696="","",IFERROR(VALUE(H1696),0)+IFERROR(SUMIF(DB_Savings!$A:$A,A1696,DB_Savings!$F:$F),0)-IFERROR(SUMIF(DB_Withdrawals!$A:$A,A1696,DB_Withdrawals!$G:$G),0)),"")</f>
        <v/>
      </c>
      <c r="N1696" t="str">
        <f>IFERROR(IF(A1696="","",MAX(0,M1696-System_Config!$B$9)),"")</f>
        <v/>
      </c>
    </row>
    <row r="1697" spans="1:14" ht="15" customHeight="1" x14ac:dyDescent="0.25">
      <c r="A1697" t="str">
        <f>'NEW ACCOUNT'!A1698</f>
        <v/>
      </c>
      <c r="B1697" t="str">
        <f>IF('NEW ACCOUNT'!A1698="","",'NEW ACCOUNT'!B1698)</f>
        <v/>
      </c>
      <c r="C1697" t="str">
        <f>IF('NEW ACCOUNT'!A1698="","",'NEW ACCOUNT'!C1698)</f>
        <v/>
      </c>
      <c r="D1697" t="str">
        <f>IF('NEW ACCOUNT'!A1698="","",'NEW ACCOUNT'!D1698)</f>
        <v/>
      </c>
      <c r="E1697" t="str">
        <f>IF('NEW ACCOUNT'!A1698="","",'NEW ACCOUNT'!E1698)</f>
        <v/>
      </c>
      <c r="F1697" t="str">
        <f>IF('NEW ACCOUNT'!A1698="","",'NEW ACCOUNT'!F1698)</f>
        <v/>
      </c>
      <c r="G1697" t="str">
        <f>IF('NEW ACCOUNT'!A1698="","",'NEW ACCOUNT'!G1698)</f>
        <v/>
      </c>
      <c r="H1697" t="str">
        <f>IF('NEW ACCOUNT'!A1698="","",'NEW ACCOUNT'!H1698)</f>
        <v/>
      </c>
      <c r="I1697" t="str">
        <f>IF('NEW ACCOUNT'!A1698="","",'NEW ACCOUNT'!I1698)</f>
        <v/>
      </c>
      <c r="J1697" t="str">
        <f>IF('NEW ACCOUNT'!A1698="","",'NEW ACCOUNT'!J1698)</f>
        <v/>
      </c>
      <c r="K1697" t="str">
        <f>IFERROR(IF(A1697="","",SUMIF(DB_Savings!$A:$A,A1697,DB_Savings!$F:$F)),"")</f>
        <v/>
      </c>
      <c r="L1697" t="str">
        <f>IFERROR(IF(A1697="","",SUMIF(DB_Withdrawals!$A:$A,A1697,DB_Withdrawals!$G:$G)),"")</f>
        <v/>
      </c>
      <c r="M1697" t="str">
        <f>IFERROR(IF(A1697="","",IFERROR(VALUE(H1697),0)+IFERROR(SUMIF(DB_Savings!$A:$A,A1697,DB_Savings!$F:$F),0)-IFERROR(SUMIF(DB_Withdrawals!$A:$A,A1697,DB_Withdrawals!$G:$G),0)),"")</f>
        <v/>
      </c>
      <c r="N1697" t="str">
        <f>IFERROR(IF(A1697="","",MAX(0,M1697-System_Config!$B$9)),"")</f>
        <v/>
      </c>
    </row>
    <row r="1698" spans="1:14" ht="15" customHeight="1" x14ac:dyDescent="0.25">
      <c r="A1698" t="str">
        <f>'NEW ACCOUNT'!A1699</f>
        <v/>
      </c>
      <c r="B1698" t="str">
        <f>IF('NEW ACCOUNT'!A1699="","",'NEW ACCOUNT'!B1699)</f>
        <v/>
      </c>
      <c r="C1698" t="str">
        <f>IF('NEW ACCOUNT'!A1699="","",'NEW ACCOUNT'!C1699)</f>
        <v/>
      </c>
      <c r="D1698" t="str">
        <f>IF('NEW ACCOUNT'!A1699="","",'NEW ACCOUNT'!D1699)</f>
        <v/>
      </c>
      <c r="E1698" t="str">
        <f>IF('NEW ACCOUNT'!A1699="","",'NEW ACCOUNT'!E1699)</f>
        <v/>
      </c>
      <c r="F1698" t="str">
        <f>IF('NEW ACCOUNT'!A1699="","",'NEW ACCOUNT'!F1699)</f>
        <v/>
      </c>
      <c r="G1698" t="str">
        <f>IF('NEW ACCOUNT'!A1699="","",'NEW ACCOUNT'!G1699)</f>
        <v/>
      </c>
      <c r="H1698" t="str">
        <f>IF('NEW ACCOUNT'!A1699="","",'NEW ACCOUNT'!H1699)</f>
        <v/>
      </c>
      <c r="I1698" t="str">
        <f>IF('NEW ACCOUNT'!A1699="","",'NEW ACCOUNT'!I1699)</f>
        <v/>
      </c>
      <c r="J1698" t="str">
        <f>IF('NEW ACCOUNT'!A1699="","",'NEW ACCOUNT'!J1699)</f>
        <v/>
      </c>
      <c r="K1698" t="str">
        <f>IFERROR(IF(A1698="","",SUMIF(DB_Savings!$A:$A,A1698,DB_Savings!$F:$F)),"")</f>
        <v/>
      </c>
      <c r="L1698" t="str">
        <f>IFERROR(IF(A1698="","",SUMIF(DB_Withdrawals!$A:$A,A1698,DB_Withdrawals!$G:$G)),"")</f>
        <v/>
      </c>
      <c r="M1698" t="str">
        <f>IFERROR(IF(A1698="","",IFERROR(VALUE(H1698),0)+IFERROR(SUMIF(DB_Savings!$A:$A,A1698,DB_Savings!$F:$F),0)-IFERROR(SUMIF(DB_Withdrawals!$A:$A,A1698,DB_Withdrawals!$G:$G),0)),"")</f>
        <v/>
      </c>
      <c r="N1698" t="str">
        <f>IFERROR(IF(A1698="","",MAX(0,M1698-System_Config!$B$9)),"")</f>
        <v/>
      </c>
    </row>
    <row r="1699" spans="1:14" ht="15" customHeight="1" x14ac:dyDescent="0.25">
      <c r="A1699" t="str">
        <f>'NEW ACCOUNT'!A1700</f>
        <v/>
      </c>
      <c r="B1699" t="str">
        <f>IF('NEW ACCOUNT'!A1700="","",'NEW ACCOUNT'!B1700)</f>
        <v/>
      </c>
      <c r="C1699" t="str">
        <f>IF('NEW ACCOUNT'!A1700="","",'NEW ACCOUNT'!C1700)</f>
        <v/>
      </c>
      <c r="D1699" t="str">
        <f>IF('NEW ACCOUNT'!A1700="","",'NEW ACCOUNT'!D1700)</f>
        <v/>
      </c>
      <c r="E1699" t="str">
        <f>IF('NEW ACCOUNT'!A1700="","",'NEW ACCOUNT'!E1700)</f>
        <v/>
      </c>
      <c r="F1699" t="str">
        <f>IF('NEW ACCOUNT'!A1700="","",'NEW ACCOUNT'!F1700)</f>
        <v/>
      </c>
      <c r="G1699" t="str">
        <f>IF('NEW ACCOUNT'!A1700="","",'NEW ACCOUNT'!G1700)</f>
        <v/>
      </c>
      <c r="H1699" t="str">
        <f>IF('NEW ACCOUNT'!A1700="","",'NEW ACCOUNT'!H1700)</f>
        <v/>
      </c>
      <c r="I1699" t="str">
        <f>IF('NEW ACCOUNT'!A1700="","",'NEW ACCOUNT'!I1700)</f>
        <v/>
      </c>
      <c r="J1699" t="str">
        <f>IF('NEW ACCOUNT'!A1700="","",'NEW ACCOUNT'!J1700)</f>
        <v/>
      </c>
      <c r="K1699" t="str">
        <f>IFERROR(IF(A1699="","",SUMIF(DB_Savings!$A:$A,A1699,DB_Savings!$F:$F)),"")</f>
        <v/>
      </c>
      <c r="L1699" t="str">
        <f>IFERROR(IF(A1699="","",SUMIF(DB_Withdrawals!$A:$A,A1699,DB_Withdrawals!$G:$G)),"")</f>
        <v/>
      </c>
      <c r="M1699" t="str">
        <f>IFERROR(IF(A1699="","",IFERROR(VALUE(H1699),0)+IFERROR(SUMIF(DB_Savings!$A:$A,A1699,DB_Savings!$F:$F),0)-IFERROR(SUMIF(DB_Withdrawals!$A:$A,A1699,DB_Withdrawals!$G:$G),0)),"")</f>
        <v/>
      </c>
      <c r="N1699" t="str">
        <f>IFERROR(IF(A1699="","",MAX(0,M1699-System_Config!$B$9)),"")</f>
        <v/>
      </c>
    </row>
    <row r="1700" spans="1:14" ht="15" customHeight="1" x14ac:dyDescent="0.25">
      <c r="A1700" t="str">
        <f>'NEW ACCOUNT'!A1701</f>
        <v/>
      </c>
      <c r="B1700" t="str">
        <f>IF('NEW ACCOUNT'!A1701="","",'NEW ACCOUNT'!B1701)</f>
        <v/>
      </c>
      <c r="C1700" t="str">
        <f>IF('NEW ACCOUNT'!A1701="","",'NEW ACCOUNT'!C1701)</f>
        <v/>
      </c>
      <c r="D1700" t="str">
        <f>IF('NEW ACCOUNT'!A1701="","",'NEW ACCOUNT'!D1701)</f>
        <v/>
      </c>
      <c r="E1700" t="str">
        <f>IF('NEW ACCOUNT'!A1701="","",'NEW ACCOUNT'!E1701)</f>
        <v/>
      </c>
      <c r="F1700" t="str">
        <f>IF('NEW ACCOUNT'!A1701="","",'NEW ACCOUNT'!F1701)</f>
        <v/>
      </c>
      <c r="G1700" t="str">
        <f>IF('NEW ACCOUNT'!A1701="","",'NEW ACCOUNT'!G1701)</f>
        <v/>
      </c>
      <c r="H1700" t="str">
        <f>IF('NEW ACCOUNT'!A1701="","",'NEW ACCOUNT'!H1701)</f>
        <v/>
      </c>
      <c r="I1700" t="str">
        <f>IF('NEW ACCOUNT'!A1701="","",'NEW ACCOUNT'!I1701)</f>
        <v/>
      </c>
      <c r="J1700" t="str">
        <f>IF('NEW ACCOUNT'!A1701="","",'NEW ACCOUNT'!J1701)</f>
        <v/>
      </c>
      <c r="K1700" t="str">
        <f>IFERROR(IF(A1700="","",SUMIF(DB_Savings!$A:$A,A1700,DB_Savings!$F:$F)),"")</f>
        <v/>
      </c>
      <c r="L1700" t="str">
        <f>IFERROR(IF(A1700="","",SUMIF(DB_Withdrawals!$A:$A,A1700,DB_Withdrawals!$G:$G)),"")</f>
        <v/>
      </c>
      <c r="M1700" t="str">
        <f>IFERROR(IF(A1700="","",IFERROR(VALUE(H1700),0)+IFERROR(SUMIF(DB_Savings!$A:$A,A1700,DB_Savings!$F:$F),0)-IFERROR(SUMIF(DB_Withdrawals!$A:$A,A1700,DB_Withdrawals!$G:$G),0)),"")</f>
        <v/>
      </c>
      <c r="N1700" t="str">
        <f>IFERROR(IF(A1700="","",MAX(0,M1700-System_Config!$B$9)),"")</f>
        <v/>
      </c>
    </row>
    <row r="1701" spans="1:14" ht="15" customHeight="1" x14ac:dyDescent="0.25">
      <c r="A1701" t="str">
        <f>'NEW ACCOUNT'!A1702</f>
        <v/>
      </c>
      <c r="B1701" t="str">
        <f>IF('NEW ACCOUNT'!A1702="","",'NEW ACCOUNT'!B1702)</f>
        <v/>
      </c>
      <c r="C1701" t="str">
        <f>IF('NEW ACCOUNT'!A1702="","",'NEW ACCOUNT'!C1702)</f>
        <v/>
      </c>
      <c r="D1701" t="str">
        <f>IF('NEW ACCOUNT'!A1702="","",'NEW ACCOUNT'!D1702)</f>
        <v/>
      </c>
      <c r="E1701" t="str">
        <f>IF('NEW ACCOUNT'!A1702="","",'NEW ACCOUNT'!E1702)</f>
        <v/>
      </c>
      <c r="F1701" t="str">
        <f>IF('NEW ACCOUNT'!A1702="","",'NEW ACCOUNT'!F1702)</f>
        <v/>
      </c>
      <c r="G1701" t="str">
        <f>IF('NEW ACCOUNT'!A1702="","",'NEW ACCOUNT'!G1702)</f>
        <v/>
      </c>
      <c r="H1701" t="str">
        <f>IF('NEW ACCOUNT'!A1702="","",'NEW ACCOUNT'!H1702)</f>
        <v/>
      </c>
      <c r="I1701" t="str">
        <f>IF('NEW ACCOUNT'!A1702="","",'NEW ACCOUNT'!I1702)</f>
        <v/>
      </c>
      <c r="J1701" t="str">
        <f>IF('NEW ACCOUNT'!A1702="","",'NEW ACCOUNT'!J1702)</f>
        <v/>
      </c>
      <c r="K1701" t="str">
        <f>IFERROR(IF(A1701="","",SUMIF(DB_Savings!$A:$A,A1701,DB_Savings!$F:$F)),"")</f>
        <v/>
      </c>
      <c r="L1701" t="str">
        <f>IFERROR(IF(A1701="","",SUMIF(DB_Withdrawals!$A:$A,A1701,DB_Withdrawals!$G:$G)),"")</f>
        <v/>
      </c>
      <c r="M1701" t="str">
        <f>IFERROR(IF(A1701="","",IFERROR(VALUE(H1701),0)+IFERROR(SUMIF(DB_Savings!$A:$A,A1701,DB_Savings!$F:$F),0)-IFERROR(SUMIF(DB_Withdrawals!$A:$A,A1701,DB_Withdrawals!$G:$G),0)),"")</f>
        <v/>
      </c>
      <c r="N1701" t="str">
        <f>IFERROR(IF(A1701="","",MAX(0,M1701-System_Config!$B$9)),"")</f>
        <v/>
      </c>
    </row>
    <row r="1702" spans="1:14" ht="15" customHeight="1" x14ac:dyDescent="0.25">
      <c r="A1702" t="str">
        <f>'NEW ACCOUNT'!A1703</f>
        <v/>
      </c>
      <c r="B1702" t="str">
        <f>IF('NEW ACCOUNT'!A1703="","",'NEW ACCOUNT'!B1703)</f>
        <v/>
      </c>
      <c r="C1702" t="str">
        <f>IF('NEW ACCOUNT'!A1703="","",'NEW ACCOUNT'!C1703)</f>
        <v/>
      </c>
      <c r="D1702" t="str">
        <f>IF('NEW ACCOUNT'!A1703="","",'NEW ACCOUNT'!D1703)</f>
        <v/>
      </c>
      <c r="E1702" t="str">
        <f>IF('NEW ACCOUNT'!A1703="","",'NEW ACCOUNT'!E1703)</f>
        <v/>
      </c>
      <c r="F1702" t="str">
        <f>IF('NEW ACCOUNT'!A1703="","",'NEW ACCOUNT'!F1703)</f>
        <v/>
      </c>
      <c r="G1702" t="str">
        <f>IF('NEW ACCOUNT'!A1703="","",'NEW ACCOUNT'!G1703)</f>
        <v/>
      </c>
      <c r="H1702" t="str">
        <f>IF('NEW ACCOUNT'!A1703="","",'NEW ACCOUNT'!H1703)</f>
        <v/>
      </c>
      <c r="I1702" t="str">
        <f>IF('NEW ACCOUNT'!A1703="","",'NEW ACCOUNT'!I1703)</f>
        <v/>
      </c>
      <c r="J1702" t="str">
        <f>IF('NEW ACCOUNT'!A1703="","",'NEW ACCOUNT'!J1703)</f>
        <v/>
      </c>
      <c r="K1702" t="str">
        <f>IFERROR(IF(A1702="","",SUMIF(DB_Savings!$A:$A,A1702,DB_Savings!$F:$F)),"")</f>
        <v/>
      </c>
      <c r="L1702" t="str">
        <f>IFERROR(IF(A1702="","",SUMIF(DB_Withdrawals!$A:$A,A1702,DB_Withdrawals!$G:$G)),"")</f>
        <v/>
      </c>
      <c r="M1702" t="str">
        <f>IFERROR(IF(A1702="","",IFERROR(VALUE(H1702),0)+IFERROR(SUMIF(DB_Savings!$A:$A,A1702,DB_Savings!$F:$F),0)-IFERROR(SUMIF(DB_Withdrawals!$A:$A,A1702,DB_Withdrawals!$G:$G),0)),"")</f>
        <v/>
      </c>
      <c r="N1702" t="str">
        <f>IFERROR(IF(A1702="","",MAX(0,M1702-System_Config!$B$9)),"")</f>
        <v/>
      </c>
    </row>
    <row r="1703" spans="1:14" ht="15" customHeight="1" x14ac:dyDescent="0.25">
      <c r="A1703" t="str">
        <f>'NEW ACCOUNT'!A1704</f>
        <v/>
      </c>
      <c r="B1703" t="str">
        <f>IF('NEW ACCOUNT'!A1704="","",'NEW ACCOUNT'!B1704)</f>
        <v/>
      </c>
      <c r="C1703" t="str">
        <f>IF('NEW ACCOUNT'!A1704="","",'NEW ACCOUNT'!C1704)</f>
        <v/>
      </c>
      <c r="D1703" t="str">
        <f>IF('NEW ACCOUNT'!A1704="","",'NEW ACCOUNT'!D1704)</f>
        <v/>
      </c>
      <c r="E1703" t="str">
        <f>IF('NEW ACCOUNT'!A1704="","",'NEW ACCOUNT'!E1704)</f>
        <v/>
      </c>
      <c r="F1703" t="str">
        <f>IF('NEW ACCOUNT'!A1704="","",'NEW ACCOUNT'!F1704)</f>
        <v/>
      </c>
      <c r="G1703" t="str">
        <f>IF('NEW ACCOUNT'!A1704="","",'NEW ACCOUNT'!G1704)</f>
        <v/>
      </c>
      <c r="H1703" t="str">
        <f>IF('NEW ACCOUNT'!A1704="","",'NEW ACCOUNT'!H1704)</f>
        <v/>
      </c>
      <c r="I1703" t="str">
        <f>IF('NEW ACCOUNT'!A1704="","",'NEW ACCOUNT'!I1704)</f>
        <v/>
      </c>
      <c r="J1703" t="str">
        <f>IF('NEW ACCOUNT'!A1704="","",'NEW ACCOUNT'!J1704)</f>
        <v/>
      </c>
      <c r="K1703" t="str">
        <f>IFERROR(IF(A1703="","",SUMIF(DB_Savings!$A:$A,A1703,DB_Savings!$F:$F)),"")</f>
        <v/>
      </c>
      <c r="L1703" t="str">
        <f>IFERROR(IF(A1703="","",SUMIF(DB_Withdrawals!$A:$A,A1703,DB_Withdrawals!$G:$G)),"")</f>
        <v/>
      </c>
      <c r="M1703" t="str">
        <f>IFERROR(IF(A1703="","",IFERROR(VALUE(H1703),0)+IFERROR(SUMIF(DB_Savings!$A:$A,A1703,DB_Savings!$F:$F),0)-IFERROR(SUMIF(DB_Withdrawals!$A:$A,A1703,DB_Withdrawals!$G:$G),0)),"")</f>
        <v/>
      </c>
      <c r="N1703" t="str">
        <f>IFERROR(IF(A1703="","",MAX(0,M1703-System_Config!$B$9)),"")</f>
        <v/>
      </c>
    </row>
    <row r="1704" spans="1:14" ht="15" customHeight="1" x14ac:dyDescent="0.25">
      <c r="A1704" t="str">
        <f>'NEW ACCOUNT'!A1705</f>
        <v/>
      </c>
      <c r="B1704" t="str">
        <f>IF('NEW ACCOUNT'!A1705="","",'NEW ACCOUNT'!B1705)</f>
        <v/>
      </c>
      <c r="C1704" t="str">
        <f>IF('NEW ACCOUNT'!A1705="","",'NEW ACCOUNT'!C1705)</f>
        <v/>
      </c>
      <c r="D1704" t="str">
        <f>IF('NEW ACCOUNT'!A1705="","",'NEW ACCOUNT'!D1705)</f>
        <v/>
      </c>
      <c r="E1704" t="str">
        <f>IF('NEW ACCOUNT'!A1705="","",'NEW ACCOUNT'!E1705)</f>
        <v/>
      </c>
      <c r="F1704" t="str">
        <f>IF('NEW ACCOUNT'!A1705="","",'NEW ACCOUNT'!F1705)</f>
        <v/>
      </c>
      <c r="G1704" t="str">
        <f>IF('NEW ACCOUNT'!A1705="","",'NEW ACCOUNT'!G1705)</f>
        <v/>
      </c>
      <c r="H1704" t="str">
        <f>IF('NEW ACCOUNT'!A1705="","",'NEW ACCOUNT'!H1705)</f>
        <v/>
      </c>
      <c r="I1704" t="str">
        <f>IF('NEW ACCOUNT'!A1705="","",'NEW ACCOUNT'!I1705)</f>
        <v/>
      </c>
      <c r="J1704" t="str">
        <f>IF('NEW ACCOUNT'!A1705="","",'NEW ACCOUNT'!J1705)</f>
        <v/>
      </c>
      <c r="K1704" t="str">
        <f>IFERROR(IF(A1704="","",SUMIF(DB_Savings!$A:$A,A1704,DB_Savings!$F:$F)),"")</f>
        <v/>
      </c>
      <c r="L1704" t="str">
        <f>IFERROR(IF(A1704="","",SUMIF(DB_Withdrawals!$A:$A,A1704,DB_Withdrawals!$G:$G)),"")</f>
        <v/>
      </c>
      <c r="M1704" t="str">
        <f>IFERROR(IF(A1704="","",IFERROR(VALUE(H1704),0)+IFERROR(SUMIF(DB_Savings!$A:$A,A1704,DB_Savings!$F:$F),0)-IFERROR(SUMIF(DB_Withdrawals!$A:$A,A1704,DB_Withdrawals!$G:$G),0)),"")</f>
        <v/>
      </c>
      <c r="N1704" t="str">
        <f>IFERROR(IF(A1704="","",MAX(0,M1704-System_Config!$B$9)),"")</f>
        <v/>
      </c>
    </row>
    <row r="1705" spans="1:14" ht="15" customHeight="1" x14ac:dyDescent="0.25">
      <c r="A1705" t="str">
        <f>'NEW ACCOUNT'!A1706</f>
        <v/>
      </c>
      <c r="B1705" t="str">
        <f>IF('NEW ACCOUNT'!A1706="","",'NEW ACCOUNT'!B1706)</f>
        <v/>
      </c>
      <c r="C1705" t="str">
        <f>IF('NEW ACCOUNT'!A1706="","",'NEW ACCOUNT'!C1706)</f>
        <v/>
      </c>
      <c r="D1705" t="str">
        <f>IF('NEW ACCOUNT'!A1706="","",'NEW ACCOUNT'!D1706)</f>
        <v/>
      </c>
      <c r="E1705" t="str">
        <f>IF('NEW ACCOUNT'!A1706="","",'NEW ACCOUNT'!E1706)</f>
        <v/>
      </c>
      <c r="F1705" t="str">
        <f>IF('NEW ACCOUNT'!A1706="","",'NEW ACCOUNT'!F1706)</f>
        <v/>
      </c>
      <c r="G1705" t="str">
        <f>IF('NEW ACCOUNT'!A1706="","",'NEW ACCOUNT'!G1706)</f>
        <v/>
      </c>
      <c r="H1705" t="str">
        <f>IF('NEW ACCOUNT'!A1706="","",'NEW ACCOUNT'!H1706)</f>
        <v/>
      </c>
      <c r="I1705" t="str">
        <f>IF('NEW ACCOUNT'!A1706="","",'NEW ACCOUNT'!I1706)</f>
        <v/>
      </c>
      <c r="J1705" t="str">
        <f>IF('NEW ACCOUNT'!A1706="","",'NEW ACCOUNT'!J1706)</f>
        <v/>
      </c>
      <c r="K1705" t="str">
        <f>IFERROR(IF(A1705="","",SUMIF(DB_Savings!$A:$A,A1705,DB_Savings!$F:$F)),"")</f>
        <v/>
      </c>
      <c r="L1705" t="str">
        <f>IFERROR(IF(A1705="","",SUMIF(DB_Withdrawals!$A:$A,A1705,DB_Withdrawals!$G:$G)),"")</f>
        <v/>
      </c>
      <c r="M1705" t="str">
        <f>IFERROR(IF(A1705="","",IFERROR(VALUE(H1705),0)+IFERROR(SUMIF(DB_Savings!$A:$A,A1705,DB_Savings!$F:$F),0)-IFERROR(SUMIF(DB_Withdrawals!$A:$A,A1705,DB_Withdrawals!$G:$G),0)),"")</f>
        <v/>
      </c>
      <c r="N1705" t="str">
        <f>IFERROR(IF(A1705="","",MAX(0,M1705-System_Config!$B$9)),"")</f>
        <v/>
      </c>
    </row>
    <row r="1706" spans="1:14" ht="15" customHeight="1" x14ac:dyDescent="0.25">
      <c r="A1706" t="str">
        <f>'NEW ACCOUNT'!A1707</f>
        <v/>
      </c>
      <c r="B1706" t="str">
        <f>IF('NEW ACCOUNT'!A1707="","",'NEW ACCOUNT'!B1707)</f>
        <v/>
      </c>
      <c r="C1706" t="str">
        <f>IF('NEW ACCOUNT'!A1707="","",'NEW ACCOUNT'!C1707)</f>
        <v/>
      </c>
      <c r="D1706" t="str">
        <f>IF('NEW ACCOUNT'!A1707="","",'NEW ACCOUNT'!D1707)</f>
        <v/>
      </c>
      <c r="E1706" t="str">
        <f>IF('NEW ACCOUNT'!A1707="","",'NEW ACCOUNT'!E1707)</f>
        <v/>
      </c>
      <c r="F1706" t="str">
        <f>IF('NEW ACCOUNT'!A1707="","",'NEW ACCOUNT'!F1707)</f>
        <v/>
      </c>
      <c r="G1706" t="str">
        <f>IF('NEW ACCOUNT'!A1707="","",'NEW ACCOUNT'!G1707)</f>
        <v/>
      </c>
      <c r="H1706" t="str">
        <f>IF('NEW ACCOUNT'!A1707="","",'NEW ACCOUNT'!H1707)</f>
        <v/>
      </c>
      <c r="I1706" t="str">
        <f>IF('NEW ACCOUNT'!A1707="","",'NEW ACCOUNT'!I1707)</f>
        <v/>
      </c>
      <c r="J1706" t="str">
        <f>IF('NEW ACCOUNT'!A1707="","",'NEW ACCOUNT'!J1707)</f>
        <v/>
      </c>
      <c r="K1706" t="str">
        <f>IFERROR(IF(A1706="","",SUMIF(DB_Savings!$A:$A,A1706,DB_Savings!$F:$F)),"")</f>
        <v/>
      </c>
      <c r="L1706" t="str">
        <f>IFERROR(IF(A1706="","",SUMIF(DB_Withdrawals!$A:$A,A1706,DB_Withdrawals!$G:$G)),"")</f>
        <v/>
      </c>
      <c r="M1706" t="str">
        <f>IFERROR(IF(A1706="","",IFERROR(VALUE(H1706),0)+IFERROR(SUMIF(DB_Savings!$A:$A,A1706,DB_Savings!$F:$F),0)-IFERROR(SUMIF(DB_Withdrawals!$A:$A,A1706,DB_Withdrawals!$G:$G),0)),"")</f>
        <v/>
      </c>
      <c r="N1706" t="str">
        <f>IFERROR(IF(A1706="","",MAX(0,M1706-System_Config!$B$9)),"")</f>
        <v/>
      </c>
    </row>
    <row r="1707" spans="1:14" ht="15" customHeight="1" x14ac:dyDescent="0.25">
      <c r="A1707" t="str">
        <f>'NEW ACCOUNT'!A1708</f>
        <v/>
      </c>
      <c r="B1707" t="str">
        <f>IF('NEW ACCOUNT'!A1708="","",'NEW ACCOUNT'!B1708)</f>
        <v/>
      </c>
      <c r="C1707" t="str">
        <f>IF('NEW ACCOUNT'!A1708="","",'NEW ACCOUNT'!C1708)</f>
        <v/>
      </c>
      <c r="D1707" t="str">
        <f>IF('NEW ACCOUNT'!A1708="","",'NEW ACCOUNT'!D1708)</f>
        <v/>
      </c>
      <c r="E1707" t="str">
        <f>IF('NEW ACCOUNT'!A1708="","",'NEW ACCOUNT'!E1708)</f>
        <v/>
      </c>
      <c r="F1707" t="str">
        <f>IF('NEW ACCOUNT'!A1708="","",'NEW ACCOUNT'!F1708)</f>
        <v/>
      </c>
      <c r="G1707" t="str">
        <f>IF('NEW ACCOUNT'!A1708="","",'NEW ACCOUNT'!G1708)</f>
        <v/>
      </c>
      <c r="H1707" t="str">
        <f>IF('NEW ACCOUNT'!A1708="","",'NEW ACCOUNT'!H1708)</f>
        <v/>
      </c>
      <c r="I1707" t="str">
        <f>IF('NEW ACCOUNT'!A1708="","",'NEW ACCOUNT'!I1708)</f>
        <v/>
      </c>
      <c r="J1707" t="str">
        <f>IF('NEW ACCOUNT'!A1708="","",'NEW ACCOUNT'!J1708)</f>
        <v/>
      </c>
      <c r="K1707" t="str">
        <f>IFERROR(IF(A1707="","",SUMIF(DB_Savings!$A:$A,A1707,DB_Savings!$F:$F)),"")</f>
        <v/>
      </c>
      <c r="L1707" t="str">
        <f>IFERROR(IF(A1707="","",SUMIF(DB_Withdrawals!$A:$A,A1707,DB_Withdrawals!$G:$G)),"")</f>
        <v/>
      </c>
      <c r="M1707" t="str">
        <f>IFERROR(IF(A1707="","",IFERROR(VALUE(H1707),0)+IFERROR(SUMIF(DB_Savings!$A:$A,A1707,DB_Savings!$F:$F),0)-IFERROR(SUMIF(DB_Withdrawals!$A:$A,A1707,DB_Withdrawals!$G:$G),0)),"")</f>
        <v/>
      </c>
      <c r="N1707" t="str">
        <f>IFERROR(IF(A1707="","",MAX(0,M1707-System_Config!$B$9)),"")</f>
        <v/>
      </c>
    </row>
    <row r="1708" spans="1:14" ht="15" customHeight="1" x14ac:dyDescent="0.25">
      <c r="A1708" t="str">
        <f>'NEW ACCOUNT'!A1709</f>
        <v/>
      </c>
      <c r="B1708" t="str">
        <f>IF('NEW ACCOUNT'!A1709="","",'NEW ACCOUNT'!B1709)</f>
        <v/>
      </c>
      <c r="C1708" t="str">
        <f>IF('NEW ACCOUNT'!A1709="","",'NEW ACCOUNT'!C1709)</f>
        <v/>
      </c>
      <c r="D1708" t="str">
        <f>IF('NEW ACCOUNT'!A1709="","",'NEW ACCOUNT'!D1709)</f>
        <v/>
      </c>
      <c r="E1708" t="str">
        <f>IF('NEW ACCOUNT'!A1709="","",'NEW ACCOUNT'!E1709)</f>
        <v/>
      </c>
      <c r="F1708" t="str">
        <f>IF('NEW ACCOUNT'!A1709="","",'NEW ACCOUNT'!F1709)</f>
        <v/>
      </c>
      <c r="G1708" t="str">
        <f>IF('NEW ACCOUNT'!A1709="","",'NEW ACCOUNT'!G1709)</f>
        <v/>
      </c>
      <c r="H1708" t="str">
        <f>IF('NEW ACCOUNT'!A1709="","",'NEW ACCOUNT'!H1709)</f>
        <v/>
      </c>
      <c r="I1708" t="str">
        <f>IF('NEW ACCOUNT'!A1709="","",'NEW ACCOUNT'!I1709)</f>
        <v/>
      </c>
      <c r="J1708" t="str">
        <f>IF('NEW ACCOUNT'!A1709="","",'NEW ACCOUNT'!J1709)</f>
        <v/>
      </c>
      <c r="K1708" t="str">
        <f>IFERROR(IF(A1708="","",SUMIF(DB_Savings!$A:$A,A1708,DB_Savings!$F:$F)),"")</f>
        <v/>
      </c>
      <c r="L1708" t="str">
        <f>IFERROR(IF(A1708="","",SUMIF(DB_Withdrawals!$A:$A,A1708,DB_Withdrawals!$G:$G)),"")</f>
        <v/>
      </c>
      <c r="M1708" t="str">
        <f>IFERROR(IF(A1708="","",IFERROR(VALUE(H1708),0)+IFERROR(SUMIF(DB_Savings!$A:$A,A1708,DB_Savings!$F:$F),0)-IFERROR(SUMIF(DB_Withdrawals!$A:$A,A1708,DB_Withdrawals!$G:$G),0)),"")</f>
        <v/>
      </c>
      <c r="N1708" t="str">
        <f>IFERROR(IF(A1708="","",MAX(0,M1708-System_Config!$B$9)),"")</f>
        <v/>
      </c>
    </row>
    <row r="1709" spans="1:14" ht="15" customHeight="1" x14ac:dyDescent="0.25">
      <c r="A1709" t="str">
        <f>'NEW ACCOUNT'!A1710</f>
        <v/>
      </c>
      <c r="B1709" t="str">
        <f>IF('NEW ACCOUNT'!A1710="","",'NEW ACCOUNT'!B1710)</f>
        <v/>
      </c>
      <c r="C1709" t="str">
        <f>IF('NEW ACCOUNT'!A1710="","",'NEW ACCOUNT'!C1710)</f>
        <v/>
      </c>
      <c r="D1709" t="str">
        <f>IF('NEW ACCOUNT'!A1710="","",'NEW ACCOUNT'!D1710)</f>
        <v/>
      </c>
      <c r="E1709" t="str">
        <f>IF('NEW ACCOUNT'!A1710="","",'NEW ACCOUNT'!E1710)</f>
        <v/>
      </c>
      <c r="F1709" t="str">
        <f>IF('NEW ACCOUNT'!A1710="","",'NEW ACCOUNT'!F1710)</f>
        <v/>
      </c>
      <c r="G1709" t="str">
        <f>IF('NEW ACCOUNT'!A1710="","",'NEW ACCOUNT'!G1710)</f>
        <v/>
      </c>
      <c r="H1709" t="str">
        <f>IF('NEW ACCOUNT'!A1710="","",'NEW ACCOUNT'!H1710)</f>
        <v/>
      </c>
      <c r="I1709" t="str">
        <f>IF('NEW ACCOUNT'!A1710="","",'NEW ACCOUNT'!I1710)</f>
        <v/>
      </c>
      <c r="J1709" t="str">
        <f>IF('NEW ACCOUNT'!A1710="","",'NEW ACCOUNT'!J1710)</f>
        <v/>
      </c>
      <c r="K1709" t="str">
        <f>IFERROR(IF(A1709="","",SUMIF(DB_Savings!$A:$A,A1709,DB_Savings!$F:$F)),"")</f>
        <v/>
      </c>
      <c r="L1709" t="str">
        <f>IFERROR(IF(A1709="","",SUMIF(DB_Withdrawals!$A:$A,A1709,DB_Withdrawals!$G:$G)),"")</f>
        <v/>
      </c>
      <c r="M1709" t="str">
        <f>IFERROR(IF(A1709="","",IFERROR(VALUE(H1709),0)+IFERROR(SUMIF(DB_Savings!$A:$A,A1709,DB_Savings!$F:$F),0)-IFERROR(SUMIF(DB_Withdrawals!$A:$A,A1709,DB_Withdrawals!$G:$G),0)),"")</f>
        <v/>
      </c>
      <c r="N1709" t="str">
        <f>IFERROR(IF(A1709="","",MAX(0,M1709-System_Config!$B$9)),"")</f>
        <v/>
      </c>
    </row>
    <row r="1710" spans="1:14" ht="15" customHeight="1" x14ac:dyDescent="0.25">
      <c r="A1710" t="str">
        <f>'NEW ACCOUNT'!A1711</f>
        <v/>
      </c>
      <c r="B1710" t="str">
        <f>IF('NEW ACCOUNT'!A1711="","",'NEW ACCOUNT'!B1711)</f>
        <v/>
      </c>
      <c r="C1710" t="str">
        <f>IF('NEW ACCOUNT'!A1711="","",'NEW ACCOUNT'!C1711)</f>
        <v/>
      </c>
      <c r="D1710" t="str">
        <f>IF('NEW ACCOUNT'!A1711="","",'NEW ACCOUNT'!D1711)</f>
        <v/>
      </c>
      <c r="E1710" t="str">
        <f>IF('NEW ACCOUNT'!A1711="","",'NEW ACCOUNT'!E1711)</f>
        <v/>
      </c>
      <c r="F1710" t="str">
        <f>IF('NEW ACCOUNT'!A1711="","",'NEW ACCOUNT'!F1711)</f>
        <v/>
      </c>
      <c r="G1710" t="str">
        <f>IF('NEW ACCOUNT'!A1711="","",'NEW ACCOUNT'!G1711)</f>
        <v/>
      </c>
      <c r="H1710" t="str">
        <f>IF('NEW ACCOUNT'!A1711="","",'NEW ACCOUNT'!H1711)</f>
        <v/>
      </c>
      <c r="I1710" t="str">
        <f>IF('NEW ACCOUNT'!A1711="","",'NEW ACCOUNT'!I1711)</f>
        <v/>
      </c>
      <c r="J1710" t="str">
        <f>IF('NEW ACCOUNT'!A1711="","",'NEW ACCOUNT'!J1711)</f>
        <v/>
      </c>
      <c r="K1710" t="str">
        <f>IFERROR(IF(A1710="","",SUMIF(DB_Savings!$A:$A,A1710,DB_Savings!$F:$F)),"")</f>
        <v/>
      </c>
      <c r="L1710" t="str">
        <f>IFERROR(IF(A1710="","",SUMIF(DB_Withdrawals!$A:$A,A1710,DB_Withdrawals!$G:$G)),"")</f>
        <v/>
      </c>
      <c r="M1710" t="str">
        <f>IFERROR(IF(A1710="","",IFERROR(VALUE(H1710),0)+IFERROR(SUMIF(DB_Savings!$A:$A,A1710,DB_Savings!$F:$F),0)-IFERROR(SUMIF(DB_Withdrawals!$A:$A,A1710,DB_Withdrawals!$G:$G),0)),"")</f>
        <v/>
      </c>
      <c r="N1710" t="str">
        <f>IFERROR(IF(A1710="","",MAX(0,M1710-System_Config!$B$9)),"")</f>
        <v/>
      </c>
    </row>
    <row r="1711" spans="1:14" ht="15" customHeight="1" x14ac:dyDescent="0.25">
      <c r="A1711" t="str">
        <f>'NEW ACCOUNT'!A1712</f>
        <v/>
      </c>
      <c r="B1711" t="str">
        <f>IF('NEW ACCOUNT'!A1712="","",'NEW ACCOUNT'!B1712)</f>
        <v/>
      </c>
      <c r="C1711" t="str">
        <f>IF('NEW ACCOUNT'!A1712="","",'NEW ACCOUNT'!C1712)</f>
        <v/>
      </c>
      <c r="D1711" t="str">
        <f>IF('NEW ACCOUNT'!A1712="","",'NEW ACCOUNT'!D1712)</f>
        <v/>
      </c>
      <c r="E1711" t="str">
        <f>IF('NEW ACCOUNT'!A1712="","",'NEW ACCOUNT'!E1712)</f>
        <v/>
      </c>
      <c r="F1711" t="str">
        <f>IF('NEW ACCOUNT'!A1712="","",'NEW ACCOUNT'!F1712)</f>
        <v/>
      </c>
      <c r="G1711" t="str">
        <f>IF('NEW ACCOUNT'!A1712="","",'NEW ACCOUNT'!G1712)</f>
        <v/>
      </c>
      <c r="H1711" t="str">
        <f>IF('NEW ACCOUNT'!A1712="","",'NEW ACCOUNT'!H1712)</f>
        <v/>
      </c>
      <c r="I1711" t="str">
        <f>IF('NEW ACCOUNT'!A1712="","",'NEW ACCOUNT'!I1712)</f>
        <v/>
      </c>
      <c r="J1711" t="str">
        <f>IF('NEW ACCOUNT'!A1712="","",'NEW ACCOUNT'!J1712)</f>
        <v/>
      </c>
      <c r="K1711" t="str">
        <f>IFERROR(IF(A1711="","",SUMIF(DB_Savings!$A:$A,A1711,DB_Savings!$F:$F)),"")</f>
        <v/>
      </c>
      <c r="L1711" t="str">
        <f>IFERROR(IF(A1711="","",SUMIF(DB_Withdrawals!$A:$A,A1711,DB_Withdrawals!$G:$G)),"")</f>
        <v/>
      </c>
      <c r="M1711" t="str">
        <f>IFERROR(IF(A1711="","",IFERROR(VALUE(H1711),0)+IFERROR(SUMIF(DB_Savings!$A:$A,A1711,DB_Savings!$F:$F),0)-IFERROR(SUMIF(DB_Withdrawals!$A:$A,A1711,DB_Withdrawals!$G:$G),0)),"")</f>
        <v/>
      </c>
      <c r="N1711" t="str">
        <f>IFERROR(IF(A1711="","",MAX(0,M1711-System_Config!$B$9)),"")</f>
        <v/>
      </c>
    </row>
    <row r="1712" spans="1:14" ht="15" customHeight="1" x14ac:dyDescent="0.25">
      <c r="A1712" t="str">
        <f>'NEW ACCOUNT'!A1713</f>
        <v/>
      </c>
      <c r="B1712" t="str">
        <f>IF('NEW ACCOUNT'!A1713="","",'NEW ACCOUNT'!B1713)</f>
        <v/>
      </c>
      <c r="C1712" t="str">
        <f>IF('NEW ACCOUNT'!A1713="","",'NEW ACCOUNT'!C1713)</f>
        <v/>
      </c>
      <c r="D1712" t="str">
        <f>IF('NEW ACCOUNT'!A1713="","",'NEW ACCOUNT'!D1713)</f>
        <v/>
      </c>
      <c r="E1712" t="str">
        <f>IF('NEW ACCOUNT'!A1713="","",'NEW ACCOUNT'!E1713)</f>
        <v/>
      </c>
      <c r="F1712" t="str">
        <f>IF('NEW ACCOUNT'!A1713="","",'NEW ACCOUNT'!F1713)</f>
        <v/>
      </c>
      <c r="G1712" t="str">
        <f>IF('NEW ACCOUNT'!A1713="","",'NEW ACCOUNT'!G1713)</f>
        <v/>
      </c>
      <c r="H1712" t="str">
        <f>IF('NEW ACCOUNT'!A1713="","",'NEW ACCOUNT'!H1713)</f>
        <v/>
      </c>
      <c r="I1712" t="str">
        <f>IF('NEW ACCOUNT'!A1713="","",'NEW ACCOUNT'!I1713)</f>
        <v/>
      </c>
      <c r="J1712" t="str">
        <f>IF('NEW ACCOUNT'!A1713="","",'NEW ACCOUNT'!J1713)</f>
        <v/>
      </c>
      <c r="K1712" t="str">
        <f>IFERROR(IF(A1712="","",SUMIF(DB_Savings!$A:$A,A1712,DB_Savings!$F:$F)),"")</f>
        <v/>
      </c>
      <c r="L1712" t="str">
        <f>IFERROR(IF(A1712="","",SUMIF(DB_Withdrawals!$A:$A,A1712,DB_Withdrawals!$G:$G)),"")</f>
        <v/>
      </c>
      <c r="M1712" t="str">
        <f>IFERROR(IF(A1712="","",IFERROR(VALUE(H1712),0)+IFERROR(SUMIF(DB_Savings!$A:$A,A1712,DB_Savings!$F:$F),0)-IFERROR(SUMIF(DB_Withdrawals!$A:$A,A1712,DB_Withdrawals!$G:$G),0)),"")</f>
        <v/>
      </c>
      <c r="N1712" t="str">
        <f>IFERROR(IF(A1712="","",MAX(0,M1712-System_Config!$B$9)),"")</f>
        <v/>
      </c>
    </row>
    <row r="1713" spans="1:14" ht="15" customHeight="1" x14ac:dyDescent="0.25">
      <c r="A1713" t="str">
        <f>'NEW ACCOUNT'!A1714</f>
        <v/>
      </c>
      <c r="B1713" t="str">
        <f>IF('NEW ACCOUNT'!A1714="","",'NEW ACCOUNT'!B1714)</f>
        <v/>
      </c>
      <c r="C1713" t="str">
        <f>IF('NEW ACCOUNT'!A1714="","",'NEW ACCOUNT'!C1714)</f>
        <v/>
      </c>
      <c r="D1713" t="str">
        <f>IF('NEW ACCOUNT'!A1714="","",'NEW ACCOUNT'!D1714)</f>
        <v/>
      </c>
      <c r="E1713" t="str">
        <f>IF('NEW ACCOUNT'!A1714="","",'NEW ACCOUNT'!E1714)</f>
        <v/>
      </c>
      <c r="F1713" t="str">
        <f>IF('NEW ACCOUNT'!A1714="","",'NEW ACCOUNT'!F1714)</f>
        <v/>
      </c>
      <c r="G1713" t="str">
        <f>IF('NEW ACCOUNT'!A1714="","",'NEW ACCOUNT'!G1714)</f>
        <v/>
      </c>
      <c r="H1713" t="str">
        <f>IF('NEW ACCOUNT'!A1714="","",'NEW ACCOUNT'!H1714)</f>
        <v/>
      </c>
      <c r="I1713" t="str">
        <f>IF('NEW ACCOUNT'!A1714="","",'NEW ACCOUNT'!I1714)</f>
        <v/>
      </c>
      <c r="J1713" t="str">
        <f>IF('NEW ACCOUNT'!A1714="","",'NEW ACCOUNT'!J1714)</f>
        <v/>
      </c>
      <c r="K1713" t="str">
        <f>IFERROR(IF(A1713="","",SUMIF(DB_Savings!$A:$A,A1713,DB_Savings!$F:$F)),"")</f>
        <v/>
      </c>
      <c r="L1713" t="str">
        <f>IFERROR(IF(A1713="","",SUMIF(DB_Withdrawals!$A:$A,A1713,DB_Withdrawals!$G:$G)),"")</f>
        <v/>
      </c>
      <c r="M1713" t="str">
        <f>IFERROR(IF(A1713="","",IFERROR(VALUE(H1713),0)+IFERROR(SUMIF(DB_Savings!$A:$A,A1713,DB_Savings!$F:$F),0)-IFERROR(SUMIF(DB_Withdrawals!$A:$A,A1713,DB_Withdrawals!$G:$G),0)),"")</f>
        <v/>
      </c>
      <c r="N1713" t="str">
        <f>IFERROR(IF(A1713="","",MAX(0,M1713-System_Config!$B$9)),"")</f>
        <v/>
      </c>
    </row>
    <row r="1714" spans="1:14" ht="15" customHeight="1" x14ac:dyDescent="0.25">
      <c r="A1714" t="str">
        <f>'NEW ACCOUNT'!A1715</f>
        <v/>
      </c>
      <c r="B1714" t="str">
        <f>IF('NEW ACCOUNT'!A1715="","",'NEW ACCOUNT'!B1715)</f>
        <v/>
      </c>
      <c r="C1714" t="str">
        <f>IF('NEW ACCOUNT'!A1715="","",'NEW ACCOUNT'!C1715)</f>
        <v/>
      </c>
      <c r="D1714" t="str">
        <f>IF('NEW ACCOUNT'!A1715="","",'NEW ACCOUNT'!D1715)</f>
        <v/>
      </c>
      <c r="E1714" t="str">
        <f>IF('NEW ACCOUNT'!A1715="","",'NEW ACCOUNT'!E1715)</f>
        <v/>
      </c>
      <c r="F1714" t="str">
        <f>IF('NEW ACCOUNT'!A1715="","",'NEW ACCOUNT'!F1715)</f>
        <v/>
      </c>
      <c r="G1714" t="str">
        <f>IF('NEW ACCOUNT'!A1715="","",'NEW ACCOUNT'!G1715)</f>
        <v/>
      </c>
      <c r="H1714" t="str">
        <f>IF('NEW ACCOUNT'!A1715="","",'NEW ACCOUNT'!H1715)</f>
        <v/>
      </c>
      <c r="I1714" t="str">
        <f>IF('NEW ACCOUNT'!A1715="","",'NEW ACCOUNT'!I1715)</f>
        <v/>
      </c>
      <c r="J1714" t="str">
        <f>IF('NEW ACCOUNT'!A1715="","",'NEW ACCOUNT'!J1715)</f>
        <v/>
      </c>
      <c r="K1714" t="str">
        <f>IFERROR(IF(A1714="","",SUMIF(DB_Savings!$A:$A,A1714,DB_Savings!$F:$F)),"")</f>
        <v/>
      </c>
      <c r="L1714" t="str">
        <f>IFERROR(IF(A1714="","",SUMIF(DB_Withdrawals!$A:$A,A1714,DB_Withdrawals!$G:$G)),"")</f>
        <v/>
      </c>
      <c r="M1714" t="str">
        <f>IFERROR(IF(A1714="","",IFERROR(VALUE(H1714),0)+IFERROR(SUMIF(DB_Savings!$A:$A,A1714,DB_Savings!$F:$F),0)-IFERROR(SUMIF(DB_Withdrawals!$A:$A,A1714,DB_Withdrawals!$G:$G),0)),"")</f>
        <v/>
      </c>
      <c r="N1714" t="str">
        <f>IFERROR(IF(A1714="","",MAX(0,M1714-System_Config!$B$9)),"")</f>
        <v/>
      </c>
    </row>
    <row r="1715" spans="1:14" ht="15" customHeight="1" x14ac:dyDescent="0.25">
      <c r="A1715" t="str">
        <f>'NEW ACCOUNT'!A1716</f>
        <v/>
      </c>
      <c r="B1715" t="str">
        <f>IF('NEW ACCOUNT'!A1716="","",'NEW ACCOUNT'!B1716)</f>
        <v/>
      </c>
      <c r="C1715" t="str">
        <f>IF('NEW ACCOUNT'!A1716="","",'NEW ACCOUNT'!C1716)</f>
        <v/>
      </c>
      <c r="D1715" t="str">
        <f>IF('NEW ACCOUNT'!A1716="","",'NEW ACCOUNT'!D1716)</f>
        <v/>
      </c>
      <c r="E1715" t="str">
        <f>IF('NEW ACCOUNT'!A1716="","",'NEW ACCOUNT'!E1716)</f>
        <v/>
      </c>
      <c r="F1715" t="str">
        <f>IF('NEW ACCOUNT'!A1716="","",'NEW ACCOUNT'!F1716)</f>
        <v/>
      </c>
      <c r="G1715" t="str">
        <f>IF('NEW ACCOUNT'!A1716="","",'NEW ACCOUNT'!G1716)</f>
        <v/>
      </c>
      <c r="H1715" t="str">
        <f>IF('NEW ACCOUNT'!A1716="","",'NEW ACCOUNT'!H1716)</f>
        <v/>
      </c>
      <c r="I1715" t="str">
        <f>IF('NEW ACCOUNT'!A1716="","",'NEW ACCOUNT'!I1716)</f>
        <v/>
      </c>
      <c r="J1715" t="str">
        <f>IF('NEW ACCOUNT'!A1716="","",'NEW ACCOUNT'!J1716)</f>
        <v/>
      </c>
      <c r="K1715" t="str">
        <f>IFERROR(IF(A1715="","",SUMIF(DB_Savings!$A:$A,A1715,DB_Savings!$F:$F)),"")</f>
        <v/>
      </c>
      <c r="L1715" t="str">
        <f>IFERROR(IF(A1715="","",SUMIF(DB_Withdrawals!$A:$A,A1715,DB_Withdrawals!$G:$G)),"")</f>
        <v/>
      </c>
      <c r="M1715" t="str">
        <f>IFERROR(IF(A1715="","",IFERROR(VALUE(H1715),0)+IFERROR(SUMIF(DB_Savings!$A:$A,A1715,DB_Savings!$F:$F),0)-IFERROR(SUMIF(DB_Withdrawals!$A:$A,A1715,DB_Withdrawals!$G:$G),0)),"")</f>
        <v/>
      </c>
      <c r="N1715" t="str">
        <f>IFERROR(IF(A1715="","",MAX(0,M1715-System_Config!$B$9)),"")</f>
        <v/>
      </c>
    </row>
    <row r="1716" spans="1:14" ht="15" customHeight="1" x14ac:dyDescent="0.25">
      <c r="A1716" t="str">
        <f>'NEW ACCOUNT'!A1717</f>
        <v/>
      </c>
      <c r="B1716" t="str">
        <f>IF('NEW ACCOUNT'!A1717="","",'NEW ACCOUNT'!B1717)</f>
        <v/>
      </c>
      <c r="C1716" t="str">
        <f>IF('NEW ACCOUNT'!A1717="","",'NEW ACCOUNT'!C1717)</f>
        <v/>
      </c>
      <c r="D1716" t="str">
        <f>IF('NEW ACCOUNT'!A1717="","",'NEW ACCOUNT'!D1717)</f>
        <v/>
      </c>
      <c r="E1716" t="str">
        <f>IF('NEW ACCOUNT'!A1717="","",'NEW ACCOUNT'!E1717)</f>
        <v/>
      </c>
      <c r="F1716" t="str">
        <f>IF('NEW ACCOUNT'!A1717="","",'NEW ACCOUNT'!F1717)</f>
        <v/>
      </c>
      <c r="G1716" t="str">
        <f>IF('NEW ACCOUNT'!A1717="","",'NEW ACCOUNT'!G1717)</f>
        <v/>
      </c>
      <c r="H1716" t="str">
        <f>IF('NEW ACCOUNT'!A1717="","",'NEW ACCOUNT'!H1717)</f>
        <v/>
      </c>
      <c r="I1716" t="str">
        <f>IF('NEW ACCOUNT'!A1717="","",'NEW ACCOUNT'!I1717)</f>
        <v/>
      </c>
      <c r="J1716" t="str">
        <f>IF('NEW ACCOUNT'!A1717="","",'NEW ACCOUNT'!J1717)</f>
        <v/>
      </c>
      <c r="K1716" t="str">
        <f>IFERROR(IF(A1716="","",SUMIF(DB_Savings!$A:$A,A1716,DB_Savings!$F:$F)),"")</f>
        <v/>
      </c>
      <c r="L1716" t="str">
        <f>IFERROR(IF(A1716="","",SUMIF(DB_Withdrawals!$A:$A,A1716,DB_Withdrawals!$G:$G)),"")</f>
        <v/>
      </c>
      <c r="M1716" t="str">
        <f>IFERROR(IF(A1716="","",IFERROR(VALUE(H1716),0)+IFERROR(SUMIF(DB_Savings!$A:$A,A1716,DB_Savings!$F:$F),0)-IFERROR(SUMIF(DB_Withdrawals!$A:$A,A1716,DB_Withdrawals!$G:$G),0)),"")</f>
        <v/>
      </c>
      <c r="N1716" t="str">
        <f>IFERROR(IF(A1716="","",MAX(0,M1716-System_Config!$B$9)),"")</f>
        <v/>
      </c>
    </row>
    <row r="1717" spans="1:14" ht="15" customHeight="1" x14ac:dyDescent="0.25">
      <c r="A1717" t="str">
        <f>'NEW ACCOUNT'!A1718</f>
        <v/>
      </c>
      <c r="B1717" t="str">
        <f>IF('NEW ACCOUNT'!A1718="","",'NEW ACCOUNT'!B1718)</f>
        <v/>
      </c>
      <c r="C1717" t="str">
        <f>IF('NEW ACCOUNT'!A1718="","",'NEW ACCOUNT'!C1718)</f>
        <v/>
      </c>
      <c r="D1717" t="str">
        <f>IF('NEW ACCOUNT'!A1718="","",'NEW ACCOUNT'!D1718)</f>
        <v/>
      </c>
      <c r="E1717" t="str">
        <f>IF('NEW ACCOUNT'!A1718="","",'NEW ACCOUNT'!E1718)</f>
        <v/>
      </c>
      <c r="F1717" t="str">
        <f>IF('NEW ACCOUNT'!A1718="","",'NEW ACCOUNT'!F1718)</f>
        <v/>
      </c>
      <c r="G1717" t="str">
        <f>IF('NEW ACCOUNT'!A1718="","",'NEW ACCOUNT'!G1718)</f>
        <v/>
      </c>
      <c r="H1717" t="str">
        <f>IF('NEW ACCOUNT'!A1718="","",'NEW ACCOUNT'!H1718)</f>
        <v/>
      </c>
      <c r="I1717" t="str">
        <f>IF('NEW ACCOUNT'!A1718="","",'NEW ACCOUNT'!I1718)</f>
        <v/>
      </c>
      <c r="J1717" t="str">
        <f>IF('NEW ACCOUNT'!A1718="","",'NEW ACCOUNT'!J1718)</f>
        <v/>
      </c>
      <c r="K1717" t="str">
        <f>IFERROR(IF(A1717="","",SUMIF(DB_Savings!$A:$A,A1717,DB_Savings!$F:$F)),"")</f>
        <v/>
      </c>
      <c r="L1717" t="str">
        <f>IFERROR(IF(A1717="","",SUMIF(DB_Withdrawals!$A:$A,A1717,DB_Withdrawals!$G:$G)),"")</f>
        <v/>
      </c>
      <c r="M1717" t="str">
        <f>IFERROR(IF(A1717="","",IFERROR(VALUE(H1717),0)+IFERROR(SUMIF(DB_Savings!$A:$A,A1717,DB_Savings!$F:$F),0)-IFERROR(SUMIF(DB_Withdrawals!$A:$A,A1717,DB_Withdrawals!$G:$G),0)),"")</f>
        <v/>
      </c>
      <c r="N1717" t="str">
        <f>IFERROR(IF(A1717="","",MAX(0,M1717-System_Config!$B$9)),"")</f>
        <v/>
      </c>
    </row>
    <row r="1718" spans="1:14" ht="15" customHeight="1" x14ac:dyDescent="0.25">
      <c r="A1718" t="str">
        <f>'NEW ACCOUNT'!A1719</f>
        <v/>
      </c>
      <c r="B1718" t="str">
        <f>IF('NEW ACCOUNT'!A1719="","",'NEW ACCOUNT'!B1719)</f>
        <v/>
      </c>
      <c r="C1718" t="str">
        <f>IF('NEW ACCOUNT'!A1719="","",'NEW ACCOUNT'!C1719)</f>
        <v/>
      </c>
      <c r="D1718" t="str">
        <f>IF('NEW ACCOUNT'!A1719="","",'NEW ACCOUNT'!D1719)</f>
        <v/>
      </c>
      <c r="E1718" t="str">
        <f>IF('NEW ACCOUNT'!A1719="","",'NEW ACCOUNT'!E1719)</f>
        <v/>
      </c>
      <c r="F1718" t="str">
        <f>IF('NEW ACCOUNT'!A1719="","",'NEW ACCOUNT'!F1719)</f>
        <v/>
      </c>
      <c r="G1718" t="str">
        <f>IF('NEW ACCOUNT'!A1719="","",'NEW ACCOUNT'!G1719)</f>
        <v/>
      </c>
      <c r="H1718" t="str">
        <f>IF('NEW ACCOUNT'!A1719="","",'NEW ACCOUNT'!H1719)</f>
        <v/>
      </c>
      <c r="I1718" t="str">
        <f>IF('NEW ACCOUNT'!A1719="","",'NEW ACCOUNT'!I1719)</f>
        <v/>
      </c>
      <c r="J1718" t="str">
        <f>IF('NEW ACCOUNT'!A1719="","",'NEW ACCOUNT'!J1719)</f>
        <v/>
      </c>
      <c r="K1718" t="str">
        <f>IFERROR(IF(A1718="","",SUMIF(DB_Savings!$A:$A,A1718,DB_Savings!$F:$F)),"")</f>
        <v/>
      </c>
      <c r="L1718" t="str">
        <f>IFERROR(IF(A1718="","",SUMIF(DB_Withdrawals!$A:$A,A1718,DB_Withdrawals!$G:$G)),"")</f>
        <v/>
      </c>
      <c r="M1718" t="str">
        <f>IFERROR(IF(A1718="","",IFERROR(VALUE(H1718),0)+IFERROR(SUMIF(DB_Savings!$A:$A,A1718,DB_Savings!$F:$F),0)-IFERROR(SUMIF(DB_Withdrawals!$A:$A,A1718,DB_Withdrawals!$G:$G),0)),"")</f>
        <v/>
      </c>
      <c r="N1718" t="str">
        <f>IFERROR(IF(A1718="","",MAX(0,M1718-System_Config!$B$9)),"")</f>
        <v/>
      </c>
    </row>
    <row r="1719" spans="1:14" ht="15" customHeight="1" x14ac:dyDescent="0.25">
      <c r="A1719" t="str">
        <f>'NEW ACCOUNT'!A1720</f>
        <v/>
      </c>
      <c r="B1719" t="str">
        <f>IF('NEW ACCOUNT'!A1720="","",'NEW ACCOUNT'!B1720)</f>
        <v/>
      </c>
      <c r="C1719" t="str">
        <f>IF('NEW ACCOUNT'!A1720="","",'NEW ACCOUNT'!C1720)</f>
        <v/>
      </c>
      <c r="D1719" t="str">
        <f>IF('NEW ACCOUNT'!A1720="","",'NEW ACCOUNT'!D1720)</f>
        <v/>
      </c>
      <c r="E1719" t="str">
        <f>IF('NEW ACCOUNT'!A1720="","",'NEW ACCOUNT'!E1720)</f>
        <v/>
      </c>
      <c r="F1719" t="str">
        <f>IF('NEW ACCOUNT'!A1720="","",'NEW ACCOUNT'!F1720)</f>
        <v/>
      </c>
      <c r="G1719" t="str">
        <f>IF('NEW ACCOUNT'!A1720="","",'NEW ACCOUNT'!G1720)</f>
        <v/>
      </c>
      <c r="H1719" t="str">
        <f>IF('NEW ACCOUNT'!A1720="","",'NEW ACCOUNT'!H1720)</f>
        <v/>
      </c>
      <c r="I1719" t="str">
        <f>IF('NEW ACCOUNT'!A1720="","",'NEW ACCOUNT'!I1720)</f>
        <v/>
      </c>
      <c r="J1719" t="str">
        <f>IF('NEW ACCOUNT'!A1720="","",'NEW ACCOUNT'!J1720)</f>
        <v/>
      </c>
      <c r="K1719" t="str">
        <f>IFERROR(IF(A1719="","",SUMIF(DB_Savings!$A:$A,A1719,DB_Savings!$F:$F)),"")</f>
        <v/>
      </c>
      <c r="L1719" t="str">
        <f>IFERROR(IF(A1719="","",SUMIF(DB_Withdrawals!$A:$A,A1719,DB_Withdrawals!$G:$G)),"")</f>
        <v/>
      </c>
      <c r="M1719" t="str">
        <f>IFERROR(IF(A1719="","",IFERROR(VALUE(H1719),0)+IFERROR(SUMIF(DB_Savings!$A:$A,A1719,DB_Savings!$F:$F),0)-IFERROR(SUMIF(DB_Withdrawals!$A:$A,A1719,DB_Withdrawals!$G:$G),0)),"")</f>
        <v/>
      </c>
      <c r="N1719" t="str">
        <f>IFERROR(IF(A1719="","",MAX(0,M1719-System_Config!$B$9)),"")</f>
        <v/>
      </c>
    </row>
    <row r="1720" spans="1:14" ht="15" customHeight="1" x14ac:dyDescent="0.25">
      <c r="A1720" t="str">
        <f>'NEW ACCOUNT'!A1721</f>
        <v/>
      </c>
      <c r="B1720" t="str">
        <f>IF('NEW ACCOUNT'!A1721="","",'NEW ACCOUNT'!B1721)</f>
        <v/>
      </c>
      <c r="C1720" t="str">
        <f>IF('NEW ACCOUNT'!A1721="","",'NEW ACCOUNT'!C1721)</f>
        <v/>
      </c>
      <c r="D1720" t="str">
        <f>IF('NEW ACCOUNT'!A1721="","",'NEW ACCOUNT'!D1721)</f>
        <v/>
      </c>
      <c r="E1720" t="str">
        <f>IF('NEW ACCOUNT'!A1721="","",'NEW ACCOUNT'!E1721)</f>
        <v/>
      </c>
      <c r="F1720" t="str">
        <f>IF('NEW ACCOUNT'!A1721="","",'NEW ACCOUNT'!F1721)</f>
        <v/>
      </c>
      <c r="G1720" t="str">
        <f>IF('NEW ACCOUNT'!A1721="","",'NEW ACCOUNT'!G1721)</f>
        <v/>
      </c>
      <c r="H1720" t="str">
        <f>IF('NEW ACCOUNT'!A1721="","",'NEW ACCOUNT'!H1721)</f>
        <v/>
      </c>
      <c r="I1720" t="str">
        <f>IF('NEW ACCOUNT'!A1721="","",'NEW ACCOUNT'!I1721)</f>
        <v/>
      </c>
      <c r="J1720" t="str">
        <f>IF('NEW ACCOUNT'!A1721="","",'NEW ACCOUNT'!J1721)</f>
        <v/>
      </c>
      <c r="K1720" t="str">
        <f>IFERROR(IF(A1720="","",SUMIF(DB_Savings!$A:$A,A1720,DB_Savings!$F:$F)),"")</f>
        <v/>
      </c>
      <c r="L1720" t="str">
        <f>IFERROR(IF(A1720="","",SUMIF(DB_Withdrawals!$A:$A,A1720,DB_Withdrawals!$G:$G)),"")</f>
        <v/>
      </c>
      <c r="M1720" t="str">
        <f>IFERROR(IF(A1720="","",IFERROR(VALUE(H1720),0)+IFERROR(SUMIF(DB_Savings!$A:$A,A1720,DB_Savings!$F:$F),0)-IFERROR(SUMIF(DB_Withdrawals!$A:$A,A1720,DB_Withdrawals!$G:$G),0)),"")</f>
        <v/>
      </c>
      <c r="N1720" t="str">
        <f>IFERROR(IF(A1720="","",MAX(0,M1720-System_Config!$B$9)),"")</f>
        <v/>
      </c>
    </row>
    <row r="1721" spans="1:14" ht="15" customHeight="1" x14ac:dyDescent="0.25">
      <c r="A1721" t="str">
        <f>'NEW ACCOUNT'!A1722</f>
        <v/>
      </c>
      <c r="B1721" t="str">
        <f>IF('NEW ACCOUNT'!A1722="","",'NEW ACCOUNT'!B1722)</f>
        <v/>
      </c>
      <c r="C1721" t="str">
        <f>IF('NEW ACCOUNT'!A1722="","",'NEW ACCOUNT'!C1722)</f>
        <v/>
      </c>
      <c r="D1721" t="str">
        <f>IF('NEW ACCOUNT'!A1722="","",'NEW ACCOUNT'!D1722)</f>
        <v/>
      </c>
      <c r="E1721" t="str">
        <f>IF('NEW ACCOUNT'!A1722="","",'NEW ACCOUNT'!E1722)</f>
        <v/>
      </c>
      <c r="F1721" t="str">
        <f>IF('NEW ACCOUNT'!A1722="","",'NEW ACCOUNT'!F1722)</f>
        <v/>
      </c>
      <c r="G1721" t="str">
        <f>IF('NEW ACCOUNT'!A1722="","",'NEW ACCOUNT'!G1722)</f>
        <v/>
      </c>
      <c r="H1721" t="str">
        <f>IF('NEW ACCOUNT'!A1722="","",'NEW ACCOUNT'!H1722)</f>
        <v/>
      </c>
      <c r="I1721" t="str">
        <f>IF('NEW ACCOUNT'!A1722="","",'NEW ACCOUNT'!I1722)</f>
        <v/>
      </c>
      <c r="J1721" t="str">
        <f>IF('NEW ACCOUNT'!A1722="","",'NEW ACCOUNT'!J1722)</f>
        <v/>
      </c>
      <c r="K1721" t="str">
        <f>IFERROR(IF(A1721="","",SUMIF(DB_Savings!$A:$A,A1721,DB_Savings!$F:$F)),"")</f>
        <v/>
      </c>
      <c r="L1721" t="str">
        <f>IFERROR(IF(A1721="","",SUMIF(DB_Withdrawals!$A:$A,A1721,DB_Withdrawals!$G:$G)),"")</f>
        <v/>
      </c>
      <c r="M1721" t="str">
        <f>IFERROR(IF(A1721="","",IFERROR(VALUE(H1721),0)+IFERROR(SUMIF(DB_Savings!$A:$A,A1721,DB_Savings!$F:$F),0)-IFERROR(SUMIF(DB_Withdrawals!$A:$A,A1721,DB_Withdrawals!$G:$G),0)),"")</f>
        <v/>
      </c>
      <c r="N1721" t="str">
        <f>IFERROR(IF(A1721="","",MAX(0,M1721-System_Config!$B$9)),"")</f>
        <v/>
      </c>
    </row>
    <row r="1722" spans="1:14" ht="15" customHeight="1" x14ac:dyDescent="0.25">
      <c r="A1722" t="str">
        <f>'NEW ACCOUNT'!A1723</f>
        <v/>
      </c>
      <c r="B1722" t="str">
        <f>IF('NEW ACCOUNT'!A1723="","",'NEW ACCOUNT'!B1723)</f>
        <v/>
      </c>
      <c r="C1722" t="str">
        <f>IF('NEW ACCOUNT'!A1723="","",'NEW ACCOUNT'!C1723)</f>
        <v/>
      </c>
      <c r="D1722" t="str">
        <f>IF('NEW ACCOUNT'!A1723="","",'NEW ACCOUNT'!D1723)</f>
        <v/>
      </c>
      <c r="E1722" t="str">
        <f>IF('NEW ACCOUNT'!A1723="","",'NEW ACCOUNT'!E1723)</f>
        <v/>
      </c>
      <c r="F1722" t="str">
        <f>IF('NEW ACCOUNT'!A1723="","",'NEW ACCOUNT'!F1723)</f>
        <v/>
      </c>
      <c r="G1722" t="str">
        <f>IF('NEW ACCOUNT'!A1723="","",'NEW ACCOUNT'!G1723)</f>
        <v/>
      </c>
      <c r="H1722" t="str">
        <f>IF('NEW ACCOUNT'!A1723="","",'NEW ACCOUNT'!H1723)</f>
        <v/>
      </c>
      <c r="I1722" t="str">
        <f>IF('NEW ACCOUNT'!A1723="","",'NEW ACCOUNT'!I1723)</f>
        <v/>
      </c>
      <c r="J1722" t="str">
        <f>IF('NEW ACCOUNT'!A1723="","",'NEW ACCOUNT'!J1723)</f>
        <v/>
      </c>
      <c r="K1722" t="str">
        <f>IFERROR(IF(A1722="","",SUMIF(DB_Savings!$A:$A,A1722,DB_Savings!$F:$F)),"")</f>
        <v/>
      </c>
      <c r="L1722" t="str">
        <f>IFERROR(IF(A1722="","",SUMIF(DB_Withdrawals!$A:$A,A1722,DB_Withdrawals!$G:$G)),"")</f>
        <v/>
      </c>
      <c r="M1722" t="str">
        <f>IFERROR(IF(A1722="","",IFERROR(VALUE(H1722),0)+IFERROR(SUMIF(DB_Savings!$A:$A,A1722,DB_Savings!$F:$F),0)-IFERROR(SUMIF(DB_Withdrawals!$A:$A,A1722,DB_Withdrawals!$G:$G),0)),"")</f>
        <v/>
      </c>
      <c r="N1722" t="str">
        <f>IFERROR(IF(A1722="","",MAX(0,M1722-System_Config!$B$9)),"")</f>
        <v/>
      </c>
    </row>
    <row r="1723" spans="1:14" ht="15" customHeight="1" x14ac:dyDescent="0.25">
      <c r="A1723" t="str">
        <f>'NEW ACCOUNT'!A1724</f>
        <v/>
      </c>
      <c r="B1723" t="str">
        <f>IF('NEW ACCOUNT'!A1724="","",'NEW ACCOUNT'!B1724)</f>
        <v/>
      </c>
      <c r="C1723" t="str">
        <f>IF('NEW ACCOUNT'!A1724="","",'NEW ACCOUNT'!C1724)</f>
        <v/>
      </c>
      <c r="D1723" t="str">
        <f>IF('NEW ACCOUNT'!A1724="","",'NEW ACCOUNT'!D1724)</f>
        <v/>
      </c>
      <c r="E1723" t="str">
        <f>IF('NEW ACCOUNT'!A1724="","",'NEW ACCOUNT'!E1724)</f>
        <v/>
      </c>
      <c r="F1723" t="str">
        <f>IF('NEW ACCOUNT'!A1724="","",'NEW ACCOUNT'!F1724)</f>
        <v/>
      </c>
      <c r="G1723" t="str">
        <f>IF('NEW ACCOUNT'!A1724="","",'NEW ACCOUNT'!G1724)</f>
        <v/>
      </c>
      <c r="H1723" t="str">
        <f>IF('NEW ACCOUNT'!A1724="","",'NEW ACCOUNT'!H1724)</f>
        <v/>
      </c>
      <c r="I1723" t="str">
        <f>IF('NEW ACCOUNT'!A1724="","",'NEW ACCOUNT'!I1724)</f>
        <v/>
      </c>
      <c r="J1723" t="str">
        <f>IF('NEW ACCOUNT'!A1724="","",'NEW ACCOUNT'!J1724)</f>
        <v/>
      </c>
      <c r="K1723" t="str">
        <f>IFERROR(IF(A1723="","",SUMIF(DB_Savings!$A:$A,A1723,DB_Savings!$F:$F)),"")</f>
        <v/>
      </c>
      <c r="L1723" t="str">
        <f>IFERROR(IF(A1723="","",SUMIF(DB_Withdrawals!$A:$A,A1723,DB_Withdrawals!$G:$G)),"")</f>
        <v/>
      </c>
      <c r="M1723" t="str">
        <f>IFERROR(IF(A1723="","",IFERROR(VALUE(H1723),0)+IFERROR(SUMIF(DB_Savings!$A:$A,A1723,DB_Savings!$F:$F),0)-IFERROR(SUMIF(DB_Withdrawals!$A:$A,A1723,DB_Withdrawals!$G:$G),0)),"")</f>
        <v/>
      </c>
      <c r="N1723" t="str">
        <f>IFERROR(IF(A1723="","",MAX(0,M1723-System_Config!$B$9)),"")</f>
        <v/>
      </c>
    </row>
    <row r="1724" spans="1:14" ht="15" customHeight="1" x14ac:dyDescent="0.25">
      <c r="A1724" t="str">
        <f>'NEW ACCOUNT'!A1725</f>
        <v/>
      </c>
      <c r="B1724" t="str">
        <f>IF('NEW ACCOUNT'!A1725="","",'NEW ACCOUNT'!B1725)</f>
        <v/>
      </c>
      <c r="C1724" t="str">
        <f>IF('NEW ACCOUNT'!A1725="","",'NEW ACCOUNT'!C1725)</f>
        <v/>
      </c>
      <c r="D1724" t="str">
        <f>IF('NEW ACCOUNT'!A1725="","",'NEW ACCOUNT'!D1725)</f>
        <v/>
      </c>
      <c r="E1724" t="str">
        <f>IF('NEW ACCOUNT'!A1725="","",'NEW ACCOUNT'!E1725)</f>
        <v/>
      </c>
      <c r="F1724" t="str">
        <f>IF('NEW ACCOUNT'!A1725="","",'NEW ACCOUNT'!F1725)</f>
        <v/>
      </c>
      <c r="G1724" t="str">
        <f>IF('NEW ACCOUNT'!A1725="","",'NEW ACCOUNT'!G1725)</f>
        <v/>
      </c>
      <c r="H1724" t="str">
        <f>IF('NEW ACCOUNT'!A1725="","",'NEW ACCOUNT'!H1725)</f>
        <v/>
      </c>
      <c r="I1724" t="str">
        <f>IF('NEW ACCOUNT'!A1725="","",'NEW ACCOUNT'!I1725)</f>
        <v/>
      </c>
      <c r="J1724" t="str">
        <f>IF('NEW ACCOUNT'!A1725="","",'NEW ACCOUNT'!J1725)</f>
        <v/>
      </c>
      <c r="K1724" t="str">
        <f>IFERROR(IF(A1724="","",SUMIF(DB_Savings!$A:$A,A1724,DB_Savings!$F:$F)),"")</f>
        <v/>
      </c>
      <c r="L1724" t="str">
        <f>IFERROR(IF(A1724="","",SUMIF(DB_Withdrawals!$A:$A,A1724,DB_Withdrawals!$G:$G)),"")</f>
        <v/>
      </c>
      <c r="M1724" t="str">
        <f>IFERROR(IF(A1724="","",IFERROR(VALUE(H1724),0)+IFERROR(SUMIF(DB_Savings!$A:$A,A1724,DB_Savings!$F:$F),0)-IFERROR(SUMIF(DB_Withdrawals!$A:$A,A1724,DB_Withdrawals!$G:$G),0)),"")</f>
        <v/>
      </c>
      <c r="N1724" t="str">
        <f>IFERROR(IF(A1724="","",MAX(0,M1724-System_Config!$B$9)),"")</f>
        <v/>
      </c>
    </row>
    <row r="1725" spans="1:14" ht="15" customHeight="1" x14ac:dyDescent="0.25">
      <c r="A1725" t="str">
        <f>'NEW ACCOUNT'!A1726</f>
        <v/>
      </c>
      <c r="B1725" t="str">
        <f>IF('NEW ACCOUNT'!A1726="","",'NEW ACCOUNT'!B1726)</f>
        <v/>
      </c>
      <c r="C1725" t="str">
        <f>IF('NEW ACCOUNT'!A1726="","",'NEW ACCOUNT'!C1726)</f>
        <v/>
      </c>
      <c r="D1725" t="str">
        <f>IF('NEW ACCOUNT'!A1726="","",'NEW ACCOUNT'!D1726)</f>
        <v/>
      </c>
      <c r="E1725" t="str">
        <f>IF('NEW ACCOUNT'!A1726="","",'NEW ACCOUNT'!E1726)</f>
        <v/>
      </c>
      <c r="F1725" t="str">
        <f>IF('NEW ACCOUNT'!A1726="","",'NEW ACCOUNT'!F1726)</f>
        <v/>
      </c>
      <c r="G1725" t="str">
        <f>IF('NEW ACCOUNT'!A1726="","",'NEW ACCOUNT'!G1726)</f>
        <v/>
      </c>
      <c r="H1725" t="str">
        <f>IF('NEW ACCOUNT'!A1726="","",'NEW ACCOUNT'!H1726)</f>
        <v/>
      </c>
      <c r="I1725" t="str">
        <f>IF('NEW ACCOUNT'!A1726="","",'NEW ACCOUNT'!I1726)</f>
        <v/>
      </c>
      <c r="J1725" t="str">
        <f>IF('NEW ACCOUNT'!A1726="","",'NEW ACCOUNT'!J1726)</f>
        <v/>
      </c>
      <c r="K1725" t="str">
        <f>IFERROR(IF(A1725="","",SUMIF(DB_Savings!$A:$A,A1725,DB_Savings!$F:$F)),"")</f>
        <v/>
      </c>
      <c r="L1725" t="str">
        <f>IFERROR(IF(A1725="","",SUMIF(DB_Withdrawals!$A:$A,A1725,DB_Withdrawals!$G:$G)),"")</f>
        <v/>
      </c>
      <c r="M1725" t="str">
        <f>IFERROR(IF(A1725="","",IFERROR(VALUE(H1725),0)+IFERROR(SUMIF(DB_Savings!$A:$A,A1725,DB_Savings!$F:$F),0)-IFERROR(SUMIF(DB_Withdrawals!$A:$A,A1725,DB_Withdrawals!$G:$G),0)),"")</f>
        <v/>
      </c>
      <c r="N1725" t="str">
        <f>IFERROR(IF(A1725="","",MAX(0,M1725-System_Config!$B$9)),"")</f>
        <v/>
      </c>
    </row>
    <row r="1726" spans="1:14" ht="15" customHeight="1" x14ac:dyDescent="0.25">
      <c r="A1726" t="str">
        <f>'NEW ACCOUNT'!A1727</f>
        <v/>
      </c>
      <c r="B1726" t="str">
        <f>IF('NEW ACCOUNT'!A1727="","",'NEW ACCOUNT'!B1727)</f>
        <v/>
      </c>
      <c r="C1726" t="str">
        <f>IF('NEW ACCOUNT'!A1727="","",'NEW ACCOUNT'!C1727)</f>
        <v/>
      </c>
      <c r="D1726" t="str">
        <f>IF('NEW ACCOUNT'!A1727="","",'NEW ACCOUNT'!D1727)</f>
        <v/>
      </c>
      <c r="E1726" t="str">
        <f>IF('NEW ACCOUNT'!A1727="","",'NEW ACCOUNT'!E1727)</f>
        <v/>
      </c>
      <c r="F1726" t="str">
        <f>IF('NEW ACCOUNT'!A1727="","",'NEW ACCOUNT'!F1727)</f>
        <v/>
      </c>
      <c r="G1726" t="str">
        <f>IF('NEW ACCOUNT'!A1727="","",'NEW ACCOUNT'!G1727)</f>
        <v/>
      </c>
      <c r="H1726" t="str">
        <f>IF('NEW ACCOUNT'!A1727="","",'NEW ACCOUNT'!H1727)</f>
        <v/>
      </c>
      <c r="I1726" t="str">
        <f>IF('NEW ACCOUNT'!A1727="","",'NEW ACCOUNT'!I1727)</f>
        <v/>
      </c>
      <c r="J1726" t="str">
        <f>IF('NEW ACCOUNT'!A1727="","",'NEW ACCOUNT'!J1727)</f>
        <v/>
      </c>
      <c r="K1726" t="str">
        <f>IFERROR(IF(A1726="","",SUMIF(DB_Savings!$A:$A,A1726,DB_Savings!$F:$F)),"")</f>
        <v/>
      </c>
      <c r="L1726" t="str">
        <f>IFERROR(IF(A1726="","",SUMIF(DB_Withdrawals!$A:$A,A1726,DB_Withdrawals!$G:$G)),"")</f>
        <v/>
      </c>
      <c r="M1726" t="str">
        <f>IFERROR(IF(A1726="","",IFERROR(VALUE(H1726),0)+IFERROR(SUMIF(DB_Savings!$A:$A,A1726,DB_Savings!$F:$F),0)-IFERROR(SUMIF(DB_Withdrawals!$A:$A,A1726,DB_Withdrawals!$G:$G),0)),"")</f>
        <v/>
      </c>
      <c r="N1726" t="str">
        <f>IFERROR(IF(A1726="","",MAX(0,M1726-System_Config!$B$9)),"")</f>
        <v/>
      </c>
    </row>
    <row r="1727" spans="1:14" ht="15" customHeight="1" x14ac:dyDescent="0.25">
      <c r="A1727" t="str">
        <f>'NEW ACCOUNT'!A1728</f>
        <v/>
      </c>
      <c r="B1727" t="str">
        <f>IF('NEW ACCOUNT'!A1728="","",'NEW ACCOUNT'!B1728)</f>
        <v/>
      </c>
      <c r="C1727" t="str">
        <f>IF('NEW ACCOUNT'!A1728="","",'NEW ACCOUNT'!C1728)</f>
        <v/>
      </c>
      <c r="D1727" t="str">
        <f>IF('NEW ACCOUNT'!A1728="","",'NEW ACCOUNT'!D1728)</f>
        <v/>
      </c>
      <c r="E1727" t="str">
        <f>IF('NEW ACCOUNT'!A1728="","",'NEW ACCOUNT'!E1728)</f>
        <v/>
      </c>
      <c r="F1727" t="str">
        <f>IF('NEW ACCOUNT'!A1728="","",'NEW ACCOUNT'!F1728)</f>
        <v/>
      </c>
      <c r="G1727" t="str">
        <f>IF('NEW ACCOUNT'!A1728="","",'NEW ACCOUNT'!G1728)</f>
        <v/>
      </c>
      <c r="H1727" t="str">
        <f>IF('NEW ACCOUNT'!A1728="","",'NEW ACCOUNT'!H1728)</f>
        <v/>
      </c>
      <c r="I1727" t="str">
        <f>IF('NEW ACCOUNT'!A1728="","",'NEW ACCOUNT'!I1728)</f>
        <v/>
      </c>
      <c r="J1727" t="str">
        <f>IF('NEW ACCOUNT'!A1728="","",'NEW ACCOUNT'!J1728)</f>
        <v/>
      </c>
      <c r="K1727" t="str">
        <f>IFERROR(IF(A1727="","",SUMIF(DB_Savings!$A:$A,A1727,DB_Savings!$F:$F)),"")</f>
        <v/>
      </c>
      <c r="L1727" t="str">
        <f>IFERROR(IF(A1727="","",SUMIF(DB_Withdrawals!$A:$A,A1727,DB_Withdrawals!$G:$G)),"")</f>
        <v/>
      </c>
      <c r="M1727" t="str">
        <f>IFERROR(IF(A1727="","",IFERROR(VALUE(H1727),0)+IFERROR(SUMIF(DB_Savings!$A:$A,A1727,DB_Savings!$F:$F),0)-IFERROR(SUMIF(DB_Withdrawals!$A:$A,A1727,DB_Withdrawals!$G:$G),0)),"")</f>
        <v/>
      </c>
      <c r="N1727" t="str">
        <f>IFERROR(IF(A1727="","",MAX(0,M1727-System_Config!$B$9)),"")</f>
        <v/>
      </c>
    </row>
    <row r="1728" spans="1:14" ht="15" customHeight="1" x14ac:dyDescent="0.25">
      <c r="A1728" t="str">
        <f>'NEW ACCOUNT'!A1729</f>
        <v/>
      </c>
      <c r="B1728" t="str">
        <f>IF('NEW ACCOUNT'!A1729="","",'NEW ACCOUNT'!B1729)</f>
        <v/>
      </c>
      <c r="C1728" t="str">
        <f>IF('NEW ACCOUNT'!A1729="","",'NEW ACCOUNT'!C1729)</f>
        <v/>
      </c>
      <c r="D1728" t="str">
        <f>IF('NEW ACCOUNT'!A1729="","",'NEW ACCOUNT'!D1729)</f>
        <v/>
      </c>
      <c r="E1728" t="str">
        <f>IF('NEW ACCOUNT'!A1729="","",'NEW ACCOUNT'!E1729)</f>
        <v/>
      </c>
      <c r="F1728" t="str">
        <f>IF('NEW ACCOUNT'!A1729="","",'NEW ACCOUNT'!F1729)</f>
        <v/>
      </c>
      <c r="G1728" t="str">
        <f>IF('NEW ACCOUNT'!A1729="","",'NEW ACCOUNT'!G1729)</f>
        <v/>
      </c>
      <c r="H1728" t="str">
        <f>IF('NEW ACCOUNT'!A1729="","",'NEW ACCOUNT'!H1729)</f>
        <v/>
      </c>
      <c r="I1728" t="str">
        <f>IF('NEW ACCOUNT'!A1729="","",'NEW ACCOUNT'!I1729)</f>
        <v/>
      </c>
      <c r="J1728" t="str">
        <f>IF('NEW ACCOUNT'!A1729="","",'NEW ACCOUNT'!J1729)</f>
        <v/>
      </c>
      <c r="K1728" t="str">
        <f>IFERROR(IF(A1728="","",SUMIF(DB_Savings!$A:$A,A1728,DB_Savings!$F:$F)),"")</f>
        <v/>
      </c>
      <c r="L1728" t="str">
        <f>IFERROR(IF(A1728="","",SUMIF(DB_Withdrawals!$A:$A,A1728,DB_Withdrawals!$G:$G)),"")</f>
        <v/>
      </c>
      <c r="M1728" t="str">
        <f>IFERROR(IF(A1728="","",IFERROR(VALUE(H1728),0)+IFERROR(SUMIF(DB_Savings!$A:$A,A1728,DB_Savings!$F:$F),0)-IFERROR(SUMIF(DB_Withdrawals!$A:$A,A1728,DB_Withdrawals!$G:$G),0)),"")</f>
        <v/>
      </c>
      <c r="N1728" t="str">
        <f>IFERROR(IF(A1728="","",MAX(0,M1728-System_Config!$B$9)),"")</f>
        <v/>
      </c>
    </row>
    <row r="1729" spans="1:14" ht="15" customHeight="1" x14ac:dyDescent="0.25">
      <c r="A1729" t="str">
        <f>'NEW ACCOUNT'!A1730</f>
        <v/>
      </c>
      <c r="B1729" t="str">
        <f>IF('NEW ACCOUNT'!A1730="","",'NEW ACCOUNT'!B1730)</f>
        <v/>
      </c>
      <c r="C1729" t="str">
        <f>IF('NEW ACCOUNT'!A1730="","",'NEW ACCOUNT'!C1730)</f>
        <v/>
      </c>
      <c r="D1729" t="str">
        <f>IF('NEW ACCOUNT'!A1730="","",'NEW ACCOUNT'!D1730)</f>
        <v/>
      </c>
      <c r="E1729" t="str">
        <f>IF('NEW ACCOUNT'!A1730="","",'NEW ACCOUNT'!E1730)</f>
        <v/>
      </c>
      <c r="F1729" t="str">
        <f>IF('NEW ACCOUNT'!A1730="","",'NEW ACCOUNT'!F1730)</f>
        <v/>
      </c>
      <c r="G1729" t="str">
        <f>IF('NEW ACCOUNT'!A1730="","",'NEW ACCOUNT'!G1730)</f>
        <v/>
      </c>
      <c r="H1729" t="str">
        <f>IF('NEW ACCOUNT'!A1730="","",'NEW ACCOUNT'!H1730)</f>
        <v/>
      </c>
      <c r="I1729" t="str">
        <f>IF('NEW ACCOUNT'!A1730="","",'NEW ACCOUNT'!I1730)</f>
        <v/>
      </c>
      <c r="J1729" t="str">
        <f>IF('NEW ACCOUNT'!A1730="","",'NEW ACCOUNT'!J1730)</f>
        <v/>
      </c>
      <c r="K1729" t="str">
        <f>IFERROR(IF(A1729="","",SUMIF(DB_Savings!$A:$A,A1729,DB_Savings!$F:$F)),"")</f>
        <v/>
      </c>
      <c r="L1729" t="str">
        <f>IFERROR(IF(A1729="","",SUMIF(DB_Withdrawals!$A:$A,A1729,DB_Withdrawals!$G:$G)),"")</f>
        <v/>
      </c>
      <c r="M1729" t="str">
        <f>IFERROR(IF(A1729="","",IFERROR(VALUE(H1729),0)+IFERROR(SUMIF(DB_Savings!$A:$A,A1729,DB_Savings!$F:$F),0)-IFERROR(SUMIF(DB_Withdrawals!$A:$A,A1729,DB_Withdrawals!$G:$G),0)),"")</f>
        <v/>
      </c>
      <c r="N1729" t="str">
        <f>IFERROR(IF(A1729="","",MAX(0,M1729-System_Config!$B$9)),"")</f>
        <v/>
      </c>
    </row>
    <row r="1730" spans="1:14" ht="15" customHeight="1" x14ac:dyDescent="0.25">
      <c r="A1730" t="str">
        <f>'NEW ACCOUNT'!A1731</f>
        <v/>
      </c>
      <c r="B1730" t="str">
        <f>IF('NEW ACCOUNT'!A1731="","",'NEW ACCOUNT'!B1731)</f>
        <v/>
      </c>
      <c r="C1730" t="str">
        <f>IF('NEW ACCOUNT'!A1731="","",'NEW ACCOUNT'!C1731)</f>
        <v/>
      </c>
      <c r="D1730" t="str">
        <f>IF('NEW ACCOUNT'!A1731="","",'NEW ACCOUNT'!D1731)</f>
        <v/>
      </c>
      <c r="E1730" t="str">
        <f>IF('NEW ACCOUNT'!A1731="","",'NEW ACCOUNT'!E1731)</f>
        <v/>
      </c>
      <c r="F1730" t="str">
        <f>IF('NEW ACCOUNT'!A1731="","",'NEW ACCOUNT'!F1731)</f>
        <v/>
      </c>
      <c r="G1730" t="str">
        <f>IF('NEW ACCOUNT'!A1731="","",'NEW ACCOUNT'!G1731)</f>
        <v/>
      </c>
      <c r="H1730" t="str">
        <f>IF('NEW ACCOUNT'!A1731="","",'NEW ACCOUNT'!H1731)</f>
        <v/>
      </c>
      <c r="I1730" t="str">
        <f>IF('NEW ACCOUNT'!A1731="","",'NEW ACCOUNT'!I1731)</f>
        <v/>
      </c>
      <c r="J1730" t="str">
        <f>IF('NEW ACCOUNT'!A1731="","",'NEW ACCOUNT'!J1731)</f>
        <v/>
      </c>
      <c r="K1730" t="str">
        <f>IFERROR(IF(A1730="","",SUMIF(DB_Savings!$A:$A,A1730,DB_Savings!$F:$F)),"")</f>
        <v/>
      </c>
      <c r="L1730" t="str">
        <f>IFERROR(IF(A1730="","",SUMIF(DB_Withdrawals!$A:$A,A1730,DB_Withdrawals!$G:$G)),"")</f>
        <v/>
      </c>
      <c r="M1730" t="str">
        <f>IFERROR(IF(A1730="","",IFERROR(VALUE(H1730),0)+IFERROR(SUMIF(DB_Savings!$A:$A,A1730,DB_Savings!$F:$F),0)-IFERROR(SUMIF(DB_Withdrawals!$A:$A,A1730,DB_Withdrawals!$G:$G),0)),"")</f>
        <v/>
      </c>
      <c r="N1730" t="str">
        <f>IFERROR(IF(A1730="","",MAX(0,M1730-System_Config!$B$9)),"")</f>
        <v/>
      </c>
    </row>
    <row r="1731" spans="1:14" ht="15" customHeight="1" x14ac:dyDescent="0.25">
      <c r="A1731" t="str">
        <f>'NEW ACCOUNT'!A1732</f>
        <v/>
      </c>
      <c r="B1731" t="str">
        <f>IF('NEW ACCOUNT'!A1732="","",'NEW ACCOUNT'!B1732)</f>
        <v/>
      </c>
      <c r="C1731" t="str">
        <f>IF('NEW ACCOUNT'!A1732="","",'NEW ACCOUNT'!C1732)</f>
        <v/>
      </c>
      <c r="D1731" t="str">
        <f>IF('NEW ACCOUNT'!A1732="","",'NEW ACCOUNT'!D1732)</f>
        <v/>
      </c>
      <c r="E1731" t="str">
        <f>IF('NEW ACCOUNT'!A1732="","",'NEW ACCOUNT'!E1732)</f>
        <v/>
      </c>
      <c r="F1731" t="str">
        <f>IF('NEW ACCOUNT'!A1732="","",'NEW ACCOUNT'!F1732)</f>
        <v/>
      </c>
      <c r="G1731" t="str">
        <f>IF('NEW ACCOUNT'!A1732="","",'NEW ACCOUNT'!G1732)</f>
        <v/>
      </c>
      <c r="H1731" t="str">
        <f>IF('NEW ACCOUNT'!A1732="","",'NEW ACCOUNT'!H1732)</f>
        <v/>
      </c>
      <c r="I1731" t="str">
        <f>IF('NEW ACCOUNT'!A1732="","",'NEW ACCOUNT'!I1732)</f>
        <v/>
      </c>
      <c r="J1731" t="str">
        <f>IF('NEW ACCOUNT'!A1732="","",'NEW ACCOUNT'!J1732)</f>
        <v/>
      </c>
      <c r="K1731" t="str">
        <f>IFERROR(IF(A1731="","",SUMIF(DB_Savings!$A:$A,A1731,DB_Savings!$F:$F)),"")</f>
        <v/>
      </c>
      <c r="L1731" t="str">
        <f>IFERROR(IF(A1731="","",SUMIF(DB_Withdrawals!$A:$A,A1731,DB_Withdrawals!$G:$G)),"")</f>
        <v/>
      </c>
      <c r="M1731" t="str">
        <f>IFERROR(IF(A1731="","",IFERROR(VALUE(H1731),0)+IFERROR(SUMIF(DB_Savings!$A:$A,A1731,DB_Savings!$F:$F),0)-IFERROR(SUMIF(DB_Withdrawals!$A:$A,A1731,DB_Withdrawals!$G:$G),0)),"")</f>
        <v/>
      </c>
      <c r="N1731" t="str">
        <f>IFERROR(IF(A1731="","",MAX(0,M1731-System_Config!$B$9)),"")</f>
        <v/>
      </c>
    </row>
    <row r="1732" spans="1:14" ht="15" customHeight="1" x14ac:dyDescent="0.25">
      <c r="A1732" t="str">
        <f>'NEW ACCOUNT'!A1733</f>
        <v/>
      </c>
      <c r="B1732" t="str">
        <f>IF('NEW ACCOUNT'!A1733="","",'NEW ACCOUNT'!B1733)</f>
        <v/>
      </c>
      <c r="C1732" t="str">
        <f>IF('NEW ACCOUNT'!A1733="","",'NEW ACCOUNT'!C1733)</f>
        <v/>
      </c>
      <c r="D1732" t="str">
        <f>IF('NEW ACCOUNT'!A1733="","",'NEW ACCOUNT'!D1733)</f>
        <v/>
      </c>
      <c r="E1732" t="str">
        <f>IF('NEW ACCOUNT'!A1733="","",'NEW ACCOUNT'!E1733)</f>
        <v/>
      </c>
      <c r="F1732" t="str">
        <f>IF('NEW ACCOUNT'!A1733="","",'NEW ACCOUNT'!F1733)</f>
        <v/>
      </c>
      <c r="G1732" t="str">
        <f>IF('NEW ACCOUNT'!A1733="","",'NEW ACCOUNT'!G1733)</f>
        <v/>
      </c>
      <c r="H1732" t="str">
        <f>IF('NEW ACCOUNT'!A1733="","",'NEW ACCOUNT'!H1733)</f>
        <v/>
      </c>
      <c r="I1732" t="str">
        <f>IF('NEW ACCOUNT'!A1733="","",'NEW ACCOUNT'!I1733)</f>
        <v/>
      </c>
      <c r="J1732" t="str">
        <f>IF('NEW ACCOUNT'!A1733="","",'NEW ACCOUNT'!J1733)</f>
        <v/>
      </c>
      <c r="K1732" t="str">
        <f>IFERROR(IF(A1732="","",SUMIF(DB_Savings!$A:$A,A1732,DB_Savings!$F:$F)),"")</f>
        <v/>
      </c>
      <c r="L1732" t="str">
        <f>IFERROR(IF(A1732="","",SUMIF(DB_Withdrawals!$A:$A,A1732,DB_Withdrawals!$G:$G)),"")</f>
        <v/>
      </c>
      <c r="M1732" t="str">
        <f>IFERROR(IF(A1732="","",IFERROR(VALUE(H1732),0)+IFERROR(SUMIF(DB_Savings!$A:$A,A1732,DB_Savings!$F:$F),0)-IFERROR(SUMIF(DB_Withdrawals!$A:$A,A1732,DB_Withdrawals!$G:$G),0)),"")</f>
        <v/>
      </c>
      <c r="N1732" t="str">
        <f>IFERROR(IF(A1732="","",MAX(0,M1732-System_Config!$B$9)),"")</f>
        <v/>
      </c>
    </row>
    <row r="1733" spans="1:14" ht="15" customHeight="1" x14ac:dyDescent="0.25">
      <c r="A1733" t="str">
        <f>'NEW ACCOUNT'!A1734</f>
        <v/>
      </c>
      <c r="B1733" t="str">
        <f>IF('NEW ACCOUNT'!A1734="","",'NEW ACCOUNT'!B1734)</f>
        <v/>
      </c>
      <c r="C1733" t="str">
        <f>IF('NEW ACCOUNT'!A1734="","",'NEW ACCOUNT'!C1734)</f>
        <v/>
      </c>
      <c r="D1733" t="str">
        <f>IF('NEW ACCOUNT'!A1734="","",'NEW ACCOUNT'!D1734)</f>
        <v/>
      </c>
      <c r="E1733" t="str">
        <f>IF('NEW ACCOUNT'!A1734="","",'NEW ACCOUNT'!E1734)</f>
        <v/>
      </c>
      <c r="F1733" t="str">
        <f>IF('NEW ACCOUNT'!A1734="","",'NEW ACCOUNT'!F1734)</f>
        <v/>
      </c>
      <c r="G1733" t="str">
        <f>IF('NEW ACCOUNT'!A1734="","",'NEW ACCOUNT'!G1734)</f>
        <v/>
      </c>
      <c r="H1733" t="str">
        <f>IF('NEW ACCOUNT'!A1734="","",'NEW ACCOUNT'!H1734)</f>
        <v/>
      </c>
      <c r="I1733" t="str">
        <f>IF('NEW ACCOUNT'!A1734="","",'NEW ACCOUNT'!I1734)</f>
        <v/>
      </c>
      <c r="J1733" t="str">
        <f>IF('NEW ACCOUNT'!A1734="","",'NEW ACCOUNT'!J1734)</f>
        <v/>
      </c>
      <c r="K1733" t="str">
        <f>IFERROR(IF(A1733="","",SUMIF(DB_Savings!$A:$A,A1733,DB_Savings!$F:$F)),"")</f>
        <v/>
      </c>
      <c r="L1733" t="str">
        <f>IFERROR(IF(A1733="","",SUMIF(DB_Withdrawals!$A:$A,A1733,DB_Withdrawals!$G:$G)),"")</f>
        <v/>
      </c>
      <c r="M1733" t="str">
        <f>IFERROR(IF(A1733="","",IFERROR(VALUE(H1733),0)+IFERROR(SUMIF(DB_Savings!$A:$A,A1733,DB_Savings!$F:$F),0)-IFERROR(SUMIF(DB_Withdrawals!$A:$A,A1733,DB_Withdrawals!$G:$G),0)),"")</f>
        <v/>
      </c>
      <c r="N1733" t="str">
        <f>IFERROR(IF(A1733="","",MAX(0,M1733-System_Config!$B$9)),"")</f>
        <v/>
      </c>
    </row>
    <row r="1734" spans="1:14" ht="15" customHeight="1" x14ac:dyDescent="0.25">
      <c r="A1734" t="str">
        <f>'NEW ACCOUNT'!A1735</f>
        <v/>
      </c>
      <c r="B1734" t="str">
        <f>IF('NEW ACCOUNT'!A1735="","",'NEW ACCOUNT'!B1735)</f>
        <v/>
      </c>
      <c r="C1734" t="str">
        <f>IF('NEW ACCOUNT'!A1735="","",'NEW ACCOUNT'!C1735)</f>
        <v/>
      </c>
      <c r="D1734" t="str">
        <f>IF('NEW ACCOUNT'!A1735="","",'NEW ACCOUNT'!D1735)</f>
        <v/>
      </c>
      <c r="E1734" t="str">
        <f>IF('NEW ACCOUNT'!A1735="","",'NEW ACCOUNT'!E1735)</f>
        <v/>
      </c>
      <c r="F1734" t="str">
        <f>IF('NEW ACCOUNT'!A1735="","",'NEW ACCOUNT'!F1735)</f>
        <v/>
      </c>
      <c r="G1734" t="str">
        <f>IF('NEW ACCOUNT'!A1735="","",'NEW ACCOUNT'!G1735)</f>
        <v/>
      </c>
      <c r="H1734" t="str">
        <f>IF('NEW ACCOUNT'!A1735="","",'NEW ACCOUNT'!H1735)</f>
        <v/>
      </c>
      <c r="I1734" t="str">
        <f>IF('NEW ACCOUNT'!A1735="","",'NEW ACCOUNT'!I1735)</f>
        <v/>
      </c>
      <c r="J1734" t="str">
        <f>IF('NEW ACCOUNT'!A1735="","",'NEW ACCOUNT'!J1735)</f>
        <v/>
      </c>
      <c r="K1734" t="str">
        <f>IFERROR(IF(A1734="","",SUMIF(DB_Savings!$A:$A,A1734,DB_Savings!$F:$F)),"")</f>
        <v/>
      </c>
      <c r="L1734" t="str">
        <f>IFERROR(IF(A1734="","",SUMIF(DB_Withdrawals!$A:$A,A1734,DB_Withdrawals!$G:$G)),"")</f>
        <v/>
      </c>
      <c r="M1734" t="str">
        <f>IFERROR(IF(A1734="","",IFERROR(VALUE(H1734),0)+IFERROR(SUMIF(DB_Savings!$A:$A,A1734,DB_Savings!$F:$F),0)-IFERROR(SUMIF(DB_Withdrawals!$A:$A,A1734,DB_Withdrawals!$G:$G),0)),"")</f>
        <v/>
      </c>
      <c r="N1734" t="str">
        <f>IFERROR(IF(A1734="","",MAX(0,M1734-System_Config!$B$9)),"")</f>
        <v/>
      </c>
    </row>
    <row r="1735" spans="1:14" ht="15" customHeight="1" x14ac:dyDescent="0.25">
      <c r="A1735" t="str">
        <f>'NEW ACCOUNT'!A1736</f>
        <v/>
      </c>
      <c r="B1735" t="str">
        <f>IF('NEW ACCOUNT'!A1736="","",'NEW ACCOUNT'!B1736)</f>
        <v/>
      </c>
      <c r="C1735" t="str">
        <f>IF('NEW ACCOUNT'!A1736="","",'NEW ACCOUNT'!C1736)</f>
        <v/>
      </c>
      <c r="D1735" t="str">
        <f>IF('NEW ACCOUNT'!A1736="","",'NEW ACCOUNT'!D1736)</f>
        <v/>
      </c>
      <c r="E1735" t="str">
        <f>IF('NEW ACCOUNT'!A1736="","",'NEW ACCOUNT'!E1736)</f>
        <v/>
      </c>
      <c r="F1735" t="str">
        <f>IF('NEW ACCOUNT'!A1736="","",'NEW ACCOUNT'!F1736)</f>
        <v/>
      </c>
      <c r="G1735" t="str">
        <f>IF('NEW ACCOUNT'!A1736="","",'NEW ACCOUNT'!G1736)</f>
        <v/>
      </c>
      <c r="H1735" t="str">
        <f>IF('NEW ACCOUNT'!A1736="","",'NEW ACCOUNT'!H1736)</f>
        <v/>
      </c>
      <c r="I1735" t="str">
        <f>IF('NEW ACCOUNT'!A1736="","",'NEW ACCOUNT'!I1736)</f>
        <v/>
      </c>
      <c r="J1735" t="str">
        <f>IF('NEW ACCOUNT'!A1736="","",'NEW ACCOUNT'!J1736)</f>
        <v/>
      </c>
      <c r="K1735" t="str">
        <f>IFERROR(IF(A1735="","",SUMIF(DB_Savings!$A:$A,A1735,DB_Savings!$F:$F)),"")</f>
        <v/>
      </c>
      <c r="L1735" t="str">
        <f>IFERROR(IF(A1735="","",SUMIF(DB_Withdrawals!$A:$A,A1735,DB_Withdrawals!$G:$G)),"")</f>
        <v/>
      </c>
      <c r="M1735" t="str">
        <f>IFERROR(IF(A1735="","",IFERROR(VALUE(H1735),0)+IFERROR(SUMIF(DB_Savings!$A:$A,A1735,DB_Savings!$F:$F),0)-IFERROR(SUMIF(DB_Withdrawals!$A:$A,A1735,DB_Withdrawals!$G:$G),0)),"")</f>
        <v/>
      </c>
      <c r="N1735" t="str">
        <f>IFERROR(IF(A1735="","",MAX(0,M1735-System_Config!$B$9)),"")</f>
        <v/>
      </c>
    </row>
    <row r="1736" spans="1:14" ht="15" customHeight="1" x14ac:dyDescent="0.25">
      <c r="A1736" t="str">
        <f>'NEW ACCOUNT'!A1737</f>
        <v/>
      </c>
      <c r="B1736" t="str">
        <f>IF('NEW ACCOUNT'!A1737="","",'NEW ACCOUNT'!B1737)</f>
        <v/>
      </c>
      <c r="C1736" t="str">
        <f>IF('NEW ACCOUNT'!A1737="","",'NEW ACCOUNT'!C1737)</f>
        <v/>
      </c>
      <c r="D1736" t="str">
        <f>IF('NEW ACCOUNT'!A1737="","",'NEW ACCOUNT'!D1737)</f>
        <v/>
      </c>
      <c r="E1736" t="str">
        <f>IF('NEW ACCOUNT'!A1737="","",'NEW ACCOUNT'!E1737)</f>
        <v/>
      </c>
      <c r="F1736" t="str">
        <f>IF('NEW ACCOUNT'!A1737="","",'NEW ACCOUNT'!F1737)</f>
        <v/>
      </c>
      <c r="G1736" t="str">
        <f>IF('NEW ACCOUNT'!A1737="","",'NEW ACCOUNT'!G1737)</f>
        <v/>
      </c>
      <c r="H1736" t="str">
        <f>IF('NEW ACCOUNT'!A1737="","",'NEW ACCOUNT'!H1737)</f>
        <v/>
      </c>
      <c r="I1736" t="str">
        <f>IF('NEW ACCOUNT'!A1737="","",'NEW ACCOUNT'!I1737)</f>
        <v/>
      </c>
      <c r="J1736" t="str">
        <f>IF('NEW ACCOUNT'!A1737="","",'NEW ACCOUNT'!J1737)</f>
        <v/>
      </c>
      <c r="K1736" t="str">
        <f>IFERROR(IF(A1736="","",SUMIF(DB_Savings!$A:$A,A1736,DB_Savings!$F:$F)),"")</f>
        <v/>
      </c>
      <c r="L1736" t="str">
        <f>IFERROR(IF(A1736="","",SUMIF(DB_Withdrawals!$A:$A,A1736,DB_Withdrawals!$G:$G)),"")</f>
        <v/>
      </c>
      <c r="M1736" t="str">
        <f>IFERROR(IF(A1736="","",IFERROR(VALUE(H1736),0)+IFERROR(SUMIF(DB_Savings!$A:$A,A1736,DB_Savings!$F:$F),0)-IFERROR(SUMIF(DB_Withdrawals!$A:$A,A1736,DB_Withdrawals!$G:$G),0)),"")</f>
        <v/>
      </c>
      <c r="N1736" t="str">
        <f>IFERROR(IF(A1736="","",MAX(0,M1736-System_Config!$B$9)),"")</f>
        <v/>
      </c>
    </row>
    <row r="1737" spans="1:14" ht="15" customHeight="1" x14ac:dyDescent="0.25">
      <c r="A1737" t="str">
        <f>'NEW ACCOUNT'!A1738</f>
        <v/>
      </c>
      <c r="B1737" t="str">
        <f>IF('NEW ACCOUNT'!A1738="","",'NEW ACCOUNT'!B1738)</f>
        <v/>
      </c>
      <c r="C1737" t="str">
        <f>IF('NEW ACCOUNT'!A1738="","",'NEW ACCOUNT'!C1738)</f>
        <v/>
      </c>
      <c r="D1737" t="str">
        <f>IF('NEW ACCOUNT'!A1738="","",'NEW ACCOUNT'!D1738)</f>
        <v/>
      </c>
      <c r="E1737" t="str">
        <f>IF('NEW ACCOUNT'!A1738="","",'NEW ACCOUNT'!E1738)</f>
        <v/>
      </c>
      <c r="F1737" t="str">
        <f>IF('NEW ACCOUNT'!A1738="","",'NEW ACCOUNT'!F1738)</f>
        <v/>
      </c>
      <c r="G1737" t="str">
        <f>IF('NEW ACCOUNT'!A1738="","",'NEW ACCOUNT'!G1738)</f>
        <v/>
      </c>
      <c r="H1737" t="str">
        <f>IF('NEW ACCOUNT'!A1738="","",'NEW ACCOUNT'!H1738)</f>
        <v/>
      </c>
      <c r="I1737" t="str">
        <f>IF('NEW ACCOUNT'!A1738="","",'NEW ACCOUNT'!I1738)</f>
        <v/>
      </c>
      <c r="J1737" t="str">
        <f>IF('NEW ACCOUNT'!A1738="","",'NEW ACCOUNT'!J1738)</f>
        <v/>
      </c>
      <c r="K1737" t="str">
        <f>IFERROR(IF(A1737="","",SUMIF(DB_Savings!$A:$A,A1737,DB_Savings!$F:$F)),"")</f>
        <v/>
      </c>
      <c r="L1737" t="str">
        <f>IFERROR(IF(A1737="","",SUMIF(DB_Withdrawals!$A:$A,A1737,DB_Withdrawals!$G:$G)),"")</f>
        <v/>
      </c>
      <c r="M1737" t="str">
        <f>IFERROR(IF(A1737="","",IFERROR(VALUE(H1737),0)+IFERROR(SUMIF(DB_Savings!$A:$A,A1737,DB_Savings!$F:$F),0)-IFERROR(SUMIF(DB_Withdrawals!$A:$A,A1737,DB_Withdrawals!$G:$G),0)),"")</f>
        <v/>
      </c>
      <c r="N1737" t="str">
        <f>IFERROR(IF(A1737="","",MAX(0,M1737-System_Config!$B$9)),"")</f>
        <v/>
      </c>
    </row>
    <row r="1738" spans="1:14" ht="15" customHeight="1" x14ac:dyDescent="0.25">
      <c r="A1738" t="str">
        <f>'NEW ACCOUNT'!A1739</f>
        <v/>
      </c>
      <c r="B1738" t="str">
        <f>IF('NEW ACCOUNT'!A1739="","",'NEW ACCOUNT'!B1739)</f>
        <v/>
      </c>
      <c r="C1738" t="str">
        <f>IF('NEW ACCOUNT'!A1739="","",'NEW ACCOUNT'!C1739)</f>
        <v/>
      </c>
      <c r="D1738" t="str">
        <f>IF('NEW ACCOUNT'!A1739="","",'NEW ACCOUNT'!D1739)</f>
        <v/>
      </c>
      <c r="E1738" t="str">
        <f>IF('NEW ACCOUNT'!A1739="","",'NEW ACCOUNT'!E1739)</f>
        <v/>
      </c>
      <c r="F1738" t="str">
        <f>IF('NEW ACCOUNT'!A1739="","",'NEW ACCOUNT'!F1739)</f>
        <v/>
      </c>
      <c r="G1738" t="str">
        <f>IF('NEW ACCOUNT'!A1739="","",'NEW ACCOUNT'!G1739)</f>
        <v/>
      </c>
      <c r="H1738" t="str">
        <f>IF('NEW ACCOUNT'!A1739="","",'NEW ACCOUNT'!H1739)</f>
        <v/>
      </c>
      <c r="I1738" t="str">
        <f>IF('NEW ACCOUNT'!A1739="","",'NEW ACCOUNT'!I1739)</f>
        <v/>
      </c>
      <c r="J1738" t="str">
        <f>IF('NEW ACCOUNT'!A1739="","",'NEW ACCOUNT'!J1739)</f>
        <v/>
      </c>
      <c r="K1738" t="str">
        <f>IFERROR(IF(A1738="","",SUMIF(DB_Savings!$A:$A,A1738,DB_Savings!$F:$F)),"")</f>
        <v/>
      </c>
      <c r="L1738" t="str">
        <f>IFERROR(IF(A1738="","",SUMIF(DB_Withdrawals!$A:$A,A1738,DB_Withdrawals!$G:$G)),"")</f>
        <v/>
      </c>
      <c r="M1738" t="str">
        <f>IFERROR(IF(A1738="","",IFERROR(VALUE(H1738),0)+IFERROR(SUMIF(DB_Savings!$A:$A,A1738,DB_Savings!$F:$F),0)-IFERROR(SUMIF(DB_Withdrawals!$A:$A,A1738,DB_Withdrawals!$G:$G),0)),"")</f>
        <v/>
      </c>
      <c r="N1738" t="str">
        <f>IFERROR(IF(A1738="","",MAX(0,M1738-System_Config!$B$9)),"")</f>
        <v/>
      </c>
    </row>
    <row r="1739" spans="1:14" ht="15" customHeight="1" x14ac:dyDescent="0.25">
      <c r="A1739" t="str">
        <f>'NEW ACCOUNT'!A1740</f>
        <v/>
      </c>
      <c r="B1739" t="str">
        <f>IF('NEW ACCOUNT'!A1740="","",'NEW ACCOUNT'!B1740)</f>
        <v/>
      </c>
      <c r="C1739" t="str">
        <f>IF('NEW ACCOUNT'!A1740="","",'NEW ACCOUNT'!C1740)</f>
        <v/>
      </c>
      <c r="D1739" t="str">
        <f>IF('NEW ACCOUNT'!A1740="","",'NEW ACCOUNT'!D1740)</f>
        <v/>
      </c>
      <c r="E1739" t="str">
        <f>IF('NEW ACCOUNT'!A1740="","",'NEW ACCOUNT'!E1740)</f>
        <v/>
      </c>
      <c r="F1739" t="str">
        <f>IF('NEW ACCOUNT'!A1740="","",'NEW ACCOUNT'!F1740)</f>
        <v/>
      </c>
      <c r="G1739" t="str">
        <f>IF('NEW ACCOUNT'!A1740="","",'NEW ACCOUNT'!G1740)</f>
        <v/>
      </c>
      <c r="H1739" t="str">
        <f>IF('NEW ACCOUNT'!A1740="","",'NEW ACCOUNT'!H1740)</f>
        <v/>
      </c>
      <c r="I1739" t="str">
        <f>IF('NEW ACCOUNT'!A1740="","",'NEW ACCOUNT'!I1740)</f>
        <v/>
      </c>
      <c r="J1739" t="str">
        <f>IF('NEW ACCOUNT'!A1740="","",'NEW ACCOUNT'!J1740)</f>
        <v/>
      </c>
      <c r="K1739" t="str">
        <f>IFERROR(IF(A1739="","",SUMIF(DB_Savings!$A:$A,A1739,DB_Savings!$F:$F)),"")</f>
        <v/>
      </c>
      <c r="L1739" t="str">
        <f>IFERROR(IF(A1739="","",SUMIF(DB_Withdrawals!$A:$A,A1739,DB_Withdrawals!$G:$G)),"")</f>
        <v/>
      </c>
      <c r="M1739" t="str">
        <f>IFERROR(IF(A1739="","",IFERROR(VALUE(H1739),0)+IFERROR(SUMIF(DB_Savings!$A:$A,A1739,DB_Savings!$F:$F),0)-IFERROR(SUMIF(DB_Withdrawals!$A:$A,A1739,DB_Withdrawals!$G:$G),0)),"")</f>
        <v/>
      </c>
      <c r="N1739" t="str">
        <f>IFERROR(IF(A1739="","",MAX(0,M1739-System_Config!$B$9)),"")</f>
        <v/>
      </c>
    </row>
    <row r="1740" spans="1:14" ht="15" customHeight="1" x14ac:dyDescent="0.25">
      <c r="A1740" t="str">
        <f>'NEW ACCOUNT'!A1741</f>
        <v/>
      </c>
      <c r="B1740" t="str">
        <f>IF('NEW ACCOUNT'!A1741="","",'NEW ACCOUNT'!B1741)</f>
        <v/>
      </c>
      <c r="C1740" t="str">
        <f>IF('NEW ACCOUNT'!A1741="","",'NEW ACCOUNT'!C1741)</f>
        <v/>
      </c>
      <c r="D1740" t="str">
        <f>IF('NEW ACCOUNT'!A1741="","",'NEW ACCOUNT'!D1741)</f>
        <v/>
      </c>
      <c r="E1740" t="str">
        <f>IF('NEW ACCOUNT'!A1741="","",'NEW ACCOUNT'!E1741)</f>
        <v/>
      </c>
      <c r="F1740" t="str">
        <f>IF('NEW ACCOUNT'!A1741="","",'NEW ACCOUNT'!F1741)</f>
        <v/>
      </c>
      <c r="G1740" t="str">
        <f>IF('NEW ACCOUNT'!A1741="","",'NEW ACCOUNT'!G1741)</f>
        <v/>
      </c>
      <c r="H1740" t="str">
        <f>IF('NEW ACCOUNT'!A1741="","",'NEW ACCOUNT'!H1741)</f>
        <v/>
      </c>
      <c r="I1740" t="str">
        <f>IF('NEW ACCOUNT'!A1741="","",'NEW ACCOUNT'!I1741)</f>
        <v/>
      </c>
      <c r="J1740" t="str">
        <f>IF('NEW ACCOUNT'!A1741="","",'NEW ACCOUNT'!J1741)</f>
        <v/>
      </c>
      <c r="K1740" t="str">
        <f>IFERROR(IF(A1740="","",SUMIF(DB_Savings!$A:$A,A1740,DB_Savings!$F:$F)),"")</f>
        <v/>
      </c>
      <c r="L1740" t="str">
        <f>IFERROR(IF(A1740="","",SUMIF(DB_Withdrawals!$A:$A,A1740,DB_Withdrawals!$G:$G)),"")</f>
        <v/>
      </c>
      <c r="M1740" t="str">
        <f>IFERROR(IF(A1740="","",IFERROR(VALUE(H1740),0)+IFERROR(SUMIF(DB_Savings!$A:$A,A1740,DB_Savings!$F:$F),0)-IFERROR(SUMIF(DB_Withdrawals!$A:$A,A1740,DB_Withdrawals!$G:$G),0)),"")</f>
        <v/>
      </c>
      <c r="N1740" t="str">
        <f>IFERROR(IF(A1740="","",MAX(0,M1740-System_Config!$B$9)),"")</f>
        <v/>
      </c>
    </row>
    <row r="1741" spans="1:14" ht="15" customHeight="1" x14ac:dyDescent="0.25">
      <c r="A1741" t="str">
        <f>'NEW ACCOUNT'!A1742</f>
        <v/>
      </c>
      <c r="B1741" t="str">
        <f>IF('NEW ACCOUNT'!A1742="","",'NEW ACCOUNT'!B1742)</f>
        <v/>
      </c>
      <c r="C1741" t="str">
        <f>IF('NEW ACCOUNT'!A1742="","",'NEW ACCOUNT'!C1742)</f>
        <v/>
      </c>
      <c r="D1741" t="str">
        <f>IF('NEW ACCOUNT'!A1742="","",'NEW ACCOUNT'!D1742)</f>
        <v/>
      </c>
      <c r="E1741" t="str">
        <f>IF('NEW ACCOUNT'!A1742="","",'NEW ACCOUNT'!E1742)</f>
        <v/>
      </c>
      <c r="F1741" t="str">
        <f>IF('NEW ACCOUNT'!A1742="","",'NEW ACCOUNT'!F1742)</f>
        <v/>
      </c>
      <c r="G1741" t="str">
        <f>IF('NEW ACCOUNT'!A1742="","",'NEW ACCOUNT'!G1742)</f>
        <v/>
      </c>
      <c r="H1741" t="str">
        <f>IF('NEW ACCOUNT'!A1742="","",'NEW ACCOUNT'!H1742)</f>
        <v/>
      </c>
      <c r="I1741" t="str">
        <f>IF('NEW ACCOUNT'!A1742="","",'NEW ACCOUNT'!I1742)</f>
        <v/>
      </c>
      <c r="J1741" t="str">
        <f>IF('NEW ACCOUNT'!A1742="","",'NEW ACCOUNT'!J1742)</f>
        <v/>
      </c>
      <c r="K1741" t="str">
        <f>IFERROR(IF(A1741="","",SUMIF(DB_Savings!$A:$A,A1741,DB_Savings!$F:$F)),"")</f>
        <v/>
      </c>
      <c r="L1741" t="str">
        <f>IFERROR(IF(A1741="","",SUMIF(DB_Withdrawals!$A:$A,A1741,DB_Withdrawals!$G:$G)),"")</f>
        <v/>
      </c>
      <c r="M1741" t="str">
        <f>IFERROR(IF(A1741="","",IFERROR(VALUE(H1741),0)+IFERROR(SUMIF(DB_Savings!$A:$A,A1741,DB_Savings!$F:$F),0)-IFERROR(SUMIF(DB_Withdrawals!$A:$A,A1741,DB_Withdrawals!$G:$G),0)),"")</f>
        <v/>
      </c>
      <c r="N1741" t="str">
        <f>IFERROR(IF(A1741="","",MAX(0,M1741-System_Config!$B$9)),"")</f>
        <v/>
      </c>
    </row>
    <row r="1742" spans="1:14" ht="15" customHeight="1" x14ac:dyDescent="0.25">
      <c r="A1742" t="str">
        <f>'NEW ACCOUNT'!A1743</f>
        <v/>
      </c>
      <c r="B1742" t="str">
        <f>IF('NEW ACCOUNT'!A1743="","",'NEW ACCOUNT'!B1743)</f>
        <v/>
      </c>
      <c r="C1742" t="str">
        <f>IF('NEW ACCOUNT'!A1743="","",'NEW ACCOUNT'!C1743)</f>
        <v/>
      </c>
      <c r="D1742" t="str">
        <f>IF('NEW ACCOUNT'!A1743="","",'NEW ACCOUNT'!D1743)</f>
        <v/>
      </c>
      <c r="E1742" t="str">
        <f>IF('NEW ACCOUNT'!A1743="","",'NEW ACCOUNT'!E1743)</f>
        <v/>
      </c>
      <c r="F1742" t="str">
        <f>IF('NEW ACCOUNT'!A1743="","",'NEW ACCOUNT'!F1743)</f>
        <v/>
      </c>
      <c r="G1742" t="str">
        <f>IF('NEW ACCOUNT'!A1743="","",'NEW ACCOUNT'!G1743)</f>
        <v/>
      </c>
      <c r="H1742" t="str">
        <f>IF('NEW ACCOUNT'!A1743="","",'NEW ACCOUNT'!H1743)</f>
        <v/>
      </c>
      <c r="I1742" t="str">
        <f>IF('NEW ACCOUNT'!A1743="","",'NEW ACCOUNT'!I1743)</f>
        <v/>
      </c>
      <c r="J1742" t="str">
        <f>IF('NEW ACCOUNT'!A1743="","",'NEW ACCOUNT'!J1743)</f>
        <v/>
      </c>
      <c r="K1742" t="str">
        <f>IFERROR(IF(A1742="","",SUMIF(DB_Savings!$A:$A,A1742,DB_Savings!$F:$F)),"")</f>
        <v/>
      </c>
      <c r="L1742" t="str">
        <f>IFERROR(IF(A1742="","",SUMIF(DB_Withdrawals!$A:$A,A1742,DB_Withdrawals!$G:$G)),"")</f>
        <v/>
      </c>
      <c r="M1742" t="str">
        <f>IFERROR(IF(A1742="","",IFERROR(VALUE(H1742),0)+IFERROR(SUMIF(DB_Savings!$A:$A,A1742,DB_Savings!$F:$F),0)-IFERROR(SUMIF(DB_Withdrawals!$A:$A,A1742,DB_Withdrawals!$G:$G),0)),"")</f>
        <v/>
      </c>
      <c r="N1742" t="str">
        <f>IFERROR(IF(A1742="","",MAX(0,M1742-System_Config!$B$9)),"")</f>
        <v/>
      </c>
    </row>
    <row r="1743" spans="1:14" ht="15" customHeight="1" x14ac:dyDescent="0.25">
      <c r="A1743" t="str">
        <f>'NEW ACCOUNT'!A1744</f>
        <v/>
      </c>
      <c r="B1743" t="str">
        <f>IF('NEW ACCOUNT'!A1744="","",'NEW ACCOUNT'!B1744)</f>
        <v/>
      </c>
      <c r="C1743" t="str">
        <f>IF('NEW ACCOUNT'!A1744="","",'NEW ACCOUNT'!C1744)</f>
        <v/>
      </c>
      <c r="D1743" t="str">
        <f>IF('NEW ACCOUNT'!A1744="","",'NEW ACCOUNT'!D1744)</f>
        <v/>
      </c>
      <c r="E1743" t="str">
        <f>IF('NEW ACCOUNT'!A1744="","",'NEW ACCOUNT'!E1744)</f>
        <v/>
      </c>
      <c r="F1743" t="str">
        <f>IF('NEW ACCOUNT'!A1744="","",'NEW ACCOUNT'!F1744)</f>
        <v/>
      </c>
      <c r="G1743" t="str">
        <f>IF('NEW ACCOUNT'!A1744="","",'NEW ACCOUNT'!G1744)</f>
        <v/>
      </c>
      <c r="H1743" t="str">
        <f>IF('NEW ACCOUNT'!A1744="","",'NEW ACCOUNT'!H1744)</f>
        <v/>
      </c>
      <c r="I1743" t="str">
        <f>IF('NEW ACCOUNT'!A1744="","",'NEW ACCOUNT'!I1744)</f>
        <v/>
      </c>
      <c r="J1743" t="str">
        <f>IF('NEW ACCOUNT'!A1744="","",'NEW ACCOUNT'!J1744)</f>
        <v/>
      </c>
      <c r="K1743" t="str">
        <f>IFERROR(IF(A1743="","",SUMIF(DB_Savings!$A:$A,A1743,DB_Savings!$F:$F)),"")</f>
        <v/>
      </c>
      <c r="L1743" t="str">
        <f>IFERROR(IF(A1743="","",SUMIF(DB_Withdrawals!$A:$A,A1743,DB_Withdrawals!$G:$G)),"")</f>
        <v/>
      </c>
      <c r="M1743" t="str">
        <f>IFERROR(IF(A1743="","",IFERROR(VALUE(H1743),0)+IFERROR(SUMIF(DB_Savings!$A:$A,A1743,DB_Savings!$F:$F),0)-IFERROR(SUMIF(DB_Withdrawals!$A:$A,A1743,DB_Withdrawals!$G:$G),0)),"")</f>
        <v/>
      </c>
      <c r="N1743" t="str">
        <f>IFERROR(IF(A1743="","",MAX(0,M1743-System_Config!$B$9)),"")</f>
        <v/>
      </c>
    </row>
    <row r="1744" spans="1:14" ht="15" customHeight="1" x14ac:dyDescent="0.25">
      <c r="A1744" t="str">
        <f>'NEW ACCOUNT'!A1745</f>
        <v/>
      </c>
      <c r="B1744" t="str">
        <f>IF('NEW ACCOUNT'!A1745="","",'NEW ACCOUNT'!B1745)</f>
        <v/>
      </c>
      <c r="C1744" t="str">
        <f>IF('NEW ACCOUNT'!A1745="","",'NEW ACCOUNT'!C1745)</f>
        <v/>
      </c>
      <c r="D1744" t="str">
        <f>IF('NEW ACCOUNT'!A1745="","",'NEW ACCOUNT'!D1745)</f>
        <v/>
      </c>
      <c r="E1744" t="str">
        <f>IF('NEW ACCOUNT'!A1745="","",'NEW ACCOUNT'!E1745)</f>
        <v/>
      </c>
      <c r="F1744" t="str">
        <f>IF('NEW ACCOUNT'!A1745="","",'NEW ACCOUNT'!F1745)</f>
        <v/>
      </c>
      <c r="G1744" t="str">
        <f>IF('NEW ACCOUNT'!A1745="","",'NEW ACCOUNT'!G1745)</f>
        <v/>
      </c>
      <c r="H1744" t="str">
        <f>IF('NEW ACCOUNT'!A1745="","",'NEW ACCOUNT'!H1745)</f>
        <v/>
      </c>
      <c r="I1744" t="str">
        <f>IF('NEW ACCOUNT'!A1745="","",'NEW ACCOUNT'!I1745)</f>
        <v/>
      </c>
      <c r="J1744" t="str">
        <f>IF('NEW ACCOUNT'!A1745="","",'NEW ACCOUNT'!J1745)</f>
        <v/>
      </c>
      <c r="K1744" t="str">
        <f>IFERROR(IF(A1744="","",SUMIF(DB_Savings!$A:$A,A1744,DB_Savings!$F:$F)),"")</f>
        <v/>
      </c>
      <c r="L1744" t="str">
        <f>IFERROR(IF(A1744="","",SUMIF(DB_Withdrawals!$A:$A,A1744,DB_Withdrawals!$G:$G)),"")</f>
        <v/>
      </c>
      <c r="M1744" t="str">
        <f>IFERROR(IF(A1744="","",IFERROR(VALUE(H1744),0)+IFERROR(SUMIF(DB_Savings!$A:$A,A1744,DB_Savings!$F:$F),0)-IFERROR(SUMIF(DB_Withdrawals!$A:$A,A1744,DB_Withdrawals!$G:$G),0)),"")</f>
        <v/>
      </c>
      <c r="N1744" t="str">
        <f>IFERROR(IF(A1744="","",MAX(0,M1744-System_Config!$B$9)),"")</f>
        <v/>
      </c>
    </row>
    <row r="1745" spans="1:14" ht="15" customHeight="1" x14ac:dyDescent="0.25">
      <c r="A1745" t="str">
        <f>'NEW ACCOUNT'!A1746</f>
        <v/>
      </c>
      <c r="B1745" t="str">
        <f>IF('NEW ACCOUNT'!A1746="","",'NEW ACCOUNT'!B1746)</f>
        <v/>
      </c>
      <c r="C1745" t="str">
        <f>IF('NEW ACCOUNT'!A1746="","",'NEW ACCOUNT'!C1746)</f>
        <v/>
      </c>
      <c r="D1745" t="str">
        <f>IF('NEW ACCOUNT'!A1746="","",'NEW ACCOUNT'!D1746)</f>
        <v/>
      </c>
      <c r="E1745" t="str">
        <f>IF('NEW ACCOUNT'!A1746="","",'NEW ACCOUNT'!E1746)</f>
        <v/>
      </c>
      <c r="F1745" t="str">
        <f>IF('NEW ACCOUNT'!A1746="","",'NEW ACCOUNT'!F1746)</f>
        <v/>
      </c>
      <c r="G1745" t="str">
        <f>IF('NEW ACCOUNT'!A1746="","",'NEW ACCOUNT'!G1746)</f>
        <v/>
      </c>
      <c r="H1745" t="str">
        <f>IF('NEW ACCOUNT'!A1746="","",'NEW ACCOUNT'!H1746)</f>
        <v/>
      </c>
      <c r="I1745" t="str">
        <f>IF('NEW ACCOUNT'!A1746="","",'NEW ACCOUNT'!I1746)</f>
        <v/>
      </c>
      <c r="J1745" t="str">
        <f>IF('NEW ACCOUNT'!A1746="","",'NEW ACCOUNT'!J1746)</f>
        <v/>
      </c>
      <c r="K1745" t="str">
        <f>IFERROR(IF(A1745="","",SUMIF(DB_Savings!$A:$A,A1745,DB_Savings!$F:$F)),"")</f>
        <v/>
      </c>
      <c r="L1745" t="str">
        <f>IFERROR(IF(A1745="","",SUMIF(DB_Withdrawals!$A:$A,A1745,DB_Withdrawals!$G:$G)),"")</f>
        <v/>
      </c>
      <c r="M1745" t="str">
        <f>IFERROR(IF(A1745="","",IFERROR(VALUE(H1745),0)+IFERROR(SUMIF(DB_Savings!$A:$A,A1745,DB_Savings!$F:$F),0)-IFERROR(SUMIF(DB_Withdrawals!$A:$A,A1745,DB_Withdrawals!$G:$G),0)),"")</f>
        <v/>
      </c>
      <c r="N1745" t="str">
        <f>IFERROR(IF(A1745="","",MAX(0,M1745-System_Config!$B$9)),"")</f>
        <v/>
      </c>
    </row>
    <row r="1746" spans="1:14" ht="15" customHeight="1" x14ac:dyDescent="0.25">
      <c r="A1746" t="str">
        <f>'NEW ACCOUNT'!A1747</f>
        <v/>
      </c>
      <c r="B1746" t="str">
        <f>IF('NEW ACCOUNT'!A1747="","",'NEW ACCOUNT'!B1747)</f>
        <v/>
      </c>
      <c r="C1746" t="str">
        <f>IF('NEW ACCOUNT'!A1747="","",'NEW ACCOUNT'!C1747)</f>
        <v/>
      </c>
      <c r="D1746" t="str">
        <f>IF('NEW ACCOUNT'!A1747="","",'NEW ACCOUNT'!D1747)</f>
        <v/>
      </c>
      <c r="E1746" t="str">
        <f>IF('NEW ACCOUNT'!A1747="","",'NEW ACCOUNT'!E1747)</f>
        <v/>
      </c>
      <c r="F1746" t="str">
        <f>IF('NEW ACCOUNT'!A1747="","",'NEW ACCOUNT'!F1747)</f>
        <v/>
      </c>
      <c r="G1746" t="str">
        <f>IF('NEW ACCOUNT'!A1747="","",'NEW ACCOUNT'!G1747)</f>
        <v/>
      </c>
      <c r="H1746" t="str">
        <f>IF('NEW ACCOUNT'!A1747="","",'NEW ACCOUNT'!H1747)</f>
        <v/>
      </c>
      <c r="I1746" t="str">
        <f>IF('NEW ACCOUNT'!A1747="","",'NEW ACCOUNT'!I1747)</f>
        <v/>
      </c>
      <c r="J1746" t="str">
        <f>IF('NEW ACCOUNT'!A1747="","",'NEW ACCOUNT'!J1747)</f>
        <v/>
      </c>
      <c r="K1746" t="str">
        <f>IFERROR(IF(A1746="","",SUMIF(DB_Savings!$A:$A,A1746,DB_Savings!$F:$F)),"")</f>
        <v/>
      </c>
      <c r="L1746" t="str">
        <f>IFERROR(IF(A1746="","",SUMIF(DB_Withdrawals!$A:$A,A1746,DB_Withdrawals!$G:$G)),"")</f>
        <v/>
      </c>
      <c r="M1746" t="str">
        <f>IFERROR(IF(A1746="","",IFERROR(VALUE(H1746),0)+IFERROR(SUMIF(DB_Savings!$A:$A,A1746,DB_Savings!$F:$F),0)-IFERROR(SUMIF(DB_Withdrawals!$A:$A,A1746,DB_Withdrawals!$G:$G),0)),"")</f>
        <v/>
      </c>
      <c r="N1746" t="str">
        <f>IFERROR(IF(A1746="","",MAX(0,M1746-System_Config!$B$9)),"")</f>
        <v/>
      </c>
    </row>
    <row r="1747" spans="1:14" ht="15" customHeight="1" x14ac:dyDescent="0.25">
      <c r="A1747" t="str">
        <f>'NEW ACCOUNT'!A1748</f>
        <v/>
      </c>
      <c r="B1747" t="str">
        <f>IF('NEW ACCOUNT'!A1748="","",'NEW ACCOUNT'!B1748)</f>
        <v/>
      </c>
      <c r="C1747" t="str">
        <f>IF('NEW ACCOUNT'!A1748="","",'NEW ACCOUNT'!C1748)</f>
        <v/>
      </c>
      <c r="D1747" t="str">
        <f>IF('NEW ACCOUNT'!A1748="","",'NEW ACCOUNT'!D1748)</f>
        <v/>
      </c>
      <c r="E1747" t="str">
        <f>IF('NEW ACCOUNT'!A1748="","",'NEW ACCOUNT'!E1748)</f>
        <v/>
      </c>
      <c r="F1747" t="str">
        <f>IF('NEW ACCOUNT'!A1748="","",'NEW ACCOUNT'!F1748)</f>
        <v/>
      </c>
      <c r="G1747" t="str">
        <f>IF('NEW ACCOUNT'!A1748="","",'NEW ACCOUNT'!G1748)</f>
        <v/>
      </c>
      <c r="H1747" t="str">
        <f>IF('NEW ACCOUNT'!A1748="","",'NEW ACCOUNT'!H1748)</f>
        <v/>
      </c>
      <c r="I1747" t="str">
        <f>IF('NEW ACCOUNT'!A1748="","",'NEW ACCOUNT'!I1748)</f>
        <v/>
      </c>
      <c r="J1747" t="str">
        <f>IF('NEW ACCOUNT'!A1748="","",'NEW ACCOUNT'!J1748)</f>
        <v/>
      </c>
      <c r="K1747" t="str">
        <f>IFERROR(IF(A1747="","",SUMIF(DB_Savings!$A:$A,A1747,DB_Savings!$F:$F)),"")</f>
        <v/>
      </c>
      <c r="L1747" t="str">
        <f>IFERROR(IF(A1747="","",SUMIF(DB_Withdrawals!$A:$A,A1747,DB_Withdrawals!$G:$G)),"")</f>
        <v/>
      </c>
      <c r="M1747" t="str">
        <f>IFERROR(IF(A1747="","",IFERROR(VALUE(H1747),0)+IFERROR(SUMIF(DB_Savings!$A:$A,A1747,DB_Savings!$F:$F),0)-IFERROR(SUMIF(DB_Withdrawals!$A:$A,A1747,DB_Withdrawals!$G:$G),0)),"")</f>
        <v/>
      </c>
      <c r="N1747" t="str">
        <f>IFERROR(IF(A1747="","",MAX(0,M1747-System_Config!$B$9)),"")</f>
        <v/>
      </c>
    </row>
    <row r="1748" spans="1:14" ht="15" customHeight="1" x14ac:dyDescent="0.25">
      <c r="A1748" t="str">
        <f>'NEW ACCOUNT'!A1749</f>
        <v/>
      </c>
      <c r="B1748" t="str">
        <f>IF('NEW ACCOUNT'!A1749="","",'NEW ACCOUNT'!B1749)</f>
        <v/>
      </c>
      <c r="C1748" t="str">
        <f>IF('NEW ACCOUNT'!A1749="","",'NEW ACCOUNT'!C1749)</f>
        <v/>
      </c>
      <c r="D1748" t="str">
        <f>IF('NEW ACCOUNT'!A1749="","",'NEW ACCOUNT'!D1749)</f>
        <v/>
      </c>
      <c r="E1748" t="str">
        <f>IF('NEW ACCOUNT'!A1749="","",'NEW ACCOUNT'!E1749)</f>
        <v/>
      </c>
      <c r="F1748" t="str">
        <f>IF('NEW ACCOUNT'!A1749="","",'NEW ACCOUNT'!F1749)</f>
        <v/>
      </c>
      <c r="G1748" t="str">
        <f>IF('NEW ACCOUNT'!A1749="","",'NEW ACCOUNT'!G1749)</f>
        <v/>
      </c>
      <c r="H1748" t="str">
        <f>IF('NEW ACCOUNT'!A1749="","",'NEW ACCOUNT'!H1749)</f>
        <v/>
      </c>
      <c r="I1748" t="str">
        <f>IF('NEW ACCOUNT'!A1749="","",'NEW ACCOUNT'!I1749)</f>
        <v/>
      </c>
      <c r="J1748" t="str">
        <f>IF('NEW ACCOUNT'!A1749="","",'NEW ACCOUNT'!J1749)</f>
        <v/>
      </c>
      <c r="K1748" t="str">
        <f>IFERROR(IF(A1748="","",SUMIF(DB_Savings!$A:$A,A1748,DB_Savings!$F:$F)),"")</f>
        <v/>
      </c>
      <c r="L1748" t="str">
        <f>IFERROR(IF(A1748="","",SUMIF(DB_Withdrawals!$A:$A,A1748,DB_Withdrawals!$G:$G)),"")</f>
        <v/>
      </c>
      <c r="M1748" t="str">
        <f>IFERROR(IF(A1748="","",IFERROR(VALUE(H1748),0)+IFERROR(SUMIF(DB_Savings!$A:$A,A1748,DB_Savings!$F:$F),0)-IFERROR(SUMIF(DB_Withdrawals!$A:$A,A1748,DB_Withdrawals!$G:$G),0)),"")</f>
        <v/>
      </c>
      <c r="N1748" t="str">
        <f>IFERROR(IF(A1748="","",MAX(0,M1748-System_Config!$B$9)),"")</f>
        <v/>
      </c>
    </row>
    <row r="1749" spans="1:14" ht="15" customHeight="1" x14ac:dyDescent="0.25">
      <c r="A1749" t="str">
        <f>'NEW ACCOUNT'!A1750</f>
        <v/>
      </c>
      <c r="B1749" t="str">
        <f>IF('NEW ACCOUNT'!A1750="","",'NEW ACCOUNT'!B1750)</f>
        <v/>
      </c>
      <c r="C1749" t="str">
        <f>IF('NEW ACCOUNT'!A1750="","",'NEW ACCOUNT'!C1750)</f>
        <v/>
      </c>
      <c r="D1749" t="str">
        <f>IF('NEW ACCOUNT'!A1750="","",'NEW ACCOUNT'!D1750)</f>
        <v/>
      </c>
      <c r="E1749" t="str">
        <f>IF('NEW ACCOUNT'!A1750="","",'NEW ACCOUNT'!E1750)</f>
        <v/>
      </c>
      <c r="F1749" t="str">
        <f>IF('NEW ACCOUNT'!A1750="","",'NEW ACCOUNT'!F1750)</f>
        <v/>
      </c>
      <c r="G1749" t="str">
        <f>IF('NEW ACCOUNT'!A1750="","",'NEW ACCOUNT'!G1750)</f>
        <v/>
      </c>
      <c r="H1749" t="str">
        <f>IF('NEW ACCOUNT'!A1750="","",'NEW ACCOUNT'!H1750)</f>
        <v/>
      </c>
      <c r="I1749" t="str">
        <f>IF('NEW ACCOUNT'!A1750="","",'NEW ACCOUNT'!I1750)</f>
        <v/>
      </c>
      <c r="J1749" t="str">
        <f>IF('NEW ACCOUNT'!A1750="","",'NEW ACCOUNT'!J1750)</f>
        <v/>
      </c>
      <c r="K1749" t="str">
        <f>IFERROR(IF(A1749="","",SUMIF(DB_Savings!$A:$A,A1749,DB_Savings!$F:$F)),"")</f>
        <v/>
      </c>
      <c r="L1749" t="str">
        <f>IFERROR(IF(A1749="","",SUMIF(DB_Withdrawals!$A:$A,A1749,DB_Withdrawals!$G:$G)),"")</f>
        <v/>
      </c>
      <c r="M1749" t="str">
        <f>IFERROR(IF(A1749="","",IFERROR(VALUE(H1749),0)+IFERROR(SUMIF(DB_Savings!$A:$A,A1749,DB_Savings!$F:$F),0)-IFERROR(SUMIF(DB_Withdrawals!$A:$A,A1749,DB_Withdrawals!$G:$G),0)),"")</f>
        <v/>
      </c>
      <c r="N1749" t="str">
        <f>IFERROR(IF(A1749="","",MAX(0,M1749-System_Config!$B$9)),"")</f>
        <v/>
      </c>
    </row>
    <row r="1750" spans="1:14" ht="15" customHeight="1" x14ac:dyDescent="0.25">
      <c r="A1750" t="str">
        <f>'NEW ACCOUNT'!A1751</f>
        <v/>
      </c>
      <c r="B1750" t="str">
        <f>IF('NEW ACCOUNT'!A1751="","",'NEW ACCOUNT'!B1751)</f>
        <v/>
      </c>
      <c r="C1750" t="str">
        <f>IF('NEW ACCOUNT'!A1751="","",'NEW ACCOUNT'!C1751)</f>
        <v/>
      </c>
      <c r="D1750" t="str">
        <f>IF('NEW ACCOUNT'!A1751="","",'NEW ACCOUNT'!D1751)</f>
        <v/>
      </c>
      <c r="E1750" t="str">
        <f>IF('NEW ACCOUNT'!A1751="","",'NEW ACCOUNT'!E1751)</f>
        <v/>
      </c>
      <c r="F1750" t="str">
        <f>IF('NEW ACCOUNT'!A1751="","",'NEW ACCOUNT'!F1751)</f>
        <v/>
      </c>
      <c r="G1750" t="str">
        <f>IF('NEW ACCOUNT'!A1751="","",'NEW ACCOUNT'!G1751)</f>
        <v/>
      </c>
      <c r="H1750" t="str">
        <f>IF('NEW ACCOUNT'!A1751="","",'NEW ACCOUNT'!H1751)</f>
        <v/>
      </c>
      <c r="I1750" t="str">
        <f>IF('NEW ACCOUNT'!A1751="","",'NEW ACCOUNT'!I1751)</f>
        <v/>
      </c>
      <c r="J1750" t="str">
        <f>IF('NEW ACCOUNT'!A1751="","",'NEW ACCOUNT'!J1751)</f>
        <v/>
      </c>
      <c r="K1750" t="str">
        <f>IFERROR(IF(A1750="","",SUMIF(DB_Savings!$A:$A,A1750,DB_Savings!$F:$F)),"")</f>
        <v/>
      </c>
      <c r="L1750" t="str">
        <f>IFERROR(IF(A1750="","",SUMIF(DB_Withdrawals!$A:$A,A1750,DB_Withdrawals!$G:$G)),"")</f>
        <v/>
      </c>
      <c r="M1750" t="str">
        <f>IFERROR(IF(A1750="","",IFERROR(VALUE(H1750),0)+IFERROR(SUMIF(DB_Savings!$A:$A,A1750,DB_Savings!$F:$F),0)-IFERROR(SUMIF(DB_Withdrawals!$A:$A,A1750,DB_Withdrawals!$G:$G),0)),"")</f>
        <v/>
      </c>
      <c r="N1750" t="str">
        <f>IFERROR(IF(A1750="","",MAX(0,M1750-System_Config!$B$9)),"")</f>
        <v/>
      </c>
    </row>
    <row r="1751" spans="1:14" ht="15" customHeight="1" x14ac:dyDescent="0.25">
      <c r="A1751" t="str">
        <f>'NEW ACCOUNT'!A1752</f>
        <v/>
      </c>
      <c r="B1751" t="str">
        <f>IF('NEW ACCOUNT'!A1752="","",'NEW ACCOUNT'!B1752)</f>
        <v/>
      </c>
      <c r="C1751" t="str">
        <f>IF('NEW ACCOUNT'!A1752="","",'NEW ACCOUNT'!C1752)</f>
        <v/>
      </c>
      <c r="D1751" t="str">
        <f>IF('NEW ACCOUNT'!A1752="","",'NEW ACCOUNT'!D1752)</f>
        <v/>
      </c>
      <c r="E1751" t="str">
        <f>IF('NEW ACCOUNT'!A1752="","",'NEW ACCOUNT'!E1752)</f>
        <v/>
      </c>
      <c r="F1751" t="str">
        <f>IF('NEW ACCOUNT'!A1752="","",'NEW ACCOUNT'!F1752)</f>
        <v/>
      </c>
      <c r="G1751" t="str">
        <f>IF('NEW ACCOUNT'!A1752="","",'NEW ACCOUNT'!G1752)</f>
        <v/>
      </c>
      <c r="H1751" t="str">
        <f>IF('NEW ACCOUNT'!A1752="","",'NEW ACCOUNT'!H1752)</f>
        <v/>
      </c>
      <c r="I1751" t="str">
        <f>IF('NEW ACCOUNT'!A1752="","",'NEW ACCOUNT'!I1752)</f>
        <v/>
      </c>
      <c r="J1751" t="str">
        <f>IF('NEW ACCOUNT'!A1752="","",'NEW ACCOUNT'!J1752)</f>
        <v/>
      </c>
      <c r="K1751" t="str">
        <f>IFERROR(IF(A1751="","",SUMIF(DB_Savings!$A:$A,A1751,DB_Savings!$F:$F)),"")</f>
        <v/>
      </c>
      <c r="L1751" t="str">
        <f>IFERROR(IF(A1751="","",SUMIF(DB_Withdrawals!$A:$A,A1751,DB_Withdrawals!$G:$G)),"")</f>
        <v/>
      </c>
      <c r="M1751" t="str">
        <f>IFERROR(IF(A1751="","",IFERROR(VALUE(H1751),0)+IFERROR(SUMIF(DB_Savings!$A:$A,A1751,DB_Savings!$F:$F),0)-IFERROR(SUMIF(DB_Withdrawals!$A:$A,A1751,DB_Withdrawals!$G:$G),0)),"")</f>
        <v/>
      </c>
      <c r="N1751" t="str">
        <f>IFERROR(IF(A1751="","",MAX(0,M1751-System_Config!$B$9)),"")</f>
        <v/>
      </c>
    </row>
    <row r="1752" spans="1:14" ht="15" customHeight="1" x14ac:dyDescent="0.25">
      <c r="A1752" t="str">
        <f>'NEW ACCOUNT'!A1753</f>
        <v/>
      </c>
      <c r="B1752" t="str">
        <f>IF('NEW ACCOUNT'!A1753="","",'NEW ACCOUNT'!B1753)</f>
        <v/>
      </c>
      <c r="C1752" t="str">
        <f>IF('NEW ACCOUNT'!A1753="","",'NEW ACCOUNT'!C1753)</f>
        <v/>
      </c>
      <c r="D1752" t="str">
        <f>IF('NEW ACCOUNT'!A1753="","",'NEW ACCOUNT'!D1753)</f>
        <v/>
      </c>
      <c r="E1752" t="str">
        <f>IF('NEW ACCOUNT'!A1753="","",'NEW ACCOUNT'!E1753)</f>
        <v/>
      </c>
      <c r="F1752" t="str">
        <f>IF('NEW ACCOUNT'!A1753="","",'NEW ACCOUNT'!F1753)</f>
        <v/>
      </c>
      <c r="G1752" t="str">
        <f>IF('NEW ACCOUNT'!A1753="","",'NEW ACCOUNT'!G1753)</f>
        <v/>
      </c>
      <c r="H1752" t="str">
        <f>IF('NEW ACCOUNT'!A1753="","",'NEW ACCOUNT'!H1753)</f>
        <v/>
      </c>
      <c r="I1752" t="str">
        <f>IF('NEW ACCOUNT'!A1753="","",'NEW ACCOUNT'!I1753)</f>
        <v/>
      </c>
      <c r="J1752" t="str">
        <f>IF('NEW ACCOUNT'!A1753="","",'NEW ACCOUNT'!J1753)</f>
        <v/>
      </c>
      <c r="K1752" t="str">
        <f>IFERROR(IF(A1752="","",SUMIF(DB_Savings!$A:$A,A1752,DB_Savings!$F:$F)),"")</f>
        <v/>
      </c>
      <c r="L1752" t="str">
        <f>IFERROR(IF(A1752="","",SUMIF(DB_Withdrawals!$A:$A,A1752,DB_Withdrawals!$G:$G)),"")</f>
        <v/>
      </c>
      <c r="M1752" t="str">
        <f>IFERROR(IF(A1752="","",IFERROR(VALUE(H1752),0)+IFERROR(SUMIF(DB_Savings!$A:$A,A1752,DB_Savings!$F:$F),0)-IFERROR(SUMIF(DB_Withdrawals!$A:$A,A1752,DB_Withdrawals!$G:$G),0)),"")</f>
        <v/>
      </c>
      <c r="N1752" t="str">
        <f>IFERROR(IF(A1752="","",MAX(0,M1752-System_Config!$B$9)),"")</f>
        <v/>
      </c>
    </row>
    <row r="1753" spans="1:14" ht="15" customHeight="1" x14ac:dyDescent="0.25">
      <c r="A1753" t="str">
        <f>'NEW ACCOUNT'!A1754</f>
        <v/>
      </c>
      <c r="B1753" t="str">
        <f>IF('NEW ACCOUNT'!A1754="","",'NEW ACCOUNT'!B1754)</f>
        <v/>
      </c>
      <c r="C1753" t="str">
        <f>IF('NEW ACCOUNT'!A1754="","",'NEW ACCOUNT'!C1754)</f>
        <v/>
      </c>
      <c r="D1753" t="str">
        <f>IF('NEW ACCOUNT'!A1754="","",'NEW ACCOUNT'!D1754)</f>
        <v/>
      </c>
      <c r="E1753" t="str">
        <f>IF('NEW ACCOUNT'!A1754="","",'NEW ACCOUNT'!E1754)</f>
        <v/>
      </c>
      <c r="F1753" t="str">
        <f>IF('NEW ACCOUNT'!A1754="","",'NEW ACCOUNT'!F1754)</f>
        <v/>
      </c>
      <c r="G1753" t="str">
        <f>IF('NEW ACCOUNT'!A1754="","",'NEW ACCOUNT'!G1754)</f>
        <v/>
      </c>
      <c r="H1753" t="str">
        <f>IF('NEW ACCOUNT'!A1754="","",'NEW ACCOUNT'!H1754)</f>
        <v/>
      </c>
      <c r="I1753" t="str">
        <f>IF('NEW ACCOUNT'!A1754="","",'NEW ACCOUNT'!I1754)</f>
        <v/>
      </c>
      <c r="J1753" t="str">
        <f>IF('NEW ACCOUNT'!A1754="","",'NEW ACCOUNT'!J1754)</f>
        <v/>
      </c>
      <c r="K1753" t="str">
        <f>IFERROR(IF(A1753="","",SUMIF(DB_Savings!$A:$A,A1753,DB_Savings!$F:$F)),"")</f>
        <v/>
      </c>
      <c r="L1753" t="str">
        <f>IFERROR(IF(A1753="","",SUMIF(DB_Withdrawals!$A:$A,A1753,DB_Withdrawals!$G:$G)),"")</f>
        <v/>
      </c>
      <c r="M1753" t="str">
        <f>IFERROR(IF(A1753="","",IFERROR(VALUE(H1753),0)+IFERROR(SUMIF(DB_Savings!$A:$A,A1753,DB_Savings!$F:$F),0)-IFERROR(SUMIF(DB_Withdrawals!$A:$A,A1753,DB_Withdrawals!$G:$G),0)),"")</f>
        <v/>
      </c>
      <c r="N1753" t="str">
        <f>IFERROR(IF(A1753="","",MAX(0,M1753-System_Config!$B$9)),"")</f>
        <v/>
      </c>
    </row>
    <row r="1754" spans="1:14" ht="15" customHeight="1" x14ac:dyDescent="0.25">
      <c r="A1754" t="str">
        <f>'NEW ACCOUNT'!A1755</f>
        <v/>
      </c>
      <c r="B1754" t="str">
        <f>IF('NEW ACCOUNT'!A1755="","",'NEW ACCOUNT'!B1755)</f>
        <v/>
      </c>
      <c r="C1754" t="str">
        <f>IF('NEW ACCOUNT'!A1755="","",'NEW ACCOUNT'!C1755)</f>
        <v/>
      </c>
      <c r="D1754" t="str">
        <f>IF('NEW ACCOUNT'!A1755="","",'NEW ACCOUNT'!D1755)</f>
        <v/>
      </c>
      <c r="E1754" t="str">
        <f>IF('NEW ACCOUNT'!A1755="","",'NEW ACCOUNT'!E1755)</f>
        <v/>
      </c>
      <c r="F1754" t="str">
        <f>IF('NEW ACCOUNT'!A1755="","",'NEW ACCOUNT'!F1755)</f>
        <v/>
      </c>
      <c r="G1754" t="str">
        <f>IF('NEW ACCOUNT'!A1755="","",'NEW ACCOUNT'!G1755)</f>
        <v/>
      </c>
      <c r="H1754" t="str">
        <f>IF('NEW ACCOUNT'!A1755="","",'NEW ACCOUNT'!H1755)</f>
        <v/>
      </c>
      <c r="I1754" t="str">
        <f>IF('NEW ACCOUNT'!A1755="","",'NEW ACCOUNT'!I1755)</f>
        <v/>
      </c>
      <c r="J1754" t="str">
        <f>IF('NEW ACCOUNT'!A1755="","",'NEW ACCOUNT'!J1755)</f>
        <v/>
      </c>
      <c r="K1754" t="str">
        <f>IFERROR(IF(A1754="","",SUMIF(DB_Savings!$A:$A,A1754,DB_Savings!$F:$F)),"")</f>
        <v/>
      </c>
      <c r="L1754" t="str">
        <f>IFERROR(IF(A1754="","",SUMIF(DB_Withdrawals!$A:$A,A1754,DB_Withdrawals!$G:$G)),"")</f>
        <v/>
      </c>
      <c r="M1754" t="str">
        <f>IFERROR(IF(A1754="","",IFERROR(VALUE(H1754),0)+IFERROR(SUMIF(DB_Savings!$A:$A,A1754,DB_Savings!$F:$F),0)-IFERROR(SUMIF(DB_Withdrawals!$A:$A,A1754,DB_Withdrawals!$G:$G),0)),"")</f>
        <v/>
      </c>
      <c r="N1754" t="str">
        <f>IFERROR(IF(A1754="","",MAX(0,M1754-System_Config!$B$9)),"")</f>
        <v/>
      </c>
    </row>
    <row r="1755" spans="1:14" ht="15" customHeight="1" x14ac:dyDescent="0.25">
      <c r="A1755" t="str">
        <f>'NEW ACCOUNT'!A1756</f>
        <v/>
      </c>
      <c r="B1755" t="str">
        <f>IF('NEW ACCOUNT'!A1756="","",'NEW ACCOUNT'!B1756)</f>
        <v/>
      </c>
      <c r="C1755" t="str">
        <f>IF('NEW ACCOUNT'!A1756="","",'NEW ACCOUNT'!C1756)</f>
        <v/>
      </c>
      <c r="D1755" t="str">
        <f>IF('NEW ACCOUNT'!A1756="","",'NEW ACCOUNT'!D1756)</f>
        <v/>
      </c>
      <c r="E1755" t="str">
        <f>IF('NEW ACCOUNT'!A1756="","",'NEW ACCOUNT'!E1756)</f>
        <v/>
      </c>
      <c r="F1755" t="str">
        <f>IF('NEW ACCOUNT'!A1756="","",'NEW ACCOUNT'!F1756)</f>
        <v/>
      </c>
      <c r="G1755" t="str">
        <f>IF('NEW ACCOUNT'!A1756="","",'NEW ACCOUNT'!G1756)</f>
        <v/>
      </c>
      <c r="H1755" t="str">
        <f>IF('NEW ACCOUNT'!A1756="","",'NEW ACCOUNT'!H1756)</f>
        <v/>
      </c>
      <c r="I1755" t="str">
        <f>IF('NEW ACCOUNT'!A1756="","",'NEW ACCOUNT'!I1756)</f>
        <v/>
      </c>
      <c r="J1755" t="str">
        <f>IF('NEW ACCOUNT'!A1756="","",'NEW ACCOUNT'!J1756)</f>
        <v/>
      </c>
      <c r="K1755" t="str">
        <f>IFERROR(IF(A1755="","",SUMIF(DB_Savings!$A:$A,A1755,DB_Savings!$F:$F)),"")</f>
        <v/>
      </c>
      <c r="L1755" t="str">
        <f>IFERROR(IF(A1755="","",SUMIF(DB_Withdrawals!$A:$A,A1755,DB_Withdrawals!$G:$G)),"")</f>
        <v/>
      </c>
      <c r="M1755" t="str">
        <f>IFERROR(IF(A1755="","",IFERROR(VALUE(H1755),0)+IFERROR(SUMIF(DB_Savings!$A:$A,A1755,DB_Savings!$F:$F),0)-IFERROR(SUMIF(DB_Withdrawals!$A:$A,A1755,DB_Withdrawals!$G:$G),0)),"")</f>
        <v/>
      </c>
      <c r="N1755" t="str">
        <f>IFERROR(IF(A1755="","",MAX(0,M1755-System_Config!$B$9)),"")</f>
        <v/>
      </c>
    </row>
    <row r="1756" spans="1:14" ht="15" customHeight="1" x14ac:dyDescent="0.25">
      <c r="A1756" t="str">
        <f>'NEW ACCOUNT'!A1757</f>
        <v/>
      </c>
      <c r="B1756" t="str">
        <f>IF('NEW ACCOUNT'!A1757="","",'NEW ACCOUNT'!B1757)</f>
        <v/>
      </c>
      <c r="C1756" t="str">
        <f>IF('NEW ACCOUNT'!A1757="","",'NEW ACCOUNT'!C1757)</f>
        <v/>
      </c>
      <c r="D1756" t="str">
        <f>IF('NEW ACCOUNT'!A1757="","",'NEW ACCOUNT'!D1757)</f>
        <v/>
      </c>
      <c r="E1756" t="str">
        <f>IF('NEW ACCOUNT'!A1757="","",'NEW ACCOUNT'!E1757)</f>
        <v/>
      </c>
      <c r="F1756" t="str">
        <f>IF('NEW ACCOUNT'!A1757="","",'NEW ACCOUNT'!F1757)</f>
        <v/>
      </c>
      <c r="G1756" t="str">
        <f>IF('NEW ACCOUNT'!A1757="","",'NEW ACCOUNT'!G1757)</f>
        <v/>
      </c>
      <c r="H1756" t="str">
        <f>IF('NEW ACCOUNT'!A1757="","",'NEW ACCOUNT'!H1757)</f>
        <v/>
      </c>
      <c r="I1756" t="str">
        <f>IF('NEW ACCOUNT'!A1757="","",'NEW ACCOUNT'!I1757)</f>
        <v/>
      </c>
      <c r="J1756" t="str">
        <f>IF('NEW ACCOUNT'!A1757="","",'NEW ACCOUNT'!J1757)</f>
        <v/>
      </c>
      <c r="K1756" t="str">
        <f>IFERROR(IF(A1756="","",SUMIF(DB_Savings!$A:$A,A1756,DB_Savings!$F:$F)),"")</f>
        <v/>
      </c>
      <c r="L1756" t="str">
        <f>IFERROR(IF(A1756="","",SUMIF(DB_Withdrawals!$A:$A,A1756,DB_Withdrawals!$G:$G)),"")</f>
        <v/>
      </c>
      <c r="M1756" t="str">
        <f>IFERROR(IF(A1756="","",IFERROR(VALUE(H1756),0)+IFERROR(SUMIF(DB_Savings!$A:$A,A1756,DB_Savings!$F:$F),0)-IFERROR(SUMIF(DB_Withdrawals!$A:$A,A1756,DB_Withdrawals!$G:$G),0)),"")</f>
        <v/>
      </c>
      <c r="N1756" t="str">
        <f>IFERROR(IF(A1756="","",MAX(0,M1756-System_Config!$B$9)),"")</f>
        <v/>
      </c>
    </row>
    <row r="1757" spans="1:14" ht="15" customHeight="1" x14ac:dyDescent="0.25">
      <c r="A1757" t="str">
        <f>'NEW ACCOUNT'!A1758</f>
        <v/>
      </c>
      <c r="B1757" t="str">
        <f>IF('NEW ACCOUNT'!A1758="","",'NEW ACCOUNT'!B1758)</f>
        <v/>
      </c>
      <c r="C1757" t="str">
        <f>IF('NEW ACCOUNT'!A1758="","",'NEW ACCOUNT'!C1758)</f>
        <v/>
      </c>
      <c r="D1757" t="str">
        <f>IF('NEW ACCOUNT'!A1758="","",'NEW ACCOUNT'!D1758)</f>
        <v/>
      </c>
      <c r="E1757" t="str">
        <f>IF('NEW ACCOUNT'!A1758="","",'NEW ACCOUNT'!E1758)</f>
        <v/>
      </c>
      <c r="F1757" t="str">
        <f>IF('NEW ACCOUNT'!A1758="","",'NEW ACCOUNT'!F1758)</f>
        <v/>
      </c>
      <c r="G1757" t="str">
        <f>IF('NEW ACCOUNT'!A1758="","",'NEW ACCOUNT'!G1758)</f>
        <v/>
      </c>
      <c r="H1757" t="str">
        <f>IF('NEW ACCOUNT'!A1758="","",'NEW ACCOUNT'!H1758)</f>
        <v/>
      </c>
      <c r="I1757" t="str">
        <f>IF('NEW ACCOUNT'!A1758="","",'NEW ACCOUNT'!I1758)</f>
        <v/>
      </c>
      <c r="J1757" t="str">
        <f>IF('NEW ACCOUNT'!A1758="","",'NEW ACCOUNT'!J1758)</f>
        <v/>
      </c>
      <c r="K1757" t="str">
        <f>IFERROR(IF(A1757="","",SUMIF(DB_Savings!$A:$A,A1757,DB_Savings!$F:$F)),"")</f>
        <v/>
      </c>
      <c r="L1757" t="str">
        <f>IFERROR(IF(A1757="","",SUMIF(DB_Withdrawals!$A:$A,A1757,DB_Withdrawals!$G:$G)),"")</f>
        <v/>
      </c>
      <c r="M1757" t="str">
        <f>IFERROR(IF(A1757="","",IFERROR(VALUE(H1757),0)+IFERROR(SUMIF(DB_Savings!$A:$A,A1757,DB_Savings!$F:$F),0)-IFERROR(SUMIF(DB_Withdrawals!$A:$A,A1757,DB_Withdrawals!$G:$G),0)),"")</f>
        <v/>
      </c>
      <c r="N1757" t="str">
        <f>IFERROR(IF(A1757="","",MAX(0,M1757-System_Config!$B$9)),"")</f>
        <v/>
      </c>
    </row>
    <row r="1758" spans="1:14" ht="15" customHeight="1" x14ac:dyDescent="0.25">
      <c r="A1758" t="str">
        <f>'NEW ACCOUNT'!A1759</f>
        <v/>
      </c>
      <c r="B1758" t="str">
        <f>IF('NEW ACCOUNT'!A1759="","",'NEW ACCOUNT'!B1759)</f>
        <v/>
      </c>
      <c r="C1758" t="str">
        <f>IF('NEW ACCOUNT'!A1759="","",'NEW ACCOUNT'!C1759)</f>
        <v/>
      </c>
      <c r="D1758" t="str">
        <f>IF('NEW ACCOUNT'!A1759="","",'NEW ACCOUNT'!D1759)</f>
        <v/>
      </c>
      <c r="E1758" t="str">
        <f>IF('NEW ACCOUNT'!A1759="","",'NEW ACCOUNT'!E1759)</f>
        <v/>
      </c>
      <c r="F1758" t="str">
        <f>IF('NEW ACCOUNT'!A1759="","",'NEW ACCOUNT'!F1759)</f>
        <v/>
      </c>
      <c r="G1758" t="str">
        <f>IF('NEW ACCOUNT'!A1759="","",'NEW ACCOUNT'!G1759)</f>
        <v/>
      </c>
      <c r="H1758" t="str">
        <f>IF('NEW ACCOUNT'!A1759="","",'NEW ACCOUNT'!H1759)</f>
        <v/>
      </c>
      <c r="I1758" t="str">
        <f>IF('NEW ACCOUNT'!A1759="","",'NEW ACCOUNT'!I1759)</f>
        <v/>
      </c>
      <c r="J1758" t="str">
        <f>IF('NEW ACCOUNT'!A1759="","",'NEW ACCOUNT'!J1759)</f>
        <v/>
      </c>
      <c r="K1758" t="str">
        <f>IFERROR(IF(A1758="","",SUMIF(DB_Savings!$A:$A,A1758,DB_Savings!$F:$F)),"")</f>
        <v/>
      </c>
      <c r="L1758" t="str">
        <f>IFERROR(IF(A1758="","",SUMIF(DB_Withdrawals!$A:$A,A1758,DB_Withdrawals!$G:$G)),"")</f>
        <v/>
      </c>
      <c r="M1758" t="str">
        <f>IFERROR(IF(A1758="","",IFERROR(VALUE(H1758),0)+IFERROR(SUMIF(DB_Savings!$A:$A,A1758,DB_Savings!$F:$F),0)-IFERROR(SUMIF(DB_Withdrawals!$A:$A,A1758,DB_Withdrawals!$G:$G),0)),"")</f>
        <v/>
      </c>
      <c r="N1758" t="str">
        <f>IFERROR(IF(A1758="","",MAX(0,M1758-System_Config!$B$9)),"")</f>
        <v/>
      </c>
    </row>
    <row r="1759" spans="1:14" ht="15" customHeight="1" x14ac:dyDescent="0.25">
      <c r="A1759" t="str">
        <f>'NEW ACCOUNT'!A1760</f>
        <v/>
      </c>
      <c r="B1759" t="str">
        <f>IF('NEW ACCOUNT'!A1760="","",'NEW ACCOUNT'!B1760)</f>
        <v/>
      </c>
      <c r="C1759" t="str">
        <f>IF('NEW ACCOUNT'!A1760="","",'NEW ACCOUNT'!C1760)</f>
        <v/>
      </c>
      <c r="D1759" t="str">
        <f>IF('NEW ACCOUNT'!A1760="","",'NEW ACCOUNT'!D1760)</f>
        <v/>
      </c>
      <c r="E1759" t="str">
        <f>IF('NEW ACCOUNT'!A1760="","",'NEW ACCOUNT'!E1760)</f>
        <v/>
      </c>
      <c r="F1759" t="str">
        <f>IF('NEW ACCOUNT'!A1760="","",'NEW ACCOUNT'!F1760)</f>
        <v/>
      </c>
      <c r="G1759" t="str">
        <f>IF('NEW ACCOUNT'!A1760="","",'NEW ACCOUNT'!G1760)</f>
        <v/>
      </c>
      <c r="H1759" t="str">
        <f>IF('NEW ACCOUNT'!A1760="","",'NEW ACCOUNT'!H1760)</f>
        <v/>
      </c>
      <c r="I1759" t="str">
        <f>IF('NEW ACCOUNT'!A1760="","",'NEW ACCOUNT'!I1760)</f>
        <v/>
      </c>
      <c r="J1759" t="str">
        <f>IF('NEW ACCOUNT'!A1760="","",'NEW ACCOUNT'!J1760)</f>
        <v/>
      </c>
      <c r="K1759" t="str">
        <f>IFERROR(IF(A1759="","",SUMIF(DB_Savings!$A:$A,A1759,DB_Savings!$F:$F)),"")</f>
        <v/>
      </c>
      <c r="L1759" t="str">
        <f>IFERROR(IF(A1759="","",SUMIF(DB_Withdrawals!$A:$A,A1759,DB_Withdrawals!$G:$G)),"")</f>
        <v/>
      </c>
      <c r="M1759" t="str">
        <f>IFERROR(IF(A1759="","",IFERROR(VALUE(H1759),0)+IFERROR(SUMIF(DB_Savings!$A:$A,A1759,DB_Savings!$F:$F),0)-IFERROR(SUMIF(DB_Withdrawals!$A:$A,A1759,DB_Withdrawals!$G:$G),0)),"")</f>
        <v/>
      </c>
      <c r="N1759" t="str">
        <f>IFERROR(IF(A1759="","",MAX(0,M1759-System_Config!$B$9)),"")</f>
        <v/>
      </c>
    </row>
    <row r="1760" spans="1:14" ht="15" customHeight="1" x14ac:dyDescent="0.25">
      <c r="A1760" t="str">
        <f>'NEW ACCOUNT'!A1761</f>
        <v/>
      </c>
      <c r="B1760" t="str">
        <f>IF('NEW ACCOUNT'!A1761="","",'NEW ACCOUNT'!B1761)</f>
        <v/>
      </c>
      <c r="C1760" t="str">
        <f>IF('NEW ACCOUNT'!A1761="","",'NEW ACCOUNT'!C1761)</f>
        <v/>
      </c>
      <c r="D1760" t="str">
        <f>IF('NEW ACCOUNT'!A1761="","",'NEW ACCOUNT'!D1761)</f>
        <v/>
      </c>
      <c r="E1760" t="str">
        <f>IF('NEW ACCOUNT'!A1761="","",'NEW ACCOUNT'!E1761)</f>
        <v/>
      </c>
      <c r="F1760" t="str">
        <f>IF('NEW ACCOUNT'!A1761="","",'NEW ACCOUNT'!F1761)</f>
        <v/>
      </c>
      <c r="G1760" t="str">
        <f>IF('NEW ACCOUNT'!A1761="","",'NEW ACCOUNT'!G1761)</f>
        <v/>
      </c>
      <c r="H1760" t="str">
        <f>IF('NEW ACCOUNT'!A1761="","",'NEW ACCOUNT'!H1761)</f>
        <v/>
      </c>
      <c r="I1760" t="str">
        <f>IF('NEW ACCOUNT'!A1761="","",'NEW ACCOUNT'!I1761)</f>
        <v/>
      </c>
      <c r="J1760" t="str">
        <f>IF('NEW ACCOUNT'!A1761="","",'NEW ACCOUNT'!J1761)</f>
        <v/>
      </c>
      <c r="K1760" t="str">
        <f>IFERROR(IF(A1760="","",SUMIF(DB_Savings!$A:$A,A1760,DB_Savings!$F:$F)),"")</f>
        <v/>
      </c>
      <c r="L1760" t="str">
        <f>IFERROR(IF(A1760="","",SUMIF(DB_Withdrawals!$A:$A,A1760,DB_Withdrawals!$G:$G)),"")</f>
        <v/>
      </c>
      <c r="M1760" t="str">
        <f>IFERROR(IF(A1760="","",IFERROR(VALUE(H1760),0)+IFERROR(SUMIF(DB_Savings!$A:$A,A1760,DB_Savings!$F:$F),0)-IFERROR(SUMIF(DB_Withdrawals!$A:$A,A1760,DB_Withdrawals!$G:$G),0)),"")</f>
        <v/>
      </c>
      <c r="N1760" t="str">
        <f>IFERROR(IF(A1760="","",MAX(0,M1760-System_Config!$B$9)),"")</f>
        <v/>
      </c>
    </row>
    <row r="1761" spans="1:14" ht="15" customHeight="1" x14ac:dyDescent="0.25">
      <c r="A1761" t="str">
        <f>'NEW ACCOUNT'!A1762</f>
        <v/>
      </c>
      <c r="B1761" t="str">
        <f>IF('NEW ACCOUNT'!A1762="","",'NEW ACCOUNT'!B1762)</f>
        <v/>
      </c>
      <c r="C1761" t="str">
        <f>IF('NEW ACCOUNT'!A1762="","",'NEW ACCOUNT'!C1762)</f>
        <v/>
      </c>
      <c r="D1761" t="str">
        <f>IF('NEW ACCOUNT'!A1762="","",'NEW ACCOUNT'!D1762)</f>
        <v/>
      </c>
      <c r="E1761" t="str">
        <f>IF('NEW ACCOUNT'!A1762="","",'NEW ACCOUNT'!E1762)</f>
        <v/>
      </c>
      <c r="F1761" t="str">
        <f>IF('NEW ACCOUNT'!A1762="","",'NEW ACCOUNT'!F1762)</f>
        <v/>
      </c>
      <c r="G1761" t="str">
        <f>IF('NEW ACCOUNT'!A1762="","",'NEW ACCOUNT'!G1762)</f>
        <v/>
      </c>
      <c r="H1761" t="str">
        <f>IF('NEW ACCOUNT'!A1762="","",'NEW ACCOUNT'!H1762)</f>
        <v/>
      </c>
      <c r="I1761" t="str">
        <f>IF('NEW ACCOUNT'!A1762="","",'NEW ACCOUNT'!I1762)</f>
        <v/>
      </c>
      <c r="J1761" t="str">
        <f>IF('NEW ACCOUNT'!A1762="","",'NEW ACCOUNT'!J1762)</f>
        <v/>
      </c>
      <c r="K1761" t="str">
        <f>IFERROR(IF(A1761="","",SUMIF(DB_Savings!$A:$A,A1761,DB_Savings!$F:$F)),"")</f>
        <v/>
      </c>
      <c r="L1761" t="str">
        <f>IFERROR(IF(A1761="","",SUMIF(DB_Withdrawals!$A:$A,A1761,DB_Withdrawals!$G:$G)),"")</f>
        <v/>
      </c>
      <c r="M1761" t="str">
        <f>IFERROR(IF(A1761="","",IFERROR(VALUE(H1761),0)+IFERROR(SUMIF(DB_Savings!$A:$A,A1761,DB_Savings!$F:$F),0)-IFERROR(SUMIF(DB_Withdrawals!$A:$A,A1761,DB_Withdrawals!$G:$G),0)),"")</f>
        <v/>
      </c>
      <c r="N1761" t="str">
        <f>IFERROR(IF(A1761="","",MAX(0,M1761-System_Config!$B$9)),"")</f>
        <v/>
      </c>
    </row>
    <row r="1762" spans="1:14" ht="15" customHeight="1" x14ac:dyDescent="0.25">
      <c r="A1762" t="str">
        <f>'NEW ACCOUNT'!A1763</f>
        <v/>
      </c>
      <c r="B1762" t="str">
        <f>IF('NEW ACCOUNT'!A1763="","",'NEW ACCOUNT'!B1763)</f>
        <v/>
      </c>
      <c r="C1762" t="str">
        <f>IF('NEW ACCOUNT'!A1763="","",'NEW ACCOUNT'!C1763)</f>
        <v/>
      </c>
      <c r="D1762" t="str">
        <f>IF('NEW ACCOUNT'!A1763="","",'NEW ACCOUNT'!D1763)</f>
        <v/>
      </c>
      <c r="E1762" t="str">
        <f>IF('NEW ACCOUNT'!A1763="","",'NEW ACCOUNT'!E1763)</f>
        <v/>
      </c>
      <c r="F1762" t="str">
        <f>IF('NEW ACCOUNT'!A1763="","",'NEW ACCOUNT'!F1763)</f>
        <v/>
      </c>
      <c r="G1762" t="str">
        <f>IF('NEW ACCOUNT'!A1763="","",'NEW ACCOUNT'!G1763)</f>
        <v/>
      </c>
      <c r="H1762" t="str">
        <f>IF('NEW ACCOUNT'!A1763="","",'NEW ACCOUNT'!H1763)</f>
        <v/>
      </c>
      <c r="I1762" t="str">
        <f>IF('NEW ACCOUNT'!A1763="","",'NEW ACCOUNT'!I1763)</f>
        <v/>
      </c>
      <c r="J1762" t="str">
        <f>IF('NEW ACCOUNT'!A1763="","",'NEW ACCOUNT'!J1763)</f>
        <v/>
      </c>
      <c r="K1762" t="str">
        <f>IFERROR(IF(A1762="","",SUMIF(DB_Savings!$A:$A,A1762,DB_Savings!$F:$F)),"")</f>
        <v/>
      </c>
      <c r="L1762" t="str">
        <f>IFERROR(IF(A1762="","",SUMIF(DB_Withdrawals!$A:$A,A1762,DB_Withdrawals!$G:$G)),"")</f>
        <v/>
      </c>
      <c r="M1762" t="str">
        <f>IFERROR(IF(A1762="","",IFERROR(VALUE(H1762),0)+IFERROR(SUMIF(DB_Savings!$A:$A,A1762,DB_Savings!$F:$F),0)-IFERROR(SUMIF(DB_Withdrawals!$A:$A,A1762,DB_Withdrawals!$G:$G),0)),"")</f>
        <v/>
      </c>
      <c r="N1762" t="str">
        <f>IFERROR(IF(A1762="","",MAX(0,M1762-System_Config!$B$9)),"")</f>
        <v/>
      </c>
    </row>
    <row r="1763" spans="1:14" ht="15" customHeight="1" x14ac:dyDescent="0.25">
      <c r="A1763" t="str">
        <f>'NEW ACCOUNT'!A1764</f>
        <v/>
      </c>
      <c r="B1763" t="str">
        <f>IF('NEW ACCOUNT'!A1764="","",'NEW ACCOUNT'!B1764)</f>
        <v/>
      </c>
      <c r="C1763" t="str">
        <f>IF('NEW ACCOUNT'!A1764="","",'NEW ACCOUNT'!C1764)</f>
        <v/>
      </c>
      <c r="D1763" t="str">
        <f>IF('NEW ACCOUNT'!A1764="","",'NEW ACCOUNT'!D1764)</f>
        <v/>
      </c>
      <c r="E1763" t="str">
        <f>IF('NEW ACCOUNT'!A1764="","",'NEW ACCOUNT'!E1764)</f>
        <v/>
      </c>
      <c r="F1763" t="str">
        <f>IF('NEW ACCOUNT'!A1764="","",'NEW ACCOUNT'!F1764)</f>
        <v/>
      </c>
      <c r="G1763" t="str">
        <f>IF('NEW ACCOUNT'!A1764="","",'NEW ACCOUNT'!G1764)</f>
        <v/>
      </c>
      <c r="H1763" t="str">
        <f>IF('NEW ACCOUNT'!A1764="","",'NEW ACCOUNT'!H1764)</f>
        <v/>
      </c>
      <c r="I1763" t="str">
        <f>IF('NEW ACCOUNT'!A1764="","",'NEW ACCOUNT'!I1764)</f>
        <v/>
      </c>
      <c r="J1763" t="str">
        <f>IF('NEW ACCOUNT'!A1764="","",'NEW ACCOUNT'!J1764)</f>
        <v/>
      </c>
      <c r="K1763" t="str">
        <f>IFERROR(IF(A1763="","",SUMIF(DB_Savings!$A:$A,A1763,DB_Savings!$F:$F)),"")</f>
        <v/>
      </c>
      <c r="L1763" t="str">
        <f>IFERROR(IF(A1763="","",SUMIF(DB_Withdrawals!$A:$A,A1763,DB_Withdrawals!$G:$G)),"")</f>
        <v/>
      </c>
      <c r="M1763" t="str">
        <f>IFERROR(IF(A1763="","",IFERROR(VALUE(H1763),0)+IFERROR(SUMIF(DB_Savings!$A:$A,A1763,DB_Savings!$F:$F),0)-IFERROR(SUMIF(DB_Withdrawals!$A:$A,A1763,DB_Withdrawals!$G:$G),0)),"")</f>
        <v/>
      </c>
      <c r="N1763" t="str">
        <f>IFERROR(IF(A1763="","",MAX(0,M1763-System_Config!$B$9)),"")</f>
        <v/>
      </c>
    </row>
    <row r="1764" spans="1:14" ht="15" customHeight="1" x14ac:dyDescent="0.25">
      <c r="A1764" t="str">
        <f>'NEW ACCOUNT'!A1765</f>
        <v/>
      </c>
      <c r="B1764" t="str">
        <f>IF('NEW ACCOUNT'!A1765="","",'NEW ACCOUNT'!B1765)</f>
        <v/>
      </c>
      <c r="C1764" t="str">
        <f>IF('NEW ACCOUNT'!A1765="","",'NEW ACCOUNT'!C1765)</f>
        <v/>
      </c>
      <c r="D1764" t="str">
        <f>IF('NEW ACCOUNT'!A1765="","",'NEW ACCOUNT'!D1765)</f>
        <v/>
      </c>
      <c r="E1764" t="str">
        <f>IF('NEW ACCOUNT'!A1765="","",'NEW ACCOUNT'!E1765)</f>
        <v/>
      </c>
      <c r="F1764" t="str">
        <f>IF('NEW ACCOUNT'!A1765="","",'NEW ACCOUNT'!F1765)</f>
        <v/>
      </c>
      <c r="G1764" t="str">
        <f>IF('NEW ACCOUNT'!A1765="","",'NEW ACCOUNT'!G1765)</f>
        <v/>
      </c>
      <c r="H1764" t="str">
        <f>IF('NEW ACCOUNT'!A1765="","",'NEW ACCOUNT'!H1765)</f>
        <v/>
      </c>
      <c r="I1764" t="str">
        <f>IF('NEW ACCOUNT'!A1765="","",'NEW ACCOUNT'!I1765)</f>
        <v/>
      </c>
      <c r="J1764" t="str">
        <f>IF('NEW ACCOUNT'!A1765="","",'NEW ACCOUNT'!J1765)</f>
        <v/>
      </c>
      <c r="K1764" t="str">
        <f>IFERROR(IF(A1764="","",SUMIF(DB_Savings!$A:$A,A1764,DB_Savings!$F:$F)),"")</f>
        <v/>
      </c>
      <c r="L1764" t="str">
        <f>IFERROR(IF(A1764="","",SUMIF(DB_Withdrawals!$A:$A,A1764,DB_Withdrawals!$G:$G)),"")</f>
        <v/>
      </c>
      <c r="M1764" t="str">
        <f>IFERROR(IF(A1764="","",IFERROR(VALUE(H1764),0)+IFERROR(SUMIF(DB_Savings!$A:$A,A1764,DB_Savings!$F:$F),0)-IFERROR(SUMIF(DB_Withdrawals!$A:$A,A1764,DB_Withdrawals!$G:$G),0)),"")</f>
        <v/>
      </c>
      <c r="N1764" t="str">
        <f>IFERROR(IF(A1764="","",MAX(0,M1764-System_Config!$B$9)),"")</f>
        <v/>
      </c>
    </row>
    <row r="1765" spans="1:14" ht="15" customHeight="1" x14ac:dyDescent="0.25">
      <c r="A1765" t="str">
        <f>'NEW ACCOUNT'!A1766</f>
        <v/>
      </c>
      <c r="B1765" t="str">
        <f>IF('NEW ACCOUNT'!A1766="","",'NEW ACCOUNT'!B1766)</f>
        <v/>
      </c>
      <c r="C1765" t="str">
        <f>IF('NEW ACCOUNT'!A1766="","",'NEW ACCOUNT'!C1766)</f>
        <v/>
      </c>
      <c r="D1765" t="str">
        <f>IF('NEW ACCOUNT'!A1766="","",'NEW ACCOUNT'!D1766)</f>
        <v/>
      </c>
      <c r="E1765" t="str">
        <f>IF('NEW ACCOUNT'!A1766="","",'NEW ACCOUNT'!E1766)</f>
        <v/>
      </c>
      <c r="F1765" t="str">
        <f>IF('NEW ACCOUNT'!A1766="","",'NEW ACCOUNT'!F1766)</f>
        <v/>
      </c>
      <c r="G1765" t="str">
        <f>IF('NEW ACCOUNT'!A1766="","",'NEW ACCOUNT'!G1766)</f>
        <v/>
      </c>
      <c r="H1765" t="str">
        <f>IF('NEW ACCOUNT'!A1766="","",'NEW ACCOUNT'!H1766)</f>
        <v/>
      </c>
      <c r="I1765" t="str">
        <f>IF('NEW ACCOUNT'!A1766="","",'NEW ACCOUNT'!I1766)</f>
        <v/>
      </c>
      <c r="J1765" t="str">
        <f>IF('NEW ACCOUNT'!A1766="","",'NEW ACCOUNT'!J1766)</f>
        <v/>
      </c>
      <c r="K1765" t="str">
        <f>IFERROR(IF(A1765="","",SUMIF(DB_Savings!$A:$A,A1765,DB_Savings!$F:$F)),"")</f>
        <v/>
      </c>
      <c r="L1765" t="str">
        <f>IFERROR(IF(A1765="","",SUMIF(DB_Withdrawals!$A:$A,A1765,DB_Withdrawals!$G:$G)),"")</f>
        <v/>
      </c>
      <c r="M1765" t="str">
        <f>IFERROR(IF(A1765="","",IFERROR(VALUE(H1765),0)+IFERROR(SUMIF(DB_Savings!$A:$A,A1765,DB_Savings!$F:$F),0)-IFERROR(SUMIF(DB_Withdrawals!$A:$A,A1765,DB_Withdrawals!$G:$G),0)),"")</f>
        <v/>
      </c>
      <c r="N1765" t="str">
        <f>IFERROR(IF(A1765="","",MAX(0,M1765-System_Config!$B$9)),"")</f>
        <v/>
      </c>
    </row>
    <row r="1766" spans="1:14" ht="15" customHeight="1" x14ac:dyDescent="0.25">
      <c r="A1766" t="str">
        <f>'NEW ACCOUNT'!A1767</f>
        <v/>
      </c>
      <c r="B1766" t="str">
        <f>IF('NEW ACCOUNT'!A1767="","",'NEW ACCOUNT'!B1767)</f>
        <v/>
      </c>
      <c r="C1766" t="str">
        <f>IF('NEW ACCOUNT'!A1767="","",'NEW ACCOUNT'!C1767)</f>
        <v/>
      </c>
      <c r="D1766" t="str">
        <f>IF('NEW ACCOUNT'!A1767="","",'NEW ACCOUNT'!D1767)</f>
        <v/>
      </c>
      <c r="E1766" t="str">
        <f>IF('NEW ACCOUNT'!A1767="","",'NEW ACCOUNT'!E1767)</f>
        <v/>
      </c>
      <c r="F1766" t="str">
        <f>IF('NEW ACCOUNT'!A1767="","",'NEW ACCOUNT'!F1767)</f>
        <v/>
      </c>
      <c r="G1766" t="str">
        <f>IF('NEW ACCOUNT'!A1767="","",'NEW ACCOUNT'!G1767)</f>
        <v/>
      </c>
      <c r="H1766" t="str">
        <f>IF('NEW ACCOUNT'!A1767="","",'NEW ACCOUNT'!H1767)</f>
        <v/>
      </c>
      <c r="I1766" t="str">
        <f>IF('NEW ACCOUNT'!A1767="","",'NEW ACCOUNT'!I1767)</f>
        <v/>
      </c>
      <c r="J1766" t="str">
        <f>IF('NEW ACCOUNT'!A1767="","",'NEW ACCOUNT'!J1767)</f>
        <v/>
      </c>
      <c r="K1766" t="str">
        <f>IFERROR(IF(A1766="","",SUMIF(DB_Savings!$A:$A,A1766,DB_Savings!$F:$F)),"")</f>
        <v/>
      </c>
      <c r="L1766" t="str">
        <f>IFERROR(IF(A1766="","",SUMIF(DB_Withdrawals!$A:$A,A1766,DB_Withdrawals!$G:$G)),"")</f>
        <v/>
      </c>
      <c r="M1766" t="str">
        <f>IFERROR(IF(A1766="","",IFERROR(VALUE(H1766),0)+IFERROR(SUMIF(DB_Savings!$A:$A,A1766,DB_Savings!$F:$F),0)-IFERROR(SUMIF(DB_Withdrawals!$A:$A,A1766,DB_Withdrawals!$G:$G),0)),"")</f>
        <v/>
      </c>
      <c r="N1766" t="str">
        <f>IFERROR(IF(A1766="","",MAX(0,M1766-System_Config!$B$9)),"")</f>
        <v/>
      </c>
    </row>
    <row r="1767" spans="1:14" ht="15" customHeight="1" x14ac:dyDescent="0.25">
      <c r="A1767" t="str">
        <f>'NEW ACCOUNT'!A1768</f>
        <v/>
      </c>
      <c r="B1767" t="str">
        <f>IF('NEW ACCOUNT'!A1768="","",'NEW ACCOUNT'!B1768)</f>
        <v/>
      </c>
      <c r="C1767" t="str">
        <f>IF('NEW ACCOUNT'!A1768="","",'NEW ACCOUNT'!C1768)</f>
        <v/>
      </c>
      <c r="D1767" t="str">
        <f>IF('NEW ACCOUNT'!A1768="","",'NEW ACCOUNT'!D1768)</f>
        <v/>
      </c>
      <c r="E1767" t="str">
        <f>IF('NEW ACCOUNT'!A1768="","",'NEW ACCOUNT'!E1768)</f>
        <v/>
      </c>
      <c r="F1767" t="str">
        <f>IF('NEW ACCOUNT'!A1768="","",'NEW ACCOUNT'!F1768)</f>
        <v/>
      </c>
      <c r="G1767" t="str">
        <f>IF('NEW ACCOUNT'!A1768="","",'NEW ACCOUNT'!G1768)</f>
        <v/>
      </c>
      <c r="H1767" t="str">
        <f>IF('NEW ACCOUNT'!A1768="","",'NEW ACCOUNT'!H1768)</f>
        <v/>
      </c>
      <c r="I1767" t="str">
        <f>IF('NEW ACCOUNT'!A1768="","",'NEW ACCOUNT'!I1768)</f>
        <v/>
      </c>
      <c r="J1767" t="str">
        <f>IF('NEW ACCOUNT'!A1768="","",'NEW ACCOUNT'!J1768)</f>
        <v/>
      </c>
      <c r="K1767" t="str">
        <f>IFERROR(IF(A1767="","",SUMIF(DB_Savings!$A:$A,A1767,DB_Savings!$F:$F)),"")</f>
        <v/>
      </c>
      <c r="L1767" t="str">
        <f>IFERROR(IF(A1767="","",SUMIF(DB_Withdrawals!$A:$A,A1767,DB_Withdrawals!$G:$G)),"")</f>
        <v/>
      </c>
      <c r="M1767" t="str">
        <f>IFERROR(IF(A1767="","",IFERROR(VALUE(H1767),0)+IFERROR(SUMIF(DB_Savings!$A:$A,A1767,DB_Savings!$F:$F),0)-IFERROR(SUMIF(DB_Withdrawals!$A:$A,A1767,DB_Withdrawals!$G:$G),0)),"")</f>
        <v/>
      </c>
      <c r="N1767" t="str">
        <f>IFERROR(IF(A1767="","",MAX(0,M1767-System_Config!$B$9)),"")</f>
        <v/>
      </c>
    </row>
    <row r="1768" spans="1:14" ht="15" customHeight="1" x14ac:dyDescent="0.25">
      <c r="A1768" t="str">
        <f>'NEW ACCOUNT'!A1769</f>
        <v/>
      </c>
      <c r="B1768" t="str">
        <f>IF('NEW ACCOUNT'!A1769="","",'NEW ACCOUNT'!B1769)</f>
        <v/>
      </c>
      <c r="C1768" t="str">
        <f>IF('NEW ACCOUNT'!A1769="","",'NEW ACCOUNT'!C1769)</f>
        <v/>
      </c>
      <c r="D1768" t="str">
        <f>IF('NEW ACCOUNT'!A1769="","",'NEW ACCOUNT'!D1769)</f>
        <v/>
      </c>
      <c r="E1768" t="str">
        <f>IF('NEW ACCOUNT'!A1769="","",'NEW ACCOUNT'!E1769)</f>
        <v/>
      </c>
      <c r="F1768" t="str">
        <f>IF('NEW ACCOUNT'!A1769="","",'NEW ACCOUNT'!F1769)</f>
        <v/>
      </c>
      <c r="G1768" t="str">
        <f>IF('NEW ACCOUNT'!A1769="","",'NEW ACCOUNT'!G1769)</f>
        <v/>
      </c>
      <c r="H1768" t="str">
        <f>IF('NEW ACCOUNT'!A1769="","",'NEW ACCOUNT'!H1769)</f>
        <v/>
      </c>
      <c r="I1768" t="str">
        <f>IF('NEW ACCOUNT'!A1769="","",'NEW ACCOUNT'!I1769)</f>
        <v/>
      </c>
      <c r="J1768" t="str">
        <f>IF('NEW ACCOUNT'!A1769="","",'NEW ACCOUNT'!J1769)</f>
        <v/>
      </c>
      <c r="K1768" t="str">
        <f>IFERROR(IF(A1768="","",SUMIF(DB_Savings!$A:$A,A1768,DB_Savings!$F:$F)),"")</f>
        <v/>
      </c>
      <c r="L1768" t="str">
        <f>IFERROR(IF(A1768="","",SUMIF(DB_Withdrawals!$A:$A,A1768,DB_Withdrawals!$G:$G)),"")</f>
        <v/>
      </c>
      <c r="M1768" t="str">
        <f>IFERROR(IF(A1768="","",IFERROR(VALUE(H1768),0)+IFERROR(SUMIF(DB_Savings!$A:$A,A1768,DB_Savings!$F:$F),0)-IFERROR(SUMIF(DB_Withdrawals!$A:$A,A1768,DB_Withdrawals!$G:$G),0)),"")</f>
        <v/>
      </c>
      <c r="N1768" t="str">
        <f>IFERROR(IF(A1768="","",MAX(0,M1768-System_Config!$B$9)),"")</f>
        <v/>
      </c>
    </row>
    <row r="1769" spans="1:14" ht="15" customHeight="1" x14ac:dyDescent="0.25">
      <c r="A1769" t="str">
        <f>'NEW ACCOUNT'!A1770</f>
        <v/>
      </c>
      <c r="B1769" t="str">
        <f>IF('NEW ACCOUNT'!A1770="","",'NEW ACCOUNT'!B1770)</f>
        <v/>
      </c>
      <c r="C1769" t="str">
        <f>IF('NEW ACCOUNT'!A1770="","",'NEW ACCOUNT'!C1770)</f>
        <v/>
      </c>
      <c r="D1769" t="str">
        <f>IF('NEW ACCOUNT'!A1770="","",'NEW ACCOUNT'!D1770)</f>
        <v/>
      </c>
      <c r="E1769" t="str">
        <f>IF('NEW ACCOUNT'!A1770="","",'NEW ACCOUNT'!E1770)</f>
        <v/>
      </c>
      <c r="F1769" t="str">
        <f>IF('NEW ACCOUNT'!A1770="","",'NEW ACCOUNT'!F1770)</f>
        <v/>
      </c>
      <c r="G1769" t="str">
        <f>IF('NEW ACCOUNT'!A1770="","",'NEW ACCOUNT'!G1770)</f>
        <v/>
      </c>
      <c r="H1769" t="str">
        <f>IF('NEW ACCOUNT'!A1770="","",'NEW ACCOUNT'!H1770)</f>
        <v/>
      </c>
      <c r="I1769" t="str">
        <f>IF('NEW ACCOUNT'!A1770="","",'NEW ACCOUNT'!I1770)</f>
        <v/>
      </c>
      <c r="J1769" t="str">
        <f>IF('NEW ACCOUNT'!A1770="","",'NEW ACCOUNT'!J1770)</f>
        <v/>
      </c>
      <c r="K1769" t="str">
        <f>IFERROR(IF(A1769="","",SUMIF(DB_Savings!$A:$A,A1769,DB_Savings!$F:$F)),"")</f>
        <v/>
      </c>
      <c r="L1769" t="str">
        <f>IFERROR(IF(A1769="","",SUMIF(DB_Withdrawals!$A:$A,A1769,DB_Withdrawals!$G:$G)),"")</f>
        <v/>
      </c>
      <c r="M1769" t="str">
        <f>IFERROR(IF(A1769="","",IFERROR(VALUE(H1769),0)+IFERROR(SUMIF(DB_Savings!$A:$A,A1769,DB_Savings!$F:$F),0)-IFERROR(SUMIF(DB_Withdrawals!$A:$A,A1769,DB_Withdrawals!$G:$G),0)),"")</f>
        <v/>
      </c>
      <c r="N1769" t="str">
        <f>IFERROR(IF(A1769="","",MAX(0,M1769-System_Config!$B$9)),"")</f>
        <v/>
      </c>
    </row>
    <row r="1770" spans="1:14" ht="15" customHeight="1" x14ac:dyDescent="0.25">
      <c r="A1770" t="str">
        <f>'NEW ACCOUNT'!A1771</f>
        <v/>
      </c>
      <c r="B1770" t="str">
        <f>IF('NEW ACCOUNT'!A1771="","",'NEW ACCOUNT'!B1771)</f>
        <v/>
      </c>
      <c r="C1770" t="str">
        <f>IF('NEW ACCOUNT'!A1771="","",'NEW ACCOUNT'!C1771)</f>
        <v/>
      </c>
      <c r="D1770" t="str">
        <f>IF('NEW ACCOUNT'!A1771="","",'NEW ACCOUNT'!D1771)</f>
        <v/>
      </c>
      <c r="E1770" t="str">
        <f>IF('NEW ACCOUNT'!A1771="","",'NEW ACCOUNT'!E1771)</f>
        <v/>
      </c>
      <c r="F1770" t="str">
        <f>IF('NEW ACCOUNT'!A1771="","",'NEW ACCOUNT'!F1771)</f>
        <v/>
      </c>
      <c r="G1770" t="str">
        <f>IF('NEW ACCOUNT'!A1771="","",'NEW ACCOUNT'!G1771)</f>
        <v/>
      </c>
      <c r="H1770" t="str">
        <f>IF('NEW ACCOUNT'!A1771="","",'NEW ACCOUNT'!H1771)</f>
        <v/>
      </c>
      <c r="I1770" t="str">
        <f>IF('NEW ACCOUNT'!A1771="","",'NEW ACCOUNT'!I1771)</f>
        <v/>
      </c>
      <c r="J1770" t="str">
        <f>IF('NEW ACCOUNT'!A1771="","",'NEW ACCOUNT'!J1771)</f>
        <v/>
      </c>
      <c r="K1770" t="str">
        <f>IFERROR(IF(A1770="","",SUMIF(DB_Savings!$A:$A,A1770,DB_Savings!$F:$F)),"")</f>
        <v/>
      </c>
      <c r="L1770" t="str">
        <f>IFERROR(IF(A1770="","",SUMIF(DB_Withdrawals!$A:$A,A1770,DB_Withdrawals!$G:$G)),"")</f>
        <v/>
      </c>
      <c r="M1770" t="str">
        <f>IFERROR(IF(A1770="","",IFERROR(VALUE(H1770),0)+IFERROR(SUMIF(DB_Savings!$A:$A,A1770,DB_Savings!$F:$F),0)-IFERROR(SUMIF(DB_Withdrawals!$A:$A,A1770,DB_Withdrawals!$G:$G),0)),"")</f>
        <v/>
      </c>
      <c r="N1770" t="str">
        <f>IFERROR(IF(A1770="","",MAX(0,M1770-System_Config!$B$9)),"")</f>
        <v/>
      </c>
    </row>
    <row r="1771" spans="1:14" ht="15" customHeight="1" x14ac:dyDescent="0.25">
      <c r="A1771" t="str">
        <f>'NEW ACCOUNT'!A1772</f>
        <v/>
      </c>
      <c r="B1771" t="str">
        <f>IF('NEW ACCOUNT'!A1772="","",'NEW ACCOUNT'!B1772)</f>
        <v/>
      </c>
      <c r="C1771" t="str">
        <f>IF('NEW ACCOUNT'!A1772="","",'NEW ACCOUNT'!C1772)</f>
        <v/>
      </c>
      <c r="D1771" t="str">
        <f>IF('NEW ACCOUNT'!A1772="","",'NEW ACCOUNT'!D1772)</f>
        <v/>
      </c>
      <c r="E1771" t="str">
        <f>IF('NEW ACCOUNT'!A1772="","",'NEW ACCOUNT'!E1772)</f>
        <v/>
      </c>
      <c r="F1771" t="str">
        <f>IF('NEW ACCOUNT'!A1772="","",'NEW ACCOUNT'!F1772)</f>
        <v/>
      </c>
      <c r="G1771" t="str">
        <f>IF('NEW ACCOUNT'!A1772="","",'NEW ACCOUNT'!G1772)</f>
        <v/>
      </c>
      <c r="H1771" t="str">
        <f>IF('NEW ACCOUNT'!A1772="","",'NEW ACCOUNT'!H1772)</f>
        <v/>
      </c>
      <c r="I1771" t="str">
        <f>IF('NEW ACCOUNT'!A1772="","",'NEW ACCOUNT'!I1772)</f>
        <v/>
      </c>
      <c r="J1771" t="str">
        <f>IF('NEW ACCOUNT'!A1772="","",'NEW ACCOUNT'!J1772)</f>
        <v/>
      </c>
      <c r="K1771" t="str">
        <f>IFERROR(IF(A1771="","",SUMIF(DB_Savings!$A:$A,A1771,DB_Savings!$F:$F)),"")</f>
        <v/>
      </c>
      <c r="L1771" t="str">
        <f>IFERROR(IF(A1771="","",SUMIF(DB_Withdrawals!$A:$A,A1771,DB_Withdrawals!$G:$G)),"")</f>
        <v/>
      </c>
      <c r="M1771" t="str">
        <f>IFERROR(IF(A1771="","",IFERROR(VALUE(H1771),0)+IFERROR(SUMIF(DB_Savings!$A:$A,A1771,DB_Savings!$F:$F),0)-IFERROR(SUMIF(DB_Withdrawals!$A:$A,A1771,DB_Withdrawals!$G:$G),0)),"")</f>
        <v/>
      </c>
      <c r="N1771" t="str">
        <f>IFERROR(IF(A1771="","",MAX(0,M1771-System_Config!$B$9)),"")</f>
        <v/>
      </c>
    </row>
    <row r="1772" spans="1:14" ht="15" customHeight="1" x14ac:dyDescent="0.25">
      <c r="A1772" t="str">
        <f>'NEW ACCOUNT'!A1773</f>
        <v/>
      </c>
      <c r="B1772" t="str">
        <f>IF('NEW ACCOUNT'!A1773="","",'NEW ACCOUNT'!B1773)</f>
        <v/>
      </c>
      <c r="C1772" t="str">
        <f>IF('NEW ACCOUNT'!A1773="","",'NEW ACCOUNT'!C1773)</f>
        <v/>
      </c>
      <c r="D1772" t="str">
        <f>IF('NEW ACCOUNT'!A1773="","",'NEW ACCOUNT'!D1773)</f>
        <v/>
      </c>
      <c r="E1772" t="str">
        <f>IF('NEW ACCOUNT'!A1773="","",'NEW ACCOUNT'!E1773)</f>
        <v/>
      </c>
      <c r="F1772" t="str">
        <f>IF('NEW ACCOUNT'!A1773="","",'NEW ACCOUNT'!F1773)</f>
        <v/>
      </c>
      <c r="G1772" t="str">
        <f>IF('NEW ACCOUNT'!A1773="","",'NEW ACCOUNT'!G1773)</f>
        <v/>
      </c>
      <c r="H1772" t="str">
        <f>IF('NEW ACCOUNT'!A1773="","",'NEW ACCOUNT'!H1773)</f>
        <v/>
      </c>
      <c r="I1772" t="str">
        <f>IF('NEW ACCOUNT'!A1773="","",'NEW ACCOUNT'!I1773)</f>
        <v/>
      </c>
      <c r="J1772" t="str">
        <f>IF('NEW ACCOUNT'!A1773="","",'NEW ACCOUNT'!J1773)</f>
        <v/>
      </c>
      <c r="K1772" t="str">
        <f>IFERROR(IF(A1772="","",SUMIF(DB_Savings!$A:$A,A1772,DB_Savings!$F:$F)),"")</f>
        <v/>
      </c>
      <c r="L1772" t="str">
        <f>IFERROR(IF(A1772="","",SUMIF(DB_Withdrawals!$A:$A,A1772,DB_Withdrawals!$G:$G)),"")</f>
        <v/>
      </c>
      <c r="M1772" t="str">
        <f>IFERROR(IF(A1772="","",IFERROR(VALUE(H1772),0)+IFERROR(SUMIF(DB_Savings!$A:$A,A1772,DB_Savings!$F:$F),0)-IFERROR(SUMIF(DB_Withdrawals!$A:$A,A1772,DB_Withdrawals!$G:$G),0)),"")</f>
        <v/>
      </c>
      <c r="N1772" t="str">
        <f>IFERROR(IF(A1772="","",MAX(0,M1772-System_Config!$B$9)),"")</f>
        <v/>
      </c>
    </row>
    <row r="1773" spans="1:14" ht="15" customHeight="1" x14ac:dyDescent="0.25">
      <c r="A1773" t="str">
        <f>'NEW ACCOUNT'!A1774</f>
        <v/>
      </c>
      <c r="B1773" t="str">
        <f>IF('NEW ACCOUNT'!A1774="","",'NEW ACCOUNT'!B1774)</f>
        <v/>
      </c>
      <c r="C1773" t="str">
        <f>IF('NEW ACCOUNT'!A1774="","",'NEW ACCOUNT'!C1774)</f>
        <v/>
      </c>
      <c r="D1773" t="str">
        <f>IF('NEW ACCOUNT'!A1774="","",'NEW ACCOUNT'!D1774)</f>
        <v/>
      </c>
      <c r="E1773" t="str">
        <f>IF('NEW ACCOUNT'!A1774="","",'NEW ACCOUNT'!E1774)</f>
        <v/>
      </c>
      <c r="F1773" t="str">
        <f>IF('NEW ACCOUNT'!A1774="","",'NEW ACCOUNT'!F1774)</f>
        <v/>
      </c>
      <c r="G1773" t="str">
        <f>IF('NEW ACCOUNT'!A1774="","",'NEW ACCOUNT'!G1774)</f>
        <v/>
      </c>
      <c r="H1773" t="str">
        <f>IF('NEW ACCOUNT'!A1774="","",'NEW ACCOUNT'!H1774)</f>
        <v/>
      </c>
      <c r="I1773" t="str">
        <f>IF('NEW ACCOUNT'!A1774="","",'NEW ACCOUNT'!I1774)</f>
        <v/>
      </c>
      <c r="J1773" t="str">
        <f>IF('NEW ACCOUNT'!A1774="","",'NEW ACCOUNT'!J1774)</f>
        <v/>
      </c>
      <c r="K1773" t="str">
        <f>IFERROR(IF(A1773="","",SUMIF(DB_Savings!$A:$A,A1773,DB_Savings!$F:$F)),"")</f>
        <v/>
      </c>
      <c r="L1773" t="str">
        <f>IFERROR(IF(A1773="","",SUMIF(DB_Withdrawals!$A:$A,A1773,DB_Withdrawals!$G:$G)),"")</f>
        <v/>
      </c>
      <c r="M1773" t="str">
        <f>IFERROR(IF(A1773="","",IFERROR(VALUE(H1773),0)+IFERROR(SUMIF(DB_Savings!$A:$A,A1773,DB_Savings!$F:$F),0)-IFERROR(SUMIF(DB_Withdrawals!$A:$A,A1773,DB_Withdrawals!$G:$G),0)),"")</f>
        <v/>
      </c>
      <c r="N1773" t="str">
        <f>IFERROR(IF(A1773="","",MAX(0,M1773-System_Config!$B$9)),"")</f>
        <v/>
      </c>
    </row>
    <row r="1774" spans="1:14" ht="15" customHeight="1" x14ac:dyDescent="0.25">
      <c r="A1774" t="str">
        <f>'NEW ACCOUNT'!A1775</f>
        <v/>
      </c>
      <c r="B1774" t="str">
        <f>IF('NEW ACCOUNT'!A1775="","",'NEW ACCOUNT'!B1775)</f>
        <v/>
      </c>
      <c r="C1774" t="str">
        <f>IF('NEW ACCOUNT'!A1775="","",'NEW ACCOUNT'!C1775)</f>
        <v/>
      </c>
      <c r="D1774" t="str">
        <f>IF('NEW ACCOUNT'!A1775="","",'NEW ACCOUNT'!D1775)</f>
        <v/>
      </c>
      <c r="E1774" t="str">
        <f>IF('NEW ACCOUNT'!A1775="","",'NEW ACCOUNT'!E1775)</f>
        <v/>
      </c>
      <c r="F1774" t="str">
        <f>IF('NEW ACCOUNT'!A1775="","",'NEW ACCOUNT'!F1775)</f>
        <v/>
      </c>
      <c r="G1774" t="str">
        <f>IF('NEW ACCOUNT'!A1775="","",'NEW ACCOUNT'!G1775)</f>
        <v/>
      </c>
      <c r="H1774" t="str">
        <f>IF('NEW ACCOUNT'!A1775="","",'NEW ACCOUNT'!H1775)</f>
        <v/>
      </c>
      <c r="I1774" t="str">
        <f>IF('NEW ACCOUNT'!A1775="","",'NEW ACCOUNT'!I1775)</f>
        <v/>
      </c>
      <c r="J1774" t="str">
        <f>IF('NEW ACCOUNT'!A1775="","",'NEW ACCOUNT'!J1775)</f>
        <v/>
      </c>
      <c r="K1774" t="str">
        <f>IFERROR(IF(A1774="","",SUMIF(DB_Savings!$A:$A,A1774,DB_Savings!$F:$F)),"")</f>
        <v/>
      </c>
      <c r="L1774" t="str">
        <f>IFERROR(IF(A1774="","",SUMIF(DB_Withdrawals!$A:$A,A1774,DB_Withdrawals!$G:$G)),"")</f>
        <v/>
      </c>
      <c r="M1774" t="str">
        <f>IFERROR(IF(A1774="","",IFERROR(VALUE(H1774),0)+IFERROR(SUMIF(DB_Savings!$A:$A,A1774,DB_Savings!$F:$F),0)-IFERROR(SUMIF(DB_Withdrawals!$A:$A,A1774,DB_Withdrawals!$G:$G),0)),"")</f>
        <v/>
      </c>
      <c r="N1774" t="str">
        <f>IFERROR(IF(A1774="","",MAX(0,M1774-System_Config!$B$9)),"")</f>
        <v/>
      </c>
    </row>
    <row r="1775" spans="1:14" ht="15" customHeight="1" x14ac:dyDescent="0.25">
      <c r="A1775" t="str">
        <f>'NEW ACCOUNT'!A1776</f>
        <v/>
      </c>
      <c r="B1775" t="str">
        <f>IF('NEW ACCOUNT'!A1776="","",'NEW ACCOUNT'!B1776)</f>
        <v/>
      </c>
      <c r="C1775" t="str">
        <f>IF('NEW ACCOUNT'!A1776="","",'NEW ACCOUNT'!C1776)</f>
        <v/>
      </c>
      <c r="D1775" t="str">
        <f>IF('NEW ACCOUNT'!A1776="","",'NEW ACCOUNT'!D1776)</f>
        <v/>
      </c>
      <c r="E1775" t="str">
        <f>IF('NEW ACCOUNT'!A1776="","",'NEW ACCOUNT'!E1776)</f>
        <v/>
      </c>
      <c r="F1775" t="str">
        <f>IF('NEW ACCOUNT'!A1776="","",'NEW ACCOUNT'!F1776)</f>
        <v/>
      </c>
      <c r="G1775" t="str">
        <f>IF('NEW ACCOUNT'!A1776="","",'NEW ACCOUNT'!G1776)</f>
        <v/>
      </c>
      <c r="H1775" t="str">
        <f>IF('NEW ACCOUNT'!A1776="","",'NEW ACCOUNT'!H1776)</f>
        <v/>
      </c>
      <c r="I1775" t="str">
        <f>IF('NEW ACCOUNT'!A1776="","",'NEW ACCOUNT'!I1776)</f>
        <v/>
      </c>
      <c r="J1775" t="str">
        <f>IF('NEW ACCOUNT'!A1776="","",'NEW ACCOUNT'!J1776)</f>
        <v/>
      </c>
      <c r="K1775" t="str">
        <f>IFERROR(IF(A1775="","",SUMIF(DB_Savings!$A:$A,A1775,DB_Savings!$F:$F)),"")</f>
        <v/>
      </c>
      <c r="L1775" t="str">
        <f>IFERROR(IF(A1775="","",SUMIF(DB_Withdrawals!$A:$A,A1775,DB_Withdrawals!$G:$G)),"")</f>
        <v/>
      </c>
      <c r="M1775" t="str">
        <f>IFERROR(IF(A1775="","",IFERROR(VALUE(H1775),0)+IFERROR(SUMIF(DB_Savings!$A:$A,A1775,DB_Savings!$F:$F),0)-IFERROR(SUMIF(DB_Withdrawals!$A:$A,A1775,DB_Withdrawals!$G:$G),0)),"")</f>
        <v/>
      </c>
      <c r="N1775" t="str">
        <f>IFERROR(IF(A1775="","",MAX(0,M1775-System_Config!$B$9)),"")</f>
        <v/>
      </c>
    </row>
    <row r="1776" spans="1:14" ht="15" customHeight="1" x14ac:dyDescent="0.25">
      <c r="A1776" t="str">
        <f>'NEW ACCOUNT'!A1777</f>
        <v/>
      </c>
      <c r="B1776" t="str">
        <f>IF('NEW ACCOUNT'!A1777="","",'NEW ACCOUNT'!B1777)</f>
        <v/>
      </c>
      <c r="C1776" t="str">
        <f>IF('NEW ACCOUNT'!A1777="","",'NEW ACCOUNT'!C1777)</f>
        <v/>
      </c>
      <c r="D1776" t="str">
        <f>IF('NEW ACCOUNT'!A1777="","",'NEW ACCOUNT'!D1777)</f>
        <v/>
      </c>
      <c r="E1776" t="str">
        <f>IF('NEW ACCOUNT'!A1777="","",'NEW ACCOUNT'!E1777)</f>
        <v/>
      </c>
      <c r="F1776" t="str">
        <f>IF('NEW ACCOUNT'!A1777="","",'NEW ACCOUNT'!F1777)</f>
        <v/>
      </c>
      <c r="G1776" t="str">
        <f>IF('NEW ACCOUNT'!A1777="","",'NEW ACCOUNT'!G1777)</f>
        <v/>
      </c>
      <c r="H1776" t="str">
        <f>IF('NEW ACCOUNT'!A1777="","",'NEW ACCOUNT'!H1777)</f>
        <v/>
      </c>
      <c r="I1776" t="str">
        <f>IF('NEW ACCOUNT'!A1777="","",'NEW ACCOUNT'!I1777)</f>
        <v/>
      </c>
      <c r="J1776" t="str">
        <f>IF('NEW ACCOUNT'!A1777="","",'NEW ACCOUNT'!J1777)</f>
        <v/>
      </c>
      <c r="K1776" t="str">
        <f>IFERROR(IF(A1776="","",SUMIF(DB_Savings!$A:$A,A1776,DB_Savings!$F:$F)),"")</f>
        <v/>
      </c>
      <c r="L1776" t="str">
        <f>IFERROR(IF(A1776="","",SUMIF(DB_Withdrawals!$A:$A,A1776,DB_Withdrawals!$G:$G)),"")</f>
        <v/>
      </c>
      <c r="M1776" t="str">
        <f>IFERROR(IF(A1776="","",IFERROR(VALUE(H1776),0)+IFERROR(SUMIF(DB_Savings!$A:$A,A1776,DB_Savings!$F:$F),0)-IFERROR(SUMIF(DB_Withdrawals!$A:$A,A1776,DB_Withdrawals!$G:$G),0)),"")</f>
        <v/>
      </c>
      <c r="N1776" t="str">
        <f>IFERROR(IF(A1776="","",MAX(0,M1776-System_Config!$B$9)),"")</f>
        <v/>
      </c>
    </row>
    <row r="1777" spans="1:14" ht="15" customHeight="1" x14ac:dyDescent="0.25">
      <c r="A1777" t="str">
        <f>'NEW ACCOUNT'!A1778</f>
        <v/>
      </c>
      <c r="B1777" t="str">
        <f>IF('NEW ACCOUNT'!A1778="","",'NEW ACCOUNT'!B1778)</f>
        <v/>
      </c>
      <c r="C1777" t="str">
        <f>IF('NEW ACCOUNT'!A1778="","",'NEW ACCOUNT'!C1778)</f>
        <v/>
      </c>
      <c r="D1777" t="str">
        <f>IF('NEW ACCOUNT'!A1778="","",'NEW ACCOUNT'!D1778)</f>
        <v/>
      </c>
      <c r="E1777" t="str">
        <f>IF('NEW ACCOUNT'!A1778="","",'NEW ACCOUNT'!E1778)</f>
        <v/>
      </c>
      <c r="F1777" t="str">
        <f>IF('NEW ACCOUNT'!A1778="","",'NEW ACCOUNT'!F1778)</f>
        <v/>
      </c>
      <c r="G1777" t="str">
        <f>IF('NEW ACCOUNT'!A1778="","",'NEW ACCOUNT'!G1778)</f>
        <v/>
      </c>
      <c r="H1777" t="str">
        <f>IF('NEW ACCOUNT'!A1778="","",'NEW ACCOUNT'!H1778)</f>
        <v/>
      </c>
      <c r="I1777" t="str">
        <f>IF('NEW ACCOUNT'!A1778="","",'NEW ACCOUNT'!I1778)</f>
        <v/>
      </c>
      <c r="J1777" t="str">
        <f>IF('NEW ACCOUNT'!A1778="","",'NEW ACCOUNT'!J1778)</f>
        <v/>
      </c>
      <c r="K1777" t="str">
        <f>IFERROR(IF(A1777="","",SUMIF(DB_Savings!$A:$A,A1777,DB_Savings!$F:$F)),"")</f>
        <v/>
      </c>
      <c r="L1777" t="str">
        <f>IFERROR(IF(A1777="","",SUMIF(DB_Withdrawals!$A:$A,A1777,DB_Withdrawals!$G:$G)),"")</f>
        <v/>
      </c>
      <c r="M1777" t="str">
        <f>IFERROR(IF(A1777="","",IFERROR(VALUE(H1777),0)+IFERROR(SUMIF(DB_Savings!$A:$A,A1777,DB_Savings!$F:$F),0)-IFERROR(SUMIF(DB_Withdrawals!$A:$A,A1777,DB_Withdrawals!$G:$G),0)),"")</f>
        <v/>
      </c>
      <c r="N1777" t="str">
        <f>IFERROR(IF(A1777="","",MAX(0,M1777-System_Config!$B$9)),"")</f>
        <v/>
      </c>
    </row>
    <row r="1778" spans="1:14" ht="15" customHeight="1" x14ac:dyDescent="0.25">
      <c r="A1778" t="str">
        <f>'NEW ACCOUNT'!A1779</f>
        <v/>
      </c>
      <c r="B1778" t="str">
        <f>IF('NEW ACCOUNT'!A1779="","",'NEW ACCOUNT'!B1779)</f>
        <v/>
      </c>
      <c r="C1778" t="str">
        <f>IF('NEW ACCOUNT'!A1779="","",'NEW ACCOUNT'!C1779)</f>
        <v/>
      </c>
      <c r="D1778" t="str">
        <f>IF('NEW ACCOUNT'!A1779="","",'NEW ACCOUNT'!D1779)</f>
        <v/>
      </c>
      <c r="E1778" t="str">
        <f>IF('NEW ACCOUNT'!A1779="","",'NEW ACCOUNT'!E1779)</f>
        <v/>
      </c>
      <c r="F1778" t="str">
        <f>IF('NEW ACCOUNT'!A1779="","",'NEW ACCOUNT'!F1779)</f>
        <v/>
      </c>
      <c r="G1778" t="str">
        <f>IF('NEW ACCOUNT'!A1779="","",'NEW ACCOUNT'!G1779)</f>
        <v/>
      </c>
      <c r="H1778" t="str">
        <f>IF('NEW ACCOUNT'!A1779="","",'NEW ACCOUNT'!H1779)</f>
        <v/>
      </c>
      <c r="I1778" t="str">
        <f>IF('NEW ACCOUNT'!A1779="","",'NEW ACCOUNT'!I1779)</f>
        <v/>
      </c>
      <c r="J1778" t="str">
        <f>IF('NEW ACCOUNT'!A1779="","",'NEW ACCOUNT'!J1779)</f>
        <v/>
      </c>
      <c r="K1778" t="str">
        <f>IFERROR(IF(A1778="","",SUMIF(DB_Savings!$A:$A,A1778,DB_Savings!$F:$F)),"")</f>
        <v/>
      </c>
      <c r="L1778" t="str">
        <f>IFERROR(IF(A1778="","",SUMIF(DB_Withdrawals!$A:$A,A1778,DB_Withdrawals!$G:$G)),"")</f>
        <v/>
      </c>
      <c r="M1778" t="str">
        <f>IFERROR(IF(A1778="","",IFERROR(VALUE(H1778),0)+IFERROR(SUMIF(DB_Savings!$A:$A,A1778,DB_Savings!$F:$F),0)-IFERROR(SUMIF(DB_Withdrawals!$A:$A,A1778,DB_Withdrawals!$G:$G),0)),"")</f>
        <v/>
      </c>
      <c r="N1778" t="str">
        <f>IFERROR(IF(A1778="","",MAX(0,M1778-System_Config!$B$9)),"")</f>
        <v/>
      </c>
    </row>
    <row r="1779" spans="1:14" ht="15" customHeight="1" x14ac:dyDescent="0.25">
      <c r="A1779" t="str">
        <f>'NEW ACCOUNT'!A1780</f>
        <v/>
      </c>
      <c r="B1779" t="str">
        <f>IF('NEW ACCOUNT'!A1780="","",'NEW ACCOUNT'!B1780)</f>
        <v/>
      </c>
      <c r="C1779" t="str">
        <f>IF('NEW ACCOUNT'!A1780="","",'NEW ACCOUNT'!C1780)</f>
        <v/>
      </c>
      <c r="D1779" t="str">
        <f>IF('NEW ACCOUNT'!A1780="","",'NEW ACCOUNT'!D1780)</f>
        <v/>
      </c>
      <c r="E1779" t="str">
        <f>IF('NEW ACCOUNT'!A1780="","",'NEW ACCOUNT'!E1780)</f>
        <v/>
      </c>
      <c r="F1779" t="str">
        <f>IF('NEW ACCOUNT'!A1780="","",'NEW ACCOUNT'!F1780)</f>
        <v/>
      </c>
      <c r="G1779" t="str">
        <f>IF('NEW ACCOUNT'!A1780="","",'NEW ACCOUNT'!G1780)</f>
        <v/>
      </c>
      <c r="H1779" t="str">
        <f>IF('NEW ACCOUNT'!A1780="","",'NEW ACCOUNT'!H1780)</f>
        <v/>
      </c>
      <c r="I1779" t="str">
        <f>IF('NEW ACCOUNT'!A1780="","",'NEW ACCOUNT'!I1780)</f>
        <v/>
      </c>
      <c r="J1779" t="str">
        <f>IF('NEW ACCOUNT'!A1780="","",'NEW ACCOUNT'!J1780)</f>
        <v/>
      </c>
      <c r="K1779" t="str">
        <f>IFERROR(IF(A1779="","",SUMIF(DB_Savings!$A:$A,A1779,DB_Savings!$F:$F)),"")</f>
        <v/>
      </c>
      <c r="L1779" t="str">
        <f>IFERROR(IF(A1779="","",SUMIF(DB_Withdrawals!$A:$A,A1779,DB_Withdrawals!$G:$G)),"")</f>
        <v/>
      </c>
      <c r="M1779" t="str">
        <f>IFERROR(IF(A1779="","",IFERROR(VALUE(H1779),0)+IFERROR(SUMIF(DB_Savings!$A:$A,A1779,DB_Savings!$F:$F),0)-IFERROR(SUMIF(DB_Withdrawals!$A:$A,A1779,DB_Withdrawals!$G:$G),0)),"")</f>
        <v/>
      </c>
      <c r="N1779" t="str">
        <f>IFERROR(IF(A1779="","",MAX(0,M1779-System_Config!$B$9)),"")</f>
        <v/>
      </c>
    </row>
    <row r="1780" spans="1:14" ht="15" customHeight="1" x14ac:dyDescent="0.25">
      <c r="A1780" t="str">
        <f>'NEW ACCOUNT'!A1781</f>
        <v/>
      </c>
      <c r="B1780" t="str">
        <f>IF('NEW ACCOUNT'!A1781="","",'NEW ACCOUNT'!B1781)</f>
        <v/>
      </c>
      <c r="C1780" t="str">
        <f>IF('NEW ACCOUNT'!A1781="","",'NEW ACCOUNT'!C1781)</f>
        <v/>
      </c>
      <c r="D1780" t="str">
        <f>IF('NEW ACCOUNT'!A1781="","",'NEW ACCOUNT'!D1781)</f>
        <v/>
      </c>
      <c r="E1780" t="str">
        <f>IF('NEW ACCOUNT'!A1781="","",'NEW ACCOUNT'!E1781)</f>
        <v/>
      </c>
      <c r="F1780" t="str">
        <f>IF('NEW ACCOUNT'!A1781="","",'NEW ACCOUNT'!F1781)</f>
        <v/>
      </c>
      <c r="G1780" t="str">
        <f>IF('NEW ACCOUNT'!A1781="","",'NEW ACCOUNT'!G1781)</f>
        <v/>
      </c>
      <c r="H1780" t="str">
        <f>IF('NEW ACCOUNT'!A1781="","",'NEW ACCOUNT'!H1781)</f>
        <v/>
      </c>
      <c r="I1780" t="str">
        <f>IF('NEW ACCOUNT'!A1781="","",'NEW ACCOUNT'!I1781)</f>
        <v/>
      </c>
      <c r="J1780" t="str">
        <f>IF('NEW ACCOUNT'!A1781="","",'NEW ACCOUNT'!J1781)</f>
        <v/>
      </c>
      <c r="K1780" t="str">
        <f>IFERROR(IF(A1780="","",SUMIF(DB_Savings!$A:$A,A1780,DB_Savings!$F:$F)),"")</f>
        <v/>
      </c>
      <c r="L1780" t="str">
        <f>IFERROR(IF(A1780="","",SUMIF(DB_Withdrawals!$A:$A,A1780,DB_Withdrawals!$G:$G)),"")</f>
        <v/>
      </c>
      <c r="M1780" t="str">
        <f>IFERROR(IF(A1780="","",IFERROR(VALUE(H1780),0)+IFERROR(SUMIF(DB_Savings!$A:$A,A1780,DB_Savings!$F:$F),0)-IFERROR(SUMIF(DB_Withdrawals!$A:$A,A1780,DB_Withdrawals!$G:$G),0)),"")</f>
        <v/>
      </c>
      <c r="N1780" t="str">
        <f>IFERROR(IF(A1780="","",MAX(0,M1780-System_Config!$B$9)),"")</f>
        <v/>
      </c>
    </row>
    <row r="1781" spans="1:14" ht="15" customHeight="1" x14ac:dyDescent="0.25">
      <c r="A1781" t="str">
        <f>'NEW ACCOUNT'!A1782</f>
        <v/>
      </c>
      <c r="B1781" t="str">
        <f>IF('NEW ACCOUNT'!A1782="","",'NEW ACCOUNT'!B1782)</f>
        <v/>
      </c>
      <c r="C1781" t="str">
        <f>IF('NEW ACCOUNT'!A1782="","",'NEW ACCOUNT'!C1782)</f>
        <v/>
      </c>
      <c r="D1781" t="str">
        <f>IF('NEW ACCOUNT'!A1782="","",'NEW ACCOUNT'!D1782)</f>
        <v/>
      </c>
      <c r="E1781" t="str">
        <f>IF('NEW ACCOUNT'!A1782="","",'NEW ACCOUNT'!E1782)</f>
        <v/>
      </c>
      <c r="F1781" t="str">
        <f>IF('NEW ACCOUNT'!A1782="","",'NEW ACCOUNT'!F1782)</f>
        <v/>
      </c>
      <c r="G1781" t="str">
        <f>IF('NEW ACCOUNT'!A1782="","",'NEW ACCOUNT'!G1782)</f>
        <v/>
      </c>
      <c r="H1781" t="str">
        <f>IF('NEW ACCOUNT'!A1782="","",'NEW ACCOUNT'!H1782)</f>
        <v/>
      </c>
      <c r="I1781" t="str">
        <f>IF('NEW ACCOUNT'!A1782="","",'NEW ACCOUNT'!I1782)</f>
        <v/>
      </c>
      <c r="J1781" t="str">
        <f>IF('NEW ACCOUNT'!A1782="","",'NEW ACCOUNT'!J1782)</f>
        <v/>
      </c>
      <c r="K1781" t="str">
        <f>IFERROR(IF(A1781="","",SUMIF(DB_Savings!$A:$A,A1781,DB_Savings!$F:$F)),"")</f>
        <v/>
      </c>
      <c r="L1781" t="str">
        <f>IFERROR(IF(A1781="","",SUMIF(DB_Withdrawals!$A:$A,A1781,DB_Withdrawals!$G:$G)),"")</f>
        <v/>
      </c>
      <c r="M1781" t="str">
        <f>IFERROR(IF(A1781="","",IFERROR(VALUE(H1781),0)+IFERROR(SUMIF(DB_Savings!$A:$A,A1781,DB_Savings!$F:$F),0)-IFERROR(SUMIF(DB_Withdrawals!$A:$A,A1781,DB_Withdrawals!$G:$G),0)),"")</f>
        <v/>
      </c>
      <c r="N1781" t="str">
        <f>IFERROR(IF(A1781="","",MAX(0,M1781-System_Config!$B$9)),"")</f>
        <v/>
      </c>
    </row>
    <row r="1782" spans="1:14" ht="15" customHeight="1" x14ac:dyDescent="0.25">
      <c r="A1782" t="str">
        <f>'NEW ACCOUNT'!A1783</f>
        <v/>
      </c>
      <c r="B1782" t="str">
        <f>IF('NEW ACCOUNT'!A1783="","",'NEW ACCOUNT'!B1783)</f>
        <v/>
      </c>
      <c r="C1782" t="str">
        <f>IF('NEW ACCOUNT'!A1783="","",'NEW ACCOUNT'!C1783)</f>
        <v/>
      </c>
      <c r="D1782" t="str">
        <f>IF('NEW ACCOUNT'!A1783="","",'NEW ACCOUNT'!D1783)</f>
        <v/>
      </c>
      <c r="E1782" t="str">
        <f>IF('NEW ACCOUNT'!A1783="","",'NEW ACCOUNT'!E1783)</f>
        <v/>
      </c>
      <c r="F1782" t="str">
        <f>IF('NEW ACCOUNT'!A1783="","",'NEW ACCOUNT'!F1783)</f>
        <v/>
      </c>
      <c r="G1782" t="str">
        <f>IF('NEW ACCOUNT'!A1783="","",'NEW ACCOUNT'!G1783)</f>
        <v/>
      </c>
      <c r="H1782" t="str">
        <f>IF('NEW ACCOUNT'!A1783="","",'NEW ACCOUNT'!H1783)</f>
        <v/>
      </c>
      <c r="I1782" t="str">
        <f>IF('NEW ACCOUNT'!A1783="","",'NEW ACCOUNT'!I1783)</f>
        <v/>
      </c>
      <c r="J1782" t="str">
        <f>IF('NEW ACCOUNT'!A1783="","",'NEW ACCOUNT'!J1783)</f>
        <v/>
      </c>
      <c r="K1782" t="str">
        <f>IFERROR(IF(A1782="","",SUMIF(DB_Savings!$A:$A,A1782,DB_Savings!$F:$F)),"")</f>
        <v/>
      </c>
      <c r="L1782" t="str">
        <f>IFERROR(IF(A1782="","",SUMIF(DB_Withdrawals!$A:$A,A1782,DB_Withdrawals!$G:$G)),"")</f>
        <v/>
      </c>
      <c r="M1782" t="str">
        <f>IFERROR(IF(A1782="","",IFERROR(VALUE(H1782),0)+IFERROR(SUMIF(DB_Savings!$A:$A,A1782,DB_Savings!$F:$F),0)-IFERROR(SUMIF(DB_Withdrawals!$A:$A,A1782,DB_Withdrawals!$G:$G),0)),"")</f>
        <v/>
      </c>
      <c r="N1782" t="str">
        <f>IFERROR(IF(A1782="","",MAX(0,M1782-System_Config!$B$9)),"")</f>
        <v/>
      </c>
    </row>
    <row r="1783" spans="1:14" ht="15" customHeight="1" x14ac:dyDescent="0.25">
      <c r="A1783" t="str">
        <f>'NEW ACCOUNT'!A1784</f>
        <v/>
      </c>
      <c r="B1783" t="str">
        <f>IF('NEW ACCOUNT'!A1784="","",'NEW ACCOUNT'!B1784)</f>
        <v/>
      </c>
      <c r="C1783" t="str">
        <f>IF('NEW ACCOUNT'!A1784="","",'NEW ACCOUNT'!C1784)</f>
        <v/>
      </c>
      <c r="D1783" t="str">
        <f>IF('NEW ACCOUNT'!A1784="","",'NEW ACCOUNT'!D1784)</f>
        <v/>
      </c>
      <c r="E1783" t="str">
        <f>IF('NEW ACCOUNT'!A1784="","",'NEW ACCOUNT'!E1784)</f>
        <v/>
      </c>
      <c r="F1783" t="str">
        <f>IF('NEW ACCOUNT'!A1784="","",'NEW ACCOUNT'!F1784)</f>
        <v/>
      </c>
      <c r="G1783" t="str">
        <f>IF('NEW ACCOUNT'!A1784="","",'NEW ACCOUNT'!G1784)</f>
        <v/>
      </c>
      <c r="H1783" t="str">
        <f>IF('NEW ACCOUNT'!A1784="","",'NEW ACCOUNT'!H1784)</f>
        <v/>
      </c>
      <c r="I1783" t="str">
        <f>IF('NEW ACCOUNT'!A1784="","",'NEW ACCOUNT'!I1784)</f>
        <v/>
      </c>
      <c r="J1783" t="str">
        <f>IF('NEW ACCOUNT'!A1784="","",'NEW ACCOUNT'!J1784)</f>
        <v/>
      </c>
      <c r="K1783" t="str">
        <f>IFERROR(IF(A1783="","",SUMIF(DB_Savings!$A:$A,A1783,DB_Savings!$F:$F)),"")</f>
        <v/>
      </c>
      <c r="L1783" t="str">
        <f>IFERROR(IF(A1783="","",SUMIF(DB_Withdrawals!$A:$A,A1783,DB_Withdrawals!$G:$G)),"")</f>
        <v/>
      </c>
      <c r="M1783" t="str">
        <f>IFERROR(IF(A1783="","",IFERROR(VALUE(H1783),0)+IFERROR(SUMIF(DB_Savings!$A:$A,A1783,DB_Savings!$F:$F),0)-IFERROR(SUMIF(DB_Withdrawals!$A:$A,A1783,DB_Withdrawals!$G:$G),0)),"")</f>
        <v/>
      </c>
      <c r="N1783" t="str">
        <f>IFERROR(IF(A1783="","",MAX(0,M1783-System_Config!$B$9)),"")</f>
        <v/>
      </c>
    </row>
    <row r="1784" spans="1:14" ht="15" customHeight="1" x14ac:dyDescent="0.25">
      <c r="A1784" t="str">
        <f>'NEW ACCOUNT'!A1785</f>
        <v/>
      </c>
      <c r="B1784" t="str">
        <f>IF('NEW ACCOUNT'!A1785="","",'NEW ACCOUNT'!B1785)</f>
        <v/>
      </c>
      <c r="C1784" t="str">
        <f>IF('NEW ACCOUNT'!A1785="","",'NEW ACCOUNT'!C1785)</f>
        <v/>
      </c>
      <c r="D1784" t="str">
        <f>IF('NEW ACCOUNT'!A1785="","",'NEW ACCOUNT'!D1785)</f>
        <v/>
      </c>
      <c r="E1784" t="str">
        <f>IF('NEW ACCOUNT'!A1785="","",'NEW ACCOUNT'!E1785)</f>
        <v/>
      </c>
      <c r="F1784" t="str">
        <f>IF('NEW ACCOUNT'!A1785="","",'NEW ACCOUNT'!F1785)</f>
        <v/>
      </c>
      <c r="G1784" t="str">
        <f>IF('NEW ACCOUNT'!A1785="","",'NEW ACCOUNT'!G1785)</f>
        <v/>
      </c>
      <c r="H1784" t="str">
        <f>IF('NEW ACCOUNT'!A1785="","",'NEW ACCOUNT'!H1785)</f>
        <v/>
      </c>
      <c r="I1784" t="str">
        <f>IF('NEW ACCOUNT'!A1785="","",'NEW ACCOUNT'!I1785)</f>
        <v/>
      </c>
      <c r="J1784" t="str">
        <f>IF('NEW ACCOUNT'!A1785="","",'NEW ACCOUNT'!J1785)</f>
        <v/>
      </c>
      <c r="K1784" t="str">
        <f>IFERROR(IF(A1784="","",SUMIF(DB_Savings!$A:$A,A1784,DB_Savings!$F:$F)),"")</f>
        <v/>
      </c>
      <c r="L1784" t="str">
        <f>IFERROR(IF(A1784="","",SUMIF(DB_Withdrawals!$A:$A,A1784,DB_Withdrawals!$G:$G)),"")</f>
        <v/>
      </c>
      <c r="M1784" t="str">
        <f>IFERROR(IF(A1784="","",IFERROR(VALUE(H1784),0)+IFERROR(SUMIF(DB_Savings!$A:$A,A1784,DB_Savings!$F:$F),0)-IFERROR(SUMIF(DB_Withdrawals!$A:$A,A1784,DB_Withdrawals!$G:$G),0)),"")</f>
        <v/>
      </c>
      <c r="N1784" t="str">
        <f>IFERROR(IF(A1784="","",MAX(0,M1784-System_Config!$B$9)),"")</f>
        <v/>
      </c>
    </row>
    <row r="1785" spans="1:14" ht="15" customHeight="1" x14ac:dyDescent="0.25">
      <c r="A1785" t="str">
        <f>'NEW ACCOUNT'!A1786</f>
        <v/>
      </c>
      <c r="B1785" t="str">
        <f>IF('NEW ACCOUNT'!A1786="","",'NEW ACCOUNT'!B1786)</f>
        <v/>
      </c>
      <c r="C1785" t="str">
        <f>IF('NEW ACCOUNT'!A1786="","",'NEW ACCOUNT'!C1786)</f>
        <v/>
      </c>
      <c r="D1785" t="str">
        <f>IF('NEW ACCOUNT'!A1786="","",'NEW ACCOUNT'!D1786)</f>
        <v/>
      </c>
      <c r="E1785" t="str">
        <f>IF('NEW ACCOUNT'!A1786="","",'NEW ACCOUNT'!E1786)</f>
        <v/>
      </c>
      <c r="F1785" t="str">
        <f>IF('NEW ACCOUNT'!A1786="","",'NEW ACCOUNT'!F1786)</f>
        <v/>
      </c>
      <c r="G1785" t="str">
        <f>IF('NEW ACCOUNT'!A1786="","",'NEW ACCOUNT'!G1786)</f>
        <v/>
      </c>
      <c r="H1785" t="str">
        <f>IF('NEW ACCOUNT'!A1786="","",'NEW ACCOUNT'!H1786)</f>
        <v/>
      </c>
      <c r="I1785" t="str">
        <f>IF('NEW ACCOUNT'!A1786="","",'NEW ACCOUNT'!I1786)</f>
        <v/>
      </c>
      <c r="J1785" t="str">
        <f>IF('NEW ACCOUNT'!A1786="","",'NEW ACCOUNT'!J1786)</f>
        <v/>
      </c>
      <c r="K1785" t="str">
        <f>IFERROR(IF(A1785="","",SUMIF(DB_Savings!$A:$A,A1785,DB_Savings!$F:$F)),"")</f>
        <v/>
      </c>
      <c r="L1785" t="str">
        <f>IFERROR(IF(A1785="","",SUMIF(DB_Withdrawals!$A:$A,A1785,DB_Withdrawals!$G:$G)),"")</f>
        <v/>
      </c>
      <c r="M1785" t="str">
        <f>IFERROR(IF(A1785="","",IFERROR(VALUE(H1785),0)+IFERROR(SUMIF(DB_Savings!$A:$A,A1785,DB_Savings!$F:$F),0)-IFERROR(SUMIF(DB_Withdrawals!$A:$A,A1785,DB_Withdrawals!$G:$G),0)),"")</f>
        <v/>
      </c>
      <c r="N1785" t="str">
        <f>IFERROR(IF(A1785="","",MAX(0,M1785-System_Config!$B$9)),"")</f>
        <v/>
      </c>
    </row>
    <row r="1786" spans="1:14" ht="15" customHeight="1" x14ac:dyDescent="0.25">
      <c r="A1786" t="str">
        <f>'NEW ACCOUNT'!A1787</f>
        <v/>
      </c>
      <c r="B1786" t="str">
        <f>IF('NEW ACCOUNT'!A1787="","",'NEW ACCOUNT'!B1787)</f>
        <v/>
      </c>
      <c r="C1786" t="str">
        <f>IF('NEW ACCOUNT'!A1787="","",'NEW ACCOUNT'!C1787)</f>
        <v/>
      </c>
      <c r="D1786" t="str">
        <f>IF('NEW ACCOUNT'!A1787="","",'NEW ACCOUNT'!D1787)</f>
        <v/>
      </c>
      <c r="E1786" t="str">
        <f>IF('NEW ACCOUNT'!A1787="","",'NEW ACCOUNT'!E1787)</f>
        <v/>
      </c>
      <c r="F1786" t="str">
        <f>IF('NEW ACCOUNT'!A1787="","",'NEW ACCOUNT'!F1787)</f>
        <v/>
      </c>
      <c r="G1786" t="str">
        <f>IF('NEW ACCOUNT'!A1787="","",'NEW ACCOUNT'!G1787)</f>
        <v/>
      </c>
      <c r="H1786" t="str">
        <f>IF('NEW ACCOUNT'!A1787="","",'NEW ACCOUNT'!H1787)</f>
        <v/>
      </c>
      <c r="I1786" t="str">
        <f>IF('NEW ACCOUNT'!A1787="","",'NEW ACCOUNT'!I1787)</f>
        <v/>
      </c>
      <c r="J1786" t="str">
        <f>IF('NEW ACCOUNT'!A1787="","",'NEW ACCOUNT'!J1787)</f>
        <v/>
      </c>
      <c r="K1786" t="str">
        <f>IFERROR(IF(A1786="","",SUMIF(DB_Savings!$A:$A,A1786,DB_Savings!$F:$F)),"")</f>
        <v/>
      </c>
      <c r="L1786" t="str">
        <f>IFERROR(IF(A1786="","",SUMIF(DB_Withdrawals!$A:$A,A1786,DB_Withdrawals!$G:$G)),"")</f>
        <v/>
      </c>
      <c r="M1786" t="str">
        <f>IFERROR(IF(A1786="","",IFERROR(VALUE(H1786),0)+IFERROR(SUMIF(DB_Savings!$A:$A,A1786,DB_Savings!$F:$F),0)-IFERROR(SUMIF(DB_Withdrawals!$A:$A,A1786,DB_Withdrawals!$G:$G),0)),"")</f>
        <v/>
      </c>
      <c r="N1786" t="str">
        <f>IFERROR(IF(A1786="","",MAX(0,M1786-System_Config!$B$9)),"")</f>
        <v/>
      </c>
    </row>
    <row r="1787" spans="1:14" ht="15" customHeight="1" x14ac:dyDescent="0.25">
      <c r="A1787" t="str">
        <f>'NEW ACCOUNT'!A1788</f>
        <v/>
      </c>
      <c r="B1787" t="str">
        <f>IF('NEW ACCOUNT'!A1788="","",'NEW ACCOUNT'!B1788)</f>
        <v/>
      </c>
      <c r="C1787" t="str">
        <f>IF('NEW ACCOUNT'!A1788="","",'NEW ACCOUNT'!C1788)</f>
        <v/>
      </c>
      <c r="D1787" t="str">
        <f>IF('NEW ACCOUNT'!A1788="","",'NEW ACCOUNT'!D1788)</f>
        <v/>
      </c>
      <c r="E1787" t="str">
        <f>IF('NEW ACCOUNT'!A1788="","",'NEW ACCOUNT'!E1788)</f>
        <v/>
      </c>
      <c r="F1787" t="str">
        <f>IF('NEW ACCOUNT'!A1788="","",'NEW ACCOUNT'!F1788)</f>
        <v/>
      </c>
      <c r="G1787" t="str">
        <f>IF('NEW ACCOUNT'!A1788="","",'NEW ACCOUNT'!G1788)</f>
        <v/>
      </c>
      <c r="H1787" t="str">
        <f>IF('NEW ACCOUNT'!A1788="","",'NEW ACCOUNT'!H1788)</f>
        <v/>
      </c>
      <c r="I1787" t="str">
        <f>IF('NEW ACCOUNT'!A1788="","",'NEW ACCOUNT'!I1788)</f>
        <v/>
      </c>
      <c r="J1787" t="str">
        <f>IF('NEW ACCOUNT'!A1788="","",'NEW ACCOUNT'!J1788)</f>
        <v/>
      </c>
      <c r="K1787" t="str">
        <f>IFERROR(IF(A1787="","",SUMIF(DB_Savings!$A:$A,A1787,DB_Savings!$F:$F)),"")</f>
        <v/>
      </c>
      <c r="L1787" t="str">
        <f>IFERROR(IF(A1787="","",SUMIF(DB_Withdrawals!$A:$A,A1787,DB_Withdrawals!$G:$G)),"")</f>
        <v/>
      </c>
      <c r="M1787" t="str">
        <f>IFERROR(IF(A1787="","",IFERROR(VALUE(H1787),0)+IFERROR(SUMIF(DB_Savings!$A:$A,A1787,DB_Savings!$F:$F),0)-IFERROR(SUMIF(DB_Withdrawals!$A:$A,A1787,DB_Withdrawals!$G:$G),0)),"")</f>
        <v/>
      </c>
      <c r="N1787" t="str">
        <f>IFERROR(IF(A1787="","",MAX(0,M1787-System_Config!$B$9)),"")</f>
        <v/>
      </c>
    </row>
    <row r="1788" spans="1:14" ht="15" customHeight="1" x14ac:dyDescent="0.25">
      <c r="A1788" t="str">
        <f>'NEW ACCOUNT'!A1789</f>
        <v/>
      </c>
      <c r="B1788" t="str">
        <f>IF('NEW ACCOUNT'!A1789="","",'NEW ACCOUNT'!B1789)</f>
        <v/>
      </c>
      <c r="C1788" t="str">
        <f>IF('NEW ACCOUNT'!A1789="","",'NEW ACCOUNT'!C1789)</f>
        <v/>
      </c>
      <c r="D1788" t="str">
        <f>IF('NEW ACCOUNT'!A1789="","",'NEW ACCOUNT'!D1789)</f>
        <v/>
      </c>
      <c r="E1788" t="str">
        <f>IF('NEW ACCOUNT'!A1789="","",'NEW ACCOUNT'!E1789)</f>
        <v/>
      </c>
      <c r="F1788" t="str">
        <f>IF('NEW ACCOUNT'!A1789="","",'NEW ACCOUNT'!F1789)</f>
        <v/>
      </c>
      <c r="G1788" t="str">
        <f>IF('NEW ACCOUNT'!A1789="","",'NEW ACCOUNT'!G1789)</f>
        <v/>
      </c>
      <c r="H1788" t="str">
        <f>IF('NEW ACCOUNT'!A1789="","",'NEW ACCOUNT'!H1789)</f>
        <v/>
      </c>
      <c r="I1788" t="str">
        <f>IF('NEW ACCOUNT'!A1789="","",'NEW ACCOUNT'!I1789)</f>
        <v/>
      </c>
      <c r="J1788" t="str">
        <f>IF('NEW ACCOUNT'!A1789="","",'NEW ACCOUNT'!J1789)</f>
        <v/>
      </c>
      <c r="K1788" t="str">
        <f>IFERROR(IF(A1788="","",SUMIF(DB_Savings!$A:$A,A1788,DB_Savings!$F:$F)),"")</f>
        <v/>
      </c>
      <c r="L1788" t="str">
        <f>IFERROR(IF(A1788="","",SUMIF(DB_Withdrawals!$A:$A,A1788,DB_Withdrawals!$G:$G)),"")</f>
        <v/>
      </c>
      <c r="M1788" t="str">
        <f>IFERROR(IF(A1788="","",IFERROR(VALUE(H1788),0)+IFERROR(SUMIF(DB_Savings!$A:$A,A1788,DB_Savings!$F:$F),0)-IFERROR(SUMIF(DB_Withdrawals!$A:$A,A1788,DB_Withdrawals!$G:$G),0)),"")</f>
        <v/>
      </c>
      <c r="N1788" t="str">
        <f>IFERROR(IF(A1788="","",MAX(0,M1788-System_Config!$B$9)),"")</f>
        <v/>
      </c>
    </row>
    <row r="1789" spans="1:14" ht="15" customHeight="1" x14ac:dyDescent="0.25">
      <c r="A1789" t="str">
        <f>'NEW ACCOUNT'!A1790</f>
        <v/>
      </c>
      <c r="B1789" t="str">
        <f>IF('NEW ACCOUNT'!A1790="","",'NEW ACCOUNT'!B1790)</f>
        <v/>
      </c>
      <c r="C1789" t="str">
        <f>IF('NEW ACCOUNT'!A1790="","",'NEW ACCOUNT'!C1790)</f>
        <v/>
      </c>
      <c r="D1789" t="str">
        <f>IF('NEW ACCOUNT'!A1790="","",'NEW ACCOUNT'!D1790)</f>
        <v/>
      </c>
      <c r="E1789" t="str">
        <f>IF('NEW ACCOUNT'!A1790="","",'NEW ACCOUNT'!E1790)</f>
        <v/>
      </c>
      <c r="F1789" t="str">
        <f>IF('NEW ACCOUNT'!A1790="","",'NEW ACCOUNT'!F1790)</f>
        <v/>
      </c>
      <c r="G1789" t="str">
        <f>IF('NEW ACCOUNT'!A1790="","",'NEW ACCOUNT'!G1790)</f>
        <v/>
      </c>
      <c r="H1789" t="str">
        <f>IF('NEW ACCOUNT'!A1790="","",'NEW ACCOUNT'!H1790)</f>
        <v/>
      </c>
      <c r="I1789" t="str">
        <f>IF('NEW ACCOUNT'!A1790="","",'NEW ACCOUNT'!I1790)</f>
        <v/>
      </c>
      <c r="J1789" t="str">
        <f>IF('NEW ACCOUNT'!A1790="","",'NEW ACCOUNT'!J1790)</f>
        <v/>
      </c>
      <c r="K1789" t="str">
        <f>IFERROR(IF(A1789="","",SUMIF(DB_Savings!$A:$A,A1789,DB_Savings!$F:$F)),"")</f>
        <v/>
      </c>
      <c r="L1789" t="str">
        <f>IFERROR(IF(A1789="","",SUMIF(DB_Withdrawals!$A:$A,A1789,DB_Withdrawals!$G:$G)),"")</f>
        <v/>
      </c>
      <c r="M1789" t="str">
        <f>IFERROR(IF(A1789="","",IFERROR(VALUE(H1789),0)+IFERROR(SUMIF(DB_Savings!$A:$A,A1789,DB_Savings!$F:$F),0)-IFERROR(SUMIF(DB_Withdrawals!$A:$A,A1789,DB_Withdrawals!$G:$G),0)),"")</f>
        <v/>
      </c>
      <c r="N1789" t="str">
        <f>IFERROR(IF(A1789="","",MAX(0,M1789-System_Config!$B$9)),"")</f>
        <v/>
      </c>
    </row>
    <row r="1790" spans="1:14" ht="15" customHeight="1" x14ac:dyDescent="0.25">
      <c r="A1790" t="str">
        <f>'NEW ACCOUNT'!A1791</f>
        <v/>
      </c>
      <c r="B1790" t="str">
        <f>IF('NEW ACCOUNT'!A1791="","",'NEW ACCOUNT'!B1791)</f>
        <v/>
      </c>
      <c r="C1790" t="str">
        <f>IF('NEW ACCOUNT'!A1791="","",'NEW ACCOUNT'!C1791)</f>
        <v/>
      </c>
      <c r="D1790" t="str">
        <f>IF('NEW ACCOUNT'!A1791="","",'NEW ACCOUNT'!D1791)</f>
        <v/>
      </c>
      <c r="E1790" t="str">
        <f>IF('NEW ACCOUNT'!A1791="","",'NEW ACCOUNT'!E1791)</f>
        <v/>
      </c>
      <c r="F1790" t="str">
        <f>IF('NEW ACCOUNT'!A1791="","",'NEW ACCOUNT'!F1791)</f>
        <v/>
      </c>
      <c r="G1790" t="str">
        <f>IF('NEW ACCOUNT'!A1791="","",'NEW ACCOUNT'!G1791)</f>
        <v/>
      </c>
      <c r="H1790" t="str">
        <f>IF('NEW ACCOUNT'!A1791="","",'NEW ACCOUNT'!H1791)</f>
        <v/>
      </c>
      <c r="I1790" t="str">
        <f>IF('NEW ACCOUNT'!A1791="","",'NEW ACCOUNT'!I1791)</f>
        <v/>
      </c>
      <c r="J1790" t="str">
        <f>IF('NEW ACCOUNT'!A1791="","",'NEW ACCOUNT'!J1791)</f>
        <v/>
      </c>
      <c r="K1790" t="str">
        <f>IFERROR(IF(A1790="","",SUMIF(DB_Savings!$A:$A,A1790,DB_Savings!$F:$F)),"")</f>
        <v/>
      </c>
      <c r="L1790" t="str">
        <f>IFERROR(IF(A1790="","",SUMIF(DB_Withdrawals!$A:$A,A1790,DB_Withdrawals!$G:$G)),"")</f>
        <v/>
      </c>
      <c r="M1790" t="str">
        <f>IFERROR(IF(A1790="","",IFERROR(VALUE(H1790),0)+IFERROR(SUMIF(DB_Savings!$A:$A,A1790,DB_Savings!$F:$F),0)-IFERROR(SUMIF(DB_Withdrawals!$A:$A,A1790,DB_Withdrawals!$G:$G),0)),"")</f>
        <v/>
      </c>
      <c r="N1790" t="str">
        <f>IFERROR(IF(A1790="","",MAX(0,M1790-System_Config!$B$9)),"")</f>
        <v/>
      </c>
    </row>
    <row r="1791" spans="1:14" ht="15" customHeight="1" x14ac:dyDescent="0.25">
      <c r="A1791" t="str">
        <f>'NEW ACCOUNT'!A1792</f>
        <v/>
      </c>
      <c r="B1791" t="str">
        <f>IF('NEW ACCOUNT'!A1792="","",'NEW ACCOUNT'!B1792)</f>
        <v/>
      </c>
      <c r="C1791" t="str">
        <f>IF('NEW ACCOUNT'!A1792="","",'NEW ACCOUNT'!C1792)</f>
        <v/>
      </c>
      <c r="D1791" t="str">
        <f>IF('NEW ACCOUNT'!A1792="","",'NEW ACCOUNT'!D1792)</f>
        <v/>
      </c>
      <c r="E1791" t="str">
        <f>IF('NEW ACCOUNT'!A1792="","",'NEW ACCOUNT'!E1792)</f>
        <v/>
      </c>
      <c r="F1791" t="str">
        <f>IF('NEW ACCOUNT'!A1792="","",'NEW ACCOUNT'!F1792)</f>
        <v/>
      </c>
      <c r="G1791" t="str">
        <f>IF('NEW ACCOUNT'!A1792="","",'NEW ACCOUNT'!G1792)</f>
        <v/>
      </c>
      <c r="H1791" t="str">
        <f>IF('NEW ACCOUNT'!A1792="","",'NEW ACCOUNT'!H1792)</f>
        <v/>
      </c>
      <c r="I1791" t="str">
        <f>IF('NEW ACCOUNT'!A1792="","",'NEW ACCOUNT'!I1792)</f>
        <v/>
      </c>
      <c r="J1791" t="str">
        <f>IF('NEW ACCOUNT'!A1792="","",'NEW ACCOUNT'!J1792)</f>
        <v/>
      </c>
      <c r="K1791" t="str">
        <f>IFERROR(IF(A1791="","",SUMIF(DB_Savings!$A:$A,A1791,DB_Savings!$F:$F)),"")</f>
        <v/>
      </c>
      <c r="L1791" t="str">
        <f>IFERROR(IF(A1791="","",SUMIF(DB_Withdrawals!$A:$A,A1791,DB_Withdrawals!$G:$G)),"")</f>
        <v/>
      </c>
      <c r="M1791" t="str">
        <f>IFERROR(IF(A1791="","",IFERROR(VALUE(H1791),0)+IFERROR(SUMIF(DB_Savings!$A:$A,A1791,DB_Savings!$F:$F),0)-IFERROR(SUMIF(DB_Withdrawals!$A:$A,A1791,DB_Withdrawals!$G:$G),0)),"")</f>
        <v/>
      </c>
      <c r="N1791" t="str">
        <f>IFERROR(IF(A1791="","",MAX(0,M1791-System_Config!$B$9)),"")</f>
        <v/>
      </c>
    </row>
    <row r="1792" spans="1:14" ht="15" customHeight="1" x14ac:dyDescent="0.25">
      <c r="A1792" t="str">
        <f>'NEW ACCOUNT'!A1793</f>
        <v/>
      </c>
      <c r="B1792" t="str">
        <f>IF('NEW ACCOUNT'!A1793="","",'NEW ACCOUNT'!B1793)</f>
        <v/>
      </c>
      <c r="C1792" t="str">
        <f>IF('NEW ACCOUNT'!A1793="","",'NEW ACCOUNT'!C1793)</f>
        <v/>
      </c>
      <c r="D1792" t="str">
        <f>IF('NEW ACCOUNT'!A1793="","",'NEW ACCOUNT'!D1793)</f>
        <v/>
      </c>
      <c r="E1792" t="str">
        <f>IF('NEW ACCOUNT'!A1793="","",'NEW ACCOUNT'!E1793)</f>
        <v/>
      </c>
      <c r="F1792" t="str">
        <f>IF('NEW ACCOUNT'!A1793="","",'NEW ACCOUNT'!F1793)</f>
        <v/>
      </c>
      <c r="G1792" t="str">
        <f>IF('NEW ACCOUNT'!A1793="","",'NEW ACCOUNT'!G1793)</f>
        <v/>
      </c>
      <c r="H1792" t="str">
        <f>IF('NEW ACCOUNT'!A1793="","",'NEW ACCOUNT'!H1793)</f>
        <v/>
      </c>
      <c r="I1792" t="str">
        <f>IF('NEW ACCOUNT'!A1793="","",'NEW ACCOUNT'!I1793)</f>
        <v/>
      </c>
      <c r="J1792" t="str">
        <f>IF('NEW ACCOUNT'!A1793="","",'NEW ACCOUNT'!J1793)</f>
        <v/>
      </c>
      <c r="K1792" t="str">
        <f>IFERROR(IF(A1792="","",SUMIF(DB_Savings!$A:$A,A1792,DB_Savings!$F:$F)),"")</f>
        <v/>
      </c>
      <c r="L1792" t="str">
        <f>IFERROR(IF(A1792="","",SUMIF(DB_Withdrawals!$A:$A,A1792,DB_Withdrawals!$G:$G)),"")</f>
        <v/>
      </c>
      <c r="M1792" t="str">
        <f>IFERROR(IF(A1792="","",IFERROR(VALUE(H1792),0)+IFERROR(SUMIF(DB_Savings!$A:$A,A1792,DB_Savings!$F:$F),0)-IFERROR(SUMIF(DB_Withdrawals!$A:$A,A1792,DB_Withdrawals!$G:$G),0)),"")</f>
        <v/>
      </c>
      <c r="N1792" t="str">
        <f>IFERROR(IF(A1792="","",MAX(0,M1792-System_Config!$B$9)),"")</f>
        <v/>
      </c>
    </row>
    <row r="1793" spans="1:14" ht="15" customHeight="1" x14ac:dyDescent="0.25">
      <c r="A1793" t="str">
        <f>'NEW ACCOUNT'!A1794</f>
        <v/>
      </c>
      <c r="B1793" t="str">
        <f>IF('NEW ACCOUNT'!A1794="","",'NEW ACCOUNT'!B1794)</f>
        <v/>
      </c>
      <c r="C1793" t="str">
        <f>IF('NEW ACCOUNT'!A1794="","",'NEW ACCOUNT'!C1794)</f>
        <v/>
      </c>
      <c r="D1793" t="str">
        <f>IF('NEW ACCOUNT'!A1794="","",'NEW ACCOUNT'!D1794)</f>
        <v/>
      </c>
      <c r="E1793" t="str">
        <f>IF('NEW ACCOUNT'!A1794="","",'NEW ACCOUNT'!E1794)</f>
        <v/>
      </c>
      <c r="F1793" t="str">
        <f>IF('NEW ACCOUNT'!A1794="","",'NEW ACCOUNT'!F1794)</f>
        <v/>
      </c>
      <c r="G1793" t="str">
        <f>IF('NEW ACCOUNT'!A1794="","",'NEW ACCOUNT'!G1794)</f>
        <v/>
      </c>
      <c r="H1793" t="str">
        <f>IF('NEW ACCOUNT'!A1794="","",'NEW ACCOUNT'!H1794)</f>
        <v/>
      </c>
      <c r="I1793" t="str">
        <f>IF('NEW ACCOUNT'!A1794="","",'NEW ACCOUNT'!I1794)</f>
        <v/>
      </c>
      <c r="J1793" t="str">
        <f>IF('NEW ACCOUNT'!A1794="","",'NEW ACCOUNT'!J1794)</f>
        <v/>
      </c>
      <c r="K1793" t="str">
        <f>IFERROR(IF(A1793="","",SUMIF(DB_Savings!$A:$A,A1793,DB_Savings!$F:$F)),"")</f>
        <v/>
      </c>
      <c r="L1793" t="str">
        <f>IFERROR(IF(A1793="","",SUMIF(DB_Withdrawals!$A:$A,A1793,DB_Withdrawals!$G:$G)),"")</f>
        <v/>
      </c>
      <c r="M1793" t="str">
        <f>IFERROR(IF(A1793="","",IFERROR(VALUE(H1793),0)+IFERROR(SUMIF(DB_Savings!$A:$A,A1793,DB_Savings!$F:$F),0)-IFERROR(SUMIF(DB_Withdrawals!$A:$A,A1793,DB_Withdrawals!$G:$G),0)),"")</f>
        <v/>
      </c>
      <c r="N1793" t="str">
        <f>IFERROR(IF(A1793="","",MAX(0,M1793-System_Config!$B$9)),"")</f>
        <v/>
      </c>
    </row>
    <row r="1794" spans="1:14" ht="15" customHeight="1" x14ac:dyDescent="0.25">
      <c r="A1794" t="str">
        <f>'NEW ACCOUNT'!A1795</f>
        <v/>
      </c>
      <c r="B1794" t="str">
        <f>IF('NEW ACCOUNT'!A1795="","",'NEW ACCOUNT'!B1795)</f>
        <v/>
      </c>
      <c r="C1794" t="str">
        <f>IF('NEW ACCOUNT'!A1795="","",'NEW ACCOUNT'!C1795)</f>
        <v/>
      </c>
      <c r="D1794" t="str">
        <f>IF('NEW ACCOUNT'!A1795="","",'NEW ACCOUNT'!D1795)</f>
        <v/>
      </c>
      <c r="E1794" t="str">
        <f>IF('NEW ACCOUNT'!A1795="","",'NEW ACCOUNT'!E1795)</f>
        <v/>
      </c>
      <c r="F1794" t="str">
        <f>IF('NEW ACCOUNT'!A1795="","",'NEW ACCOUNT'!F1795)</f>
        <v/>
      </c>
      <c r="G1794" t="str">
        <f>IF('NEW ACCOUNT'!A1795="","",'NEW ACCOUNT'!G1795)</f>
        <v/>
      </c>
      <c r="H1794" t="str">
        <f>IF('NEW ACCOUNT'!A1795="","",'NEW ACCOUNT'!H1795)</f>
        <v/>
      </c>
      <c r="I1794" t="str">
        <f>IF('NEW ACCOUNT'!A1795="","",'NEW ACCOUNT'!I1795)</f>
        <v/>
      </c>
      <c r="J1794" t="str">
        <f>IF('NEW ACCOUNT'!A1795="","",'NEW ACCOUNT'!J1795)</f>
        <v/>
      </c>
      <c r="K1794" t="str">
        <f>IFERROR(IF(A1794="","",SUMIF(DB_Savings!$A:$A,A1794,DB_Savings!$F:$F)),"")</f>
        <v/>
      </c>
      <c r="L1794" t="str">
        <f>IFERROR(IF(A1794="","",SUMIF(DB_Withdrawals!$A:$A,A1794,DB_Withdrawals!$G:$G)),"")</f>
        <v/>
      </c>
      <c r="M1794" t="str">
        <f>IFERROR(IF(A1794="","",IFERROR(VALUE(H1794),0)+IFERROR(SUMIF(DB_Savings!$A:$A,A1794,DB_Savings!$F:$F),0)-IFERROR(SUMIF(DB_Withdrawals!$A:$A,A1794,DB_Withdrawals!$G:$G),0)),"")</f>
        <v/>
      </c>
      <c r="N1794" t="str">
        <f>IFERROR(IF(A1794="","",MAX(0,M1794-System_Config!$B$9)),"")</f>
        <v/>
      </c>
    </row>
    <row r="1795" spans="1:14" ht="15" customHeight="1" x14ac:dyDescent="0.25">
      <c r="A1795" t="str">
        <f>'NEW ACCOUNT'!A1796</f>
        <v/>
      </c>
      <c r="B1795" t="str">
        <f>IF('NEW ACCOUNT'!A1796="","",'NEW ACCOUNT'!B1796)</f>
        <v/>
      </c>
      <c r="C1795" t="str">
        <f>IF('NEW ACCOUNT'!A1796="","",'NEW ACCOUNT'!C1796)</f>
        <v/>
      </c>
      <c r="D1795" t="str">
        <f>IF('NEW ACCOUNT'!A1796="","",'NEW ACCOUNT'!D1796)</f>
        <v/>
      </c>
      <c r="E1795" t="str">
        <f>IF('NEW ACCOUNT'!A1796="","",'NEW ACCOUNT'!E1796)</f>
        <v/>
      </c>
      <c r="F1795" t="str">
        <f>IF('NEW ACCOUNT'!A1796="","",'NEW ACCOUNT'!F1796)</f>
        <v/>
      </c>
      <c r="G1795" t="str">
        <f>IF('NEW ACCOUNT'!A1796="","",'NEW ACCOUNT'!G1796)</f>
        <v/>
      </c>
      <c r="H1795" t="str">
        <f>IF('NEW ACCOUNT'!A1796="","",'NEW ACCOUNT'!H1796)</f>
        <v/>
      </c>
      <c r="I1795" t="str">
        <f>IF('NEW ACCOUNT'!A1796="","",'NEW ACCOUNT'!I1796)</f>
        <v/>
      </c>
      <c r="J1795" t="str">
        <f>IF('NEW ACCOUNT'!A1796="","",'NEW ACCOUNT'!J1796)</f>
        <v/>
      </c>
      <c r="K1795" t="str">
        <f>IFERROR(IF(A1795="","",SUMIF(DB_Savings!$A:$A,A1795,DB_Savings!$F:$F)),"")</f>
        <v/>
      </c>
      <c r="L1795" t="str">
        <f>IFERROR(IF(A1795="","",SUMIF(DB_Withdrawals!$A:$A,A1795,DB_Withdrawals!$G:$G)),"")</f>
        <v/>
      </c>
      <c r="M1795" t="str">
        <f>IFERROR(IF(A1795="","",IFERROR(VALUE(H1795),0)+IFERROR(SUMIF(DB_Savings!$A:$A,A1795,DB_Savings!$F:$F),0)-IFERROR(SUMIF(DB_Withdrawals!$A:$A,A1795,DB_Withdrawals!$G:$G),0)),"")</f>
        <v/>
      </c>
      <c r="N1795" t="str">
        <f>IFERROR(IF(A1795="","",MAX(0,M1795-System_Config!$B$9)),"")</f>
        <v/>
      </c>
    </row>
    <row r="1796" spans="1:14" ht="15" customHeight="1" x14ac:dyDescent="0.25">
      <c r="A1796" t="str">
        <f>'NEW ACCOUNT'!A1797</f>
        <v/>
      </c>
      <c r="B1796" t="str">
        <f>IF('NEW ACCOUNT'!A1797="","",'NEW ACCOUNT'!B1797)</f>
        <v/>
      </c>
      <c r="C1796" t="str">
        <f>IF('NEW ACCOUNT'!A1797="","",'NEW ACCOUNT'!C1797)</f>
        <v/>
      </c>
      <c r="D1796" t="str">
        <f>IF('NEW ACCOUNT'!A1797="","",'NEW ACCOUNT'!D1797)</f>
        <v/>
      </c>
      <c r="E1796" t="str">
        <f>IF('NEW ACCOUNT'!A1797="","",'NEW ACCOUNT'!E1797)</f>
        <v/>
      </c>
      <c r="F1796" t="str">
        <f>IF('NEW ACCOUNT'!A1797="","",'NEW ACCOUNT'!F1797)</f>
        <v/>
      </c>
      <c r="G1796" t="str">
        <f>IF('NEW ACCOUNT'!A1797="","",'NEW ACCOUNT'!G1797)</f>
        <v/>
      </c>
      <c r="H1796" t="str">
        <f>IF('NEW ACCOUNT'!A1797="","",'NEW ACCOUNT'!H1797)</f>
        <v/>
      </c>
      <c r="I1796" t="str">
        <f>IF('NEW ACCOUNT'!A1797="","",'NEW ACCOUNT'!I1797)</f>
        <v/>
      </c>
      <c r="J1796" t="str">
        <f>IF('NEW ACCOUNT'!A1797="","",'NEW ACCOUNT'!J1797)</f>
        <v/>
      </c>
      <c r="K1796" t="str">
        <f>IFERROR(IF(A1796="","",SUMIF(DB_Savings!$A:$A,A1796,DB_Savings!$F:$F)),"")</f>
        <v/>
      </c>
      <c r="L1796" t="str">
        <f>IFERROR(IF(A1796="","",SUMIF(DB_Withdrawals!$A:$A,A1796,DB_Withdrawals!$G:$G)),"")</f>
        <v/>
      </c>
      <c r="M1796" t="str">
        <f>IFERROR(IF(A1796="","",IFERROR(VALUE(H1796),0)+IFERROR(SUMIF(DB_Savings!$A:$A,A1796,DB_Savings!$F:$F),0)-IFERROR(SUMIF(DB_Withdrawals!$A:$A,A1796,DB_Withdrawals!$G:$G),0)),"")</f>
        <v/>
      </c>
      <c r="N1796" t="str">
        <f>IFERROR(IF(A1796="","",MAX(0,M1796-System_Config!$B$9)),"")</f>
        <v/>
      </c>
    </row>
    <row r="1797" spans="1:14" ht="15" customHeight="1" x14ac:dyDescent="0.25">
      <c r="A1797" t="str">
        <f>'NEW ACCOUNT'!A1798</f>
        <v/>
      </c>
      <c r="B1797" t="str">
        <f>IF('NEW ACCOUNT'!A1798="","",'NEW ACCOUNT'!B1798)</f>
        <v/>
      </c>
      <c r="C1797" t="str">
        <f>IF('NEW ACCOUNT'!A1798="","",'NEW ACCOUNT'!C1798)</f>
        <v/>
      </c>
      <c r="D1797" t="str">
        <f>IF('NEW ACCOUNT'!A1798="","",'NEW ACCOUNT'!D1798)</f>
        <v/>
      </c>
      <c r="E1797" t="str">
        <f>IF('NEW ACCOUNT'!A1798="","",'NEW ACCOUNT'!E1798)</f>
        <v/>
      </c>
      <c r="F1797" t="str">
        <f>IF('NEW ACCOUNT'!A1798="","",'NEW ACCOUNT'!F1798)</f>
        <v/>
      </c>
      <c r="G1797" t="str">
        <f>IF('NEW ACCOUNT'!A1798="","",'NEW ACCOUNT'!G1798)</f>
        <v/>
      </c>
      <c r="H1797" t="str">
        <f>IF('NEW ACCOUNT'!A1798="","",'NEW ACCOUNT'!H1798)</f>
        <v/>
      </c>
      <c r="I1797" t="str">
        <f>IF('NEW ACCOUNT'!A1798="","",'NEW ACCOUNT'!I1798)</f>
        <v/>
      </c>
      <c r="J1797" t="str">
        <f>IF('NEW ACCOUNT'!A1798="","",'NEW ACCOUNT'!J1798)</f>
        <v/>
      </c>
      <c r="K1797" t="str">
        <f>IFERROR(IF(A1797="","",SUMIF(DB_Savings!$A:$A,A1797,DB_Savings!$F:$F)),"")</f>
        <v/>
      </c>
      <c r="L1797" t="str">
        <f>IFERROR(IF(A1797="","",SUMIF(DB_Withdrawals!$A:$A,A1797,DB_Withdrawals!$G:$G)),"")</f>
        <v/>
      </c>
      <c r="M1797" t="str">
        <f>IFERROR(IF(A1797="","",IFERROR(VALUE(H1797),0)+IFERROR(SUMIF(DB_Savings!$A:$A,A1797,DB_Savings!$F:$F),0)-IFERROR(SUMIF(DB_Withdrawals!$A:$A,A1797,DB_Withdrawals!$G:$G),0)),"")</f>
        <v/>
      </c>
      <c r="N1797" t="str">
        <f>IFERROR(IF(A1797="","",MAX(0,M1797-System_Config!$B$9)),"")</f>
        <v/>
      </c>
    </row>
    <row r="1798" spans="1:14" ht="15" customHeight="1" x14ac:dyDescent="0.25">
      <c r="A1798" t="str">
        <f>'NEW ACCOUNT'!A1799</f>
        <v/>
      </c>
      <c r="B1798" t="str">
        <f>IF('NEW ACCOUNT'!A1799="","",'NEW ACCOUNT'!B1799)</f>
        <v/>
      </c>
      <c r="C1798" t="str">
        <f>IF('NEW ACCOUNT'!A1799="","",'NEW ACCOUNT'!C1799)</f>
        <v/>
      </c>
      <c r="D1798" t="str">
        <f>IF('NEW ACCOUNT'!A1799="","",'NEW ACCOUNT'!D1799)</f>
        <v/>
      </c>
      <c r="E1798" t="str">
        <f>IF('NEW ACCOUNT'!A1799="","",'NEW ACCOUNT'!E1799)</f>
        <v/>
      </c>
      <c r="F1798" t="str">
        <f>IF('NEW ACCOUNT'!A1799="","",'NEW ACCOUNT'!F1799)</f>
        <v/>
      </c>
      <c r="G1798" t="str">
        <f>IF('NEW ACCOUNT'!A1799="","",'NEW ACCOUNT'!G1799)</f>
        <v/>
      </c>
      <c r="H1798" t="str">
        <f>IF('NEW ACCOUNT'!A1799="","",'NEW ACCOUNT'!H1799)</f>
        <v/>
      </c>
      <c r="I1798" t="str">
        <f>IF('NEW ACCOUNT'!A1799="","",'NEW ACCOUNT'!I1799)</f>
        <v/>
      </c>
      <c r="J1798" t="str">
        <f>IF('NEW ACCOUNT'!A1799="","",'NEW ACCOUNT'!J1799)</f>
        <v/>
      </c>
      <c r="K1798" t="str">
        <f>IFERROR(IF(A1798="","",SUMIF(DB_Savings!$A:$A,A1798,DB_Savings!$F:$F)),"")</f>
        <v/>
      </c>
      <c r="L1798" t="str">
        <f>IFERROR(IF(A1798="","",SUMIF(DB_Withdrawals!$A:$A,A1798,DB_Withdrawals!$G:$G)),"")</f>
        <v/>
      </c>
      <c r="M1798" t="str">
        <f>IFERROR(IF(A1798="","",IFERROR(VALUE(H1798),0)+IFERROR(SUMIF(DB_Savings!$A:$A,A1798,DB_Savings!$F:$F),0)-IFERROR(SUMIF(DB_Withdrawals!$A:$A,A1798,DB_Withdrawals!$G:$G),0)),"")</f>
        <v/>
      </c>
      <c r="N1798" t="str">
        <f>IFERROR(IF(A1798="","",MAX(0,M1798-System_Config!$B$9)),"")</f>
        <v/>
      </c>
    </row>
    <row r="1799" spans="1:14" ht="15" customHeight="1" x14ac:dyDescent="0.25">
      <c r="A1799" t="str">
        <f>'NEW ACCOUNT'!A1800</f>
        <v/>
      </c>
      <c r="B1799" t="str">
        <f>IF('NEW ACCOUNT'!A1800="","",'NEW ACCOUNT'!B1800)</f>
        <v/>
      </c>
      <c r="C1799" t="str">
        <f>IF('NEW ACCOUNT'!A1800="","",'NEW ACCOUNT'!C1800)</f>
        <v/>
      </c>
      <c r="D1799" t="str">
        <f>IF('NEW ACCOUNT'!A1800="","",'NEW ACCOUNT'!D1800)</f>
        <v/>
      </c>
      <c r="E1799" t="str">
        <f>IF('NEW ACCOUNT'!A1800="","",'NEW ACCOUNT'!E1800)</f>
        <v/>
      </c>
      <c r="F1799" t="str">
        <f>IF('NEW ACCOUNT'!A1800="","",'NEW ACCOUNT'!F1800)</f>
        <v/>
      </c>
      <c r="G1799" t="str">
        <f>IF('NEW ACCOUNT'!A1800="","",'NEW ACCOUNT'!G1800)</f>
        <v/>
      </c>
      <c r="H1799" t="str">
        <f>IF('NEW ACCOUNT'!A1800="","",'NEW ACCOUNT'!H1800)</f>
        <v/>
      </c>
      <c r="I1799" t="str">
        <f>IF('NEW ACCOUNT'!A1800="","",'NEW ACCOUNT'!I1800)</f>
        <v/>
      </c>
      <c r="J1799" t="str">
        <f>IF('NEW ACCOUNT'!A1800="","",'NEW ACCOUNT'!J1800)</f>
        <v/>
      </c>
      <c r="K1799" t="str">
        <f>IFERROR(IF(A1799="","",SUMIF(DB_Savings!$A:$A,A1799,DB_Savings!$F:$F)),"")</f>
        <v/>
      </c>
      <c r="L1799" t="str">
        <f>IFERROR(IF(A1799="","",SUMIF(DB_Withdrawals!$A:$A,A1799,DB_Withdrawals!$G:$G)),"")</f>
        <v/>
      </c>
      <c r="M1799" t="str">
        <f>IFERROR(IF(A1799="","",IFERROR(VALUE(H1799),0)+IFERROR(SUMIF(DB_Savings!$A:$A,A1799,DB_Savings!$F:$F),0)-IFERROR(SUMIF(DB_Withdrawals!$A:$A,A1799,DB_Withdrawals!$G:$G),0)),"")</f>
        <v/>
      </c>
      <c r="N1799" t="str">
        <f>IFERROR(IF(A1799="","",MAX(0,M1799-System_Config!$B$9)),"")</f>
        <v/>
      </c>
    </row>
    <row r="1800" spans="1:14" ht="15" customHeight="1" x14ac:dyDescent="0.25">
      <c r="A1800" t="str">
        <f>'NEW ACCOUNT'!A1801</f>
        <v/>
      </c>
      <c r="B1800" t="str">
        <f>IF('NEW ACCOUNT'!A1801="","",'NEW ACCOUNT'!B1801)</f>
        <v/>
      </c>
      <c r="C1800" t="str">
        <f>IF('NEW ACCOUNT'!A1801="","",'NEW ACCOUNT'!C1801)</f>
        <v/>
      </c>
      <c r="D1800" t="str">
        <f>IF('NEW ACCOUNT'!A1801="","",'NEW ACCOUNT'!D1801)</f>
        <v/>
      </c>
      <c r="E1800" t="str">
        <f>IF('NEW ACCOUNT'!A1801="","",'NEW ACCOUNT'!E1801)</f>
        <v/>
      </c>
      <c r="F1800" t="str">
        <f>IF('NEW ACCOUNT'!A1801="","",'NEW ACCOUNT'!F1801)</f>
        <v/>
      </c>
      <c r="G1800" t="str">
        <f>IF('NEW ACCOUNT'!A1801="","",'NEW ACCOUNT'!G1801)</f>
        <v/>
      </c>
      <c r="H1800" t="str">
        <f>IF('NEW ACCOUNT'!A1801="","",'NEW ACCOUNT'!H1801)</f>
        <v/>
      </c>
      <c r="I1800" t="str">
        <f>IF('NEW ACCOUNT'!A1801="","",'NEW ACCOUNT'!I1801)</f>
        <v/>
      </c>
      <c r="J1800" t="str">
        <f>IF('NEW ACCOUNT'!A1801="","",'NEW ACCOUNT'!J1801)</f>
        <v/>
      </c>
      <c r="K1800" t="str">
        <f>IFERROR(IF(A1800="","",SUMIF(DB_Savings!$A:$A,A1800,DB_Savings!$F:$F)),"")</f>
        <v/>
      </c>
      <c r="L1800" t="str">
        <f>IFERROR(IF(A1800="","",SUMIF(DB_Withdrawals!$A:$A,A1800,DB_Withdrawals!$G:$G)),"")</f>
        <v/>
      </c>
      <c r="M1800" t="str">
        <f>IFERROR(IF(A1800="","",IFERROR(VALUE(H1800),0)+IFERROR(SUMIF(DB_Savings!$A:$A,A1800,DB_Savings!$F:$F),0)-IFERROR(SUMIF(DB_Withdrawals!$A:$A,A1800,DB_Withdrawals!$G:$G),0)),"")</f>
        <v/>
      </c>
      <c r="N1800" t="str">
        <f>IFERROR(IF(A1800="","",MAX(0,M1800-System_Config!$B$9)),"")</f>
        <v/>
      </c>
    </row>
    <row r="1801" spans="1:14" ht="15" customHeight="1" x14ac:dyDescent="0.25">
      <c r="A1801" t="str">
        <f>'NEW ACCOUNT'!A1802</f>
        <v/>
      </c>
      <c r="B1801" t="str">
        <f>IF('NEW ACCOUNT'!A1802="","",'NEW ACCOUNT'!B1802)</f>
        <v/>
      </c>
      <c r="C1801" t="str">
        <f>IF('NEW ACCOUNT'!A1802="","",'NEW ACCOUNT'!C1802)</f>
        <v/>
      </c>
      <c r="D1801" t="str">
        <f>IF('NEW ACCOUNT'!A1802="","",'NEW ACCOUNT'!D1802)</f>
        <v/>
      </c>
      <c r="E1801" t="str">
        <f>IF('NEW ACCOUNT'!A1802="","",'NEW ACCOUNT'!E1802)</f>
        <v/>
      </c>
      <c r="F1801" t="str">
        <f>IF('NEW ACCOUNT'!A1802="","",'NEW ACCOUNT'!F1802)</f>
        <v/>
      </c>
      <c r="G1801" t="str">
        <f>IF('NEW ACCOUNT'!A1802="","",'NEW ACCOUNT'!G1802)</f>
        <v/>
      </c>
      <c r="H1801" t="str">
        <f>IF('NEW ACCOUNT'!A1802="","",'NEW ACCOUNT'!H1802)</f>
        <v/>
      </c>
      <c r="I1801" t="str">
        <f>IF('NEW ACCOUNT'!A1802="","",'NEW ACCOUNT'!I1802)</f>
        <v/>
      </c>
      <c r="J1801" t="str">
        <f>IF('NEW ACCOUNT'!A1802="","",'NEW ACCOUNT'!J1802)</f>
        <v/>
      </c>
      <c r="K1801" t="str">
        <f>IFERROR(IF(A1801="","",SUMIF(DB_Savings!$A:$A,A1801,DB_Savings!$F:$F)),"")</f>
        <v/>
      </c>
      <c r="L1801" t="str">
        <f>IFERROR(IF(A1801="","",SUMIF(DB_Withdrawals!$A:$A,A1801,DB_Withdrawals!$G:$G)),"")</f>
        <v/>
      </c>
      <c r="M1801" t="str">
        <f>IFERROR(IF(A1801="","",IFERROR(VALUE(H1801),0)+IFERROR(SUMIF(DB_Savings!$A:$A,A1801,DB_Savings!$F:$F),0)-IFERROR(SUMIF(DB_Withdrawals!$A:$A,A1801,DB_Withdrawals!$G:$G),0)),"")</f>
        <v/>
      </c>
      <c r="N1801" t="str">
        <f>IFERROR(IF(A1801="","",MAX(0,M1801-System_Config!$B$9)),"")</f>
        <v/>
      </c>
    </row>
    <row r="1802" spans="1:14" ht="15" customHeight="1" x14ac:dyDescent="0.25">
      <c r="A1802" t="str">
        <f>'NEW ACCOUNT'!A1803</f>
        <v/>
      </c>
      <c r="B1802" t="str">
        <f>IF('NEW ACCOUNT'!A1803="","",'NEW ACCOUNT'!B1803)</f>
        <v/>
      </c>
      <c r="C1802" t="str">
        <f>IF('NEW ACCOUNT'!A1803="","",'NEW ACCOUNT'!C1803)</f>
        <v/>
      </c>
      <c r="D1802" t="str">
        <f>IF('NEW ACCOUNT'!A1803="","",'NEW ACCOUNT'!D1803)</f>
        <v/>
      </c>
      <c r="E1802" t="str">
        <f>IF('NEW ACCOUNT'!A1803="","",'NEW ACCOUNT'!E1803)</f>
        <v/>
      </c>
      <c r="F1802" t="str">
        <f>IF('NEW ACCOUNT'!A1803="","",'NEW ACCOUNT'!F1803)</f>
        <v/>
      </c>
      <c r="G1802" t="str">
        <f>IF('NEW ACCOUNT'!A1803="","",'NEW ACCOUNT'!G1803)</f>
        <v/>
      </c>
      <c r="H1802" t="str">
        <f>IF('NEW ACCOUNT'!A1803="","",'NEW ACCOUNT'!H1803)</f>
        <v/>
      </c>
      <c r="I1802" t="str">
        <f>IF('NEW ACCOUNT'!A1803="","",'NEW ACCOUNT'!I1803)</f>
        <v/>
      </c>
      <c r="J1802" t="str">
        <f>IF('NEW ACCOUNT'!A1803="","",'NEW ACCOUNT'!J1803)</f>
        <v/>
      </c>
      <c r="K1802" t="str">
        <f>IFERROR(IF(A1802="","",SUMIF(DB_Savings!$A:$A,A1802,DB_Savings!$F:$F)),"")</f>
        <v/>
      </c>
      <c r="L1802" t="str">
        <f>IFERROR(IF(A1802="","",SUMIF(DB_Withdrawals!$A:$A,A1802,DB_Withdrawals!$G:$G)),"")</f>
        <v/>
      </c>
      <c r="M1802" t="str">
        <f>IFERROR(IF(A1802="","",IFERROR(VALUE(H1802),0)+IFERROR(SUMIF(DB_Savings!$A:$A,A1802,DB_Savings!$F:$F),0)-IFERROR(SUMIF(DB_Withdrawals!$A:$A,A1802,DB_Withdrawals!$G:$G),0)),"")</f>
        <v/>
      </c>
      <c r="N1802" t="str">
        <f>IFERROR(IF(A1802="","",MAX(0,M1802-System_Config!$B$9)),"")</f>
        <v/>
      </c>
    </row>
    <row r="1803" spans="1:14" ht="15" customHeight="1" x14ac:dyDescent="0.25">
      <c r="A1803" t="str">
        <f>'NEW ACCOUNT'!A1804</f>
        <v/>
      </c>
      <c r="B1803" t="str">
        <f>IF('NEW ACCOUNT'!A1804="","",'NEW ACCOUNT'!B1804)</f>
        <v/>
      </c>
      <c r="C1803" t="str">
        <f>IF('NEW ACCOUNT'!A1804="","",'NEW ACCOUNT'!C1804)</f>
        <v/>
      </c>
      <c r="D1803" t="str">
        <f>IF('NEW ACCOUNT'!A1804="","",'NEW ACCOUNT'!D1804)</f>
        <v/>
      </c>
      <c r="E1803" t="str">
        <f>IF('NEW ACCOUNT'!A1804="","",'NEW ACCOUNT'!E1804)</f>
        <v/>
      </c>
      <c r="F1803" t="str">
        <f>IF('NEW ACCOUNT'!A1804="","",'NEW ACCOUNT'!F1804)</f>
        <v/>
      </c>
      <c r="G1803" t="str">
        <f>IF('NEW ACCOUNT'!A1804="","",'NEW ACCOUNT'!G1804)</f>
        <v/>
      </c>
      <c r="H1803" t="str">
        <f>IF('NEW ACCOUNT'!A1804="","",'NEW ACCOUNT'!H1804)</f>
        <v/>
      </c>
      <c r="I1803" t="str">
        <f>IF('NEW ACCOUNT'!A1804="","",'NEW ACCOUNT'!I1804)</f>
        <v/>
      </c>
      <c r="J1803" t="str">
        <f>IF('NEW ACCOUNT'!A1804="","",'NEW ACCOUNT'!J1804)</f>
        <v/>
      </c>
      <c r="K1803" t="str">
        <f>IFERROR(IF(A1803="","",SUMIF(DB_Savings!$A:$A,A1803,DB_Savings!$F:$F)),"")</f>
        <v/>
      </c>
      <c r="L1803" t="str">
        <f>IFERROR(IF(A1803="","",SUMIF(DB_Withdrawals!$A:$A,A1803,DB_Withdrawals!$G:$G)),"")</f>
        <v/>
      </c>
      <c r="M1803" t="str">
        <f>IFERROR(IF(A1803="","",IFERROR(VALUE(H1803),0)+IFERROR(SUMIF(DB_Savings!$A:$A,A1803,DB_Savings!$F:$F),0)-IFERROR(SUMIF(DB_Withdrawals!$A:$A,A1803,DB_Withdrawals!$G:$G),0)),"")</f>
        <v/>
      </c>
      <c r="N1803" t="str">
        <f>IFERROR(IF(A1803="","",MAX(0,M1803-System_Config!$B$9)),"")</f>
        <v/>
      </c>
    </row>
    <row r="1804" spans="1:14" ht="15" customHeight="1" x14ac:dyDescent="0.25">
      <c r="A1804" t="str">
        <f>'NEW ACCOUNT'!A1805</f>
        <v/>
      </c>
      <c r="B1804" t="str">
        <f>IF('NEW ACCOUNT'!A1805="","",'NEW ACCOUNT'!B1805)</f>
        <v/>
      </c>
      <c r="C1804" t="str">
        <f>IF('NEW ACCOUNT'!A1805="","",'NEW ACCOUNT'!C1805)</f>
        <v/>
      </c>
      <c r="D1804" t="str">
        <f>IF('NEW ACCOUNT'!A1805="","",'NEW ACCOUNT'!D1805)</f>
        <v/>
      </c>
      <c r="E1804" t="str">
        <f>IF('NEW ACCOUNT'!A1805="","",'NEW ACCOUNT'!E1805)</f>
        <v/>
      </c>
      <c r="F1804" t="str">
        <f>IF('NEW ACCOUNT'!A1805="","",'NEW ACCOUNT'!F1805)</f>
        <v/>
      </c>
      <c r="G1804" t="str">
        <f>IF('NEW ACCOUNT'!A1805="","",'NEW ACCOUNT'!G1805)</f>
        <v/>
      </c>
      <c r="H1804" t="str">
        <f>IF('NEW ACCOUNT'!A1805="","",'NEW ACCOUNT'!H1805)</f>
        <v/>
      </c>
      <c r="I1804" t="str">
        <f>IF('NEW ACCOUNT'!A1805="","",'NEW ACCOUNT'!I1805)</f>
        <v/>
      </c>
      <c r="J1804" t="str">
        <f>IF('NEW ACCOUNT'!A1805="","",'NEW ACCOUNT'!J1805)</f>
        <v/>
      </c>
      <c r="K1804" t="str">
        <f>IFERROR(IF(A1804="","",SUMIF(DB_Savings!$A:$A,A1804,DB_Savings!$F:$F)),"")</f>
        <v/>
      </c>
      <c r="L1804" t="str">
        <f>IFERROR(IF(A1804="","",SUMIF(DB_Withdrawals!$A:$A,A1804,DB_Withdrawals!$G:$G)),"")</f>
        <v/>
      </c>
      <c r="M1804" t="str">
        <f>IFERROR(IF(A1804="","",IFERROR(VALUE(H1804),0)+IFERROR(SUMIF(DB_Savings!$A:$A,A1804,DB_Savings!$F:$F),0)-IFERROR(SUMIF(DB_Withdrawals!$A:$A,A1804,DB_Withdrawals!$G:$G),0)),"")</f>
        <v/>
      </c>
      <c r="N1804" t="str">
        <f>IFERROR(IF(A1804="","",MAX(0,M1804-System_Config!$B$9)),"")</f>
        <v/>
      </c>
    </row>
    <row r="1805" spans="1:14" ht="15" customHeight="1" x14ac:dyDescent="0.25">
      <c r="A1805" t="str">
        <f>'NEW ACCOUNT'!A1806</f>
        <v/>
      </c>
      <c r="B1805" t="str">
        <f>IF('NEW ACCOUNT'!A1806="","",'NEW ACCOUNT'!B1806)</f>
        <v/>
      </c>
      <c r="C1805" t="str">
        <f>IF('NEW ACCOUNT'!A1806="","",'NEW ACCOUNT'!C1806)</f>
        <v/>
      </c>
      <c r="D1805" t="str">
        <f>IF('NEW ACCOUNT'!A1806="","",'NEW ACCOUNT'!D1806)</f>
        <v/>
      </c>
      <c r="E1805" t="str">
        <f>IF('NEW ACCOUNT'!A1806="","",'NEW ACCOUNT'!E1806)</f>
        <v/>
      </c>
      <c r="F1805" t="str">
        <f>IF('NEW ACCOUNT'!A1806="","",'NEW ACCOUNT'!F1806)</f>
        <v/>
      </c>
      <c r="G1805" t="str">
        <f>IF('NEW ACCOUNT'!A1806="","",'NEW ACCOUNT'!G1806)</f>
        <v/>
      </c>
      <c r="H1805" t="str">
        <f>IF('NEW ACCOUNT'!A1806="","",'NEW ACCOUNT'!H1806)</f>
        <v/>
      </c>
      <c r="I1805" t="str">
        <f>IF('NEW ACCOUNT'!A1806="","",'NEW ACCOUNT'!I1806)</f>
        <v/>
      </c>
      <c r="J1805" t="str">
        <f>IF('NEW ACCOUNT'!A1806="","",'NEW ACCOUNT'!J1806)</f>
        <v/>
      </c>
      <c r="K1805" t="str">
        <f>IFERROR(IF(A1805="","",SUMIF(DB_Savings!$A:$A,A1805,DB_Savings!$F:$F)),"")</f>
        <v/>
      </c>
      <c r="L1805" t="str">
        <f>IFERROR(IF(A1805="","",SUMIF(DB_Withdrawals!$A:$A,A1805,DB_Withdrawals!$G:$G)),"")</f>
        <v/>
      </c>
      <c r="M1805" t="str">
        <f>IFERROR(IF(A1805="","",IFERROR(VALUE(H1805),0)+IFERROR(SUMIF(DB_Savings!$A:$A,A1805,DB_Savings!$F:$F),0)-IFERROR(SUMIF(DB_Withdrawals!$A:$A,A1805,DB_Withdrawals!$G:$G),0)),"")</f>
        <v/>
      </c>
      <c r="N1805" t="str">
        <f>IFERROR(IF(A1805="","",MAX(0,M1805-System_Config!$B$9)),"")</f>
        <v/>
      </c>
    </row>
    <row r="1806" spans="1:14" ht="15" customHeight="1" x14ac:dyDescent="0.25">
      <c r="A1806" t="str">
        <f>'NEW ACCOUNT'!A1807</f>
        <v/>
      </c>
      <c r="B1806" t="str">
        <f>IF('NEW ACCOUNT'!A1807="","",'NEW ACCOUNT'!B1807)</f>
        <v/>
      </c>
      <c r="C1806" t="str">
        <f>IF('NEW ACCOUNT'!A1807="","",'NEW ACCOUNT'!C1807)</f>
        <v/>
      </c>
      <c r="D1806" t="str">
        <f>IF('NEW ACCOUNT'!A1807="","",'NEW ACCOUNT'!D1807)</f>
        <v/>
      </c>
      <c r="E1806" t="str">
        <f>IF('NEW ACCOUNT'!A1807="","",'NEW ACCOUNT'!E1807)</f>
        <v/>
      </c>
      <c r="F1806" t="str">
        <f>IF('NEW ACCOUNT'!A1807="","",'NEW ACCOUNT'!F1807)</f>
        <v/>
      </c>
      <c r="G1806" t="str">
        <f>IF('NEW ACCOUNT'!A1807="","",'NEW ACCOUNT'!G1807)</f>
        <v/>
      </c>
      <c r="H1806" t="str">
        <f>IF('NEW ACCOUNT'!A1807="","",'NEW ACCOUNT'!H1807)</f>
        <v/>
      </c>
      <c r="I1806" t="str">
        <f>IF('NEW ACCOUNT'!A1807="","",'NEW ACCOUNT'!I1807)</f>
        <v/>
      </c>
      <c r="J1806" t="str">
        <f>IF('NEW ACCOUNT'!A1807="","",'NEW ACCOUNT'!J1807)</f>
        <v/>
      </c>
      <c r="K1806" t="str">
        <f>IFERROR(IF(A1806="","",SUMIF(DB_Savings!$A:$A,A1806,DB_Savings!$F:$F)),"")</f>
        <v/>
      </c>
      <c r="L1806" t="str">
        <f>IFERROR(IF(A1806="","",SUMIF(DB_Withdrawals!$A:$A,A1806,DB_Withdrawals!$G:$G)),"")</f>
        <v/>
      </c>
      <c r="M1806" t="str">
        <f>IFERROR(IF(A1806="","",IFERROR(VALUE(H1806),0)+IFERROR(SUMIF(DB_Savings!$A:$A,A1806,DB_Savings!$F:$F),0)-IFERROR(SUMIF(DB_Withdrawals!$A:$A,A1806,DB_Withdrawals!$G:$G),0)),"")</f>
        <v/>
      </c>
      <c r="N1806" t="str">
        <f>IFERROR(IF(A1806="","",MAX(0,M1806-System_Config!$B$9)),"")</f>
        <v/>
      </c>
    </row>
    <row r="1807" spans="1:14" ht="15" customHeight="1" x14ac:dyDescent="0.25">
      <c r="A1807" t="str">
        <f>'NEW ACCOUNT'!A1808</f>
        <v/>
      </c>
      <c r="B1807" t="str">
        <f>IF('NEW ACCOUNT'!A1808="","",'NEW ACCOUNT'!B1808)</f>
        <v/>
      </c>
      <c r="C1807" t="str">
        <f>IF('NEW ACCOUNT'!A1808="","",'NEW ACCOUNT'!C1808)</f>
        <v/>
      </c>
      <c r="D1807" t="str">
        <f>IF('NEW ACCOUNT'!A1808="","",'NEW ACCOUNT'!D1808)</f>
        <v/>
      </c>
      <c r="E1807" t="str">
        <f>IF('NEW ACCOUNT'!A1808="","",'NEW ACCOUNT'!E1808)</f>
        <v/>
      </c>
      <c r="F1807" t="str">
        <f>IF('NEW ACCOUNT'!A1808="","",'NEW ACCOUNT'!F1808)</f>
        <v/>
      </c>
      <c r="G1807" t="str">
        <f>IF('NEW ACCOUNT'!A1808="","",'NEW ACCOUNT'!G1808)</f>
        <v/>
      </c>
      <c r="H1807" t="str">
        <f>IF('NEW ACCOUNT'!A1808="","",'NEW ACCOUNT'!H1808)</f>
        <v/>
      </c>
      <c r="I1807" t="str">
        <f>IF('NEW ACCOUNT'!A1808="","",'NEW ACCOUNT'!I1808)</f>
        <v/>
      </c>
      <c r="J1807" t="str">
        <f>IF('NEW ACCOUNT'!A1808="","",'NEW ACCOUNT'!J1808)</f>
        <v/>
      </c>
      <c r="K1807" t="str">
        <f>IFERROR(IF(A1807="","",SUMIF(DB_Savings!$A:$A,A1807,DB_Savings!$F:$F)),"")</f>
        <v/>
      </c>
      <c r="L1807" t="str">
        <f>IFERROR(IF(A1807="","",SUMIF(DB_Withdrawals!$A:$A,A1807,DB_Withdrawals!$G:$G)),"")</f>
        <v/>
      </c>
      <c r="M1807" t="str">
        <f>IFERROR(IF(A1807="","",IFERROR(VALUE(H1807),0)+IFERROR(SUMIF(DB_Savings!$A:$A,A1807,DB_Savings!$F:$F),0)-IFERROR(SUMIF(DB_Withdrawals!$A:$A,A1807,DB_Withdrawals!$G:$G),0)),"")</f>
        <v/>
      </c>
      <c r="N1807" t="str">
        <f>IFERROR(IF(A1807="","",MAX(0,M1807-System_Config!$B$9)),"")</f>
        <v/>
      </c>
    </row>
    <row r="1808" spans="1:14" ht="15" customHeight="1" x14ac:dyDescent="0.25">
      <c r="A1808" t="str">
        <f>'NEW ACCOUNT'!A1809</f>
        <v/>
      </c>
      <c r="B1808" t="str">
        <f>IF('NEW ACCOUNT'!A1809="","",'NEW ACCOUNT'!B1809)</f>
        <v/>
      </c>
      <c r="C1808" t="str">
        <f>IF('NEW ACCOUNT'!A1809="","",'NEW ACCOUNT'!C1809)</f>
        <v/>
      </c>
      <c r="D1808" t="str">
        <f>IF('NEW ACCOUNT'!A1809="","",'NEW ACCOUNT'!D1809)</f>
        <v/>
      </c>
      <c r="E1808" t="str">
        <f>IF('NEW ACCOUNT'!A1809="","",'NEW ACCOUNT'!E1809)</f>
        <v/>
      </c>
      <c r="F1808" t="str">
        <f>IF('NEW ACCOUNT'!A1809="","",'NEW ACCOUNT'!F1809)</f>
        <v/>
      </c>
      <c r="G1808" t="str">
        <f>IF('NEW ACCOUNT'!A1809="","",'NEW ACCOUNT'!G1809)</f>
        <v/>
      </c>
      <c r="H1808" t="str">
        <f>IF('NEW ACCOUNT'!A1809="","",'NEW ACCOUNT'!H1809)</f>
        <v/>
      </c>
      <c r="I1808" t="str">
        <f>IF('NEW ACCOUNT'!A1809="","",'NEW ACCOUNT'!I1809)</f>
        <v/>
      </c>
      <c r="J1808" t="str">
        <f>IF('NEW ACCOUNT'!A1809="","",'NEW ACCOUNT'!J1809)</f>
        <v/>
      </c>
      <c r="K1808" t="str">
        <f>IFERROR(IF(A1808="","",SUMIF(DB_Savings!$A:$A,A1808,DB_Savings!$F:$F)),"")</f>
        <v/>
      </c>
      <c r="L1808" t="str">
        <f>IFERROR(IF(A1808="","",SUMIF(DB_Withdrawals!$A:$A,A1808,DB_Withdrawals!$G:$G)),"")</f>
        <v/>
      </c>
      <c r="M1808" t="str">
        <f>IFERROR(IF(A1808="","",IFERROR(VALUE(H1808),0)+IFERROR(SUMIF(DB_Savings!$A:$A,A1808,DB_Savings!$F:$F),0)-IFERROR(SUMIF(DB_Withdrawals!$A:$A,A1808,DB_Withdrawals!$G:$G),0)),"")</f>
        <v/>
      </c>
      <c r="N1808" t="str">
        <f>IFERROR(IF(A1808="","",MAX(0,M1808-System_Config!$B$9)),"")</f>
        <v/>
      </c>
    </row>
    <row r="1809" spans="1:14" ht="15" customHeight="1" x14ac:dyDescent="0.25">
      <c r="A1809" t="str">
        <f>'NEW ACCOUNT'!A1810</f>
        <v/>
      </c>
      <c r="B1809" t="str">
        <f>IF('NEW ACCOUNT'!A1810="","",'NEW ACCOUNT'!B1810)</f>
        <v/>
      </c>
      <c r="C1809" t="str">
        <f>IF('NEW ACCOUNT'!A1810="","",'NEW ACCOUNT'!C1810)</f>
        <v/>
      </c>
      <c r="D1809" t="str">
        <f>IF('NEW ACCOUNT'!A1810="","",'NEW ACCOUNT'!D1810)</f>
        <v/>
      </c>
      <c r="E1809" t="str">
        <f>IF('NEW ACCOUNT'!A1810="","",'NEW ACCOUNT'!E1810)</f>
        <v/>
      </c>
      <c r="F1809" t="str">
        <f>IF('NEW ACCOUNT'!A1810="","",'NEW ACCOUNT'!F1810)</f>
        <v/>
      </c>
      <c r="G1809" t="str">
        <f>IF('NEW ACCOUNT'!A1810="","",'NEW ACCOUNT'!G1810)</f>
        <v/>
      </c>
      <c r="H1809" t="str">
        <f>IF('NEW ACCOUNT'!A1810="","",'NEW ACCOUNT'!H1810)</f>
        <v/>
      </c>
      <c r="I1809" t="str">
        <f>IF('NEW ACCOUNT'!A1810="","",'NEW ACCOUNT'!I1810)</f>
        <v/>
      </c>
      <c r="J1809" t="str">
        <f>IF('NEW ACCOUNT'!A1810="","",'NEW ACCOUNT'!J1810)</f>
        <v/>
      </c>
      <c r="K1809" t="str">
        <f>IFERROR(IF(A1809="","",SUMIF(DB_Savings!$A:$A,A1809,DB_Savings!$F:$F)),"")</f>
        <v/>
      </c>
      <c r="L1809" t="str">
        <f>IFERROR(IF(A1809="","",SUMIF(DB_Withdrawals!$A:$A,A1809,DB_Withdrawals!$G:$G)),"")</f>
        <v/>
      </c>
      <c r="M1809" t="str">
        <f>IFERROR(IF(A1809="","",IFERROR(VALUE(H1809),0)+IFERROR(SUMIF(DB_Savings!$A:$A,A1809,DB_Savings!$F:$F),0)-IFERROR(SUMIF(DB_Withdrawals!$A:$A,A1809,DB_Withdrawals!$G:$G),0)),"")</f>
        <v/>
      </c>
      <c r="N1809" t="str">
        <f>IFERROR(IF(A1809="","",MAX(0,M1809-System_Config!$B$9)),"")</f>
        <v/>
      </c>
    </row>
    <row r="1810" spans="1:14" ht="15" customHeight="1" x14ac:dyDescent="0.25">
      <c r="A1810" t="str">
        <f>'NEW ACCOUNT'!A1811</f>
        <v/>
      </c>
      <c r="B1810" t="str">
        <f>IF('NEW ACCOUNT'!A1811="","",'NEW ACCOUNT'!B1811)</f>
        <v/>
      </c>
      <c r="C1810" t="str">
        <f>IF('NEW ACCOUNT'!A1811="","",'NEW ACCOUNT'!C1811)</f>
        <v/>
      </c>
      <c r="D1810" t="str">
        <f>IF('NEW ACCOUNT'!A1811="","",'NEW ACCOUNT'!D1811)</f>
        <v/>
      </c>
      <c r="E1810" t="str">
        <f>IF('NEW ACCOUNT'!A1811="","",'NEW ACCOUNT'!E1811)</f>
        <v/>
      </c>
      <c r="F1810" t="str">
        <f>IF('NEW ACCOUNT'!A1811="","",'NEW ACCOUNT'!F1811)</f>
        <v/>
      </c>
      <c r="G1810" t="str">
        <f>IF('NEW ACCOUNT'!A1811="","",'NEW ACCOUNT'!G1811)</f>
        <v/>
      </c>
      <c r="H1810" t="str">
        <f>IF('NEW ACCOUNT'!A1811="","",'NEW ACCOUNT'!H1811)</f>
        <v/>
      </c>
      <c r="I1810" t="str">
        <f>IF('NEW ACCOUNT'!A1811="","",'NEW ACCOUNT'!I1811)</f>
        <v/>
      </c>
      <c r="J1810" t="str">
        <f>IF('NEW ACCOUNT'!A1811="","",'NEW ACCOUNT'!J1811)</f>
        <v/>
      </c>
      <c r="K1810" t="str">
        <f>IFERROR(IF(A1810="","",SUMIF(DB_Savings!$A:$A,A1810,DB_Savings!$F:$F)),"")</f>
        <v/>
      </c>
      <c r="L1810" t="str">
        <f>IFERROR(IF(A1810="","",SUMIF(DB_Withdrawals!$A:$A,A1810,DB_Withdrawals!$G:$G)),"")</f>
        <v/>
      </c>
      <c r="M1810" t="str">
        <f>IFERROR(IF(A1810="","",IFERROR(VALUE(H1810),0)+IFERROR(SUMIF(DB_Savings!$A:$A,A1810,DB_Savings!$F:$F),0)-IFERROR(SUMIF(DB_Withdrawals!$A:$A,A1810,DB_Withdrawals!$G:$G),0)),"")</f>
        <v/>
      </c>
      <c r="N1810" t="str">
        <f>IFERROR(IF(A1810="","",MAX(0,M1810-System_Config!$B$9)),"")</f>
        <v/>
      </c>
    </row>
    <row r="1811" spans="1:14" ht="15" customHeight="1" x14ac:dyDescent="0.25">
      <c r="A1811" t="str">
        <f>'NEW ACCOUNT'!A1812</f>
        <v/>
      </c>
      <c r="B1811" t="str">
        <f>IF('NEW ACCOUNT'!A1812="","",'NEW ACCOUNT'!B1812)</f>
        <v/>
      </c>
      <c r="C1811" t="str">
        <f>IF('NEW ACCOUNT'!A1812="","",'NEW ACCOUNT'!C1812)</f>
        <v/>
      </c>
      <c r="D1811" t="str">
        <f>IF('NEW ACCOUNT'!A1812="","",'NEW ACCOUNT'!D1812)</f>
        <v/>
      </c>
      <c r="E1811" t="str">
        <f>IF('NEW ACCOUNT'!A1812="","",'NEW ACCOUNT'!E1812)</f>
        <v/>
      </c>
      <c r="F1811" t="str">
        <f>IF('NEW ACCOUNT'!A1812="","",'NEW ACCOUNT'!F1812)</f>
        <v/>
      </c>
      <c r="G1811" t="str">
        <f>IF('NEW ACCOUNT'!A1812="","",'NEW ACCOUNT'!G1812)</f>
        <v/>
      </c>
      <c r="H1811" t="str">
        <f>IF('NEW ACCOUNT'!A1812="","",'NEW ACCOUNT'!H1812)</f>
        <v/>
      </c>
      <c r="I1811" t="str">
        <f>IF('NEW ACCOUNT'!A1812="","",'NEW ACCOUNT'!I1812)</f>
        <v/>
      </c>
      <c r="J1811" t="str">
        <f>IF('NEW ACCOUNT'!A1812="","",'NEW ACCOUNT'!J1812)</f>
        <v/>
      </c>
      <c r="K1811" t="str">
        <f>IFERROR(IF(A1811="","",SUMIF(DB_Savings!$A:$A,A1811,DB_Savings!$F:$F)),"")</f>
        <v/>
      </c>
      <c r="L1811" t="str">
        <f>IFERROR(IF(A1811="","",SUMIF(DB_Withdrawals!$A:$A,A1811,DB_Withdrawals!$G:$G)),"")</f>
        <v/>
      </c>
      <c r="M1811" t="str">
        <f>IFERROR(IF(A1811="","",IFERROR(VALUE(H1811),0)+IFERROR(SUMIF(DB_Savings!$A:$A,A1811,DB_Savings!$F:$F),0)-IFERROR(SUMIF(DB_Withdrawals!$A:$A,A1811,DB_Withdrawals!$G:$G),0)),"")</f>
        <v/>
      </c>
      <c r="N1811" t="str">
        <f>IFERROR(IF(A1811="","",MAX(0,M1811-System_Config!$B$9)),"")</f>
        <v/>
      </c>
    </row>
    <row r="1812" spans="1:14" ht="15" customHeight="1" x14ac:dyDescent="0.25">
      <c r="A1812" t="str">
        <f>'NEW ACCOUNT'!A1813</f>
        <v/>
      </c>
      <c r="B1812" t="str">
        <f>IF('NEW ACCOUNT'!A1813="","",'NEW ACCOUNT'!B1813)</f>
        <v/>
      </c>
      <c r="C1812" t="str">
        <f>IF('NEW ACCOUNT'!A1813="","",'NEW ACCOUNT'!C1813)</f>
        <v/>
      </c>
      <c r="D1812" t="str">
        <f>IF('NEW ACCOUNT'!A1813="","",'NEW ACCOUNT'!D1813)</f>
        <v/>
      </c>
      <c r="E1812" t="str">
        <f>IF('NEW ACCOUNT'!A1813="","",'NEW ACCOUNT'!E1813)</f>
        <v/>
      </c>
      <c r="F1812" t="str">
        <f>IF('NEW ACCOUNT'!A1813="","",'NEW ACCOUNT'!F1813)</f>
        <v/>
      </c>
      <c r="G1812" t="str">
        <f>IF('NEW ACCOUNT'!A1813="","",'NEW ACCOUNT'!G1813)</f>
        <v/>
      </c>
      <c r="H1812" t="str">
        <f>IF('NEW ACCOUNT'!A1813="","",'NEW ACCOUNT'!H1813)</f>
        <v/>
      </c>
      <c r="I1812" t="str">
        <f>IF('NEW ACCOUNT'!A1813="","",'NEW ACCOUNT'!I1813)</f>
        <v/>
      </c>
      <c r="J1812" t="str">
        <f>IF('NEW ACCOUNT'!A1813="","",'NEW ACCOUNT'!J1813)</f>
        <v/>
      </c>
      <c r="K1812" t="str">
        <f>IFERROR(IF(A1812="","",SUMIF(DB_Savings!$A:$A,A1812,DB_Savings!$F:$F)),"")</f>
        <v/>
      </c>
      <c r="L1812" t="str">
        <f>IFERROR(IF(A1812="","",SUMIF(DB_Withdrawals!$A:$A,A1812,DB_Withdrawals!$G:$G)),"")</f>
        <v/>
      </c>
      <c r="M1812" t="str">
        <f>IFERROR(IF(A1812="","",IFERROR(VALUE(H1812),0)+IFERROR(SUMIF(DB_Savings!$A:$A,A1812,DB_Savings!$F:$F),0)-IFERROR(SUMIF(DB_Withdrawals!$A:$A,A1812,DB_Withdrawals!$G:$G),0)),"")</f>
        <v/>
      </c>
      <c r="N1812" t="str">
        <f>IFERROR(IF(A1812="","",MAX(0,M1812-System_Config!$B$9)),"")</f>
        <v/>
      </c>
    </row>
    <row r="1813" spans="1:14" ht="15" customHeight="1" x14ac:dyDescent="0.25">
      <c r="A1813" t="str">
        <f>'NEW ACCOUNT'!A1814</f>
        <v/>
      </c>
      <c r="B1813" t="str">
        <f>IF('NEW ACCOUNT'!A1814="","",'NEW ACCOUNT'!B1814)</f>
        <v/>
      </c>
      <c r="C1813" t="str">
        <f>IF('NEW ACCOUNT'!A1814="","",'NEW ACCOUNT'!C1814)</f>
        <v/>
      </c>
      <c r="D1813" t="str">
        <f>IF('NEW ACCOUNT'!A1814="","",'NEW ACCOUNT'!D1814)</f>
        <v/>
      </c>
      <c r="E1813" t="str">
        <f>IF('NEW ACCOUNT'!A1814="","",'NEW ACCOUNT'!E1814)</f>
        <v/>
      </c>
      <c r="F1813" t="str">
        <f>IF('NEW ACCOUNT'!A1814="","",'NEW ACCOUNT'!F1814)</f>
        <v/>
      </c>
      <c r="G1813" t="str">
        <f>IF('NEW ACCOUNT'!A1814="","",'NEW ACCOUNT'!G1814)</f>
        <v/>
      </c>
      <c r="H1813" t="str">
        <f>IF('NEW ACCOUNT'!A1814="","",'NEW ACCOUNT'!H1814)</f>
        <v/>
      </c>
      <c r="I1813" t="str">
        <f>IF('NEW ACCOUNT'!A1814="","",'NEW ACCOUNT'!I1814)</f>
        <v/>
      </c>
      <c r="J1813" t="str">
        <f>IF('NEW ACCOUNT'!A1814="","",'NEW ACCOUNT'!J1814)</f>
        <v/>
      </c>
      <c r="K1813" t="str">
        <f>IFERROR(IF(A1813="","",SUMIF(DB_Savings!$A:$A,A1813,DB_Savings!$F:$F)),"")</f>
        <v/>
      </c>
      <c r="L1813" t="str">
        <f>IFERROR(IF(A1813="","",SUMIF(DB_Withdrawals!$A:$A,A1813,DB_Withdrawals!$G:$G)),"")</f>
        <v/>
      </c>
      <c r="M1813" t="str">
        <f>IFERROR(IF(A1813="","",IFERROR(VALUE(H1813),0)+IFERROR(SUMIF(DB_Savings!$A:$A,A1813,DB_Savings!$F:$F),0)-IFERROR(SUMIF(DB_Withdrawals!$A:$A,A1813,DB_Withdrawals!$G:$G),0)),"")</f>
        <v/>
      </c>
      <c r="N1813" t="str">
        <f>IFERROR(IF(A1813="","",MAX(0,M1813-System_Config!$B$9)),"")</f>
        <v/>
      </c>
    </row>
    <row r="1814" spans="1:14" ht="15" customHeight="1" x14ac:dyDescent="0.25">
      <c r="A1814" t="str">
        <f>'NEW ACCOUNT'!A1815</f>
        <v/>
      </c>
      <c r="B1814" t="str">
        <f>IF('NEW ACCOUNT'!A1815="","",'NEW ACCOUNT'!B1815)</f>
        <v/>
      </c>
      <c r="C1814" t="str">
        <f>IF('NEW ACCOUNT'!A1815="","",'NEW ACCOUNT'!C1815)</f>
        <v/>
      </c>
      <c r="D1814" t="str">
        <f>IF('NEW ACCOUNT'!A1815="","",'NEW ACCOUNT'!D1815)</f>
        <v/>
      </c>
      <c r="E1814" t="str">
        <f>IF('NEW ACCOUNT'!A1815="","",'NEW ACCOUNT'!E1815)</f>
        <v/>
      </c>
      <c r="F1814" t="str">
        <f>IF('NEW ACCOUNT'!A1815="","",'NEW ACCOUNT'!F1815)</f>
        <v/>
      </c>
      <c r="G1814" t="str">
        <f>IF('NEW ACCOUNT'!A1815="","",'NEW ACCOUNT'!G1815)</f>
        <v/>
      </c>
      <c r="H1814" t="str">
        <f>IF('NEW ACCOUNT'!A1815="","",'NEW ACCOUNT'!H1815)</f>
        <v/>
      </c>
      <c r="I1814" t="str">
        <f>IF('NEW ACCOUNT'!A1815="","",'NEW ACCOUNT'!I1815)</f>
        <v/>
      </c>
      <c r="J1814" t="str">
        <f>IF('NEW ACCOUNT'!A1815="","",'NEW ACCOUNT'!J1815)</f>
        <v/>
      </c>
      <c r="K1814" t="str">
        <f>IFERROR(IF(A1814="","",SUMIF(DB_Savings!$A:$A,A1814,DB_Savings!$F:$F)),"")</f>
        <v/>
      </c>
      <c r="L1814" t="str">
        <f>IFERROR(IF(A1814="","",SUMIF(DB_Withdrawals!$A:$A,A1814,DB_Withdrawals!$G:$G)),"")</f>
        <v/>
      </c>
      <c r="M1814" t="str">
        <f>IFERROR(IF(A1814="","",IFERROR(VALUE(H1814),0)+IFERROR(SUMIF(DB_Savings!$A:$A,A1814,DB_Savings!$F:$F),0)-IFERROR(SUMIF(DB_Withdrawals!$A:$A,A1814,DB_Withdrawals!$G:$G),0)),"")</f>
        <v/>
      </c>
      <c r="N1814" t="str">
        <f>IFERROR(IF(A1814="","",MAX(0,M1814-System_Config!$B$9)),"")</f>
        <v/>
      </c>
    </row>
    <row r="1815" spans="1:14" ht="15" customHeight="1" x14ac:dyDescent="0.25">
      <c r="A1815" t="str">
        <f>'NEW ACCOUNT'!A1816</f>
        <v/>
      </c>
      <c r="B1815" t="str">
        <f>IF('NEW ACCOUNT'!A1816="","",'NEW ACCOUNT'!B1816)</f>
        <v/>
      </c>
      <c r="C1815" t="str">
        <f>IF('NEW ACCOUNT'!A1816="","",'NEW ACCOUNT'!C1816)</f>
        <v/>
      </c>
      <c r="D1815" t="str">
        <f>IF('NEW ACCOUNT'!A1816="","",'NEW ACCOUNT'!D1816)</f>
        <v/>
      </c>
      <c r="E1815" t="str">
        <f>IF('NEW ACCOUNT'!A1816="","",'NEW ACCOUNT'!E1816)</f>
        <v/>
      </c>
      <c r="F1815" t="str">
        <f>IF('NEW ACCOUNT'!A1816="","",'NEW ACCOUNT'!F1816)</f>
        <v/>
      </c>
      <c r="G1815" t="str">
        <f>IF('NEW ACCOUNT'!A1816="","",'NEW ACCOUNT'!G1816)</f>
        <v/>
      </c>
      <c r="H1815" t="str">
        <f>IF('NEW ACCOUNT'!A1816="","",'NEW ACCOUNT'!H1816)</f>
        <v/>
      </c>
      <c r="I1815" t="str">
        <f>IF('NEW ACCOUNT'!A1816="","",'NEW ACCOUNT'!I1816)</f>
        <v/>
      </c>
      <c r="J1815" t="str">
        <f>IF('NEW ACCOUNT'!A1816="","",'NEW ACCOUNT'!J1816)</f>
        <v/>
      </c>
      <c r="K1815" t="str">
        <f>IFERROR(IF(A1815="","",SUMIF(DB_Savings!$A:$A,A1815,DB_Savings!$F:$F)),"")</f>
        <v/>
      </c>
      <c r="L1815" t="str">
        <f>IFERROR(IF(A1815="","",SUMIF(DB_Withdrawals!$A:$A,A1815,DB_Withdrawals!$G:$G)),"")</f>
        <v/>
      </c>
      <c r="M1815" t="str">
        <f>IFERROR(IF(A1815="","",IFERROR(VALUE(H1815),0)+IFERROR(SUMIF(DB_Savings!$A:$A,A1815,DB_Savings!$F:$F),0)-IFERROR(SUMIF(DB_Withdrawals!$A:$A,A1815,DB_Withdrawals!$G:$G),0)),"")</f>
        <v/>
      </c>
      <c r="N1815" t="str">
        <f>IFERROR(IF(A1815="","",MAX(0,M1815-System_Config!$B$9)),"")</f>
        <v/>
      </c>
    </row>
    <row r="1816" spans="1:14" ht="15" customHeight="1" x14ac:dyDescent="0.25">
      <c r="A1816" t="str">
        <f>'NEW ACCOUNT'!A1817</f>
        <v/>
      </c>
      <c r="B1816" t="str">
        <f>IF('NEW ACCOUNT'!A1817="","",'NEW ACCOUNT'!B1817)</f>
        <v/>
      </c>
      <c r="C1816" t="str">
        <f>IF('NEW ACCOUNT'!A1817="","",'NEW ACCOUNT'!C1817)</f>
        <v/>
      </c>
      <c r="D1816" t="str">
        <f>IF('NEW ACCOUNT'!A1817="","",'NEW ACCOUNT'!D1817)</f>
        <v/>
      </c>
      <c r="E1816" t="str">
        <f>IF('NEW ACCOUNT'!A1817="","",'NEW ACCOUNT'!E1817)</f>
        <v/>
      </c>
      <c r="F1816" t="str">
        <f>IF('NEW ACCOUNT'!A1817="","",'NEW ACCOUNT'!F1817)</f>
        <v/>
      </c>
      <c r="G1816" t="str">
        <f>IF('NEW ACCOUNT'!A1817="","",'NEW ACCOUNT'!G1817)</f>
        <v/>
      </c>
      <c r="H1816" t="str">
        <f>IF('NEW ACCOUNT'!A1817="","",'NEW ACCOUNT'!H1817)</f>
        <v/>
      </c>
      <c r="I1816" t="str">
        <f>IF('NEW ACCOUNT'!A1817="","",'NEW ACCOUNT'!I1817)</f>
        <v/>
      </c>
      <c r="J1816" t="str">
        <f>IF('NEW ACCOUNT'!A1817="","",'NEW ACCOUNT'!J1817)</f>
        <v/>
      </c>
      <c r="K1816" t="str">
        <f>IFERROR(IF(A1816="","",SUMIF(DB_Savings!$A:$A,A1816,DB_Savings!$F:$F)),"")</f>
        <v/>
      </c>
      <c r="L1816" t="str">
        <f>IFERROR(IF(A1816="","",SUMIF(DB_Withdrawals!$A:$A,A1816,DB_Withdrawals!$G:$G)),"")</f>
        <v/>
      </c>
      <c r="M1816" t="str">
        <f>IFERROR(IF(A1816="","",IFERROR(VALUE(H1816),0)+IFERROR(SUMIF(DB_Savings!$A:$A,A1816,DB_Savings!$F:$F),0)-IFERROR(SUMIF(DB_Withdrawals!$A:$A,A1816,DB_Withdrawals!$G:$G),0)),"")</f>
        <v/>
      </c>
      <c r="N1816" t="str">
        <f>IFERROR(IF(A1816="","",MAX(0,M1816-System_Config!$B$9)),"")</f>
        <v/>
      </c>
    </row>
    <row r="1817" spans="1:14" ht="15" customHeight="1" x14ac:dyDescent="0.25">
      <c r="A1817" t="str">
        <f>'NEW ACCOUNT'!A1818</f>
        <v/>
      </c>
      <c r="B1817" t="str">
        <f>IF('NEW ACCOUNT'!A1818="","",'NEW ACCOUNT'!B1818)</f>
        <v/>
      </c>
      <c r="C1817" t="str">
        <f>IF('NEW ACCOUNT'!A1818="","",'NEW ACCOUNT'!C1818)</f>
        <v/>
      </c>
      <c r="D1817" t="str">
        <f>IF('NEW ACCOUNT'!A1818="","",'NEW ACCOUNT'!D1818)</f>
        <v/>
      </c>
      <c r="E1817" t="str">
        <f>IF('NEW ACCOUNT'!A1818="","",'NEW ACCOUNT'!E1818)</f>
        <v/>
      </c>
      <c r="F1817" t="str">
        <f>IF('NEW ACCOUNT'!A1818="","",'NEW ACCOUNT'!F1818)</f>
        <v/>
      </c>
      <c r="G1817" t="str">
        <f>IF('NEW ACCOUNT'!A1818="","",'NEW ACCOUNT'!G1818)</f>
        <v/>
      </c>
      <c r="H1817" t="str">
        <f>IF('NEW ACCOUNT'!A1818="","",'NEW ACCOUNT'!H1818)</f>
        <v/>
      </c>
      <c r="I1817" t="str">
        <f>IF('NEW ACCOUNT'!A1818="","",'NEW ACCOUNT'!I1818)</f>
        <v/>
      </c>
      <c r="J1817" t="str">
        <f>IF('NEW ACCOUNT'!A1818="","",'NEW ACCOUNT'!J1818)</f>
        <v/>
      </c>
      <c r="K1817" t="str">
        <f>IFERROR(IF(A1817="","",SUMIF(DB_Savings!$A:$A,A1817,DB_Savings!$F:$F)),"")</f>
        <v/>
      </c>
      <c r="L1817" t="str">
        <f>IFERROR(IF(A1817="","",SUMIF(DB_Withdrawals!$A:$A,A1817,DB_Withdrawals!$G:$G)),"")</f>
        <v/>
      </c>
      <c r="M1817" t="str">
        <f>IFERROR(IF(A1817="","",IFERROR(VALUE(H1817),0)+IFERROR(SUMIF(DB_Savings!$A:$A,A1817,DB_Savings!$F:$F),0)-IFERROR(SUMIF(DB_Withdrawals!$A:$A,A1817,DB_Withdrawals!$G:$G),0)),"")</f>
        <v/>
      </c>
      <c r="N1817" t="str">
        <f>IFERROR(IF(A1817="","",MAX(0,M1817-System_Config!$B$9)),"")</f>
        <v/>
      </c>
    </row>
    <row r="1818" spans="1:14" ht="15" customHeight="1" x14ac:dyDescent="0.25">
      <c r="A1818" t="str">
        <f>'NEW ACCOUNT'!A1819</f>
        <v/>
      </c>
      <c r="B1818" t="str">
        <f>IF('NEW ACCOUNT'!A1819="","",'NEW ACCOUNT'!B1819)</f>
        <v/>
      </c>
      <c r="C1818" t="str">
        <f>IF('NEW ACCOUNT'!A1819="","",'NEW ACCOUNT'!C1819)</f>
        <v/>
      </c>
      <c r="D1818" t="str">
        <f>IF('NEW ACCOUNT'!A1819="","",'NEW ACCOUNT'!D1819)</f>
        <v/>
      </c>
      <c r="E1818" t="str">
        <f>IF('NEW ACCOUNT'!A1819="","",'NEW ACCOUNT'!E1819)</f>
        <v/>
      </c>
      <c r="F1818" t="str">
        <f>IF('NEW ACCOUNT'!A1819="","",'NEW ACCOUNT'!F1819)</f>
        <v/>
      </c>
      <c r="G1818" t="str">
        <f>IF('NEW ACCOUNT'!A1819="","",'NEW ACCOUNT'!G1819)</f>
        <v/>
      </c>
      <c r="H1818" t="str">
        <f>IF('NEW ACCOUNT'!A1819="","",'NEW ACCOUNT'!H1819)</f>
        <v/>
      </c>
      <c r="I1818" t="str">
        <f>IF('NEW ACCOUNT'!A1819="","",'NEW ACCOUNT'!I1819)</f>
        <v/>
      </c>
      <c r="J1818" t="str">
        <f>IF('NEW ACCOUNT'!A1819="","",'NEW ACCOUNT'!J1819)</f>
        <v/>
      </c>
      <c r="K1818" t="str">
        <f>IFERROR(IF(A1818="","",SUMIF(DB_Savings!$A:$A,A1818,DB_Savings!$F:$F)),"")</f>
        <v/>
      </c>
      <c r="L1818" t="str">
        <f>IFERROR(IF(A1818="","",SUMIF(DB_Withdrawals!$A:$A,A1818,DB_Withdrawals!$G:$G)),"")</f>
        <v/>
      </c>
      <c r="M1818" t="str">
        <f>IFERROR(IF(A1818="","",IFERROR(VALUE(H1818),0)+IFERROR(SUMIF(DB_Savings!$A:$A,A1818,DB_Savings!$F:$F),0)-IFERROR(SUMIF(DB_Withdrawals!$A:$A,A1818,DB_Withdrawals!$G:$G),0)),"")</f>
        <v/>
      </c>
      <c r="N1818" t="str">
        <f>IFERROR(IF(A1818="","",MAX(0,M1818-System_Config!$B$9)),"")</f>
        <v/>
      </c>
    </row>
    <row r="1819" spans="1:14" ht="15" customHeight="1" x14ac:dyDescent="0.25">
      <c r="A1819" t="str">
        <f>'NEW ACCOUNT'!A1820</f>
        <v/>
      </c>
      <c r="B1819" t="str">
        <f>IF('NEW ACCOUNT'!A1820="","",'NEW ACCOUNT'!B1820)</f>
        <v/>
      </c>
      <c r="C1819" t="str">
        <f>IF('NEW ACCOUNT'!A1820="","",'NEW ACCOUNT'!C1820)</f>
        <v/>
      </c>
      <c r="D1819" t="str">
        <f>IF('NEW ACCOUNT'!A1820="","",'NEW ACCOUNT'!D1820)</f>
        <v/>
      </c>
      <c r="E1819" t="str">
        <f>IF('NEW ACCOUNT'!A1820="","",'NEW ACCOUNT'!E1820)</f>
        <v/>
      </c>
      <c r="F1819" t="str">
        <f>IF('NEW ACCOUNT'!A1820="","",'NEW ACCOUNT'!F1820)</f>
        <v/>
      </c>
      <c r="G1819" t="str">
        <f>IF('NEW ACCOUNT'!A1820="","",'NEW ACCOUNT'!G1820)</f>
        <v/>
      </c>
      <c r="H1819" t="str">
        <f>IF('NEW ACCOUNT'!A1820="","",'NEW ACCOUNT'!H1820)</f>
        <v/>
      </c>
      <c r="I1819" t="str">
        <f>IF('NEW ACCOUNT'!A1820="","",'NEW ACCOUNT'!I1820)</f>
        <v/>
      </c>
      <c r="J1819" t="str">
        <f>IF('NEW ACCOUNT'!A1820="","",'NEW ACCOUNT'!J1820)</f>
        <v/>
      </c>
      <c r="K1819" t="str">
        <f>IFERROR(IF(A1819="","",SUMIF(DB_Savings!$A:$A,A1819,DB_Savings!$F:$F)),"")</f>
        <v/>
      </c>
      <c r="L1819" t="str">
        <f>IFERROR(IF(A1819="","",SUMIF(DB_Withdrawals!$A:$A,A1819,DB_Withdrawals!$G:$G)),"")</f>
        <v/>
      </c>
      <c r="M1819" t="str">
        <f>IFERROR(IF(A1819="","",IFERROR(VALUE(H1819),0)+IFERROR(SUMIF(DB_Savings!$A:$A,A1819,DB_Savings!$F:$F),0)-IFERROR(SUMIF(DB_Withdrawals!$A:$A,A1819,DB_Withdrawals!$G:$G),0)),"")</f>
        <v/>
      </c>
      <c r="N1819" t="str">
        <f>IFERROR(IF(A1819="","",MAX(0,M1819-System_Config!$B$9)),"")</f>
        <v/>
      </c>
    </row>
    <row r="1820" spans="1:14" ht="15" customHeight="1" x14ac:dyDescent="0.25">
      <c r="A1820" t="str">
        <f>'NEW ACCOUNT'!A1821</f>
        <v/>
      </c>
      <c r="B1820" t="str">
        <f>IF('NEW ACCOUNT'!A1821="","",'NEW ACCOUNT'!B1821)</f>
        <v/>
      </c>
      <c r="C1820" t="str">
        <f>IF('NEW ACCOUNT'!A1821="","",'NEW ACCOUNT'!C1821)</f>
        <v/>
      </c>
      <c r="D1820" t="str">
        <f>IF('NEW ACCOUNT'!A1821="","",'NEW ACCOUNT'!D1821)</f>
        <v/>
      </c>
      <c r="E1820" t="str">
        <f>IF('NEW ACCOUNT'!A1821="","",'NEW ACCOUNT'!E1821)</f>
        <v/>
      </c>
      <c r="F1820" t="str">
        <f>IF('NEW ACCOUNT'!A1821="","",'NEW ACCOUNT'!F1821)</f>
        <v/>
      </c>
      <c r="G1820" t="str">
        <f>IF('NEW ACCOUNT'!A1821="","",'NEW ACCOUNT'!G1821)</f>
        <v/>
      </c>
      <c r="H1820" t="str">
        <f>IF('NEW ACCOUNT'!A1821="","",'NEW ACCOUNT'!H1821)</f>
        <v/>
      </c>
      <c r="I1820" t="str">
        <f>IF('NEW ACCOUNT'!A1821="","",'NEW ACCOUNT'!I1821)</f>
        <v/>
      </c>
      <c r="J1820" t="str">
        <f>IF('NEW ACCOUNT'!A1821="","",'NEW ACCOUNT'!J1821)</f>
        <v/>
      </c>
      <c r="K1820" t="str">
        <f>IFERROR(IF(A1820="","",SUMIF(DB_Savings!$A:$A,A1820,DB_Savings!$F:$F)),"")</f>
        <v/>
      </c>
      <c r="L1820" t="str">
        <f>IFERROR(IF(A1820="","",SUMIF(DB_Withdrawals!$A:$A,A1820,DB_Withdrawals!$G:$G)),"")</f>
        <v/>
      </c>
      <c r="M1820" t="str">
        <f>IFERROR(IF(A1820="","",IFERROR(VALUE(H1820),0)+IFERROR(SUMIF(DB_Savings!$A:$A,A1820,DB_Savings!$F:$F),0)-IFERROR(SUMIF(DB_Withdrawals!$A:$A,A1820,DB_Withdrawals!$G:$G),0)),"")</f>
        <v/>
      </c>
      <c r="N1820" t="str">
        <f>IFERROR(IF(A1820="","",MAX(0,M1820-System_Config!$B$9)),"")</f>
        <v/>
      </c>
    </row>
    <row r="1821" spans="1:14" ht="15" customHeight="1" x14ac:dyDescent="0.25">
      <c r="A1821" t="str">
        <f>'NEW ACCOUNT'!A1822</f>
        <v/>
      </c>
      <c r="B1821" t="str">
        <f>IF('NEW ACCOUNT'!A1822="","",'NEW ACCOUNT'!B1822)</f>
        <v/>
      </c>
      <c r="C1821" t="str">
        <f>IF('NEW ACCOUNT'!A1822="","",'NEW ACCOUNT'!C1822)</f>
        <v/>
      </c>
      <c r="D1821" t="str">
        <f>IF('NEW ACCOUNT'!A1822="","",'NEW ACCOUNT'!D1822)</f>
        <v/>
      </c>
      <c r="E1821" t="str">
        <f>IF('NEW ACCOUNT'!A1822="","",'NEW ACCOUNT'!E1822)</f>
        <v/>
      </c>
      <c r="F1821" t="str">
        <f>IF('NEW ACCOUNT'!A1822="","",'NEW ACCOUNT'!F1822)</f>
        <v/>
      </c>
      <c r="G1821" t="str">
        <f>IF('NEW ACCOUNT'!A1822="","",'NEW ACCOUNT'!G1822)</f>
        <v/>
      </c>
      <c r="H1821" t="str">
        <f>IF('NEW ACCOUNT'!A1822="","",'NEW ACCOUNT'!H1822)</f>
        <v/>
      </c>
      <c r="I1821" t="str">
        <f>IF('NEW ACCOUNT'!A1822="","",'NEW ACCOUNT'!I1822)</f>
        <v/>
      </c>
      <c r="J1821" t="str">
        <f>IF('NEW ACCOUNT'!A1822="","",'NEW ACCOUNT'!J1822)</f>
        <v/>
      </c>
      <c r="K1821" t="str">
        <f>IFERROR(IF(A1821="","",SUMIF(DB_Savings!$A:$A,A1821,DB_Savings!$F:$F)),"")</f>
        <v/>
      </c>
      <c r="L1821" t="str">
        <f>IFERROR(IF(A1821="","",SUMIF(DB_Withdrawals!$A:$A,A1821,DB_Withdrawals!$G:$G)),"")</f>
        <v/>
      </c>
      <c r="M1821" t="str">
        <f>IFERROR(IF(A1821="","",IFERROR(VALUE(H1821),0)+IFERROR(SUMIF(DB_Savings!$A:$A,A1821,DB_Savings!$F:$F),0)-IFERROR(SUMIF(DB_Withdrawals!$A:$A,A1821,DB_Withdrawals!$G:$G),0)),"")</f>
        <v/>
      </c>
      <c r="N1821" t="str">
        <f>IFERROR(IF(A1821="","",MAX(0,M1821-System_Config!$B$9)),"")</f>
        <v/>
      </c>
    </row>
    <row r="1822" spans="1:14" ht="15" customHeight="1" x14ac:dyDescent="0.25">
      <c r="A1822" t="str">
        <f>'NEW ACCOUNT'!A1823</f>
        <v/>
      </c>
      <c r="B1822" t="str">
        <f>IF('NEW ACCOUNT'!A1823="","",'NEW ACCOUNT'!B1823)</f>
        <v/>
      </c>
      <c r="C1822" t="str">
        <f>IF('NEW ACCOUNT'!A1823="","",'NEW ACCOUNT'!C1823)</f>
        <v/>
      </c>
      <c r="D1822" t="str">
        <f>IF('NEW ACCOUNT'!A1823="","",'NEW ACCOUNT'!D1823)</f>
        <v/>
      </c>
      <c r="E1822" t="str">
        <f>IF('NEW ACCOUNT'!A1823="","",'NEW ACCOUNT'!E1823)</f>
        <v/>
      </c>
      <c r="F1822" t="str">
        <f>IF('NEW ACCOUNT'!A1823="","",'NEW ACCOUNT'!F1823)</f>
        <v/>
      </c>
      <c r="G1822" t="str">
        <f>IF('NEW ACCOUNT'!A1823="","",'NEW ACCOUNT'!G1823)</f>
        <v/>
      </c>
      <c r="H1822" t="str">
        <f>IF('NEW ACCOUNT'!A1823="","",'NEW ACCOUNT'!H1823)</f>
        <v/>
      </c>
      <c r="I1822" t="str">
        <f>IF('NEW ACCOUNT'!A1823="","",'NEW ACCOUNT'!I1823)</f>
        <v/>
      </c>
      <c r="J1822" t="str">
        <f>IF('NEW ACCOUNT'!A1823="","",'NEW ACCOUNT'!J1823)</f>
        <v/>
      </c>
      <c r="K1822" t="str">
        <f>IFERROR(IF(A1822="","",SUMIF(DB_Savings!$A:$A,A1822,DB_Savings!$F:$F)),"")</f>
        <v/>
      </c>
      <c r="L1822" t="str">
        <f>IFERROR(IF(A1822="","",SUMIF(DB_Withdrawals!$A:$A,A1822,DB_Withdrawals!$G:$G)),"")</f>
        <v/>
      </c>
      <c r="M1822" t="str">
        <f>IFERROR(IF(A1822="","",IFERROR(VALUE(H1822),0)+IFERROR(SUMIF(DB_Savings!$A:$A,A1822,DB_Savings!$F:$F),0)-IFERROR(SUMIF(DB_Withdrawals!$A:$A,A1822,DB_Withdrawals!$G:$G),0)),"")</f>
        <v/>
      </c>
      <c r="N1822" t="str">
        <f>IFERROR(IF(A1822="","",MAX(0,M1822-System_Config!$B$9)),"")</f>
        <v/>
      </c>
    </row>
    <row r="1823" spans="1:14" ht="15" customHeight="1" x14ac:dyDescent="0.25">
      <c r="A1823" t="str">
        <f>'NEW ACCOUNT'!A1824</f>
        <v/>
      </c>
      <c r="B1823" t="str">
        <f>IF('NEW ACCOUNT'!A1824="","",'NEW ACCOUNT'!B1824)</f>
        <v/>
      </c>
      <c r="C1823" t="str">
        <f>IF('NEW ACCOUNT'!A1824="","",'NEW ACCOUNT'!C1824)</f>
        <v/>
      </c>
      <c r="D1823" t="str">
        <f>IF('NEW ACCOUNT'!A1824="","",'NEW ACCOUNT'!D1824)</f>
        <v/>
      </c>
      <c r="E1823" t="str">
        <f>IF('NEW ACCOUNT'!A1824="","",'NEW ACCOUNT'!E1824)</f>
        <v/>
      </c>
      <c r="F1823" t="str">
        <f>IF('NEW ACCOUNT'!A1824="","",'NEW ACCOUNT'!F1824)</f>
        <v/>
      </c>
      <c r="G1823" t="str">
        <f>IF('NEW ACCOUNT'!A1824="","",'NEW ACCOUNT'!G1824)</f>
        <v/>
      </c>
      <c r="H1823" t="str">
        <f>IF('NEW ACCOUNT'!A1824="","",'NEW ACCOUNT'!H1824)</f>
        <v/>
      </c>
      <c r="I1823" t="str">
        <f>IF('NEW ACCOUNT'!A1824="","",'NEW ACCOUNT'!I1824)</f>
        <v/>
      </c>
      <c r="J1823" t="str">
        <f>IF('NEW ACCOUNT'!A1824="","",'NEW ACCOUNT'!J1824)</f>
        <v/>
      </c>
      <c r="K1823" t="str">
        <f>IFERROR(IF(A1823="","",SUMIF(DB_Savings!$A:$A,A1823,DB_Savings!$F:$F)),"")</f>
        <v/>
      </c>
      <c r="L1823" t="str">
        <f>IFERROR(IF(A1823="","",SUMIF(DB_Withdrawals!$A:$A,A1823,DB_Withdrawals!$G:$G)),"")</f>
        <v/>
      </c>
      <c r="M1823" t="str">
        <f>IFERROR(IF(A1823="","",IFERROR(VALUE(H1823),0)+IFERROR(SUMIF(DB_Savings!$A:$A,A1823,DB_Savings!$F:$F),0)-IFERROR(SUMIF(DB_Withdrawals!$A:$A,A1823,DB_Withdrawals!$G:$G),0)),"")</f>
        <v/>
      </c>
      <c r="N1823" t="str">
        <f>IFERROR(IF(A1823="","",MAX(0,M1823-System_Config!$B$9)),"")</f>
        <v/>
      </c>
    </row>
    <row r="1824" spans="1:14" ht="15" customHeight="1" x14ac:dyDescent="0.25">
      <c r="A1824" t="str">
        <f>'NEW ACCOUNT'!A1825</f>
        <v/>
      </c>
      <c r="B1824" t="str">
        <f>IF('NEW ACCOUNT'!A1825="","",'NEW ACCOUNT'!B1825)</f>
        <v/>
      </c>
      <c r="C1824" t="str">
        <f>IF('NEW ACCOUNT'!A1825="","",'NEW ACCOUNT'!C1825)</f>
        <v/>
      </c>
      <c r="D1824" t="str">
        <f>IF('NEW ACCOUNT'!A1825="","",'NEW ACCOUNT'!D1825)</f>
        <v/>
      </c>
      <c r="E1824" t="str">
        <f>IF('NEW ACCOUNT'!A1825="","",'NEW ACCOUNT'!E1825)</f>
        <v/>
      </c>
      <c r="F1824" t="str">
        <f>IF('NEW ACCOUNT'!A1825="","",'NEW ACCOUNT'!F1825)</f>
        <v/>
      </c>
      <c r="G1824" t="str">
        <f>IF('NEW ACCOUNT'!A1825="","",'NEW ACCOUNT'!G1825)</f>
        <v/>
      </c>
      <c r="H1824" t="str">
        <f>IF('NEW ACCOUNT'!A1825="","",'NEW ACCOUNT'!H1825)</f>
        <v/>
      </c>
      <c r="I1824" t="str">
        <f>IF('NEW ACCOUNT'!A1825="","",'NEW ACCOUNT'!I1825)</f>
        <v/>
      </c>
      <c r="J1824" t="str">
        <f>IF('NEW ACCOUNT'!A1825="","",'NEW ACCOUNT'!J1825)</f>
        <v/>
      </c>
      <c r="K1824" t="str">
        <f>IFERROR(IF(A1824="","",SUMIF(DB_Savings!$A:$A,A1824,DB_Savings!$F:$F)),"")</f>
        <v/>
      </c>
      <c r="L1824" t="str">
        <f>IFERROR(IF(A1824="","",SUMIF(DB_Withdrawals!$A:$A,A1824,DB_Withdrawals!$G:$G)),"")</f>
        <v/>
      </c>
      <c r="M1824" t="str">
        <f>IFERROR(IF(A1824="","",IFERROR(VALUE(H1824),0)+IFERROR(SUMIF(DB_Savings!$A:$A,A1824,DB_Savings!$F:$F),0)-IFERROR(SUMIF(DB_Withdrawals!$A:$A,A1824,DB_Withdrawals!$G:$G),0)),"")</f>
        <v/>
      </c>
      <c r="N1824" t="str">
        <f>IFERROR(IF(A1824="","",MAX(0,M1824-System_Config!$B$9)),"")</f>
        <v/>
      </c>
    </row>
    <row r="1825" spans="1:14" ht="15" customHeight="1" x14ac:dyDescent="0.25">
      <c r="A1825" t="str">
        <f>'NEW ACCOUNT'!A1826</f>
        <v/>
      </c>
      <c r="B1825" t="str">
        <f>IF('NEW ACCOUNT'!A1826="","",'NEW ACCOUNT'!B1826)</f>
        <v/>
      </c>
      <c r="C1825" t="str">
        <f>IF('NEW ACCOUNT'!A1826="","",'NEW ACCOUNT'!C1826)</f>
        <v/>
      </c>
      <c r="D1825" t="str">
        <f>IF('NEW ACCOUNT'!A1826="","",'NEW ACCOUNT'!D1826)</f>
        <v/>
      </c>
      <c r="E1825" t="str">
        <f>IF('NEW ACCOUNT'!A1826="","",'NEW ACCOUNT'!E1826)</f>
        <v/>
      </c>
      <c r="F1825" t="str">
        <f>IF('NEW ACCOUNT'!A1826="","",'NEW ACCOUNT'!F1826)</f>
        <v/>
      </c>
      <c r="G1825" t="str">
        <f>IF('NEW ACCOUNT'!A1826="","",'NEW ACCOUNT'!G1826)</f>
        <v/>
      </c>
      <c r="H1825" t="str">
        <f>IF('NEW ACCOUNT'!A1826="","",'NEW ACCOUNT'!H1826)</f>
        <v/>
      </c>
      <c r="I1825" t="str">
        <f>IF('NEW ACCOUNT'!A1826="","",'NEW ACCOUNT'!I1826)</f>
        <v/>
      </c>
      <c r="J1825" t="str">
        <f>IF('NEW ACCOUNT'!A1826="","",'NEW ACCOUNT'!J1826)</f>
        <v/>
      </c>
      <c r="K1825" t="str">
        <f>IFERROR(IF(A1825="","",SUMIF(DB_Savings!$A:$A,A1825,DB_Savings!$F:$F)),"")</f>
        <v/>
      </c>
      <c r="L1825" t="str">
        <f>IFERROR(IF(A1825="","",SUMIF(DB_Withdrawals!$A:$A,A1825,DB_Withdrawals!$G:$G)),"")</f>
        <v/>
      </c>
      <c r="M1825" t="str">
        <f>IFERROR(IF(A1825="","",IFERROR(VALUE(H1825),0)+IFERROR(SUMIF(DB_Savings!$A:$A,A1825,DB_Savings!$F:$F),0)-IFERROR(SUMIF(DB_Withdrawals!$A:$A,A1825,DB_Withdrawals!$G:$G),0)),"")</f>
        <v/>
      </c>
      <c r="N1825" t="str">
        <f>IFERROR(IF(A1825="","",MAX(0,M1825-System_Config!$B$9)),"")</f>
        <v/>
      </c>
    </row>
    <row r="1826" spans="1:14" ht="15" customHeight="1" x14ac:dyDescent="0.25">
      <c r="A1826" t="str">
        <f>'NEW ACCOUNT'!A1827</f>
        <v/>
      </c>
      <c r="B1826" t="str">
        <f>IF('NEW ACCOUNT'!A1827="","",'NEW ACCOUNT'!B1827)</f>
        <v/>
      </c>
      <c r="C1826" t="str">
        <f>IF('NEW ACCOUNT'!A1827="","",'NEW ACCOUNT'!C1827)</f>
        <v/>
      </c>
      <c r="D1826" t="str">
        <f>IF('NEW ACCOUNT'!A1827="","",'NEW ACCOUNT'!D1827)</f>
        <v/>
      </c>
      <c r="E1826" t="str">
        <f>IF('NEW ACCOUNT'!A1827="","",'NEW ACCOUNT'!E1827)</f>
        <v/>
      </c>
      <c r="F1826" t="str">
        <f>IF('NEW ACCOUNT'!A1827="","",'NEW ACCOUNT'!F1827)</f>
        <v/>
      </c>
      <c r="G1826" t="str">
        <f>IF('NEW ACCOUNT'!A1827="","",'NEW ACCOUNT'!G1827)</f>
        <v/>
      </c>
      <c r="H1826" t="str">
        <f>IF('NEW ACCOUNT'!A1827="","",'NEW ACCOUNT'!H1827)</f>
        <v/>
      </c>
      <c r="I1826" t="str">
        <f>IF('NEW ACCOUNT'!A1827="","",'NEW ACCOUNT'!I1827)</f>
        <v/>
      </c>
      <c r="J1826" t="str">
        <f>IF('NEW ACCOUNT'!A1827="","",'NEW ACCOUNT'!J1827)</f>
        <v/>
      </c>
      <c r="K1826" t="str">
        <f>IFERROR(IF(A1826="","",SUMIF(DB_Savings!$A:$A,A1826,DB_Savings!$F:$F)),"")</f>
        <v/>
      </c>
      <c r="L1826" t="str">
        <f>IFERROR(IF(A1826="","",SUMIF(DB_Withdrawals!$A:$A,A1826,DB_Withdrawals!$G:$G)),"")</f>
        <v/>
      </c>
      <c r="M1826" t="str">
        <f>IFERROR(IF(A1826="","",IFERROR(VALUE(H1826),0)+IFERROR(SUMIF(DB_Savings!$A:$A,A1826,DB_Savings!$F:$F),0)-IFERROR(SUMIF(DB_Withdrawals!$A:$A,A1826,DB_Withdrawals!$G:$G),0)),"")</f>
        <v/>
      </c>
      <c r="N1826" t="str">
        <f>IFERROR(IF(A1826="","",MAX(0,M1826-System_Config!$B$9)),"")</f>
        <v/>
      </c>
    </row>
    <row r="1827" spans="1:14" ht="15" customHeight="1" x14ac:dyDescent="0.25">
      <c r="A1827" t="str">
        <f>'NEW ACCOUNT'!A1828</f>
        <v/>
      </c>
      <c r="B1827" t="str">
        <f>IF('NEW ACCOUNT'!A1828="","",'NEW ACCOUNT'!B1828)</f>
        <v/>
      </c>
      <c r="C1827" t="str">
        <f>IF('NEW ACCOUNT'!A1828="","",'NEW ACCOUNT'!C1828)</f>
        <v/>
      </c>
      <c r="D1827" t="str">
        <f>IF('NEW ACCOUNT'!A1828="","",'NEW ACCOUNT'!D1828)</f>
        <v/>
      </c>
      <c r="E1827" t="str">
        <f>IF('NEW ACCOUNT'!A1828="","",'NEW ACCOUNT'!E1828)</f>
        <v/>
      </c>
      <c r="F1827" t="str">
        <f>IF('NEW ACCOUNT'!A1828="","",'NEW ACCOUNT'!F1828)</f>
        <v/>
      </c>
      <c r="G1827" t="str">
        <f>IF('NEW ACCOUNT'!A1828="","",'NEW ACCOUNT'!G1828)</f>
        <v/>
      </c>
      <c r="H1827" t="str">
        <f>IF('NEW ACCOUNT'!A1828="","",'NEW ACCOUNT'!H1828)</f>
        <v/>
      </c>
      <c r="I1827" t="str">
        <f>IF('NEW ACCOUNT'!A1828="","",'NEW ACCOUNT'!I1828)</f>
        <v/>
      </c>
      <c r="J1827" t="str">
        <f>IF('NEW ACCOUNT'!A1828="","",'NEW ACCOUNT'!J1828)</f>
        <v/>
      </c>
      <c r="K1827" t="str">
        <f>IFERROR(IF(A1827="","",SUMIF(DB_Savings!$A:$A,A1827,DB_Savings!$F:$F)),"")</f>
        <v/>
      </c>
      <c r="L1827" t="str">
        <f>IFERROR(IF(A1827="","",SUMIF(DB_Withdrawals!$A:$A,A1827,DB_Withdrawals!$G:$G)),"")</f>
        <v/>
      </c>
      <c r="M1827" t="str">
        <f>IFERROR(IF(A1827="","",IFERROR(VALUE(H1827),0)+IFERROR(SUMIF(DB_Savings!$A:$A,A1827,DB_Savings!$F:$F),0)-IFERROR(SUMIF(DB_Withdrawals!$A:$A,A1827,DB_Withdrawals!$G:$G),0)),"")</f>
        <v/>
      </c>
      <c r="N1827" t="str">
        <f>IFERROR(IF(A1827="","",MAX(0,M1827-System_Config!$B$9)),"")</f>
        <v/>
      </c>
    </row>
    <row r="1828" spans="1:14" ht="15" customHeight="1" x14ac:dyDescent="0.25">
      <c r="A1828" t="str">
        <f>'NEW ACCOUNT'!A1829</f>
        <v/>
      </c>
      <c r="B1828" t="str">
        <f>IF('NEW ACCOUNT'!A1829="","",'NEW ACCOUNT'!B1829)</f>
        <v/>
      </c>
      <c r="C1828" t="str">
        <f>IF('NEW ACCOUNT'!A1829="","",'NEW ACCOUNT'!C1829)</f>
        <v/>
      </c>
      <c r="D1828" t="str">
        <f>IF('NEW ACCOUNT'!A1829="","",'NEW ACCOUNT'!D1829)</f>
        <v/>
      </c>
      <c r="E1828" t="str">
        <f>IF('NEW ACCOUNT'!A1829="","",'NEW ACCOUNT'!E1829)</f>
        <v/>
      </c>
      <c r="F1828" t="str">
        <f>IF('NEW ACCOUNT'!A1829="","",'NEW ACCOUNT'!F1829)</f>
        <v/>
      </c>
      <c r="G1828" t="str">
        <f>IF('NEW ACCOUNT'!A1829="","",'NEW ACCOUNT'!G1829)</f>
        <v/>
      </c>
      <c r="H1828" t="str">
        <f>IF('NEW ACCOUNT'!A1829="","",'NEW ACCOUNT'!H1829)</f>
        <v/>
      </c>
      <c r="I1828" t="str">
        <f>IF('NEW ACCOUNT'!A1829="","",'NEW ACCOUNT'!I1829)</f>
        <v/>
      </c>
      <c r="J1828" t="str">
        <f>IF('NEW ACCOUNT'!A1829="","",'NEW ACCOUNT'!J1829)</f>
        <v/>
      </c>
      <c r="K1828" t="str">
        <f>IFERROR(IF(A1828="","",SUMIF(DB_Savings!$A:$A,A1828,DB_Savings!$F:$F)),"")</f>
        <v/>
      </c>
      <c r="L1828" t="str">
        <f>IFERROR(IF(A1828="","",SUMIF(DB_Withdrawals!$A:$A,A1828,DB_Withdrawals!$G:$G)),"")</f>
        <v/>
      </c>
      <c r="M1828" t="str">
        <f>IFERROR(IF(A1828="","",IFERROR(VALUE(H1828),0)+IFERROR(SUMIF(DB_Savings!$A:$A,A1828,DB_Savings!$F:$F),0)-IFERROR(SUMIF(DB_Withdrawals!$A:$A,A1828,DB_Withdrawals!$G:$G),0)),"")</f>
        <v/>
      </c>
      <c r="N1828" t="str">
        <f>IFERROR(IF(A1828="","",MAX(0,M1828-System_Config!$B$9)),"")</f>
        <v/>
      </c>
    </row>
    <row r="1829" spans="1:14" ht="15" customHeight="1" x14ac:dyDescent="0.25">
      <c r="A1829" t="str">
        <f>'NEW ACCOUNT'!A1830</f>
        <v/>
      </c>
      <c r="B1829" t="str">
        <f>IF('NEW ACCOUNT'!A1830="","",'NEW ACCOUNT'!B1830)</f>
        <v/>
      </c>
      <c r="C1829" t="str">
        <f>IF('NEW ACCOUNT'!A1830="","",'NEW ACCOUNT'!C1830)</f>
        <v/>
      </c>
      <c r="D1829" t="str">
        <f>IF('NEW ACCOUNT'!A1830="","",'NEW ACCOUNT'!D1830)</f>
        <v/>
      </c>
      <c r="E1829" t="str">
        <f>IF('NEW ACCOUNT'!A1830="","",'NEW ACCOUNT'!E1830)</f>
        <v/>
      </c>
      <c r="F1829" t="str">
        <f>IF('NEW ACCOUNT'!A1830="","",'NEW ACCOUNT'!F1830)</f>
        <v/>
      </c>
      <c r="G1829" t="str">
        <f>IF('NEW ACCOUNT'!A1830="","",'NEW ACCOUNT'!G1830)</f>
        <v/>
      </c>
      <c r="H1829" t="str">
        <f>IF('NEW ACCOUNT'!A1830="","",'NEW ACCOUNT'!H1830)</f>
        <v/>
      </c>
      <c r="I1829" t="str">
        <f>IF('NEW ACCOUNT'!A1830="","",'NEW ACCOUNT'!I1830)</f>
        <v/>
      </c>
      <c r="J1829" t="str">
        <f>IF('NEW ACCOUNT'!A1830="","",'NEW ACCOUNT'!J1830)</f>
        <v/>
      </c>
      <c r="K1829" t="str">
        <f>IFERROR(IF(A1829="","",SUMIF(DB_Savings!$A:$A,A1829,DB_Savings!$F:$F)),"")</f>
        <v/>
      </c>
      <c r="L1829" t="str">
        <f>IFERROR(IF(A1829="","",SUMIF(DB_Withdrawals!$A:$A,A1829,DB_Withdrawals!$G:$G)),"")</f>
        <v/>
      </c>
      <c r="M1829" t="str">
        <f>IFERROR(IF(A1829="","",IFERROR(VALUE(H1829),0)+IFERROR(SUMIF(DB_Savings!$A:$A,A1829,DB_Savings!$F:$F),0)-IFERROR(SUMIF(DB_Withdrawals!$A:$A,A1829,DB_Withdrawals!$G:$G),0)),"")</f>
        <v/>
      </c>
      <c r="N1829" t="str">
        <f>IFERROR(IF(A1829="","",MAX(0,M1829-System_Config!$B$9)),"")</f>
        <v/>
      </c>
    </row>
    <row r="1830" spans="1:14" ht="15" customHeight="1" x14ac:dyDescent="0.25">
      <c r="A1830" t="str">
        <f>'NEW ACCOUNT'!A1831</f>
        <v/>
      </c>
      <c r="B1830" t="str">
        <f>IF('NEW ACCOUNT'!A1831="","",'NEW ACCOUNT'!B1831)</f>
        <v/>
      </c>
      <c r="C1830" t="str">
        <f>IF('NEW ACCOUNT'!A1831="","",'NEW ACCOUNT'!C1831)</f>
        <v/>
      </c>
      <c r="D1830" t="str">
        <f>IF('NEW ACCOUNT'!A1831="","",'NEW ACCOUNT'!D1831)</f>
        <v/>
      </c>
      <c r="E1830" t="str">
        <f>IF('NEW ACCOUNT'!A1831="","",'NEW ACCOUNT'!E1831)</f>
        <v/>
      </c>
      <c r="F1830" t="str">
        <f>IF('NEW ACCOUNT'!A1831="","",'NEW ACCOUNT'!F1831)</f>
        <v/>
      </c>
      <c r="G1830" t="str">
        <f>IF('NEW ACCOUNT'!A1831="","",'NEW ACCOUNT'!G1831)</f>
        <v/>
      </c>
      <c r="H1830" t="str">
        <f>IF('NEW ACCOUNT'!A1831="","",'NEW ACCOUNT'!H1831)</f>
        <v/>
      </c>
      <c r="I1830" t="str">
        <f>IF('NEW ACCOUNT'!A1831="","",'NEW ACCOUNT'!I1831)</f>
        <v/>
      </c>
      <c r="J1830" t="str">
        <f>IF('NEW ACCOUNT'!A1831="","",'NEW ACCOUNT'!J1831)</f>
        <v/>
      </c>
      <c r="K1830" t="str">
        <f>IFERROR(IF(A1830="","",SUMIF(DB_Savings!$A:$A,A1830,DB_Savings!$F:$F)),"")</f>
        <v/>
      </c>
      <c r="L1830" t="str">
        <f>IFERROR(IF(A1830="","",SUMIF(DB_Withdrawals!$A:$A,A1830,DB_Withdrawals!$G:$G)),"")</f>
        <v/>
      </c>
      <c r="M1830" t="str">
        <f>IFERROR(IF(A1830="","",IFERROR(VALUE(H1830),0)+IFERROR(SUMIF(DB_Savings!$A:$A,A1830,DB_Savings!$F:$F),0)-IFERROR(SUMIF(DB_Withdrawals!$A:$A,A1830,DB_Withdrawals!$G:$G),0)),"")</f>
        <v/>
      </c>
      <c r="N1830" t="str">
        <f>IFERROR(IF(A1830="","",MAX(0,M1830-System_Config!$B$9)),"")</f>
        <v/>
      </c>
    </row>
    <row r="1831" spans="1:14" ht="15" customHeight="1" x14ac:dyDescent="0.25">
      <c r="A1831" t="str">
        <f>'NEW ACCOUNT'!A1832</f>
        <v/>
      </c>
      <c r="B1831" t="str">
        <f>IF('NEW ACCOUNT'!A1832="","",'NEW ACCOUNT'!B1832)</f>
        <v/>
      </c>
      <c r="C1831" t="str">
        <f>IF('NEW ACCOUNT'!A1832="","",'NEW ACCOUNT'!C1832)</f>
        <v/>
      </c>
      <c r="D1831" t="str">
        <f>IF('NEW ACCOUNT'!A1832="","",'NEW ACCOUNT'!D1832)</f>
        <v/>
      </c>
      <c r="E1831" t="str">
        <f>IF('NEW ACCOUNT'!A1832="","",'NEW ACCOUNT'!E1832)</f>
        <v/>
      </c>
      <c r="F1831" t="str">
        <f>IF('NEW ACCOUNT'!A1832="","",'NEW ACCOUNT'!F1832)</f>
        <v/>
      </c>
      <c r="G1831" t="str">
        <f>IF('NEW ACCOUNT'!A1832="","",'NEW ACCOUNT'!G1832)</f>
        <v/>
      </c>
      <c r="H1831" t="str">
        <f>IF('NEW ACCOUNT'!A1832="","",'NEW ACCOUNT'!H1832)</f>
        <v/>
      </c>
      <c r="I1831" t="str">
        <f>IF('NEW ACCOUNT'!A1832="","",'NEW ACCOUNT'!I1832)</f>
        <v/>
      </c>
      <c r="J1831" t="str">
        <f>IF('NEW ACCOUNT'!A1832="","",'NEW ACCOUNT'!J1832)</f>
        <v/>
      </c>
      <c r="K1831" t="str">
        <f>IFERROR(IF(A1831="","",SUMIF(DB_Savings!$A:$A,A1831,DB_Savings!$F:$F)),"")</f>
        <v/>
      </c>
      <c r="L1831" t="str">
        <f>IFERROR(IF(A1831="","",SUMIF(DB_Withdrawals!$A:$A,A1831,DB_Withdrawals!$G:$G)),"")</f>
        <v/>
      </c>
      <c r="M1831" t="str">
        <f>IFERROR(IF(A1831="","",IFERROR(VALUE(H1831),0)+IFERROR(SUMIF(DB_Savings!$A:$A,A1831,DB_Savings!$F:$F),0)-IFERROR(SUMIF(DB_Withdrawals!$A:$A,A1831,DB_Withdrawals!$G:$G),0)),"")</f>
        <v/>
      </c>
      <c r="N1831" t="str">
        <f>IFERROR(IF(A1831="","",MAX(0,M1831-System_Config!$B$9)),"")</f>
        <v/>
      </c>
    </row>
    <row r="1832" spans="1:14" ht="15" customHeight="1" x14ac:dyDescent="0.25">
      <c r="A1832" t="str">
        <f>'NEW ACCOUNT'!A1833</f>
        <v/>
      </c>
      <c r="B1832" t="str">
        <f>IF('NEW ACCOUNT'!A1833="","",'NEW ACCOUNT'!B1833)</f>
        <v/>
      </c>
      <c r="C1832" t="str">
        <f>IF('NEW ACCOUNT'!A1833="","",'NEW ACCOUNT'!C1833)</f>
        <v/>
      </c>
      <c r="D1832" t="str">
        <f>IF('NEW ACCOUNT'!A1833="","",'NEW ACCOUNT'!D1833)</f>
        <v/>
      </c>
      <c r="E1832" t="str">
        <f>IF('NEW ACCOUNT'!A1833="","",'NEW ACCOUNT'!E1833)</f>
        <v/>
      </c>
      <c r="F1832" t="str">
        <f>IF('NEW ACCOUNT'!A1833="","",'NEW ACCOUNT'!F1833)</f>
        <v/>
      </c>
      <c r="G1832" t="str">
        <f>IF('NEW ACCOUNT'!A1833="","",'NEW ACCOUNT'!G1833)</f>
        <v/>
      </c>
      <c r="H1832" t="str">
        <f>IF('NEW ACCOUNT'!A1833="","",'NEW ACCOUNT'!H1833)</f>
        <v/>
      </c>
      <c r="I1832" t="str">
        <f>IF('NEW ACCOUNT'!A1833="","",'NEW ACCOUNT'!I1833)</f>
        <v/>
      </c>
      <c r="J1832" t="str">
        <f>IF('NEW ACCOUNT'!A1833="","",'NEW ACCOUNT'!J1833)</f>
        <v/>
      </c>
      <c r="K1832" t="str">
        <f>IFERROR(IF(A1832="","",SUMIF(DB_Savings!$A:$A,A1832,DB_Savings!$F:$F)),"")</f>
        <v/>
      </c>
      <c r="L1832" t="str">
        <f>IFERROR(IF(A1832="","",SUMIF(DB_Withdrawals!$A:$A,A1832,DB_Withdrawals!$G:$G)),"")</f>
        <v/>
      </c>
      <c r="M1832" t="str">
        <f>IFERROR(IF(A1832="","",IFERROR(VALUE(H1832),0)+IFERROR(SUMIF(DB_Savings!$A:$A,A1832,DB_Savings!$F:$F),0)-IFERROR(SUMIF(DB_Withdrawals!$A:$A,A1832,DB_Withdrawals!$G:$G),0)),"")</f>
        <v/>
      </c>
      <c r="N1832" t="str">
        <f>IFERROR(IF(A1832="","",MAX(0,M1832-System_Config!$B$9)),"")</f>
        <v/>
      </c>
    </row>
    <row r="1833" spans="1:14" ht="15" customHeight="1" x14ac:dyDescent="0.25">
      <c r="A1833" t="str">
        <f>'NEW ACCOUNT'!A1834</f>
        <v/>
      </c>
      <c r="B1833" t="str">
        <f>IF('NEW ACCOUNT'!A1834="","",'NEW ACCOUNT'!B1834)</f>
        <v/>
      </c>
      <c r="C1833" t="str">
        <f>IF('NEW ACCOUNT'!A1834="","",'NEW ACCOUNT'!C1834)</f>
        <v/>
      </c>
      <c r="D1833" t="str">
        <f>IF('NEW ACCOUNT'!A1834="","",'NEW ACCOUNT'!D1834)</f>
        <v/>
      </c>
      <c r="E1833" t="str">
        <f>IF('NEW ACCOUNT'!A1834="","",'NEW ACCOUNT'!E1834)</f>
        <v/>
      </c>
      <c r="F1833" t="str">
        <f>IF('NEW ACCOUNT'!A1834="","",'NEW ACCOUNT'!F1834)</f>
        <v/>
      </c>
      <c r="G1833" t="str">
        <f>IF('NEW ACCOUNT'!A1834="","",'NEW ACCOUNT'!G1834)</f>
        <v/>
      </c>
      <c r="H1833" t="str">
        <f>IF('NEW ACCOUNT'!A1834="","",'NEW ACCOUNT'!H1834)</f>
        <v/>
      </c>
      <c r="I1833" t="str">
        <f>IF('NEW ACCOUNT'!A1834="","",'NEW ACCOUNT'!I1834)</f>
        <v/>
      </c>
      <c r="J1833" t="str">
        <f>IF('NEW ACCOUNT'!A1834="","",'NEW ACCOUNT'!J1834)</f>
        <v/>
      </c>
      <c r="K1833" t="str">
        <f>IFERROR(IF(A1833="","",SUMIF(DB_Savings!$A:$A,A1833,DB_Savings!$F:$F)),"")</f>
        <v/>
      </c>
      <c r="L1833" t="str">
        <f>IFERROR(IF(A1833="","",SUMIF(DB_Withdrawals!$A:$A,A1833,DB_Withdrawals!$G:$G)),"")</f>
        <v/>
      </c>
      <c r="M1833" t="str">
        <f>IFERROR(IF(A1833="","",IFERROR(VALUE(H1833),0)+IFERROR(SUMIF(DB_Savings!$A:$A,A1833,DB_Savings!$F:$F),0)-IFERROR(SUMIF(DB_Withdrawals!$A:$A,A1833,DB_Withdrawals!$G:$G),0)),"")</f>
        <v/>
      </c>
      <c r="N1833" t="str">
        <f>IFERROR(IF(A1833="","",MAX(0,M1833-System_Config!$B$9)),"")</f>
        <v/>
      </c>
    </row>
    <row r="1834" spans="1:14" ht="15" customHeight="1" x14ac:dyDescent="0.25">
      <c r="A1834" t="str">
        <f>'NEW ACCOUNT'!A1835</f>
        <v/>
      </c>
      <c r="B1834" t="str">
        <f>IF('NEW ACCOUNT'!A1835="","",'NEW ACCOUNT'!B1835)</f>
        <v/>
      </c>
      <c r="C1834" t="str">
        <f>IF('NEW ACCOUNT'!A1835="","",'NEW ACCOUNT'!C1835)</f>
        <v/>
      </c>
      <c r="D1834" t="str">
        <f>IF('NEW ACCOUNT'!A1835="","",'NEW ACCOUNT'!D1835)</f>
        <v/>
      </c>
      <c r="E1834" t="str">
        <f>IF('NEW ACCOUNT'!A1835="","",'NEW ACCOUNT'!E1835)</f>
        <v/>
      </c>
      <c r="F1834" t="str">
        <f>IF('NEW ACCOUNT'!A1835="","",'NEW ACCOUNT'!F1835)</f>
        <v/>
      </c>
      <c r="G1834" t="str">
        <f>IF('NEW ACCOUNT'!A1835="","",'NEW ACCOUNT'!G1835)</f>
        <v/>
      </c>
      <c r="H1834" t="str">
        <f>IF('NEW ACCOUNT'!A1835="","",'NEW ACCOUNT'!H1835)</f>
        <v/>
      </c>
      <c r="I1834" t="str">
        <f>IF('NEW ACCOUNT'!A1835="","",'NEW ACCOUNT'!I1835)</f>
        <v/>
      </c>
      <c r="J1834" t="str">
        <f>IF('NEW ACCOUNT'!A1835="","",'NEW ACCOUNT'!J1835)</f>
        <v/>
      </c>
      <c r="K1834" t="str">
        <f>IFERROR(IF(A1834="","",SUMIF(DB_Savings!$A:$A,A1834,DB_Savings!$F:$F)),"")</f>
        <v/>
      </c>
      <c r="L1834" t="str">
        <f>IFERROR(IF(A1834="","",SUMIF(DB_Withdrawals!$A:$A,A1834,DB_Withdrawals!$G:$G)),"")</f>
        <v/>
      </c>
      <c r="M1834" t="str">
        <f>IFERROR(IF(A1834="","",IFERROR(VALUE(H1834),0)+IFERROR(SUMIF(DB_Savings!$A:$A,A1834,DB_Savings!$F:$F),0)-IFERROR(SUMIF(DB_Withdrawals!$A:$A,A1834,DB_Withdrawals!$G:$G),0)),"")</f>
        <v/>
      </c>
      <c r="N1834" t="str">
        <f>IFERROR(IF(A1834="","",MAX(0,M1834-System_Config!$B$9)),"")</f>
        <v/>
      </c>
    </row>
    <row r="1835" spans="1:14" ht="15" customHeight="1" x14ac:dyDescent="0.25">
      <c r="A1835" t="str">
        <f>'NEW ACCOUNT'!A1836</f>
        <v/>
      </c>
      <c r="B1835" t="str">
        <f>IF('NEW ACCOUNT'!A1836="","",'NEW ACCOUNT'!B1836)</f>
        <v/>
      </c>
      <c r="C1835" t="str">
        <f>IF('NEW ACCOUNT'!A1836="","",'NEW ACCOUNT'!C1836)</f>
        <v/>
      </c>
      <c r="D1835" t="str">
        <f>IF('NEW ACCOUNT'!A1836="","",'NEW ACCOUNT'!D1836)</f>
        <v/>
      </c>
      <c r="E1835" t="str">
        <f>IF('NEW ACCOUNT'!A1836="","",'NEW ACCOUNT'!E1836)</f>
        <v/>
      </c>
      <c r="F1835" t="str">
        <f>IF('NEW ACCOUNT'!A1836="","",'NEW ACCOUNT'!F1836)</f>
        <v/>
      </c>
      <c r="G1835" t="str">
        <f>IF('NEW ACCOUNT'!A1836="","",'NEW ACCOUNT'!G1836)</f>
        <v/>
      </c>
      <c r="H1835" t="str">
        <f>IF('NEW ACCOUNT'!A1836="","",'NEW ACCOUNT'!H1836)</f>
        <v/>
      </c>
      <c r="I1835" t="str">
        <f>IF('NEW ACCOUNT'!A1836="","",'NEW ACCOUNT'!I1836)</f>
        <v/>
      </c>
      <c r="J1835" t="str">
        <f>IF('NEW ACCOUNT'!A1836="","",'NEW ACCOUNT'!J1836)</f>
        <v/>
      </c>
      <c r="K1835" t="str">
        <f>IFERROR(IF(A1835="","",SUMIF(DB_Savings!$A:$A,A1835,DB_Savings!$F:$F)),"")</f>
        <v/>
      </c>
      <c r="L1835" t="str">
        <f>IFERROR(IF(A1835="","",SUMIF(DB_Withdrawals!$A:$A,A1835,DB_Withdrawals!$G:$G)),"")</f>
        <v/>
      </c>
      <c r="M1835" t="str">
        <f>IFERROR(IF(A1835="","",IFERROR(VALUE(H1835),0)+IFERROR(SUMIF(DB_Savings!$A:$A,A1835,DB_Savings!$F:$F),0)-IFERROR(SUMIF(DB_Withdrawals!$A:$A,A1835,DB_Withdrawals!$G:$G),0)),"")</f>
        <v/>
      </c>
      <c r="N1835" t="str">
        <f>IFERROR(IF(A1835="","",MAX(0,M1835-System_Config!$B$9)),"")</f>
        <v/>
      </c>
    </row>
    <row r="1836" spans="1:14" ht="15" customHeight="1" x14ac:dyDescent="0.25">
      <c r="A1836" t="str">
        <f>'NEW ACCOUNT'!A1837</f>
        <v/>
      </c>
      <c r="B1836" t="str">
        <f>IF('NEW ACCOUNT'!A1837="","",'NEW ACCOUNT'!B1837)</f>
        <v/>
      </c>
      <c r="C1836" t="str">
        <f>IF('NEW ACCOUNT'!A1837="","",'NEW ACCOUNT'!C1837)</f>
        <v/>
      </c>
      <c r="D1836" t="str">
        <f>IF('NEW ACCOUNT'!A1837="","",'NEW ACCOUNT'!D1837)</f>
        <v/>
      </c>
      <c r="E1836" t="str">
        <f>IF('NEW ACCOUNT'!A1837="","",'NEW ACCOUNT'!E1837)</f>
        <v/>
      </c>
      <c r="F1836" t="str">
        <f>IF('NEW ACCOUNT'!A1837="","",'NEW ACCOUNT'!F1837)</f>
        <v/>
      </c>
      <c r="G1836" t="str">
        <f>IF('NEW ACCOUNT'!A1837="","",'NEW ACCOUNT'!G1837)</f>
        <v/>
      </c>
      <c r="H1836" t="str">
        <f>IF('NEW ACCOUNT'!A1837="","",'NEW ACCOUNT'!H1837)</f>
        <v/>
      </c>
      <c r="I1836" t="str">
        <f>IF('NEW ACCOUNT'!A1837="","",'NEW ACCOUNT'!I1837)</f>
        <v/>
      </c>
      <c r="J1836" t="str">
        <f>IF('NEW ACCOUNT'!A1837="","",'NEW ACCOUNT'!J1837)</f>
        <v/>
      </c>
      <c r="K1836" t="str">
        <f>IFERROR(IF(A1836="","",SUMIF(DB_Savings!$A:$A,A1836,DB_Savings!$F:$F)),"")</f>
        <v/>
      </c>
      <c r="L1836" t="str">
        <f>IFERROR(IF(A1836="","",SUMIF(DB_Withdrawals!$A:$A,A1836,DB_Withdrawals!$G:$G)),"")</f>
        <v/>
      </c>
      <c r="M1836" t="str">
        <f>IFERROR(IF(A1836="","",IFERROR(VALUE(H1836),0)+IFERROR(SUMIF(DB_Savings!$A:$A,A1836,DB_Savings!$F:$F),0)-IFERROR(SUMIF(DB_Withdrawals!$A:$A,A1836,DB_Withdrawals!$G:$G),0)),"")</f>
        <v/>
      </c>
      <c r="N1836" t="str">
        <f>IFERROR(IF(A1836="","",MAX(0,M1836-System_Config!$B$9)),"")</f>
        <v/>
      </c>
    </row>
    <row r="1837" spans="1:14" ht="15" customHeight="1" x14ac:dyDescent="0.25">
      <c r="A1837" t="str">
        <f>'NEW ACCOUNT'!A1838</f>
        <v/>
      </c>
      <c r="B1837" t="str">
        <f>IF('NEW ACCOUNT'!A1838="","",'NEW ACCOUNT'!B1838)</f>
        <v/>
      </c>
      <c r="C1837" t="str">
        <f>IF('NEW ACCOUNT'!A1838="","",'NEW ACCOUNT'!C1838)</f>
        <v/>
      </c>
      <c r="D1837" t="str">
        <f>IF('NEW ACCOUNT'!A1838="","",'NEW ACCOUNT'!D1838)</f>
        <v/>
      </c>
      <c r="E1837" t="str">
        <f>IF('NEW ACCOUNT'!A1838="","",'NEW ACCOUNT'!E1838)</f>
        <v/>
      </c>
      <c r="F1837" t="str">
        <f>IF('NEW ACCOUNT'!A1838="","",'NEW ACCOUNT'!F1838)</f>
        <v/>
      </c>
      <c r="G1837" t="str">
        <f>IF('NEW ACCOUNT'!A1838="","",'NEW ACCOUNT'!G1838)</f>
        <v/>
      </c>
      <c r="H1837" t="str">
        <f>IF('NEW ACCOUNT'!A1838="","",'NEW ACCOUNT'!H1838)</f>
        <v/>
      </c>
      <c r="I1837" t="str">
        <f>IF('NEW ACCOUNT'!A1838="","",'NEW ACCOUNT'!I1838)</f>
        <v/>
      </c>
      <c r="J1837" t="str">
        <f>IF('NEW ACCOUNT'!A1838="","",'NEW ACCOUNT'!J1838)</f>
        <v/>
      </c>
      <c r="K1837" t="str">
        <f>IFERROR(IF(A1837="","",SUMIF(DB_Savings!$A:$A,A1837,DB_Savings!$F:$F)),"")</f>
        <v/>
      </c>
      <c r="L1837" t="str">
        <f>IFERROR(IF(A1837="","",SUMIF(DB_Withdrawals!$A:$A,A1837,DB_Withdrawals!$G:$G)),"")</f>
        <v/>
      </c>
      <c r="M1837" t="str">
        <f>IFERROR(IF(A1837="","",IFERROR(VALUE(H1837),0)+IFERROR(SUMIF(DB_Savings!$A:$A,A1837,DB_Savings!$F:$F),0)-IFERROR(SUMIF(DB_Withdrawals!$A:$A,A1837,DB_Withdrawals!$G:$G),0)),"")</f>
        <v/>
      </c>
      <c r="N1837" t="str">
        <f>IFERROR(IF(A1837="","",MAX(0,M1837-System_Config!$B$9)),"")</f>
        <v/>
      </c>
    </row>
    <row r="1838" spans="1:14" ht="15" customHeight="1" x14ac:dyDescent="0.25">
      <c r="A1838" t="str">
        <f>'NEW ACCOUNT'!A1839</f>
        <v/>
      </c>
      <c r="B1838" t="str">
        <f>IF('NEW ACCOUNT'!A1839="","",'NEW ACCOUNT'!B1839)</f>
        <v/>
      </c>
      <c r="C1838" t="str">
        <f>IF('NEW ACCOUNT'!A1839="","",'NEW ACCOUNT'!C1839)</f>
        <v/>
      </c>
      <c r="D1838" t="str">
        <f>IF('NEW ACCOUNT'!A1839="","",'NEW ACCOUNT'!D1839)</f>
        <v/>
      </c>
      <c r="E1838" t="str">
        <f>IF('NEW ACCOUNT'!A1839="","",'NEW ACCOUNT'!E1839)</f>
        <v/>
      </c>
      <c r="F1838" t="str">
        <f>IF('NEW ACCOUNT'!A1839="","",'NEW ACCOUNT'!F1839)</f>
        <v/>
      </c>
      <c r="G1838" t="str">
        <f>IF('NEW ACCOUNT'!A1839="","",'NEW ACCOUNT'!G1839)</f>
        <v/>
      </c>
      <c r="H1838" t="str">
        <f>IF('NEW ACCOUNT'!A1839="","",'NEW ACCOUNT'!H1839)</f>
        <v/>
      </c>
      <c r="I1838" t="str">
        <f>IF('NEW ACCOUNT'!A1839="","",'NEW ACCOUNT'!I1839)</f>
        <v/>
      </c>
      <c r="J1838" t="str">
        <f>IF('NEW ACCOUNT'!A1839="","",'NEW ACCOUNT'!J1839)</f>
        <v/>
      </c>
      <c r="K1838" t="str">
        <f>IFERROR(IF(A1838="","",SUMIF(DB_Savings!$A:$A,A1838,DB_Savings!$F:$F)),"")</f>
        <v/>
      </c>
      <c r="L1838" t="str">
        <f>IFERROR(IF(A1838="","",SUMIF(DB_Withdrawals!$A:$A,A1838,DB_Withdrawals!$G:$G)),"")</f>
        <v/>
      </c>
      <c r="M1838" t="str">
        <f>IFERROR(IF(A1838="","",IFERROR(VALUE(H1838),0)+IFERROR(SUMIF(DB_Savings!$A:$A,A1838,DB_Savings!$F:$F),0)-IFERROR(SUMIF(DB_Withdrawals!$A:$A,A1838,DB_Withdrawals!$G:$G),0)),"")</f>
        <v/>
      </c>
      <c r="N1838" t="str">
        <f>IFERROR(IF(A1838="","",MAX(0,M1838-System_Config!$B$9)),"")</f>
        <v/>
      </c>
    </row>
    <row r="1839" spans="1:14" ht="15" customHeight="1" x14ac:dyDescent="0.25">
      <c r="A1839" t="str">
        <f>'NEW ACCOUNT'!A1840</f>
        <v/>
      </c>
      <c r="B1839" t="str">
        <f>IF('NEW ACCOUNT'!A1840="","",'NEW ACCOUNT'!B1840)</f>
        <v/>
      </c>
      <c r="C1839" t="str">
        <f>IF('NEW ACCOUNT'!A1840="","",'NEW ACCOUNT'!C1840)</f>
        <v/>
      </c>
      <c r="D1839" t="str">
        <f>IF('NEW ACCOUNT'!A1840="","",'NEW ACCOUNT'!D1840)</f>
        <v/>
      </c>
      <c r="E1839" t="str">
        <f>IF('NEW ACCOUNT'!A1840="","",'NEW ACCOUNT'!E1840)</f>
        <v/>
      </c>
      <c r="F1839" t="str">
        <f>IF('NEW ACCOUNT'!A1840="","",'NEW ACCOUNT'!F1840)</f>
        <v/>
      </c>
      <c r="G1839" t="str">
        <f>IF('NEW ACCOUNT'!A1840="","",'NEW ACCOUNT'!G1840)</f>
        <v/>
      </c>
      <c r="H1839" t="str">
        <f>IF('NEW ACCOUNT'!A1840="","",'NEW ACCOUNT'!H1840)</f>
        <v/>
      </c>
      <c r="I1839" t="str">
        <f>IF('NEW ACCOUNT'!A1840="","",'NEW ACCOUNT'!I1840)</f>
        <v/>
      </c>
      <c r="J1839" t="str">
        <f>IF('NEW ACCOUNT'!A1840="","",'NEW ACCOUNT'!J1840)</f>
        <v/>
      </c>
      <c r="K1839" t="str">
        <f>IFERROR(IF(A1839="","",SUMIF(DB_Savings!$A:$A,A1839,DB_Savings!$F:$F)),"")</f>
        <v/>
      </c>
      <c r="L1839" t="str">
        <f>IFERROR(IF(A1839="","",SUMIF(DB_Withdrawals!$A:$A,A1839,DB_Withdrawals!$G:$G)),"")</f>
        <v/>
      </c>
      <c r="M1839" t="str">
        <f>IFERROR(IF(A1839="","",IFERROR(VALUE(H1839),0)+IFERROR(SUMIF(DB_Savings!$A:$A,A1839,DB_Savings!$F:$F),0)-IFERROR(SUMIF(DB_Withdrawals!$A:$A,A1839,DB_Withdrawals!$G:$G),0)),"")</f>
        <v/>
      </c>
      <c r="N1839" t="str">
        <f>IFERROR(IF(A1839="","",MAX(0,M1839-System_Config!$B$9)),"")</f>
        <v/>
      </c>
    </row>
    <row r="1840" spans="1:14" ht="15" customHeight="1" x14ac:dyDescent="0.25">
      <c r="A1840" t="str">
        <f>'NEW ACCOUNT'!A1841</f>
        <v/>
      </c>
      <c r="B1840" t="str">
        <f>IF('NEW ACCOUNT'!A1841="","",'NEW ACCOUNT'!B1841)</f>
        <v/>
      </c>
      <c r="C1840" t="str">
        <f>IF('NEW ACCOUNT'!A1841="","",'NEW ACCOUNT'!C1841)</f>
        <v/>
      </c>
      <c r="D1840" t="str">
        <f>IF('NEW ACCOUNT'!A1841="","",'NEW ACCOUNT'!D1841)</f>
        <v/>
      </c>
      <c r="E1840" t="str">
        <f>IF('NEW ACCOUNT'!A1841="","",'NEW ACCOUNT'!E1841)</f>
        <v/>
      </c>
      <c r="F1840" t="str">
        <f>IF('NEW ACCOUNT'!A1841="","",'NEW ACCOUNT'!F1841)</f>
        <v/>
      </c>
      <c r="G1840" t="str">
        <f>IF('NEW ACCOUNT'!A1841="","",'NEW ACCOUNT'!G1841)</f>
        <v/>
      </c>
      <c r="H1840" t="str">
        <f>IF('NEW ACCOUNT'!A1841="","",'NEW ACCOUNT'!H1841)</f>
        <v/>
      </c>
      <c r="I1840" t="str">
        <f>IF('NEW ACCOUNT'!A1841="","",'NEW ACCOUNT'!I1841)</f>
        <v/>
      </c>
      <c r="J1840" t="str">
        <f>IF('NEW ACCOUNT'!A1841="","",'NEW ACCOUNT'!J1841)</f>
        <v/>
      </c>
      <c r="K1840" t="str">
        <f>IFERROR(IF(A1840="","",SUMIF(DB_Savings!$A:$A,A1840,DB_Savings!$F:$F)),"")</f>
        <v/>
      </c>
      <c r="L1840" t="str">
        <f>IFERROR(IF(A1840="","",SUMIF(DB_Withdrawals!$A:$A,A1840,DB_Withdrawals!$G:$G)),"")</f>
        <v/>
      </c>
      <c r="M1840" t="str">
        <f>IFERROR(IF(A1840="","",IFERROR(VALUE(H1840),0)+IFERROR(SUMIF(DB_Savings!$A:$A,A1840,DB_Savings!$F:$F),0)-IFERROR(SUMIF(DB_Withdrawals!$A:$A,A1840,DB_Withdrawals!$G:$G),0)),"")</f>
        <v/>
      </c>
      <c r="N1840" t="str">
        <f>IFERROR(IF(A1840="","",MAX(0,M1840-System_Config!$B$9)),"")</f>
        <v/>
      </c>
    </row>
    <row r="1841" spans="1:14" ht="15" customHeight="1" x14ac:dyDescent="0.25">
      <c r="A1841" t="str">
        <f>'NEW ACCOUNT'!A1842</f>
        <v/>
      </c>
      <c r="B1841" t="str">
        <f>IF('NEW ACCOUNT'!A1842="","",'NEW ACCOUNT'!B1842)</f>
        <v/>
      </c>
      <c r="C1841" t="str">
        <f>IF('NEW ACCOUNT'!A1842="","",'NEW ACCOUNT'!C1842)</f>
        <v/>
      </c>
      <c r="D1841" t="str">
        <f>IF('NEW ACCOUNT'!A1842="","",'NEW ACCOUNT'!D1842)</f>
        <v/>
      </c>
      <c r="E1841" t="str">
        <f>IF('NEW ACCOUNT'!A1842="","",'NEW ACCOUNT'!E1842)</f>
        <v/>
      </c>
      <c r="F1841" t="str">
        <f>IF('NEW ACCOUNT'!A1842="","",'NEW ACCOUNT'!F1842)</f>
        <v/>
      </c>
      <c r="G1841" t="str">
        <f>IF('NEW ACCOUNT'!A1842="","",'NEW ACCOUNT'!G1842)</f>
        <v/>
      </c>
      <c r="H1841" t="str">
        <f>IF('NEW ACCOUNT'!A1842="","",'NEW ACCOUNT'!H1842)</f>
        <v/>
      </c>
      <c r="I1841" t="str">
        <f>IF('NEW ACCOUNT'!A1842="","",'NEW ACCOUNT'!I1842)</f>
        <v/>
      </c>
      <c r="J1841" t="str">
        <f>IF('NEW ACCOUNT'!A1842="","",'NEW ACCOUNT'!J1842)</f>
        <v/>
      </c>
      <c r="K1841" t="str">
        <f>IFERROR(IF(A1841="","",SUMIF(DB_Savings!$A:$A,A1841,DB_Savings!$F:$F)),"")</f>
        <v/>
      </c>
      <c r="L1841" t="str">
        <f>IFERROR(IF(A1841="","",SUMIF(DB_Withdrawals!$A:$A,A1841,DB_Withdrawals!$G:$G)),"")</f>
        <v/>
      </c>
      <c r="M1841" t="str">
        <f>IFERROR(IF(A1841="","",IFERROR(VALUE(H1841),0)+IFERROR(SUMIF(DB_Savings!$A:$A,A1841,DB_Savings!$F:$F),0)-IFERROR(SUMIF(DB_Withdrawals!$A:$A,A1841,DB_Withdrawals!$G:$G),0)),"")</f>
        <v/>
      </c>
      <c r="N1841" t="str">
        <f>IFERROR(IF(A1841="","",MAX(0,M1841-System_Config!$B$9)),"")</f>
        <v/>
      </c>
    </row>
    <row r="1842" spans="1:14" ht="15" customHeight="1" x14ac:dyDescent="0.25">
      <c r="A1842" t="str">
        <f>'NEW ACCOUNT'!A1843</f>
        <v/>
      </c>
      <c r="B1842" t="str">
        <f>IF('NEW ACCOUNT'!A1843="","",'NEW ACCOUNT'!B1843)</f>
        <v/>
      </c>
      <c r="C1842" t="str">
        <f>IF('NEW ACCOUNT'!A1843="","",'NEW ACCOUNT'!C1843)</f>
        <v/>
      </c>
      <c r="D1842" t="str">
        <f>IF('NEW ACCOUNT'!A1843="","",'NEW ACCOUNT'!D1843)</f>
        <v/>
      </c>
      <c r="E1842" t="str">
        <f>IF('NEW ACCOUNT'!A1843="","",'NEW ACCOUNT'!E1843)</f>
        <v/>
      </c>
      <c r="F1842" t="str">
        <f>IF('NEW ACCOUNT'!A1843="","",'NEW ACCOUNT'!F1843)</f>
        <v/>
      </c>
      <c r="G1842" t="str">
        <f>IF('NEW ACCOUNT'!A1843="","",'NEW ACCOUNT'!G1843)</f>
        <v/>
      </c>
      <c r="H1842" t="str">
        <f>IF('NEW ACCOUNT'!A1843="","",'NEW ACCOUNT'!H1843)</f>
        <v/>
      </c>
      <c r="I1842" t="str">
        <f>IF('NEW ACCOUNT'!A1843="","",'NEW ACCOUNT'!I1843)</f>
        <v/>
      </c>
      <c r="J1842" t="str">
        <f>IF('NEW ACCOUNT'!A1843="","",'NEW ACCOUNT'!J1843)</f>
        <v/>
      </c>
      <c r="K1842" t="str">
        <f>IFERROR(IF(A1842="","",SUMIF(DB_Savings!$A:$A,A1842,DB_Savings!$F:$F)),"")</f>
        <v/>
      </c>
      <c r="L1842" t="str">
        <f>IFERROR(IF(A1842="","",SUMIF(DB_Withdrawals!$A:$A,A1842,DB_Withdrawals!$G:$G)),"")</f>
        <v/>
      </c>
      <c r="M1842" t="str">
        <f>IFERROR(IF(A1842="","",IFERROR(VALUE(H1842),0)+IFERROR(SUMIF(DB_Savings!$A:$A,A1842,DB_Savings!$F:$F),0)-IFERROR(SUMIF(DB_Withdrawals!$A:$A,A1842,DB_Withdrawals!$G:$G),0)),"")</f>
        <v/>
      </c>
      <c r="N1842" t="str">
        <f>IFERROR(IF(A1842="","",MAX(0,M1842-System_Config!$B$9)),"")</f>
        <v/>
      </c>
    </row>
    <row r="1843" spans="1:14" ht="15" customHeight="1" x14ac:dyDescent="0.25">
      <c r="A1843" t="str">
        <f>'NEW ACCOUNT'!A1844</f>
        <v/>
      </c>
      <c r="B1843" t="str">
        <f>IF('NEW ACCOUNT'!A1844="","",'NEW ACCOUNT'!B1844)</f>
        <v/>
      </c>
      <c r="C1843" t="str">
        <f>IF('NEW ACCOUNT'!A1844="","",'NEW ACCOUNT'!C1844)</f>
        <v/>
      </c>
      <c r="D1843" t="str">
        <f>IF('NEW ACCOUNT'!A1844="","",'NEW ACCOUNT'!D1844)</f>
        <v/>
      </c>
      <c r="E1843" t="str">
        <f>IF('NEW ACCOUNT'!A1844="","",'NEW ACCOUNT'!E1844)</f>
        <v/>
      </c>
      <c r="F1843" t="str">
        <f>IF('NEW ACCOUNT'!A1844="","",'NEW ACCOUNT'!F1844)</f>
        <v/>
      </c>
      <c r="G1843" t="str">
        <f>IF('NEW ACCOUNT'!A1844="","",'NEW ACCOUNT'!G1844)</f>
        <v/>
      </c>
      <c r="H1843" t="str">
        <f>IF('NEW ACCOUNT'!A1844="","",'NEW ACCOUNT'!H1844)</f>
        <v/>
      </c>
      <c r="I1843" t="str">
        <f>IF('NEW ACCOUNT'!A1844="","",'NEW ACCOUNT'!I1844)</f>
        <v/>
      </c>
      <c r="J1843" t="str">
        <f>IF('NEW ACCOUNT'!A1844="","",'NEW ACCOUNT'!J1844)</f>
        <v/>
      </c>
      <c r="K1843" t="str">
        <f>IFERROR(IF(A1843="","",SUMIF(DB_Savings!$A:$A,A1843,DB_Savings!$F:$F)),"")</f>
        <v/>
      </c>
      <c r="L1843" t="str">
        <f>IFERROR(IF(A1843="","",SUMIF(DB_Withdrawals!$A:$A,A1843,DB_Withdrawals!$G:$G)),"")</f>
        <v/>
      </c>
      <c r="M1843" t="str">
        <f>IFERROR(IF(A1843="","",IFERROR(VALUE(H1843),0)+IFERROR(SUMIF(DB_Savings!$A:$A,A1843,DB_Savings!$F:$F),0)-IFERROR(SUMIF(DB_Withdrawals!$A:$A,A1843,DB_Withdrawals!$G:$G),0)),"")</f>
        <v/>
      </c>
      <c r="N1843" t="str">
        <f>IFERROR(IF(A1843="","",MAX(0,M1843-System_Config!$B$9)),"")</f>
        <v/>
      </c>
    </row>
    <row r="1844" spans="1:14" ht="15" customHeight="1" x14ac:dyDescent="0.25">
      <c r="A1844" t="str">
        <f>'NEW ACCOUNT'!A1845</f>
        <v/>
      </c>
      <c r="B1844" t="str">
        <f>IF('NEW ACCOUNT'!A1845="","",'NEW ACCOUNT'!B1845)</f>
        <v/>
      </c>
      <c r="C1844" t="str">
        <f>IF('NEW ACCOUNT'!A1845="","",'NEW ACCOUNT'!C1845)</f>
        <v/>
      </c>
      <c r="D1844" t="str">
        <f>IF('NEW ACCOUNT'!A1845="","",'NEW ACCOUNT'!D1845)</f>
        <v/>
      </c>
      <c r="E1844" t="str">
        <f>IF('NEW ACCOUNT'!A1845="","",'NEW ACCOUNT'!E1845)</f>
        <v/>
      </c>
      <c r="F1844" t="str">
        <f>IF('NEW ACCOUNT'!A1845="","",'NEW ACCOUNT'!F1845)</f>
        <v/>
      </c>
      <c r="G1844" t="str">
        <f>IF('NEW ACCOUNT'!A1845="","",'NEW ACCOUNT'!G1845)</f>
        <v/>
      </c>
      <c r="H1844" t="str">
        <f>IF('NEW ACCOUNT'!A1845="","",'NEW ACCOUNT'!H1845)</f>
        <v/>
      </c>
      <c r="I1844" t="str">
        <f>IF('NEW ACCOUNT'!A1845="","",'NEW ACCOUNT'!I1845)</f>
        <v/>
      </c>
      <c r="J1844" t="str">
        <f>IF('NEW ACCOUNT'!A1845="","",'NEW ACCOUNT'!J1845)</f>
        <v/>
      </c>
      <c r="K1844" t="str">
        <f>IFERROR(IF(A1844="","",SUMIF(DB_Savings!$A:$A,A1844,DB_Savings!$F:$F)),"")</f>
        <v/>
      </c>
      <c r="L1844" t="str">
        <f>IFERROR(IF(A1844="","",SUMIF(DB_Withdrawals!$A:$A,A1844,DB_Withdrawals!$G:$G)),"")</f>
        <v/>
      </c>
      <c r="M1844" t="str">
        <f>IFERROR(IF(A1844="","",IFERROR(VALUE(H1844),0)+IFERROR(SUMIF(DB_Savings!$A:$A,A1844,DB_Savings!$F:$F),0)-IFERROR(SUMIF(DB_Withdrawals!$A:$A,A1844,DB_Withdrawals!$G:$G),0)),"")</f>
        <v/>
      </c>
      <c r="N1844" t="str">
        <f>IFERROR(IF(A1844="","",MAX(0,M1844-System_Config!$B$9)),"")</f>
        <v/>
      </c>
    </row>
    <row r="1845" spans="1:14" ht="15" customHeight="1" x14ac:dyDescent="0.25">
      <c r="A1845" t="str">
        <f>'NEW ACCOUNT'!A1846</f>
        <v/>
      </c>
      <c r="B1845" t="str">
        <f>IF('NEW ACCOUNT'!A1846="","",'NEW ACCOUNT'!B1846)</f>
        <v/>
      </c>
      <c r="C1845" t="str">
        <f>IF('NEW ACCOUNT'!A1846="","",'NEW ACCOUNT'!C1846)</f>
        <v/>
      </c>
      <c r="D1845" t="str">
        <f>IF('NEW ACCOUNT'!A1846="","",'NEW ACCOUNT'!D1846)</f>
        <v/>
      </c>
      <c r="E1845" t="str">
        <f>IF('NEW ACCOUNT'!A1846="","",'NEW ACCOUNT'!E1846)</f>
        <v/>
      </c>
      <c r="F1845" t="str">
        <f>IF('NEW ACCOUNT'!A1846="","",'NEW ACCOUNT'!F1846)</f>
        <v/>
      </c>
      <c r="G1845" t="str">
        <f>IF('NEW ACCOUNT'!A1846="","",'NEW ACCOUNT'!G1846)</f>
        <v/>
      </c>
      <c r="H1845" t="str">
        <f>IF('NEW ACCOUNT'!A1846="","",'NEW ACCOUNT'!H1846)</f>
        <v/>
      </c>
      <c r="I1845" t="str">
        <f>IF('NEW ACCOUNT'!A1846="","",'NEW ACCOUNT'!I1846)</f>
        <v/>
      </c>
      <c r="J1845" t="str">
        <f>IF('NEW ACCOUNT'!A1846="","",'NEW ACCOUNT'!J1846)</f>
        <v/>
      </c>
      <c r="K1845" t="str">
        <f>IFERROR(IF(A1845="","",SUMIF(DB_Savings!$A:$A,A1845,DB_Savings!$F:$F)),"")</f>
        <v/>
      </c>
      <c r="L1845" t="str">
        <f>IFERROR(IF(A1845="","",SUMIF(DB_Withdrawals!$A:$A,A1845,DB_Withdrawals!$G:$G)),"")</f>
        <v/>
      </c>
      <c r="M1845" t="str">
        <f>IFERROR(IF(A1845="","",IFERROR(VALUE(H1845),0)+IFERROR(SUMIF(DB_Savings!$A:$A,A1845,DB_Savings!$F:$F),0)-IFERROR(SUMIF(DB_Withdrawals!$A:$A,A1845,DB_Withdrawals!$G:$G),0)),"")</f>
        <v/>
      </c>
      <c r="N1845" t="str">
        <f>IFERROR(IF(A1845="","",MAX(0,M1845-System_Config!$B$9)),"")</f>
        <v/>
      </c>
    </row>
    <row r="1846" spans="1:14" ht="15" customHeight="1" x14ac:dyDescent="0.25">
      <c r="A1846" t="str">
        <f>'NEW ACCOUNT'!A1847</f>
        <v/>
      </c>
      <c r="B1846" t="str">
        <f>IF('NEW ACCOUNT'!A1847="","",'NEW ACCOUNT'!B1847)</f>
        <v/>
      </c>
      <c r="C1846" t="str">
        <f>IF('NEW ACCOUNT'!A1847="","",'NEW ACCOUNT'!C1847)</f>
        <v/>
      </c>
      <c r="D1846" t="str">
        <f>IF('NEW ACCOUNT'!A1847="","",'NEW ACCOUNT'!D1847)</f>
        <v/>
      </c>
      <c r="E1846" t="str">
        <f>IF('NEW ACCOUNT'!A1847="","",'NEW ACCOUNT'!E1847)</f>
        <v/>
      </c>
      <c r="F1846" t="str">
        <f>IF('NEW ACCOUNT'!A1847="","",'NEW ACCOUNT'!F1847)</f>
        <v/>
      </c>
      <c r="G1846" t="str">
        <f>IF('NEW ACCOUNT'!A1847="","",'NEW ACCOUNT'!G1847)</f>
        <v/>
      </c>
      <c r="H1846" t="str">
        <f>IF('NEW ACCOUNT'!A1847="","",'NEW ACCOUNT'!H1847)</f>
        <v/>
      </c>
      <c r="I1846" t="str">
        <f>IF('NEW ACCOUNT'!A1847="","",'NEW ACCOUNT'!I1847)</f>
        <v/>
      </c>
      <c r="J1846" t="str">
        <f>IF('NEW ACCOUNT'!A1847="","",'NEW ACCOUNT'!J1847)</f>
        <v/>
      </c>
      <c r="K1846" t="str">
        <f>IFERROR(IF(A1846="","",SUMIF(DB_Savings!$A:$A,A1846,DB_Savings!$F:$F)),"")</f>
        <v/>
      </c>
      <c r="L1846" t="str">
        <f>IFERROR(IF(A1846="","",SUMIF(DB_Withdrawals!$A:$A,A1846,DB_Withdrawals!$G:$G)),"")</f>
        <v/>
      </c>
      <c r="M1846" t="str">
        <f>IFERROR(IF(A1846="","",IFERROR(VALUE(H1846),0)+IFERROR(SUMIF(DB_Savings!$A:$A,A1846,DB_Savings!$F:$F),0)-IFERROR(SUMIF(DB_Withdrawals!$A:$A,A1846,DB_Withdrawals!$G:$G),0)),"")</f>
        <v/>
      </c>
      <c r="N1846" t="str">
        <f>IFERROR(IF(A1846="","",MAX(0,M1846-System_Config!$B$9)),"")</f>
        <v/>
      </c>
    </row>
    <row r="1847" spans="1:14" ht="15" customHeight="1" x14ac:dyDescent="0.25">
      <c r="A1847" t="str">
        <f>'NEW ACCOUNT'!A1848</f>
        <v/>
      </c>
      <c r="B1847" t="str">
        <f>IF('NEW ACCOUNT'!A1848="","",'NEW ACCOUNT'!B1848)</f>
        <v/>
      </c>
      <c r="C1847" t="str">
        <f>IF('NEW ACCOUNT'!A1848="","",'NEW ACCOUNT'!C1848)</f>
        <v/>
      </c>
      <c r="D1847" t="str">
        <f>IF('NEW ACCOUNT'!A1848="","",'NEW ACCOUNT'!D1848)</f>
        <v/>
      </c>
      <c r="E1847" t="str">
        <f>IF('NEW ACCOUNT'!A1848="","",'NEW ACCOUNT'!E1848)</f>
        <v/>
      </c>
      <c r="F1847" t="str">
        <f>IF('NEW ACCOUNT'!A1848="","",'NEW ACCOUNT'!F1848)</f>
        <v/>
      </c>
      <c r="G1847" t="str">
        <f>IF('NEW ACCOUNT'!A1848="","",'NEW ACCOUNT'!G1848)</f>
        <v/>
      </c>
      <c r="H1847" t="str">
        <f>IF('NEW ACCOUNT'!A1848="","",'NEW ACCOUNT'!H1848)</f>
        <v/>
      </c>
      <c r="I1847" t="str">
        <f>IF('NEW ACCOUNT'!A1848="","",'NEW ACCOUNT'!I1848)</f>
        <v/>
      </c>
      <c r="J1847" t="str">
        <f>IF('NEW ACCOUNT'!A1848="","",'NEW ACCOUNT'!J1848)</f>
        <v/>
      </c>
      <c r="K1847" t="str">
        <f>IFERROR(IF(A1847="","",SUMIF(DB_Savings!$A:$A,A1847,DB_Savings!$F:$F)),"")</f>
        <v/>
      </c>
      <c r="L1847" t="str">
        <f>IFERROR(IF(A1847="","",SUMIF(DB_Withdrawals!$A:$A,A1847,DB_Withdrawals!$G:$G)),"")</f>
        <v/>
      </c>
      <c r="M1847" t="str">
        <f>IFERROR(IF(A1847="","",IFERROR(VALUE(H1847),0)+IFERROR(SUMIF(DB_Savings!$A:$A,A1847,DB_Savings!$F:$F),0)-IFERROR(SUMIF(DB_Withdrawals!$A:$A,A1847,DB_Withdrawals!$G:$G),0)),"")</f>
        <v/>
      </c>
      <c r="N1847" t="str">
        <f>IFERROR(IF(A1847="","",MAX(0,M1847-System_Config!$B$9)),"")</f>
        <v/>
      </c>
    </row>
    <row r="1848" spans="1:14" ht="15" customHeight="1" x14ac:dyDescent="0.25">
      <c r="A1848" t="str">
        <f>'NEW ACCOUNT'!A1849</f>
        <v/>
      </c>
      <c r="B1848" t="str">
        <f>IF('NEW ACCOUNT'!A1849="","",'NEW ACCOUNT'!B1849)</f>
        <v/>
      </c>
      <c r="C1848" t="str">
        <f>IF('NEW ACCOUNT'!A1849="","",'NEW ACCOUNT'!C1849)</f>
        <v/>
      </c>
      <c r="D1848" t="str">
        <f>IF('NEW ACCOUNT'!A1849="","",'NEW ACCOUNT'!D1849)</f>
        <v/>
      </c>
      <c r="E1848" t="str">
        <f>IF('NEW ACCOUNT'!A1849="","",'NEW ACCOUNT'!E1849)</f>
        <v/>
      </c>
      <c r="F1848" t="str">
        <f>IF('NEW ACCOUNT'!A1849="","",'NEW ACCOUNT'!F1849)</f>
        <v/>
      </c>
      <c r="G1848" t="str">
        <f>IF('NEW ACCOUNT'!A1849="","",'NEW ACCOUNT'!G1849)</f>
        <v/>
      </c>
      <c r="H1848" t="str">
        <f>IF('NEW ACCOUNT'!A1849="","",'NEW ACCOUNT'!H1849)</f>
        <v/>
      </c>
      <c r="I1848" t="str">
        <f>IF('NEW ACCOUNT'!A1849="","",'NEW ACCOUNT'!I1849)</f>
        <v/>
      </c>
      <c r="J1848" t="str">
        <f>IF('NEW ACCOUNT'!A1849="","",'NEW ACCOUNT'!J1849)</f>
        <v/>
      </c>
      <c r="K1848" t="str">
        <f>IFERROR(IF(A1848="","",SUMIF(DB_Savings!$A:$A,A1848,DB_Savings!$F:$F)),"")</f>
        <v/>
      </c>
      <c r="L1848" t="str">
        <f>IFERROR(IF(A1848="","",SUMIF(DB_Withdrawals!$A:$A,A1848,DB_Withdrawals!$G:$G)),"")</f>
        <v/>
      </c>
      <c r="M1848" t="str">
        <f>IFERROR(IF(A1848="","",IFERROR(VALUE(H1848),0)+IFERROR(SUMIF(DB_Savings!$A:$A,A1848,DB_Savings!$F:$F),0)-IFERROR(SUMIF(DB_Withdrawals!$A:$A,A1848,DB_Withdrawals!$G:$G),0)),"")</f>
        <v/>
      </c>
      <c r="N1848" t="str">
        <f>IFERROR(IF(A1848="","",MAX(0,M1848-System_Config!$B$9)),"")</f>
        <v/>
      </c>
    </row>
    <row r="1849" spans="1:14" ht="15" customHeight="1" x14ac:dyDescent="0.25">
      <c r="A1849" t="str">
        <f>'NEW ACCOUNT'!A1850</f>
        <v/>
      </c>
      <c r="B1849" t="str">
        <f>IF('NEW ACCOUNT'!A1850="","",'NEW ACCOUNT'!B1850)</f>
        <v/>
      </c>
      <c r="C1849" t="str">
        <f>IF('NEW ACCOUNT'!A1850="","",'NEW ACCOUNT'!C1850)</f>
        <v/>
      </c>
      <c r="D1849" t="str">
        <f>IF('NEW ACCOUNT'!A1850="","",'NEW ACCOUNT'!D1850)</f>
        <v/>
      </c>
      <c r="E1849" t="str">
        <f>IF('NEW ACCOUNT'!A1850="","",'NEW ACCOUNT'!E1850)</f>
        <v/>
      </c>
      <c r="F1849" t="str">
        <f>IF('NEW ACCOUNT'!A1850="","",'NEW ACCOUNT'!F1850)</f>
        <v/>
      </c>
      <c r="G1849" t="str">
        <f>IF('NEW ACCOUNT'!A1850="","",'NEW ACCOUNT'!G1850)</f>
        <v/>
      </c>
      <c r="H1849" t="str">
        <f>IF('NEW ACCOUNT'!A1850="","",'NEW ACCOUNT'!H1850)</f>
        <v/>
      </c>
      <c r="I1849" t="str">
        <f>IF('NEW ACCOUNT'!A1850="","",'NEW ACCOUNT'!I1850)</f>
        <v/>
      </c>
      <c r="J1849" t="str">
        <f>IF('NEW ACCOUNT'!A1850="","",'NEW ACCOUNT'!J1850)</f>
        <v/>
      </c>
      <c r="K1849" t="str">
        <f>IFERROR(IF(A1849="","",SUMIF(DB_Savings!$A:$A,A1849,DB_Savings!$F:$F)),"")</f>
        <v/>
      </c>
      <c r="L1849" t="str">
        <f>IFERROR(IF(A1849="","",SUMIF(DB_Withdrawals!$A:$A,A1849,DB_Withdrawals!$G:$G)),"")</f>
        <v/>
      </c>
      <c r="M1849" t="str">
        <f>IFERROR(IF(A1849="","",IFERROR(VALUE(H1849),0)+IFERROR(SUMIF(DB_Savings!$A:$A,A1849,DB_Savings!$F:$F),0)-IFERROR(SUMIF(DB_Withdrawals!$A:$A,A1849,DB_Withdrawals!$G:$G),0)),"")</f>
        <v/>
      </c>
      <c r="N1849" t="str">
        <f>IFERROR(IF(A1849="","",MAX(0,M1849-System_Config!$B$9)),"")</f>
        <v/>
      </c>
    </row>
    <row r="1850" spans="1:14" ht="15" customHeight="1" x14ac:dyDescent="0.25">
      <c r="A1850" t="str">
        <f>'NEW ACCOUNT'!A1851</f>
        <v/>
      </c>
      <c r="B1850" t="str">
        <f>IF('NEW ACCOUNT'!A1851="","",'NEW ACCOUNT'!B1851)</f>
        <v/>
      </c>
      <c r="C1850" t="str">
        <f>IF('NEW ACCOUNT'!A1851="","",'NEW ACCOUNT'!C1851)</f>
        <v/>
      </c>
      <c r="D1850" t="str">
        <f>IF('NEW ACCOUNT'!A1851="","",'NEW ACCOUNT'!D1851)</f>
        <v/>
      </c>
      <c r="E1850" t="str">
        <f>IF('NEW ACCOUNT'!A1851="","",'NEW ACCOUNT'!E1851)</f>
        <v/>
      </c>
      <c r="F1850" t="str">
        <f>IF('NEW ACCOUNT'!A1851="","",'NEW ACCOUNT'!F1851)</f>
        <v/>
      </c>
      <c r="G1850" t="str">
        <f>IF('NEW ACCOUNT'!A1851="","",'NEW ACCOUNT'!G1851)</f>
        <v/>
      </c>
      <c r="H1850" t="str">
        <f>IF('NEW ACCOUNT'!A1851="","",'NEW ACCOUNT'!H1851)</f>
        <v/>
      </c>
      <c r="I1850" t="str">
        <f>IF('NEW ACCOUNT'!A1851="","",'NEW ACCOUNT'!I1851)</f>
        <v/>
      </c>
      <c r="J1850" t="str">
        <f>IF('NEW ACCOUNT'!A1851="","",'NEW ACCOUNT'!J1851)</f>
        <v/>
      </c>
      <c r="K1850" t="str">
        <f>IFERROR(IF(A1850="","",SUMIF(DB_Savings!$A:$A,A1850,DB_Savings!$F:$F)),"")</f>
        <v/>
      </c>
      <c r="L1850" t="str">
        <f>IFERROR(IF(A1850="","",SUMIF(DB_Withdrawals!$A:$A,A1850,DB_Withdrawals!$G:$G)),"")</f>
        <v/>
      </c>
      <c r="M1850" t="str">
        <f>IFERROR(IF(A1850="","",IFERROR(VALUE(H1850),0)+IFERROR(SUMIF(DB_Savings!$A:$A,A1850,DB_Savings!$F:$F),0)-IFERROR(SUMIF(DB_Withdrawals!$A:$A,A1850,DB_Withdrawals!$G:$G),0)),"")</f>
        <v/>
      </c>
      <c r="N1850" t="str">
        <f>IFERROR(IF(A1850="","",MAX(0,M1850-System_Config!$B$9)),"")</f>
        <v/>
      </c>
    </row>
    <row r="1851" spans="1:14" ht="15" customHeight="1" x14ac:dyDescent="0.25">
      <c r="A1851" t="str">
        <f>'NEW ACCOUNT'!A1852</f>
        <v/>
      </c>
      <c r="B1851" t="str">
        <f>IF('NEW ACCOUNT'!A1852="","",'NEW ACCOUNT'!B1852)</f>
        <v/>
      </c>
      <c r="C1851" t="str">
        <f>IF('NEW ACCOUNT'!A1852="","",'NEW ACCOUNT'!C1852)</f>
        <v/>
      </c>
      <c r="D1851" t="str">
        <f>IF('NEW ACCOUNT'!A1852="","",'NEW ACCOUNT'!D1852)</f>
        <v/>
      </c>
      <c r="E1851" t="str">
        <f>IF('NEW ACCOUNT'!A1852="","",'NEW ACCOUNT'!E1852)</f>
        <v/>
      </c>
      <c r="F1851" t="str">
        <f>IF('NEW ACCOUNT'!A1852="","",'NEW ACCOUNT'!F1852)</f>
        <v/>
      </c>
      <c r="G1851" t="str">
        <f>IF('NEW ACCOUNT'!A1852="","",'NEW ACCOUNT'!G1852)</f>
        <v/>
      </c>
      <c r="H1851" t="str">
        <f>IF('NEW ACCOUNT'!A1852="","",'NEW ACCOUNT'!H1852)</f>
        <v/>
      </c>
      <c r="I1851" t="str">
        <f>IF('NEW ACCOUNT'!A1852="","",'NEW ACCOUNT'!I1852)</f>
        <v/>
      </c>
      <c r="J1851" t="str">
        <f>IF('NEW ACCOUNT'!A1852="","",'NEW ACCOUNT'!J1852)</f>
        <v/>
      </c>
      <c r="K1851" t="str">
        <f>IFERROR(IF(A1851="","",SUMIF(DB_Savings!$A:$A,A1851,DB_Savings!$F:$F)),"")</f>
        <v/>
      </c>
      <c r="L1851" t="str">
        <f>IFERROR(IF(A1851="","",SUMIF(DB_Withdrawals!$A:$A,A1851,DB_Withdrawals!$G:$G)),"")</f>
        <v/>
      </c>
      <c r="M1851" t="str">
        <f>IFERROR(IF(A1851="","",IFERROR(VALUE(H1851),0)+IFERROR(SUMIF(DB_Savings!$A:$A,A1851,DB_Savings!$F:$F),0)-IFERROR(SUMIF(DB_Withdrawals!$A:$A,A1851,DB_Withdrawals!$G:$G),0)),"")</f>
        <v/>
      </c>
      <c r="N1851" t="str">
        <f>IFERROR(IF(A1851="","",MAX(0,M1851-System_Config!$B$9)),"")</f>
        <v/>
      </c>
    </row>
    <row r="1852" spans="1:14" ht="15" customHeight="1" x14ac:dyDescent="0.25">
      <c r="A1852" t="str">
        <f>'NEW ACCOUNT'!A1853</f>
        <v/>
      </c>
      <c r="B1852" t="str">
        <f>IF('NEW ACCOUNT'!A1853="","",'NEW ACCOUNT'!B1853)</f>
        <v/>
      </c>
      <c r="C1852" t="str">
        <f>IF('NEW ACCOUNT'!A1853="","",'NEW ACCOUNT'!C1853)</f>
        <v/>
      </c>
      <c r="D1852" t="str">
        <f>IF('NEW ACCOUNT'!A1853="","",'NEW ACCOUNT'!D1853)</f>
        <v/>
      </c>
      <c r="E1852" t="str">
        <f>IF('NEW ACCOUNT'!A1853="","",'NEW ACCOUNT'!E1853)</f>
        <v/>
      </c>
      <c r="F1852" t="str">
        <f>IF('NEW ACCOUNT'!A1853="","",'NEW ACCOUNT'!F1853)</f>
        <v/>
      </c>
      <c r="G1852" t="str">
        <f>IF('NEW ACCOUNT'!A1853="","",'NEW ACCOUNT'!G1853)</f>
        <v/>
      </c>
      <c r="H1852" t="str">
        <f>IF('NEW ACCOUNT'!A1853="","",'NEW ACCOUNT'!H1853)</f>
        <v/>
      </c>
      <c r="I1852" t="str">
        <f>IF('NEW ACCOUNT'!A1853="","",'NEW ACCOUNT'!I1853)</f>
        <v/>
      </c>
      <c r="J1852" t="str">
        <f>IF('NEW ACCOUNT'!A1853="","",'NEW ACCOUNT'!J1853)</f>
        <v/>
      </c>
      <c r="K1852" t="str">
        <f>IFERROR(IF(A1852="","",SUMIF(DB_Savings!$A:$A,A1852,DB_Savings!$F:$F)),"")</f>
        <v/>
      </c>
      <c r="L1852" t="str">
        <f>IFERROR(IF(A1852="","",SUMIF(DB_Withdrawals!$A:$A,A1852,DB_Withdrawals!$G:$G)),"")</f>
        <v/>
      </c>
      <c r="M1852" t="str">
        <f>IFERROR(IF(A1852="","",IFERROR(VALUE(H1852),0)+IFERROR(SUMIF(DB_Savings!$A:$A,A1852,DB_Savings!$F:$F),0)-IFERROR(SUMIF(DB_Withdrawals!$A:$A,A1852,DB_Withdrawals!$G:$G),0)),"")</f>
        <v/>
      </c>
      <c r="N1852" t="str">
        <f>IFERROR(IF(A1852="","",MAX(0,M1852-System_Config!$B$9)),"")</f>
        <v/>
      </c>
    </row>
    <row r="1853" spans="1:14" ht="15" customHeight="1" x14ac:dyDescent="0.25">
      <c r="A1853" t="str">
        <f>'NEW ACCOUNT'!A1854</f>
        <v/>
      </c>
      <c r="B1853" t="str">
        <f>IF('NEW ACCOUNT'!A1854="","",'NEW ACCOUNT'!B1854)</f>
        <v/>
      </c>
      <c r="C1853" t="str">
        <f>IF('NEW ACCOUNT'!A1854="","",'NEW ACCOUNT'!C1854)</f>
        <v/>
      </c>
      <c r="D1853" t="str">
        <f>IF('NEW ACCOUNT'!A1854="","",'NEW ACCOUNT'!D1854)</f>
        <v/>
      </c>
      <c r="E1853" t="str">
        <f>IF('NEW ACCOUNT'!A1854="","",'NEW ACCOUNT'!E1854)</f>
        <v/>
      </c>
      <c r="F1853" t="str">
        <f>IF('NEW ACCOUNT'!A1854="","",'NEW ACCOUNT'!F1854)</f>
        <v/>
      </c>
      <c r="G1853" t="str">
        <f>IF('NEW ACCOUNT'!A1854="","",'NEW ACCOUNT'!G1854)</f>
        <v/>
      </c>
      <c r="H1853" t="str">
        <f>IF('NEW ACCOUNT'!A1854="","",'NEW ACCOUNT'!H1854)</f>
        <v/>
      </c>
      <c r="I1853" t="str">
        <f>IF('NEW ACCOUNT'!A1854="","",'NEW ACCOUNT'!I1854)</f>
        <v/>
      </c>
      <c r="J1853" t="str">
        <f>IF('NEW ACCOUNT'!A1854="","",'NEW ACCOUNT'!J1854)</f>
        <v/>
      </c>
      <c r="K1853" t="str">
        <f>IFERROR(IF(A1853="","",SUMIF(DB_Savings!$A:$A,A1853,DB_Savings!$F:$F)),"")</f>
        <v/>
      </c>
      <c r="L1853" t="str">
        <f>IFERROR(IF(A1853="","",SUMIF(DB_Withdrawals!$A:$A,A1853,DB_Withdrawals!$G:$G)),"")</f>
        <v/>
      </c>
      <c r="M1853" t="str">
        <f>IFERROR(IF(A1853="","",IFERROR(VALUE(H1853),0)+IFERROR(SUMIF(DB_Savings!$A:$A,A1853,DB_Savings!$F:$F),0)-IFERROR(SUMIF(DB_Withdrawals!$A:$A,A1853,DB_Withdrawals!$G:$G),0)),"")</f>
        <v/>
      </c>
      <c r="N1853" t="str">
        <f>IFERROR(IF(A1853="","",MAX(0,M1853-System_Config!$B$9)),"")</f>
        <v/>
      </c>
    </row>
    <row r="1854" spans="1:14" ht="15" customHeight="1" x14ac:dyDescent="0.25">
      <c r="A1854" t="str">
        <f>'NEW ACCOUNT'!A1855</f>
        <v/>
      </c>
      <c r="B1854" t="str">
        <f>IF('NEW ACCOUNT'!A1855="","",'NEW ACCOUNT'!B1855)</f>
        <v/>
      </c>
      <c r="C1854" t="str">
        <f>IF('NEW ACCOUNT'!A1855="","",'NEW ACCOUNT'!C1855)</f>
        <v/>
      </c>
      <c r="D1854" t="str">
        <f>IF('NEW ACCOUNT'!A1855="","",'NEW ACCOUNT'!D1855)</f>
        <v/>
      </c>
      <c r="E1854" t="str">
        <f>IF('NEW ACCOUNT'!A1855="","",'NEW ACCOUNT'!E1855)</f>
        <v/>
      </c>
      <c r="F1854" t="str">
        <f>IF('NEW ACCOUNT'!A1855="","",'NEW ACCOUNT'!F1855)</f>
        <v/>
      </c>
      <c r="G1854" t="str">
        <f>IF('NEW ACCOUNT'!A1855="","",'NEW ACCOUNT'!G1855)</f>
        <v/>
      </c>
      <c r="H1854" t="str">
        <f>IF('NEW ACCOUNT'!A1855="","",'NEW ACCOUNT'!H1855)</f>
        <v/>
      </c>
      <c r="I1854" t="str">
        <f>IF('NEW ACCOUNT'!A1855="","",'NEW ACCOUNT'!I1855)</f>
        <v/>
      </c>
      <c r="J1854" t="str">
        <f>IF('NEW ACCOUNT'!A1855="","",'NEW ACCOUNT'!J1855)</f>
        <v/>
      </c>
      <c r="K1854" t="str">
        <f>IFERROR(IF(A1854="","",SUMIF(DB_Savings!$A:$A,A1854,DB_Savings!$F:$F)),"")</f>
        <v/>
      </c>
      <c r="L1854" t="str">
        <f>IFERROR(IF(A1854="","",SUMIF(DB_Withdrawals!$A:$A,A1854,DB_Withdrawals!$G:$G)),"")</f>
        <v/>
      </c>
      <c r="M1854" t="str">
        <f>IFERROR(IF(A1854="","",IFERROR(VALUE(H1854),0)+IFERROR(SUMIF(DB_Savings!$A:$A,A1854,DB_Savings!$F:$F),0)-IFERROR(SUMIF(DB_Withdrawals!$A:$A,A1854,DB_Withdrawals!$G:$G),0)),"")</f>
        <v/>
      </c>
      <c r="N1854" t="str">
        <f>IFERROR(IF(A1854="","",MAX(0,M1854-System_Config!$B$9)),"")</f>
        <v/>
      </c>
    </row>
    <row r="1855" spans="1:14" ht="15" customHeight="1" x14ac:dyDescent="0.25">
      <c r="A1855" t="str">
        <f>'NEW ACCOUNT'!A1856</f>
        <v/>
      </c>
      <c r="B1855" t="str">
        <f>IF('NEW ACCOUNT'!A1856="","",'NEW ACCOUNT'!B1856)</f>
        <v/>
      </c>
      <c r="C1855" t="str">
        <f>IF('NEW ACCOUNT'!A1856="","",'NEW ACCOUNT'!C1856)</f>
        <v/>
      </c>
      <c r="D1855" t="str">
        <f>IF('NEW ACCOUNT'!A1856="","",'NEW ACCOUNT'!D1856)</f>
        <v/>
      </c>
      <c r="E1855" t="str">
        <f>IF('NEW ACCOUNT'!A1856="","",'NEW ACCOUNT'!E1856)</f>
        <v/>
      </c>
      <c r="F1855" t="str">
        <f>IF('NEW ACCOUNT'!A1856="","",'NEW ACCOUNT'!F1856)</f>
        <v/>
      </c>
      <c r="G1855" t="str">
        <f>IF('NEW ACCOUNT'!A1856="","",'NEW ACCOUNT'!G1856)</f>
        <v/>
      </c>
      <c r="H1855" t="str">
        <f>IF('NEW ACCOUNT'!A1856="","",'NEW ACCOUNT'!H1856)</f>
        <v/>
      </c>
      <c r="I1855" t="str">
        <f>IF('NEW ACCOUNT'!A1856="","",'NEW ACCOUNT'!I1856)</f>
        <v/>
      </c>
      <c r="J1855" t="str">
        <f>IF('NEW ACCOUNT'!A1856="","",'NEW ACCOUNT'!J1856)</f>
        <v/>
      </c>
      <c r="K1855" t="str">
        <f>IFERROR(IF(A1855="","",SUMIF(DB_Savings!$A:$A,A1855,DB_Savings!$F:$F)),"")</f>
        <v/>
      </c>
      <c r="L1855" t="str">
        <f>IFERROR(IF(A1855="","",SUMIF(DB_Withdrawals!$A:$A,A1855,DB_Withdrawals!$G:$G)),"")</f>
        <v/>
      </c>
      <c r="M1855" t="str">
        <f>IFERROR(IF(A1855="","",IFERROR(VALUE(H1855),0)+IFERROR(SUMIF(DB_Savings!$A:$A,A1855,DB_Savings!$F:$F),0)-IFERROR(SUMIF(DB_Withdrawals!$A:$A,A1855,DB_Withdrawals!$G:$G),0)),"")</f>
        <v/>
      </c>
      <c r="N1855" t="str">
        <f>IFERROR(IF(A1855="","",MAX(0,M1855-System_Config!$B$9)),"")</f>
        <v/>
      </c>
    </row>
    <row r="1856" spans="1:14" ht="15" customHeight="1" x14ac:dyDescent="0.25">
      <c r="A1856" t="str">
        <f>'NEW ACCOUNT'!A1857</f>
        <v/>
      </c>
      <c r="B1856" t="str">
        <f>IF('NEW ACCOUNT'!A1857="","",'NEW ACCOUNT'!B1857)</f>
        <v/>
      </c>
      <c r="C1856" t="str">
        <f>IF('NEW ACCOUNT'!A1857="","",'NEW ACCOUNT'!C1857)</f>
        <v/>
      </c>
      <c r="D1856" t="str">
        <f>IF('NEW ACCOUNT'!A1857="","",'NEW ACCOUNT'!D1857)</f>
        <v/>
      </c>
      <c r="E1856" t="str">
        <f>IF('NEW ACCOUNT'!A1857="","",'NEW ACCOUNT'!E1857)</f>
        <v/>
      </c>
      <c r="F1856" t="str">
        <f>IF('NEW ACCOUNT'!A1857="","",'NEW ACCOUNT'!F1857)</f>
        <v/>
      </c>
      <c r="G1856" t="str">
        <f>IF('NEW ACCOUNT'!A1857="","",'NEW ACCOUNT'!G1857)</f>
        <v/>
      </c>
      <c r="H1856" t="str">
        <f>IF('NEW ACCOUNT'!A1857="","",'NEW ACCOUNT'!H1857)</f>
        <v/>
      </c>
      <c r="I1856" t="str">
        <f>IF('NEW ACCOUNT'!A1857="","",'NEW ACCOUNT'!I1857)</f>
        <v/>
      </c>
      <c r="J1856" t="str">
        <f>IF('NEW ACCOUNT'!A1857="","",'NEW ACCOUNT'!J1857)</f>
        <v/>
      </c>
      <c r="K1856" t="str">
        <f>IFERROR(IF(A1856="","",SUMIF(DB_Savings!$A:$A,A1856,DB_Savings!$F:$F)),"")</f>
        <v/>
      </c>
      <c r="L1856" t="str">
        <f>IFERROR(IF(A1856="","",SUMIF(DB_Withdrawals!$A:$A,A1856,DB_Withdrawals!$G:$G)),"")</f>
        <v/>
      </c>
      <c r="M1856" t="str">
        <f>IFERROR(IF(A1856="","",IFERROR(VALUE(H1856),0)+IFERROR(SUMIF(DB_Savings!$A:$A,A1856,DB_Savings!$F:$F),0)-IFERROR(SUMIF(DB_Withdrawals!$A:$A,A1856,DB_Withdrawals!$G:$G),0)),"")</f>
        <v/>
      </c>
      <c r="N1856" t="str">
        <f>IFERROR(IF(A1856="","",MAX(0,M1856-System_Config!$B$9)),"")</f>
        <v/>
      </c>
    </row>
    <row r="1857" spans="1:14" ht="15" customHeight="1" x14ac:dyDescent="0.25">
      <c r="A1857" t="str">
        <f>'NEW ACCOUNT'!A1858</f>
        <v/>
      </c>
      <c r="B1857" t="str">
        <f>IF('NEW ACCOUNT'!A1858="","",'NEW ACCOUNT'!B1858)</f>
        <v/>
      </c>
      <c r="C1857" t="str">
        <f>IF('NEW ACCOUNT'!A1858="","",'NEW ACCOUNT'!C1858)</f>
        <v/>
      </c>
      <c r="D1857" t="str">
        <f>IF('NEW ACCOUNT'!A1858="","",'NEW ACCOUNT'!D1858)</f>
        <v/>
      </c>
      <c r="E1857" t="str">
        <f>IF('NEW ACCOUNT'!A1858="","",'NEW ACCOUNT'!E1858)</f>
        <v/>
      </c>
      <c r="F1857" t="str">
        <f>IF('NEW ACCOUNT'!A1858="","",'NEW ACCOUNT'!F1858)</f>
        <v/>
      </c>
      <c r="G1857" t="str">
        <f>IF('NEW ACCOUNT'!A1858="","",'NEW ACCOUNT'!G1858)</f>
        <v/>
      </c>
      <c r="H1857" t="str">
        <f>IF('NEW ACCOUNT'!A1858="","",'NEW ACCOUNT'!H1858)</f>
        <v/>
      </c>
      <c r="I1857" t="str">
        <f>IF('NEW ACCOUNT'!A1858="","",'NEW ACCOUNT'!I1858)</f>
        <v/>
      </c>
      <c r="J1857" t="str">
        <f>IF('NEW ACCOUNT'!A1858="","",'NEW ACCOUNT'!J1858)</f>
        <v/>
      </c>
      <c r="K1857" t="str">
        <f>IFERROR(IF(A1857="","",SUMIF(DB_Savings!$A:$A,A1857,DB_Savings!$F:$F)),"")</f>
        <v/>
      </c>
      <c r="L1857" t="str">
        <f>IFERROR(IF(A1857="","",SUMIF(DB_Withdrawals!$A:$A,A1857,DB_Withdrawals!$G:$G)),"")</f>
        <v/>
      </c>
      <c r="M1857" t="str">
        <f>IFERROR(IF(A1857="","",IFERROR(VALUE(H1857),0)+IFERROR(SUMIF(DB_Savings!$A:$A,A1857,DB_Savings!$F:$F),0)-IFERROR(SUMIF(DB_Withdrawals!$A:$A,A1857,DB_Withdrawals!$G:$G),0)),"")</f>
        <v/>
      </c>
      <c r="N1857" t="str">
        <f>IFERROR(IF(A1857="","",MAX(0,M1857-System_Config!$B$9)),"")</f>
        <v/>
      </c>
    </row>
    <row r="1858" spans="1:14" ht="15" customHeight="1" x14ac:dyDescent="0.25">
      <c r="A1858" t="str">
        <f>'NEW ACCOUNT'!A1859</f>
        <v/>
      </c>
      <c r="B1858" t="str">
        <f>IF('NEW ACCOUNT'!A1859="","",'NEW ACCOUNT'!B1859)</f>
        <v/>
      </c>
      <c r="C1858" t="str">
        <f>IF('NEW ACCOUNT'!A1859="","",'NEW ACCOUNT'!C1859)</f>
        <v/>
      </c>
      <c r="D1858" t="str">
        <f>IF('NEW ACCOUNT'!A1859="","",'NEW ACCOUNT'!D1859)</f>
        <v/>
      </c>
      <c r="E1858" t="str">
        <f>IF('NEW ACCOUNT'!A1859="","",'NEW ACCOUNT'!E1859)</f>
        <v/>
      </c>
      <c r="F1858" t="str">
        <f>IF('NEW ACCOUNT'!A1859="","",'NEW ACCOUNT'!F1859)</f>
        <v/>
      </c>
      <c r="G1858" t="str">
        <f>IF('NEW ACCOUNT'!A1859="","",'NEW ACCOUNT'!G1859)</f>
        <v/>
      </c>
      <c r="H1858" t="str">
        <f>IF('NEW ACCOUNT'!A1859="","",'NEW ACCOUNT'!H1859)</f>
        <v/>
      </c>
      <c r="I1858" t="str">
        <f>IF('NEW ACCOUNT'!A1859="","",'NEW ACCOUNT'!I1859)</f>
        <v/>
      </c>
      <c r="J1858" t="str">
        <f>IF('NEW ACCOUNT'!A1859="","",'NEW ACCOUNT'!J1859)</f>
        <v/>
      </c>
      <c r="K1858" t="str">
        <f>IFERROR(IF(A1858="","",SUMIF(DB_Savings!$A:$A,A1858,DB_Savings!$F:$F)),"")</f>
        <v/>
      </c>
      <c r="L1858" t="str">
        <f>IFERROR(IF(A1858="","",SUMIF(DB_Withdrawals!$A:$A,A1858,DB_Withdrawals!$G:$G)),"")</f>
        <v/>
      </c>
      <c r="M1858" t="str">
        <f>IFERROR(IF(A1858="","",IFERROR(VALUE(H1858),0)+IFERROR(SUMIF(DB_Savings!$A:$A,A1858,DB_Savings!$F:$F),0)-IFERROR(SUMIF(DB_Withdrawals!$A:$A,A1858,DB_Withdrawals!$G:$G),0)),"")</f>
        <v/>
      </c>
      <c r="N1858" t="str">
        <f>IFERROR(IF(A1858="","",MAX(0,M1858-System_Config!$B$9)),"")</f>
        <v/>
      </c>
    </row>
    <row r="1859" spans="1:14" ht="15" customHeight="1" x14ac:dyDescent="0.25">
      <c r="A1859" t="str">
        <f>'NEW ACCOUNT'!A1860</f>
        <v/>
      </c>
      <c r="B1859" t="str">
        <f>IF('NEW ACCOUNT'!A1860="","",'NEW ACCOUNT'!B1860)</f>
        <v/>
      </c>
      <c r="C1859" t="str">
        <f>IF('NEW ACCOUNT'!A1860="","",'NEW ACCOUNT'!C1860)</f>
        <v/>
      </c>
      <c r="D1859" t="str">
        <f>IF('NEW ACCOUNT'!A1860="","",'NEW ACCOUNT'!D1860)</f>
        <v/>
      </c>
      <c r="E1859" t="str">
        <f>IF('NEW ACCOUNT'!A1860="","",'NEW ACCOUNT'!E1860)</f>
        <v/>
      </c>
      <c r="F1859" t="str">
        <f>IF('NEW ACCOUNT'!A1860="","",'NEW ACCOUNT'!F1860)</f>
        <v/>
      </c>
      <c r="G1859" t="str">
        <f>IF('NEW ACCOUNT'!A1860="","",'NEW ACCOUNT'!G1860)</f>
        <v/>
      </c>
      <c r="H1859" t="str">
        <f>IF('NEW ACCOUNT'!A1860="","",'NEW ACCOUNT'!H1860)</f>
        <v/>
      </c>
      <c r="I1859" t="str">
        <f>IF('NEW ACCOUNT'!A1860="","",'NEW ACCOUNT'!I1860)</f>
        <v/>
      </c>
      <c r="J1859" t="str">
        <f>IF('NEW ACCOUNT'!A1860="","",'NEW ACCOUNT'!J1860)</f>
        <v/>
      </c>
      <c r="K1859" t="str">
        <f>IFERROR(IF(A1859="","",SUMIF(DB_Savings!$A:$A,A1859,DB_Savings!$F:$F)),"")</f>
        <v/>
      </c>
      <c r="L1859" t="str">
        <f>IFERROR(IF(A1859="","",SUMIF(DB_Withdrawals!$A:$A,A1859,DB_Withdrawals!$G:$G)),"")</f>
        <v/>
      </c>
      <c r="M1859" t="str">
        <f>IFERROR(IF(A1859="","",IFERROR(VALUE(H1859),0)+IFERROR(SUMIF(DB_Savings!$A:$A,A1859,DB_Savings!$F:$F),0)-IFERROR(SUMIF(DB_Withdrawals!$A:$A,A1859,DB_Withdrawals!$G:$G),0)),"")</f>
        <v/>
      </c>
      <c r="N1859" t="str">
        <f>IFERROR(IF(A1859="","",MAX(0,M1859-System_Config!$B$9)),"")</f>
        <v/>
      </c>
    </row>
    <row r="1860" spans="1:14" ht="15" customHeight="1" x14ac:dyDescent="0.25">
      <c r="A1860" t="str">
        <f>'NEW ACCOUNT'!A1861</f>
        <v/>
      </c>
      <c r="B1860" t="str">
        <f>IF('NEW ACCOUNT'!A1861="","",'NEW ACCOUNT'!B1861)</f>
        <v/>
      </c>
      <c r="C1860" t="str">
        <f>IF('NEW ACCOUNT'!A1861="","",'NEW ACCOUNT'!C1861)</f>
        <v/>
      </c>
      <c r="D1860" t="str">
        <f>IF('NEW ACCOUNT'!A1861="","",'NEW ACCOUNT'!D1861)</f>
        <v/>
      </c>
      <c r="E1860" t="str">
        <f>IF('NEW ACCOUNT'!A1861="","",'NEW ACCOUNT'!E1861)</f>
        <v/>
      </c>
      <c r="F1860" t="str">
        <f>IF('NEW ACCOUNT'!A1861="","",'NEW ACCOUNT'!F1861)</f>
        <v/>
      </c>
      <c r="G1860" t="str">
        <f>IF('NEW ACCOUNT'!A1861="","",'NEW ACCOUNT'!G1861)</f>
        <v/>
      </c>
      <c r="H1860" t="str">
        <f>IF('NEW ACCOUNT'!A1861="","",'NEW ACCOUNT'!H1861)</f>
        <v/>
      </c>
      <c r="I1860" t="str">
        <f>IF('NEW ACCOUNT'!A1861="","",'NEW ACCOUNT'!I1861)</f>
        <v/>
      </c>
      <c r="J1860" t="str">
        <f>IF('NEW ACCOUNT'!A1861="","",'NEW ACCOUNT'!J1861)</f>
        <v/>
      </c>
      <c r="K1860" t="str">
        <f>IFERROR(IF(A1860="","",SUMIF(DB_Savings!$A:$A,A1860,DB_Savings!$F:$F)),"")</f>
        <v/>
      </c>
      <c r="L1860" t="str">
        <f>IFERROR(IF(A1860="","",SUMIF(DB_Withdrawals!$A:$A,A1860,DB_Withdrawals!$G:$G)),"")</f>
        <v/>
      </c>
      <c r="M1860" t="str">
        <f>IFERROR(IF(A1860="","",IFERROR(VALUE(H1860),0)+IFERROR(SUMIF(DB_Savings!$A:$A,A1860,DB_Savings!$F:$F),0)-IFERROR(SUMIF(DB_Withdrawals!$A:$A,A1860,DB_Withdrawals!$G:$G),0)),"")</f>
        <v/>
      </c>
      <c r="N1860" t="str">
        <f>IFERROR(IF(A1860="","",MAX(0,M1860-System_Config!$B$9)),"")</f>
        <v/>
      </c>
    </row>
    <row r="1861" spans="1:14" ht="15" customHeight="1" x14ac:dyDescent="0.25">
      <c r="A1861" t="str">
        <f>'NEW ACCOUNT'!A1862</f>
        <v/>
      </c>
      <c r="B1861" t="str">
        <f>IF('NEW ACCOUNT'!A1862="","",'NEW ACCOUNT'!B1862)</f>
        <v/>
      </c>
      <c r="C1861" t="str">
        <f>IF('NEW ACCOUNT'!A1862="","",'NEW ACCOUNT'!C1862)</f>
        <v/>
      </c>
      <c r="D1861" t="str">
        <f>IF('NEW ACCOUNT'!A1862="","",'NEW ACCOUNT'!D1862)</f>
        <v/>
      </c>
      <c r="E1861" t="str">
        <f>IF('NEW ACCOUNT'!A1862="","",'NEW ACCOUNT'!E1862)</f>
        <v/>
      </c>
      <c r="F1861" t="str">
        <f>IF('NEW ACCOUNT'!A1862="","",'NEW ACCOUNT'!F1862)</f>
        <v/>
      </c>
      <c r="G1861" t="str">
        <f>IF('NEW ACCOUNT'!A1862="","",'NEW ACCOUNT'!G1862)</f>
        <v/>
      </c>
      <c r="H1861" t="str">
        <f>IF('NEW ACCOUNT'!A1862="","",'NEW ACCOUNT'!H1862)</f>
        <v/>
      </c>
      <c r="I1861" t="str">
        <f>IF('NEW ACCOUNT'!A1862="","",'NEW ACCOUNT'!I1862)</f>
        <v/>
      </c>
      <c r="J1861" t="str">
        <f>IF('NEW ACCOUNT'!A1862="","",'NEW ACCOUNT'!J1862)</f>
        <v/>
      </c>
      <c r="K1861" t="str">
        <f>IFERROR(IF(A1861="","",SUMIF(DB_Savings!$A:$A,A1861,DB_Savings!$F:$F)),"")</f>
        <v/>
      </c>
      <c r="L1861" t="str">
        <f>IFERROR(IF(A1861="","",SUMIF(DB_Withdrawals!$A:$A,A1861,DB_Withdrawals!$G:$G)),"")</f>
        <v/>
      </c>
      <c r="M1861" t="str">
        <f>IFERROR(IF(A1861="","",IFERROR(VALUE(H1861),0)+IFERROR(SUMIF(DB_Savings!$A:$A,A1861,DB_Savings!$F:$F),0)-IFERROR(SUMIF(DB_Withdrawals!$A:$A,A1861,DB_Withdrawals!$G:$G),0)),"")</f>
        <v/>
      </c>
      <c r="N1861" t="str">
        <f>IFERROR(IF(A1861="","",MAX(0,M1861-System_Config!$B$9)),"")</f>
        <v/>
      </c>
    </row>
    <row r="1862" spans="1:14" ht="15" customHeight="1" x14ac:dyDescent="0.25">
      <c r="A1862" t="str">
        <f>'NEW ACCOUNT'!A1863</f>
        <v/>
      </c>
      <c r="B1862" t="str">
        <f>IF('NEW ACCOUNT'!A1863="","",'NEW ACCOUNT'!B1863)</f>
        <v/>
      </c>
      <c r="C1862" t="str">
        <f>IF('NEW ACCOUNT'!A1863="","",'NEW ACCOUNT'!C1863)</f>
        <v/>
      </c>
      <c r="D1862" t="str">
        <f>IF('NEW ACCOUNT'!A1863="","",'NEW ACCOUNT'!D1863)</f>
        <v/>
      </c>
      <c r="E1862" t="str">
        <f>IF('NEW ACCOUNT'!A1863="","",'NEW ACCOUNT'!E1863)</f>
        <v/>
      </c>
      <c r="F1862" t="str">
        <f>IF('NEW ACCOUNT'!A1863="","",'NEW ACCOUNT'!F1863)</f>
        <v/>
      </c>
      <c r="G1862" t="str">
        <f>IF('NEW ACCOUNT'!A1863="","",'NEW ACCOUNT'!G1863)</f>
        <v/>
      </c>
      <c r="H1862" t="str">
        <f>IF('NEW ACCOUNT'!A1863="","",'NEW ACCOUNT'!H1863)</f>
        <v/>
      </c>
      <c r="I1862" t="str">
        <f>IF('NEW ACCOUNT'!A1863="","",'NEW ACCOUNT'!I1863)</f>
        <v/>
      </c>
      <c r="J1862" t="str">
        <f>IF('NEW ACCOUNT'!A1863="","",'NEW ACCOUNT'!J1863)</f>
        <v/>
      </c>
      <c r="K1862" t="str">
        <f>IFERROR(IF(A1862="","",SUMIF(DB_Savings!$A:$A,A1862,DB_Savings!$F:$F)),"")</f>
        <v/>
      </c>
      <c r="L1862" t="str">
        <f>IFERROR(IF(A1862="","",SUMIF(DB_Withdrawals!$A:$A,A1862,DB_Withdrawals!$G:$G)),"")</f>
        <v/>
      </c>
      <c r="M1862" t="str">
        <f>IFERROR(IF(A1862="","",IFERROR(VALUE(H1862),0)+IFERROR(SUMIF(DB_Savings!$A:$A,A1862,DB_Savings!$F:$F),0)-IFERROR(SUMIF(DB_Withdrawals!$A:$A,A1862,DB_Withdrawals!$G:$G),0)),"")</f>
        <v/>
      </c>
      <c r="N1862" t="str">
        <f>IFERROR(IF(A1862="","",MAX(0,M1862-System_Config!$B$9)),"")</f>
        <v/>
      </c>
    </row>
    <row r="1863" spans="1:14" ht="15" customHeight="1" x14ac:dyDescent="0.25">
      <c r="A1863" t="str">
        <f>'NEW ACCOUNT'!A1864</f>
        <v/>
      </c>
      <c r="B1863" t="str">
        <f>IF('NEW ACCOUNT'!A1864="","",'NEW ACCOUNT'!B1864)</f>
        <v/>
      </c>
      <c r="C1863" t="str">
        <f>IF('NEW ACCOUNT'!A1864="","",'NEW ACCOUNT'!C1864)</f>
        <v/>
      </c>
      <c r="D1863" t="str">
        <f>IF('NEW ACCOUNT'!A1864="","",'NEW ACCOUNT'!D1864)</f>
        <v/>
      </c>
      <c r="E1863" t="str">
        <f>IF('NEW ACCOUNT'!A1864="","",'NEW ACCOUNT'!E1864)</f>
        <v/>
      </c>
      <c r="F1863" t="str">
        <f>IF('NEW ACCOUNT'!A1864="","",'NEW ACCOUNT'!F1864)</f>
        <v/>
      </c>
      <c r="G1863" t="str">
        <f>IF('NEW ACCOUNT'!A1864="","",'NEW ACCOUNT'!G1864)</f>
        <v/>
      </c>
      <c r="H1863" t="str">
        <f>IF('NEW ACCOUNT'!A1864="","",'NEW ACCOUNT'!H1864)</f>
        <v/>
      </c>
      <c r="I1863" t="str">
        <f>IF('NEW ACCOUNT'!A1864="","",'NEW ACCOUNT'!I1864)</f>
        <v/>
      </c>
      <c r="J1863" t="str">
        <f>IF('NEW ACCOUNT'!A1864="","",'NEW ACCOUNT'!J1864)</f>
        <v/>
      </c>
      <c r="K1863" t="str">
        <f>IFERROR(IF(A1863="","",SUMIF(DB_Savings!$A:$A,A1863,DB_Savings!$F:$F)),"")</f>
        <v/>
      </c>
      <c r="L1863" t="str">
        <f>IFERROR(IF(A1863="","",SUMIF(DB_Withdrawals!$A:$A,A1863,DB_Withdrawals!$G:$G)),"")</f>
        <v/>
      </c>
      <c r="M1863" t="str">
        <f>IFERROR(IF(A1863="","",IFERROR(VALUE(H1863),0)+IFERROR(SUMIF(DB_Savings!$A:$A,A1863,DB_Savings!$F:$F),0)-IFERROR(SUMIF(DB_Withdrawals!$A:$A,A1863,DB_Withdrawals!$G:$G),0)),"")</f>
        <v/>
      </c>
      <c r="N1863" t="str">
        <f>IFERROR(IF(A1863="","",MAX(0,M1863-System_Config!$B$9)),"")</f>
        <v/>
      </c>
    </row>
    <row r="1864" spans="1:14" ht="15" customHeight="1" x14ac:dyDescent="0.25">
      <c r="A1864" t="str">
        <f>'NEW ACCOUNT'!A1865</f>
        <v/>
      </c>
      <c r="B1864" t="str">
        <f>IF('NEW ACCOUNT'!A1865="","",'NEW ACCOUNT'!B1865)</f>
        <v/>
      </c>
      <c r="C1864" t="str">
        <f>IF('NEW ACCOUNT'!A1865="","",'NEW ACCOUNT'!C1865)</f>
        <v/>
      </c>
      <c r="D1864" t="str">
        <f>IF('NEW ACCOUNT'!A1865="","",'NEW ACCOUNT'!D1865)</f>
        <v/>
      </c>
      <c r="E1864" t="str">
        <f>IF('NEW ACCOUNT'!A1865="","",'NEW ACCOUNT'!E1865)</f>
        <v/>
      </c>
      <c r="F1864" t="str">
        <f>IF('NEW ACCOUNT'!A1865="","",'NEW ACCOUNT'!F1865)</f>
        <v/>
      </c>
      <c r="G1864" t="str">
        <f>IF('NEW ACCOUNT'!A1865="","",'NEW ACCOUNT'!G1865)</f>
        <v/>
      </c>
      <c r="H1864" t="str">
        <f>IF('NEW ACCOUNT'!A1865="","",'NEW ACCOUNT'!H1865)</f>
        <v/>
      </c>
      <c r="I1864" t="str">
        <f>IF('NEW ACCOUNT'!A1865="","",'NEW ACCOUNT'!I1865)</f>
        <v/>
      </c>
      <c r="J1864" t="str">
        <f>IF('NEW ACCOUNT'!A1865="","",'NEW ACCOUNT'!J1865)</f>
        <v/>
      </c>
      <c r="K1864" t="str">
        <f>IFERROR(IF(A1864="","",SUMIF(DB_Savings!$A:$A,A1864,DB_Savings!$F:$F)),"")</f>
        <v/>
      </c>
      <c r="L1864" t="str">
        <f>IFERROR(IF(A1864="","",SUMIF(DB_Withdrawals!$A:$A,A1864,DB_Withdrawals!$G:$G)),"")</f>
        <v/>
      </c>
      <c r="M1864" t="str">
        <f>IFERROR(IF(A1864="","",IFERROR(VALUE(H1864),0)+IFERROR(SUMIF(DB_Savings!$A:$A,A1864,DB_Savings!$F:$F),0)-IFERROR(SUMIF(DB_Withdrawals!$A:$A,A1864,DB_Withdrawals!$G:$G),0)),"")</f>
        <v/>
      </c>
      <c r="N1864" t="str">
        <f>IFERROR(IF(A1864="","",MAX(0,M1864-System_Config!$B$9)),"")</f>
        <v/>
      </c>
    </row>
    <row r="1865" spans="1:14" ht="15" customHeight="1" x14ac:dyDescent="0.25">
      <c r="A1865" t="str">
        <f>'NEW ACCOUNT'!A1866</f>
        <v/>
      </c>
      <c r="B1865" t="str">
        <f>IF('NEW ACCOUNT'!A1866="","",'NEW ACCOUNT'!B1866)</f>
        <v/>
      </c>
      <c r="C1865" t="str">
        <f>IF('NEW ACCOUNT'!A1866="","",'NEW ACCOUNT'!C1866)</f>
        <v/>
      </c>
      <c r="D1865" t="str">
        <f>IF('NEW ACCOUNT'!A1866="","",'NEW ACCOUNT'!D1866)</f>
        <v/>
      </c>
      <c r="E1865" t="str">
        <f>IF('NEW ACCOUNT'!A1866="","",'NEW ACCOUNT'!E1866)</f>
        <v/>
      </c>
      <c r="F1865" t="str">
        <f>IF('NEW ACCOUNT'!A1866="","",'NEW ACCOUNT'!F1866)</f>
        <v/>
      </c>
      <c r="G1865" t="str">
        <f>IF('NEW ACCOUNT'!A1866="","",'NEW ACCOUNT'!G1866)</f>
        <v/>
      </c>
      <c r="H1865" t="str">
        <f>IF('NEW ACCOUNT'!A1866="","",'NEW ACCOUNT'!H1866)</f>
        <v/>
      </c>
      <c r="I1865" t="str">
        <f>IF('NEW ACCOUNT'!A1866="","",'NEW ACCOUNT'!I1866)</f>
        <v/>
      </c>
      <c r="J1865" t="str">
        <f>IF('NEW ACCOUNT'!A1866="","",'NEW ACCOUNT'!J1866)</f>
        <v/>
      </c>
      <c r="K1865" t="str">
        <f>IFERROR(IF(A1865="","",SUMIF(DB_Savings!$A:$A,A1865,DB_Savings!$F:$F)),"")</f>
        <v/>
      </c>
      <c r="L1865" t="str">
        <f>IFERROR(IF(A1865="","",SUMIF(DB_Withdrawals!$A:$A,A1865,DB_Withdrawals!$G:$G)),"")</f>
        <v/>
      </c>
      <c r="M1865" t="str">
        <f>IFERROR(IF(A1865="","",IFERROR(VALUE(H1865),0)+IFERROR(SUMIF(DB_Savings!$A:$A,A1865,DB_Savings!$F:$F),0)-IFERROR(SUMIF(DB_Withdrawals!$A:$A,A1865,DB_Withdrawals!$G:$G),0)),"")</f>
        <v/>
      </c>
      <c r="N1865" t="str">
        <f>IFERROR(IF(A1865="","",MAX(0,M1865-System_Config!$B$9)),"")</f>
        <v/>
      </c>
    </row>
    <row r="1866" spans="1:14" ht="15" customHeight="1" x14ac:dyDescent="0.25">
      <c r="A1866" t="str">
        <f>'NEW ACCOUNT'!A1867</f>
        <v/>
      </c>
      <c r="B1866" t="str">
        <f>IF('NEW ACCOUNT'!A1867="","",'NEW ACCOUNT'!B1867)</f>
        <v/>
      </c>
      <c r="C1866" t="str">
        <f>IF('NEW ACCOUNT'!A1867="","",'NEW ACCOUNT'!C1867)</f>
        <v/>
      </c>
      <c r="D1866" t="str">
        <f>IF('NEW ACCOUNT'!A1867="","",'NEW ACCOUNT'!D1867)</f>
        <v/>
      </c>
      <c r="E1866" t="str">
        <f>IF('NEW ACCOUNT'!A1867="","",'NEW ACCOUNT'!E1867)</f>
        <v/>
      </c>
      <c r="F1866" t="str">
        <f>IF('NEW ACCOUNT'!A1867="","",'NEW ACCOUNT'!F1867)</f>
        <v/>
      </c>
      <c r="G1866" t="str">
        <f>IF('NEW ACCOUNT'!A1867="","",'NEW ACCOUNT'!G1867)</f>
        <v/>
      </c>
      <c r="H1866" t="str">
        <f>IF('NEW ACCOUNT'!A1867="","",'NEW ACCOUNT'!H1867)</f>
        <v/>
      </c>
      <c r="I1866" t="str">
        <f>IF('NEW ACCOUNT'!A1867="","",'NEW ACCOUNT'!I1867)</f>
        <v/>
      </c>
      <c r="J1866" t="str">
        <f>IF('NEW ACCOUNT'!A1867="","",'NEW ACCOUNT'!J1867)</f>
        <v/>
      </c>
      <c r="K1866" t="str">
        <f>IFERROR(IF(A1866="","",SUMIF(DB_Savings!$A:$A,A1866,DB_Savings!$F:$F)),"")</f>
        <v/>
      </c>
      <c r="L1866" t="str">
        <f>IFERROR(IF(A1866="","",SUMIF(DB_Withdrawals!$A:$A,A1866,DB_Withdrawals!$G:$G)),"")</f>
        <v/>
      </c>
      <c r="M1866" t="str">
        <f>IFERROR(IF(A1866="","",IFERROR(VALUE(H1866),0)+IFERROR(SUMIF(DB_Savings!$A:$A,A1866,DB_Savings!$F:$F),0)-IFERROR(SUMIF(DB_Withdrawals!$A:$A,A1866,DB_Withdrawals!$G:$G),0)),"")</f>
        <v/>
      </c>
      <c r="N1866" t="str">
        <f>IFERROR(IF(A1866="","",MAX(0,M1866-System_Config!$B$9)),"")</f>
        <v/>
      </c>
    </row>
    <row r="1867" spans="1:14" ht="15" customHeight="1" x14ac:dyDescent="0.25">
      <c r="A1867" t="str">
        <f>'NEW ACCOUNT'!A1868</f>
        <v/>
      </c>
      <c r="B1867" t="str">
        <f>IF('NEW ACCOUNT'!A1868="","",'NEW ACCOUNT'!B1868)</f>
        <v/>
      </c>
      <c r="C1867" t="str">
        <f>IF('NEW ACCOUNT'!A1868="","",'NEW ACCOUNT'!C1868)</f>
        <v/>
      </c>
      <c r="D1867" t="str">
        <f>IF('NEW ACCOUNT'!A1868="","",'NEW ACCOUNT'!D1868)</f>
        <v/>
      </c>
      <c r="E1867" t="str">
        <f>IF('NEW ACCOUNT'!A1868="","",'NEW ACCOUNT'!E1868)</f>
        <v/>
      </c>
      <c r="F1867" t="str">
        <f>IF('NEW ACCOUNT'!A1868="","",'NEW ACCOUNT'!F1868)</f>
        <v/>
      </c>
      <c r="G1867" t="str">
        <f>IF('NEW ACCOUNT'!A1868="","",'NEW ACCOUNT'!G1868)</f>
        <v/>
      </c>
      <c r="H1867" t="str">
        <f>IF('NEW ACCOUNT'!A1868="","",'NEW ACCOUNT'!H1868)</f>
        <v/>
      </c>
      <c r="I1867" t="str">
        <f>IF('NEW ACCOUNT'!A1868="","",'NEW ACCOUNT'!I1868)</f>
        <v/>
      </c>
      <c r="J1867" t="str">
        <f>IF('NEW ACCOUNT'!A1868="","",'NEW ACCOUNT'!J1868)</f>
        <v/>
      </c>
      <c r="K1867" t="str">
        <f>IFERROR(IF(A1867="","",SUMIF(DB_Savings!$A:$A,A1867,DB_Savings!$F:$F)),"")</f>
        <v/>
      </c>
      <c r="L1867" t="str">
        <f>IFERROR(IF(A1867="","",SUMIF(DB_Withdrawals!$A:$A,A1867,DB_Withdrawals!$G:$G)),"")</f>
        <v/>
      </c>
      <c r="M1867" t="str">
        <f>IFERROR(IF(A1867="","",IFERROR(VALUE(H1867),0)+IFERROR(SUMIF(DB_Savings!$A:$A,A1867,DB_Savings!$F:$F),0)-IFERROR(SUMIF(DB_Withdrawals!$A:$A,A1867,DB_Withdrawals!$G:$G),0)),"")</f>
        <v/>
      </c>
      <c r="N1867" t="str">
        <f>IFERROR(IF(A1867="","",MAX(0,M1867-System_Config!$B$9)),"")</f>
        <v/>
      </c>
    </row>
    <row r="1868" spans="1:14" ht="15" customHeight="1" x14ac:dyDescent="0.25">
      <c r="A1868" t="str">
        <f>'NEW ACCOUNT'!A1869</f>
        <v/>
      </c>
      <c r="B1868" t="str">
        <f>IF('NEW ACCOUNT'!A1869="","",'NEW ACCOUNT'!B1869)</f>
        <v/>
      </c>
      <c r="C1868" t="str">
        <f>IF('NEW ACCOUNT'!A1869="","",'NEW ACCOUNT'!C1869)</f>
        <v/>
      </c>
      <c r="D1868" t="str">
        <f>IF('NEW ACCOUNT'!A1869="","",'NEW ACCOUNT'!D1869)</f>
        <v/>
      </c>
      <c r="E1868" t="str">
        <f>IF('NEW ACCOUNT'!A1869="","",'NEW ACCOUNT'!E1869)</f>
        <v/>
      </c>
      <c r="F1868" t="str">
        <f>IF('NEW ACCOUNT'!A1869="","",'NEW ACCOUNT'!F1869)</f>
        <v/>
      </c>
      <c r="G1868" t="str">
        <f>IF('NEW ACCOUNT'!A1869="","",'NEW ACCOUNT'!G1869)</f>
        <v/>
      </c>
      <c r="H1868" t="str">
        <f>IF('NEW ACCOUNT'!A1869="","",'NEW ACCOUNT'!H1869)</f>
        <v/>
      </c>
      <c r="I1868" t="str">
        <f>IF('NEW ACCOUNT'!A1869="","",'NEW ACCOUNT'!I1869)</f>
        <v/>
      </c>
      <c r="J1868" t="str">
        <f>IF('NEW ACCOUNT'!A1869="","",'NEW ACCOUNT'!J1869)</f>
        <v/>
      </c>
      <c r="K1868" t="str">
        <f>IFERROR(IF(A1868="","",SUMIF(DB_Savings!$A:$A,A1868,DB_Savings!$F:$F)),"")</f>
        <v/>
      </c>
      <c r="L1868" t="str">
        <f>IFERROR(IF(A1868="","",SUMIF(DB_Withdrawals!$A:$A,A1868,DB_Withdrawals!$G:$G)),"")</f>
        <v/>
      </c>
      <c r="M1868" t="str">
        <f>IFERROR(IF(A1868="","",IFERROR(VALUE(H1868),0)+IFERROR(SUMIF(DB_Savings!$A:$A,A1868,DB_Savings!$F:$F),0)-IFERROR(SUMIF(DB_Withdrawals!$A:$A,A1868,DB_Withdrawals!$G:$G),0)),"")</f>
        <v/>
      </c>
      <c r="N1868" t="str">
        <f>IFERROR(IF(A1868="","",MAX(0,M1868-System_Config!$B$9)),"")</f>
        <v/>
      </c>
    </row>
    <row r="1869" spans="1:14" ht="15" customHeight="1" x14ac:dyDescent="0.25">
      <c r="A1869" t="str">
        <f>'NEW ACCOUNT'!A1870</f>
        <v/>
      </c>
      <c r="B1869" t="str">
        <f>IF('NEW ACCOUNT'!A1870="","",'NEW ACCOUNT'!B1870)</f>
        <v/>
      </c>
      <c r="C1869" t="str">
        <f>IF('NEW ACCOUNT'!A1870="","",'NEW ACCOUNT'!C1870)</f>
        <v/>
      </c>
      <c r="D1869" t="str">
        <f>IF('NEW ACCOUNT'!A1870="","",'NEW ACCOUNT'!D1870)</f>
        <v/>
      </c>
      <c r="E1869" t="str">
        <f>IF('NEW ACCOUNT'!A1870="","",'NEW ACCOUNT'!E1870)</f>
        <v/>
      </c>
      <c r="F1869" t="str">
        <f>IF('NEW ACCOUNT'!A1870="","",'NEW ACCOUNT'!F1870)</f>
        <v/>
      </c>
      <c r="G1869" t="str">
        <f>IF('NEW ACCOUNT'!A1870="","",'NEW ACCOUNT'!G1870)</f>
        <v/>
      </c>
      <c r="H1869" t="str">
        <f>IF('NEW ACCOUNT'!A1870="","",'NEW ACCOUNT'!H1870)</f>
        <v/>
      </c>
      <c r="I1869" t="str">
        <f>IF('NEW ACCOUNT'!A1870="","",'NEW ACCOUNT'!I1870)</f>
        <v/>
      </c>
      <c r="J1869" t="str">
        <f>IF('NEW ACCOUNT'!A1870="","",'NEW ACCOUNT'!J1870)</f>
        <v/>
      </c>
      <c r="K1869" t="str">
        <f>IFERROR(IF(A1869="","",SUMIF(DB_Savings!$A:$A,A1869,DB_Savings!$F:$F)),"")</f>
        <v/>
      </c>
      <c r="L1869" t="str">
        <f>IFERROR(IF(A1869="","",SUMIF(DB_Withdrawals!$A:$A,A1869,DB_Withdrawals!$G:$G)),"")</f>
        <v/>
      </c>
      <c r="M1869" t="str">
        <f>IFERROR(IF(A1869="","",IFERROR(VALUE(H1869),0)+IFERROR(SUMIF(DB_Savings!$A:$A,A1869,DB_Savings!$F:$F),0)-IFERROR(SUMIF(DB_Withdrawals!$A:$A,A1869,DB_Withdrawals!$G:$G),0)),"")</f>
        <v/>
      </c>
      <c r="N1869" t="str">
        <f>IFERROR(IF(A1869="","",MAX(0,M1869-System_Config!$B$9)),"")</f>
        <v/>
      </c>
    </row>
    <row r="1870" spans="1:14" ht="15" customHeight="1" x14ac:dyDescent="0.25">
      <c r="A1870" t="str">
        <f>'NEW ACCOUNT'!A1871</f>
        <v/>
      </c>
      <c r="B1870" t="str">
        <f>IF('NEW ACCOUNT'!A1871="","",'NEW ACCOUNT'!B1871)</f>
        <v/>
      </c>
      <c r="C1870" t="str">
        <f>IF('NEW ACCOUNT'!A1871="","",'NEW ACCOUNT'!C1871)</f>
        <v/>
      </c>
      <c r="D1870" t="str">
        <f>IF('NEW ACCOUNT'!A1871="","",'NEW ACCOUNT'!D1871)</f>
        <v/>
      </c>
      <c r="E1870" t="str">
        <f>IF('NEW ACCOUNT'!A1871="","",'NEW ACCOUNT'!E1871)</f>
        <v/>
      </c>
      <c r="F1870" t="str">
        <f>IF('NEW ACCOUNT'!A1871="","",'NEW ACCOUNT'!F1871)</f>
        <v/>
      </c>
      <c r="G1870" t="str">
        <f>IF('NEW ACCOUNT'!A1871="","",'NEW ACCOUNT'!G1871)</f>
        <v/>
      </c>
      <c r="H1870" t="str">
        <f>IF('NEW ACCOUNT'!A1871="","",'NEW ACCOUNT'!H1871)</f>
        <v/>
      </c>
      <c r="I1870" t="str">
        <f>IF('NEW ACCOUNT'!A1871="","",'NEW ACCOUNT'!I1871)</f>
        <v/>
      </c>
      <c r="J1870" t="str">
        <f>IF('NEW ACCOUNT'!A1871="","",'NEW ACCOUNT'!J1871)</f>
        <v/>
      </c>
      <c r="K1870" t="str">
        <f>IFERROR(IF(A1870="","",SUMIF(DB_Savings!$A:$A,A1870,DB_Savings!$F:$F)),"")</f>
        <v/>
      </c>
      <c r="L1870" t="str">
        <f>IFERROR(IF(A1870="","",SUMIF(DB_Withdrawals!$A:$A,A1870,DB_Withdrawals!$G:$G)),"")</f>
        <v/>
      </c>
      <c r="M1870" t="str">
        <f>IFERROR(IF(A1870="","",IFERROR(VALUE(H1870),0)+IFERROR(SUMIF(DB_Savings!$A:$A,A1870,DB_Savings!$F:$F),0)-IFERROR(SUMIF(DB_Withdrawals!$A:$A,A1870,DB_Withdrawals!$G:$G),0)),"")</f>
        <v/>
      </c>
      <c r="N1870" t="str">
        <f>IFERROR(IF(A1870="","",MAX(0,M1870-System_Config!$B$9)),"")</f>
        <v/>
      </c>
    </row>
    <row r="1871" spans="1:14" ht="15" customHeight="1" x14ac:dyDescent="0.25">
      <c r="A1871" t="str">
        <f>'NEW ACCOUNT'!A1872</f>
        <v/>
      </c>
      <c r="B1871" t="str">
        <f>IF('NEW ACCOUNT'!A1872="","",'NEW ACCOUNT'!B1872)</f>
        <v/>
      </c>
      <c r="C1871" t="str">
        <f>IF('NEW ACCOUNT'!A1872="","",'NEW ACCOUNT'!C1872)</f>
        <v/>
      </c>
      <c r="D1871" t="str">
        <f>IF('NEW ACCOUNT'!A1872="","",'NEW ACCOUNT'!D1872)</f>
        <v/>
      </c>
      <c r="E1871" t="str">
        <f>IF('NEW ACCOUNT'!A1872="","",'NEW ACCOUNT'!E1872)</f>
        <v/>
      </c>
      <c r="F1871" t="str">
        <f>IF('NEW ACCOUNT'!A1872="","",'NEW ACCOUNT'!F1872)</f>
        <v/>
      </c>
      <c r="G1871" t="str">
        <f>IF('NEW ACCOUNT'!A1872="","",'NEW ACCOUNT'!G1872)</f>
        <v/>
      </c>
      <c r="H1871" t="str">
        <f>IF('NEW ACCOUNT'!A1872="","",'NEW ACCOUNT'!H1872)</f>
        <v/>
      </c>
      <c r="I1871" t="str">
        <f>IF('NEW ACCOUNT'!A1872="","",'NEW ACCOUNT'!I1872)</f>
        <v/>
      </c>
      <c r="J1871" t="str">
        <f>IF('NEW ACCOUNT'!A1872="","",'NEW ACCOUNT'!J1872)</f>
        <v/>
      </c>
      <c r="K1871" t="str">
        <f>IFERROR(IF(A1871="","",SUMIF(DB_Savings!$A:$A,A1871,DB_Savings!$F:$F)),"")</f>
        <v/>
      </c>
      <c r="L1871" t="str">
        <f>IFERROR(IF(A1871="","",SUMIF(DB_Withdrawals!$A:$A,A1871,DB_Withdrawals!$G:$G)),"")</f>
        <v/>
      </c>
      <c r="M1871" t="str">
        <f>IFERROR(IF(A1871="","",IFERROR(VALUE(H1871),0)+IFERROR(SUMIF(DB_Savings!$A:$A,A1871,DB_Savings!$F:$F),0)-IFERROR(SUMIF(DB_Withdrawals!$A:$A,A1871,DB_Withdrawals!$G:$G),0)),"")</f>
        <v/>
      </c>
      <c r="N1871" t="str">
        <f>IFERROR(IF(A1871="","",MAX(0,M1871-System_Config!$B$9)),"")</f>
        <v/>
      </c>
    </row>
    <row r="1872" spans="1:14" ht="15" customHeight="1" x14ac:dyDescent="0.25">
      <c r="A1872" t="str">
        <f>'NEW ACCOUNT'!A1873</f>
        <v/>
      </c>
      <c r="B1872" t="str">
        <f>IF('NEW ACCOUNT'!A1873="","",'NEW ACCOUNT'!B1873)</f>
        <v/>
      </c>
      <c r="C1872" t="str">
        <f>IF('NEW ACCOUNT'!A1873="","",'NEW ACCOUNT'!C1873)</f>
        <v/>
      </c>
      <c r="D1872" t="str">
        <f>IF('NEW ACCOUNT'!A1873="","",'NEW ACCOUNT'!D1873)</f>
        <v/>
      </c>
      <c r="E1872" t="str">
        <f>IF('NEW ACCOUNT'!A1873="","",'NEW ACCOUNT'!E1873)</f>
        <v/>
      </c>
      <c r="F1872" t="str">
        <f>IF('NEW ACCOUNT'!A1873="","",'NEW ACCOUNT'!F1873)</f>
        <v/>
      </c>
      <c r="G1872" t="str">
        <f>IF('NEW ACCOUNT'!A1873="","",'NEW ACCOUNT'!G1873)</f>
        <v/>
      </c>
      <c r="H1872" t="str">
        <f>IF('NEW ACCOUNT'!A1873="","",'NEW ACCOUNT'!H1873)</f>
        <v/>
      </c>
      <c r="I1872" t="str">
        <f>IF('NEW ACCOUNT'!A1873="","",'NEW ACCOUNT'!I1873)</f>
        <v/>
      </c>
      <c r="J1872" t="str">
        <f>IF('NEW ACCOUNT'!A1873="","",'NEW ACCOUNT'!J1873)</f>
        <v/>
      </c>
      <c r="K1872" t="str">
        <f>IFERROR(IF(A1872="","",SUMIF(DB_Savings!$A:$A,A1872,DB_Savings!$F:$F)),"")</f>
        <v/>
      </c>
      <c r="L1872" t="str">
        <f>IFERROR(IF(A1872="","",SUMIF(DB_Withdrawals!$A:$A,A1872,DB_Withdrawals!$G:$G)),"")</f>
        <v/>
      </c>
      <c r="M1872" t="str">
        <f>IFERROR(IF(A1872="","",IFERROR(VALUE(H1872),0)+IFERROR(SUMIF(DB_Savings!$A:$A,A1872,DB_Savings!$F:$F),0)-IFERROR(SUMIF(DB_Withdrawals!$A:$A,A1872,DB_Withdrawals!$G:$G),0)),"")</f>
        <v/>
      </c>
      <c r="N1872" t="str">
        <f>IFERROR(IF(A1872="","",MAX(0,M1872-System_Config!$B$9)),"")</f>
        <v/>
      </c>
    </row>
    <row r="1873" spans="1:14" ht="15" customHeight="1" x14ac:dyDescent="0.25">
      <c r="A1873" t="str">
        <f>'NEW ACCOUNT'!A1874</f>
        <v/>
      </c>
      <c r="B1873" t="str">
        <f>IF('NEW ACCOUNT'!A1874="","",'NEW ACCOUNT'!B1874)</f>
        <v/>
      </c>
      <c r="C1873" t="str">
        <f>IF('NEW ACCOUNT'!A1874="","",'NEW ACCOUNT'!C1874)</f>
        <v/>
      </c>
      <c r="D1873" t="str">
        <f>IF('NEW ACCOUNT'!A1874="","",'NEW ACCOUNT'!D1874)</f>
        <v/>
      </c>
      <c r="E1873" t="str">
        <f>IF('NEW ACCOUNT'!A1874="","",'NEW ACCOUNT'!E1874)</f>
        <v/>
      </c>
      <c r="F1873" t="str">
        <f>IF('NEW ACCOUNT'!A1874="","",'NEW ACCOUNT'!F1874)</f>
        <v/>
      </c>
      <c r="G1873" t="str">
        <f>IF('NEW ACCOUNT'!A1874="","",'NEW ACCOUNT'!G1874)</f>
        <v/>
      </c>
      <c r="H1873" t="str">
        <f>IF('NEW ACCOUNT'!A1874="","",'NEW ACCOUNT'!H1874)</f>
        <v/>
      </c>
      <c r="I1873" t="str">
        <f>IF('NEW ACCOUNT'!A1874="","",'NEW ACCOUNT'!I1874)</f>
        <v/>
      </c>
      <c r="J1873" t="str">
        <f>IF('NEW ACCOUNT'!A1874="","",'NEW ACCOUNT'!J1874)</f>
        <v/>
      </c>
      <c r="K1873" t="str">
        <f>IFERROR(IF(A1873="","",SUMIF(DB_Savings!$A:$A,A1873,DB_Savings!$F:$F)),"")</f>
        <v/>
      </c>
      <c r="L1873" t="str">
        <f>IFERROR(IF(A1873="","",SUMIF(DB_Withdrawals!$A:$A,A1873,DB_Withdrawals!$G:$G)),"")</f>
        <v/>
      </c>
      <c r="M1873" t="str">
        <f>IFERROR(IF(A1873="","",IFERROR(VALUE(H1873),0)+IFERROR(SUMIF(DB_Savings!$A:$A,A1873,DB_Savings!$F:$F),0)-IFERROR(SUMIF(DB_Withdrawals!$A:$A,A1873,DB_Withdrawals!$G:$G),0)),"")</f>
        <v/>
      </c>
      <c r="N1873" t="str">
        <f>IFERROR(IF(A1873="","",MAX(0,M1873-System_Config!$B$9)),"")</f>
        <v/>
      </c>
    </row>
    <row r="1874" spans="1:14" ht="15" customHeight="1" x14ac:dyDescent="0.25">
      <c r="A1874" t="str">
        <f>'NEW ACCOUNT'!A1875</f>
        <v/>
      </c>
      <c r="B1874" t="str">
        <f>IF('NEW ACCOUNT'!A1875="","",'NEW ACCOUNT'!B1875)</f>
        <v/>
      </c>
      <c r="C1874" t="str">
        <f>IF('NEW ACCOUNT'!A1875="","",'NEW ACCOUNT'!C1875)</f>
        <v/>
      </c>
      <c r="D1874" t="str">
        <f>IF('NEW ACCOUNT'!A1875="","",'NEW ACCOUNT'!D1875)</f>
        <v/>
      </c>
      <c r="E1874" t="str">
        <f>IF('NEW ACCOUNT'!A1875="","",'NEW ACCOUNT'!E1875)</f>
        <v/>
      </c>
      <c r="F1874" t="str">
        <f>IF('NEW ACCOUNT'!A1875="","",'NEW ACCOUNT'!F1875)</f>
        <v/>
      </c>
      <c r="G1874" t="str">
        <f>IF('NEW ACCOUNT'!A1875="","",'NEW ACCOUNT'!G1875)</f>
        <v/>
      </c>
      <c r="H1874" t="str">
        <f>IF('NEW ACCOUNT'!A1875="","",'NEW ACCOUNT'!H1875)</f>
        <v/>
      </c>
      <c r="I1874" t="str">
        <f>IF('NEW ACCOUNT'!A1875="","",'NEW ACCOUNT'!I1875)</f>
        <v/>
      </c>
      <c r="J1874" t="str">
        <f>IF('NEW ACCOUNT'!A1875="","",'NEW ACCOUNT'!J1875)</f>
        <v/>
      </c>
      <c r="K1874" t="str">
        <f>IFERROR(IF(A1874="","",SUMIF(DB_Savings!$A:$A,A1874,DB_Savings!$F:$F)),"")</f>
        <v/>
      </c>
      <c r="L1874" t="str">
        <f>IFERROR(IF(A1874="","",SUMIF(DB_Withdrawals!$A:$A,A1874,DB_Withdrawals!$G:$G)),"")</f>
        <v/>
      </c>
      <c r="M1874" t="str">
        <f>IFERROR(IF(A1874="","",IFERROR(VALUE(H1874),0)+IFERROR(SUMIF(DB_Savings!$A:$A,A1874,DB_Savings!$F:$F),0)-IFERROR(SUMIF(DB_Withdrawals!$A:$A,A1874,DB_Withdrawals!$G:$G),0)),"")</f>
        <v/>
      </c>
      <c r="N1874" t="str">
        <f>IFERROR(IF(A1874="","",MAX(0,M1874-System_Config!$B$9)),"")</f>
        <v/>
      </c>
    </row>
    <row r="1875" spans="1:14" ht="15" customHeight="1" x14ac:dyDescent="0.25">
      <c r="A1875" t="str">
        <f>'NEW ACCOUNT'!A1876</f>
        <v/>
      </c>
      <c r="B1875" t="str">
        <f>IF('NEW ACCOUNT'!A1876="","",'NEW ACCOUNT'!B1876)</f>
        <v/>
      </c>
      <c r="C1875" t="str">
        <f>IF('NEW ACCOUNT'!A1876="","",'NEW ACCOUNT'!C1876)</f>
        <v/>
      </c>
      <c r="D1875" t="str">
        <f>IF('NEW ACCOUNT'!A1876="","",'NEW ACCOUNT'!D1876)</f>
        <v/>
      </c>
      <c r="E1875" t="str">
        <f>IF('NEW ACCOUNT'!A1876="","",'NEW ACCOUNT'!E1876)</f>
        <v/>
      </c>
      <c r="F1875" t="str">
        <f>IF('NEW ACCOUNT'!A1876="","",'NEW ACCOUNT'!F1876)</f>
        <v/>
      </c>
      <c r="G1875" t="str">
        <f>IF('NEW ACCOUNT'!A1876="","",'NEW ACCOUNT'!G1876)</f>
        <v/>
      </c>
      <c r="H1875" t="str">
        <f>IF('NEW ACCOUNT'!A1876="","",'NEW ACCOUNT'!H1876)</f>
        <v/>
      </c>
      <c r="I1875" t="str">
        <f>IF('NEW ACCOUNT'!A1876="","",'NEW ACCOUNT'!I1876)</f>
        <v/>
      </c>
      <c r="J1875" t="str">
        <f>IF('NEW ACCOUNT'!A1876="","",'NEW ACCOUNT'!J1876)</f>
        <v/>
      </c>
      <c r="K1875" t="str">
        <f>IFERROR(IF(A1875="","",SUMIF(DB_Savings!$A:$A,A1875,DB_Savings!$F:$F)),"")</f>
        <v/>
      </c>
      <c r="L1875" t="str">
        <f>IFERROR(IF(A1875="","",SUMIF(DB_Withdrawals!$A:$A,A1875,DB_Withdrawals!$G:$G)),"")</f>
        <v/>
      </c>
      <c r="M1875" t="str">
        <f>IFERROR(IF(A1875="","",IFERROR(VALUE(H1875),0)+IFERROR(SUMIF(DB_Savings!$A:$A,A1875,DB_Savings!$F:$F),0)-IFERROR(SUMIF(DB_Withdrawals!$A:$A,A1875,DB_Withdrawals!$G:$G),0)),"")</f>
        <v/>
      </c>
      <c r="N1875" t="str">
        <f>IFERROR(IF(A1875="","",MAX(0,M1875-System_Config!$B$9)),"")</f>
        <v/>
      </c>
    </row>
    <row r="1876" spans="1:14" ht="15" customHeight="1" x14ac:dyDescent="0.25">
      <c r="A1876" t="str">
        <f>'NEW ACCOUNT'!A1877</f>
        <v/>
      </c>
      <c r="B1876" t="str">
        <f>IF('NEW ACCOUNT'!A1877="","",'NEW ACCOUNT'!B1877)</f>
        <v/>
      </c>
      <c r="C1876" t="str">
        <f>IF('NEW ACCOUNT'!A1877="","",'NEW ACCOUNT'!C1877)</f>
        <v/>
      </c>
      <c r="D1876" t="str">
        <f>IF('NEW ACCOUNT'!A1877="","",'NEW ACCOUNT'!D1877)</f>
        <v/>
      </c>
      <c r="E1876" t="str">
        <f>IF('NEW ACCOUNT'!A1877="","",'NEW ACCOUNT'!E1877)</f>
        <v/>
      </c>
      <c r="F1876" t="str">
        <f>IF('NEW ACCOUNT'!A1877="","",'NEW ACCOUNT'!F1877)</f>
        <v/>
      </c>
      <c r="G1876" t="str">
        <f>IF('NEW ACCOUNT'!A1877="","",'NEW ACCOUNT'!G1877)</f>
        <v/>
      </c>
      <c r="H1876" t="str">
        <f>IF('NEW ACCOUNT'!A1877="","",'NEW ACCOUNT'!H1877)</f>
        <v/>
      </c>
      <c r="I1876" t="str">
        <f>IF('NEW ACCOUNT'!A1877="","",'NEW ACCOUNT'!I1877)</f>
        <v/>
      </c>
      <c r="J1876" t="str">
        <f>IF('NEW ACCOUNT'!A1877="","",'NEW ACCOUNT'!J1877)</f>
        <v/>
      </c>
      <c r="K1876" t="str">
        <f>IFERROR(IF(A1876="","",SUMIF(DB_Savings!$A:$A,A1876,DB_Savings!$F:$F)),"")</f>
        <v/>
      </c>
      <c r="L1876" t="str">
        <f>IFERROR(IF(A1876="","",SUMIF(DB_Withdrawals!$A:$A,A1876,DB_Withdrawals!$G:$G)),"")</f>
        <v/>
      </c>
      <c r="M1876" t="str">
        <f>IFERROR(IF(A1876="","",IFERROR(VALUE(H1876),0)+IFERROR(SUMIF(DB_Savings!$A:$A,A1876,DB_Savings!$F:$F),0)-IFERROR(SUMIF(DB_Withdrawals!$A:$A,A1876,DB_Withdrawals!$G:$G),0)),"")</f>
        <v/>
      </c>
      <c r="N1876" t="str">
        <f>IFERROR(IF(A1876="","",MAX(0,M1876-System_Config!$B$9)),"")</f>
        <v/>
      </c>
    </row>
    <row r="1877" spans="1:14" ht="15" customHeight="1" x14ac:dyDescent="0.25">
      <c r="A1877" t="str">
        <f>'NEW ACCOUNT'!A1878</f>
        <v/>
      </c>
      <c r="B1877" t="str">
        <f>IF('NEW ACCOUNT'!A1878="","",'NEW ACCOUNT'!B1878)</f>
        <v/>
      </c>
      <c r="C1877" t="str">
        <f>IF('NEW ACCOUNT'!A1878="","",'NEW ACCOUNT'!C1878)</f>
        <v/>
      </c>
      <c r="D1877" t="str">
        <f>IF('NEW ACCOUNT'!A1878="","",'NEW ACCOUNT'!D1878)</f>
        <v/>
      </c>
      <c r="E1877" t="str">
        <f>IF('NEW ACCOUNT'!A1878="","",'NEW ACCOUNT'!E1878)</f>
        <v/>
      </c>
      <c r="F1877" t="str">
        <f>IF('NEW ACCOUNT'!A1878="","",'NEW ACCOUNT'!F1878)</f>
        <v/>
      </c>
      <c r="G1877" t="str">
        <f>IF('NEW ACCOUNT'!A1878="","",'NEW ACCOUNT'!G1878)</f>
        <v/>
      </c>
      <c r="H1877" t="str">
        <f>IF('NEW ACCOUNT'!A1878="","",'NEW ACCOUNT'!H1878)</f>
        <v/>
      </c>
      <c r="I1877" t="str">
        <f>IF('NEW ACCOUNT'!A1878="","",'NEW ACCOUNT'!I1878)</f>
        <v/>
      </c>
      <c r="J1877" t="str">
        <f>IF('NEW ACCOUNT'!A1878="","",'NEW ACCOUNT'!J1878)</f>
        <v/>
      </c>
      <c r="K1877" t="str">
        <f>IFERROR(IF(A1877="","",SUMIF(DB_Savings!$A:$A,A1877,DB_Savings!$F:$F)),"")</f>
        <v/>
      </c>
      <c r="L1877" t="str">
        <f>IFERROR(IF(A1877="","",SUMIF(DB_Withdrawals!$A:$A,A1877,DB_Withdrawals!$G:$G)),"")</f>
        <v/>
      </c>
      <c r="M1877" t="str">
        <f>IFERROR(IF(A1877="","",IFERROR(VALUE(H1877),0)+IFERROR(SUMIF(DB_Savings!$A:$A,A1877,DB_Savings!$F:$F),0)-IFERROR(SUMIF(DB_Withdrawals!$A:$A,A1877,DB_Withdrawals!$G:$G),0)),"")</f>
        <v/>
      </c>
      <c r="N1877" t="str">
        <f>IFERROR(IF(A1877="","",MAX(0,M1877-System_Config!$B$9)),"")</f>
        <v/>
      </c>
    </row>
    <row r="1878" spans="1:14" ht="15" customHeight="1" x14ac:dyDescent="0.25">
      <c r="A1878" t="str">
        <f>'NEW ACCOUNT'!A1879</f>
        <v/>
      </c>
      <c r="B1878" t="str">
        <f>IF('NEW ACCOUNT'!A1879="","",'NEW ACCOUNT'!B1879)</f>
        <v/>
      </c>
      <c r="C1878" t="str">
        <f>IF('NEW ACCOUNT'!A1879="","",'NEW ACCOUNT'!C1879)</f>
        <v/>
      </c>
      <c r="D1878" t="str">
        <f>IF('NEW ACCOUNT'!A1879="","",'NEW ACCOUNT'!D1879)</f>
        <v/>
      </c>
      <c r="E1878" t="str">
        <f>IF('NEW ACCOUNT'!A1879="","",'NEW ACCOUNT'!E1879)</f>
        <v/>
      </c>
      <c r="F1878" t="str">
        <f>IF('NEW ACCOUNT'!A1879="","",'NEW ACCOUNT'!F1879)</f>
        <v/>
      </c>
      <c r="G1878" t="str">
        <f>IF('NEW ACCOUNT'!A1879="","",'NEW ACCOUNT'!G1879)</f>
        <v/>
      </c>
      <c r="H1878" t="str">
        <f>IF('NEW ACCOUNT'!A1879="","",'NEW ACCOUNT'!H1879)</f>
        <v/>
      </c>
      <c r="I1878" t="str">
        <f>IF('NEW ACCOUNT'!A1879="","",'NEW ACCOUNT'!I1879)</f>
        <v/>
      </c>
      <c r="J1878" t="str">
        <f>IF('NEW ACCOUNT'!A1879="","",'NEW ACCOUNT'!J1879)</f>
        <v/>
      </c>
      <c r="K1878" t="str">
        <f>IFERROR(IF(A1878="","",SUMIF(DB_Savings!$A:$A,A1878,DB_Savings!$F:$F)),"")</f>
        <v/>
      </c>
      <c r="L1878" t="str">
        <f>IFERROR(IF(A1878="","",SUMIF(DB_Withdrawals!$A:$A,A1878,DB_Withdrawals!$G:$G)),"")</f>
        <v/>
      </c>
      <c r="M1878" t="str">
        <f>IFERROR(IF(A1878="","",IFERROR(VALUE(H1878),0)+IFERROR(SUMIF(DB_Savings!$A:$A,A1878,DB_Savings!$F:$F),0)-IFERROR(SUMIF(DB_Withdrawals!$A:$A,A1878,DB_Withdrawals!$G:$G),0)),"")</f>
        <v/>
      </c>
      <c r="N1878" t="str">
        <f>IFERROR(IF(A1878="","",MAX(0,M1878-System_Config!$B$9)),"")</f>
        <v/>
      </c>
    </row>
    <row r="1879" spans="1:14" ht="15" customHeight="1" x14ac:dyDescent="0.25">
      <c r="A1879" t="str">
        <f>'NEW ACCOUNT'!A1880</f>
        <v/>
      </c>
      <c r="B1879" t="str">
        <f>IF('NEW ACCOUNT'!A1880="","",'NEW ACCOUNT'!B1880)</f>
        <v/>
      </c>
      <c r="C1879" t="str">
        <f>IF('NEW ACCOUNT'!A1880="","",'NEW ACCOUNT'!C1880)</f>
        <v/>
      </c>
      <c r="D1879" t="str">
        <f>IF('NEW ACCOUNT'!A1880="","",'NEW ACCOUNT'!D1880)</f>
        <v/>
      </c>
      <c r="E1879" t="str">
        <f>IF('NEW ACCOUNT'!A1880="","",'NEW ACCOUNT'!E1880)</f>
        <v/>
      </c>
      <c r="F1879" t="str">
        <f>IF('NEW ACCOUNT'!A1880="","",'NEW ACCOUNT'!F1880)</f>
        <v/>
      </c>
      <c r="G1879" t="str">
        <f>IF('NEW ACCOUNT'!A1880="","",'NEW ACCOUNT'!G1880)</f>
        <v/>
      </c>
      <c r="H1879" t="str">
        <f>IF('NEW ACCOUNT'!A1880="","",'NEW ACCOUNT'!H1880)</f>
        <v/>
      </c>
      <c r="I1879" t="str">
        <f>IF('NEW ACCOUNT'!A1880="","",'NEW ACCOUNT'!I1880)</f>
        <v/>
      </c>
      <c r="J1879" t="str">
        <f>IF('NEW ACCOUNT'!A1880="","",'NEW ACCOUNT'!J1880)</f>
        <v/>
      </c>
      <c r="K1879" t="str">
        <f>IFERROR(IF(A1879="","",SUMIF(DB_Savings!$A:$A,A1879,DB_Savings!$F:$F)),"")</f>
        <v/>
      </c>
      <c r="L1879" t="str">
        <f>IFERROR(IF(A1879="","",SUMIF(DB_Withdrawals!$A:$A,A1879,DB_Withdrawals!$G:$G)),"")</f>
        <v/>
      </c>
      <c r="M1879" t="str">
        <f>IFERROR(IF(A1879="","",IFERROR(VALUE(H1879),0)+IFERROR(SUMIF(DB_Savings!$A:$A,A1879,DB_Savings!$F:$F),0)-IFERROR(SUMIF(DB_Withdrawals!$A:$A,A1879,DB_Withdrawals!$G:$G),0)),"")</f>
        <v/>
      </c>
      <c r="N1879" t="str">
        <f>IFERROR(IF(A1879="","",MAX(0,M1879-System_Config!$B$9)),"")</f>
        <v/>
      </c>
    </row>
    <row r="1880" spans="1:14" ht="15" customHeight="1" x14ac:dyDescent="0.25">
      <c r="A1880" t="str">
        <f>'NEW ACCOUNT'!A1881</f>
        <v/>
      </c>
      <c r="B1880" t="str">
        <f>IF('NEW ACCOUNT'!A1881="","",'NEW ACCOUNT'!B1881)</f>
        <v/>
      </c>
      <c r="C1880" t="str">
        <f>IF('NEW ACCOUNT'!A1881="","",'NEW ACCOUNT'!C1881)</f>
        <v/>
      </c>
      <c r="D1880" t="str">
        <f>IF('NEW ACCOUNT'!A1881="","",'NEW ACCOUNT'!D1881)</f>
        <v/>
      </c>
      <c r="E1880" t="str">
        <f>IF('NEW ACCOUNT'!A1881="","",'NEW ACCOUNT'!E1881)</f>
        <v/>
      </c>
      <c r="F1880" t="str">
        <f>IF('NEW ACCOUNT'!A1881="","",'NEW ACCOUNT'!F1881)</f>
        <v/>
      </c>
      <c r="G1880" t="str">
        <f>IF('NEW ACCOUNT'!A1881="","",'NEW ACCOUNT'!G1881)</f>
        <v/>
      </c>
      <c r="H1880" t="str">
        <f>IF('NEW ACCOUNT'!A1881="","",'NEW ACCOUNT'!H1881)</f>
        <v/>
      </c>
      <c r="I1880" t="str">
        <f>IF('NEW ACCOUNT'!A1881="","",'NEW ACCOUNT'!I1881)</f>
        <v/>
      </c>
      <c r="J1880" t="str">
        <f>IF('NEW ACCOUNT'!A1881="","",'NEW ACCOUNT'!J1881)</f>
        <v/>
      </c>
      <c r="K1880" t="str">
        <f>IFERROR(IF(A1880="","",SUMIF(DB_Savings!$A:$A,A1880,DB_Savings!$F:$F)),"")</f>
        <v/>
      </c>
      <c r="L1880" t="str">
        <f>IFERROR(IF(A1880="","",SUMIF(DB_Withdrawals!$A:$A,A1880,DB_Withdrawals!$G:$G)),"")</f>
        <v/>
      </c>
      <c r="M1880" t="str">
        <f>IFERROR(IF(A1880="","",IFERROR(VALUE(H1880),0)+IFERROR(SUMIF(DB_Savings!$A:$A,A1880,DB_Savings!$F:$F),0)-IFERROR(SUMIF(DB_Withdrawals!$A:$A,A1880,DB_Withdrawals!$G:$G),0)),"")</f>
        <v/>
      </c>
      <c r="N1880" t="str">
        <f>IFERROR(IF(A1880="","",MAX(0,M1880-System_Config!$B$9)),"")</f>
        <v/>
      </c>
    </row>
    <row r="1881" spans="1:14" ht="15" customHeight="1" x14ac:dyDescent="0.25">
      <c r="A1881" t="str">
        <f>'NEW ACCOUNT'!A1882</f>
        <v/>
      </c>
      <c r="B1881" t="str">
        <f>IF('NEW ACCOUNT'!A1882="","",'NEW ACCOUNT'!B1882)</f>
        <v/>
      </c>
      <c r="C1881" t="str">
        <f>IF('NEW ACCOUNT'!A1882="","",'NEW ACCOUNT'!C1882)</f>
        <v/>
      </c>
      <c r="D1881" t="str">
        <f>IF('NEW ACCOUNT'!A1882="","",'NEW ACCOUNT'!D1882)</f>
        <v/>
      </c>
      <c r="E1881" t="str">
        <f>IF('NEW ACCOUNT'!A1882="","",'NEW ACCOUNT'!E1882)</f>
        <v/>
      </c>
      <c r="F1881" t="str">
        <f>IF('NEW ACCOUNT'!A1882="","",'NEW ACCOUNT'!F1882)</f>
        <v/>
      </c>
      <c r="G1881" t="str">
        <f>IF('NEW ACCOUNT'!A1882="","",'NEW ACCOUNT'!G1882)</f>
        <v/>
      </c>
      <c r="H1881" t="str">
        <f>IF('NEW ACCOUNT'!A1882="","",'NEW ACCOUNT'!H1882)</f>
        <v/>
      </c>
      <c r="I1881" t="str">
        <f>IF('NEW ACCOUNT'!A1882="","",'NEW ACCOUNT'!I1882)</f>
        <v/>
      </c>
      <c r="J1881" t="str">
        <f>IF('NEW ACCOUNT'!A1882="","",'NEW ACCOUNT'!J1882)</f>
        <v/>
      </c>
      <c r="K1881" t="str">
        <f>IFERROR(IF(A1881="","",SUMIF(DB_Savings!$A:$A,A1881,DB_Savings!$F:$F)),"")</f>
        <v/>
      </c>
      <c r="L1881" t="str">
        <f>IFERROR(IF(A1881="","",SUMIF(DB_Withdrawals!$A:$A,A1881,DB_Withdrawals!$G:$G)),"")</f>
        <v/>
      </c>
      <c r="M1881" t="str">
        <f>IFERROR(IF(A1881="","",IFERROR(VALUE(H1881),0)+IFERROR(SUMIF(DB_Savings!$A:$A,A1881,DB_Savings!$F:$F),0)-IFERROR(SUMIF(DB_Withdrawals!$A:$A,A1881,DB_Withdrawals!$G:$G),0)),"")</f>
        <v/>
      </c>
      <c r="N1881" t="str">
        <f>IFERROR(IF(A1881="","",MAX(0,M1881-System_Config!$B$9)),"")</f>
        <v/>
      </c>
    </row>
    <row r="1882" spans="1:14" ht="15" customHeight="1" x14ac:dyDescent="0.25">
      <c r="A1882" t="str">
        <f>'NEW ACCOUNT'!A1883</f>
        <v/>
      </c>
      <c r="B1882" t="str">
        <f>IF('NEW ACCOUNT'!A1883="","",'NEW ACCOUNT'!B1883)</f>
        <v/>
      </c>
      <c r="C1882" t="str">
        <f>IF('NEW ACCOUNT'!A1883="","",'NEW ACCOUNT'!C1883)</f>
        <v/>
      </c>
      <c r="D1882" t="str">
        <f>IF('NEW ACCOUNT'!A1883="","",'NEW ACCOUNT'!D1883)</f>
        <v/>
      </c>
      <c r="E1882" t="str">
        <f>IF('NEW ACCOUNT'!A1883="","",'NEW ACCOUNT'!E1883)</f>
        <v/>
      </c>
      <c r="F1882" t="str">
        <f>IF('NEW ACCOUNT'!A1883="","",'NEW ACCOUNT'!F1883)</f>
        <v/>
      </c>
      <c r="G1882" t="str">
        <f>IF('NEW ACCOUNT'!A1883="","",'NEW ACCOUNT'!G1883)</f>
        <v/>
      </c>
      <c r="H1882" t="str">
        <f>IF('NEW ACCOUNT'!A1883="","",'NEW ACCOUNT'!H1883)</f>
        <v/>
      </c>
      <c r="I1882" t="str">
        <f>IF('NEW ACCOUNT'!A1883="","",'NEW ACCOUNT'!I1883)</f>
        <v/>
      </c>
      <c r="J1882" t="str">
        <f>IF('NEW ACCOUNT'!A1883="","",'NEW ACCOUNT'!J1883)</f>
        <v/>
      </c>
      <c r="K1882" t="str">
        <f>IFERROR(IF(A1882="","",SUMIF(DB_Savings!$A:$A,A1882,DB_Savings!$F:$F)),"")</f>
        <v/>
      </c>
      <c r="L1882" t="str">
        <f>IFERROR(IF(A1882="","",SUMIF(DB_Withdrawals!$A:$A,A1882,DB_Withdrawals!$G:$G)),"")</f>
        <v/>
      </c>
      <c r="M1882" t="str">
        <f>IFERROR(IF(A1882="","",IFERROR(VALUE(H1882),0)+IFERROR(SUMIF(DB_Savings!$A:$A,A1882,DB_Savings!$F:$F),0)-IFERROR(SUMIF(DB_Withdrawals!$A:$A,A1882,DB_Withdrawals!$G:$G),0)),"")</f>
        <v/>
      </c>
      <c r="N1882" t="str">
        <f>IFERROR(IF(A1882="","",MAX(0,M1882-System_Config!$B$9)),"")</f>
        <v/>
      </c>
    </row>
    <row r="1883" spans="1:14" ht="15" customHeight="1" x14ac:dyDescent="0.25">
      <c r="A1883" t="str">
        <f>'NEW ACCOUNT'!A1884</f>
        <v/>
      </c>
      <c r="B1883" t="str">
        <f>IF('NEW ACCOUNT'!A1884="","",'NEW ACCOUNT'!B1884)</f>
        <v/>
      </c>
      <c r="C1883" t="str">
        <f>IF('NEW ACCOUNT'!A1884="","",'NEW ACCOUNT'!C1884)</f>
        <v/>
      </c>
      <c r="D1883" t="str">
        <f>IF('NEW ACCOUNT'!A1884="","",'NEW ACCOUNT'!D1884)</f>
        <v/>
      </c>
      <c r="E1883" t="str">
        <f>IF('NEW ACCOUNT'!A1884="","",'NEW ACCOUNT'!E1884)</f>
        <v/>
      </c>
      <c r="F1883" t="str">
        <f>IF('NEW ACCOUNT'!A1884="","",'NEW ACCOUNT'!F1884)</f>
        <v/>
      </c>
      <c r="G1883" t="str">
        <f>IF('NEW ACCOUNT'!A1884="","",'NEW ACCOUNT'!G1884)</f>
        <v/>
      </c>
      <c r="H1883" t="str">
        <f>IF('NEW ACCOUNT'!A1884="","",'NEW ACCOUNT'!H1884)</f>
        <v/>
      </c>
      <c r="I1883" t="str">
        <f>IF('NEW ACCOUNT'!A1884="","",'NEW ACCOUNT'!I1884)</f>
        <v/>
      </c>
      <c r="J1883" t="str">
        <f>IF('NEW ACCOUNT'!A1884="","",'NEW ACCOUNT'!J1884)</f>
        <v/>
      </c>
      <c r="K1883" t="str">
        <f>IFERROR(IF(A1883="","",SUMIF(DB_Savings!$A:$A,A1883,DB_Savings!$F:$F)),"")</f>
        <v/>
      </c>
      <c r="L1883" t="str">
        <f>IFERROR(IF(A1883="","",SUMIF(DB_Withdrawals!$A:$A,A1883,DB_Withdrawals!$G:$G)),"")</f>
        <v/>
      </c>
      <c r="M1883" t="str">
        <f>IFERROR(IF(A1883="","",IFERROR(VALUE(H1883),0)+IFERROR(SUMIF(DB_Savings!$A:$A,A1883,DB_Savings!$F:$F),0)-IFERROR(SUMIF(DB_Withdrawals!$A:$A,A1883,DB_Withdrawals!$G:$G),0)),"")</f>
        <v/>
      </c>
      <c r="N1883" t="str">
        <f>IFERROR(IF(A1883="","",MAX(0,M1883-System_Config!$B$9)),"")</f>
        <v/>
      </c>
    </row>
    <row r="1884" spans="1:14" ht="15" customHeight="1" x14ac:dyDescent="0.25">
      <c r="A1884" t="str">
        <f>'NEW ACCOUNT'!A1885</f>
        <v/>
      </c>
      <c r="B1884" t="str">
        <f>IF('NEW ACCOUNT'!A1885="","",'NEW ACCOUNT'!B1885)</f>
        <v/>
      </c>
      <c r="C1884" t="str">
        <f>IF('NEW ACCOUNT'!A1885="","",'NEW ACCOUNT'!C1885)</f>
        <v/>
      </c>
      <c r="D1884" t="str">
        <f>IF('NEW ACCOUNT'!A1885="","",'NEW ACCOUNT'!D1885)</f>
        <v/>
      </c>
      <c r="E1884" t="str">
        <f>IF('NEW ACCOUNT'!A1885="","",'NEW ACCOUNT'!E1885)</f>
        <v/>
      </c>
      <c r="F1884" t="str">
        <f>IF('NEW ACCOUNT'!A1885="","",'NEW ACCOUNT'!F1885)</f>
        <v/>
      </c>
      <c r="G1884" t="str">
        <f>IF('NEW ACCOUNT'!A1885="","",'NEW ACCOUNT'!G1885)</f>
        <v/>
      </c>
      <c r="H1884" t="str">
        <f>IF('NEW ACCOUNT'!A1885="","",'NEW ACCOUNT'!H1885)</f>
        <v/>
      </c>
      <c r="I1884" t="str">
        <f>IF('NEW ACCOUNT'!A1885="","",'NEW ACCOUNT'!I1885)</f>
        <v/>
      </c>
      <c r="J1884" t="str">
        <f>IF('NEW ACCOUNT'!A1885="","",'NEW ACCOUNT'!J1885)</f>
        <v/>
      </c>
      <c r="K1884" t="str">
        <f>IFERROR(IF(A1884="","",SUMIF(DB_Savings!$A:$A,A1884,DB_Savings!$F:$F)),"")</f>
        <v/>
      </c>
      <c r="L1884" t="str">
        <f>IFERROR(IF(A1884="","",SUMIF(DB_Withdrawals!$A:$A,A1884,DB_Withdrawals!$G:$G)),"")</f>
        <v/>
      </c>
      <c r="M1884" t="str">
        <f>IFERROR(IF(A1884="","",IFERROR(VALUE(H1884),0)+IFERROR(SUMIF(DB_Savings!$A:$A,A1884,DB_Savings!$F:$F),0)-IFERROR(SUMIF(DB_Withdrawals!$A:$A,A1884,DB_Withdrawals!$G:$G),0)),"")</f>
        <v/>
      </c>
      <c r="N1884" t="str">
        <f>IFERROR(IF(A1884="","",MAX(0,M1884-System_Config!$B$9)),"")</f>
        <v/>
      </c>
    </row>
    <row r="1885" spans="1:14" ht="15" customHeight="1" x14ac:dyDescent="0.25">
      <c r="A1885" t="str">
        <f>'NEW ACCOUNT'!A1886</f>
        <v/>
      </c>
      <c r="B1885" t="str">
        <f>IF('NEW ACCOUNT'!A1886="","",'NEW ACCOUNT'!B1886)</f>
        <v/>
      </c>
      <c r="C1885" t="str">
        <f>IF('NEW ACCOUNT'!A1886="","",'NEW ACCOUNT'!C1886)</f>
        <v/>
      </c>
      <c r="D1885" t="str">
        <f>IF('NEW ACCOUNT'!A1886="","",'NEW ACCOUNT'!D1886)</f>
        <v/>
      </c>
      <c r="E1885" t="str">
        <f>IF('NEW ACCOUNT'!A1886="","",'NEW ACCOUNT'!E1886)</f>
        <v/>
      </c>
      <c r="F1885" t="str">
        <f>IF('NEW ACCOUNT'!A1886="","",'NEW ACCOUNT'!F1886)</f>
        <v/>
      </c>
      <c r="G1885" t="str">
        <f>IF('NEW ACCOUNT'!A1886="","",'NEW ACCOUNT'!G1886)</f>
        <v/>
      </c>
      <c r="H1885" t="str">
        <f>IF('NEW ACCOUNT'!A1886="","",'NEW ACCOUNT'!H1886)</f>
        <v/>
      </c>
      <c r="I1885" t="str">
        <f>IF('NEW ACCOUNT'!A1886="","",'NEW ACCOUNT'!I1886)</f>
        <v/>
      </c>
      <c r="J1885" t="str">
        <f>IF('NEW ACCOUNT'!A1886="","",'NEW ACCOUNT'!J1886)</f>
        <v/>
      </c>
      <c r="K1885" t="str">
        <f>IFERROR(IF(A1885="","",SUMIF(DB_Savings!$A:$A,A1885,DB_Savings!$F:$F)),"")</f>
        <v/>
      </c>
      <c r="L1885" t="str">
        <f>IFERROR(IF(A1885="","",SUMIF(DB_Withdrawals!$A:$A,A1885,DB_Withdrawals!$G:$G)),"")</f>
        <v/>
      </c>
      <c r="M1885" t="str">
        <f>IFERROR(IF(A1885="","",IFERROR(VALUE(H1885),0)+IFERROR(SUMIF(DB_Savings!$A:$A,A1885,DB_Savings!$F:$F),0)-IFERROR(SUMIF(DB_Withdrawals!$A:$A,A1885,DB_Withdrawals!$G:$G),0)),"")</f>
        <v/>
      </c>
      <c r="N1885" t="str">
        <f>IFERROR(IF(A1885="","",MAX(0,M1885-System_Config!$B$9)),"")</f>
        <v/>
      </c>
    </row>
    <row r="1886" spans="1:14" ht="15" customHeight="1" x14ac:dyDescent="0.25">
      <c r="A1886" t="str">
        <f>'NEW ACCOUNT'!A1887</f>
        <v/>
      </c>
      <c r="B1886" t="str">
        <f>IF('NEW ACCOUNT'!A1887="","",'NEW ACCOUNT'!B1887)</f>
        <v/>
      </c>
      <c r="C1886" t="str">
        <f>IF('NEW ACCOUNT'!A1887="","",'NEW ACCOUNT'!C1887)</f>
        <v/>
      </c>
      <c r="D1886" t="str">
        <f>IF('NEW ACCOUNT'!A1887="","",'NEW ACCOUNT'!D1887)</f>
        <v/>
      </c>
      <c r="E1886" t="str">
        <f>IF('NEW ACCOUNT'!A1887="","",'NEW ACCOUNT'!E1887)</f>
        <v/>
      </c>
      <c r="F1886" t="str">
        <f>IF('NEW ACCOUNT'!A1887="","",'NEW ACCOUNT'!F1887)</f>
        <v/>
      </c>
      <c r="G1886" t="str">
        <f>IF('NEW ACCOUNT'!A1887="","",'NEW ACCOUNT'!G1887)</f>
        <v/>
      </c>
      <c r="H1886" t="str">
        <f>IF('NEW ACCOUNT'!A1887="","",'NEW ACCOUNT'!H1887)</f>
        <v/>
      </c>
      <c r="I1886" t="str">
        <f>IF('NEW ACCOUNT'!A1887="","",'NEW ACCOUNT'!I1887)</f>
        <v/>
      </c>
      <c r="J1886" t="str">
        <f>IF('NEW ACCOUNT'!A1887="","",'NEW ACCOUNT'!J1887)</f>
        <v/>
      </c>
      <c r="K1886" t="str">
        <f>IFERROR(IF(A1886="","",SUMIF(DB_Savings!$A:$A,A1886,DB_Savings!$F:$F)),"")</f>
        <v/>
      </c>
      <c r="L1886" t="str">
        <f>IFERROR(IF(A1886="","",SUMIF(DB_Withdrawals!$A:$A,A1886,DB_Withdrawals!$G:$G)),"")</f>
        <v/>
      </c>
      <c r="M1886" t="str">
        <f>IFERROR(IF(A1886="","",IFERROR(VALUE(H1886),0)+IFERROR(SUMIF(DB_Savings!$A:$A,A1886,DB_Savings!$F:$F),0)-IFERROR(SUMIF(DB_Withdrawals!$A:$A,A1886,DB_Withdrawals!$G:$G),0)),"")</f>
        <v/>
      </c>
      <c r="N1886" t="str">
        <f>IFERROR(IF(A1886="","",MAX(0,M1886-System_Config!$B$9)),"")</f>
        <v/>
      </c>
    </row>
    <row r="1887" spans="1:14" ht="15" customHeight="1" x14ac:dyDescent="0.25">
      <c r="A1887" t="str">
        <f>'NEW ACCOUNT'!A1888</f>
        <v/>
      </c>
      <c r="B1887" t="str">
        <f>IF('NEW ACCOUNT'!A1888="","",'NEW ACCOUNT'!B1888)</f>
        <v/>
      </c>
      <c r="C1887" t="str">
        <f>IF('NEW ACCOUNT'!A1888="","",'NEW ACCOUNT'!C1888)</f>
        <v/>
      </c>
      <c r="D1887" t="str">
        <f>IF('NEW ACCOUNT'!A1888="","",'NEW ACCOUNT'!D1888)</f>
        <v/>
      </c>
      <c r="E1887" t="str">
        <f>IF('NEW ACCOUNT'!A1888="","",'NEW ACCOUNT'!E1888)</f>
        <v/>
      </c>
      <c r="F1887" t="str">
        <f>IF('NEW ACCOUNT'!A1888="","",'NEW ACCOUNT'!F1888)</f>
        <v/>
      </c>
      <c r="G1887" t="str">
        <f>IF('NEW ACCOUNT'!A1888="","",'NEW ACCOUNT'!G1888)</f>
        <v/>
      </c>
      <c r="H1887" t="str">
        <f>IF('NEW ACCOUNT'!A1888="","",'NEW ACCOUNT'!H1888)</f>
        <v/>
      </c>
      <c r="I1887" t="str">
        <f>IF('NEW ACCOUNT'!A1888="","",'NEW ACCOUNT'!I1888)</f>
        <v/>
      </c>
      <c r="J1887" t="str">
        <f>IF('NEW ACCOUNT'!A1888="","",'NEW ACCOUNT'!J1888)</f>
        <v/>
      </c>
      <c r="K1887" t="str">
        <f>IFERROR(IF(A1887="","",SUMIF(DB_Savings!$A:$A,A1887,DB_Savings!$F:$F)),"")</f>
        <v/>
      </c>
      <c r="L1887" t="str">
        <f>IFERROR(IF(A1887="","",SUMIF(DB_Withdrawals!$A:$A,A1887,DB_Withdrawals!$G:$G)),"")</f>
        <v/>
      </c>
      <c r="M1887" t="str">
        <f>IFERROR(IF(A1887="","",IFERROR(VALUE(H1887),0)+IFERROR(SUMIF(DB_Savings!$A:$A,A1887,DB_Savings!$F:$F),0)-IFERROR(SUMIF(DB_Withdrawals!$A:$A,A1887,DB_Withdrawals!$G:$G),0)),"")</f>
        <v/>
      </c>
      <c r="N1887" t="str">
        <f>IFERROR(IF(A1887="","",MAX(0,M1887-System_Config!$B$9)),"")</f>
        <v/>
      </c>
    </row>
    <row r="1888" spans="1:14" ht="15" customHeight="1" x14ac:dyDescent="0.25">
      <c r="A1888" t="str">
        <f>'NEW ACCOUNT'!A1889</f>
        <v/>
      </c>
      <c r="B1888" t="str">
        <f>IF('NEW ACCOUNT'!A1889="","",'NEW ACCOUNT'!B1889)</f>
        <v/>
      </c>
      <c r="C1888" t="str">
        <f>IF('NEW ACCOUNT'!A1889="","",'NEW ACCOUNT'!C1889)</f>
        <v/>
      </c>
      <c r="D1888" t="str">
        <f>IF('NEW ACCOUNT'!A1889="","",'NEW ACCOUNT'!D1889)</f>
        <v/>
      </c>
      <c r="E1888" t="str">
        <f>IF('NEW ACCOUNT'!A1889="","",'NEW ACCOUNT'!E1889)</f>
        <v/>
      </c>
      <c r="F1888" t="str">
        <f>IF('NEW ACCOUNT'!A1889="","",'NEW ACCOUNT'!F1889)</f>
        <v/>
      </c>
      <c r="G1888" t="str">
        <f>IF('NEW ACCOUNT'!A1889="","",'NEW ACCOUNT'!G1889)</f>
        <v/>
      </c>
      <c r="H1888" t="str">
        <f>IF('NEW ACCOUNT'!A1889="","",'NEW ACCOUNT'!H1889)</f>
        <v/>
      </c>
      <c r="I1888" t="str">
        <f>IF('NEW ACCOUNT'!A1889="","",'NEW ACCOUNT'!I1889)</f>
        <v/>
      </c>
      <c r="J1888" t="str">
        <f>IF('NEW ACCOUNT'!A1889="","",'NEW ACCOUNT'!J1889)</f>
        <v/>
      </c>
      <c r="K1888" t="str">
        <f>IFERROR(IF(A1888="","",SUMIF(DB_Savings!$A:$A,A1888,DB_Savings!$F:$F)),"")</f>
        <v/>
      </c>
      <c r="L1888" t="str">
        <f>IFERROR(IF(A1888="","",SUMIF(DB_Withdrawals!$A:$A,A1888,DB_Withdrawals!$G:$G)),"")</f>
        <v/>
      </c>
      <c r="M1888" t="str">
        <f>IFERROR(IF(A1888="","",IFERROR(VALUE(H1888),0)+IFERROR(SUMIF(DB_Savings!$A:$A,A1888,DB_Savings!$F:$F),0)-IFERROR(SUMIF(DB_Withdrawals!$A:$A,A1888,DB_Withdrawals!$G:$G),0)),"")</f>
        <v/>
      </c>
      <c r="N1888" t="str">
        <f>IFERROR(IF(A1888="","",MAX(0,M1888-System_Config!$B$9)),"")</f>
        <v/>
      </c>
    </row>
    <row r="1889" spans="1:14" ht="15" customHeight="1" x14ac:dyDescent="0.25">
      <c r="A1889" t="str">
        <f>'NEW ACCOUNT'!A1890</f>
        <v/>
      </c>
      <c r="B1889" t="str">
        <f>IF('NEW ACCOUNT'!A1890="","",'NEW ACCOUNT'!B1890)</f>
        <v/>
      </c>
      <c r="C1889" t="str">
        <f>IF('NEW ACCOUNT'!A1890="","",'NEW ACCOUNT'!C1890)</f>
        <v/>
      </c>
      <c r="D1889" t="str">
        <f>IF('NEW ACCOUNT'!A1890="","",'NEW ACCOUNT'!D1890)</f>
        <v/>
      </c>
      <c r="E1889" t="str">
        <f>IF('NEW ACCOUNT'!A1890="","",'NEW ACCOUNT'!E1890)</f>
        <v/>
      </c>
      <c r="F1889" t="str">
        <f>IF('NEW ACCOUNT'!A1890="","",'NEW ACCOUNT'!F1890)</f>
        <v/>
      </c>
      <c r="G1889" t="str">
        <f>IF('NEW ACCOUNT'!A1890="","",'NEW ACCOUNT'!G1890)</f>
        <v/>
      </c>
      <c r="H1889" t="str">
        <f>IF('NEW ACCOUNT'!A1890="","",'NEW ACCOUNT'!H1890)</f>
        <v/>
      </c>
      <c r="I1889" t="str">
        <f>IF('NEW ACCOUNT'!A1890="","",'NEW ACCOUNT'!I1890)</f>
        <v/>
      </c>
      <c r="J1889" t="str">
        <f>IF('NEW ACCOUNT'!A1890="","",'NEW ACCOUNT'!J1890)</f>
        <v/>
      </c>
      <c r="K1889" t="str">
        <f>IFERROR(IF(A1889="","",SUMIF(DB_Savings!$A:$A,A1889,DB_Savings!$F:$F)),"")</f>
        <v/>
      </c>
      <c r="L1889" t="str">
        <f>IFERROR(IF(A1889="","",SUMIF(DB_Withdrawals!$A:$A,A1889,DB_Withdrawals!$G:$G)),"")</f>
        <v/>
      </c>
      <c r="M1889" t="str">
        <f>IFERROR(IF(A1889="","",IFERROR(VALUE(H1889),0)+IFERROR(SUMIF(DB_Savings!$A:$A,A1889,DB_Savings!$F:$F),0)-IFERROR(SUMIF(DB_Withdrawals!$A:$A,A1889,DB_Withdrawals!$G:$G),0)),"")</f>
        <v/>
      </c>
      <c r="N1889" t="str">
        <f>IFERROR(IF(A1889="","",MAX(0,M1889-System_Config!$B$9)),"")</f>
        <v/>
      </c>
    </row>
    <row r="1890" spans="1:14" ht="15" customHeight="1" x14ac:dyDescent="0.25">
      <c r="A1890" t="str">
        <f>'NEW ACCOUNT'!A1891</f>
        <v/>
      </c>
      <c r="B1890" t="str">
        <f>IF('NEW ACCOUNT'!A1891="","",'NEW ACCOUNT'!B1891)</f>
        <v/>
      </c>
      <c r="C1890" t="str">
        <f>IF('NEW ACCOUNT'!A1891="","",'NEW ACCOUNT'!C1891)</f>
        <v/>
      </c>
      <c r="D1890" t="str">
        <f>IF('NEW ACCOUNT'!A1891="","",'NEW ACCOUNT'!D1891)</f>
        <v/>
      </c>
      <c r="E1890" t="str">
        <f>IF('NEW ACCOUNT'!A1891="","",'NEW ACCOUNT'!E1891)</f>
        <v/>
      </c>
      <c r="F1890" t="str">
        <f>IF('NEW ACCOUNT'!A1891="","",'NEW ACCOUNT'!F1891)</f>
        <v/>
      </c>
      <c r="G1890" t="str">
        <f>IF('NEW ACCOUNT'!A1891="","",'NEW ACCOUNT'!G1891)</f>
        <v/>
      </c>
      <c r="H1890" t="str">
        <f>IF('NEW ACCOUNT'!A1891="","",'NEW ACCOUNT'!H1891)</f>
        <v/>
      </c>
      <c r="I1890" t="str">
        <f>IF('NEW ACCOUNT'!A1891="","",'NEW ACCOUNT'!I1891)</f>
        <v/>
      </c>
      <c r="J1890" t="str">
        <f>IF('NEW ACCOUNT'!A1891="","",'NEW ACCOUNT'!J1891)</f>
        <v/>
      </c>
      <c r="K1890" t="str">
        <f>IFERROR(IF(A1890="","",SUMIF(DB_Savings!$A:$A,A1890,DB_Savings!$F:$F)),"")</f>
        <v/>
      </c>
      <c r="L1890" t="str">
        <f>IFERROR(IF(A1890="","",SUMIF(DB_Withdrawals!$A:$A,A1890,DB_Withdrawals!$G:$G)),"")</f>
        <v/>
      </c>
      <c r="M1890" t="str">
        <f>IFERROR(IF(A1890="","",IFERROR(VALUE(H1890),0)+IFERROR(SUMIF(DB_Savings!$A:$A,A1890,DB_Savings!$F:$F),0)-IFERROR(SUMIF(DB_Withdrawals!$A:$A,A1890,DB_Withdrawals!$G:$G),0)),"")</f>
        <v/>
      </c>
      <c r="N1890" t="str">
        <f>IFERROR(IF(A1890="","",MAX(0,M1890-System_Config!$B$9)),"")</f>
        <v/>
      </c>
    </row>
    <row r="1891" spans="1:14" ht="15" customHeight="1" x14ac:dyDescent="0.25">
      <c r="A1891" t="str">
        <f>'NEW ACCOUNT'!A1892</f>
        <v/>
      </c>
      <c r="B1891" t="str">
        <f>IF('NEW ACCOUNT'!A1892="","",'NEW ACCOUNT'!B1892)</f>
        <v/>
      </c>
      <c r="C1891" t="str">
        <f>IF('NEW ACCOUNT'!A1892="","",'NEW ACCOUNT'!C1892)</f>
        <v/>
      </c>
      <c r="D1891" t="str">
        <f>IF('NEW ACCOUNT'!A1892="","",'NEW ACCOUNT'!D1892)</f>
        <v/>
      </c>
      <c r="E1891" t="str">
        <f>IF('NEW ACCOUNT'!A1892="","",'NEW ACCOUNT'!E1892)</f>
        <v/>
      </c>
      <c r="F1891" t="str">
        <f>IF('NEW ACCOUNT'!A1892="","",'NEW ACCOUNT'!F1892)</f>
        <v/>
      </c>
      <c r="G1891" t="str">
        <f>IF('NEW ACCOUNT'!A1892="","",'NEW ACCOUNT'!G1892)</f>
        <v/>
      </c>
      <c r="H1891" t="str">
        <f>IF('NEW ACCOUNT'!A1892="","",'NEW ACCOUNT'!H1892)</f>
        <v/>
      </c>
      <c r="I1891" t="str">
        <f>IF('NEW ACCOUNT'!A1892="","",'NEW ACCOUNT'!I1892)</f>
        <v/>
      </c>
      <c r="J1891" t="str">
        <f>IF('NEW ACCOUNT'!A1892="","",'NEW ACCOUNT'!J1892)</f>
        <v/>
      </c>
      <c r="K1891" t="str">
        <f>IFERROR(IF(A1891="","",SUMIF(DB_Savings!$A:$A,A1891,DB_Savings!$F:$F)),"")</f>
        <v/>
      </c>
      <c r="L1891" t="str">
        <f>IFERROR(IF(A1891="","",SUMIF(DB_Withdrawals!$A:$A,A1891,DB_Withdrawals!$G:$G)),"")</f>
        <v/>
      </c>
      <c r="M1891" t="str">
        <f>IFERROR(IF(A1891="","",IFERROR(VALUE(H1891),0)+IFERROR(SUMIF(DB_Savings!$A:$A,A1891,DB_Savings!$F:$F),0)-IFERROR(SUMIF(DB_Withdrawals!$A:$A,A1891,DB_Withdrawals!$G:$G),0)),"")</f>
        <v/>
      </c>
      <c r="N1891" t="str">
        <f>IFERROR(IF(A1891="","",MAX(0,M1891-System_Config!$B$9)),"")</f>
        <v/>
      </c>
    </row>
    <row r="1892" spans="1:14" ht="15" customHeight="1" x14ac:dyDescent="0.25">
      <c r="A1892" t="str">
        <f>'NEW ACCOUNT'!A1893</f>
        <v/>
      </c>
      <c r="B1892" t="str">
        <f>IF('NEW ACCOUNT'!A1893="","",'NEW ACCOUNT'!B1893)</f>
        <v/>
      </c>
      <c r="C1892" t="str">
        <f>IF('NEW ACCOUNT'!A1893="","",'NEW ACCOUNT'!C1893)</f>
        <v/>
      </c>
      <c r="D1892" t="str">
        <f>IF('NEW ACCOUNT'!A1893="","",'NEW ACCOUNT'!D1893)</f>
        <v/>
      </c>
      <c r="E1892" t="str">
        <f>IF('NEW ACCOUNT'!A1893="","",'NEW ACCOUNT'!E1893)</f>
        <v/>
      </c>
      <c r="F1892" t="str">
        <f>IF('NEW ACCOUNT'!A1893="","",'NEW ACCOUNT'!F1893)</f>
        <v/>
      </c>
      <c r="G1892" t="str">
        <f>IF('NEW ACCOUNT'!A1893="","",'NEW ACCOUNT'!G1893)</f>
        <v/>
      </c>
      <c r="H1892" t="str">
        <f>IF('NEW ACCOUNT'!A1893="","",'NEW ACCOUNT'!H1893)</f>
        <v/>
      </c>
      <c r="I1892" t="str">
        <f>IF('NEW ACCOUNT'!A1893="","",'NEW ACCOUNT'!I1893)</f>
        <v/>
      </c>
      <c r="J1892" t="str">
        <f>IF('NEW ACCOUNT'!A1893="","",'NEW ACCOUNT'!J1893)</f>
        <v/>
      </c>
      <c r="K1892" t="str">
        <f>IFERROR(IF(A1892="","",SUMIF(DB_Savings!$A:$A,A1892,DB_Savings!$F:$F)),"")</f>
        <v/>
      </c>
      <c r="L1892" t="str">
        <f>IFERROR(IF(A1892="","",SUMIF(DB_Withdrawals!$A:$A,A1892,DB_Withdrawals!$G:$G)),"")</f>
        <v/>
      </c>
      <c r="M1892" t="str">
        <f>IFERROR(IF(A1892="","",IFERROR(VALUE(H1892),0)+IFERROR(SUMIF(DB_Savings!$A:$A,A1892,DB_Savings!$F:$F),0)-IFERROR(SUMIF(DB_Withdrawals!$A:$A,A1892,DB_Withdrawals!$G:$G),0)),"")</f>
        <v/>
      </c>
      <c r="N1892" t="str">
        <f>IFERROR(IF(A1892="","",MAX(0,M1892-System_Config!$B$9)),"")</f>
        <v/>
      </c>
    </row>
    <row r="1893" spans="1:14" ht="15" customHeight="1" x14ac:dyDescent="0.25">
      <c r="A1893" t="str">
        <f>'NEW ACCOUNT'!A1894</f>
        <v/>
      </c>
      <c r="B1893" t="str">
        <f>IF('NEW ACCOUNT'!A1894="","",'NEW ACCOUNT'!B1894)</f>
        <v/>
      </c>
      <c r="C1893" t="str">
        <f>IF('NEW ACCOUNT'!A1894="","",'NEW ACCOUNT'!C1894)</f>
        <v/>
      </c>
      <c r="D1893" t="str">
        <f>IF('NEW ACCOUNT'!A1894="","",'NEW ACCOUNT'!D1894)</f>
        <v/>
      </c>
      <c r="E1893" t="str">
        <f>IF('NEW ACCOUNT'!A1894="","",'NEW ACCOUNT'!E1894)</f>
        <v/>
      </c>
      <c r="F1893" t="str">
        <f>IF('NEW ACCOUNT'!A1894="","",'NEW ACCOUNT'!F1894)</f>
        <v/>
      </c>
      <c r="G1893" t="str">
        <f>IF('NEW ACCOUNT'!A1894="","",'NEW ACCOUNT'!G1894)</f>
        <v/>
      </c>
      <c r="H1893" t="str">
        <f>IF('NEW ACCOUNT'!A1894="","",'NEW ACCOUNT'!H1894)</f>
        <v/>
      </c>
      <c r="I1893" t="str">
        <f>IF('NEW ACCOUNT'!A1894="","",'NEW ACCOUNT'!I1894)</f>
        <v/>
      </c>
      <c r="J1893" t="str">
        <f>IF('NEW ACCOUNT'!A1894="","",'NEW ACCOUNT'!J1894)</f>
        <v/>
      </c>
      <c r="K1893" t="str">
        <f>IFERROR(IF(A1893="","",SUMIF(DB_Savings!$A:$A,A1893,DB_Savings!$F:$F)),"")</f>
        <v/>
      </c>
      <c r="L1893" t="str">
        <f>IFERROR(IF(A1893="","",SUMIF(DB_Withdrawals!$A:$A,A1893,DB_Withdrawals!$G:$G)),"")</f>
        <v/>
      </c>
      <c r="M1893" t="str">
        <f>IFERROR(IF(A1893="","",IFERROR(VALUE(H1893),0)+IFERROR(SUMIF(DB_Savings!$A:$A,A1893,DB_Savings!$F:$F),0)-IFERROR(SUMIF(DB_Withdrawals!$A:$A,A1893,DB_Withdrawals!$G:$G),0)),"")</f>
        <v/>
      </c>
      <c r="N1893" t="str">
        <f>IFERROR(IF(A1893="","",MAX(0,M1893-System_Config!$B$9)),"")</f>
        <v/>
      </c>
    </row>
    <row r="1894" spans="1:14" ht="15" customHeight="1" x14ac:dyDescent="0.25">
      <c r="A1894" t="str">
        <f>'NEW ACCOUNT'!A1895</f>
        <v/>
      </c>
      <c r="B1894" t="str">
        <f>IF('NEW ACCOUNT'!A1895="","",'NEW ACCOUNT'!B1895)</f>
        <v/>
      </c>
      <c r="C1894" t="str">
        <f>IF('NEW ACCOUNT'!A1895="","",'NEW ACCOUNT'!C1895)</f>
        <v/>
      </c>
      <c r="D1894" t="str">
        <f>IF('NEW ACCOUNT'!A1895="","",'NEW ACCOUNT'!D1895)</f>
        <v/>
      </c>
      <c r="E1894" t="str">
        <f>IF('NEW ACCOUNT'!A1895="","",'NEW ACCOUNT'!E1895)</f>
        <v/>
      </c>
      <c r="F1894" t="str">
        <f>IF('NEW ACCOUNT'!A1895="","",'NEW ACCOUNT'!F1895)</f>
        <v/>
      </c>
      <c r="G1894" t="str">
        <f>IF('NEW ACCOUNT'!A1895="","",'NEW ACCOUNT'!G1895)</f>
        <v/>
      </c>
      <c r="H1894" t="str">
        <f>IF('NEW ACCOUNT'!A1895="","",'NEW ACCOUNT'!H1895)</f>
        <v/>
      </c>
      <c r="I1894" t="str">
        <f>IF('NEW ACCOUNT'!A1895="","",'NEW ACCOUNT'!I1895)</f>
        <v/>
      </c>
      <c r="J1894" t="str">
        <f>IF('NEW ACCOUNT'!A1895="","",'NEW ACCOUNT'!J1895)</f>
        <v/>
      </c>
      <c r="K1894" t="str">
        <f>IFERROR(IF(A1894="","",SUMIF(DB_Savings!$A:$A,A1894,DB_Savings!$F:$F)),"")</f>
        <v/>
      </c>
      <c r="L1894" t="str">
        <f>IFERROR(IF(A1894="","",SUMIF(DB_Withdrawals!$A:$A,A1894,DB_Withdrawals!$G:$G)),"")</f>
        <v/>
      </c>
      <c r="M1894" t="str">
        <f>IFERROR(IF(A1894="","",IFERROR(VALUE(H1894),0)+IFERROR(SUMIF(DB_Savings!$A:$A,A1894,DB_Savings!$F:$F),0)-IFERROR(SUMIF(DB_Withdrawals!$A:$A,A1894,DB_Withdrawals!$G:$G),0)),"")</f>
        <v/>
      </c>
      <c r="N1894" t="str">
        <f>IFERROR(IF(A1894="","",MAX(0,M1894-System_Config!$B$9)),"")</f>
        <v/>
      </c>
    </row>
    <row r="1895" spans="1:14" ht="15" customHeight="1" x14ac:dyDescent="0.25">
      <c r="A1895" t="str">
        <f>'NEW ACCOUNT'!A1896</f>
        <v/>
      </c>
      <c r="B1895" t="str">
        <f>IF('NEW ACCOUNT'!A1896="","",'NEW ACCOUNT'!B1896)</f>
        <v/>
      </c>
      <c r="C1895" t="str">
        <f>IF('NEW ACCOUNT'!A1896="","",'NEW ACCOUNT'!C1896)</f>
        <v/>
      </c>
      <c r="D1895" t="str">
        <f>IF('NEW ACCOUNT'!A1896="","",'NEW ACCOUNT'!D1896)</f>
        <v/>
      </c>
      <c r="E1895" t="str">
        <f>IF('NEW ACCOUNT'!A1896="","",'NEW ACCOUNT'!E1896)</f>
        <v/>
      </c>
      <c r="F1895" t="str">
        <f>IF('NEW ACCOUNT'!A1896="","",'NEW ACCOUNT'!F1896)</f>
        <v/>
      </c>
      <c r="G1895" t="str">
        <f>IF('NEW ACCOUNT'!A1896="","",'NEW ACCOUNT'!G1896)</f>
        <v/>
      </c>
      <c r="H1895" t="str">
        <f>IF('NEW ACCOUNT'!A1896="","",'NEW ACCOUNT'!H1896)</f>
        <v/>
      </c>
      <c r="I1895" t="str">
        <f>IF('NEW ACCOUNT'!A1896="","",'NEW ACCOUNT'!I1896)</f>
        <v/>
      </c>
      <c r="J1895" t="str">
        <f>IF('NEW ACCOUNT'!A1896="","",'NEW ACCOUNT'!J1896)</f>
        <v/>
      </c>
      <c r="K1895" t="str">
        <f>IFERROR(IF(A1895="","",SUMIF(DB_Savings!$A:$A,A1895,DB_Savings!$F:$F)),"")</f>
        <v/>
      </c>
      <c r="L1895" t="str">
        <f>IFERROR(IF(A1895="","",SUMIF(DB_Withdrawals!$A:$A,A1895,DB_Withdrawals!$G:$G)),"")</f>
        <v/>
      </c>
      <c r="M1895" t="str">
        <f>IFERROR(IF(A1895="","",IFERROR(VALUE(H1895),0)+IFERROR(SUMIF(DB_Savings!$A:$A,A1895,DB_Savings!$F:$F),0)-IFERROR(SUMIF(DB_Withdrawals!$A:$A,A1895,DB_Withdrawals!$G:$G),0)),"")</f>
        <v/>
      </c>
      <c r="N1895" t="str">
        <f>IFERROR(IF(A1895="","",MAX(0,M1895-System_Config!$B$9)),"")</f>
        <v/>
      </c>
    </row>
    <row r="1896" spans="1:14" ht="15" customHeight="1" x14ac:dyDescent="0.25">
      <c r="A1896" t="str">
        <f>'NEW ACCOUNT'!A1897</f>
        <v/>
      </c>
      <c r="B1896" t="str">
        <f>IF('NEW ACCOUNT'!A1897="","",'NEW ACCOUNT'!B1897)</f>
        <v/>
      </c>
      <c r="C1896" t="str">
        <f>IF('NEW ACCOUNT'!A1897="","",'NEW ACCOUNT'!C1897)</f>
        <v/>
      </c>
      <c r="D1896" t="str">
        <f>IF('NEW ACCOUNT'!A1897="","",'NEW ACCOUNT'!D1897)</f>
        <v/>
      </c>
      <c r="E1896" t="str">
        <f>IF('NEW ACCOUNT'!A1897="","",'NEW ACCOUNT'!E1897)</f>
        <v/>
      </c>
      <c r="F1896" t="str">
        <f>IF('NEW ACCOUNT'!A1897="","",'NEW ACCOUNT'!F1897)</f>
        <v/>
      </c>
      <c r="G1896" t="str">
        <f>IF('NEW ACCOUNT'!A1897="","",'NEW ACCOUNT'!G1897)</f>
        <v/>
      </c>
      <c r="H1896" t="str">
        <f>IF('NEW ACCOUNT'!A1897="","",'NEW ACCOUNT'!H1897)</f>
        <v/>
      </c>
      <c r="I1896" t="str">
        <f>IF('NEW ACCOUNT'!A1897="","",'NEW ACCOUNT'!I1897)</f>
        <v/>
      </c>
      <c r="J1896" t="str">
        <f>IF('NEW ACCOUNT'!A1897="","",'NEW ACCOUNT'!J1897)</f>
        <v/>
      </c>
      <c r="K1896" t="str">
        <f>IFERROR(IF(A1896="","",SUMIF(DB_Savings!$A:$A,A1896,DB_Savings!$F:$F)),"")</f>
        <v/>
      </c>
      <c r="L1896" t="str">
        <f>IFERROR(IF(A1896="","",SUMIF(DB_Withdrawals!$A:$A,A1896,DB_Withdrawals!$G:$G)),"")</f>
        <v/>
      </c>
      <c r="M1896" t="str">
        <f>IFERROR(IF(A1896="","",IFERROR(VALUE(H1896),0)+IFERROR(SUMIF(DB_Savings!$A:$A,A1896,DB_Savings!$F:$F),0)-IFERROR(SUMIF(DB_Withdrawals!$A:$A,A1896,DB_Withdrawals!$G:$G),0)),"")</f>
        <v/>
      </c>
      <c r="N1896" t="str">
        <f>IFERROR(IF(A1896="","",MAX(0,M1896-System_Config!$B$9)),"")</f>
        <v/>
      </c>
    </row>
    <row r="1897" spans="1:14" ht="15" customHeight="1" x14ac:dyDescent="0.25">
      <c r="A1897" t="str">
        <f>'NEW ACCOUNT'!A1898</f>
        <v/>
      </c>
      <c r="B1897" t="str">
        <f>IF('NEW ACCOUNT'!A1898="","",'NEW ACCOUNT'!B1898)</f>
        <v/>
      </c>
      <c r="C1897" t="str">
        <f>IF('NEW ACCOUNT'!A1898="","",'NEW ACCOUNT'!C1898)</f>
        <v/>
      </c>
      <c r="D1897" t="str">
        <f>IF('NEW ACCOUNT'!A1898="","",'NEW ACCOUNT'!D1898)</f>
        <v/>
      </c>
      <c r="E1897" t="str">
        <f>IF('NEW ACCOUNT'!A1898="","",'NEW ACCOUNT'!E1898)</f>
        <v/>
      </c>
      <c r="F1897" t="str">
        <f>IF('NEW ACCOUNT'!A1898="","",'NEW ACCOUNT'!F1898)</f>
        <v/>
      </c>
      <c r="G1897" t="str">
        <f>IF('NEW ACCOUNT'!A1898="","",'NEW ACCOUNT'!G1898)</f>
        <v/>
      </c>
      <c r="H1897" t="str">
        <f>IF('NEW ACCOUNT'!A1898="","",'NEW ACCOUNT'!H1898)</f>
        <v/>
      </c>
      <c r="I1897" t="str">
        <f>IF('NEW ACCOUNT'!A1898="","",'NEW ACCOUNT'!I1898)</f>
        <v/>
      </c>
      <c r="J1897" t="str">
        <f>IF('NEW ACCOUNT'!A1898="","",'NEW ACCOUNT'!J1898)</f>
        <v/>
      </c>
      <c r="K1897" t="str">
        <f>IFERROR(IF(A1897="","",SUMIF(DB_Savings!$A:$A,A1897,DB_Savings!$F:$F)),"")</f>
        <v/>
      </c>
      <c r="L1897" t="str">
        <f>IFERROR(IF(A1897="","",SUMIF(DB_Withdrawals!$A:$A,A1897,DB_Withdrawals!$G:$G)),"")</f>
        <v/>
      </c>
      <c r="M1897" t="str">
        <f>IFERROR(IF(A1897="","",IFERROR(VALUE(H1897),0)+IFERROR(SUMIF(DB_Savings!$A:$A,A1897,DB_Savings!$F:$F),0)-IFERROR(SUMIF(DB_Withdrawals!$A:$A,A1897,DB_Withdrawals!$G:$G),0)),"")</f>
        <v/>
      </c>
      <c r="N1897" t="str">
        <f>IFERROR(IF(A1897="","",MAX(0,M1897-System_Config!$B$9)),"")</f>
        <v/>
      </c>
    </row>
    <row r="1898" spans="1:14" ht="15" customHeight="1" x14ac:dyDescent="0.25">
      <c r="A1898" t="str">
        <f>'NEW ACCOUNT'!A1899</f>
        <v/>
      </c>
      <c r="B1898" t="str">
        <f>IF('NEW ACCOUNT'!A1899="","",'NEW ACCOUNT'!B1899)</f>
        <v/>
      </c>
      <c r="C1898" t="str">
        <f>IF('NEW ACCOUNT'!A1899="","",'NEW ACCOUNT'!C1899)</f>
        <v/>
      </c>
      <c r="D1898" t="str">
        <f>IF('NEW ACCOUNT'!A1899="","",'NEW ACCOUNT'!D1899)</f>
        <v/>
      </c>
      <c r="E1898" t="str">
        <f>IF('NEW ACCOUNT'!A1899="","",'NEW ACCOUNT'!E1899)</f>
        <v/>
      </c>
      <c r="F1898" t="str">
        <f>IF('NEW ACCOUNT'!A1899="","",'NEW ACCOUNT'!F1899)</f>
        <v/>
      </c>
      <c r="G1898" t="str">
        <f>IF('NEW ACCOUNT'!A1899="","",'NEW ACCOUNT'!G1899)</f>
        <v/>
      </c>
      <c r="H1898" t="str">
        <f>IF('NEW ACCOUNT'!A1899="","",'NEW ACCOUNT'!H1899)</f>
        <v/>
      </c>
      <c r="I1898" t="str">
        <f>IF('NEW ACCOUNT'!A1899="","",'NEW ACCOUNT'!I1899)</f>
        <v/>
      </c>
      <c r="J1898" t="str">
        <f>IF('NEW ACCOUNT'!A1899="","",'NEW ACCOUNT'!J1899)</f>
        <v/>
      </c>
      <c r="K1898" t="str">
        <f>IFERROR(IF(A1898="","",SUMIF(DB_Savings!$A:$A,A1898,DB_Savings!$F:$F)),"")</f>
        <v/>
      </c>
      <c r="L1898" t="str">
        <f>IFERROR(IF(A1898="","",SUMIF(DB_Withdrawals!$A:$A,A1898,DB_Withdrawals!$G:$G)),"")</f>
        <v/>
      </c>
      <c r="M1898" t="str">
        <f>IFERROR(IF(A1898="","",IFERROR(VALUE(H1898),0)+IFERROR(SUMIF(DB_Savings!$A:$A,A1898,DB_Savings!$F:$F),0)-IFERROR(SUMIF(DB_Withdrawals!$A:$A,A1898,DB_Withdrawals!$G:$G),0)),"")</f>
        <v/>
      </c>
      <c r="N1898" t="str">
        <f>IFERROR(IF(A1898="","",MAX(0,M1898-System_Config!$B$9)),"")</f>
        <v/>
      </c>
    </row>
    <row r="1899" spans="1:14" ht="15" customHeight="1" x14ac:dyDescent="0.25">
      <c r="A1899" t="str">
        <f>'NEW ACCOUNT'!A1900</f>
        <v/>
      </c>
      <c r="B1899" t="str">
        <f>IF('NEW ACCOUNT'!A1900="","",'NEW ACCOUNT'!B1900)</f>
        <v/>
      </c>
      <c r="C1899" t="str">
        <f>IF('NEW ACCOUNT'!A1900="","",'NEW ACCOUNT'!C1900)</f>
        <v/>
      </c>
      <c r="D1899" t="str">
        <f>IF('NEW ACCOUNT'!A1900="","",'NEW ACCOUNT'!D1900)</f>
        <v/>
      </c>
      <c r="E1899" t="str">
        <f>IF('NEW ACCOUNT'!A1900="","",'NEW ACCOUNT'!E1900)</f>
        <v/>
      </c>
      <c r="F1899" t="str">
        <f>IF('NEW ACCOUNT'!A1900="","",'NEW ACCOUNT'!F1900)</f>
        <v/>
      </c>
      <c r="G1899" t="str">
        <f>IF('NEW ACCOUNT'!A1900="","",'NEW ACCOUNT'!G1900)</f>
        <v/>
      </c>
      <c r="H1899" t="str">
        <f>IF('NEW ACCOUNT'!A1900="","",'NEW ACCOUNT'!H1900)</f>
        <v/>
      </c>
      <c r="I1899" t="str">
        <f>IF('NEW ACCOUNT'!A1900="","",'NEW ACCOUNT'!I1900)</f>
        <v/>
      </c>
      <c r="J1899" t="str">
        <f>IF('NEW ACCOUNT'!A1900="","",'NEW ACCOUNT'!J1900)</f>
        <v/>
      </c>
      <c r="K1899" t="str">
        <f>IFERROR(IF(A1899="","",SUMIF(DB_Savings!$A:$A,A1899,DB_Savings!$F:$F)),"")</f>
        <v/>
      </c>
      <c r="L1899" t="str">
        <f>IFERROR(IF(A1899="","",SUMIF(DB_Withdrawals!$A:$A,A1899,DB_Withdrawals!$G:$G)),"")</f>
        <v/>
      </c>
      <c r="M1899" t="str">
        <f>IFERROR(IF(A1899="","",IFERROR(VALUE(H1899),0)+IFERROR(SUMIF(DB_Savings!$A:$A,A1899,DB_Savings!$F:$F),0)-IFERROR(SUMIF(DB_Withdrawals!$A:$A,A1899,DB_Withdrawals!$G:$G),0)),"")</f>
        <v/>
      </c>
      <c r="N1899" t="str">
        <f>IFERROR(IF(A1899="","",MAX(0,M1899-System_Config!$B$9)),"")</f>
        <v/>
      </c>
    </row>
    <row r="1900" spans="1:14" ht="15" customHeight="1" x14ac:dyDescent="0.25">
      <c r="A1900" t="str">
        <f>'NEW ACCOUNT'!A1901</f>
        <v/>
      </c>
      <c r="B1900" t="str">
        <f>IF('NEW ACCOUNT'!A1901="","",'NEW ACCOUNT'!B1901)</f>
        <v/>
      </c>
      <c r="C1900" t="str">
        <f>IF('NEW ACCOUNT'!A1901="","",'NEW ACCOUNT'!C1901)</f>
        <v/>
      </c>
      <c r="D1900" t="str">
        <f>IF('NEW ACCOUNT'!A1901="","",'NEW ACCOUNT'!D1901)</f>
        <v/>
      </c>
      <c r="E1900" t="str">
        <f>IF('NEW ACCOUNT'!A1901="","",'NEW ACCOUNT'!E1901)</f>
        <v/>
      </c>
      <c r="F1900" t="str">
        <f>IF('NEW ACCOUNT'!A1901="","",'NEW ACCOUNT'!F1901)</f>
        <v/>
      </c>
      <c r="G1900" t="str">
        <f>IF('NEW ACCOUNT'!A1901="","",'NEW ACCOUNT'!G1901)</f>
        <v/>
      </c>
      <c r="H1900" t="str">
        <f>IF('NEW ACCOUNT'!A1901="","",'NEW ACCOUNT'!H1901)</f>
        <v/>
      </c>
      <c r="I1900" t="str">
        <f>IF('NEW ACCOUNT'!A1901="","",'NEW ACCOUNT'!I1901)</f>
        <v/>
      </c>
      <c r="J1900" t="str">
        <f>IF('NEW ACCOUNT'!A1901="","",'NEW ACCOUNT'!J1901)</f>
        <v/>
      </c>
      <c r="K1900" t="str">
        <f>IFERROR(IF(A1900="","",SUMIF(DB_Savings!$A:$A,A1900,DB_Savings!$F:$F)),"")</f>
        <v/>
      </c>
      <c r="L1900" t="str">
        <f>IFERROR(IF(A1900="","",SUMIF(DB_Withdrawals!$A:$A,A1900,DB_Withdrawals!$G:$G)),"")</f>
        <v/>
      </c>
      <c r="M1900" t="str">
        <f>IFERROR(IF(A1900="","",IFERROR(VALUE(H1900),0)+IFERROR(SUMIF(DB_Savings!$A:$A,A1900,DB_Savings!$F:$F),0)-IFERROR(SUMIF(DB_Withdrawals!$A:$A,A1900,DB_Withdrawals!$G:$G),0)),"")</f>
        <v/>
      </c>
      <c r="N1900" t="str">
        <f>IFERROR(IF(A1900="","",MAX(0,M1900-System_Config!$B$9)),"")</f>
        <v/>
      </c>
    </row>
    <row r="1901" spans="1:14" ht="15" customHeight="1" x14ac:dyDescent="0.25">
      <c r="A1901" t="str">
        <f>'NEW ACCOUNT'!A1902</f>
        <v/>
      </c>
      <c r="B1901" t="str">
        <f>IF('NEW ACCOUNT'!A1902="","",'NEW ACCOUNT'!B1902)</f>
        <v/>
      </c>
      <c r="C1901" t="str">
        <f>IF('NEW ACCOUNT'!A1902="","",'NEW ACCOUNT'!C1902)</f>
        <v/>
      </c>
      <c r="D1901" t="str">
        <f>IF('NEW ACCOUNT'!A1902="","",'NEW ACCOUNT'!D1902)</f>
        <v/>
      </c>
      <c r="E1901" t="str">
        <f>IF('NEW ACCOUNT'!A1902="","",'NEW ACCOUNT'!E1902)</f>
        <v/>
      </c>
      <c r="F1901" t="str">
        <f>IF('NEW ACCOUNT'!A1902="","",'NEW ACCOUNT'!F1902)</f>
        <v/>
      </c>
      <c r="G1901" t="str">
        <f>IF('NEW ACCOUNT'!A1902="","",'NEW ACCOUNT'!G1902)</f>
        <v/>
      </c>
      <c r="H1901" t="str">
        <f>IF('NEW ACCOUNT'!A1902="","",'NEW ACCOUNT'!H1902)</f>
        <v/>
      </c>
      <c r="I1901" t="str">
        <f>IF('NEW ACCOUNT'!A1902="","",'NEW ACCOUNT'!I1902)</f>
        <v/>
      </c>
      <c r="J1901" t="str">
        <f>IF('NEW ACCOUNT'!A1902="","",'NEW ACCOUNT'!J1902)</f>
        <v/>
      </c>
      <c r="K1901" t="str">
        <f>IFERROR(IF(A1901="","",SUMIF(DB_Savings!$A:$A,A1901,DB_Savings!$F:$F)),"")</f>
        <v/>
      </c>
      <c r="L1901" t="str">
        <f>IFERROR(IF(A1901="","",SUMIF(DB_Withdrawals!$A:$A,A1901,DB_Withdrawals!$G:$G)),"")</f>
        <v/>
      </c>
      <c r="M1901" t="str">
        <f>IFERROR(IF(A1901="","",IFERROR(VALUE(H1901),0)+IFERROR(SUMIF(DB_Savings!$A:$A,A1901,DB_Savings!$F:$F),0)-IFERROR(SUMIF(DB_Withdrawals!$A:$A,A1901,DB_Withdrawals!$G:$G),0)),"")</f>
        <v/>
      </c>
      <c r="N1901" t="str">
        <f>IFERROR(IF(A1901="","",MAX(0,M1901-System_Config!$B$9)),"")</f>
        <v/>
      </c>
    </row>
    <row r="1902" spans="1:14" ht="15" customHeight="1" x14ac:dyDescent="0.25">
      <c r="A1902" t="str">
        <f>'NEW ACCOUNT'!A1903</f>
        <v/>
      </c>
      <c r="B1902" t="str">
        <f>IF('NEW ACCOUNT'!A1903="","",'NEW ACCOUNT'!B1903)</f>
        <v/>
      </c>
      <c r="C1902" t="str">
        <f>IF('NEW ACCOUNT'!A1903="","",'NEW ACCOUNT'!C1903)</f>
        <v/>
      </c>
      <c r="D1902" t="str">
        <f>IF('NEW ACCOUNT'!A1903="","",'NEW ACCOUNT'!D1903)</f>
        <v/>
      </c>
      <c r="E1902" t="str">
        <f>IF('NEW ACCOUNT'!A1903="","",'NEW ACCOUNT'!E1903)</f>
        <v/>
      </c>
      <c r="F1902" t="str">
        <f>IF('NEW ACCOUNT'!A1903="","",'NEW ACCOUNT'!F1903)</f>
        <v/>
      </c>
      <c r="G1902" t="str">
        <f>IF('NEW ACCOUNT'!A1903="","",'NEW ACCOUNT'!G1903)</f>
        <v/>
      </c>
      <c r="H1902" t="str">
        <f>IF('NEW ACCOUNT'!A1903="","",'NEW ACCOUNT'!H1903)</f>
        <v/>
      </c>
      <c r="I1902" t="str">
        <f>IF('NEW ACCOUNT'!A1903="","",'NEW ACCOUNT'!I1903)</f>
        <v/>
      </c>
      <c r="J1902" t="str">
        <f>IF('NEW ACCOUNT'!A1903="","",'NEW ACCOUNT'!J1903)</f>
        <v/>
      </c>
      <c r="K1902" t="str">
        <f>IFERROR(IF(A1902="","",SUMIF(DB_Savings!$A:$A,A1902,DB_Savings!$F:$F)),"")</f>
        <v/>
      </c>
      <c r="L1902" t="str">
        <f>IFERROR(IF(A1902="","",SUMIF(DB_Withdrawals!$A:$A,A1902,DB_Withdrawals!$G:$G)),"")</f>
        <v/>
      </c>
      <c r="M1902" t="str">
        <f>IFERROR(IF(A1902="","",IFERROR(VALUE(H1902),0)+IFERROR(SUMIF(DB_Savings!$A:$A,A1902,DB_Savings!$F:$F),0)-IFERROR(SUMIF(DB_Withdrawals!$A:$A,A1902,DB_Withdrawals!$G:$G),0)),"")</f>
        <v/>
      </c>
      <c r="N1902" t="str">
        <f>IFERROR(IF(A1902="","",MAX(0,M1902-System_Config!$B$9)),"")</f>
        <v/>
      </c>
    </row>
    <row r="1903" spans="1:14" ht="15" customHeight="1" x14ac:dyDescent="0.25">
      <c r="A1903" t="str">
        <f>'NEW ACCOUNT'!A1904</f>
        <v/>
      </c>
      <c r="B1903" t="str">
        <f>IF('NEW ACCOUNT'!A1904="","",'NEW ACCOUNT'!B1904)</f>
        <v/>
      </c>
      <c r="C1903" t="str">
        <f>IF('NEW ACCOUNT'!A1904="","",'NEW ACCOUNT'!C1904)</f>
        <v/>
      </c>
      <c r="D1903" t="str">
        <f>IF('NEW ACCOUNT'!A1904="","",'NEW ACCOUNT'!D1904)</f>
        <v/>
      </c>
      <c r="E1903" t="str">
        <f>IF('NEW ACCOUNT'!A1904="","",'NEW ACCOUNT'!E1904)</f>
        <v/>
      </c>
      <c r="F1903" t="str">
        <f>IF('NEW ACCOUNT'!A1904="","",'NEW ACCOUNT'!F1904)</f>
        <v/>
      </c>
      <c r="G1903" t="str">
        <f>IF('NEW ACCOUNT'!A1904="","",'NEW ACCOUNT'!G1904)</f>
        <v/>
      </c>
      <c r="H1903" t="str">
        <f>IF('NEW ACCOUNT'!A1904="","",'NEW ACCOUNT'!H1904)</f>
        <v/>
      </c>
      <c r="I1903" t="str">
        <f>IF('NEW ACCOUNT'!A1904="","",'NEW ACCOUNT'!I1904)</f>
        <v/>
      </c>
      <c r="J1903" t="str">
        <f>IF('NEW ACCOUNT'!A1904="","",'NEW ACCOUNT'!J1904)</f>
        <v/>
      </c>
      <c r="K1903" t="str">
        <f>IFERROR(IF(A1903="","",SUMIF(DB_Savings!$A:$A,A1903,DB_Savings!$F:$F)),"")</f>
        <v/>
      </c>
      <c r="L1903" t="str">
        <f>IFERROR(IF(A1903="","",SUMIF(DB_Withdrawals!$A:$A,A1903,DB_Withdrawals!$G:$G)),"")</f>
        <v/>
      </c>
      <c r="M1903" t="str">
        <f>IFERROR(IF(A1903="","",IFERROR(VALUE(H1903),0)+IFERROR(SUMIF(DB_Savings!$A:$A,A1903,DB_Savings!$F:$F),0)-IFERROR(SUMIF(DB_Withdrawals!$A:$A,A1903,DB_Withdrawals!$G:$G),0)),"")</f>
        <v/>
      </c>
      <c r="N1903" t="str">
        <f>IFERROR(IF(A1903="","",MAX(0,M1903-System_Config!$B$9)),"")</f>
        <v/>
      </c>
    </row>
    <row r="1904" spans="1:14" ht="15" customHeight="1" x14ac:dyDescent="0.25">
      <c r="A1904" t="str">
        <f>'NEW ACCOUNT'!A1905</f>
        <v/>
      </c>
      <c r="B1904" t="str">
        <f>IF('NEW ACCOUNT'!A1905="","",'NEW ACCOUNT'!B1905)</f>
        <v/>
      </c>
      <c r="C1904" t="str">
        <f>IF('NEW ACCOUNT'!A1905="","",'NEW ACCOUNT'!C1905)</f>
        <v/>
      </c>
      <c r="D1904" t="str">
        <f>IF('NEW ACCOUNT'!A1905="","",'NEW ACCOUNT'!D1905)</f>
        <v/>
      </c>
      <c r="E1904" t="str">
        <f>IF('NEW ACCOUNT'!A1905="","",'NEW ACCOUNT'!E1905)</f>
        <v/>
      </c>
      <c r="F1904" t="str">
        <f>IF('NEW ACCOUNT'!A1905="","",'NEW ACCOUNT'!F1905)</f>
        <v/>
      </c>
      <c r="G1904" t="str">
        <f>IF('NEW ACCOUNT'!A1905="","",'NEW ACCOUNT'!G1905)</f>
        <v/>
      </c>
      <c r="H1904" t="str">
        <f>IF('NEW ACCOUNT'!A1905="","",'NEW ACCOUNT'!H1905)</f>
        <v/>
      </c>
      <c r="I1904" t="str">
        <f>IF('NEW ACCOUNT'!A1905="","",'NEW ACCOUNT'!I1905)</f>
        <v/>
      </c>
      <c r="J1904" t="str">
        <f>IF('NEW ACCOUNT'!A1905="","",'NEW ACCOUNT'!J1905)</f>
        <v/>
      </c>
      <c r="K1904" t="str">
        <f>IFERROR(IF(A1904="","",SUMIF(DB_Savings!$A:$A,A1904,DB_Savings!$F:$F)),"")</f>
        <v/>
      </c>
      <c r="L1904" t="str">
        <f>IFERROR(IF(A1904="","",SUMIF(DB_Withdrawals!$A:$A,A1904,DB_Withdrawals!$G:$G)),"")</f>
        <v/>
      </c>
      <c r="M1904" t="str">
        <f>IFERROR(IF(A1904="","",IFERROR(VALUE(H1904),0)+IFERROR(SUMIF(DB_Savings!$A:$A,A1904,DB_Savings!$F:$F),0)-IFERROR(SUMIF(DB_Withdrawals!$A:$A,A1904,DB_Withdrawals!$G:$G),0)),"")</f>
        <v/>
      </c>
      <c r="N1904" t="str">
        <f>IFERROR(IF(A1904="","",MAX(0,M1904-System_Config!$B$9)),"")</f>
        <v/>
      </c>
    </row>
    <row r="1905" spans="1:14" ht="15" customHeight="1" x14ac:dyDescent="0.25">
      <c r="A1905" t="str">
        <f>'NEW ACCOUNT'!A1906</f>
        <v/>
      </c>
      <c r="B1905" t="str">
        <f>IF('NEW ACCOUNT'!A1906="","",'NEW ACCOUNT'!B1906)</f>
        <v/>
      </c>
      <c r="C1905" t="str">
        <f>IF('NEW ACCOUNT'!A1906="","",'NEW ACCOUNT'!C1906)</f>
        <v/>
      </c>
      <c r="D1905" t="str">
        <f>IF('NEW ACCOUNT'!A1906="","",'NEW ACCOUNT'!D1906)</f>
        <v/>
      </c>
      <c r="E1905" t="str">
        <f>IF('NEW ACCOUNT'!A1906="","",'NEW ACCOUNT'!E1906)</f>
        <v/>
      </c>
      <c r="F1905" t="str">
        <f>IF('NEW ACCOUNT'!A1906="","",'NEW ACCOUNT'!F1906)</f>
        <v/>
      </c>
      <c r="G1905" t="str">
        <f>IF('NEW ACCOUNT'!A1906="","",'NEW ACCOUNT'!G1906)</f>
        <v/>
      </c>
      <c r="H1905" t="str">
        <f>IF('NEW ACCOUNT'!A1906="","",'NEW ACCOUNT'!H1906)</f>
        <v/>
      </c>
      <c r="I1905" t="str">
        <f>IF('NEW ACCOUNT'!A1906="","",'NEW ACCOUNT'!I1906)</f>
        <v/>
      </c>
      <c r="J1905" t="str">
        <f>IF('NEW ACCOUNT'!A1906="","",'NEW ACCOUNT'!J1906)</f>
        <v/>
      </c>
      <c r="K1905" t="str">
        <f>IFERROR(IF(A1905="","",SUMIF(DB_Savings!$A:$A,A1905,DB_Savings!$F:$F)),"")</f>
        <v/>
      </c>
      <c r="L1905" t="str">
        <f>IFERROR(IF(A1905="","",SUMIF(DB_Withdrawals!$A:$A,A1905,DB_Withdrawals!$G:$G)),"")</f>
        <v/>
      </c>
      <c r="M1905" t="str">
        <f>IFERROR(IF(A1905="","",IFERROR(VALUE(H1905),0)+IFERROR(SUMIF(DB_Savings!$A:$A,A1905,DB_Savings!$F:$F),0)-IFERROR(SUMIF(DB_Withdrawals!$A:$A,A1905,DB_Withdrawals!$G:$G),0)),"")</f>
        <v/>
      </c>
      <c r="N1905" t="str">
        <f>IFERROR(IF(A1905="","",MAX(0,M1905-System_Config!$B$9)),"")</f>
        <v/>
      </c>
    </row>
    <row r="1906" spans="1:14" ht="15" customHeight="1" x14ac:dyDescent="0.25">
      <c r="A1906" t="str">
        <f>'NEW ACCOUNT'!A1907</f>
        <v/>
      </c>
      <c r="B1906" t="str">
        <f>IF('NEW ACCOUNT'!A1907="","",'NEW ACCOUNT'!B1907)</f>
        <v/>
      </c>
      <c r="C1906" t="str">
        <f>IF('NEW ACCOUNT'!A1907="","",'NEW ACCOUNT'!C1907)</f>
        <v/>
      </c>
      <c r="D1906" t="str">
        <f>IF('NEW ACCOUNT'!A1907="","",'NEW ACCOUNT'!D1907)</f>
        <v/>
      </c>
      <c r="E1906" t="str">
        <f>IF('NEW ACCOUNT'!A1907="","",'NEW ACCOUNT'!E1907)</f>
        <v/>
      </c>
      <c r="F1906" t="str">
        <f>IF('NEW ACCOUNT'!A1907="","",'NEW ACCOUNT'!F1907)</f>
        <v/>
      </c>
      <c r="G1906" t="str">
        <f>IF('NEW ACCOUNT'!A1907="","",'NEW ACCOUNT'!G1907)</f>
        <v/>
      </c>
      <c r="H1906" t="str">
        <f>IF('NEW ACCOUNT'!A1907="","",'NEW ACCOUNT'!H1907)</f>
        <v/>
      </c>
      <c r="I1906" t="str">
        <f>IF('NEW ACCOUNT'!A1907="","",'NEW ACCOUNT'!I1907)</f>
        <v/>
      </c>
      <c r="J1906" t="str">
        <f>IF('NEW ACCOUNT'!A1907="","",'NEW ACCOUNT'!J1907)</f>
        <v/>
      </c>
      <c r="K1906" t="str">
        <f>IFERROR(IF(A1906="","",SUMIF(DB_Savings!$A:$A,A1906,DB_Savings!$F:$F)),"")</f>
        <v/>
      </c>
      <c r="L1906" t="str">
        <f>IFERROR(IF(A1906="","",SUMIF(DB_Withdrawals!$A:$A,A1906,DB_Withdrawals!$G:$G)),"")</f>
        <v/>
      </c>
      <c r="M1906" t="str">
        <f>IFERROR(IF(A1906="","",IFERROR(VALUE(H1906),0)+IFERROR(SUMIF(DB_Savings!$A:$A,A1906,DB_Savings!$F:$F),0)-IFERROR(SUMIF(DB_Withdrawals!$A:$A,A1906,DB_Withdrawals!$G:$G),0)),"")</f>
        <v/>
      </c>
      <c r="N1906" t="str">
        <f>IFERROR(IF(A1906="","",MAX(0,M1906-System_Config!$B$9)),"")</f>
        <v/>
      </c>
    </row>
    <row r="1907" spans="1:14" ht="15" customHeight="1" x14ac:dyDescent="0.25">
      <c r="A1907" t="str">
        <f>'NEW ACCOUNT'!A1908</f>
        <v/>
      </c>
      <c r="B1907" t="str">
        <f>IF('NEW ACCOUNT'!A1908="","",'NEW ACCOUNT'!B1908)</f>
        <v/>
      </c>
      <c r="C1907" t="str">
        <f>IF('NEW ACCOUNT'!A1908="","",'NEW ACCOUNT'!C1908)</f>
        <v/>
      </c>
      <c r="D1907" t="str">
        <f>IF('NEW ACCOUNT'!A1908="","",'NEW ACCOUNT'!D1908)</f>
        <v/>
      </c>
      <c r="E1907" t="str">
        <f>IF('NEW ACCOUNT'!A1908="","",'NEW ACCOUNT'!E1908)</f>
        <v/>
      </c>
      <c r="F1907" t="str">
        <f>IF('NEW ACCOUNT'!A1908="","",'NEW ACCOUNT'!F1908)</f>
        <v/>
      </c>
      <c r="G1907" t="str">
        <f>IF('NEW ACCOUNT'!A1908="","",'NEW ACCOUNT'!G1908)</f>
        <v/>
      </c>
      <c r="H1907" t="str">
        <f>IF('NEW ACCOUNT'!A1908="","",'NEW ACCOUNT'!H1908)</f>
        <v/>
      </c>
      <c r="I1907" t="str">
        <f>IF('NEW ACCOUNT'!A1908="","",'NEW ACCOUNT'!I1908)</f>
        <v/>
      </c>
      <c r="J1907" t="str">
        <f>IF('NEW ACCOUNT'!A1908="","",'NEW ACCOUNT'!J1908)</f>
        <v/>
      </c>
      <c r="K1907" t="str">
        <f>IFERROR(IF(A1907="","",SUMIF(DB_Savings!$A:$A,A1907,DB_Savings!$F:$F)),"")</f>
        <v/>
      </c>
      <c r="L1907" t="str">
        <f>IFERROR(IF(A1907="","",SUMIF(DB_Withdrawals!$A:$A,A1907,DB_Withdrawals!$G:$G)),"")</f>
        <v/>
      </c>
      <c r="M1907" t="str">
        <f>IFERROR(IF(A1907="","",IFERROR(VALUE(H1907),0)+IFERROR(SUMIF(DB_Savings!$A:$A,A1907,DB_Savings!$F:$F),0)-IFERROR(SUMIF(DB_Withdrawals!$A:$A,A1907,DB_Withdrawals!$G:$G),0)),"")</f>
        <v/>
      </c>
      <c r="N1907" t="str">
        <f>IFERROR(IF(A1907="","",MAX(0,M1907-System_Config!$B$9)),"")</f>
        <v/>
      </c>
    </row>
    <row r="1908" spans="1:14" ht="15" customHeight="1" x14ac:dyDescent="0.25">
      <c r="A1908" t="str">
        <f>'NEW ACCOUNT'!A1909</f>
        <v/>
      </c>
      <c r="B1908" t="str">
        <f>IF('NEW ACCOUNT'!A1909="","",'NEW ACCOUNT'!B1909)</f>
        <v/>
      </c>
      <c r="C1908" t="str">
        <f>IF('NEW ACCOUNT'!A1909="","",'NEW ACCOUNT'!C1909)</f>
        <v/>
      </c>
      <c r="D1908" t="str">
        <f>IF('NEW ACCOUNT'!A1909="","",'NEW ACCOUNT'!D1909)</f>
        <v/>
      </c>
      <c r="E1908" t="str">
        <f>IF('NEW ACCOUNT'!A1909="","",'NEW ACCOUNT'!E1909)</f>
        <v/>
      </c>
      <c r="F1908" t="str">
        <f>IF('NEW ACCOUNT'!A1909="","",'NEW ACCOUNT'!F1909)</f>
        <v/>
      </c>
      <c r="G1908" t="str">
        <f>IF('NEW ACCOUNT'!A1909="","",'NEW ACCOUNT'!G1909)</f>
        <v/>
      </c>
      <c r="H1908" t="str">
        <f>IF('NEW ACCOUNT'!A1909="","",'NEW ACCOUNT'!H1909)</f>
        <v/>
      </c>
      <c r="I1908" t="str">
        <f>IF('NEW ACCOUNT'!A1909="","",'NEW ACCOUNT'!I1909)</f>
        <v/>
      </c>
      <c r="J1908" t="str">
        <f>IF('NEW ACCOUNT'!A1909="","",'NEW ACCOUNT'!J1909)</f>
        <v/>
      </c>
      <c r="K1908" t="str">
        <f>IFERROR(IF(A1908="","",SUMIF(DB_Savings!$A:$A,A1908,DB_Savings!$F:$F)),"")</f>
        <v/>
      </c>
      <c r="L1908" t="str">
        <f>IFERROR(IF(A1908="","",SUMIF(DB_Withdrawals!$A:$A,A1908,DB_Withdrawals!$G:$G)),"")</f>
        <v/>
      </c>
      <c r="M1908" t="str">
        <f>IFERROR(IF(A1908="","",IFERROR(VALUE(H1908),0)+IFERROR(SUMIF(DB_Savings!$A:$A,A1908,DB_Savings!$F:$F),0)-IFERROR(SUMIF(DB_Withdrawals!$A:$A,A1908,DB_Withdrawals!$G:$G),0)),"")</f>
        <v/>
      </c>
      <c r="N1908" t="str">
        <f>IFERROR(IF(A1908="","",MAX(0,M1908-System_Config!$B$9)),"")</f>
        <v/>
      </c>
    </row>
    <row r="1909" spans="1:14" ht="15" customHeight="1" x14ac:dyDescent="0.25">
      <c r="A1909" t="str">
        <f>'NEW ACCOUNT'!A1910</f>
        <v/>
      </c>
      <c r="B1909" t="str">
        <f>IF('NEW ACCOUNT'!A1910="","",'NEW ACCOUNT'!B1910)</f>
        <v/>
      </c>
      <c r="C1909" t="str">
        <f>IF('NEW ACCOUNT'!A1910="","",'NEW ACCOUNT'!C1910)</f>
        <v/>
      </c>
      <c r="D1909" t="str">
        <f>IF('NEW ACCOUNT'!A1910="","",'NEW ACCOUNT'!D1910)</f>
        <v/>
      </c>
      <c r="E1909" t="str">
        <f>IF('NEW ACCOUNT'!A1910="","",'NEW ACCOUNT'!E1910)</f>
        <v/>
      </c>
      <c r="F1909" t="str">
        <f>IF('NEW ACCOUNT'!A1910="","",'NEW ACCOUNT'!F1910)</f>
        <v/>
      </c>
      <c r="G1909" t="str">
        <f>IF('NEW ACCOUNT'!A1910="","",'NEW ACCOUNT'!G1910)</f>
        <v/>
      </c>
      <c r="H1909" t="str">
        <f>IF('NEW ACCOUNT'!A1910="","",'NEW ACCOUNT'!H1910)</f>
        <v/>
      </c>
      <c r="I1909" t="str">
        <f>IF('NEW ACCOUNT'!A1910="","",'NEW ACCOUNT'!I1910)</f>
        <v/>
      </c>
      <c r="J1909" t="str">
        <f>IF('NEW ACCOUNT'!A1910="","",'NEW ACCOUNT'!J1910)</f>
        <v/>
      </c>
      <c r="K1909" t="str">
        <f>IFERROR(IF(A1909="","",SUMIF(DB_Savings!$A:$A,A1909,DB_Savings!$F:$F)),"")</f>
        <v/>
      </c>
      <c r="L1909" t="str">
        <f>IFERROR(IF(A1909="","",SUMIF(DB_Withdrawals!$A:$A,A1909,DB_Withdrawals!$G:$G)),"")</f>
        <v/>
      </c>
      <c r="M1909" t="str">
        <f>IFERROR(IF(A1909="","",IFERROR(VALUE(H1909),0)+IFERROR(SUMIF(DB_Savings!$A:$A,A1909,DB_Savings!$F:$F),0)-IFERROR(SUMIF(DB_Withdrawals!$A:$A,A1909,DB_Withdrawals!$G:$G),0)),"")</f>
        <v/>
      </c>
      <c r="N1909" t="str">
        <f>IFERROR(IF(A1909="","",MAX(0,M1909-System_Config!$B$9)),"")</f>
        <v/>
      </c>
    </row>
    <row r="1910" spans="1:14" ht="15" customHeight="1" x14ac:dyDescent="0.25">
      <c r="A1910" t="str">
        <f>'NEW ACCOUNT'!A1911</f>
        <v/>
      </c>
      <c r="B1910" t="str">
        <f>IF('NEW ACCOUNT'!A1911="","",'NEW ACCOUNT'!B1911)</f>
        <v/>
      </c>
      <c r="C1910" t="str">
        <f>IF('NEW ACCOUNT'!A1911="","",'NEW ACCOUNT'!C1911)</f>
        <v/>
      </c>
      <c r="D1910" t="str">
        <f>IF('NEW ACCOUNT'!A1911="","",'NEW ACCOUNT'!D1911)</f>
        <v/>
      </c>
      <c r="E1910" t="str">
        <f>IF('NEW ACCOUNT'!A1911="","",'NEW ACCOUNT'!E1911)</f>
        <v/>
      </c>
      <c r="F1910" t="str">
        <f>IF('NEW ACCOUNT'!A1911="","",'NEW ACCOUNT'!F1911)</f>
        <v/>
      </c>
      <c r="G1910" t="str">
        <f>IF('NEW ACCOUNT'!A1911="","",'NEW ACCOUNT'!G1911)</f>
        <v/>
      </c>
      <c r="H1910" t="str">
        <f>IF('NEW ACCOUNT'!A1911="","",'NEW ACCOUNT'!H1911)</f>
        <v/>
      </c>
      <c r="I1910" t="str">
        <f>IF('NEW ACCOUNT'!A1911="","",'NEW ACCOUNT'!I1911)</f>
        <v/>
      </c>
      <c r="J1910" t="str">
        <f>IF('NEW ACCOUNT'!A1911="","",'NEW ACCOUNT'!J1911)</f>
        <v/>
      </c>
      <c r="K1910" t="str">
        <f>IFERROR(IF(A1910="","",SUMIF(DB_Savings!$A:$A,A1910,DB_Savings!$F:$F)),"")</f>
        <v/>
      </c>
      <c r="L1910" t="str">
        <f>IFERROR(IF(A1910="","",SUMIF(DB_Withdrawals!$A:$A,A1910,DB_Withdrawals!$G:$G)),"")</f>
        <v/>
      </c>
      <c r="M1910" t="str">
        <f>IFERROR(IF(A1910="","",IFERROR(VALUE(H1910),0)+IFERROR(SUMIF(DB_Savings!$A:$A,A1910,DB_Savings!$F:$F),0)-IFERROR(SUMIF(DB_Withdrawals!$A:$A,A1910,DB_Withdrawals!$G:$G),0)),"")</f>
        <v/>
      </c>
      <c r="N1910" t="str">
        <f>IFERROR(IF(A1910="","",MAX(0,M1910-System_Config!$B$9)),"")</f>
        <v/>
      </c>
    </row>
    <row r="1911" spans="1:14" ht="15" customHeight="1" x14ac:dyDescent="0.25">
      <c r="A1911" t="str">
        <f>'NEW ACCOUNT'!A1912</f>
        <v/>
      </c>
      <c r="B1911" t="str">
        <f>IF('NEW ACCOUNT'!A1912="","",'NEW ACCOUNT'!B1912)</f>
        <v/>
      </c>
      <c r="C1911" t="str">
        <f>IF('NEW ACCOUNT'!A1912="","",'NEW ACCOUNT'!C1912)</f>
        <v/>
      </c>
      <c r="D1911" t="str">
        <f>IF('NEW ACCOUNT'!A1912="","",'NEW ACCOUNT'!D1912)</f>
        <v/>
      </c>
      <c r="E1911" t="str">
        <f>IF('NEW ACCOUNT'!A1912="","",'NEW ACCOUNT'!E1912)</f>
        <v/>
      </c>
      <c r="F1911" t="str">
        <f>IF('NEW ACCOUNT'!A1912="","",'NEW ACCOUNT'!F1912)</f>
        <v/>
      </c>
      <c r="G1911" t="str">
        <f>IF('NEW ACCOUNT'!A1912="","",'NEW ACCOUNT'!G1912)</f>
        <v/>
      </c>
      <c r="H1911" t="str">
        <f>IF('NEW ACCOUNT'!A1912="","",'NEW ACCOUNT'!H1912)</f>
        <v/>
      </c>
      <c r="I1911" t="str">
        <f>IF('NEW ACCOUNT'!A1912="","",'NEW ACCOUNT'!I1912)</f>
        <v/>
      </c>
      <c r="J1911" t="str">
        <f>IF('NEW ACCOUNT'!A1912="","",'NEW ACCOUNT'!J1912)</f>
        <v/>
      </c>
      <c r="K1911" t="str">
        <f>IFERROR(IF(A1911="","",SUMIF(DB_Savings!$A:$A,A1911,DB_Savings!$F:$F)),"")</f>
        <v/>
      </c>
      <c r="L1911" t="str">
        <f>IFERROR(IF(A1911="","",SUMIF(DB_Withdrawals!$A:$A,A1911,DB_Withdrawals!$G:$G)),"")</f>
        <v/>
      </c>
      <c r="M1911" t="str">
        <f>IFERROR(IF(A1911="","",IFERROR(VALUE(H1911),0)+IFERROR(SUMIF(DB_Savings!$A:$A,A1911,DB_Savings!$F:$F),0)-IFERROR(SUMIF(DB_Withdrawals!$A:$A,A1911,DB_Withdrawals!$G:$G),0)),"")</f>
        <v/>
      </c>
      <c r="N1911" t="str">
        <f>IFERROR(IF(A1911="","",MAX(0,M1911-System_Config!$B$9)),"")</f>
        <v/>
      </c>
    </row>
    <row r="1912" spans="1:14" ht="15" customHeight="1" x14ac:dyDescent="0.25">
      <c r="A1912" t="str">
        <f>'NEW ACCOUNT'!A1913</f>
        <v/>
      </c>
      <c r="B1912" t="str">
        <f>IF('NEW ACCOUNT'!A1913="","",'NEW ACCOUNT'!B1913)</f>
        <v/>
      </c>
      <c r="C1912" t="str">
        <f>IF('NEW ACCOUNT'!A1913="","",'NEW ACCOUNT'!C1913)</f>
        <v/>
      </c>
      <c r="D1912" t="str">
        <f>IF('NEW ACCOUNT'!A1913="","",'NEW ACCOUNT'!D1913)</f>
        <v/>
      </c>
      <c r="E1912" t="str">
        <f>IF('NEW ACCOUNT'!A1913="","",'NEW ACCOUNT'!E1913)</f>
        <v/>
      </c>
      <c r="F1912" t="str">
        <f>IF('NEW ACCOUNT'!A1913="","",'NEW ACCOUNT'!F1913)</f>
        <v/>
      </c>
      <c r="G1912" t="str">
        <f>IF('NEW ACCOUNT'!A1913="","",'NEW ACCOUNT'!G1913)</f>
        <v/>
      </c>
      <c r="H1912" t="str">
        <f>IF('NEW ACCOUNT'!A1913="","",'NEW ACCOUNT'!H1913)</f>
        <v/>
      </c>
      <c r="I1912" t="str">
        <f>IF('NEW ACCOUNT'!A1913="","",'NEW ACCOUNT'!I1913)</f>
        <v/>
      </c>
      <c r="J1912" t="str">
        <f>IF('NEW ACCOUNT'!A1913="","",'NEW ACCOUNT'!J1913)</f>
        <v/>
      </c>
      <c r="K1912" t="str">
        <f>IFERROR(IF(A1912="","",SUMIF(DB_Savings!$A:$A,A1912,DB_Savings!$F:$F)),"")</f>
        <v/>
      </c>
      <c r="L1912" t="str">
        <f>IFERROR(IF(A1912="","",SUMIF(DB_Withdrawals!$A:$A,A1912,DB_Withdrawals!$G:$G)),"")</f>
        <v/>
      </c>
      <c r="M1912" t="str">
        <f>IFERROR(IF(A1912="","",IFERROR(VALUE(H1912),0)+IFERROR(SUMIF(DB_Savings!$A:$A,A1912,DB_Savings!$F:$F),0)-IFERROR(SUMIF(DB_Withdrawals!$A:$A,A1912,DB_Withdrawals!$G:$G),0)),"")</f>
        <v/>
      </c>
      <c r="N1912" t="str">
        <f>IFERROR(IF(A1912="","",MAX(0,M1912-System_Config!$B$9)),"")</f>
        <v/>
      </c>
    </row>
    <row r="1913" spans="1:14" ht="15" customHeight="1" x14ac:dyDescent="0.25">
      <c r="A1913" t="str">
        <f>'NEW ACCOUNT'!A1914</f>
        <v/>
      </c>
      <c r="B1913" t="str">
        <f>IF('NEW ACCOUNT'!A1914="","",'NEW ACCOUNT'!B1914)</f>
        <v/>
      </c>
      <c r="C1913" t="str">
        <f>IF('NEW ACCOUNT'!A1914="","",'NEW ACCOUNT'!C1914)</f>
        <v/>
      </c>
      <c r="D1913" t="str">
        <f>IF('NEW ACCOUNT'!A1914="","",'NEW ACCOUNT'!D1914)</f>
        <v/>
      </c>
      <c r="E1913" t="str">
        <f>IF('NEW ACCOUNT'!A1914="","",'NEW ACCOUNT'!E1914)</f>
        <v/>
      </c>
      <c r="F1913" t="str">
        <f>IF('NEW ACCOUNT'!A1914="","",'NEW ACCOUNT'!F1914)</f>
        <v/>
      </c>
      <c r="G1913" t="str">
        <f>IF('NEW ACCOUNT'!A1914="","",'NEW ACCOUNT'!G1914)</f>
        <v/>
      </c>
      <c r="H1913" t="str">
        <f>IF('NEW ACCOUNT'!A1914="","",'NEW ACCOUNT'!H1914)</f>
        <v/>
      </c>
      <c r="I1913" t="str">
        <f>IF('NEW ACCOUNT'!A1914="","",'NEW ACCOUNT'!I1914)</f>
        <v/>
      </c>
      <c r="J1913" t="str">
        <f>IF('NEW ACCOUNT'!A1914="","",'NEW ACCOUNT'!J1914)</f>
        <v/>
      </c>
      <c r="K1913" t="str">
        <f>IFERROR(IF(A1913="","",SUMIF(DB_Savings!$A:$A,A1913,DB_Savings!$F:$F)),"")</f>
        <v/>
      </c>
      <c r="L1913" t="str">
        <f>IFERROR(IF(A1913="","",SUMIF(DB_Withdrawals!$A:$A,A1913,DB_Withdrawals!$G:$G)),"")</f>
        <v/>
      </c>
      <c r="M1913" t="str">
        <f>IFERROR(IF(A1913="","",IFERROR(VALUE(H1913),0)+IFERROR(SUMIF(DB_Savings!$A:$A,A1913,DB_Savings!$F:$F),0)-IFERROR(SUMIF(DB_Withdrawals!$A:$A,A1913,DB_Withdrawals!$G:$G),0)),"")</f>
        <v/>
      </c>
      <c r="N1913" t="str">
        <f>IFERROR(IF(A1913="","",MAX(0,M1913-System_Config!$B$9)),"")</f>
        <v/>
      </c>
    </row>
    <row r="1914" spans="1:14" ht="15" customHeight="1" x14ac:dyDescent="0.25">
      <c r="A1914" t="str">
        <f>'NEW ACCOUNT'!A1915</f>
        <v/>
      </c>
      <c r="B1914" t="str">
        <f>IF('NEW ACCOUNT'!A1915="","",'NEW ACCOUNT'!B1915)</f>
        <v/>
      </c>
      <c r="C1914" t="str">
        <f>IF('NEW ACCOUNT'!A1915="","",'NEW ACCOUNT'!C1915)</f>
        <v/>
      </c>
      <c r="D1914" t="str">
        <f>IF('NEW ACCOUNT'!A1915="","",'NEW ACCOUNT'!D1915)</f>
        <v/>
      </c>
      <c r="E1914" t="str">
        <f>IF('NEW ACCOUNT'!A1915="","",'NEW ACCOUNT'!E1915)</f>
        <v/>
      </c>
      <c r="F1914" t="str">
        <f>IF('NEW ACCOUNT'!A1915="","",'NEW ACCOUNT'!F1915)</f>
        <v/>
      </c>
      <c r="G1914" t="str">
        <f>IF('NEW ACCOUNT'!A1915="","",'NEW ACCOUNT'!G1915)</f>
        <v/>
      </c>
      <c r="H1914" t="str">
        <f>IF('NEW ACCOUNT'!A1915="","",'NEW ACCOUNT'!H1915)</f>
        <v/>
      </c>
      <c r="I1914" t="str">
        <f>IF('NEW ACCOUNT'!A1915="","",'NEW ACCOUNT'!I1915)</f>
        <v/>
      </c>
      <c r="J1914" t="str">
        <f>IF('NEW ACCOUNT'!A1915="","",'NEW ACCOUNT'!J1915)</f>
        <v/>
      </c>
      <c r="K1914" t="str">
        <f>IFERROR(IF(A1914="","",SUMIF(DB_Savings!$A:$A,A1914,DB_Savings!$F:$F)),"")</f>
        <v/>
      </c>
      <c r="L1914" t="str">
        <f>IFERROR(IF(A1914="","",SUMIF(DB_Withdrawals!$A:$A,A1914,DB_Withdrawals!$G:$G)),"")</f>
        <v/>
      </c>
      <c r="M1914" t="str">
        <f>IFERROR(IF(A1914="","",IFERROR(VALUE(H1914),0)+IFERROR(SUMIF(DB_Savings!$A:$A,A1914,DB_Savings!$F:$F),0)-IFERROR(SUMIF(DB_Withdrawals!$A:$A,A1914,DB_Withdrawals!$G:$G),0)),"")</f>
        <v/>
      </c>
      <c r="N1914" t="str">
        <f>IFERROR(IF(A1914="","",MAX(0,M1914-System_Config!$B$9)),"")</f>
        <v/>
      </c>
    </row>
    <row r="1915" spans="1:14" ht="15" customHeight="1" x14ac:dyDescent="0.25">
      <c r="A1915" t="str">
        <f>'NEW ACCOUNT'!A1916</f>
        <v/>
      </c>
      <c r="B1915" t="str">
        <f>IF('NEW ACCOUNT'!A1916="","",'NEW ACCOUNT'!B1916)</f>
        <v/>
      </c>
      <c r="C1915" t="str">
        <f>IF('NEW ACCOUNT'!A1916="","",'NEW ACCOUNT'!C1916)</f>
        <v/>
      </c>
      <c r="D1915" t="str">
        <f>IF('NEW ACCOUNT'!A1916="","",'NEW ACCOUNT'!D1916)</f>
        <v/>
      </c>
      <c r="E1915" t="str">
        <f>IF('NEW ACCOUNT'!A1916="","",'NEW ACCOUNT'!E1916)</f>
        <v/>
      </c>
      <c r="F1915" t="str">
        <f>IF('NEW ACCOUNT'!A1916="","",'NEW ACCOUNT'!F1916)</f>
        <v/>
      </c>
      <c r="G1915" t="str">
        <f>IF('NEW ACCOUNT'!A1916="","",'NEW ACCOUNT'!G1916)</f>
        <v/>
      </c>
      <c r="H1915" t="str">
        <f>IF('NEW ACCOUNT'!A1916="","",'NEW ACCOUNT'!H1916)</f>
        <v/>
      </c>
      <c r="I1915" t="str">
        <f>IF('NEW ACCOUNT'!A1916="","",'NEW ACCOUNT'!I1916)</f>
        <v/>
      </c>
      <c r="J1915" t="str">
        <f>IF('NEW ACCOUNT'!A1916="","",'NEW ACCOUNT'!J1916)</f>
        <v/>
      </c>
      <c r="K1915" t="str">
        <f>IFERROR(IF(A1915="","",SUMIF(DB_Savings!$A:$A,A1915,DB_Savings!$F:$F)),"")</f>
        <v/>
      </c>
      <c r="L1915" t="str">
        <f>IFERROR(IF(A1915="","",SUMIF(DB_Withdrawals!$A:$A,A1915,DB_Withdrawals!$G:$G)),"")</f>
        <v/>
      </c>
      <c r="M1915" t="str">
        <f>IFERROR(IF(A1915="","",IFERROR(VALUE(H1915),0)+IFERROR(SUMIF(DB_Savings!$A:$A,A1915,DB_Savings!$F:$F),0)-IFERROR(SUMIF(DB_Withdrawals!$A:$A,A1915,DB_Withdrawals!$G:$G),0)),"")</f>
        <v/>
      </c>
      <c r="N1915" t="str">
        <f>IFERROR(IF(A1915="","",MAX(0,M1915-System_Config!$B$9)),"")</f>
        <v/>
      </c>
    </row>
    <row r="1916" spans="1:14" ht="15" customHeight="1" x14ac:dyDescent="0.25">
      <c r="A1916" t="str">
        <f>'NEW ACCOUNT'!A1917</f>
        <v/>
      </c>
      <c r="B1916" t="str">
        <f>IF('NEW ACCOUNT'!A1917="","",'NEW ACCOUNT'!B1917)</f>
        <v/>
      </c>
      <c r="C1916" t="str">
        <f>IF('NEW ACCOUNT'!A1917="","",'NEW ACCOUNT'!C1917)</f>
        <v/>
      </c>
      <c r="D1916" t="str">
        <f>IF('NEW ACCOUNT'!A1917="","",'NEW ACCOUNT'!D1917)</f>
        <v/>
      </c>
      <c r="E1916" t="str">
        <f>IF('NEW ACCOUNT'!A1917="","",'NEW ACCOUNT'!E1917)</f>
        <v/>
      </c>
      <c r="F1916" t="str">
        <f>IF('NEW ACCOUNT'!A1917="","",'NEW ACCOUNT'!F1917)</f>
        <v/>
      </c>
      <c r="G1916" t="str">
        <f>IF('NEW ACCOUNT'!A1917="","",'NEW ACCOUNT'!G1917)</f>
        <v/>
      </c>
      <c r="H1916" t="str">
        <f>IF('NEW ACCOUNT'!A1917="","",'NEW ACCOUNT'!H1917)</f>
        <v/>
      </c>
      <c r="I1916" t="str">
        <f>IF('NEW ACCOUNT'!A1917="","",'NEW ACCOUNT'!I1917)</f>
        <v/>
      </c>
      <c r="J1916" t="str">
        <f>IF('NEW ACCOUNT'!A1917="","",'NEW ACCOUNT'!J1917)</f>
        <v/>
      </c>
      <c r="K1916" t="str">
        <f>IFERROR(IF(A1916="","",SUMIF(DB_Savings!$A:$A,A1916,DB_Savings!$F:$F)),"")</f>
        <v/>
      </c>
      <c r="L1916" t="str">
        <f>IFERROR(IF(A1916="","",SUMIF(DB_Withdrawals!$A:$A,A1916,DB_Withdrawals!$G:$G)),"")</f>
        <v/>
      </c>
      <c r="M1916" t="str">
        <f>IFERROR(IF(A1916="","",IFERROR(VALUE(H1916),0)+IFERROR(SUMIF(DB_Savings!$A:$A,A1916,DB_Savings!$F:$F),0)-IFERROR(SUMIF(DB_Withdrawals!$A:$A,A1916,DB_Withdrawals!$G:$G),0)),"")</f>
        <v/>
      </c>
      <c r="N1916" t="str">
        <f>IFERROR(IF(A1916="","",MAX(0,M1916-System_Config!$B$9)),"")</f>
        <v/>
      </c>
    </row>
    <row r="1917" spans="1:14" ht="15" customHeight="1" x14ac:dyDescent="0.25">
      <c r="A1917" t="str">
        <f>'NEW ACCOUNT'!A1918</f>
        <v/>
      </c>
      <c r="B1917" t="str">
        <f>IF('NEW ACCOUNT'!A1918="","",'NEW ACCOUNT'!B1918)</f>
        <v/>
      </c>
      <c r="C1917" t="str">
        <f>IF('NEW ACCOUNT'!A1918="","",'NEW ACCOUNT'!C1918)</f>
        <v/>
      </c>
      <c r="D1917" t="str">
        <f>IF('NEW ACCOUNT'!A1918="","",'NEW ACCOUNT'!D1918)</f>
        <v/>
      </c>
      <c r="E1917" t="str">
        <f>IF('NEW ACCOUNT'!A1918="","",'NEW ACCOUNT'!E1918)</f>
        <v/>
      </c>
      <c r="F1917" t="str">
        <f>IF('NEW ACCOUNT'!A1918="","",'NEW ACCOUNT'!F1918)</f>
        <v/>
      </c>
      <c r="G1917" t="str">
        <f>IF('NEW ACCOUNT'!A1918="","",'NEW ACCOUNT'!G1918)</f>
        <v/>
      </c>
      <c r="H1917" t="str">
        <f>IF('NEW ACCOUNT'!A1918="","",'NEW ACCOUNT'!H1918)</f>
        <v/>
      </c>
      <c r="I1917" t="str">
        <f>IF('NEW ACCOUNT'!A1918="","",'NEW ACCOUNT'!I1918)</f>
        <v/>
      </c>
      <c r="J1917" t="str">
        <f>IF('NEW ACCOUNT'!A1918="","",'NEW ACCOUNT'!J1918)</f>
        <v/>
      </c>
      <c r="K1917" t="str">
        <f>IFERROR(IF(A1917="","",SUMIF(DB_Savings!$A:$A,A1917,DB_Savings!$F:$F)),"")</f>
        <v/>
      </c>
      <c r="L1917" t="str">
        <f>IFERROR(IF(A1917="","",SUMIF(DB_Withdrawals!$A:$A,A1917,DB_Withdrawals!$G:$G)),"")</f>
        <v/>
      </c>
      <c r="M1917" t="str">
        <f>IFERROR(IF(A1917="","",IFERROR(VALUE(H1917),0)+IFERROR(SUMIF(DB_Savings!$A:$A,A1917,DB_Savings!$F:$F),0)-IFERROR(SUMIF(DB_Withdrawals!$A:$A,A1917,DB_Withdrawals!$G:$G),0)),"")</f>
        <v/>
      </c>
      <c r="N1917" t="str">
        <f>IFERROR(IF(A1917="","",MAX(0,M1917-System_Config!$B$9)),"")</f>
        <v/>
      </c>
    </row>
    <row r="1918" spans="1:14" ht="15" customHeight="1" x14ac:dyDescent="0.25">
      <c r="A1918" t="str">
        <f>'NEW ACCOUNT'!A1919</f>
        <v/>
      </c>
      <c r="B1918" t="str">
        <f>IF('NEW ACCOUNT'!A1919="","",'NEW ACCOUNT'!B1919)</f>
        <v/>
      </c>
      <c r="C1918" t="str">
        <f>IF('NEW ACCOUNT'!A1919="","",'NEW ACCOUNT'!C1919)</f>
        <v/>
      </c>
      <c r="D1918" t="str">
        <f>IF('NEW ACCOUNT'!A1919="","",'NEW ACCOUNT'!D1919)</f>
        <v/>
      </c>
      <c r="E1918" t="str">
        <f>IF('NEW ACCOUNT'!A1919="","",'NEW ACCOUNT'!E1919)</f>
        <v/>
      </c>
      <c r="F1918" t="str">
        <f>IF('NEW ACCOUNT'!A1919="","",'NEW ACCOUNT'!F1919)</f>
        <v/>
      </c>
      <c r="G1918" t="str">
        <f>IF('NEW ACCOUNT'!A1919="","",'NEW ACCOUNT'!G1919)</f>
        <v/>
      </c>
      <c r="H1918" t="str">
        <f>IF('NEW ACCOUNT'!A1919="","",'NEW ACCOUNT'!H1919)</f>
        <v/>
      </c>
      <c r="I1918" t="str">
        <f>IF('NEW ACCOUNT'!A1919="","",'NEW ACCOUNT'!I1919)</f>
        <v/>
      </c>
      <c r="J1918" t="str">
        <f>IF('NEW ACCOUNT'!A1919="","",'NEW ACCOUNT'!J1919)</f>
        <v/>
      </c>
      <c r="K1918" t="str">
        <f>IFERROR(IF(A1918="","",SUMIF(DB_Savings!$A:$A,A1918,DB_Savings!$F:$F)),"")</f>
        <v/>
      </c>
      <c r="L1918" t="str">
        <f>IFERROR(IF(A1918="","",SUMIF(DB_Withdrawals!$A:$A,A1918,DB_Withdrawals!$G:$G)),"")</f>
        <v/>
      </c>
      <c r="M1918" t="str">
        <f>IFERROR(IF(A1918="","",IFERROR(VALUE(H1918),0)+IFERROR(SUMIF(DB_Savings!$A:$A,A1918,DB_Savings!$F:$F),0)-IFERROR(SUMIF(DB_Withdrawals!$A:$A,A1918,DB_Withdrawals!$G:$G),0)),"")</f>
        <v/>
      </c>
      <c r="N1918" t="str">
        <f>IFERROR(IF(A1918="","",MAX(0,M1918-System_Config!$B$9)),"")</f>
        <v/>
      </c>
    </row>
    <row r="1919" spans="1:14" ht="15" customHeight="1" x14ac:dyDescent="0.25">
      <c r="A1919" t="str">
        <f>'NEW ACCOUNT'!A1920</f>
        <v/>
      </c>
      <c r="B1919" t="str">
        <f>IF('NEW ACCOUNT'!A1920="","",'NEW ACCOUNT'!B1920)</f>
        <v/>
      </c>
      <c r="C1919" t="str">
        <f>IF('NEW ACCOUNT'!A1920="","",'NEW ACCOUNT'!C1920)</f>
        <v/>
      </c>
      <c r="D1919" t="str">
        <f>IF('NEW ACCOUNT'!A1920="","",'NEW ACCOUNT'!D1920)</f>
        <v/>
      </c>
      <c r="E1919" t="str">
        <f>IF('NEW ACCOUNT'!A1920="","",'NEW ACCOUNT'!E1920)</f>
        <v/>
      </c>
      <c r="F1919" t="str">
        <f>IF('NEW ACCOUNT'!A1920="","",'NEW ACCOUNT'!F1920)</f>
        <v/>
      </c>
      <c r="G1919" t="str">
        <f>IF('NEW ACCOUNT'!A1920="","",'NEW ACCOUNT'!G1920)</f>
        <v/>
      </c>
      <c r="H1919" t="str">
        <f>IF('NEW ACCOUNT'!A1920="","",'NEW ACCOUNT'!H1920)</f>
        <v/>
      </c>
      <c r="I1919" t="str">
        <f>IF('NEW ACCOUNT'!A1920="","",'NEW ACCOUNT'!I1920)</f>
        <v/>
      </c>
      <c r="J1919" t="str">
        <f>IF('NEW ACCOUNT'!A1920="","",'NEW ACCOUNT'!J1920)</f>
        <v/>
      </c>
      <c r="K1919" t="str">
        <f>IFERROR(IF(A1919="","",SUMIF(DB_Savings!$A:$A,A1919,DB_Savings!$F:$F)),"")</f>
        <v/>
      </c>
      <c r="L1919" t="str">
        <f>IFERROR(IF(A1919="","",SUMIF(DB_Withdrawals!$A:$A,A1919,DB_Withdrawals!$G:$G)),"")</f>
        <v/>
      </c>
      <c r="M1919" t="str">
        <f>IFERROR(IF(A1919="","",IFERROR(VALUE(H1919),0)+IFERROR(SUMIF(DB_Savings!$A:$A,A1919,DB_Savings!$F:$F),0)-IFERROR(SUMIF(DB_Withdrawals!$A:$A,A1919,DB_Withdrawals!$G:$G),0)),"")</f>
        <v/>
      </c>
      <c r="N1919" t="str">
        <f>IFERROR(IF(A1919="","",MAX(0,M1919-System_Config!$B$9)),"")</f>
        <v/>
      </c>
    </row>
    <row r="1920" spans="1:14" ht="15" customHeight="1" x14ac:dyDescent="0.25">
      <c r="A1920" t="str">
        <f>'NEW ACCOUNT'!A1921</f>
        <v/>
      </c>
      <c r="B1920" t="str">
        <f>IF('NEW ACCOUNT'!A1921="","",'NEW ACCOUNT'!B1921)</f>
        <v/>
      </c>
      <c r="C1920" t="str">
        <f>IF('NEW ACCOUNT'!A1921="","",'NEW ACCOUNT'!C1921)</f>
        <v/>
      </c>
      <c r="D1920" t="str">
        <f>IF('NEW ACCOUNT'!A1921="","",'NEW ACCOUNT'!D1921)</f>
        <v/>
      </c>
      <c r="E1920" t="str">
        <f>IF('NEW ACCOUNT'!A1921="","",'NEW ACCOUNT'!E1921)</f>
        <v/>
      </c>
      <c r="F1920" t="str">
        <f>IF('NEW ACCOUNT'!A1921="","",'NEW ACCOUNT'!F1921)</f>
        <v/>
      </c>
      <c r="G1920" t="str">
        <f>IF('NEW ACCOUNT'!A1921="","",'NEW ACCOUNT'!G1921)</f>
        <v/>
      </c>
      <c r="H1920" t="str">
        <f>IF('NEW ACCOUNT'!A1921="","",'NEW ACCOUNT'!H1921)</f>
        <v/>
      </c>
      <c r="I1920" t="str">
        <f>IF('NEW ACCOUNT'!A1921="","",'NEW ACCOUNT'!I1921)</f>
        <v/>
      </c>
      <c r="J1920" t="str">
        <f>IF('NEW ACCOUNT'!A1921="","",'NEW ACCOUNT'!J1921)</f>
        <v/>
      </c>
      <c r="K1920" t="str">
        <f>IFERROR(IF(A1920="","",SUMIF(DB_Savings!$A:$A,A1920,DB_Savings!$F:$F)),"")</f>
        <v/>
      </c>
      <c r="L1920" t="str">
        <f>IFERROR(IF(A1920="","",SUMIF(DB_Withdrawals!$A:$A,A1920,DB_Withdrawals!$G:$G)),"")</f>
        <v/>
      </c>
      <c r="M1920" t="str">
        <f>IFERROR(IF(A1920="","",IFERROR(VALUE(H1920),0)+IFERROR(SUMIF(DB_Savings!$A:$A,A1920,DB_Savings!$F:$F),0)-IFERROR(SUMIF(DB_Withdrawals!$A:$A,A1920,DB_Withdrawals!$G:$G),0)),"")</f>
        <v/>
      </c>
      <c r="N1920" t="str">
        <f>IFERROR(IF(A1920="","",MAX(0,M1920-System_Config!$B$9)),"")</f>
        <v/>
      </c>
    </row>
    <row r="1921" spans="1:14" ht="15" customHeight="1" x14ac:dyDescent="0.25">
      <c r="A1921" t="str">
        <f>'NEW ACCOUNT'!A1922</f>
        <v/>
      </c>
      <c r="B1921" t="str">
        <f>IF('NEW ACCOUNT'!A1922="","",'NEW ACCOUNT'!B1922)</f>
        <v/>
      </c>
      <c r="C1921" t="str">
        <f>IF('NEW ACCOUNT'!A1922="","",'NEW ACCOUNT'!C1922)</f>
        <v/>
      </c>
      <c r="D1921" t="str">
        <f>IF('NEW ACCOUNT'!A1922="","",'NEW ACCOUNT'!D1922)</f>
        <v/>
      </c>
      <c r="E1921" t="str">
        <f>IF('NEW ACCOUNT'!A1922="","",'NEW ACCOUNT'!E1922)</f>
        <v/>
      </c>
      <c r="F1921" t="str">
        <f>IF('NEW ACCOUNT'!A1922="","",'NEW ACCOUNT'!F1922)</f>
        <v/>
      </c>
      <c r="G1921" t="str">
        <f>IF('NEW ACCOUNT'!A1922="","",'NEW ACCOUNT'!G1922)</f>
        <v/>
      </c>
      <c r="H1921" t="str">
        <f>IF('NEW ACCOUNT'!A1922="","",'NEW ACCOUNT'!H1922)</f>
        <v/>
      </c>
      <c r="I1921" t="str">
        <f>IF('NEW ACCOUNT'!A1922="","",'NEW ACCOUNT'!I1922)</f>
        <v/>
      </c>
      <c r="J1921" t="str">
        <f>IF('NEW ACCOUNT'!A1922="","",'NEW ACCOUNT'!J1922)</f>
        <v/>
      </c>
      <c r="K1921" t="str">
        <f>IFERROR(IF(A1921="","",SUMIF(DB_Savings!$A:$A,A1921,DB_Savings!$F:$F)),"")</f>
        <v/>
      </c>
      <c r="L1921" t="str">
        <f>IFERROR(IF(A1921="","",SUMIF(DB_Withdrawals!$A:$A,A1921,DB_Withdrawals!$G:$G)),"")</f>
        <v/>
      </c>
      <c r="M1921" t="str">
        <f>IFERROR(IF(A1921="","",IFERROR(VALUE(H1921),0)+IFERROR(SUMIF(DB_Savings!$A:$A,A1921,DB_Savings!$F:$F),0)-IFERROR(SUMIF(DB_Withdrawals!$A:$A,A1921,DB_Withdrawals!$G:$G),0)),"")</f>
        <v/>
      </c>
      <c r="N1921" t="str">
        <f>IFERROR(IF(A1921="","",MAX(0,M1921-System_Config!$B$9)),"")</f>
        <v/>
      </c>
    </row>
    <row r="1922" spans="1:14" ht="15" customHeight="1" x14ac:dyDescent="0.25">
      <c r="A1922" t="str">
        <f>'NEW ACCOUNT'!A1923</f>
        <v/>
      </c>
      <c r="B1922" t="str">
        <f>IF('NEW ACCOUNT'!A1923="","",'NEW ACCOUNT'!B1923)</f>
        <v/>
      </c>
      <c r="C1922" t="str">
        <f>IF('NEW ACCOUNT'!A1923="","",'NEW ACCOUNT'!C1923)</f>
        <v/>
      </c>
      <c r="D1922" t="str">
        <f>IF('NEW ACCOUNT'!A1923="","",'NEW ACCOUNT'!D1923)</f>
        <v/>
      </c>
      <c r="E1922" t="str">
        <f>IF('NEW ACCOUNT'!A1923="","",'NEW ACCOUNT'!E1923)</f>
        <v/>
      </c>
      <c r="F1922" t="str">
        <f>IF('NEW ACCOUNT'!A1923="","",'NEW ACCOUNT'!F1923)</f>
        <v/>
      </c>
      <c r="G1922" t="str">
        <f>IF('NEW ACCOUNT'!A1923="","",'NEW ACCOUNT'!G1923)</f>
        <v/>
      </c>
      <c r="H1922" t="str">
        <f>IF('NEW ACCOUNT'!A1923="","",'NEW ACCOUNT'!H1923)</f>
        <v/>
      </c>
      <c r="I1922" t="str">
        <f>IF('NEW ACCOUNT'!A1923="","",'NEW ACCOUNT'!I1923)</f>
        <v/>
      </c>
      <c r="J1922" t="str">
        <f>IF('NEW ACCOUNT'!A1923="","",'NEW ACCOUNT'!J1923)</f>
        <v/>
      </c>
      <c r="K1922" t="str">
        <f>IFERROR(IF(A1922="","",SUMIF(DB_Savings!$A:$A,A1922,DB_Savings!$F:$F)),"")</f>
        <v/>
      </c>
      <c r="L1922" t="str">
        <f>IFERROR(IF(A1922="","",SUMIF(DB_Withdrawals!$A:$A,A1922,DB_Withdrawals!$G:$G)),"")</f>
        <v/>
      </c>
      <c r="M1922" t="str">
        <f>IFERROR(IF(A1922="","",IFERROR(VALUE(H1922),0)+IFERROR(SUMIF(DB_Savings!$A:$A,A1922,DB_Savings!$F:$F),0)-IFERROR(SUMIF(DB_Withdrawals!$A:$A,A1922,DB_Withdrawals!$G:$G),0)),"")</f>
        <v/>
      </c>
      <c r="N1922" t="str">
        <f>IFERROR(IF(A1922="","",MAX(0,M1922-System_Config!$B$9)),"")</f>
        <v/>
      </c>
    </row>
    <row r="1923" spans="1:14" ht="15" customHeight="1" x14ac:dyDescent="0.25">
      <c r="A1923" t="str">
        <f>'NEW ACCOUNT'!A1924</f>
        <v/>
      </c>
      <c r="B1923" t="str">
        <f>IF('NEW ACCOUNT'!A1924="","",'NEW ACCOUNT'!B1924)</f>
        <v/>
      </c>
      <c r="C1923" t="str">
        <f>IF('NEW ACCOUNT'!A1924="","",'NEW ACCOUNT'!C1924)</f>
        <v/>
      </c>
      <c r="D1923" t="str">
        <f>IF('NEW ACCOUNT'!A1924="","",'NEW ACCOUNT'!D1924)</f>
        <v/>
      </c>
      <c r="E1923" t="str">
        <f>IF('NEW ACCOUNT'!A1924="","",'NEW ACCOUNT'!E1924)</f>
        <v/>
      </c>
      <c r="F1923" t="str">
        <f>IF('NEW ACCOUNT'!A1924="","",'NEW ACCOUNT'!F1924)</f>
        <v/>
      </c>
      <c r="G1923" t="str">
        <f>IF('NEW ACCOUNT'!A1924="","",'NEW ACCOUNT'!G1924)</f>
        <v/>
      </c>
      <c r="H1923" t="str">
        <f>IF('NEW ACCOUNT'!A1924="","",'NEW ACCOUNT'!H1924)</f>
        <v/>
      </c>
      <c r="I1923" t="str">
        <f>IF('NEW ACCOUNT'!A1924="","",'NEW ACCOUNT'!I1924)</f>
        <v/>
      </c>
      <c r="J1923" t="str">
        <f>IF('NEW ACCOUNT'!A1924="","",'NEW ACCOUNT'!J1924)</f>
        <v/>
      </c>
      <c r="K1923" t="str">
        <f>IFERROR(IF(A1923="","",SUMIF(DB_Savings!$A:$A,A1923,DB_Savings!$F:$F)),"")</f>
        <v/>
      </c>
      <c r="L1923" t="str">
        <f>IFERROR(IF(A1923="","",SUMIF(DB_Withdrawals!$A:$A,A1923,DB_Withdrawals!$G:$G)),"")</f>
        <v/>
      </c>
      <c r="M1923" t="str">
        <f>IFERROR(IF(A1923="","",IFERROR(VALUE(H1923),0)+IFERROR(SUMIF(DB_Savings!$A:$A,A1923,DB_Savings!$F:$F),0)-IFERROR(SUMIF(DB_Withdrawals!$A:$A,A1923,DB_Withdrawals!$G:$G),0)),"")</f>
        <v/>
      </c>
      <c r="N1923" t="str">
        <f>IFERROR(IF(A1923="","",MAX(0,M1923-System_Config!$B$9)),"")</f>
        <v/>
      </c>
    </row>
    <row r="1924" spans="1:14" ht="15" customHeight="1" x14ac:dyDescent="0.25">
      <c r="A1924" t="str">
        <f>'NEW ACCOUNT'!A1925</f>
        <v/>
      </c>
      <c r="B1924" t="str">
        <f>IF('NEW ACCOUNT'!A1925="","",'NEW ACCOUNT'!B1925)</f>
        <v/>
      </c>
      <c r="C1924" t="str">
        <f>IF('NEW ACCOUNT'!A1925="","",'NEW ACCOUNT'!C1925)</f>
        <v/>
      </c>
      <c r="D1924" t="str">
        <f>IF('NEW ACCOUNT'!A1925="","",'NEW ACCOUNT'!D1925)</f>
        <v/>
      </c>
      <c r="E1924" t="str">
        <f>IF('NEW ACCOUNT'!A1925="","",'NEW ACCOUNT'!E1925)</f>
        <v/>
      </c>
      <c r="F1924" t="str">
        <f>IF('NEW ACCOUNT'!A1925="","",'NEW ACCOUNT'!F1925)</f>
        <v/>
      </c>
      <c r="G1924" t="str">
        <f>IF('NEW ACCOUNT'!A1925="","",'NEW ACCOUNT'!G1925)</f>
        <v/>
      </c>
      <c r="H1924" t="str">
        <f>IF('NEW ACCOUNT'!A1925="","",'NEW ACCOUNT'!H1925)</f>
        <v/>
      </c>
      <c r="I1924" t="str">
        <f>IF('NEW ACCOUNT'!A1925="","",'NEW ACCOUNT'!I1925)</f>
        <v/>
      </c>
      <c r="J1924" t="str">
        <f>IF('NEW ACCOUNT'!A1925="","",'NEW ACCOUNT'!J1925)</f>
        <v/>
      </c>
      <c r="K1924" t="str">
        <f>IFERROR(IF(A1924="","",SUMIF(DB_Savings!$A:$A,A1924,DB_Savings!$F:$F)),"")</f>
        <v/>
      </c>
      <c r="L1924" t="str">
        <f>IFERROR(IF(A1924="","",SUMIF(DB_Withdrawals!$A:$A,A1924,DB_Withdrawals!$G:$G)),"")</f>
        <v/>
      </c>
      <c r="M1924" t="str">
        <f>IFERROR(IF(A1924="","",IFERROR(VALUE(H1924),0)+IFERROR(SUMIF(DB_Savings!$A:$A,A1924,DB_Savings!$F:$F),0)-IFERROR(SUMIF(DB_Withdrawals!$A:$A,A1924,DB_Withdrawals!$G:$G),0)),"")</f>
        <v/>
      </c>
      <c r="N1924" t="str">
        <f>IFERROR(IF(A1924="","",MAX(0,M1924-System_Config!$B$9)),"")</f>
        <v/>
      </c>
    </row>
    <row r="1925" spans="1:14" ht="15" customHeight="1" x14ac:dyDescent="0.25">
      <c r="A1925" t="str">
        <f>'NEW ACCOUNT'!A1926</f>
        <v/>
      </c>
      <c r="B1925" t="str">
        <f>IF('NEW ACCOUNT'!A1926="","",'NEW ACCOUNT'!B1926)</f>
        <v/>
      </c>
      <c r="C1925" t="str">
        <f>IF('NEW ACCOUNT'!A1926="","",'NEW ACCOUNT'!C1926)</f>
        <v/>
      </c>
      <c r="D1925" t="str">
        <f>IF('NEW ACCOUNT'!A1926="","",'NEW ACCOUNT'!D1926)</f>
        <v/>
      </c>
      <c r="E1925" t="str">
        <f>IF('NEW ACCOUNT'!A1926="","",'NEW ACCOUNT'!E1926)</f>
        <v/>
      </c>
      <c r="F1925" t="str">
        <f>IF('NEW ACCOUNT'!A1926="","",'NEW ACCOUNT'!F1926)</f>
        <v/>
      </c>
      <c r="G1925" t="str">
        <f>IF('NEW ACCOUNT'!A1926="","",'NEW ACCOUNT'!G1926)</f>
        <v/>
      </c>
      <c r="H1925" t="str">
        <f>IF('NEW ACCOUNT'!A1926="","",'NEW ACCOUNT'!H1926)</f>
        <v/>
      </c>
      <c r="I1925" t="str">
        <f>IF('NEW ACCOUNT'!A1926="","",'NEW ACCOUNT'!I1926)</f>
        <v/>
      </c>
      <c r="J1925" t="str">
        <f>IF('NEW ACCOUNT'!A1926="","",'NEW ACCOUNT'!J1926)</f>
        <v/>
      </c>
      <c r="K1925" t="str">
        <f>IFERROR(IF(A1925="","",SUMIF(DB_Savings!$A:$A,A1925,DB_Savings!$F:$F)),"")</f>
        <v/>
      </c>
      <c r="L1925" t="str">
        <f>IFERROR(IF(A1925="","",SUMIF(DB_Withdrawals!$A:$A,A1925,DB_Withdrawals!$G:$G)),"")</f>
        <v/>
      </c>
      <c r="M1925" t="str">
        <f>IFERROR(IF(A1925="","",IFERROR(VALUE(H1925),0)+IFERROR(SUMIF(DB_Savings!$A:$A,A1925,DB_Savings!$F:$F),0)-IFERROR(SUMIF(DB_Withdrawals!$A:$A,A1925,DB_Withdrawals!$G:$G),0)),"")</f>
        <v/>
      </c>
      <c r="N1925" t="str">
        <f>IFERROR(IF(A1925="","",MAX(0,M1925-System_Config!$B$9)),"")</f>
        <v/>
      </c>
    </row>
    <row r="1926" spans="1:14" ht="15" customHeight="1" x14ac:dyDescent="0.25">
      <c r="A1926" t="str">
        <f>'NEW ACCOUNT'!A1927</f>
        <v/>
      </c>
      <c r="B1926" t="str">
        <f>IF('NEW ACCOUNT'!A1927="","",'NEW ACCOUNT'!B1927)</f>
        <v/>
      </c>
      <c r="C1926" t="str">
        <f>IF('NEW ACCOUNT'!A1927="","",'NEW ACCOUNT'!C1927)</f>
        <v/>
      </c>
      <c r="D1926" t="str">
        <f>IF('NEW ACCOUNT'!A1927="","",'NEW ACCOUNT'!D1927)</f>
        <v/>
      </c>
      <c r="E1926" t="str">
        <f>IF('NEW ACCOUNT'!A1927="","",'NEW ACCOUNT'!E1927)</f>
        <v/>
      </c>
      <c r="F1926" t="str">
        <f>IF('NEW ACCOUNT'!A1927="","",'NEW ACCOUNT'!F1927)</f>
        <v/>
      </c>
      <c r="G1926" t="str">
        <f>IF('NEW ACCOUNT'!A1927="","",'NEW ACCOUNT'!G1927)</f>
        <v/>
      </c>
      <c r="H1926" t="str">
        <f>IF('NEW ACCOUNT'!A1927="","",'NEW ACCOUNT'!H1927)</f>
        <v/>
      </c>
      <c r="I1926" t="str">
        <f>IF('NEW ACCOUNT'!A1927="","",'NEW ACCOUNT'!I1927)</f>
        <v/>
      </c>
      <c r="J1926" t="str">
        <f>IF('NEW ACCOUNT'!A1927="","",'NEW ACCOUNT'!J1927)</f>
        <v/>
      </c>
      <c r="K1926" t="str">
        <f>IFERROR(IF(A1926="","",SUMIF(DB_Savings!$A:$A,A1926,DB_Savings!$F:$F)),"")</f>
        <v/>
      </c>
      <c r="L1926" t="str">
        <f>IFERROR(IF(A1926="","",SUMIF(DB_Withdrawals!$A:$A,A1926,DB_Withdrawals!$G:$G)),"")</f>
        <v/>
      </c>
      <c r="M1926" t="str">
        <f>IFERROR(IF(A1926="","",IFERROR(VALUE(H1926),0)+IFERROR(SUMIF(DB_Savings!$A:$A,A1926,DB_Savings!$F:$F),0)-IFERROR(SUMIF(DB_Withdrawals!$A:$A,A1926,DB_Withdrawals!$G:$G),0)),"")</f>
        <v/>
      </c>
      <c r="N1926" t="str">
        <f>IFERROR(IF(A1926="","",MAX(0,M1926-System_Config!$B$9)),"")</f>
        <v/>
      </c>
    </row>
    <row r="1927" spans="1:14" ht="15" customHeight="1" x14ac:dyDescent="0.25">
      <c r="A1927" t="str">
        <f>'NEW ACCOUNT'!A1928</f>
        <v/>
      </c>
      <c r="B1927" t="str">
        <f>IF('NEW ACCOUNT'!A1928="","",'NEW ACCOUNT'!B1928)</f>
        <v/>
      </c>
      <c r="C1927" t="str">
        <f>IF('NEW ACCOUNT'!A1928="","",'NEW ACCOUNT'!C1928)</f>
        <v/>
      </c>
      <c r="D1927" t="str">
        <f>IF('NEW ACCOUNT'!A1928="","",'NEW ACCOUNT'!D1928)</f>
        <v/>
      </c>
      <c r="E1927" t="str">
        <f>IF('NEW ACCOUNT'!A1928="","",'NEW ACCOUNT'!E1928)</f>
        <v/>
      </c>
      <c r="F1927" t="str">
        <f>IF('NEW ACCOUNT'!A1928="","",'NEW ACCOUNT'!F1928)</f>
        <v/>
      </c>
      <c r="G1927" t="str">
        <f>IF('NEW ACCOUNT'!A1928="","",'NEW ACCOUNT'!G1928)</f>
        <v/>
      </c>
      <c r="H1927" t="str">
        <f>IF('NEW ACCOUNT'!A1928="","",'NEW ACCOUNT'!H1928)</f>
        <v/>
      </c>
      <c r="I1927" t="str">
        <f>IF('NEW ACCOUNT'!A1928="","",'NEW ACCOUNT'!I1928)</f>
        <v/>
      </c>
      <c r="J1927" t="str">
        <f>IF('NEW ACCOUNT'!A1928="","",'NEW ACCOUNT'!J1928)</f>
        <v/>
      </c>
      <c r="K1927" t="str">
        <f>IFERROR(IF(A1927="","",SUMIF(DB_Savings!$A:$A,A1927,DB_Savings!$F:$F)),"")</f>
        <v/>
      </c>
      <c r="L1927" t="str">
        <f>IFERROR(IF(A1927="","",SUMIF(DB_Withdrawals!$A:$A,A1927,DB_Withdrawals!$G:$G)),"")</f>
        <v/>
      </c>
      <c r="M1927" t="str">
        <f>IFERROR(IF(A1927="","",IFERROR(VALUE(H1927),0)+IFERROR(SUMIF(DB_Savings!$A:$A,A1927,DB_Savings!$F:$F),0)-IFERROR(SUMIF(DB_Withdrawals!$A:$A,A1927,DB_Withdrawals!$G:$G),0)),"")</f>
        <v/>
      </c>
      <c r="N1927" t="str">
        <f>IFERROR(IF(A1927="","",MAX(0,M1927-System_Config!$B$9)),"")</f>
        <v/>
      </c>
    </row>
    <row r="1928" spans="1:14" ht="15" customHeight="1" x14ac:dyDescent="0.25">
      <c r="A1928" t="str">
        <f>'NEW ACCOUNT'!A1929</f>
        <v/>
      </c>
      <c r="B1928" t="str">
        <f>IF('NEW ACCOUNT'!A1929="","",'NEW ACCOUNT'!B1929)</f>
        <v/>
      </c>
      <c r="C1928" t="str">
        <f>IF('NEW ACCOUNT'!A1929="","",'NEW ACCOUNT'!C1929)</f>
        <v/>
      </c>
      <c r="D1928" t="str">
        <f>IF('NEW ACCOUNT'!A1929="","",'NEW ACCOUNT'!D1929)</f>
        <v/>
      </c>
      <c r="E1928" t="str">
        <f>IF('NEW ACCOUNT'!A1929="","",'NEW ACCOUNT'!E1929)</f>
        <v/>
      </c>
      <c r="F1928" t="str">
        <f>IF('NEW ACCOUNT'!A1929="","",'NEW ACCOUNT'!F1929)</f>
        <v/>
      </c>
      <c r="G1928" t="str">
        <f>IF('NEW ACCOUNT'!A1929="","",'NEW ACCOUNT'!G1929)</f>
        <v/>
      </c>
      <c r="H1928" t="str">
        <f>IF('NEW ACCOUNT'!A1929="","",'NEW ACCOUNT'!H1929)</f>
        <v/>
      </c>
      <c r="I1928" t="str">
        <f>IF('NEW ACCOUNT'!A1929="","",'NEW ACCOUNT'!I1929)</f>
        <v/>
      </c>
      <c r="J1928" t="str">
        <f>IF('NEW ACCOUNT'!A1929="","",'NEW ACCOUNT'!J1929)</f>
        <v/>
      </c>
      <c r="K1928" t="str">
        <f>IFERROR(IF(A1928="","",SUMIF(DB_Savings!$A:$A,A1928,DB_Savings!$F:$F)),"")</f>
        <v/>
      </c>
      <c r="L1928" t="str">
        <f>IFERROR(IF(A1928="","",SUMIF(DB_Withdrawals!$A:$A,A1928,DB_Withdrawals!$G:$G)),"")</f>
        <v/>
      </c>
      <c r="M1928" t="str">
        <f>IFERROR(IF(A1928="","",IFERROR(VALUE(H1928),0)+IFERROR(SUMIF(DB_Savings!$A:$A,A1928,DB_Savings!$F:$F),0)-IFERROR(SUMIF(DB_Withdrawals!$A:$A,A1928,DB_Withdrawals!$G:$G),0)),"")</f>
        <v/>
      </c>
      <c r="N1928" t="str">
        <f>IFERROR(IF(A1928="","",MAX(0,M1928-System_Config!$B$9)),"")</f>
        <v/>
      </c>
    </row>
    <row r="1929" spans="1:14" ht="15" customHeight="1" x14ac:dyDescent="0.25">
      <c r="A1929" t="str">
        <f>'NEW ACCOUNT'!A1930</f>
        <v/>
      </c>
      <c r="B1929" t="str">
        <f>IF('NEW ACCOUNT'!A1930="","",'NEW ACCOUNT'!B1930)</f>
        <v/>
      </c>
      <c r="C1929" t="str">
        <f>IF('NEW ACCOUNT'!A1930="","",'NEW ACCOUNT'!C1930)</f>
        <v/>
      </c>
      <c r="D1929" t="str">
        <f>IF('NEW ACCOUNT'!A1930="","",'NEW ACCOUNT'!D1930)</f>
        <v/>
      </c>
      <c r="E1929" t="str">
        <f>IF('NEW ACCOUNT'!A1930="","",'NEW ACCOUNT'!E1930)</f>
        <v/>
      </c>
      <c r="F1929" t="str">
        <f>IF('NEW ACCOUNT'!A1930="","",'NEW ACCOUNT'!F1930)</f>
        <v/>
      </c>
      <c r="G1929" t="str">
        <f>IF('NEW ACCOUNT'!A1930="","",'NEW ACCOUNT'!G1930)</f>
        <v/>
      </c>
      <c r="H1929" t="str">
        <f>IF('NEW ACCOUNT'!A1930="","",'NEW ACCOUNT'!H1930)</f>
        <v/>
      </c>
      <c r="I1929" t="str">
        <f>IF('NEW ACCOUNT'!A1930="","",'NEW ACCOUNT'!I1930)</f>
        <v/>
      </c>
      <c r="J1929" t="str">
        <f>IF('NEW ACCOUNT'!A1930="","",'NEW ACCOUNT'!J1930)</f>
        <v/>
      </c>
      <c r="K1929" t="str">
        <f>IFERROR(IF(A1929="","",SUMIF(DB_Savings!$A:$A,A1929,DB_Savings!$F:$F)),"")</f>
        <v/>
      </c>
      <c r="L1929" t="str">
        <f>IFERROR(IF(A1929="","",SUMIF(DB_Withdrawals!$A:$A,A1929,DB_Withdrawals!$G:$G)),"")</f>
        <v/>
      </c>
      <c r="M1929" t="str">
        <f>IFERROR(IF(A1929="","",IFERROR(VALUE(H1929),0)+IFERROR(SUMIF(DB_Savings!$A:$A,A1929,DB_Savings!$F:$F),0)-IFERROR(SUMIF(DB_Withdrawals!$A:$A,A1929,DB_Withdrawals!$G:$G),0)),"")</f>
        <v/>
      </c>
      <c r="N1929" t="str">
        <f>IFERROR(IF(A1929="","",MAX(0,M1929-System_Config!$B$9)),"")</f>
        <v/>
      </c>
    </row>
    <row r="1930" spans="1:14" ht="15" customHeight="1" x14ac:dyDescent="0.25">
      <c r="A1930" t="str">
        <f>'NEW ACCOUNT'!A1931</f>
        <v/>
      </c>
      <c r="B1930" t="str">
        <f>IF('NEW ACCOUNT'!A1931="","",'NEW ACCOUNT'!B1931)</f>
        <v/>
      </c>
      <c r="C1930" t="str">
        <f>IF('NEW ACCOUNT'!A1931="","",'NEW ACCOUNT'!C1931)</f>
        <v/>
      </c>
      <c r="D1930" t="str">
        <f>IF('NEW ACCOUNT'!A1931="","",'NEW ACCOUNT'!D1931)</f>
        <v/>
      </c>
      <c r="E1930" t="str">
        <f>IF('NEW ACCOUNT'!A1931="","",'NEW ACCOUNT'!E1931)</f>
        <v/>
      </c>
      <c r="F1930" t="str">
        <f>IF('NEW ACCOUNT'!A1931="","",'NEW ACCOUNT'!F1931)</f>
        <v/>
      </c>
      <c r="G1930" t="str">
        <f>IF('NEW ACCOUNT'!A1931="","",'NEW ACCOUNT'!G1931)</f>
        <v/>
      </c>
      <c r="H1930" t="str">
        <f>IF('NEW ACCOUNT'!A1931="","",'NEW ACCOUNT'!H1931)</f>
        <v/>
      </c>
      <c r="I1930" t="str">
        <f>IF('NEW ACCOUNT'!A1931="","",'NEW ACCOUNT'!I1931)</f>
        <v/>
      </c>
      <c r="J1930" t="str">
        <f>IF('NEW ACCOUNT'!A1931="","",'NEW ACCOUNT'!J1931)</f>
        <v/>
      </c>
      <c r="K1930" t="str">
        <f>IFERROR(IF(A1930="","",SUMIF(DB_Savings!$A:$A,A1930,DB_Savings!$F:$F)),"")</f>
        <v/>
      </c>
      <c r="L1930" t="str">
        <f>IFERROR(IF(A1930="","",SUMIF(DB_Withdrawals!$A:$A,A1930,DB_Withdrawals!$G:$G)),"")</f>
        <v/>
      </c>
      <c r="M1930" t="str">
        <f>IFERROR(IF(A1930="","",IFERROR(VALUE(H1930),0)+IFERROR(SUMIF(DB_Savings!$A:$A,A1930,DB_Savings!$F:$F),0)-IFERROR(SUMIF(DB_Withdrawals!$A:$A,A1930,DB_Withdrawals!$G:$G),0)),"")</f>
        <v/>
      </c>
      <c r="N1930" t="str">
        <f>IFERROR(IF(A1930="","",MAX(0,M1930-System_Config!$B$9)),"")</f>
        <v/>
      </c>
    </row>
    <row r="1931" spans="1:14" ht="15" customHeight="1" x14ac:dyDescent="0.25">
      <c r="A1931" t="str">
        <f>'NEW ACCOUNT'!A1932</f>
        <v/>
      </c>
      <c r="B1931" t="str">
        <f>IF('NEW ACCOUNT'!A1932="","",'NEW ACCOUNT'!B1932)</f>
        <v/>
      </c>
      <c r="C1931" t="str">
        <f>IF('NEW ACCOUNT'!A1932="","",'NEW ACCOUNT'!C1932)</f>
        <v/>
      </c>
      <c r="D1931" t="str">
        <f>IF('NEW ACCOUNT'!A1932="","",'NEW ACCOUNT'!D1932)</f>
        <v/>
      </c>
      <c r="E1931" t="str">
        <f>IF('NEW ACCOUNT'!A1932="","",'NEW ACCOUNT'!E1932)</f>
        <v/>
      </c>
      <c r="F1931" t="str">
        <f>IF('NEW ACCOUNT'!A1932="","",'NEW ACCOUNT'!F1932)</f>
        <v/>
      </c>
      <c r="G1931" t="str">
        <f>IF('NEW ACCOUNT'!A1932="","",'NEW ACCOUNT'!G1932)</f>
        <v/>
      </c>
      <c r="H1931" t="str">
        <f>IF('NEW ACCOUNT'!A1932="","",'NEW ACCOUNT'!H1932)</f>
        <v/>
      </c>
      <c r="I1931" t="str">
        <f>IF('NEW ACCOUNT'!A1932="","",'NEW ACCOUNT'!I1932)</f>
        <v/>
      </c>
      <c r="J1931" t="str">
        <f>IF('NEW ACCOUNT'!A1932="","",'NEW ACCOUNT'!J1932)</f>
        <v/>
      </c>
      <c r="K1931" t="str">
        <f>IFERROR(IF(A1931="","",SUMIF(DB_Savings!$A:$A,A1931,DB_Savings!$F:$F)),"")</f>
        <v/>
      </c>
      <c r="L1931" t="str">
        <f>IFERROR(IF(A1931="","",SUMIF(DB_Withdrawals!$A:$A,A1931,DB_Withdrawals!$G:$G)),"")</f>
        <v/>
      </c>
      <c r="M1931" t="str">
        <f>IFERROR(IF(A1931="","",IFERROR(VALUE(H1931),0)+IFERROR(SUMIF(DB_Savings!$A:$A,A1931,DB_Savings!$F:$F),0)-IFERROR(SUMIF(DB_Withdrawals!$A:$A,A1931,DB_Withdrawals!$G:$G),0)),"")</f>
        <v/>
      </c>
      <c r="N1931" t="str">
        <f>IFERROR(IF(A1931="","",MAX(0,M1931-System_Config!$B$9)),"")</f>
        <v/>
      </c>
    </row>
    <row r="1932" spans="1:14" ht="15" customHeight="1" x14ac:dyDescent="0.25">
      <c r="A1932" t="str">
        <f>'NEW ACCOUNT'!A1933</f>
        <v/>
      </c>
      <c r="B1932" t="str">
        <f>IF('NEW ACCOUNT'!A1933="","",'NEW ACCOUNT'!B1933)</f>
        <v/>
      </c>
      <c r="C1932" t="str">
        <f>IF('NEW ACCOUNT'!A1933="","",'NEW ACCOUNT'!C1933)</f>
        <v/>
      </c>
      <c r="D1932" t="str">
        <f>IF('NEW ACCOUNT'!A1933="","",'NEW ACCOUNT'!D1933)</f>
        <v/>
      </c>
      <c r="E1932" t="str">
        <f>IF('NEW ACCOUNT'!A1933="","",'NEW ACCOUNT'!E1933)</f>
        <v/>
      </c>
      <c r="F1932" t="str">
        <f>IF('NEW ACCOUNT'!A1933="","",'NEW ACCOUNT'!F1933)</f>
        <v/>
      </c>
      <c r="G1932" t="str">
        <f>IF('NEW ACCOUNT'!A1933="","",'NEW ACCOUNT'!G1933)</f>
        <v/>
      </c>
      <c r="H1932" t="str">
        <f>IF('NEW ACCOUNT'!A1933="","",'NEW ACCOUNT'!H1933)</f>
        <v/>
      </c>
      <c r="I1932" t="str">
        <f>IF('NEW ACCOUNT'!A1933="","",'NEW ACCOUNT'!I1933)</f>
        <v/>
      </c>
      <c r="J1932" t="str">
        <f>IF('NEW ACCOUNT'!A1933="","",'NEW ACCOUNT'!J1933)</f>
        <v/>
      </c>
      <c r="K1932" t="str">
        <f>IFERROR(IF(A1932="","",SUMIF(DB_Savings!$A:$A,A1932,DB_Savings!$F:$F)),"")</f>
        <v/>
      </c>
      <c r="L1932" t="str">
        <f>IFERROR(IF(A1932="","",SUMIF(DB_Withdrawals!$A:$A,A1932,DB_Withdrawals!$G:$G)),"")</f>
        <v/>
      </c>
      <c r="M1932" t="str">
        <f>IFERROR(IF(A1932="","",IFERROR(VALUE(H1932),0)+IFERROR(SUMIF(DB_Savings!$A:$A,A1932,DB_Savings!$F:$F),0)-IFERROR(SUMIF(DB_Withdrawals!$A:$A,A1932,DB_Withdrawals!$G:$G),0)),"")</f>
        <v/>
      </c>
      <c r="N1932" t="str">
        <f>IFERROR(IF(A1932="","",MAX(0,M1932-System_Config!$B$9)),"")</f>
        <v/>
      </c>
    </row>
    <row r="1933" spans="1:14" ht="15" customHeight="1" x14ac:dyDescent="0.25">
      <c r="A1933" t="str">
        <f>'NEW ACCOUNT'!A1934</f>
        <v/>
      </c>
      <c r="B1933" t="str">
        <f>IF('NEW ACCOUNT'!A1934="","",'NEW ACCOUNT'!B1934)</f>
        <v/>
      </c>
      <c r="C1933" t="str">
        <f>IF('NEW ACCOUNT'!A1934="","",'NEW ACCOUNT'!C1934)</f>
        <v/>
      </c>
      <c r="D1933" t="str">
        <f>IF('NEW ACCOUNT'!A1934="","",'NEW ACCOUNT'!D1934)</f>
        <v/>
      </c>
      <c r="E1933" t="str">
        <f>IF('NEW ACCOUNT'!A1934="","",'NEW ACCOUNT'!E1934)</f>
        <v/>
      </c>
      <c r="F1933" t="str">
        <f>IF('NEW ACCOUNT'!A1934="","",'NEW ACCOUNT'!F1934)</f>
        <v/>
      </c>
      <c r="G1933" t="str">
        <f>IF('NEW ACCOUNT'!A1934="","",'NEW ACCOUNT'!G1934)</f>
        <v/>
      </c>
      <c r="H1933" t="str">
        <f>IF('NEW ACCOUNT'!A1934="","",'NEW ACCOUNT'!H1934)</f>
        <v/>
      </c>
      <c r="I1933" t="str">
        <f>IF('NEW ACCOUNT'!A1934="","",'NEW ACCOUNT'!I1934)</f>
        <v/>
      </c>
      <c r="J1933" t="str">
        <f>IF('NEW ACCOUNT'!A1934="","",'NEW ACCOUNT'!J1934)</f>
        <v/>
      </c>
      <c r="K1933" t="str">
        <f>IFERROR(IF(A1933="","",SUMIF(DB_Savings!$A:$A,A1933,DB_Savings!$F:$F)),"")</f>
        <v/>
      </c>
      <c r="L1933" t="str">
        <f>IFERROR(IF(A1933="","",SUMIF(DB_Withdrawals!$A:$A,A1933,DB_Withdrawals!$G:$G)),"")</f>
        <v/>
      </c>
      <c r="M1933" t="str">
        <f>IFERROR(IF(A1933="","",IFERROR(VALUE(H1933),0)+IFERROR(SUMIF(DB_Savings!$A:$A,A1933,DB_Savings!$F:$F),0)-IFERROR(SUMIF(DB_Withdrawals!$A:$A,A1933,DB_Withdrawals!$G:$G),0)),"")</f>
        <v/>
      </c>
      <c r="N1933" t="str">
        <f>IFERROR(IF(A1933="","",MAX(0,M1933-System_Config!$B$9)),"")</f>
        <v/>
      </c>
    </row>
    <row r="1934" spans="1:14" ht="15" customHeight="1" x14ac:dyDescent="0.25">
      <c r="A1934" t="str">
        <f>'NEW ACCOUNT'!A1935</f>
        <v/>
      </c>
      <c r="B1934" t="str">
        <f>IF('NEW ACCOUNT'!A1935="","",'NEW ACCOUNT'!B1935)</f>
        <v/>
      </c>
      <c r="C1934" t="str">
        <f>IF('NEW ACCOUNT'!A1935="","",'NEW ACCOUNT'!C1935)</f>
        <v/>
      </c>
      <c r="D1934" t="str">
        <f>IF('NEW ACCOUNT'!A1935="","",'NEW ACCOUNT'!D1935)</f>
        <v/>
      </c>
      <c r="E1934" t="str">
        <f>IF('NEW ACCOUNT'!A1935="","",'NEW ACCOUNT'!E1935)</f>
        <v/>
      </c>
      <c r="F1934" t="str">
        <f>IF('NEW ACCOUNT'!A1935="","",'NEW ACCOUNT'!F1935)</f>
        <v/>
      </c>
      <c r="G1934" t="str">
        <f>IF('NEW ACCOUNT'!A1935="","",'NEW ACCOUNT'!G1935)</f>
        <v/>
      </c>
      <c r="H1934" t="str">
        <f>IF('NEW ACCOUNT'!A1935="","",'NEW ACCOUNT'!H1935)</f>
        <v/>
      </c>
      <c r="I1934" t="str">
        <f>IF('NEW ACCOUNT'!A1935="","",'NEW ACCOUNT'!I1935)</f>
        <v/>
      </c>
      <c r="J1934" t="str">
        <f>IF('NEW ACCOUNT'!A1935="","",'NEW ACCOUNT'!J1935)</f>
        <v/>
      </c>
      <c r="K1934" t="str">
        <f>IFERROR(IF(A1934="","",SUMIF(DB_Savings!$A:$A,A1934,DB_Savings!$F:$F)),"")</f>
        <v/>
      </c>
      <c r="L1934" t="str">
        <f>IFERROR(IF(A1934="","",SUMIF(DB_Withdrawals!$A:$A,A1934,DB_Withdrawals!$G:$G)),"")</f>
        <v/>
      </c>
      <c r="M1934" t="str">
        <f>IFERROR(IF(A1934="","",IFERROR(VALUE(H1934),0)+IFERROR(SUMIF(DB_Savings!$A:$A,A1934,DB_Savings!$F:$F),0)-IFERROR(SUMIF(DB_Withdrawals!$A:$A,A1934,DB_Withdrawals!$G:$G),0)),"")</f>
        <v/>
      </c>
      <c r="N1934" t="str">
        <f>IFERROR(IF(A1934="","",MAX(0,M1934-System_Config!$B$9)),"")</f>
        <v/>
      </c>
    </row>
    <row r="1935" spans="1:14" ht="15" customHeight="1" x14ac:dyDescent="0.25">
      <c r="A1935" t="str">
        <f>'NEW ACCOUNT'!A1936</f>
        <v/>
      </c>
      <c r="B1935" t="str">
        <f>IF('NEW ACCOUNT'!A1936="","",'NEW ACCOUNT'!B1936)</f>
        <v/>
      </c>
      <c r="C1935" t="str">
        <f>IF('NEW ACCOUNT'!A1936="","",'NEW ACCOUNT'!C1936)</f>
        <v/>
      </c>
      <c r="D1935" t="str">
        <f>IF('NEW ACCOUNT'!A1936="","",'NEW ACCOUNT'!D1936)</f>
        <v/>
      </c>
      <c r="E1935" t="str">
        <f>IF('NEW ACCOUNT'!A1936="","",'NEW ACCOUNT'!E1936)</f>
        <v/>
      </c>
      <c r="F1935" t="str">
        <f>IF('NEW ACCOUNT'!A1936="","",'NEW ACCOUNT'!F1936)</f>
        <v/>
      </c>
      <c r="G1935" t="str">
        <f>IF('NEW ACCOUNT'!A1936="","",'NEW ACCOUNT'!G1936)</f>
        <v/>
      </c>
      <c r="H1935" t="str">
        <f>IF('NEW ACCOUNT'!A1936="","",'NEW ACCOUNT'!H1936)</f>
        <v/>
      </c>
      <c r="I1935" t="str">
        <f>IF('NEW ACCOUNT'!A1936="","",'NEW ACCOUNT'!I1936)</f>
        <v/>
      </c>
      <c r="J1935" t="str">
        <f>IF('NEW ACCOUNT'!A1936="","",'NEW ACCOUNT'!J1936)</f>
        <v/>
      </c>
      <c r="K1935" t="str">
        <f>IFERROR(IF(A1935="","",SUMIF(DB_Savings!$A:$A,A1935,DB_Savings!$F:$F)),"")</f>
        <v/>
      </c>
      <c r="L1935" t="str">
        <f>IFERROR(IF(A1935="","",SUMIF(DB_Withdrawals!$A:$A,A1935,DB_Withdrawals!$G:$G)),"")</f>
        <v/>
      </c>
      <c r="M1935" t="str">
        <f>IFERROR(IF(A1935="","",IFERROR(VALUE(H1935),0)+IFERROR(SUMIF(DB_Savings!$A:$A,A1935,DB_Savings!$F:$F),0)-IFERROR(SUMIF(DB_Withdrawals!$A:$A,A1935,DB_Withdrawals!$G:$G),0)),"")</f>
        <v/>
      </c>
      <c r="N1935" t="str">
        <f>IFERROR(IF(A1935="","",MAX(0,M1935-System_Config!$B$9)),"")</f>
        <v/>
      </c>
    </row>
    <row r="1936" spans="1:14" ht="15" customHeight="1" x14ac:dyDescent="0.25">
      <c r="A1936" t="str">
        <f>'NEW ACCOUNT'!A1937</f>
        <v/>
      </c>
      <c r="B1936" t="str">
        <f>IF('NEW ACCOUNT'!A1937="","",'NEW ACCOUNT'!B1937)</f>
        <v/>
      </c>
      <c r="C1936" t="str">
        <f>IF('NEW ACCOUNT'!A1937="","",'NEW ACCOUNT'!C1937)</f>
        <v/>
      </c>
      <c r="D1936" t="str">
        <f>IF('NEW ACCOUNT'!A1937="","",'NEW ACCOUNT'!D1937)</f>
        <v/>
      </c>
      <c r="E1936" t="str">
        <f>IF('NEW ACCOUNT'!A1937="","",'NEW ACCOUNT'!E1937)</f>
        <v/>
      </c>
      <c r="F1936" t="str">
        <f>IF('NEW ACCOUNT'!A1937="","",'NEW ACCOUNT'!F1937)</f>
        <v/>
      </c>
      <c r="G1936" t="str">
        <f>IF('NEW ACCOUNT'!A1937="","",'NEW ACCOUNT'!G1937)</f>
        <v/>
      </c>
      <c r="H1936" t="str">
        <f>IF('NEW ACCOUNT'!A1937="","",'NEW ACCOUNT'!H1937)</f>
        <v/>
      </c>
      <c r="I1936" t="str">
        <f>IF('NEW ACCOUNT'!A1937="","",'NEW ACCOUNT'!I1937)</f>
        <v/>
      </c>
      <c r="J1936" t="str">
        <f>IF('NEW ACCOUNT'!A1937="","",'NEW ACCOUNT'!J1937)</f>
        <v/>
      </c>
      <c r="K1936" t="str">
        <f>IFERROR(IF(A1936="","",SUMIF(DB_Savings!$A:$A,A1936,DB_Savings!$F:$F)),"")</f>
        <v/>
      </c>
      <c r="L1936" t="str">
        <f>IFERROR(IF(A1936="","",SUMIF(DB_Withdrawals!$A:$A,A1936,DB_Withdrawals!$G:$G)),"")</f>
        <v/>
      </c>
      <c r="M1936" t="str">
        <f>IFERROR(IF(A1936="","",IFERROR(VALUE(H1936),0)+IFERROR(SUMIF(DB_Savings!$A:$A,A1936,DB_Savings!$F:$F),0)-IFERROR(SUMIF(DB_Withdrawals!$A:$A,A1936,DB_Withdrawals!$G:$G),0)),"")</f>
        <v/>
      </c>
      <c r="N1936" t="str">
        <f>IFERROR(IF(A1936="","",MAX(0,M1936-System_Config!$B$9)),"")</f>
        <v/>
      </c>
    </row>
    <row r="1937" spans="1:14" ht="15" customHeight="1" x14ac:dyDescent="0.25">
      <c r="A1937" t="str">
        <f>'NEW ACCOUNT'!A1938</f>
        <v/>
      </c>
      <c r="B1937" t="str">
        <f>IF('NEW ACCOUNT'!A1938="","",'NEW ACCOUNT'!B1938)</f>
        <v/>
      </c>
      <c r="C1937" t="str">
        <f>IF('NEW ACCOUNT'!A1938="","",'NEW ACCOUNT'!C1938)</f>
        <v/>
      </c>
      <c r="D1937" t="str">
        <f>IF('NEW ACCOUNT'!A1938="","",'NEW ACCOUNT'!D1938)</f>
        <v/>
      </c>
      <c r="E1937" t="str">
        <f>IF('NEW ACCOUNT'!A1938="","",'NEW ACCOUNT'!E1938)</f>
        <v/>
      </c>
      <c r="F1937" t="str">
        <f>IF('NEW ACCOUNT'!A1938="","",'NEW ACCOUNT'!F1938)</f>
        <v/>
      </c>
      <c r="G1937" t="str">
        <f>IF('NEW ACCOUNT'!A1938="","",'NEW ACCOUNT'!G1938)</f>
        <v/>
      </c>
      <c r="H1937" t="str">
        <f>IF('NEW ACCOUNT'!A1938="","",'NEW ACCOUNT'!H1938)</f>
        <v/>
      </c>
      <c r="I1937" t="str">
        <f>IF('NEW ACCOUNT'!A1938="","",'NEW ACCOUNT'!I1938)</f>
        <v/>
      </c>
      <c r="J1937" t="str">
        <f>IF('NEW ACCOUNT'!A1938="","",'NEW ACCOUNT'!J1938)</f>
        <v/>
      </c>
      <c r="K1937" t="str">
        <f>IFERROR(IF(A1937="","",SUMIF(DB_Savings!$A:$A,A1937,DB_Savings!$F:$F)),"")</f>
        <v/>
      </c>
      <c r="L1937" t="str">
        <f>IFERROR(IF(A1937="","",SUMIF(DB_Withdrawals!$A:$A,A1937,DB_Withdrawals!$G:$G)),"")</f>
        <v/>
      </c>
      <c r="M1937" t="str">
        <f>IFERROR(IF(A1937="","",IFERROR(VALUE(H1937),0)+IFERROR(SUMIF(DB_Savings!$A:$A,A1937,DB_Savings!$F:$F),0)-IFERROR(SUMIF(DB_Withdrawals!$A:$A,A1937,DB_Withdrawals!$G:$G),0)),"")</f>
        <v/>
      </c>
      <c r="N1937" t="str">
        <f>IFERROR(IF(A1937="","",MAX(0,M1937-System_Config!$B$9)),"")</f>
        <v/>
      </c>
    </row>
    <row r="1938" spans="1:14" ht="15" customHeight="1" x14ac:dyDescent="0.25">
      <c r="A1938" t="str">
        <f>'NEW ACCOUNT'!A1939</f>
        <v/>
      </c>
      <c r="B1938" t="str">
        <f>IF('NEW ACCOUNT'!A1939="","",'NEW ACCOUNT'!B1939)</f>
        <v/>
      </c>
      <c r="C1938" t="str">
        <f>IF('NEW ACCOUNT'!A1939="","",'NEW ACCOUNT'!C1939)</f>
        <v/>
      </c>
      <c r="D1938" t="str">
        <f>IF('NEW ACCOUNT'!A1939="","",'NEW ACCOUNT'!D1939)</f>
        <v/>
      </c>
      <c r="E1938" t="str">
        <f>IF('NEW ACCOUNT'!A1939="","",'NEW ACCOUNT'!E1939)</f>
        <v/>
      </c>
      <c r="F1938" t="str">
        <f>IF('NEW ACCOUNT'!A1939="","",'NEW ACCOUNT'!F1939)</f>
        <v/>
      </c>
      <c r="G1938" t="str">
        <f>IF('NEW ACCOUNT'!A1939="","",'NEW ACCOUNT'!G1939)</f>
        <v/>
      </c>
      <c r="H1938" t="str">
        <f>IF('NEW ACCOUNT'!A1939="","",'NEW ACCOUNT'!H1939)</f>
        <v/>
      </c>
      <c r="I1938" t="str">
        <f>IF('NEW ACCOUNT'!A1939="","",'NEW ACCOUNT'!I1939)</f>
        <v/>
      </c>
      <c r="J1938" t="str">
        <f>IF('NEW ACCOUNT'!A1939="","",'NEW ACCOUNT'!J1939)</f>
        <v/>
      </c>
      <c r="K1938" t="str">
        <f>IFERROR(IF(A1938="","",SUMIF(DB_Savings!$A:$A,A1938,DB_Savings!$F:$F)),"")</f>
        <v/>
      </c>
      <c r="L1938" t="str">
        <f>IFERROR(IF(A1938="","",SUMIF(DB_Withdrawals!$A:$A,A1938,DB_Withdrawals!$G:$G)),"")</f>
        <v/>
      </c>
      <c r="M1938" t="str">
        <f>IFERROR(IF(A1938="","",IFERROR(VALUE(H1938),0)+IFERROR(SUMIF(DB_Savings!$A:$A,A1938,DB_Savings!$F:$F),0)-IFERROR(SUMIF(DB_Withdrawals!$A:$A,A1938,DB_Withdrawals!$G:$G),0)),"")</f>
        <v/>
      </c>
      <c r="N1938" t="str">
        <f>IFERROR(IF(A1938="","",MAX(0,M1938-System_Config!$B$9)),"")</f>
        <v/>
      </c>
    </row>
    <row r="1939" spans="1:14" ht="15" customHeight="1" x14ac:dyDescent="0.25">
      <c r="A1939" t="str">
        <f>'NEW ACCOUNT'!A1940</f>
        <v/>
      </c>
      <c r="B1939" t="str">
        <f>IF('NEW ACCOUNT'!A1940="","",'NEW ACCOUNT'!B1940)</f>
        <v/>
      </c>
      <c r="C1939" t="str">
        <f>IF('NEW ACCOUNT'!A1940="","",'NEW ACCOUNT'!C1940)</f>
        <v/>
      </c>
      <c r="D1939" t="str">
        <f>IF('NEW ACCOUNT'!A1940="","",'NEW ACCOUNT'!D1940)</f>
        <v/>
      </c>
      <c r="E1939" t="str">
        <f>IF('NEW ACCOUNT'!A1940="","",'NEW ACCOUNT'!E1940)</f>
        <v/>
      </c>
      <c r="F1939" t="str">
        <f>IF('NEW ACCOUNT'!A1940="","",'NEW ACCOUNT'!F1940)</f>
        <v/>
      </c>
      <c r="G1939" t="str">
        <f>IF('NEW ACCOUNT'!A1940="","",'NEW ACCOUNT'!G1940)</f>
        <v/>
      </c>
      <c r="H1939" t="str">
        <f>IF('NEW ACCOUNT'!A1940="","",'NEW ACCOUNT'!H1940)</f>
        <v/>
      </c>
      <c r="I1939" t="str">
        <f>IF('NEW ACCOUNT'!A1940="","",'NEW ACCOUNT'!I1940)</f>
        <v/>
      </c>
      <c r="J1939" t="str">
        <f>IF('NEW ACCOUNT'!A1940="","",'NEW ACCOUNT'!J1940)</f>
        <v/>
      </c>
      <c r="K1939" t="str">
        <f>IFERROR(IF(A1939="","",SUMIF(DB_Savings!$A:$A,A1939,DB_Savings!$F:$F)),"")</f>
        <v/>
      </c>
      <c r="L1939" t="str">
        <f>IFERROR(IF(A1939="","",SUMIF(DB_Withdrawals!$A:$A,A1939,DB_Withdrawals!$G:$G)),"")</f>
        <v/>
      </c>
      <c r="M1939" t="str">
        <f>IFERROR(IF(A1939="","",IFERROR(VALUE(H1939),0)+IFERROR(SUMIF(DB_Savings!$A:$A,A1939,DB_Savings!$F:$F),0)-IFERROR(SUMIF(DB_Withdrawals!$A:$A,A1939,DB_Withdrawals!$G:$G),0)),"")</f>
        <v/>
      </c>
      <c r="N1939" t="str">
        <f>IFERROR(IF(A1939="","",MAX(0,M1939-System_Config!$B$9)),"")</f>
        <v/>
      </c>
    </row>
    <row r="1940" spans="1:14" ht="15" customHeight="1" x14ac:dyDescent="0.25">
      <c r="A1940" t="str">
        <f>'NEW ACCOUNT'!A1941</f>
        <v/>
      </c>
      <c r="B1940" t="str">
        <f>IF('NEW ACCOUNT'!A1941="","",'NEW ACCOUNT'!B1941)</f>
        <v/>
      </c>
      <c r="C1940" t="str">
        <f>IF('NEW ACCOUNT'!A1941="","",'NEW ACCOUNT'!C1941)</f>
        <v/>
      </c>
      <c r="D1940" t="str">
        <f>IF('NEW ACCOUNT'!A1941="","",'NEW ACCOUNT'!D1941)</f>
        <v/>
      </c>
      <c r="E1940" t="str">
        <f>IF('NEW ACCOUNT'!A1941="","",'NEW ACCOUNT'!E1941)</f>
        <v/>
      </c>
      <c r="F1940" t="str">
        <f>IF('NEW ACCOUNT'!A1941="","",'NEW ACCOUNT'!F1941)</f>
        <v/>
      </c>
      <c r="G1940" t="str">
        <f>IF('NEW ACCOUNT'!A1941="","",'NEW ACCOUNT'!G1941)</f>
        <v/>
      </c>
      <c r="H1940" t="str">
        <f>IF('NEW ACCOUNT'!A1941="","",'NEW ACCOUNT'!H1941)</f>
        <v/>
      </c>
      <c r="I1940" t="str">
        <f>IF('NEW ACCOUNT'!A1941="","",'NEW ACCOUNT'!I1941)</f>
        <v/>
      </c>
      <c r="J1940" t="str">
        <f>IF('NEW ACCOUNT'!A1941="","",'NEW ACCOUNT'!J1941)</f>
        <v/>
      </c>
      <c r="K1940" t="str">
        <f>IFERROR(IF(A1940="","",SUMIF(DB_Savings!$A:$A,A1940,DB_Savings!$F:$F)),"")</f>
        <v/>
      </c>
      <c r="L1940" t="str">
        <f>IFERROR(IF(A1940="","",SUMIF(DB_Withdrawals!$A:$A,A1940,DB_Withdrawals!$G:$G)),"")</f>
        <v/>
      </c>
      <c r="M1940" t="str">
        <f>IFERROR(IF(A1940="","",IFERROR(VALUE(H1940),0)+IFERROR(SUMIF(DB_Savings!$A:$A,A1940,DB_Savings!$F:$F),0)-IFERROR(SUMIF(DB_Withdrawals!$A:$A,A1940,DB_Withdrawals!$G:$G),0)),"")</f>
        <v/>
      </c>
      <c r="N1940" t="str">
        <f>IFERROR(IF(A1940="","",MAX(0,M1940-System_Config!$B$9)),"")</f>
        <v/>
      </c>
    </row>
    <row r="1941" spans="1:14" ht="15" customHeight="1" x14ac:dyDescent="0.25">
      <c r="A1941" t="str">
        <f>'NEW ACCOUNT'!A1942</f>
        <v/>
      </c>
      <c r="B1941" t="str">
        <f>IF('NEW ACCOUNT'!A1942="","",'NEW ACCOUNT'!B1942)</f>
        <v/>
      </c>
      <c r="C1941" t="str">
        <f>IF('NEW ACCOUNT'!A1942="","",'NEW ACCOUNT'!C1942)</f>
        <v/>
      </c>
      <c r="D1941" t="str">
        <f>IF('NEW ACCOUNT'!A1942="","",'NEW ACCOUNT'!D1942)</f>
        <v/>
      </c>
      <c r="E1941" t="str">
        <f>IF('NEW ACCOUNT'!A1942="","",'NEW ACCOUNT'!E1942)</f>
        <v/>
      </c>
      <c r="F1941" t="str">
        <f>IF('NEW ACCOUNT'!A1942="","",'NEW ACCOUNT'!F1942)</f>
        <v/>
      </c>
      <c r="G1941" t="str">
        <f>IF('NEW ACCOUNT'!A1942="","",'NEW ACCOUNT'!G1942)</f>
        <v/>
      </c>
      <c r="H1941" t="str">
        <f>IF('NEW ACCOUNT'!A1942="","",'NEW ACCOUNT'!H1942)</f>
        <v/>
      </c>
      <c r="I1941" t="str">
        <f>IF('NEW ACCOUNT'!A1942="","",'NEW ACCOUNT'!I1942)</f>
        <v/>
      </c>
      <c r="J1941" t="str">
        <f>IF('NEW ACCOUNT'!A1942="","",'NEW ACCOUNT'!J1942)</f>
        <v/>
      </c>
      <c r="K1941" t="str">
        <f>IFERROR(IF(A1941="","",SUMIF(DB_Savings!$A:$A,A1941,DB_Savings!$F:$F)),"")</f>
        <v/>
      </c>
      <c r="L1941" t="str">
        <f>IFERROR(IF(A1941="","",SUMIF(DB_Withdrawals!$A:$A,A1941,DB_Withdrawals!$G:$G)),"")</f>
        <v/>
      </c>
      <c r="M1941" t="str">
        <f>IFERROR(IF(A1941="","",IFERROR(VALUE(H1941),0)+IFERROR(SUMIF(DB_Savings!$A:$A,A1941,DB_Savings!$F:$F),0)-IFERROR(SUMIF(DB_Withdrawals!$A:$A,A1941,DB_Withdrawals!$G:$G),0)),"")</f>
        <v/>
      </c>
      <c r="N1941" t="str">
        <f>IFERROR(IF(A1941="","",MAX(0,M1941-System_Config!$B$9)),"")</f>
        <v/>
      </c>
    </row>
    <row r="1942" spans="1:14" ht="15" customHeight="1" x14ac:dyDescent="0.25">
      <c r="A1942" t="str">
        <f>'NEW ACCOUNT'!A1943</f>
        <v/>
      </c>
      <c r="B1942" t="str">
        <f>IF('NEW ACCOUNT'!A1943="","",'NEW ACCOUNT'!B1943)</f>
        <v/>
      </c>
      <c r="C1942" t="str">
        <f>IF('NEW ACCOUNT'!A1943="","",'NEW ACCOUNT'!C1943)</f>
        <v/>
      </c>
      <c r="D1942" t="str">
        <f>IF('NEW ACCOUNT'!A1943="","",'NEW ACCOUNT'!D1943)</f>
        <v/>
      </c>
      <c r="E1942" t="str">
        <f>IF('NEW ACCOUNT'!A1943="","",'NEW ACCOUNT'!E1943)</f>
        <v/>
      </c>
      <c r="F1942" t="str">
        <f>IF('NEW ACCOUNT'!A1943="","",'NEW ACCOUNT'!F1943)</f>
        <v/>
      </c>
      <c r="G1942" t="str">
        <f>IF('NEW ACCOUNT'!A1943="","",'NEW ACCOUNT'!G1943)</f>
        <v/>
      </c>
      <c r="H1942" t="str">
        <f>IF('NEW ACCOUNT'!A1943="","",'NEW ACCOUNT'!H1943)</f>
        <v/>
      </c>
      <c r="I1942" t="str">
        <f>IF('NEW ACCOUNT'!A1943="","",'NEW ACCOUNT'!I1943)</f>
        <v/>
      </c>
      <c r="J1942" t="str">
        <f>IF('NEW ACCOUNT'!A1943="","",'NEW ACCOUNT'!J1943)</f>
        <v/>
      </c>
      <c r="K1942" t="str">
        <f>IFERROR(IF(A1942="","",SUMIF(DB_Savings!$A:$A,A1942,DB_Savings!$F:$F)),"")</f>
        <v/>
      </c>
      <c r="L1942" t="str">
        <f>IFERROR(IF(A1942="","",SUMIF(DB_Withdrawals!$A:$A,A1942,DB_Withdrawals!$G:$G)),"")</f>
        <v/>
      </c>
      <c r="M1942" t="str">
        <f>IFERROR(IF(A1942="","",IFERROR(VALUE(H1942),0)+IFERROR(SUMIF(DB_Savings!$A:$A,A1942,DB_Savings!$F:$F),0)-IFERROR(SUMIF(DB_Withdrawals!$A:$A,A1942,DB_Withdrawals!$G:$G),0)),"")</f>
        <v/>
      </c>
      <c r="N1942" t="str">
        <f>IFERROR(IF(A1942="","",MAX(0,M1942-System_Config!$B$9)),"")</f>
        <v/>
      </c>
    </row>
    <row r="1943" spans="1:14" ht="15" customHeight="1" x14ac:dyDescent="0.25">
      <c r="A1943" t="str">
        <f>'NEW ACCOUNT'!A1944</f>
        <v/>
      </c>
      <c r="B1943" t="str">
        <f>IF('NEW ACCOUNT'!A1944="","",'NEW ACCOUNT'!B1944)</f>
        <v/>
      </c>
      <c r="C1943" t="str">
        <f>IF('NEW ACCOUNT'!A1944="","",'NEW ACCOUNT'!C1944)</f>
        <v/>
      </c>
      <c r="D1943" t="str">
        <f>IF('NEW ACCOUNT'!A1944="","",'NEW ACCOUNT'!D1944)</f>
        <v/>
      </c>
      <c r="E1943" t="str">
        <f>IF('NEW ACCOUNT'!A1944="","",'NEW ACCOUNT'!E1944)</f>
        <v/>
      </c>
      <c r="F1943" t="str">
        <f>IF('NEW ACCOUNT'!A1944="","",'NEW ACCOUNT'!F1944)</f>
        <v/>
      </c>
      <c r="G1943" t="str">
        <f>IF('NEW ACCOUNT'!A1944="","",'NEW ACCOUNT'!G1944)</f>
        <v/>
      </c>
      <c r="H1943" t="str">
        <f>IF('NEW ACCOUNT'!A1944="","",'NEW ACCOUNT'!H1944)</f>
        <v/>
      </c>
      <c r="I1943" t="str">
        <f>IF('NEW ACCOUNT'!A1944="","",'NEW ACCOUNT'!I1944)</f>
        <v/>
      </c>
      <c r="J1943" t="str">
        <f>IF('NEW ACCOUNT'!A1944="","",'NEW ACCOUNT'!J1944)</f>
        <v/>
      </c>
      <c r="K1943" t="str">
        <f>IFERROR(IF(A1943="","",SUMIF(DB_Savings!$A:$A,A1943,DB_Savings!$F:$F)),"")</f>
        <v/>
      </c>
      <c r="L1943" t="str">
        <f>IFERROR(IF(A1943="","",SUMIF(DB_Withdrawals!$A:$A,A1943,DB_Withdrawals!$G:$G)),"")</f>
        <v/>
      </c>
      <c r="M1943" t="str">
        <f>IFERROR(IF(A1943="","",IFERROR(VALUE(H1943),0)+IFERROR(SUMIF(DB_Savings!$A:$A,A1943,DB_Savings!$F:$F),0)-IFERROR(SUMIF(DB_Withdrawals!$A:$A,A1943,DB_Withdrawals!$G:$G),0)),"")</f>
        <v/>
      </c>
      <c r="N1943" t="str">
        <f>IFERROR(IF(A1943="","",MAX(0,M1943-System_Config!$B$9)),"")</f>
        <v/>
      </c>
    </row>
    <row r="1944" spans="1:14" ht="15" customHeight="1" x14ac:dyDescent="0.25">
      <c r="A1944" t="str">
        <f>'NEW ACCOUNT'!A1945</f>
        <v/>
      </c>
      <c r="B1944" t="str">
        <f>IF('NEW ACCOUNT'!A1945="","",'NEW ACCOUNT'!B1945)</f>
        <v/>
      </c>
      <c r="C1944" t="str">
        <f>IF('NEW ACCOUNT'!A1945="","",'NEW ACCOUNT'!C1945)</f>
        <v/>
      </c>
      <c r="D1944" t="str">
        <f>IF('NEW ACCOUNT'!A1945="","",'NEW ACCOUNT'!D1945)</f>
        <v/>
      </c>
      <c r="E1944" t="str">
        <f>IF('NEW ACCOUNT'!A1945="","",'NEW ACCOUNT'!E1945)</f>
        <v/>
      </c>
      <c r="F1944" t="str">
        <f>IF('NEW ACCOUNT'!A1945="","",'NEW ACCOUNT'!F1945)</f>
        <v/>
      </c>
      <c r="G1944" t="str">
        <f>IF('NEW ACCOUNT'!A1945="","",'NEW ACCOUNT'!G1945)</f>
        <v/>
      </c>
      <c r="H1944" t="str">
        <f>IF('NEW ACCOUNT'!A1945="","",'NEW ACCOUNT'!H1945)</f>
        <v/>
      </c>
      <c r="I1944" t="str">
        <f>IF('NEW ACCOUNT'!A1945="","",'NEW ACCOUNT'!I1945)</f>
        <v/>
      </c>
      <c r="J1944" t="str">
        <f>IF('NEW ACCOUNT'!A1945="","",'NEW ACCOUNT'!J1945)</f>
        <v/>
      </c>
      <c r="K1944" t="str">
        <f>IFERROR(IF(A1944="","",SUMIF(DB_Savings!$A:$A,A1944,DB_Savings!$F:$F)),"")</f>
        <v/>
      </c>
      <c r="L1944" t="str">
        <f>IFERROR(IF(A1944="","",SUMIF(DB_Withdrawals!$A:$A,A1944,DB_Withdrawals!$G:$G)),"")</f>
        <v/>
      </c>
      <c r="M1944" t="str">
        <f>IFERROR(IF(A1944="","",IFERROR(VALUE(H1944),0)+IFERROR(SUMIF(DB_Savings!$A:$A,A1944,DB_Savings!$F:$F),0)-IFERROR(SUMIF(DB_Withdrawals!$A:$A,A1944,DB_Withdrawals!$G:$G),0)),"")</f>
        <v/>
      </c>
      <c r="N1944" t="str">
        <f>IFERROR(IF(A1944="","",MAX(0,M1944-System_Config!$B$9)),"")</f>
        <v/>
      </c>
    </row>
    <row r="1945" spans="1:14" ht="15" customHeight="1" x14ac:dyDescent="0.25">
      <c r="A1945" t="str">
        <f>'NEW ACCOUNT'!A1946</f>
        <v/>
      </c>
      <c r="B1945" t="str">
        <f>IF('NEW ACCOUNT'!A1946="","",'NEW ACCOUNT'!B1946)</f>
        <v/>
      </c>
      <c r="C1945" t="str">
        <f>IF('NEW ACCOUNT'!A1946="","",'NEW ACCOUNT'!C1946)</f>
        <v/>
      </c>
      <c r="D1945" t="str">
        <f>IF('NEW ACCOUNT'!A1946="","",'NEW ACCOUNT'!D1946)</f>
        <v/>
      </c>
      <c r="E1945" t="str">
        <f>IF('NEW ACCOUNT'!A1946="","",'NEW ACCOUNT'!E1946)</f>
        <v/>
      </c>
      <c r="F1945" t="str">
        <f>IF('NEW ACCOUNT'!A1946="","",'NEW ACCOUNT'!F1946)</f>
        <v/>
      </c>
      <c r="G1945" t="str">
        <f>IF('NEW ACCOUNT'!A1946="","",'NEW ACCOUNT'!G1946)</f>
        <v/>
      </c>
      <c r="H1945" t="str">
        <f>IF('NEW ACCOUNT'!A1946="","",'NEW ACCOUNT'!H1946)</f>
        <v/>
      </c>
      <c r="I1945" t="str">
        <f>IF('NEW ACCOUNT'!A1946="","",'NEW ACCOUNT'!I1946)</f>
        <v/>
      </c>
      <c r="J1945" t="str">
        <f>IF('NEW ACCOUNT'!A1946="","",'NEW ACCOUNT'!J1946)</f>
        <v/>
      </c>
      <c r="K1945" t="str">
        <f>IFERROR(IF(A1945="","",SUMIF(DB_Savings!$A:$A,A1945,DB_Savings!$F:$F)),"")</f>
        <v/>
      </c>
      <c r="L1945" t="str">
        <f>IFERROR(IF(A1945="","",SUMIF(DB_Withdrawals!$A:$A,A1945,DB_Withdrawals!$G:$G)),"")</f>
        <v/>
      </c>
      <c r="M1945" t="str">
        <f>IFERROR(IF(A1945="","",IFERROR(VALUE(H1945),0)+IFERROR(SUMIF(DB_Savings!$A:$A,A1945,DB_Savings!$F:$F),0)-IFERROR(SUMIF(DB_Withdrawals!$A:$A,A1945,DB_Withdrawals!$G:$G),0)),"")</f>
        <v/>
      </c>
      <c r="N1945" t="str">
        <f>IFERROR(IF(A1945="","",MAX(0,M1945-System_Config!$B$9)),"")</f>
        <v/>
      </c>
    </row>
    <row r="1946" spans="1:14" ht="15" customHeight="1" x14ac:dyDescent="0.25">
      <c r="A1946" t="str">
        <f>'NEW ACCOUNT'!A1947</f>
        <v/>
      </c>
      <c r="B1946" t="str">
        <f>IF('NEW ACCOUNT'!A1947="","",'NEW ACCOUNT'!B1947)</f>
        <v/>
      </c>
      <c r="C1946" t="str">
        <f>IF('NEW ACCOUNT'!A1947="","",'NEW ACCOUNT'!C1947)</f>
        <v/>
      </c>
      <c r="D1946" t="str">
        <f>IF('NEW ACCOUNT'!A1947="","",'NEW ACCOUNT'!D1947)</f>
        <v/>
      </c>
      <c r="E1946" t="str">
        <f>IF('NEW ACCOUNT'!A1947="","",'NEW ACCOUNT'!E1947)</f>
        <v/>
      </c>
      <c r="F1946" t="str">
        <f>IF('NEW ACCOUNT'!A1947="","",'NEW ACCOUNT'!F1947)</f>
        <v/>
      </c>
      <c r="G1946" t="str">
        <f>IF('NEW ACCOUNT'!A1947="","",'NEW ACCOUNT'!G1947)</f>
        <v/>
      </c>
      <c r="H1946" t="str">
        <f>IF('NEW ACCOUNT'!A1947="","",'NEW ACCOUNT'!H1947)</f>
        <v/>
      </c>
      <c r="I1946" t="str">
        <f>IF('NEW ACCOUNT'!A1947="","",'NEW ACCOUNT'!I1947)</f>
        <v/>
      </c>
      <c r="J1946" t="str">
        <f>IF('NEW ACCOUNT'!A1947="","",'NEW ACCOUNT'!J1947)</f>
        <v/>
      </c>
      <c r="K1946" t="str">
        <f>IFERROR(IF(A1946="","",SUMIF(DB_Savings!$A:$A,A1946,DB_Savings!$F:$F)),"")</f>
        <v/>
      </c>
      <c r="L1946" t="str">
        <f>IFERROR(IF(A1946="","",SUMIF(DB_Withdrawals!$A:$A,A1946,DB_Withdrawals!$G:$G)),"")</f>
        <v/>
      </c>
      <c r="M1946" t="str">
        <f>IFERROR(IF(A1946="","",IFERROR(VALUE(H1946),0)+IFERROR(SUMIF(DB_Savings!$A:$A,A1946,DB_Savings!$F:$F),0)-IFERROR(SUMIF(DB_Withdrawals!$A:$A,A1946,DB_Withdrawals!$G:$G),0)),"")</f>
        <v/>
      </c>
      <c r="N1946" t="str">
        <f>IFERROR(IF(A1946="","",MAX(0,M1946-System_Config!$B$9)),"")</f>
        <v/>
      </c>
    </row>
    <row r="1947" spans="1:14" ht="15" customHeight="1" x14ac:dyDescent="0.25">
      <c r="A1947" t="str">
        <f>'NEW ACCOUNT'!A1948</f>
        <v/>
      </c>
      <c r="B1947" t="str">
        <f>IF('NEW ACCOUNT'!A1948="","",'NEW ACCOUNT'!B1948)</f>
        <v/>
      </c>
      <c r="C1947" t="str">
        <f>IF('NEW ACCOUNT'!A1948="","",'NEW ACCOUNT'!C1948)</f>
        <v/>
      </c>
      <c r="D1947" t="str">
        <f>IF('NEW ACCOUNT'!A1948="","",'NEW ACCOUNT'!D1948)</f>
        <v/>
      </c>
      <c r="E1947" t="str">
        <f>IF('NEW ACCOUNT'!A1948="","",'NEW ACCOUNT'!E1948)</f>
        <v/>
      </c>
      <c r="F1947" t="str">
        <f>IF('NEW ACCOUNT'!A1948="","",'NEW ACCOUNT'!F1948)</f>
        <v/>
      </c>
      <c r="G1947" t="str">
        <f>IF('NEW ACCOUNT'!A1948="","",'NEW ACCOUNT'!G1948)</f>
        <v/>
      </c>
      <c r="H1947" t="str">
        <f>IF('NEW ACCOUNT'!A1948="","",'NEW ACCOUNT'!H1948)</f>
        <v/>
      </c>
      <c r="I1947" t="str">
        <f>IF('NEW ACCOUNT'!A1948="","",'NEW ACCOUNT'!I1948)</f>
        <v/>
      </c>
      <c r="J1947" t="str">
        <f>IF('NEW ACCOUNT'!A1948="","",'NEW ACCOUNT'!J1948)</f>
        <v/>
      </c>
      <c r="K1947" t="str">
        <f>IFERROR(IF(A1947="","",SUMIF(DB_Savings!$A:$A,A1947,DB_Savings!$F:$F)),"")</f>
        <v/>
      </c>
      <c r="L1947" t="str">
        <f>IFERROR(IF(A1947="","",SUMIF(DB_Withdrawals!$A:$A,A1947,DB_Withdrawals!$G:$G)),"")</f>
        <v/>
      </c>
      <c r="M1947" t="str">
        <f>IFERROR(IF(A1947="","",IFERROR(VALUE(H1947),0)+IFERROR(SUMIF(DB_Savings!$A:$A,A1947,DB_Savings!$F:$F),0)-IFERROR(SUMIF(DB_Withdrawals!$A:$A,A1947,DB_Withdrawals!$G:$G),0)),"")</f>
        <v/>
      </c>
      <c r="N1947" t="str">
        <f>IFERROR(IF(A1947="","",MAX(0,M1947-System_Config!$B$9)),"")</f>
        <v/>
      </c>
    </row>
    <row r="1948" spans="1:14" ht="15" customHeight="1" x14ac:dyDescent="0.25">
      <c r="A1948" t="str">
        <f>'NEW ACCOUNT'!A1949</f>
        <v/>
      </c>
      <c r="B1948" t="str">
        <f>IF('NEW ACCOUNT'!A1949="","",'NEW ACCOUNT'!B1949)</f>
        <v/>
      </c>
      <c r="C1948" t="str">
        <f>IF('NEW ACCOUNT'!A1949="","",'NEW ACCOUNT'!C1949)</f>
        <v/>
      </c>
      <c r="D1948" t="str">
        <f>IF('NEW ACCOUNT'!A1949="","",'NEW ACCOUNT'!D1949)</f>
        <v/>
      </c>
      <c r="E1948" t="str">
        <f>IF('NEW ACCOUNT'!A1949="","",'NEW ACCOUNT'!E1949)</f>
        <v/>
      </c>
      <c r="F1948" t="str">
        <f>IF('NEW ACCOUNT'!A1949="","",'NEW ACCOUNT'!F1949)</f>
        <v/>
      </c>
      <c r="G1948" t="str">
        <f>IF('NEW ACCOUNT'!A1949="","",'NEW ACCOUNT'!G1949)</f>
        <v/>
      </c>
      <c r="H1948" t="str">
        <f>IF('NEW ACCOUNT'!A1949="","",'NEW ACCOUNT'!H1949)</f>
        <v/>
      </c>
      <c r="I1948" t="str">
        <f>IF('NEW ACCOUNT'!A1949="","",'NEW ACCOUNT'!I1949)</f>
        <v/>
      </c>
      <c r="J1948" t="str">
        <f>IF('NEW ACCOUNT'!A1949="","",'NEW ACCOUNT'!J1949)</f>
        <v/>
      </c>
      <c r="K1948" t="str">
        <f>IFERROR(IF(A1948="","",SUMIF(DB_Savings!$A:$A,A1948,DB_Savings!$F:$F)),"")</f>
        <v/>
      </c>
      <c r="L1948" t="str">
        <f>IFERROR(IF(A1948="","",SUMIF(DB_Withdrawals!$A:$A,A1948,DB_Withdrawals!$G:$G)),"")</f>
        <v/>
      </c>
      <c r="M1948" t="str">
        <f>IFERROR(IF(A1948="","",IFERROR(VALUE(H1948),0)+IFERROR(SUMIF(DB_Savings!$A:$A,A1948,DB_Savings!$F:$F),0)-IFERROR(SUMIF(DB_Withdrawals!$A:$A,A1948,DB_Withdrawals!$G:$G),0)),"")</f>
        <v/>
      </c>
      <c r="N1948" t="str">
        <f>IFERROR(IF(A1948="","",MAX(0,M1948-System_Config!$B$9)),"")</f>
        <v/>
      </c>
    </row>
    <row r="1949" spans="1:14" ht="15" customHeight="1" x14ac:dyDescent="0.25">
      <c r="A1949" t="str">
        <f>'NEW ACCOUNT'!A1950</f>
        <v/>
      </c>
      <c r="B1949" t="str">
        <f>IF('NEW ACCOUNT'!A1950="","",'NEW ACCOUNT'!B1950)</f>
        <v/>
      </c>
      <c r="C1949" t="str">
        <f>IF('NEW ACCOUNT'!A1950="","",'NEW ACCOUNT'!C1950)</f>
        <v/>
      </c>
      <c r="D1949" t="str">
        <f>IF('NEW ACCOUNT'!A1950="","",'NEW ACCOUNT'!D1950)</f>
        <v/>
      </c>
      <c r="E1949" t="str">
        <f>IF('NEW ACCOUNT'!A1950="","",'NEW ACCOUNT'!E1950)</f>
        <v/>
      </c>
      <c r="F1949" t="str">
        <f>IF('NEW ACCOUNT'!A1950="","",'NEW ACCOUNT'!F1950)</f>
        <v/>
      </c>
      <c r="G1949" t="str">
        <f>IF('NEW ACCOUNT'!A1950="","",'NEW ACCOUNT'!G1950)</f>
        <v/>
      </c>
      <c r="H1949" t="str">
        <f>IF('NEW ACCOUNT'!A1950="","",'NEW ACCOUNT'!H1950)</f>
        <v/>
      </c>
      <c r="I1949" t="str">
        <f>IF('NEW ACCOUNT'!A1950="","",'NEW ACCOUNT'!I1950)</f>
        <v/>
      </c>
      <c r="J1949" t="str">
        <f>IF('NEW ACCOUNT'!A1950="","",'NEW ACCOUNT'!J1950)</f>
        <v/>
      </c>
      <c r="K1949" t="str">
        <f>IFERROR(IF(A1949="","",SUMIF(DB_Savings!$A:$A,A1949,DB_Savings!$F:$F)),"")</f>
        <v/>
      </c>
      <c r="L1949" t="str">
        <f>IFERROR(IF(A1949="","",SUMIF(DB_Withdrawals!$A:$A,A1949,DB_Withdrawals!$G:$G)),"")</f>
        <v/>
      </c>
      <c r="M1949" t="str">
        <f>IFERROR(IF(A1949="","",IFERROR(VALUE(H1949),0)+IFERROR(SUMIF(DB_Savings!$A:$A,A1949,DB_Savings!$F:$F),0)-IFERROR(SUMIF(DB_Withdrawals!$A:$A,A1949,DB_Withdrawals!$G:$G),0)),"")</f>
        <v/>
      </c>
      <c r="N1949" t="str">
        <f>IFERROR(IF(A1949="","",MAX(0,M1949-System_Config!$B$9)),"")</f>
        <v/>
      </c>
    </row>
    <row r="1950" spans="1:14" ht="15" customHeight="1" x14ac:dyDescent="0.25">
      <c r="A1950" t="str">
        <f>'NEW ACCOUNT'!A1951</f>
        <v/>
      </c>
      <c r="B1950" t="str">
        <f>IF('NEW ACCOUNT'!A1951="","",'NEW ACCOUNT'!B1951)</f>
        <v/>
      </c>
      <c r="C1950" t="str">
        <f>IF('NEW ACCOUNT'!A1951="","",'NEW ACCOUNT'!C1951)</f>
        <v/>
      </c>
      <c r="D1950" t="str">
        <f>IF('NEW ACCOUNT'!A1951="","",'NEW ACCOUNT'!D1951)</f>
        <v/>
      </c>
      <c r="E1950" t="str">
        <f>IF('NEW ACCOUNT'!A1951="","",'NEW ACCOUNT'!E1951)</f>
        <v/>
      </c>
      <c r="F1950" t="str">
        <f>IF('NEW ACCOUNT'!A1951="","",'NEW ACCOUNT'!F1951)</f>
        <v/>
      </c>
      <c r="G1950" t="str">
        <f>IF('NEW ACCOUNT'!A1951="","",'NEW ACCOUNT'!G1951)</f>
        <v/>
      </c>
      <c r="H1950" t="str">
        <f>IF('NEW ACCOUNT'!A1951="","",'NEW ACCOUNT'!H1951)</f>
        <v/>
      </c>
      <c r="I1950" t="str">
        <f>IF('NEW ACCOUNT'!A1951="","",'NEW ACCOUNT'!I1951)</f>
        <v/>
      </c>
      <c r="J1950" t="str">
        <f>IF('NEW ACCOUNT'!A1951="","",'NEW ACCOUNT'!J1951)</f>
        <v/>
      </c>
      <c r="K1950" t="str">
        <f>IFERROR(IF(A1950="","",SUMIF(DB_Savings!$A:$A,A1950,DB_Savings!$F:$F)),"")</f>
        <v/>
      </c>
      <c r="L1950" t="str">
        <f>IFERROR(IF(A1950="","",SUMIF(DB_Withdrawals!$A:$A,A1950,DB_Withdrawals!$G:$G)),"")</f>
        <v/>
      </c>
      <c r="M1950" t="str">
        <f>IFERROR(IF(A1950="","",IFERROR(VALUE(H1950),0)+IFERROR(SUMIF(DB_Savings!$A:$A,A1950,DB_Savings!$F:$F),0)-IFERROR(SUMIF(DB_Withdrawals!$A:$A,A1950,DB_Withdrawals!$G:$G),0)),"")</f>
        <v/>
      </c>
      <c r="N1950" t="str">
        <f>IFERROR(IF(A1950="","",MAX(0,M1950-System_Config!$B$9)),"")</f>
        <v/>
      </c>
    </row>
    <row r="1951" spans="1:14" ht="15" customHeight="1" x14ac:dyDescent="0.25">
      <c r="A1951" t="str">
        <f>'NEW ACCOUNT'!A1952</f>
        <v/>
      </c>
      <c r="B1951" t="str">
        <f>IF('NEW ACCOUNT'!A1952="","",'NEW ACCOUNT'!B1952)</f>
        <v/>
      </c>
      <c r="C1951" t="str">
        <f>IF('NEW ACCOUNT'!A1952="","",'NEW ACCOUNT'!C1952)</f>
        <v/>
      </c>
      <c r="D1951" t="str">
        <f>IF('NEW ACCOUNT'!A1952="","",'NEW ACCOUNT'!D1952)</f>
        <v/>
      </c>
      <c r="E1951" t="str">
        <f>IF('NEW ACCOUNT'!A1952="","",'NEW ACCOUNT'!E1952)</f>
        <v/>
      </c>
      <c r="F1951" t="str">
        <f>IF('NEW ACCOUNT'!A1952="","",'NEW ACCOUNT'!F1952)</f>
        <v/>
      </c>
      <c r="G1951" t="str">
        <f>IF('NEW ACCOUNT'!A1952="","",'NEW ACCOUNT'!G1952)</f>
        <v/>
      </c>
      <c r="H1951" t="str">
        <f>IF('NEW ACCOUNT'!A1952="","",'NEW ACCOUNT'!H1952)</f>
        <v/>
      </c>
      <c r="I1951" t="str">
        <f>IF('NEW ACCOUNT'!A1952="","",'NEW ACCOUNT'!I1952)</f>
        <v/>
      </c>
      <c r="J1951" t="str">
        <f>IF('NEW ACCOUNT'!A1952="","",'NEW ACCOUNT'!J1952)</f>
        <v/>
      </c>
      <c r="K1951" t="str">
        <f>IFERROR(IF(A1951="","",SUMIF(DB_Savings!$A:$A,A1951,DB_Savings!$F:$F)),"")</f>
        <v/>
      </c>
      <c r="L1951" t="str">
        <f>IFERROR(IF(A1951="","",SUMIF(DB_Withdrawals!$A:$A,A1951,DB_Withdrawals!$G:$G)),"")</f>
        <v/>
      </c>
      <c r="M1951" t="str">
        <f>IFERROR(IF(A1951="","",IFERROR(VALUE(H1951),0)+IFERROR(SUMIF(DB_Savings!$A:$A,A1951,DB_Savings!$F:$F),0)-IFERROR(SUMIF(DB_Withdrawals!$A:$A,A1951,DB_Withdrawals!$G:$G),0)),"")</f>
        <v/>
      </c>
      <c r="N1951" t="str">
        <f>IFERROR(IF(A1951="","",MAX(0,M1951-System_Config!$B$9)),"")</f>
        <v/>
      </c>
    </row>
    <row r="1952" spans="1:14" ht="15" customHeight="1" x14ac:dyDescent="0.25">
      <c r="A1952" t="str">
        <f>'NEW ACCOUNT'!A1953</f>
        <v/>
      </c>
      <c r="B1952" t="str">
        <f>IF('NEW ACCOUNT'!A1953="","",'NEW ACCOUNT'!B1953)</f>
        <v/>
      </c>
      <c r="C1952" t="str">
        <f>IF('NEW ACCOUNT'!A1953="","",'NEW ACCOUNT'!C1953)</f>
        <v/>
      </c>
      <c r="D1952" t="str">
        <f>IF('NEW ACCOUNT'!A1953="","",'NEW ACCOUNT'!D1953)</f>
        <v/>
      </c>
      <c r="E1952" t="str">
        <f>IF('NEW ACCOUNT'!A1953="","",'NEW ACCOUNT'!E1953)</f>
        <v/>
      </c>
      <c r="F1952" t="str">
        <f>IF('NEW ACCOUNT'!A1953="","",'NEW ACCOUNT'!F1953)</f>
        <v/>
      </c>
      <c r="G1952" t="str">
        <f>IF('NEW ACCOUNT'!A1953="","",'NEW ACCOUNT'!G1953)</f>
        <v/>
      </c>
      <c r="H1952" t="str">
        <f>IF('NEW ACCOUNT'!A1953="","",'NEW ACCOUNT'!H1953)</f>
        <v/>
      </c>
      <c r="I1952" t="str">
        <f>IF('NEW ACCOUNT'!A1953="","",'NEW ACCOUNT'!I1953)</f>
        <v/>
      </c>
      <c r="J1952" t="str">
        <f>IF('NEW ACCOUNT'!A1953="","",'NEW ACCOUNT'!J1953)</f>
        <v/>
      </c>
      <c r="K1952" t="str">
        <f>IFERROR(IF(A1952="","",SUMIF(DB_Savings!$A:$A,A1952,DB_Savings!$F:$F)),"")</f>
        <v/>
      </c>
      <c r="L1952" t="str">
        <f>IFERROR(IF(A1952="","",SUMIF(DB_Withdrawals!$A:$A,A1952,DB_Withdrawals!$G:$G)),"")</f>
        <v/>
      </c>
      <c r="M1952" t="str">
        <f>IFERROR(IF(A1952="","",IFERROR(VALUE(H1952),0)+IFERROR(SUMIF(DB_Savings!$A:$A,A1952,DB_Savings!$F:$F),0)-IFERROR(SUMIF(DB_Withdrawals!$A:$A,A1952,DB_Withdrawals!$G:$G),0)),"")</f>
        <v/>
      </c>
      <c r="N1952" t="str">
        <f>IFERROR(IF(A1952="","",MAX(0,M1952-System_Config!$B$9)),"")</f>
        <v/>
      </c>
    </row>
    <row r="1953" spans="1:14" ht="15" customHeight="1" x14ac:dyDescent="0.25">
      <c r="A1953" t="str">
        <f>'NEW ACCOUNT'!A1954</f>
        <v/>
      </c>
      <c r="B1953" t="str">
        <f>IF('NEW ACCOUNT'!A1954="","",'NEW ACCOUNT'!B1954)</f>
        <v/>
      </c>
      <c r="C1953" t="str">
        <f>IF('NEW ACCOUNT'!A1954="","",'NEW ACCOUNT'!C1954)</f>
        <v/>
      </c>
      <c r="D1953" t="str">
        <f>IF('NEW ACCOUNT'!A1954="","",'NEW ACCOUNT'!D1954)</f>
        <v/>
      </c>
      <c r="E1953" t="str">
        <f>IF('NEW ACCOUNT'!A1954="","",'NEW ACCOUNT'!E1954)</f>
        <v/>
      </c>
      <c r="F1953" t="str">
        <f>IF('NEW ACCOUNT'!A1954="","",'NEW ACCOUNT'!F1954)</f>
        <v/>
      </c>
      <c r="G1953" t="str">
        <f>IF('NEW ACCOUNT'!A1954="","",'NEW ACCOUNT'!G1954)</f>
        <v/>
      </c>
      <c r="H1953" t="str">
        <f>IF('NEW ACCOUNT'!A1954="","",'NEW ACCOUNT'!H1954)</f>
        <v/>
      </c>
      <c r="I1953" t="str">
        <f>IF('NEW ACCOUNT'!A1954="","",'NEW ACCOUNT'!I1954)</f>
        <v/>
      </c>
      <c r="J1953" t="str">
        <f>IF('NEW ACCOUNT'!A1954="","",'NEW ACCOUNT'!J1954)</f>
        <v/>
      </c>
      <c r="K1953" t="str">
        <f>IFERROR(IF(A1953="","",SUMIF(DB_Savings!$A:$A,A1953,DB_Savings!$F:$F)),"")</f>
        <v/>
      </c>
      <c r="L1953" t="str">
        <f>IFERROR(IF(A1953="","",SUMIF(DB_Withdrawals!$A:$A,A1953,DB_Withdrawals!$G:$G)),"")</f>
        <v/>
      </c>
      <c r="M1953" t="str">
        <f>IFERROR(IF(A1953="","",IFERROR(VALUE(H1953),0)+IFERROR(SUMIF(DB_Savings!$A:$A,A1953,DB_Savings!$F:$F),0)-IFERROR(SUMIF(DB_Withdrawals!$A:$A,A1953,DB_Withdrawals!$G:$G),0)),"")</f>
        <v/>
      </c>
      <c r="N1953" t="str">
        <f>IFERROR(IF(A1953="","",MAX(0,M1953-System_Config!$B$9)),"")</f>
        <v/>
      </c>
    </row>
    <row r="1954" spans="1:14" ht="15" customHeight="1" x14ac:dyDescent="0.25">
      <c r="A1954" t="str">
        <f>'NEW ACCOUNT'!A1955</f>
        <v/>
      </c>
      <c r="B1954" t="str">
        <f>IF('NEW ACCOUNT'!A1955="","",'NEW ACCOUNT'!B1955)</f>
        <v/>
      </c>
      <c r="C1954" t="str">
        <f>IF('NEW ACCOUNT'!A1955="","",'NEW ACCOUNT'!C1955)</f>
        <v/>
      </c>
      <c r="D1954" t="str">
        <f>IF('NEW ACCOUNT'!A1955="","",'NEW ACCOUNT'!D1955)</f>
        <v/>
      </c>
      <c r="E1954" t="str">
        <f>IF('NEW ACCOUNT'!A1955="","",'NEW ACCOUNT'!E1955)</f>
        <v/>
      </c>
      <c r="F1954" t="str">
        <f>IF('NEW ACCOUNT'!A1955="","",'NEW ACCOUNT'!F1955)</f>
        <v/>
      </c>
      <c r="G1954" t="str">
        <f>IF('NEW ACCOUNT'!A1955="","",'NEW ACCOUNT'!G1955)</f>
        <v/>
      </c>
      <c r="H1954" t="str">
        <f>IF('NEW ACCOUNT'!A1955="","",'NEW ACCOUNT'!H1955)</f>
        <v/>
      </c>
      <c r="I1954" t="str">
        <f>IF('NEW ACCOUNT'!A1955="","",'NEW ACCOUNT'!I1955)</f>
        <v/>
      </c>
      <c r="J1954" t="str">
        <f>IF('NEW ACCOUNT'!A1955="","",'NEW ACCOUNT'!J1955)</f>
        <v/>
      </c>
      <c r="K1954" t="str">
        <f>IFERROR(IF(A1954="","",SUMIF(DB_Savings!$A:$A,A1954,DB_Savings!$F:$F)),"")</f>
        <v/>
      </c>
      <c r="L1954" t="str">
        <f>IFERROR(IF(A1954="","",SUMIF(DB_Withdrawals!$A:$A,A1954,DB_Withdrawals!$G:$G)),"")</f>
        <v/>
      </c>
      <c r="M1954" t="str">
        <f>IFERROR(IF(A1954="","",IFERROR(VALUE(H1954),0)+IFERROR(SUMIF(DB_Savings!$A:$A,A1954,DB_Savings!$F:$F),0)-IFERROR(SUMIF(DB_Withdrawals!$A:$A,A1954,DB_Withdrawals!$G:$G),0)),"")</f>
        <v/>
      </c>
      <c r="N1954" t="str">
        <f>IFERROR(IF(A1954="","",MAX(0,M1954-System_Config!$B$9)),"")</f>
        <v/>
      </c>
    </row>
    <row r="1955" spans="1:14" ht="15" customHeight="1" x14ac:dyDescent="0.25">
      <c r="A1955" t="str">
        <f>'NEW ACCOUNT'!A1956</f>
        <v/>
      </c>
      <c r="B1955" t="str">
        <f>IF('NEW ACCOUNT'!A1956="","",'NEW ACCOUNT'!B1956)</f>
        <v/>
      </c>
      <c r="C1955" t="str">
        <f>IF('NEW ACCOUNT'!A1956="","",'NEW ACCOUNT'!C1956)</f>
        <v/>
      </c>
      <c r="D1955" t="str">
        <f>IF('NEW ACCOUNT'!A1956="","",'NEW ACCOUNT'!D1956)</f>
        <v/>
      </c>
      <c r="E1955" t="str">
        <f>IF('NEW ACCOUNT'!A1956="","",'NEW ACCOUNT'!E1956)</f>
        <v/>
      </c>
      <c r="F1955" t="str">
        <f>IF('NEW ACCOUNT'!A1956="","",'NEW ACCOUNT'!F1956)</f>
        <v/>
      </c>
      <c r="G1955" t="str">
        <f>IF('NEW ACCOUNT'!A1956="","",'NEW ACCOUNT'!G1956)</f>
        <v/>
      </c>
      <c r="H1955" t="str">
        <f>IF('NEW ACCOUNT'!A1956="","",'NEW ACCOUNT'!H1956)</f>
        <v/>
      </c>
      <c r="I1955" t="str">
        <f>IF('NEW ACCOUNT'!A1956="","",'NEW ACCOUNT'!I1956)</f>
        <v/>
      </c>
      <c r="J1955" t="str">
        <f>IF('NEW ACCOUNT'!A1956="","",'NEW ACCOUNT'!J1956)</f>
        <v/>
      </c>
      <c r="K1955" t="str">
        <f>IFERROR(IF(A1955="","",SUMIF(DB_Savings!$A:$A,A1955,DB_Savings!$F:$F)),"")</f>
        <v/>
      </c>
      <c r="L1955" t="str">
        <f>IFERROR(IF(A1955="","",SUMIF(DB_Withdrawals!$A:$A,A1955,DB_Withdrawals!$G:$G)),"")</f>
        <v/>
      </c>
      <c r="M1955" t="str">
        <f>IFERROR(IF(A1955="","",IFERROR(VALUE(H1955),0)+IFERROR(SUMIF(DB_Savings!$A:$A,A1955,DB_Savings!$F:$F),0)-IFERROR(SUMIF(DB_Withdrawals!$A:$A,A1955,DB_Withdrawals!$G:$G),0)),"")</f>
        <v/>
      </c>
      <c r="N1955" t="str">
        <f>IFERROR(IF(A1955="","",MAX(0,M1955-System_Config!$B$9)),"")</f>
        <v/>
      </c>
    </row>
    <row r="1956" spans="1:14" ht="15" customHeight="1" x14ac:dyDescent="0.25">
      <c r="A1956" t="str">
        <f>'NEW ACCOUNT'!A1957</f>
        <v/>
      </c>
      <c r="B1956" t="str">
        <f>IF('NEW ACCOUNT'!A1957="","",'NEW ACCOUNT'!B1957)</f>
        <v/>
      </c>
      <c r="C1956" t="str">
        <f>IF('NEW ACCOUNT'!A1957="","",'NEW ACCOUNT'!C1957)</f>
        <v/>
      </c>
      <c r="D1956" t="str">
        <f>IF('NEW ACCOUNT'!A1957="","",'NEW ACCOUNT'!D1957)</f>
        <v/>
      </c>
      <c r="E1956" t="str">
        <f>IF('NEW ACCOUNT'!A1957="","",'NEW ACCOUNT'!E1957)</f>
        <v/>
      </c>
      <c r="F1956" t="str">
        <f>IF('NEW ACCOUNT'!A1957="","",'NEW ACCOUNT'!F1957)</f>
        <v/>
      </c>
      <c r="G1956" t="str">
        <f>IF('NEW ACCOUNT'!A1957="","",'NEW ACCOUNT'!G1957)</f>
        <v/>
      </c>
      <c r="H1956" t="str">
        <f>IF('NEW ACCOUNT'!A1957="","",'NEW ACCOUNT'!H1957)</f>
        <v/>
      </c>
      <c r="I1956" t="str">
        <f>IF('NEW ACCOUNT'!A1957="","",'NEW ACCOUNT'!I1957)</f>
        <v/>
      </c>
      <c r="J1956" t="str">
        <f>IF('NEW ACCOUNT'!A1957="","",'NEW ACCOUNT'!J1957)</f>
        <v/>
      </c>
      <c r="K1956" t="str">
        <f>IFERROR(IF(A1956="","",SUMIF(DB_Savings!$A:$A,A1956,DB_Savings!$F:$F)),"")</f>
        <v/>
      </c>
      <c r="L1956" t="str">
        <f>IFERROR(IF(A1956="","",SUMIF(DB_Withdrawals!$A:$A,A1956,DB_Withdrawals!$G:$G)),"")</f>
        <v/>
      </c>
      <c r="M1956" t="str">
        <f>IFERROR(IF(A1956="","",IFERROR(VALUE(H1956),0)+IFERROR(SUMIF(DB_Savings!$A:$A,A1956,DB_Savings!$F:$F),0)-IFERROR(SUMIF(DB_Withdrawals!$A:$A,A1956,DB_Withdrawals!$G:$G),0)),"")</f>
        <v/>
      </c>
      <c r="N1956" t="str">
        <f>IFERROR(IF(A1956="","",MAX(0,M1956-System_Config!$B$9)),"")</f>
        <v/>
      </c>
    </row>
    <row r="1957" spans="1:14" ht="15" customHeight="1" x14ac:dyDescent="0.25">
      <c r="A1957" t="str">
        <f>'NEW ACCOUNT'!A1958</f>
        <v/>
      </c>
      <c r="B1957" t="str">
        <f>IF('NEW ACCOUNT'!A1958="","",'NEW ACCOUNT'!B1958)</f>
        <v/>
      </c>
      <c r="C1957" t="str">
        <f>IF('NEW ACCOUNT'!A1958="","",'NEW ACCOUNT'!C1958)</f>
        <v/>
      </c>
      <c r="D1957" t="str">
        <f>IF('NEW ACCOUNT'!A1958="","",'NEW ACCOUNT'!D1958)</f>
        <v/>
      </c>
      <c r="E1957" t="str">
        <f>IF('NEW ACCOUNT'!A1958="","",'NEW ACCOUNT'!E1958)</f>
        <v/>
      </c>
      <c r="F1957" t="str">
        <f>IF('NEW ACCOUNT'!A1958="","",'NEW ACCOUNT'!F1958)</f>
        <v/>
      </c>
      <c r="G1957" t="str">
        <f>IF('NEW ACCOUNT'!A1958="","",'NEW ACCOUNT'!G1958)</f>
        <v/>
      </c>
      <c r="H1957" t="str">
        <f>IF('NEW ACCOUNT'!A1958="","",'NEW ACCOUNT'!H1958)</f>
        <v/>
      </c>
      <c r="I1957" t="str">
        <f>IF('NEW ACCOUNT'!A1958="","",'NEW ACCOUNT'!I1958)</f>
        <v/>
      </c>
      <c r="J1957" t="str">
        <f>IF('NEW ACCOUNT'!A1958="","",'NEW ACCOUNT'!J1958)</f>
        <v/>
      </c>
      <c r="K1957" t="str">
        <f>IFERROR(IF(A1957="","",SUMIF(DB_Savings!$A:$A,A1957,DB_Savings!$F:$F)),"")</f>
        <v/>
      </c>
      <c r="L1957" t="str">
        <f>IFERROR(IF(A1957="","",SUMIF(DB_Withdrawals!$A:$A,A1957,DB_Withdrawals!$G:$G)),"")</f>
        <v/>
      </c>
      <c r="M1957" t="str">
        <f>IFERROR(IF(A1957="","",IFERROR(VALUE(H1957),0)+IFERROR(SUMIF(DB_Savings!$A:$A,A1957,DB_Savings!$F:$F),0)-IFERROR(SUMIF(DB_Withdrawals!$A:$A,A1957,DB_Withdrawals!$G:$G),0)),"")</f>
        <v/>
      </c>
      <c r="N1957" t="str">
        <f>IFERROR(IF(A1957="","",MAX(0,M1957-System_Config!$B$9)),"")</f>
        <v/>
      </c>
    </row>
    <row r="1958" spans="1:14" ht="15" customHeight="1" x14ac:dyDescent="0.25">
      <c r="A1958" t="str">
        <f>'NEW ACCOUNT'!A1959</f>
        <v/>
      </c>
      <c r="B1958" t="str">
        <f>IF('NEW ACCOUNT'!A1959="","",'NEW ACCOUNT'!B1959)</f>
        <v/>
      </c>
      <c r="C1958" t="str">
        <f>IF('NEW ACCOUNT'!A1959="","",'NEW ACCOUNT'!C1959)</f>
        <v/>
      </c>
      <c r="D1958" t="str">
        <f>IF('NEW ACCOUNT'!A1959="","",'NEW ACCOUNT'!D1959)</f>
        <v/>
      </c>
      <c r="E1958" t="str">
        <f>IF('NEW ACCOUNT'!A1959="","",'NEW ACCOUNT'!E1959)</f>
        <v/>
      </c>
      <c r="F1958" t="str">
        <f>IF('NEW ACCOUNT'!A1959="","",'NEW ACCOUNT'!F1959)</f>
        <v/>
      </c>
      <c r="G1958" t="str">
        <f>IF('NEW ACCOUNT'!A1959="","",'NEW ACCOUNT'!G1959)</f>
        <v/>
      </c>
      <c r="H1958" t="str">
        <f>IF('NEW ACCOUNT'!A1959="","",'NEW ACCOUNT'!H1959)</f>
        <v/>
      </c>
      <c r="I1958" t="str">
        <f>IF('NEW ACCOUNT'!A1959="","",'NEW ACCOUNT'!I1959)</f>
        <v/>
      </c>
      <c r="J1958" t="str">
        <f>IF('NEW ACCOUNT'!A1959="","",'NEW ACCOUNT'!J1959)</f>
        <v/>
      </c>
      <c r="K1958" t="str">
        <f>IFERROR(IF(A1958="","",SUMIF(DB_Savings!$A:$A,A1958,DB_Savings!$F:$F)),"")</f>
        <v/>
      </c>
      <c r="L1958" t="str">
        <f>IFERROR(IF(A1958="","",SUMIF(DB_Withdrawals!$A:$A,A1958,DB_Withdrawals!$G:$G)),"")</f>
        <v/>
      </c>
      <c r="M1958" t="str">
        <f>IFERROR(IF(A1958="","",IFERROR(VALUE(H1958),0)+IFERROR(SUMIF(DB_Savings!$A:$A,A1958,DB_Savings!$F:$F),0)-IFERROR(SUMIF(DB_Withdrawals!$A:$A,A1958,DB_Withdrawals!$G:$G),0)),"")</f>
        <v/>
      </c>
      <c r="N1958" t="str">
        <f>IFERROR(IF(A1958="","",MAX(0,M1958-System_Config!$B$9)),"")</f>
        <v/>
      </c>
    </row>
    <row r="1959" spans="1:14" ht="15" customHeight="1" x14ac:dyDescent="0.25">
      <c r="A1959" t="str">
        <f>'NEW ACCOUNT'!A1960</f>
        <v/>
      </c>
      <c r="B1959" t="str">
        <f>IF('NEW ACCOUNT'!A1960="","",'NEW ACCOUNT'!B1960)</f>
        <v/>
      </c>
      <c r="C1959" t="str">
        <f>IF('NEW ACCOUNT'!A1960="","",'NEW ACCOUNT'!C1960)</f>
        <v/>
      </c>
      <c r="D1959" t="str">
        <f>IF('NEW ACCOUNT'!A1960="","",'NEW ACCOUNT'!D1960)</f>
        <v/>
      </c>
      <c r="E1959" t="str">
        <f>IF('NEW ACCOUNT'!A1960="","",'NEW ACCOUNT'!E1960)</f>
        <v/>
      </c>
      <c r="F1959" t="str">
        <f>IF('NEW ACCOUNT'!A1960="","",'NEW ACCOUNT'!F1960)</f>
        <v/>
      </c>
      <c r="G1959" t="str">
        <f>IF('NEW ACCOUNT'!A1960="","",'NEW ACCOUNT'!G1960)</f>
        <v/>
      </c>
      <c r="H1959" t="str">
        <f>IF('NEW ACCOUNT'!A1960="","",'NEW ACCOUNT'!H1960)</f>
        <v/>
      </c>
      <c r="I1959" t="str">
        <f>IF('NEW ACCOUNT'!A1960="","",'NEW ACCOUNT'!I1960)</f>
        <v/>
      </c>
      <c r="J1959" t="str">
        <f>IF('NEW ACCOUNT'!A1960="","",'NEW ACCOUNT'!J1960)</f>
        <v/>
      </c>
      <c r="K1959" t="str">
        <f>IFERROR(IF(A1959="","",SUMIF(DB_Savings!$A:$A,A1959,DB_Savings!$F:$F)),"")</f>
        <v/>
      </c>
      <c r="L1959" t="str">
        <f>IFERROR(IF(A1959="","",SUMIF(DB_Withdrawals!$A:$A,A1959,DB_Withdrawals!$G:$G)),"")</f>
        <v/>
      </c>
      <c r="M1959" t="str">
        <f>IFERROR(IF(A1959="","",IFERROR(VALUE(H1959),0)+IFERROR(SUMIF(DB_Savings!$A:$A,A1959,DB_Savings!$F:$F),0)-IFERROR(SUMIF(DB_Withdrawals!$A:$A,A1959,DB_Withdrawals!$G:$G),0)),"")</f>
        <v/>
      </c>
      <c r="N1959" t="str">
        <f>IFERROR(IF(A1959="","",MAX(0,M1959-System_Config!$B$9)),"")</f>
        <v/>
      </c>
    </row>
    <row r="1960" spans="1:14" ht="15" customHeight="1" x14ac:dyDescent="0.25">
      <c r="A1960" t="str">
        <f>'NEW ACCOUNT'!A1961</f>
        <v/>
      </c>
      <c r="B1960" t="str">
        <f>IF('NEW ACCOUNT'!A1961="","",'NEW ACCOUNT'!B1961)</f>
        <v/>
      </c>
      <c r="C1960" t="str">
        <f>IF('NEW ACCOUNT'!A1961="","",'NEW ACCOUNT'!C1961)</f>
        <v/>
      </c>
      <c r="D1960" t="str">
        <f>IF('NEW ACCOUNT'!A1961="","",'NEW ACCOUNT'!D1961)</f>
        <v/>
      </c>
      <c r="E1960" t="str">
        <f>IF('NEW ACCOUNT'!A1961="","",'NEW ACCOUNT'!E1961)</f>
        <v/>
      </c>
      <c r="F1960" t="str">
        <f>IF('NEW ACCOUNT'!A1961="","",'NEW ACCOUNT'!F1961)</f>
        <v/>
      </c>
      <c r="G1960" t="str">
        <f>IF('NEW ACCOUNT'!A1961="","",'NEW ACCOUNT'!G1961)</f>
        <v/>
      </c>
      <c r="H1960" t="str">
        <f>IF('NEW ACCOUNT'!A1961="","",'NEW ACCOUNT'!H1961)</f>
        <v/>
      </c>
      <c r="I1960" t="str">
        <f>IF('NEW ACCOUNT'!A1961="","",'NEW ACCOUNT'!I1961)</f>
        <v/>
      </c>
      <c r="J1960" t="str">
        <f>IF('NEW ACCOUNT'!A1961="","",'NEW ACCOUNT'!J1961)</f>
        <v/>
      </c>
      <c r="K1960" t="str">
        <f>IFERROR(IF(A1960="","",SUMIF(DB_Savings!$A:$A,A1960,DB_Savings!$F:$F)),"")</f>
        <v/>
      </c>
      <c r="L1960" t="str">
        <f>IFERROR(IF(A1960="","",SUMIF(DB_Withdrawals!$A:$A,A1960,DB_Withdrawals!$G:$G)),"")</f>
        <v/>
      </c>
      <c r="M1960" t="str">
        <f>IFERROR(IF(A1960="","",IFERROR(VALUE(H1960),0)+IFERROR(SUMIF(DB_Savings!$A:$A,A1960,DB_Savings!$F:$F),0)-IFERROR(SUMIF(DB_Withdrawals!$A:$A,A1960,DB_Withdrawals!$G:$G),0)),"")</f>
        <v/>
      </c>
      <c r="N1960" t="str">
        <f>IFERROR(IF(A1960="","",MAX(0,M1960-System_Config!$B$9)),"")</f>
        <v/>
      </c>
    </row>
    <row r="1961" spans="1:14" ht="15" customHeight="1" x14ac:dyDescent="0.25">
      <c r="A1961" t="str">
        <f>'NEW ACCOUNT'!A1962</f>
        <v/>
      </c>
      <c r="B1961" t="str">
        <f>IF('NEW ACCOUNT'!A1962="","",'NEW ACCOUNT'!B1962)</f>
        <v/>
      </c>
      <c r="C1961" t="str">
        <f>IF('NEW ACCOUNT'!A1962="","",'NEW ACCOUNT'!C1962)</f>
        <v/>
      </c>
      <c r="D1961" t="str">
        <f>IF('NEW ACCOUNT'!A1962="","",'NEW ACCOUNT'!D1962)</f>
        <v/>
      </c>
      <c r="E1961" t="str">
        <f>IF('NEW ACCOUNT'!A1962="","",'NEW ACCOUNT'!E1962)</f>
        <v/>
      </c>
      <c r="F1961" t="str">
        <f>IF('NEW ACCOUNT'!A1962="","",'NEW ACCOUNT'!F1962)</f>
        <v/>
      </c>
      <c r="G1961" t="str">
        <f>IF('NEW ACCOUNT'!A1962="","",'NEW ACCOUNT'!G1962)</f>
        <v/>
      </c>
      <c r="H1961" t="str">
        <f>IF('NEW ACCOUNT'!A1962="","",'NEW ACCOUNT'!H1962)</f>
        <v/>
      </c>
      <c r="I1961" t="str">
        <f>IF('NEW ACCOUNT'!A1962="","",'NEW ACCOUNT'!I1962)</f>
        <v/>
      </c>
      <c r="J1961" t="str">
        <f>IF('NEW ACCOUNT'!A1962="","",'NEW ACCOUNT'!J1962)</f>
        <v/>
      </c>
      <c r="K1961" t="str">
        <f>IFERROR(IF(A1961="","",SUMIF(DB_Savings!$A:$A,A1961,DB_Savings!$F:$F)),"")</f>
        <v/>
      </c>
      <c r="L1961" t="str">
        <f>IFERROR(IF(A1961="","",SUMIF(DB_Withdrawals!$A:$A,A1961,DB_Withdrawals!$G:$G)),"")</f>
        <v/>
      </c>
      <c r="M1961" t="str">
        <f>IFERROR(IF(A1961="","",IFERROR(VALUE(H1961),0)+IFERROR(SUMIF(DB_Savings!$A:$A,A1961,DB_Savings!$F:$F),0)-IFERROR(SUMIF(DB_Withdrawals!$A:$A,A1961,DB_Withdrawals!$G:$G),0)),"")</f>
        <v/>
      </c>
      <c r="N1961" t="str">
        <f>IFERROR(IF(A1961="","",MAX(0,M1961-System_Config!$B$9)),"")</f>
        <v/>
      </c>
    </row>
    <row r="1962" spans="1:14" ht="15" customHeight="1" x14ac:dyDescent="0.25">
      <c r="A1962" t="str">
        <f>'NEW ACCOUNT'!A1963</f>
        <v/>
      </c>
      <c r="B1962" t="str">
        <f>IF('NEW ACCOUNT'!A1963="","",'NEW ACCOUNT'!B1963)</f>
        <v/>
      </c>
      <c r="C1962" t="str">
        <f>IF('NEW ACCOUNT'!A1963="","",'NEW ACCOUNT'!C1963)</f>
        <v/>
      </c>
      <c r="D1962" t="str">
        <f>IF('NEW ACCOUNT'!A1963="","",'NEW ACCOUNT'!D1963)</f>
        <v/>
      </c>
      <c r="E1962" t="str">
        <f>IF('NEW ACCOUNT'!A1963="","",'NEW ACCOUNT'!E1963)</f>
        <v/>
      </c>
      <c r="F1962" t="str">
        <f>IF('NEW ACCOUNT'!A1963="","",'NEW ACCOUNT'!F1963)</f>
        <v/>
      </c>
      <c r="G1962" t="str">
        <f>IF('NEW ACCOUNT'!A1963="","",'NEW ACCOUNT'!G1963)</f>
        <v/>
      </c>
      <c r="H1962" t="str">
        <f>IF('NEW ACCOUNT'!A1963="","",'NEW ACCOUNT'!H1963)</f>
        <v/>
      </c>
      <c r="I1962" t="str">
        <f>IF('NEW ACCOUNT'!A1963="","",'NEW ACCOUNT'!I1963)</f>
        <v/>
      </c>
      <c r="J1962" t="str">
        <f>IF('NEW ACCOUNT'!A1963="","",'NEW ACCOUNT'!J1963)</f>
        <v/>
      </c>
      <c r="K1962" t="str">
        <f>IFERROR(IF(A1962="","",SUMIF(DB_Savings!$A:$A,A1962,DB_Savings!$F:$F)),"")</f>
        <v/>
      </c>
      <c r="L1962" t="str">
        <f>IFERROR(IF(A1962="","",SUMIF(DB_Withdrawals!$A:$A,A1962,DB_Withdrawals!$G:$G)),"")</f>
        <v/>
      </c>
      <c r="M1962" t="str">
        <f>IFERROR(IF(A1962="","",IFERROR(VALUE(H1962),0)+IFERROR(SUMIF(DB_Savings!$A:$A,A1962,DB_Savings!$F:$F),0)-IFERROR(SUMIF(DB_Withdrawals!$A:$A,A1962,DB_Withdrawals!$G:$G),0)),"")</f>
        <v/>
      </c>
      <c r="N1962" t="str">
        <f>IFERROR(IF(A1962="","",MAX(0,M1962-System_Config!$B$9)),"")</f>
        <v/>
      </c>
    </row>
    <row r="1963" spans="1:14" ht="15" customHeight="1" x14ac:dyDescent="0.25">
      <c r="A1963" t="str">
        <f>'NEW ACCOUNT'!A1964</f>
        <v/>
      </c>
      <c r="B1963" t="str">
        <f>IF('NEW ACCOUNT'!A1964="","",'NEW ACCOUNT'!B1964)</f>
        <v/>
      </c>
      <c r="C1963" t="str">
        <f>IF('NEW ACCOUNT'!A1964="","",'NEW ACCOUNT'!C1964)</f>
        <v/>
      </c>
      <c r="D1963" t="str">
        <f>IF('NEW ACCOUNT'!A1964="","",'NEW ACCOUNT'!D1964)</f>
        <v/>
      </c>
      <c r="E1963" t="str">
        <f>IF('NEW ACCOUNT'!A1964="","",'NEW ACCOUNT'!E1964)</f>
        <v/>
      </c>
      <c r="F1963" t="str">
        <f>IF('NEW ACCOUNT'!A1964="","",'NEW ACCOUNT'!F1964)</f>
        <v/>
      </c>
      <c r="G1963" t="str">
        <f>IF('NEW ACCOUNT'!A1964="","",'NEW ACCOUNT'!G1964)</f>
        <v/>
      </c>
      <c r="H1963" t="str">
        <f>IF('NEW ACCOUNT'!A1964="","",'NEW ACCOUNT'!H1964)</f>
        <v/>
      </c>
      <c r="I1963" t="str">
        <f>IF('NEW ACCOUNT'!A1964="","",'NEW ACCOUNT'!I1964)</f>
        <v/>
      </c>
      <c r="J1963" t="str">
        <f>IF('NEW ACCOUNT'!A1964="","",'NEW ACCOUNT'!J1964)</f>
        <v/>
      </c>
      <c r="K1963" t="str">
        <f>IFERROR(IF(A1963="","",SUMIF(DB_Savings!$A:$A,A1963,DB_Savings!$F:$F)),"")</f>
        <v/>
      </c>
      <c r="L1963" t="str">
        <f>IFERROR(IF(A1963="","",SUMIF(DB_Withdrawals!$A:$A,A1963,DB_Withdrawals!$G:$G)),"")</f>
        <v/>
      </c>
      <c r="M1963" t="str">
        <f>IFERROR(IF(A1963="","",IFERROR(VALUE(H1963),0)+IFERROR(SUMIF(DB_Savings!$A:$A,A1963,DB_Savings!$F:$F),0)-IFERROR(SUMIF(DB_Withdrawals!$A:$A,A1963,DB_Withdrawals!$G:$G),0)),"")</f>
        <v/>
      </c>
      <c r="N1963" t="str">
        <f>IFERROR(IF(A1963="","",MAX(0,M1963-System_Config!$B$9)),"")</f>
        <v/>
      </c>
    </row>
    <row r="1964" spans="1:14" ht="15" customHeight="1" x14ac:dyDescent="0.25">
      <c r="A1964" t="str">
        <f>'NEW ACCOUNT'!A1965</f>
        <v/>
      </c>
      <c r="B1964" t="str">
        <f>IF('NEW ACCOUNT'!A1965="","",'NEW ACCOUNT'!B1965)</f>
        <v/>
      </c>
      <c r="C1964" t="str">
        <f>IF('NEW ACCOUNT'!A1965="","",'NEW ACCOUNT'!C1965)</f>
        <v/>
      </c>
      <c r="D1964" t="str">
        <f>IF('NEW ACCOUNT'!A1965="","",'NEW ACCOUNT'!D1965)</f>
        <v/>
      </c>
      <c r="E1964" t="str">
        <f>IF('NEW ACCOUNT'!A1965="","",'NEW ACCOUNT'!E1965)</f>
        <v/>
      </c>
      <c r="F1964" t="str">
        <f>IF('NEW ACCOUNT'!A1965="","",'NEW ACCOUNT'!F1965)</f>
        <v/>
      </c>
      <c r="G1964" t="str">
        <f>IF('NEW ACCOUNT'!A1965="","",'NEW ACCOUNT'!G1965)</f>
        <v/>
      </c>
      <c r="H1964" t="str">
        <f>IF('NEW ACCOUNT'!A1965="","",'NEW ACCOUNT'!H1965)</f>
        <v/>
      </c>
      <c r="I1964" t="str">
        <f>IF('NEW ACCOUNT'!A1965="","",'NEW ACCOUNT'!I1965)</f>
        <v/>
      </c>
      <c r="J1964" t="str">
        <f>IF('NEW ACCOUNT'!A1965="","",'NEW ACCOUNT'!J1965)</f>
        <v/>
      </c>
      <c r="K1964" t="str">
        <f>IFERROR(IF(A1964="","",SUMIF(DB_Savings!$A:$A,A1964,DB_Savings!$F:$F)),"")</f>
        <v/>
      </c>
      <c r="L1964" t="str">
        <f>IFERROR(IF(A1964="","",SUMIF(DB_Withdrawals!$A:$A,A1964,DB_Withdrawals!$G:$G)),"")</f>
        <v/>
      </c>
      <c r="M1964" t="str">
        <f>IFERROR(IF(A1964="","",IFERROR(VALUE(H1964),0)+IFERROR(SUMIF(DB_Savings!$A:$A,A1964,DB_Savings!$F:$F),0)-IFERROR(SUMIF(DB_Withdrawals!$A:$A,A1964,DB_Withdrawals!$G:$G),0)),"")</f>
        <v/>
      </c>
      <c r="N1964" t="str">
        <f>IFERROR(IF(A1964="","",MAX(0,M1964-System_Config!$B$9)),"")</f>
        <v/>
      </c>
    </row>
    <row r="1965" spans="1:14" ht="15" customHeight="1" x14ac:dyDescent="0.25">
      <c r="A1965" t="str">
        <f>'NEW ACCOUNT'!A1966</f>
        <v/>
      </c>
      <c r="B1965" t="str">
        <f>IF('NEW ACCOUNT'!A1966="","",'NEW ACCOUNT'!B1966)</f>
        <v/>
      </c>
      <c r="C1965" t="str">
        <f>IF('NEW ACCOUNT'!A1966="","",'NEW ACCOUNT'!C1966)</f>
        <v/>
      </c>
      <c r="D1965" t="str">
        <f>IF('NEW ACCOUNT'!A1966="","",'NEW ACCOUNT'!D1966)</f>
        <v/>
      </c>
      <c r="E1965" t="str">
        <f>IF('NEW ACCOUNT'!A1966="","",'NEW ACCOUNT'!E1966)</f>
        <v/>
      </c>
      <c r="F1965" t="str">
        <f>IF('NEW ACCOUNT'!A1966="","",'NEW ACCOUNT'!F1966)</f>
        <v/>
      </c>
      <c r="G1965" t="str">
        <f>IF('NEW ACCOUNT'!A1966="","",'NEW ACCOUNT'!G1966)</f>
        <v/>
      </c>
      <c r="H1965" t="str">
        <f>IF('NEW ACCOUNT'!A1966="","",'NEW ACCOUNT'!H1966)</f>
        <v/>
      </c>
      <c r="I1965" t="str">
        <f>IF('NEW ACCOUNT'!A1966="","",'NEW ACCOUNT'!I1966)</f>
        <v/>
      </c>
      <c r="J1965" t="str">
        <f>IF('NEW ACCOUNT'!A1966="","",'NEW ACCOUNT'!J1966)</f>
        <v/>
      </c>
      <c r="K1965" t="str">
        <f>IFERROR(IF(A1965="","",SUMIF(DB_Savings!$A:$A,A1965,DB_Savings!$F:$F)),"")</f>
        <v/>
      </c>
      <c r="L1965" t="str">
        <f>IFERROR(IF(A1965="","",SUMIF(DB_Withdrawals!$A:$A,A1965,DB_Withdrawals!$G:$G)),"")</f>
        <v/>
      </c>
      <c r="M1965" t="str">
        <f>IFERROR(IF(A1965="","",IFERROR(VALUE(H1965),0)+IFERROR(SUMIF(DB_Savings!$A:$A,A1965,DB_Savings!$F:$F),0)-IFERROR(SUMIF(DB_Withdrawals!$A:$A,A1965,DB_Withdrawals!$G:$G),0)),"")</f>
        <v/>
      </c>
      <c r="N1965" t="str">
        <f>IFERROR(IF(A1965="","",MAX(0,M1965-System_Config!$B$9)),"")</f>
        <v/>
      </c>
    </row>
    <row r="1966" spans="1:14" ht="15" customHeight="1" x14ac:dyDescent="0.25">
      <c r="A1966" t="str">
        <f>'NEW ACCOUNT'!A1967</f>
        <v/>
      </c>
      <c r="B1966" t="str">
        <f>IF('NEW ACCOUNT'!A1967="","",'NEW ACCOUNT'!B1967)</f>
        <v/>
      </c>
      <c r="C1966" t="str">
        <f>IF('NEW ACCOUNT'!A1967="","",'NEW ACCOUNT'!C1967)</f>
        <v/>
      </c>
      <c r="D1966" t="str">
        <f>IF('NEW ACCOUNT'!A1967="","",'NEW ACCOUNT'!D1967)</f>
        <v/>
      </c>
      <c r="E1966" t="str">
        <f>IF('NEW ACCOUNT'!A1967="","",'NEW ACCOUNT'!E1967)</f>
        <v/>
      </c>
      <c r="F1966" t="str">
        <f>IF('NEW ACCOUNT'!A1967="","",'NEW ACCOUNT'!F1967)</f>
        <v/>
      </c>
      <c r="G1966" t="str">
        <f>IF('NEW ACCOUNT'!A1967="","",'NEW ACCOUNT'!G1967)</f>
        <v/>
      </c>
      <c r="H1966" t="str">
        <f>IF('NEW ACCOUNT'!A1967="","",'NEW ACCOUNT'!H1967)</f>
        <v/>
      </c>
      <c r="I1966" t="str">
        <f>IF('NEW ACCOUNT'!A1967="","",'NEW ACCOUNT'!I1967)</f>
        <v/>
      </c>
      <c r="J1966" t="str">
        <f>IF('NEW ACCOUNT'!A1967="","",'NEW ACCOUNT'!J1967)</f>
        <v/>
      </c>
      <c r="K1966" t="str">
        <f>IFERROR(IF(A1966="","",SUMIF(DB_Savings!$A:$A,A1966,DB_Savings!$F:$F)),"")</f>
        <v/>
      </c>
      <c r="L1966" t="str">
        <f>IFERROR(IF(A1966="","",SUMIF(DB_Withdrawals!$A:$A,A1966,DB_Withdrawals!$G:$G)),"")</f>
        <v/>
      </c>
      <c r="M1966" t="str">
        <f>IFERROR(IF(A1966="","",IFERROR(VALUE(H1966),0)+IFERROR(SUMIF(DB_Savings!$A:$A,A1966,DB_Savings!$F:$F),0)-IFERROR(SUMIF(DB_Withdrawals!$A:$A,A1966,DB_Withdrawals!$G:$G),0)),"")</f>
        <v/>
      </c>
      <c r="N1966" t="str">
        <f>IFERROR(IF(A1966="","",MAX(0,M1966-System_Config!$B$9)),"")</f>
        <v/>
      </c>
    </row>
    <row r="1967" spans="1:14" ht="15" customHeight="1" x14ac:dyDescent="0.25">
      <c r="A1967" t="str">
        <f>'NEW ACCOUNT'!A1968</f>
        <v/>
      </c>
      <c r="B1967" t="str">
        <f>IF('NEW ACCOUNT'!A1968="","",'NEW ACCOUNT'!B1968)</f>
        <v/>
      </c>
      <c r="C1967" t="str">
        <f>IF('NEW ACCOUNT'!A1968="","",'NEW ACCOUNT'!C1968)</f>
        <v/>
      </c>
      <c r="D1967" t="str">
        <f>IF('NEW ACCOUNT'!A1968="","",'NEW ACCOUNT'!D1968)</f>
        <v/>
      </c>
      <c r="E1967" t="str">
        <f>IF('NEW ACCOUNT'!A1968="","",'NEW ACCOUNT'!E1968)</f>
        <v/>
      </c>
      <c r="F1967" t="str">
        <f>IF('NEW ACCOUNT'!A1968="","",'NEW ACCOUNT'!F1968)</f>
        <v/>
      </c>
      <c r="G1967" t="str">
        <f>IF('NEW ACCOUNT'!A1968="","",'NEW ACCOUNT'!G1968)</f>
        <v/>
      </c>
      <c r="H1967" t="str">
        <f>IF('NEW ACCOUNT'!A1968="","",'NEW ACCOUNT'!H1968)</f>
        <v/>
      </c>
      <c r="I1967" t="str">
        <f>IF('NEW ACCOUNT'!A1968="","",'NEW ACCOUNT'!I1968)</f>
        <v/>
      </c>
      <c r="J1967" t="str">
        <f>IF('NEW ACCOUNT'!A1968="","",'NEW ACCOUNT'!J1968)</f>
        <v/>
      </c>
      <c r="K1967" t="str">
        <f>IFERROR(IF(A1967="","",SUMIF(DB_Savings!$A:$A,A1967,DB_Savings!$F:$F)),"")</f>
        <v/>
      </c>
      <c r="L1967" t="str">
        <f>IFERROR(IF(A1967="","",SUMIF(DB_Withdrawals!$A:$A,A1967,DB_Withdrawals!$G:$G)),"")</f>
        <v/>
      </c>
      <c r="M1967" t="str">
        <f>IFERROR(IF(A1967="","",IFERROR(VALUE(H1967),0)+IFERROR(SUMIF(DB_Savings!$A:$A,A1967,DB_Savings!$F:$F),0)-IFERROR(SUMIF(DB_Withdrawals!$A:$A,A1967,DB_Withdrawals!$G:$G),0)),"")</f>
        <v/>
      </c>
      <c r="N1967" t="str">
        <f>IFERROR(IF(A1967="","",MAX(0,M1967-System_Config!$B$9)),"")</f>
        <v/>
      </c>
    </row>
    <row r="1968" spans="1:14" ht="15" customHeight="1" x14ac:dyDescent="0.25">
      <c r="A1968" t="str">
        <f>'NEW ACCOUNT'!A1969</f>
        <v/>
      </c>
      <c r="B1968" t="str">
        <f>IF('NEW ACCOUNT'!A1969="","",'NEW ACCOUNT'!B1969)</f>
        <v/>
      </c>
      <c r="C1968" t="str">
        <f>IF('NEW ACCOUNT'!A1969="","",'NEW ACCOUNT'!C1969)</f>
        <v/>
      </c>
      <c r="D1968" t="str">
        <f>IF('NEW ACCOUNT'!A1969="","",'NEW ACCOUNT'!D1969)</f>
        <v/>
      </c>
      <c r="E1968" t="str">
        <f>IF('NEW ACCOUNT'!A1969="","",'NEW ACCOUNT'!E1969)</f>
        <v/>
      </c>
      <c r="F1968" t="str">
        <f>IF('NEW ACCOUNT'!A1969="","",'NEW ACCOUNT'!F1969)</f>
        <v/>
      </c>
      <c r="G1968" t="str">
        <f>IF('NEW ACCOUNT'!A1969="","",'NEW ACCOUNT'!G1969)</f>
        <v/>
      </c>
      <c r="H1968" t="str">
        <f>IF('NEW ACCOUNT'!A1969="","",'NEW ACCOUNT'!H1969)</f>
        <v/>
      </c>
      <c r="I1968" t="str">
        <f>IF('NEW ACCOUNT'!A1969="","",'NEW ACCOUNT'!I1969)</f>
        <v/>
      </c>
      <c r="J1968" t="str">
        <f>IF('NEW ACCOUNT'!A1969="","",'NEW ACCOUNT'!J1969)</f>
        <v/>
      </c>
      <c r="K1968" t="str">
        <f>IFERROR(IF(A1968="","",SUMIF(DB_Savings!$A:$A,A1968,DB_Savings!$F:$F)),"")</f>
        <v/>
      </c>
      <c r="L1968" t="str">
        <f>IFERROR(IF(A1968="","",SUMIF(DB_Withdrawals!$A:$A,A1968,DB_Withdrawals!$G:$G)),"")</f>
        <v/>
      </c>
      <c r="M1968" t="str">
        <f>IFERROR(IF(A1968="","",IFERROR(VALUE(H1968),0)+IFERROR(SUMIF(DB_Savings!$A:$A,A1968,DB_Savings!$F:$F),0)-IFERROR(SUMIF(DB_Withdrawals!$A:$A,A1968,DB_Withdrawals!$G:$G),0)),"")</f>
        <v/>
      </c>
      <c r="N1968" t="str">
        <f>IFERROR(IF(A1968="","",MAX(0,M1968-System_Config!$B$9)),"")</f>
        <v/>
      </c>
    </row>
    <row r="1969" spans="1:14" ht="15" customHeight="1" x14ac:dyDescent="0.25">
      <c r="A1969" t="str">
        <f>'NEW ACCOUNT'!A1970</f>
        <v/>
      </c>
      <c r="B1969" t="str">
        <f>IF('NEW ACCOUNT'!A1970="","",'NEW ACCOUNT'!B1970)</f>
        <v/>
      </c>
      <c r="C1969" t="str">
        <f>IF('NEW ACCOUNT'!A1970="","",'NEW ACCOUNT'!C1970)</f>
        <v/>
      </c>
      <c r="D1969" t="str">
        <f>IF('NEW ACCOUNT'!A1970="","",'NEW ACCOUNT'!D1970)</f>
        <v/>
      </c>
      <c r="E1969" t="str">
        <f>IF('NEW ACCOUNT'!A1970="","",'NEW ACCOUNT'!E1970)</f>
        <v/>
      </c>
      <c r="F1969" t="str">
        <f>IF('NEW ACCOUNT'!A1970="","",'NEW ACCOUNT'!F1970)</f>
        <v/>
      </c>
      <c r="G1969" t="str">
        <f>IF('NEW ACCOUNT'!A1970="","",'NEW ACCOUNT'!G1970)</f>
        <v/>
      </c>
      <c r="H1969" t="str">
        <f>IF('NEW ACCOUNT'!A1970="","",'NEW ACCOUNT'!H1970)</f>
        <v/>
      </c>
      <c r="I1969" t="str">
        <f>IF('NEW ACCOUNT'!A1970="","",'NEW ACCOUNT'!I1970)</f>
        <v/>
      </c>
      <c r="J1969" t="str">
        <f>IF('NEW ACCOUNT'!A1970="","",'NEW ACCOUNT'!J1970)</f>
        <v/>
      </c>
      <c r="K1969" t="str">
        <f>IFERROR(IF(A1969="","",SUMIF(DB_Savings!$A:$A,A1969,DB_Savings!$F:$F)),"")</f>
        <v/>
      </c>
      <c r="L1969" t="str">
        <f>IFERROR(IF(A1969="","",SUMIF(DB_Withdrawals!$A:$A,A1969,DB_Withdrawals!$G:$G)),"")</f>
        <v/>
      </c>
      <c r="M1969" t="str">
        <f>IFERROR(IF(A1969="","",IFERROR(VALUE(H1969),0)+IFERROR(SUMIF(DB_Savings!$A:$A,A1969,DB_Savings!$F:$F),0)-IFERROR(SUMIF(DB_Withdrawals!$A:$A,A1969,DB_Withdrawals!$G:$G),0)),"")</f>
        <v/>
      </c>
      <c r="N1969" t="str">
        <f>IFERROR(IF(A1969="","",MAX(0,M1969-System_Config!$B$9)),"")</f>
        <v/>
      </c>
    </row>
    <row r="1970" spans="1:14" ht="15" customHeight="1" x14ac:dyDescent="0.25">
      <c r="A1970" t="str">
        <f>'NEW ACCOUNT'!A1971</f>
        <v/>
      </c>
      <c r="B1970" t="str">
        <f>IF('NEW ACCOUNT'!A1971="","",'NEW ACCOUNT'!B1971)</f>
        <v/>
      </c>
      <c r="C1970" t="str">
        <f>IF('NEW ACCOUNT'!A1971="","",'NEW ACCOUNT'!C1971)</f>
        <v/>
      </c>
      <c r="D1970" t="str">
        <f>IF('NEW ACCOUNT'!A1971="","",'NEW ACCOUNT'!D1971)</f>
        <v/>
      </c>
      <c r="E1970" t="str">
        <f>IF('NEW ACCOUNT'!A1971="","",'NEW ACCOUNT'!E1971)</f>
        <v/>
      </c>
      <c r="F1970" t="str">
        <f>IF('NEW ACCOUNT'!A1971="","",'NEW ACCOUNT'!F1971)</f>
        <v/>
      </c>
      <c r="G1970" t="str">
        <f>IF('NEW ACCOUNT'!A1971="","",'NEW ACCOUNT'!G1971)</f>
        <v/>
      </c>
      <c r="H1970" t="str">
        <f>IF('NEW ACCOUNT'!A1971="","",'NEW ACCOUNT'!H1971)</f>
        <v/>
      </c>
      <c r="I1970" t="str">
        <f>IF('NEW ACCOUNT'!A1971="","",'NEW ACCOUNT'!I1971)</f>
        <v/>
      </c>
      <c r="J1970" t="str">
        <f>IF('NEW ACCOUNT'!A1971="","",'NEW ACCOUNT'!J1971)</f>
        <v/>
      </c>
      <c r="K1970" t="str">
        <f>IFERROR(IF(A1970="","",SUMIF(DB_Savings!$A:$A,A1970,DB_Savings!$F:$F)),"")</f>
        <v/>
      </c>
      <c r="L1970" t="str">
        <f>IFERROR(IF(A1970="","",SUMIF(DB_Withdrawals!$A:$A,A1970,DB_Withdrawals!$G:$G)),"")</f>
        <v/>
      </c>
      <c r="M1970" t="str">
        <f>IFERROR(IF(A1970="","",IFERROR(VALUE(H1970),0)+IFERROR(SUMIF(DB_Savings!$A:$A,A1970,DB_Savings!$F:$F),0)-IFERROR(SUMIF(DB_Withdrawals!$A:$A,A1970,DB_Withdrawals!$G:$G),0)),"")</f>
        <v/>
      </c>
      <c r="N1970" t="str">
        <f>IFERROR(IF(A1970="","",MAX(0,M1970-System_Config!$B$9)),"")</f>
        <v/>
      </c>
    </row>
    <row r="1971" spans="1:14" ht="15" customHeight="1" x14ac:dyDescent="0.25">
      <c r="A1971" t="str">
        <f>'NEW ACCOUNT'!A1972</f>
        <v/>
      </c>
      <c r="B1971" t="str">
        <f>IF('NEW ACCOUNT'!A1972="","",'NEW ACCOUNT'!B1972)</f>
        <v/>
      </c>
      <c r="C1971" t="str">
        <f>IF('NEW ACCOUNT'!A1972="","",'NEW ACCOUNT'!C1972)</f>
        <v/>
      </c>
      <c r="D1971" t="str">
        <f>IF('NEW ACCOUNT'!A1972="","",'NEW ACCOUNT'!D1972)</f>
        <v/>
      </c>
      <c r="E1971" t="str">
        <f>IF('NEW ACCOUNT'!A1972="","",'NEW ACCOUNT'!E1972)</f>
        <v/>
      </c>
      <c r="F1971" t="str">
        <f>IF('NEW ACCOUNT'!A1972="","",'NEW ACCOUNT'!F1972)</f>
        <v/>
      </c>
      <c r="G1971" t="str">
        <f>IF('NEW ACCOUNT'!A1972="","",'NEW ACCOUNT'!G1972)</f>
        <v/>
      </c>
      <c r="H1971" t="str">
        <f>IF('NEW ACCOUNT'!A1972="","",'NEW ACCOUNT'!H1972)</f>
        <v/>
      </c>
      <c r="I1971" t="str">
        <f>IF('NEW ACCOUNT'!A1972="","",'NEW ACCOUNT'!I1972)</f>
        <v/>
      </c>
      <c r="J1971" t="str">
        <f>IF('NEW ACCOUNT'!A1972="","",'NEW ACCOUNT'!J1972)</f>
        <v/>
      </c>
      <c r="K1971" t="str">
        <f>IFERROR(IF(A1971="","",SUMIF(DB_Savings!$A:$A,A1971,DB_Savings!$F:$F)),"")</f>
        <v/>
      </c>
      <c r="L1971" t="str">
        <f>IFERROR(IF(A1971="","",SUMIF(DB_Withdrawals!$A:$A,A1971,DB_Withdrawals!$G:$G)),"")</f>
        <v/>
      </c>
      <c r="M1971" t="str">
        <f>IFERROR(IF(A1971="","",IFERROR(VALUE(H1971),0)+IFERROR(SUMIF(DB_Savings!$A:$A,A1971,DB_Savings!$F:$F),0)-IFERROR(SUMIF(DB_Withdrawals!$A:$A,A1971,DB_Withdrawals!$G:$G),0)),"")</f>
        <v/>
      </c>
      <c r="N1971" t="str">
        <f>IFERROR(IF(A1971="","",MAX(0,M1971-System_Config!$B$9)),"")</f>
        <v/>
      </c>
    </row>
    <row r="1972" spans="1:14" ht="15" customHeight="1" x14ac:dyDescent="0.25">
      <c r="A1972" t="str">
        <f>'NEW ACCOUNT'!A1973</f>
        <v/>
      </c>
      <c r="B1972" t="str">
        <f>IF('NEW ACCOUNT'!A1973="","",'NEW ACCOUNT'!B1973)</f>
        <v/>
      </c>
      <c r="C1972" t="str">
        <f>IF('NEW ACCOUNT'!A1973="","",'NEW ACCOUNT'!C1973)</f>
        <v/>
      </c>
      <c r="D1972" t="str">
        <f>IF('NEW ACCOUNT'!A1973="","",'NEW ACCOUNT'!D1973)</f>
        <v/>
      </c>
      <c r="E1972" t="str">
        <f>IF('NEW ACCOUNT'!A1973="","",'NEW ACCOUNT'!E1973)</f>
        <v/>
      </c>
      <c r="F1972" t="str">
        <f>IF('NEW ACCOUNT'!A1973="","",'NEW ACCOUNT'!F1973)</f>
        <v/>
      </c>
      <c r="G1972" t="str">
        <f>IF('NEW ACCOUNT'!A1973="","",'NEW ACCOUNT'!G1973)</f>
        <v/>
      </c>
      <c r="H1972" t="str">
        <f>IF('NEW ACCOUNT'!A1973="","",'NEW ACCOUNT'!H1973)</f>
        <v/>
      </c>
      <c r="I1972" t="str">
        <f>IF('NEW ACCOUNT'!A1973="","",'NEW ACCOUNT'!I1973)</f>
        <v/>
      </c>
      <c r="J1972" t="str">
        <f>IF('NEW ACCOUNT'!A1973="","",'NEW ACCOUNT'!J1973)</f>
        <v/>
      </c>
      <c r="K1972" t="str">
        <f>IFERROR(IF(A1972="","",SUMIF(DB_Savings!$A:$A,A1972,DB_Savings!$F:$F)),"")</f>
        <v/>
      </c>
      <c r="L1972" t="str">
        <f>IFERROR(IF(A1972="","",SUMIF(DB_Withdrawals!$A:$A,A1972,DB_Withdrawals!$G:$G)),"")</f>
        <v/>
      </c>
      <c r="M1972" t="str">
        <f>IFERROR(IF(A1972="","",IFERROR(VALUE(H1972),0)+IFERROR(SUMIF(DB_Savings!$A:$A,A1972,DB_Savings!$F:$F),0)-IFERROR(SUMIF(DB_Withdrawals!$A:$A,A1972,DB_Withdrawals!$G:$G),0)),"")</f>
        <v/>
      </c>
      <c r="N1972" t="str">
        <f>IFERROR(IF(A1972="","",MAX(0,M1972-System_Config!$B$9)),"")</f>
        <v/>
      </c>
    </row>
    <row r="1973" spans="1:14" ht="15" customHeight="1" x14ac:dyDescent="0.25">
      <c r="A1973" t="str">
        <f>'NEW ACCOUNT'!A1974</f>
        <v/>
      </c>
      <c r="B1973" t="str">
        <f>IF('NEW ACCOUNT'!A1974="","",'NEW ACCOUNT'!B1974)</f>
        <v/>
      </c>
      <c r="C1973" t="str">
        <f>IF('NEW ACCOUNT'!A1974="","",'NEW ACCOUNT'!C1974)</f>
        <v/>
      </c>
      <c r="D1973" t="str">
        <f>IF('NEW ACCOUNT'!A1974="","",'NEW ACCOUNT'!D1974)</f>
        <v/>
      </c>
      <c r="E1973" t="str">
        <f>IF('NEW ACCOUNT'!A1974="","",'NEW ACCOUNT'!E1974)</f>
        <v/>
      </c>
      <c r="F1973" t="str">
        <f>IF('NEW ACCOUNT'!A1974="","",'NEW ACCOUNT'!F1974)</f>
        <v/>
      </c>
      <c r="G1973" t="str">
        <f>IF('NEW ACCOUNT'!A1974="","",'NEW ACCOUNT'!G1974)</f>
        <v/>
      </c>
      <c r="H1973" t="str">
        <f>IF('NEW ACCOUNT'!A1974="","",'NEW ACCOUNT'!H1974)</f>
        <v/>
      </c>
      <c r="I1973" t="str">
        <f>IF('NEW ACCOUNT'!A1974="","",'NEW ACCOUNT'!I1974)</f>
        <v/>
      </c>
      <c r="J1973" t="str">
        <f>IF('NEW ACCOUNT'!A1974="","",'NEW ACCOUNT'!J1974)</f>
        <v/>
      </c>
      <c r="K1973" t="str">
        <f>IFERROR(IF(A1973="","",SUMIF(DB_Savings!$A:$A,A1973,DB_Savings!$F:$F)),"")</f>
        <v/>
      </c>
      <c r="L1973" t="str">
        <f>IFERROR(IF(A1973="","",SUMIF(DB_Withdrawals!$A:$A,A1973,DB_Withdrawals!$G:$G)),"")</f>
        <v/>
      </c>
      <c r="M1973" t="str">
        <f>IFERROR(IF(A1973="","",IFERROR(VALUE(H1973),0)+IFERROR(SUMIF(DB_Savings!$A:$A,A1973,DB_Savings!$F:$F),0)-IFERROR(SUMIF(DB_Withdrawals!$A:$A,A1973,DB_Withdrawals!$G:$G),0)),"")</f>
        <v/>
      </c>
      <c r="N1973" t="str">
        <f>IFERROR(IF(A1973="","",MAX(0,M1973-System_Config!$B$9)),"")</f>
        <v/>
      </c>
    </row>
    <row r="1974" spans="1:14" ht="15" customHeight="1" x14ac:dyDescent="0.25">
      <c r="A1974" t="str">
        <f>'NEW ACCOUNT'!A1975</f>
        <v/>
      </c>
      <c r="B1974" t="str">
        <f>IF('NEW ACCOUNT'!A1975="","",'NEW ACCOUNT'!B1975)</f>
        <v/>
      </c>
      <c r="C1974" t="str">
        <f>IF('NEW ACCOUNT'!A1975="","",'NEW ACCOUNT'!C1975)</f>
        <v/>
      </c>
      <c r="D1974" t="str">
        <f>IF('NEW ACCOUNT'!A1975="","",'NEW ACCOUNT'!D1975)</f>
        <v/>
      </c>
      <c r="E1974" t="str">
        <f>IF('NEW ACCOUNT'!A1975="","",'NEW ACCOUNT'!E1975)</f>
        <v/>
      </c>
      <c r="F1974" t="str">
        <f>IF('NEW ACCOUNT'!A1975="","",'NEW ACCOUNT'!F1975)</f>
        <v/>
      </c>
      <c r="G1974" t="str">
        <f>IF('NEW ACCOUNT'!A1975="","",'NEW ACCOUNT'!G1975)</f>
        <v/>
      </c>
      <c r="H1974" t="str">
        <f>IF('NEW ACCOUNT'!A1975="","",'NEW ACCOUNT'!H1975)</f>
        <v/>
      </c>
      <c r="I1974" t="str">
        <f>IF('NEW ACCOUNT'!A1975="","",'NEW ACCOUNT'!I1975)</f>
        <v/>
      </c>
      <c r="J1974" t="str">
        <f>IF('NEW ACCOUNT'!A1975="","",'NEW ACCOUNT'!J1975)</f>
        <v/>
      </c>
      <c r="K1974" t="str">
        <f>IFERROR(IF(A1974="","",SUMIF(DB_Savings!$A:$A,A1974,DB_Savings!$F:$F)),"")</f>
        <v/>
      </c>
      <c r="L1974" t="str">
        <f>IFERROR(IF(A1974="","",SUMIF(DB_Withdrawals!$A:$A,A1974,DB_Withdrawals!$G:$G)),"")</f>
        <v/>
      </c>
      <c r="M1974" t="str">
        <f>IFERROR(IF(A1974="","",IFERROR(VALUE(H1974),0)+IFERROR(SUMIF(DB_Savings!$A:$A,A1974,DB_Savings!$F:$F),0)-IFERROR(SUMIF(DB_Withdrawals!$A:$A,A1974,DB_Withdrawals!$G:$G),0)),"")</f>
        <v/>
      </c>
      <c r="N1974" t="str">
        <f>IFERROR(IF(A1974="","",MAX(0,M1974-System_Config!$B$9)),"")</f>
        <v/>
      </c>
    </row>
    <row r="1975" spans="1:14" ht="15" customHeight="1" x14ac:dyDescent="0.25">
      <c r="A1975" t="str">
        <f>'NEW ACCOUNT'!A1976</f>
        <v/>
      </c>
      <c r="B1975" t="str">
        <f>IF('NEW ACCOUNT'!A1976="","",'NEW ACCOUNT'!B1976)</f>
        <v/>
      </c>
      <c r="C1975" t="str">
        <f>IF('NEW ACCOUNT'!A1976="","",'NEW ACCOUNT'!C1976)</f>
        <v/>
      </c>
      <c r="D1975" t="str">
        <f>IF('NEW ACCOUNT'!A1976="","",'NEW ACCOUNT'!D1976)</f>
        <v/>
      </c>
      <c r="E1975" t="str">
        <f>IF('NEW ACCOUNT'!A1976="","",'NEW ACCOUNT'!E1976)</f>
        <v/>
      </c>
      <c r="F1975" t="str">
        <f>IF('NEW ACCOUNT'!A1976="","",'NEW ACCOUNT'!F1976)</f>
        <v/>
      </c>
      <c r="G1975" t="str">
        <f>IF('NEW ACCOUNT'!A1976="","",'NEW ACCOUNT'!G1976)</f>
        <v/>
      </c>
      <c r="H1975" t="str">
        <f>IF('NEW ACCOUNT'!A1976="","",'NEW ACCOUNT'!H1976)</f>
        <v/>
      </c>
      <c r="I1975" t="str">
        <f>IF('NEW ACCOUNT'!A1976="","",'NEW ACCOUNT'!I1976)</f>
        <v/>
      </c>
      <c r="J1975" t="str">
        <f>IF('NEW ACCOUNT'!A1976="","",'NEW ACCOUNT'!J1976)</f>
        <v/>
      </c>
      <c r="K1975" t="str">
        <f>IFERROR(IF(A1975="","",SUMIF(DB_Savings!$A:$A,A1975,DB_Savings!$F:$F)),"")</f>
        <v/>
      </c>
      <c r="L1975" t="str">
        <f>IFERROR(IF(A1975="","",SUMIF(DB_Withdrawals!$A:$A,A1975,DB_Withdrawals!$G:$G)),"")</f>
        <v/>
      </c>
      <c r="M1975" t="str">
        <f>IFERROR(IF(A1975="","",IFERROR(VALUE(H1975),0)+IFERROR(SUMIF(DB_Savings!$A:$A,A1975,DB_Savings!$F:$F),0)-IFERROR(SUMIF(DB_Withdrawals!$A:$A,A1975,DB_Withdrawals!$G:$G),0)),"")</f>
        <v/>
      </c>
      <c r="N1975" t="str">
        <f>IFERROR(IF(A1975="","",MAX(0,M1975-System_Config!$B$9)),"")</f>
        <v/>
      </c>
    </row>
    <row r="1976" spans="1:14" ht="15" customHeight="1" x14ac:dyDescent="0.25">
      <c r="A1976" t="str">
        <f>'NEW ACCOUNT'!A1977</f>
        <v/>
      </c>
      <c r="B1976" t="str">
        <f>IF('NEW ACCOUNT'!A1977="","",'NEW ACCOUNT'!B1977)</f>
        <v/>
      </c>
      <c r="C1976" t="str">
        <f>IF('NEW ACCOUNT'!A1977="","",'NEW ACCOUNT'!C1977)</f>
        <v/>
      </c>
      <c r="D1976" t="str">
        <f>IF('NEW ACCOUNT'!A1977="","",'NEW ACCOUNT'!D1977)</f>
        <v/>
      </c>
      <c r="E1976" t="str">
        <f>IF('NEW ACCOUNT'!A1977="","",'NEW ACCOUNT'!E1977)</f>
        <v/>
      </c>
      <c r="F1976" t="str">
        <f>IF('NEW ACCOUNT'!A1977="","",'NEW ACCOUNT'!F1977)</f>
        <v/>
      </c>
      <c r="G1976" t="str">
        <f>IF('NEW ACCOUNT'!A1977="","",'NEW ACCOUNT'!G1977)</f>
        <v/>
      </c>
      <c r="H1976" t="str">
        <f>IF('NEW ACCOUNT'!A1977="","",'NEW ACCOUNT'!H1977)</f>
        <v/>
      </c>
      <c r="I1976" t="str">
        <f>IF('NEW ACCOUNT'!A1977="","",'NEW ACCOUNT'!I1977)</f>
        <v/>
      </c>
      <c r="J1976" t="str">
        <f>IF('NEW ACCOUNT'!A1977="","",'NEW ACCOUNT'!J1977)</f>
        <v/>
      </c>
      <c r="K1976" t="str">
        <f>IFERROR(IF(A1976="","",SUMIF(DB_Savings!$A:$A,A1976,DB_Savings!$F:$F)),"")</f>
        <v/>
      </c>
      <c r="L1976" t="str">
        <f>IFERROR(IF(A1976="","",SUMIF(DB_Withdrawals!$A:$A,A1976,DB_Withdrawals!$G:$G)),"")</f>
        <v/>
      </c>
      <c r="M1976" t="str">
        <f>IFERROR(IF(A1976="","",IFERROR(VALUE(H1976),0)+IFERROR(SUMIF(DB_Savings!$A:$A,A1976,DB_Savings!$F:$F),0)-IFERROR(SUMIF(DB_Withdrawals!$A:$A,A1976,DB_Withdrawals!$G:$G),0)),"")</f>
        <v/>
      </c>
      <c r="N1976" t="str">
        <f>IFERROR(IF(A1976="","",MAX(0,M1976-System_Config!$B$9)),"")</f>
        <v/>
      </c>
    </row>
    <row r="1977" spans="1:14" ht="15" customHeight="1" x14ac:dyDescent="0.25">
      <c r="A1977" t="str">
        <f>'NEW ACCOUNT'!A1978</f>
        <v/>
      </c>
      <c r="B1977" t="str">
        <f>IF('NEW ACCOUNT'!A1978="","",'NEW ACCOUNT'!B1978)</f>
        <v/>
      </c>
      <c r="C1977" t="str">
        <f>IF('NEW ACCOUNT'!A1978="","",'NEW ACCOUNT'!C1978)</f>
        <v/>
      </c>
      <c r="D1977" t="str">
        <f>IF('NEW ACCOUNT'!A1978="","",'NEW ACCOUNT'!D1978)</f>
        <v/>
      </c>
      <c r="E1977" t="str">
        <f>IF('NEW ACCOUNT'!A1978="","",'NEW ACCOUNT'!E1978)</f>
        <v/>
      </c>
      <c r="F1977" t="str">
        <f>IF('NEW ACCOUNT'!A1978="","",'NEW ACCOUNT'!F1978)</f>
        <v/>
      </c>
      <c r="G1977" t="str">
        <f>IF('NEW ACCOUNT'!A1978="","",'NEW ACCOUNT'!G1978)</f>
        <v/>
      </c>
      <c r="H1977" t="str">
        <f>IF('NEW ACCOUNT'!A1978="","",'NEW ACCOUNT'!H1978)</f>
        <v/>
      </c>
      <c r="I1977" t="str">
        <f>IF('NEW ACCOUNT'!A1978="","",'NEW ACCOUNT'!I1978)</f>
        <v/>
      </c>
      <c r="J1977" t="str">
        <f>IF('NEW ACCOUNT'!A1978="","",'NEW ACCOUNT'!J1978)</f>
        <v/>
      </c>
      <c r="K1977" t="str">
        <f>IFERROR(IF(A1977="","",SUMIF(DB_Savings!$A:$A,A1977,DB_Savings!$F:$F)),"")</f>
        <v/>
      </c>
      <c r="L1977" t="str">
        <f>IFERROR(IF(A1977="","",SUMIF(DB_Withdrawals!$A:$A,A1977,DB_Withdrawals!$G:$G)),"")</f>
        <v/>
      </c>
      <c r="M1977" t="str">
        <f>IFERROR(IF(A1977="","",IFERROR(VALUE(H1977),0)+IFERROR(SUMIF(DB_Savings!$A:$A,A1977,DB_Savings!$F:$F),0)-IFERROR(SUMIF(DB_Withdrawals!$A:$A,A1977,DB_Withdrawals!$G:$G),0)),"")</f>
        <v/>
      </c>
      <c r="N1977" t="str">
        <f>IFERROR(IF(A1977="","",MAX(0,M1977-System_Config!$B$9)),"")</f>
        <v/>
      </c>
    </row>
    <row r="1978" spans="1:14" ht="15" customHeight="1" x14ac:dyDescent="0.25">
      <c r="A1978" t="str">
        <f>'NEW ACCOUNT'!A1979</f>
        <v/>
      </c>
      <c r="B1978" t="str">
        <f>IF('NEW ACCOUNT'!A1979="","",'NEW ACCOUNT'!B1979)</f>
        <v/>
      </c>
      <c r="C1978" t="str">
        <f>IF('NEW ACCOUNT'!A1979="","",'NEW ACCOUNT'!C1979)</f>
        <v/>
      </c>
      <c r="D1978" t="str">
        <f>IF('NEW ACCOUNT'!A1979="","",'NEW ACCOUNT'!D1979)</f>
        <v/>
      </c>
      <c r="E1978" t="str">
        <f>IF('NEW ACCOUNT'!A1979="","",'NEW ACCOUNT'!E1979)</f>
        <v/>
      </c>
      <c r="F1978" t="str">
        <f>IF('NEW ACCOUNT'!A1979="","",'NEW ACCOUNT'!F1979)</f>
        <v/>
      </c>
      <c r="G1978" t="str">
        <f>IF('NEW ACCOUNT'!A1979="","",'NEW ACCOUNT'!G1979)</f>
        <v/>
      </c>
      <c r="H1978" t="str">
        <f>IF('NEW ACCOUNT'!A1979="","",'NEW ACCOUNT'!H1979)</f>
        <v/>
      </c>
      <c r="I1978" t="str">
        <f>IF('NEW ACCOUNT'!A1979="","",'NEW ACCOUNT'!I1979)</f>
        <v/>
      </c>
      <c r="J1978" t="str">
        <f>IF('NEW ACCOUNT'!A1979="","",'NEW ACCOUNT'!J1979)</f>
        <v/>
      </c>
      <c r="K1978" t="str">
        <f>IFERROR(IF(A1978="","",SUMIF(DB_Savings!$A:$A,A1978,DB_Savings!$F:$F)),"")</f>
        <v/>
      </c>
      <c r="L1978" t="str">
        <f>IFERROR(IF(A1978="","",SUMIF(DB_Withdrawals!$A:$A,A1978,DB_Withdrawals!$G:$G)),"")</f>
        <v/>
      </c>
      <c r="M1978" t="str">
        <f>IFERROR(IF(A1978="","",IFERROR(VALUE(H1978),0)+IFERROR(SUMIF(DB_Savings!$A:$A,A1978,DB_Savings!$F:$F),0)-IFERROR(SUMIF(DB_Withdrawals!$A:$A,A1978,DB_Withdrawals!$G:$G),0)),"")</f>
        <v/>
      </c>
      <c r="N1978" t="str">
        <f>IFERROR(IF(A1978="","",MAX(0,M1978-System_Config!$B$9)),"")</f>
        <v/>
      </c>
    </row>
    <row r="1979" spans="1:14" ht="15" customHeight="1" x14ac:dyDescent="0.25">
      <c r="A1979" t="str">
        <f>'NEW ACCOUNT'!A1980</f>
        <v/>
      </c>
      <c r="B1979" t="str">
        <f>IF('NEW ACCOUNT'!A1980="","",'NEW ACCOUNT'!B1980)</f>
        <v/>
      </c>
      <c r="C1979" t="str">
        <f>IF('NEW ACCOUNT'!A1980="","",'NEW ACCOUNT'!C1980)</f>
        <v/>
      </c>
      <c r="D1979" t="str">
        <f>IF('NEW ACCOUNT'!A1980="","",'NEW ACCOUNT'!D1980)</f>
        <v/>
      </c>
      <c r="E1979" t="str">
        <f>IF('NEW ACCOUNT'!A1980="","",'NEW ACCOUNT'!E1980)</f>
        <v/>
      </c>
      <c r="F1979" t="str">
        <f>IF('NEW ACCOUNT'!A1980="","",'NEW ACCOUNT'!F1980)</f>
        <v/>
      </c>
      <c r="G1979" t="str">
        <f>IF('NEW ACCOUNT'!A1980="","",'NEW ACCOUNT'!G1980)</f>
        <v/>
      </c>
      <c r="H1979" t="str">
        <f>IF('NEW ACCOUNT'!A1980="","",'NEW ACCOUNT'!H1980)</f>
        <v/>
      </c>
      <c r="I1979" t="str">
        <f>IF('NEW ACCOUNT'!A1980="","",'NEW ACCOUNT'!I1980)</f>
        <v/>
      </c>
      <c r="J1979" t="str">
        <f>IF('NEW ACCOUNT'!A1980="","",'NEW ACCOUNT'!J1980)</f>
        <v/>
      </c>
      <c r="K1979" t="str">
        <f>IFERROR(IF(A1979="","",SUMIF(DB_Savings!$A:$A,A1979,DB_Savings!$F:$F)),"")</f>
        <v/>
      </c>
      <c r="L1979" t="str">
        <f>IFERROR(IF(A1979="","",SUMIF(DB_Withdrawals!$A:$A,A1979,DB_Withdrawals!$G:$G)),"")</f>
        <v/>
      </c>
      <c r="M1979" t="str">
        <f>IFERROR(IF(A1979="","",IFERROR(VALUE(H1979),0)+IFERROR(SUMIF(DB_Savings!$A:$A,A1979,DB_Savings!$F:$F),0)-IFERROR(SUMIF(DB_Withdrawals!$A:$A,A1979,DB_Withdrawals!$G:$G),0)),"")</f>
        <v/>
      </c>
      <c r="N1979" t="str">
        <f>IFERROR(IF(A1979="","",MAX(0,M1979-System_Config!$B$9)),"")</f>
        <v/>
      </c>
    </row>
    <row r="1980" spans="1:14" ht="15" customHeight="1" x14ac:dyDescent="0.25">
      <c r="A1980" t="str">
        <f>'NEW ACCOUNT'!A1981</f>
        <v/>
      </c>
      <c r="B1980" t="str">
        <f>IF('NEW ACCOUNT'!A1981="","",'NEW ACCOUNT'!B1981)</f>
        <v/>
      </c>
      <c r="C1980" t="str">
        <f>IF('NEW ACCOUNT'!A1981="","",'NEW ACCOUNT'!C1981)</f>
        <v/>
      </c>
      <c r="D1980" t="str">
        <f>IF('NEW ACCOUNT'!A1981="","",'NEW ACCOUNT'!D1981)</f>
        <v/>
      </c>
      <c r="E1980" t="str">
        <f>IF('NEW ACCOUNT'!A1981="","",'NEW ACCOUNT'!E1981)</f>
        <v/>
      </c>
      <c r="F1980" t="str">
        <f>IF('NEW ACCOUNT'!A1981="","",'NEW ACCOUNT'!F1981)</f>
        <v/>
      </c>
      <c r="G1980" t="str">
        <f>IF('NEW ACCOUNT'!A1981="","",'NEW ACCOUNT'!G1981)</f>
        <v/>
      </c>
      <c r="H1980" t="str">
        <f>IF('NEW ACCOUNT'!A1981="","",'NEW ACCOUNT'!H1981)</f>
        <v/>
      </c>
      <c r="I1980" t="str">
        <f>IF('NEW ACCOUNT'!A1981="","",'NEW ACCOUNT'!I1981)</f>
        <v/>
      </c>
      <c r="J1980" t="str">
        <f>IF('NEW ACCOUNT'!A1981="","",'NEW ACCOUNT'!J1981)</f>
        <v/>
      </c>
      <c r="K1980" t="str">
        <f>IFERROR(IF(A1980="","",SUMIF(DB_Savings!$A:$A,A1980,DB_Savings!$F:$F)),"")</f>
        <v/>
      </c>
      <c r="L1980" t="str">
        <f>IFERROR(IF(A1980="","",SUMIF(DB_Withdrawals!$A:$A,A1980,DB_Withdrawals!$G:$G)),"")</f>
        <v/>
      </c>
      <c r="M1980" t="str">
        <f>IFERROR(IF(A1980="","",IFERROR(VALUE(H1980),0)+IFERROR(SUMIF(DB_Savings!$A:$A,A1980,DB_Savings!$F:$F),0)-IFERROR(SUMIF(DB_Withdrawals!$A:$A,A1980,DB_Withdrawals!$G:$G),0)),"")</f>
        <v/>
      </c>
      <c r="N1980" t="str">
        <f>IFERROR(IF(A1980="","",MAX(0,M1980-System_Config!$B$9)),"")</f>
        <v/>
      </c>
    </row>
    <row r="1981" spans="1:14" ht="15" customHeight="1" x14ac:dyDescent="0.25">
      <c r="A1981" t="str">
        <f>'NEW ACCOUNT'!A1982</f>
        <v/>
      </c>
      <c r="B1981" t="str">
        <f>IF('NEW ACCOUNT'!A1982="","",'NEW ACCOUNT'!B1982)</f>
        <v/>
      </c>
      <c r="C1981" t="str">
        <f>IF('NEW ACCOUNT'!A1982="","",'NEW ACCOUNT'!C1982)</f>
        <v/>
      </c>
      <c r="D1981" t="str">
        <f>IF('NEW ACCOUNT'!A1982="","",'NEW ACCOUNT'!D1982)</f>
        <v/>
      </c>
      <c r="E1981" t="str">
        <f>IF('NEW ACCOUNT'!A1982="","",'NEW ACCOUNT'!E1982)</f>
        <v/>
      </c>
      <c r="F1981" t="str">
        <f>IF('NEW ACCOUNT'!A1982="","",'NEW ACCOUNT'!F1982)</f>
        <v/>
      </c>
      <c r="G1981" t="str">
        <f>IF('NEW ACCOUNT'!A1982="","",'NEW ACCOUNT'!G1982)</f>
        <v/>
      </c>
      <c r="H1981" t="str">
        <f>IF('NEW ACCOUNT'!A1982="","",'NEW ACCOUNT'!H1982)</f>
        <v/>
      </c>
      <c r="I1981" t="str">
        <f>IF('NEW ACCOUNT'!A1982="","",'NEW ACCOUNT'!I1982)</f>
        <v/>
      </c>
      <c r="J1981" t="str">
        <f>IF('NEW ACCOUNT'!A1982="","",'NEW ACCOUNT'!J1982)</f>
        <v/>
      </c>
      <c r="K1981" t="str">
        <f>IFERROR(IF(A1981="","",SUMIF(DB_Savings!$A:$A,A1981,DB_Savings!$F:$F)),"")</f>
        <v/>
      </c>
      <c r="L1981" t="str">
        <f>IFERROR(IF(A1981="","",SUMIF(DB_Withdrawals!$A:$A,A1981,DB_Withdrawals!$G:$G)),"")</f>
        <v/>
      </c>
      <c r="M1981" t="str">
        <f>IFERROR(IF(A1981="","",IFERROR(VALUE(H1981),0)+IFERROR(SUMIF(DB_Savings!$A:$A,A1981,DB_Savings!$F:$F),0)-IFERROR(SUMIF(DB_Withdrawals!$A:$A,A1981,DB_Withdrawals!$G:$G),0)),"")</f>
        <v/>
      </c>
      <c r="N1981" t="str">
        <f>IFERROR(IF(A1981="","",MAX(0,M1981-System_Config!$B$9)),"")</f>
        <v/>
      </c>
    </row>
    <row r="1982" spans="1:14" ht="15" customHeight="1" x14ac:dyDescent="0.25">
      <c r="A1982" t="str">
        <f>'NEW ACCOUNT'!A1983</f>
        <v/>
      </c>
      <c r="B1982" t="str">
        <f>IF('NEW ACCOUNT'!A1983="","",'NEW ACCOUNT'!B1983)</f>
        <v/>
      </c>
      <c r="C1982" t="str">
        <f>IF('NEW ACCOUNT'!A1983="","",'NEW ACCOUNT'!C1983)</f>
        <v/>
      </c>
      <c r="D1982" t="str">
        <f>IF('NEW ACCOUNT'!A1983="","",'NEW ACCOUNT'!D1983)</f>
        <v/>
      </c>
      <c r="E1982" t="str">
        <f>IF('NEW ACCOUNT'!A1983="","",'NEW ACCOUNT'!E1983)</f>
        <v/>
      </c>
      <c r="F1982" t="str">
        <f>IF('NEW ACCOUNT'!A1983="","",'NEW ACCOUNT'!F1983)</f>
        <v/>
      </c>
      <c r="G1982" t="str">
        <f>IF('NEW ACCOUNT'!A1983="","",'NEW ACCOUNT'!G1983)</f>
        <v/>
      </c>
      <c r="H1982" t="str">
        <f>IF('NEW ACCOUNT'!A1983="","",'NEW ACCOUNT'!H1983)</f>
        <v/>
      </c>
      <c r="I1982" t="str">
        <f>IF('NEW ACCOUNT'!A1983="","",'NEW ACCOUNT'!I1983)</f>
        <v/>
      </c>
      <c r="J1982" t="str">
        <f>IF('NEW ACCOUNT'!A1983="","",'NEW ACCOUNT'!J1983)</f>
        <v/>
      </c>
      <c r="K1982" t="str">
        <f>IFERROR(IF(A1982="","",SUMIF(DB_Savings!$A:$A,A1982,DB_Savings!$F:$F)),"")</f>
        <v/>
      </c>
      <c r="L1982" t="str">
        <f>IFERROR(IF(A1982="","",SUMIF(DB_Withdrawals!$A:$A,A1982,DB_Withdrawals!$G:$G)),"")</f>
        <v/>
      </c>
      <c r="M1982" t="str">
        <f>IFERROR(IF(A1982="","",IFERROR(VALUE(H1982),0)+IFERROR(SUMIF(DB_Savings!$A:$A,A1982,DB_Savings!$F:$F),0)-IFERROR(SUMIF(DB_Withdrawals!$A:$A,A1982,DB_Withdrawals!$G:$G),0)),"")</f>
        <v/>
      </c>
      <c r="N1982" t="str">
        <f>IFERROR(IF(A1982="","",MAX(0,M1982-System_Config!$B$9)),"")</f>
        <v/>
      </c>
    </row>
    <row r="1983" spans="1:14" ht="15" customHeight="1" x14ac:dyDescent="0.25">
      <c r="A1983" t="str">
        <f>'NEW ACCOUNT'!A1984</f>
        <v/>
      </c>
      <c r="B1983" t="str">
        <f>IF('NEW ACCOUNT'!A1984="","",'NEW ACCOUNT'!B1984)</f>
        <v/>
      </c>
      <c r="C1983" t="str">
        <f>IF('NEW ACCOUNT'!A1984="","",'NEW ACCOUNT'!C1984)</f>
        <v/>
      </c>
      <c r="D1983" t="str">
        <f>IF('NEW ACCOUNT'!A1984="","",'NEW ACCOUNT'!D1984)</f>
        <v/>
      </c>
      <c r="E1983" t="str">
        <f>IF('NEW ACCOUNT'!A1984="","",'NEW ACCOUNT'!E1984)</f>
        <v/>
      </c>
      <c r="F1983" t="str">
        <f>IF('NEW ACCOUNT'!A1984="","",'NEW ACCOUNT'!F1984)</f>
        <v/>
      </c>
      <c r="G1983" t="str">
        <f>IF('NEW ACCOUNT'!A1984="","",'NEW ACCOUNT'!G1984)</f>
        <v/>
      </c>
      <c r="H1983" t="str">
        <f>IF('NEW ACCOUNT'!A1984="","",'NEW ACCOUNT'!H1984)</f>
        <v/>
      </c>
      <c r="I1983" t="str">
        <f>IF('NEW ACCOUNT'!A1984="","",'NEW ACCOUNT'!I1984)</f>
        <v/>
      </c>
      <c r="J1983" t="str">
        <f>IF('NEW ACCOUNT'!A1984="","",'NEW ACCOUNT'!J1984)</f>
        <v/>
      </c>
      <c r="K1983" t="str">
        <f>IFERROR(IF(A1983="","",SUMIF(DB_Savings!$A:$A,A1983,DB_Savings!$F:$F)),"")</f>
        <v/>
      </c>
      <c r="L1983" t="str">
        <f>IFERROR(IF(A1983="","",SUMIF(DB_Withdrawals!$A:$A,A1983,DB_Withdrawals!$G:$G)),"")</f>
        <v/>
      </c>
      <c r="M1983" t="str">
        <f>IFERROR(IF(A1983="","",IFERROR(VALUE(H1983),0)+IFERROR(SUMIF(DB_Savings!$A:$A,A1983,DB_Savings!$F:$F),0)-IFERROR(SUMIF(DB_Withdrawals!$A:$A,A1983,DB_Withdrawals!$G:$G),0)),"")</f>
        <v/>
      </c>
      <c r="N1983" t="str">
        <f>IFERROR(IF(A1983="","",MAX(0,M1983-System_Config!$B$9)),"")</f>
        <v/>
      </c>
    </row>
    <row r="1984" spans="1:14" ht="15" customHeight="1" x14ac:dyDescent="0.25">
      <c r="A1984" t="str">
        <f>'NEW ACCOUNT'!A1985</f>
        <v/>
      </c>
      <c r="B1984" t="str">
        <f>IF('NEW ACCOUNT'!A1985="","",'NEW ACCOUNT'!B1985)</f>
        <v/>
      </c>
      <c r="C1984" t="str">
        <f>IF('NEW ACCOUNT'!A1985="","",'NEW ACCOUNT'!C1985)</f>
        <v/>
      </c>
      <c r="D1984" t="str">
        <f>IF('NEW ACCOUNT'!A1985="","",'NEW ACCOUNT'!D1985)</f>
        <v/>
      </c>
      <c r="E1984" t="str">
        <f>IF('NEW ACCOUNT'!A1985="","",'NEW ACCOUNT'!E1985)</f>
        <v/>
      </c>
      <c r="F1984" t="str">
        <f>IF('NEW ACCOUNT'!A1985="","",'NEW ACCOUNT'!F1985)</f>
        <v/>
      </c>
      <c r="G1984" t="str">
        <f>IF('NEW ACCOUNT'!A1985="","",'NEW ACCOUNT'!G1985)</f>
        <v/>
      </c>
      <c r="H1984" t="str">
        <f>IF('NEW ACCOUNT'!A1985="","",'NEW ACCOUNT'!H1985)</f>
        <v/>
      </c>
      <c r="I1984" t="str">
        <f>IF('NEW ACCOUNT'!A1985="","",'NEW ACCOUNT'!I1985)</f>
        <v/>
      </c>
      <c r="J1984" t="str">
        <f>IF('NEW ACCOUNT'!A1985="","",'NEW ACCOUNT'!J1985)</f>
        <v/>
      </c>
      <c r="K1984" t="str">
        <f>IFERROR(IF(A1984="","",SUMIF(DB_Savings!$A:$A,A1984,DB_Savings!$F:$F)),"")</f>
        <v/>
      </c>
      <c r="L1984" t="str">
        <f>IFERROR(IF(A1984="","",SUMIF(DB_Withdrawals!$A:$A,A1984,DB_Withdrawals!$G:$G)),"")</f>
        <v/>
      </c>
      <c r="M1984" t="str">
        <f>IFERROR(IF(A1984="","",IFERROR(VALUE(H1984),0)+IFERROR(SUMIF(DB_Savings!$A:$A,A1984,DB_Savings!$F:$F),0)-IFERROR(SUMIF(DB_Withdrawals!$A:$A,A1984,DB_Withdrawals!$G:$G),0)),"")</f>
        <v/>
      </c>
      <c r="N1984" t="str">
        <f>IFERROR(IF(A1984="","",MAX(0,M1984-System_Config!$B$9)),"")</f>
        <v/>
      </c>
    </row>
    <row r="1985" spans="1:14" ht="15" customHeight="1" x14ac:dyDescent="0.25">
      <c r="A1985" t="str">
        <f>'NEW ACCOUNT'!A1986</f>
        <v/>
      </c>
      <c r="B1985" t="str">
        <f>IF('NEW ACCOUNT'!A1986="","",'NEW ACCOUNT'!B1986)</f>
        <v/>
      </c>
      <c r="C1985" t="str">
        <f>IF('NEW ACCOUNT'!A1986="","",'NEW ACCOUNT'!C1986)</f>
        <v/>
      </c>
      <c r="D1985" t="str">
        <f>IF('NEW ACCOUNT'!A1986="","",'NEW ACCOUNT'!D1986)</f>
        <v/>
      </c>
      <c r="E1985" t="str">
        <f>IF('NEW ACCOUNT'!A1986="","",'NEW ACCOUNT'!E1986)</f>
        <v/>
      </c>
      <c r="F1985" t="str">
        <f>IF('NEW ACCOUNT'!A1986="","",'NEW ACCOUNT'!F1986)</f>
        <v/>
      </c>
      <c r="G1985" t="str">
        <f>IF('NEW ACCOUNT'!A1986="","",'NEW ACCOUNT'!G1986)</f>
        <v/>
      </c>
      <c r="H1985" t="str">
        <f>IF('NEW ACCOUNT'!A1986="","",'NEW ACCOUNT'!H1986)</f>
        <v/>
      </c>
      <c r="I1985" t="str">
        <f>IF('NEW ACCOUNT'!A1986="","",'NEW ACCOUNT'!I1986)</f>
        <v/>
      </c>
      <c r="J1985" t="str">
        <f>IF('NEW ACCOUNT'!A1986="","",'NEW ACCOUNT'!J1986)</f>
        <v/>
      </c>
      <c r="K1985" t="str">
        <f>IFERROR(IF(A1985="","",SUMIF(DB_Savings!$A:$A,A1985,DB_Savings!$F:$F)),"")</f>
        <v/>
      </c>
      <c r="L1985" t="str">
        <f>IFERROR(IF(A1985="","",SUMIF(DB_Withdrawals!$A:$A,A1985,DB_Withdrawals!$G:$G)),"")</f>
        <v/>
      </c>
      <c r="M1985" t="str">
        <f>IFERROR(IF(A1985="","",IFERROR(VALUE(H1985),0)+IFERROR(SUMIF(DB_Savings!$A:$A,A1985,DB_Savings!$F:$F),0)-IFERROR(SUMIF(DB_Withdrawals!$A:$A,A1985,DB_Withdrawals!$G:$G),0)),"")</f>
        <v/>
      </c>
      <c r="N1985" t="str">
        <f>IFERROR(IF(A1985="","",MAX(0,M1985-System_Config!$B$9)),"")</f>
        <v/>
      </c>
    </row>
    <row r="1986" spans="1:14" ht="15" customHeight="1" x14ac:dyDescent="0.25">
      <c r="A1986" t="str">
        <f>'NEW ACCOUNT'!A1987</f>
        <v/>
      </c>
      <c r="B1986" t="str">
        <f>IF('NEW ACCOUNT'!A1987="","",'NEW ACCOUNT'!B1987)</f>
        <v/>
      </c>
      <c r="C1986" t="str">
        <f>IF('NEW ACCOUNT'!A1987="","",'NEW ACCOUNT'!C1987)</f>
        <v/>
      </c>
      <c r="D1986" t="str">
        <f>IF('NEW ACCOUNT'!A1987="","",'NEW ACCOUNT'!D1987)</f>
        <v/>
      </c>
      <c r="E1986" t="str">
        <f>IF('NEW ACCOUNT'!A1987="","",'NEW ACCOUNT'!E1987)</f>
        <v/>
      </c>
      <c r="F1986" t="str">
        <f>IF('NEW ACCOUNT'!A1987="","",'NEW ACCOUNT'!F1987)</f>
        <v/>
      </c>
      <c r="G1986" t="str">
        <f>IF('NEW ACCOUNT'!A1987="","",'NEW ACCOUNT'!G1987)</f>
        <v/>
      </c>
      <c r="H1986" t="str">
        <f>IF('NEW ACCOUNT'!A1987="","",'NEW ACCOUNT'!H1987)</f>
        <v/>
      </c>
      <c r="I1986" t="str">
        <f>IF('NEW ACCOUNT'!A1987="","",'NEW ACCOUNT'!I1987)</f>
        <v/>
      </c>
      <c r="J1986" t="str">
        <f>IF('NEW ACCOUNT'!A1987="","",'NEW ACCOUNT'!J1987)</f>
        <v/>
      </c>
      <c r="K1986" t="str">
        <f>IFERROR(IF(A1986="","",SUMIF(DB_Savings!$A:$A,A1986,DB_Savings!$F:$F)),"")</f>
        <v/>
      </c>
      <c r="L1986" t="str">
        <f>IFERROR(IF(A1986="","",SUMIF(DB_Withdrawals!$A:$A,A1986,DB_Withdrawals!$G:$G)),"")</f>
        <v/>
      </c>
      <c r="M1986" t="str">
        <f>IFERROR(IF(A1986="","",IFERROR(VALUE(H1986),0)+IFERROR(SUMIF(DB_Savings!$A:$A,A1986,DB_Savings!$F:$F),0)-IFERROR(SUMIF(DB_Withdrawals!$A:$A,A1986,DB_Withdrawals!$G:$G),0)),"")</f>
        <v/>
      </c>
      <c r="N1986" t="str">
        <f>IFERROR(IF(A1986="","",MAX(0,M1986-System_Config!$B$9)),"")</f>
        <v/>
      </c>
    </row>
    <row r="1987" spans="1:14" ht="15" customHeight="1" x14ac:dyDescent="0.25">
      <c r="A1987" t="str">
        <f>'NEW ACCOUNT'!A1988</f>
        <v/>
      </c>
      <c r="B1987" t="str">
        <f>IF('NEW ACCOUNT'!A1988="","",'NEW ACCOUNT'!B1988)</f>
        <v/>
      </c>
      <c r="C1987" t="str">
        <f>IF('NEW ACCOUNT'!A1988="","",'NEW ACCOUNT'!C1988)</f>
        <v/>
      </c>
      <c r="D1987" t="str">
        <f>IF('NEW ACCOUNT'!A1988="","",'NEW ACCOUNT'!D1988)</f>
        <v/>
      </c>
      <c r="E1987" t="str">
        <f>IF('NEW ACCOUNT'!A1988="","",'NEW ACCOUNT'!E1988)</f>
        <v/>
      </c>
      <c r="F1987" t="str">
        <f>IF('NEW ACCOUNT'!A1988="","",'NEW ACCOUNT'!F1988)</f>
        <v/>
      </c>
      <c r="G1987" t="str">
        <f>IF('NEW ACCOUNT'!A1988="","",'NEW ACCOUNT'!G1988)</f>
        <v/>
      </c>
      <c r="H1987" t="str">
        <f>IF('NEW ACCOUNT'!A1988="","",'NEW ACCOUNT'!H1988)</f>
        <v/>
      </c>
      <c r="I1987" t="str">
        <f>IF('NEW ACCOUNT'!A1988="","",'NEW ACCOUNT'!I1988)</f>
        <v/>
      </c>
      <c r="J1987" t="str">
        <f>IF('NEW ACCOUNT'!A1988="","",'NEW ACCOUNT'!J1988)</f>
        <v/>
      </c>
      <c r="K1987" t="str">
        <f>IFERROR(IF(A1987="","",SUMIF(DB_Savings!$A:$A,A1987,DB_Savings!$F:$F)),"")</f>
        <v/>
      </c>
      <c r="L1987" t="str">
        <f>IFERROR(IF(A1987="","",SUMIF(DB_Withdrawals!$A:$A,A1987,DB_Withdrawals!$G:$G)),"")</f>
        <v/>
      </c>
      <c r="M1987" t="str">
        <f>IFERROR(IF(A1987="","",IFERROR(VALUE(H1987),0)+IFERROR(SUMIF(DB_Savings!$A:$A,A1987,DB_Savings!$F:$F),0)-IFERROR(SUMIF(DB_Withdrawals!$A:$A,A1987,DB_Withdrawals!$G:$G),0)),"")</f>
        <v/>
      </c>
      <c r="N1987" t="str">
        <f>IFERROR(IF(A1987="","",MAX(0,M1987-System_Config!$B$9)),"")</f>
        <v/>
      </c>
    </row>
    <row r="1988" spans="1:14" ht="15" customHeight="1" x14ac:dyDescent="0.25">
      <c r="A1988" t="str">
        <f>'NEW ACCOUNT'!A1989</f>
        <v/>
      </c>
      <c r="B1988" t="str">
        <f>IF('NEW ACCOUNT'!A1989="","",'NEW ACCOUNT'!B1989)</f>
        <v/>
      </c>
      <c r="C1988" t="str">
        <f>IF('NEW ACCOUNT'!A1989="","",'NEW ACCOUNT'!C1989)</f>
        <v/>
      </c>
      <c r="D1988" t="str">
        <f>IF('NEW ACCOUNT'!A1989="","",'NEW ACCOUNT'!D1989)</f>
        <v/>
      </c>
      <c r="E1988" t="str">
        <f>IF('NEW ACCOUNT'!A1989="","",'NEW ACCOUNT'!E1989)</f>
        <v/>
      </c>
      <c r="F1988" t="str">
        <f>IF('NEW ACCOUNT'!A1989="","",'NEW ACCOUNT'!F1989)</f>
        <v/>
      </c>
      <c r="G1988" t="str">
        <f>IF('NEW ACCOUNT'!A1989="","",'NEW ACCOUNT'!G1989)</f>
        <v/>
      </c>
      <c r="H1988" t="str">
        <f>IF('NEW ACCOUNT'!A1989="","",'NEW ACCOUNT'!H1989)</f>
        <v/>
      </c>
      <c r="I1988" t="str">
        <f>IF('NEW ACCOUNT'!A1989="","",'NEW ACCOUNT'!I1989)</f>
        <v/>
      </c>
      <c r="J1988" t="str">
        <f>IF('NEW ACCOUNT'!A1989="","",'NEW ACCOUNT'!J1989)</f>
        <v/>
      </c>
      <c r="K1988" t="str">
        <f>IFERROR(IF(A1988="","",SUMIF(DB_Savings!$A:$A,A1988,DB_Savings!$F:$F)),"")</f>
        <v/>
      </c>
      <c r="L1988" t="str">
        <f>IFERROR(IF(A1988="","",SUMIF(DB_Withdrawals!$A:$A,A1988,DB_Withdrawals!$G:$G)),"")</f>
        <v/>
      </c>
      <c r="M1988" t="str">
        <f>IFERROR(IF(A1988="","",IFERROR(VALUE(H1988),0)+IFERROR(SUMIF(DB_Savings!$A:$A,A1988,DB_Savings!$F:$F),0)-IFERROR(SUMIF(DB_Withdrawals!$A:$A,A1988,DB_Withdrawals!$G:$G),0)),"")</f>
        <v/>
      </c>
      <c r="N1988" t="str">
        <f>IFERROR(IF(A1988="","",MAX(0,M1988-System_Config!$B$9)),"")</f>
        <v/>
      </c>
    </row>
    <row r="1989" spans="1:14" ht="15" customHeight="1" x14ac:dyDescent="0.25">
      <c r="A1989" t="str">
        <f>'NEW ACCOUNT'!A1990</f>
        <v/>
      </c>
      <c r="B1989" t="str">
        <f>IF('NEW ACCOUNT'!A1990="","",'NEW ACCOUNT'!B1990)</f>
        <v/>
      </c>
      <c r="C1989" t="str">
        <f>IF('NEW ACCOUNT'!A1990="","",'NEW ACCOUNT'!C1990)</f>
        <v/>
      </c>
      <c r="D1989" t="str">
        <f>IF('NEW ACCOUNT'!A1990="","",'NEW ACCOUNT'!D1990)</f>
        <v/>
      </c>
      <c r="E1989" t="str">
        <f>IF('NEW ACCOUNT'!A1990="","",'NEW ACCOUNT'!E1990)</f>
        <v/>
      </c>
      <c r="F1989" t="str">
        <f>IF('NEW ACCOUNT'!A1990="","",'NEW ACCOUNT'!F1990)</f>
        <v/>
      </c>
      <c r="G1989" t="str">
        <f>IF('NEW ACCOUNT'!A1990="","",'NEW ACCOUNT'!G1990)</f>
        <v/>
      </c>
      <c r="H1989" t="str">
        <f>IF('NEW ACCOUNT'!A1990="","",'NEW ACCOUNT'!H1990)</f>
        <v/>
      </c>
      <c r="I1989" t="str">
        <f>IF('NEW ACCOUNT'!A1990="","",'NEW ACCOUNT'!I1990)</f>
        <v/>
      </c>
      <c r="J1989" t="str">
        <f>IF('NEW ACCOUNT'!A1990="","",'NEW ACCOUNT'!J1990)</f>
        <v/>
      </c>
      <c r="K1989" t="str">
        <f>IFERROR(IF(A1989="","",SUMIF(DB_Savings!$A:$A,A1989,DB_Savings!$F:$F)),"")</f>
        <v/>
      </c>
      <c r="L1989" t="str">
        <f>IFERROR(IF(A1989="","",SUMIF(DB_Withdrawals!$A:$A,A1989,DB_Withdrawals!$G:$G)),"")</f>
        <v/>
      </c>
      <c r="M1989" t="str">
        <f>IFERROR(IF(A1989="","",IFERROR(VALUE(H1989),0)+IFERROR(SUMIF(DB_Savings!$A:$A,A1989,DB_Savings!$F:$F),0)-IFERROR(SUMIF(DB_Withdrawals!$A:$A,A1989,DB_Withdrawals!$G:$G),0)),"")</f>
        <v/>
      </c>
      <c r="N1989" t="str">
        <f>IFERROR(IF(A1989="","",MAX(0,M1989-System_Config!$B$9)),"")</f>
        <v/>
      </c>
    </row>
    <row r="1990" spans="1:14" ht="15" customHeight="1" x14ac:dyDescent="0.25">
      <c r="A1990" t="str">
        <f>'NEW ACCOUNT'!A1991</f>
        <v/>
      </c>
      <c r="B1990" t="str">
        <f>IF('NEW ACCOUNT'!A1991="","",'NEW ACCOUNT'!B1991)</f>
        <v/>
      </c>
      <c r="C1990" t="str">
        <f>IF('NEW ACCOUNT'!A1991="","",'NEW ACCOUNT'!C1991)</f>
        <v/>
      </c>
      <c r="D1990" t="str">
        <f>IF('NEW ACCOUNT'!A1991="","",'NEW ACCOUNT'!D1991)</f>
        <v/>
      </c>
      <c r="E1990" t="str">
        <f>IF('NEW ACCOUNT'!A1991="","",'NEW ACCOUNT'!E1991)</f>
        <v/>
      </c>
      <c r="F1990" t="str">
        <f>IF('NEW ACCOUNT'!A1991="","",'NEW ACCOUNT'!F1991)</f>
        <v/>
      </c>
      <c r="G1990" t="str">
        <f>IF('NEW ACCOUNT'!A1991="","",'NEW ACCOUNT'!G1991)</f>
        <v/>
      </c>
      <c r="H1990" t="str">
        <f>IF('NEW ACCOUNT'!A1991="","",'NEW ACCOUNT'!H1991)</f>
        <v/>
      </c>
      <c r="I1990" t="str">
        <f>IF('NEW ACCOUNT'!A1991="","",'NEW ACCOUNT'!I1991)</f>
        <v/>
      </c>
      <c r="J1990" t="str">
        <f>IF('NEW ACCOUNT'!A1991="","",'NEW ACCOUNT'!J1991)</f>
        <v/>
      </c>
      <c r="K1990" t="str">
        <f>IFERROR(IF(A1990="","",SUMIF(DB_Savings!$A:$A,A1990,DB_Savings!$F:$F)),"")</f>
        <v/>
      </c>
      <c r="L1990" t="str">
        <f>IFERROR(IF(A1990="","",SUMIF(DB_Withdrawals!$A:$A,A1990,DB_Withdrawals!$G:$G)),"")</f>
        <v/>
      </c>
      <c r="M1990" t="str">
        <f>IFERROR(IF(A1990="","",IFERROR(VALUE(H1990),0)+IFERROR(SUMIF(DB_Savings!$A:$A,A1990,DB_Savings!$F:$F),0)-IFERROR(SUMIF(DB_Withdrawals!$A:$A,A1990,DB_Withdrawals!$G:$G),0)),"")</f>
        <v/>
      </c>
      <c r="N1990" t="str">
        <f>IFERROR(IF(A1990="","",MAX(0,M1990-System_Config!$B$9)),"")</f>
        <v/>
      </c>
    </row>
    <row r="1991" spans="1:14" ht="15" customHeight="1" x14ac:dyDescent="0.25">
      <c r="A1991" t="str">
        <f>'NEW ACCOUNT'!A1992</f>
        <v/>
      </c>
      <c r="B1991" t="str">
        <f>IF('NEW ACCOUNT'!A1992="","",'NEW ACCOUNT'!B1992)</f>
        <v/>
      </c>
      <c r="C1991" t="str">
        <f>IF('NEW ACCOUNT'!A1992="","",'NEW ACCOUNT'!C1992)</f>
        <v/>
      </c>
      <c r="D1991" t="str">
        <f>IF('NEW ACCOUNT'!A1992="","",'NEW ACCOUNT'!D1992)</f>
        <v/>
      </c>
      <c r="E1991" t="str">
        <f>IF('NEW ACCOUNT'!A1992="","",'NEW ACCOUNT'!E1992)</f>
        <v/>
      </c>
      <c r="F1991" t="str">
        <f>IF('NEW ACCOUNT'!A1992="","",'NEW ACCOUNT'!F1992)</f>
        <v/>
      </c>
      <c r="G1991" t="str">
        <f>IF('NEW ACCOUNT'!A1992="","",'NEW ACCOUNT'!G1992)</f>
        <v/>
      </c>
      <c r="H1991" t="str">
        <f>IF('NEW ACCOUNT'!A1992="","",'NEW ACCOUNT'!H1992)</f>
        <v/>
      </c>
      <c r="I1991" t="str">
        <f>IF('NEW ACCOUNT'!A1992="","",'NEW ACCOUNT'!I1992)</f>
        <v/>
      </c>
      <c r="J1991" t="str">
        <f>IF('NEW ACCOUNT'!A1992="","",'NEW ACCOUNT'!J1992)</f>
        <v/>
      </c>
      <c r="K1991" t="str">
        <f>IFERROR(IF(A1991="","",SUMIF(DB_Savings!$A:$A,A1991,DB_Savings!$F:$F)),"")</f>
        <v/>
      </c>
      <c r="L1991" t="str">
        <f>IFERROR(IF(A1991="","",SUMIF(DB_Withdrawals!$A:$A,A1991,DB_Withdrawals!$G:$G)),"")</f>
        <v/>
      </c>
      <c r="M1991" t="str">
        <f>IFERROR(IF(A1991="","",IFERROR(VALUE(H1991),0)+IFERROR(SUMIF(DB_Savings!$A:$A,A1991,DB_Savings!$F:$F),0)-IFERROR(SUMIF(DB_Withdrawals!$A:$A,A1991,DB_Withdrawals!$G:$G),0)),"")</f>
        <v/>
      </c>
      <c r="N1991" t="str">
        <f>IFERROR(IF(A1991="","",MAX(0,M1991-System_Config!$B$9)),"")</f>
        <v/>
      </c>
    </row>
    <row r="1992" spans="1:14" ht="15" customHeight="1" x14ac:dyDescent="0.25">
      <c r="A1992" t="str">
        <f>'NEW ACCOUNT'!A1993</f>
        <v/>
      </c>
      <c r="B1992" t="str">
        <f>IF('NEW ACCOUNT'!A1993="","",'NEW ACCOUNT'!B1993)</f>
        <v/>
      </c>
      <c r="C1992" t="str">
        <f>IF('NEW ACCOUNT'!A1993="","",'NEW ACCOUNT'!C1993)</f>
        <v/>
      </c>
      <c r="D1992" t="str">
        <f>IF('NEW ACCOUNT'!A1993="","",'NEW ACCOUNT'!D1993)</f>
        <v/>
      </c>
      <c r="E1992" t="str">
        <f>IF('NEW ACCOUNT'!A1993="","",'NEW ACCOUNT'!E1993)</f>
        <v/>
      </c>
      <c r="F1992" t="str">
        <f>IF('NEW ACCOUNT'!A1993="","",'NEW ACCOUNT'!F1993)</f>
        <v/>
      </c>
      <c r="G1992" t="str">
        <f>IF('NEW ACCOUNT'!A1993="","",'NEW ACCOUNT'!G1993)</f>
        <v/>
      </c>
      <c r="H1992" t="str">
        <f>IF('NEW ACCOUNT'!A1993="","",'NEW ACCOUNT'!H1993)</f>
        <v/>
      </c>
      <c r="I1992" t="str">
        <f>IF('NEW ACCOUNT'!A1993="","",'NEW ACCOUNT'!I1993)</f>
        <v/>
      </c>
      <c r="J1992" t="str">
        <f>IF('NEW ACCOUNT'!A1993="","",'NEW ACCOUNT'!J1993)</f>
        <v/>
      </c>
      <c r="K1992" t="str">
        <f>IFERROR(IF(A1992="","",SUMIF(DB_Savings!$A:$A,A1992,DB_Savings!$F:$F)),"")</f>
        <v/>
      </c>
      <c r="L1992" t="str">
        <f>IFERROR(IF(A1992="","",SUMIF(DB_Withdrawals!$A:$A,A1992,DB_Withdrawals!$G:$G)),"")</f>
        <v/>
      </c>
      <c r="M1992" t="str">
        <f>IFERROR(IF(A1992="","",IFERROR(VALUE(H1992),0)+IFERROR(SUMIF(DB_Savings!$A:$A,A1992,DB_Savings!$F:$F),0)-IFERROR(SUMIF(DB_Withdrawals!$A:$A,A1992,DB_Withdrawals!$G:$G),0)),"")</f>
        <v/>
      </c>
      <c r="N1992" t="str">
        <f>IFERROR(IF(A1992="","",MAX(0,M1992-System_Config!$B$9)),"")</f>
        <v/>
      </c>
    </row>
    <row r="1993" spans="1:14" ht="15" customHeight="1" x14ac:dyDescent="0.25">
      <c r="A1993" t="str">
        <f>'NEW ACCOUNT'!A1994</f>
        <v/>
      </c>
      <c r="B1993" t="str">
        <f>IF('NEW ACCOUNT'!A1994="","",'NEW ACCOUNT'!B1994)</f>
        <v/>
      </c>
      <c r="C1993" t="str">
        <f>IF('NEW ACCOUNT'!A1994="","",'NEW ACCOUNT'!C1994)</f>
        <v/>
      </c>
      <c r="D1993" t="str">
        <f>IF('NEW ACCOUNT'!A1994="","",'NEW ACCOUNT'!D1994)</f>
        <v/>
      </c>
      <c r="E1993" t="str">
        <f>IF('NEW ACCOUNT'!A1994="","",'NEW ACCOUNT'!E1994)</f>
        <v/>
      </c>
      <c r="F1993" t="str">
        <f>IF('NEW ACCOUNT'!A1994="","",'NEW ACCOUNT'!F1994)</f>
        <v/>
      </c>
      <c r="G1993" t="str">
        <f>IF('NEW ACCOUNT'!A1994="","",'NEW ACCOUNT'!G1994)</f>
        <v/>
      </c>
      <c r="H1993" t="str">
        <f>IF('NEW ACCOUNT'!A1994="","",'NEW ACCOUNT'!H1994)</f>
        <v/>
      </c>
      <c r="I1993" t="str">
        <f>IF('NEW ACCOUNT'!A1994="","",'NEW ACCOUNT'!I1994)</f>
        <v/>
      </c>
      <c r="J1993" t="str">
        <f>IF('NEW ACCOUNT'!A1994="","",'NEW ACCOUNT'!J1994)</f>
        <v/>
      </c>
      <c r="K1993" t="str">
        <f>IFERROR(IF(A1993="","",SUMIF(DB_Savings!$A:$A,A1993,DB_Savings!$F:$F)),"")</f>
        <v/>
      </c>
      <c r="L1993" t="str">
        <f>IFERROR(IF(A1993="","",SUMIF(DB_Withdrawals!$A:$A,A1993,DB_Withdrawals!$G:$G)),"")</f>
        <v/>
      </c>
      <c r="M1993" t="str">
        <f>IFERROR(IF(A1993="","",IFERROR(VALUE(H1993),0)+IFERROR(SUMIF(DB_Savings!$A:$A,A1993,DB_Savings!$F:$F),0)-IFERROR(SUMIF(DB_Withdrawals!$A:$A,A1993,DB_Withdrawals!$G:$G),0)),"")</f>
        <v/>
      </c>
      <c r="N1993" t="str">
        <f>IFERROR(IF(A1993="","",MAX(0,M1993-System_Config!$B$9)),"")</f>
        <v/>
      </c>
    </row>
    <row r="1994" spans="1:14" ht="15" customHeight="1" x14ac:dyDescent="0.25">
      <c r="A1994" t="str">
        <f>'NEW ACCOUNT'!A1995</f>
        <v/>
      </c>
      <c r="B1994" t="str">
        <f>IF('NEW ACCOUNT'!A1995="","",'NEW ACCOUNT'!B1995)</f>
        <v/>
      </c>
      <c r="C1994" t="str">
        <f>IF('NEW ACCOUNT'!A1995="","",'NEW ACCOUNT'!C1995)</f>
        <v/>
      </c>
      <c r="D1994" t="str">
        <f>IF('NEW ACCOUNT'!A1995="","",'NEW ACCOUNT'!D1995)</f>
        <v/>
      </c>
      <c r="E1994" t="str">
        <f>IF('NEW ACCOUNT'!A1995="","",'NEW ACCOUNT'!E1995)</f>
        <v/>
      </c>
      <c r="F1994" t="str">
        <f>IF('NEW ACCOUNT'!A1995="","",'NEW ACCOUNT'!F1995)</f>
        <v/>
      </c>
      <c r="G1994" t="str">
        <f>IF('NEW ACCOUNT'!A1995="","",'NEW ACCOUNT'!G1995)</f>
        <v/>
      </c>
      <c r="H1994" t="str">
        <f>IF('NEW ACCOUNT'!A1995="","",'NEW ACCOUNT'!H1995)</f>
        <v/>
      </c>
      <c r="I1994" t="str">
        <f>IF('NEW ACCOUNT'!A1995="","",'NEW ACCOUNT'!I1995)</f>
        <v/>
      </c>
      <c r="J1994" t="str">
        <f>IF('NEW ACCOUNT'!A1995="","",'NEW ACCOUNT'!J1995)</f>
        <v/>
      </c>
      <c r="K1994" t="str">
        <f>IFERROR(IF(A1994="","",SUMIF(DB_Savings!$A:$A,A1994,DB_Savings!$F:$F)),"")</f>
        <v/>
      </c>
      <c r="L1994" t="str">
        <f>IFERROR(IF(A1994="","",SUMIF(DB_Withdrawals!$A:$A,A1994,DB_Withdrawals!$G:$G)),"")</f>
        <v/>
      </c>
      <c r="M1994" t="str">
        <f>IFERROR(IF(A1994="","",IFERROR(VALUE(H1994),0)+IFERROR(SUMIF(DB_Savings!$A:$A,A1994,DB_Savings!$F:$F),0)-IFERROR(SUMIF(DB_Withdrawals!$A:$A,A1994,DB_Withdrawals!$G:$G),0)),"")</f>
        <v/>
      </c>
      <c r="N1994" t="str">
        <f>IFERROR(IF(A1994="","",MAX(0,M1994-System_Config!$B$9)),"")</f>
        <v/>
      </c>
    </row>
    <row r="1995" spans="1:14" ht="15" customHeight="1" x14ac:dyDescent="0.25">
      <c r="A1995" t="str">
        <f>'NEW ACCOUNT'!A1996</f>
        <v/>
      </c>
      <c r="B1995" t="str">
        <f>IF('NEW ACCOUNT'!A1996="","",'NEW ACCOUNT'!B1996)</f>
        <v/>
      </c>
      <c r="C1995" t="str">
        <f>IF('NEW ACCOUNT'!A1996="","",'NEW ACCOUNT'!C1996)</f>
        <v/>
      </c>
      <c r="D1995" t="str">
        <f>IF('NEW ACCOUNT'!A1996="","",'NEW ACCOUNT'!D1996)</f>
        <v/>
      </c>
      <c r="E1995" t="str">
        <f>IF('NEW ACCOUNT'!A1996="","",'NEW ACCOUNT'!E1996)</f>
        <v/>
      </c>
      <c r="F1995" t="str">
        <f>IF('NEW ACCOUNT'!A1996="","",'NEW ACCOUNT'!F1996)</f>
        <v/>
      </c>
      <c r="G1995" t="str">
        <f>IF('NEW ACCOUNT'!A1996="","",'NEW ACCOUNT'!G1996)</f>
        <v/>
      </c>
      <c r="H1995" t="str">
        <f>IF('NEW ACCOUNT'!A1996="","",'NEW ACCOUNT'!H1996)</f>
        <v/>
      </c>
      <c r="I1995" t="str">
        <f>IF('NEW ACCOUNT'!A1996="","",'NEW ACCOUNT'!I1996)</f>
        <v/>
      </c>
      <c r="J1995" t="str">
        <f>IF('NEW ACCOUNT'!A1996="","",'NEW ACCOUNT'!J1996)</f>
        <v/>
      </c>
      <c r="K1995" t="str">
        <f>IFERROR(IF(A1995="","",SUMIF(DB_Savings!$A:$A,A1995,DB_Savings!$F:$F)),"")</f>
        <v/>
      </c>
      <c r="L1995" t="str">
        <f>IFERROR(IF(A1995="","",SUMIF(DB_Withdrawals!$A:$A,A1995,DB_Withdrawals!$G:$G)),"")</f>
        <v/>
      </c>
      <c r="M1995" t="str">
        <f>IFERROR(IF(A1995="","",IFERROR(VALUE(H1995),0)+IFERROR(SUMIF(DB_Savings!$A:$A,A1995,DB_Savings!$F:$F),0)-IFERROR(SUMIF(DB_Withdrawals!$A:$A,A1995,DB_Withdrawals!$G:$G),0)),"")</f>
        <v/>
      </c>
      <c r="N1995" t="str">
        <f>IFERROR(IF(A1995="","",MAX(0,M1995-System_Config!$B$9)),"")</f>
        <v/>
      </c>
    </row>
    <row r="1996" spans="1:14" ht="15" customHeight="1" x14ac:dyDescent="0.25">
      <c r="A1996" t="str">
        <f>'NEW ACCOUNT'!A1997</f>
        <v/>
      </c>
      <c r="B1996" t="str">
        <f>IF('NEW ACCOUNT'!A1997="","",'NEW ACCOUNT'!B1997)</f>
        <v/>
      </c>
      <c r="C1996" t="str">
        <f>IF('NEW ACCOUNT'!A1997="","",'NEW ACCOUNT'!C1997)</f>
        <v/>
      </c>
      <c r="D1996" t="str">
        <f>IF('NEW ACCOUNT'!A1997="","",'NEW ACCOUNT'!D1997)</f>
        <v/>
      </c>
      <c r="E1996" t="str">
        <f>IF('NEW ACCOUNT'!A1997="","",'NEW ACCOUNT'!E1997)</f>
        <v/>
      </c>
      <c r="F1996" t="str">
        <f>IF('NEW ACCOUNT'!A1997="","",'NEW ACCOUNT'!F1997)</f>
        <v/>
      </c>
      <c r="G1996" t="str">
        <f>IF('NEW ACCOUNT'!A1997="","",'NEW ACCOUNT'!G1997)</f>
        <v/>
      </c>
      <c r="H1996" t="str">
        <f>IF('NEW ACCOUNT'!A1997="","",'NEW ACCOUNT'!H1997)</f>
        <v/>
      </c>
      <c r="I1996" t="str">
        <f>IF('NEW ACCOUNT'!A1997="","",'NEW ACCOUNT'!I1997)</f>
        <v/>
      </c>
      <c r="J1996" t="str">
        <f>IF('NEW ACCOUNT'!A1997="","",'NEW ACCOUNT'!J1997)</f>
        <v/>
      </c>
      <c r="K1996" t="str">
        <f>IFERROR(IF(A1996="","",SUMIF(DB_Savings!$A:$A,A1996,DB_Savings!$F:$F)),"")</f>
        <v/>
      </c>
      <c r="L1996" t="str">
        <f>IFERROR(IF(A1996="","",SUMIF(DB_Withdrawals!$A:$A,A1996,DB_Withdrawals!$G:$G)),"")</f>
        <v/>
      </c>
      <c r="M1996" t="str">
        <f>IFERROR(IF(A1996="","",IFERROR(VALUE(H1996),0)+IFERROR(SUMIF(DB_Savings!$A:$A,A1996,DB_Savings!$F:$F),0)-IFERROR(SUMIF(DB_Withdrawals!$A:$A,A1996,DB_Withdrawals!$G:$G),0)),"")</f>
        <v/>
      </c>
      <c r="N1996" t="str">
        <f>IFERROR(IF(A1996="","",MAX(0,M1996-System_Config!$B$9)),"")</f>
        <v/>
      </c>
    </row>
    <row r="1997" spans="1:14" ht="15" customHeight="1" x14ac:dyDescent="0.25">
      <c r="A1997" t="str">
        <f>'NEW ACCOUNT'!A1998</f>
        <v/>
      </c>
      <c r="B1997" t="str">
        <f>IF('NEW ACCOUNT'!A1998="","",'NEW ACCOUNT'!B1998)</f>
        <v/>
      </c>
      <c r="C1997" t="str">
        <f>IF('NEW ACCOUNT'!A1998="","",'NEW ACCOUNT'!C1998)</f>
        <v/>
      </c>
      <c r="D1997" t="str">
        <f>IF('NEW ACCOUNT'!A1998="","",'NEW ACCOUNT'!D1998)</f>
        <v/>
      </c>
      <c r="E1997" t="str">
        <f>IF('NEW ACCOUNT'!A1998="","",'NEW ACCOUNT'!E1998)</f>
        <v/>
      </c>
      <c r="F1997" t="str">
        <f>IF('NEW ACCOUNT'!A1998="","",'NEW ACCOUNT'!F1998)</f>
        <v/>
      </c>
      <c r="G1997" t="str">
        <f>IF('NEW ACCOUNT'!A1998="","",'NEW ACCOUNT'!G1998)</f>
        <v/>
      </c>
      <c r="H1997" t="str">
        <f>IF('NEW ACCOUNT'!A1998="","",'NEW ACCOUNT'!H1998)</f>
        <v/>
      </c>
      <c r="I1997" t="str">
        <f>IF('NEW ACCOUNT'!A1998="","",'NEW ACCOUNT'!I1998)</f>
        <v/>
      </c>
      <c r="J1997" t="str">
        <f>IF('NEW ACCOUNT'!A1998="","",'NEW ACCOUNT'!J1998)</f>
        <v/>
      </c>
      <c r="K1997" t="str">
        <f>IFERROR(IF(A1997="","",SUMIF(DB_Savings!$A:$A,A1997,DB_Savings!$F:$F)),"")</f>
        <v/>
      </c>
      <c r="L1997" t="str">
        <f>IFERROR(IF(A1997="","",SUMIF(DB_Withdrawals!$A:$A,A1997,DB_Withdrawals!$G:$G)),"")</f>
        <v/>
      </c>
      <c r="M1997" t="str">
        <f>IFERROR(IF(A1997="","",IFERROR(VALUE(H1997),0)+IFERROR(SUMIF(DB_Savings!$A:$A,A1997,DB_Savings!$F:$F),0)-IFERROR(SUMIF(DB_Withdrawals!$A:$A,A1997,DB_Withdrawals!$G:$G),0)),"")</f>
        <v/>
      </c>
      <c r="N1997" t="str">
        <f>IFERROR(IF(A1997="","",MAX(0,M1997-System_Config!$B$9)),"")</f>
        <v/>
      </c>
    </row>
    <row r="1998" spans="1:14" ht="15" customHeight="1" x14ac:dyDescent="0.25">
      <c r="A1998" t="str">
        <f>'NEW ACCOUNT'!A1999</f>
        <v/>
      </c>
      <c r="B1998" t="str">
        <f>IF('NEW ACCOUNT'!A1999="","",'NEW ACCOUNT'!B1999)</f>
        <v/>
      </c>
      <c r="C1998" t="str">
        <f>IF('NEW ACCOUNT'!A1999="","",'NEW ACCOUNT'!C1999)</f>
        <v/>
      </c>
      <c r="D1998" t="str">
        <f>IF('NEW ACCOUNT'!A1999="","",'NEW ACCOUNT'!D1999)</f>
        <v/>
      </c>
      <c r="E1998" t="str">
        <f>IF('NEW ACCOUNT'!A1999="","",'NEW ACCOUNT'!E1999)</f>
        <v/>
      </c>
      <c r="F1998" t="str">
        <f>IF('NEW ACCOUNT'!A1999="","",'NEW ACCOUNT'!F1999)</f>
        <v/>
      </c>
      <c r="G1998" t="str">
        <f>IF('NEW ACCOUNT'!A1999="","",'NEW ACCOUNT'!G1999)</f>
        <v/>
      </c>
      <c r="H1998" t="str">
        <f>IF('NEW ACCOUNT'!A1999="","",'NEW ACCOUNT'!H1999)</f>
        <v/>
      </c>
      <c r="I1998" t="str">
        <f>IF('NEW ACCOUNT'!A1999="","",'NEW ACCOUNT'!I1999)</f>
        <v/>
      </c>
      <c r="J1998" t="str">
        <f>IF('NEW ACCOUNT'!A1999="","",'NEW ACCOUNT'!J1999)</f>
        <v/>
      </c>
      <c r="K1998" t="str">
        <f>IFERROR(IF(A1998="","",SUMIF(DB_Savings!$A:$A,A1998,DB_Savings!$F:$F)),"")</f>
        <v/>
      </c>
      <c r="L1998" t="str">
        <f>IFERROR(IF(A1998="","",SUMIF(DB_Withdrawals!$A:$A,A1998,DB_Withdrawals!$G:$G)),"")</f>
        <v/>
      </c>
      <c r="M1998" t="str">
        <f>IFERROR(IF(A1998="","",IFERROR(VALUE(H1998),0)+IFERROR(SUMIF(DB_Savings!$A:$A,A1998,DB_Savings!$F:$F),0)-IFERROR(SUMIF(DB_Withdrawals!$A:$A,A1998,DB_Withdrawals!$G:$G),0)),"")</f>
        <v/>
      </c>
      <c r="N1998" t="str">
        <f>IFERROR(IF(A1998="","",MAX(0,M1998-System_Config!$B$9)),"")</f>
        <v/>
      </c>
    </row>
    <row r="1999" spans="1:14" ht="15" customHeight="1" x14ac:dyDescent="0.25">
      <c r="A1999" t="str">
        <f>'NEW ACCOUNT'!A2000</f>
        <v/>
      </c>
      <c r="B1999" t="str">
        <f>IF('NEW ACCOUNT'!A2000="","",'NEW ACCOUNT'!B2000)</f>
        <v/>
      </c>
      <c r="C1999" t="str">
        <f>IF('NEW ACCOUNT'!A2000="","",'NEW ACCOUNT'!C2000)</f>
        <v/>
      </c>
      <c r="D1999" t="str">
        <f>IF('NEW ACCOUNT'!A2000="","",'NEW ACCOUNT'!D2000)</f>
        <v/>
      </c>
      <c r="E1999" t="str">
        <f>IF('NEW ACCOUNT'!A2000="","",'NEW ACCOUNT'!E2000)</f>
        <v/>
      </c>
      <c r="F1999" t="str">
        <f>IF('NEW ACCOUNT'!A2000="","",'NEW ACCOUNT'!F2000)</f>
        <v/>
      </c>
      <c r="G1999" t="str">
        <f>IF('NEW ACCOUNT'!A2000="","",'NEW ACCOUNT'!G2000)</f>
        <v/>
      </c>
      <c r="H1999" t="str">
        <f>IF('NEW ACCOUNT'!A2000="","",'NEW ACCOUNT'!H2000)</f>
        <v/>
      </c>
      <c r="I1999" t="str">
        <f>IF('NEW ACCOUNT'!A2000="","",'NEW ACCOUNT'!I2000)</f>
        <v/>
      </c>
      <c r="J1999" t="str">
        <f>IF('NEW ACCOUNT'!A2000="","",'NEW ACCOUNT'!J2000)</f>
        <v/>
      </c>
      <c r="K1999" t="str">
        <f>IFERROR(IF(A1999="","",SUMIF(DB_Savings!$A:$A,A1999,DB_Savings!$F:$F)),"")</f>
        <v/>
      </c>
      <c r="L1999" t="str">
        <f>IFERROR(IF(A1999="","",SUMIF(DB_Withdrawals!$A:$A,A1999,DB_Withdrawals!$G:$G)),"")</f>
        <v/>
      </c>
      <c r="M1999" t="str">
        <f>IFERROR(IF(A1999="","",IFERROR(VALUE(H1999),0)+IFERROR(SUMIF(DB_Savings!$A:$A,A1999,DB_Savings!$F:$F),0)-IFERROR(SUMIF(DB_Withdrawals!$A:$A,A1999,DB_Withdrawals!$G:$G),0)),"")</f>
        <v/>
      </c>
      <c r="N1999" t="str">
        <f>IFERROR(IF(A1999="","",MAX(0,M1999-System_Config!$B$9)),"")</f>
        <v/>
      </c>
    </row>
    <row r="2000" spans="1:14" ht="15" customHeight="1" x14ac:dyDescent="0.25">
      <c r="A2000" t="str">
        <f>'NEW ACCOUNT'!A2001</f>
        <v/>
      </c>
      <c r="B2000" t="str">
        <f>IF('NEW ACCOUNT'!A2001="","",'NEW ACCOUNT'!B2001)</f>
        <v/>
      </c>
      <c r="C2000" t="str">
        <f>IF('NEW ACCOUNT'!A2001="","",'NEW ACCOUNT'!C2001)</f>
        <v/>
      </c>
      <c r="D2000" t="str">
        <f>IF('NEW ACCOUNT'!A2001="","",'NEW ACCOUNT'!D2001)</f>
        <v/>
      </c>
      <c r="E2000" t="str">
        <f>IF('NEW ACCOUNT'!A2001="","",'NEW ACCOUNT'!E2001)</f>
        <v/>
      </c>
      <c r="F2000" t="str">
        <f>IF('NEW ACCOUNT'!A2001="","",'NEW ACCOUNT'!F2001)</f>
        <v/>
      </c>
      <c r="G2000" t="str">
        <f>IF('NEW ACCOUNT'!A2001="","",'NEW ACCOUNT'!G2001)</f>
        <v/>
      </c>
      <c r="H2000" t="str">
        <f>IF('NEW ACCOUNT'!A2001="","",'NEW ACCOUNT'!H2001)</f>
        <v/>
      </c>
      <c r="I2000" t="str">
        <f>IF('NEW ACCOUNT'!A2001="","",'NEW ACCOUNT'!I2001)</f>
        <v/>
      </c>
      <c r="J2000" t="str">
        <f>IF('NEW ACCOUNT'!A2001="","",'NEW ACCOUNT'!J2001)</f>
        <v/>
      </c>
      <c r="K2000" t="str">
        <f>IFERROR(IF(A2000="","",SUMIF(DB_Savings!$A:$A,A2000,DB_Savings!$F:$F)),"")</f>
        <v/>
      </c>
      <c r="L2000" t="str">
        <f>IFERROR(IF(A2000="","",SUMIF(DB_Withdrawals!$A:$A,A2000,DB_Withdrawals!$G:$G)),"")</f>
        <v/>
      </c>
      <c r="M2000" t="str">
        <f>IFERROR(IF(A2000="","",IFERROR(VALUE(H2000),0)+IFERROR(SUMIF(DB_Savings!$A:$A,A2000,DB_Savings!$F:$F),0)-IFERROR(SUMIF(DB_Withdrawals!$A:$A,A2000,DB_Withdrawals!$G:$G),0)),"")</f>
        <v/>
      </c>
      <c r="N2000" t="str">
        <f>IFERROR(IF(A2000="","",MAX(0,M2000-System_Config!$B$9)),"")</f>
        <v/>
      </c>
    </row>
    <row r="2001" spans="1:14" ht="15" customHeight="1" x14ac:dyDescent="0.25">
      <c r="A2001" t="str">
        <f>'NEW ACCOUNT'!A2002</f>
        <v/>
      </c>
      <c r="B2001" t="str">
        <f>IF('NEW ACCOUNT'!A2002="","",'NEW ACCOUNT'!B2002)</f>
        <v/>
      </c>
      <c r="C2001" t="str">
        <f>IF('NEW ACCOUNT'!A2002="","",'NEW ACCOUNT'!C2002)</f>
        <v/>
      </c>
      <c r="D2001" t="str">
        <f>IF('NEW ACCOUNT'!A2002="","",'NEW ACCOUNT'!D2002)</f>
        <v/>
      </c>
      <c r="E2001" t="str">
        <f>IF('NEW ACCOUNT'!A2002="","",'NEW ACCOUNT'!E2002)</f>
        <v/>
      </c>
      <c r="F2001" t="str">
        <f>IF('NEW ACCOUNT'!A2002="","",'NEW ACCOUNT'!F2002)</f>
        <v/>
      </c>
      <c r="G2001" t="str">
        <f>IF('NEW ACCOUNT'!A2002="","",'NEW ACCOUNT'!G2002)</f>
        <v/>
      </c>
      <c r="H2001" t="str">
        <f>IF('NEW ACCOUNT'!A2002="","",'NEW ACCOUNT'!H2002)</f>
        <v/>
      </c>
      <c r="I2001" t="str">
        <f>IF('NEW ACCOUNT'!A2002="","",'NEW ACCOUNT'!I2002)</f>
        <v/>
      </c>
      <c r="J2001" t="str">
        <f>IF('NEW ACCOUNT'!A2002="","",'NEW ACCOUNT'!J2002)</f>
        <v/>
      </c>
      <c r="K2001" t="str">
        <f>IFERROR(IF(A2001="","",SUMIF(DB_Savings!$A:$A,A2001,DB_Savings!$F:$F)),"")</f>
        <v/>
      </c>
      <c r="L2001" t="str">
        <f>IFERROR(IF(A2001="","",SUMIF(DB_Withdrawals!$A:$A,A2001,DB_Withdrawals!$G:$G)),"")</f>
        <v/>
      </c>
      <c r="M2001" t="str">
        <f>IFERROR(IF(A2001="","",IFERROR(VALUE(H2001),0)+IFERROR(SUMIF(DB_Savings!$A:$A,A2001,DB_Savings!$F:$F),0)-IFERROR(SUMIF(DB_Withdrawals!$A:$A,A2001,DB_Withdrawals!$G:$G),0)),"")</f>
        <v/>
      </c>
      <c r="N2001" t="str">
        <f>IFERROR(IF(A2001="","",MAX(0,M2001-System_Config!$B$9)),"")</f>
        <v/>
      </c>
    </row>
    <row r="2002" spans="1:14" ht="15" customHeight="1" x14ac:dyDescent="0.25">
      <c r="A2002" t="str">
        <f>'NEW ACCOUNT'!A2003</f>
        <v/>
      </c>
      <c r="B2002" t="str">
        <f>IF('NEW ACCOUNT'!A2003="","",'NEW ACCOUNT'!B2003)</f>
        <v/>
      </c>
      <c r="C2002" t="str">
        <f>IF('NEW ACCOUNT'!A2003="","",'NEW ACCOUNT'!C2003)</f>
        <v/>
      </c>
      <c r="D2002" t="str">
        <f>IF('NEW ACCOUNT'!A2003="","",'NEW ACCOUNT'!D2003)</f>
        <v/>
      </c>
      <c r="E2002" t="str">
        <f>IF('NEW ACCOUNT'!A2003="","",'NEW ACCOUNT'!E2003)</f>
        <v/>
      </c>
      <c r="F2002" t="str">
        <f>IF('NEW ACCOUNT'!A2003="","",'NEW ACCOUNT'!F2003)</f>
        <v/>
      </c>
      <c r="G2002" t="str">
        <f>IF('NEW ACCOUNT'!A2003="","",'NEW ACCOUNT'!G2003)</f>
        <v/>
      </c>
      <c r="H2002" t="str">
        <f>IF('NEW ACCOUNT'!A2003="","",'NEW ACCOUNT'!H2003)</f>
        <v/>
      </c>
      <c r="I2002" t="str">
        <f>IF('NEW ACCOUNT'!A2003="","",'NEW ACCOUNT'!I2003)</f>
        <v/>
      </c>
      <c r="J2002" t="str">
        <f>IF('NEW ACCOUNT'!A2003="","",'NEW ACCOUNT'!J2003)</f>
        <v/>
      </c>
      <c r="K2002" t="str">
        <f>IFERROR(IF(A2002="","",SUMIF(DB_Savings!$A:$A,A2002,DB_Savings!$F:$F)),"")</f>
        <v/>
      </c>
      <c r="L2002" t="str">
        <f>IFERROR(IF(A2002="","",SUMIF(DB_Withdrawals!$A:$A,A2002,DB_Withdrawals!$G:$G)),"")</f>
        <v/>
      </c>
      <c r="M2002" t="str">
        <f>IFERROR(IF(A2002="","",IFERROR(VALUE(H2002),0)+IFERROR(SUMIF(DB_Savings!$A:$A,A2002,DB_Savings!$F:$F),0)-IFERROR(SUMIF(DB_Withdrawals!$A:$A,A2002,DB_Withdrawals!$G:$G),0)),"")</f>
        <v/>
      </c>
      <c r="N2002" t="str">
        <f>IFERROR(IF(A2002="","",MAX(0,M2002-System_Config!$B$9)),"")</f>
        <v/>
      </c>
    </row>
    <row r="2003" spans="1:14" ht="15" customHeight="1" x14ac:dyDescent="0.25">
      <c r="A2003" t="str">
        <f>'NEW ACCOUNT'!A2004</f>
        <v/>
      </c>
      <c r="B2003" t="str">
        <f>IF('NEW ACCOUNT'!A2004="","",'NEW ACCOUNT'!B2004)</f>
        <v/>
      </c>
      <c r="C2003" t="str">
        <f>IF('NEW ACCOUNT'!A2004="","",'NEW ACCOUNT'!C2004)</f>
        <v/>
      </c>
      <c r="D2003" t="str">
        <f>IF('NEW ACCOUNT'!A2004="","",'NEW ACCOUNT'!D2004)</f>
        <v/>
      </c>
      <c r="E2003" t="str">
        <f>IF('NEW ACCOUNT'!A2004="","",'NEW ACCOUNT'!E2004)</f>
        <v/>
      </c>
      <c r="F2003" t="str">
        <f>IF('NEW ACCOUNT'!A2004="","",'NEW ACCOUNT'!F2004)</f>
        <v/>
      </c>
      <c r="G2003" t="str">
        <f>IF('NEW ACCOUNT'!A2004="","",'NEW ACCOUNT'!G2004)</f>
        <v/>
      </c>
      <c r="H2003" t="str">
        <f>IF('NEW ACCOUNT'!A2004="","",'NEW ACCOUNT'!H2004)</f>
        <v/>
      </c>
      <c r="I2003" t="str">
        <f>IF('NEW ACCOUNT'!A2004="","",'NEW ACCOUNT'!I2004)</f>
        <v/>
      </c>
      <c r="J2003" t="str">
        <f>IF('NEW ACCOUNT'!A2004="","",'NEW ACCOUNT'!J2004)</f>
        <v/>
      </c>
      <c r="K2003" t="str">
        <f>IFERROR(IF(A2003="","",SUMIF(DB_Savings!$A:$A,A2003,DB_Savings!$F:$F)),"")</f>
        <v/>
      </c>
      <c r="L2003" t="str">
        <f>IFERROR(IF(A2003="","",SUMIF(DB_Withdrawals!$A:$A,A2003,DB_Withdrawals!$G:$G)),"")</f>
        <v/>
      </c>
      <c r="M2003" t="str">
        <f>IFERROR(IF(A2003="","",IFERROR(VALUE(H2003),0)+IFERROR(SUMIF(DB_Savings!$A:$A,A2003,DB_Savings!$F:$F),0)-IFERROR(SUMIF(DB_Withdrawals!$A:$A,A2003,DB_Withdrawals!$G:$G),0)),"")</f>
        <v/>
      </c>
      <c r="N2003" t="str">
        <f>IFERROR(IF(A2003="","",MAX(0,M2003-System_Config!$B$9)),"")</f>
        <v/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75623"/>
  </sheetPr>
  <dimension ref="A1:K2003"/>
  <sheetViews>
    <sheetView showGridLines="0" zoomScaleNormal="100" workbookViewId="0">
      <pane ySplit="3" topLeftCell="A5" activePane="bottomLeft" state="frozen"/>
      <selection pane="bottomLeft" activeCell="A4" sqref="A4"/>
    </sheetView>
  </sheetViews>
  <sheetFormatPr defaultColWidth="8.7109375" defaultRowHeight="15" x14ac:dyDescent="0.25"/>
  <cols>
    <col min="1" max="1" width="18" customWidth="1"/>
    <col min="2" max="2" width="26" customWidth="1"/>
    <col min="3" max="3" width="28" customWidth="1"/>
    <col min="4" max="5" width="14" customWidth="1"/>
    <col min="6" max="7" width="16" customWidth="1"/>
    <col min="8" max="10" width="22" customWidth="1"/>
    <col min="11" max="11" width="10" customWidth="1"/>
  </cols>
  <sheetData>
    <row r="1" spans="1:11" ht="31.5" customHeight="1" x14ac:dyDescent="0.25">
      <c r="A1" s="103" t="s">
        <v>86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7.75" customHeight="1" x14ac:dyDescent="0.25">
      <c r="A2" s="102" t="s">
        <v>87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30" customHeight="1" x14ac:dyDescent="0.25">
      <c r="A3" s="19" t="s">
        <v>88</v>
      </c>
      <c r="B3" s="19" t="s">
        <v>89</v>
      </c>
      <c r="C3" s="19" t="s">
        <v>90</v>
      </c>
      <c r="D3" s="19" t="s">
        <v>45</v>
      </c>
      <c r="E3" s="19" t="s">
        <v>91</v>
      </c>
      <c r="F3" s="19" t="s">
        <v>92</v>
      </c>
      <c r="G3" s="19" t="s">
        <v>93</v>
      </c>
      <c r="H3" s="19" t="s">
        <v>77</v>
      </c>
      <c r="I3" s="19" t="s">
        <v>94</v>
      </c>
      <c r="J3" s="19" t="s">
        <v>95</v>
      </c>
      <c r="K3" s="19" t="s">
        <v>96</v>
      </c>
    </row>
    <row r="4" spans="1:11" ht="18" customHeight="1" x14ac:dyDescent="0.25">
      <c r="A4" s="40" t="s">
        <v>338</v>
      </c>
      <c r="B4" s="40" t="str">
        <f ca="1">IF(Agent01_Savings!A11="","","SV"&amp;TEXT(4-3,"0000")&amp;"-"&amp;TEXT(TODAY(),"YYYYMMDD"))</f>
        <v>SV0001-20260425</v>
      </c>
      <c r="C4" s="40">
        <f>IF(Agent01_Savings!A11="","",Agent01_Savings!B11)</f>
        <v>0</v>
      </c>
      <c r="D4" s="40" t="str">
        <f>IF(Agent01_Savings!A11="","",Agent01_Savings!G11)</f>
        <v>Agent 01</v>
      </c>
      <c r="E4" s="41">
        <f>IF(Agent01_Savings!A11="","",Agent01_Savings!D11)</f>
        <v>0</v>
      </c>
      <c r="F4" s="42">
        <f>IF(Agent01_Savings!A11="","",Agent01_Savings!E11)</f>
        <v>0</v>
      </c>
      <c r="G4" s="42" t="str">
        <f>IF(Agent01_Savings!A11="","",Agent01_Savings!F11)</f>
        <v/>
      </c>
      <c r="H4" s="40" t="str">
        <f>IF(Agent01_Savings!A11="","",Agent01_Savings!I11)</f>
        <v>⚠️ Enter Agent Code</v>
      </c>
      <c r="I4" s="40" t="str">
        <f ca="1">IF(Agent01_Savings!A11="","",Agent01_Savings!J11)</f>
        <v>—</v>
      </c>
      <c r="J4" s="40">
        <f>IF(Agent01_Savings!A11="","",Agent01_Savings!K11)</f>
        <v>0</v>
      </c>
      <c r="K4" s="40">
        <f>IFERROR(IF(Agent01_Savings!A11="","",YEAR(Agent01_Savings!D11)),"")</f>
        <v>1900</v>
      </c>
    </row>
    <row r="5" spans="1:11" ht="18" customHeight="1" x14ac:dyDescent="0.25">
      <c r="A5" s="40" t="str">
        <f>IF(Agent01_Savings!A12="","",Agent01_Savings!A12)</f>
        <v/>
      </c>
      <c r="B5" s="40" t="str">
        <f ca="1">IF(Agent01_Savings!A12="","","SV"&amp;TEXT(5-3,"0000")&amp;"-"&amp;TEXT(TODAY(),"YYYYMMDD"))</f>
        <v/>
      </c>
      <c r="C5" s="40" t="str">
        <f>IF(Agent01_Savings!A12="","",Agent01_Savings!B12)</f>
        <v/>
      </c>
      <c r="D5" s="40" t="str">
        <f>IF(Agent01_Savings!A12="","",Agent01_Savings!G12)</f>
        <v/>
      </c>
      <c r="E5" s="41" t="str">
        <f>IF(Agent01_Savings!A12="","",Agent01_Savings!D12)</f>
        <v/>
      </c>
      <c r="F5" s="42" t="str">
        <f>IF(Agent01_Savings!A12="","",Agent01_Savings!E12)</f>
        <v/>
      </c>
      <c r="G5" s="42" t="str">
        <f>IF(Agent01_Savings!A12="","",Agent01_Savings!F12)</f>
        <v/>
      </c>
      <c r="H5" s="40" t="str">
        <f>IF(Agent01_Savings!A12="","",Agent01_Savings!I12)</f>
        <v/>
      </c>
      <c r="I5" s="40" t="str">
        <f>IF(Agent01_Savings!A12="","",Agent01_Savings!J12)</f>
        <v/>
      </c>
      <c r="J5" s="40" t="str">
        <f>IF(Agent01_Savings!A12="","",Agent01_Savings!K12)</f>
        <v/>
      </c>
      <c r="K5" s="40" t="str">
        <f>IFERROR(IF(Agent01_Savings!A12="","",YEAR(Agent01_Savings!D12)),"")</f>
        <v/>
      </c>
    </row>
    <row r="6" spans="1:11" ht="18" customHeight="1" x14ac:dyDescent="0.25">
      <c r="A6" s="40" t="str">
        <f>IF(Agent01_Savings!A13="","",Agent01_Savings!A13)</f>
        <v/>
      </c>
      <c r="B6" s="40" t="str">
        <f ca="1">IF(Agent01_Savings!A13="","","SV"&amp;TEXT(6-3,"0000")&amp;"-"&amp;TEXT(TODAY(),"YYYYMMDD"))</f>
        <v/>
      </c>
      <c r="C6" s="40" t="str">
        <f>IF(Agent01_Savings!A13="","",Agent01_Savings!B13)</f>
        <v/>
      </c>
      <c r="D6" s="40" t="str">
        <f>IF(Agent01_Savings!A13="","",Agent01_Savings!G13)</f>
        <v/>
      </c>
      <c r="E6" s="41" t="str">
        <f>IF(Agent01_Savings!A13="","",Agent01_Savings!D13)</f>
        <v/>
      </c>
      <c r="F6" s="42" t="str">
        <f>IF(Agent01_Savings!A13="","",Agent01_Savings!E13)</f>
        <v/>
      </c>
      <c r="G6" s="42" t="str">
        <f>IF(Agent01_Savings!A13="","",Agent01_Savings!F13)</f>
        <v/>
      </c>
      <c r="H6" s="40" t="str">
        <f>IF(Agent01_Savings!A13="","",Agent01_Savings!I13)</f>
        <v/>
      </c>
      <c r="I6" s="40" t="str">
        <f>IF(Agent01_Savings!A13="","",Agent01_Savings!J13)</f>
        <v/>
      </c>
      <c r="J6" s="40" t="str">
        <f>IF(Agent01_Savings!A13="","",Agent01_Savings!K13)</f>
        <v/>
      </c>
      <c r="K6" s="40" t="str">
        <f>IFERROR(IF(Agent01_Savings!A13="","",YEAR(Agent01_Savings!D13)),"")</f>
        <v/>
      </c>
    </row>
    <row r="7" spans="1:11" ht="18" customHeight="1" x14ac:dyDescent="0.25">
      <c r="A7" s="40" t="str">
        <f>IF(Agent01_Savings!A14="","",Agent01_Savings!A14)</f>
        <v/>
      </c>
      <c r="B7" s="40" t="str">
        <f ca="1">IF(Agent01_Savings!A14="","","SV"&amp;TEXT(7-3,"0000")&amp;"-"&amp;TEXT(TODAY(),"YYYYMMDD"))</f>
        <v/>
      </c>
      <c r="C7" s="40" t="str">
        <f>IF(Agent01_Savings!A14="","",Agent01_Savings!B14)</f>
        <v/>
      </c>
      <c r="D7" s="40" t="str">
        <f>IF(Agent01_Savings!A14="","",Agent01_Savings!G14)</f>
        <v/>
      </c>
      <c r="E7" s="41" t="str">
        <f>IF(Agent01_Savings!A14="","",Agent01_Savings!D14)</f>
        <v/>
      </c>
      <c r="F7" s="42" t="str">
        <f>IF(Agent01_Savings!A14="","",Agent01_Savings!E14)</f>
        <v/>
      </c>
      <c r="G7" s="42" t="str">
        <f>IF(Agent01_Savings!A14="","",Agent01_Savings!F14)</f>
        <v/>
      </c>
      <c r="H7" s="40" t="str">
        <f>IF(Agent01_Savings!A14="","",Agent01_Savings!I14)</f>
        <v/>
      </c>
      <c r="I7" s="40" t="str">
        <f>IF(Agent01_Savings!A14="","",Agent01_Savings!J14)</f>
        <v/>
      </c>
      <c r="J7" s="40" t="str">
        <f>IF(Agent01_Savings!A14="","",Agent01_Savings!K14)</f>
        <v/>
      </c>
      <c r="K7" s="40" t="str">
        <f>IFERROR(IF(Agent01_Savings!A14="","",YEAR(Agent01_Savings!D14)),"")</f>
        <v/>
      </c>
    </row>
    <row r="8" spans="1:11" ht="18" customHeight="1" x14ac:dyDescent="0.25">
      <c r="A8" s="40" t="str">
        <f>IF(Agent01_Savings!A15="","",Agent01_Savings!A15)</f>
        <v/>
      </c>
      <c r="B8" s="40" t="str">
        <f ca="1">IF(Agent01_Savings!A15="","","SV"&amp;TEXT(8-3,"0000")&amp;"-"&amp;TEXT(TODAY(),"YYYYMMDD"))</f>
        <v/>
      </c>
      <c r="C8" s="40" t="str">
        <f>IF(Agent01_Savings!A15="","",Agent01_Savings!B15)</f>
        <v/>
      </c>
      <c r="D8" s="40" t="str">
        <f>IF(Agent01_Savings!A15="","",Agent01_Savings!G15)</f>
        <v/>
      </c>
      <c r="E8" s="41" t="str">
        <f>IF(Agent01_Savings!A15="","",Agent01_Savings!D15)</f>
        <v/>
      </c>
      <c r="F8" s="42" t="str">
        <f>IF(Agent01_Savings!A15="","",Agent01_Savings!E15)</f>
        <v/>
      </c>
      <c r="G8" s="42" t="str">
        <f>IF(Agent01_Savings!A15="","",Agent01_Savings!F15)</f>
        <v/>
      </c>
      <c r="H8" s="40" t="str">
        <f>IF(Agent01_Savings!A15="","",Agent01_Savings!I15)</f>
        <v/>
      </c>
      <c r="I8" s="40" t="str">
        <f>IF(Agent01_Savings!A15="","",Agent01_Savings!J15)</f>
        <v/>
      </c>
      <c r="J8" s="40" t="str">
        <f>IF(Agent01_Savings!A15="","",Agent01_Savings!K15)</f>
        <v/>
      </c>
      <c r="K8" s="40" t="str">
        <f>IFERROR(IF(Agent01_Savings!A15="","",YEAR(Agent01_Savings!D15)),"")</f>
        <v/>
      </c>
    </row>
    <row r="9" spans="1:11" ht="18" customHeight="1" x14ac:dyDescent="0.25">
      <c r="A9" s="40" t="str">
        <f>IF(Agent01_Savings!A16="","",Agent01_Savings!A16)</f>
        <v/>
      </c>
      <c r="B9" s="40" t="str">
        <f ca="1">IF(Agent01_Savings!A16="","","SV"&amp;TEXT(9-3,"0000")&amp;"-"&amp;TEXT(TODAY(),"YYYYMMDD"))</f>
        <v/>
      </c>
      <c r="C9" s="40" t="str">
        <f>IF(Agent01_Savings!A16="","",Agent01_Savings!B16)</f>
        <v/>
      </c>
      <c r="D9" s="40" t="str">
        <f>IF(Agent01_Savings!A16="","",Agent01_Savings!G16)</f>
        <v/>
      </c>
      <c r="E9" s="41" t="str">
        <f>IF(Agent01_Savings!A16="","",Agent01_Savings!D16)</f>
        <v/>
      </c>
      <c r="F9" s="42" t="str">
        <f>IF(Agent01_Savings!A16="","",Agent01_Savings!E16)</f>
        <v/>
      </c>
      <c r="G9" s="42" t="str">
        <f>IF(Agent01_Savings!A16="","",Agent01_Savings!F16)</f>
        <v/>
      </c>
      <c r="H9" s="40" t="str">
        <f>IF(Agent01_Savings!A16="","",Agent01_Savings!I16)</f>
        <v/>
      </c>
      <c r="I9" s="40" t="str">
        <f>IF(Agent01_Savings!A16="","",Agent01_Savings!J16)</f>
        <v/>
      </c>
      <c r="J9" s="40" t="str">
        <f>IF(Agent01_Savings!A16="","",Agent01_Savings!K16)</f>
        <v/>
      </c>
      <c r="K9" s="40" t="str">
        <f>IFERROR(IF(Agent01_Savings!A16="","",YEAR(Agent01_Savings!D16)),"")</f>
        <v/>
      </c>
    </row>
    <row r="10" spans="1:11" ht="18" customHeight="1" x14ac:dyDescent="0.25">
      <c r="A10" s="40" t="str">
        <f>IF(Agent01_Savings!A17="","",Agent01_Savings!A17)</f>
        <v/>
      </c>
      <c r="B10" s="40" t="str">
        <f ca="1">IF(Agent01_Savings!A17="","","SV"&amp;TEXT(10-3,"0000")&amp;"-"&amp;TEXT(TODAY(),"YYYYMMDD"))</f>
        <v/>
      </c>
      <c r="C10" s="40" t="str">
        <f>IF(Agent01_Savings!A17="","",Agent01_Savings!B17)</f>
        <v/>
      </c>
      <c r="D10" s="40" t="str">
        <f>IF(Agent01_Savings!A17="","",Agent01_Savings!G17)</f>
        <v/>
      </c>
      <c r="E10" s="41" t="str">
        <f>IF(Agent01_Savings!A17="","",Agent01_Savings!D17)</f>
        <v/>
      </c>
      <c r="F10" s="42" t="str">
        <f>IF(Agent01_Savings!A17="","",Agent01_Savings!E17)</f>
        <v/>
      </c>
      <c r="G10" s="42" t="str">
        <f>IF(Agent01_Savings!A17="","",Agent01_Savings!F17)</f>
        <v/>
      </c>
      <c r="H10" s="40" t="str">
        <f>IF(Agent01_Savings!A17="","",Agent01_Savings!I17)</f>
        <v/>
      </c>
      <c r="I10" s="40" t="str">
        <f>IF(Agent01_Savings!A17="","",Agent01_Savings!J17)</f>
        <v/>
      </c>
      <c r="J10" s="40" t="str">
        <f>IF(Agent01_Savings!A17="","",Agent01_Savings!K17)</f>
        <v/>
      </c>
      <c r="K10" s="40" t="str">
        <f>IFERROR(IF(Agent01_Savings!A17="","",YEAR(Agent01_Savings!D17)),"")</f>
        <v/>
      </c>
    </row>
    <row r="11" spans="1:11" ht="18" customHeight="1" x14ac:dyDescent="0.25">
      <c r="A11" s="40" t="str">
        <f>IF(Agent01_Savings!A18="","",Agent01_Savings!A18)</f>
        <v/>
      </c>
      <c r="B11" s="40" t="str">
        <f ca="1">IF(Agent01_Savings!A18="","","SV"&amp;TEXT(11-3,"0000")&amp;"-"&amp;TEXT(TODAY(),"YYYYMMDD"))</f>
        <v/>
      </c>
      <c r="C11" s="40" t="str">
        <f>IF(Agent01_Savings!A18="","",Agent01_Savings!B18)</f>
        <v/>
      </c>
      <c r="D11" s="40" t="str">
        <f>IF(Agent01_Savings!A18="","",Agent01_Savings!G18)</f>
        <v/>
      </c>
      <c r="E11" s="41" t="str">
        <f>IF(Agent01_Savings!A18="","",Agent01_Savings!D18)</f>
        <v/>
      </c>
      <c r="F11" s="42" t="str">
        <f>IF(Agent01_Savings!A18="","",Agent01_Savings!E18)</f>
        <v/>
      </c>
      <c r="G11" s="42" t="str">
        <f>IF(Agent01_Savings!A18="","",Agent01_Savings!F18)</f>
        <v/>
      </c>
      <c r="H11" s="40" t="str">
        <f>IF(Agent01_Savings!A18="","",Agent01_Savings!I18)</f>
        <v/>
      </c>
      <c r="I11" s="40" t="str">
        <f>IF(Agent01_Savings!A18="","",Agent01_Savings!J18)</f>
        <v/>
      </c>
      <c r="J11" s="40" t="str">
        <f>IF(Agent01_Savings!A18="","",Agent01_Savings!K18)</f>
        <v/>
      </c>
      <c r="K11" s="40" t="str">
        <f>IFERROR(IF(Agent01_Savings!A18="","",YEAR(Agent01_Savings!D18)),"")</f>
        <v/>
      </c>
    </row>
    <row r="12" spans="1:11" ht="18" customHeight="1" x14ac:dyDescent="0.25">
      <c r="A12" s="40" t="str">
        <f>IF(Agent01_Savings!A19="","",Agent01_Savings!A19)</f>
        <v/>
      </c>
      <c r="B12" s="40" t="str">
        <f ca="1">IF(Agent01_Savings!A19="","","SV"&amp;TEXT(12-3,"0000")&amp;"-"&amp;TEXT(TODAY(),"YYYYMMDD"))</f>
        <v/>
      </c>
      <c r="C12" s="40" t="str">
        <f>IF(Agent01_Savings!A19="","",Agent01_Savings!B19)</f>
        <v/>
      </c>
      <c r="D12" s="40" t="str">
        <f>IF(Agent01_Savings!A19="","",Agent01_Savings!G19)</f>
        <v/>
      </c>
      <c r="E12" s="41" t="str">
        <f>IF(Agent01_Savings!A19="","",Agent01_Savings!D19)</f>
        <v/>
      </c>
      <c r="F12" s="42" t="str">
        <f>IF(Agent01_Savings!A19="","",Agent01_Savings!E19)</f>
        <v/>
      </c>
      <c r="G12" s="42" t="str">
        <f>IF(Agent01_Savings!A19="","",Agent01_Savings!F19)</f>
        <v/>
      </c>
      <c r="H12" s="40" t="str">
        <f>IF(Agent01_Savings!A19="","",Agent01_Savings!I19)</f>
        <v/>
      </c>
      <c r="I12" s="40" t="str">
        <f>IF(Agent01_Savings!A19="","",Agent01_Savings!J19)</f>
        <v/>
      </c>
      <c r="J12" s="40" t="str">
        <f>IF(Agent01_Savings!A19="","",Agent01_Savings!K19)</f>
        <v/>
      </c>
      <c r="K12" s="40" t="str">
        <f>IFERROR(IF(Agent01_Savings!A19="","",YEAR(Agent01_Savings!D19)),"")</f>
        <v/>
      </c>
    </row>
    <row r="13" spans="1:11" ht="18" customHeight="1" x14ac:dyDescent="0.25">
      <c r="A13" s="40" t="str">
        <f>IF(Agent01_Savings!A20="","",Agent01_Savings!A20)</f>
        <v/>
      </c>
      <c r="B13" s="40" t="str">
        <f ca="1">IF(Agent01_Savings!A20="","","SV"&amp;TEXT(13-3,"0000")&amp;"-"&amp;TEXT(TODAY(),"YYYYMMDD"))</f>
        <v/>
      </c>
      <c r="C13" s="40" t="str">
        <f>IF(Agent01_Savings!A20="","",Agent01_Savings!B20)</f>
        <v/>
      </c>
      <c r="D13" s="40" t="str">
        <f>IF(Agent01_Savings!A20="","",Agent01_Savings!G20)</f>
        <v/>
      </c>
      <c r="E13" s="41" t="str">
        <f>IF(Agent01_Savings!A20="","",Agent01_Savings!D20)</f>
        <v/>
      </c>
      <c r="F13" s="42" t="str">
        <f>IF(Agent01_Savings!A20="","",Agent01_Savings!E20)</f>
        <v/>
      </c>
      <c r="G13" s="42" t="str">
        <f>IF(Agent01_Savings!A20="","",Agent01_Savings!F20)</f>
        <v/>
      </c>
      <c r="H13" s="40" t="str">
        <f>IF(Agent01_Savings!A20="","",Agent01_Savings!I20)</f>
        <v/>
      </c>
      <c r="I13" s="40" t="str">
        <f>IF(Agent01_Savings!A20="","",Agent01_Savings!J20)</f>
        <v/>
      </c>
      <c r="J13" s="40" t="str">
        <f>IF(Agent01_Savings!A20="","",Agent01_Savings!K20)</f>
        <v/>
      </c>
      <c r="K13" s="40" t="str">
        <f>IFERROR(IF(Agent01_Savings!A20="","",YEAR(Agent01_Savings!D20)),"")</f>
        <v/>
      </c>
    </row>
    <row r="14" spans="1:11" ht="18" customHeight="1" x14ac:dyDescent="0.25">
      <c r="A14" s="40" t="str">
        <f>IF(Agent01_Savings!A21="","",Agent01_Savings!A21)</f>
        <v/>
      </c>
      <c r="B14" s="40" t="str">
        <f ca="1">IF(Agent01_Savings!A21="","","SV"&amp;TEXT(14-3,"0000")&amp;"-"&amp;TEXT(TODAY(),"YYYYMMDD"))</f>
        <v/>
      </c>
      <c r="C14" s="40" t="str">
        <f>IF(Agent01_Savings!A21="","",Agent01_Savings!B21)</f>
        <v/>
      </c>
      <c r="D14" s="40" t="str">
        <f>IF(Agent01_Savings!A21="","",Agent01_Savings!G21)</f>
        <v/>
      </c>
      <c r="E14" s="41" t="str">
        <f>IF(Agent01_Savings!A21="","",Agent01_Savings!D21)</f>
        <v/>
      </c>
      <c r="F14" s="42" t="str">
        <f>IF(Agent01_Savings!A21="","",Agent01_Savings!E21)</f>
        <v/>
      </c>
      <c r="G14" s="42" t="str">
        <f>IF(Agent01_Savings!A21="","",Agent01_Savings!F21)</f>
        <v/>
      </c>
      <c r="H14" s="40" t="str">
        <f>IF(Agent01_Savings!A21="","",Agent01_Savings!I21)</f>
        <v/>
      </c>
      <c r="I14" s="40" t="str">
        <f>IF(Agent01_Savings!A21="","",Agent01_Savings!J21)</f>
        <v/>
      </c>
      <c r="J14" s="40" t="str">
        <f>IF(Agent01_Savings!A21="","",Agent01_Savings!K21)</f>
        <v/>
      </c>
      <c r="K14" s="40" t="str">
        <f>IFERROR(IF(Agent01_Savings!A21="","",YEAR(Agent01_Savings!D21)),"")</f>
        <v/>
      </c>
    </row>
    <row r="15" spans="1:11" ht="18" customHeight="1" x14ac:dyDescent="0.25">
      <c r="A15" s="40" t="str">
        <f>IF(Agent01_Savings!A22="","",Agent01_Savings!A22)</f>
        <v/>
      </c>
      <c r="B15" s="40" t="str">
        <f ca="1">IF(Agent01_Savings!A22="","","SV"&amp;TEXT(15-3,"0000")&amp;"-"&amp;TEXT(TODAY(),"YYYYMMDD"))</f>
        <v/>
      </c>
      <c r="C15" s="40" t="str">
        <f>IF(Agent01_Savings!A22="","",Agent01_Savings!B22)</f>
        <v/>
      </c>
      <c r="D15" s="40" t="str">
        <f>IF(Agent01_Savings!A22="","",Agent01_Savings!G22)</f>
        <v/>
      </c>
      <c r="E15" s="41" t="str">
        <f>IF(Agent01_Savings!A22="","",Agent01_Savings!D22)</f>
        <v/>
      </c>
      <c r="F15" s="42" t="str">
        <f>IF(Agent01_Savings!A22="","",Agent01_Savings!E22)</f>
        <v/>
      </c>
      <c r="G15" s="42" t="str">
        <f>IF(Agent01_Savings!A22="","",Agent01_Savings!F22)</f>
        <v/>
      </c>
      <c r="H15" s="40" t="str">
        <f>IF(Agent01_Savings!A22="","",Agent01_Savings!I22)</f>
        <v/>
      </c>
      <c r="I15" s="40" t="str">
        <f>IF(Agent01_Savings!A22="","",Agent01_Savings!J22)</f>
        <v/>
      </c>
      <c r="J15" s="40" t="str">
        <f>IF(Agent01_Savings!A22="","",Agent01_Savings!K22)</f>
        <v/>
      </c>
      <c r="K15" s="40" t="str">
        <f>IFERROR(IF(Agent01_Savings!A22="","",YEAR(Agent01_Savings!D22)),"")</f>
        <v/>
      </c>
    </row>
    <row r="16" spans="1:11" ht="18" customHeight="1" x14ac:dyDescent="0.25">
      <c r="A16" s="40" t="str">
        <f>IF(Agent01_Savings!A23="","",Agent01_Savings!A23)</f>
        <v/>
      </c>
      <c r="B16" s="40" t="str">
        <f ca="1">IF(Agent01_Savings!A23="","","SV"&amp;TEXT(16-3,"0000")&amp;"-"&amp;TEXT(TODAY(),"YYYYMMDD"))</f>
        <v/>
      </c>
      <c r="C16" s="40" t="str">
        <f>IF(Agent01_Savings!A23="","",Agent01_Savings!B23)</f>
        <v/>
      </c>
      <c r="D16" s="40" t="str">
        <f>IF(Agent01_Savings!A23="","",Agent01_Savings!G23)</f>
        <v/>
      </c>
      <c r="E16" s="41" t="str">
        <f>IF(Agent01_Savings!A23="","",Agent01_Savings!D23)</f>
        <v/>
      </c>
      <c r="F16" s="42" t="str">
        <f>IF(Agent01_Savings!A23="","",Agent01_Savings!E23)</f>
        <v/>
      </c>
      <c r="G16" s="42" t="str">
        <f>IF(Agent01_Savings!A23="","",Agent01_Savings!F23)</f>
        <v/>
      </c>
      <c r="H16" s="40" t="str">
        <f>IF(Agent01_Savings!A23="","",Agent01_Savings!I23)</f>
        <v/>
      </c>
      <c r="I16" s="40" t="str">
        <f>IF(Agent01_Savings!A23="","",Agent01_Savings!J23)</f>
        <v/>
      </c>
      <c r="J16" s="40" t="str">
        <f>IF(Agent01_Savings!A23="","",Agent01_Savings!K23)</f>
        <v/>
      </c>
      <c r="K16" s="40" t="str">
        <f>IFERROR(IF(Agent01_Savings!A23="","",YEAR(Agent01_Savings!D23)),"")</f>
        <v/>
      </c>
    </row>
    <row r="17" spans="1:11" ht="18" customHeight="1" x14ac:dyDescent="0.25">
      <c r="A17" s="40" t="str">
        <f>IF(Agent01_Savings!A24="","",Agent01_Savings!A24)</f>
        <v/>
      </c>
      <c r="B17" s="40" t="str">
        <f ca="1">IF(Agent01_Savings!A24="","","SV"&amp;TEXT(17-3,"0000")&amp;"-"&amp;TEXT(TODAY(),"YYYYMMDD"))</f>
        <v/>
      </c>
      <c r="C17" s="40" t="str">
        <f>IF(Agent01_Savings!A24="","",Agent01_Savings!B24)</f>
        <v/>
      </c>
      <c r="D17" s="40" t="str">
        <f>IF(Agent01_Savings!A24="","",Agent01_Savings!G24)</f>
        <v/>
      </c>
      <c r="E17" s="41" t="str">
        <f>IF(Agent01_Savings!A24="","",Agent01_Savings!D24)</f>
        <v/>
      </c>
      <c r="F17" s="42" t="str">
        <f>IF(Agent01_Savings!A24="","",Agent01_Savings!E24)</f>
        <v/>
      </c>
      <c r="G17" s="42" t="str">
        <f>IF(Agent01_Savings!A24="","",Agent01_Savings!F24)</f>
        <v/>
      </c>
      <c r="H17" s="40" t="str">
        <f>IF(Agent01_Savings!A24="","",Agent01_Savings!I24)</f>
        <v/>
      </c>
      <c r="I17" s="40" t="str">
        <f>IF(Agent01_Savings!A24="","",Agent01_Savings!J24)</f>
        <v/>
      </c>
      <c r="J17" s="40" t="str">
        <f>IF(Agent01_Savings!A24="","",Agent01_Savings!K24)</f>
        <v/>
      </c>
      <c r="K17" s="40" t="str">
        <f>IFERROR(IF(Agent01_Savings!A24="","",YEAR(Agent01_Savings!D24)),"")</f>
        <v/>
      </c>
    </row>
    <row r="18" spans="1:11" ht="18" customHeight="1" x14ac:dyDescent="0.25">
      <c r="A18" s="40" t="str">
        <f>IF(Agent01_Savings!A25="","",Agent01_Savings!A25)</f>
        <v/>
      </c>
      <c r="B18" s="40" t="str">
        <f ca="1">IF(Agent01_Savings!A25="","","SV"&amp;TEXT(18-3,"0000")&amp;"-"&amp;TEXT(TODAY(),"YYYYMMDD"))</f>
        <v/>
      </c>
      <c r="C18" s="40" t="str">
        <f>IF(Agent01_Savings!A25="","",Agent01_Savings!B25)</f>
        <v/>
      </c>
      <c r="D18" s="40" t="str">
        <f>IF(Agent01_Savings!A25="","",Agent01_Savings!G25)</f>
        <v/>
      </c>
      <c r="E18" s="41" t="str">
        <f>IF(Agent01_Savings!A25="","",Agent01_Savings!D25)</f>
        <v/>
      </c>
      <c r="F18" s="42" t="str">
        <f>IF(Agent01_Savings!A25="","",Agent01_Savings!E25)</f>
        <v/>
      </c>
      <c r="G18" s="42" t="str">
        <f>IF(Agent01_Savings!A25="","",Agent01_Savings!F25)</f>
        <v/>
      </c>
      <c r="H18" s="40" t="str">
        <f>IF(Agent01_Savings!A25="","",Agent01_Savings!I25)</f>
        <v/>
      </c>
      <c r="I18" s="40" t="str">
        <f>IF(Agent01_Savings!A25="","",Agent01_Savings!J25)</f>
        <v/>
      </c>
      <c r="J18" s="40" t="str">
        <f>IF(Agent01_Savings!A25="","",Agent01_Savings!K25)</f>
        <v/>
      </c>
      <c r="K18" s="40" t="str">
        <f>IFERROR(IF(Agent01_Savings!A25="","",YEAR(Agent01_Savings!D25)),"")</f>
        <v/>
      </c>
    </row>
    <row r="19" spans="1:11" ht="18" customHeight="1" x14ac:dyDescent="0.25">
      <c r="A19" s="40" t="str">
        <f>IF(Agent01_Savings!A26="","",Agent01_Savings!A26)</f>
        <v/>
      </c>
      <c r="B19" s="40" t="str">
        <f ca="1">IF(Agent01_Savings!A26="","","SV"&amp;TEXT(19-3,"0000")&amp;"-"&amp;TEXT(TODAY(),"YYYYMMDD"))</f>
        <v/>
      </c>
      <c r="C19" s="40" t="str">
        <f>IF(Agent01_Savings!A26="","",Agent01_Savings!B26)</f>
        <v/>
      </c>
      <c r="D19" s="40" t="str">
        <f>IF(Agent01_Savings!A26="","",Agent01_Savings!G26)</f>
        <v/>
      </c>
      <c r="E19" s="41" t="str">
        <f>IF(Agent01_Savings!A26="","",Agent01_Savings!D26)</f>
        <v/>
      </c>
      <c r="F19" s="42" t="str">
        <f>IF(Agent01_Savings!A26="","",Agent01_Savings!E26)</f>
        <v/>
      </c>
      <c r="G19" s="42" t="str">
        <f>IF(Agent01_Savings!A26="","",Agent01_Savings!F26)</f>
        <v/>
      </c>
      <c r="H19" s="40" t="str">
        <f>IF(Agent01_Savings!A26="","",Agent01_Savings!I26)</f>
        <v/>
      </c>
      <c r="I19" s="40" t="str">
        <f>IF(Agent01_Savings!A26="","",Agent01_Savings!J26)</f>
        <v/>
      </c>
      <c r="J19" s="40" t="str">
        <f>IF(Agent01_Savings!A26="","",Agent01_Savings!K26)</f>
        <v/>
      </c>
      <c r="K19" s="40" t="str">
        <f>IFERROR(IF(Agent01_Savings!A26="","",YEAR(Agent01_Savings!D26)),"")</f>
        <v/>
      </c>
    </row>
    <row r="20" spans="1:11" ht="18" customHeight="1" x14ac:dyDescent="0.25">
      <c r="A20" s="40" t="str">
        <f>IF(Agent01_Savings!A27="","",Agent01_Savings!A27)</f>
        <v/>
      </c>
      <c r="B20" s="40" t="str">
        <f ca="1">IF(Agent01_Savings!A27="","","SV"&amp;TEXT(20-3,"0000")&amp;"-"&amp;TEXT(TODAY(),"YYYYMMDD"))</f>
        <v/>
      </c>
      <c r="C20" s="40" t="str">
        <f>IF(Agent01_Savings!A27="","",Agent01_Savings!B27)</f>
        <v/>
      </c>
      <c r="D20" s="40" t="str">
        <f>IF(Agent01_Savings!A27="","",Agent01_Savings!G27)</f>
        <v/>
      </c>
      <c r="E20" s="41" t="str">
        <f>IF(Agent01_Savings!A27="","",Agent01_Savings!D27)</f>
        <v/>
      </c>
      <c r="F20" s="42" t="str">
        <f>IF(Agent01_Savings!A27="","",Agent01_Savings!E27)</f>
        <v/>
      </c>
      <c r="G20" s="42" t="str">
        <f>IF(Agent01_Savings!A27="","",Agent01_Savings!F27)</f>
        <v/>
      </c>
      <c r="H20" s="40" t="str">
        <f>IF(Agent01_Savings!A27="","",Agent01_Savings!I27)</f>
        <v/>
      </c>
      <c r="I20" s="40" t="str">
        <f>IF(Agent01_Savings!A27="","",Agent01_Savings!J27)</f>
        <v/>
      </c>
      <c r="J20" s="40" t="str">
        <f>IF(Agent01_Savings!A27="","",Agent01_Savings!K27)</f>
        <v/>
      </c>
      <c r="K20" s="40" t="str">
        <f>IFERROR(IF(Agent01_Savings!A27="","",YEAR(Agent01_Savings!D27)),"")</f>
        <v/>
      </c>
    </row>
    <row r="21" spans="1:11" ht="18" customHeight="1" x14ac:dyDescent="0.25">
      <c r="A21" s="40" t="str">
        <f>IF(Agent01_Savings!A28="","",Agent01_Savings!A28)</f>
        <v/>
      </c>
      <c r="B21" s="40" t="str">
        <f ca="1">IF(Agent01_Savings!A28="","","SV"&amp;TEXT(21-3,"0000")&amp;"-"&amp;TEXT(TODAY(),"YYYYMMDD"))</f>
        <v/>
      </c>
      <c r="C21" s="40" t="str">
        <f>IF(Agent01_Savings!A28="","",Agent01_Savings!B28)</f>
        <v/>
      </c>
      <c r="D21" s="40" t="str">
        <f>IF(Agent01_Savings!A28="","",Agent01_Savings!G28)</f>
        <v/>
      </c>
      <c r="E21" s="41" t="str">
        <f>IF(Agent01_Savings!A28="","",Agent01_Savings!D28)</f>
        <v/>
      </c>
      <c r="F21" s="42" t="str">
        <f>IF(Agent01_Savings!A28="","",Agent01_Savings!E28)</f>
        <v/>
      </c>
      <c r="G21" s="42" t="str">
        <f>IF(Agent01_Savings!A28="","",Agent01_Savings!F28)</f>
        <v/>
      </c>
      <c r="H21" s="40" t="str">
        <f>IF(Agent01_Savings!A28="","",Agent01_Savings!I28)</f>
        <v/>
      </c>
      <c r="I21" s="40" t="str">
        <f>IF(Agent01_Savings!A28="","",Agent01_Savings!J28)</f>
        <v/>
      </c>
      <c r="J21" s="40" t="str">
        <f>IF(Agent01_Savings!A28="","",Agent01_Savings!K28)</f>
        <v/>
      </c>
      <c r="K21" s="40" t="str">
        <f>IFERROR(IF(Agent01_Savings!A28="","",YEAR(Agent01_Savings!D28)),"")</f>
        <v/>
      </c>
    </row>
    <row r="22" spans="1:11" ht="18" customHeight="1" x14ac:dyDescent="0.25">
      <c r="A22" s="40" t="str">
        <f>IF(Agent01_Savings!A29="","",Agent01_Savings!A29)</f>
        <v/>
      </c>
      <c r="B22" s="40" t="str">
        <f ca="1">IF(Agent01_Savings!A29="","","SV"&amp;TEXT(22-3,"0000")&amp;"-"&amp;TEXT(TODAY(),"YYYYMMDD"))</f>
        <v/>
      </c>
      <c r="C22" s="40" t="str">
        <f>IF(Agent01_Savings!A29="","",Agent01_Savings!B29)</f>
        <v/>
      </c>
      <c r="D22" s="40" t="str">
        <f>IF(Agent01_Savings!A29="","",Agent01_Savings!G29)</f>
        <v/>
      </c>
      <c r="E22" s="41" t="str">
        <f>IF(Agent01_Savings!A29="","",Agent01_Savings!D29)</f>
        <v/>
      </c>
      <c r="F22" s="42" t="str">
        <f>IF(Agent01_Savings!A29="","",Agent01_Savings!E29)</f>
        <v/>
      </c>
      <c r="G22" s="42" t="str">
        <f>IF(Agent01_Savings!A29="","",Agent01_Savings!F29)</f>
        <v/>
      </c>
      <c r="H22" s="40" t="str">
        <f>IF(Agent01_Savings!A29="","",Agent01_Savings!I29)</f>
        <v/>
      </c>
      <c r="I22" s="40" t="str">
        <f>IF(Agent01_Savings!A29="","",Agent01_Savings!J29)</f>
        <v/>
      </c>
      <c r="J22" s="40" t="str">
        <f>IF(Agent01_Savings!A29="","",Agent01_Savings!K29)</f>
        <v/>
      </c>
      <c r="K22" s="40" t="str">
        <f>IFERROR(IF(Agent01_Savings!A29="","",YEAR(Agent01_Savings!D29)),"")</f>
        <v/>
      </c>
    </row>
    <row r="23" spans="1:11" ht="18" customHeight="1" x14ac:dyDescent="0.25">
      <c r="A23" s="40" t="str">
        <f>IF(Agent01_Savings!A30="","",Agent01_Savings!A30)</f>
        <v/>
      </c>
      <c r="B23" s="40" t="str">
        <f ca="1">IF(Agent01_Savings!A30="","","SV"&amp;TEXT(23-3,"0000")&amp;"-"&amp;TEXT(TODAY(),"YYYYMMDD"))</f>
        <v/>
      </c>
      <c r="C23" s="40" t="str">
        <f>IF(Agent01_Savings!A30="","",Agent01_Savings!B30)</f>
        <v/>
      </c>
      <c r="D23" s="40" t="str">
        <f>IF(Agent01_Savings!A30="","",Agent01_Savings!G30)</f>
        <v/>
      </c>
      <c r="E23" s="41" t="str">
        <f>IF(Agent01_Savings!A30="","",Agent01_Savings!D30)</f>
        <v/>
      </c>
      <c r="F23" s="42" t="str">
        <f>IF(Agent01_Savings!A30="","",Agent01_Savings!E30)</f>
        <v/>
      </c>
      <c r="G23" s="42" t="str">
        <f>IF(Agent01_Savings!A30="","",Agent01_Savings!F30)</f>
        <v/>
      </c>
      <c r="H23" s="40" t="str">
        <f>IF(Agent01_Savings!A30="","",Agent01_Savings!I30)</f>
        <v/>
      </c>
      <c r="I23" s="40" t="str">
        <f>IF(Agent01_Savings!A30="","",Agent01_Savings!J30)</f>
        <v/>
      </c>
      <c r="J23" s="40" t="str">
        <f>IF(Agent01_Savings!A30="","",Agent01_Savings!K30)</f>
        <v/>
      </c>
      <c r="K23" s="40" t="str">
        <f>IFERROR(IF(Agent01_Savings!A30="","",YEAR(Agent01_Savings!D30)),"")</f>
        <v/>
      </c>
    </row>
    <row r="24" spans="1:11" ht="18" customHeight="1" x14ac:dyDescent="0.25">
      <c r="A24" s="40" t="str">
        <f>IF(Agent01_Savings!A31="","",Agent01_Savings!A31)</f>
        <v/>
      </c>
      <c r="B24" s="40" t="str">
        <f ca="1">IF(Agent01_Savings!A31="","","SV"&amp;TEXT(24-3,"0000")&amp;"-"&amp;TEXT(TODAY(),"YYYYMMDD"))</f>
        <v/>
      </c>
      <c r="C24" s="40" t="str">
        <f>IF(Agent01_Savings!A31="","",Agent01_Savings!B31)</f>
        <v/>
      </c>
      <c r="D24" s="40" t="str">
        <f>IF(Agent01_Savings!A31="","",Agent01_Savings!G31)</f>
        <v/>
      </c>
      <c r="E24" s="41" t="str">
        <f>IF(Agent01_Savings!A31="","",Agent01_Savings!D31)</f>
        <v/>
      </c>
      <c r="F24" s="42" t="str">
        <f>IF(Agent01_Savings!A31="","",Agent01_Savings!E31)</f>
        <v/>
      </c>
      <c r="G24" s="42" t="str">
        <f>IF(Agent01_Savings!A31="","",Agent01_Savings!F31)</f>
        <v/>
      </c>
      <c r="H24" s="40" t="str">
        <f>IF(Agent01_Savings!A31="","",Agent01_Savings!I31)</f>
        <v/>
      </c>
      <c r="I24" s="40" t="str">
        <f>IF(Agent01_Savings!A31="","",Agent01_Savings!J31)</f>
        <v/>
      </c>
      <c r="J24" s="40" t="str">
        <f>IF(Agent01_Savings!A31="","",Agent01_Savings!K31)</f>
        <v/>
      </c>
      <c r="K24" s="40" t="str">
        <f>IFERROR(IF(Agent01_Savings!A31="","",YEAR(Agent01_Savings!D31)),"")</f>
        <v/>
      </c>
    </row>
    <row r="25" spans="1:11" ht="18" customHeight="1" x14ac:dyDescent="0.25">
      <c r="A25" s="40" t="str">
        <f>IF(Agent01_Savings!A32="","",Agent01_Savings!A32)</f>
        <v/>
      </c>
      <c r="B25" s="40" t="str">
        <f ca="1">IF(Agent01_Savings!A32="","","SV"&amp;TEXT(25-3,"0000")&amp;"-"&amp;TEXT(TODAY(),"YYYYMMDD"))</f>
        <v/>
      </c>
      <c r="C25" s="40" t="str">
        <f>IF(Agent01_Savings!A32="","",Agent01_Savings!B32)</f>
        <v/>
      </c>
      <c r="D25" s="40" t="str">
        <f>IF(Agent01_Savings!A32="","",Agent01_Savings!G32)</f>
        <v/>
      </c>
      <c r="E25" s="41" t="str">
        <f>IF(Agent01_Savings!A32="","",Agent01_Savings!D32)</f>
        <v/>
      </c>
      <c r="F25" s="42" t="str">
        <f>IF(Agent01_Savings!A32="","",Agent01_Savings!E32)</f>
        <v/>
      </c>
      <c r="G25" s="42" t="str">
        <f>IF(Agent01_Savings!A32="","",Agent01_Savings!F32)</f>
        <v/>
      </c>
      <c r="H25" s="40" t="str">
        <f>IF(Agent01_Savings!A32="","",Agent01_Savings!I32)</f>
        <v/>
      </c>
      <c r="I25" s="40" t="str">
        <f>IF(Agent01_Savings!A32="","",Agent01_Savings!J32)</f>
        <v/>
      </c>
      <c r="J25" s="40" t="str">
        <f>IF(Agent01_Savings!A32="","",Agent01_Savings!K32)</f>
        <v/>
      </c>
      <c r="K25" s="40" t="str">
        <f>IFERROR(IF(Agent01_Savings!A32="","",YEAR(Agent01_Savings!D32)),"")</f>
        <v/>
      </c>
    </row>
    <row r="26" spans="1:11" ht="18" customHeight="1" x14ac:dyDescent="0.25">
      <c r="A26" s="40" t="str">
        <f>IF(Agent01_Savings!A33="","",Agent01_Savings!A33)</f>
        <v/>
      </c>
      <c r="B26" s="40" t="str">
        <f ca="1">IF(Agent01_Savings!A33="","","SV"&amp;TEXT(26-3,"0000")&amp;"-"&amp;TEXT(TODAY(),"YYYYMMDD"))</f>
        <v/>
      </c>
      <c r="C26" s="40" t="str">
        <f>IF(Agent01_Savings!A33="","",Agent01_Savings!B33)</f>
        <v/>
      </c>
      <c r="D26" s="40" t="str">
        <f>IF(Agent01_Savings!A33="","",Agent01_Savings!G33)</f>
        <v/>
      </c>
      <c r="E26" s="41" t="str">
        <f>IF(Agent01_Savings!A33="","",Agent01_Savings!D33)</f>
        <v/>
      </c>
      <c r="F26" s="42" t="str">
        <f>IF(Agent01_Savings!A33="","",Agent01_Savings!E33)</f>
        <v/>
      </c>
      <c r="G26" s="42" t="str">
        <f>IF(Agent01_Savings!A33="","",Agent01_Savings!F33)</f>
        <v/>
      </c>
      <c r="H26" s="40" t="str">
        <f>IF(Agent01_Savings!A33="","",Agent01_Savings!I33)</f>
        <v/>
      </c>
      <c r="I26" s="40" t="str">
        <f>IF(Agent01_Savings!A33="","",Agent01_Savings!J33)</f>
        <v/>
      </c>
      <c r="J26" s="40" t="str">
        <f>IF(Agent01_Savings!A33="","",Agent01_Savings!K33)</f>
        <v/>
      </c>
      <c r="K26" s="40" t="str">
        <f>IFERROR(IF(Agent01_Savings!A33="","",YEAR(Agent01_Savings!D33)),"")</f>
        <v/>
      </c>
    </row>
    <row r="27" spans="1:11" ht="18" customHeight="1" x14ac:dyDescent="0.25">
      <c r="A27" s="40" t="str">
        <f>IF(Agent01_Savings!A34="","",Agent01_Savings!A34)</f>
        <v/>
      </c>
      <c r="B27" s="40" t="str">
        <f ca="1">IF(Agent01_Savings!A34="","","SV"&amp;TEXT(27-3,"0000")&amp;"-"&amp;TEXT(TODAY(),"YYYYMMDD"))</f>
        <v/>
      </c>
      <c r="C27" s="40" t="str">
        <f>IF(Agent01_Savings!A34="","",Agent01_Savings!B34)</f>
        <v/>
      </c>
      <c r="D27" s="40" t="str">
        <f>IF(Agent01_Savings!A34="","",Agent01_Savings!G34)</f>
        <v/>
      </c>
      <c r="E27" s="41" t="str">
        <f>IF(Agent01_Savings!A34="","",Agent01_Savings!D34)</f>
        <v/>
      </c>
      <c r="F27" s="42" t="str">
        <f>IF(Agent01_Savings!A34="","",Agent01_Savings!E34)</f>
        <v/>
      </c>
      <c r="G27" s="42" t="str">
        <f>IF(Agent01_Savings!A34="","",Agent01_Savings!F34)</f>
        <v/>
      </c>
      <c r="H27" s="40" t="str">
        <f>IF(Agent01_Savings!A34="","",Agent01_Savings!I34)</f>
        <v/>
      </c>
      <c r="I27" s="40" t="str">
        <f>IF(Agent01_Savings!A34="","",Agent01_Savings!J34)</f>
        <v/>
      </c>
      <c r="J27" s="40" t="str">
        <f>IF(Agent01_Savings!A34="","",Agent01_Savings!K34)</f>
        <v/>
      </c>
      <c r="K27" s="40" t="str">
        <f>IFERROR(IF(Agent01_Savings!A34="","",YEAR(Agent01_Savings!D34)),"")</f>
        <v/>
      </c>
    </row>
    <row r="28" spans="1:11" ht="18" customHeight="1" x14ac:dyDescent="0.25">
      <c r="A28" s="40" t="str">
        <f>IF(Agent01_Savings!A35="","",Agent01_Savings!A35)</f>
        <v/>
      </c>
      <c r="B28" s="40" t="str">
        <f ca="1">IF(Agent01_Savings!A35="","","SV"&amp;TEXT(28-3,"0000")&amp;"-"&amp;TEXT(TODAY(),"YYYYMMDD"))</f>
        <v/>
      </c>
      <c r="C28" s="40" t="str">
        <f>IF(Agent01_Savings!A35="","",Agent01_Savings!B35)</f>
        <v/>
      </c>
      <c r="D28" s="40" t="str">
        <f>IF(Agent01_Savings!A35="","",Agent01_Savings!G35)</f>
        <v/>
      </c>
      <c r="E28" s="41" t="str">
        <f>IF(Agent01_Savings!A35="","",Agent01_Savings!D35)</f>
        <v/>
      </c>
      <c r="F28" s="42" t="str">
        <f>IF(Agent01_Savings!A35="","",Agent01_Savings!E35)</f>
        <v/>
      </c>
      <c r="G28" s="42" t="str">
        <f>IF(Agent01_Savings!A35="","",Agent01_Savings!F35)</f>
        <v/>
      </c>
      <c r="H28" s="40" t="str">
        <f>IF(Agent01_Savings!A35="","",Agent01_Savings!I35)</f>
        <v/>
      </c>
      <c r="I28" s="40" t="str">
        <f>IF(Agent01_Savings!A35="","",Agent01_Savings!J35)</f>
        <v/>
      </c>
      <c r="J28" s="40" t="str">
        <f>IF(Agent01_Savings!A35="","",Agent01_Savings!K35)</f>
        <v/>
      </c>
      <c r="K28" s="40" t="str">
        <f>IFERROR(IF(Agent01_Savings!A35="","",YEAR(Agent01_Savings!D35)),"")</f>
        <v/>
      </c>
    </row>
    <row r="29" spans="1:11" ht="18" customHeight="1" x14ac:dyDescent="0.25">
      <c r="A29" s="40" t="str">
        <f>IF(Agent01_Savings!A36="","",Agent01_Savings!A36)</f>
        <v/>
      </c>
      <c r="B29" s="40" t="str">
        <f ca="1">IF(Agent01_Savings!A36="","","SV"&amp;TEXT(29-3,"0000")&amp;"-"&amp;TEXT(TODAY(),"YYYYMMDD"))</f>
        <v/>
      </c>
      <c r="C29" s="40" t="str">
        <f>IF(Agent01_Savings!A36="","",Agent01_Savings!B36)</f>
        <v/>
      </c>
      <c r="D29" s="40" t="str">
        <f>IF(Agent01_Savings!A36="","",Agent01_Savings!G36)</f>
        <v/>
      </c>
      <c r="E29" s="41" t="str">
        <f>IF(Agent01_Savings!A36="","",Agent01_Savings!D36)</f>
        <v/>
      </c>
      <c r="F29" s="42" t="str">
        <f>IF(Agent01_Savings!A36="","",Agent01_Savings!E36)</f>
        <v/>
      </c>
      <c r="G29" s="42" t="str">
        <f>IF(Agent01_Savings!A36="","",Agent01_Savings!F36)</f>
        <v/>
      </c>
      <c r="H29" s="40" t="str">
        <f>IF(Agent01_Savings!A36="","",Agent01_Savings!I36)</f>
        <v/>
      </c>
      <c r="I29" s="40" t="str">
        <f>IF(Agent01_Savings!A36="","",Agent01_Savings!J36)</f>
        <v/>
      </c>
      <c r="J29" s="40" t="str">
        <f>IF(Agent01_Savings!A36="","",Agent01_Savings!K36)</f>
        <v/>
      </c>
      <c r="K29" s="40" t="str">
        <f>IFERROR(IF(Agent01_Savings!A36="","",YEAR(Agent01_Savings!D36)),"")</f>
        <v/>
      </c>
    </row>
    <row r="30" spans="1:11" ht="18" customHeight="1" x14ac:dyDescent="0.25">
      <c r="A30" s="40" t="str">
        <f>IF(Agent01_Savings!A37="","",Agent01_Savings!A37)</f>
        <v/>
      </c>
      <c r="B30" s="40" t="str">
        <f ca="1">IF(Agent01_Savings!A37="","","SV"&amp;TEXT(30-3,"0000")&amp;"-"&amp;TEXT(TODAY(),"YYYYMMDD"))</f>
        <v/>
      </c>
      <c r="C30" s="40" t="str">
        <f>IF(Agent01_Savings!A37="","",Agent01_Savings!B37)</f>
        <v/>
      </c>
      <c r="D30" s="40" t="str">
        <f>IF(Agent01_Savings!A37="","",Agent01_Savings!G37)</f>
        <v/>
      </c>
      <c r="E30" s="41" t="str">
        <f>IF(Agent01_Savings!A37="","",Agent01_Savings!D37)</f>
        <v/>
      </c>
      <c r="F30" s="42" t="str">
        <f>IF(Agent01_Savings!A37="","",Agent01_Savings!E37)</f>
        <v/>
      </c>
      <c r="G30" s="42" t="str">
        <f>IF(Agent01_Savings!A37="","",Agent01_Savings!F37)</f>
        <v/>
      </c>
      <c r="H30" s="40" t="str">
        <f>IF(Agent01_Savings!A37="","",Agent01_Savings!I37)</f>
        <v/>
      </c>
      <c r="I30" s="40" t="str">
        <f>IF(Agent01_Savings!A37="","",Agent01_Savings!J37)</f>
        <v/>
      </c>
      <c r="J30" s="40" t="str">
        <f>IF(Agent01_Savings!A37="","",Agent01_Savings!K37)</f>
        <v/>
      </c>
      <c r="K30" s="40" t="str">
        <f>IFERROR(IF(Agent01_Savings!A37="","",YEAR(Agent01_Savings!D37)),"")</f>
        <v/>
      </c>
    </row>
    <row r="31" spans="1:11" ht="18" customHeight="1" x14ac:dyDescent="0.25">
      <c r="A31" s="40" t="str">
        <f>IF(Agent01_Savings!A38="","",Agent01_Savings!A38)</f>
        <v/>
      </c>
      <c r="B31" s="40" t="str">
        <f ca="1">IF(Agent01_Savings!A38="","","SV"&amp;TEXT(31-3,"0000")&amp;"-"&amp;TEXT(TODAY(),"YYYYMMDD"))</f>
        <v/>
      </c>
      <c r="C31" s="40" t="str">
        <f>IF(Agent01_Savings!A38="","",Agent01_Savings!B38)</f>
        <v/>
      </c>
      <c r="D31" s="40" t="str">
        <f>IF(Agent01_Savings!A38="","",Agent01_Savings!G38)</f>
        <v/>
      </c>
      <c r="E31" s="41" t="str">
        <f>IF(Agent01_Savings!A38="","",Agent01_Savings!D38)</f>
        <v/>
      </c>
      <c r="F31" s="42" t="str">
        <f>IF(Agent01_Savings!A38="","",Agent01_Savings!E38)</f>
        <v/>
      </c>
      <c r="G31" s="42" t="str">
        <f>IF(Agent01_Savings!A38="","",Agent01_Savings!F38)</f>
        <v/>
      </c>
      <c r="H31" s="40" t="str">
        <f>IF(Agent01_Savings!A38="","",Agent01_Savings!I38)</f>
        <v/>
      </c>
      <c r="I31" s="40" t="str">
        <f>IF(Agent01_Savings!A38="","",Agent01_Savings!J38)</f>
        <v/>
      </c>
      <c r="J31" s="40" t="str">
        <f>IF(Agent01_Savings!A38="","",Agent01_Savings!K38)</f>
        <v/>
      </c>
      <c r="K31" s="40" t="str">
        <f>IFERROR(IF(Agent01_Savings!A38="","",YEAR(Agent01_Savings!D38)),"")</f>
        <v/>
      </c>
    </row>
    <row r="32" spans="1:11" ht="18" customHeight="1" x14ac:dyDescent="0.25">
      <c r="A32" s="40" t="str">
        <f>IF(Agent01_Savings!A39="","",Agent01_Savings!A39)</f>
        <v/>
      </c>
      <c r="B32" s="40" t="str">
        <f ca="1">IF(Agent01_Savings!A39="","","SV"&amp;TEXT(32-3,"0000")&amp;"-"&amp;TEXT(TODAY(),"YYYYMMDD"))</f>
        <v/>
      </c>
      <c r="C32" s="40" t="str">
        <f>IF(Agent01_Savings!A39="","",Agent01_Savings!B39)</f>
        <v/>
      </c>
      <c r="D32" s="40" t="str">
        <f>IF(Agent01_Savings!A39="","",Agent01_Savings!G39)</f>
        <v/>
      </c>
      <c r="E32" s="41" t="str">
        <f>IF(Agent01_Savings!A39="","",Agent01_Savings!D39)</f>
        <v/>
      </c>
      <c r="F32" s="42" t="str">
        <f>IF(Agent01_Savings!A39="","",Agent01_Savings!E39)</f>
        <v/>
      </c>
      <c r="G32" s="42" t="str">
        <f>IF(Agent01_Savings!A39="","",Agent01_Savings!F39)</f>
        <v/>
      </c>
      <c r="H32" s="40" t="str">
        <f>IF(Agent01_Savings!A39="","",Agent01_Savings!I39)</f>
        <v/>
      </c>
      <c r="I32" s="40" t="str">
        <f>IF(Agent01_Savings!A39="","",Agent01_Savings!J39)</f>
        <v/>
      </c>
      <c r="J32" s="40" t="str">
        <f>IF(Agent01_Savings!A39="","",Agent01_Savings!K39)</f>
        <v/>
      </c>
      <c r="K32" s="40" t="str">
        <f>IFERROR(IF(Agent01_Savings!A39="","",YEAR(Agent01_Savings!D39)),"")</f>
        <v/>
      </c>
    </row>
    <row r="33" spans="1:11" ht="18" customHeight="1" x14ac:dyDescent="0.25">
      <c r="A33" s="40" t="str">
        <f>IF(Agent01_Savings!A40="","",Agent01_Savings!A40)</f>
        <v/>
      </c>
      <c r="B33" s="40" t="str">
        <f ca="1">IF(Agent01_Savings!A40="","","SV"&amp;TEXT(33-3,"0000")&amp;"-"&amp;TEXT(TODAY(),"YYYYMMDD"))</f>
        <v/>
      </c>
      <c r="C33" s="40" t="str">
        <f>IF(Agent01_Savings!A40="","",Agent01_Savings!B40)</f>
        <v/>
      </c>
      <c r="D33" s="40" t="str">
        <f>IF(Agent01_Savings!A40="","",Agent01_Savings!G40)</f>
        <v/>
      </c>
      <c r="E33" s="41" t="str">
        <f>IF(Agent01_Savings!A40="","",Agent01_Savings!D40)</f>
        <v/>
      </c>
      <c r="F33" s="42" t="str">
        <f>IF(Agent01_Savings!A40="","",Agent01_Savings!E40)</f>
        <v/>
      </c>
      <c r="G33" s="42" t="str">
        <f>IF(Agent01_Savings!A40="","",Agent01_Savings!F40)</f>
        <v/>
      </c>
      <c r="H33" s="40" t="str">
        <f>IF(Agent01_Savings!A40="","",Agent01_Savings!I40)</f>
        <v/>
      </c>
      <c r="I33" s="40" t="str">
        <f>IF(Agent01_Savings!A40="","",Agent01_Savings!J40)</f>
        <v/>
      </c>
      <c r="J33" s="40" t="str">
        <f>IF(Agent01_Savings!A40="","",Agent01_Savings!K40)</f>
        <v/>
      </c>
      <c r="K33" s="40" t="str">
        <f>IFERROR(IF(Agent01_Savings!A40="","",YEAR(Agent01_Savings!D40)),"")</f>
        <v/>
      </c>
    </row>
    <row r="34" spans="1:11" ht="18" customHeight="1" x14ac:dyDescent="0.25">
      <c r="A34" s="40" t="str">
        <f>IF(Agent01_Savings!A41="","",Agent01_Savings!A41)</f>
        <v/>
      </c>
      <c r="B34" s="40" t="str">
        <f ca="1">IF(Agent01_Savings!A41="","","SV"&amp;TEXT(34-3,"0000")&amp;"-"&amp;TEXT(TODAY(),"YYYYMMDD"))</f>
        <v/>
      </c>
      <c r="C34" s="40" t="str">
        <f>IF(Agent01_Savings!A41="","",Agent01_Savings!B41)</f>
        <v/>
      </c>
      <c r="D34" s="40" t="str">
        <f>IF(Agent01_Savings!A41="","",Agent01_Savings!G41)</f>
        <v/>
      </c>
      <c r="E34" s="41" t="str">
        <f>IF(Agent01_Savings!A41="","",Agent01_Savings!D41)</f>
        <v/>
      </c>
      <c r="F34" s="42" t="str">
        <f>IF(Agent01_Savings!A41="","",Agent01_Savings!E41)</f>
        <v/>
      </c>
      <c r="G34" s="42" t="str">
        <f>IF(Agent01_Savings!A41="","",Agent01_Savings!F41)</f>
        <v/>
      </c>
      <c r="H34" s="40" t="str">
        <f>IF(Agent01_Savings!A41="","",Agent01_Savings!I41)</f>
        <v/>
      </c>
      <c r="I34" s="40" t="str">
        <f>IF(Agent01_Savings!A41="","",Agent01_Savings!J41)</f>
        <v/>
      </c>
      <c r="J34" s="40" t="str">
        <f>IF(Agent01_Savings!A41="","",Agent01_Savings!K41)</f>
        <v/>
      </c>
      <c r="K34" s="40" t="str">
        <f>IFERROR(IF(Agent01_Savings!A41="","",YEAR(Agent01_Savings!D41)),"")</f>
        <v/>
      </c>
    </row>
    <row r="35" spans="1:11" ht="18" customHeight="1" x14ac:dyDescent="0.25">
      <c r="A35" s="40" t="str">
        <f>IF(Agent01_Savings!A42="","",Agent01_Savings!A42)</f>
        <v/>
      </c>
      <c r="B35" s="40" t="str">
        <f ca="1">IF(Agent01_Savings!A42="","","SV"&amp;TEXT(35-3,"0000")&amp;"-"&amp;TEXT(TODAY(),"YYYYMMDD"))</f>
        <v/>
      </c>
      <c r="C35" s="40" t="str">
        <f>IF(Agent01_Savings!A42="","",Agent01_Savings!B42)</f>
        <v/>
      </c>
      <c r="D35" s="40" t="str">
        <f>IF(Agent01_Savings!A42="","",Agent01_Savings!G42)</f>
        <v/>
      </c>
      <c r="E35" s="41" t="str">
        <f>IF(Agent01_Savings!A42="","",Agent01_Savings!D42)</f>
        <v/>
      </c>
      <c r="F35" s="42" t="str">
        <f>IF(Agent01_Savings!A42="","",Agent01_Savings!E42)</f>
        <v/>
      </c>
      <c r="G35" s="42" t="str">
        <f>IF(Agent01_Savings!A42="","",Agent01_Savings!F42)</f>
        <v/>
      </c>
      <c r="H35" s="40" t="str">
        <f>IF(Agent01_Savings!A42="","",Agent01_Savings!I42)</f>
        <v/>
      </c>
      <c r="I35" s="40" t="str">
        <f>IF(Agent01_Savings!A42="","",Agent01_Savings!J42)</f>
        <v/>
      </c>
      <c r="J35" s="40" t="str">
        <f>IF(Agent01_Savings!A42="","",Agent01_Savings!K42)</f>
        <v/>
      </c>
      <c r="K35" s="40" t="str">
        <f>IFERROR(IF(Agent01_Savings!A42="","",YEAR(Agent01_Savings!D42)),"")</f>
        <v/>
      </c>
    </row>
    <row r="36" spans="1:11" ht="18" customHeight="1" x14ac:dyDescent="0.25">
      <c r="A36" s="40" t="str">
        <f>IF(Agent01_Savings!A43="","",Agent01_Savings!A43)</f>
        <v/>
      </c>
      <c r="B36" s="40" t="str">
        <f ca="1">IF(Agent01_Savings!A43="","","SV"&amp;TEXT(36-3,"0000")&amp;"-"&amp;TEXT(TODAY(),"YYYYMMDD"))</f>
        <v/>
      </c>
      <c r="C36" s="40" t="str">
        <f>IF(Agent01_Savings!A43="","",Agent01_Savings!B43)</f>
        <v/>
      </c>
      <c r="D36" s="40" t="str">
        <f>IF(Agent01_Savings!A43="","",Agent01_Savings!G43)</f>
        <v/>
      </c>
      <c r="E36" s="41" t="str">
        <f>IF(Agent01_Savings!A43="","",Agent01_Savings!D43)</f>
        <v/>
      </c>
      <c r="F36" s="42" t="str">
        <f>IF(Agent01_Savings!A43="","",Agent01_Savings!E43)</f>
        <v/>
      </c>
      <c r="G36" s="42" t="str">
        <f>IF(Agent01_Savings!A43="","",Agent01_Savings!F43)</f>
        <v/>
      </c>
      <c r="H36" s="40" t="str">
        <f>IF(Agent01_Savings!A43="","",Agent01_Savings!I43)</f>
        <v/>
      </c>
      <c r="I36" s="40" t="str">
        <f>IF(Agent01_Savings!A43="","",Agent01_Savings!J43)</f>
        <v/>
      </c>
      <c r="J36" s="40" t="str">
        <f>IF(Agent01_Savings!A43="","",Agent01_Savings!K43)</f>
        <v/>
      </c>
      <c r="K36" s="40" t="str">
        <f>IFERROR(IF(Agent01_Savings!A43="","",YEAR(Agent01_Savings!D43)),"")</f>
        <v/>
      </c>
    </row>
    <row r="37" spans="1:11" ht="18" customHeight="1" x14ac:dyDescent="0.25">
      <c r="A37" s="40" t="str">
        <f>IF(Agent01_Savings!A44="","",Agent01_Savings!A44)</f>
        <v/>
      </c>
      <c r="B37" s="40" t="str">
        <f ca="1">IF(Agent01_Savings!A44="","","SV"&amp;TEXT(37-3,"0000")&amp;"-"&amp;TEXT(TODAY(),"YYYYMMDD"))</f>
        <v/>
      </c>
      <c r="C37" s="40" t="str">
        <f>IF(Agent01_Savings!A44="","",Agent01_Savings!B44)</f>
        <v/>
      </c>
      <c r="D37" s="40" t="str">
        <f>IF(Agent01_Savings!A44="","",Agent01_Savings!G44)</f>
        <v/>
      </c>
      <c r="E37" s="41" t="str">
        <f>IF(Agent01_Savings!A44="","",Agent01_Savings!D44)</f>
        <v/>
      </c>
      <c r="F37" s="42" t="str">
        <f>IF(Agent01_Savings!A44="","",Agent01_Savings!E44)</f>
        <v/>
      </c>
      <c r="G37" s="42" t="str">
        <f>IF(Agent01_Savings!A44="","",Agent01_Savings!F44)</f>
        <v/>
      </c>
      <c r="H37" s="40" t="str">
        <f>IF(Agent01_Savings!A44="","",Agent01_Savings!I44)</f>
        <v/>
      </c>
      <c r="I37" s="40" t="str">
        <f>IF(Agent01_Savings!A44="","",Agent01_Savings!J44)</f>
        <v/>
      </c>
      <c r="J37" s="40" t="str">
        <f>IF(Agent01_Savings!A44="","",Agent01_Savings!K44)</f>
        <v/>
      </c>
      <c r="K37" s="40" t="str">
        <f>IFERROR(IF(Agent01_Savings!A44="","",YEAR(Agent01_Savings!D44)),"")</f>
        <v/>
      </c>
    </row>
    <row r="38" spans="1:11" ht="18" customHeight="1" x14ac:dyDescent="0.25">
      <c r="A38" s="40" t="str">
        <f>IF(Agent01_Savings!A45="","",Agent01_Savings!A45)</f>
        <v/>
      </c>
      <c r="B38" s="40" t="str">
        <f ca="1">IF(Agent01_Savings!A45="","","SV"&amp;TEXT(38-3,"0000")&amp;"-"&amp;TEXT(TODAY(),"YYYYMMDD"))</f>
        <v/>
      </c>
      <c r="C38" s="40" t="str">
        <f>IF(Agent01_Savings!A45="","",Agent01_Savings!B45)</f>
        <v/>
      </c>
      <c r="D38" s="40" t="str">
        <f>IF(Agent01_Savings!A45="","",Agent01_Savings!G45)</f>
        <v/>
      </c>
      <c r="E38" s="41" t="str">
        <f>IF(Agent01_Savings!A45="","",Agent01_Savings!D45)</f>
        <v/>
      </c>
      <c r="F38" s="42" t="str">
        <f>IF(Agent01_Savings!A45="","",Agent01_Savings!E45)</f>
        <v/>
      </c>
      <c r="G38" s="42" t="str">
        <f>IF(Agent01_Savings!A45="","",Agent01_Savings!F45)</f>
        <v/>
      </c>
      <c r="H38" s="40" t="str">
        <f>IF(Agent01_Savings!A45="","",Agent01_Savings!I45)</f>
        <v/>
      </c>
      <c r="I38" s="40" t="str">
        <f>IF(Agent01_Savings!A45="","",Agent01_Savings!J45)</f>
        <v/>
      </c>
      <c r="J38" s="40" t="str">
        <f>IF(Agent01_Savings!A45="","",Agent01_Savings!K45)</f>
        <v/>
      </c>
      <c r="K38" s="40" t="str">
        <f>IFERROR(IF(Agent01_Savings!A45="","",YEAR(Agent01_Savings!D45)),"")</f>
        <v/>
      </c>
    </row>
    <row r="39" spans="1:11" ht="18" customHeight="1" x14ac:dyDescent="0.25">
      <c r="A39" s="40" t="str">
        <f>IF(Agent01_Savings!A46="","",Agent01_Savings!A46)</f>
        <v/>
      </c>
      <c r="B39" s="40" t="str">
        <f ca="1">IF(Agent01_Savings!A46="","","SV"&amp;TEXT(39-3,"0000")&amp;"-"&amp;TEXT(TODAY(),"YYYYMMDD"))</f>
        <v/>
      </c>
      <c r="C39" s="40" t="str">
        <f>IF(Agent01_Savings!A46="","",Agent01_Savings!B46)</f>
        <v/>
      </c>
      <c r="D39" s="40" t="str">
        <f>IF(Agent01_Savings!A46="","",Agent01_Savings!G46)</f>
        <v/>
      </c>
      <c r="E39" s="41" t="str">
        <f>IF(Agent01_Savings!A46="","",Agent01_Savings!D46)</f>
        <v/>
      </c>
      <c r="F39" s="42" t="str">
        <f>IF(Agent01_Savings!A46="","",Agent01_Savings!E46)</f>
        <v/>
      </c>
      <c r="G39" s="42" t="str">
        <f>IF(Agent01_Savings!A46="","",Agent01_Savings!F46)</f>
        <v/>
      </c>
      <c r="H39" s="40" t="str">
        <f>IF(Agent01_Savings!A46="","",Agent01_Savings!I46)</f>
        <v/>
      </c>
      <c r="I39" s="40" t="str">
        <f>IF(Agent01_Savings!A46="","",Agent01_Savings!J46)</f>
        <v/>
      </c>
      <c r="J39" s="40" t="str">
        <f>IF(Agent01_Savings!A46="","",Agent01_Savings!K46)</f>
        <v/>
      </c>
      <c r="K39" s="40" t="str">
        <f>IFERROR(IF(Agent01_Savings!A46="","",YEAR(Agent01_Savings!D46)),"")</f>
        <v/>
      </c>
    </row>
    <row r="40" spans="1:11" ht="18" customHeight="1" x14ac:dyDescent="0.25">
      <c r="A40" s="40" t="str">
        <f>IF(Agent01_Savings!A47="","",Agent01_Savings!A47)</f>
        <v/>
      </c>
      <c r="B40" s="40" t="str">
        <f ca="1">IF(Agent01_Savings!A47="","","SV"&amp;TEXT(40-3,"0000")&amp;"-"&amp;TEXT(TODAY(),"YYYYMMDD"))</f>
        <v/>
      </c>
      <c r="C40" s="40" t="str">
        <f>IF(Agent01_Savings!A47="","",Agent01_Savings!B47)</f>
        <v/>
      </c>
      <c r="D40" s="40" t="str">
        <f>IF(Agent01_Savings!A47="","",Agent01_Savings!G47)</f>
        <v/>
      </c>
      <c r="E40" s="41" t="str">
        <f>IF(Agent01_Savings!A47="","",Agent01_Savings!D47)</f>
        <v/>
      </c>
      <c r="F40" s="42" t="str">
        <f>IF(Agent01_Savings!A47="","",Agent01_Savings!E47)</f>
        <v/>
      </c>
      <c r="G40" s="42" t="str">
        <f>IF(Agent01_Savings!A47="","",Agent01_Savings!F47)</f>
        <v/>
      </c>
      <c r="H40" s="40" t="str">
        <f>IF(Agent01_Savings!A47="","",Agent01_Savings!I47)</f>
        <v/>
      </c>
      <c r="I40" s="40" t="str">
        <f>IF(Agent01_Savings!A47="","",Agent01_Savings!J47)</f>
        <v/>
      </c>
      <c r="J40" s="40" t="str">
        <f>IF(Agent01_Savings!A47="","",Agent01_Savings!K47)</f>
        <v/>
      </c>
      <c r="K40" s="40" t="str">
        <f>IFERROR(IF(Agent01_Savings!A47="","",YEAR(Agent01_Savings!D47)),"")</f>
        <v/>
      </c>
    </row>
    <row r="41" spans="1:11" ht="18" customHeight="1" x14ac:dyDescent="0.25">
      <c r="A41" s="40" t="str">
        <f>IF(Agent01_Savings!A48="","",Agent01_Savings!A48)</f>
        <v/>
      </c>
      <c r="B41" s="40" t="str">
        <f ca="1">IF(Agent01_Savings!A48="","","SV"&amp;TEXT(41-3,"0000")&amp;"-"&amp;TEXT(TODAY(),"YYYYMMDD"))</f>
        <v/>
      </c>
      <c r="C41" s="40" t="str">
        <f>IF(Agent01_Savings!A48="","",Agent01_Savings!B48)</f>
        <v/>
      </c>
      <c r="D41" s="40" t="str">
        <f>IF(Agent01_Savings!A48="","",Agent01_Savings!G48)</f>
        <v/>
      </c>
      <c r="E41" s="41" t="str">
        <f>IF(Agent01_Savings!A48="","",Agent01_Savings!D48)</f>
        <v/>
      </c>
      <c r="F41" s="42" t="str">
        <f>IF(Agent01_Savings!A48="","",Agent01_Savings!E48)</f>
        <v/>
      </c>
      <c r="G41" s="42" t="str">
        <f>IF(Agent01_Savings!A48="","",Agent01_Savings!F48)</f>
        <v/>
      </c>
      <c r="H41" s="40" t="str">
        <f>IF(Agent01_Savings!A48="","",Agent01_Savings!I48)</f>
        <v/>
      </c>
      <c r="I41" s="40" t="str">
        <f>IF(Agent01_Savings!A48="","",Agent01_Savings!J48)</f>
        <v/>
      </c>
      <c r="J41" s="40" t="str">
        <f>IF(Agent01_Savings!A48="","",Agent01_Savings!K48)</f>
        <v/>
      </c>
      <c r="K41" s="40" t="str">
        <f>IFERROR(IF(Agent01_Savings!A48="","",YEAR(Agent01_Savings!D48)),"")</f>
        <v/>
      </c>
    </row>
    <row r="42" spans="1:11" ht="18" customHeight="1" x14ac:dyDescent="0.25">
      <c r="A42" s="40" t="str">
        <f>IF(Agent01_Savings!A49="","",Agent01_Savings!A49)</f>
        <v/>
      </c>
      <c r="B42" s="40" t="str">
        <f ca="1">IF(Agent01_Savings!A49="","","SV"&amp;TEXT(42-3,"0000")&amp;"-"&amp;TEXT(TODAY(),"YYYYMMDD"))</f>
        <v/>
      </c>
      <c r="C42" s="40" t="str">
        <f>IF(Agent01_Savings!A49="","",Agent01_Savings!B49)</f>
        <v/>
      </c>
      <c r="D42" s="40" t="str">
        <f>IF(Agent01_Savings!A49="","",Agent01_Savings!G49)</f>
        <v/>
      </c>
      <c r="E42" s="41" t="str">
        <f>IF(Agent01_Savings!A49="","",Agent01_Savings!D49)</f>
        <v/>
      </c>
      <c r="F42" s="42" t="str">
        <f>IF(Agent01_Savings!A49="","",Agent01_Savings!E49)</f>
        <v/>
      </c>
      <c r="G42" s="42" t="str">
        <f>IF(Agent01_Savings!A49="","",Agent01_Savings!F49)</f>
        <v/>
      </c>
      <c r="H42" s="40" t="str">
        <f>IF(Agent01_Savings!A49="","",Agent01_Savings!I49)</f>
        <v/>
      </c>
      <c r="I42" s="40" t="str">
        <f>IF(Agent01_Savings!A49="","",Agent01_Savings!J49)</f>
        <v/>
      </c>
      <c r="J42" s="40" t="str">
        <f>IF(Agent01_Savings!A49="","",Agent01_Savings!K49)</f>
        <v/>
      </c>
      <c r="K42" s="40" t="str">
        <f>IFERROR(IF(Agent01_Savings!A49="","",YEAR(Agent01_Savings!D49)),"")</f>
        <v/>
      </c>
    </row>
    <row r="43" spans="1:11" ht="18" customHeight="1" x14ac:dyDescent="0.25">
      <c r="A43" s="40" t="str">
        <f>IF(Agent01_Savings!A50="","",Agent01_Savings!A50)</f>
        <v/>
      </c>
      <c r="B43" s="40" t="str">
        <f ca="1">IF(Agent01_Savings!A50="","","SV"&amp;TEXT(43-3,"0000")&amp;"-"&amp;TEXT(TODAY(),"YYYYMMDD"))</f>
        <v/>
      </c>
      <c r="C43" s="40" t="str">
        <f>IF(Agent01_Savings!A50="","",Agent01_Savings!B50)</f>
        <v/>
      </c>
      <c r="D43" s="40" t="str">
        <f>IF(Agent01_Savings!A50="","",Agent01_Savings!G50)</f>
        <v/>
      </c>
      <c r="E43" s="41" t="str">
        <f>IF(Agent01_Savings!A50="","",Agent01_Savings!D50)</f>
        <v/>
      </c>
      <c r="F43" s="42" t="str">
        <f>IF(Agent01_Savings!A50="","",Agent01_Savings!E50)</f>
        <v/>
      </c>
      <c r="G43" s="42" t="str">
        <f>IF(Agent01_Savings!A50="","",Agent01_Savings!F50)</f>
        <v/>
      </c>
      <c r="H43" s="40" t="str">
        <f>IF(Agent01_Savings!A50="","",Agent01_Savings!I50)</f>
        <v/>
      </c>
      <c r="I43" s="40" t="str">
        <f>IF(Agent01_Savings!A50="","",Agent01_Savings!J50)</f>
        <v/>
      </c>
      <c r="J43" s="40" t="str">
        <f>IF(Agent01_Savings!A50="","",Agent01_Savings!K50)</f>
        <v/>
      </c>
      <c r="K43" s="40" t="str">
        <f>IFERROR(IF(Agent01_Savings!A50="","",YEAR(Agent01_Savings!D50)),"")</f>
        <v/>
      </c>
    </row>
    <row r="44" spans="1:11" ht="18" customHeight="1" x14ac:dyDescent="0.25">
      <c r="A44" s="40" t="str">
        <f>IF(Agent01_Savings!A51="","",Agent01_Savings!A51)</f>
        <v/>
      </c>
      <c r="B44" s="40" t="str">
        <f ca="1">IF(Agent01_Savings!A51="","","SV"&amp;TEXT(44-3,"0000")&amp;"-"&amp;TEXT(TODAY(),"YYYYMMDD"))</f>
        <v/>
      </c>
      <c r="C44" s="40" t="str">
        <f>IF(Agent01_Savings!A51="","",Agent01_Savings!B51)</f>
        <v/>
      </c>
      <c r="D44" s="40" t="str">
        <f>IF(Agent01_Savings!A51="","",Agent01_Savings!G51)</f>
        <v/>
      </c>
      <c r="E44" s="41" t="str">
        <f>IF(Agent01_Savings!A51="","",Agent01_Savings!D51)</f>
        <v/>
      </c>
      <c r="F44" s="42" t="str">
        <f>IF(Agent01_Savings!A51="","",Agent01_Savings!E51)</f>
        <v/>
      </c>
      <c r="G44" s="42" t="str">
        <f>IF(Agent01_Savings!A51="","",Agent01_Savings!F51)</f>
        <v/>
      </c>
      <c r="H44" s="40" t="str">
        <f>IF(Agent01_Savings!A51="","",Agent01_Savings!I51)</f>
        <v/>
      </c>
      <c r="I44" s="40" t="str">
        <f>IF(Agent01_Savings!A51="","",Agent01_Savings!J51)</f>
        <v/>
      </c>
      <c r="J44" s="40" t="str">
        <f>IF(Agent01_Savings!A51="","",Agent01_Savings!K51)</f>
        <v/>
      </c>
      <c r="K44" s="40" t="str">
        <f>IFERROR(IF(Agent01_Savings!A51="","",YEAR(Agent01_Savings!D51)),"")</f>
        <v/>
      </c>
    </row>
    <row r="45" spans="1:11" ht="18" customHeight="1" x14ac:dyDescent="0.25">
      <c r="A45" s="40" t="str">
        <f>IF(Agent01_Savings!A52="","",Agent01_Savings!A52)</f>
        <v/>
      </c>
      <c r="B45" s="40" t="str">
        <f ca="1">IF(Agent01_Savings!A52="","","SV"&amp;TEXT(45-3,"0000")&amp;"-"&amp;TEXT(TODAY(),"YYYYMMDD"))</f>
        <v/>
      </c>
      <c r="C45" s="40" t="str">
        <f>IF(Agent01_Savings!A52="","",Agent01_Savings!B52)</f>
        <v/>
      </c>
      <c r="D45" s="40" t="str">
        <f>IF(Agent01_Savings!A52="","",Agent01_Savings!G52)</f>
        <v/>
      </c>
      <c r="E45" s="41" t="str">
        <f>IF(Agent01_Savings!A52="","",Agent01_Savings!D52)</f>
        <v/>
      </c>
      <c r="F45" s="42" t="str">
        <f>IF(Agent01_Savings!A52="","",Agent01_Savings!E52)</f>
        <v/>
      </c>
      <c r="G45" s="42" t="str">
        <f>IF(Agent01_Savings!A52="","",Agent01_Savings!F52)</f>
        <v/>
      </c>
      <c r="H45" s="40" t="str">
        <f>IF(Agent01_Savings!A52="","",Agent01_Savings!I52)</f>
        <v/>
      </c>
      <c r="I45" s="40" t="str">
        <f>IF(Agent01_Savings!A52="","",Agent01_Savings!J52)</f>
        <v/>
      </c>
      <c r="J45" s="40" t="str">
        <f>IF(Agent01_Savings!A52="","",Agent01_Savings!K52)</f>
        <v/>
      </c>
      <c r="K45" s="40" t="str">
        <f>IFERROR(IF(Agent01_Savings!A52="","",YEAR(Agent01_Savings!D52)),"")</f>
        <v/>
      </c>
    </row>
    <row r="46" spans="1:11" ht="18" customHeight="1" x14ac:dyDescent="0.25">
      <c r="A46" s="40" t="str">
        <f>IF(Agent01_Savings!A53="","",Agent01_Savings!A53)</f>
        <v/>
      </c>
      <c r="B46" s="40" t="str">
        <f ca="1">IF(Agent01_Savings!A53="","","SV"&amp;TEXT(46-3,"0000")&amp;"-"&amp;TEXT(TODAY(),"YYYYMMDD"))</f>
        <v/>
      </c>
      <c r="C46" s="40" t="str">
        <f>IF(Agent01_Savings!A53="","",Agent01_Savings!B53)</f>
        <v/>
      </c>
      <c r="D46" s="40" t="str">
        <f>IF(Agent01_Savings!A53="","",Agent01_Savings!G53)</f>
        <v/>
      </c>
      <c r="E46" s="41" t="str">
        <f>IF(Agent01_Savings!A53="","",Agent01_Savings!D53)</f>
        <v/>
      </c>
      <c r="F46" s="42" t="str">
        <f>IF(Agent01_Savings!A53="","",Agent01_Savings!E53)</f>
        <v/>
      </c>
      <c r="G46" s="42" t="str">
        <f>IF(Agent01_Savings!A53="","",Agent01_Savings!F53)</f>
        <v/>
      </c>
      <c r="H46" s="40" t="str">
        <f>IF(Agent01_Savings!A53="","",Agent01_Savings!I53)</f>
        <v/>
      </c>
      <c r="I46" s="40" t="str">
        <f>IF(Agent01_Savings!A53="","",Agent01_Savings!J53)</f>
        <v/>
      </c>
      <c r="J46" s="40" t="str">
        <f>IF(Agent01_Savings!A53="","",Agent01_Savings!K53)</f>
        <v/>
      </c>
      <c r="K46" s="40" t="str">
        <f>IFERROR(IF(Agent01_Savings!A53="","",YEAR(Agent01_Savings!D53)),"")</f>
        <v/>
      </c>
    </row>
    <row r="47" spans="1:11" ht="18" customHeight="1" x14ac:dyDescent="0.25">
      <c r="A47" s="40" t="str">
        <f>IF(Agent01_Savings!A54="","",Agent01_Savings!A54)</f>
        <v/>
      </c>
      <c r="B47" s="40" t="str">
        <f ca="1">IF(Agent01_Savings!A54="","","SV"&amp;TEXT(47-3,"0000")&amp;"-"&amp;TEXT(TODAY(),"YYYYMMDD"))</f>
        <v/>
      </c>
      <c r="C47" s="40" t="str">
        <f>IF(Agent01_Savings!A54="","",Agent01_Savings!B54)</f>
        <v/>
      </c>
      <c r="D47" s="40" t="str">
        <f>IF(Agent01_Savings!A54="","",Agent01_Savings!G54)</f>
        <v/>
      </c>
      <c r="E47" s="41" t="str">
        <f>IF(Agent01_Savings!A54="","",Agent01_Savings!D54)</f>
        <v/>
      </c>
      <c r="F47" s="42" t="str">
        <f>IF(Agent01_Savings!A54="","",Agent01_Savings!E54)</f>
        <v/>
      </c>
      <c r="G47" s="42" t="str">
        <f>IF(Agent01_Savings!A54="","",Agent01_Savings!F54)</f>
        <v/>
      </c>
      <c r="H47" s="40" t="str">
        <f>IF(Agent01_Savings!A54="","",Agent01_Savings!I54)</f>
        <v/>
      </c>
      <c r="I47" s="40" t="str">
        <f>IF(Agent01_Savings!A54="","",Agent01_Savings!J54)</f>
        <v/>
      </c>
      <c r="J47" s="40" t="str">
        <f>IF(Agent01_Savings!A54="","",Agent01_Savings!K54)</f>
        <v/>
      </c>
      <c r="K47" s="40" t="str">
        <f>IFERROR(IF(Agent01_Savings!A54="","",YEAR(Agent01_Savings!D54)),"")</f>
        <v/>
      </c>
    </row>
    <row r="48" spans="1:11" ht="18" customHeight="1" x14ac:dyDescent="0.25">
      <c r="A48" s="40" t="str">
        <f>IF(Agent01_Savings!A55="","",Agent01_Savings!A55)</f>
        <v/>
      </c>
      <c r="B48" s="40" t="str">
        <f ca="1">IF(Agent01_Savings!A55="","","SV"&amp;TEXT(48-3,"0000")&amp;"-"&amp;TEXT(TODAY(),"YYYYMMDD"))</f>
        <v/>
      </c>
      <c r="C48" s="40" t="str">
        <f>IF(Agent01_Savings!A55="","",Agent01_Savings!B55)</f>
        <v/>
      </c>
      <c r="D48" s="40" t="str">
        <f>IF(Agent01_Savings!A55="","",Agent01_Savings!G55)</f>
        <v/>
      </c>
      <c r="E48" s="41" t="str">
        <f>IF(Agent01_Savings!A55="","",Agent01_Savings!D55)</f>
        <v/>
      </c>
      <c r="F48" s="42" t="str">
        <f>IF(Agent01_Savings!A55="","",Agent01_Savings!E55)</f>
        <v/>
      </c>
      <c r="G48" s="42" t="str">
        <f>IF(Agent01_Savings!A55="","",Agent01_Savings!F55)</f>
        <v/>
      </c>
      <c r="H48" s="40" t="str">
        <f>IF(Agent01_Savings!A55="","",Agent01_Savings!I55)</f>
        <v/>
      </c>
      <c r="I48" s="40" t="str">
        <f>IF(Agent01_Savings!A55="","",Agent01_Savings!J55)</f>
        <v/>
      </c>
      <c r="J48" s="40" t="str">
        <f>IF(Agent01_Savings!A55="","",Agent01_Savings!K55)</f>
        <v/>
      </c>
      <c r="K48" s="40" t="str">
        <f>IFERROR(IF(Agent01_Savings!A55="","",YEAR(Agent01_Savings!D55)),"")</f>
        <v/>
      </c>
    </row>
    <row r="49" spans="1:11" ht="18" customHeight="1" x14ac:dyDescent="0.25">
      <c r="A49" s="40" t="str">
        <f>IF(Agent01_Savings!A56="","",Agent01_Savings!A56)</f>
        <v/>
      </c>
      <c r="B49" s="40" t="str">
        <f ca="1">IF(Agent01_Savings!A56="","","SV"&amp;TEXT(49-3,"0000")&amp;"-"&amp;TEXT(TODAY(),"YYYYMMDD"))</f>
        <v/>
      </c>
      <c r="C49" s="40" t="str">
        <f>IF(Agent01_Savings!A56="","",Agent01_Savings!B56)</f>
        <v/>
      </c>
      <c r="D49" s="40" t="str">
        <f>IF(Agent01_Savings!A56="","",Agent01_Savings!G56)</f>
        <v/>
      </c>
      <c r="E49" s="41" t="str">
        <f>IF(Agent01_Savings!A56="","",Agent01_Savings!D56)</f>
        <v/>
      </c>
      <c r="F49" s="42" t="str">
        <f>IF(Agent01_Savings!A56="","",Agent01_Savings!E56)</f>
        <v/>
      </c>
      <c r="G49" s="42" t="str">
        <f>IF(Agent01_Savings!A56="","",Agent01_Savings!F56)</f>
        <v/>
      </c>
      <c r="H49" s="40" t="str">
        <f>IF(Agent01_Savings!A56="","",Agent01_Savings!I56)</f>
        <v/>
      </c>
      <c r="I49" s="40" t="str">
        <f>IF(Agent01_Savings!A56="","",Agent01_Savings!J56)</f>
        <v/>
      </c>
      <c r="J49" s="40" t="str">
        <f>IF(Agent01_Savings!A56="","",Agent01_Savings!K56)</f>
        <v/>
      </c>
      <c r="K49" s="40" t="str">
        <f>IFERROR(IF(Agent01_Savings!A56="","",YEAR(Agent01_Savings!D56)),"")</f>
        <v/>
      </c>
    </row>
    <row r="50" spans="1:11" ht="18" customHeight="1" x14ac:dyDescent="0.25">
      <c r="A50" s="40" t="str">
        <f>IF(Agent01_Savings!A57="","",Agent01_Savings!A57)</f>
        <v/>
      </c>
      <c r="B50" s="40" t="str">
        <f ca="1">IF(Agent01_Savings!A57="","","SV"&amp;TEXT(50-3,"0000")&amp;"-"&amp;TEXT(TODAY(),"YYYYMMDD"))</f>
        <v/>
      </c>
      <c r="C50" s="40" t="str">
        <f>IF(Agent01_Savings!A57="","",Agent01_Savings!B57)</f>
        <v/>
      </c>
      <c r="D50" s="40" t="str">
        <f>IF(Agent01_Savings!A57="","",Agent01_Savings!G57)</f>
        <v/>
      </c>
      <c r="E50" s="41" t="str">
        <f>IF(Agent01_Savings!A57="","",Agent01_Savings!D57)</f>
        <v/>
      </c>
      <c r="F50" s="42" t="str">
        <f>IF(Agent01_Savings!A57="","",Agent01_Savings!E57)</f>
        <v/>
      </c>
      <c r="G50" s="42" t="str">
        <f>IF(Agent01_Savings!A57="","",Agent01_Savings!F57)</f>
        <v/>
      </c>
      <c r="H50" s="40" t="str">
        <f>IF(Agent01_Savings!A57="","",Agent01_Savings!I57)</f>
        <v/>
      </c>
      <c r="I50" s="40" t="str">
        <f>IF(Agent01_Savings!A57="","",Agent01_Savings!J57)</f>
        <v/>
      </c>
      <c r="J50" s="40" t="str">
        <f>IF(Agent01_Savings!A57="","",Agent01_Savings!K57)</f>
        <v/>
      </c>
      <c r="K50" s="40" t="str">
        <f>IFERROR(IF(Agent01_Savings!A57="","",YEAR(Agent01_Savings!D57)),"")</f>
        <v/>
      </c>
    </row>
    <row r="51" spans="1:11" ht="18" customHeight="1" x14ac:dyDescent="0.25">
      <c r="A51" s="40" t="str">
        <f>IF(Agent01_Savings!A58="","",Agent01_Savings!A58)</f>
        <v/>
      </c>
      <c r="B51" s="40" t="str">
        <f ca="1">IF(Agent01_Savings!A58="","","SV"&amp;TEXT(51-3,"0000")&amp;"-"&amp;TEXT(TODAY(),"YYYYMMDD"))</f>
        <v/>
      </c>
      <c r="C51" s="40" t="str">
        <f>IF(Agent01_Savings!A58="","",Agent01_Savings!B58)</f>
        <v/>
      </c>
      <c r="D51" s="40" t="str">
        <f>IF(Agent01_Savings!A58="","",Agent01_Savings!G58)</f>
        <v/>
      </c>
      <c r="E51" s="41" t="str">
        <f>IF(Agent01_Savings!A58="","",Agent01_Savings!D58)</f>
        <v/>
      </c>
      <c r="F51" s="42" t="str">
        <f>IF(Agent01_Savings!A58="","",Agent01_Savings!E58)</f>
        <v/>
      </c>
      <c r="G51" s="42" t="str">
        <f>IF(Agent01_Savings!A58="","",Agent01_Savings!F58)</f>
        <v/>
      </c>
      <c r="H51" s="40" t="str">
        <f>IF(Agent01_Savings!A58="","",Agent01_Savings!I58)</f>
        <v/>
      </c>
      <c r="I51" s="40" t="str">
        <f>IF(Agent01_Savings!A58="","",Agent01_Savings!J58)</f>
        <v/>
      </c>
      <c r="J51" s="40" t="str">
        <f>IF(Agent01_Savings!A58="","",Agent01_Savings!K58)</f>
        <v/>
      </c>
      <c r="K51" s="40" t="str">
        <f>IFERROR(IF(Agent01_Savings!A58="","",YEAR(Agent01_Savings!D58)),"")</f>
        <v/>
      </c>
    </row>
    <row r="52" spans="1:11" ht="18" customHeight="1" x14ac:dyDescent="0.25">
      <c r="A52" s="40" t="str">
        <f>IF(Agent01_Savings!A59="","",Agent01_Savings!A59)</f>
        <v/>
      </c>
      <c r="B52" s="40" t="str">
        <f ca="1">IF(Agent01_Savings!A59="","","SV"&amp;TEXT(52-3,"0000")&amp;"-"&amp;TEXT(TODAY(),"YYYYMMDD"))</f>
        <v/>
      </c>
      <c r="C52" s="40" t="str">
        <f>IF(Agent01_Savings!A59="","",Agent01_Savings!B59)</f>
        <v/>
      </c>
      <c r="D52" s="40" t="str">
        <f>IF(Agent01_Savings!A59="","",Agent01_Savings!G59)</f>
        <v/>
      </c>
      <c r="E52" s="41" t="str">
        <f>IF(Agent01_Savings!A59="","",Agent01_Savings!D59)</f>
        <v/>
      </c>
      <c r="F52" s="42" t="str">
        <f>IF(Agent01_Savings!A59="","",Agent01_Savings!E59)</f>
        <v/>
      </c>
      <c r="G52" s="42" t="str">
        <f>IF(Agent01_Savings!A59="","",Agent01_Savings!F59)</f>
        <v/>
      </c>
      <c r="H52" s="40" t="str">
        <f>IF(Agent01_Savings!A59="","",Agent01_Savings!I59)</f>
        <v/>
      </c>
      <c r="I52" s="40" t="str">
        <f>IF(Agent01_Savings!A59="","",Agent01_Savings!J59)</f>
        <v/>
      </c>
      <c r="J52" s="40" t="str">
        <f>IF(Agent01_Savings!A59="","",Agent01_Savings!K59)</f>
        <v/>
      </c>
      <c r="K52" s="40" t="str">
        <f>IFERROR(IF(Agent01_Savings!A59="","",YEAR(Agent01_Savings!D59)),"")</f>
        <v/>
      </c>
    </row>
    <row r="53" spans="1:11" ht="18" customHeight="1" x14ac:dyDescent="0.25">
      <c r="A53" s="40" t="str">
        <f>IF(Agent01_Savings!A60="","",Agent01_Savings!A60)</f>
        <v/>
      </c>
      <c r="B53" s="40" t="str">
        <f ca="1">IF(Agent01_Savings!A60="","","SV"&amp;TEXT(53-3,"0000")&amp;"-"&amp;TEXT(TODAY(),"YYYYMMDD"))</f>
        <v/>
      </c>
      <c r="C53" s="40" t="str">
        <f>IF(Agent01_Savings!A60="","",Agent01_Savings!B60)</f>
        <v/>
      </c>
      <c r="D53" s="40" t="str">
        <f>IF(Agent01_Savings!A60="","",Agent01_Savings!G60)</f>
        <v/>
      </c>
      <c r="E53" s="41" t="str">
        <f>IF(Agent01_Savings!A60="","",Agent01_Savings!D60)</f>
        <v/>
      </c>
      <c r="F53" s="42" t="str">
        <f>IF(Agent01_Savings!A60="","",Agent01_Savings!E60)</f>
        <v/>
      </c>
      <c r="G53" s="42" t="str">
        <f>IF(Agent01_Savings!A60="","",Agent01_Savings!F60)</f>
        <v/>
      </c>
      <c r="H53" s="40" t="str">
        <f>IF(Agent01_Savings!A60="","",Agent01_Savings!I60)</f>
        <v/>
      </c>
      <c r="I53" s="40" t="str">
        <f>IF(Agent01_Savings!A60="","",Agent01_Savings!J60)</f>
        <v/>
      </c>
      <c r="J53" s="40" t="str">
        <f>IF(Agent01_Savings!A60="","",Agent01_Savings!K60)</f>
        <v/>
      </c>
      <c r="K53" s="40" t="str">
        <f>IFERROR(IF(Agent01_Savings!A60="","",YEAR(Agent01_Savings!D60)),"")</f>
        <v/>
      </c>
    </row>
    <row r="54" spans="1:11" ht="18" customHeight="1" x14ac:dyDescent="0.25">
      <c r="A54" s="40" t="str">
        <f>IF(Agent01_Savings!A61="","",Agent01_Savings!A61)</f>
        <v/>
      </c>
      <c r="B54" s="40" t="str">
        <f ca="1">IF(Agent01_Savings!A61="","","SV"&amp;TEXT(54-3,"0000")&amp;"-"&amp;TEXT(TODAY(),"YYYYMMDD"))</f>
        <v/>
      </c>
      <c r="C54" s="40" t="str">
        <f>IF(Agent01_Savings!A61="","",Agent01_Savings!B61)</f>
        <v/>
      </c>
      <c r="D54" s="40" t="str">
        <f>IF(Agent01_Savings!A61="","",Agent01_Savings!G61)</f>
        <v/>
      </c>
      <c r="E54" s="41" t="str">
        <f>IF(Agent01_Savings!A61="","",Agent01_Savings!D61)</f>
        <v/>
      </c>
      <c r="F54" s="42" t="str">
        <f>IF(Agent01_Savings!A61="","",Agent01_Savings!E61)</f>
        <v/>
      </c>
      <c r="G54" s="42" t="str">
        <f>IF(Agent01_Savings!A61="","",Agent01_Savings!F61)</f>
        <v/>
      </c>
      <c r="H54" s="40" t="str">
        <f>IF(Agent01_Savings!A61="","",Agent01_Savings!I61)</f>
        <v/>
      </c>
      <c r="I54" s="40" t="str">
        <f>IF(Agent01_Savings!A61="","",Agent01_Savings!J61)</f>
        <v/>
      </c>
      <c r="J54" s="40" t="str">
        <f>IF(Agent01_Savings!A61="","",Agent01_Savings!K61)</f>
        <v/>
      </c>
      <c r="K54" s="40" t="str">
        <f>IFERROR(IF(Agent01_Savings!A61="","",YEAR(Agent01_Savings!D61)),"")</f>
        <v/>
      </c>
    </row>
    <row r="55" spans="1:11" ht="18" customHeight="1" x14ac:dyDescent="0.25">
      <c r="A55" s="40" t="str">
        <f>IF(Agent01_Savings!A62="","",Agent01_Savings!A62)</f>
        <v/>
      </c>
      <c r="B55" s="40" t="str">
        <f ca="1">IF(Agent01_Savings!A62="","","SV"&amp;TEXT(55-3,"0000")&amp;"-"&amp;TEXT(TODAY(),"YYYYMMDD"))</f>
        <v/>
      </c>
      <c r="C55" s="40" t="str">
        <f>IF(Agent01_Savings!A62="","",Agent01_Savings!B62)</f>
        <v/>
      </c>
      <c r="D55" s="40" t="str">
        <f>IF(Agent01_Savings!A62="","",Agent01_Savings!G62)</f>
        <v/>
      </c>
      <c r="E55" s="41" t="str">
        <f>IF(Agent01_Savings!A62="","",Agent01_Savings!D62)</f>
        <v/>
      </c>
      <c r="F55" s="42" t="str">
        <f>IF(Agent01_Savings!A62="","",Agent01_Savings!E62)</f>
        <v/>
      </c>
      <c r="G55" s="42" t="str">
        <f>IF(Agent01_Savings!A62="","",Agent01_Savings!F62)</f>
        <v/>
      </c>
      <c r="H55" s="40" t="str">
        <f>IF(Agent01_Savings!A62="","",Agent01_Savings!I62)</f>
        <v/>
      </c>
      <c r="I55" s="40" t="str">
        <f>IF(Agent01_Savings!A62="","",Agent01_Savings!J62)</f>
        <v/>
      </c>
      <c r="J55" s="40" t="str">
        <f>IF(Agent01_Savings!A62="","",Agent01_Savings!K62)</f>
        <v/>
      </c>
      <c r="K55" s="40" t="str">
        <f>IFERROR(IF(Agent01_Savings!A62="","",YEAR(Agent01_Savings!D62)),"")</f>
        <v/>
      </c>
    </row>
    <row r="56" spans="1:11" ht="18" customHeight="1" x14ac:dyDescent="0.25">
      <c r="A56" s="40" t="str">
        <f>IF(Agent01_Savings!A63="","",Agent01_Savings!A63)</f>
        <v/>
      </c>
      <c r="B56" s="40" t="str">
        <f ca="1">IF(Agent01_Savings!A63="","","SV"&amp;TEXT(56-3,"0000")&amp;"-"&amp;TEXT(TODAY(),"YYYYMMDD"))</f>
        <v/>
      </c>
      <c r="C56" s="40" t="str">
        <f>IF(Agent01_Savings!A63="","",Agent01_Savings!B63)</f>
        <v/>
      </c>
      <c r="D56" s="40" t="str">
        <f>IF(Agent01_Savings!A63="","",Agent01_Savings!G63)</f>
        <v/>
      </c>
      <c r="E56" s="41" t="str">
        <f>IF(Agent01_Savings!A63="","",Agent01_Savings!D63)</f>
        <v/>
      </c>
      <c r="F56" s="42" t="str">
        <f>IF(Agent01_Savings!A63="","",Agent01_Savings!E63)</f>
        <v/>
      </c>
      <c r="G56" s="42" t="str">
        <f>IF(Agent01_Savings!A63="","",Agent01_Savings!F63)</f>
        <v/>
      </c>
      <c r="H56" s="40" t="str">
        <f>IF(Agent01_Savings!A63="","",Agent01_Savings!I63)</f>
        <v/>
      </c>
      <c r="I56" s="40" t="str">
        <f>IF(Agent01_Savings!A63="","",Agent01_Savings!J63)</f>
        <v/>
      </c>
      <c r="J56" s="40" t="str">
        <f>IF(Agent01_Savings!A63="","",Agent01_Savings!K63)</f>
        <v/>
      </c>
      <c r="K56" s="40" t="str">
        <f>IFERROR(IF(Agent01_Savings!A63="","",YEAR(Agent01_Savings!D63)),"")</f>
        <v/>
      </c>
    </row>
    <row r="57" spans="1:11" ht="18" customHeight="1" x14ac:dyDescent="0.25">
      <c r="A57" s="40" t="str">
        <f>IF(Agent01_Savings!A64="","",Agent01_Savings!A64)</f>
        <v/>
      </c>
      <c r="B57" s="40" t="str">
        <f ca="1">IF(Agent01_Savings!A64="","","SV"&amp;TEXT(57-3,"0000")&amp;"-"&amp;TEXT(TODAY(),"YYYYMMDD"))</f>
        <v/>
      </c>
      <c r="C57" s="40" t="str">
        <f>IF(Agent01_Savings!A64="","",Agent01_Savings!B64)</f>
        <v/>
      </c>
      <c r="D57" s="40" t="str">
        <f>IF(Agent01_Savings!A64="","",Agent01_Savings!G64)</f>
        <v/>
      </c>
      <c r="E57" s="41" t="str">
        <f>IF(Agent01_Savings!A64="","",Agent01_Savings!D64)</f>
        <v/>
      </c>
      <c r="F57" s="42" t="str">
        <f>IF(Agent01_Savings!A64="","",Agent01_Savings!E64)</f>
        <v/>
      </c>
      <c r="G57" s="42" t="str">
        <f>IF(Agent01_Savings!A64="","",Agent01_Savings!F64)</f>
        <v/>
      </c>
      <c r="H57" s="40" t="str">
        <f>IF(Agent01_Savings!A64="","",Agent01_Savings!I64)</f>
        <v/>
      </c>
      <c r="I57" s="40" t="str">
        <f>IF(Agent01_Savings!A64="","",Agent01_Savings!J64)</f>
        <v/>
      </c>
      <c r="J57" s="40" t="str">
        <f>IF(Agent01_Savings!A64="","",Agent01_Savings!K64)</f>
        <v/>
      </c>
      <c r="K57" s="40" t="str">
        <f>IFERROR(IF(Agent01_Savings!A64="","",YEAR(Agent01_Savings!D64)),"")</f>
        <v/>
      </c>
    </row>
    <row r="58" spans="1:11" ht="18" customHeight="1" x14ac:dyDescent="0.25">
      <c r="A58" s="40" t="str">
        <f>IF(Agent01_Savings!A65="","",Agent01_Savings!A65)</f>
        <v/>
      </c>
      <c r="B58" s="40" t="str">
        <f ca="1">IF(Agent01_Savings!A65="","","SV"&amp;TEXT(58-3,"0000")&amp;"-"&amp;TEXT(TODAY(),"YYYYMMDD"))</f>
        <v/>
      </c>
      <c r="C58" s="40" t="str">
        <f>IF(Agent01_Savings!A65="","",Agent01_Savings!B65)</f>
        <v/>
      </c>
      <c r="D58" s="40" t="str">
        <f>IF(Agent01_Savings!A65="","",Agent01_Savings!G65)</f>
        <v/>
      </c>
      <c r="E58" s="41" t="str">
        <f>IF(Agent01_Savings!A65="","",Agent01_Savings!D65)</f>
        <v/>
      </c>
      <c r="F58" s="42" t="str">
        <f>IF(Agent01_Savings!A65="","",Agent01_Savings!E65)</f>
        <v/>
      </c>
      <c r="G58" s="42" t="str">
        <f>IF(Agent01_Savings!A65="","",Agent01_Savings!F65)</f>
        <v/>
      </c>
      <c r="H58" s="40" t="str">
        <f>IF(Agent01_Savings!A65="","",Agent01_Savings!I65)</f>
        <v/>
      </c>
      <c r="I58" s="40" t="str">
        <f>IF(Agent01_Savings!A65="","",Agent01_Savings!J65)</f>
        <v/>
      </c>
      <c r="J58" s="40" t="str">
        <f>IF(Agent01_Savings!A65="","",Agent01_Savings!K65)</f>
        <v/>
      </c>
      <c r="K58" s="40" t="str">
        <f>IFERROR(IF(Agent01_Savings!A65="","",YEAR(Agent01_Savings!D65)),"")</f>
        <v/>
      </c>
    </row>
    <row r="59" spans="1:11" ht="18" customHeight="1" x14ac:dyDescent="0.25">
      <c r="A59" s="40" t="str">
        <f>IF(Agent01_Savings!A66="","",Agent01_Savings!A66)</f>
        <v/>
      </c>
      <c r="B59" s="40" t="str">
        <f ca="1">IF(Agent01_Savings!A66="","","SV"&amp;TEXT(59-3,"0000")&amp;"-"&amp;TEXT(TODAY(),"YYYYMMDD"))</f>
        <v/>
      </c>
      <c r="C59" s="40" t="str">
        <f>IF(Agent01_Savings!A66="","",Agent01_Savings!B66)</f>
        <v/>
      </c>
      <c r="D59" s="40" t="str">
        <f>IF(Agent01_Savings!A66="","",Agent01_Savings!G66)</f>
        <v/>
      </c>
      <c r="E59" s="41" t="str">
        <f>IF(Agent01_Savings!A66="","",Agent01_Savings!D66)</f>
        <v/>
      </c>
      <c r="F59" s="42" t="str">
        <f>IF(Agent01_Savings!A66="","",Agent01_Savings!E66)</f>
        <v/>
      </c>
      <c r="G59" s="42" t="str">
        <f>IF(Agent01_Savings!A66="","",Agent01_Savings!F66)</f>
        <v/>
      </c>
      <c r="H59" s="40" t="str">
        <f>IF(Agent01_Savings!A66="","",Agent01_Savings!I66)</f>
        <v/>
      </c>
      <c r="I59" s="40" t="str">
        <f>IF(Agent01_Savings!A66="","",Agent01_Savings!J66)</f>
        <v/>
      </c>
      <c r="J59" s="40" t="str">
        <f>IF(Agent01_Savings!A66="","",Agent01_Savings!K66)</f>
        <v/>
      </c>
      <c r="K59" s="40" t="str">
        <f>IFERROR(IF(Agent01_Savings!A66="","",YEAR(Agent01_Savings!D66)),"")</f>
        <v/>
      </c>
    </row>
    <row r="60" spans="1:11" ht="18" customHeight="1" x14ac:dyDescent="0.25">
      <c r="A60" s="40" t="str">
        <f>IF(Agent01_Savings!A67="","",Agent01_Savings!A67)</f>
        <v/>
      </c>
      <c r="B60" s="40" t="str">
        <f ca="1">IF(Agent01_Savings!A67="","","SV"&amp;TEXT(60-3,"0000")&amp;"-"&amp;TEXT(TODAY(),"YYYYMMDD"))</f>
        <v/>
      </c>
      <c r="C60" s="40" t="str">
        <f>IF(Agent01_Savings!A67="","",Agent01_Savings!B67)</f>
        <v/>
      </c>
      <c r="D60" s="40" t="str">
        <f>IF(Agent01_Savings!A67="","",Agent01_Savings!G67)</f>
        <v/>
      </c>
      <c r="E60" s="41" t="str">
        <f>IF(Agent01_Savings!A67="","",Agent01_Savings!D67)</f>
        <v/>
      </c>
      <c r="F60" s="42" t="str">
        <f>IF(Agent01_Savings!A67="","",Agent01_Savings!E67)</f>
        <v/>
      </c>
      <c r="G60" s="42" t="str">
        <f>IF(Agent01_Savings!A67="","",Agent01_Savings!F67)</f>
        <v/>
      </c>
      <c r="H60" s="40" t="str">
        <f>IF(Agent01_Savings!A67="","",Agent01_Savings!I67)</f>
        <v/>
      </c>
      <c r="I60" s="40" t="str">
        <f>IF(Agent01_Savings!A67="","",Agent01_Savings!J67)</f>
        <v/>
      </c>
      <c r="J60" s="40" t="str">
        <f>IF(Agent01_Savings!A67="","",Agent01_Savings!K67)</f>
        <v/>
      </c>
      <c r="K60" s="40" t="str">
        <f>IFERROR(IF(Agent01_Savings!A67="","",YEAR(Agent01_Savings!D67)),"")</f>
        <v/>
      </c>
    </row>
    <row r="61" spans="1:11" ht="18" customHeight="1" x14ac:dyDescent="0.25">
      <c r="A61" s="40" t="str">
        <f>IF(Agent01_Savings!A68="","",Agent01_Savings!A68)</f>
        <v/>
      </c>
      <c r="B61" s="40" t="str">
        <f ca="1">IF(Agent01_Savings!A68="","","SV"&amp;TEXT(61-3,"0000")&amp;"-"&amp;TEXT(TODAY(),"YYYYMMDD"))</f>
        <v/>
      </c>
      <c r="C61" s="40" t="str">
        <f>IF(Agent01_Savings!A68="","",Agent01_Savings!B68)</f>
        <v/>
      </c>
      <c r="D61" s="40" t="str">
        <f>IF(Agent01_Savings!A68="","",Agent01_Savings!G68)</f>
        <v/>
      </c>
      <c r="E61" s="41" t="str">
        <f>IF(Agent01_Savings!A68="","",Agent01_Savings!D68)</f>
        <v/>
      </c>
      <c r="F61" s="42" t="str">
        <f>IF(Agent01_Savings!A68="","",Agent01_Savings!E68)</f>
        <v/>
      </c>
      <c r="G61" s="42" t="str">
        <f>IF(Agent01_Savings!A68="","",Agent01_Savings!F68)</f>
        <v/>
      </c>
      <c r="H61" s="40" t="str">
        <f>IF(Agent01_Savings!A68="","",Agent01_Savings!I68)</f>
        <v/>
      </c>
      <c r="I61" s="40" t="str">
        <f>IF(Agent01_Savings!A68="","",Agent01_Savings!J68)</f>
        <v/>
      </c>
      <c r="J61" s="40" t="str">
        <f>IF(Agent01_Savings!A68="","",Agent01_Savings!K68)</f>
        <v/>
      </c>
      <c r="K61" s="40" t="str">
        <f>IFERROR(IF(Agent01_Savings!A68="","",YEAR(Agent01_Savings!D68)),"")</f>
        <v/>
      </c>
    </row>
    <row r="62" spans="1:11" ht="18" customHeight="1" x14ac:dyDescent="0.25">
      <c r="A62" s="40" t="str">
        <f>IF(Agent01_Savings!A69="","",Agent01_Savings!A69)</f>
        <v/>
      </c>
      <c r="B62" s="40" t="str">
        <f ca="1">IF(Agent01_Savings!A69="","","SV"&amp;TEXT(62-3,"0000")&amp;"-"&amp;TEXT(TODAY(),"YYYYMMDD"))</f>
        <v/>
      </c>
      <c r="C62" s="40" t="str">
        <f>IF(Agent01_Savings!A69="","",Agent01_Savings!B69)</f>
        <v/>
      </c>
      <c r="D62" s="40" t="str">
        <f>IF(Agent01_Savings!A69="","",Agent01_Savings!G69)</f>
        <v/>
      </c>
      <c r="E62" s="41" t="str">
        <f>IF(Agent01_Savings!A69="","",Agent01_Savings!D69)</f>
        <v/>
      </c>
      <c r="F62" s="42" t="str">
        <f>IF(Agent01_Savings!A69="","",Agent01_Savings!E69)</f>
        <v/>
      </c>
      <c r="G62" s="42" t="str">
        <f>IF(Agent01_Savings!A69="","",Agent01_Savings!F69)</f>
        <v/>
      </c>
      <c r="H62" s="40" t="str">
        <f>IF(Agent01_Savings!A69="","",Agent01_Savings!I69)</f>
        <v/>
      </c>
      <c r="I62" s="40" t="str">
        <f>IF(Agent01_Savings!A69="","",Agent01_Savings!J69)</f>
        <v/>
      </c>
      <c r="J62" s="40" t="str">
        <f>IF(Agent01_Savings!A69="","",Agent01_Savings!K69)</f>
        <v/>
      </c>
      <c r="K62" s="40" t="str">
        <f>IFERROR(IF(Agent01_Savings!A69="","",YEAR(Agent01_Savings!D69)),"")</f>
        <v/>
      </c>
    </row>
    <row r="63" spans="1:11" ht="18" customHeight="1" x14ac:dyDescent="0.25">
      <c r="A63" s="40" t="str">
        <f>IF(Agent01_Savings!A70="","",Agent01_Savings!A70)</f>
        <v/>
      </c>
      <c r="B63" s="40" t="str">
        <f ca="1">IF(Agent01_Savings!A70="","","SV"&amp;TEXT(63-3,"0000")&amp;"-"&amp;TEXT(TODAY(),"YYYYMMDD"))</f>
        <v/>
      </c>
      <c r="C63" s="40" t="str">
        <f>IF(Agent01_Savings!A70="","",Agent01_Savings!B70)</f>
        <v/>
      </c>
      <c r="D63" s="40" t="str">
        <f>IF(Agent01_Savings!A70="","",Agent01_Savings!G70)</f>
        <v/>
      </c>
      <c r="E63" s="41" t="str">
        <f>IF(Agent01_Savings!A70="","",Agent01_Savings!D70)</f>
        <v/>
      </c>
      <c r="F63" s="42" t="str">
        <f>IF(Agent01_Savings!A70="","",Agent01_Savings!E70)</f>
        <v/>
      </c>
      <c r="G63" s="42" t="str">
        <f>IF(Agent01_Savings!A70="","",Agent01_Savings!F70)</f>
        <v/>
      </c>
      <c r="H63" s="40" t="str">
        <f>IF(Agent01_Savings!A70="","",Agent01_Savings!I70)</f>
        <v/>
      </c>
      <c r="I63" s="40" t="str">
        <f>IF(Agent01_Savings!A70="","",Agent01_Savings!J70)</f>
        <v/>
      </c>
      <c r="J63" s="40" t="str">
        <f>IF(Agent01_Savings!A70="","",Agent01_Savings!K70)</f>
        <v/>
      </c>
      <c r="K63" s="40" t="str">
        <f>IFERROR(IF(Agent01_Savings!A70="","",YEAR(Agent01_Savings!D70)),"")</f>
        <v/>
      </c>
    </row>
    <row r="64" spans="1:11" ht="18" customHeight="1" x14ac:dyDescent="0.25">
      <c r="A64" s="40" t="str">
        <f>IF(Agent01_Savings!A71="","",Agent01_Savings!A71)</f>
        <v/>
      </c>
      <c r="B64" s="40" t="str">
        <f ca="1">IF(Agent01_Savings!A71="","","SV"&amp;TEXT(64-3,"0000")&amp;"-"&amp;TEXT(TODAY(),"YYYYMMDD"))</f>
        <v/>
      </c>
      <c r="C64" s="40" t="str">
        <f>IF(Agent01_Savings!A71="","",Agent01_Savings!B71)</f>
        <v/>
      </c>
      <c r="D64" s="40" t="str">
        <f>IF(Agent01_Savings!A71="","",Agent01_Savings!G71)</f>
        <v/>
      </c>
      <c r="E64" s="41" t="str">
        <f>IF(Agent01_Savings!A71="","",Agent01_Savings!D71)</f>
        <v/>
      </c>
      <c r="F64" s="42" t="str">
        <f>IF(Agent01_Savings!A71="","",Agent01_Savings!E71)</f>
        <v/>
      </c>
      <c r="G64" s="42" t="str">
        <f>IF(Agent01_Savings!A71="","",Agent01_Savings!F71)</f>
        <v/>
      </c>
      <c r="H64" s="40" t="str">
        <f>IF(Agent01_Savings!A71="","",Agent01_Savings!I71)</f>
        <v/>
      </c>
      <c r="I64" s="40" t="str">
        <f>IF(Agent01_Savings!A71="","",Agent01_Savings!J71)</f>
        <v/>
      </c>
      <c r="J64" s="40" t="str">
        <f>IF(Agent01_Savings!A71="","",Agent01_Savings!K71)</f>
        <v/>
      </c>
      <c r="K64" s="40" t="str">
        <f>IFERROR(IF(Agent01_Savings!A71="","",YEAR(Agent01_Savings!D71)),"")</f>
        <v/>
      </c>
    </row>
    <row r="65" spans="1:11" ht="18" customHeight="1" x14ac:dyDescent="0.25">
      <c r="A65" s="40" t="str">
        <f>IF(Agent01_Savings!A72="","",Agent01_Savings!A72)</f>
        <v/>
      </c>
      <c r="B65" s="40" t="str">
        <f ca="1">IF(Agent01_Savings!A72="","","SV"&amp;TEXT(65-3,"0000")&amp;"-"&amp;TEXT(TODAY(),"YYYYMMDD"))</f>
        <v/>
      </c>
      <c r="C65" s="40" t="str">
        <f>IF(Agent01_Savings!A72="","",Agent01_Savings!B72)</f>
        <v/>
      </c>
      <c r="D65" s="40" t="str">
        <f>IF(Agent01_Savings!A72="","",Agent01_Savings!G72)</f>
        <v/>
      </c>
      <c r="E65" s="41" t="str">
        <f>IF(Agent01_Savings!A72="","",Agent01_Savings!D72)</f>
        <v/>
      </c>
      <c r="F65" s="42" t="str">
        <f>IF(Agent01_Savings!A72="","",Agent01_Savings!E72)</f>
        <v/>
      </c>
      <c r="G65" s="42" t="str">
        <f>IF(Agent01_Savings!A72="","",Agent01_Savings!F72)</f>
        <v/>
      </c>
      <c r="H65" s="40" t="str">
        <f>IF(Agent01_Savings!A72="","",Agent01_Savings!I72)</f>
        <v/>
      </c>
      <c r="I65" s="40" t="str">
        <f>IF(Agent01_Savings!A72="","",Agent01_Savings!J72)</f>
        <v/>
      </c>
      <c r="J65" s="40" t="str">
        <f>IF(Agent01_Savings!A72="","",Agent01_Savings!K72)</f>
        <v/>
      </c>
      <c r="K65" s="40" t="str">
        <f>IFERROR(IF(Agent01_Savings!A72="","",YEAR(Agent01_Savings!D72)),"")</f>
        <v/>
      </c>
    </row>
    <row r="66" spans="1:11" ht="18" customHeight="1" x14ac:dyDescent="0.25">
      <c r="A66" s="40" t="str">
        <f>IF(Agent01_Savings!A73="","",Agent01_Savings!A73)</f>
        <v/>
      </c>
      <c r="B66" s="40" t="str">
        <f ca="1">IF(Agent01_Savings!A73="","","SV"&amp;TEXT(66-3,"0000")&amp;"-"&amp;TEXT(TODAY(),"YYYYMMDD"))</f>
        <v/>
      </c>
      <c r="C66" s="40" t="str">
        <f>IF(Agent01_Savings!A73="","",Agent01_Savings!B73)</f>
        <v/>
      </c>
      <c r="D66" s="40" t="str">
        <f>IF(Agent01_Savings!A73="","",Agent01_Savings!G73)</f>
        <v/>
      </c>
      <c r="E66" s="41" t="str">
        <f>IF(Agent01_Savings!A73="","",Agent01_Savings!D73)</f>
        <v/>
      </c>
      <c r="F66" s="42" t="str">
        <f>IF(Agent01_Savings!A73="","",Agent01_Savings!E73)</f>
        <v/>
      </c>
      <c r="G66" s="42" t="str">
        <f>IF(Agent01_Savings!A73="","",Agent01_Savings!F73)</f>
        <v/>
      </c>
      <c r="H66" s="40" t="str">
        <f>IF(Agent01_Savings!A73="","",Agent01_Savings!I73)</f>
        <v/>
      </c>
      <c r="I66" s="40" t="str">
        <f>IF(Agent01_Savings!A73="","",Agent01_Savings!J73)</f>
        <v/>
      </c>
      <c r="J66" s="40" t="str">
        <f>IF(Agent01_Savings!A73="","",Agent01_Savings!K73)</f>
        <v/>
      </c>
      <c r="K66" s="40" t="str">
        <f>IFERROR(IF(Agent01_Savings!A73="","",YEAR(Agent01_Savings!D73)),"")</f>
        <v/>
      </c>
    </row>
    <row r="67" spans="1:11" ht="18" customHeight="1" x14ac:dyDescent="0.25">
      <c r="A67" s="40" t="str">
        <f>IF(Agent01_Savings!A74="","",Agent01_Savings!A74)</f>
        <v/>
      </c>
      <c r="B67" s="40" t="str">
        <f ca="1">IF(Agent01_Savings!A74="","","SV"&amp;TEXT(67-3,"0000")&amp;"-"&amp;TEXT(TODAY(),"YYYYMMDD"))</f>
        <v/>
      </c>
      <c r="C67" s="40" t="str">
        <f>IF(Agent01_Savings!A74="","",Agent01_Savings!B74)</f>
        <v/>
      </c>
      <c r="D67" s="40" t="str">
        <f>IF(Agent01_Savings!A74="","",Agent01_Savings!G74)</f>
        <v/>
      </c>
      <c r="E67" s="41" t="str">
        <f>IF(Agent01_Savings!A74="","",Agent01_Savings!D74)</f>
        <v/>
      </c>
      <c r="F67" s="42" t="str">
        <f>IF(Agent01_Savings!A74="","",Agent01_Savings!E74)</f>
        <v/>
      </c>
      <c r="G67" s="42" t="str">
        <f>IF(Agent01_Savings!A74="","",Agent01_Savings!F74)</f>
        <v/>
      </c>
      <c r="H67" s="40" t="str">
        <f>IF(Agent01_Savings!A74="","",Agent01_Savings!I74)</f>
        <v/>
      </c>
      <c r="I67" s="40" t="str">
        <f>IF(Agent01_Savings!A74="","",Agent01_Savings!J74)</f>
        <v/>
      </c>
      <c r="J67" s="40" t="str">
        <f>IF(Agent01_Savings!A74="","",Agent01_Savings!K74)</f>
        <v/>
      </c>
      <c r="K67" s="40" t="str">
        <f>IFERROR(IF(Agent01_Savings!A74="","",YEAR(Agent01_Savings!D74)),"")</f>
        <v/>
      </c>
    </row>
    <row r="68" spans="1:11" ht="18" customHeight="1" x14ac:dyDescent="0.25">
      <c r="A68" s="40" t="str">
        <f>IF(Agent01_Savings!A75="","",Agent01_Savings!A75)</f>
        <v/>
      </c>
      <c r="B68" s="40" t="str">
        <f ca="1">IF(Agent01_Savings!A75="","","SV"&amp;TEXT(68-3,"0000")&amp;"-"&amp;TEXT(TODAY(),"YYYYMMDD"))</f>
        <v/>
      </c>
      <c r="C68" s="40" t="str">
        <f>IF(Agent01_Savings!A75="","",Agent01_Savings!B75)</f>
        <v/>
      </c>
      <c r="D68" s="40" t="str">
        <f>IF(Agent01_Savings!A75="","",Agent01_Savings!G75)</f>
        <v/>
      </c>
      <c r="E68" s="41" t="str">
        <f>IF(Agent01_Savings!A75="","",Agent01_Savings!D75)</f>
        <v/>
      </c>
      <c r="F68" s="42" t="str">
        <f>IF(Agent01_Savings!A75="","",Agent01_Savings!E75)</f>
        <v/>
      </c>
      <c r="G68" s="42" t="str">
        <f>IF(Agent01_Savings!A75="","",Agent01_Savings!F75)</f>
        <v/>
      </c>
      <c r="H68" s="40" t="str">
        <f>IF(Agent01_Savings!A75="","",Agent01_Savings!I75)</f>
        <v/>
      </c>
      <c r="I68" s="40" t="str">
        <f>IF(Agent01_Savings!A75="","",Agent01_Savings!J75)</f>
        <v/>
      </c>
      <c r="J68" s="40" t="str">
        <f>IF(Agent01_Savings!A75="","",Agent01_Savings!K75)</f>
        <v/>
      </c>
      <c r="K68" s="40" t="str">
        <f>IFERROR(IF(Agent01_Savings!A75="","",YEAR(Agent01_Savings!D75)),"")</f>
        <v/>
      </c>
    </row>
    <row r="69" spans="1:11" ht="18" customHeight="1" x14ac:dyDescent="0.25">
      <c r="A69" s="40" t="str">
        <f>IF(Agent01_Savings!A76="","",Agent01_Savings!A76)</f>
        <v/>
      </c>
      <c r="B69" s="40" t="str">
        <f ca="1">IF(Agent01_Savings!A76="","","SV"&amp;TEXT(69-3,"0000")&amp;"-"&amp;TEXT(TODAY(),"YYYYMMDD"))</f>
        <v/>
      </c>
      <c r="C69" s="40" t="str">
        <f>IF(Agent01_Savings!A76="","",Agent01_Savings!B76)</f>
        <v/>
      </c>
      <c r="D69" s="40" t="str">
        <f>IF(Agent01_Savings!A76="","",Agent01_Savings!G76)</f>
        <v/>
      </c>
      <c r="E69" s="41" t="str">
        <f>IF(Agent01_Savings!A76="","",Agent01_Savings!D76)</f>
        <v/>
      </c>
      <c r="F69" s="42" t="str">
        <f>IF(Agent01_Savings!A76="","",Agent01_Savings!E76)</f>
        <v/>
      </c>
      <c r="G69" s="42" t="str">
        <f>IF(Agent01_Savings!A76="","",Agent01_Savings!F76)</f>
        <v/>
      </c>
      <c r="H69" s="40" t="str">
        <f>IF(Agent01_Savings!A76="","",Agent01_Savings!I76)</f>
        <v/>
      </c>
      <c r="I69" s="40" t="str">
        <f>IF(Agent01_Savings!A76="","",Agent01_Savings!J76)</f>
        <v/>
      </c>
      <c r="J69" s="40" t="str">
        <f>IF(Agent01_Savings!A76="","",Agent01_Savings!K76)</f>
        <v/>
      </c>
      <c r="K69" s="40" t="str">
        <f>IFERROR(IF(Agent01_Savings!A76="","",YEAR(Agent01_Savings!D76)),"")</f>
        <v/>
      </c>
    </row>
    <row r="70" spans="1:11" ht="18" customHeight="1" x14ac:dyDescent="0.25">
      <c r="A70" s="40" t="str">
        <f>IF(Agent01_Savings!A77="","",Agent01_Savings!A77)</f>
        <v/>
      </c>
      <c r="B70" s="40" t="str">
        <f ca="1">IF(Agent01_Savings!A77="","","SV"&amp;TEXT(70-3,"0000")&amp;"-"&amp;TEXT(TODAY(),"YYYYMMDD"))</f>
        <v/>
      </c>
      <c r="C70" s="40" t="str">
        <f>IF(Agent01_Savings!A77="","",Agent01_Savings!B77)</f>
        <v/>
      </c>
      <c r="D70" s="40" t="str">
        <f>IF(Agent01_Savings!A77="","",Agent01_Savings!G77)</f>
        <v/>
      </c>
      <c r="E70" s="41" t="str">
        <f>IF(Agent01_Savings!A77="","",Agent01_Savings!D77)</f>
        <v/>
      </c>
      <c r="F70" s="42" t="str">
        <f>IF(Agent01_Savings!A77="","",Agent01_Savings!E77)</f>
        <v/>
      </c>
      <c r="G70" s="42" t="str">
        <f>IF(Agent01_Savings!A77="","",Agent01_Savings!F77)</f>
        <v/>
      </c>
      <c r="H70" s="40" t="str">
        <f>IF(Agent01_Savings!A77="","",Agent01_Savings!I77)</f>
        <v/>
      </c>
      <c r="I70" s="40" t="str">
        <f>IF(Agent01_Savings!A77="","",Agent01_Savings!J77)</f>
        <v/>
      </c>
      <c r="J70" s="40" t="str">
        <f>IF(Agent01_Savings!A77="","",Agent01_Savings!K77)</f>
        <v/>
      </c>
      <c r="K70" s="40" t="str">
        <f>IFERROR(IF(Agent01_Savings!A77="","",YEAR(Agent01_Savings!D77)),"")</f>
        <v/>
      </c>
    </row>
    <row r="71" spans="1:11" ht="18" customHeight="1" x14ac:dyDescent="0.25">
      <c r="A71" s="40" t="str">
        <f>IF(Agent01_Savings!A78="","",Agent01_Savings!A78)</f>
        <v/>
      </c>
      <c r="B71" s="40" t="str">
        <f ca="1">IF(Agent01_Savings!A78="","","SV"&amp;TEXT(71-3,"0000")&amp;"-"&amp;TEXT(TODAY(),"YYYYMMDD"))</f>
        <v/>
      </c>
      <c r="C71" s="40" t="str">
        <f>IF(Agent01_Savings!A78="","",Agent01_Savings!B78)</f>
        <v/>
      </c>
      <c r="D71" s="40" t="str">
        <f>IF(Agent01_Savings!A78="","",Agent01_Savings!G78)</f>
        <v/>
      </c>
      <c r="E71" s="41" t="str">
        <f>IF(Agent01_Savings!A78="","",Agent01_Savings!D78)</f>
        <v/>
      </c>
      <c r="F71" s="42" t="str">
        <f>IF(Agent01_Savings!A78="","",Agent01_Savings!E78)</f>
        <v/>
      </c>
      <c r="G71" s="42" t="str">
        <f>IF(Agent01_Savings!A78="","",Agent01_Savings!F78)</f>
        <v/>
      </c>
      <c r="H71" s="40" t="str">
        <f>IF(Agent01_Savings!A78="","",Agent01_Savings!I78)</f>
        <v/>
      </c>
      <c r="I71" s="40" t="str">
        <f>IF(Agent01_Savings!A78="","",Agent01_Savings!J78)</f>
        <v/>
      </c>
      <c r="J71" s="40" t="str">
        <f>IF(Agent01_Savings!A78="","",Agent01_Savings!K78)</f>
        <v/>
      </c>
      <c r="K71" s="40" t="str">
        <f>IFERROR(IF(Agent01_Savings!A78="","",YEAR(Agent01_Savings!D78)),"")</f>
        <v/>
      </c>
    </row>
    <row r="72" spans="1:11" ht="18" customHeight="1" x14ac:dyDescent="0.25">
      <c r="A72" s="40" t="str">
        <f>IF(Agent01_Savings!A79="","",Agent01_Savings!A79)</f>
        <v/>
      </c>
      <c r="B72" s="40" t="str">
        <f ca="1">IF(Agent01_Savings!A79="","","SV"&amp;TEXT(72-3,"0000")&amp;"-"&amp;TEXT(TODAY(),"YYYYMMDD"))</f>
        <v/>
      </c>
      <c r="C72" s="40" t="str">
        <f>IF(Agent01_Savings!A79="","",Agent01_Savings!B79)</f>
        <v/>
      </c>
      <c r="D72" s="40" t="str">
        <f>IF(Agent01_Savings!A79="","",Agent01_Savings!G79)</f>
        <v/>
      </c>
      <c r="E72" s="41" t="str">
        <f>IF(Agent01_Savings!A79="","",Agent01_Savings!D79)</f>
        <v/>
      </c>
      <c r="F72" s="42" t="str">
        <f>IF(Agent01_Savings!A79="","",Agent01_Savings!E79)</f>
        <v/>
      </c>
      <c r="G72" s="42" t="str">
        <f>IF(Agent01_Savings!A79="","",Agent01_Savings!F79)</f>
        <v/>
      </c>
      <c r="H72" s="40" t="str">
        <f>IF(Agent01_Savings!A79="","",Agent01_Savings!I79)</f>
        <v/>
      </c>
      <c r="I72" s="40" t="str">
        <f>IF(Agent01_Savings!A79="","",Agent01_Savings!J79)</f>
        <v/>
      </c>
      <c r="J72" s="40" t="str">
        <f>IF(Agent01_Savings!A79="","",Agent01_Savings!K79)</f>
        <v/>
      </c>
      <c r="K72" s="40" t="str">
        <f>IFERROR(IF(Agent01_Savings!A79="","",YEAR(Agent01_Savings!D79)),"")</f>
        <v/>
      </c>
    </row>
    <row r="73" spans="1:11" ht="18" customHeight="1" x14ac:dyDescent="0.25">
      <c r="A73" s="40" t="str">
        <f>IF(Agent01_Savings!A80="","",Agent01_Savings!A80)</f>
        <v/>
      </c>
      <c r="B73" s="40" t="str">
        <f ca="1">IF(Agent01_Savings!A80="","","SV"&amp;TEXT(73-3,"0000")&amp;"-"&amp;TEXT(TODAY(),"YYYYMMDD"))</f>
        <v/>
      </c>
      <c r="C73" s="40" t="str">
        <f>IF(Agent01_Savings!A80="","",Agent01_Savings!B80)</f>
        <v/>
      </c>
      <c r="D73" s="40" t="str">
        <f>IF(Agent01_Savings!A80="","",Agent01_Savings!G80)</f>
        <v/>
      </c>
      <c r="E73" s="41" t="str">
        <f>IF(Agent01_Savings!A80="","",Agent01_Savings!D80)</f>
        <v/>
      </c>
      <c r="F73" s="42" t="str">
        <f>IF(Agent01_Savings!A80="","",Agent01_Savings!E80)</f>
        <v/>
      </c>
      <c r="G73" s="42" t="str">
        <f>IF(Agent01_Savings!A80="","",Agent01_Savings!F80)</f>
        <v/>
      </c>
      <c r="H73" s="40" t="str">
        <f>IF(Agent01_Savings!A80="","",Agent01_Savings!I80)</f>
        <v/>
      </c>
      <c r="I73" s="40" t="str">
        <f>IF(Agent01_Savings!A80="","",Agent01_Savings!J80)</f>
        <v/>
      </c>
      <c r="J73" s="40" t="str">
        <f>IF(Agent01_Savings!A80="","",Agent01_Savings!K80)</f>
        <v/>
      </c>
      <c r="K73" s="40" t="str">
        <f>IFERROR(IF(Agent01_Savings!A80="","",YEAR(Agent01_Savings!D80)),"")</f>
        <v/>
      </c>
    </row>
    <row r="74" spans="1:11" ht="18" customHeight="1" x14ac:dyDescent="0.25">
      <c r="A74" s="40" t="str">
        <f>IF(Agent01_Savings!A81="","",Agent01_Savings!A81)</f>
        <v/>
      </c>
      <c r="B74" s="40" t="str">
        <f ca="1">IF(Agent01_Savings!A81="","","SV"&amp;TEXT(74-3,"0000")&amp;"-"&amp;TEXT(TODAY(),"YYYYMMDD"))</f>
        <v/>
      </c>
      <c r="C74" s="40" t="str">
        <f>IF(Agent01_Savings!A81="","",Agent01_Savings!B81)</f>
        <v/>
      </c>
      <c r="D74" s="40" t="str">
        <f>IF(Agent01_Savings!A81="","",Agent01_Savings!G81)</f>
        <v/>
      </c>
      <c r="E74" s="41" t="str">
        <f>IF(Agent01_Savings!A81="","",Agent01_Savings!D81)</f>
        <v/>
      </c>
      <c r="F74" s="42" t="str">
        <f>IF(Agent01_Savings!A81="","",Agent01_Savings!E81)</f>
        <v/>
      </c>
      <c r="G74" s="42" t="str">
        <f>IF(Agent01_Savings!A81="","",Agent01_Savings!F81)</f>
        <v/>
      </c>
      <c r="H74" s="40" t="str">
        <f>IF(Agent01_Savings!A81="","",Agent01_Savings!I81)</f>
        <v/>
      </c>
      <c r="I74" s="40" t="str">
        <f>IF(Agent01_Savings!A81="","",Agent01_Savings!J81)</f>
        <v/>
      </c>
      <c r="J74" s="40" t="str">
        <f>IF(Agent01_Savings!A81="","",Agent01_Savings!K81)</f>
        <v/>
      </c>
      <c r="K74" s="40" t="str">
        <f>IFERROR(IF(Agent01_Savings!A81="","",YEAR(Agent01_Savings!D81)),"")</f>
        <v/>
      </c>
    </row>
    <row r="75" spans="1:11" ht="18" customHeight="1" x14ac:dyDescent="0.25">
      <c r="A75" s="40" t="str">
        <f>IF(Agent01_Savings!A82="","",Agent01_Savings!A82)</f>
        <v/>
      </c>
      <c r="B75" s="40" t="str">
        <f ca="1">IF(Agent01_Savings!A82="","","SV"&amp;TEXT(75-3,"0000")&amp;"-"&amp;TEXT(TODAY(),"YYYYMMDD"))</f>
        <v/>
      </c>
      <c r="C75" s="40" t="str">
        <f>IF(Agent01_Savings!A82="","",Agent01_Savings!B82)</f>
        <v/>
      </c>
      <c r="D75" s="40" t="str">
        <f>IF(Agent01_Savings!A82="","",Agent01_Savings!G82)</f>
        <v/>
      </c>
      <c r="E75" s="41" t="str">
        <f>IF(Agent01_Savings!A82="","",Agent01_Savings!D82)</f>
        <v/>
      </c>
      <c r="F75" s="42" t="str">
        <f>IF(Agent01_Savings!A82="","",Agent01_Savings!E82)</f>
        <v/>
      </c>
      <c r="G75" s="42" t="str">
        <f>IF(Agent01_Savings!A82="","",Agent01_Savings!F82)</f>
        <v/>
      </c>
      <c r="H75" s="40" t="str">
        <f>IF(Agent01_Savings!A82="","",Agent01_Savings!I82)</f>
        <v/>
      </c>
      <c r="I75" s="40" t="str">
        <f>IF(Agent01_Savings!A82="","",Agent01_Savings!J82)</f>
        <v/>
      </c>
      <c r="J75" s="40" t="str">
        <f>IF(Agent01_Savings!A82="","",Agent01_Savings!K82)</f>
        <v/>
      </c>
      <c r="K75" s="40" t="str">
        <f>IFERROR(IF(Agent01_Savings!A82="","",YEAR(Agent01_Savings!D82)),"")</f>
        <v/>
      </c>
    </row>
    <row r="76" spans="1:11" ht="18" customHeight="1" x14ac:dyDescent="0.25">
      <c r="A76" s="40" t="str">
        <f>IF(Agent01_Savings!A83="","",Agent01_Savings!A83)</f>
        <v/>
      </c>
      <c r="B76" s="40" t="str">
        <f ca="1">IF(Agent01_Savings!A83="","","SV"&amp;TEXT(76-3,"0000")&amp;"-"&amp;TEXT(TODAY(),"YYYYMMDD"))</f>
        <v/>
      </c>
      <c r="C76" s="40" t="str">
        <f>IF(Agent01_Savings!A83="","",Agent01_Savings!B83)</f>
        <v/>
      </c>
      <c r="D76" s="40" t="str">
        <f>IF(Agent01_Savings!A83="","",Agent01_Savings!G83)</f>
        <v/>
      </c>
      <c r="E76" s="41" t="str">
        <f>IF(Agent01_Savings!A83="","",Agent01_Savings!D83)</f>
        <v/>
      </c>
      <c r="F76" s="42" t="str">
        <f>IF(Agent01_Savings!A83="","",Agent01_Savings!E83)</f>
        <v/>
      </c>
      <c r="G76" s="42" t="str">
        <f>IF(Agent01_Savings!A83="","",Agent01_Savings!F83)</f>
        <v/>
      </c>
      <c r="H76" s="40" t="str">
        <f>IF(Agent01_Savings!A83="","",Agent01_Savings!I83)</f>
        <v/>
      </c>
      <c r="I76" s="40" t="str">
        <f>IF(Agent01_Savings!A83="","",Agent01_Savings!J83)</f>
        <v/>
      </c>
      <c r="J76" s="40" t="str">
        <f>IF(Agent01_Savings!A83="","",Agent01_Savings!K83)</f>
        <v/>
      </c>
      <c r="K76" s="40" t="str">
        <f>IFERROR(IF(Agent01_Savings!A83="","",YEAR(Agent01_Savings!D83)),"")</f>
        <v/>
      </c>
    </row>
    <row r="77" spans="1:11" ht="18" customHeight="1" x14ac:dyDescent="0.25">
      <c r="A77" s="40" t="str">
        <f>IF(Agent01_Savings!A84="","",Agent01_Savings!A84)</f>
        <v/>
      </c>
      <c r="B77" s="40" t="str">
        <f ca="1">IF(Agent01_Savings!A84="","","SV"&amp;TEXT(77-3,"0000")&amp;"-"&amp;TEXT(TODAY(),"YYYYMMDD"))</f>
        <v/>
      </c>
      <c r="C77" s="40" t="str">
        <f>IF(Agent01_Savings!A84="","",Agent01_Savings!B84)</f>
        <v/>
      </c>
      <c r="D77" s="40" t="str">
        <f>IF(Agent01_Savings!A84="","",Agent01_Savings!G84)</f>
        <v/>
      </c>
      <c r="E77" s="41" t="str">
        <f>IF(Agent01_Savings!A84="","",Agent01_Savings!D84)</f>
        <v/>
      </c>
      <c r="F77" s="42" t="str">
        <f>IF(Agent01_Savings!A84="","",Agent01_Savings!E84)</f>
        <v/>
      </c>
      <c r="G77" s="42" t="str">
        <f>IF(Agent01_Savings!A84="","",Agent01_Savings!F84)</f>
        <v/>
      </c>
      <c r="H77" s="40" t="str">
        <f>IF(Agent01_Savings!A84="","",Agent01_Savings!I84)</f>
        <v/>
      </c>
      <c r="I77" s="40" t="str">
        <f>IF(Agent01_Savings!A84="","",Agent01_Savings!J84)</f>
        <v/>
      </c>
      <c r="J77" s="40" t="str">
        <f>IF(Agent01_Savings!A84="","",Agent01_Savings!K84)</f>
        <v/>
      </c>
      <c r="K77" s="40" t="str">
        <f>IFERROR(IF(Agent01_Savings!A84="","",YEAR(Agent01_Savings!D84)),"")</f>
        <v/>
      </c>
    </row>
    <row r="78" spans="1:11" ht="18" customHeight="1" x14ac:dyDescent="0.25">
      <c r="A78" s="40" t="str">
        <f>IF(Agent01_Savings!A85="","",Agent01_Savings!A85)</f>
        <v/>
      </c>
      <c r="B78" s="40" t="str">
        <f ca="1">IF(Agent01_Savings!A85="","","SV"&amp;TEXT(78-3,"0000")&amp;"-"&amp;TEXT(TODAY(),"YYYYMMDD"))</f>
        <v/>
      </c>
      <c r="C78" s="40" t="str">
        <f>IF(Agent01_Savings!A85="","",Agent01_Savings!B85)</f>
        <v/>
      </c>
      <c r="D78" s="40" t="str">
        <f>IF(Agent01_Savings!A85="","",Agent01_Savings!G85)</f>
        <v/>
      </c>
      <c r="E78" s="41" t="str">
        <f>IF(Agent01_Savings!A85="","",Agent01_Savings!D85)</f>
        <v/>
      </c>
      <c r="F78" s="42" t="str">
        <f>IF(Agent01_Savings!A85="","",Agent01_Savings!E85)</f>
        <v/>
      </c>
      <c r="G78" s="42" t="str">
        <f>IF(Agent01_Savings!A85="","",Agent01_Savings!F85)</f>
        <v/>
      </c>
      <c r="H78" s="40" t="str">
        <f>IF(Agent01_Savings!A85="","",Agent01_Savings!I85)</f>
        <v/>
      </c>
      <c r="I78" s="40" t="str">
        <f>IF(Agent01_Savings!A85="","",Agent01_Savings!J85)</f>
        <v/>
      </c>
      <c r="J78" s="40" t="str">
        <f>IF(Agent01_Savings!A85="","",Agent01_Savings!K85)</f>
        <v/>
      </c>
      <c r="K78" s="40" t="str">
        <f>IFERROR(IF(Agent01_Savings!A85="","",YEAR(Agent01_Savings!D85)),"")</f>
        <v/>
      </c>
    </row>
    <row r="79" spans="1:11" ht="18" customHeight="1" x14ac:dyDescent="0.25">
      <c r="A79" s="40" t="str">
        <f>IF(Agent01_Savings!A86="","",Agent01_Savings!A86)</f>
        <v/>
      </c>
      <c r="B79" s="40" t="str">
        <f ca="1">IF(Agent01_Savings!A86="","","SV"&amp;TEXT(79-3,"0000")&amp;"-"&amp;TEXT(TODAY(),"YYYYMMDD"))</f>
        <v/>
      </c>
      <c r="C79" s="40" t="str">
        <f>IF(Agent01_Savings!A86="","",Agent01_Savings!B86)</f>
        <v/>
      </c>
      <c r="D79" s="40" t="str">
        <f>IF(Agent01_Savings!A86="","",Agent01_Savings!G86)</f>
        <v/>
      </c>
      <c r="E79" s="41" t="str">
        <f>IF(Agent01_Savings!A86="","",Agent01_Savings!D86)</f>
        <v/>
      </c>
      <c r="F79" s="42" t="str">
        <f>IF(Agent01_Savings!A86="","",Agent01_Savings!E86)</f>
        <v/>
      </c>
      <c r="G79" s="42" t="str">
        <f>IF(Agent01_Savings!A86="","",Agent01_Savings!F86)</f>
        <v/>
      </c>
      <c r="H79" s="40" t="str">
        <f>IF(Agent01_Savings!A86="","",Agent01_Savings!I86)</f>
        <v/>
      </c>
      <c r="I79" s="40" t="str">
        <f>IF(Agent01_Savings!A86="","",Agent01_Savings!J86)</f>
        <v/>
      </c>
      <c r="J79" s="40" t="str">
        <f>IF(Agent01_Savings!A86="","",Agent01_Savings!K86)</f>
        <v/>
      </c>
      <c r="K79" s="40" t="str">
        <f>IFERROR(IF(Agent01_Savings!A86="","",YEAR(Agent01_Savings!D86)),"")</f>
        <v/>
      </c>
    </row>
    <row r="80" spans="1:11" ht="18" customHeight="1" x14ac:dyDescent="0.25">
      <c r="A80" s="40" t="str">
        <f>IF(Agent01_Savings!A87="","",Agent01_Savings!A87)</f>
        <v/>
      </c>
      <c r="B80" s="40" t="str">
        <f ca="1">IF(Agent01_Savings!A87="","","SV"&amp;TEXT(80-3,"0000")&amp;"-"&amp;TEXT(TODAY(),"YYYYMMDD"))</f>
        <v/>
      </c>
      <c r="C80" s="40" t="str">
        <f>IF(Agent01_Savings!A87="","",Agent01_Savings!B87)</f>
        <v/>
      </c>
      <c r="D80" s="40" t="str">
        <f>IF(Agent01_Savings!A87="","",Agent01_Savings!G87)</f>
        <v/>
      </c>
      <c r="E80" s="41" t="str">
        <f>IF(Agent01_Savings!A87="","",Agent01_Savings!D87)</f>
        <v/>
      </c>
      <c r="F80" s="42" t="str">
        <f>IF(Agent01_Savings!A87="","",Agent01_Savings!E87)</f>
        <v/>
      </c>
      <c r="G80" s="42" t="str">
        <f>IF(Agent01_Savings!A87="","",Agent01_Savings!F87)</f>
        <v/>
      </c>
      <c r="H80" s="40" t="str">
        <f>IF(Agent01_Savings!A87="","",Agent01_Savings!I87)</f>
        <v/>
      </c>
      <c r="I80" s="40" t="str">
        <f>IF(Agent01_Savings!A87="","",Agent01_Savings!J87)</f>
        <v/>
      </c>
      <c r="J80" s="40" t="str">
        <f>IF(Agent01_Savings!A87="","",Agent01_Savings!K87)</f>
        <v/>
      </c>
      <c r="K80" s="40" t="str">
        <f>IFERROR(IF(Agent01_Savings!A87="","",YEAR(Agent01_Savings!D87)),"")</f>
        <v/>
      </c>
    </row>
    <row r="81" spans="1:11" ht="18" customHeight="1" x14ac:dyDescent="0.25">
      <c r="A81" s="40" t="str">
        <f>IF(Agent01_Savings!A88="","",Agent01_Savings!A88)</f>
        <v/>
      </c>
      <c r="B81" s="40" t="str">
        <f ca="1">IF(Agent01_Savings!A88="","","SV"&amp;TEXT(81-3,"0000")&amp;"-"&amp;TEXT(TODAY(),"YYYYMMDD"))</f>
        <v/>
      </c>
      <c r="C81" s="40" t="str">
        <f>IF(Agent01_Savings!A88="","",Agent01_Savings!B88)</f>
        <v/>
      </c>
      <c r="D81" s="40" t="str">
        <f>IF(Agent01_Savings!A88="","",Agent01_Savings!G88)</f>
        <v/>
      </c>
      <c r="E81" s="41" t="str">
        <f>IF(Agent01_Savings!A88="","",Agent01_Savings!D88)</f>
        <v/>
      </c>
      <c r="F81" s="42" t="str">
        <f>IF(Agent01_Savings!A88="","",Agent01_Savings!E88)</f>
        <v/>
      </c>
      <c r="G81" s="42" t="str">
        <f>IF(Agent01_Savings!A88="","",Agent01_Savings!F88)</f>
        <v/>
      </c>
      <c r="H81" s="40" t="str">
        <f>IF(Agent01_Savings!A88="","",Agent01_Savings!I88)</f>
        <v/>
      </c>
      <c r="I81" s="40" t="str">
        <f>IF(Agent01_Savings!A88="","",Agent01_Savings!J88)</f>
        <v/>
      </c>
      <c r="J81" s="40" t="str">
        <f>IF(Agent01_Savings!A88="","",Agent01_Savings!K88)</f>
        <v/>
      </c>
      <c r="K81" s="40" t="str">
        <f>IFERROR(IF(Agent01_Savings!A88="","",YEAR(Agent01_Savings!D88)),"")</f>
        <v/>
      </c>
    </row>
    <row r="82" spans="1:11" ht="18" customHeight="1" x14ac:dyDescent="0.25">
      <c r="A82" s="40" t="str">
        <f>IF(Agent01_Savings!A89="","",Agent01_Savings!A89)</f>
        <v/>
      </c>
      <c r="B82" s="40" t="str">
        <f ca="1">IF(Agent01_Savings!A89="","","SV"&amp;TEXT(82-3,"0000")&amp;"-"&amp;TEXT(TODAY(),"YYYYMMDD"))</f>
        <v/>
      </c>
      <c r="C82" s="40" t="str">
        <f>IF(Agent01_Savings!A89="","",Agent01_Savings!B89)</f>
        <v/>
      </c>
      <c r="D82" s="40" t="str">
        <f>IF(Agent01_Savings!A89="","",Agent01_Savings!G89)</f>
        <v/>
      </c>
      <c r="E82" s="41" t="str">
        <f>IF(Agent01_Savings!A89="","",Agent01_Savings!D89)</f>
        <v/>
      </c>
      <c r="F82" s="42" t="str">
        <f>IF(Agent01_Savings!A89="","",Agent01_Savings!E89)</f>
        <v/>
      </c>
      <c r="G82" s="42" t="str">
        <f>IF(Agent01_Savings!A89="","",Agent01_Savings!F89)</f>
        <v/>
      </c>
      <c r="H82" s="40" t="str">
        <f>IF(Agent01_Savings!A89="","",Agent01_Savings!I89)</f>
        <v/>
      </c>
      <c r="I82" s="40" t="str">
        <f>IF(Agent01_Savings!A89="","",Agent01_Savings!J89)</f>
        <v/>
      </c>
      <c r="J82" s="40" t="str">
        <f>IF(Agent01_Savings!A89="","",Agent01_Savings!K89)</f>
        <v/>
      </c>
      <c r="K82" s="40" t="str">
        <f>IFERROR(IF(Agent01_Savings!A89="","",YEAR(Agent01_Savings!D89)),"")</f>
        <v/>
      </c>
    </row>
    <row r="83" spans="1:11" ht="18" customHeight="1" x14ac:dyDescent="0.25">
      <c r="A83" s="40" t="str">
        <f>IF(Agent01_Savings!A90="","",Agent01_Savings!A90)</f>
        <v/>
      </c>
      <c r="B83" s="40" t="str">
        <f ca="1">IF(Agent01_Savings!A90="","","SV"&amp;TEXT(83-3,"0000")&amp;"-"&amp;TEXT(TODAY(),"YYYYMMDD"))</f>
        <v/>
      </c>
      <c r="C83" s="40" t="str">
        <f>IF(Agent01_Savings!A90="","",Agent01_Savings!B90)</f>
        <v/>
      </c>
      <c r="D83" s="40" t="str">
        <f>IF(Agent01_Savings!A90="","",Agent01_Savings!G90)</f>
        <v/>
      </c>
      <c r="E83" s="41" t="str">
        <f>IF(Agent01_Savings!A90="","",Agent01_Savings!D90)</f>
        <v/>
      </c>
      <c r="F83" s="42" t="str">
        <f>IF(Agent01_Savings!A90="","",Agent01_Savings!E90)</f>
        <v/>
      </c>
      <c r="G83" s="42" t="str">
        <f>IF(Agent01_Savings!A90="","",Agent01_Savings!F90)</f>
        <v/>
      </c>
      <c r="H83" s="40" t="str">
        <f>IF(Agent01_Savings!A90="","",Agent01_Savings!I90)</f>
        <v/>
      </c>
      <c r="I83" s="40" t="str">
        <f>IF(Agent01_Savings!A90="","",Agent01_Savings!J90)</f>
        <v/>
      </c>
      <c r="J83" s="40" t="str">
        <f>IF(Agent01_Savings!A90="","",Agent01_Savings!K90)</f>
        <v/>
      </c>
      <c r="K83" s="40" t="str">
        <f>IFERROR(IF(Agent01_Savings!A90="","",YEAR(Agent01_Savings!D90)),"")</f>
        <v/>
      </c>
    </row>
    <row r="84" spans="1:11" ht="18" customHeight="1" x14ac:dyDescent="0.25">
      <c r="A84" s="40" t="str">
        <f>IF(Agent01_Savings!A91="","",Agent01_Savings!A91)</f>
        <v/>
      </c>
      <c r="B84" s="40" t="str">
        <f ca="1">IF(Agent01_Savings!A91="","","SV"&amp;TEXT(84-3,"0000")&amp;"-"&amp;TEXT(TODAY(),"YYYYMMDD"))</f>
        <v/>
      </c>
      <c r="C84" s="40" t="str">
        <f>IF(Agent01_Savings!A91="","",Agent01_Savings!B91)</f>
        <v/>
      </c>
      <c r="D84" s="40" t="str">
        <f>IF(Agent01_Savings!A91="","",Agent01_Savings!G91)</f>
        <v/>
      </c>
      <c r="E84" s="41" t="str">
        <f>IF(Agent01_Savings!A91="","",Agent01_Savings!D91)</f>
        <v/>
      </c>
      <c r="F84" s="42" t="str">
        <f>IF(Agent01_Savings!A91="","",Agent01_Savings!E91)</f>
        <v/>
      </c>
      <c r="G84" s="42" t="str">
        <f>IF(Agent01_Savings!A91="","",Agent01_Savings!F91)</f>
        <v/>
      </c>
      <c r="H84" s="40" t="str">
        <f>IF(Agent01_Savings!A91="","",Agent01_Savings!I91)</f>
        <v/>
      </c>
      <c r="I84" s="40" t="str">
        <f>IF(Agent01_Savings!A91="","",Agent01_Savings!J91)</f>
        <v/>
      </c>
      <c r="J84" s="40" t="str">
        <f>IF(Agent01_Savings!A91="","",Agent01_Savings!K91)</f>
        <v/>
      </c>
      <c r="K84" s="40" t="str">
        <f>IFERROR(IF(Agent01_Savings!A91="","",YEAR(Agent01_Savings!D91)),"")</f>
        <v/>
      </c>
    </row>
    <row r="85" spans="1:11" ht="18" customHeight="1" x14ac:dyDescent="0.25">
      <c r="A85" s="40" t="str">
        <f>IF(Agent01_Savings!A92="","",Agent01_Savings!A92)</f>
        <v/>
      </c>
      <c r="B85" s="40" t="str">
        <f ca="1">IF(Agent01_Savings!A92="","","SV"&amp;TEXT(85-3,"0000")&amp;"-"&amp;TEXT(TODAY(),"YYYYMMDD"))</f>
        <v/>
      </c>
      <c r="C85" s="40" t="str">
        <f>IF(Agent01_Savings!A92="","",Agent01_Savings!B92)</f>
        <v/>
      </c>
      <c r="D85" s="40" t="str">
        <f>IF(Agent01_Savings!A92="","",Agent01_Savings!G92)</f>
        <v/>
      </c>
      <c r="E85" s="41" t="str">
        <f>IF(Agent01_Savings!A92="","",Agent01_Savings!D92)</f>
        <v/>
      </c>
      <c r="F85" s="42" t="str">
        <f>IF(Agent01_Savings!A92="","",Agent01_Savings!E92)</f>
        <v/>
      </c>
      <c r="G85" s="42" t="str">
        <f>IF(Agent01_Savings!A92="","",Agent01_Savings!F92)</f>
        <v/>
      </c>
      <c r="H85" s="40" t="str">
        <f>IF(Agent01_Savings!A92="","",Agent01_Savings!I92)</f>
        <v/>
      </c>
      <c r="I85" s="40" t="str">
        <f>IF(Agent01_Savings!A92="","",Agent01_Savings!J92)</f>
        <v/>
      </c>
      <c r="J85" s="40" t="str">
        <f>IF(Agent01_Savings!A92="","",Agent01_Savings!K92)</f>
        <v/>
      </c>
      <c r="K85" s="40" t="str">
        <f>IFERROR(IF(Agent01_Savings!A92="","",YEAR(Agent01_Savings!D92)),"")</f>
        <v/>
      </c>
    </row>
    <row r="86" spans="1:11" ht="18" customHeight="1" x14ac:dyDescent="0.25">
      <c r="A86" s="40" t="str">
        <f>IF(Agent01_Savings!A93="","",Agent01_Savings!A93)</f>
        <v/>
      </c>
      <c r="B86" s="40" t="str">
        <f ca="1">IF(Agent01_Savings!A93="","","SV"&amp;TEXT(86-3,"0000")&amp;"-"&amp;TEXT(TODAY(),"YYYYMMDD"))</f>
        <v/>
      </c>
      <c r="C86" s="40" t="str">
        <f>IF(Agent01_Savings!A93="","",Agent01_Savings!B93)</f>
        <v/>
      </c>
      <c r="D86" s="40" t="str">
        <f>IF(Agent01_Savings!A93="","",Agent01_Savings!G93)</f>
        <v/>
      </c>
      <c r="E86" s="41" t="str">
        <f>IF(Agent01_Savings!A93="","",Agent01_Savings!D93)</f>
        <v/>
      </c>
      <c r="F86" s="42" t="str">
        <f>IF(Agent01_Savings!A93="","",Agent01_Savings!E93)</f>
        <v/>
      </c>
      <c r="G86" s="42" t="str">
        <f>IF(Agent01_Savings!A93="","",Agent01_Savings!F93)</f>
        <v/>
      </c>
      <c r="H86" s="40" t="str">
        <f>IF(Agent01_Savings!A93="","",Agent01_Savings!I93)</f>
        <v/>
      </c>
      <c r="I86" s="40" t="str">
        <f>IF(Agent01_Savings!A93="","",Agent01_Savings!J93)</f>
        <v/>
      </c>
      <c r="J86" s="40" t="str">
        <f>IF(Agent01_Savings!A93="","",Agent01_Savings!K93)</f>
        <v/>
      </c>
      <c r="K86" s="40" t="str">
        <f>IFERROR(IF(Agent01_Savings!A93="","",YEAR(Agent01_Savings!D93)),"")</f>
        <v/>
      </c>
    </row>
    <row r="87" spans="1:11" ht="18" customHeight="1" x14ac:dyDescent="0.25">
      <c r="A87" s="40" t="str">
        <f>IF(Agent01_Savings!A94="","",Agent01_Savings!A94)</f>
        <v/>
      </c>
      <c r="B87" s="40" t="str">
        <f ca="1">IF(Agent01_Savings!A94="","","SV"&amp;TEXT(87-3,"0000")&amp;"-"&amp;TEXT(TODAY(),"YYYYMMDD"))</f>
        <v/>
      </c>
      <c r="C87" s="40" t="str">
        <f>IF(Agent01_Savings!A94="","",Agent01_Savings!B94)</f>
        <v/>
      </c>
      <c r="D87" s="40" t="str">
        <f>IF(Agent01_Savings!A94="","",Agent01_Savings!G94)</f>
        <v/>
      </c>
      <c r="E87" s="41" t="str">
        <f>IF(Agent01_Savings!A94="","",Agent01_Savings!D94)</f>
        <v/>
      </c>
      <c r="F87" s="42" t="str">
        <f>IF(Agent01_Savings!A94="","",Agent01_Savings!E94)</f>
        <v/>
      </c>
      <c r="G87" s="42" t="str">
        <f>IF(Agent01_Savings!A94="","",Agent01_Savings!F94)</f>
        <v/>
      </c>
      <c r="H87" s="40" t="str">
        <f>IF(Agent01_Savings!A94="","",Agent01_Savings!I94)</f>
        <v/>
      </c>
      <c r="I87" s="40" t="str">
        <f>IF(Agent01_Savings!A94="","",Agent01_Savings!J94)</f>
        <v/>
      </c>
      <c r="J87" s="40" t="str">
        <f>IF(Agent01_Savings!A94="","",Agent01_Savings!K94)</f>
        <v/>
      </c>
      <c r="K87" s="40" t="str">
        <f>IFERROR(IF(Agent01_Savings!A94="","",YEAR(Agent01_Savings!D94)),"")</f>
        <v/>
      </c>
    </row>
    <row r="88" spans="1:11" ht="18" customHeight="1" x14ac:dyDescent="0.25">
      <c r="A88" s="40" t="str">
        <f>IF(Agent01_Savings!A95="","",Agent01_Savings!A95)</f>
        <v/>
      </c>
      <c r="B88" s="40" t="str">
        <f ca="1">IF(Agent01_Savings!A95="","","SV"&amp;TEXT(88-3,"0000")&amp;"-"&amp;TEXT(TODAY(),"YYYYMMDD"))</f>
        <v/>
      </c>
      <c r="C88" s="40" t="str">
        <f>IF(Agent01_Savings!A95="","",Agent01_Savings!B95)</f>
        <v/>
      </c>
      <c r="D88" s="40" t="str">
        <f>IF(Agent01_Savings!A95="","",Agent01_Savings!G95)</f>
        <v/>
      </c>
      <c r="E88" s="41" t="str">
        <f>IF(Agent01_Savings!A95="","",Agent01_Savings!D95)</f>
        <v/>
      </c>
      <c r="F88" s="42" t="str">
        <f>IF(Agent01_Savings!A95="","",Agent01_Savings!E95)</f>
        <v/>
      </c>
      <c r="G88" s="42" t="str">
        <f>IF(Agent01_Savings!A95="","",Agent01_Savings!F95)</f>
        <v/>
      </c>
      <c r="H88" s="40" t="str">
        <f>IF(Agent01_Savings!A95="","",Agent01_Savings!I95)</f>
        <v/>
      </c>
      <c r="I88" s="40" t="str">
        <f>IF(Agent01_Savings!A95="","",Agent01_Savings!J95)</f>
        <v/>
      </c>
      <c r="J88" s="40" t="str">
        <f>IF(Agent01_Savings!A95="","",Agent01_Savings!K95)</f>
        <v/>
      </c>
      <c r="K88" s="40" t="str">
        <f>IFERROR(IF(Agent01_Savings!A95="","",YEAR(Agent01_Savings!D95)),"")</f>
        <v/>
      </c>
    </row>
    <row r="89" spans="1:11" ht="18" customHeight="1" x14ac:dyDescent="0.25">
      <c r="A89" s="40" t="str">
        <f>IF(Agent01_Savings!A96="","",Agent01_Savings!A96)</f>
        <v/>
      </c>
      <c r="B89" s="40" t="str">
        <f ca="1">IF(Agent01_Savings!A96="","","SV"&amp;TEXT(89-3,"0000")&amp;"-"&amp;TEXT(TODAY(),"YYYYMMDD"))</f>
        <v/>
      </c>
      <c r="C89" s="40" t="str">
        <f>IF(Agent01_Savings!A96="","",Agent01_Savings!B96)</f>
        <v/>
      </c>
      <c r="D89" s="40" t="str">
        <f>IF(Agent01_Savings!A96="","",Agent01_Savings!G96)</f>
        <v/>
      </c>
      <c r="E89" s="41" t="str">
        <f>IF(Agent01_Savings!A96="","",Agent01_Savings!D96)</f>
        <v/>
      </c>
      <c r="F89" s="42" t="str">
        <f>IF(Agent01_Savings!A96="","",Agent01_Savings!E96)</f>
        <v/>
      </c>
      <c r="G89" s="42" t="str">
        <f>IF(Agent01_Savings!A96="","",Agent01_Savings!F96)</f>
        <v/>
      </c>
      <c r="H89" s="40" t="str">
        <f>IF(Agent01_Savings!A96="","",Agent01_Savings!I96)</f>
        <v/>
      </c>
      <c r="I89" s="40" t="str">
        <f>IF(Agent01_Savings!A96="","",Agent01_Savings!J96)</f>
        <v/>
      </c>
      <c r="J89" s="40" t="str">
        <f>IF(Agent01_Savings!A96="","",Agent01_Savings!K96)</f>
        <v/>
      </c>
      <c r="K89" s="40" t="str">
        <f>IFERROR(IF(Agent01_Savings!A96="","",YEAR(Agent01_Savings!D96)),"")</f>
        <v/>
      </c>
    </row>
    <row r="90" spans="1:11" ht="18" customHeight="1" x14ac:dyDescent="0.25">
      <c r="A90" s="40" t="str">
        <f>IF(Agent01_Savings!A97="","",Agent01_Savings!A97)</f>
        <v/>
      </c>
      <c r="B90" s="40" t="str">
        <f ca="1">IF(Agent01_Savings!A97="","","SV"&amp;TEXT(90-3,"0000")&amp;"-"&amp;TEXT(TODAY(),"YYYYMMDD"))</f>
        <v/>
      </c>
      <c r="C90" s="40" t="str">
        <f>IF(Agent01_Savings!A97="","",Agent01_Savings!B97)</f>
        <v/>
      </c>
      <c r="D90" s="40" t="str">
        <f>IF(Agent01_Savings!A97="","",Agent01_Savings!G97)</f>
        <v/>
      </c>
      <c r="E90" s="41" t="str">
        <f>IF(Agent01_Savings!A97="","",Agent01_Savings!D97)</f>
        <v/>
      </c>
      <c r="F90" s="42" t="str">
        <f>IF(Agent01_Savings!A97="","",Agent01_Savings!E97)</f>
        <v/>
      </c>
      <c r="G90" s="42" t="str">
        <f>IF(Agent01_Savings!A97="","",Agent01_Savings!F97)</f>
        <v/>
      </c>
      <c r="H90" s="40" t="str">
        <f>IF(Agent01_Savings!A97="","",Agent01_Savings!I97)</f>
        <v/>
      </c>
      <c r="I90" s="40" t="str">
        <f>IF(Agent01_Savings!A97="","",Agent01_Savings!J97)</f>
        <v/>
      </c>
      <c r="J90" s="40" t="str">
        <f>IF(Agent01_Savings!A97="","",Agent01_Savings!K97)</f>
        <v/>
      </c>
      <c r="K90" s="40" t="str">
        <f>IFERROR(IF(Agent01_Savings!A97="","",YEAR(Agent01_Savings!D97)),"")</f>
        <v/>
      </c>
    </row>
    <row r="91" spans="1:11" ht="18" customHeight="1" x14ac:dyDescent="0.25">
      <c r="A91" s="40" t="str">
        <f>IF(Agent01_Savings!A98="","",Agent01_Savings!A98)</f>
        <v/>
      </c>
      <c r="B91" s="40" t="str">
        <f ca="1">IF(Agent01_Savings!A98="","","SV"&amp;TEXT(91-3,"0000")&amp;"-"&amp;TEXT(TODAY(),"YYYYMMDD"))</f>
        <v/>
      </c>
      <c r="C91" s="40" t="str">
        <f>IF(Agent01_Savings!A98="","",Agent01_Savings!B98)</f>
        <v/>
      </c>
      <c r="D91" s="40" t="str">
        <f>IF(Agent01_Savings!A98="","",Agent01_Savings!G98)</f>
        <v/>
      </c>
      <c r="E91" s="41" t="str">
        <f>IF(Agent01_Savings!A98="","",Agent01_Savings!D98)</f>
        <v/>
      </c>
      <c r="F91" s="42" t="str">
        <f>IF(Agent01_Savings!A98="","",Agent01_Savings!E98)</f>
        <v/>
      </c>
      <c r="G91" s="42" t="str">
        <f>IF(Agent01_Savings!A98="","",Agent01_Savings!F98)</f>
        <v/>
      </c>
      <c r="H91" s="40" t="str">
        <f>IF(Agent01_Savings!A98="","",Agent01_Savings!I98)</f>
        <v/>
      </c>
      <c r="I91" s="40" t="str">
        <f>IF(Agent01_Savings!A98="","",Agent01_Savings!J98)</f>
        <v/>
      </c>
      <c r="J91" s="40" t="str">
        <f>IF(Agent01_Savings!A98="","",Agent01_Savings!K98)</f>
        <v/>
      </c>
      <c r="K91" s="40" t="str">
        <f>IFERROR(IF(Agent01_Savings!A98="","",YEAR(Agent01_Savings!D98)),"")</f>
        <v/>
      </c>
    </row>
    <row r="92" spans="1:11" ht="18" customHeight="1" x14ac:dyDescent="0.25">
      <c r="A92" s="40" t="str">
        <f>IF(Agent01_Savings!A99="","",Agent01_Savings!A99)</f>
        <v/>
      </c>
      <c r="B92" s="40" t="str">
        <f ca="1">IF(Agent01_Savings!A99="","","SV"&amp;TEXT(92-3,"0000")&amp;"-"&amp;TEXT(TODAY(),"YYYYMMDD"))</f>
        <v/>
      </c>
      <c r="C92" s="40" t="str">
        <f>IF(Agent01_Savings!A99="","",Agent01_Savings!B99)</f>
        <v/>
      </c>
      <c r="D92" s="40" t="str">
        <f>IF(Agent01_Savings!A99="","",Agent01_Savings!G99)</f>
        <v/>
      </c>
      <c r="E92" s="41" t="str">
        <f>IF(Agent01_Savings!A99="","",Agent01_Savings!D99)</f>
        <v/>
      </c>
      <c r="F92" s="42" t="str">
        <f>IF(Agent01_Savings!A99="","",Agent01_Savings!E99)</f>
        <v/>
      </c>
      <c r="G92" s="42" t="str">
        <f>IF(Agent01_Savings!A99="","",Agent01_Savings!F99)</f>
        <v/>
      </c>
      <c r="H92" s="40" t="str">
        <f>IF(Agent01_Savings!A99="","",Agent01_Savings!I99)</f>
        <v/>
      </c>
      <c r="I92" s="40" t="str">
        <f>IF(Agent01_Savings!A99="","",Agent01_Savings!J99)</f>
        <v/>
      </c>
      <c r="J92" s="40" t="str">
        <f>IF(Agent01_Savings!A99="","",Agent01_Savings!K99)</f>
        <v/>
      </c>
      <c r="K92" s="40" t="str">
        <f>IFERROR(IF(Agent01_Savings!A99="","",YEAR(Agent01_Savings!D99)),"")</f>
        <v/>
      </c>
    </row>
    <row r="93" spans="1:11" ht="18" customHeight="1" x14ac:dyDescent="0.25">
      <c r="A93" s="40" t="str">
        <f>IF(Agent01_Savings!A100="","",Agent01_Savings!A100)</f>
        <v/>
      </c>
      <c r="B93" s="40" t="str">
        <f ca="1">IF(Agent01_Savings!A100="","","SV"&amp;TEXT(93-3,"0000")&amp;"-"&amp;TEXT(TODAY(),"YYYYMMDD"))</f>
        <v/>
      </c>
      <c r="C93" s="40" t="str">
        <f>IF(Agent01_Savings!A100="","",Agent01_Savings!B100)</f>
        <v/>
      </c>
      <c r="D93" s="40" t="str">
        <f>IF(Agent01_Savings!A100="","",Agent01_Savings!G100)</f>
        <v/>
      </c>
      <c r="E93" s="41" t="str">
        <f>IF(Agent01_Savings!A100="","",Agent01_Savings!D100)</f>
        <v/>
      </c>
      <c r="F93" s="42" t="str">
        <f>IF(Agent01_Savings!A100="","",Agent01_Savings!E100)</f>
        <v/>
      </c>
      <c r="G93" s="42" t="str">
        <f>IF(Agent01_Savings!A100="","",Agent01_Savings!F100)</f>
        <v/>
      </c>
      <c r="H93" s="40" t="str">
        <f>IF(Agent01_Savings!A100="","",Agent01_Savings!I100)</f>
        <v/>
      </c>
      <c r="I93" s="40" t="str">
        <f>IF(Agent01_Savings!A100="","",Agent01_Savings!J100)</f>
        <v/>
      </c>
      <c r="J93" s="40" t="str">
        <f>IF(Agent01_Savings!A100="","",Agent01_Savings!K100)</f>
        <v/>
      </c>
      <c r="K93" s="40" t="str">
        <f>IFERROR(IF(Agent01_Savings!A100="","",YEAR(Agent01_Savings!D100)),"")</f>
        <v/>
      </c>
    </row>
    <row r="94" spans="1:11" ht="18" customHeight="1" x14ac:dyDescent="0.25">
      <c r="A94" s="40" t="str">
        <f>IF(Agent01_Savings!A101="","",Agent01_Savings!A101)</f>
        <v/>
      </c>
      <c r="B94" s="40" t="str">
        <f ca="1">IF(Agent01_Savings!A101="","","SV"&amp;TEXT(94-3,"0000")&amp;"-"&amp;TEXT(TODAY(),"YYYYMMDD"))</f>
        <v/>
      </c>
      <c r="C94" s="40" t="str">
        <f>IF(Agent01_Savings!A101="","",Agent01_Savings!B101)</f>
        <v/>
      </c>
      <c r="D94" s="40" t="str">
        <f>IF(Agent01_Savings!A101="","",Agent01_Savings!G101)</f>
        <v/>
      </c>
      <c r="E94" s="41" t="str">
        <f>IF(Agent01_Savings!A101="","",Agent01_Savings!D101)</f>
        <v/>
      </c>
      <c r="F94" s="42" t="str">
        <f>IF(Agent01_Savings!A101="","",Agent01_Savings!E101)</f>
        <v/>
      </c>
      <c r="G94" s="42" t="str">
        <f>IF(Agent01_Savings!A101="","",Agent01_Savings!F101)</f>
        <v/>
      </c>
      <c r="H94" s="40" t="str">
        <f>IF(Agent01_Savings!A101="","",Agent01_Savings!I101)</f>
        <v/>
      </c>
      <c r="I94" s="40" t="str">
        <f>IF(Agent01_Savings!A101="","",Agent01_Savings!J101)</f>
        <v/>
      </c>
      <c r="J94" s="40" t="str">
        <f>IF(Agent01_Savings!A101="","",Agent01_Savings!K101)</f>
        <v/>
      </c>
      <c r="K94" s="40" t="str">
        <f>IFERROR(IF(Agent01_Savings!A101="","",YEAR(Agent01_Savings!D101)),"")</f>
        <v/>
      </c>
    </row>
    <row r="95" spans="1:11" ht="18" customHeight="1" x14ac:dyDescent="0.25">
      <c r="A95" s="40" t="str">
        <f>IF(Agent01_Savings!A102="","",Agent01_Savings!A102)</f>
        <v/>
      </c>
      <c r="B95" s="40" t="str">
        <f ca="1">IF(Agent01_Savings!A102="","","SV"&amp;TEXT(95-3,"0000")&amp;"-"&amp;TEXT(TODAY(),"YYYYMMDD"))</f>
        <v/>
      </c>
      <c r="C95" s="40" t="str">
        <f>IF(Agent01_Savings!A102="","",Agent01_Savings!B102)</f>
        <v/>
      </c>
      <c r="D95" s="40" t="str">
        <f>IF(Agent01_Savings!A102="","",Agent01_Savings!G102)</f>
        <v/>
      </c>
      <c r="E95" s="41" t="str">
        <f>IF(Agent01_Savings!A102="","",Agent01_Savings!D102)</f>
        <v/>
      </c>
      <c r="F95" s="42" t="str">
        <f>IF(Agent01_Savings!A102="","",Agent01_Savings!E102)</f>
        <v/>
      </c>
      <c r="G95" s="42" t="str">
        <f>IF(Agent01_Savings!A102="","",Agent01_Savings!F102)</f>
        <v/>
      </c>
      <c r="H95" s="40" t="str">
        <f>IF(Agent01_Savings!A102="","",Agent01_Savings!I102)</f>
        <v/>
      </c>
      <c r="I95" s="40" t="str">
        <f>IF(Agent01_Savings!A102="","",Agent01_Savings!J102)</f>
        <v/>
      </c>
      <c r="J95" s="40" t="str">
        <f>IF(Agent01_Savings!A102="","",Agent01_Savings!K102)</f>
        <v/>
      </c>
      <c r="K95" s="40" t="str">
        <f>IFERROR(IF(Agent01_Savings!A102="","",YEAR(Agent01_Savings!D102)),"")</f>
        <v/>
      </c>
    </row>
    <row r="96" spans="1:11" ht="18" customHeight="1" x14ac:dyDescent="0.25">
      <c r="A96" s="40" t="str">
        <f>IF(Agent01_Savings!A103="","",Agent01_Savings!A103)</f>
        <v/>
      </c>
      <c r="B96" s="40" t="str">
        <f ca="1">IF(Agent01_Savings!A103="","","SV"&amp;TEXT(96-3,"0000")&amp;"-"&amp;TEXT(TODAY(),"YYYYMMDD"))</f>
        <v/>
      </c>
      <c r="C96" s="40" t="str">
        <f>IF(Agent01_Savings!A103="","",Agent01_Savings!B103)</f>
        <v/>
      </c>
      <c r="D96" s="40" t="str">
        <f>IF(Agent01_Savings!A103="","",Agent01_Savings!G103)</f>
        <v/>
      </c>
      <c r="E96" s="41" t="str">
        <f>IF(Agent01_Savings!A103="","",Agent01_Savings!D103)</f>
        <v/>
      </c>
      <c r="F96" s="42" t="str">
        <f>IF(Agent01_Savings!A103="","",Agent01_Savings!E103)</f>
        <v/>
      </c>
      <c r="G96" s="42" t="str">
        <f>IF(Agent01_Savings!A103="","",Agent01_Savings!F103)</f>
        <v/>
      </c>
      <c r="H96" s="40" t="str">
        <f>IF(Agent01_Savings!A103="","",Agent01_Savings!I103)</f>
        <v/>
      </c>
      <c r="I96" s="40" t="str">
        <f>IF(Agent01_Savings!A103="","",Agent01_Savings!J103)</f>
        <v/>
      </c>
      <c r="J96" s="40" t="str">
        <f>IF(Agent01_Savings!A103="","",Agent01_Savings!K103)</f>
        <v/>
      </c>
      <c r="K96" s="40" t="str">
        <f>IFERROR(IF(Agent01_Savings!A103="","",YEAR(Agent01_Savings!D103)),"")</f>
        <v/>
      </c>
    </row>
    <row r="97" spans="1:11" ht="18" customHeight="1" x14ac:dyDescent="0.25">
      <c r="A97" s="40" t="str">
        <f>IF(Agent01_Savings!A104="","",Agent01_Savings!A104)</f>
        <v/>
      </c>
      <c r="B97" s="40" t="str">
        <f ca="1">IF(Agent01_Savings!A104="","","SV"&amp;TEXT(97-3,"0000")&amp;"-"&amp;TEXT(TODAY(),"YYYYMMDD"))</f>
        <v/>
      </c>
      <c r="C97" s="40" t="str">
        <f>IF(Agent01_Savings!A104="","",Agent01_Savings!B104)</f>
        <v/>
      </c>
      <c r="D97" s="40" t="str">
        <f>IF(Agent01_Savings!A104="","",Agent01_Savings!G104)</f>
        <v/>
      </c>
      <c r="E97" s="41" t="str">
        <f>IF(Agent01_Savings!A104="","",Agent01_Savings!D104)</f>
        <v/>
      </c>
      <c r="F97" s="42" t="str">
        <f>IF(Agent01_Savings!A104="","",Agent01_Savings!E104)</f>
        <v/>
      </c>
      <c r="G97" s="42" t="str">
        <f>IF(Agent01_Savings!A104="","",Agent01_Savings!F104)</f>
        <v/>
      </c>
      <c r="H97" s="40" t="str">
        <f>IF(Agent01_Savings!A104="","",Agent01_Savings!I104)</f>
        <v/>
      </c>
      <c r="I97" s="40" t="str">
        <f>IF(Agent01_Savings!A104="","",Agent01_Savings!J104)</f>
        <v/>
      </c>
      <c r="J97" s="40" t="str">
        <f>IF(Agent01_Savings!A104="","",Agent01_Savings!K104)</f>
        <v/>
      </c>
      <c r="K97" s="40" t="str">
        <f>IFERROR(IF(Agent01_Savings!A104="","",YEAR(Agent01_Savings!D104)),"")</f>
        <v/>
      </c>
    </row>
    <row r="98" spans="1:11" ht="18" customHeight="1" x14ac:dyDescent="0.25">
      <c r="A98" s="40" t="str">
        <f>IF(Agent01_Savings!A105="","",Agent01_Savings!A105)</f>
        <v/>
      </c>
      <c r="B98" s="40" t="str">
        <f ca="1">IF(Agent01_Savings!A105="","","SV"&amp;TEXT(98-3,"0000")&amp;"-"&amp;TEXT(TODAY(),"YYYYMMDD"))</f>
        <v/>
      </c>
      <c r="C98" s="40" t="str">
        <f>IF(Agent01_Savings!A105="","",Agent01_Savings!B105)</f>
        <v/>
      </c>
      <c r="D98" s="40" t="str">
        <f>IF(Agent01_Savings!A105="","",Agent01_Savings!G105)</f>
        <v/>
      </c>
      <c r="E98" s="41" t="str">
        <f>IF(Agent01_Savings!A105="","",Agent01_Savings!D105)</f>
        <v/>
      </c>
      <c r="F98" s="42" t="str">
        <f>IF(Agent01_Savings!A105="","",Agent01_Savings!E105)</f>
        <v/>
      </c>
      <c r="G98" s="42" t="str">
        <f>IF(Agent01_Savings!A105="","",Agent01_Savings!F105)</f>
        <v/>
      </c>
      <c r="H98" s="40" t="str">
        <f>IF(Agent01_Savings!A105="","",Agent01_Savings!I105)</f>
        <v/>
      </c>
      <c r="I98" s="40" t="str">
        <f>IF(Agent01_Savings!A105="","",Agent01_Savings!J105)</f>
        <v/>
      </c>
      <c r="J98" s="40" t="str">
        <f>IF(Agent01_Savings!A105="","",Agent01_Savings!K105)</f>
        <v/>
      </c>
      <c r="K98" s="40" t="str">
        <f>IFERROR(IF(Agent01_Savings!A105="","",YEAR(Agent01_Savings!D105)),"")</f>
        <v/>
      </c>
    </row>
    <row r="99" spans="1:11" ht="18" customHeight="1" x14ac:dyDescent="0.25">
      <c r="A99" s="40" t="str">
        <f>IF(Agent01_Savings!A106="","",Agent01_Savings!A106)</f>
        <v/>
      </c>
      <c r="B99" s="40" t="str">
        <f ca="1">IF(Agent01_Savings!A106="","","SV"&amp;TEXT(99-3,"0000")&amp;"-"&amp;TEXT(TODAY(),"YYYYMMDD"))</f>
        <v/>
      </c>
      <c r="C99" s="40" t="str">
        <f>IF(Agent01_Savings!A106="","",Agent01_Savings!B106)</f>
        <v/>
      </c>
      <c r="D99" s="40" t="str">
        <f>IF(Agent01_Savings!A106="","",Agent01_Savings!G106)</f>
        <v/>
      </c>
      <c r="E99" s="41" t="str">
        <f>IF(Agent01_Savings!A106="","",Agent01_Savings!D106)</f>
        <v/>
      </c>
      <c r="F99" s="42" t="str">
        <f>IF(Agent01_Savings!A106="","",Agent01_Savings!E106)</f>
        <v/>
      </c>
      <c r="G99" s="42" t="str">
        <f>IF(Agent01_Savings!A106="","",Agent01_Savings!F106)</f>
        <v/>
      </c>
      <c r="H99" s="40" t="str">
        <f>IF(Agent01_Savings!A106="","",Agent01_Savings!I106)</f>
        <v/>
      </c>
      <c r="I99" s="40" t="str">
        <f>IF(Agent01_Savings!A106="","",Agent01_Savings!J106)</f>
        <v/>
      </c>
      <c r="J99" s="40" t="str">
        <f>IF(Agent01_Savings!A106="","",Agent01_Savings!K106)</f>
        <v/>
      </c>
      <c r="K99" s="40" t="str">
        <f>IFERROR(IF(Agent01_Savings!A106="","",YEAR(Agent01_Savings!D106)),"")</f>
        <v/>
      </c>
    </row>
    <row r="100" spans="1:11" ht="18" customHeight="1" x14ac:dyDescent="0.25">
      <c r="A100" s="40" t="str">
        <f>IF(Agent01_Savings!A107="","",Agent01_Savings!A107)</f>
        <v/>
      </c>
      <c r="B100" s="40" t="str">
        <f ca="1">IF(Agent01_Savings!A107="","","SV"&amp;TEXT(100-3,"0000")&amp;"-"&amp;TEXT(TODAY(),"YYYYMMDD"))</f>
        <v/>
      </c>
      <c r="C100" s="40" t="str">
        <f>IF(Agent01_Savings!A107="","",Agent01_Savings!B107)</f>
        <v/>
      </c>
      <c r="D100" s="40" t="str">
        <f>IF(Agent01_Savings!A107="","",Agent01_Savings!G107)</f>
        <v/>
      </c>
      <c r="E100" s="41" t="str">
        <f>IF(Agent01_Savings!A107="","",Agent01_Savings!D107)</f>
        <v/>
      </c>
      <c r="F100" s="42" t="str">
        <f>IF(Agent01_Savings!A107="","",Agent01_Savings!E107)</f>
        <v/>
      </c>
      <c r="G100" s="42" t="str">
        <f>IF(Agent01_Savings!A107="","",Agent01_Savings!F107)</f>
        <v/>
      </c>
      <c r="H100" s="40" t="str">
        <f>IF(Agent01_Savings!A107="","",Agent01_Savings!I107)</f>
        <v/>
      </c>
      <c r="I100" s="40" t="str">
        <f>IF(Agent01_Savings!A107="","",Agent01_Savings!J107)</f>
        <v/>
      </c>
      <c r="J100" s="40" t="str">
        <f>IF(Agent01_Savings!A107="","",Agent01_Savings!K107)</f>
        <v/>
      </c>
      <c r="K100" s="40" t="str">
        <f>IFERROR(IF(Agent01_Savings!A107="","",YEAR(Agent01_Savings!D107)),"")</f>
        <v/>
      </c>
    </row>
    <row r="101" spans="1:11" ht="18" customHeight="1" x14ac:dyDescent="0.25">
      <c r="A101" s="40" t="str">
        <f>IF(Agent01_Savings!A108="","",Agent01_Savings!A108)</f>
        <v/>
      </c>
      <c r="B101" s="40" t="str">
        <f ca="1">IF(Agent01_Savings!A108="","","SV"&amp;TEXT(101-3,"0000")&amp;"-"&amp;TEXT(TODAY(),"YYYYMMDD"))</f>
        <v/>
      </c>
      <c r="C101" s="40" t="str">
        <f>IF(Agent01_Savings!A108="","",Agent01_Savings!B108)</f>
        <v/>
      </c>
      <c r="D101" s="40" t="str">
        <f>IF(Agent01_Savings!A108="","",Agent01_Savings!G108)</f>
        <v/>
      </c>
      <c r="E101" s="41" t="str">
        <f>IF(Agent01_Savings!A108="","",Agent01_Savings!D108)</f>
        <v/>
      </c>
      <c r="F101" s="42" t="str">
        <f>IF(Agent01_Savings!A108="","",Agent01_Savings!E108)</f>
        <v/>
      </c>
      <c r="G101" s="42" t="str">
        <f>IF(Agent01_Savings!A108="","",Agent01_Savings!F108)</f>
        <v/>
      </c>
      <c r="H101" s="40" t="str">
        <f>IF(Agent01_Savings!A108="","",Agent01_Savings!I108)</f>
        <v/>
      </c>
      <c r="I101" s="40" t="str">
        <f>IF(Agent01_Savings!A108="","",Agent01_Savings!J108)</f>
        <v/>
      </c>
      <c r="J101" s="40" t="str">
        <f>IF(Agent01_Savings!A108="","",Agent01_Savings!K108)</f>
        <v/>
      </c>
      <c r="K101" s="40" t="str">
        <f>IFERROR(IF(Agent01_Savings!A108="","",YEAR(Agent01_Savings!D108)),"")</f>
        <v/>
      </c>
    </row>
    <row r="102" spans="1:11" ht="18" customHeight="1" x14ac:dyDescent="0.25">
      <c r="A102" s="40" t="str">
        <f>IF(Agent01_Savings!A109="","",Agent01_Savings!A109)</f>
        <v/>
      </c>
      <c r="B102" s="40" t="str">
        <f ca="1">IF(Agent01_Savings!A109="","","SV"&amp;TEXT(102-3,"0000")&amp;"-"&amp;TEXT(TODAY(),"YYYYMMDD"))</f>
        <v/>
      </c>
      <c r="C102" s="40" t="str">
        <f>IF(Agent01_Savings!A109="","",Agent01_Savings!B109)</f>
        <v/>
      </c>
      <c r="D102" s="40" t="str">
        <f>IF(Agent01_Savings!A109="","",Agent01_Savings!G109)</f>
        <v/>
      </c>
      <c r="E102" s="41" t="str">
        <f>IF(Agent01_Savings!A109="","",Agent01_Savings!D109)</f>
        <v/>
      </c>
      <c r="F102" s="42" t="str">
        <f>IF(Agent01_Savings!A109="","",Agent01_Savings!E109)</f>
        <v/>
      </c>
      <c r="G102" s="42" t="str">
        <f>IF(Agent01_Savings!A109="","",Agent01_Savings!F109)</f>
        <v/>
      </c>
      <c r="H102" s="40" t="str">
        <f>IF(Agent01_Savings!A109="","",Agent01_Savings!I109)</f>
        <v/>
      </c>
      <c r="I102" s="40" t="str">
        <f>IF(Agent01_Savings!A109="","",Agent01_Savings!J109)</f>
        <v/>
      </c>
      <c r="J102" s="40" t="str">
        <f>IF(Agent01_Savings!A109="","",Agent01_Savings!K109)</f>
        <v/>
      </c>
      <c r="K102" s="40" t="str">
        <f>IFERROR(IF(Agent01_Savings!A109="","",YEAR(Agent01_Savings!D109)),"")</f>
        <v/>
      </c>
    </row>
    <row r="103" spans="1:11" ht="18" customHeight="1" x14ac:dyDescent="0.25">
      <c r="A103" s="40" t="str">
        <f>IF(Agent01_Savings!A110="","",Agent01_Savings!A110)</f>
        <v/>
      </c>
      <c r="B103" s="40" t="str">
        <f ca="1">IF(Agent01_Savings!A110="","","SV"&amp;TEXT(103-3,"0000")&amp;"-"&amp;TEXT(TODAY(),"YYYYMMDD"))</f>
        <v/>
      </c>
      <c r="C103" s="40" t="str">
        <f>IF(Agent01_Savings!A110="","",Agent01_Savings!B110)</f>
        <v/>
      </c>
      <c r="D103" s="40" t="str">
        <f>IF(Agent01_Savings!A110="","",Agent01_Savings!G110)</f>
        <v/>
      </c>
      <c r="E103" s="41" t="str">
        <f>IF(Agent01_Savings!A110="","",Agent01_Savings!D110)</f>
        <v/>
      </c>
      <c r="F103" s="42" t="str">
        <f>IF(Agent01_Savings!A110="","",Agent01_Savings!E110)</f>
        <v/>
      </c>
      <c r="G103" s="42" t="str">
        <f>IF(Agent01_Savings!A110="","",Agent01_Savings!F110)</f>
        <v/>
      </c>
      <c r="H103" s="40" t="str">
        <f>IF(Agent01_Savings!A110="","",Agent01_Savings!I110)</f>
        <v/>
      </c>
      <c r="I103" s="40" t="str">
        <f>IF(Agent01_Savings!A110="","",Agent01_Savings!J110)</f>
        <v/>
      </c>
      <c r="J103" s="40" t="str">
        <f>IF(Agent01_Savings!A110="","",Agent01_Savings!K110)</f>
        <v/>
      </c>
      <c r="K103" s="40" t="str">
        <f>IFERROR(IF(Agent01_Savings!A110="","",YEAR(Agent01_Savings!D110)),"")</f>
        <v/>
      </c>
    </row>
    <row r="104" spans="1:11" ht="18" customHeight="1" x14ac:dyDescent="0.25">
      <c r="A104" s="40" t="str">
        <f>IF(Agent01_Savings!A111="","",Agent01_Savings!A111)</f>
        <v/>
      </c>
      <c r="B104" s="40" t="str">
        <f ca="1">IF(Agent01_Savings!A111="","","SV"&amp;TEXT(104-3,"0000")&amp;"-"&amp;TEXT(TODAY(),"YYYYMMDD"))</f>
        <v/>
      </c>
      <c r="C104" s="40" t="str">
        <f>IF(Agent01_Savings!A111="","",Agent01_Savings!B111)</f>
        <v/>
      </c>
      <c r="D104" s="40" t="str">
        <f>IF(Agent01_Savings!A111="","",Agent01_Savings!G111)</f>
        <v/>
      </c>
      <c r="E104" s="41" t="str">
        <f>IF(Agent01_Savings!A111="","",Agent01_Savings!D111)</f>
        <v/>
      </c>
      <c r="F104" s="42" t="str">
        <f>IF(Agent01_Savings!A111="","",Agent01_Savings!E111)</f>
        <v/>
      </c>
      <c r="G104" s="42" t="str">
        <f>IF(Agent01_Savings!A111="","",Agent01_Savings!F111)</f>
        <v/>
      </c>
      <c r="H104" s="40" t="str">
        <f>IF(Agent01_Savings!A111="","",Agent01_Savings!I111)</f>
        <v/>
      </c>
      <c r="I104" s="40" t="str">
        <f>IF(Agent01_Savings!A111="","",Agent01_Savings!J111)</f>
        <v/>
      </c>
      <c r="J104" s="40" t="str">
        <f>IF(Agent01_Savings!A111="","",Agent01_Savings!K111)</f>
        <v/>
      </c>
      <c r="K104" s="40" t="str">
        <f>IFERROR(IF(Agent01_Savings!A111="","",YEAR(Agent01_Savings!D111)),"")</f>
        <v/>
      </c>
    </row>
    <row r="105" spans="1:11" ht="18" customHeight="1" x14ac:dyDescent="0.25">
      <c r="A105" s="40" t="str">
        <f>IF(Agent01_Savings!A112="","",Agent01_Savings!A112)</f>
        <v/>
      </c>
      <c r="B105" s="40" t="str">
        <f ca="1">IF(Agent01_Savings!A112="","","SV"&amp;TEXT(105-3,"0000")&amp;"-"&amp;TEXT(TODAY(),"YYYYMMDD"))</f>
        <v/>
      </c>
      <c r="C105" s="40" t="str">
        <f>IF(Agent01_Savings!A112="","",Agent01_Savings!B112)</f>
        <v/>
      </c>
      <c r="D105" s="40" t="str">
        <f>IF(Agent01_Savings!A112="","",Agent01_Savings!G112)</f>
        <v/>
      </c>
      <c r="E105" s="41" t="str">
        <f>IF(Agent01_Savings!A112="","",Agent01_Savings!D112)</f>
        <v/>
      </c>
      <c r="F105" s="42" t="str">
        <f>IF(Agent01_Savings!A112="","",Agent01_Savings!E112)</f>
        <v/>
      </c>
      <c r="G105" s="42" t="str">
        <f>IF(Agent01_Savings!A112="","",Agent01_Savings!F112)</f>
        <v/>
      </c>
      <c r="H105" s="40" t="str">
        <f>IF(Agent01_Savings!A112="","",Agent01_Savings!I112)</f>
        <v/>
      </c>
      <c r="I105" s="40" t="str">
        <f>IF(Agent01_Savings!A112="","",Agent01_Savings!J112)</f>
        <v/>
      </c>
      <c r="J105" s="40" t="str">
        <f>IF(Agent01_Savings!A112="","",Agent01_Savings!K112)</f>
        <v/>
      </c>
      <c r="K105" s="40" t="str">
        <f>IFERROR(IF(Agent01_Savings!A112="","",YEAR(Agent01_Savings!D112)),"")</f>
        <v/>
      </c>
    </row>
    <row r="106" spans="1:11" ht="18" customHeight="1" x14ac:dyDescent="0.25">
      <c r="A106" s="40" t="str">
        <f>IF(Agent01_Savings!A113="","",Agent01_Savings!A113)</f>
        <v/>
      </c>
      <c r="B106" s="40" t="str">
        <f ca="1">IF(Agent01_Savings!A113="","","SV"&amp;TEXT(106-3,"0000")&amp;"-"&amp;TEXT(TODAY(),"YYYYMMDD"))</f>
        <v/>
      </c>
      <c r="C106" s="40" t="str">
        <f>IF(Agent01_Savings!A113="","",Agent01_Savings!B113)</f>
        <v/>
      </c>
      <c r="D106" s="40" t="str">
        <f>IF(Agent01_Savings!A113="","",Agent01_Savings!G113)</f>
        <v/>
      </c>
      <c r="E106" s="41" t="str">
        <f>IF(Agent01_Savings!A113="","",Agent01_Savings!D113)</f>
        <v/>
      </c>
      <c r="F106" s="42" t="str">
        <f>IF(Agent01_Savings!A113="","",Agent01_Savings!E113)</f>
        <v/>
      </c>
      <c r="G106" s="42" t="str">
        <f>IF(Agent01_Savings!A113="","",Agent01_Savings!F113)</f>
        <v/>
      </c>
      <c r="H106" s="40" t="str">
        <f>IF(Agent01_Savings!A113="","",Agent01_Savings!I113)</f>
        <v/>
      </c>
      <c r="I106" s="40" t="str">
        <f>IF(Agent01_Savings!A113="","",Agent01_Savings!J113)</f>
        <v/>
      </c>
      <c r="J106" s="40" t="str">
        <f>IF(Agent01_Savings!A113="","",Agent01_Savings!K113)</f>
        <v/>
      </c>
      <c r="K106" s="40" t="str">
        <f>IFERROR(IF(Agent01_Savings!A113="","",YEAR(Agent01_Savings!D113)),"")</f>
        <v/>
      </c>
    </row>
    <row r="107" spans="1:11" ht="18" customHeight="1" x14ac:dyDescent="0.25">
      <c r="A107" s="40" t="str">
        <f>IF(Agent01_Savings!A114="","",Agent01_Savings!A114)</f>
        <v/>
      </c>
      <c r="B107" s="40" t="str">
        <f ca="1">IF(Agent01_Savings!A114="","","SV"&amp;TEXT(107-3,"0000")&amp;"-"&amp;TEXT(TODAY(),"YYYYMMDD"))</f>
        <v/>
      </c>
      <c r="C107" s="40" t="str">
        <f>IF(Agent01_Savings!A114="","",Agent01_Savings!B114)</f>
        <v/>
      </c>
      <c r="D107" s="40" t="str">
        <f>IF(Agent01_Savings!A114="","",Agent01_Savings!G114)</f>
        <v/>
      </c>
      <c r="E107" s="41" t="str">
        <f>IF(Agent01_Savings!A114="","",Agent01_Savings!D114)</f>
        <v/>
      </c>
      <c r="F107" s="42" t="str">
        <f>IF(Agent01_Savings!A114="","",Agent01_Savings!E114)</f>
        <v/>
      </c>
      <c r="G107" s="42" t="str">
        <f>IF(Agent01_Savings!A114="","",Agent01_Savings!F114)</f>
        <v/>
      </c>
      <c r="H107" s="40" t="str">
        <f>IF(Agent01_Savings!A114="","",Agent01_Savings!I114)</f>
        <v/>
      </c>
      <c r="I107" s="40" t="str">
        <f>IF(Agent01_Savings!A114="","",Agent01_Savings!J114)</f>
        <v/>
      </c>
      <c r="J107" s="40" t="str">
        <f>IF(Agent01_Savings!A114="","",Agent01_Savings!K114)</f>
        <v/>
      </c>
      <c r="K107" s="40" t="str">
        <f>IFERROR(IF(Agent01_Savings!A114="","",YEAR(Agent01_Savings!D114)),"")</f>
        <v/>
      </c>
    </row>
    <row r="108" spans="1:11" ht="18" customHeight="1" x14ac:dyDescent="0.25">
      <c r="A108" s="40" t="str">
        <f>IF(Agent01_Savings!A115="","",Agent01_Savings!A115)</f>
        <v/>
      </c>
      <c r="B108" s="40" t="str">
        <f ca="1">IF(Agent01_Savings!A115="","","SV"&amp;TEXT(108-3,"0000")&amp;"-"&amp;TEXT(TODAY(),"YYYYMMDD"))</f>
        <v/>
      </c>
      <c r="C108" s="40" t="str">
        <f>IF(Agent01_Savings!A115="","",Agent01_Savings!B115)</f>
        <v/>
      </c>
      <c r="D108" s="40" t="str">
        <f>IF(Agent01_Savings!A115="","",Agent01_Savings!G115)</f>
        <v/>
      </c>
      <c r="E108" s="41" t="str">
        <f>IF(Agent01_Savings!A115="","",Agent01_Savings!D115)</f>
        <v/>
      </c>
      <c r="F108" s="42" t="str">
        <f>IF(Agent01_Savings!A115="","",Agent01_Savings!E115)</f>
        <v/>
      </c>
      <c r="G108" s="42" t="str">
        <f>IF(Agent01_Savings!A115="","",Agent01_Savings!F115)</f>
        <v/>
      </c>
      <c r="H108" s="40" t="str">
        <f>IF(Agent01_Savings!A115="","",Agent01_Savings!I115)</f>
        <v/>
      </c>
      <c r="I108" s="40" t="str">
        <f>IF(Agent01_Savings!A115="","",Agent01_Savings!J115)</f>
        <v/>
      </c>
      <c r="J108" s="40" t="str">
        <f>IF(Agent01_Savings!A115="","",Agent01_Savings!K115)</f>
        <v/>
      </c>
      <c r="K108" s="40" t="str">
        <f>IFERROR(IF(Agent01_Savings!A115="","",YEAR(Agent01_Savings!D115)),"")</f>
        <v/>
      </c>
    </row>
    <row r="109" spans="1:11" ht="18" customHeight="1" x14ac:dyDescent="0.25">
      <c r="A109" s="40" t="str">
        <f>IF(Agent01_Savings!A116="","",Agent01_Savings!A116)</f>
        <v/>
      </c>
      <c r="B109" s="40" t="str">
        <f ca="1">IF(Agent01_Savings!A116="","","SV"&amp;TEXT(109-3,"0000")&amp;"-"&amp;TEXT(TODAY(),"YYYYMMDD"))</f>
        <v/>
      </c>
      <c r="C109" s="40" t="str">
        <f>IF(Agent01_Savings!A116="","",Agent01_Savings!B116)</f>
        <v/>
      </c>
      <c r="D109" s="40" t="str">
        <f>IF(Agent01_Savings!A116="","",Agent01_Savings!G116)</f>
        <v/>
      </c>
      <c r="E109" s="41" t="str">
        <f>IF(Agent01_Savings!A116="","",Agent01_Savings!D116)</f>
        <v/>
      </c>
      <c r="F109" s="42" t="str">
        <f>IF(Agent01_Savings!A116="","",Agent01_Savings!E116)</f>
        <v/>
      </c>
      <c r="G109" s="42" t="str">
        <f>IF(Agent01_Savings!A116="","",Agent01_Savings!F116)</f>
        <v/>
      </c>
      <c r="H109" s="40" t="str">
        <f>IF(Agent01_Savings!A116="","",Agent01_Savings!I116)</f>
        <v/>
      </c>
      <c r="I109" s="40" t="str">
        <f>IF(Agent01_Savings!A116="","",Agent01_Savings!J116)</f>
        <v/>
      </c>
      <c r="J109" s="40" t="str">
        <f>IF(Agent01_Savings!A116="","",Agent01_Savings!K116)</f>
        <v/>
      </c>
      <c r="K109" s="40" t="str">
        <f>IFERROR(IF(Agent01_Savings!A116="","",YEAR(Agent01_Savings!D116)),"")</f>
        <v/>
      </c>
    </row>
    <row r="110" spans="1:11" ht="18" customHeight="1" x14ac:dyDescent="0.25">
      <c r="A110" s="40" t="str">
        <f>IF(Agent01_Savings!A117="","",Agent01_Savings!A117)</f>
        <v/>
      </c>
      <c r="B110" s="40" t="str">
        <f ca="1">IF(Agent01_Savings!A117="","","SV"&amp;TEXT(110-3,"0000")&amp;"-"&amp;TEXT(TODAY(),"YYYYMMDD"))</f>
        <v/>
      </c>
      <c r="C110" s="40" t="str">
        <f>IF(Agent01_Savings!A117="","",Agent01_Savings!B117)</f>
        <v/>
      </c>
      <c r="D110" s="40" t="str">
        <f>IF(Agent01_Savings!A117="","",Agent01_Savings!G117)</f>
        <v/>
      </c>
      <c r="E110" s="41" t="str">
        <f>IF(Agent01_Savings!A117="","",Agent01_Savings!D117)</f>
        <v/>
      </c>
      <c r="F110" s="42" t="str">
        <f>IF(Agent01_Savings!A117="","",Agent01_Savings!E117)</f>
        <v/>
      </c>
      <c r="G110" s="42" t="str">
        <f>IF(Agent01_Savings!A117="","",Agent01_Savings!F117)</f>
        <v/>
      </c>
      <c r="H110" s="40" t="str">
        <f>IF(Agent01_Savings!A117="","",Agent01_Savings!I117)</f>
        <v/>
      </c>
      <c r="I110" s="40" t="str">
        <f>IF(Agent01_Savings!A117="","",Agent01_Savings!J117)</f>
        <v/>
      </c>
      <c r="J110" s="40" t="str">
        <f>IF(Agent01_Savings!A117="","",Agent01_Savings!K117)</f>
        <v/>
      </c>
      <c r="K110" s="40" t="str">
        <f>IFERROR(IF(Agent01_Savings!A117="","",YEAR(Agent01_Savings!D117)),"")</f>
        <v/>
      </c>
    </row>
    <row r="111" spans="1:11" ht="18" customHeight="1" x14ac:dyDescent="0.25">
      <c r="A111" s="40" t="str">
        <f>IF(Agent01_Savings!A118="","",Agent01_Savings!A118)</f>
        <v/>
      </c>
      <c r="B111" s="40" t="str">
        <f ca="1">IF(Agent01_Savings!A118="","","SV"&amp;TEXT(111-3,"0000")&amp;"-"&amp;TEXT(TODAY(),"YYYYMMDD"))</f>
        <v/>
      </c>
      <c r="C111" s="40" t="str">
        <f>IF(Agent01_Savings!A118="","",Agent01_Savings!B118)</f>
        <v/>
      </c>
      <c r="D111" s="40" t="str">
        <f>IF(Agent01_Savings!A118="","",Agent01_Savings!G118)</f>
        <v/>
      </c>
      <c r="E111" s="41" t="str">
        <f>IF(Agent01_Savings!A118="","",Agent01_Savings!D118)</f>
        <v/>
      </c>
      <c r="F111" s="42" t="str">
        <f>IF(Agent01_Savings!A118="","",Agent01_Savings!E118)</f>
        <v/>
      </c>
      <c r="G111" s="42" t="str">
        <f>IF(Agent01_Savings!A118="","",Agent01_Savings!F118)</f>
        <v/>
      </c>
      <c r="H111" s="40" t="str">
        <f>IF(Agent01_Savings!A118="","",Agent01_Savings!I118)</f>
        <v/>
      </c>
      <c r="I111" s="40" t="str">
        <f>IF(Agent01_Savings!A118="","",Agent01_Savings!J118)</f>
        <v/>
      </c>
      <c r="J111" s="40" t="str">
        <f>IF(Agent01_Savings!A118="","",Agent01_Savings!K118)</f>
        <v/>
      </c>
      <c r="K111" s="40" t="str">
        <f>IFERROR(IF(Agent01_Savings!A118="","",YEAR(Agent01_Savings!D118)),"")</f>
        <v/>
      </c>
    </row>
    <row r="112" spans="1:11" ht="18" customHeight="1" x14ac:dyDescent="0.25">
      <c r="A112" s="40" t="str">
        <f>IF(Agent01_Savings!A119="","",Agent01_Savings!A119)</f>
        <v/>
      </c>
      <c r="B112" s="40" t="str">
        <f ca="1">IF(Agent01_Savings!A119="","","SV"&amp;TEXT(112-3,"0000")&amp;"-"&amp;TEXT(TODAY(),"YYYYMMDD"))</f>
        <v/>
      </c>
      <c r="C112" s="40" t="str">
        <f>IF(Agent01_Savings!A119="","",Agent01_Savings!B119)</f>
        <v/>
      </c>
      <c r="D112" s="40" t="str">
        <f>IF(Agent01_Savings!A119="","",Agent01_Savings!G119)</f>
        <v/>
      </c>
      <c r="E112" s="41" t="str">
        <f>IF(Agent01_Savings!A119="","",Agent01_Savings!D119)</f>
        <v/>
      </c>
      <c r="F112" s="42" t="str">
        <f>IF(Agent01_Savings!A119="","",Agent01_Savings!E119)</f>
        <v/>
      </c>
      <c r="G112" s="42" t="str">
        <f>IF(Agent01_Savings!A119="","",Agent01_Savings!F119)</f>
        <v/>
      </c>
      <c r="H112" s="40" t="str">
        <f>IF(Agent01_Savings!A119="","",Agent01_Savings!I119)</f>
        <v/>
      </c>
      <c r="I112" s="40" t="str">
        <f>IF(Agent01_Savings!A119="","",Agent01_Savings!J119)</f>
        <v/>
      </c>
      <c r="J112" s="40" t="str">
        <f>IF(Agent01_Savings!A119="","",Agent01_Savings!K119)</f>
        <v/>
      </c>
      <c r="K112" s="40" t="str">
        <f>IFERROR(IF(Agent01_Savings!A119="","",YEAR(Agent01_Savings!D119)),"")</f>
        <v/>
      </c>
    </row>
    <row r="113" spans="1:11" ht="18" customHeight="1" x14ac:dyDescent="0.25">
      <c r="A113" s="40" t="str">
        <f>IF(Agent01_Savings!A120="","",Agent01_Savings!A120)</f>
        <v/>
      </c>
      <c r="B113" s="40" t="str">
        <f ca="1">IF(Agent01_Savings!A120="","","SV"&amp;TEXT(113-3,"0000")&amp;"-"&amp;TEXT(TODAY(),"YYYYMMDD"))</f>
        <v/>
      </c>
      <c r="C113" s="40" t="str">
        <f>IF(Agent01_Savings!A120="","",Agent01_Savings!B120)</f>
        <v/>
      </c>
      <c r="D113" s="40" t="str">
        <f>IF(Agent01_Savings!A120="","",Agent01_Savings!G120)</f>
        <v/>
      </c>
      <c r="E113" s="41" t="str">
        <f>IF(Agent01_Savings!A120="","",Agent01_Savings!D120)</f>
        <v/>
      </c>
      <c r="F113" s="42" t="str">
        <f>IF(Agent01_Savings!A120="","",Agent01_Savings!E120)</f>
        <v/>
      </c>
      <c r="G113" s="42" t="str">
        <f>IF(Agent01_Savings!A120="","",Agent01_Savings!F120)</f>
        <v/>
      </c>
      <c r="H113" s="40" t="str">
        <f>IF(Agent01_Savings!A120="","",Agent01_Savings!I120)</f>
        <v/>
      </c>
      <c r="I113" s="40" t="str">
        <f>IF(Agent01_Savings!A120="","",Agent01_Savings!J120)</f>
        <v/>
      </c>
      <c r="J113" s="40" t="str">
        <f>IF(Agent01_Savings!A120="","",Agent01_Savings!K120)</f>
        <v/>
      </c>
      <c r="K113" s="40" t="str">
        <f>IFERROR(IF(Agent01_Savings!A120="","",YEAR(Agent01_Savings!D120)),"")</f>
        <v/>
      </c>
    </row>
    <row r="114" spans="1:11" ht="18" customHeight="1" x14ac:dyDescent="0.25">
      <c r="A114" s="40" t="str">
        <f>IF(Agent01_Savings!A121="","",Agent01_Savings!A121)</f>
        <v/>
      </c>
      <c r="B114" s="40" t="str">
        <f ca="1">IF(Agent01_Savings!A121="","","SV"&amp;TEXT(114-3,"0000")&amp;"-"&amp;TEXT(TODAY(),"YYYYMMDD"))</f>
        <v/>
      </c>
      <c r="C114" s="40" t="str">
        <f>IF(Agent01_Savings!A121="","",Agent01_Savings!B121)</f>
        <v/>
      </c>
      <c r="D114" s="40" t="str">
        <f>IF(Agent01_Savings!A121="","",Agent01_Savings!G121)</f>
        <v/>
      </c>
      <c r="E114" s="41" t="str">
        <f>IF(Agent01_Savings!A121="","",Agent01_Savings!D121)</f>
        <v/>
      </c>
      <c r="F114" s="42" t="str">
        <f>IF(Agent01_Savings!A121="","",Agent01_Savings!E121)</f>
        <v/>
      </c>
      <c r="G114" s="42" t="str">
        <f>IF(Agent01_Savings!A121="","",Agent01_Savings!F121)</f>
        <v/>
      </c>
      <c r="H114" s="40" t="str">
        <f>IF(Agent01_Savings!A121="","",Agent01_Savings!I121)</f>
        <v/>
      </c>
      <c r="I114" s="40" t="str">
        <f>IF(Agent01_Savings!A121="","",Agent01_Savings!J121)</f>
        <v/>
      </c>
      <c r="J114" s="40" t="str">
        <f>IF(Agent01_Savings!A121="","",Agent01_Savings!K121)</f>
        <v/>
      </c>
      <c r="K114" s="40" t="str">
        <f>IFERROR(IF(Agent01_Savings!A121="","",YEAR(Agent01_Savings!D121)),"")</f>
        <v/>
      </c>
    </row>
    <row r="115" spans="1:11" ht="18" customHeight="1" x14ac:dyDescent="0.25">
      <c r="A115" s="40" t="str">
        <f>IF(Agent01_Savings!A122="","",Agent01_Savings!A122)</f>
        <v/>
      </c>
      <c r="B115" s="40" t="str">
        <f ca="1">IF(Agent01_Savings!A122="","","SV"&amp;TEXT(115-3,"0000")&amp;"-"&amp;TEXT(TODAY(),"YYYYMMDD"))</f>
        <v/>
      </c>
      <c r="C115" s="40" t="str">
        <f>IF(Agent01_Savings!A122="","",Agent01_Savings!B122)</f>
        <v/>
      </c>
      <c r="D115" s="40" t="str">
        <f>IF(Agent01_Savings!A122="","",Agent01_Savings!G122)</f>
        <v/>
      </c>
      <c r="E115" s="41" t="str">
        <f>IF(Agent01_Savings!A122="","",Agent01_Savings!D122)</f>
        <v/>
      </c>
      <c r="F115" s="42" t="str">
        <f>IF(Agent01_Savings!A122="","",Agent01_Savings!E122)</f>
        <v/>
      </c>
      <c r="G115" s="42" t="str">
        <f>IF(Agent01_Savings!A122="","",Agent01_Savings!F122)</f>
        <v/>
      </c>
      <c r="H115" s="40" t="str">
        <f>IF(Agent01_Savings!A122="","",Agent01_Savings!I122)</f>
        <v/>
      </c>
      <c r="I115" s="40" t="str">
        <f>IF(Agent01_Savings!A122="","",Agent01_Savings!J122)</f>
        <v/>
      </c>
      <c r="J115" s="40" t="str">
        <f>IF(Agent01_Savings!A122="","",Agent01_Savings!K122)</f>
        <v/>
      </c>
      <c r="K115" s="40" t="str">
        <f>IFERROR(IF(Agent01_Savings!A122="","",YEAR(Agent01_Savings!D122)),"")</f>
        <v/>
      </c>
    </row>
    <row r="116" spans="1:11" ht="18" customHeight="1" x14ac:dyDescent="0.25">
      <c r="A116" s="40" t="str">
        <f>IF(Agent01_Savings!A123="","",Agent01_Savings!A123)</f>
        <v/>
      </c>
      <c r="B116" s="40" t="str">
        <f ca="1">IF(Agent01_Savings!A123="","","SV"&amp;TEXT(116-3,"0000")&amp;"-"&amp;TEXT(TODAY(),"YYYYMMDD"))</f>
        <v/>
      </c>
      <c r="C116" s="40" t="str">
        <f>IF(Agent01_Savings!A123="","",Agent01_Savings!B123)</f>
        <v/>
      </c>
      <c r="D116" s="40" t="str">
        <f>IF(Agent01_Savings!A123="","",Agent01_Savings!G123)</f>
        <v/>
      </c>
      <c r="E116" s="41" t="str">
        <f>IF(Agent01_Savings!A123="","",Agent01_Savings!D123)</f>
        <v/>
      </c>
      <c r="F116" s="42" t="str">
        <f>IF(Agent01_Savings!A123="","",Agent01_Savings!E123)</f>
        <v/>
      </c>
      <c r="G116" s="42" t="str">
        <f>IF(Agent01_Savings!A123="","",Agent01_Savings!F123)</f>
        <v/>
      </c>
      <c r="H116" s="40" t="str">
        <f>IF(Agent01_Savings!A123="","",Agent01_Savings!I123)</f>
        <v/>
      </c>
      <c r="I116" s="40" t="str">
        <f>IF(Agent01_Savings!A123="","",Agent01_Savings!J123)</f>
        <v/>
      </c>
      <c r="J116" s="40" t="str">
        <f>IF(Agent01_Savings!A123="","",Agent01_Savings!K123)</f>
        <v/>
      </c>
      <c r="K116" s="40" t="str">
        <f>IFERROR(IF(Agent01_Savings!A123="","",YEAR(Agent01_Savings!D123)),"")</f>
        <v/>
      </c>
    </row>
    <row r="117" spans="1:11" ht="18" customHeight="1" x14ac:dyDescent="0.25">
      <c r="A117" s="40" t="str">
        <f>IF(Agent01_Savings!A124="","",Agent01_Savings!A124)</f>
        <v/>
      </c>
      <c r="B117" s="40" t="str">
        <f ca="1">IF(Agent01_Savings!A124="","","SV"&amp;TEXT(117-3,"0000")&amp;"-"&amp;TEXT(TODAY(),"YYYYMMDD"))</f>
        <v/>
      </c>
      <c r="C117" s="40" t="str">
        <f>IF(Agent01_Savings!A124="","",Agent01_Savings!B124)</f>
        <v/>
      </c>
      <c r="D117" s="40" t="str">
        <f>IF(Agent01_Savings!A124="","",Agent01_Savings!G124)</f>
        <v/>
      </c>
      <c r="E117" s="41" t="str">
        <f>IF(Agent01_Savings!A124="","",Agent01_Savings!D124)</f>
        <v/>
      </c>
      <c r="F117" s="42" t="str">
        <f>IF(Agent01_Savings!A124="","",Agent01_Savings!E124)</f>
        <v/>
      </c>
      <c r="G117" s="42" t="str">
        <f>IF(Agent01_Savings!A124="","",Agent01_Savings!F124)</f>
        <v/>
      </c>
      <c r="H117" s="40" t="str">
        <f>IF(Agent01_Savings!A124="","",Agent01_Savings!I124)</f>
        <v/>
      </c>
      <c r="I117" s="40" t="str">
        <f>IF(Agent01_Savings!A124="","",Agent01_Savings!J124)</f>
        <v/>
      </c>
      <c r="J117" s="40" t="str">
        <f>IF(Agent01_Savings!A124="","",Agent01_Savings!K124)</f>
        <v/>
      </c>
      <c r="K117" s="40" t="str">
        <f>IFERROR(IF(Agent01_Savings!A124="","",YEAR(Agent01_Savings!D124)),"")</f>
        <v/>
      </c>
    </row>
    <row r="118" spans="1:11" ht="18" customHeight="1" x14ac:dyDescent="0.25">
      <c r="A118" s="40" t="str">
        <f>IF(Agent01_Savings!A125="","",Agent01_Savings!A125)</f>
        <v/>
      </c>
      <c r="B118" s="40" t="str">
        <f ca="1">IF(Agent01_Savings!A125="","","SV"&amp;TEXT(118-3,"0000")&amp;"-"&amp;TEXT(TODAY(),"YYYYMMDD"))</f>
        <v/>
      </c>
      <c r="C118" s="40" t="str">
        <f>IF(Agent01_Savings!A125="","",Agent01_Savings!B125)</f>
        <v/>
      </c>
      <c r="D118" s="40" t="str">
        <f>IF(Agent01_Savings!A125="","",Agent01_Savings!G125)</f>
        <v/>
      </c>
      <c r="E118" s="41" t="str">
        <f>IF(Agent01_Savings!A125="","",Agent01_Savings!D125)</f>
        <v/>
      </c>
      <c r="F118" s="42" t="str">
        <f>IF(Agent01_Savings!A125="","",Agent01_Savings!E125)</f>
        <v/>
      </c>
      <c r="G118" s="42" t="str">
        <f>IF(Agent01_Savings!A125="","",Agent01_Savings!F125)</f>
        <v/>
      </c>
      <c r="H118" s="40" t="str">
        <f>IF(Agent01_Savings!A125="","",Agent01_Savings!I125)</f>
        <v/>
      </c>
      <c r="I118" s="40" t="str">
        <f>IF(Agent01_Savings!A125="","",Agent01_Savings!J125)</f>
        <v/>
      </c>
      <c r="J118" s="40" t="str">
        <f>IF(Agent01_Savings!A125="","",Agent01_Savings!K125)</f>
        <v/>
      </c>
      <c r="K118" s="40" t="str">
        <f>IFERROR(IF(Agent01_Savings!A125="","",YEAR(Agent01_Savings!D125)),"")</f>
        <v/>
      </c>
    </row>
    <row r="119" spans="1:11" ht="18" customHeight="1" x14ac:dyDescent="0.25">
      <c r="A119" s="40" t="str">
        <f>IF(Agent01_Savings!A126="","",Agent01_Savings!A126)</f>
        <v/>
      </c>
      <c r="B119" s="40" t="str">
        <f ca="1">IF(Agent01_Savings!A126="","","SV"&amp;TEXT(119-3,"0000")&amp;"-"&amp;TEXT(TODAY(),"YYYYMMDD"))</f>
        <v/>
      </c>
      <c r="C119" s="40" t="str">
        <f>IF(Agent01_Savings!A126="","",Agent01_Savings!B126)</f>
        <v/>
      </c>
      <c r="D119" s="40" t="str">
        <f>IF(Agent01_Savings!A126="","",Agent01_Savings!G126)</f>
        <v/>
      </c>
      <c r="E119" s="41" t="str">
        <f>IF(Agent01_Savings!A126="","",Agent01_Savings!D126)</f>
        <v/>
      </c>
      <c r="F119" s="42" t="str">
        <f>IF(Agent01_Savings!A126="","",Agent01_Savings!E126)</f>
        <v/>
      </c>
      <c r="G119" s="42" t="str">
        <f>IF(Agent01_Savings!A126="","",Agent01_Savings!F126)</f>
        <v/>
      </c>
      <c r="H119" s="40" t="str">
        <f>IF(Agent01_Savings!A126="","",Agent01_Savings!I126)</f>
        <v/>
      </c>
      <c r="I119" s="40" t="str">
        <f>IF(Agent01_Savings!A126="","",Agent01_Savings!J126)</f>
        <v/>
      </c>
      <c r="J119" s="40" t="str">
        <f>IF(Agent01_Savings!A126="","",Agent01_Savings!K126)</f>
        <v/>
      </c>
      <c r="K119" s="40" t="str">
        <f>IFERROR(IF(Agent01_Savings!A126="","",YEAR(Agent01_Savings!D126)),"")</f>
        <v/>
      </c>
    </row>
    <row r="120" spans="1:11" ht="18" customHeight="1" x14ac:dyDescent="0.25">
      <c r="A120" s="40" t="str">
        <f>IF(Agent01_Savings!A127="","",Agent01_Savings!A127)</f>
        <v/>
      </c>
      <c r="B120" s="40" t="str">
        <f ca="1">IF(Agent01_Savings!A127="","","SV"&amp;TEXT(120-3,"0000")&amp;"-"&amp;TEXT(TODAY(),"YYYYMMDD"))</f>
        <v/>
      </c>
      <c r="C120" s="40" t="str">
        <f>IF(Agent01_Savings!A127="","",Agent01_Savings!B127)</f>
        <v/>
      </c>
      <c r="D120" s="40" t="str">
        <f>IF(Agent01_Savings!A127="","",Agent01_Savings!G127)</f>
        <v/>
      </c>
      <c r="E120" s="41" t="str">
        <f>IF(Agent01_Savings!A127="","",Agent01_Savings!D127)</f>
        <v/>
      </c>
      <c r="F120" s="42" t="str">
        <f>IF(Agent01_Savings!A127="","",Agent01_Savings!E127)</f>
        <v/>
      </c>
      <c r="G120" s="42" t="str">
        <f>IF(Agent01_Savings!A127="","",Agent01_Savings!F127)</f>
        <v/>
      </c>
      <c r="H120" s="40" t="str">
        <f>IF(Agent01_Savings!A127="","",Agent01_Savings!I127)</f>
        <v/>
      </c>
      <c r="I120" s="40" t="str">
        <f>IF(Agent01_Savings!A127="","",Agent01_Savings!J127)</f>
        <v/>
      </c>
      <c r="J120" s="40" t="str">
        <f>IF(Agent01_Savings!A127="","",Agent01_Savings!K127)</f>
        <v/>
      </c>
      <c r="K120" s="40" t="str">
        <f>IFERROR(IF(Agent01_Savings!A127="","",YEAR(Agent01_Savings!D127)),"")</f>
        <v/>
      </c>
    </row>
    <row r="121" spans="1:11" ht="18" customHeight="1" x14ac:dyDescent="0.25">
      <c r="A121" s="40" t="str">
        <f>IF(Agent01_Savings!A128="","",Agent01_Savings!A128)</f>
        <v/>
      </c>
      <c r="B121" s="40" t="str">
        <f ca="1">IF(Agent01_Savings!A128="","","SV"&amp;TEXT(121-3,"0000")&amp;"-"&amp;TEXT(TODAY(),"YYYYMMDD"))</f>
        <v/>
      </c>
      <c r="C121" s="40" t="str">
        <f>IF(Agent01_Savings!A128="","",Agent01_Savings!B128)</f>
        <v/>
      </c>
      <c r="D121" s="40" t="str">
        <f>IF(Agent01_Savings!A128="","",Agent01_Savings!G128)</f>
        <v/>
      </c>
      <c r="E121" s="41" t="str">
        <f>IF(Agent01_Savings!A128="","",Agent01_Savings!D128)</f>
        <v/>
      </c>
      <c r="F121" s="42" t="str">
        <f>IF(Agent01_Savings!A128="","",Agent01_Savings!E128)</f>
        <v/>
      </c>
      <c r="G121" s="42" t="str">
        <f>IF(Agent01_Savings!A128="","",Agent01_Savings!F128)</f>
        <v/>
      </c>
      <c r="H121" s="40" t="str">
        <f>IF(Agent01_Savings!A128="","",Agent01_Savings!I128)</f>
        <v/>
      </c>
      <c r="I121" s="40" t="str">
        <f>IF(Agent01_Savings!A128="","",Agent01_Savings!J128)</f>
        <v/>
      </c>
      <c r="J121" s="40" t="str">
        <f>IF(Agent01_Savings!A128="","",Agent01_Savings!K128)</f>
        <v/>
      </c>
      <c r="K121" s="40" t="str">
        <f>IFERROR(IF(Agent01_Savings!A128="","",YEAR(Agent01_Savings!D128)),"")</f>
        <v/>
      </c>
    </row>
    <row r="122" spans="1:11" ht="18" customHeight="1" x14ac:dyDescent="0.25">
      <c r="A122" s="40" t="str">
        <f>IF(Agent01_Savings!A129="","",Agent01_Savings!A129)</f>
        <v/>
      </c>
      <c r="B122" s="40" t="str">
        <f ca="1">IF(Agent01_Savings!A129="","","SV"&amp;TEXT(122-3,"0000")&amp;"-"&amp;TEXT(TODAY(),"YYYYMMDD"))</f>
        <v/>
      </c>
      <c r="C122" s="40" t="str">
        <f>IF(Agent01_Savings!A129="","",Agent01_Savings!B129)</f>
        <v/>
      </c>
      <c r="D122" s="40" t="str">
        <f>IF(Agent01_Savings!A129="","",Agent01_Savings!G129)</f>
        <v/>
      </c>
      <c r="E122" s="41" t="str">
        <f>IF(Agent01_Savings!A129="","",Agent01_Savings!D129)</f>
        <v/>
      </c>
      <c r="F122" s="42" t="str">
        <f>IF(Agent01_Savings!A129="","",Agent01_Savings!E129)</f>
        <v/>
      </c>
      <c r="G122" s="42" t="str">
        <f>IF(Agent01_Savings!A129="","",Agent01_Savings!F129)</f>
        <v/>
      </c>
      <c r="H122" s="40" t="str">
        <f>IF(Agent01_Savings!A129="","",Agent01_Savings!I129)</f>
        <v/>
      </c>
      <c r="I122" s="40" t="str">
        <f>IF(Agent01_Savings!A129="","",Agent01_Savings!J129)</f>
        <v/>
      </c>
      <c r="J122" s="40" t="str">
        <f>IF(Agent01_Savings!A129="","",Agent01_Savings!K129)</f>
        <v/>
      </c>
      <c r="K122" s="40" t="str">
        <f>IFERROR(IF(Agent01_Savings!A129="","",YEAR(Agent01_Savings!D129)),"")</f>
        <v/>
      </c>
    </row>
    <row r="123" spans="1:11" ht="18" customHeight="1" x14ac:dyDescent="0.25">
      <c r="A123" s="40" t="str">
        <f>IF(Agent01_Savings!A130="","",Agent01_Savings!A130)</f>
        <v/>
      </c>
      <c r="B123" s="40" t="str">
        <f ca="1">IF(Agent01_Savings!A130="","","SV"&amp;TEXT(123-3,"0000")&amp;"-"&amp;TEXT(TODAY(),"YYYYMMDD"))</f>
        <v/>
      </c>
      <c r="C123" s="40" t="str">
        <f>IF(Agent01_Savings!A130="","",Agent01_Savings!B130)</f>
        <v/>
      </c>
      <c r="D123" s="40" t="str">
        <f>IF(Agent01_Savings!A130="","",Agent01_Savings!G130)</f>
        <v/>
      </c>
      <c r="E123" s="41" t="str">
        <f>IF(Agent01_Savings!A130="","",Agent01_Savings!D130)</f>
        <v/>
      </c>
      <c r="F123" s="42" t="str">
        <f>IF(Agent01_Savings!A130="","",Agent01_Savings!E130)</f>
        <v/>
      </c>
      <c r="G123" s="42" t="str">
        <f>IF(Agent01_Savings!A130="","",Agent01_Savings!F130)</f>
        <v/>
      </c>
      <c r="H123" s="40" t="str">
        <f>IF(Agent01_Savings!A130="","",Agent01_Savings!I130)</f>
        <v/>
      </c>
      <c r="I123" s="40" t="str">
        <f>IF(Agent01_Savings!A130="","",Agent01_Savings!J130)</f>
        <v/>
      </c>
      <c r="J123" s="40" t="str">
        <f>IF(Agent01_Savings!A130="","",Agent01_Savings!K130)</f>
        <v/>
      </c>
      <c r="K123" s="40" t="str">
        <f>IFERROR(IF(Agent01_Savings!A130="","",YEAR(Agent01_Savings!D130)),"")</f>
        <v/>
      </c>
    </row>
    <row r="124" spans="1:11" ht="18" customHeight="1" x14ac:dyDescent="0.25">
      <c r="A124" s="40" t="str">
        <f>IF(Agent01_Savings!A131="","",Agent01_Savings!A131)</f>
        <v/>
      </c>
      <c r="B124" s="40" t="str">
        <f ca="1">IF(Agent01_Savings!A131="","","SV"&amp;TEXT(124-3,"0000")&amp;"-"&amp;TEXT(TODAY(),"YYYYMMDD"))</f>
        <v/>
      </c>
      <c r="C124" s="40" t="str">
        <f>IF(Agent01_Savings!A131="","",Agent01_Savings!B131)</f>
        <v/>
      </c>
      <c r="D124" s="40" t="str">
        <f>IF(Agent01_Savings!A131="","",Agent01_Savings!G131)</f>
        <v/>
      </c>
      <c r="E124" s="41" t="str">
        <f>IF(Agent01_Savings!A131="","",Agent01_Savings!D131)</f>
        <v/>
      </c>
      <c r="F124" s="42" t="str">
        <f>IF(Agent01_Savings!A131="","",Agent01_Savings!E131)</f>
        <v/>
      </c>
      <c r="G124" s="42" t="str">
        <f>IF(Agent01_Savings!A131="","",Agent01_Savings!F131)</f>
        <v/>
      </c>
      <c r="H124" s="40" t="str">
        <f>IF(Agent01_Savings!A131="","",Agent01_Savings!I131)</f>
        <v/>
      </c>
      <c r="I124" s="40" t="str">
        <f>IF(Agent01_Savings!A131="","",Agent01_Savings!J131)</f>
        <v/>
      </c>
      <c r="J124" s="40" t="str">
        <f>IF(Agent01_Savings!A131="","",Agent01_Savings!K131)</f>
        <v/>
      </c>
      <c r="K124" s="40" t="str">
        <f>IFERROR(IF(Agent01_Savings!A131="","",YEAR(Agent01_Savings!D131)),"")</f>
        <v/>
      </c>
    </row>
    <row r="125" spans="1:11" ht="18" customHeight="1" x14ac:dyDescent="0.25">
      <c r="A125" s="40" t="str">
        <f>IF(Agent01_Savings!A132="","",Agent01_Savings!A132)</f>
        <v/>
      </c>
      <c r="B125" s="40" t="str">
        <f ca="1">IF(Agent01_Savings!A132="","","SV"&amp;TEXT(125-3,"0000")&amp;"-"&amp;TEXT(TODAY(),"YYYYMMDD"))</f>
        <v/>
      </c>
      <c r="C125" s="40" t="str">
        <f>IF(Agent01_Savings!A132="","",Agent01_Savings!B132)</f>
        <v/>
      </c>
      <c r="D125" s="40" t="str">
        <f>IF(Agent01_Savings!A132="","",Agent01_Savings!G132)</f>
        <v/>
      </c>
      <c r="E125" s="41" t="str">
        <f>IF(Agent01_Savings!A132="","",Agent01_Savings!D132)</f>
        <v/>
      </c>
      <c r="F125" s="42" t="str">
        <f>IF(Agent01_Savings!A132="","",Agent01_Savings!E132)</f>
        <v/>
      </c>
      <c r="G125" s="42" t="str">
        <f>IF(Agent01_Savings!A132="","",Agent01_Savings!F132)</f>
        <v/>
      </c>
      <c r="H125" s="40" t="str">
        <f>IF(Agent01_Savings!A132="","",Agent01_Savings!I132)</f>
        <v/>
      </c>
      <c r="I125" s="40" t="str">
        <f>IF(Agent01_Savings!A132="","",Agent01_Savings!J132)</f>
        <v/>
      </c>
      <c r="J125" s="40" t="str">
        <f>IF(Agent01_Savings!A132="","",Agent01_Savings!K132)</f>
        <v/>
      </c>
      <c r="K125" s="40" t="str">
        <f>IFERROR(IF(Agent01_Savings!A132="","",YEAR(Agent01_Savings!D132)),"")</f>
        <v/>
      </c>
    </row>
    <row r="126" spans="1:11" ht="18" customHeight="1" x14ac:dyDescent="0.25">
      <c r="A126" s="40" t="str">
        <f>IF(Agent01_Savings!A133="","",Agent01_Savings!A133)</f>
        <v/>
      </c>
      <c r="B126" s="40" t="str">
        <f ca="1">IF(Agent01_Savings!A133="","","SV"&amp;TEXT(126-3,"0000")&amp;"-"&amp;TEXT(TODAY(),"YYYYMMDD"))</f>
        <v/>
      </c>
      <c r="C126" s="40" t="str">
        <f>IF(Agent01_Savings!A133="","",Agent01_Savings!B133)</f>
        <v/>
      </c>
      <c r="D126" s="40" t="str">
        <f>IF(Agent01_Savings!A133="","",Agent01_Savings!G133)</f>
        <v/>
      </c>
      <c r="E126" s="41" t="str">
        <f>IF(Agent01_Savings!A133="","",Agent01_Savings!D133)</f>
        <v/>
      </c>
      <c r="F126" s="42" t="str">
        <f>IF(Agent01_Savings!A133="","",Agent01_Savings!E133)</f>
        <v/>
      </c>
      <c r="G126" s="42" t="str">
        <f>IF(Agent01_Savings!A133="","",Agent01_Savings!F133)</f>
        <v/>
      </c>
      <c r="H126" s="40" t="str">
        <f>IF(Agent01_Savings!A133="","",Agent01_Savings!I133)</f>
        <v/>
      </c>
      <c r="I126" s="40" t="str">
        <f>IF(Agent01_Savings!A133="","",Agent01_Savings!J133)</f>
        <v/>
      </c>
      <c r="J126" s="40" t="str">
        <f>IF(Agent01_Savings!A133="","",Agent01_Savings!K133)</f>
        <v/>
      </c>
      <c r="K126" s="40" t="str">
        <f>IFERROR(IF(Agent01_Savings!A133="","",YEAR(Agent01_Savings!D133)),"")</f>
        <v/>
      </c>
    </row>
    <row r="127" spans="1:11" ht="18" customHeight="1" x14ac:dyDescent="0.25">
      <c r="A127" s="40" t="str">
        <f>IF(Agent01_Savings!A134="","",Agent01_Savings!A134)</f>
        <v/>
      </c>
      <c r="B127" s="40" t="str">
        <f ca="1">IF(Agent01_Savings!A134="","","SV"&amp;TEXT(127-3,"0000")&amp;"-"&amp;TEXT(TODAY(),"YYYYMMDD"))</f>
        <v/>
      </c>
      <c r="C127" s="40" t="str">
        <f>IF(Agent01_Savings!A134="","",Agent01_Savings!B134)</f>
        <v/>
      </c>
      <c r="D127" s="40" t="str">
        <f>IF(Agent01_Savings!A134="","",Agent01_Savings!G134)</f>
        <v/>
      </c>
      <c r="E127" s="41" t="str">
        <f>IF(Agent01_Savings!A134="","",Agent01_Savings!D134)</f>
        <v/>
      </c>
      <c r="F127" s="42" t="str">
        <f>IF(Agent01_Savings!A134="","",Agent01_Savings!E134)</f>
        <v/>
      </c>
      <c r="G127" s="42" t="str">
        <f>IF(Agent01_Savings!A134="","",Agent01_Savings!F134)</f>
        <v/>
      </c>
      <c r="H127" s="40" t="str">
        <f>IF(Agent01_Savings!A134="","",Agent01_Savings!I134)</f>
        <v/>
      </c>
      <c r="I127" s="40" t="str">
        <f>IF(Agent01_Savings!A134="","",Agent01_Savings!J134)</f>
        <v/>
      </c>
      <c r="J127" s="40" t="str">
        <f>IF(Agent01_Savings!A134="","",Agent01_Savings!K134)</f>
        <v/>
      </c>
      <c r="K127" s="40" t="str">
        <f>IFERROR(IF(Agent01_Savings!A134="","",YEAR(Agent01_Savings!D134)),"")</f>
        <v/>
      </c>
    </row>
    <row r="128" spans="1:11" ht="18" customHeight="1" x14ac:dyDescent="0.25">
      <c r="A128" s="40" t="str">
        <f>IF(Agent01_Savings!A135="","",Agent01_Savings!A135)</f>
        <v/>
      </c>
      <c r="B128" s="40" t="str">
        <f ca="1">IF(Agent01_Savings!A135="","","SV"&amp;TEXT(128-3,"0000")&amp;"-"&amp;TEXT(TODAY(),"YYYYMMDD"))</f>
        <v/>
      </c>
      <c r="C128" s="40" t="str">
        <f>IF(Agent01_Savings!A135="","",Agent01_Savings!B135)</f>
        <v/>
      </c>
      <c r="D128" s="40" t="str">
        <f>IF(Agent01_Savings!A135="","",Agent01_Savings!G135)</f>
        <v/>
      </c>
      <c r="E128" s="41" t="str">
        <f>IF(Agent01_Savings!A135="","",Agent01_Savings!D135)</f>
        <v/>
      </c>
      <c r="F128" s="42" t="str">
        <f>IF(Agent01_Savings!A135="","",Agent01_Savings!E135)</f>
        <v/>
      </c>
      <c r="G128" s="42" t="str">
        <f>IF(Agent01_Savings!A135="","",Agent01_Savings!F135)</f>
        <v/>
      </c>
      <c r="H128" s="40" t="str">
        <f>IF(Agent01_Savings!A135="","",Agent01_Savings!I135)</f>
        <v/>
      </c>
      <c r="I128" s="40" t="str">
        <f>IF(Agent01_Savings!A135="","",Agent01_Savings!J135)</f>
        <v/>
      </c>
      <c r="J128" s="40" t="str">
        <f>IF(Agent01_Savings!A135="","",Agent01_Savings!K135)</f>
        <v/>
      </c>
      <c r="K128" s="40" t="str">
        <f>IFERROR(IF(Agent01_Savings!A135="","",YEAR(Agent01_Savings!D135)),"")</f>
        <v/>
      </c>
    </row>
    <row r="129" spans="1:11" ht="18" customHeight="1" x14ac:dyDescent="0.25">
      <c r="A129" s="40" t="str">
        <f>IF(Agent01_Savings!A136="","",Agent01_Savings!A136)</f>
        <v/>
      </c>
      <c r="B129" s="40" t="str">
        <f ca="1">IF(Agent01_Savings!A136="","","SV"&amp;TEXT(129-3,"0000")&amp;"-"&amp;TEXT(TODAY(),"YYYYMMDD"))</f>
        <v/>
      </c>
      <c r="C129" s="40" t="str">
        <f>IF(Agent01_Savings!A136="","",Agent01_Savings!B136)</f>
        <v/>
      </c>
      <c r="D129" s="40" t="str">
        <f>IF(Agent01_Savings!A136="","",Agent01_Savings!G136)</f>
        <v/>
      </c>
      <c r="E129" s="41" t="str">
        <f>IF(Agent01_Savings!A136="","",Agent01_Savings!D136)</f>
        <v/>
      </c>
      <c r="F129" s="42" t="str">
        <f>IF(Agent01_Savings!A136="","",Agent01_Savings!E136)</f>
        <v/>
      </c>
      <c r="G129" s="42" t="str">
        <f>IF(Agent01_Savings!A136="","",Agent01_Savings!F136)</f>
        <v/>
      </c>
      <c r="H129" s="40" t="str">
        <f>IF(Agent01_Savings!A136="","",Agent01_Savings!I136)</f>
        <v/>
      </c>
      <c r="I129" s="40" t="str">
        <f>IF(Agent01_Savings!A136="","",Agent01_Savings!J136)</f>
        <v/>
      </c>
      <c r="J129" s="40" t="str">
        <f>IF(Agent01_Savings!A136="","",Agent01_Savings!K136)</f>
        <v/>
      </c>
      <c r="K129" s="40" t="str">
        <f>IFERROR(IF(Agent01_Savings!A136="","",YEAR(Agent01_Savings!D136)),"")</f>
        <v/>
      </c>
    </row>
    <row r="130" spans="1:11" ht="18" customHeight="1" x14ac:dyDescent="0.25">
      <c r="A130" s="40" t="str">
        <f>IF(Agent01_Savings!A137="","",Agent01_Savings!A137)</f>
        <v/>
      </c>
      <c r="B130" s="40" t="str">
        <f ca="1">IF(Agent01_Savings!A137="","","SV"&amp;TEXT(130-3,"0000")&amp;"-"&amp;TEXT(TODAY(),"YYYYMMDD"))</f>
        <v/>
      </c>
      <c r="C130" s="40" t="str">
        <f>IF(Agent01_Savings!A137="","",Agent01_Savings!B137)</f>
        <v/>
      </c>
      <c r="D130" s="40" t="str">
        <f>IF(Agent01_Savings!A137="","",Agent01_Savings!G137)</f>
        <v/>
      </c>
      <c r="E130" s="41" t="str">
        <f>IF(Agent01_Savings!A137="","",Agent01_Savings!D137)</f>
        <v/>
      </c>
      <c r="F130" s="42" t="str">
        <f>IF(Agent01_Savings!A137="","",Agent01_Savings!E137)</f>
        <v/>
      </c>
      <c r="G130" s="42" t="str">
        <f>IF(Agent01_Savings!A137="","",Agent01_Savings!F137)</f>
        <v/>
      </c>
      <c r="H130" s="40" t="str">
        <f>IF(Agent01_Savings!A137="","",Agent01_Savings!I137)</f>
        <v/>
      </c>
      <c r="I130" s="40" t="str">
        <f>IF(Agent01_Savings!A137="","",Agent01_Savings!J137)</f>
        <v/>
      </c>
      <c r="J130" s="40" t="str">
        <f>IF(Agent01_Savings!A137="","",Agent01_Savings!K137)</f>
        <v/>
      </c>
      <c r="K130" s="40" t="str">
        <f>IFERROR(IF(Agent01_Savings!A137="","",YEAR(Agent01_Savings!D137)),"")</f>
        <v/>
      </c>
    </row>
    <row r="131" spans="1:11" ht="18" customHeight="1" x14ac:dyDescent="0.25">
      <c r="A131" s="40" t="str">
        <f>IF(Agent01_Savings!A138="","",Agent01_Savings!A138)</f>
        <v/>
      </c>
      <c r="B131" s="40" t="str">
        <f ca="1">IF(Agent01_Savings!A138="","","SV"&amp;TEXT(131-3,"0000")&amp;"-"&amp;TEXT(TODAY(),"YYYYMMDD"))</f>
        <v/>
      </c>
      <c r="C131" s="40" t="str">
        <f>IF(Agent01_Savings!A138="","",Agent01_Savings!B138)</f>
        <v/>
      </c>
      <c r="D131" s="40" t="str">
        <f>IF(Agent01_Savings!A138="","",Agent01_Savings!G138)</f>
        <v/>
      </c>
      <c r="E131" s="41" t="str">
        <f>IF(Agent01_Savings!A138="","",Agent01_Savings!D138)</f>
        <v/>
      </c>
      <c r="F131" s="42" t="str">
        <f>IF(Agent01_Savings!A138="","",Agent01_Savings!E138)</f>
        <v/>
      </c>
      <c r="G131" s="42" t="str">
        <f>IF(Agent01_Savings!A138="","",Agent01_Savings!F138)</f>
        <v/>
      </c>
      <c r="H131" s="40" t="str">
        <f>IF(Agent01_Savings!A138="","",Agent01_Savings!I138)</f>
        <v/>
      </c>
      <c r="I131" s="40" t="str">
        <f>IF(Agent01_Savings!A138="","",Agent01_Savings!J138)</f>
        <v/>
      </c>
      <c r="J131" s="40" t="str">
        <f>IF(Agent01_Savings!A138="","",Agent01_Savings!K138)</f>
        <v/>
      </c>
      <c r="K131" s="40" t="str">
        <f>IFERROR(IF(Agent01_Savings!A138="","",YEAR(Agent01_Savings!D138)),"")</f>
        <v/>
      </c>
    </row>
    <row r="132" spans="1:11" ht="18" customHeight="1" x14ac:dyDescent="0.25">
      <c r="A132" s="40" t="str">
        <f>IF(Agent01_Savings!A139="","",Agent01_Savings!A139)</f>
        <v/>
      </c>
      <c r="B132" s="40" t="str">
        <f ca="1">IF(Agent01_Savings!A139="","","SV"&amp;TEXT(132-3,"0000")&amp;"-"&amp;TEXT(TODAY(),"YYYYMMDD"))</f>
        <v/>
      </c>
      <c r="C132" s="40" t="str">
        <f>IF(Agent01_Savings!A139="","",Agent01_Savings!B139)</f>
        <v/>
      </c>
      <c r="D132" s="40" t="str">
        <f>IF(Agent01_Savings!A139="","",Agent01_Savings!G139)</f>
        <v/>
      </c>
      <c r="E132" s="41" t="str">
        <f>IF(Agent01_Savings!A139="","",Agent01_Savings!D139)</f>
        <v/>
      </c>
      <c r="F132" s="42" t="str">
        <f>IF(Agent01_Savings!A139="","",Agent01_Savings!E139)</f>
        <v/>
      </c>
      <c r="G132" s="42" t="str">
        <f>IF(Agent01_Savings!A139="","",Agent01_Savings!F139)</f>
        <v/>
      </c>
      <c r="H132" s="40" t="str">
        <f>IF(Agent01_Savings!A139="","",Agent01_Savings!I139)</f>
        <v/>
      </c>
      <c r="I132" s="40" t="str">
        <f>IF(Agent01_Savings!A139="","",Agent01_Savings!J139)</f>
        <v/>
      </c>
      <c r="J132" s="40" t="str">
        <f>IF(Agent01_Savings!A139="","",Agent01_Savings!K139)</f>
        <v/>
      </c>
      <c r="K132" s="40" t="str">
        <f>IFERROR(IF(Agent01_Savings!A139="","",YEAR(Agent01_Savings!D139)),"")</f>
        <v/>
      </c>
    </row>
    <row r="133" spans="1:11" ht="18" customHeight="1" x14ac:dyDescent="0.25">
      <c r="A133" s="40" t="str">
        <f>IF(Agent01_Savings!A140="","",Agent01_Savings!A140)</f>
        <v/>
      </c>
      <c r="B133" s="40" t="str">
        <f ca="1">IF(Agent01_Savings!A140="","","SV"&amp;TEXT(133-3,"0000")&amp;"-"&amp;TEXT(TODAY(),"YYYYMMDD"))</f>
        <v/>
      </c>
      <c r="C133" s="40" t="str">
        <f>IF(Agent01_Savings!A140="","",Agent01_Savings!B140)</f>
        <v/>
      </c>
      <c r="D133" s="40" t="str">
        <f>IF(Agent01_Savings!A140="","",Agent01_Savings!G140)</f>
        <v/>
      </c>
      <c r="E133" s="41" t="str">
        <f>IF(Agent01_Savings!A140="","",Agent01_Savings!D140)</f>
        <v/>
      </c>
      <c r="F133" s="42" t="str">
        <f>IF(Agent01_Savings!A140="","",Agent01_Savings!E140)</f>
        <v/>
      </c>
      <c r="G133" s="42" t="str">
        <f>IF(Agent01_Savings!A140="","",Agent01_Savings!F140)</f>
        <v/>
      </c>
      <c r="H133" s="40" t="str">
        <f>IF(Agent01_Savings!A140="","",Agent01_Savings!I140)</f>
        <v/>
      </c>
      <c r="I133" s="40" t="str">
        <f>IF(Agent01_Savings!A140="","",Agent01_Savings!J140)</f>
        <v/>
      </c>
      <c r="J133" s="40" t="str">
        <f>IF(Agent01_Savings!A140="","",Agent01_Savings!K140)</f>
        <v/>
      </c>
      <c r="K133" s="40" t="str">
        <f>IFERROR(IF(Agent01_Savings!A140="","",YEAR(Agent01_Savings!D140)),"")</f>
        <v/>
      </c>
    </row>
    <row r="134" spans="1:11" ht="18" customHeight="1" x14ac:dyDescent="0.25">
      <c r="A134" s="40" t="str">
        <f>IF(Agent01_Savings!A141="","",Agent01_Savings!A141)</f>
        <v/>
      </c>
      <c r="B134" s="40" t="str">
        <f ca="1">IF(Agent01_Savings!A141="","","SV"&amp;TEXT(134-3,"0000")&amp;"-"&amp;TEXT(TODAY(),"YYYYMMDD"))</f>
        <v/>
      </c>
      <c r="C134" s="40" t="str">
        <f>IF(Agent01_Savings!A141="","",Agent01_Savings!B141)</f>
        <v/>
      </c>
      <c r="D134" s="40" t="str">
        <f>IF(Agent01_Savings!A141="","",Agent01_Savings!G141)</f>
        <v/>
      </c>
      <c r="E134" s="41" t="str">
        <f>IF(Agent01_Savings!A141="","",Agent01_Savings!D141)</f>
        <v/>
      </c>
      <c r="F134" s="42" t="str">
        <f>IF(Agent01_Savings!A141="","",Agent01_Savings!E141)</f>
        <v/>
      </c>
      <c r="G134" s="42" t="str">
        <f>IF(Agent01_Savings!A141="","",Agent01_Savings!F141)</f>
        <v/>
      </c>
      <c r="H134" s="40" t="str">
        <f>IF(Agent01_Savings!A141="","",Agent01_Savings!I141)</f>
        <v/>
      </c>
      <c r="I134" s="40" t="str">
        <f>IF(Agent01_Savings!A141="","",Agent01_Savings!J141)</f>
        <v/>
      </c>
      <c r="J134" s="40" t="str">
        <f>IF(Agent01_Savings!A141="","",Agent01_Savings!K141)</f>
        <v/>
      </c>
      <c r="K134" s="40" t="str">
        <f>IFERROR(IF(Agent01_Savings!A141="","",YEAR(Agent01_Savings!D141)),"")</f>
        <v/>
      </c>
    </row>
    <row r="135" spans="1:11" ht="18" customHeight="1" x14ac:dyDescent="0.25">
      <c r="A135" s="40" t="str">
        <f>IF(Agent01_Savings!A142="","",Agent01_Savings!A142)</f>
        <v/>
      </c>
      <c r="B135" s="40" t="str">
        <f ca="1">IF(Agent01_Savings!A142="","","SV"&amp;TEXT(135-3,"0000")&amp;"-"&amp;TEXT(TODAY(),"YYYYMMDD"))</f>
        <v/>
      </c>
      <c r="C135" s="40" t="str">
        <f>IF(Agent01_Savings!A142="","",Agent01_Savings!B142)</f>
        <v/>
      </c>
      <c r="D135" s="40" t="str">
        <f>IF(Agent01_Savings!A142="","",Agent01_Savings!G142)</f>
        <v/>
      </c>
      <c r="E135" s="41" t="str">
        <f>IF(Agent01_Savings!A142="","",Agent01_Savings!D142)</f>
        <v/>
      </c>
      <c r="F135" s="42" t="str">
        <f>IF(Agent01_Savings!A142="","",Agent01_Savings!E142)</f>
        <v/>
      </c>
      <c r="G135" s="42" t="str">
        <f>IF(Agent01_Savings!A142="","",Agent01_Savings!F142)</f>
        <v/>
      </c>
      <c r="H135" s="40" t="str">
        <f>IF(Agent01_Savings!A142="","",Agent01_Savings!I142)</f>
        <v/>
      </c>
      <c r="I135" s="40" t="str">
        <f>IF(Agent01_Savings!A142="","",Agent01_Savings!J142)</f>
        <v/>
      </c>
      <c r="J135" s="40" t="str">
        <f>IF(Agent01_Savings!A142="","",Agent01_Savings!K142)</f>
        <v/>
      </c>
      <c r="K135" s="40" t="str">
        <f>IFERROR(IF(Agent01_Savings!A142="","",YEAR(Agent01_Savings!D142)),"")</f>
        <v/>
      </c>
    </row>
    <row r="136" spans="1:11" ht="18" customHeight="1" x14ac:dyDescent="0.25">
      <c r="A136" s="40" t="str">
        <f>IF(Agent01_Savings!A143="","",Agent01_Savings!A143)</f>
        <v/>
      </c>
      <c r="B136" s="40" t="str">
        <f ca="1">IF(Agent01_Savings!A143="","","SV"&amp;TEXT(136-3,"0000")&amp;"-"&amp;TEXT(TODAY(),"YYYYMMDD"))</f>
        <v/>
      </c>
      <c r="C136" s="40" t="str">
        <f>IF(Agent01_Savings!A143="","",Agent01_Savings!B143)</f>
        <v/>
      </c>
      <c r="D136" s="40" t="str">
        <f>IF(Agent01_Savings!A143="","",Agent01_Savings!G143)</f>
        <v/>
      </c>
      <c r="E136" s="41" t="str">
        <f>IF(Agent01_Savings!A143="","",Agent01_Savings!D143)</f>
        <v/>
      </c>
      <c r="F136" s="42" t="str">
        <f>IF(Agent01_Savings!A143="","",Agent01_Savings!E143)</f>
        <v/>
      </c>
      <c r="G136" s="42" t="str">
        <f>IF(Agent01_Savings!A143="","",Agent01_Savings!F143)</f>
        <v/>
      </c>
      <c r="H136" s="40" t="str">
        <f>IF(Agent01_Savings!A143="","",Agent01_Savings!I143)</f>
        <v/>
      </c>
      <c r="I136" s="40" t="str">
        <f>IF(Agent01_Savings!A143="","",Agent01_Savings!J143)</f>
        <v/>
      </c>
      <c r="J136" s="40" t="str">
        <f>IF(Agent01_Savings!A143="","",Agent01_Savings!K143)</f>
        <v/>
      </c>
      <c r="K136" s="40" t="str">
        <f>IFERROR(IF(Agent01_Savings!A143="","",YEAR(Agent01_Savings!D143)),"")</f>
        <v/>
      </c>
    </row>
    <row r="137" spans="1:11" ht="18" customHeight="1" x14ac:dyDescent="0.25">
      <c r="A137" s="40" t="str">
        <f>IF(Agent01_Savings!A144="","",Agent01_Savings!A144)</f>
        <v/>
      </c>
      <c r="B137" s="40" t="str">
        <f ca="1">IF(Agent01_Savings!A144="","","SV"&amp;TEXT(137-3,"0000")&amp;"-"&amp;TEXT(TODAY(),"YYYYMMDD"))</f>
        <v/>
      </c>
      <c r="C137" s="40" t="str">
        <f>IF(Agent01_Savings!A144="","",Agent01_Savings!B144)</f>
        <v/>
      </c>
      <c r="D137" s="40" t="str">
        <f>IF(Agent01_Savings!A144="","",Agent01_Savings!G144)</f>
        <v/>
      </c>
      <c r="E137" s="41" t="str">
        <f>IF(Agent01_Savings!A144="","",Agent01_Savings!D144)</f>
        <v/>
      </c>
      <c r="F137" s="42" t="str">
        <f>IF(Agent01_Savings!A144="","",Agent01_Savings!E144)</f>
        <v/>
      </c>
      <c r="G137" s="42" t="str">
        <f>IF(Agent01_Savings!A144="","",Agent01_Savings!F144)</f>
        <v/>
      </c>
      <c r="H137" s="40" t="str">
        <f>IF(Agent01_Savings!A144="","",Agent01_Savings!I144)</f>
        <v/>
      </c>
      <c r="I137" s="40" t="str">
        <f>IF(Agent01_Savings!A144="","",Agent01_Savings!J144)</f>
        <v/>
      </c>
      <c r="J137" s="40" t="str">
        <f>IF(Agent01_Savings!A144="","",Agent01_Savings!K144)</f>
        <v/>
      </c>
      <c r="K137" s="40" t="str">
        <f>IFERROR(IF(Agent01_Savings!A144="","",YEAR(Agent01_Savings!D144)),"")</f>
        <v/>
      </c>
    </row>
    <row r="138" spans="1:11" ht="18" customHeight="1" x14ac:dyDescent="0.25">
      <c r="A138" s="40" t="str">
        <f>IF(Agent01_Savings!A145="","",Agent01_Savings!A145)</f>
        <v/>
      </c>
      <c r="B138" s="40" t="str">
        <f ca="1">IF(Agent01_Savings!A145="","","SV"&amp;TEXT(138-3,"0000")&amp;"-"&amp;TEXT(TODAY(),"YYYYMMDD"))</f>
        <v/>
      </c>
      <c r="C138" s="40" t="str">
        <f>IF(Agent01_Savings!A145="","",Agent01_Savings!B145)</f>
        <v/>
      </c>
      <c r="D138" s="40" t="str">
        <f>IF(Agent01_Savings!A145="","",Agent01_Savings!G145)</f>
        <v/>
      </c>
      <c r="E138" s="41" t="str">
        <f>IF(Agent01_Savings!A145="","",Agent01_Savings!D145)</f>
        <v/>
      </c>
      <c r="F138" s="42" t="str">
        <f>IF(Agent01_Savings!A145="","",Agent01_Savings!E145)</f>
        <v/>
      </c>
      <c r="G138" s="42" t="str">
        <f>IF(Agent01_Savings!A145="","",Agent01_Savings!F145)</f>
        <v/>
      </c>
      <c r="H138" s="40" t="str">
        <f>IF(Agent01_Savings!A145="","",Agent01_Savings!I145)</f>
        <v/>
      </c>
      <c r="I138" s="40" t="str">
        <f>IF(Agent01_Savings!A145="","",Agent01_Savings!J145)</f>
        <v/>
      </c>
      <c r="J138" s="40" t="str">
        <f>IF(Agent01_Savings!A145="","",Agent01_Savings!K145)</f>
        <v/>
      </c>
      <c r="K138" s="40" t="str">
        <f>IFERROR(IF(Agent01_Savings!A145="","",YEAR(Agent01_Savings!D145)),"")</f>
        <v/>
      </c>
    </row>
    <row r="139" spans="1:11" ht="18" customHeight="1" x14ac:dyDescent="0.25">
      <c r="A139" s="40" t="str">
        <f>IF(Agent01_Savings!A146="","",Agent01_Savings!A146)</f>
        <v/>
      </c>
      <c r="B139" s="40" t="str">
        <f ca="1">IF(Agent01_Savings!A146="","","SV"&amp;TEXT(139-3,"0000")&amp;"-"&amp;TEXT(TODAY(),"YYYYMMDD"))</f>
        <v/>
      </c>
      <c r="C139" s="40" t="str">
        <f>IF(Agent01_Savings!A146="","",Agent01_Savings!B146)</f>
        <v/>
      </c>
      <c r="D139" s="40" t="str">
        <f>IF(Agent01_Savings!A146="","",Agent01_Savings!G146)</f>
        <v/>
      </c>
      <c r="E139" s="41" t="str">
        <f>IF(Agent01_Savings!A146="","",Agent01_Savings!D146)</f>
        <v/>
      </c>
      <c r="F139" s="42" t="str">
        <f>IF(Agent01_Savings!A146="","",Agent01_Savings!E146)</f>
        <v/>
      </c>
      <c r="G139" s="42" t="str">
        <f>IF(Agent01_Savings!A146="","",Agent01_Savings!F146)</f>
        <v/>
      </c>
      <c r="H139" s="40" t="str">
        <f>IF(Agent01_Savings!A146="","",Agent01_Savings!I146)</f>
        <v/>
      </c>
      <c r="I139" s="40" t="str">
        <f>IF(Agent01_Savings!A146="","",Agent01_Savings!J146)</f>
        <v/>
      </c>
      <c r="J139" s="40" t="str">
        <f>IF(Agent01_Savings!A146="","",Agent01_Savings!K146)</f>
        <v/>
      </c>
      <c r="K139" s="40" t="str">
        <f>IFERROR(IF(Agent01_Savings!A146="","",YEAR(Agent01_Savings!D146)),"")</f>
        <v/>
      </c>
    </row>
    <row r="140" spans="1:11" ht="18" customHeight="1" x14ac:dyDescent="0.25">
      <c r="A140" s="40" t="str">
        <f>IF(Agent01_Savings!A147="","",Agent01_Savings!A147)</f>
        <v/>
      </c>
      <c r="B140" s="40" t="str">
        <f ca="1">IF(Agent01_Savings!A147="","","SV"&amp;TEXT(140-3,"0000")&amp;"-"&amp;TEXT(TODAY(),"YYYYMMDD"))</f>
        <v/>
      </c>
      <c r="C140" s="40" t="str">
        <f>IF(Agent01_Savings!A147="","",Agent01_Savings!B147)</f>
        <v/>
      </c>
      <c r="D140" s="40" t="str">
        <f>IF(Agent01_Savings!A147="","",Agent01_Savings!G147)</f>
        <v/>
      </c>
      <c r="E140" s="41" t="str">
        <f>IF(Agent01_Savings!A147="","",Agent01_Savings!D147)</f>
        <v/>
      </c>
      <c r="F140" s="42" t="str">
        <f>IF(Agent01_Savings!A147="","",Agent01_Savings!E147)</f>
        <v/>
      </c>
      <c r="G140" s="42" t="str">
        <f>IF(Agent01_Savings!A147="","",Agent01_Savings!F147)</f>
        <v/>
      </c>
      <c r="H140" s="40" t="str">
        <f>IF(Agent01_Savings!A147="","",Agent01_Savings!I147)</f>
        <v/>
      </c>
      <c r="I140" s="40" t="str">
        <f>IF(Agent01_Savings!A147="","",Agent01_Savings!J147)</f>
        <v/>
      </c>
      <c r="J140" s="40" t="str">
        <f>IF(Agent01_Savings!A147="","",Agent01_Savings!K147)</f>
        <v/>
      </c>
      <c r="K140" s="40" t="str">
        <f>IFERROR(IF(Agent01_Savings!A147="","",YEAR(Agent01_Savings!D147)),"")</f>
        <v/>
      </c>
    </row>
    <row r="141" spans="1:11" ht="18" customHeight="1" x14ac:dyDescent="0.25">
      <c r="A141" s="40" t="str">
        <f>IF(Agent01_Savings!A148="","",Agent01_Savings!A148)</f>
        <v/>
      </c>
      <c r="B141" s="40" t="str">
        <f ca="1">IF(Agent01_Savings!A148="","","SV"&amp;TEXT(141-3,"0000")&amp;"-"&amp;TEXT(TODAY(),"YYYYMMDD"))</f>
        <v/>
      </c>
      <c r="C141" s="40" t="str">
        <f>IF(Agent01_Savings!A148="","",Agent01_Savings!B148)</f>
        <v/>
      </c>
      <c r="D141" s="40" t="str">
        <f>IF(Agent01_Savings!A148="","",Agent01_Savings!G148)</f>
        <v/>
      </c>
      <c r="E141" s="41" t="str">
        <f>IF(Agent01_Savings!A148="","",Agent01_Savings!D148)</f>
        <v/>
      </c>
      <c r="F141" s="42" t="str">
        <f>IF(Agent01_Savings!A148="","",Agent01_Savings!E148)</f>
        <v/>
      </c>
      <c r="G141" s="42" t="str">
        <f>IF(Agent01_Savings!A148="","",Agent01_Savings!F148)</f>
        <v/>
      </c>
      <c r="H141" s="40" t="str">
        <f>IF(Agent01_Savings!A148="","",Agent01_Savings!I148)</f>
        <v/>
      </c>
      <c r="I141" s="40" t="str">
        <f>IF(Agent01_Savings!A148="","",Agent01_Savings!J148)</f>
        <v/>
      </c>
      <c r="J141" s="40" t="str">
        <f>IF(Agent01_Savings!A148="","",Agent01_Savings!K148)</f>
        <v/>
      </c>
      <c r="K141" s="40" t="str">
        <f>IFERROR(IF(Agent01_Savings!A148="","",YEAR(Agent01_Savings!D148)),"")</f>
        <v/>
      </c>
    </row>
    <row r="142" spans="1:11" ht="18" customHeight="1" x14ac:dyDescent="0.25">
      <c r="A142" s="40" t="str">
        <f>IF(Agent01_Savings!A149="","",Agent01_Savings!A149)</f>
        <v/>
      </c>
      <c r="B142" s="40" t="str">
        <f ca="1">IF(Agent01_Savings!A149="","","SV"&amp;TEXT(142-3,"0000")&amp;"-"&amp;TEXT(TODAY(),"YYYYMMDD"))</f>
        <v/>
      </c>
      <c r="C142" s="40" t="str">
        <f>IF(Agent01_Savings!A149="","",Agent01_Savings!B149)</f>
        <v/>
      </c>
      <c r="D142" s="40" t="str">
        <f>IF(Agent01_Savings!A149="","",Agent01_Savings!G149)</f>
        <v/>
      </c>
      <c r="E142" s="41" t="str">
        <f>IF(Agent01_Savings!A149="","",Agent01_Savings!D149)</f>
        <v/>
      </c>
      <c r="F142" s="42" t="str">
        <f>IF(Agent01_Savings!A149="","",Agent01_Savings!E149)</f>
        <v/>
      </c>
      <c r="G142" s="42" t="str">
        <f>IF(Agent01_Savings!A149="","",Agent01_Savings!F149)</f>
        <v/>
      </c>
      <c r="H142" s="40" t="str">
        <f>IF(Agent01_Savings!A149="","",Agent01_Savings!I149)</f>
        <v/>
      </c>
      <c r="I142" s="40" t="str">
        <f>IF(Agent01_Savings!A149="","",Agent01_Savings!J149)</f>
        <v/>
      </c>
      <c r="J142" s="40" t="str">
        <f>IF(Agent01_Savings!A149="","",Agent01_Savings!K149)</f>
        <v/>
      </c>
      <c r="K142" s="40" t="str">
        <f>IFERROR(IF(Agent01_Savings!A149="","",YEAR(Agent01_Savings!D149)),"")</f>
        <v/>
      </c>
    </row>
    <row r="143" spans="1:11" ht="18" customHeight="1" x14ac:dyDescent="0.25">
      <c r="A143" s="40" t="str">
        <f>IF(Agent01_Savings!A150="","",Agent01_Savings!A150)</f>
        <v/>
      </c>
      <c r="B143" s="40" t="str">
        <f ca="1">IF(Agent01_Savings!A150="","","SV"&amp;TEXT(143-3,"0000")&amp;"-"&amp;TEXT(TODAY(),"YYYYMMDD"))</f>
        <v/>
      </c>
      <c r="C143" s="40" t="str">
        <f>IF(Agent01_Savings!A150="","",Agent01_Savings!B150)</f>
        <v/>
      </c>
      <c r="D143" s="40" t="str">
        <f>IF(Agent01_Savings!A150="","",Agent01_Savings!G150)</f>
        <v/>
      </c>
      <c r="E143" s="41" t="str">
        <f>IF(Agent01_Savings!A150="","",Agent01_Savings!D150)</f>
        <v/>
      </c>
      <c r="F143" s="42" t="str">
        <f>IF(Agent01_Savings!A150="","",Agent01_Savings!E150)</f>
        <v/>
      </c>
      <c r="G143" s="42" t="str">
        <f>IF(Agent01_Savings!A150="","",Agent01_Savings!F150)</f>
        <v/>
      </c>
      <c r="H143" s="40" t="str">
        <f>IF(Agent01_Savings!A150="","",Agent01_Savings!I150)</f>
        <v/>
      </c>
      <c r="I143" s="40" t="str">
        <f>IF(Agent01_Savings!A150="","",Agent01_Savings!J150)</f>
        <v/>
      </c>
      <c r="J143" s="40" t="str">
        <f>IF(Agent01_Savings!A150="","",Agent01_Savings!K150)</f>
        <v/>
      </c>
      <c r="K143" s="40" t="str">
        <f>IFERROR(IF(Agent01_Savings!A150="","",YEAR(Agent01_Savings!D150)),"")</f>
        <v/>
      </c>
    </row>
    <row r="144" spans="1:11" ht="18" customHeight="1" x14ac:dyDescent="0.25">
      <c r="A144" s="40" t="str">
        <f>IF(Agent01_Savings!A151="","",Agent01_Savings!A151)</f>
        <v/>
      </c>
      <c r="B144" s="40" t="str">
        <f ca="1">IF(Agent01_Savings!A151="","","SV"&amp;TEXT(144-3,"0000")&amp;"-"&amp;TEXT(TODAY(),"YYYYMMDD"))</f>
        <v/>
      </c>
      <c r="C144" s="40" t="str">
        <f>IF(Agent01_Savings!A151="","",Agent01_Savings!B151)</f>
        <v/>
      </c>
      <c r="D144" s="40" t="str">
        <f>IF(Agent01_Savings!A151="","",Agent01_Savings!G151)</f>
        <v/>
      </c>
      <c r="E144" s="41" t="str">
        <f>IF(Agent01_Savings!A151="","",Agent01_Savings!D151)</f>
        <v/>
      </c>
      <c r="F144" s="42" t="str">
        <f>IF(Agent01_Savings!A151="","",Agent01_Savings!E151)</f>
        <v/>
      </c>
      <c r="G144" s="42" t="str">
        <f>IF(Agent01_Savings!A151="","",Agent01_Savings!F151)</f>
        <v/>
      </c>
      <c r="H144" s="40" t="str">
        <f>IF(Agent01_Savings!A151="","",Agent01_Savings!I151)</f>
        <v/>
      </c>
      <c r="I144" s="40" t="str">
        <f>IF(Agent01_Savings!A151="","",Agent01_Savings!J151)</f>
        <v/>
      </c>
      <c r="J144" s="40" t="str">
        <f>IF(Agent01_Savings!A151="","",Agent01_Savings!K151)</f>
        <v/>
      </c>
      <c r="K144" s="40" t="str">
        <f>IFERROR(IF(Agent01_Savings!A151="","",YEAR(Agent01_Savings!D151)),"")</f>
        <v/>
      </c>
    </row>
    <row r="145" spans="1:11" ht="18" customHeight="1" x14ac:dyDescent="0.25">
      <c r="A145" s="40" t="str">
        <f>IF(Agent01_Savings!A152="","",Agent01_Savings!A152)</f>
        <v/>
      </c>
      <c r="B145" s="40" t="str">
        <f ca="1">IF(Agent01_Savings!A152="","","SV"&amp;TEXT(145-3,"0000")&amp;"-"&amp;TEXT(TODAY(),"YYYYMMDD"))</f>
        <v/>
      </c>
      <c r="C145" s="40" t="str">
        <f>IF(Agent01_Savings!A152="","",Agent01_Savings!B152)</f>
        <v/>
      </c>
      <c r="D145" s="40" t="str">
        <f>IF(Agent01_Savings!A152="","",Agent01_Savings!G152)</f>
        <v/>
      </c>
      <c r="E145" s="41" t="str">
        <f>IF(Agent01_Savings!A152="","",Agent01_Savings!D152)</f>
        <v/>
      </c>
      <c r="F145" s="42" t="str">
        <f>IF(Agent01_Savings!A152="","",Agent01_Savings!E152)</f>
        <v/>
      </c>
      <c r="G145" s="42" t="str">
        <f>IF(Agent01_Savings!A152="","",Agent01_Savings!F152)</f>
        <v/>
      </c>
      <c r="H145" s="40" t="str">
        <f>IF(Agent01_Savings!A152="","",Agent01_Savings!I152)</f>
        <v/>
      </c>
      <c r="I145" s="40" t="str">
        <f>IF(Agent01_Savings!A152="","",Agent01_Savings!J152)</f>
        <v/>
      </c>
      <c r="J145" s="40" t="str">
        <f>IF(Agent01_Savings!A152="","",Agent01_Savings!K152)</f>
        <v/>
      </c>
      <c r="K145" s="40" t="str">
        <f>IFERROR(IF(Agent01_Savings!A152="","",YEAR(Agent01_Savings!D152)),"")</f>
        <v/>
      </c>
    </row>
    <row r="146" spans="1:11" ht="18" customHeight="1" x14ac:dyDescent="0.25">
      <c r="A146" s="40" t="str">
        <f>IF(Agent01_Savings!A153="","",Agent01_Savings!A153)</f>
        <v/>
      </c>
      <c r="B146" s="40" t="str">
        <f ca="1">IF(Agent01_Savings!A153="","","SV"&amp;TEXT(146-3,"0000")&amp;"-"&amp;TEXT(TODAY(),"YYYYMMDD"))</f>
        <v/>
      </c>
      <c r="C146" s="40" t="str">
        <f>IF(Agent01_Savings!A153="","",Agent01_Savings!B153)</f>
        <v/>
      </c>
      <c r="D146" s="40" t="str">
        <f>IF(Agent01_Savings!A153="","",Agent01_Savings!G153)</f>
        <v/>
      </c>
      <c r="E146" s="41" t="str">
        <f>IF(Agent01_Savings!A153="","",Agent01_Savings!D153)</f>
        <v/>
      </c>
      <c r="F146" s="42" t="str">
        <f>IF(Agent01_Savings!A153="","",Agent01_Savings!E153)</f>
        <v/>
      </c>
      <c r="G146" s="42" t="str">
        <f>IF(Agent01_Savings!A153="","",Agent01_Savings!F153)</f>
        <v/>
      </c>
      <c r="H146" s="40" t="str">
        <f>IF(Agent01_Savings!A153="","",Agent01_Savings!I153)</f>
        <v/>
      </c>
      <c r="I146" s="40" t="str">
        <f>IF(Agent01_Savings!A153="","",Agent01_Savings!J153)</f>
        <v/>
      </c>
      <c r="J146" s="40" t="str">
        <f>IF(Agent01_Savings!A153="","",Agent01_Savings!K153)</f>
        <v/>
      </c>
      <c r="K146" s="40" t="str">
        <f>IFERROR(IF(Agent01_Savings!A153="","",YEAR(Agent01_Savings!D153)),"")</f>
        <v/>
      </c>
    </row>
    <row r="147" spans="1:11" ht="18" customHeight="1" x14ac:dyDescent="0.25">
      <c r="A147" s="40" t="str">
        <f>IF(Agent01_Savings!A154="","",Agent01_Savings!A154)</f>
        <v/>
      </c>
      <c r="B147" s="40" t="str">
        <f ca="1">IF(Agent01_Savings!A154="","","SV"&amp;TEXT(147-3,"0000")&amp;"-"&amp;TEXT(TODAY(),"YYYYMMDD"))</f>
        <v/>
      </c>
      <c r="C147" s="40" t="str">
        <f>IF(Agent01_Savings!A154="","",Agent01_Savings!B154)</f>
        <v/>
      </c>
      <c r="D147" s="40" t="str">
        <f>IF(Agent01_Savings!A154="","",Agent01_Savings!G154)</f>
        <v/>
      </c>
      <c r="E147" s="41" t="str">
        <f>IF(Agent01_Savings!A154="","",Agent01_Savings!D154)</f>
        <v/>
      </c>
      <c r="F147" s="42" t="str">
        <f>IF(Agent01_Savings!A154="","",Agent01_Savings!E154)</f>
        <v/>
      </c>
      <c r="G147" s="42" t="str">
        <f>IF(Agent01_Savings!A154="","",Agent01_Savings!F154)</f>
        <v/>
      </c>
      <c r="H147" s="40" t="str">
        <f>IF(Agent01_Savings!A154="","",Agent01_Savings!I154)</f>
        <v/>
      </c>
      <c r="I147" s="40" t="str">
        <f>IF(Agent01_Savings!A154="","",Agent01_Savings!J154)</f>
        <v/>
      </c>
      <c r="J147" s="40" t="str">
        <f>IF(Agent01_Savings!A154="","",Agent01_Savings!K154)</f>
        <v/>
      </c>
      <c r="K147" s="40" t="str">
        <f>IFERROR(IF(Agent01_Savings!A154="","",YEAR(Agent01_Savings!D154)),"")</f>
        <v/>
      </c>
    </row>
    <row r="148" spans="1:11" ht="18" customHeight="1" x14ac:dyDescent="0.25">
      <c r="A148" s="40" t="str">
        <f>IF(Agent01_Savings!A155="","",Agent01_Savings!A155)</f>
        <v/>
      </c>
      <c r="B148" s="40" t="str">
        <f ca="1">IF(Agent01_Savings!A155="","","SV"&amp;TEXT(148-3,"0000")&amp;"-"&amp;TEXT(TODAY(),"YYYYMMDD"))</f>
        <v/>
      </c>
      <c r="C148" s="40" t="str">
        <f>IF(Agent01_Savings!A155="","",Agent01_Savings!B155)</f>
        <v/>
      </c>
      <c r="D148" s="40" t="str">
        <f>IF(Agent01_Savings!A155="","",Agent01_Savings!G155)</f>
        <v/>
      </c>
      <c r="E148" s="41" t="str">
        <f>IF(Agent01_Savings!A155="","",Agent01_Savings!D155)</f>
        <v/>
      </c>
      <c r="F148" s="42" t="str">
        <f>IF(Agent01_Savings!A155="","",Agent01_Savings!E155)</f>
        <v/>
      </c>
      <c r="G148" s="42" t="str">
        <f>IF(Agent01_Savings!A155="","",Agent01_Savings!F155)</f>
        <v/>
      </c>
      <c r="H148" s="40" t="str">
        <f>IF(Agent01_Savings!A155="","",Agent01_Savings!I155)</f>
        <v/>
      </c>
      <c r="I148" s="40" t="str">
        <f>IF(Agent01_Savings!A155="","",Agent01_Savings!J155)</f>
        <v/>
      </c>
      <c r="J148" s="40" t="str">
        <f>IF(Agent01_Savings!A155="","",Agent01_Savings!K155)</f>
        <v/>
      </c>
      <c r="K148" s="40" t="str">
        <f>IFERROR(IF(Agent01_Savings!A155="","",YEAR(Agent01_Savings!D155)),"")</f>
        <v/>
      </c>
    </row>
    <row r="149" spans="1:11" ht="18" customHeight="1" x14ac:dyDescent="0.25">
      <c r="A149" s="40" t="str">
        <f>IF(Agent01_Savings!A156="","",Agent01_Savings!A156)</f>
        <v/>
      </c>
      <c r="B149" s="40" t="str">
        <f ca="1">IF(Agent01_Savings!A156="","","SV"&amp;TEXT(149-3,"0000")&amp;"-"&amp;TEXT(TODAY(),"YYYYMMDD"))</f>
        <v/>
      </c>
      <c r="C149" s="40" t="str">
        <f>IF(Agent01_Savings!A156="","",Agent01_Savings!B156)</f>
        <v/>
      </c>
      <c r="D149" s="40" t="str">
        <f>IF(Agent01_Savings!A156="","",Agent01_Savings!G156)</f>
        <v/>
      </c>
      <c r="E149" s="41" t="str">
        <f>IF(Agent01_Savings!A156="","",Agent01_Savings!D156)</f>
        <v/>
      </c>
      <c r="F149" s="42" t="str">
        <f>IF(Agent01_Savings!A156="","",Agent01_Savings!E156)</f>
        <v/>
      </c>
      <c r="G149" s="42" t="str">
        <f>IF(Agent01_Savings!A156="","",Agent01_Savings!F156)</f>
        <v/>
      </c>
      <c r="H149" s="40" t="str">
        <f>IF(Agent01_Savings!A156="","",Agent01_Savings!I156)</f>
        <v/>
      </c>
      <c r="I149" s="40" t="str">
        <f>IF(Agent01_Savings!A156="","",Agent01_Savings!J156)</f>
        <v/>
      </c>
      <c r="J149" s="40" t="str">
        <f>IF(Agent01_Savings!A156="","",Agent01_Savings!K156)</f>
        <v/>
      </c>
      <c r="K149" s="40" t="str">
        <f>IFERROR(IF(Agent01_Savings!A156="","",YEAR(Agent01_Savings!D156)),"")</f>
        <v/>
      </c>
    </row>
    <row r="150" spans="1:11" ht="18" customHeight="1" x14ac:dyDescent="0.25">
      <c r="A150" s="40" t="str">
        <f>IF(Agent01_Savings!A157="","",Agent01_Savings!A157)</f>
        <v/>
      </c>
      <c r="B150" s="40" t="str">
        <f ca="1">IF(Agent01_Savings!A157="","","SV"&amp;TEXT(150-3,"0000")&amp;"-"&amp;TEXT(TODAY(),"YYYYMMDD"))</f>
        <v/>
      </c>
      <c r="C150" s="40" t="str">
        <f>IF(Agent01_Savings!A157="","",Agent01_Savings!B157)</f>
        <v/>
      </c>
      <c r="D150" s="40" t="str">
        <f>IF(Agent01_Savings!A157="","",Agent01_Savings!G157)</f>
        <v/>
      </c>
      <c r="E150" s="41" t="str">
        <f>IF(Agent01_Savings!A157="","",Agent01_Savings!D157)</f>
        <v/>
      </c>
      <c r="F150" s="42" t="str">
        <f>IF(Agent01_Savings!A157="","",Agent01_Savings!E157)</f>
        <v/>
      </c>
      <c r="G150" s="42" t="str">
        <f>IF(Agent01_Savings!A157="","",Agent01_Savings!F157)</f>
        <v/>
      </c>
      <c r="H150" s="40" t="str">
        <f>IF(Agent01_Savings!A157="","",Agent01_Savings!I157)</f>
        <v/>
      </c>
      <c r="I150" s="40" t="str">
        <f>IF(Agent01_Savings!A157="","",Agent01_Savings!J157)</f>
        <v/>
      </c>
      <c r="J150" s="40" t="str">
        <f>IF(Agent01_Savings!A157="","",Agent01_Savings!K157)</f>
        <v/>
      </c>
      <c r="K150" s="40" t="str">
        <f>IFERROR(IF(Agent01_Savings!A157="","",YEAR(Agent01_Savings!D157)),"")</f>
        <v/>
      </c>
    </row>
    <row r="151" spans="1:11" ht="18" customHeight="1" x14ac:dyDescent="0.25">
      <c r="A151" s="40" t="str">
        <f>IF(Agent01_Savings!A158="","",Agent01_Savings!A158)</f>
        <v/>
      </c>
      <c r="B151" s="40" t="str">
        <f ca="1">IF(Agent01_Savings!A158="","","SV"&amp;TEXT(151-3,"0000")&amp;"-"&amp;TEXT(TODAY(),"YYYYMMDD"))</f>
        <v/>
      </c>
      <c r="C151" s="40" t="str">
        <f>IF(Agent01_Savings!A158="","",Agent01_Savings!B158)</f>
        <v/>
      </c>
      <c r="D151" s="40" t="str">
        <f>IF(Agent01_Savings!A158="","",Agent01_Savings!G158)</f>
        <v/>
      </c>
      <c r="E151" s="41" t="str">
        <f>IF(Agent01_Savings!A158="","",Agent01_Savings!D158)</f>
        <v/>
      </c>
      <c r="F151" s="42" t="str">
        <f>IF(Agent01_Savings!A158="","",Agent01_Savings!E158)</f>
        <v/>
      </c>
      <c r="G151" s="42" t="str">
        <f>IF(Agent01_Savings!A158="","",Agent01_Savings!F158)</f>
        <v/>
      </c>
      <c r="H151" s="40" t="str">
        <f>IF(Agent01_Savings!A158="","",Agent01_Savings!I158)</f>
        <v/>
      </c>
      <c r="I151" s="40" t="str">
        <f>IF(Agent01_Savings!A158="","",Agent01_Savings!J158)</f>
        <v/>
      </c>
      <c r="J151" s="40" t="str">
        <f>IF(Agent01_Savings!A158="","",Agent01_Savings!K158)</f>
        <v/>
      </c>
      <c r="K151" s="40" t="str">
        <f>IFERROR(IF(Agent01_Savings!A158="","",YEAR(Agent01_Savings!D158)),"")</f>
        <v/>
      </c>
    </row>
    <row r="152" spans="1:11" ht="18" customHeight="1" x14ac:dyDescent="0.25">
      <c r="A152" s="40" t="str">
        <f>IF(Agent01_Savings!A159="","",Agent01_Savings!A159)</f>
        <v/>
      </c>
      <c r="B152" s="40" t="str">
        <f ca="1">IF(Agent01_Savings!A159="","","SV"&amp;TEXT(152-3,"0000")&amp;"-"&amp;TEXT(TODAY(),"YYYYMMDD"))</f>
        <v/>
      </c>
      <c r="C152" s="40" t="str">
        <f>IF(Agent01_Savings!A159="","",Agent01_Savings!B159)</f>
        <v/>
      </c>
      <c r="D152" s="40" t="str">
        <f>IF(Agent01_Savings!A159="","",Agent01_Savings!G159)</f>
        <v/>
      </c>
      <c r="E152" s="41" t="str">
        <f>IF(Agent01_Savings!A159="","",Agent01_Savings!D159)</f>
        <v/>
      </c>
      <c r="F152" s="42" t="str">
        <f>IF(Agent01_Savings!A159="","",Agent01_Savings!E159)</f>
        <v/>
      </c>
      <c r="G152" s="42" t="str">
        <f>IF(Agent01_Savings!A159="","",Agent01_Savings!F159)</f>
        <v/>
      </c>
      <c r="H152" s="40" t="str">
        <f>IF(Agent01_Savings!A159="","",Agent01_Savings!I159)</f>
        <v/>
      </c>
      <c r="I152" s="40" t="str">
        <f>IF(Agent01_Savings!A159="","",Agent01_Savings!J159)</f>
        <v/>
      </c>
      <c r="J152" s="40" t="str">
        <f>IF(Agent01_Savings!A159="","",Agent01_Savings!K159)</f>
        <v/>
      </c>
      <c r="K152" s="40" t="str">
        <f>IFERROR(IF(Agent01_Savings!A159="","",YEAR(Agent01_Savings!D159)),"")</f>
        <v/>
      </c>
    </row>
    <row r="153" spans="1:11" ht="18" customHeight="1" x14ac:dyDescent="0.25">
      <c r="A153" s="40" t="str">
        <f>IF(Agent01_Savings!A160="","",Agent01_Savings!A160)</f>
        <v/>
      </c>
      <c r="B153" s="40" t="str">
        <f ca="1">IF(Agent01_Savings!A160="","","SV"&amp;TEXT(153-3,"0000")&amp;"-"&amp;TEXT(TODAY(),"YYYYMMDD"))</f>
        <v/>
      </c>
      <c r="C153" s="40" t="str">
        <f>IF(Agent01_Savings!A160="","",Agent01_Savings!B160)</f>
        <v/>
      </c>
      <c r="D153" s="40" t="str">
        <f>IF(Agent01_Savings!A160="","",Agent01_Savings!G160)</f>
        <v/>
      </c>
      <c r="E153" s="41" t="str">
        <f>IF(Agent01_Savings!A160="","",Agent01_Savings!D160)</f>
        <v/>
      </c>
      <c r="F153" s="42" t="str">
        <f>IF(Agent01_Savings!A160="","",Agent01_Savings!E160)</f>
        <v/>
      </c>
      <c r="G153" s="42" t="str">
        <f>IF(Agent01_Savings!A160="","",Agent01_Savings!F160)</f>
        <v/>
      </c>
      <c r="H153" s="40" t="str">
        <f>IF(Agent01_Savings!A160="","",Agent01_Savings!I160)</f>
        <v/>
      </c>
      <c r="I153" s="40" t="str">
        <f>IF(Agent01_Savings!A160="","",Agent01_Savings!J160)</f>
        <v/>
      </c>
      <c r="J153" s="40" t="str">
        <f>IF(Agent01_Savings!A160="","",Agent01_Savings!K160)</f>
        <v/>
      </c>
      <c r="K153" s="40" t="str">
        <f>IFERROR(IF(Agent01_Savings!A160="","",YEAR(Agent01_Savings!D160)),"")</f>
        <v/>
      </c>
    </row>
    <row r="154" spans="1:11" ht="18" customHeight="1" x14ac:dyDescent="0.25">
      <c r="A154" s="40" t="str">
        <f>IF(Agent01_Savings!A161="","",Agent01_Savings!A161)</f>
        <v/>
      </c>
      <c r="B154" s="40" t="str">
        <f ca="1">IF(Agent01_Savings!A161="","","SV"&amp;TEXT(154-3,"0000")&amp;"-"&amp;TEXT(TODAY(),"YYYYMMDD"))</f>
        <v/>
      </c>
      <c r="C154" s="40" t="str">
        <f>IF(Agent01_Savings!A161="","",Agent01_Savings!B161)</f>
        <v/>
      </c>
      <c r="D154" s="40" t="str">
        <f>IF(Agent01_Savings!A161="","",Agent01_Savings!G161)</f>
        <v/>
      </c>
      <c r="E154" s="41" t="str">
        <f>IF(Agent01_Savings!A161="","",Agent01_Savings!D161)</f>
        <v/>
      </c>
      <c r="F154" s="42" t="str">
        <f>IF(Agent01_Savings!A161="","",Agent01_Savings!E161)</f>
        <v/>
      </c>
      <c r="G154" s="42" t="str">
        <f>IF(Agent01_Savings!A161="","",Agent01_Savings!F161)</f>
        <v/>
      </c>
      <c r="H154" s="40" t="str">
        <f>IF(Agent01_Savings!A161="","",Agent01_Savings!I161)</f>
        <v/>
      </c>
      <c r="I154" s="40" t="str">
        <f>IF(Agent01_Savings!A161="","",Agent01_Savings!J161)</f>
        <v/>
      </c>
      <c r="J154" s="40" t="str">
        <f>IF(Agent01_Savings!A161="","",Agent01_Savings!K161)</f>
        <v/>
      </c>
      <c r="K154" s="40" t="str">
        <f>IFERROR(IF(Agent01_Savings!A161="","",YEAR(Agent01_Savings!D161)),"")</f>
        <v/>
      </c>
    </row>
    <row r="155" spans="1:11" ht="18" customHeight="1" x14ac:dyDescent="0.25">
      <c r="A155" s="40" t="str">
        <f>IF(Agent01_Savings!A162="","",Agent01_Savings!A162)</f>
        <v/>
      </c>
      <c r="B155" s="40" t="str">
        <f ca="1">IF(Agent01_Savings!A162="","","SV"&amp;TEXT(155-3,"0000")&amp;"-"&amp;TEXT(TODAY(),"YYYYMMDD"))</f>
        <v/>
      </c>
      <c r="C155" s="40" t="str">
        <f>IF(Agent01_Savings!A162="","",Agent01_Savings!B162)</f>
        <v/>
      </c>
      <c r="D155" s="40" t="str">
        <f>IF(Agent01_Savings!A162="","",Agent01_Savings!G162)</f>
        <v/>
      </c>
      <c r="E155" s="41" t="str">
        <f>IF(Agent01_Savings!A162="","",Agent01_Savings!D162)</f>
        <v/>
      </c>
      <c r="F155" s="42" t="str">
        <f>IF(Agent01_Savings!A162="","",Agent01_Savings!E162)</f>
        <v/>
      </c>
      <c r="G155" s="42" t="str">
        <f>IF(Agent01_Savings!A162="","",Agent01_Savings!F162)</f>
        <v/>
      </c>
      <c r="H155" s="40" t="str">
        <f>IF(Agent01_Savings!A162="","",Agent01_Savings!I162)</f>
        <v/>
      </c>
      <c r="I155" s="40" t="str">
        <f>IF(Agent01_Savings!A162="","",Agent01_Savings!J162)</f>
        <v/>
      </c>
      <c r="J155" s="40" t="str">
        <f>IF(Agent01_Savings!A162="","",Agent01_Savings!K162)</f>
        <v/>
      </c>
      <c r="K155" s="40" t="str">
        <f>IFERROR(IF(Agent01_Savings!A162="","",YEAR(Agent01_Savings!D162)),"")</f>
        <v/>
      </c>
    </row>
    <row r="156" spans="1:11" ht="18" customHeight="1" x14ac:dyDescent="0.25">
      <c r="A156" s="40" t="str">
        <f>IF(Agent01_Savings!A163="","",Agent01_Savings!A163)</f>
        <v/>
      </c>
      <c r="B156" s="40" t="str">
        <f ca="1">IF(Agent01_Savings!A163="","","SV"&amp;TEXT(156-3,"0000")&amp;"-"&amp;TEXT(TODAY(),"YYYYMMDD"))</f>
        <v/>
      </c>
      <c r="C156" s="40" t="str">
        <f>IF(Agent01_Savings!A163="","",Agent01_Savings!B163)</f>
        <v/>
      </c>
      <c r="D156" s="40" t="str">
        <f>IF(Agent01_Savings!A163="","",Agent01_Savings!G163)</f>
        <v/>
      </c>
      <c r="E156" s="41" t="str">
        <f>IF(Agent01_Savings!A163="","",Agent01_Savings!D163)</f>
        <v/>
      </c>
      <c r="F156" s="42" t="str">
        <f>IF(Agent01_Savings!A163="","",Agent01_Savings!E163)</f>
        <v/>
      </c>
      <c r="G156" s="42" t="str">
        <f>IF(Agent01_Savings!A163="","",Agent01_Savings!F163)</f>
        <v/>
      </c>
      <c r="H156" s="40" t="str">
        <f>IF(Agent01_Savings!A163="","",Agent01_Savings!I163)</f>
        <v/>
      </c>
      <c r="I156" s="40" t="str">
        <f>IF(Agent01_Savings!A163="","",Agent01_Savings!J163)</f>
        <v/>
      </c>
      <c r="J156" s="40" t="str">
        <f>IF(Agent01_Savings!A163="","",Agent01_Savings!K163)</f>
        <v/>
      </c>
      <c r="K156" s="40" t="str">
        <f>IFERROR(IF(Agent01_Savings!A163="","",YEAR(Agent01_Savings!D163)),"")</f>
        <v/>
      </c>
    </row>
    <row r="157" spans="1:11" ht="18" customHeight="1" x14ac:dyDescent="0.25">
      <c r="A157" s="40" t="str">
        <f>IF(Agent01_Savings!A164="","",Agent01_Savings!A164)</f>
        <v/>
      </c>
      <c r="B157" s="40" t="str">
        <f ca="1">IF(Agent01_Savings!A164="","","SV"&amp;TEXT(157-3,"0000")&amp;"-"&amp;TEXT(TODAY(),"YYYYMMDD"))</f>
        <v/>
      </c>
      <c r="C157" s="40" t="str">
        <f>IF(Agent01_Savings!A164="","",Agent01_Savings!B164)</f>
        <v/>
      </c>
      <c r="D157" s="40" t="str">
        <f>IF(Agent01_Savings!A164="","",Agent01_Savings!G164)</f>
        <v/>
      </c>
      <c r="E157" s="41" t="str">
        <f>IF(Agent01_Savings!A164="","",Agent01_Savings!D164)</f>
        <v/>
      </c>
      <c r="F157" s="42" t="str">
        <f>IF(Agent01_Savings!A164="","",Agent01_Savings!E164)</f>
        <v/>
      </c>
      <c r="G157" s="42" t="str">
        <f>IF(Agent01_Savings!A164="","",Agent01_Savings!F164)</f>
        <v/>
      </c>
      <c r="H157" s="40" t="str">
        <f>IF(Agent01_Savings!A164="","",Agent01_Savings!I164)</f>
        <v/>
      </c>
      <c r="I157" s="40" t="str">
        <f>IF(Agent01_Savings!A164="","",Agent01_Savings!J164)</f>
        <v/>
      </c>
      <c r="J157" s="40" t="str">
        <f>IF(Agent01_Savings!A164="","",Agent01_Savings!K164)</f>
        <v/>
      </c>
      <c r="K157" s="40" t="str">
        <f>IFERROR(IF(Agent01_Savings!A164="","",YEAR(Agent01_Savings!D164)),"")</f>
        <v/>
      </c>
    </row>
    <row r="158" spans="1:11" ht="18" customHeight="1" x14ac:dyDescent="0.25">
      <c r="A158" s="40" t="str">
        <f>IF(Agent01_Savings!A165="","",Agent01_Savings!A165)</f>
        <v/>
      </c>
      <c r="B158" s="40" t="str">
        <f ca="1">IF(Agent01_Savings!A165="","","SV"&amp;TEXT(158-3,"0000")&amp;"-"&amp;TEXT(TODAY(),"YYYYMMDD"))</f>
        <v/>
      </c>
      <c r="C158" s="40" t="str">
        <f>IF(Agent01_Savings!A165="","",Agent01_Savings!B165)</f>
        <v/>
      </c>
      <c r="D158" s="40" t="str">
        <f>IF(Agent01_Savings!A165="","",Agent01_Savings!G165)</f>
        <v/>
      </c>
      <c r="E158" s="41" t="str">
        <f>IF(Agent01_Savings!A165="","",Agent01_Savings!D165)</f>
        <v/>
      </c>
      <c r="F158" s="42" t="str">
        <f>IF(Agent01_Savings!A165="","",Agent01_Savings!E165)</f>
        <v/>
      </c>
      <c r="G158" s="42" t="str">
        <f>IF(Agent01_Savings!A165="","",Agent01_Savings!F165)</f>
        <v/>
      </c>
      <c r="H158" s="40" t="str">
        <f>IF(Agent01_Savings!A165="","",Agent01_Savings!I165)</f>
        <v/>
      </c>
      <c r="I158" s="40" t="str">
        <f>IF(Agent01_Savings!A165="","",Agent01_Savings!J165)</f>
        <v/>
      </c>
      <c r="J158" s="40" t="str">
        <f>IF(Agent01_Savings!A165="","",Agent01_Savings!K165)</f>
        <v/>
      </c>
      <c r="K158" s="40" t="str">
        <f>IFERROR(IF(Agent01_Savings!A165="","",YEAR(Agent01_Savings!D165)),"")</f>
        <v/>
      </c>
    </row>
    <row r="159" spans="1:11" ht="18" customHeight="1" x14ac:dyDescent="0.25">
      <c r="A159" s="40" t="str">
        <f>IF(Agent01_Savings!A166="","",Agent01_Savings!A166)</f>
        <v/>
      </c>
      <c r="B159" s="40" t="str">
        <f ca="1">IF(Agent01_Savings!A166="","","SV"&amp;TEXT(159-3,"0000")&amp;"-"&amp;TEXT(TODAY(),"YYYYMMDD"))</f>
        <v/>
      </c>
      <c r="C159" s="40" t="str">
        <f>IF(Agent01_Savings!A166="","",Agent01_Savings!B166)</f>
        <v/>
      </c>
      <c r="D159" s="40" t="str">
        <f>IF(Agent01_Savings!A166="","",Agent01_Savings!G166)</f>
        <v/>
      </c>
      <c r="E159" s="41" t="str">
        <f>IF(Agent01_Savings!A166="","",Agent01_Savings!D166)</f>
        <v/>
      </c>
      <c r="F159" s="42" t="str">
        <f>IF(Agent01_Savings!A166="","",Agent01_Savings!E166)</f>
        <v/>
      </c>
      <c r="G159" s="42" t="str">
        <f>IF(Agent01_Savings!A166="","",Agent01_Savings!F166)</f>
        <v/>
      </c>
      <c r="H159" s="40" t="str">
        <f>IF(Agent01_Savings!A166="","",Agent01_Savings!I166)</f>
        <v/>
      </c>
      <c r="I159" s="40" t="str">
        <f>IF(Agent01_Savings!A166="","",Agent01_Savings!J166)</f>
        <v/>
      </c>
      <c r="J159" s="40" t="str">
        <f>IF(Agent01_Savings!A166="","",Agent01_Savings!K166)</f>
        <v/>
      </c>
      <c r="K159" s="40" t="str">
        <f>IFERROR(IF(Agent01_Savings!A166="","",YEAR(Agent01_Savings!D166)),"")</f>
        <v/>
      </c>
    </row>
    <row r="160" spans="1:11" ht="18" customHeight="1" x14ac:dyDescent="0.25">
      <c r="A160" s="40" t="str">
        <f>IF(Agent01_Savings!A167="","",Agent01_Savings!A167)</f>
        <v/>
      </c>
      <c r="B160" s="40" t="str">
        <f ca="1">IF(Agent01_Savings!A167="","","SV"&amp;TEXT(160-3,"0000")&amp;"-"&amp;TEXT(TODAY(),"YYYYMMDD"))</f>
        <v/>
      </c>
      <c r="C160" s="40" t="str">
        <f>IF(Agent01_Savings!A167="","",Agent01_Savings!B167)</f>
        <v/>
      </c>
      <c r="D160" s="40" t="str">
        <f>IF(Agent01_Savings!A167="","",Agent01_Savings!G167)</f>
        <v/>
      </c>
      <c r="E160" s="41" t="str">
        <f>IF(Agent01_Savings!A167="","",Agent01_Savings!D167)</f>
        <v/>
      </c>
      <c r="F160" s="42" t="str">
        <f>IF(Agent01_Savings!A167="","",Agent01_Savings!E167)</f>
        <v/>
      </c>
      <c r="G160" s="42" t="str">
        <f>IF(Agent01_Savings!A167="","",Agent01_Savings!F167)</f>
        <v/>
      </c>
      <c r="H160" s="40" t="str">
        <f>IF(Agent01_Savings!A167="","",Agent01_Savings!I167)</f>
        <v/>
      </c>
      <c r="I160" s="40" t="str">
        <f>IF(Agent01_Savings!A167="","",Agent01_Savings!J167)</f>
        <v/>
      </c>
      <c r="J160" s="40" t="str">
        <f>IF(Agent01_Savings!A167="","",Agent01_Savings!K167)</f>
        <v/>
      </c>
      <c r="K160" s="40" t="str">
        <f>IFERROR(IF(Agent01_Savings!A167="","",YEAR(Agent01_Savings!D167)),"")</f>
        <v/>
      </c>
    </row>
    <row r="161" spans="1:11" ht="18" customHeight="1" x14ac:dyDescent="0.25">
      <c r="A161" s="40" t="str">
        <f>IF(Agent01_Savings!A168="","",Agent01_Savings!A168)</f>
        <v/>
      </c>
      <c r="B161" s="40" t="str">
        <f ca="1">IF(Agent01_Savings!A168="","","SV"&amp;TEXT(161-3,"0000")&amp;"-"&amp;TEXT(TODAY(),"YYYYMMDD"))</f>
        <v/>
      </c>
      <c r="C161" s="40" t="str">
        <f>IF(Agent01_Savings!A168="","",Agent01_Savings!B168)</f>
        <v/>
      </c>
      <c r="D161" s="40" t="str">
        <f>IF(Agent01_Savings!A168="","",Agent01_Savings!G168)</f>
        <v/>
      </c>
      <c r="E161" s="41" t="str">
        <f>IF(Agent01_Savings!A168="","",Agent01_Savings!D168)</f>
        <v/>
      </c>
      <c r="F161" s="42" t="str">
        <f>IF(Agent01_Savings!A168="","",Agent01_Savings!E168)</f>
        <v/>
      </c>
      <c r="G161" s="42" t="str">
        <f>IF(Agent01_Savings!A168="","",Agent01_Savings!F168)</f>
        <v/>
      </c>
      <c r="H161" s="40" t="str">
        <f>IF(Agent01_Savings!A168="","",Agent01_Savings!I168)</f>
        <v/>
      </c>
      <c r="I161" s="40" t="str">
        <f>IF(Agent01_Savings!A168="","",Agent01_Savings!J168)</f>
        <v/>
      </c>
      <c r="J161" s="40" t="str">
        <f>IF(Agent01_Savings!A168="","",Agent01_Savings!K168)</f>
        <v/>
      </c>
      <c r="K161" s="40" t="str">
        <f>IFERROR(IF(Agent01_Savings!A168="","",YEAR(Agent01_Savings!D168)),"")</f>
        <v/>
      </c>
    </row>
    <row r="162" spans="1:11" ht="18" customHeight="1" x14ac:dyDescent="0.25">
      <c r="A162" s="40" t="str">
        <f>IF(Agent01_Savings!A169="","",Agent01_Savings!A169)</f>
        <v/>
      </c>
      <c r="B162" s="40" t="str">
        <f ca="1">IF(Agent01_Savings!A169="","","SV"&amp;TEXT(162-3,"0000")&amp;"-"&amp;TEXT(TODAY(),"YYYYMMDD"))</f>
        <v/>
      </c>
      <c r="C162" s="40" t="str">
        <f>IF(Agent01_Savings!A169="","",Agent01_Savings!B169)</f>
        <v/>
      </c>
      <c r="D162" s="40" t="str">
        <f>IF(Agent01_Savings!A169="","",Agent01_Savings!G169)</f>
        <v/>
      </c>
      <c r="E162" s="41" t="str">
        <f>IF(Agent01_Savings!A169="","",Agent01_Savings!D169)</f>
        <v/>
      </c>
      <c r="F162" s="42" t="str">
        <f>IF(Agent01_Savings!A169="","",Agent01_Savings!E169)</f>
        <v/>
      </c>
      <c r="G162" s="42" t="str">
        <f>IF(Agent01_Savings!A169="","",Agent01_Savings!F169)</f>
        <v/>
      </c>
      <c r="H162" s="40" t="str">
        <f>IF(Agent01_Savings!A169="","",Agent01_Savings!I169)</f>
        <v/>
      </c>
      <c r="I162" s="40" t="str">
        <f>IF(Agent01_Savings!A169="","",Agent01_Savings!J169)</f>
        <v/>
      </c>
      <c r="J162" s="40" t="str">
        <f>IF(Agent01_Savings!A169="","",Agent01_Savings!K169)</f>
        <v/>
      </c>
      <c r="K162" s="40" t="str">
        <f>IFERROR(IF(Agent01_Savings!A169="","",YEAR(Agent01_Savings!D169)),"")</f>
        <v/>
      </c>
    </row>
    <row r="163" spans="1:11" ht="18" customHeight="1" x14ac:dyDescent="0.25">
      <c r="A163" s="40" t="str">
        <f>IF(Agent01_Savings!A170="","",Agent01_Savings!A170)</f>
        <v/>
      </c>
      <c r="B163" s="40" t="str">
        <f ca="1">IF(Agent01_Savings!A170="","","SV"&amp;TEXT(163-3,"0000")&amp;"-"&amp;TEXT(TODAY(),"YYYYMMDD"))</f>
        <v/>
      </c>
      <c r="C163" s="40" t="str">
        <f>IF(Agent01_Savings!A170="","",Agent01_Savings!B170)</f>
        <v/>
      </c>
      <c r="D163" s="40" t="str">
        <f>IF(Agent01_Savings!A170="","",Agent01_Savings!G170)</f>
        <v/>
      </c>
      <c r="E163" s="41" t="str">
        <f>IF(Agent01_Savings!A170="","",Agent01_Savings!D170)</f>
        <v/>
      </c>
      <c r="F163" s="42" t="str">
        <f>IF(Agent01_Savings!A170="","",Agent01_Savings!E170)</f>
        <v/>
      </c>
      <c r="G163" s="42" t="str">
        <f>IF(Agent01_Savings!A170="","",Agent01_Savings!F170)</f>
        <v/>
      </c>
      <c r="H163" s="40" t="str">
        <f>IF(Agent01_Savings!A170="","",Agent01_Savings!I170)</f>
        <v/>
      </c>
      <c r="I163" s="40" t="str">
        <f>IF(Agent01_Savings!A170="","",Agent01_Savings!J170)</f>
        <v/>
      </c>
      <c r="J163" s="40" t="str">
        <f>IF(Agent01_Savings!A170="","",Agent01_Savings!K170)</f>
        <v/>
      </c>
      <c r="K163" s="40" t="str">
        <f>IFERROR(IF(Agent01_Savings!A170="","",YEAR(Agent01_Savings!D170)),"")</f>
        <v/>
      </c>
    </row>
    <row r="164" spans="1:11" ht="18" customHeight="1" x14ac:dyDescent="0.25">
      <c r="A164" s="40" t="str">
        <f>IF(Agent01_Savings!A171="","",Agent01_Savings!A171)</f>
        <v/>
      </c>
      <c r="B164" s="40" t="str">
        <f ca="1">IF(Agent01_Savings!A171="","","SV"&amp;TEXT(164-3,"0000")&amp;"-"&amp;TEXT(TODAY(),"YYYYMMDD"))</f>
        <v/>
      </c>
      <c r="C164" s="40" t="str">
        <f>IF(Agent01_Savings!A171="","",Agent01_Savings!B171)</f>
        <v/>
      </c>
      <c r="D164" s="40" t="str">
        <f>IF(Agent01_Savings!A171="","",Agent01_Savings!G171)</f>
        <v/>
      </c>
      <c r="E164" s="41" t="str">
        <f>IF(Agent01_Savings!A171="","",Agent01_Savings!D171)</f>
        <v/>
      </c>
      <c r="F164" s="42" t="str">
        <f>IF(Agent01_Savings!A171="","",Agent01_Savings!E171)</f>
        <v/>
      </c>
      <c r="G164" s="42" t="str">
        <f>IF(Agent01_Savings!A171="","",Agent01_Savings!F171)</f>
        <v/>
      </c>
      <c r="H164" s="40" t="str">
        <f>IF(Agent01_Savings!A171="","",Agent01_Savings!I171)</f>
        <v/>
      </c>
      <c r="I164" s="40" t="str">
        <f>IF(Agent01_Savings!A171="","",Agent01_Savings!J171)</f>
        <v/>
      </c>
      <c r="J164" s="40" t="str">
        <f>IF(Agent01_Savings!A171="","",Agent01_Savings!K171)</f>
        <v/>
      </c>
      <c r="K164" s="40" t="str">
        <f>IFERROR(IF(Agent01_Savings!A171="","",YEAR(Agent01_Savings!D171)),"")</f>
        <v/>
      </c>
    </row>
    <row r="165" spans="1:11" ht="18" customHeight="1" x14ac:dyDescent="0.25">
      <c r="A165" s="40" t="str">
        <f>IF(Agent01_Savings!A172="","",Agent01_Savings!A172)</f>
        <v/>
      </c>
      <c r="B165" s="40" t="str">
        <f ca="1">IF(Agent01_Savings!A172="","","SV"&amp;TEXT(165-3,"0000")&amp;"-"&amp;TEXT(TODAY(),"YYYYMMDD"))</f>
        <v/>
      </c>
      <c r="C165" s="40" t="str">
        <f>IF(Agent01_Savings!A172="","",Agent01_Savings!B172)</f>
        <v/>
      </c>
      <c r="D165" s="40" t="str">
        <f>IF(Agent01_Savings!A172="","",Agent01_Savings!G172)</f>
        <v/>
      </c>
      <c r="E165" s="41" t="str">
        <f>IF(Agent01_Savings!A172="","",Agent01_Savings!D172)</f>
        <v/>
      </c>
      <c r="F165" s="42" t="str">
        <f>IF(Agent01_Savings!A172="","",Agent01_Savings!E172)</f>
        <v/>
      </c>
      <c r="G165" s="42" t="str">
        <f>IF(Agent01_Savings!A172="","",Agent01_Savings!F172)</f>
        <v/>
      </c>
      <c r="H165" s="40" t="str">
        <f>IF(Agent01_Savings!A172="","",Agent01_Savings!I172)</f>
        <v/>
      </c>
      <c r="I165" s="40" t="str">
        <f>IF(Agent01_Savings!A172="","",Agent01_Savings!J172)</f>
        <v/>
      </c>
      <c r="J165" s="40" t="str">
        <f>IF(Agent01_Savings!A172="","",Agent01_Savings!K172)</f>
        <v/>
      </c>
      <c r="K165" s="40" t="str">
        <f>IFERROR(IF(Agent01_Savings!A172="","",YEAR(Agent01_Savings!D172)),"")</f>
        <v/>
      </c>
    </row>
    <row r="166" spans="1:11" ht="18" customHeight="1" x14ac:dyDescent="0.25">
      <c r="A166" s="40" t="str">
        <f>IF(Agent01_Savings!A173="","",Agent01_Savings!A173)</f>
        <v/>
      </c>
      <c r="B166" s="40" t="str">
        <f ca="1">IF(Agent01_Savings!A173="","","SV"&amp;TEXT(166-3,"0000")&amp;"-"&amp;TEXT(TODAY(),"YYYYMMDD"))</f>
        <v/>
      </c>
      <c r="C166" s="40" t="str">
        <f>IF(Agent01_Savings!A173="","",Agent01_Savings!B173)</f>
        <v/>
      </c>
      <c r="D166" s="40" t="str">
        <f>IF(Agent01_Savings!A173="","",Agent01_Savings!G173)</f>
        <v/>
      </c>
      <c r="E166" s="41" t="str">
        <f>IF(Agent01_Savings!A173="","",Agent01_Savings!D173)</f>
        <v/>
      </c>
      <c r="F166" s="42" t="str">
        <f>IF(Agent01_Savings!A173="","",Agent01_Savings!E173)</f>
        <v/>
      </c>
      <c r="G166" s="42" t="str">
        <f>IF(Agent01_Savings!A173="","",Agent01_Savings!F173)</f>
        <v/>
      </c>
      <c r="H166" s="40" t="str">
        <f>IF(Agent01_Savings!A173="","",Agent01_Savings!I173)</f>
        <v/>
      </c>
      <c r="I166" s="40" t="str">
        <f>IF(Agent01_Savings!A173="","",Agent01_Savings!J173)</f>
        <v/>
      </c>
      <c r="J166" s="40" t="str">
        <f>IF(Agent01_Savings!A173="","",Agent01_Savings!K173)</f>
        <v/>
      </c>
      <c r="K166" s="40" t="str">
        <f>IFERROR(IF(Agent01_Savings!A173="","",YEAR(Agent01_Savings!D173)),"")</f>
        <v/>
      </c>
    </row>
    <row r="167" spans="1:11" ht="18" customHeight="1" x14ac:dyDescent="0.25">
      <c r="A167" s="40" t="str">
        <f>IF(Agent01_Savings!A174="","",Agent01_Savings!A174)</f>
        <v/>
      </c>
      <c r="B167" s="40" t="str">
        <f ca="1">IF(Agent01_Savings!A174="","","SV"&amp;TEXT(167-3,"0000")&amp;"-"&amp;TEXT(TODAY(),"YYYYMMDD"))</f>
        <v/>
      </c>
      <c r="C167" s="40" t="str">
        <f>IF(Agent01_Savings!A174="","",Agent01_Savings!B174)</f>
        <v/>
      </c>
      <c r="D167" s="40" t="str">
        <f>IF(Agent01_Savings!A174="","",Agent01_Savings!G174)</f>
        <v/>
      </c>
      <c r="E167" s="41" t="str">
        <f>IF(Agent01_Savings!A174="","",Agent01_Savings!D174)</f>
        <v/>
      </c>
      <c r="F167" s="42" t="str">
        <f>IF(Agent01_Savings!A174="","",Agent01_Savings!E174)</f>
        <v/>
      </c>
      <c r="G167" s="42" t="str">
        <f>IF(Agent01_Savings!A174="","",Agent01_Savings!F174)</f>
        <v/>
      </c>
      <c r="H167" s="40" t="str">
        <f>IF(Agent01_Savings!A174="","",Agent01_Savings!I174)</f>
        <v/>
      </c>
      <c r="I167" s="40" t="str">
        <f>IF(Agent01_Savings!A174="","",Agent01_Savings!J174)</f>
        <v/>
      </c>
      <c r="J167" s="40" t="str">
        <f>IF(Agent01_Savings!A174="","",Agent01_Savings!K174)</f>
        <v/>
      </c>
      <c r="K167" s="40" t="str">
        <f>IFERROR(IF(Agent01_Savings!A174="","",YEAR(Agent01_Savings!D174)),"")</f>
        <v/>
      </c>
    </row>
    <row r="168" spans="1:11" ht="18" customHeight="1" x14ac:dyDescent="0.25">
      <c r="A168" s="40" t="str">
        <f>IF(Agent01_Savings!A175="","",Agent01_Savings!A175)</f>
        <v/>
      </c>
      <c r="B168" s="40" t="str">
        <f ca="1">IF(Agent01_Savings!A175="","","SV"&amp;TEXT(168-3,"0000")&amp;"-"&amp;TEXT(TODAY(),"YYYYMMDD"))</f>
        <v/>
      </c>
      <c r="C168" s="40" t="str">
        <f>IF(Agent01_Savings!A175="","",Agent01_Savings!B175)</f>
        <v/>
      </c>
      <c r="D168" s="40" t="str">
        <f>IF(Agent01_Savings!A175="","",Agent01_Savings!G175)</f>
        <v/>
      </c>
      <c r="E168" s="41" t="str">
        <f>IF(Agent01_Savings!A175="","",Agent01_Savings!D175)</f>
        <v/>
      </c>
      <c r="F168" s="42" t="str">
        <f>IF(Agent01_Savings!A175="","",Agent01_Savings!E175)</f>
        <v/>
      </c>
      <c r="G168" s="42" t="str">
        <f>IF(Agent01_Savings!A175="","",Agent01_Savings!F175)</f>
        <v/>
      </c>
      <c r="H168" s="40" t="str">
        <f>IF(Agent01_Savings!A175="","",Agent01_Savings!I175)</f>
        <v/>
      </c>
      <c r="I168" s="40" t="str">
        <f>IF(Agent01_Savings!A175="","",Agent01_Savings!J175)</f>
        <v/>
      </c>
      <c r="J168" s="40" t="str">
        <f>IF(Agent01_Savings!A175="","",Agent01_Savings!K175)</f>
        <v/>
      </c>
      <c r="K168" s="40" t="str">
        <f>IFERROR(IF(Agent01_Savings!A175="","",YEAR(Agent01_Savings!D175)),"")</f>
        <v/>
      </c>
    </row>
    <row r="169" spans="1:11" ht="18" customHeight="1" x14ac:dyDescent="0.25">
      <c r="A169" s="40" t="str">
        <f>IF(Agent01_Savings!A176="","",Agent01_Savings!A176)</f>
        <v/>
      </c>
      <c r="B169" s="40" t="str">
        <f ca="1">IF(Agent01_Savings!A176="","","SV"&amp;TEXT(169-3,"0000")&amp;"-"&amp;TEXT(TODAY(),"YYYYMMDD"))</f>
        <v/>
      </c>
      <c r="C169" s="40" t="str">
        <f>IF(Agent01_Savings!A176="","",Agent01_Savings!B176)</f>
        <v/>
      </c>
      <c r="D169" s="40" t="str">
        <f>IF(Agent01_Savings!A176="","",Agent01_Savings!G176)</f>
        <v/>
      </c>
      <c r="E169" s="41" t="str">
        <f>IF(Agent01_Savings!A176="","",Agent01_Savings!D176)</f>
        <v/>
      </c>
      <c r="F169" s="42" t="str">
        <f>IF(Agent01_Savings!A176="","",Agent01_Savings!E176)</f>
        <v/>
      </c>
      <c r="G169" s="42" t="str">
        <f>IF(Agent01_Savings!A176="","",Agent01_Savings!F176)</f>
        <v/>
      </c>
      <c r="H169" s="40" t="str">
        <f>IF(Agent01_Savings!A176="","",Agent01_Savings!I176)</f>
        <v/>
      </c>
      <c r="I169" s="40" t="str">
        <f>IF(Agent01_Savings!A176="","",Agent01_Savings!J176)</f>
        <v/>
      </c>
      <c r="J169" s="40" t="str">
        <f>IF(Agent01_Savings!A176="","",Agent01_Savings!K176)</f>
        <v/>
      </c>
      <c r="K169" s="40" t="str">
        <f>IFERROR(IF(Agent01_Savings!A176="","",YEAR(Agent01_Savings!D176)),"")</f>
        <v/>
      </c>
    </row>
    <row r="170" spans="1:11" ht="18" customHeight="1" x14ac:dyDescent="0.25">
      <c r="A170" s="40" t="str">
        <f>IF(Agent01_Savings!A177="","",Agent01_Savings!A177)</f>
        <v/>
      </c>
      <c r="B170" s="40" t="str">
        <f ca="1">IF(Agent01_Savings!A177="","","SV"&amp;TEXT(170-3,"0000")&amp;"-"&amp;TEXT(TODAY(),"YYYYMMDD"))</f>
        <v/>
      </c>
      <c r="C170" s="40" t="str">
        <f>IF(Agent01_Savings!A177="","",Agent01_Savings!B177)</f>
        <v/>
      </c>
      <c r="D170" s="40" t="str">
        <f>IF(Agent01_Savings!A177="","",Agent01_Savings!G177)</f>
        <v/>
      </c>
      <c r="E170" s="41" t="str">
        <f>IF(Agent01_Savings!A177="","",Agent01_Savings!D177)</f>
        <v/>
      </c>
      <c r="F170" s="42" t="str">
        <f>IF(Agent01_Savings!A177="","",Agent01_Savings!E177)</f>
        <v/>
      </c>
      <c r="G170" s="42" t="str">
        <f>IF(Agent01_Savings!A177="","",Agent01_Savings!F177)</f>
        <v/>
      </c>
      <c r="H170" s="40" t="str">
        <f>IF(Agent01_Savings!A177="","",Agent01_Savings!I177)</f>
        <v/>
      </c>
      <c r="I170" s="40" t="str">
        <f>IF(Agent01_Savings!A177="","",Agent01_Savings!J177)</f>
        <v/>
      </c>
      <c r="J170" s="40" t="str">
        <f>IF(Agent01_Savings!A177="","",Agent01_Savings!K177)</f>
        <v/>
      </c>
      <c r="K170" s="40" t="str">
        <f>IFERROR(IF(Agent01_Savings!A177="","",YEAR(Agent01_Savings!D177)),"")</f>
        <v/>
      </c>
    </row>
    <row r="171" spans="1:11" ht="18" customHeight="1" x14ac:dyDescent="0.25">
      <c r="A171" s="40" t="str">
        <f>IF(Agent01_Savings!A178="","",Agent01_Savings!A178)</f>
        <v/>
      </c>
      <c r="B171" s="40" t="str">
        <f ca="1">IF(Agent01_Savings!A178="","","SV"&amp;TEXT(171-3,"0000")&amp;"-"&amp;TEXT(TODAY(),"YYYYMMDD"))</f>
        <v/>
      </c>
      <c r="C171" s="40" t="str">
        <f>IF(Agent01_Savings!A178="","",Agent01_Savings!B178)</f>
        <v/>
      </c>
      <c r="D171" s="40" t="str">
        <f>IF(Agent01_Savings!A178="","",Agent01_Savings!G178)</f>
        <v/>
      </c>
      <c r="E171" s="41" t="str">
        <f>IF(Agent01_Savings!A178="","",Agent01_Savings!D178)</f>
        <v/>
      </c>
      <c r="F171" s="42" t="str">
        <f>IF(Agent01_Savings!A178="","",Agent01_Savings!E178)</f>
        <v/>
      </c>
      <c r="G171" s="42" t="str">
        <f>IF(Agent01_Savings!A178="","",Agent01_Savings!F178)</f>
        <v/>
      </c>
      <c r="H171" s="40" t="str">
        <f>IF(Agent01_Savings!A178="","",Agent01_Savings!I178)</f>
        <v/>
      </c>
      <c r="I171" s="40" t="str">
        <f>IF(Agent01_Savings!A178="","",Agent01_Savings!J178)</f>
        <v/>
      </c>
      <c r="J171" s="40" t="str">
        <f>IF(Agent01_Savings!A178="","",Agent01_Savings!K178)</f>
        <v/>
      </c>
      <c r="K171" s="40" t="str">
        <f>IFERROR(IF(Agent01_Savings!A178="","",YEAR(Agent01_Savings!D178)),"")</f>
        <v/>
      </c>
    </row>
    <row r="172" spans="1:11" ht="18" customHeight="1" x14ac:dyDescent="0.25">
      <c r="A172" s="40" t="str">
        <f>IF(Agent01_Savings!A179="","",Agent01_Savings!A179)</f>
        <v/>
      </c>
      <c r="B172" s="40" t="str">
        <f ca="1">IF(Agent01_Savings!A179="","","SV"&amp;TEXT(172-3,"0000")&amp;"-"&amp;TEXT(TODAY(),"YYYYMMDD"))</f>
        <v/>
      </c>
      <c r="C172" s="40" t="str">
        <f>IF(Agent01_Savings!A179="","",Agent01_Savings!B179)</f>
        <v/>
      </c>
      <c r="D172" s="40" t="str">
        <f>IF(Agent01_Savings!A179="","",Agent01_Savings!G179)</f>
        <v/>
      </c>
      <c r="E172" s="41" t="str">
        <f>IF(Agent01_Savings!A179="","",Agent01_Savings!D179)</f>
        <v/>
      </c>
      <c r="F172" s="42" t="str">
        <f>IF(Agent01_Savings!A179="","",Agent01_Savings!E179)</f>
        <v/>
      </c>
      <c r="G172" s="42" t="str">
        <f>IF(Agent01_Savings!A179="","",Agent01_Savings!F179)</f>
        <v/>
      </c>
      <c r="H172" s="40" t="str">
        <f>IF(Agent01_Savings!A179="","",Agent01_Savings!I179)</f>
        <v/>
      </c>
      <c r="I172" s="40" t="str">
        <f>IF(Agent01_Savings!A179="","",Agent01_Savings!J179)</f>
        <v/>
      </c>
      <c r="J172" s="40" t="str">
        <f>IF(Agent01_Savings!A179="","",Agent01_Savings!K179)</f>
        <v/>
      </c>
      <c r="K172" s="40" t="str">
        <f>IFERROR(IF(Agent01_Savings!A179="","",YEAR(Agent01_Savings!D179)),"")</f>
        <v/>
      </c>
    </row>
    <row r="173" spans="1:11" ht="18" customHeight="1" x14ac:dyDescent="0.25">
      <c r="A173" s="40" t="str">
        <f>IF(Agent01_Savings!A180="","",Agent01_Savings!A180)</f>
        <v/>
      </c>
      <c r="B173" s="40" t="str">
        <f ca="1">IF(Agent01_Savings!A180="","","SV"&amp;TEXT(173-3,"0000")&amp;"-"&amp;TEXT(TODAY(),"YYYYMMDD"))</f>
        <v/>
      </c>
      <c r="C173" s="40" t="str">
        <f>IF(Agent01_Savings!A180="","",Agent01_Savings!B180)</f>
        <v/>
      </c>
      <c r="D173" s="40" t="str">
        <f>IF(Agent01_Savings!A180="","",Agent01_Savings!G180)</f>
        <v/>
      </c>
      <c r="E173" s="41" t="str">
        <f>IF(Agent01_Savings!A180="","",Agent01_Savings!D180)</f>
        <v/>
      </c>
      <c r="F173" s="42" t="str">
        <f>IF(Agent01_Savings!A180="","",Agent01_Savings!E180)</f>
        <v/>
      </c>
      <c r="G173" s="42" t="str">
        <f>IF(Agent01_Savings!A180="","",Agent01_Savings!F180)</f>
        <v/>
      </c>
      <c r="H173" s="40" t="str">
        <f>IF(Agent01_Savings!A180="","",Agent01_Savings!I180)</f>
        <v/>
      </c>
      <c r="I173" s="40" t="str">
        <f>IF(Agent01_Savings!A180="","",Agent01_Savings!J180)</f>
        <v/>
      </c>
      <c r="J173" s="40" t="str">
        <f>IF(Agent01_Savings!A180="","",Agent01_Savings!K180)</f>
        <v/>
      </c>
      <c r="K173" s="40" t="str">
        <f>IFERROR(IF(Agent01_Savings!A180="","",YEAR(Agent01_Savings!D180)),"")</f>
        <v/>
      </c>
    </row>
    <row r="174" spans="1:11" ht="18" customHeight="1" x14ac:dyDescent="0.25">
      <c r="A174" s="40" t="str">
        <f>IF(Agent01_Savings!A181="","",Agent01_Savings!A181)</f>
        <v/>
      </c>
      <c r="B174" s="40" t="str">
        <f ca="1">IF(Agent01_Savings!A181="","","SV"&amp;TEXT(174-3,"0000")&amp;"-"&amp;TEXT(TODAY(),"YYYYMMDD"))</f>
        <v/>
      </c>
      <c r="C174" s="40" t="str">
        <f>IF(Agent01_Savings!A181="","",Agent01_Savings!B181)</f>
        <v/>
      </c>
      <c r="D174" s="40" t="str">
        <f>IF(Agent01_Savings!A181="","",Agent01_Savings!G181)</f>
        <v/>
      </c>
      <c r="E174" s="41" t="str">
        <f>IF(Agent01_Savings!A181="","",Agent01_Savings!D181)</f>
        <v/>
      </c>
      <c r="F174" s="42" t="str">
        <f>IF(Agent01_Savings!A181="","",Agent01_Savings!E181)</f>
        <v/>
      </c>
      <c r="G174" s="42" t="str">
        <f>IF(Agent01_Savings!A181="","",Agent01_Savings!F181)</f>
        <v/>
      </c>
      <c r="H174" s="40" t="str">
        <f>IF(Agent01_Savings!A181="","",Agent01_Savings!I181)</f>
        <v/>
      </c>
      <c r="I174" s="40" t="str">
        <f>IF(Agent01_Savings!A181="","",Agent01_Savings!J181)</f>
        <v/>
      </c>
      <c r="J174" s="40" t="str">
        <f>IF(Agent01_Savings!A181="","",Agent01_Savings!K181)</f>
        <v/>
      </c>
      <c r="K174" s="40" t="str">
        <f>IFERROR(IF(Agent01_Savings!A181="","",YEAR(Agent01_Savings!D181)),"")</f>
        <v/>
      </c>
    </row>
    <row r="175" spans="1:11" ht="18" customHeight="1" x14ac:dyDescent="0.25">
      <c r="A175" s="40" t="str">
        <f>IF(Agent01_Savings!A182="","",Agent01_Savings!A182)</f>
        <v/>
      </c>
      <c r="B175" s="40" t="str">
        <f ca="1">IF(Agent01_Savings!A182="","","SV"&amp;TEXT(175-3,"0000")&amp;"-"&amp;TEXT(TODAY(),"YYYYMMDD"))</f>
        <v/>
      </c>
      <c r="C175" s="40" t="str">
        <f>IF(Agent01_Savings!A182="","",Agent01_Savings!B182)</f>
        <v/>
      </c>
      <c r="D175" s="40" t="str">
        <f>IF(Agent01_Savings!A182="","",Agent01_Savings!G182)</f>
        <v/>
      </c>
      <c r="E175" s="41" t="str">
        <f>IF(Agent01_Savings!A182="","",Agent01_Savings!D182)</f>
        <v/>
      </c>
      <c r="F175" s="42" t="str">
        <f>IF(Agent01_Savings!A182="","",Agent01_Savings!E182)</f>
        <v/>
      </c>
      <c r="G175" s="42" t="str">
        <f>IF(Agent01_Savings!A182="","",Agent01_Savings!F182)</f>
        <v/>
      </c>
      <c r="H175" s="40" t="str">
        <f>IF(Agent01_Savings!A182="","",Agent01_Savings!I182)</f>
        <v/>
      </c>
      <c r="I175" s="40" t="str">
        <f>IF(Agent01_Savings!A182="","",Agent01_Savings!J182)</f>
        <v/>
      </c>
      <c r="J175" s="40" t="str">
        <f>IF(Agent01_Savings!A182="","",Agent01_Savings!K182)</f>
        <v/>
      </c>
      <c r="K175" s="40" t="str">
        <f>IFERROR(IF(Agent01_Savings!A182="","",YEAR(Agent01_Savings!D182)),"")</f>
        <v/>
      </c>
    </row>
    <row r="176" spans="1:11" ht="18" customHeight="1" x14ac:dyDescent="0.25">
      <c r="A176" s="40" t="str">
        <f>IF(Agent01_Savings!A183="","",Agent01_Savings!A183)</f>
        <v/>
      </c>
      <c r="B176" s="40" t="str">
        <f ca="1">IF(Agent01_Savings!A183="","","SV"&amp;TEXT(176-3,"0000")&amp;"-"&amp;TEXT(TODAY(),"YYYYMMDD"))</f>
        <v/>
      </c>
      <c r="C176" s="40" t="str">
        <f>IF(Agent01_Savings!A183="","",Agent01_Savings!B183)</f>
        <v/>
      </c>
      <c r="D176" s="40" t="str">
        <f>IF(Agent01_Savings!A183="","",Agent01_Savings!G183)</f>
        <v/>
      </c>
      <c r="E176" s="41" t="str">
        <f>IF(Agent01_Savings!A183="","",Agent01_Savings!D183)</f>
        <v/>
      </c>
      <c r="F176" s="42" t="str">
        <f>IF(Agent01_Savings!A183="","",Agent01_Savings!E183)</f>
        <v/>
      </c>
      <c r="G176" s="42" t="str">
        <f>IF(Agent01_Savings!A183="","",Agent01_Savings!F183)</f>
        <v/>
      </c>
      <c r="H176" s="40" t="str">
        <f>IF(Agent01_Savings!A183="","",Agent01_Savings!I183)</f>
        <v/>
      </c>
      <c r="I176" s="40" t="str">
        <f>IF(Agent01_Savings!A183="","",Agent01_Savings!J183)</f>
        <v/>
      </c>
      <c r="J176" s="40" t="str">
        <f>IF(Agent01_Savings!A183="","",Agent01_Savings!K183)</f>
        <v/>
      </c>
      <c r="K176" s="40" t="str">
        <f>IFERROR(IF(Agent01_Savings!A183="","",YEAR(Agent01_Savings!D183)),"")</f>
        <v/>
      </c>
    </row>
    <row r="177" spans="1:11" ht="18" customHeight="1" x14ac:dyDescent="0.25">
      <c r="A177" s="40" t="str">
        <f>IF(Agent01_Savings!A184="","",Agent01_Savings!A184)</f>
        <v/>
      </c>
      <c r="B177" s="40" t="str">
        <f ca="1">IF(Agent01_Savings!A184="","","SV"&amp;TEXT(177-3,"0000")&amp;"-"&amp;TEXT(TODAY(),"YYYYMMDD"))</f>
        <v/>
      </c>
      <c r="C177" s="40" t="str">
        <f>IF(Agent01_Savings!A184="","",Agent01_Savings!B184)</f>
        <v/>
      </c>
      <c r="D177" s="40" t="str">
        <f>IF(Agent01_Savings!A184="","",Agent01_Savings!G184)</f>
        <v/>
      </c>
      <c r="E177" s="41" t="str">
        <f>IF(Agent01_Savings!A184="","",Agent01_Savings!D184)</f>
        <v/>
      </c>
      <c r="F177" s="42" t="str">
        <f>IF(Agent01_Savings!A184="","",Agent01_Savings!E184)</f>
        <v/>
      </c>
      <c r="G177" s="42" t="str">
        <f>IF(Agent01_Savings!A184="","",Agent01_Savings!F184)</f>
        <v/>
      </c>
      <c r="H177" s="40" t="str">
        <f>IF(Agent01_Savings!A184="","",Agent01_Savings!I184)</f>
        <v/>
      </c>
      <c r="I177" s="40" t="str">
        <f>IF(Agent01_Savings!A184="","",Agent01_Savings!J184)</f>
        <v/>
      </c>
      <c r="J177" s="40" t="str">
        <f>IF(Agent01_Savings!A184="","",Agent01_Savings!K184)</f>
        <v/>
      </c>
      <c r="K177" s="40" t="str">
        <f>IFERROR(IF(Agent01_Savings!A184="","",YEAR(Agent01_Savings!D184)),"")</f>
        <v/>
      </c>
    </row>
    <row r="178" spans="1:11" ht="18" customHeight="1" x14ac:dyDescent="0.25">
      <c r="A178" s="40" t="str">
        <f>IF(Agent01_Savings!A185="","",Agent01_Savings!A185)</f>
        <v/>
      </c>
      <c r="B178" s="40" t="str">
        <f ca="1">IF(Agent01_Savings!A185="","","SV"&amp;TEXT(178-3,"0000")&amp;"-"&amp;TEXT(TODAY(),"YYYYMMDD"))</f>
        <v/>
      </c>
      <c r="C178" s="40" t="str">
        <f>IF(Agent01_Savings!A185="","",Agent01_Savings!B185)</f>
        <v/>
      </c>
      <c r="D178" s="40" t="str">
        <f>IF(Agent01_Savings!A185="","",Agent01_Savings!G185)</f>
        <v/>
      </c>
      <c r="E178" s="41" t="str">
        <f>IF(Agent01_Savings!A185="","",Agent01_Savings!D185)</f>
        <v/>
      </c>
      <c r="F178" s="42" t="str">
        <f>IF(Agent01_Savings!A185="","",Agent01_Savings!E185)</f>
        <v/>
      </c>
      <c r="G178" s="42" t="str">
        <f>IF(Agent01_Savings!A185="","",Agent01_Savings!F185)</f>
        <v/>
      </c>
      <c r="H178" s="40" t="str">
        <f>IF(Agent01_Savings!A185="","",Agent01_Savings!I185)</f>
        <v/>
      </c>
      <c r="I178" s="40" t="str">
        <f>IF(Agent01_Savings!A185="","",Agent01_Savings!J185)</f>
        <v/>
      </c>
      <c r="J178" s="40" t="str">
        <f>IF(Agent01_Savings!A185="","",Agent01_Savings!K185)</f>
        <v/>
      </c>
      <c r="K178" s="40" t="str">
        <f>IFERROR(IF(Agent01_Savings!A185="","",YEAR(Agent01_Savings!D185)),"")</f>
        <v/>
      </c>
    </row>
    <row r="179" spans="1:11" ht="18" customHeight="1" x14ac:dyDescent="0.25">
      <c r="A179" s="40" t="str">
        <f>IF(Agent01_Savings!A186="","",Agent01_Savings!A186)</f>
        <v/>
      </c>
      <c r="B179" s="40" t="str">
        <f ca="1">IF(Agent01_Savings!A186="","","SV"&amp;TEXT(179-3,"0000")&amp;"-"&amp;TEXT(TODAY(),"YYYYMMDD"))</f>
        <v/>
      </c>
      <c r="C179" s="40" t="str">
        <f>IF(Agent01_Savings!A186="","",Agent01_Savings!B186)</f>
        <v/>
      </c>
      <c r="D179" s="40" t="str">
        <f>IF(Agent01_Savings!A186="","",Agent01_Savings!G186)</f>
        <v/>
      </c>
      <c r="E179" s="41" t="str">
        <f>IF(Agent01_Savings!A186="","",Agent01_Savings!D186)</f>
        <v/>
      </c>
      <c r="F179" s="42" t="str">
        <f>IF(Agent01_Savings!A186="","",Agent01_Savings!E186)</f>
        <v/>
      </c>
      <c r="G179" s="42" t="str">
        <f>IF(Agent01_Savings!A186="","",Agent01_Savings!F186)</f>
        <v/>
      </c>
      <c r="H179" s="40" t="str">
        <f>IF(Agent01_Savings!A186="","",Agent01_Savings!I186)</f>
        <v/>
      </c>
      <c r="I179" s="40" t="str">
        <f>IF(Agent01_Savings!A186="","",Agent01_Savings!J186)</f>
        <v/>
      </c>
      <c r="J179" s="40" t="str">
        <f>IF(Agent01_Savings!A186="","",Agent01_Savings!K186)</f>
        <v/>
      </c>
      <c r="K179" s="40" t="str">
        <f>IFERROR(IF(Agent01_Savings!A186="","",YEAR(Agent01_Savings!D186)),"")</f>
        <v/>
      </c>
    </row>
    <row r="180" spans="1:11" ht="18" customHeight="1" x14ac:dyDescent="0.25">
      <c r="A180" s="40" t="str">
        <f>IF(Agent01_Savings!A187="","",Agent01_Savings!A187)</f>
        <v/>
      </c>
      <c r="B180" s="40" t="str">
        <f ca="1">IF(Agent01_Savings!A187="","","SV"&amp;TEXT(180-3,"0000")&amp;"-"&amp;TEXT(TODAY(),"YYYYMMDD"))</f>
        <v/>
      </c>
      <c r="C180" s="40" t="str">
        <f>IF(Agent01_Savings!A187="","",Agent01_Savings!B187)</f>
        <v/>
      </c>
      <c r="D180" s="40" t="str">
        <f>IF(Agent01_Savings!A187="","",Agent01_Savings!G187)</f>
        <v/>
      </c>
      <c r="E180" s="41" t="str">
        <f>IF(Agent01_Savings!A187="","",Agent01_Savings!D187)</f>
        <v/>
      </c>
      <c r="F180" s="42" t="str">
        <f>IF(Agent01_Savings!A187="","",Agent01_Savings!E187)</f>
        <v/>
      </c>
      <c r="G180" s="42" t="str">
        <f>IF(Agent01_Savings!A187="","",Agent01_Savings!F187)</f>
        <v/>
      </c>
      <c r="H180" s="40" t="str">
        <f>IF(Agent01_Savings!A187="","",Agent01_Savings!I187)</f>
        <v/>
      </c>
      <c r="I180" s="40" t="str">
        <f>IF(Agent01_Savings!A187="","",Agent01_Savings!J187)</f>
        <v/>
      </c>
      <c r="J180" s="40" t="str">
        <f>IF(Agent01_Savings!A187="","",Agent01_Savings!K187)</f>
        <v/>
      </c>
      <c r="K180" s="40" t="str">
        <f>IFERROR(IF(Agent01_Savings!A187="","",YEAR(Agent01_Savings!D187)),"")</f>
        <v/>
      </c>
    </row>
    <row r="181" spans="1:11" ht="18" customHeight="1" x14ac:dyDescent="0.25">
      <c r="A181" s="40" t="str">
        <f>IF(Agent01_Savings!A188="","",Agent01_Savings!A188)</f>
        <v/>
      </c>
      <c r="B181" s="40" t="str">
        <f ca="1">IF(Agent01_Savings!A188="","","SV"&amp;TEXT(181-3,"0000")&amp;"-"&amp;TEXT(TODAY(),"YYYYMMDD"))</f>
        <v/>
      </c>
      <c r="C181" s="40" t="str">
        <f>IF(Agent01_Savings!A188="","",Agent01_Savings!B188)</f>
        <v/>
      </c>
      <c r="D181" s="40" t="str">
        <f>IF(Agent01_Savings!A188="","",Agent01_Savings!G188)</f>
        <v/>
      </c>
      <c r="E181" s="41" t="str">
        <f>IF(Agent01_Savings!A188="","",Agent01_Savings!D188)</f>
        <v/>
      </c>
      <c r="F181" s="42" t="str">
        <f>IF(Agent01_Savings!A188="","",Agent01_Savings!E188)</f>
        <v/>
      </c>
      <c r="G181" s="42" t="str">
        <f>IF(Agent01_Savings!A188="","",Agent01_Savings!F188)</f>
        <v/>
      </c>
      <c r="H181" s="40" t="str">
        <f>IF(Agent01_Savings!A188="","",Agent01_Savings!I188)</f>
        <v/>
      </c>
      <c r="I181" s="40" t="str">
        <f>IF(Agent01_Savings!A188="","",Agent01_Savings!J188)</f>
        <v/>
      </c>
      <c r="J181" s="40" t="str">
        <f>IF(Agent01_Savings!A188="","",Agent01_Savings!K188)</f>
        <v/>
      </c>
      <c r="K181" s="40" t="str">
        <f>IFERROR(IF(Agent01_Savings!A188="","",YEAR(Agent01_Savings!D188)),"")</f>
        <v/>
      </c>
    </row>
    <row r="182" spans="1:11" ht="18" customHeight="1" x14ac:dyDescent="0.25">
      <c r="A182" s="40" t="str">
        <f>IF(Agent01_Savings!A189="","",Agent01_Savings!A189)</f>
        <v/>
      </c>
      <c r="B182" s="40" t="str">
        <f ca="1">IF(Agent01_Savings!A189="","","SV"&amp;TEXT(182-3,"0000")&amp;"-"&amp;TEXT(TODAY(),"YYYYMMDD"))</f>
        <v/>
      </c>
      <c r="C182" s="40" t="str">
        <f>IF(Agent01_Savings!A189="","",Agent01_Savings!B189)</f>
        <v/>
      </c>
      <c r="D182" s="40" t="str">
        <f>IF(Agent01_Savings!A189="","",Agent01_Savings!G189)</f>
        <v/>
      </c>
      <c r="E182" s="41" t="str">
        <f>IF(Agent01_Savings!A189="","",Agent01_Savings!D189)</f>
        <v/>
      </c>
      <c r="F182" s="42" t="str">
        <f>IF(Agent01_Savings!A189="","",Agent01_Savings!E189)</f>
        <v/>
      </c>
      <c r="G182" s="42" t="str">
        <f>IF(Agent01_Savings!A189="","",Agent01_Savings!F189)</f>
        <v/>
      </c>
      <c r="H182" s="40" t="str">
        <f>IF(Agent01_Savings!A189="","",Agent01_Savings!I189)</f>
        <v/>
      </c>
      <c r="I182" s="40" t="str">
        <f>IF(Agent01_Savings!A189="","",Agent01_Savings!J189)</f>
        <v/>
      </c>
      <c r="J182" s="40" t="str">
        <f>IF(Agent01_Savings!A189="","",Agent01_Savings!K189)</f>
        <v/>
      </c>
      <c r="K182" s="40" t="str">
        <f>IFERROR(IF(Agent01_Savings!A189="","",YEAR(Agent01_Savings!D189)),"")</f>
        <v/>
      </c>
    </row>
    <row r="183" spans="1:11" ht="18" customHeight="1" x14ac:dyDescent="0.25">
      <c r="A183" s="40" t="str">
        <f>IF(Agent01_Savings!A190="","",Agent01_Savings!A190)</f>
        <v/>
      </c>
      <c r="B183" s="40" t="str">
        <f ca="1">IF(Agent01_Savings!A190="","","SV"&amp;TEXT(183-3,"0000")&amp;"-"&amp;TEXT(TODAY(),"YYYYMMDD"))</f>
        <v/>
      </c>
      <c r="C183" s="40" t="str">
        <f>IF(Agent01_Savings!A190="","",Agent01_Savings!B190)</f>
        <v/>
      </c>
      <c r="D183" s="40" t="str">
        <f>IF(Agent01_Savings!A190="","",Agent01_Savings!G190)</f>
        <v/>
      </c>
      <c r="E183" s="41" t="str">
        <f>IF(Agent01_Savings!A190="","",Agent01_Savings!D190)</f>
        <v/>
      </c>
      <c r="F183" s="42" t="str">
        <f>IF(Agent01_Savings!A190="","",Agent01_Savings!E190)</f>
        <v/>
      </c>
      <c r="G183" s="42" t="str">
        <f>IF(Agent01_Savings!A190="","",Agent01_Savings!F190)</f>
        <v/>
      </c>
      <c r="H183" s="40" t="str">
        <f>IF(Agent01_Savings!A190="","",Agent01_Savings!I190)</f>
        <v/>
      </c>
      <c r="I183" s="40" t="str">
        <f>IF(Agent01_Savings!A190="","",Agent01_Savings!J190)</f>
        <v/>
      </c>
      <c r="J183" s="40" t="str">
        <f>IF(Agent01_Savings!A190="","",Agent01_Savings!K190)</f>
        <v/>
      </c>
      <c r="K183" s="40" t="str">
        <f>IFERROR(IF(Agent01_Savings!A190="","",YEAR(Agent01_Savings!D190)),"")</f>
        <v/>
      </c>
    </row>
    <row r="184" spans="1:11" ht="18" customHeight="1" x14ac:dyDescent="0.25">
      <c r="A184" s="40" t="str">
        <f>IF(Agent01_Savings!A191="","",Agent01_Savings!A191)</f>
        <v/>
      </c>
      <c r="B184" s="40" t="str">
        <f ca="1">IF(Agent01_Savings!A191="","","SV"&amp;TEXT(184-3,"0000")&amp;"-"&amp;TEXT(TODAY(),"YYYYMMDD"))</f>
        <v/>
      </c>
      <c r="C184" s="40" t="str">
        <f>IF(Agent01_Savings!A191="","",Agent01_Savings!B191)</f>
        <v/>
      </c>
      <c r="D184" s="40" t="str">
        <f>IF(Agent01_Savings!A191="","",Agent01_Savings!G191)</f>
        <v/>
      </c>
      <c r="E184" s="41" t="str">
        <f>IF(Agent01_Savings!A191="","",Agent01_Savings!D191)</f>
        <v/>
      </c>
      <c r="F184" s="42" t="str">
        <f>IF(Agent01_Savings!A191="","",Agent01_Savings!E191)</f>
        <v/>
      </c>
      <c r="G184" s="42" t="str">
        <f>IF(Agent01_Savings!A191="","",Agent01_Savings!F191)</f>
        <v/>
      </c>
      <c r="H184" s="40" t="str">
        <f>IF(Agent01_Savings!A191="","",Agent01_Savings!I191)</f>
        <v/>
      </c>
      <c r="I184" s="40" t="str">
        <f>IF(Agent01_Savings!A191="","",Agent01_Savings!J191)</f>
        <v/>
      </c>
      <c r="J184" s="40" t="str">
        <f>IF(Agent01_Savings!A191="","",Agent01_Savings!K191)</f>
        <v/>
      </c>
      <c r="K184" s="40" t="str">
        <f>IFERROR(IF(Agent01_Savings!A191="","",YEAR(Agent01_Savings!D191)),"")</f>
        <v/>
      </c>
    </row>
    <row r="185" spans="1:11" ht="18" customHeight="1" x14ac:dyDescent="0.25">
      <c r="A185" s="40" t="str">
        <f>IF(Agent01_Savings!A192="","",Agent01_Savings!A192)</f>
        <v/>
      </c>
      <c r="B185" s="40" t="str">
        <f ca="1">IF(Agent01_Savings!A192="","","SV"&amp;TEXT(185-3,"0000")&amp;"-"&amp;TEXT(TODAY(),"YYYYMMDD"))</f>
        <v/>
      </c>
      <c r="C185" s="40" t="str">
        <f>IF(Agent01_Savings!A192="","",Agent01_Savings!B192)</f>
        <v/>
      </c>
      <c r="D185" s="40" t="str">
        <f>IF(Agent01_Savings!A192="","",Agent01_Savings!G192)</f>
        <v/>
      </c>
      <c r="E185" s="41" t="str">
        <f>IF(Agent01_Savings!A192="","",Agent01_Savings!D192)</f>
        <v/>
      </c>
      <c r="F185" s="42" t="str">
        <f>IF(Agent01_Savings!A192="","",Agent01_Savings!E192)</f>
        <v/>
      </c>
      <c r="G185" s="42" t="str">
        <f>IF(Agent01_Savings!A192="","",Agent01_Savings!F192)</f>
        <v/>
      </c>
      <c r="H185" s="40" t="str">
        <f>IF(Agent01_Savings!A192="","",Agent01_Savings!I192)</f>
        <v/>
      </c>
      <c r="I185" s="40" t="str">
        <f>IF(Agent01_Savings!A192="","",Agent01_Savings!J192)</f>
        <v/>
      </c>
      <c r="J185" s="40" t="str">
        <f>IF(Agent01_Savings!A192="","",Agent01_Savings!K192)</f>
        <v/>
      </c>
      <c r="K185" s="40" t="str">
        <f>IFERROR(IF(Agent01_Savings!A192="","",YEAR(Agent01_Savings!D192)),"")</f>
        <v/>
      </c>
    </row>
    <row r="186" spans="1:11" ht="18" customHeight="1" x14ac:dyDescent="0.25">
      <c r="A186" s="40" t="str">
        <f>IF(Agent01_Savings!A193="","",Agent01_Savings!A193)</f>
        <v/>
      </c>
      <c r="B186" s="40" t="str">
        <f ca="1">IF(Agent01_Savings!A193="","","SV"&amp;TEXT(186-3,"0000")&amp;"-"&amp;TEXT(TODAY(),"YYYYMMDD"))</f>
        <v/>
      </c>
      <c r="C186" s="40" t="str">
        <f>IF(Agent01_Savings!A193="","",Agent01_Savings!B193)</f>
        <v/>
      </c>
      <c r="D186" s="40" t="str">
        <f>IF(Agent01_Savings!A193="","",Agent01_Savings!G193)</f>
        <v/>
      </c>
      <c r="E186" s="41" t="str">
        <f>IF(Agent01_Savings!A193="","",Agent01_Savings!D193)</f>
        <v/>
      </c>
      <c r="F186" s="42" t="str">
        <f>IF(Agent01_Savings!A193="","",Agent01_Savings!E193)</f>
        <v/>
      </c>
      <c r="G186" s="42" t="str">
        <f>IF(Agent01_Savings!A193="","",Agent01_Savings!F193)</f>
        <v/>
      </c>
      <c r="H186" s="40" t="str">
        <f>IF(Agent01_Savings!A193="","",Agent01_Savings!I193)</f>
        <v/>
      </c>
      <c r="I186" s="40" t="str">
        <f>IF(Agent01_Savings!A193="","",Agent01_Savings!J193)</f>
        <v/>
      </c>
      <c r="J186" s="40" t="str">
        <f>IF(Agent01_Savings!A193="","",Agent01_Savings!K193)</f>
        <v/>
      </c>
      <c r="K186" s="40" t="str">
        <f>IFERROR(IF(Agent01_Savings!A193="","",YEAR(Agent01_Savings!D193)),"")</f>
        <v/>
      </c>
    </row>
    <row r="187" spans="1:11" ht="18" customHeight="1" x14ac:dyDescent="0.25">
      <c r="A187" s="40" t="str">
        <f>IF(Agent01_Savings!A194="","",Agent01_Savings!A194)</f>
        <v/>
      </c>
      <c r="B187" s="40" t="str">
        <f ca="1">IF(Agent01_Savings!A194="","","SV"&amp;TEXT(187-3,"0000")&amp;"-"&amp;TEXT(TODAY(),"YYYYMMDD"))</f>
        <v/>
      </c>
      <c r="C187" s="40" t="str">
        <f>IF(Agent01_Savings!A194="","",Agent01_Savings!B194)</f>
        <v/>
      </c>
      <c r="D187" s="40" t="str">
        <f>IF(Agent01_Savings!A194="","",Agent01_Savings!G194)</f>
        <v/>
      </c>
      <c r="E187" s="41" t="str">
        <f>IF(Agent01_Savings!A194="","",Agent01_Savings!D194)</f>
        <v/>
      </c>
      <c r="F187" s="42" t="str">
        <f>IF(Agent01_Savings!A194="","",Agent01_Savings!E194)</f>
        <v/>
      </c>
      <c r="G187" s="42" t="str">
        <f>IF(Agent01_Savings!A194="","",Agent01_Savings!F194)</f>
        <v/>
      </c>
      <c r="H187" s="40" t="str">
        <f>IF(Agent01_Savings!A194="","",Agent01_Savings!I194)</f>
        <v/>
      </c>
      <c r="I187" s="40" t="str">
        <f>IF(Agent01_Savings!A194="","",Agent01_Savings!J194)</f>
        <v/>
      </c>
      <c r="J187" s="40" t="str">
        <f>IF(Agent01_Savings!A194="","",Agent01_Savings!K194)</f>
        <v/>
      </c>
      <c r="K187" s="40" t="str">
        <f>IFERROR(IF(Agent01_Savings!A194="","",YEAR(Agent01_Savings!D194)),"")</f>
        <v/>
      </c>
    </row>
    <row r="188" spans="1:11" ht="18" customHeight="1" x14ac:dyDescent="0.25">
      <c r="A188" s="40" t="str">
        <f>IF(Agent01_Savings!A195="","",Agent01_Savings!A195)</f>
        <v/>
      </c>
      <c r="B188" s="40" t="str">
        <f ca="1">IF(Agent01_Savings!A195="","","SV"&amp;TEXT(188-3,"0000")&amp;"-"&amp;TEXT(TODAY(),"YYYYMMDD"))</f>
        <v/>
      </c>
      <c r="C188" s="40" t="str">
        <f>IF(Agent01_Savings!A195="","",Agent01_Savings!B195)</f>
        <v/>
      </c>
      <c r="D188" s="40" t="str">
        <f>IF(Agent01_Savings!A195="","",Agent01_Savings!G195)</f>
        <v/>
      </c>
      <c r="E188" s="41" t="str">
        <f>IF(Agent01_Savings!A195="","",Agent01_Savings!D195)</f>
        <v/>
      </c>
      <c r="F188" s="42" t="str">
        <f>IF(Agent01_Savings!A195="","",Agent01_Savings!E195)</f>
        <v/>
      </c>
      <c r="G188" s="42" t="str">
        <f>IF(Agent01_Savings!A195="","",Agent01_Savings!F195)</f>
        <v/>
      </c>
      <c r="H188" s="40" t="str">
        <f>IF(Agent01_Savings!A195="","",Agent01_Savings!I195)</f>
        <v/>
      </c>
      <c r="I188" s="40" t="str">
        <f>IF(Agent01_Savings!A195="","",Agent01_Savings!J195)</f>
        <v/>
      </c>
      <c r="J188" s="40" t="str">
        <f>IF(Agent01_Savings!A195="","",Agent01_Savings!K195)</f>
        <v/>
      </c>
      <c r="K188" s="40" t="str">
        <f>IFERROR(IF(Agent01_Savings!A195="","",YEAR(Agent01_Savings!D195)),"")</f>
        <v/>
      </c>
    </row>
    <row r="189" spans="1:11" ht="18" customHeight="1" x14ac:dyDescent="0.25">
      <c r="A189" s="40" t="str">
        <f>IF(Agent01_Savings!A196="","",Agent01_Savings!A196)</f>
        <v/>
      </c>
      <c r="B189" s="40" t="str">
        <f ca="1">IF(Agent01_Savings!A196="","","SV"&amp;TEXT(189-3,"0000")&amp;"-"&amp;TEXT(TODAY(),"YYYYMMDD"))</f>
        <v/>
      </c>
      <c r="C189" s="40" t="str">
        <f>IF(Agent01_Savings!A196="","",Agent01_Savings!B196)</f>
        <v/>
      </c>
      <c r="D189" s="40" t="str">
        <f>IF(Agent01_Savings!A196="","",Agent01_Savings!G196)</f>
        <v/>
      </c>
      <c r="E189" s="41" t="str">
        <f>IF(Agent01_Savings!A196="","",Agent01_Savings!D196)</f>
        <v/>
      </c>
      <c r="F189" s="42" t="str">
        <f>IF(Agent01_Savings!A196="","",Agent01_Savings!E196)</f>
        <v/>
      </c>
      <c r="G189" s="42" t="str">
        <f>IF(Agent01_Savings!A196="","",Agent01_Savings!F196)</f>
        <v/>
      </c>
      <c r="H189" s="40" t="str">
        <f>IF(Agent01_Savings!A196="","",Agent01_Savings!I196)</f>
        <v/>
      </c>
      <c r="I189" s="40" t="str">
        <f>IF(Agent01_Savings!A196="","",Agent01_Savings!J196)</f>
        <v/>
      </c>
      <c r="J189" s="40" t="str">
        <f>IF(Agent01_Savings!A196="","",Agent01_Savings!K196)</f>
        <v/>
      </c>
      <c r="K189" s="40" t="str">
        <f>IFERROR(IF(Agent01_Savings!A196="","",YEAR(Agent01_Savings!D196)),"")</f>
        <v/>
      </c>
    </row>
    <row r="190" spans="1:11" ht="18" customHeight="1" x14ac:dyDescent="0.25">
      <c r="A190" s="40" t="str">
        <f>IF(Agent01_Savings!A197="","",Agent01_Savings!A197)</f>
        <v/>
      </c>
      <c r="B190" s="40" t="str">
        <f ca="1">IF(Agent01_Savings!A197="","","SV"&amp;TEXT(190-3,"0000")&amp;"-"&amp;TEXT(TODAY(),"YYYYMMDD"))</f>
        <v/>
      </c>
      <c r="C190" s="40" t="str">
        <f>IF(Agent01_Savings!A197="","",Agent01_Savings!B197)</f>
        <v/>
      </c>
      <c r="D190" s="40" t="str">
        <f>IF(Agent01_Savings!A197="","",Agent01_Savings!G197)</f>
        <v/>
      </c>
      <c r="E190" s="41" t="str">
        <f>IF(Agent01_Savings!A197="","",Agent01_Savings!D197)</f>
        <v/>
      </c>
      <c r="F190" s="42" t="str">
        <f>IF(Agent01_Savings!A197="","",Agent01_Savings!E197)</f>
        <v/>
      </c>
      <c r="G190" s="42" t="str">
        <f>IF(Agent01_Savings!A197="","",Agent01_Savings!F197)</f>
        <v/>
      </c>
      <c r="H190" s="40" t="str">
        <f>IF(Agent01_Savings!A197="","",Agent01_Savings!I197)</f>
        <v/>
      </c>
      <c r="I190" s="40" t="str">
        <f>IF(Agent01_Savings!A197="","",Agent01_Savings!J197)</f>
        <v/>
      </c>
      <c r="J190" s="40" t="str">
        <f>IF(Agent01_Savings!A197="","",Agent01_Savings!K197)</f>
        <v/>
      </c>
      <c r="K190" s="40" t="str">
        <f>IFERROR(IF(Agent01_Savings!A197="","",YEAR(Agent01_Savings!D197)),"")</f>
        <v/>
      </c>
    </row>
    <row r="191" spans="1:11" ht="18" customHeight="1" x14ac:dyDescent="0.25">
      <c r="A191" s="40" t="str">
        <f>IF(Agent01_Savings!A198="","",Agent01_Savings!A198)</f>
        <v/>
      </c>
      <c r="B191" s="40" t="str">
        <f ca="1">IF(Agent01_Savings!A198="","","SV"&amp;TEXT(191-3,"0000")&amp;"-"&amp;TEXT(TODAY(),"YYYYMMDD"))</f>
        <v/>
      </c>
      <c r="C191" s="40" t="str">
        <f>IF(Agent01_Savings!A198="","",Agent01_Savings!B198)</f>
        <v/>
      </c>
      <c r="D191" s="40" t="str">
        <f>IF(Agent01_Savings!A198="","",Agent01_Savings!G198)</f>
        <v/>
      </c>
      <c r="E191" s="41" t="str">
        <f>IF(Agent01_Savings!A198="","",Agent01_Savings!D198)</f>
        <v/>
      </c>
      <c r="F191" s="42" t="str">
        <f>IF(Agent01_Savings!A198="","",Agent01_Savings!E198)</f>
        <v/>
      </c>
      <c r="G191" s="42" t="str">
        <f>IF(Agent01_Savings!A198="","",Agent01_Savings!F198)</f>
        <v/>
      </c>
      <c r="H191" s="40" t="str">
        <f>IF(Agent01_Savings!A198="","",Agent01_Savings!I198)</f>
        <v/>
      </c>
      <c r="I191" s="40" t="str">
        <f>IF(Agent01_Savings!A198="","",Agent01_Savings!J198)</f>
        <v/>
      </c>
      <c r="J191" s="40" t="str">
        <f>IF(Agent01_Savings!A198="","",Agent01_Savings!K198)</f>
        <v/>
      </c>
      <c r="K191" s="40" t="str">
        <f>IFERROR(IF(Agent01_Savings!A198="","",YEAR(Agent01_Savings!D198)),"")</f>
        <v/>
      </c>
    </row>
    <row r="192" spans="1:11" ht="18" customHeight="1" x14ac:dyDescent="0.25">
      <c r="A192" s="40" t="str">
        <f>IF(Agent01_Savings!A199="","",Agent01_Savings!A199)</f>
        <v/>
      </c>
      <c r="B192" s="40" t="str">
        <f ca="1">IF(Agent01_Savings!A199="","","SV"&amp;TEXT(192-3,"0000")&amp;"-"&amp;TEXT(TODAY(),"YYYYMMDD"))</f>
        <v/>
      </c>
      <c r="C192" s="40" t="str">
        <f>IF(Agent01_Savings!A199="","",Agent01_Savings!B199)</f>
        <v/>
      </c>
      <c r="D192" s="40" t="str">
        <f>IF(Agent01_Savings!A199="","",Agent01_Savings!G199)</f>
        <v/>
      </c>
      <c r="E192" s="41" t="str">
        <f>IF(Agent01_Savings!A199="","",Agent01_Savings!D199)</f>
        <v/>
      </c>
      <c r="F192" s="42" t="str">
        <f>IF(Agent01_Savings!A199="","",Agent01_Savings!E199)</f>
        <v/>
      </c>
      <c r="G192" s="42" t="str">
        <f>IF(Agent01_Savings!A199="","",Agent01_Savings!F199)</f>
        <v/>
      </c>
      <c r="H192" s="40" t="str">
        <f>IF(Agent01_Savings!A199="","",Agent01_Savings!I199)</f>
        <v/>
      </c>
      <c r="I192" s="40" t="str">
        <f>IF(Agent01_Savings!A199="","",Agent01_Savings!J199)</f>
        <v/>
      </c>
      <c r="J192" s="40" t="str">
        <f>IF(Agent01_Savings!A199="","",Agent01_Savings!K199)</f>
        <v/>
      </c>
      <c r="K192" s="40" t="str">
        <f>IFERROR(IF(Agent01_Savings!A199="","",YEAR(Agent01_Savings!D199)),"")</f>
        <v/>
      </c>
    </row>
    <row r="193" spans="1:11" ht="18" customHeight="1" x14ac:dyDescent="0.25">
      <c r="A193" s="40" t="str">
        <f>IF(Agent01_Savings!A200="","",Agent01_Savings!A200)</f>
        <v/>
      </c>
      <c r="B193" s="40" t="str">
        <f ca="1">IF(Agent01_Savings!A200="","","SV"&amp;TEXT(193-3,"0000")&amp;"-"&amp;TEXT(TODAY(),"YYYYMMDD"))</f>
        <v/>
      </c>
      <c r="C193" s="40" t="str">
        <f>IF(Agent01_Savings!A200="","",Agent01_Savings!B200)</f>
        <v/>
      </c>
      <c r="D193" s="40" t="str">
        <f>IF(Agent01_Savings!A200="","",Agent01_Savings!G200)</f>
        <v/>
      </c>
      <c r="E193" s="41" t="str">
        <f>IF(Agent01_Savings!A200="","",Agent01_Savings!D200)</f>
        <v/>
      </c>
      <c r="F193" s="42" t="str">
        <f>IF(Agent01_Savings!A200="","",Agent01_Savings!E200)</f>
        <v/>
      </c>
      <c r="G193" s="42" t="str">
        <f>IF(Agent01_Savings!A200="","",Agent01_Savings!F200)</f>
        <v/>
      </c>
      <c r="H193" s="40" t="str">
        <f>IF(Agent01_Savings!A200="","",Agent01_Savings!I200)</f>
        <v/>
      </c>
      <c r="I193" s="40" t="str">
        <f>IF(Agent01_Savings!A200="","",Agent01_Savings!J200)</f>
        <v/>
      </c>
      <c r="J193" s="40" t="str">
        <f>IF(Agent01_Savings!A200="","",Agent01_Savings!K200)</f>
        <v/>
      </c>
      <c r="K193" s="40" t="str">
        <f>IFERROR(IF(Agent01_Savings!A200="","",YEAR(Agent01_Savings!D200)),"")</f>
        <v/>
      </c>
    </row>
    <row r="194" spans="1:11" ht="18" customHeight="1" x14ac:dyDescent="0.25">
      <c r="A194" s="40" t="str">
        <f>IF(Agent01_Savings!A201="","",Agent01_Savings!A201)</f>
        <v/>
      </c>
      <c r="B194" s="40" t="str">
        <f ca="1">IF(Agent01_Savings!A201="","","SV"&amp;TEXT(194-3,"0000")&amp;"-"&amp;TEXT(TODAY(),"YYYYMMDD"))</f>
        <v/>
      </c>
      <c r="C194" s="40" t="str">
        <f>IF(Agent01_Savings!A201="","",Agent01_Savings!B201)</f>
        <v/>
      </c>
      <c r="D194" s="40" t="str">
        <f>IF(Agent01_Savings!A201="","",Agent01_Savings!G201)</f>
        <v/>
      </c>
      <c r="E194" s="41" t="str">
        <f>IF(Agent01_Savings!A201="","",Agent01_Savings!D201)</f>
        <v/>
      </c>
      <c r="F194" s="42" t="str">
        <f>IF(Agent01_Savings!A201="","",Agent01_Savings!E201)</f>
        <v/>
      </c>
      <c r="G194" s="42" t="str">
        <f>IF(Agent01_Savings!A201="","",Agent01_Savings!F201)</f>
        <v/>
      </c>
      <c r="H194" s="40" t="str">
        <f>IF(Agent01_Savings!A201="","",Agent01_Savings!I201)</f>
        <v/>
      </c>
      <c r="I194" s="40" t="str">
        <f>IF(Agent01_Savings!A201="","",Agent01_Savings!J201)</f>
        <v/>
      </c>
      <c r="J194" s="40" t="str">
        <f>IF(Agent01_Savings!A201="","",Agent01_Savings!K201)</f>
        <v/>
      </c>
      <c r="K194" s="40" t="str">
        <f>IFERROR(IF(Agent01_Savings!A201="","",YEAR(Agent01_Savings!D201)),"")</f>
        <v/>
      </c>
    </row>
    <row r="195" spans="1:11" ht="18" customHeight="1" x14ac:dyDescent="0.25">
      <c r="A195" s="40" t="str">
        <f>IF(Agent01_Savings!A202="","",Agent01_Savings!A202)</f>
        <v/>
      </c>
      <c r="B195" s="40" t="str">
        <f ca="1">IF(Agent01_Savings!A202="","","SV"&amp;TEXT(195-3,"0000")&amp;"-"&amp;TEXT(TODAY(),"YYYYMMDD"))</f>
        <v/>
      </c>
      <c r="C195" s="40" t="str">
        <f>IF(Agent01_Savings!A202="","",Agent01_Savings!B202)</f>
        <v/>
      </c>
      <c r="D195" s="40" t="str">
        <f>IF(Agent01_Savings!A202="","",Agent01_Savings!G202)</f>
        <v/>
      </c>
      <c r="E195" s="41" t="str">
        <f>IF(Agent01_Savings!A202="","",Agent01_Savings!D202)</f>
        <v/>
      </c>
      <c r="F195" s="42" t="str">
        <f>IF(Agent01_Savings!A202="","",Agent01_Savings!E202)</f>
        <v/>
      </c>
      <c r="G195" s="42" t="str">
        <f>IF(Agent01_Savings!A202="","",Agent01_Savings!F202)</f>
        <v/>
      </c>
      <c r="H195" s="40" t="str">
        <f>IF(Agent01_Savings!A202="","",Agent01_Savings!I202)</f>
        <v/>
      </c>
      <c r="I195" s="40" t="str">
        <f>IF(Agent01_Savings!A202="","",Agent01_Savings!J202)</f>
        <v/>
      </c>
      <c r="J195" s="40" t="str">
        <f>IF(Agent01_Savings!A202="","",Agent01_Savings!K202)</f>
        <v/>
      </c>
      <c r="K195" s="40" t="str">
        <f>IFERROR(IF(Agent01_Savings!A202="","",YEAR(Agent01_Savings!D202)),"")</f>
        <v/>
      </c>
    </row>
    <row r="196" spans="1:11" ht="18" customHeight="1" x14ac:dyDescent="0.25">
      <c r="A196" s="40" t="str">
        <f>IF(Agent01_Savings!A203="","",Agent01_Savings!A203)</f>
        <v/>
      </c>
      <c r="B196" s="40" t="str">
        <f ca="1">IF(Agent01_Savings!A203="","","SV"&amp;TEXT(196-3,"0000")&amp;"-"&amp;TEXT(TODAY(),"YYYYMMDD"))</f>
        <v/>
      </c>
      <c r="C196" s="40" t="str">
        <f>IF(Agent01_Savings!A203="","",Agent01_Savings!B203)</f>
        <v/>
      </c>
      <c r="D196" s="40" t="str">
        <f>IF(Agent01_Savings!A203="","",Agent01_Savings!G203)</f>
        <v/>
      </c>
      <c r="E196" s="41" t="str">
        <f>IF(Agent01_Savings!A203="","",Agent01_Savings!D203)</f>
        <v/>
      </c>
      <c r="F196" s="42" t="str">
        <f>IF(Agent01_Savings!A203="","",Agent01_Savings!E203)</f>
        <v/>
      </c>
      <c r="G196" s="42" t="str">
        <f>IF(Agent01_Savings!A203="","",Agent01_Savings!F203)</f>
        <v/>
      </c>
      <c r="H196" s="40" t="str">
        <f>IF(Agent01_Savings!A203="","",Agent01_Savings!I203)</f>
        <v/>
      </c>
      <c r="I196" s="40" t="str">
        <f>IF(Agent01_Savings!A203="","",Agent01_Savings!J203)</f>
        <v/>
      </c>
      <c r="J196" s="40" t="str">
        <f>IF(Agent01_Savings!A203="","",Agent01_Savings!K203)</f>
        <v/>
      </c>
      <c r="K196" s="40" t="str">
        <f>IFERROR(IF(Agent01_Savings!A203="","",YEAR(Agent01_Savings!D203)),"")</f>
        <v/>
      </c>
    </row>
    <row r="197" spans="1:11" ht="18" customHeight="1" x14ac:dyDescent="0.25">
      <c r="A197" s="40" t="str">
        <f>IF(Agent01_Savings!A204="","",Agent01_Savings!A204)</f>
        <v/>
      </c>
      <c r="B197" s="40" t="str">
        <f ca="1">IF(Agent01_Savings!A204="","","SV"&amp;TEXT(197-3,"0000")&amp;"-"&amp;TEXT(TODAY(),"YYYYMMDD"))</f>
        <v/>
      </c>
      <c r="C197" s="40" t="str">
        <f>IF(Agent01_Savings!A204="","",Agent01_Savings!B204)</f>
        <v/>
      </c>
      <c r="D197" s="40" t="str">
        <f>IF(Agent01_Savings!A204="","",Agent01_Savings!G204)</f>
        <v/>
      </c>
      <c r="E197" s="41" t="str">
        <f>IF(Agent01_Savings!A204="","",Agent01_Savings!D204)</f>
        <v/>
      </c>
      <c r="F197" s="42" t="str">
        <f>IF(Agent01_Savings!A204="","",Agent01_Savings!E204)</f>
        <v/>
      </c>
      <c r="G197" s="42" t="str">
        <f>IF(Agent01_Savings!A204="","",Agent01_Savings!F204)</f>
        <v/>
      </c>
      <c r="H197" s="40" t="str">
        <f>IF(Agent01_Savings!A204="","",Agent01_Savings!I204)</f>
        <v/>
      </c>
      <c r="I197" s="40" t="str">
        <f>IF(Agent01_Savings!A204="","",Agent01_Savings!J204)</f>
        <v/>
      </c>
      <c r="J197" s="40" t="str">
        <f>IF(Agent01_Savings!A204="","",Agent01_Savings!K204)</f>
        <v/>
      </c>
      <c r="K197" s="40" t="str">
        <f>IFERROR(IF(Agent01_Savings!A204="","",YEAR(Agent01_Savings!D204)),"")</f>
        <v/>
      </c>
    </row>
    <row r="198" spans="1:11" ht="18" customHeight="1" x14ac:dyDescent="0.25">
      <c r="A198" s="40" t="str">
        <f>IF(Agent01_Savings!A205="","",Agent01_Savings!A205)</f>
        <v/>
      </c>
      <c r="B198" s="40" t="str">
        <f ca="1">IF(Agent01_Savings!A205="","","SV"&amp;TEXT(198-3,"0000")&amp;"-"&amp;TEXT(TODAY(),"YYYYMMDD"))</f>
        <v/>
      </c>
      <c r="C198" s="40" t="str">
        <f>IF(Agent01_Savings!A205="","",Agent01_Savings!B205)</f>
        <v/>
      </c>
      <c r="D198" s="40" t="str">
        <f>IF(Agent01_Savings!A205="","",Agent01_Savings!G205)</f>
        <v/>
      </c>
      <c r="E198" s="41" t="str">
        <f>IF(Agent01_Savings!A205="","",Agent01_Savings!D205)</f>
        <v/>
      </c>
      <c r="F198" s="42" t="str">
        <f>IF(Agent01_Savings!A205="","",Agent01_Savings!E205)</f>
        <v/>
      </c>
      <c r="G198" s="42" t="str">
        <f>IF(Agent01_Savings!A205="","",Agent01_Savings!F205)</f>
        <v/>
      </c>
      <c r="H198" s="40" t="str">
        <f>IF(Agent01_Savings!A205="","",Agent01_Savings!I205)</f>
        <v/>
      </c>
      <c r="I198" s="40" t="str">
        <f>IF(Agent01_Savings!A205="","",Agent01_Savings!J205)</f>
        <v/>
      </c>
      <c r="J198" s="40" t="str">
        <f>IF(Agent01_Savings!A205="","",Agent01_Savings!K205)</f>
        <v/>
      </c>
      <c r="K198" s="40" t="str">
        <f>IFERROR(IF(Agent01_Savings!A205="","",YEAR(Agent01_Savings!D205)),"")</f>
        <v/>
      </c>
    </row>
    <row r="199" spans="1:11" ht="18" customHeight="1" x14ac:dyDescent="0.25">
      <c r="A199" s="40" t="str">
        <f>IF(Agent01_Savings!A206="","",Agent01_Savings!A206)</f>
        <v/>
      </c>
      <c r="B199" s="40" t="str">
        <f ca="1">IF(Agent01_Savings!A206="","","SV"&amp;TEXT(199-3,"0000")&amp;"-"&amp;TEXT(TODAY(),"YYYYMMDD"))</f>
        <v/>
      </c>
      <c r="C199" s="40" t="str">
        <f>IF(Agent01_Savings!A206="","",Agent01_Savings!B206)</f>
        <v/>
      </c>
      <c r="D199" s="40" t="str">
        <f>IF(Agent01_Savings!A206="","",Agent01_Savings!G206)</f>
        <v/>
      </c>
      <c r="E199" s="41" t="str">
        <f>IF(Agent01_Savings!A206="","",Agent01_Savings!D206)</f>
        <v/>
      </c>
      <c r="F199" s="42" t="str">
        <f>IF(Agent01_Savings!A206="","",Agent01_Savings!E206)</f>
        <v/>
      </c>
      <c r="G199" s="42" t="str">
        <f>IF(Agent01_Savings!A206="","",Agent01_Savings!F206)</f>
        <v/>
      </c>
      <c r="H199" s="40" t="str">
        <f>IF(Agent01_Savings!A206="","",Agent01_Savings!I206)</f>
        <v/>
      </c>
      <c r="I199" s="40" t="str">
        <f>IF(Agent01_Savings!A206="","",Agent01_Savings!J206)</f>
        <v/>
      </c>
      <c r="J199" s="40" t="str">
        <f>IF(Agent01_Savings!A206="","",Agent01_Savings!K206)</f>
        <v/>
      </c>
      <c r="K199" s="40" t="str">
        <f>IFERROR(IF(Agent01_Savings!A206="","",YEAR(Agent01_Savings!D206)),"")</f>
        <v/>
      </c>
    </row>
    <row r="200" spans="1:11" ht="18" customHeight="1" x14ac:dyDescent="0.25">
      <c r="A200" s="40" t="str">
        <f>IF(Agent01_Savings!A207="","",Agent01_Savings!A207)</f>
        <v/>
      </c>
      <c r="B200" s="40" t="str">
        <f ca="1">IF(Agent01_Savings!A207="","","SV"&amp;TEXT(200-3,"0000")&amp;"-"&amp;TEXT(TODAY(),"YYYYMMDD"))</f>
        <v/>
      </c>
      <c r="C200" s="40" t="str">
        <f>IF(Agent01_Savings!A207="","",Agent01_Savings!B207)</f>
        <v/>
      </c>
      <c r="D200" s="40" t="str">
        <f>IF(Agent01_Savings!A207="","",Agent01_Savings!G207)</f>
        <v/>
      </c>
      <c r="E200" s="41" t="str">
        <f>IF(Agent01_Savings!A207="","",Agent01_Savings!D207)</f>
        <v/>
      </c>
      <c r="F200" s="42" t="str">
        <f>IF(Agent01_Savings!A207="","",Agent01_Savings!E207)</f>
        <v/>
      </c>
      <c r="G200" s="42" t="str">
        <f>IF(Agent01_Savings!A207="","",Agent01_Savings!F207)</f>
        <v/>
      </c>
      <c r="H200" s="40" t="str">
        <f>IF(Agent01_Savings!A207="","",Agent01_Savings!I207)</f>
        <v/>
      </c>
      <c r="I200" s="40" t="str">
        <f>IF(Agent01_Savings!A207="","",Agent01_Savings!J207)</f>
        <v/>
      </c>
      <c r="J200" s="40" t="str">
        <f>IF(Agent01_Savings!A207="","",Agent01_Savings!K207)</f>
        <v/>
      </c>
      <c r="K200" s="40" t="str">
        <f>IFERROR(IF(Agent01_Savings!A207="","",YEAR(Agent01_Savings!D207)),"")</f>
        <v/>
      </c>
    </row>
    <row r="201" spans="1:11" ht="18" customHeight="1" x14ac:dyDescent="0.25">
      <c r="A201" s="40" t="str">
        <f>IF(Agent01_Savings!A208="","",Agent01_Savings!A208)</f>
        <v/>
      </c>
      <c r="B201" s="40" t="str">
        <f ca="1">IF(Agent01_Savings!A208="","","SV"&amp;TEXT(201-3,"0000")&amp;"-"&amp;TEXT(TODAY(),"YYYYMMDD"))</f>
        <v/>
      </c>
      <c r="C201" s="40" t="str">
        <f>IF(Agent01_Savings!A208="","",Agent01_Savings!B208)</f>
        <v/>
      </c>
      <c r="D201" s="40" t="str">
        <f>IF(Agent01_Savings!A208="","",Agent01_Savings!G208)</f>
        <v/>
      </c>
      <c r="E201" s="41" t="str">
        <f>IF(Agent01_Savings!A208="","",Agent01_Savings!D208)</f>
        <v/>
      </c>
      <c r="F201" s="42" t="str">
        <f>IF(Agent01_Savings!A208="","",Agent01_Savings!E208)</f>
        <v/>
      </c>
      <c r="G201" s="42" t="str">
        <f>IF(Agent01_Savings!A208="","",Agent01_Savings!F208)</f>
        <v/>
      </c>
      <c r="H201" s="40" t="str">
        <f>IF(Agent01_Savings!A208="","",Agent01_Savings!I208)</f>
        <v/>
      </c>
      <c r="I201" s="40" t="str">
        <f>IF(Agent01_Savings!A208="","",Agent01_Savings!J208)</f>
        <v/>
      </c>
      <c r="J201" s="40" t="str">
        <f>IF(Agent01_Savings!A208="","",Agent01_Savings!K208)</f>
        <v/>
      </c>
      <c r="K201" s="40" t="str">
        <f>IFERROR(IF(Agent01_Savings!A208="","",YEAR(Agent01_Savings!D208)),"")</f>
        <v/>
      </c>
    </row>
    <row r="202" spans="1:11" ht="18" customHeight="1" x14ac:dyDescent="0.25">
      <c r="A202" s="40" t="str">
        <f>IF(Agent01_Savings!A209="","",Agent01_Savings!A209)</f>
        <v/>
      </c>
      <c r="B202" s="40" t="str">
        <f ca="1">IF(Agent01_Savings!A209="","","SV"&amp;TEXT(202-3,"0000")&amp;"-"&amp;TEXT(TODAY(),"YYYYMMDD"))</f>
        <v/>
      </c>
      <c r="C202" s="40" t="str">
        <f>IF(Agent01_Savings!A209="","",Agent01_Savings!B209)</f>
        <v/>
      </c>
      <c r="D202" s="40" t="str">
        <f>IF(Agent01_Savings!A209="","",Agent01_Savings!G209)</f>
        <v/>
      </c>
      <c r="E202" s="41" t="str">
        <f>IF(Agent01_Savings!A209="","",Agent01_Savings!D209)</f>
        <v/>
      </c>
      <c r="F202" s="42" t="str">
        <f>IF(Agent01_Savings!A209="","",Agent01_Savings!E209)</f>
        <v/>
      </c>
      <c r="G202" s="42" t="str">
        <f>IF(Agent01_Savings!A209="","",Agent01_Savings!F209)</f>
        <v/>
      </c>
      <c r="H202" s="40" t="str">
        <f>IF(Agent01_Savings!A209="","",Agent01_Savings!I209)</f>
        <v/>
      </c>
      <c r="I202" s="40" t="str">
        <f>IF(Agent01_Savings!A209="","",Agent01_Savings!J209)</f>
        <v/>
      </c>
      <c r="J202" s="40" t="str">
        <f>IF(Agent01_Savings!A209="","",Agent01_Savings!K209)</f>
        <v/>
      </c>
      <c r="K202" s="40" t="str">
        <f>IFERROR(IF(Agent01_Savings!A209="","",YEAR(Agent01_Savings!D209)),"")</f>
        <v/>
      </c>
    </row>
    <row r="203" spans="1:11" ht="18" customHeight="1" x14ac:dyDescent="0.25">
      <c r="A203" s="40" t="str">
        <f>IF(Agent01_Savings!A210="","",Agent01_Savings!A210)</f>
        <v/>
      </c>
      <c r="B203" s="40" t="str">
        <f ca="1">IF(Agent01_Savings!A210="","","SV"&amp;TEXT(203-3,"0000")&amp;"-"&amp;TEXT(TODAY(),"YYYYMMDD"))</f>
        <v/>
      </c>
      <c r="C203" s="40" t="str">
        <f>IF(Agent01_Savings!A210="","",Agent01_Savings!B210)</f>
        <v/>
      </c>
      <c r="D203" s="40" t="str">
        <f>IF(Agent01_Savings!A210="","",Agent01_Savings!G210)</f>
        <v/>
      </c>
      <c r="E203" s="41" t="str">
        <f>IF(Agent01_Savings!A210="","",Agent01_Savings!D210)</f>
        <v/>
      </c>
      <c r="F203" s="42" t="str">
        <f>IF(Agent01_Savings!A210="","",Agent01_Savings!E210)</f>
        <v/>
      </c>
      <c r="G203" s="42" t="str">
        <f>IF(Agent01_Savings!A210="","",Agent01_Savings!F210)</f>
        <v/>
      </c>
      <c r="H203" s="40" t="str">
        <f>IF(Agent01_Savings!A210="","",Agent01_Savings!I210)</f>
        <v/>
      </c>
      <c r="I203" s="40" t="str">
        <f>IF(Agent01_Savings!A210="","",Agent01_Savings!J210)</f>
        <v/>
      </c>
      <c r="J203" s="40" t="str">
        <f>IF(Agent01_Savings!A210="","",Agent01_Savings!K210)</f>
        <v/>
      </c>
      <c r="K203" s="40" t="str">
        <f>IFERROR(IF(Agent01_Savings!A210="","",YEAR(Agent01_Savings!D210)),"")</f>
        <v/>
      </c>
    </row>
    <row r="204" spans="1:11" ht="18" customHeight="1" x14ac:dyDescent="0.25">
      <c r="A204" s="40" t="str">
        <f>IF(Agent02_Savings!A11="","",Agent02_Savings!A11)</f>
        <v/>
      </c>
      <c r="B204" s="40" t="str">
        <f ca="1">IF(Agent02_Savings!A11="","","SV"&amp;TEXT(204-3,"0000")&amp;"-"&amp;TEXT(TODAY(),"YYYYMMDD"))</f>
        <v/>
      </c>
      <c r="C204" s="40" t="str">
        <f>IF(Agent02_Savings!A11="","",Agent02_Savings!B11)</f>
        <v/>
      </c>
      <c r="D204" s="40" t="str">
        <f>IF(Agent02_Savings!A11="","",Agent02_Savings!G11)</f>
        <v/>
      </c>
      <c r="E204" s="41" t="str">
        <f>IF(Agent02_Savings!A11="","",Agent02_Savings!D11)</f>
        <v/>
      </c>
      <c r="F204" s="42" t="str">
        <f>IF(Agent02_Savings!A11="","",Agent02_Savings!E11)</f>
        <v/>
      </c>
      <c r="G204" s="42" t="str">
        <f>IF(Agent02_Savings!A11="","",Agent02_Savings!F11)</f>
        <v/>
      </c>
      <c r="H204" s="40" t="str">
        <f>IF(Agent02_Savings!A11="","",Agent02_Savings!I11)</f>
        <v/>
      </c>
      <c r="I204" s="40" t="str">
        <f>IF(Agent02_Savings!A11="","",Agent02_Savings!J11)</f>
        <v/>
      </c>
      <c r="J204" s="40" t="str">
        <f>IF(Agent02_Savings!A11="","",Agent02_Savings!K11)</f>
        <v/>
      </c>
      <c r="K204" s="40" t="str">
        <f>IFERROR(IF(Agent02_Savings!A11="","",YEAR(Agent02_Savings!D11)),"")</f>
        <v/>
      </c>
    </row>
    <row r="205" spans="1:11" ht="18" customHeight="1" x14ac:dyDescent="0.25">
      <c r="A205" s="40" t="str">
        <f>IF(Agent02_Savings!A12="","",Agent02_Savings!A12)</f>
        <v/>
      </c>
      <c r="B205" s="40" t="str">
        <f ca="1">IF(Agent02_Savings!A12="","","SV"&amp;TEXT(205-3,"0000")&amp;"-"&amp;TEXT(TODAY(),"YYYYMMDD"))</f>
        <v/>
      </c>
      <c r="C205" s="40" t="str">
        <f>IF(Agent02_Savings!A12="","",Agent02_Savings!B12)</f>
        <v/>
      </c>
      <c r="D205" s="40" t="str">
        <f>IF(Agent02_Savings!A12="","",Agent02_Savings!G12)</f>
        <v/>
      </c>
      <c r="E205" s="41" t="str">
        <f>IF(Agent02_Savings!A12="","",Agent02_Savings!D12)</f>
        <v/>
      </c>
      <c r="F205" s="42" t="str">
        <f>IF(Agent02_Savings!A12="","",Agent02_Savings!E12)</f>
        <v/>
      </c>
      <c r="G205" s="42" t="str">
        <f>IF(Agent02_Savings!A12="","",Agent02_Savings!F12)</f>
        <v/>
      </c>
      <c r="H205" s="40" t="str">
        <f>IF(Agent02_Savings!A12="","",Agent02_Savings!I12)</f>
        <v/>
      </c>
      <c r="I205" s="40" t="str">
        <f>IF(Agent02_Savings!A12="","",Agent02_Savings!J12)</f>
        <v/>
      </c>
      <c r="J205" s="40" t="str">
        <f>IF(Agent02_Savings!A12="","",Agent02_Savings!K12)</f>
        <v/>
      </c>
      <c r="K205" s="40" t="str">
        <f>IFERROR(IF(Agent02_Savings!A12="","",YEAR(Agent02_Savings!D12)),"")</f>
        <v/>
      </c>
    </row>
    <row r="206" spans="1:11" ht="18" customHeight="1" x14ac:dyDescent="0.25">
      <c r="A206" s="40" t="str">
        <f>IF(Agent02_Savings!A13="","",Agent02_Savings!A13)</f>
        <v/>
      </c>
      <c r="B206" s="40" t="str">
        <f ca="1">IF(Agent02_Savings!A13="","","SV"&amp;TEXT(206-3,"0000")&amp;"-"&amp;TEXT(TODAY(),"YYYYMMDD"))</f>
        <v/>
      </c>
      <c r="C206" s="40" t="str">
        <f>IF(Agent02_Savings!A13="","",Agent02_Savings!B13)</f>
        <v/>
      </c>
      <c r="D206" s="40" t="str">
        <f>IF(Agent02_Savings!A13="","",Agent02_Savings!G13)</f>
        <v/>
      </c>
      <c r="E206" s="41" t="str">
        <f>IF(Agent02_Savings!A13="","",Agent02_Savings!D13)</f>
        <v/>
      </c>
      <c r="F206" s="42" t="str">
        <f>IF(Agent02_Savings!A13="","",Agent02_Savings!E13)</f>
        <v/>
      </c>
      <c r="G206" s="42" t="str">
        <f>IF(Agent02_Savings!A13="","",Agent02_Savings!F13)</f>
        <v/>
      </c>
      <c r="H206" s="40" t="str">
        <f>IF(Agent02_Savings!A13="","",Agent02_Savings!I13)</f>
        <v/>
      </c>
      <c r="I206" s="40" t="str">
        <f>IF(Agent02_Savings!A13="","",Agent02_Savings!J13)</f>
        <v/>
      </c>
      <c r="J206" s="40" t="str">
        <f>IF(Agent02_Savings!A13="","",Agent02_Savings!K13)</f>
        <v/>
      </c>
      <c r="K206" s="40" t="str">
        <f>IFERROR(IF(Agent02_Savings!A13="","",YEAR(Agent02_Savings!D13)),"")</f>
        <v/>
      </c>
    </row>
    <row r="207" spans="1:11" ht="18" customHeight="1" x14ac:dyDescent="0.25">
      <c r="A207" s="40" t="str">
        <f>IF(Agent02_Savings!A14="","",Agent02_Savings!A14)</f>
        <v/>
      </c>
      <c r="B207" s="40" t="str">
        <f ca="1">IF(Agent02_Savings!A14="","","SV"&amp;TEXT(207-3,"0000")&amp;"-"&amp;TEXT(TODAY(),"YYYYMMDD"))</f>
        <v/>
      </c>
      <c r="C207" s="40" t="str">
        <f>IF(Agent02_Savings!A14="","",Agent02_Savings!B14)</f>
        <v/>
      </c>
      <c r="D207" s="40" t="str">
        <f>IF(Agent02_Savings!A14="","",Agent02_Savings!G14)</f>
        <v/>
      </c>
      <c r="E207" s="41" t="str">
        <f>IF(Agent02_Savings!A14="","",Agent02_Savings!D14)</f>
        <v/>
      </c>
      <c r="F207" s="42" t="str">
        <f>IF(Agent02_Savings!A14="","",Agent02_Savings!E14)</f>
        <v/>
      </c>
      <c r="G207" s="42" t="str">
        <f>IF(Agent02_Savings!A14="","",Agent02_Savings!F14)</f>
        <v/>
      </c>
      <c r="H207" s="40" t="str">
        <f>IF(Agent02_Savings!A14="","",Agent02_Savings!I14)</f>
        <v/>
      </c>
      <c r="I207" s="40" t="str">
        <f>IF(Agent02_Savings!A14="","",Agent02_Savings!J14)</f>
        <v/>
      </c>
      <c r="J207" s="40" t="str">
        <f>IF(Agent02_Savings!A14="","",Agent02_Savings!K14)</f>
        <v/>
      </c>
      <c r="K207" s="40" t="str">
        <f>IFERROR(IF(Agent02_Savings!A14="","",YEAR(Agent02_Savings!D14)),"")</f>
        <v/>
      </c>
    </row>
    <row r="208" spans="1:11" ht="18" customHeight="1" x14ac:dyDescent="0.25">
      <c r="A208" s="40" t="str">
        <f>IF(Agent02_Savings!A15="","",Agent02_Savings!A15)</f>
        <v/>
      </c>
      <c r="B208" s="40" t="str">
        <f ca="1">IF(Agent02_Savings!A15="","","SV"&amp;TEXT(208-3,"0000")&amp;"-"&amp;TEXT(TODAY(),"YYYYMMDD"))</f>
        <v/>
      </c>
      <c r="C208" s="40" t="str">
        <f>IF(Agent02_Savings!A15="","",Agent02_Savings!B15)</f>
        <v/>
      </c>
      <c r="D208" s="40" t="str">
        <f>IF(Agent02_Savings!A15="","",Agent02_Savings!G15)</f>
        <v/>
      </c>
      <c r="E208" s="41" t="str">
        <f>IF(Agent02_Savings!A15="","",Agent02_Savings!D15)</f>
        <v/>
      </c>
      <c r="F208" s="42" t="str">
        <f>IF(Agent02_Savings!A15="","",Agent02_Savings!E15)</f>
        <v/>
      </c>
      <c r="G208" s="42" t="str">
        <f>IF(Agent02_Savings!A15="","",Agent02_Savings!F15)</f>
        <v/>
      </c>
      <c r="H208" s="40" t="str">
        <f>IF(Agent02_Savings!A15="","",Agent02_Savings!I15)</f>
        <v/>
      </c>
      <c r="I208" s="40" t="str">
        <f>IF(Agent02_Savings!A15="","",Agent02_Savings!J15)</f>
        <v/>
      </c>
      <c r="J208" s="40" t="str">
        <f>IF(Agent02_Savings!A15="","",Agent02_Savings!K15)</f>
        <v/>
      </c>
      <c r="K208" s="40" t="str">
        <f>IFERROR(IF(Agent02_Savings!A15="","",YEAR(Agent02_Savings!D15)),"")</f>
        <v/>
      </c>
    </row>
    <row r="209" spans="1:11" ht="18" customHeight="1" x14ac:dyDescent="0.25">
      <c r="A209" s="40" t="str">
        <f>IF(Agent02_Savings!A16="","",Agent02_Savings!A16)</f>
        <v/>
      </c>
      <c r="B209" s="40" t="str">
        <f ca="1">IF(Agent02_Savings!A16="","","SV"&amp;TEXT(209-3,"0000")&amp;"-"&amp;TEXT(TODAY(),"YYYYMMDD"))</f>
        <v/>
      </c>
      <c r="C209" s="40" t="str">
        <f>IF(Agent02_Savings!A16="","",Agent02_Savings!B16)</f>
        <v/>
      </c>
      <c r="D209" s="40" t="str">
        <f>IF(Agent02_Savings!A16="","",Agent02_Savings!G16)</f>
        <v/>
      </c>
      <c r="E209" s="41" t="str">
        <f>IF(Agent02_Savings!A16="","",Agent02_Savings!D16)</f>
        <v/>
      </c>
      <c r="F209" s="42" t="str">
        <f>IF(Agent02_Savings!A16="","",Agent02_Savings!E16)</f>
        <v/>
      </c>
      <c r="G209" s="42" t="str">
        <f>IF(Agent02_Savings!A16="","",Agent02_Savings!F16)</f>
        <v/>
      </c>
      <c r="H209" s="40" t="str">
        <f>IF(Agent02_Savings!A16="","",Agent02_Savings!I16)</f>
        <v/>
      </c>
      <c r="I209" s="40" t="str">
        <f>IF(Agent02_Savings!A16="","",Agent02_Savings!J16)</f>
        <v/>
      </c>
      <c r="J209" s="40" t="str">
        <f>IF(Agent02_Savings!A16="","",Agent02_Savings!K16)</f>
        <v/>
      </c>
      <c r="K209" s="40" t="str">
        <f>IFERROR(IF(Agent02_Savings!A16="","",YEAR(Agent02_Savings!D16)),"")</f>
        <v/>
      </c>
    </row>
    <row r="210" spans="1:11" ht="18" customHeight="1" x14ac:dyDescent="0.25">
      <c r="A210" s="40" t="str">
        <f>IF(Agent02_Savings!A17="","",Agent02_Savings!A17)</f>
        <v/>
      </c>
      <c r="B210" s="40" t="str">
        <f ca="1">IF(Agent02_Savings!A17="","","SV"&amp;TEXT(210-3,"0000")&amp;"-"&amp;TEXT(TODAY(),"YYYYMMDD"))</f>
        <v/>
      </c>
      <c r="C210" s="40" t="str">
        <f>IF(Agent02_Savings!A17="","",Agent02_Savings!B17)</f>
        <v/>
      </c>
      <c r="D210" s="40" t="str">
        <f>IF(Agent02_Savings!A17="","",Agent02_Savings!G17)</f>
        <v/>
      </c>
      <c r="E210" s="41" t="str">
        <f>IF(Agent02_Savings!A17="","",Agent02_Savings!D17)</f>
        <v/>
      </c>
      <c r="F210" s="42" t="str">
        <f>IF(Agent02_Savings!A17="","",Agent02_Savings!E17)</f>
        <v/>
      </c>
      <c r="G210" s="42" t="str">
        <f>IF(Agent02_Savings!A17="","",Agent02_Savings!F17)</f>
        <v/>
      </c>
      <c r="H210" s="40" t="str">
        <f>IF(Agent02_Savings!A17="","",Agent02_Savings!I17)</f>
        <v/>
      </c>
      <c r="I210" s="40" t="str">
        <f>IF(Agent02_Savings!A17="","",Agent02_Savings!J17)</f>
        <v/>
      </c>
      <c r="J210" s="40" t="str">
        <f>IF(Agent02_Savings!A17="","",Agent02_Savings!K17)</f>
        <v/>
      </c>
      <c r="K210" s="40" t="str">
        <f>IFERROR(IF(Agent02_Savings!A17="","",YEAR(Agent02_Savings!D17)),"")</f>
        <v/>
      </c>
    </row>
    <row r="211" spans="1:11" ht="18" customHeight="1" x14ac:dyDescent="0.25">
      <c r="A211" s="40" t="str">
        <f>IF(Agent02_Savings!A18="","",Agent02_Savings!A18)</f>
        <v/>
      </c>
      <c r="B211" s="40" t="str">
        <f ca="1">IF(Agent02_Savings!A18="","","SV"&amp;TEXT(211-3,"0000")&amp;"-"&amp;TEXT(TODAY(),"YYYYMMDD"))</f>
        <v/>
      </c>
      <c r="C211" s="40" t="str">
        <f>IF(Agent02_Savings!A18="","",Agent02_Savings!B18)</f>
        <v/>
      </c>
      <c r="D211" s="40" t="str">
        <f>IF(Agent02_Savings!A18="","",Agent02_Savings!G18)</f>
        <v/>
      </c>
      <c r="E211" s="41" t="str">
        <f>IF(Agent02_Savings!A18="","",Agent02_Savings!D18)</f>
        <v/>
      </c>
      <c r="F211" s="42" t="str">
        <f>IF(Agent02_Savings!A18="","",Agent02_Savings!E18)</f>
        <v/>
      </c>
      <c r="G211" s="42" t="str">
        <f>IF(Agent02_Savings!A18="","",Agent02_Savings!F18)</f>
        <v/>
      </c>
      <c r="H211" s="40" t="str">
        <f>IF(Agent02_Savings!A18="","",Agent02_Savings!I18)</f>
        <v/>
      </c>
      <c r="I211" s="40" t="str">
        <f>IF(Agent02_Savings!A18="","",Agent02_Savings!J18)</f>
        <v/>
      </c>
      <c r="J211" s="40" t="str">
        <f>IF(Agent02_Savings!A18="","",Agent02_Savings!K18)</f>
        <v/>
      </c>
      <c r="K211" s="40" t="str">
        <f>IFERROR(IF(Agent02_Savings!A18="","",YEAR(Agent02_Savings!D18)),"")</f>
        <v/>
      </c>
    </row>
    <row r="212" spans="1:11" ht="18" customHeight="1" x14ac:dyDescent="0.25">
      <c r="A212" s="40" t="str">
        <f>IF(Agent02_Savings!A19="","",Agent02_Savings!A19)</f>
        <v/>
      </c>
      <c r="B212" s="40" t="str">
        <f ca="1">IF(Agent02_Savings!A19="","","SV"&amp;TEXT(212-3,"0000")&amp;"-"&amp;TEXT(TODAY(),"YYYYMMDD"))</f>
        <v/>
      </c>
      <c r="C212" s="40" t="str">
        <f>IF(Agent02_Savings!A19="","",Agent02_Savings!B19)</f>
        <v/>
      </c>
      <c r="D212" s="40" t="str">
        <f>IF(Agent02_Savings!A19="","",Agent02_Savings!G19)</f>
        <v/>
      </c>
      <c r="E212" s="41" t="str">
        <f>IF(Agent02_Savings!A19="","",Agent02_Savings!D19)</f>
        <v/>
      </c>
      <c r="F212" s="42" t="str">
        <f>IF(Agent02_Savings!A19="","",Agent02_Savings!E19)</f>
        <v/>
      </c>
      <c r="G212" s="42" t="str">
        <f>IF(Agent02_Savings!A19="","",Agent02_Savings!F19)</f>
        <v/>
      </c>
      <c r="H212" s="40" t="str">
        <f>IF(Agent02_Savings!A19="","",Agent02_Savings!I19)</f>
        <v/>
      </c>
      <c r="I212" s="40" t="str">
        <f>IF(Agent02_Savings!A19="","",Agent02_Savings!J19)</f>
        <v/>
      </c>
      <c r="J212" s="40" t="str">
        <f>IF(Agent02_Savings!A19="","",Agent02_Savings!K19)</f>
        <v/>
      </c>
      <c r="K212" s="40" t="str">
        <f>IFERROR(IF(Agent02_Savings!A19="","",YEAR(Agent02_Savings!D19)),"")</f>
        <v/>
      </c>
    </row>
    <row r="213" spans="1:11" ht="18" customHeight="1" x14ac:dyDescent="0.25">
      <c r="A213" s="40" t="str">
        <f>IF(Agent02_Savings!A20="","",Agent02_Savings!A20)</f>
        <v/>
      </c>
      <c r="B213" s="40" t="str">
        <f ca="1">IF(Agent02_Savings!A20="","","SV"&amp;TEXT(213-3,"0000")&amp;"-"&amp;TEXT(TODAY(),"YYYYMMDD"))</f>
        <v/>
      </c>
      <c r="C213" s="40" t="str">
        <f>IF(Agent02_Savings!A20="","",Agent02_Savings!B20)</f>
        <v/>
      </c>
      <c r="D213" s="40" t="str">
        <f>IF(Agent02_Savings!A20="","",Agent02_Savings!G20)</f>
        <v/>
      </c>
      <c r="E213" s="41" t="str">
        <f>IF(Agent02_Savings!A20="","",Agent02_Savings!D20)</f>
        <v/>
      </c>
      <c r="F213" s="42" t="str">
        <f>IF(Agent02_Savings!A20="","",Agent02_Savings!E20)</f>
        <v/>
      </c>
      <c r="G213" s="42" t="str">
        <f>IF(Agent02_Savings!A20="","",Agent02_Savings!F20)</f>
        <v/>
      </c>
      <c r="H213" s="40" t="str">
        <f>IF(Agent02_Savings!A20="","",Agent02_Savings!I20)</f>
        <v/>
      </c>
      <c r="I213" s="40" t="str">
        <f>IF(Agent02_Savings!A20="","",Agent02_Savings!J20)</f>
        <v/>
      </c>
      <c r="J213" s="40" t="str">
        <f>IF(Agent02_Savings!A20="","",Agent02_Savings!K20)</f>
        <v/>
      </c>
      <c r="K213" s="40" t="str">
        <f>IFERROR(IF(Agent02_Savings!A20="","",YEAR(Agent02_Savings!D20)),"")</f>
        <v/>
      </c>
    </row>
    <row r="214" spans="1:11" ht="18" customHeight="1" x14ac:dyDescent="0.25">
      <c r="A214" s="40" t="str">
        <f>IF(Agent02_Savings!A21="","",Agent02_Savings!A21)</f>
        <v/>
      </c>
      <c r="B214" s="40" t="str">
        <f ca="1">IF(Agent02_Savings!A21="","","SV"&amp;TEXT(214-3,"0000")&amp;"-"&amp;TEXT(TODAY(),"YYYYMMDD"))</f>
        <v/>
      </c>
      <c r="C214" s="40" t="str">
        <f>IF(Agent02_Savings!A21="","",Agent02_Savings!B21)</f>
        <v/>
      </c>
      <c r="D214" s="40" t="str">
        <f>IF(Agent02_Savings!A21="","",Agent02_Savings!G21)</f>
        <v/>
      </c>
      <c r="E214" s="41" t="str">
        <f>IF(Agent02_Savings!A21="","",Agent02_Savings!D21)</f>
        <v/>
      </c>
      <c r="F214" s="42" t="str">
        <f>IF(Agent02_Savings!A21="","",Agent02_Savings!E21)</f>
        <v/>
      </c>
      <c r="G214" s="42" t="str">
        <f>IF(Agent02_Savings!A21="","",Agent02_Savings!F21)</f>
        <v/>
      </c>
      <c r="H214" s="40" t="str">
        <f>IF(Agent02_Savings!A21="","",Agent02_Savings!I21)</f>
        <v/>
      </c>
      <c r="I214" s="40" t="str">
        <f>IF(Agent02_Savings!A21="","",Agent02_Savings!J21)</f>
        <v/>
      </c>
      <c r="J214" s="40" t="str">
        <f>IF(Agent02_Savings!A21="","",Agent02_Savings!K21)</f>
        <v/>
      </c>
      <c r="K214" s="40" t="str">
        <f>IFERROR(IF(Agent02_Savings!A21="","",YEAR(Agent02_Savings!D21)),"")</f>
        <v/>
      </c>
    </row>
    <row r="215" spans="1:11" ht="18" customHeight="1" x14ac:dyDescent="0.25">
      <c r="A215" s="40" t="str">
        <f>IF(Agent02_Savings!A22="","",Agent02_Savings!A22)</f>
        <v/>
      </c>
      <c r="B215" s="40" t="str">
        <f ca="1">IF(Agent02_Savings!A22="","","SV"&amp;TEXT(215-3,"0000")&amp;"-"&amp;TEXT(TODAY(),"YYYYMMDD"))</f>
        <v/>
      </c>
      <c r="C215" s="40" t="str">
        <f>IF(Agent02_Savings!A22="","",Agent02_Savings!B22)</f>
        <v/>
      </c>
      <c r="D215" s="40" t="str">
        <f>IF(Agent02_Savings!A22="","",Agent02_Savings!G22)</f>
        <v/>
      </c>
      <c r="E215" s="41" t="str">
        <f>IF(Agent02_Savings!A22="","",Agent02_Savings!D22)</f>
        <v/>
      </c>
      <c r="F215" s="42" t="str">
        <f>IF(Agent02_Savings!A22="","",Agent02_Savings!E22)</f>
        <v/>
      </c>
      <c r="G215" s="42" t="str">
        <f>IF(Agent02_Savings!A22="","",Agent02_Savings!F22)</f>
        <v/>
      </c>
      <c r="H215" s="40" t="str">
        <f>IF(Agent02_Savings!A22="","",Agent02_Savings!I22)</f>
        <v/>
      </c>
      <c r="I215" s="40" t="str">
        <f>IF(Agent02_Savings!A22="","",Agent02_Savings!J22)</f>
        <v/>
      </c>
      <c r="J215" s="40" t="str">
        <f>IF(Agent02_Savings!A22="","",Agent02_Savings!K22)</f>
        <v/>
      </c>
      <c r="K215" s="40" t="str">
        <f>IFERROR(IF(Agent02_Savings!A22="","",YEAR(Agent02_Savings!D22)),"")</f>
        <v/>
      </c>
    </row>
    <row r="216" spans="1:11" ht="18" customHeight="1" x14ac:dyDescent="0.25">
      <c r="A216" s="40" t="str">
        <f>IF(Agent02_Savings!A23="","",Agent02_Savings!A23)</f>
        <v/>
      </c>
      <c r="B216" s="40" t="str">
        <f ca="1">IF(Agent02_Savings!A23="","","SV"&amp;TEXT(216-3,"0000")&amp;"-"&amp;TEXT(TODAY(),"YYYYMMDD"))</f>
        <v/>
      </c>
      <c r="C216" s="40" t="str">
        <f>IF(Agent02_Savings!A23="","",Agent02_Savings!B23)</f>
        <v/>
      </c>
      <c r="D216" s="40" t="str">
        <f>IF(Agent02_Savings!A23="","",Agent02_Savings!G23)</f>
        <v/>
      </c>
      <c r="E216" s="41" t="str">
        <f>IF(Agent02_Savings!A23="","",Agent02_Savings!D23)</f>
        <v/>
      </c>
      <c r="F216" s="42" t="str">
        <f>IF(Agent02_Savings!A23="","",Agent02_Savings!E23)</f>
        <v/>
      </c>
      <c r="G216" s="42" t="str">
        <f>IF(Agent02_Savings!A23="","",Agent02_Savings!F23)</f>
        <v/>
      </c>
      <c r="H216" s="40" t="str">
        <f>IF(Agent02_Savings!A23="","",Agent02_Savings!I23)</f>
        <v/>
      </c>
      <c r="I216" s="40" t="str">
        <f>IF(Agent02_Savings!A23="","",Agent02_Savings!J23)</f>
        <v/>
      </c>
      <c r="J216" s="40" t="str">
        <f>IF(Agent02_Savings!A23="","",Agent02_Savings!K23)</f>
        <v/>
      </c>
      <c r="K216" s="40" t="str">
        <f>IFERROR(IF(Agent02_Savings!A23="","",YEAR(Agent02_Savings!D23)),"")</f>
        <v/>
      </c>
    </row>
    <row r="217" spans="1:11" ht="18" customHeight="1" x14ac:dyDescent="0.25">
      <c r="A217" s="40" t="str">
        <f>IF(Agent02_Savings!A24="","",Agent02_Savings!A24)</f>
        <v/>
      </c>
      <c r="B217" s="40" t="str">
        <f ca="1">IF(Agent02_Savings!A24="","","SV"&amp;TEXT(217-3,"0000")&amp;"-"&amp;TEXT(TODAY(),"YYYYMMDD"))</f>
        <v/>
      </c>
      <c r="C217" s="40" t="str">
        <f>IF(Agent02_Savings!A24="","",Agent02_Savings!B24)</f>
        <v/>
      </c>
      <c r="D217" s="40" t="str">
        <f>IF(Agent02_Savings!A24="","",Agent02_Savings!G24)</f>
        <v/>
      </c>
      <c r="E217" s="41" t="str">
        <f>IF(Agent02_Savings!A24="","",Agent02_Savings!D24)</f>
        <v/>
      </c>
      <c r="F217" s="42" t="str">
        <f>IF(Agent02_Savings!A24="","",Agent02_Savings!E24)</f>
        <v/>
      </c>
      <c r="G217" s="42" t="str">
        <f>IF(Agent02_Savings!A24="","",Agent02_Savings!F24)</f>
        <v/>
      </c>
      <c r="H217" s="40" t="str">
        <f>IF(Agent02_Savings!A24="","",Agent02_Savings!I24)</f>
        <v/>
      </c>
      <c r="I217" s="40" t="str">
        <f>IF(Agent02_Savings!A24="","",Agent02_Savings!J24)</f>
        <v/>
      </c>
      <c r="J217" s="40" t="str">
        <f>IF(Agent02_Savings!A24="","",Agent02_Savings!K24)</f>
        <v/>
      </c>
      <c r="K217" s="40" t="str">
        <f>IFERROR(IF(Agent02_Savings!A24="","",YEAR(Agent02_Savings!D24)),"")</f>
        <v/>
      </c>
    </row>
    <row r="218" spans="1:11" ht="18" customHeight="1" x14ac:dyDescent="0.25">
      <c r="A218" s="40" t="str">
        <f>IF(Agent02_Savings!A25="","",Agent02_Savings!A25)</f>
        <v/>
      </c>
      <c r="B218" s="40" t="str">
        <f ca="1">IF(Agent02_Savings!A25="","","SV"&amp;TEXT(218-3,"0000")&amp;"-"&amp;TEXT(TODAY(),"YYYYMMDD"))</f>
        <v/>
      </c>
      <c r="C218" s="40" t="str">
        <f>IF(Agent02_Savings!A25="","",Agent02_Savings!B25)</f>
        <v/>
      </c>
      <c r="D218" s="40" t="str">
        <f>IF(Agent02_Savings!A25="","",Agent02_Savings!G25)</f>
        <v/>
      </c>
      <c r="E218" s="41" t="str">
        <f>IF(Agent02_Savings!A25="","",Agent02_Savings!D25)</f>
        <v/>
      </c>
      <c r="F218" s="42" t="str">
        <f>IF(Agent02_Savings!A25="","",Agent02_Savings!E25)</f>
        <v/>
      </c>
      <c r="G218" s="42" t="str">
        <f>IF(Agent02_Savings!A25="","",Agent02_Savings!F25)</f>
        <v/>
      </c>
      <c r="H218" s="40" t="str">
        <f>IF(Agent02_Savings!A25="","",Agent02_Savings!I25)</f>
        <v/>
      </c>
      <c r="I218" s="40" t="str">
        <f>IF(Agent02_Savings!A25="","",Agent02_Savings!J25)</f>
        <v/>
      </c>
      <c r="J218" s="40" t="str">
        <f>IF(Agent02_Savings!A25="","",Agent02_Savings!K25)</f>
        <v/>
      </c>
      <c r="K218" s="40" t="str">
        <f>IFERROR(IF(Agent02_Savings!A25="","",YEAR(Agent02_Savings!D25)),"")</f>
        <v/>
      </c>
    </row>
    <row r="219" spans="1:11" ht="18" customHeight="1" x14ac:dyDescent="0.25">
      <c r="A219" s="40" t="str">
        <f>IF(Agent02_Savings!A26="","",Agent02_Savings!A26)</f>
        <v/>
      </c>
      <c r="B219" s="40" t="str">
        <f ca="1">IF(Agent02_Savings!A26="","","SV"&amp;TEXT(219-3,"0000")&amp;"-"&amp;TEXT(TODAY(),"YYYYMMDD"))</f>
        <v/>
      </c>
      <c r="C219" s="40" t="str">
        <f>IF(Agent02_Savings!A26="","",Agent02_Savings!B26)</f>
        <v/>
      </c>
      <c r="D219" s="40" t="str">
        <f>IF(Agent02_Savings!A26="","",Agent02_Savings!G26)</f>
        <v/>
      </c>
      <c r="E219" s="41" t="str">
        <f>IF(Agent02_Savings!A26="","",Agent02_Savings!D26)</f>
        <v/>
      </c>
      <c r="F219" s="42" t="str">
        <f>IF(Agent02_Savings!A26="","",Agent02_Savings!E26)</f>
        <v/>
      </c>
      <c r="G219" s="42" t="str">
        <f>IF(Agent02_Savings!A26="","",Agent02_Savings!F26)</f>
        <v/>
      </c>
      <c r="H219" s="40" t="str">
        <f>IF(Agent02_Savings!A26="","",Agent02_Savings!I26)</f>
        <v/>
      </c>
      <c r="I219" s="40" t="str">
        <f>IF(Agent02_Savings!A26="","",Agent02_Savings!J26)</f>
        <v/>
      </c>
      <c r="J219" s="40" t="str">
        <f>IF(Agent02_Savings!A26="","",Agent02_Savings!K26)</f>
        <v/>
      </c>
      <c r="K219" s="40" t="str">
        <f>IFERROR(IF(Agent02_Savings!A26="","",YEAR(Agent02_Savings!D26)),"")</f>
        <v/>
      </c>
    </row>
    <row r="220" spans="1:11" ht="18" customHeight="1" x14ac:dyDescent="0.25">
      <c r="A220" s="40" t="str">
        <f>IF(Agent02_Savings!A27="","",Agent02_Savings!A27)</f>
        <v/>
      </c>
      <c r="B220" s="40" t="str">
        <f ca="1">IF(Agent02_Savings!A27="","","SV"&amp;TEXT(220-3,"0000")&amp;"-"&amp;TEXT(TODAY(),"YYYYMMDD"))</f>
        <v/>
      </c>
      <c r="C220" s="40" t="str">
        <f>IF(Agent02_Savings!A27="","",Agent02_Savings!B27)</f>
        <v/>
      </c>
      <c r="D220" s="40" t="str">
        <f>IF(Agent02_Savings!A27="","",Agent02_Savings!G27)</f>
        <v/>
      </c>
      <c r="E220" s="41" t="str">
        <f>IF(Agent02_Savings!A27="","",Agent02_Savings!D27)</f>
        <v/>
      </c>
      <c r="F220" s="42" t="str">
        <f>IF(Agent02_Savings!A27="","",Agent02_Savings!E27)</f>
        <v/>
      </c>
      <c r="G220" s="42" t="str">
        <f>IF(Agent02_Savings!A27="","",Agent02_Savings!F27)</f>
        <v/>
      </c>
      <c r="H220" s="40" t="str">
        <f>IF(Agent02_Savings!A27="","",Agent02_Savings!I27)</f>
        <v/>
      </c>
      <c r="I220" s="40" t="str">
        <f>IF(Agent02_Savings!A27="","",Agent02_Savings!J27)</f>
        <v/>
      </c>
      <c r="J220" s="40" t="str">
        <f>IF(Agent02_Savings!A27="","",Agent02_Savings!K27)</f>
        <v/>
      </c>
      <c r="K220" s="40" t="str">
        <f>IFERROR(IF(Agent02_Savings!A27="","",YEAR(Agent02_Savings!D27)),"")</f>
        <v/>
      </c>
    </row>
    <row r="221" spans="1:11" ht="18" customHeight="1" x14ac:dyDescent="0.25">
      <c r="A221" s="40" t="str">
        <f>IF(Agent02_Savings!A28="","",Agent02_Savings!A28)</f>
        <v/>
      </c>
      <c r="B221" s="40" t="str">
        <f ca="1">IF(Agent02_Savings!A28="","","SV"&amp;TEXT(221-3,"0000")&amp;"-"&amp;TEXT(TODAY(),"YYYYMMDD"))</f>
        <v/>
      </c>
      <c r="C221" s="40" t="str">
        <f>IF(Agent02_Savings!A28="","",Agent02_Savings!B28)</f>
        <v/>
      </c>
      <c r="D221" s="40" t="str">
        <f>IF(Agent02_Savings!A28="","",Agent02_Savings!G28)</f>
        <v/>
      </c>
      <c r="E221" s="41" t="str">
        <f>IF(Agent02_Savings!A28="","",Agent02_Savings!D28)</f>
        <v/>
      </c>
      <c r="F221" s="42" t="str">
        <f>IF(Agent02_Savings!A28="","",Agent02_Savings!E28)</f>
        <v/>
      </c>
      <c r="G221" s="42" t="str">
        <f>IF(Agent02_Savings!A28="","",Agent02_Savings!F28)</f>
        <v/>
      </c>
      <c r="H221" s="40" t="str">
        <f>IF(Agent02_Savings!A28="","",Agent02_Savings!I28)</f>
        <v/>
      </c>
      <c r="I221" s="40" t="str">
        <f>IF(Agent02_Savings!A28="","",Agent02_Savings!J28)</f>
        <v/>
      </c>
      <c r="J221" s="40" t="str">
        <f>IF(Agent02_Savings!A28="","",Agent02_Savings!K28)</f>
        <v/>
      </c>
      <c r="K221" s="40" t="str">
        <f>IFERROR(IF(Agent02_Savings!A28="","",YEAR(Agent02_Savings!D28)),"")</f>
        <v/>
      </c>
    </row>
    <row r="222" spans="1:11" ht="18" customHeight="1" x14ac:dyDescent="0.25">
      <c r="A222" s="40" t="str">
        <f>IF(Agent02_Savings!A29="","",Agent02_Savings!A29)</f>
        <v/>
      </c>
      <c r="B222" s="40" t="str">
        <f ca="1">IF(Agent02_Savings!A29="","","SV"&amp;TEXT(222-3,"0000")&amp;"-"&amp;TEXT(TODAY(),"YYYYMMDD"))</f>
        <v/>
      </c>
      <c r="C222" s="40" t="str">
        <f>IF(Agent02_Savings!A29="","",Agent02_Savings!B29)</f>
        <v/>
      </c>
      <c r="D222" s="40" t="str">
        <f>IF(Agent02_Savings!A29="","",Agent02_Savings!G29)</f>
        <v/>
      </c>
      <c r="E222" s="41" t="str">
        <f>IF(Agent02_Savings!A29="","",Agent02_Savings!D29)</f>
        <v/>
      </c>
      <c r="F222" s="42" t="str">
        <f>IF(Agent02_Savings!A29="","",Agent02_Savings!E29)</f>
        <v/>
      </c>
      <c r="G222" s="42" t="str">
        <f>IF(Agent02_Savings!A29="","",Agent02_Savings!F29)</f>
        <v/>
      </c>
      <c r="H222" s="40" t="str">
        <f>IF(Agent02_Savings!A29="","",Agent02_Savings!I29)</f>
        <v/>
      </c>
      <c r="I222" s="40" t="str">
        <f>IF(Agent02_Savings!A29="","",Agent02_Savings!J29)</f>
        <v/>
      </c>
      <c r="J222" s="40" t="str">
        <f>IF(Agent02_Savings!A29="","",Agent02_Savings!K29)</f>
        <v/>
      </c>
      <c r="K222" s="40" t="str">
        <f>IFERROR(IF(Agent02_Savings!A29="","",YEAR(Agent02_Savings!D29)),"")</f>
        <v/>
      </c>
    </row>
    <row r="223" spans="1:11" ht="18" customHeight="1" x14ac:dyDescent="0.25">
      <c r="A223" s="40" t="str">
        <f>IF(Agent02_Savings!A30="","",Agent02_Savings!A30)</f>
        <v/>
      </c>
      <c r="B223" s="40" t="str">
        <f ca="1">IF(Agent02_Savings!A30="","","SV"&amp;TEXT(223-3,"0000")&amp;"-"&amp;TEXT(TODAY(),"YYYYMMDD"))</f>
        <v/>
      </c>
      <c r="C223" s="40" t="str">
        <f>IF(Agent02_Savings!A30="","",Agent02_Savings!B30)</f>
        <v/>
      </c>
      <c r="D223" s="40" t="str">
        <f>IF(Agent02_Savings!A30="","",Agent02_Savings!G30)</f>
        <v/>
      </c>
      <c r="E223" s="41" t="str">
        <f>IF(Agent02_Savings!A30="","",Agent02_Savings!D30)</f>
        <v/>
      </c>
      <c r="F223" s="42" t="str">
        <f>IF(Agent02_Savings!A30="","",Agent02_Savings!E30)</f>
        <v/>
      </c>
      <c r="G223" s="42" t="str">
        <f>IF(Agent02_Savings!A30="","",Agent02_Savings!F30)</f>
        <v/>
      </c>
      <c r="H223" s="40" t="str">
        <f>IF(Agent02_Savings!A30="","",Agent02_Savings!I30)</f>
        <v/>
      </c>
      <c r="I223" s="40" t="str">
        <f>IF(Agent02_Savings!A30="","",Agent02_Savings!J30)</f>
        <v/>
      </c>
      <c r="J223" s="40" t="str">
        <f>IF(Agent02_Savings!A30="","",Agent02_Savings!K30)</f>
        <v/>
      </c>
      <c r="K223" s="40" t="str">
        <f>IFERROR(IF(Agent02_Savings!A30="","",YEAR(Agent02_Savings!D30)),"")</f>
        <v/>
      </c>
    </row>
    <row r="224" spans="1:11" ht="18" customHeight="1" x14ac:dyDescent="0.25">
      <c r="A224" s="40" t="str">
        <f>IF(Agent02_Savings!A31="","",Agent02_Savings!A31)</f>
        <v/>
      </c>
      <c r="B224" s="40" t="str">
        <f ca="1">IF(Agent02_Savings!A31="","","SV"&amp;TEXT(224-3,"0000")&amp;"-"&amp;TEXT(TODAY(),"YYYYMMDD"))</f>
        <v/>
      </c>
      <c r="C224" s="40" t="str">
        <f>IF(Agent02_Savings!A31="","",Agent02_Savings!B31)</f>
        <v/>
      </c>
      <c r="D224" s="40" t="str">
        <f>IF(Agent02_Savings!A31="","",Agent02_Savings!G31)</f>
        <v/>
      </c>
      <c r="E224" s="41" t="str">
        <f>IF(Agent02_Savings!A31="","",Agent02_Savings!D31)</f>
        <v/>
      </c>
      <c r="F224" s="42" t="str">
        <f>IF(Agent02_Savings!A31="","",Agent02_Savings!E31)</f>
        <v/>
      </c>
      <c r="G224" s="42" t="str">
        <f>IF(Agent02_Savings!A31="","",Agent02_Savings!F31)</f>
        <v/>
      </c>
      <c r="H224" s="40" t="str">
        <f>IF(Agent02_Savings!A31="","",Agent02_Savings!I31)</f>
        <v/>
      </c>
      <c r="I224" s="40" t="str">
        <f>IF(Agent02_Savings!A31="","",Agent02_Savings!J31)</f>
        <v/>
      </c>
      <c r="J224" s="40" t="str">
        <f>IF(Agent02_Savings!A31="","",Agent02_Savings!K31)</f>
        <v/>
      </c>
      <c r="K224" s="40" t="str">
        <f>IFERROR(IF(Agent02_Savings!A31="","",YEAR(Agent02_Savings!D31)),"")</f>
        <v/>
      </c>
    </row>
    <row r="225" spans="1:11" ht="18" customHeight="1" x14ac:dyDescent="0.25">
      <c r="A225" s="40" t="str">
        <f>IF(Agent02_Savings!A32="","",Agent02_Savings!A32)</f>
        <v/>
      </c>
      <c r="B225" s="40" t="str">
        <f ca="1">IF(Agent02_Savings!A32="","","SV"&amp;TEXT(225-3,"0000")&amp;"-"&amp;TEXT(TODAY(),"YYYYMMDD"))</f>
        <v/>
      </c>
      <c r="C225" s="40" t="str">
        <f>IF(Agent02_Savings!A32="","",Agent02_Savings!B32)</f>
        <v/>
      </c>
      <c r="D225" s="40" t="str">
        <f>IF(Agent02_Savings!A32="","",Agent02_Savings!G32)</f>
        <v/>
      </c>
      <c r="E225" s="41" t="str">
        <f>IF(Agent02_Savings!A32="","",Agent02_Savings!D32)</f>
        <v/>
      </c>
      <c r="F225" s="42" t="str">
        <f>IF(Agent02_Savings!A32="","",Agent02_Savings!E32)</f>
        <v/>
      </c>
      <c r="G225" s="42" t="str">
        <f>IF(Agent02_Savings!A32="","",Agent02_Savings!F32)</f>
        <v/>
      </c>
      <c r="H225" s="40" t="str">
        <f>IF(Agent02_Savings!A32="","",Agent02_Savings!I32)</f>
        <v/>
      </c>
      <c r="I225" s="40" t="str">
        <f>IF(Agent02_Savings!A32="","",Agent02_Savings!J32)</f>
        <v/>
      </c>
      <c r="J225" s="40" t="str">
        <f>IF(Agent02_Savings!A32="","",Agent02_Savings!K32)</f>
        <v/>
      </c>
      <c r="K225" s="40" t="str">
        <f>IFERROR(IF(Agent02_Savings!A32="","",YEAR(Agent02_Savings!D32)),"")</f>
        <v/>
      </c>
    </row>
    <row r="226" spans="1:11" ht="18" customHeight="1" x14ac:dyDescent="0.25">
      <c r="A226" s="40" t="str">
        <f>IF(Agent02_Savings!A33="","",Agent02_Savings!A33)</f>
        <v/>
      </c>
      <c r="B226" s="40" t="str">
        <f ca="1">IF(Agent02_Savings!A33="","","SV"&amp;TEXT(226-3,"0000")&amp;"-"&amp;TEXT(TODAY(),"YYYYMMDD"))</f>
        <v/>
      </c>
      <c r="C226" s="40" t="str">
        <f>IF(Agent02_Savings!A33="","",Agent02_Savings!B33)</f>
        <v/>
      </c>
      <c r="D226" s="40" t="str">
        <f>IF(Agent02_Savings!A33="","",Agent02_Savings!G33)</f>
        <v/>
      </c>
      <c r="E226" s="41" t="str">
        <f>IF(Agent02_Savings!A33="","",Agent02_Savings!D33)</f>
        <v/>
      </c>
      <c r="F226" s="42" t="str">
        <f>IF(Agent02_Savings!A33="","",Agent02_Savings!E33)</f>
        <v/>
      </c>
      <c r="G226" s="42" t="str">
        <f>IF(Agent02_Savings!A33="","",Agent02_Savings!F33)</f>
        <v/>
      </c>
      <c r="H226" s="40" t="str">
        <f>IF(Agent02_Savings!A33="","",Agent02_Savings!I33)</f>
        <v/>
      </c>
      <c r="I226" s="40" t="str">
        <f>IF(Agent02_Savings!A33="","",Agent02_Savings!J33)</f>
        <v/>
      </c>
      <c r="J226" s="40" t="str">
        <f>IF(Agent02_Savings!A33="","",Agent02_Savings!K33)</f>
        <v/>
      </c>
      <c r="K226" s="40" t="str">
        <f>IFERROR(IF(Agent02_Savings!A33="","",YEAR(Agent02_Savings!D33)),"")</f>
        <v/>
      </c>
    </row>
    <row r="227" spans="1:11" ht="18" customHeight="1" x14ac:dyDescent="0.25">
      <c r="A227" s="40" t="str">
        <f>IF(Agent02_Savings!A34="","",Agent02_Savings!A34)</f>
        <v/>
      </c>
      <c r="B227" s="40" t="str">
        <f ca="1">IF(Agent02_Savings!A34="","","SV"&amp;TEXT(227-3,"0000")&amp;"-"&amp;TEXT(TODAY(),"YYYYMMDD"))</f>
        <v/>
      </c>
      <c r="C227" s="40" t="str">
        <f>IF(Agent02_Savings!A34="","",Agent02_Savings!B34)</f>
        <v/>
      </c>
      <c r="D227" s="40" t="str">
        <f>IF(Agent02_Savings!A34="","",Agent02_Savings!G34)</f>
        <v/>
      </c>
      <c r="E227" s="41" t="str">
        <f>IF(Agent02_Savings!A34="","",Agent02_Savings!D34)</f>
        <v/>
      </c>
      <c r="F227" s="42" t="str">
        <f>IF(Agent02_Savings!A34="","",Agent02_Savings!E34)</f>
        <v/>
      </c>
      <c r="G227" s="42" t="str">
        <f>IF(Agent02_Savings!A34="","",Agent02_Savings!F34)</f>
        <v/>
      </c>
      <c r="H227" s="40" t="str">
        <f>IF(Agent02_Savings!A34="","",Agent02_Savings!I34)</f>
        <v/>
      </c>
      <c r="I227" s="40" t="str">
        <f>IF(Agent02_Savings!A34="","",Agent02_Savings!J34)</f>
        <v/>
      </c>
      <c r="J227" s="40" t="str">
        <f>IF(Agent02_Savings!A34="","",Agent02_Savings!K34)</f>
        <v/>
      </c>
      <c r="K227" s="40" t="str">
        <f>IFERROR(IF(Agent02_Savings!A34="","",YEAR(Agent02_Savings!D34)),"")</f>
        <v/>
      </c>
    </row>
    <row r="228" spans="1:11" ht="18" customHeight="1" x14ac:dyDescent="0.25">
      <c r="A228" s="40" t="str">
        <f>IF(Agent02_Savings!A35="","",Agent02_Savings!A35)</f>
        <v/>
      </c>
      <c r="B228" s="40" t="str">
        <f ca="1">IF(Agent02_Savings!A35="","","SV"&amp;TEXT(228-3,"0000")&amp;"-"&amp;TEXT(TODAY(),"YYYYMMDD"))</f>
        <v/>
      </c>
      <c r="C228" s="40" t="str">
        <f>IF(Agent02_Savings!A35="","",Agent02_Savings!B35)</f>
        <v/>
      </c>
      <c r="D228" s="40" t="str">
        <f>IF(Agent02_Savings!A35="","",Agent02_Savings!G35)</f>
        <v/>
      </c>
      <c r="E228" s="41" t="str">
        <f>IF(Agent02_Savings!A35="","",Agent02_Savings!D35)</f>
        <v/>
      </c>
      <c r="F228" s="42" t="str">
        <f>IF(Agent02_Savings!A35="","",Agent02_Savings!E35)</f>
        <v/>
      </c>
      <c r="G228" s="42" t="str">
        <f>IF(Agent02_Savings!A35="","",Agent02_Savings!F35)</f>
        <v/>
      </c>
      <c r="H228" s="40" t="str">
        <f>IF(Agent02_Savings!A35="","",Agent02_Savings!I35)</f>
        <v/>
      </c>
      <c r="I228" s="40" t="str">
        <f>IF(Agent02_Savings!A35="","",Agent02_Savings!J35)</f>
        <v/>
      </c>
      <c r="J228" s="40" t="str">
        <f>IF(Agent02_Savings!A35="","",Agent02_Savings!K35)</f>
        <v/>
      </c>
      <c r="K228" s="40" t="str">
        <f>IFERROR(IF(Agent02_Savings!A35="","",YEAR(Agent02_Savings!D35)),"")</f>
        <v/>
      </c>
    </row>
    <row r="229" spans="1:11" ht="18" customHeight="1" x14ac:dyDescent="0.25">
      <c r="A229" s="40" t="str">
        <f>IF(Agent02_Savings!A36="","",Agent02_Savings!A36)</f>
        <v/>
      </c>
      <c r="B229" s="40" t="str">
        <f ca="1">IF(Agent02_Savings!A36="","","SV"&amp;TEXT(229-3,"0000")&amp;"-"&amp;TEXT(TODAY(),"YYYYMMDD"))</f>
        <v/>
      </c>
      <c r="C229" s="40" t="str">
        <f>IF(Agent02_Savings!A36="","",Agent02_Savings!B36)</f>
        <v/>
      </c>
      <c r="D229" s="40" t="str">
        <f>IF(Agent02_Savings!A36="","",Agent02_Savings!G36)</f>
        <v/>
      </c>
      <c r="E229" s="41" t="str">
        <f>IF(Agent02_Savings!A36="","",Agent02_Savings!D36)</f>
        <v/>
      </c>
      <c r="F229" s="42" t="str">
        <f>IF(Agent02_Savings!A36="","",Agent02_Savings!E36)</f>
        <v/>
      </c>
      <c r="G229" s="42" t="str">
        <f>IF(Agent02_Savings!A36="","",Agent02_Savings!F36)</f>
        <v/>
      </c>
      <c r="H229" s="40" t="str">
        <f>IF(Agent02_Savings!A36="","",Agent02_Savings!I36)</f>
        <v/>
      </c>
      <c r="I229" s="40" t="str">
        <f>IF(Agent02_Savings!A36="","",Agent02_Savings!J36)</f>
        <v/>
      </c>
      <c r="J229" s="40" t="str">
        <f>IF(Agent02_Savings!A36="","",Agent02_Savings!K36)</f>
        <v/>
      </c>
      <c r="K229" s="40" t="str">
        <f>IFERROR(IF(Agent02_Savings!A36="","",YEAR(Agent02_Savings!D36)),"")</f>
        <v/>
      </c>
    </row>
    <row r="230" spans="1:11" ht="18" customHeight="1" x14ac:dyDescent="0.25">
      <c r="A230" s="40" t="str">
        <f>IF(Agent02_Savings!A37="","",Agent02_Savings!A37)</f>
        <v/>
      </c>
      <c r="B230" s="40" t="str">
        <f ca="1">IF(Agent02_Savings!A37="","","SV"&amp;TEXT(230-3,"0000")&amp;"-"&amp;TEXT(TODAY(),"YYYYMMDD"))</f>
        <v/>
      </c>
      <c r="C230" s="40" t="str">
        <f>IF(Agent02_Savings!A37="","",Agent02_Savings!B37)</f>
        <v/>
      </c>
      <c r="D230" s="40" t="str">
        <f>IF(Agent02_Savings!A37="","",Agent02_Savings!G37)</f>
        <v/>
      </c>
      <c r="E230" s="41" t="str">
        <f>IF(Agent02_Savings!A37="","",Agent02_Savings!D37)</f>
        <v/>
      </c>
      <c r="F230" s="42" t="str">
        <f>IF(Agent02_Savings!A37="","",Agent02_Savings!E37)</f>
        <v/>
      </c>
      <c r="G230" s="42" t="str">
        <f>IF(Agent02_Savings!A37="","",Agent02_Savings!F37)</f>
        <v/>
      </c>
      <c r="H230" s="40" t="str">
        <f>IF(Agent02_Savings!A37="","",Agent02_Savings!I37)</f>
        <v/>
      </c>
      <c r="I230" s="40" t="str">
        <f>IF(Agent02_Savings!A37="","",Agent02_Savings!J37)</f>
        <v/>
      </c>
      <c r="J230" s="40" t="str">
        <f>IF(Agent02_Savings!A37="","",Agent02_Savings!K37)</f>
        <v/>
      </c>
      <c r="K230" s="40" t="str">
        <f>IFERROR(IF(Agent02_Savings!A37="","",YEAR(Agent02_Savings!D37)),"")</f>
        <v/>
      </c>
    </row>
    <row r="231" spans="1:11" ht="18" customHeight="1" x14ac:dyDescent="0.25">
      <c r="A231" s="40" t="str">
        <f>IF(Agent02_Savings!A38="","",Agent02_Savings!A38)</f>
        <v/>
      </c>
      <c r="B231" s="40" t="str">
        <f ca="1">IF(Agent02_Savings!A38="","","SV"&amp;TEXT(231-3,"0000")&amp;"-"&amp;TEXT(TODAY(),"YYYYMMDD"))</f>
        <v/>
      </c>
      <c r="C231" s="40" t="str">
        <f>IF(Agent02_Savings!A38="","",Agent02_Savings!B38)</f>
        <v/>
      </c>
      <c r="D231" s="40" t="str">
        <f>IF(Agent02_Savings!A38="","",Agent02_Savings!G38)</f>
        <v/>
      </c>
      <c r="E231" s="41" t="str">
        <f>IF(Agent02_Savings!A38="","",Agent02_Savings!D38)</f>
        <v/>
      </c>
      <c r="F231" s="42" t="str">
        <f>IF(Agent02_Savings!A38="","",Agent02_Savings!E38)</f>
        <v/>
      </c>
      <c r="G231" s="42" t="str">
        <f>IF(Agent02_Savings!A38="","",Agent02_Savings!F38)</f>
        <v/>
      </c>
      <c r="H231" s="40" t="str">
        <f>IF(Agent02_Savings!A38="","",Agent02_Savings!I38)</f>
        <v/>
      </c>
      <c r="I231" s="40" t="str">
        <f>IF(Agent02_Savings!A38="","",Agent02_Savings!J38)</f>
        <v/>
      </c>
      <c r="J231" s="40" t="str">
        <f>IF(Agent02_Savings!A38="","",Agent02_Savings!K38)</f>
        <v/>
      </c>
      <c r="K231" s="40" t="str">
        <f>IFERROR(IF(Agent02_Savings!A38="","",YEAR(Agent02_Savings!D38)),"")</f>
        <v/>
      </c>
    </row>
    <row r="232" spans="1:11" ht="18" customHeight="1" x14ac:dyDescent="0.25">
      <c r="A232" s="40" t="str">
        <f>IF(Agent02_Savings!A39="","",Agent02_Savings!A39)</f>
        <v/>
      </c>
      <c r="B232" s="40" t="str">
        <f ca="1">IF(Agent02_Savings!A39="","","SV"&amp;TEXT(232-3,"0000")&amp;"-"&amp;TEXT(TODAY(),"YYYYMMDD"))</f>
        <v/>
      </c>
      <c r="C232" s="40" t="str">
        <f>IF(Agent02_Savings!A39="","",Agent02_Savings!B39)</f>
        <v/>
      </c>
      <c r="D232" s="40" t="str">
        <f>IF(Agent02_Savings!A39="","",Agent02_Savings!G39)</f>
        <v/>
      </c>
      <c r="E232" s="41" t="str">
        <f>IF(Agent02_Savings!A39="","",Agent02_Savings!D39)</f>
        <v/>
      </c>
      <c r="F232" s="42" t="str">
        <f>IF(Agent02_Savings!A39="","",Agent02_Savings!E39)</f>
        <v/>
      </c>
      <c r="G232" s="42" t="str">
        <f>IF(Agent02_Savings!A39="","",Agent02_Savings!F39)</f>
        <v/>
      </c>
      <c r="H232" s="40" t="str">
        <f>IF(Agent02_Savings!A39="","",Agent02_Savings!I39)</f>
        <v/>
      </c>
      <c r="I232" s="40" t="str">
        <f>IF(Agent02_Savings!A39="","",Agent02_Savings!J39)</f>
        <v/>
      </c>
      <c r="J232" s="40" t="str">
        <f>IF(Agent02_Savings!A39="","",Agent02_Savings!K39)</f>
        <v/>
      </c>
      <c r="K232" s="40" t="str">
        <f>IFERROR(IF(Agent02_Savings!A39="","",YEAR(Agent02_Savings!D39)),"")</f>
        <v/>
      </c>
    </row>
    <row r="233" spans="1:11" ht="18" customHeight="1" x14ac:dyDescent="0.25">
      <c r="A233" s="40" t="str">
        <f>IF(Agent02_Savings!A40="","",Agent02_Savings!A40)</f>
        <v/>
      </c>
      <c r="B233" s="40" t="str">
        <f ca="1">IF(Agent02_Savings!A40="","","SV"&amp;TEXT(233-3,"0000")&amp;"-"&amp;TEXT(TODAY(),"YYYYMMDD"))</f>
        <v/>
      </c>
      <c r="C233" s="40" t="str">
        <f>IF(Agent02_Savings!A40="","",Agent02_Savings!B40)</f>
        <v/>
      </c>
      <c r="D233" s="40" t="str">
        <f>IF(Agent02_Savings!A40="","",Agent02_Savings!G40)</f>
        <v/>
      </c>
      <c r="E233" s="41" t="str">
        <f>IF(Agent02_Savings!A40="","",Agent02_Savings!D40)</f>
        <v/>
      </c>
      <c r="F233" s="42" t="str">
        <f>IF(Agent02_Savings!A40="","",Agent02_Savings!E40)</f>
        <v/>
      </c>
      <c r="G233" s="42" t="str">
        <f>IF(Agent02_Savings!A40="","",Agent02_Savings!F40)</f>
        <v/>
      </c>
      <c r="H233" s="40" t="str">
        <f>IF(Agent02_Savings!A40="","",Agent02_Savings!I40)</f>
        <v/>
      </c>
      <c r="I233" s="40" t="str">
        <f>IF(Agent02_Savings!A40="","",Agent02_Savings!J40)</f>
        <v/>
      </c>
      <c r="J233" s="40" t="str">
        <f>IF(Agent02_Savings!A40="","",Agent02_Savings!K40)</f>
        <v/>
      </c>
      <c r="K233" s="40" t="str">
        <f>IFERROR(IF(Agent02_Savings!A40="","",YEAR(Agent02_Savings!D40)),"")</f>
        <v/>
      </c>
    </row>
    <row r="234" spans="1:11" ht="18" customHeight="1" x14ac:dyDescent="0.25">
      <c r="A234" s="40" t="str">
        <f>IF(Agent02_Savings!A41="","",Agent02_Savings!A41)</f>
        <v/>
      </c>
      <c r="B234" s="40" t="str">
        <f ca="1">IF(Agent02_Savings!A41="","","SV"&amp;TEXT(234-3,"0000")&amp;"-"&amp;TEXT(TODAY(),"YYYYMMDD"))</f>
        <v/>
      </c>
      <c r="C234" s="40" t="str">
        <f>IF(Agent02_Savings!A41="","",Agent02_Savings!B41)</f>
        <v/>
      </c>
      <c r="D234" s="40" t="str">
        <f>IF(Agent02_Savings!A41="","",Agent02_Savings!G41)</f>
        <v/>
      </c>
      <c r="E234" s="41" t="str">
        <f>IF(Agent02_Savings!A41="","",Agent02_Savings!D41)</f>
        <v/>
      </c>
      <c r="F234" s="42" t="str">
        <f>IF(Agent02_Savings!A41="","",Agent02_Savings!E41)</f>
        <v/>
      </c>
      <c r="G234" s="42" t="str">
        <f>IF(Agent02_Savings!A41="","",Agent02_Savings!F41)</f>
        <v/>
      </c>
      <c r="H234" s="40" t="str">
        <f>IF(Agent02_Savings!A41="","",Agent02_Savings!I41)</f>
        <v/>
      </c>
      <c r="I234" s="40" t="str">
        <f>IF(Agent02_Savings!A41="","",Agent02_Savings!J41)</f>
        <v/>
      </c>
      <c r="J234" s="40" t="str">
        <f>IF(Agent02_Savings!A41="","",Agent02_Savings!K41)</f>
        <v/>
      </c>
      <c r="K234" s="40" t="str">
        <f>IFERROR(IF(Agent02_Savings!A41="","",YEAR(Agent02_Savings!D41)),"")</f>
        <v/>
      </c>
    </row>
    <row r="235" spans="1:11" ht="18" customHeight="1" x14ac:dyDescent="0.25">
      <c r="A235" s="40" t="str">
        <f>IF(Agent02_Savings!A42="","",Agent02_Savings!A42)</f>
        <v/>
      </c>
      <c r="B235" s="40" t="str">
        <f ca="1">IF(Agent02_Savings!A42="","","SV"&amp;TEXT(235-3,"0000")&amp;"-"&amp;TEXT(TODAY(),"YYYYMMDD"))</f>
        <v/>
      </c>
      <c r="C235" s="40" t="str">
        <f>IF(Agent02_Savings!A42="","",Agent02_Savings!B42)</f>
        <v/>
      </c>
      <c r="D235" s="40" t="str">
        <f>IF(Agent02_Savings!A42="","",Agent02_Savings!G42)</f>
        <v/>
      </c>
      <c r="E235" s="41" t="str">
        <f>IF(Agent02_Savings!A42="","",Agent02_Savings!D42)</f>
        <v/>
      </c>
      <c r="F235" s="42" t="str">
        <f>IF(Agent02_Savings!A42="","",Agent02_Savings!E42)</f>
        <v/>
      </c>
      <c r="G235" s="42" t="str">
        <f>IF(Agent02_Savings!A42="","",Agent02_Savings!F42)</f>
        <v/>
      </c>
      <c r="H235" s="40" t="str">
        <f>IF(Agent02_Savings!A42="","",Agent02_Savings!I42)</f>
        <v/>
      </c>
      <c r="I235" s="40" t="str">
        <f>IF(Agent02_Savings!A42="","",Agent02_Savings!J42)</f>
        <v/>
      </c>
      <c r="J235" s="40" t="str">
        <f>IF(Agent02_Savings!A42="","",Agent02_Savings!K42)</f>
        <v/>
      </c>
      <c r="K235" s="40" t="str">
        <f>IFERROR(IF(Agent02_Savings!A42="","",YEAR(Agent02_Savings!D42)),"")</f>
        <v/>
      </c>
    </row>
    <row r="236" spans="1:11" ht="18" customHeight="1" x14ac:dyDescent="0.25">
      <c r="A236" s="40" t="str">
        <f>IF(Agent02_Savings!A43="","",Agent02_Savings!A43)</f>
        <v/>
      </c>
      <c r="B236" s="40" t="str">
        <f ca="1">IF(Agent02_Savings!A43="","","SV"&amp;TEXT(236-3,"0000")&amp;"-"&amp;TEXT(TODAY(),"YYYYMMDD"))</f>
        <v/>
      </c>
      <c r="C236" s="40" t="str">
        <f>IF(Agent02_Savings!A43="","",Agent02_Savings!B43)</f>
        <v/>
      </c>
      <c r="D236" s="40" t="str">
        <f>IF(Agent02_Savings!A43="","",Agent02_Savings!G43)</f>
        <v/>
      </c>
      <c r="E236" s="41" t="str">
        <f>IF(Agent02_Savings!A43="","",Agent02_Savings!D43)</f>
        <v/>
      </c>
      <c r="F236" s="42" t="str">
        <f>IF(Agent02_Savings!A43="","",Agent02_Savings!E43)</f>
        <v/>
      </c>
      <c r="G236" s="42" t="str">
        <f>IF(Agent02_Savings!A43="","",Agent02_Savings!F43)</f>
        <v/>
      </c>
      <c r="H236" s="40" t="str">
        <f>IF(Agent02_Savings!A43="","",Agent02_Savings!I43)</f>
        <v/>
      </c>
      <c r="I236" s="40" t="str">
        <f>IF(Agent02_Savings!A43="","",Agent02_Savings!J43)</f>
        <v/>
      </c>
      <c r="J236" s="40" t="str">
        <f>IF(Agent02_Savings!A43="","",Agent02_Savings!K43)</f>
        <v/>
      </c>
      <c r="K236" s="40" t="str">
        <f>IFERROR(IF(Agent02_Savings!A43="","",YEAR(Agent02_Savings!D43)),"")</f>
        <v/>
      </c>
    </row>
    <row r="237" spans="1:11" ht="18" customHeight="1" x14ac:dyDescent="0.25">
      <c r="A237" s="40" t="str">
        <f>IF(Agent02_Savings!A44="","",Agent02_Savings!A44)</f>
        <v/>
      </c>
      <c r="B237" s="40" t="str">
        <f ca="1">IF(Agent02_Savings!A44="","","SV"&amp;TEXT(237-3,"0000")&amp;"-"&amp;TEXT(TODAY(),"YYYYMMDD"))</f>
        <v/>
      </c>
      <c r="C237" s="40" t="str">
        <f>IF(Agent02_Savings!A44="","",Agent02_Savings!B44)</f>
        <v/>
      </c>
      <c r="D237" s="40" t="str">
        <f>IF(Agent02_Savings!A44="","",Agent02_Savings!G44)</f>
        <v/>
      </c>
      <c r="E237" s="41" t="str">
        <f>IF(Agent02_Savings!A44="","",Agent02_Savings!D44)</f>
        <v/>
      </c>
      <c r="F237" s="42" t="str">
        <f>IF(Agent02_Savings!A44="","",Agent02_Savings!E44)</f>
        <v/>
      </c>
      <c r="G237" s="42" t="str">
        <f>IF(Agent02_Savings!A44="","",Agent02_Savings!F44)</f>
        <v/>
      </c>
      <c r="H237" s="40" t="str">
        <f>IF(Agent02_Savings!A44="","",Agent02_Savings!I44)</f>
        <v/>
      </c>
      <c r="I237" s="40" t="str">
        <f>IF(Agent02_Savings!A44="","",Agent02_Savings!J44)</f>
        <v/>
      </c>
      <c r="J237" s="40" t="str">
        <f>IF(Agent02_Savings!A44="","",Agent02_Savings!K44)</f>
        <v/>
      </c>
      <c r="K237" s="40" t="str">
        <f>IFERROR(IF(Agent02_Savings!A44="","",YEAR(Agent02_Savings!D44)),"")</f>
        <v/>
      </c>
    </row>
    <row r="238" spans="1:11" ht="18" customHeight="1" x14ac:dyDescent="0.25">
      <c r="A238" s="40" t="str">
        <f>IF(Agent02_Savings!A45="","",Agent02_Savings!A45)</f>
        <v/>
      </c>
      <c r="B238" s="40" t="str">
        <f ca="1">IF(Agent02_Savings!A45="","","SV"&amp;TEXT(238-3,"0000")&amp;"-"&amp;TEXT(TODAY(),"YYYYMMDD"))</f>
        <v/>
      </c>
      <c r="C238" s="40" t="str">
        <f>IF(Agent02_Savings!A45="","",Agent02_Savings!B45)</f>
        <v/>
      </c>
      <c r="D238" s="40" t="str">
        <f>IF(Agent02_Savings!A45="","",Agent02_Savings!G45)</f>
        <v/>
      </c>
      <c r="E238" s="41" t="str">
        <f>IF(Agent02_Savings!A45="","",Agent02_Savings!D45)</f>
        <v/>
      </c>
      <c r="F238" s="42" t="str">
        <f>IF(Agent02_Savings!A45="","",Agent02_Savings!E45)</f>
        <v/>
      </c>
      <c r="G238" s="42" t="str">
        <f>IF(Agent02_Savings!A45="","",Agent02_Savings!F45)</f>
        <v/>
      </c>
      <c r="H238" s="40" t="str">
        <f>IF(Agent02_Savings!A45="","",Agent02_Savings!I45)</f>
        <v/>
      </c>
      <c r="I238" s="40" t="str">
        <f>IF(Agent02_Savings!A45="","",Agent02_Savings!J45)</f>
        <v/>
      </c>
      <c r="J238" s="40" t="str">
        <f>IF(Agent02_Savings!A45="","",Agent02_Savings!K45)</f>
        <v/>
      </c>
      <c r="K238" s="40" t="str">
        <f>IFERROR(IF(Agent02_Savings!A45="","",YEAR(Agent02_Savings!D45)),"")</f>
        <v/>
      </c>
    </row>
    <row r="239" spans="1:11" ht="18" customHeight="1" x14ac:dyDescent="0.25">
      <c r="A239" s="40" t="str">
        <f>IF(Agent02_Savings!A46="","",Agent02_Savings!A46)</f>
        <v/>
      </c>
      <c r="B239" s="40" t="str">
        <f ca="1">IF(Agent02_Savings!A46="","","SV"&amp;TEXT(239-3,"0000")&amp;"-"&amp;TEXT(TODAY(),"YYYYMMDD"))</f>
        <v/>
      </c>
      <c r="C239" s="40" t="str">
        <f>IF(Agent02_Savings!A46="","",Agent02_Savings!B46)</f>
        <v/>
      </c>
      <c r="D239" s="40" t="str">
        <f>IF(Agent02_Savings!A46="","",Agent02_Savings!G46)</f>
        <v/>
      </c>
      <c r="E239" s="41" t="str">
        <f>IF(Agent02_Savings!A46="","",Agent02_Savings!D46)</f>
        <v/>
      </c>
      <c r="F239" s="42" t="str">
        <f>IF(Agent02_Savings!A46="","",Agent02_Savings!E46)</f>
        <v/>
      </c>
      <c r="G239" s="42" t="str">
        <f>IF(Agent02_Savings!A46="","",Agent02_Savings!F46)</f>
        <v/>
      </c>
      <c r="H239" s="40" t="str">
        <f>IF(Agent02_Savings!A46="","",Agent02_Savings!I46)</f>
        <v/>
      </c>
      <c r="I239" s="40" t="str">
        <f>IF(Agent02_Savings!A46="","",Agent02_Savings!J46)</f>
        <v/>
      </c>
      <c r="J239" s="40" t="str">
        <f>IF(Agent02_Savings!A46="","",Agent02_Savings!K46)</f>
        <v/>
      </c>
      <c r="K239" s="40" t="str">
        <f>IFERROR(IF(Agent02_Savings!A46="","",YEAR(Agent02_Savings!D46)),"")</f>
        <v/>
      </c>
    </row>
    <row r="240" spans="1:11" ht="18" customHeight="1" x14ac:dyDescent="0.25">
      <c r="A240" s="40" t="str">
        <f>IF(Agent02_Savings!A47="","",Agent02_Savings!A47)</f>
        <v/>
      </c>
      <c r="B240" s="40" t="str">
        <f ca="1">IF(Agent02_Savings!A47="","","SV"&amp;TEXT(240-3,"0000")&amp;"-"&amp;TEXT(TODAY(),"YYYYMMDD"))</f>
        <v/>
      </c>
      <c r="C240" s="40" t="str">
        <f>IF(Agent02_Savings!A47="","",Agent02_Savings!B47)</f>
        <v/>
      </c>
      <c r="D240" s="40" t="str">
        <f>IF(Agent02_Savings!A47="","",Agent02_Savings!G47)</f>
        <v/>
      </c>
      <c r="E240" s="41" t="str">
        <f>IF(Agent02_Savings!A47="","",Agent02_Savings!D47)</f>
        <v/>
      </c>
      <c r="F240" s="42" t="str">
        <f>IF(Agent02_Savings!A47="","",Agent02_Savings!E47)</f>
        <v/>
      </c>
      <c r="G240" s="42" t="str">
        <f>IF(Agent02_Savings!A47="","",Agent02_Savings!F47)</f>
        <v/>
      </c>
      <c r="H240" s="40" t="str">
        <f>IF(Agent02_Savings!A47="","",Agent02_Savings!I47)</f>
        <v/>
      </c>
      <c r="I240" s="40" t="str">
        <f>IF(Agent02_Savings!A47="","",Agent02_Savings!J47)</f>
        <v/>
      </c>
      <c r="J240" s="40" t="str">
        <f>IF(Agent02_Savings!A47="","",Agent02_Savings!K47)</f>
        <v/>
      </c>
      <c r="K240" s="40" t="str">
        <f>IFERROR(IF(Agent02_Savings!A47="","",YEAR(Agent02_Savings!D47)),"")</f>
        <v/>
      </c>
    </row>
    <row r="241" spans="1:11" ht="18" customHeight="1" x14ac:dyDescent="0.25">
      <c r="A241" s="40" t="str">
        <f>IF(Agent02_Savings!A48="","",Agent02_Savings!A48)</f>
        <v/>
      </c>
      <c r="B241" s="40" t="str">
        <f ca="1">IF(Agent02_Savings!A48="","","SV"&amp;TEXT(241-3,"0000")&amp;"-"&amp;TEXT(TODAY(),"YYYYMMDD"))</f>
        <v/>
      </c>
      <c r="C241" s="40" t="str">
        <f>IF(Agent02_Savings!A48="","",Agent02_Savings!B48)</f>
        <v/>
      </c>
      <c r="D241" s="40" t="str">
        <f>IF(Agent02_Savings!A48="","",Agent02_Savings!G48)</f>
        <v/>
      </c>
      <c r="E241" s="41" t="str">
        <f>IF(Agent02_Savings!A48="","",Agent02_Savings!D48)</f>
        <v/>
      </c>
      <c r="F241" s="42" t="str">
        <f>IF(Agent02_Savings!A48="","",Agent02_Savings!E48)</f>
        <v/>
      </c>
      <c r="G241" s="42" t="str">
        <f>IF(Agent02_Savings!A48="","",Agent02_Savings!F48)</f>
        <v/>
      </c>
      <c r="H241" s="40" t="str">
        <f>IF(Agent02_Savings!A48="","",Agent02_Savings!I48)</f>
        <v/>
      </c>
      <c r="I241" s="40" t="str">
        <f>IF(Agent02_Savings!A48="","",Agent02_Savings!J48)</f>
        <v/>
      </c>
      <c r="J241" s="40" t="str">
        <f>IF(Agent02_Savings!A48="","",Agent02_Savings!K48)</f>
        <v/>
      </c>
      <c r="K241" s="40" t="str">
        <f>IFERROR(IF(Agent02_Savings!A48="","",YEAR(Agent02_Savings!D48)),"")</f>
        <v/>
      </c>
    </row>
    <row r="242" spans="1:11" ht="18" customHeight="1" x14ac:dyDescent="0.25">
      <c r="A242" s="40" t="str">
        <f>IF(Agent02_Savings!A49="","",Agent02_Savings!A49)</f>
        <v/>
      </c>
      <c r="B242" s="40" t="str">
        <f ca="1">IF(Agent02_Savings!A49="","","SV"&amp;TEXT(242-3,"0000")&amp;"-"&amp;TEXT(TODAY(),"YYYYMMDD"))</f>
        <v/>
      </c>
      <c r="C242" s="40" t="str">
        <f>IF(Agent02_Savings!A49="","",Agent02_Savings!B49)</f>
        <v/>
      </c>
      <c r="D242" s="40" t="str">
        <f>IF(Agent02_Savings!A49="","",Agent02_Savings!G49)</f>
        <v/>
      </c>
      <c r="E242" s="41" t="str">
        <f>IF(Agent02_Savings!A49="","",Agent02_Savings!D49)</f>
        <v/>
      </c>
      <c r="F242" s="42" t="str">
        <f>IF(Agent02_Savings!A49="","",Agent02_Savings!E49)</f>
        <v/>
      </c>
      <c r="G242" s="42" t="str">
        <f>IF(Agent02_Savings!A49="","",Agent02_Savings!F49)</f>
        <v/>
      </c>
      <c r="H242" s="40" t="str">
        <f>IF(Agent02_Savings!A49="","",Agent02_Savings!I49)</f>
        <v/>
      </c>
      <c r="I242" s="40" t="str">
        <f>IF(Agent02_Savings!A49="","",Agent02_Savings!J49)</f>
        <v/>
      </c>
      <c r="J242" s="40" t="str">
        <f>IF(Agent02_Savings!A49="","",Agent02_Savings!K49)</f>
        <v/>
      </c>
      <c r="K242" s="40" t="str">
        <f>IFERROR(IF(Agent02_Savings!A49="","",YEAR(Agent02_Savings!D49)),"")</f>
        <v/>
      </c>
    </row>
    <row r="243" spans="1:11" ht="18" customHeight="1" x14ac:dyDescent="0.25">
      <c r="A243" s="40" t="str">
        <f>IF(Agent02_Savings!A50="","",Agent02_Savings!A50)</f>
        <v/>
      </c>
      <c r="B243" s="40" t="str">
        <f ca="1">IF(Agent02_Savings!A50="","","SV"&amp;TEXT(243-3,"0000")&amp;"-"&amp;TEXT(TODAY(),"YYYYMMDD"))</f>
        <v/>
      </c>
      <c r="C243" s="40" t="str">
        <f>IF(Agent02_Savings!A50="","",Agent02_Savings!B50)</f>
        <v/>
      </c>
      <c r="D243" s="40" t="str">
        <f>IF(Agent02_Savings!A50="","",Agent02_Savings!G50)</f>
        <v/>
      </c>
      <c r="E243" s="41" t="str">
        <f>IF(Agent02_Savings!A50="","",Agent02_Savings!D50)</f>
        <v/>
      </c>
      <c r="F243" s="42" t="str">
        <f>IF(Agent02_Savings!A50="","",Agent02_Savings!E50)</f>
        <v/>
      </c>
      <c r="G243" s="42" t="str">
        <f>IF(Agent02_Savings!A50="","",Agent02_Savings!F50)</f>
        <v/>
      </c>
      <c r="H243" s="40" t="str">
        <f>IF(Agent02_Savings!A50="","",Agent02_Savings!I50)</f>
        <v/>
      </c>
      <c r="I243" s="40" t="str">
        <f>IF(Agent02_Savings!A50="","",Agent02_Savings!J50)</f>
        <v/>
      </c>
      <c r="J243" s="40" t="str">
        <f>IF(Agent02_Savings!A50="","",Agent02_Savings!K50)</f>
        <v/>
      </c>
      <c r="K243" s="40" t="str">
        <f>IFERROR(IF(Agent02_Savings!A50="","",YEAR(Agent02_Savings!D50)),"")</f>
        <v/>
      </c>
    </row>
    <row r="244" spans="1:11" ht="18" customHeight="1" x14ac:dyDescent="0.25">
      <c r="A244" s="40" t="str">
        <f>IF(Agent02_Savings!A51="","",Agent02_Savings!A51)</f>
        <v/>
      </c>
      <c r="B244" s="40" t="str">
        <f ca="1">IF(Agent02_Savings!A51="","","SV"&amp;TEXT(244-3,"0000")&amp;"-"&amp;TEXT(TODAY(),"YYYYMMDD"))</f>
        <v/>
      </c>
      <c r="C244" s="40" t="str">
        <f>IF(Agent02_Savings!A51="","",Agent02_Savings!B51)</f>
        <v/>
      </c>
      <c r="D244" s="40" t="str">
        <f>IF(Agent02_Savings!A51="","",Agent02_Savings!G51)</f>
        <v/>
      </c>
      <c r="E244" s="41" t="str">
        <f>IF(Agent02_Savings!A51="","",Agent02_Savings!D51)</f>
        <v/>
      </c>
      <c r="F244" s="42" t="str">
        <f>IF(Agent02_Savings!A51="","",Agent02_Savings!E51)</f>
        <v/>
      </c>
      <c r="G244" s="42" t="str">
        <f>IF(Agent02_Savings!A51="","",Agent02_Savings!F51)</f>
        <v/>
      </c>
      <c r="H244" s="40" t="str">
        <f>IF(Agent02_Savings!A51="","",Agent02_Savings!I51)</f>
        <v/>
      </c>
      <c r="I244" s="40" t="str">
        <f>IF(Agent02_Savings!A51="","",Agent02_Savings!J51)</f>
        <v/>
      </c>
      <c r="J244" s="40" t="str">
        <f>IF(Agent02_Savings!A51="","",Agent02_Savings!K51)</f>
        <v/>
      </c>
      <c r="K244" s="40" t="str">
        <f>IFERROR(IF(Agent02_Savings!A51="","",YEAR(Agent02_Savings!D51)),"")</f>
        <v/>
      </c>
    </row>
    <row r="245" spans="1:11" ht="18" customHeight="1" x14ac:dyDescent="0.25">
      <c r="A245" s="40" t="str">
        <f>IF(Agent02_Savings!A52="","",Agent02_Savings!A52)</f>
        <v/>
      </c>
      <c r="B245" s="40" t="str">
        <f ca="1">IF(Agent02_Savings!A52="","","SV"&amp;TEXT(245-3,"0000")&amp;"-"&amp;TEXT(TODAY(),"YYYYMMDD"))</f>
        <v/>
      </c>
      <c r="C245" s="40" t="str">
        <f>IF(Agent02_Savings!A52="","",Agent02_Savings!B52)</f>
        <v/>
      </c>
      <c r="D245" s="40" t="str">
        <f>IF(Agent02_Savings!A52="","",Agent02_Savings!G52)</f>
        <v/>
      </c>
      <c r="E245" s="41" t="str">
        <f>IF(Agent02_Savings!A52="","",Agent02_Savings!D52)</f>
        <v/>
      </c>
      <c r="F245" s="42" t="str">
        <f>IF(Agent02_Savings!A52="","",Agent02_Savings!E52)</f>
        <v/>
      </c>
      <c r="G245" s="42" t="str">
        <f>IF(Agent02_Savings!A52="","",Agent02_Savings!F52)</f>
        <v/>
      </c>
      <c r="H245" s="40" t="str">
        <f>IF(Agent02_Savings!A52="","",Agent02_Savings!I52)</f>
        <v/>
      </c>
      <c r="I245" s="40" t="str">
        <f>IF(Agent02_Savings!A52="","",Agent02_Savings!J52)</f>
        <v/>
      </c>
      <c r="J245" s="40" t="str">
        <f>IF(Agent02_Savings!A52="","",Agent02_Savings!K52)</f>
        <v/>
      </c>
      <c r="K245" s="40" t="str">
        <f>IFERROR(IF(Agent02_Savings!A52="","",YEAR(Agent02_Savings!D52)),"")</f>
        <v/>
      </c>
    </row>
    <row r="246" spans="1:11" ht="18" customHeight="1" x14ac:dyDescent="0.25">
      <c r="A246" s="40" t="str">
        <f>IF(Agent02_Savings!A53="","",Agent02_Savings!A53)</f>
        <v/>
      </c>
      <c r="B246" s="40" t="str">
        <f ca="1">IF(Agent02_Savings!A53="","","SV"&amp;TEXT(246-3,"0000")&amp;"-"&amp;TEXT(TODAY(),"YYYYMMDD"))</f>
        <v/>
      </c>
      <c r="C246" s="40" t="str">
        <f>IF(Agent02_Savings!A53="","",Agent02_Savings!B53)</f>
        <v/>
      </c>
      <c r="D246" s="40" t="str">
        <f>IF(Agent02_Savings!A53="","",Agent02_Savings!G53)</f>
        <v/>
      </c>
      <c r="E246" s="41" t="str">
        <f>IF(Agent02_Savings!A53="","",Agent02_Savings!D53)</f>
        <v/>
      </c>
      <c r="F246" s="42" t="str">
        <f>IF(Agent02_Savings!A53="","",Agent02_Savings!E53)</f>
        <v/>
      </c>
      <c r="G246" s="42" t="str">
        <f>IF(Agent02_Savings!A53="","",Agent02_Savings!F53)</f>
        <v/>
      </c>
      <c r="H246" s="40" t="str">
        <f>IF(Agent02_Savings!A53="","",Agent02_Savings!I53)</f>
        <v/>
      </c>
      <c r="I246" s="40" t="str">
        <f>IF(Agent02_Savings!A53="","",Agent02_Savings!J53)</f>
        <v/>
      </c>
      <c r="J246" s="40" t="str">
        <f>IF(Agent02_Savings!A53="","",Agent02_Savings!K53)</f>
        <v/>
      </c>
      <c r="K246" s="40" t="str">
        <f>IFERROR(IF(Agent02_Savings!A53="","",YEAR(Agent02_Savings!D53)),"")</f>
        <v/>
      </c>
    </row>
    <row r="247" spans="1:11" ht="18" customHeight="1" x14ac:dyDescent="0.25">
      <c r="A247" s="40" t="str">
        <f>IF(Agent02_Savings!A54="","",Agent02_Savings!A54)</f>
        <v/>
      </c>
      <c r="B247" s="40" t="str">
        <f ca="1">IF(Agent02_Savings!A54="","","SV"&amp;TEXT(247-3,"0000")&amp;"-"&amp;TEXT(TODAY(),"YYYYMMDD"))</f>
        <v/>
      </c>
      <c r="C247" s="40" t="str">
        <f>IF(Agent02_Savings!A54="","",Agent02_Savings!B54)</f>
        <v/>
      </c>
      <c r="D247" s="40" t="str">
        <f>IF(Agent02_Savings!A54="","",Agent02_Savings!G54)</f>
        <v/>
      </c>
      <c r="E247" s="41" t="str">
        <f>IF(Agent02_Savings!A54="","",Agent02_Savings!D54)</f>
        <v/>
      </c>
      <c r="F247" s="42" t="str">
        <f>IF(Agent02_Savings!A54="","",Agent02_Savings!E54)</f>
        <v/>
      </c>
      <c r="G247" s="42" t="str">
        <f>IF(Agent02_Savings!A54="","",Agent02_Savings!F54)</f>
        <v/>
      </c>
      <c r="H247" s="40" t="str">
        <f>IF(Agent02_Savings!A54="","",Agent02_Savings!I54)</f>
        <v/>
      </c>
      <c r="I247" s="40" t="str">
        <f>IF(Agent02_Savings!A54="","",Agent02_Savings!J54)</f>
        <v/>
      </c>
      <c r="J247" s="40" t="str">
        <f>IF(Agent02_Savings!A54="","",Agent02_Savings!K54)</f>
        <v/>
      </c>
      <c r="K247" s="40" t="str">
        <f>IFERROR(IF(Agent02_Savings!A54="","",YEAR(Agent02_Savings!D54)),"")</f>
        <v/>
      </c>
    </row>
    <row r="248" spans="1:11" ht="18" customHeight="1" x14ac:dyDescent="0.25">
      <c r="A248" s="40" t="str">
        <f>IF(Agent02_Savings!A55="","",Agent02_Savings!A55)</f>
        <v/>
      </c>
      <c r="B248" s="40" t="str">
        <f ca="1">IF(Agent02_Savings!A55="","","SV"&amp;TEXT(248-3,"0000")&amp;"-"&amp;TEXT(TODAY(),"YYYYMMDD"))</f>
        <v/>
      </c>
      <c r="C248" s="40" t="str">
        <f>IF(Agent02_Savings!A55="","",Agent02_Savings!B55)</f>
        <v/>
      </c>
      <c r="D248" s="40" t="str">
        <f>IF(Agent02_Savings!A55="","",Agent02_Savings!G55)</f>
        <v/>
      </c>
      <c r="E248" s="41" t="str">
        <f>IF(Agent02_Savings!A55="","",Agent02_Savings!D55)</f>
        <v/>
      </c>
      <c r="F248" s="42" t="str">
        <f>IF(Agent02_Savings!A55="","",Agent02_Savings!E55)</f>
        <v/>
      </c>
      <c r="G248" s="42" t="str">
        <f>IF(Agent02_Savings!A55="","",Agent02_Savings!F55)</f>
        <v/>
      </c>
      <c r="H248" s="40" t="str">
        <f>IF(Agent02_Savings!A55="","",Agent02_Savings!I55)</f>
        <v/>
      </c>
      <c r="I248" s="40" t="str">
        <f>IF(Agent02_Savings!A55="","",Agent02_Savings!J55)</f>
        <v/>
      </c>
      <c r="J248" s="40" t="str">
        <f>IF(Agent02_Savings!A55="","",Agent02_Savings!K55)</f>
        <v/>
      </c>
      <c r="K248" s="40" t="str">
        <f>IFERROR(IF(Agent02_Savings!A55="","",YEAR(Agent02_Savings!D55)),"")</f>
        <v/>
      </c>
    </row>
    <row r="249" spans="1:11" ht="18" customHeight="1" x14ac:dyDescent="0.25">
      <c r="A249" s="40" t="str">
        <f>IF(Agent02_Savings!A56="","",Agent02_Savings!A56)</f>
        <v/>
      </c>
      <c r="B249" s="40" t="str">
        <f ca="1">IF(Agent02_Savings!A56="","","SV"&amp;TEXT(249-3,"0000")&amp;"-"&amp;TEXT(TODAY(),"YYYYMMDD"))</f>
        <v/>
      </c>
      <c r="C249" s="40" t="str">
        <f>IF(Agent02_Savings!A56="","",Agent02_Savings!B56)</f>
        <v/>
      </c>
      <c r="D249" s="40" t="str">
        <f>IF(Agent02_Savings!A56="","",Agent02_Savings!G56)</f>
        <v/>
      </c>
      <c r="E249" s="41" t="str">
        <f>IF(Agent02_Savings!A56="","",Agent02_Savings!D56)</f>
        <v/>
      </c>
      <c r="F249" s="42" t="str">
        <f>IF(Agent02_Savings!A56="","",Agent02_Savings!E56)</f>
        <v/>
      </c>
      <c r="G249" s="42" t="str">
        <f>IF(Agent02_Savings!A56="","",Agent02_Savings!F56)</f>
        <v/>
      </c>
      <c r="H249" s="40" t="str">
        <f>IF(Agent02_Savings!A56="","",Agent02_Savings!I56)</f>
        <v/>
      </c>
      <c r="I249" s="40" t="str">
        <f>IF(Agent02_Savings!A56="","",Agent02_Savings!J56)</f>
        <v/>
      </c>
      <c r="J249" s="40" t="str">
        <f>IF(Agent02_Savings!A56="","",Agent02_Savings!K56)</f>
        <v/>
      </c>
      <c r="K249" s="40" t="str">
        <f>IFERROR(IF(Agent02_Savings!A56="","",YEAR(Agent02_Savings!D56)),"")</f>
        <v/>
      </c>
    </row>
    <row r="250" spans="1:11" ht="18" customHeight="1" x14ac:dyDescent="0.25">
      <c r="A250" s="40" t="str">
        <f>IF(Agent02_Savings!A57="","",Agent02_Savings!A57)</f>
        <v/>
      </c>
      <c r="B250" s="40" t="str">
        <f ca="1">IF(Agent02_Savings!A57="","","SV"&amp;TEXT(250-3,"0000")&amp;"-"&amp;TEXT(TODAY(),"YYYYMMDD"))</f>
        <v/>
      </c>
      <c r="C250" s="40" t="str">
        <f>IF(Agent02_Savings!A57="","",Agent02_Savings!B57)</f>
        <v/>
      </c>
      <c r="D250" s="40" t="str">
        <f>IF(Agent02_Savings!A57="","",Agent02_Savings!G57)</f>
        <v/>
      </c>
      <c r="E250" s="41" t="str">
        <f>IF(Agent02_Savings!A57="","",Agent02_Savings!D57)</f>
        <v/>
      </c>
      <c r="F250" s="42" t="str">
        <f>IF(Agent02_Savings!A57="","",Agent02_Savings!E57)</f>
        <v/>
      </c>
      <c r="G250" s="42" t="str">
        <f>IF(Agent02_Savings!A57="","",Agent02_Savings!F57)</f>
        <v/>
      </c>
      <c r="H250" s="40" t="str">
        <f>IF(Agent02_Savings!A57="","",Agent02_Savings!I57)</f>
        <v/>
      </c>
      <c r="I250" s="40" t="str">
        <f>IF(Agent02_Savings!A57="","",Agent02_Savings!J57)</f>
        <v/>
      </c>
      <c r="J250" s="40" t="str">
        <f>IF(Agent02_Savings!A57="","",Agent02_Savings!K57)</f>
        <v/>
      </c>
      <c r="K250" s="40" t="str">
        <f>IFERROR(IF(Agent02_Savings!A57="","",YEAR(Agent02_Savings!D57)),"")</f>
        <v/>
      </c>
    </row>
    <row r="251" spans="1:11" ht="18" customHeight="1" x14ac:dyDescent="0.25">
      <c r="A251" s="40" t="str">
        <f>IF(Agent02_Savings!A58="","",Agent02_Savings!A58)</f>
        <v/>
      </c>
      <c r="B251" s="40" t="str">
        <f ca="1">IF(Agent02_Savings!A58="","","SV"&amp;TEXT(251-3,"0000")&amp;"-"&amp;TEXT(TODAY(),"YYYYMMDD"))</f>
        <v/>
      </c>
      <c r="C251" s="40" t="str">
        <f>IF(Agent02_Savings!A58="","",Agent02_Savings!B58)</f>
        <v/>
      </c>
      <c r="D251" s="40" t="str">
        <f>IF(Agent02_Savings!A58="","",Agent02_Savings!G58)</f>
        <v/>
      </c>
      <c r="E251" s="41" t="str">
        <f>IF(Agent02_Savings!A58="","",Agent02_Savings!D58)</f>
        <v/>
      </c>
      <c r="F251" s="42" t="str">
        <f>IF(Agent02_Savings!A58="","",Agent02_Savings!E58)</f>
        <v/>
      </c>
      <c r="G251" s="42" t="str">
        <f>IF(Agent02_Savings!A58="","",Agent02_Savings!F58)</f>
        <v/>
      </c>
      <c r="H251" s="40" t="str">
        <f>IF(Agent02_Savings!A58="","",Agent02_Savings!I58)</f>
        <v/>
      </c>
      <c r="I251" s="40" t="str">
        <f>IF(Agent02_Savings!A58="","",Agent02_Savings!J58)</f>
        <v/>
      </c>
      <c r="J251" s="40" t="str">
        <f>IF(Agent02_Savings!A58="","",Agent02_Savings!K58)</f>
        <v/>
      </c>
      <c r="K251" s="40" t="str">
        <f>IFERROR(IF(Agent02_Savings!A58="","",YEAR(Agent02_Savings!D58)),"")</f>
        <v/>
      </c>
    </row>
    <row r="252" spans="1:11" ht="18" customHeight="1" x14ac:dyDescent="0.25">
      <c r="A252" s="40" t="str">
        <f>IF(Agent02_Savings!A59="","",Agent02_Savings!A59)</f>
        <v/>
      </c>
      <c r="B252" s="40" t="str">
        <f ca="1">IF(Agent02_Savings!A59="","","SV"&amp;TEXT(252-3,"0000")&amp;"-"&amp;TEXT(TODAY(),"YYYYMMDD"))</f>
        <v/>
      </c>
      <c r="C252" s="40" t="str">
        <f>IF(Agent02_Savings!A59="","",Agent02_Savings!B59)</f>
        <v/>
      </c>
      <c r="D252" s="40" t="str">
        <f>IF(Agent02_Savings!A59="","",Agent02_Savings!G59)</f>
        <v/>
      </c>
      <c r="E252" s="41" t="str">
        <f>IF(Agent02_Savings!A59="","",Agent02_Savings!D59)</f>
        <v/>
      </c>
      <c r="F252" s="42" t="str">
        <f>IF(Agent02_Savings!A59="","",Agent02_Savings!E59)</f>
        <v/>
      </c>
      <c r="G252" s="42" t="str">
        <f>IF(Agent02_Savings!A59="","",Agent02_Savings!F59)</f>
        <v/>
      </c>
      <c r="H252" s="40" t="str">
        <f>IF(Agent02_Savings!A59="","",Agent02_Savings!I59)</f>
        <v/>
      </c>
      <c r="I252" s="40" t="str">
        <f>IF(Agent02_Savings!A59="","",Agent02_Savings!J59)</f>
        <v/>
      </c>
      <c r="J252" s="40" t="str">
        <f>IF(Agent02_Savings!A59="","",Agent02_Savings!K59)</f>
        <v/>
      </c>
      <c r="K252" s="40" t="str">
        <f>IFERROR(IF(Agent02_Savings!A59="","",YEAR(Agent02_Savings!D59)),"")</f>
        <v/>
      </c>
    </row>
    <row r="253" spans="1:11" ht="18" customHeight="1" x14ac:dyDescent="0.25">
      <c r="A253" s="40" t="str">
        <f>IF(Agent02_Savings!A60="","",Agent02_Savings!A60)</f>
        <v/>
      </c>
      <c r="B253" s="40" t="str">
        <f ca="1">IF(Agent02_Savings!A60="","","SV"&amp;TEXT(253-3,"0000")&amp;"-"&amp;TEXT(TODAY(),"YYYYMMDD"))</f>
        <v/>
      </c>
      <c r="C253" s="40" t="str">
        <f>IF(Agent02_Savings!A60="","",Agent02_Savings!B60)</f>
        <v/>
      </c>
      <c r="D253" s="40" t="str">
        <f>IF(Agent02_Savings!A60="","",Agent02_Savings!G60)</f>
        <v/>
      </c>
      <c r="E253" s="41" t="str">
        <f>IF(Agent02_Savings!A60="","",Agent02_Savings!D60)</f>
        <v/>
      </c>
      <c r="F253" s="42" t="str">
        <f>IF(Agent02_Savings!A60="","",Agent02_Savings!E60)</f>
        <v/>
      </c>
      <c r="G253" s="42" t="str">
        <f>IF(Agent02_Savings!A60="","",Agent02_Savings!F60)</f>
        <v/>
      </c>
      <c r="H253" s="40" t="str">
        <f>IF(Agent02_Savings!A60="","",Agent02_Savings!I60)</f>
        <v/>
      </c>
      <c r="I253" s="40" t="str">
        <f>IF(Agent02_Savings!A60="","",Agent02_Savings!J60)</f>
        <v/>
      </c>
      <c r="J253" s="40" t="str">
        <f>IF(Agent02_Savings!A60="","",Agent02_Savings!K60)</f>
        <v/>
      </c>
      <c r="K253" s="40" t="str">
        <f>IFERROR(IF(Agent02_Savings!A60="","",YEAR(Agent02_Savings!D60)),"")</f>
        <v/>
      </c>
    </row>
    <row r="254" spans="1:11" ht="18" customHeight="1" x14ac:dyDescent="0.25">
      <c r="A254" s="40" t="str">
        <f>IF(Agent02_Savings!A61="","",Agent02_Savings!A61)</f>
        <v/>
      </c>
      <c r="B254" s="40" t="str">
        <f ca="1">IF(Agent02_Savings!A61="","","SV"&amp;TEXT(254-3,"0000")&amp;"-"&amp;TEXT(TODAY(),"YYYYMMDD"))</f>
        <v/>
      </c>
      <c r="C254" s="40" t="str">
        <f>IF(Agent02_Savings!A61="","",Agent02_Savings!B61)</f>
        <v/>
      </c>
      <c r="D254" s="40" t="str">
        <f>IF(Agent02_Savings!A61="","",Agent02_Savings!G61)</f>
        <v/>
      </c>
      <c r="E254" s="41" t="str">
        <f>IF(Agent02_Savings!A61="","",Agent02_Savings!D61)</f>
        <v/>
      </c>
      <c r="F254" s="42" t="str">
        <f>IF(Agent02_Savings!A61="","",Agent02_Savings!E61)</f>
        <v/>
      </c>
      <c r="G254" s="42" t="str">
        <f>IF(Agent02_Savings!A61="","",Agent02_Savings!F61)</f>
        <v/>
      </c>
      <c r="H254" s="40" t="str">
        <f>IF(Agent02_Savings!A61="","",Agent02_Savings!I61)</f>
        <v/>
      </c>
      <c r="I254" s="40" t="str">
        <f>IF(Agent02_Savings!A61="","",Agent02_Savings!J61)</f>
        <v/>
      </c>
      <c r="J254" s="40" t="str">
        <f>IF(Agent02_Savings!A61="","",Agent02_Savings!K61)</f>
        <v/>
      </c>
      <c r="K254" s="40" t="str">
        <f>IFERROR(IF(Agent02_Savings!A61="","",YEAR(Agent02_Savings!D61)),"")</f>
        <v/>
      </c>
    </row>
    <row r="255" spans="1:11" ht="18" customHeight="1" x14ac:dyDescent="0.25">
      <c r="A255" s="40" t="str">
        <f>IF(Agent02_Savings!A62="","",Agent02_Savings!A62)</f>
        <v/>
      </c>
      <c r="B255" s="40" t="str">
        <f ca="1">IF(Agent02_Savings!A62="","","SV"&amp;TEXT(255-3,"0000")&amp;"-"&amp;TEXT(TODAY(),"YYYYMMDD"))</f>
        <v/>
      </c>
      <c r="C255" s="40" t="str">
        <f>IF(Agent02_Savings!A62="","",Agent02_Savings!B62)</f>
        <v/>
      </c>
      <c r="D255" s="40" t="str">
        <f>IF(Agent02_Savings!A62="","",Agent02_Savings!G62)</f>
        <v/>
      </c>
      <c r="E255" s="41" t="str">
        <f>IF(Agent02_Savings!A62="","",Agent02_Savings!D62)</f>
        <v/>
      </c>
      <c r="F255" s="42" t="str">
        <f>IF(Agent02_Savings!A62="","",Agent02_Savings!E62)</f>
        <v/>
      </c>
      <c r="G255" s="42" t="str">
        <f>IF(Agent02_Savings!A62="","",Agent02_Savings!F62)</f>
        <v/>
      </c>
      <c r="H255" s="40" t="str">
        <f>IF(Agent02_Savings!A62="","",Agent02_Savings!I62)</f>
        <v/>
      </c>
      <c r="I255" s="40" t="str">
        <f>IF(Agent02_Savings!A62="","",Agent02_Savings!J62)</f>
        <v/>
      </c>
      <c r="J255" s="40" t="str">
        <f>IF(Agent02_Savings!A62="","",Agent02_Savings!K62)</f>
        <v/>
      </c>
      <c r="K255" s="40" t="str">
        <f>IFERROR(IF(Agent02_Savings!A62="","",YEAR(Agent02_Savings!D62)),"")</f>
        <v/>
      </c>
    </row>
    <row r="256" spans="1:11" ht="18" customHeight="1" x14ac:dyDescent="0.25">
      <c r="A256" s="40" t="str">
        <f>IF(Agent02_Savings!A63="","",Agent02_Savings!A63)</f>
        <v/>
      </c>
      <c r="B256" s="40" t="str">
        <f ca="1">IF(Agent02_Savings!A63="","","SV"&amp;TEXT(256-3,"0000")&amp;"-"&amp;TEXT(TODAY(),"YYYYMMDD"))</f>
        <v/>
      </c>
      <c r="C256" s="40" t="str">
        <f>IF(Agent02_Savings!A63="","",Agent02_Savings!B63)</f>
        <v/>
      </c>
      <c r="D256" s="40" t="str">
        <f>IF(Agent02_Savings!A63="","",Agent02_Savings!G63)</f>
        <v/>
      </c>
      <c r="E256" s="41" t="str">
        <f>IF(Agent02_Savings!A63="","",Agent02_Savings!D63)</f>
        <v/>
      </c>
      <c r="F256" s="42" t="str">
        <f>IF(Agent02_Savings!A63="","",Agent02_Savings!E63)</f>
        <v/>
      </c>
      <c r="G256" s="42" t="str">
        <f>IF(Agent02_Savings!A63="","",Agent02_Savings!F63)</f>
        <v/>
      </c>
      <c r="H256" s="40" t="str">
        <f>IF(Agent02_Savings!A63="","",Agent02_Savings!I63)</f>
        <v/>
      </c>
      <c r="I256" s="40" t="str">
        <f>IF(Agent02_Savings!A63="","",Agent02_Savings!J63)</f>
        <v/>
      </c>
      <c r="J256" s="40" t="str">
        <f>IF(Agent02_Savings!A63="","",Agent02_Savings!K63)</f>
        <v/>
      </c>
      <c r="K256" s="40" t="str">
        <f>IFERROR(IF(Agent02_Savings!A63="","",YEAR(Agent02_Savings!D63)),"")</f>
        <v/>
      </c>
    </row>
    <row r="257" spans="1:11" ht="18" customHeight="1" x14ac:dyDescent="0.25">
      <c r="A257" s="40" t="str">
        <f>IF(Agent02_Savings!A64="","",Agent02_Savings!A64)</f>
        <v/>
      </c>
      <c r="B257" s="40" t="str">
        <f ca="1">IF(Agent02_Savings!A64="","","SV"&amp;TEXT(257-3,"0000")&amp;"-"&amp;TEXT(TODAY(),"YYYYMMDD"))</f>
        <v/>
      </c>
      <c r="C257" s="40" t="str">
        <f>IF(Agent02_Savings!A64="","",Agent02_Savings!B64)</f>
        <v/>
      </c>
      <c r="D257" s="40" t="str">
        <f>IF(Agent02_Savings!A64="","",Agent02_Savings!G64)</f>
        <v/>
      </c>
      <c r="E257" s="41" t="str">
        <f>IF(Agent02_Savings!A64="","",Agent02_Savings!D64)</f>
        <v/>
      </c>
      <c r="F257" s="42" t="str">
        <f>IF(Agent02_Savings!A64="","",Agent02_Savings!E64)</f>
        <v/>
      </c>
      <c r="G257" s="42" t="str">
        <f>IF(Agent02_Savings!A64="","",Agent02_Savings!F64)</f>
        <v/>
      </c>
      <c r="H257" s="40" t="str">
        <f>IF(Agent02_Savings!A64="","",Agent02_Savings!I64)</f>
        <v/>
      </c>
      <c r="I257" s="40" t="str">
        <f>IF(Agent02_Savings!A64="","",Agent02_Savings!J64)</f>
        <v/>
      </c>
      <c r="J257" s="40" t="str">
        <f>IF(Agent02_Savings!A64="","",Agent02_Savings!K64)</f>
        <v/>
      </c>
      <c r="K257" s="40" t="str">
        <f>IFERROR(IF(Agent02_Savings!A64="","",YEAR(Agent02_Savings!D64)),"")</f>
        <v/>
      </c>
    </row>
    <row r="258" spans="1:11" ht="18" customHeight="1" x14ac:dyDescent="0.25">
      <c r="A258" s="40" t="str">
        <f>IF(Agent02_Savings!A65="","",Agent02_Savings!A65)</f>
        <v/>
      </c>
      <c r="B258" s="40" t="str">
        <f ca="1">IF(Agent02_Savings!A65="","","SV"&amp;TEXT(258-3,"0000")&amp;"-"&amp;TEXT(TODAY(),"YYYYMMDD"))</f>
        <v/>
      </c>
      <c r="C258" s="40" t="str">
        <f>IF(Agent02_Savings!A65="","",Agent02_Savings!B65)</f>
        <v/>
      </c>
      <c r="D258" s="40" t="str">
        <f>IF(Agent02_Savings!A65="","",Agent02_Savings!G65)</f>
        <v/>
      </c>
      <c r="E258" s="41" t="str">
        <f>IF(Agent02_Savings!A65="","",Agent02_Savings!D65)</f>
        <v/>
      </c>
      <c r="F258" s="42" t="str">
        <f>IF(Agent02_Savings!A65="","",Agent02_Savings!E65)</f>
        <v/>
      </c>
      <c r="G258" s="42" t="str">
        <f>IF(Agent02_Savings!A65="","",Agent02_Savings!F65)</f>
        <v/>
      </c>
      <c r="H258" s="40" t="str">
        <f>IF(Agent02_Savings!A65="","",Agent02_Savings!I65)</f>
        <v/>
      </c>
      <c r="I258" s="40" t="str">
        <f>IF(Agent02_Savings!A65="","",Agent02_Savings!J65)</f>
        <v/>
      </c>
      <c r="J258" s="40" t="str">
        <f>IF(Agent02_Savings!A65="","",Agent02_Savings!K65)</f>
        <v/>
      </c>
      <c r="K258" s="40" t="str">
        <f>IFERROR(IF(Agent02_Savings!A65="","",YEAR(Agent02_Savings!D65)),"")</f>
        <v/>
      </c>
    </row>
    <row r="259" spans="1:11" ht="18" customHeight="1" x14ac:dyDescent="0.25">
      <c r="A259" s="40" t="str">
        <f>IF(Agent02_Savings!A66="","",Agent02_Savings!A66)</f>
        <v/>
      </c>
      <c r="B259" s="40" t="str">
        <f ca="1">IF(Agent02_Savings!A66="","","SV"&amp;TEXT(259-3,"0000")&amp;"-"&amp;TEXT(TODAY(),"YYYYMMDD"))</f>
        <v/>
      </c>
      <c r="C259" s="40" t="str">
        <f>IF(Agent02_Savings!A66="","",Agent02_Savings!B66)</f>
        <v/>
      </c>
      <c r="D259" s="40" t="str">
        <f>IF(Agent02_Savings!A66="","",Agent02_Savings!G66)</f>
        <v/>
      </c>
      <c r="E259" s="41" t="str">
        <f>IF(Agent02_Savings!A66="","",Agent02_Savings!D66)</f>
        <v/>
      </c>
      <c r="F259" s="42" t="str">
        <f>IF(Agent02_Savings!A66="","",Agent02_Savings!E66)</f>
        <v/>
      </c>
      <c r="G259" s="42" t="str">
        <f>IF(Agent02_Savings!A66="","",Agent02_Savings!F66)</f>
        <v/>
      </c>
      <c r="H259" s="40" t="str">
        <f>IF(Agent02_Savings!A66="","",Agent02_Savings!I66)</f>
        <v/>
      </c>
      <c r="I259" s="40" t="str">
        <f>IF(Agent02_Savings!A66="","",Agent02_Savings!J66)</f>
        <v/>
      </c>
      <c r="J259" s="40" t="str">
        <f>IF(Agent02_Savings!A66="","",Agent02_Savings!K66)</f>
        <v/>
      </c>
      <c r="K259" s="40" t="str">
        <f>IFERROR(IF(Agent02_Savings!A66="","",YEAR(Agent02_Savings!D66)),"")</f>
        <v/>
      </c>
    </row>
    <row r="260" spans="1:11" ht="18" customHeight="1" x14ac:dyDescent="0.25">
      <c r="A260" s="40" t="str">
        <f>IF(Agent02_Savings!A67="","",Agent02_Savings!A67)</f>
        <v/>
      </c>
      <c r="B260" s="40" t="str">
        <f ca="1">IF(Agent02_Savings!A67="","","SV"&amp;TEXT(260-3,"0000")&amp;"-"&amp;TEXT(TODAY(),"YYYYMMDD"))</f>
        <v/>
      </c>
      <c r="C260" s="40" t="str">
        <f>IF(Agent02_Savings!A67="","",Agent02_Savings!B67)</f>
        <v/>
      </c>
      <c r="D260" s="40" t="str">
        <f>IF(Agent02_Savings!A67="","",Agent02_Savings!G67)</f>
        <v/>
      </c>
      <c r="E260" s="41" t="str">
        <f>IF(Agent02_Savings!A67="","",Agent02_Savings!D67)</f>
        <v/>
      </c>
      <c r="F260" s="42" t="str">
        <f>IF(Agent02_Savings!A67="","",Agent02_Savings!E67)</f>
        <v/>
      </c>
      <c r="G260" s="42" t="str">
        <f>IF(Agent02_Savings!A67="","",Agent02_Savings!F67)</f>
        <v/>
      </c>
      <c r="H260" s="40" t="str">
        <f>IF(Agent02_Savings!A67="","",Agent02_Savings!I67)</f>
        <v/>
      </c>
      <c r="I260" s="40" t="str">
        <f>IF(Agent02_Savings!A67="","",Agent02_Savings!J67)</f>
        <v/>
      </c>
      <c r="J260" s="40" t="str">
        <f>IF(Agent02_Savings!A67="","",Agent02_Savings!K67)</f>
        <v/>
      </c>
      <c r="K260" s="40" t="str">
        <f>IFERROR(IF(Agent02_Savings!A67="","",YEAR(Agent02_Savings!D67)),"")</f>
        <v/>
      </c>
    </row>
    <row r="261" spans="1:11" ht="18" customHeight="1" x14ac:dyDescent="0.25">
      <c r="A261" s="40" t="str">
        <f>IF(Agent02_Savings!A68="","",Agent02_Savings!A68)</f>
        <v/>
      </c>
      <c r="B261" s="40" t="str">
        <f ca="1">IF(Agent02_Savings!A68="","","SV"&amp;TEXT(261-3,"0000")&amp;"-"&amp;TEXT(TODAY(),"YYYYMMDD"))</f>
        <v/>
      </c>
      <c r="C261" s="40" t="str">
        <f>IF(Agent02_Savings!A68="","",Agent02_Savings!B68)</f>
        <v/>
      </c>
      <c r="D261" s="40" t="str">
        <f>IF(Agent02_Savings!A68="","",Agent02_Savings!G68)</f>
        <v/>
      </c>
      <c r="E261" s="41" t="str">
        <f>IF(Agent02_Savings!A68="","",Agent02_Savings!D68)</f>
        <v/>
      </c>
      <c r="F261" s="42" t="str">
        <f>IF(Agent02_Savings!A68="","",Agent02_Savings!E68)</f>
        <v/>
      </c>
      <c r="G261" s="42" t="str">
        <f>IF(Agent02_Savings!A68="","",Agent02_Savings!F68)</f>
        <v/>
      </c>
      <c r="H261" s="40" t="str">
        <f>IF(Agent02_Savings!A68="","",Agent02_Savings!I68)</f>
        <v/>
      </c>
      <c r="I261" s="40" t="str">
        <f>IF(Agent02_Savings!A68="","",Agent02_Savings!J68)</f>
        <v/>
      </c>
      <c r="J261" s="40" t="str">
        <f>IF(Agent02_Savings!A68="","",Agent02_Savings!K68)</f>
        <v/>
      </c>
      <c r="K261" s="40" t="str">
        <f>IFERROR(IF(Agent02_Savings!A68="","",YEAR(Agent02_Savings!D68)),"")</f>
        <v/>
      </c>
    </row>
    <row r="262" spans="1:11" ht="18" customHeight="1" x14ac:dyDescent="0.25">
      <c r="A262" s="40" t="str">
        <f>IF(Agent02_Savings!A69="","",Agent02_Savings!A69)</f>
        <v/>
      </c>
      <c r="B262" s="40" t="str">
        <f ca="1">IF(Agent02_Savings!A69="","","SV"&amp;TEXT(262-3,"0000")&amp;"-"&amp;TEXT(TODAY(),"YYYYMMDD"))</f>
        <v/>
      </c>
      <c r="C262" s="40" t="str">
        <f>IF(Agent02_Savings!A69="","",Agent02_Savings!B69)</f>
        <v/>
      </c>
      <c r="D262" s="40" t="str">
        <f>IF(Agent02_Savings!A69="","",Agent02_Savings!G69)</f>
        <v/>
      </c>
      <c r="E262" s="41" t="str">
        <f>IF(Agent02_Savings!A69="","",Agent02_Savings!D69)</f>
        <v/>
      </c>
      <c r="F262" s="42" t="str">
        <f>IF(Agent02_Savings!A69="","",Agent02_Savings!E69)</f>
        <v/>
      </c>
      <c r="G262" s="42" t="str">
        <f>IF(Agent02_Savings!A69="","",Agent02_Savings!F69)</f>
        <v/>
      </c>
      <c r="H262" s="40" t="str">
        <f>IF(Agent02_Savings!A69="","",Agent02_Savings!I69)</f>
        <v/>
      </c>
      <c r="I262" s="40" t="str">
        <f>IF(Agent02_Savings!A69="","",Agent02_Savings!J69)</f>
        <v/>
      </c>
      <c r="J262" s="40" t="str">
        <f>IF(Agent02_Savings!A69="","",Agent02_Savings!K69)</f>
        <v/>
      </c>
      <c r="K262" s="40" t="str">
        <f>IFERROR(IF(Agent02_Savings!A69="","",YEAR(Agent02_Savings!D69)),"")</f>
        <v/>
      </c>
    </row>
    <row r="263" spans="1:11" ht="18" customHeight="1" x14ac:dyDescent="0.25">
      <c r="A263" s="40" t="str">
        <f>IF(Agent02_Savings!A70="","",Agent02_Savings!A70)</f>
        <v/>
      </c>
      <c r="B263" s="40" t="str">
        <f ca="1">IF(Agent02_Savings!A70="","","SV"&amp;TEXT(263-3,"0000")&amp;"-"&amp;TEXT(TODAY(),"YYYYMMDD"))</f>
        <v/>
      </c>
      <c r="C263" s="40" t="str">
        <f>IF(Agent02_Savings!A70="","",Agent02_Savings!B70)</f>
        <v/>
      </c>
      <c r="D263" s="40" t="str">
        <f>IF(Agent02_Savings!A70="","",Agent02_Savings!G70)</f>
        <v/>
      </c>
      <c r="E263" s="41" t="str">
        <f>IF(Agent02_Savings!A70="","",Agent02_Savings!D70)</f>
        <v/>
      </c>
      <c r="F263" s="42" t="str">
        <f>IF(Agent02_Savings!A70="","",Agent02_Savings!E70)</f>
        <v/>
      </c>
      <c r="G263" s="42" t="str">
        <f>IF(Agent02_Savings!A70="","",Agent02_Savings!F70)</f>
        <v/>
      </c>
      <c r="H263" s="40" t="str">
        <f>IF(Agent02_Savings!A70="","",Agent02_Savings!I70)</f>
        <v/>
      </c>
      <c r="I263" s="40" t="str">
        <f>IF(Agent02_Savings!A70="","",Agent02_Savings!J70)</f>
        <v/>
      </c>
      <c r="J263" s="40" t="str">
        <f>IF(Agent02_Savings!A70="","",Agent02_Savings!K70)</f>
        <v/>
      </c>
      <c r="K263" s="40" t="str">
        <f>IFERROR(IF(Agent02_Savings!A70="","",YEAR(Agent02_Savings!D70)),"")</f>
        <v/>
      </c>
    </row>
    <row r="264" spans="1:11" ht="18" customHeight="1" x14ac:dyDescent="0.25">
      <c r="A264" s="40" t="str">
        <f>IF(Agent02_Savings!A71="","",Agent02_Savings!A71)</f>
        <v/>
      </c>
      <c r="B264" s="40" t="str">
        <f ca="1">IF(Agent02_Savings!A71="","","SV"&amp;TEXT(264-3,"0000")&amp;"-"&amp;TEXT(TODAY(),"YYYYMMDD"))</f>
        <v/>
      </c>
      <c r="C264" s="40" t="str">
        <f>IF(Agent02_Savings!A71="","",Agent02_Savings!B71)</f>
        <v/>
      </c>
      <c r="D264" s="40" t="str">
        <f>IF(Agent02_Savings!A71="","",Agent02_Savings!G71)</f>
        <v/>
      </c>
      <c r="E264" s="41" t="str">
        <f>IF(Agent02_Savings!A71="","",Agent02_Savings!D71)</f>
        <v/>
      </c>
      <c r="F264" s="42" t="str">
        <f>IF(Agent02_Savings!A71="","",Agent02_Savings!E71)</f>
        <v/>
      </c>
      <c r="G264" s="42" t="str">
        <f>IF(Agent02_Savings!A71="","",Agent02_Savings!F71)</f>
        <v/>
      </c>
      <c r="H264" s="40" t="str">
        <f>IF(Agent02_Savings!A71="","",Agent02_Savings!I71)</f>
        <v/>
      </c>
      <c r="I264" s="40" t="str">
        <f>IF(Agent02_Savings!A71="","",Agent02_Savings!J71)</f>
        <v/>
      </c>
      <c r="J264" s="40" t="str">
        <f>IF(Agent02_Savings!A71="","",Agent02_Savings!K71)</f>
        <v/>
      </c>
      <c r="K264" s="40" t="str">
        <f>IFERROR(IF(Agent02_Savings!A71="","",YEAR(Agent02_Savings!D71)),"")</f>
        <v/>
      </c>
    </row>
    <row r="265" spans="1:11" ht="18" customHeight="1" x14ac:dyDescent="0.25">
      <c r="A265" s="40" t="str">
        <f>IF(Agent02_Savings!A72="","",Agent02_Savings!A72)</f>
        <v/>
      </c>
      <c r="B265" s="40" t="str">
        <f ca="1">IF(Agent02_Savings!A72="","","SV"&amp;TEXT(265-3,"0000")&amp;"-"&amp;TEXT(TODAY(),"YYYYMMDD"))</f>
        <v/>
      </c>
      <c r="C265" s="40" t="str">
        <f>IF(Agent02_Savings!A72="","",Agent02_Savings!B72)</f>
        <v/>
      </c>
      <c r="D265" s="40" t="str">
        <f>IF(Agent02_Savings!A72="","",Agent02_Savings!G72)</f>
        <v/>
      </c>
      <c r="E265" s="41" t="str">
        <f>IF(Agent02_Savings!A72="","",Agent02_Savings!D72)</f>
        <v/>
      </c>
      <c r="F265" s="42" t="str">
        <f>IF(Agent02_Savings!A72="","",Agent02_Savings!E72)</f>
        <v/>
      </c>
      <c r="G265" s="42" t="str">
        <f>IF(Agent02_Savings!A72="","",Agent02_Savings!F72)</f>
        <v/>
      </c>
      <c r="H265" s="40" t="str">
        <f>IF(Agent02_Savings!A72="","",Agent02_Savings!I72)</f>
        <v/>
      </c>
      <c r="I265" s="40" t="str">
        <f>IF(Agent02_Savings!A72="","",Agent02_Savings!J72)</f>
        <v/>
      </c>
      <c r="J265" s="40" t="str">
        <f>IF(Agent02_Savings!A72="","",Agent02_Savings!K72)</f>
        <v/>
      </c>
      <c r="K265" s="40" t="str">
        <f>IFERROR(IF(Agent02_Savings!A72="","",YEAR(Agent02_Savings!D72)),"")</f>
        <v/>
      </c>
    </row>
    <row r="266" spans="1:11" ht="18" customHeight="1" x14ac:dyDescent="0.25">
      <c r="A266" s="40" t="str">
        <f>IF(Agent02_Savings!A73="","",Agent02_Savings!A73)</f>
        <v/>
      </c>
      <c r="B266" s="40" t="str">
        <f ca="1">IF(Agent02_Savings!A73="","","SV"&amp;TEXT(266-3,"0000")&amp;"-"&amp;TEXT(TODAY(),"YYYYMMDD"))</f>
        <v/>
      </c>
      <c r="C266" s="40" t="str">
        <f>IF(Agent02_Savings!A73="","",Agent02_Savings!B73)</f>
        <v/>
      </c>
      <c r="D266" s="40" t="str">
        <f>IF(Agent02_Savings!A73="","",Agent02_Savings!G73)</f>
        <v/>
      </c>
      <c r="E266" s="41" t="str">
        <f>IF(Agent02_Savings!A73="","",Agent02_Savings!D73)</f>
        <v/>
      </c>
      <c r="F266" s="42" t="str">
        <f>IF(Agent02_Savings!A73="","",Agent02_Savings!E73)</f>
        <v/>
      </c>
      <c r="G266" s="42" t="str">
        <f>IF(Agent02_Savings!A73="","",Agent02_Savings!F73)</f>
        <v/>
      </c>
      <c r="H266" s="40" t="str">
        <f>IF(Agent02_Savings!A73="","",Agent02_Savings!I73)</f>
        <v/>
      </c>
      <c r="I266" s="40" t="str">
        <f>IF(Agent02_Savings!A73="","",Agent02_Savings!J73)</f>
        <v/>
      </c>
      <c r="J266" s="40" t="str">
        <f>IF(Agent02_Savings!A73="","",Agent02_Savings!K73)</f>
        <v/>
      </c>
      <c r="K266" s="40" t="str">
        <f>IFERROR(IF(Agent02_Savings!A73="","",YEAR(Agent02_Savings!D73)),"")</f>
        <v/>
      </c>
    </row>
    <row r="267" spans="1:11" ht="18" customHeight="1" x14ac:dyDescent="0.25">
      <c r="A267" s="40" t="str">
        <f>IF(Agent02_Savings!A74="","",Agent02_Savings!A74)</f>
        <v/>
      </c>
      <c r="B267" s="40" t="str">
        <f ca="1">IF(Agent02_Savings!A74="","","SV"&amp;TEXT(267-3,"0000")&amp;"-"&amp;TEXT(TODAY(),"YYYYMMDD"))</f>
        <v/>
      </c>
      <c r="C267" s="40" t="str">
        <f>IF(Agent02_Savings!A74="","",Agent02_Savings!B74)</f>
        <v/>
      </c>
      <c r="D267" s="40" t="str">
        <f>IF(Agent02_Savings!A74="","",Agent02_Savings!G74)</f>
        <v/>
      </c>
      <c r="E267" s="41" t="str">
        <f>IF(Agent02_Savings!A74="","",Agent02_Savings!D74)</f>
        <v/>
      </c>
      <c r="F267" s="42" t="str">
        <f>IF(Agent02_Savings!A74="","",Agent02_Savings!E74)</f>
        <v/>
      </c>
      <c r="G267" s="42" t="str">
        <f>IF(Agent02_Savings!A74="","",Agent02_Savings!F74)</f>
        <v/>
      </c>
      <c r="H267" s="40" t="str">
        <f>IF(Agent02_Savings!A74="","",Agent02_Savings!I74)</f>
        <v/>
      </c>
      <c r="I267" s="40" t="str">
        <f>IF(Agent02_Savings!A74="","",Agent02_Savings!J74)</f>
        <v/>
      </c>
      <c r="J267" s="40" t="str">
        <f>IF(Agent02_Savings!A74="","",Agent02_Savings!K74)</f>
        <v/>
      </c>
      <c r="K267" s="40" t="str">
        <f>IFERROR(IF(Agent02_Savings!A74="","",YEAR(Agent02_Savings!D74)),"")</f>
        <v/>
      </c>
    </row>
    <row r="268" spans="1:11" ht="18" customHeight="1" x14ac:dyDescent="0.25">
      <c r="A268" s="40" t="str">
        <f>IF(Agent02_Savings!A75="","",Agent02_Savings!A75)</f>
        <v/>
      </c>
      <c r="B268" s="40" t="str">
        <f ca="1">IF(Agent02_Savings!A75="","","SV"&amp;TEXT(268-3,"0000")&amp;"-"&amp;TEXT(TODAY(),"YYYYMMDD"))</f>
        <v/>
      </c>
      <c r="C268" s="40" t="str">
        <f>IF(Agent02_Savings!A75="","",Agent02_Savings!B75)</f>
        <v/>
      </c>
      <c r="D268" s="40" t="str">
        <f>IF(Agent02_Savings!A75="","",Agent02_Savings!G75)</f>
        <v/>
      </c>
      <c r="E268" s="41" t="str">
        <f>IF(Agent02_Savings!A75="","",Agent02_Savings!D75)</f>
        <v/>
      </c>
      <c r="F268" s="42" t="str">
        <f>IF(Agent02_Savings!A75="","",Agent02_Savings!E75)</f>
        <v/>
      </c>
      <c r="G268" s="42" t="str">
        <f>IF(Agent02_Savings!A75="","",Agent02_Savings!F75)</f>
        <v/>
      </c>
      <c r="H268" s="40" t="str">
        <f>IF(Agent02_Savings!A75="","",Agent02_Savings!I75)</f>
        <v/>
      </c>
      <c r="I268" s="40" t="str">
        <f>IF(Agent02_Savings!A75="","",Agent02_Savings!J75)</f>
        <v/>
      </c>
      <c r="J268" s="40" t="str">
        <f>IF(Agent02_Savings!A75="","",Agent02_Savings!K75)</f>
        <v/>
      </c>
      <c r="K268" s="40" t="str">
        <f>IFERROR(IF(Agent02_Savings!A75="","",YEAR(Agent02_Savings!D75)),"")</f>
        <v/>
      </c>
    </row>
    <row r="269" spans="1:11" ht="18" customHeight="1" x14ac:dyDescent="0.25">
      <c r="A269" s="40" t="str">
        <f>IF(Agent02_Savings!A76="","",Agent02_Savings!A76)</f>
        <v/>
      </c>
      <c r="B269" s="40" t="str">
        <f ca="1">IF(Agent02_Savings!A76="","","SV"&amp;TEXT(269-3,"0000")&amp;"-"&amp;TEXT(TODAY(),"YYYYMMDD"))</f>
        <v/>
      </c>
      <c r="C269" s="40" t="str">
        <f>IF(Agent02_Savings!A76="","",Agent02_Savings!B76)</f>
        <v/>
      </c>
      <c r="D269" s="40" t="str">
        <f>IF(Agent02_Savings!A76="","",Agent02_Savings!G76)</f>
        <v/>
      </c>
      <c r="E269" s="41" t="str">
        <f>IF(Agent02_Savings!A76="","",Agent02_Savings!D76)</f>
        <v/>
      </c>
      <c r="F269" s="42" t="str">
        <f>IF(Agent02_Savings!A76="","",Agent02_Savings!E76)</f>
        <v/>
      </c>
      <c r="G269" s="42" t="str">
        <f>IF(Agent02_Savings!A76="","",Agent02_Savings!F76)</f>
        <v/>
      </c>
      <c r="H269" s="40" t="str">
        <f>IF(Agent02_Savings!A76="","",Agent02_Savings!I76)</f>
        <v/>
      </c>
      <c r="I269" s="40" t="str">
        <f>IF(Agent02_Savings!A76="","",Agent02_Savings!J76)</f>
        <v/>
      </c>
      <c r="J269" s="40" t="str">
        <f>IF(Agent02_Savings!A76="","",Agent02_Savings!K76)</f>
        <v/>
      </c>
      <c r="K269" s="40" t="str">
        <f>IFERROR(IF(Agent02_Savings!A76="","",YEAR(Agent02_Savings!D76)),"")</f>
        <v/>
      </c>
    </row>
    <row r="270" spans="1:11" ht="18" customHeight="1" x14ac:dyDescent="0.25">
      <c r="A270" s="40" t="str">
        <f>IF(Agent02_Savings!A77="","",Agent02_Savings!A77)</f>
        <v/>
      </c>
      <c r="B270" s="40" t="str">
        <f ca="1">IF(Agent02_Savings!A77="","","SV"&amp;TEXT(270-3,"0000")&amp;"-"&amp;TEXT(TODAY(),"YYYYMMDD"))</f>
        <v/>
      </c>
      <c r="C270" s="40" t="str">
        <f>IF(Agent02_Savings!A77="","",Agent02_Savings!B77)</f>
        <v/>
      </c>
      <c r="D270" s="40" t="str">
        <f>IF(Agent02_Savings!A77="","",Agent02_Savings!G77)</f>
        <v/>
      </c>
      <c r="E270" s="41" t="str">
        <f>IF(Agent02_Savings!A77="","",Agent02_Savings!D77)</f>
        <v/>
      </c>
      <c r="F270" s="42" t="str">
        <f>IF(Agent02_Savings!A77="","",Agent02_Savings!E77)</f>
        <v/>
      </c>
      <c r="G270" s="42" t="str">
        <f>IF(Agent02_Savings!A77="","",Agent02_Savings!F77)</f>
        <v/>
      </c>
      <c r="H270" s="40" t="str">
        <f>IF(Agent02_Savings!A77="","",Agent02_Savings!I77)</f>
        <v/>
      </c>
      <c r="I270" s="40" t="str">
        <f>IF(Agent02_Savings!A77="","",Agent02_Savings!J77)</f>
        <v/>
      </c>
      <c r="J270" s="40" t="str">
        <f>IF(Agent02_Savings!A77="","",Agent02_Savings!K77)</f>
        <v/>
      </c>
      <c r="K270" s="40" t="str">
        <f>IFERROR(IF(Agent02_Savings!A77="","",YEAR(Agent02_Savings!D77)),"")</f>
        <v/>
      </c>
    </row>
    <row r="271" spans="1:11" ht="18" customHeight="1" x14ac:dyDescent="0.25">
      <c r="A271" s="40" t="str">
        <f>IF(Agent02_Savings!A78="","",Agent02_Savings!A78)</f>
        <v/>
      </c>
      <c r="B271" s="40" t="str">
        <f ca="1">IF(Agent02_Savings!A78="","","SV"&amp;TEXT(271-3,"0000")&amp;"-"&amp;TEXT(TODAY(),"YYYYMMDD"))</f>
        <v/>
      </c>
      <c r="C271" s="40" t="str">
        <f>IF(Agent02_Savings!A78="","",Agent02_Savings!B78)</f>
        <v/>
      </c>
      <c r="D271" s="40" t="str">
        <f>IF(Agent02_Savings!A78="","",Agent02_Savings!G78)</f>
        <v/>
      </c>
      <c r="E271" s="41" t="str">
        <f>IF(Agent02_Savings!A78="","",Agent02_Savings!D78)</f>
        <v/>
      </c>
      <c r="F271" s="42" t="str">
        <f>IF(Agent02_Savings!A78="","",Agent02_Savings!E78)</f>
        <v/>
      </c>
      <c r="G271" s="42" t="str">
        <f>IF(Agent02_Savings!A78="","",Agent02_Savings!F78)</f>
        <v/>
      </c>
      <c r="H271" s="40" t="str">
        <f>IF(Agent02_Savings!A78="","",Agent02_Savings!I78)</f>
        <v/>
      </c>
      <c r="I271" s="40" t="str">
        <f>IF(Agent02_Savings!A78="","",Agent02_Savings!J78)</f>
        <v/>
      </c>
      <c r="J271" s="40" t="str">
        <f>IF(Agent02_Savings!A78="","",Agent02_Savings!K78)</f>
        <v/>
      </c>
      <c r="K271" s="40" t="str">
        <f>IFERROR(IF(Agent02_Savings!A78="","",YEAR(Agent02_Savings!D78)),"")</f>
        <v/>
      </c>
    </row>
    <row r="272" spans="1:11" ht="18" customHeight="1" x14ac:dyDescent="0.25">
      <c r="A272" s="40" t="str">
        <f>IF(Agent02_Savings!A79="","",Agent02_Savings!A79)</f>
        <v/>
      </c>
      <c r="B272" s="40" t="str">
        <f ca="1">IF(Agent02_Savings!A79="","","SV"&amp;TEXT(272-3,"0000")&amp;"-"&amp;TEXT(TODAY(),"YYYYMMDD"))</f>
        <v/>
      </c>
      <c r="C272" s="40" t="str">
        <f>IF(Agent02_Savings!A79="","",Agent02_Savings!B79)</f>
        <v/>
      </c>
      <c r="D272" s="40" t="str">
        <f>IF(Agent02_Savings!A79="","",Agent02_Savings!G79)</f>
        <v/>
      </c>
      <c r="E272" s="41" t="str">
        <f>IF(Agent02_Savings!A79="","",Agent02_Savings!D79)</f>
        <v/>
      </c>
      <c r="F272" s="42" t="str">
        <f>IF(Agent02_Savings!A79="","",Agent02_Savings!E79)</f>
        <v/>
      </c>
      <c r="G272" s="42" t="str">
        <f>IF(Agent02_Savings!A79="","",Agent02_Savings!F79)</f>
        <v/>
      </c>
      <c r="H272" s="40" t="str">
        <f>IF(Agent02_Savings!A79="","",Agent02_Savings!I79)</f>
        <v/>
      </c>
      <c r="I272" s="40" t="str">
        <f>IF(Agent02_Savings!A79="","",Agent02_Savings!J79)</f>
        <v/>
      </c>
      <c r="J272" s="40" t="str">
        <f>IF(Agent02_Savings!A79="","",Agent02_Savings!K79)</f>
        <v/>
      </c>
      <c r="K272" s="40" t="str">
        <f>IFERROR(IF(Agent02_Savings!A79="","",YEAR(Agent02_Savings!D79)),"")</f>
        <v/>
      </c>
    </row>
    <row r="273" spans="1:11" ht="18" customHeight="1" x14ac:dyDescent="0.25">
      <c r="A273" s="40" t="str">
        <f>IF(Agent02_Savings!A80="","",Agent02_Savings!A80)</f>
        <v/>
      </c>
      <c r="B273" s="40" t="str">
        <f ca="1">IF(Agent02_Savings!A80="","","SV"&amp;TEXT(273-3,"0000")&amp;"-"&amp;TEXT(TODAY(),"YYYYMMDD"))</f>
        <v/>
      </c>
      <c r="C273" s="40" t="str">
        <f>IF(Agent02_Savings!A80="","",Agent02_Savings!B80)</f>
        <v/>
      </c>
      <c r="D273" s="40" t="str">
        <f>IF(Agent02_Savings!A80="","",Agent02_Savings!G80)</f>
        <v/>
      </c>
      <c r="E273" s="41" t="str">
        <f>IF(Agent02_Savings!A80="","",Agent02_Savings!D80)</f>
        <v/>
      </c>
      <c r="F273" s="42" t="str">
        <f>IF(Agent02_Savings!A80="","",Agent02_Savings!E80)</f>
        <v/>
      </c>
      <c r="G273" s="42" t="str">
        <f>IF(Agent02_Savings!A80="","",Agent02_Savings!F80)</f>
        <v/>
      </c>
      <c r="H273" s="40" t="str">
        <f>IF(Agent02_Savings!A80="","",Agent02_Savings!I80)</f>
        <v/>
      </c>
      <c r="I273" s="40" t="str">
        <f>IF(Agent02_Savings!A80="","",Agent02_Savings!J80)</f>
        <v/>
      </c>
      <c r="J273" s="40" t="str">
        <f>IF(Agent02_Savings!A80="","",Agent02_Savings!K80)</f>
        <v/>
      </c>
      <c r="K273" s="40" t="str">
        <f>IFERROR(IF(Agent02_Savings!A80="","",YEAR(Agent02_Savings!D80)),"")</f>
        <v/>
      </c>
    </row>
    <row r="274" spans="1:11" ht="18" customHeight="1" x14ac:dyDescent="0.25">
      <c r="A274" s="40" t="str">
        <f>IF(Agent02_Savings!A81="","",Agent02_Savings!A81)</f>
        <v/>
      </c>
      <c r="B274" s="40" t="str">
        <f ca="1">IF(Agent02_Savings!A81="","","SV"&amp;TEXT(274-3,"0000")&amp;"-"&amp;TEXT(TODAY(),"YYYYMMDD"))</f>
        <v/>
      </c>
      <c r="C274" s="40" t="str">
        <f>IF(Agent02_Savings!A81="","",Agent02_Savings!B81)</f>
        <v/>
      </c>
      <c r="D274" s="40" t="str">
        <f>IF(Agent02_Savings!A81="","",Agent02_Savings!G81)</f>
        <v/>
      </c>
      <c r="E274" s="41" t="str">
        <f>IF(Agent02_Savings!A81="","",Agent02_Savings!D81)</f>
        <v/>
      </c>
      <c r="F274" s="42" t="str">
        <f>IF(Agent02_Savings!A81="","",Agent02_Savings!E81)</f>
        <v/>
      </c>
      <c r="G274" s="42" t="str">
        <f>IF(Agent02_Savings!A81="","",Agent02_Savings!F81)</f>
        <v/>
      </c>
      <c r="H274" s="40" t="str">
        <f>IF(Agent02_Savings!A81="","",Agent02_Savings!I81)</f>
        <v/>
      </c>
      <c r="I274" s="40" t="str">
        <f>IF(Agent02_Savings!A81="","",Agent02_Savings!J81)</f>
        <v/>
      </c>
      <c r="J274" s="40" t="str">
        <f>IF(Agent02_Savings!A81="","",Agent02_Savings!K81)</f>
        <v/>
      </c>
      <c r="K274" s="40" t="str">
        <f>IFERROR(IF(Agent02_Savings!A81="","",YEAR(Agent02_Savings!D81)),"")</f>
        <v/>
      </c>
    </row>
    <row r="275" spans="1:11" ht="18" customHeight="1" x14ac:dyDescent="0.25">
      <c r="A275" s="40" t="str">
        <f>IF(Agent02_Savings!A82="","",Agent02_Savings!A82)</f>
        <v/>
      </c>
      <c r="B275" s="40" t="str">
        <f ca="1">IF(Agent02_Savings!A82="","","SV"&amp;TEXT(275-3,"0000")&amp;"-"&amp;TEXT(TODAY(),"YYYYMMDD"))</f>
        <v/>
      </c>
      <c r="C275" s="40" t="str">
        <f>IF(Agent02_Savings!A82="","",Agent02_Savings!B82)</f>
        <v/>
      </c>
      <c r="D275" s="40" t="str">
        <f>IF(Agent02_Savings!A82="","",Agent02_Savings!G82)</f>
        <v/>
      </c>
      <c r="E275" s="41" t="str">
        <f>IF(Agent02_Savings!A82="","",Agent02_Savings!D82)</f>
        <v/>
      </c>
      <c r="F275" s="42" t="str">
        <f>IF(Agent02_Savings!A82="","",Agent02_Savings!E82)</f>
        <v/>
      </c>
      <c r="G275" s="42" t="str">
        <f>IF(Agent02_Savings!A82="","",Agent02_Savings!F82)</f>
        <v/>
      </c>
      <c r="H275" s="40" t="str">
        <f>IF(Agent02_Savings!A82="","",Agent02_Savings!I82)</f>
        <v/>
      </c>
      <c r="I275" s="40" t="str">
        <f>IF(Agent02_Savings!A82="","",Agent02_Savings!J82)</f>
        <v/>
      </c>
      <c r="J275" s="40" t="str">
        <f>IF(Agent02_Savings!A82="","",Agent02_Savings!K82)</f>
        <v/>
      </c>
      <c r="K275" s="40" t="str">
        <f>IFERROR(IF(Agent02_Savings!A82="","",YEAR(Agent02_Savings!D82)),"")</f>
        <v/>
      </c>
    </row>
    <row r="276" spans="1:11" ht="18" customHeight="1" x14ac:dyDescent="0.25">
      <c r="A276" s="40" t="str">
        <f>IF(Agent02_Savings!A83="","",Agent02_Savings!A83)</f>
        <v/>
      </c>
      <c r="B276" s="40" t="str">
        <f ca="1">IF(Agent02_Savings!A83="","","SV"&amp;TEXT(276-3,"0000")&amp;"-"&amp;TEXT(TODAY(),"YYYYMMDD"))</f>
        <v/>
      </c>
      <c r="C276" s="40" t="str">
        <f>IF(Agent02_Savings!A83="","",Agent02_Savings!B83)</f>
        <v/>
      </c>
      <c r="D276" s="40" t="str">
        <f>IF(Agent02_Savings!A83="","",Agent02_Savings!G83)</f>
        <v/>
      </c>
      <c r="E276" s="41" t="str">
        <f>IF(Agent02_Savings!A83="","",Agent02_Savings!D83)</f>
        <v/>
      </c>
      <c r="F276" s="42" t="str">
        <f>IF(Agent02_Savings!A83="","",Agent02_Savings!E83)</f>
        <v/>
      </c>
      <c r="G276" s="42" t="str">
        <f>IF(Agent02_Savings!A83="","",Agent02_Savings!F83)</f>
        <v/>
      </c>
      <c r="H276" s="40" t="str">
        <f>IF(Agent02_Savings!A83="","",Agent02_Savings!I83)</f>
        <v/>
      </c>
      <c r="I276" s="40" t="str">
        <f>IF(Agent02_Savings!A83="","",Agent02_Savings!J83)</f>
        <v/>
      </c>
      <c r="J276" s="40" t="str">
        <f>IF(Agent02_Savings!A83="","",Agent02_Savings!K83)</f>
        <v/>
      </c>
      <c r="K276" s="40" t="str">
        <f>IFERROR(IF(Agent02_Savings!A83="","",YEAR(Agent02_Savings!D83)),"")</f>
        <v/>
      </c>
    </row>
    <row r="277" spans="1:11" ht="18" customHeight="1" x14ac:dyDescent="0.25">
      <c r="A277" s="40" t="str">
        <f>IF(Agent02_Savings!A84="","",Agent02_Savings!A84)</f>
        <v/>
      </c>
      <c r="B277" s="40" t="str">
        <f ca="1">IF(Agent02_Savings!A84="","","SV"&amp;TEXT(277-3,"0000")&amp;"-"&amp;TEXT(TODAY(),"YYYYMMDD"))</f>
        <v/>
      </c>
      <c r="C277" s="40" t="str">
        <f>IF(Agent02_Savings!A84="","",Agent02_Savings!B84)</f>
        <v/>
      </c>
      <c r="D277" s="40" t="str">
        <f>IF(Agent02_Savings!A84="","",Agent02_Savings!G84)</f>
        <v/>
      </c>
      <c r="E277" s="41" t="str">
        <f>IF(Agent02_Savings!A84="","",Agent02_Savings!D84)</f>
        <v/>
      </c>
      <c r="F277" s="42" t="str">
        <f>IF(Agent02_Savings!A84="","",Agent02_Savings!E84)</f>
        <v/>
      </c>
      <c r="G277" s="42" t="str">
        <f>IF(Agent02_Savings!A84="","",Agent02_Savings!F84)</f>
        <v/>
      </c>
      <c r="H277" s="40" t="str">
        <f>IF(Agent02_Savings!A84="","",Agent02_Savings!I84)</f>
        <v/>
      </c>
      <c r="I277" s="40" t="str">
        <f>IF(Agent02_Savings!A84="","",Agent02_Savings!J84)</f>
        <v/>
      </c>
      <c r="J277" s="40" t="str">
        <f>IF(Agent02_Savings!A84="","",Agent02_Savings!K84)</f>
        <v/>
      </c>
      <c r="K277" s="40" t="str">
        <f>IFERROR(IF(Agent02_Savings!A84="","",YEAR(Agent02_Savings!D84)),"")</f>
        <v/>
      </c>
    </row>
    <row r="278" spans="1:11" ht="18" customHeight="1" x14ac:dyDescent="0.25">
      <c r="A278" s="40" t="str">
        <f>IF(Agent02_Savings!A85="","",Agent02_Savings!A85)</f>
        <v/>
      </c>
      <c r="B278" s="40" t="str">
        <f ca="1">IF(Agent02_Savings!A85="","","SV"&amp;TEXT(278-3,"0000")&amp;"-"&amp;TEXT(TODAY(),"YYYYMMDD"))</f>
        <v/>
      </c>
      <c r="C278" s="40" t="str">
        <f>IF(Agent02_Savings!A85="","",Agent02_Savings!B85)</f>
        <v/>
      </c>
      <c r="D278" s="40" t="str">
        <f>IF(Agent02_Savings!A85="","",Agent02_Savings!G85)</f>
        <v/>
      </c>
      <c r="E278" s="41" t="str">
        <f>IF(Agent02_Savings!A85="","",Agent02_Savings!D85)</f>
        <v/>
      </c>
      <c r="F278" s="42" t="str">
        <f>IF(Agent02_Savings!A85="","",Agent02_Savings!E85)</f>
        <v/>
      </c>
      <c r="G278" s="42" t="str">
        <f>IF(Agent02_Savings!A85="","",Agent02_Savings!F85)</f>
        <v/>
      </c>
      <c r="H278" s="40" t="str">
        <f>IF(Agent02_Savings!A85="","",Agent02_Savings!I85)</f>
        <v/>
      </c>
      <c r="I278" s="40" t="str">
        <f>IF(Agent02_Savings!A85="","",Agent02_Savings!J85)</f>
        <v/>
      </c>
      <c r="J278" s="40" t="str">
        <f>IF(Agent02_Savings!A85="","",Agent02_Savings!K85)</f>
        <v/>
      </c>
      <c r="K278" s="40" t="str">
        <f>IFERROR(IF(Agent02_Savings!A85="","",YEAR(Agent02_Savings!D85)),"")</f>
        <v/>
      </c>
    </row>
    <row r="279" spans="1:11" ht="18" customHeight="1" x14ac:dyDescent="0.25">
      <c r="A279" s="40" t="str">
        <f>IF(Agent02_Savings!A86="","",Agent02_Savings!A86)</f>
        <v/>
      </c>
      <c r="B279" s="40" t="str">
        <f ca="1">IF(Agent02_Savings!A86="","","SV"&amp;TEXT(279-3,"0000")&amp;"-"&amp;TEXT(TODAY(),"YYYYMMDD"))</f>
        <v/>
      </c>
      <c r="C279" s="40" t="str">
        <f>IF(Agent02_Savings!A86="","",Agent02_Savings!B86)</f>
        <v/>
      </c>
      <c r="D279" s="40" t="str">
        <f>IF(Agent02_Savings!A86="","",Agent02_Savings!G86)</f>
        <v/>
      </c>
      <c r="E279" s="41" t="str">
        <f>IF(Agent02_Savings!A86="","",Agent02_Savings!D86)</f>
        <v/>
      </c>
      <c r="F279" s="42" t="str">
        <f>IF(Agent02_Savings!A86="","",Agent02_Savings!E86)</f>
        <v/>
      </c>
      <c r="G279" s="42" t="str">
        <f>IF(Agent02_Savings!A86="","",Agent02_Savings!F86)</f>
        <v/>
      </c>
      <c r="H279" s="40" t="str">
        <f>IF(Agent02_Savings!A86="","",Agent02_Savings!I86)</f>
        <v/>
      </c>
      <c r="I279" s="40" t="str">
        <f>IF(Agent02_Savings!A86="","",Agent02_Savings!J86)</f>
        <v/>
      </c>
      <c r="J279" s="40" t="str">
        <f>IF(Agent02_Savings!A86="","",Agent02_Savings!K86)</f>
        <v/>
      </c>
      <c r="K279" s="40" t="str">
        <f>IFERROR(IF(Agent02_Savings!A86="","",YEAR(Agent02_Savings!D86)),"")</f>
        <v/>
      </c>
    </row>
    <row r="280" spans="1:11" ht="18" customHeight="1" x14ac:dyDescent="0.25">
      <c r="A280" s="40" t="str">
        <f>IF(Agent02_Savings!A87="","",Agent02_Savings!A87)</f>
        <v/>
      </c>
      <c r="B280" s="40" t="str">
        <f ca="1">IF(Agent02_Savings!A87="","","SV"&amp;TEXT(280-3,"0000")&amp;"-"&amp;TEXT(TODAY(),"YYYYMMDD"))</f>
        <v/>
      </c>
      <c r="C280" s="40" t="str">
        <f>IF(Agent02_Savings!A87="","",Agent02_Savings!B87)</f>
        <v/>
      </c>
      <c r="D280" s="40" t="str">
        <f>IF(Agent02_Savings!A87="","",Agent02_Savings!G87)</f>
        <v/>
      </c>
      <c r="E280" s="41" t="str">
        <f>IF(Agent02_Savings!A87="","",Agent02_Savings!D87)</f>
        <v/>
      </c>
      <c r="F280" s="42" t="str">
        <f>IF(Agent02_Savings!A87="","",Agent02_Savings!E87)</f>
        <v/>
      </c>
      <c r="G280" s="42" t="str">
        <f>IF(Agent02_Savings!A87="","",Agent02_Savings!F87)</f>
        <v/>
      </c>
      <c r="H280" s="40" t="str">
        <f>IF(Agent02_Savings!A87="","",Agent02_Savings!I87)</f>
        <v/>
      </c>
      <c r="I280" s="40" t="str">
        <f>IF(Agent02_Savings!A87="","",Agent02_Savings!J87)</f>
        <v/>
      </c>
      <c r="J280" s="40" t="str">
        <f>IF(Agent02_Savings!A87="","",Agent02_Savings!K87)</f>
        <v/>
      </c>
      <c r="K280" s="40" t="str">
        <f>IFERROR(IF(Agent02_Savings!A87="","",YEAR(Agent02_Savings!D87)),"")</f>
        <v/>
      </c>
    </row>
    <row r="281" spans="1:11" ht="18" customHeight="1" x14ac:dyDescent="0.25">
      <c r="A281" s="40" t="str">
        <f>IF(Agent02_Savings!A88="","",Agent02_Savings!A88)</f>
        <v/>
      </c>
      <c r="B281" s="40" t="str">
        <f ca="1">IF(Agent02_Savings!A88="","","SV"&amp;TEXT(281-3,"0000")&amp;"-"&amp;TEXT(TODAY(),"YYYYMMDD"))</f>
        <v/>
      </c>
      <c r="C281" s="40" t="str">
        <f>IF(Agent02_Savings!A88="","",Agent02_Savings!B88)</f>
        <v/>
      </c>
      <c r="D281" s="40" t="str">
        <f>IF(Agent02_Savings!A88="","",Agent02_Savings!G88)</f>
        <v/>
      </c>
      <c r="E281" s="41" t="str">
        <f>IF(Agent02_Savings!A88="","",Agent02_Savings!D88)</f>
        <v/>
      </c>
      <c r="F281" s="42" t="str">
        <f>IF(Agent02_Savings!A88="","",Agent02_Savings!E88)</f>
        <v/>
      </c>
      <c r="G281" s="42" t="str">
        <f>IF(Agent02_Savings!A88="","",Agent02_Savings!F88)</f>
        <v/>
      </c>
      <c r="H281" s="40" t="str">
        <f>IF(Agent02_Savings!A88="","",Agent02_Savings!I88)</f>
        <v/>
      </c>
      <c r="I281" s="40" t="str">
        <f>IF(Agent02_Savings!A88="","",Agent02_Savings!J88)</f>
        <v/>
      </c>
      <c r="J281" s="40" t="str">
        <f>IF(Agent02_Savings!A88="","",Agent02_Savings!K88)</f>
        <v/>
      </c>
      <c r="K281" s="40" t="str">
        <f>IFERROR(IF(Agent02_Savings!A88="","",YEAR(Agent02_Savings!D88)),"")</f>
        <v/>
      </c>
    </row>
    <row r="282" spans="1:11" ht="18" customHeight="1" x14ac:dyDescent="0.25">
      <c r="A282" s="40" t="str">
        <f>IF(Agent02_Savings!A89="","",Agent02_Savings!A89)</f>
        <v/>
      </c>
      <c r="B282" s="40" t="str">
        <f ca="1">IF(Agent02_Savings!A89="","","SV"&amp;TEXT(282-3,"0000")&amp;"-"&amp;TEXT(TODAY(),"YYYYMMDD"))</f>
        <v/>
      </c>
      <c r="C282" s="40" t="str">
        <f>IF(Agent02_Savings!A89="","",Agent02_Savings!B89)</f>
        <v/>
      </c>
      <c r="D282" s="40" t="str">
        <f>IF(Agent02_Savings!A89="","",Agent02_Savings!G89)</f>
        <v/>
      </c>
      <c r="E282" s="41" t="str">
        <f>IF(Agent02_Savings!A89="","",Agent02_Savings!D89)</f>
        <v/>
      </c>
      <c r="F282" s="42" t="str">
        <f>IF(Agent02_Savings!A89="","",Agent02_Savings!E89)</f>
        <v/>
      </c>
      <c r="G282" s="42" t="str">
        <f>IF(Agent02_Savings!A89="","",Agent02_Savings!F89)</f>
        <v/>
      </c>
      <c r="H282" s="40" t="str">
        <f>IF(Agent02_Savings!A89="","",Agent02_Savings!I89)</f>
        <v/>
      </c>
      <c r="I282" s="40" t="str">
        <f>IF(Agent02_Savings!A89="","",Agent02_Savings!J89)</f>
        <v/>
      </c>
      <c r="J282" s="40" t="str">
        <f>IF(Agent02_Savings!A89="","",Agent02_Savings!K89)</f>
        <v/>
      </c>
      <c r="K282" s="40" t="str">
        <f>IFERROR(IF(Agent02_Savings!A89="","",YEAR(Agent02_Savings!D89)),"")</f>
        <v/>
      </c>
    </row>
    <row r="283" spans="1:11" ht="18" customHeight="1" x14ac:dyDescent="0.25">
      <c r="A283" s="40" t="str">
        <f>IF(Agent02_Savings!A90="","",Agent02_Savings!A90)</f>
        <v/>
      </c>
      <c r="B283" s="40" t="str">
        <f ca="1">IF(Agent02_Savings!A90="","","SV"&amp;TEXT(283-3,"0000")&amp;"-"&amp;TEXT(TODAY(),"YYYYMMDD"))</f>
        <v/>
      </c>
      <c r="C283" s="40" t="str">
        <f>IF(Agent02_Savings!A90="","",Agent02_Savings!B90)</f>
        <v/>
      </c>
      <c r="D283" s="40" t="str">
        <f>IF(Agent02_Savings!A90="","",Agent02_Savings!G90)</f>
        <v/>
      </c>
      <c r="E283" s="41" t="str">
        <f>IF(Agent02_Savings!A90="","",Agent02_Savings!D90)</f>
        <v/>
      </c>
      <c r="F283" s="42" t="str">
        <f>IF(Agent02_Savings!A90="","",Agent02_Savings!E90)</f>
        <v/>
      </c>
      <c r="G283" s="42" t="str">
        <f>IF(Agent02_Savings!A90="","",Agent02_Savings!F90)</f>
        <v/>
      </c>
      <c r="H283" s="40" t="str">
        <f>IF(Agent02_Savings!A90="","",Agent02_Savings!I90)</f>
        <v/>
      </c>
      <c r="I283" s="40" t="str">
        <f>IF(Agent02_Savings!A90="","",Agent02_Savings!J90)</f>
        <v/>
      </c>
      <c r="J283" s="40" t="str">
        <f>IF(Agent02_Savings!A90="","",Agent02_Savings!K90)</f>
        <v/>
      </c>
      <c r="K283" s="40" t="str">
        <f>IFERROR(IF(Agent02_Savings!A90="","",YEAR(Agent02_Savings!D90)),"")</f>
        <v/>
      </c>
    </row>
    <row r="284" spans="1:11" ht="18" customHeight="1" x14ac:dyDescent="0.25">
      <c r="A284" s="40" t="str">
        <f>IF(Agent02_Savings!A91="","",Agent02_Savings!A91)</f>
        <v/>
      </c>
      <c r="B284" s="40" t="str">
        <f ca="1">IF(Agent02_Savings!A91="","","SV"&amp;TEXT(284-3,"0000")&amp;"-"&amp;TEXT(TODAY(),"YYYYMMDD"))</f>
        <v/>
      </c>
      <c r="C284" s="40" t="str">
        <f>IF(Agent02_Savings!A91="","",Agent02_Savings!B91)</f>
        <v/>
      </c>
      <c r="D284" s="40" t="str">
        <f>IF(Agent02_Savings!A91="","",Agent02_Savings!G91)</f>
        <v/>
      </c>
      <c r="E284" s="41" t="str">
        <f>IF(Agent02_Savings!A91="","",Agent02_Savings!D91)</f>
        <v/>
      </c>
      <c r="F284" s="42" t="str">
        <f>IF(Agent02_Savings!A91="","",Agent02_Savings!E91)</f>
        <v/>
      </c>
      <c r="G284" s="42" t="str">
        <f>IF(Agent02_Savings!A91="","",Agent02_Savings!F91)</f>
        <v/>
      </c>
      <c r="H284" s="40" t="str">
        <f>IF(Agent02_Savings!A91="","",Agent02_Savings!I91)</f>
        <v/>
      </c>
      <c r="I284" s="40" t="str">
        <f>IF(Agent02_Savings!A91="","",Agent02_Savings!J91)</f>
        <v/>
      </c>
      <c r="J284" s="40" t="str">
        <f>IF(Agent02_Savings!A91="","",Agent02_Savings!K91)</f>
        <v/>
      </c>
      <c r="K284" s="40" t="str">
        <f>IFERROR(IF(Agent02_Savings!A91="","",YEAR(Agent02_Savings!D91)),"")</f>
        <v/>
      </c>
    </row>
    <row r="285" spans="1:11" ht="18" customHeight="1" x14ac:dyDescent="0.25">
      <c r="A285" s="40" t="str">
        <f>IF(Agent02_Savings!A92="","",Agent02_Savings!A92)</f>
        <v/>
      </c>
      <c r="B285" s="40" t="str">
        <f ca="1">IF(Agent02_Savings!A92="","","SV"&amp;TEXT(285-3,"0000")&amp;"-"&amp;TEXT(TODAY(),"YYYYMMDD"))</f>
        <v/>
      </c>
      <c r="C285" s="40" t="str">
        <f>IF(Agent02_Savings!A92="","",Agent02_Savings!B92)</f>
        <v/>
      </c>
      <c r="D285" s="40" t="str">
        <f>IF(Agent02_Savings!A92="","",Agent02_Savings!G92)</f>
        <v/>
      </c>
      <c r="E285" s="41" t="str">
        <f>IF(Agent02_Savings!A92="","",Agent02_Savings!D92)</f>
        <v/>
      </c>
      <c r="F285" s="42" t="str">
        <f>IF(Agent02_Savings!A92="","",Agent02_Savings!E92)</f>
        <v/>
      </c>
      <c r="G285" s="42" t="str">
        <f>IF(Agent02_Savings!A92="","",Agent02_Savings!F92)</f>
        <v/>
      </c>
      <c r="H285" s="40" t="str">
        <f>IF(Agent02_Savings!A92="","",Agent02_Savings!I92)</f>
        <v/>
      </c>
      <c r="I285" s="40" t="str">
        <f>IF(Agent02_Savings!A92="","",Agent02_Savings!J92)</f>
        <v/>
      </c>
      <c r="J285" s="40" t="str">
        <f>IF(Agent02_Savings!A92="","",Agent02_Savings!K92)</f>
        <v/>
      </c>
      <c r="K285" s="40" t="str">
        <f>IFERROR(IF(Agent02_Savings!A92="","",YEAR(Agent02_Savings!D92)),"")</f>
        <v/>
      </c>
    </row>
    <row r="286" spans="1:11" ht="18" customHeight="1" x14ac:dyDescent="0.25">
      <c r="A286" s="40" t="str">
        <f>IF(Agent02_Savings!A93="","",Agent02_Savings!A93)</f>
        <v/>
      </c>
      <c r="B286" s="40" t="str">
        <f ca="1">IF(Agent02_Savings!A93="","","SV"&amp;TEXT(286-3,"0000")&amp;"-"&amp;TEXT(TODAY(),"YYYYMMDD"))</f>
        <v/>
      </c>
      <c r="C286" s="40" t="str">
        <f>IF(Agent02_Savings!A93="","",Agent02_Savings!B93)</f>
        <v/>
      </c>
      <c r="D286" s="40" t="str">
        <f>IF(Agent02_Savings!A93="","",Agent02_Savings!G93)</f>
        <v/>
      </c>
      <c r="E286" s="41" t="str">
        <f>IF(Agent02_Savings!A93="","",Agent02_Savings!D93)</f>
        <v/>
      </c>
      <c r="F286" s="42" t="str">
        <f>IF(Agent02_Savings!A93="","",Agent02_Savings!E93)</f>
        <v/>
      </c>
      <c r="G286" s="42" t="str">
        <f>IF(Agent02_Savings!A93="","",Agent02_Savings!F93)</f>
        <v/>
      </c>
      <c r="H286" s="40" t="str">
        <f>IF(Agent02_Savings!A93="","",Agent02_Savings!I93)</f>
        <v/>
      </c>
      <c r="I286" s="40" t="str">
        <f>IF(Agent02_Savings!A93="","",Agent02_Savings!J93)</f>
        <v/>
      </c>
      <c r="J286" s="40" t="str">
        <f>IF(Agent02_Savings!A93="","",Agent02_Savings!K93)</f>
        <v/>
      </c>
      <c r="K286" s="40" t="str">
        <f>IFERROR(IF(Agent02_Savings!A93="","",YEAR(Agent02_Savings!D93)),"")</f>
        <v/>
      </c>
    </row>
    <row r="287" spans="1:11" ht="18" customHeight="1" x14ac:dyDescent="0.25">
      <c r="A287" s="40" t="str">
        <f>IF(Agent02_Savings!A94="","",Agent02_Savings!A94)</f>
        <v/>
      </c>
      <c r="B287" s="40" t="str">
        <f ca="1">IF(Agent02_Savings!A94="","","SV"&amp;TEXT(287-3,"0000")&amp;"-"&amp;TEXT(TODAY(),"YYYYMMDD"))</f>
        <v/>
      </c>
      <c r="C287" s="40" t="str">
        <f>IF(Agent02_Savings!A94="","",Agent02_Savings!B94)</f>
        <v/>
      </c>
      <c r="D287" s="40" t="str">
        <f>IF(Agent02_Savings!A94="","",Agent02_Savings!G94)</f>
        <v/>
      </c>
      <c r="E287" s="41" t="str">
        <f>IF(Agent02_Savings!A94="","",Agent02_Savings!D94)</f>
        <v/>
      </c>
      <c r="F287" s="42" t="str">
        <f>IF(Agent02_Savings!A94="","",Agent02_Savings!E94)</f>
        <v/>
      </c>
      <c r="G287" s="42" t="str">
        <f>IF(Agent02_Savings!A94="","",Agent02_Savings!F94)</f>
        <v/>
      </c>
      <c r="H287" s="40" t="str">
        <f>IF(Agent02_Savings!A94="","",Agent02_Savings!I94)</f>
        <v/>
      </c>
      <c r="I287" s="40" t="str">
        <f>IF(Agent02_Savings!A94="","",Agent02_Savings!J94)</f>
        <v/>
      </c>
      <c r="J287" s="40" t="str">
        <f>IF(Agent02_Savings!A94="","",Agent02_Savings!K94)</f>
        <v/>
      </c>
      <c r="K287" s="40" t="str">
        <f>IFERROR(IF(Agent02_Savings!A94="","",YEAR(Agent02_Savings!D94)),"")</f>
        <v/>
      </c>
    </row>
    <row r="288" spans="1:11" ht="18" customHeight="1" x14ac:dyDescent="0.25">
      <c r="A288" s="40" t="str">
        <f>IF(Agent02_Savings!A95="","",Agent02_Savings!A95)</f>
        <v/>
      </c>
      <c r="B288" s="40" t="str">
        <f ca="1">IF(Agent02_Savings!A95="","","SV"&amp;TEXT(288-3,"0000")&amp;"-"&amp;TEXT(TODAY(),"YYYYMMDD"))</f>
        <v/>
      </c>
      <c r="C288" s="40" t="str">
        <f>IF(Agent02_Savings!A95="","",Agent02_Savings!B95)</f>
        <v/>
      </c>
      <c r="D288" s="40" t="str">
        <f>IF(Agent02_Savings!A95="","",Agent02_Savings!G95)</f>
        <v/>
      </c>
      <c r="E288" s="41" t="str">
        <f>IF(Agent02_Savings!A95="","",Agent02_Savings!D95)</f>
        <v/>
      </c>
      <c r="F288" s="42" t="str">
        <f>IF(Agent02_Savings!A95="","",Agent02_Savings!E95)</f>
        <v/>
      </c>
      <c r="G288" s="42" t="str">
        <f>IF(Agent02_Savings!A95="","",Agent02_Savings!F95)</f>
        <v/>
      </c>
      <c r="H288" s="40" t="str">
        <f>IF(Agent02_Savings!A95="","",Agent02_Savings!I95)</f>
        <v/>
      </c>
      <c r="I288" s="40" t="str">
        <f>IF(Agent02_Savings!A95="","",Agent02_Savings!J95)</f>
        <v/>
      </c>
      <c r="J288" s="40" t="str">
        <f>IF(Agent02_Savings!A95="","",Agent02_Savings!K95)</f>
        <v/>
      </c>
      <c r="K288" s="40" t="str">
        <f>IFERROR(IF(Agent02_Savings!A95="","",YEAR(Agent02_Savings!D95)),"")</f>
        <v/>
      </c>
    </row>
    <row r="289" spans="1:11" ht="18" customHeight="1" x14ac:dyDescent="0.25">
      <c r="A289" s="40" t="str">
        <f>IF(Agent02_Savings!A96="","",Agent02_Savings!A96)</f>
        <v/>
      </c>
      <c r="B289" s="40" t="str">
        <f ca="1">IF(Agent02_Savings!A96="","","SV"&amp;TEXT(289-3,"0000")&amp;"-"&amp;TEXT(TODAY(),"YYYYMMDD"))</f>
        <v/>
      </c>
      <c r="C289" s="40" t="str">
        <f>IF(Agent02_Savings!A96="","",Agent02_Savings!B96)</f>
        <v/>
      </c>
      <c r="D289" s="40" t="str">
        <f>IF(Agent02_Savings!A96="","",Agent02_Savings!G96)</f>
        <v/>
      </c>
      <c r="E289" s="41" t="str">
        <f>IF(Agent02_Savings!A96="","",Agent02_Savings!D96)</f>
        <v/>
      </c>
      <c r="F289" s="42" t="str">
        <f>IF(Agent02_Savings!A96="","",Agent02_Savings!E96)</f>
        <v/>
      </c>
      <c r="G289" s="42" t="str">
        <f>IF(Agent02_Savings!A96="","",Agent02_Savings!F96)</f>
        <v/>
      </c>
      <c r="H289" s="40" t="str">
        <f>IF(Agent02_Savings!A96="","",Agent02_Savings!I96)</f>
        <v/>
      </c>
      <c r="I289" s="40" t="str">
        <f>IF(Agent02_Savings!A96="","",Agent02_Savings!J96)</f>
        <v/>
      </c>
      <c r="J289" s="40" t="str">
        <f>IF(Agent02_Savings!A96="","",Agent02_Savings!K96)</f>
        <v/>
      </c>
      <c r="K289" s="40" t="str">
        <f>IFERROR(IF(Agent02_Savings!A96="","",YEAR(Agent02_Savings!D96)),"")</f>
        <v/>
      </c>
    </row>
    <row r="290" spans="1:11" ht="18" customHeight="1" x14ac:dyDescent="0.25">
      <c r="A290" s="40" t="str">
        <f>IF(Agent02_Savings!A97="","",Agent02_Savings!A97)</f>
        <v/>
      </c>
      <c r="B290" s="40" t="str">
        <f ca="1">IF(Agent02_Savings!A97="","","SV"&amp;TEXT(290-3,"0000")&amp;"-"&amp;TEXT(TODAY(),"YYYYMMDD"))</f>
        <v/>
      </c>
      <c r="C290" s="40" t="str">
        <f>IF(Agent02_Savings!A97="","",Agent02_Savings!B97)</f>
        <v/>
      </c>
      <c r="D290" s="40" t="str">
        <f>IF(Agent02_Savings!A97="","",Agent02_Savings!G97)</f>
        <v/>
      </c>
      <c r="E290" s="41" t="str">
        <f>IF(Agent02_Savings!A97="","",Agent02_Savings!D97)</f>
        <v/>
      </c>
      <c r="F290" s="42" t="str">
        <f>IF(Agent02_Savings!A97="","",Agent02_Savings!E97)</f>
        <v/>
      </c>
      <c r="G290" s="42" t="str">
        <f>IF(Agent02_Savings!A97="","",Agent02_Savings!F97)</f>
        <v/>
      </c>
      <c r="H290" s="40" t="str">
        <f>IF(Agent02_Savings!A97="","",Agent02_Savings!I97)</f>
        <v/>
      </c>
      <c r="I290" s="40" t="str">
        <f>IF(Agent02_Savings!A97="","",Agent02_Savings!J97)</f>
        <v/>
      </c>
      <c r="J290" s="40" t="str">
        <f>IF(Agent02_Savings!A97="","",Agent02_Savings!K97)</f>
        <v/>
      </c>
      <c r="K290" s="40" t="str">
        <f>IFERROR(IF(Agent02_Savings!A97="","",YEAR(Agent02_Savings!D97)),"")</f>
        <v/>
      </c>
    </row>
    <row r="291" spans="1:11" ht="18" customHeight="1" x14ac:dyDescent="0.25">
      <c r="A291" s="40" t="str">
        <f>IF(Agent02_Savings!A98="","",Agent02_Savings!A98)</f>
        <v/>
      </c>
      <c r="B291" s="40" t="str">
        <f ca="1">IF(Agent02_Savings!A98="","","SV"&amp;TEXT(291-3,"0000")&amp;"-"&amp;TEXT(TODAY(),"YYYYMMDD"))</f>
        <v/>
      </c>
      <c r="C291" s="40" t="str">
        <f>IF(Agent02_Savings!A98="","",Agent02_Savings!B98)</f>
        <v/>
      </c>
      <c r="D291" s="40" t="str">
        <f>IF(Agent02_Savings!A98="","",Agent02_Savings!G98)</f>
        <v/>
      </c>
      <c r="E291" s="41" t="str">
        <f>IF(Agent02_Savings!A98="","",Agent02_Savings!D98)</f>
        <v/>
      </c>
      <c r="F291" s="42" t="str">
        <f>IF(Agent02_Savings!A98="","",Agent02_Savings!E98)</f>
        <v/>
      </c>
      <c r="G291" s="42" t="str">
        <f>IF(Agent02_Savings!A98="","",Agent02_Savings!F98)</f>
        <v/>
      </c>
      <c r="H291" s="40" t="str">
        <f>IF(Agent02_Savings!A98="","",Agent02_Savings!I98)</f>
        <v/>
      </c>
      <c r="I291" s="40" t="str">
        <f>IF(Agent02_Savings!A98="","",Agent02_Savings!J98)</f>
        <v/>
      </c>
      <c r="J291" s="40" t="str">
        <f>IF(Agent02_Savings!A98="","",Agent02_Savings!K98)</f>
        <v/>
      </c>
      <c r="K291" s="40" t="str">
        <f>IFERROR(IF(Agent02_Savings!A98="","",YEAR(Agent02_Savings!D98)),"")</f>
        <v/>
      </c>
    </row>
    <row r="292" spans="1:11" ht="18" customHeight="1" x14ac:dyDescent="0.25">
      <c r="A292" s="40" t="str">
        <f>IF(Agent02_Savings!A99="","",Agent02_Savings!A99)</f>
        <v/>
      </c>
      <c r="B292" s="40" t="str">
        <f ca="1">IF(Agent02_Savings!A99="","","SV"&amp;TEXT(292-3,"0000")&amp;"-"&amp;TEXT(TODAY(),"YYYYMMDD"))</f>
        <v/>
      </c>
      <c r="C292" s="40" t="str">
        <f>IF(Agent02_Savings!A99="","",Agent02_Savings!B99)</f>
        <v/>
      </c>
      <c r="D292" s="40" t="str">
        <f>IF(Agent02_Savings!A99="","",Agent02_Savings!G99)</f>
        <v/>
      </c>
      <c r="E292" s="41" t="str">
        <f>IF(Agent02_Savings!A99="","",Agent02_Savings!D99)</f>
        <v/>
      </c>
      <c r="F292" s="42" t="str">
        <f>IF(Agent02_Savings!A99="","",Agent02_Savings!E99)</f>
        <v/>
      </c>
      <c r="G292" s="42" t="str">
        <f>IF(Agent02_Savings!A99="","",Agent02_Savings!F99)</f>
        <v/>
      </c>
      <c r="H292" s="40" t="str">
        <f>IF(Agent02_Savings!A99="","",Agent02_Savings!I99)</f>
        <v/>
      </c>
      <c r="I292" s="40" t="str">
        <f>IF(Agent02_Savings!A99="","",Agent02_Savings!J99)</f>
        <v/>
      </c>
      <c r="J292" s="40" t="str">
        <f>IF(Agent02_Savings!A99="","",Agent02_Savings!K99)</f>
        <v/>
      </c>
      <c r="K292" s="40" t="str">
        <f>IFERROR(IF(Agent02_Savings!A99="","",YEAR(Agent02_Savings!D99)),"")</f>
        <v/>
      </c>
    </row>
    <row r="293" spans="1:11" ht="18" customHeight="1" x14ac:dyDescent="0.25">
      <c r="A293" s="40" t="str">
        <f>IF(Agent02_Savings!A100="","",Agent02_Savings!A100)</f>
        <v/>
      </c>
      <c r="B293" s="40" t="str">
        <f ca="1">IF(Agent02_Savings!A100="","","SV"&amp;TEXT(293-3,"0000")&amp;"-"&amp;TEXT(TODAY(),"YYYYMMDD"))</f>
        <v/>
      </c>
      <c r="C293" s="40" t="str">
        <f>IF(Agent02_Savings!A100="","",Agent02_Savings!B100)</f>
        <v/>
      </c>
      <c r="D293" s="40" t="str">
        <f>IF(Agent02_Savings!A100="","",Agent02_Savings!G100)</f>
        <v/>
      </c>
      <c r="E293" s="41" t="str">
        <f>IF(Agent02_Savings!A100="","",Agent02_Savings!D100)</f>
        <v/>
      </c>
      <c r="F293" s="42" t="str">
        <f>IF(Agent02_Savings!A100="","",Agent02_Savings!E100)</f>
        <v/>
      </c>
      <c r="G293" s="42" t="str">
        <f>IF(Agent02_Savings!A100="","",Agent02_Savings!F100)</f>
        <v/>
      </c>
      <c r="H293" s="40" t="str">
        <f>IF(Agent02_Savings!A100="","",Agent02_Savings!I100)</f>
        <v/>
      </c>
      <c r="I293" s="40" t="str">
        <f>IF(Agent02_Savings!A100="","",Agent02_Savings!J100)</f>
        <v/>
      </c>
      <c r="J293" s="40" t="str">
        <f>IF(Agent02_Savings!A100="","",Agent02_Savings!K100)</f>
        <v/>
      </c>
      <c r="K293" s="40" t="str">
        <f>IFERROR(IF(Agent02_Savings!A100="","",YEAR(Agent02_Savings!D100)),"")</f>
        <v/>
      </c>
    </row>
    <row r="294" spans="1:11" ht="18" customHeight="1" x14ac:dyDescent="0.25">
      <c r="A294" s="40" t="str">
        <f>IF(Agent02_Savings!A101="","",Agent02_Savings!A101)</f>
        <v/>
      </c>
      <c r="B294" s="40" t="str">
        <f ca="1">IF(Agent02_Savings!A101="","","SV"&amp;TEXT(294-3,"0000")&amp;"-"&amp;TEXT(TODAY(),"YYYYMMDD"))</f>
        <v/>
      </c>
      <c r="C294" s="40" t="str">
        <f>IF(Agent02_Savings!A101="","",Agent02_Savings!B101)</f>
        <v/>
      </c>
      <c r="D294" s="40" t="str">
        <f>IF(Agent02_Savings!A101="","",Agent02_Savings!G101)</f>
        <v/>
      </c>
      <c r="E294" s="41" t="str">
        <f>IF(Agent02_Savings!A101="","",Agent02_Savings!D101)</f>
        <v/>
      </c>
      <c r="F294" s="42" t="str">
        <f>IF(Agent02_Savings!A101="","",Agent02_Savings!E101)</f>
        <v/>
      </c>
      <c r="G294" s="42" t="str">
        <f>IF(Agent02_Savings!A101="","",Agent02_Savings!F101)</f>
        <v/>
      </c>
      <c r="H294" s="40" t="str">
        <f>IF(Agent02_Savings!A101="","",Agent02_Savings!I101)</f>
        <v/>
      </c>
      <c r="I294" s="40" t="str">
        <f>IF(Agent02_Savings!A101="","",Agent02_Savings!J101)</f>
        <v/>
      </c>
      <c r="J294" s="40" t="str">
        <f>IF(Agent02_Savings!A101="","",Agent02_Savings!K101)</f>
        <v/>
      </c>
      <c r="K294" s="40" t="str">
        <f>IFERROR(IF(Agent02_Savings!A101="","",YEAR(Agent02_Savings!D101)),"")</f>
        <v/>
      </c>
    </row>
    <row r="295" spans="1:11" ht="18" customHeight="1" x14ac:dyDescent="0.25">
      <c r="A295" s="40" t="str">
        <f>IF(Agent02_Savings!A102="","",Agent02_Savings!A102)</f>
        <v/>
      </c>
      <c r="B295" s="40" t="str">
        <f ca="1">IF(Agent02_Savings!A102="","","SV"&amp;TEXT(295-3,"0000")&amp;"-"&amp;TEXT(TODAY(),"YYYYMMDD"))</f>
        <v/>
      </c>
      <c r="C295" s="40" t="str">
        <f>IF(Agent02_Savings!A102="","",Agent02_Savings!B102)</f>
        <v/>
      </c>
      <c r="D295" s="40" t="str">
        <f>IF(Agent02_Savings!A102="","",Agent02_Savings!G102)</f>
        <v/>
      </c>
      <c r="E295" s="41" t="str">
        <f>IF(Agent02_Savings!A102="","",Agent02_Savings!D102)</f>
        <v/>
      </c>
      <c r="F295" s="42" t="str">
        <f>IF(Agent02_Savings!A102="","",Agent02_Savings!E102)</f>
        <v/>
      </c>
      <c r="G295" s="42" t="str">
        <f>IF(Agent02_Savings!A102="","",Agent02_Savings!F102)</f>
        <v/>
      </c>
      <c r="H295" s="40" t="str">
        <f>IF(Agent02_Savings!A102="","",Agent02_Savings!I102)</f>
        <v/>
      </c>
      <c r="I295" s="40" t="str">
        <f>IF(Agent02_Savings!A102="","",Agent02_Savings!J102)</f>
        <v/>
      </c>
      <c r="J295" s="40" t="str">
        <f>IF(Agent02_Savings!A102="","",Agent02_Savings!K102)</f>
        <v/>
      </c>
      <c r="K295" s="40" t="str">
        <f>IFERROR(IF(Agent02_Savings!A102="","",YEAR(Agent02_Savings!D102)),"")</f>
        <v/>
      </c>
    </row>
    <row r="296" spans="1:11" ht="18" customHeight="1" x14ac:dyDescent="0.25">
      <c r="A296" s="40" t="str">
        <f>IF(Agent02_Savings!A103="","",Agent02_Savings!A103)</f>
        <v/>
      </c>
      <c r="B296" s="40" t="str">
        <f ca="1">IF(Agent02_Savings!A103="","","SV"&amp;TEXT(296-3,"0000")&amp;"-"&amp;TEXT(TODAY(),"YYYYMMDD"))</f>
        <v/>
      </c>
      <c r="C296" s="40" t="str">
        <f>IF(Agent02_Savings!A103="","",Agent02_Savings!B103)</f>
        <v/>
      </c>
      <c r="D296" s="40" t="str">
        <f>IF(Agent02_Savings!A103="","",Agent02_Savings!G103)</f>
        <v/>
      </c>
      <c r="E296" s="41" t="str">
        <f>IF(Agent02_Savings!A103="","",Agent02_Savings!D103)</f>
        <v/>
      </c>
      <c r="F296" s="42" t="str">
        <f>IF(Agent02_Savings!A103="","",Agent02_Savings!E103)</f>
        <v/>
      </c>
      <c r="G296" s="42" t="str">
        <f>IF(Agent02_Savings!A103="","",Agent02_Savings!F103)</f>
        <v/>
      </c>
      <c r="H296" s="40" t="str">
        <f>IF(Agent02_Savings!A103="","",Agent02_Savings!I103)</f>
        <v/>
      </c>
      <c r="I296" s="40" t="str">
        <f>IF(Agent02_Savings!A103="","",Agent02_Savings!J103)</f>
        <v/>
      </c>
      <c r="J296" s="40" t="str">
        <f>IF(Agent02_Savings!A103="","",Agent02_Savings!K103)</f>
        <v/>
      </c>
      <c r="K296" s="40" t="str">
        <f>IFERROR(IF(Agent02_Savings!A103="","",YEAR(Agent02_Savings!D103)),"")</f>
        <v/>
      </c>
    </row>
    <row r="297" spans="1:11" ht="18" customHeight="1" x14ac:dyDescent="0.25">
      <c r="A297" s="40" t="str">
        <f>IF(Agent02_Savings!A104="","",Agent02_Savings!A104)</f>
        <v/>
      </c>
      <c r="B297" s="40" t="str">
        <f ca="1">IF(Agent02_Savings!A104="","","SV"&amp;TEXT(297-3,"0000")&amp;"-"&amp;TEXT(TODAY(),"YYYYMMDD"))</f>
        <v/>
      </c>
      <c r="C297" s="40" t="str">
        <f>IF(Agent02_Savings!A104="","",Agent02_Savings!B104)</f>
        <v/>
      </c>
      <c r="D297" s="40" t="str">
        <f>IF(Agent02_Savings!A104="","",Agent02_Savings!G104)</f>
        <v/>
      </c>
      <c r="E297" s="41" t="str">
        <f>IF(Agent02_Savings!A104="","",Agent02_Savings!D104)</f>
        <v/>
      </c>
      <c r="F297" s="42" t="str">
        <f>IF(Agent02_Savings!A104="","",Agent02_Savings!E104)</f>
        <v/>
      </c>
      <c r="G297" s="42" t="str">
        <f>IF(Agent02_Savings!A104="","",Agent02_Savings!F104)</f>
        <v/>
      </c>
      <c r="H297" s="40" t="str">
        <f>IF(Agent02_Savings!A104="","",Agent02_Savings!I104)</f>
        <v/>
      </c>
      <c r="I297" s="40" t="str">
        <f>IF(Agent02_Savings!A104="","",Agent02_Savings!J104)</f>
        <v/>
      </c>
      <c r="J297" s="40" t="str">
        <f>IF(Agent02_Savings!A104="","",Agent02_Savings!K104)</f>
        <v/>
      </c>
      <c r="K297" s="40" t="str">
        <f>IFERROR(IF(Agent02_Savings!A104="","",YEAR(Agent02_Savings!D104)),"")</f>
        <v/>
      </c>
    </row>
    <row r="298" spans="1:11" ht="18" customHeight="1" x14ac:dyDescent="0.25">
      <c r="A298" s="40" t="str">
        <f>IF(Agent02_Savings!A105="","",Agent02_Savings!A105)</f>
        <v/>
      </c>
      <c r="B298" s="40" t="str">
        <f ca="1">IF(Agent02_Savings!A105="","","SV"&amp;TEXT(298-3,"0000")&amp;"-"&amp;TEXT(TODAY(),"YYYYMMDD"))</f>
        <v/>
      </c>
      <c r="C298" s="40" t="str">
        <f>IF(Agent02_Savings!A105="","",Agent02_Savings!B105)</f>
        <v/>
      </c>
      <c r="D298" s="40" t="str">
        <f>IF(Agent02_Savings!A105="","",Agent02_Savings!G105)</f>
        <v/>
      </c>
      <c r="E298" s="41" t="str">
        <f>IF(Agent02_Savings!A105="","",Agent02_Savings!D105)</f>
        <v/>
      </c>
      <c r="F298" s="42" t="str">
        <f>IF(Agent02_Savings!A105="","",Agent02_Savings!E105)</f>
        <v/>
      </c>
      <c r="G298" s="42" t="str">
        <f>IF(Agent02_Savings!A105="","",Agent02_Savings!F105)</f>
        <v/>
      </c>
      <c r="H298" s="40" t="str">
        <f>IF(Agent02_Savings!A105="","",Agent02_Savings!I105)</f>
        <v/>
      </c>
      <c r="I298" s="40" t="str">
        <f>IF(Agent02_Savings!A105="","",Agent02_Savings!J105)</f>
        <v/>
      </c>
      <c r="J298" s="40" t="str">
        <f>IF(Agent02_Savings!A105="","",Agent02_Savings!K105)</f>
        <v/>
      </c>
      <c r="K298" s="40" t="str">
        <f>IFERROR(IF(Agent02_Savings!A105="","",YEAR(Agent02_Savings!D105)),"")</f>
        <v/>
      </c>
    </row>
    <row r="299" spans="1:11" ht="18" customHeight="1" x14ac:dyDescent="0.25">
      <c r="A299" s="40" t="str">
        <f>IF(Agent02_Savings!A106="","",Agent02_Savings!A106)</f>
        <v/>
      </c>
      <c r="B299" s="40" t="str">
        <f ca="1">IF(Agent02_Savings!A106="","","SV"&amp;TEXT(299-3,"0000")&amp;"-"&amp;TEXT(TODAY(),"YYYYMMDD"))</f>
        <v/>
      </c>
      <c r="C299" s="40" t="str">
        <f>IF(Agent02_Savings!A106="","",Agent02_Savings!B106)</f>
        <v/>
      </c>
      <c r="D299" s="40" t="str">
        <f>IF(Agent02_Savings!A106="","",Agent02_Savings!G106)</f>
        <v/>
      </c>
      <c r="E299" s="41" t="str">
        <f>IF(Agent02_Savings!A106="","",Agent02_Savings!D106)</f>
        <v/>
      </c>
      <c r="F299" s="42" t="str">
        <f>IF(Agent02_Savings!A106="","",Agent02_Savings!E106)</f>
        <v/>
      </c>
      <c r="G299" s="42" t="str">
        <f>IF(Agent02_Savings!A106="","",Agent02_Savings!F106)</f>
        <v/>
      </c>
      <c r="H299" s="40" t="str">
        <f>IF(Agent02_Savings!A106="","",Agent02_Savings!I106)</f>
        <v/>
      </c>
      <c r="I299" s="40" t="str">
        <f>IF(Agent02_Savings!A106="","",Agent02_Savings!J106)</f>
        <v/>
      </c>
      <c r="J299" s="40" t="str">
        <f>IF(Agent02_Savings!A106="","",Agent02_Savings!K106)</f>
        <v/>
      </c>
      <c r="K299" s="40" t="str">
        <f>IFERROR(IF(Agent02_Savings!A106="","",YEAR(Agent02_Savings!D106)),"")</f>
        <v/>
      </c>
    </row>
    <row r="300" spans="1:11" ht="18" customHeight="1" x14ac:dyDescent="0.25">
      <c r="A300" s="40" t="str">
        <f>IF(Agent02_Savings!A107="","",Agent02_Savings!A107)</f>
        <v/>
      </c>
      <c r="B300" s="40" t="str">
        <f ca="1">IF(Agent02_Savings!A107="","","SV"&amp;TEXT(300-3,"0000")&amp;"-"&amp;TEXT(TODAY(),"YYYYMMDD"))</f>
        <v/>
      </c>
      <c r="C300" s="40" t="str">
        <f>IF(Agent02_Savings!A107="","",Agent02_Savings!B107)</f>
        <v/>
      </c>
      <c r="D300" s="40" t="str">
        <f>IF(Agent02_Savings!A107="","",Agent02_Savings!G107)</f>
        <v/>
      </c>
      <c r="E300" s="41" t="str">
        <f>IF(Agent02_Savings!A107="","",Agent02_Savings!D107)</f>
        <v/>
      </c>
      <c r="F300" s="42" t="str">
        <f>IF(Agent02_Savings!A107="","",Agent02_Savings!E107)</f>
        <v/>
      </c>
      <c r="G300" s="42" t="str">
        <f>IF(Agent02_Savings!A107="","",Agent02_Savings!F107)</f>
        <v/>
      </c>
      <c r="H300" s="40" t="str">
        <f>IF(Agent02_Savings!A107="","",Agent02_Savings!I107)</f>
        <v/>
      </c>
      <c r="I300" s="40" t="str">
        <f>IF(Agent02_Savings!A107="","",Agent02_Savings!J107)</f>
        <v/>
      </c>
      <c r="J300" s="40" t="str">
        <f>IF(Agent02_Savings!A107="","",Agent02_Savings!K107)</f>
        <v/>
      </c>
      <c r="K300" s="40" t="str">
        <f>IFERROR(IF(Agent02_Savings!A107="","",YEAR(Agent02_Savings!D107)),"")</f>
        <v/>
      </c>
    </row>
    <row r="301" spans="1:11" ht="18" customHeight="1" x14ac:dyDescent="0.25">
      <c r="A301" s="40" t="str">
        <f>IF(Agent02_Savings!A108="","",Agent02_Savings!A108)</f>
        <v/>
      </c>
      <c r="B301" s="40" t="str">
        <f ca="1">IF(Agent02_Savings!A108="","","SV"&amp;TEXT(301-3,"0000")&amp;"-"&amp;TEXT(TODAY(),"YYYYMMDD"))</f>
        <v/>
      </c>
      <c r="C301" s="40" t="str">
        <f>IF(Agent02_Savings!A108="","",Agent02_Savings!B108)</f>
        <v/>
      </c>
      <c r="D301" s="40" t="str">
        <f>IF(Agent02_Savings!A108="","",Agent02_Savings!G108)</f>
        <v/>
      </c>
      <c r="E301" s="41" t="str">
        <f>IF(Agent02_Savings!A108="","",Agent02_Savings!D108)</f>
        <v/>
      </c>
      <c r="F301" s="42" t="str">
        <f>IF(Agent02_Savings!A108="","",Agent02_Savings!E108)</f>
        <v/>
      </c>
      <c r="G301" s="42" t="str">
        <f>IF(Agent02_Savings!A108="","",Agent02_Savings!F108)</f>
        <v/>
      </c>
      <c r="H301" s="40" t="str">
        <f>IF(Agent02_Savings!A108="","",Agent02_Savings!I108)</f>
        <v/>
      </c>
      <c r="I301" s="40" t="str">
        <f>IF(Agent02_Savings!A108="","",Agent02_Savings!J108)</f>
        <v/>
      </c>
      <c r="J301" s="40" t="str">
        <f>IF(Agent02_Savings!A108="","",Agent02_Savings!K108)</f>
        <v/>
      </c>
      <c r="K301" s="40" t="str">
        <f>IFERROR(IF(Agent02_Savings!A108="","",YEAR(Agent02_Savings!D108)),"")</f>
        <v/>
      </c>
    </row>
    <row r="302" spans="1:11" ht="18" customHeight="1" x14ac:dyDescent="0.25">
      <c r="A302" s="40" t="str">
        <f>IF(Agent02_Savings!A109="","",Agent02_Savings!A109)</f>
        <v/>
      </c>
      <c r="B302" s="40" t="str">
        <f ca="1">IF(Agent02_Savings!A109="","","SV"&amp;TEXT(302-3,"0000")&amp;"-"&amp;TEXT(TODAY(),"YYYYMMDD"))</f>
        <v/>
      </c>
      <c r="C302" s="40" t="str">
        <f>IF(Agent02_Savings!A109="","",Agent02_Savings!B109)</f>
        <v/>
      </c>
      <c r="D302" s="40" t="str">
        <f>IF(Agent02_Savings!A109="","",Agent02_Savings!G109)</f>
        <v/>
      </c>
      <c r="E302" s="41" t="str">
        <f>IF(Agent02_Savings!A109="","",Agent02_Savings!D109)</f>
        <v/>
      </c>
      <c r="F302" s="42" t="str">
        <f>IF(Agent02_Savings!A109="","",Agent02_Savings!E109)</f>
        <v/>
      </c>
      <c r="G302" s="42" t="str">
        <f>IF(Agent02_Savings!A109="","",Agent02_Savings!F109)</f>
        <v/>
      </c>
      <c r="H302" s="40" t="str">
        <f>IF(Agent02_Savings!A109="","",Agent02_Savings!I109)</f>
        <v/>
      </c>
      <c r="I302" s="40" t="str">
        <f>IF(Agent02_Savings!A109="","",Agent02_Savings!J109)</f>
        <v/>
      </c>
      <c r="J302" s="40" t="str">
        <f>IF(Agent02_Savings!A109="","",Agent02_Savings!K109)</f>
        <v/>
      </c>
      <c r="K302" s="40" t="str">
        <f>IFERROR(IF(Agent02_Savings!A109="","",YEAR(Agent02_Savings!D109)),"")</f>
        <v/>
      </c>
    </row>
    <row r="303" spans="1:11" ht="18" customHeight="1" x14ac:dyDescent="0.25">
      <c r="A303" s="40" t="str">
        <f>IF(Agent02_Savings!A110="","",Agent02_Savings!A110)</f>
        <v/>
      </c>
      <c r="B303" s="40" t="str">
        <f ca="1">IF(Agent02_Savings!A110="","","SV"&amp;TEXT(303-3,"0000")&amp;"-"&amp;TEXT(TODAY(),"YYYYMMDD"))</f>
        <v/>
      </c>
      <c r="C303" s="40" t="str">
        <f>IF(Agent02_Savings!A110="","",Agent02_Savings!B110)</f>
        <v/>
      </c>
      <c r="D303" s="40" t="str">
        <f>IF(Agent02_Savings!A110="","",Agent02_Savings!G110)</f>
        <v/>
      </c>
      <c r="E303" s="41" t="str">
        <f>IF(Agent02_Savings!A110="","",Agent02_Savings!D110)</f>
        <v/>
      </c>
      <c r="F303" s="42" t="str">
        <f>IF(Agent02_Savings!A110="","",Agent02_Savings!E110)</f>
        <v/>
      </c>
      <c r="G303" s="42" t="str">
        <f>IF(Agent02_Savings!A110="","",Agent02_Savings!F110)</f>
        <v/>
      </c>
      <c r="H303" s="40" t="str">
        <f>IF(Agent02_Savings!A110="","",Agent02_Savings!I110)</f>
        <v/>
      </c>
      <c r="I303" s="40" t="str">
        <f>IF(Agent02_Savings!A110="","",Agent02_Savings!J110)</f>
        <v/>
      </c>
      <c r="J303" s="40" t="str">
        <f>IF(Agent02_Savings!A110="","",Agent02_Savings!K110)</f>
        <v/>
      </c>
      <c r="K303" s="40" t="str">
        <f>IFERROR(IF(Agent02_Savings!A110="","",YEAR(Agent02_Savings!D110)),"")</f>
        <v/>
      </c>
    </row>
    <row r="304" spans="1:11" ht="18" customHeight="1" x14ac:dyDescent="0.25">
      <c r="A304" s="40" t="str">
        <f>IF(Agent02_Savings!A111="","",Agent02_Savings!A111)</f>
        <v/>
      </c>
      <c r="B304" s="40" t="str">
        <f ca="1">IF(Agent02_Savings!A111="","","SV"&amp;TEXT(304-3,"0000")&amp;"-"&amp;TEXT(TODAY(),"YYYYMMDD"))</f>
        <v/>
      </c>
      <c r="C304" s="40" t="str">
        <f>IF(Agent02_Savings!A111="","",Agent02_Savings!B111)</f>
        <v/>
      </c>
      <c r="D304" s="40" t="str">
        <f>IF(Agent02_Savings!A111="","",Agent02_Savings!G111)</f>
        <v/>
      </c>
      <c r="E304" s="41" t="str">
        <f>IF(Agent02_Savings!A111="","",Agent02_Savings!D111)</f>
        <v/>
      </c>
      <c r="F304" s="42" t="str">
        <f>IF(Agent02_Savings!A111="","",Agent02_Savings!E111)</f>
        <v/>
      </c>
      <c r="G304" s="42" t="str">
        <f>IF(Agent02_Savings!A111="","",Agent02_Savings!F111)</f>
        <v/>
      </c>
      <c r="H304" s="40" t="str">
        <f>IF(Agent02_Savings!A111="","",Agent02_Savings!I111)</f>
        <v/>
      </c>
      <c r="I304" s="40" t="str">
        <f>IF(Agent02_Savings!A111="","",Agent02_Savings!J111)</f>
        <v/>
      </c>
      <c r="J304" s="40" t="str">
        <f>IF(Agent02_Savings!A111="","",Agent02_Savings!K111)</f>
        <v/>
      </c>
      <c r="K304" s="40" t="str">
        <f>IFERROR(IF(Agent02_Savings!A111="","",YEAR(Agent02_Savings!D111)),"")</f>
        <v/>
      </c>
    </row>
    <row r="305" spans="1:11" ht="18" customHeight="1" x14ac:dyDescent="0.25">
      <c r="A305" s="40" t="str">
        <f>IF(Agent02_Savings!A112="","",Agent02_Savings!A112)</f>
        <v/>
      </c>
      <c r="B305" s="40" t="str">
        <f ca="1">IF(Agent02_Savings!A112="","","SV"&amp;TEXT(305-3,"0000")&amp;"-"&amp;TEXT(TODAY(),"YYYYMMDD"))</f>
        <v/>
      </c>
      <c r="C305" s="40" t="str">
        <f>IF(Agent02_Savings!A112="","",Agent02_Savings!B112)</f>
        <v/>
      </c>
      <c r="D305" s="40" t="str">
        <f>IF(Agent02_Savings!A112="","",Agent02_Savings!G112)</f>
        <v/>
      </c>
      <c r="E305" s="41" t="str">
        <f>IF(Agent02_Savings!A112="","",Agent02_Savings!D112)</f>
        <v/>
      </c>
      <c r="F305" s="42" t="str">
        <f>IF(Agent02_Savings!A112="","",Agent02_Savings!E112)</f>
        <v/>
      </c>
      <c r="G305" s="42" t="str">
        <f>IF(Agent02_Savings!A112="","",Agent02_Savings!F112)</f>
        <v/>
      </c>
      <c r="H305" s="40" t="str">
        <f>IF(Agent02_Savings!A112="","",Agent02_Savings!I112)</f>
        <v/>
      </c>
      <c r="I305" s="40" t="str">
        <f>IF(Agent02_Savings!A112="","",Agent02_Savings!J112)</f>
        <v/>
      </c>
      <c r="J305" s="40" t="str">
        <f>IF(Agent02_Savings!A112="","",Agent02_Savings!K112)</f>
        <v/>
      </c>
      <c r="K305" s="40" t="str">
        <f>IFERROR(IF(Agent02_Savings!A112="","",YEAR(Agent02_Savings!D112)),"")</f>
        <v/>
      </c>
    </row>
    <row r="306" spans="1:11" ht="18" customHeight="1" x14ac:dyDescent="0.25">
      <c r="A306" s="40" t="str">
        <f>IF(Agent02_Savings!A113="","",Agent02_Savings!A113)</f>
        <v/>
      </c>
      <c r="B306" s="40" t="str">
        <f ca="1">IF(Agent02_Savings!A113="","","SV"&amp;TEXT(306-3,"0000")&amp;"-"&amp;TEXT(TODAY(),"YYYYMMDD"))</f>
        <v/>
      </c>
      <c r="C306" s="40" t="str">
        <f>IF(Agent02_Savings!A113="","",Agent02_Savings!B113)</f>
        <v/>
      </c>
      <c r="D306" s="40" t="str">
        <f>IF(Agent02_Savings!A113="","",Agent02_Savings!G113)</f>
        <v/>
      </c>
      <c r="E306" s="41" t="str">
        <f>IF(Agent02_Savings!A113="","",Agent02_Savings!D113)</f>
        <v/>
      </c>
      <c r="F306" s="42" t="str">
        <f>IF(Agent02_Savings!A113="","",Agent02_Savings!E113)</f>
        <v/>
      </c>
      <c r="G306" s="42" t="str">
        <f>IF(Agent02_Savings!A113="","",Agent02_Savings!F113)</f>
        <v/>
      </c>
      <c r="H306" s="40" t="str">
        <f>IF(Agent02_Savings!A113="","",Agent02_Savings!I113)</f>
        <v/>
      </c>
      <c r="I306" s="40" t="str">
        <f>IF(Agent02_Savings!A113="","",Agent02_Savings!J113)</f>
        <v/>
      </c>
      <c r="J306" s="40" t="str">
        <f>IF(Agent02_Savings!A113="","",Agent02_Savings!K113)</f>
        <v/>
      </c>
      <c r="K306" s="40" t="str">
        <f>IFERROR(IF(Agent02_Savings!A113="","",YEAR(Agent02_Savings!D113)),"")</f>
        <v/>
      </c>
    </row>
    <row r="307" spans="1:11" ht="18" customHeight="1" x14ac:dyDescent="0.25">
      <c r="A307" s="40" t="str">
        <f>IF(Agent02_Savings!A114="","",Agent02_Savings!A114)</f>
        <v/>
      </c>
      <c r="B307" s="40" t="str">
        <f ca="1">IF(Agent02_Savings!A114="","","SV"&amp;TEXT(307-3,"0000")&amp;"-"&amp;TEXT(TODAY(),"YYYYMMDD"))</f>
        <v/>
      </c>
      <c r="C307" s="40" t="str">
        <f>IF(Agent02_Savings!A114="","",Agent02_Savings!B114)</f>
        <v/>
      </c>
      <c r="D307" s="40" t="str">
        <f>IF(Agent02_Savings!A114="","",Agent02_Savings!G114)</f>
        <v/>
      </c>
      <c r="E307" s="41" t="str">
        <f>IF(Agent02_Savings!A114="","",Agent02_Savings!D114)</f>
        <v/>
      </c>
      <c r="F307" s="42" t="str">
        <f>IF(Agent02_Savings!A114="","",Agent02_Savings!E114)</f>
        <v/>
      </c>
      <c r="G307" s="42" t="str">
        <f>IF(Agent02_Savings!A114="","",Agent02_Savings!F114)</f>
        <v/>
      </c>
      <c r="H307" s="40" t="str">
        <f>IF(Agent02_Savings!A114="","",Agent02_Savings!I114)</f>
        <v/>
      </c>
      <c r="I307" s="40" t="str">
        <f>IF(Agent02_Savings!A114="","",Agent02_Savings!J114)</f>
        <v/>
      </c>
      <c r="J307" s="40" t="str">
        <f>IF(Agent02_Savings!A114="","",Agent02_Savings!K114)</f>
        <v/>
      </c>
      <c r="K307" s="40" t="str">
        <f>IFERROR(IF(Agent02_Savings!A114="","",YEAR(Agent02_Savings!D114)),"")</f>
        <v/>
      </c>
    </row>
    <row r="308" spans="1:11" ht="18" customHeight="1" x14ac:dyDescent="0.25">
      <c r="A308" s="40" t="str">
        <f>IF(Agent02_Savings!A115="","",Agent02_Savings!A115)</f>
        <v/>
      </c>
      <c r="B308" s="40" t="str">
        <f ca="1">IF(Agent02_Savings!A115="","","SV"&amp;TEXT(308-3,"0000")&amp;"-"&amp;TEXT(TODAY(),"YYYYMMDD"))</f>
        <v/>
      </c>
      <c r="C308" s="40" t="str">
        <f>IF(Agent02_Savings!A115="","",Agent02_Savings!B115)</f>
        <v/>
      </c>
      <c r="D308" s="40" t="str">
        <f>IF(Agent02_Savings!A115="","",Agent02_Savings!G115)</f>
        <v/>
      </c>
      <c r="E308" s="41" t="str">
        <f>IF(Agent02_Savings!A115="","",Agent02_Savings!D115)</f>
        <v/>
      </c>
      <c r="F308" s="42" t="str">
        <f>IF(Agent02_Savings!A115="","",Agent02_Savings!E115)</f>
        <v/>
      </c>
      <c r="G308" s="42" t="str">
        <f>IF(Agent02_Savings!A115="","",Agent02_Savings!F115)</f>
        <v/>
      </c>
      <c r="H308" s="40" t="str">
        <f>IF(Agent02_Savings!A115="","",Agent02_Savings!I115)</f>
        <v/>
      </c>
      <c r="I308" s="40" t="str">
        <f>IF(Agent02_Savings!A115="","",Agent02_Savings!J115)</f>
        <v/>
      </c>
      <c r="J308" s="40" t="str">
        <f>IF(Agent02_Savings!A115="","",Agent02_Savings!K115)</f>
        <v/>
      </c>
      <c r="K308" s="40" t="str">
        <f>IFERROR(IF(Agent02_Savings!A115="","",YEAR(Agent02_Savings!D115)),"")</f>
        <v/>
      </c>
    </row>
    <row r="309" spans="1:11" ht="18" customHeight="1" x14ac:dyDescent="0.25">
      <c r="A309" s="40" t="str">
        <f>IF(Agent02_Savings!A116="","",Agent02_Savings!A116)</f>
        <v/>
      </c>
      <c r="B309" s="40" t="str">
        <f ca="1">IF(Agent02_Savings!A116="","","SV"&amp;TEXT(309-3,"0000")&amp;"-"&amp;TEXT(TODAY(),"YYYYMMDD"))</f>
        <v/>
      </c>
      <c r="C309" s="40" t="str">
        <f>IF(Agent02_Savings!A116="","",Agent02_Savings!B116)</f>
        <v/>
      </c>
      <c r="D309" s="40" t="str">
        <f>IF(Agent02_Savings!A116="","",Agent02_Savings!G116)</f>
        <v/>
      </c>
      <c r="E309" s="41" t="str">
        <f>IF(Agent02_Savings!A116="","",Agent02_Savings!D116)</f>
        <v/>
      </c>
      <c r="F309" s="42" t="str">
        <f>IF(Agent02_Savings!A116="","",Agent02_Savings!E116)</f>
        <v/>
      </c>
      <c r="G309" s="42" t="str">
        <f>IF(Agent02_Savings!A116="","",Agent02_Savings!F116)</f>
        <v/>
      </c>
      <c r="H309" s="40" t="str">
        <f>IF(Agent02_Savings!A116="","",Agent02_Savings!I116)</f>
        <v/>
      </c>
      <c r="I309" s="40" t="str">
        <f>IF(Agent02_Savings!A116="","",Agent02_Savings!J116)</f>
        <v/>
      </c>
      <c r="J309" s="40" t="str">
        <f>IF(Agent02_Savings!A116="","",Agent02_Savings!K116)</f>
        <v/>
      </c>
      <c r="K309" s="40" t="str">
        <f>IFERROR(IF(Agent02_Savings!A116="","",YEAR(Agent02_Savings!D116)),"")</f>
        <v/>
      </c>
    </row>
    <row r="310" spans="1:11" ht="18" customHeight="1" x14ac:dyDescent="0.25">
      <c r="A310" s="40" t="str">
        <f>IF(Agent02_Savings!A117="","",Agent02_Savings!A117)</f>
        <v/>
      </c>
      <c r="B310" s="40" t="str">
        <f ca="1">IF(Agent02_Savings!A117="","","SV"&amp;TEXT(310-3,"0000")&amp;"-"&amp;TEXT(TODAY(),"YYYYMMDD"))</f>
        <v/>
      </c>
      <c r="C310" s="40" t="str">
        <f>IF(Agent02_Savings!A117="","",Agent02_Savings!B117)</f>
        <v/>
      </c>
      <c r="D310" s="40" t="str">
        <f>IF(Agent02_Savings!A117="","",Agent02_Savings!G117)</f>
        <v/>
      </c>
      <c r="E310" s="41" t="str">
        <f>IF(Agent02_Savings!A117="","",Agent02_Savings!D117)</f>
        <v/>
      </c>
      <c r="F310" s="42" t="str">
        <f>IF(Agent02_Savings!A117="","",Agent02_Savings!E117)</f>
        <v/>
      </c>
      <c r="G310" s="42" t="str">
        <f>IF(Agent02_Savings!A117="","",Agent02_Savings!F117)</f>
        <v/>
      </c>
      <c r="H310" s="40" t="str">
        <f>IF(Agent02_Savings!A117="","",Agent02_Savings!I117)</f>
        <v/>
      </c>
      <c r="I310" s="40" t="str">
        <f>IF(Agent02_Savings!A117="","",Agent02_Savings!J117)</f>
        <v/>
      </c>
      <c r="J310" s="40" t="str">
        <f>IF(Agent02_Savings!A117="","",Agent02_Savings!K117)</f>
        <v/>
      </c>
      <c r="K310" s="40" t="str">
        <f>IFERROR(IF(Agent02_Savings!A117="","",YEAR(Agent02_Savings!D117)),"")</f>
        <v/>
      </c>
    </row>
    <row r="311" spans="1:11" ht="18" customHeight="1" x14ac:dyDescent="0.25">
      <c r="A311" s="40" t="str">
        <f>IF(Agent02_Savings!A118="","",Agent02_Savings!A118)</f>
        <v/>
      </c>
      <c r="B311" s="40" t="str">
        <f ca="1">IF(Agent02_Savings!A118="","","SV"&amp;TEXT(311-3,"0000")&amp;"-"&amp;TEXT(TODAY(),"YYYYMMDD"))</f>
        <v/>
      </c>
      <c r="C311" s="40" t="str">
        <f>IF(Agent02_Savings!A118="","",Agent02_Savings!B118)</f>
        <v/>
      </c>
      <c r="D311" s="40" t="str">
        <f>IF(Agent02_Savings!A118="","",Agent02_Savings!G118)</f>
        <v/>
      </c>
      <c r="E311" s="41" t="str">
        <f>IF(Agent02_Savings!A118="","",Agent02_Savings!D118)</f>
        <v/>
      </c>
      <c r="F311" s="42" t="str">
        <f>IF(Agent02_Savings!A118="","",Agent02_Savings!E118)</f>
        <v/>
      </c>
      <c r="G311" s="42" t="str">
        <f>IF(Agent02_Savings!A118="","",Agent02_Savings!F118)</f>
        <v/>
      </c>
      <c r="H311" s="40" t="str">
        <f>IF(Agent02_Savings!A118="","",Agent02_Savings!I118)</f>
        <v/>
      </c>
      <c r="I311" s="40" t="str">
        <f>IF(Agent02_Savings!A118="","",Agent02_Savings!J118)</f>
        <v/>
      </c>
      <c r="J311" s="40" t="str">
        <f>IF(Agent02_Savings!A118="","",Agent02_Savings!K118)</f>
        <v/>
      </c>
      <c r="K311" s="40" t="str">
        <f>IFERROR(IF(Agent02_Savings!A118="","",YEAR(Agent02_Savings!D118)),"")</f>
        <v/>
      </c>
    </row>
    <row r="312" spans="1:11" ht="18" customHeight="1" x14ac:dyDescent="0.25">
      <c r="A312" s="40" t="str">
        <f>IF(Agent02_Savings!A119="","",Agent02_Savings!A119)</f>
        <v/>
      </c>
      <c r="B312" s="40" t="str">
        <f ca="1">IF(Agent02_Savings!A119="","","SV"&amp;TEXT(312-3,"0000")&amp;"-"&amp;TEXT(TODAY(),"YYYYMMDD"))</f>
        <v/>
      </c>
      <c r="C312" s="40" t="str">
        <f>IF(Agent02_Savings!A119="","",Agent02_Savings!B119)</f>
        <v/>
      </c>
      <c r="D312" s="40" t="str">
        <f>IF(Agent02_Savings!A119="","",Agent02_Savings!G119)</f>
        <v/>
      </c>
      <c r="E312" s="41" t="str">
        <f>IF(Agent02_Savings!A119="","",Agent02_Savings!D119)</f>
        <v/>
      </c>
      <c r="F312" s="42" t="str">
        <f>IF(Agent02_Savings!A119="","",Agent02_Savings!E119)</f>
        <v/>
      </c>
      <c r="G312" s="42" t="str">
        <f>IF(Agent02_Savings!A119="","",Agent02_Savings!F119)</f>
        <v/>
      </c>
      <c r="H312" s="40" t="str">
        <f>IF(Agent02_Savings!A119="","",Agent02_Savings!I119)</f>
        <v/>
      </c>
      <c r="I312" s="40" t="str">
        <f>IF(Agent02_Savings!A119="","",Agent02_Savings!J119)</f>
        <v/>
      </c>
      <c r="J312" s="40" t="str">
        <f>IF(Agent02_Savings!A119="","",Agent02_Savings!K119)</f>
        <v/>
      </c>
      <c r="K312" s="40" t="str">
        <f>IFERROR(IF(Agent02_Savings!A119="","",YEAR(Agent02_Savings!D119)),"")</f>
        <v/>
      </c>
    </row>
    <row r="313" spans="1:11" ht="18" customHeight="1" x14ac:dyDescent="0.25">
      <c r="A313" s="40" t="str">
        <f>IF(Agent02_Savings!A120="","",Agent02_Savings!A120)</f>
        <v/>
      </c>
      <c r="B313" s="40" t="str">
        <f ca="1">IF(Agent02_Savings!A120="","","SV"&amp;TEXT(313-3,"0000")&amp;"-"&amp;TEXT(TODAY(),"YYYYMMDD"))</f>
        <v/>
      </c>
      <c r="C313" s="40" t="str">
        <f>IF(Agent02_Savings!A120="","",Agent02_Savings!B120)</f>
        <v/>
      </c>
      <c r="D313" s="40" t="str">
        <f>IF(Agent02_Savings!A120="","",Agent02_Savings!G120)</f>
        <v/>
      </c>
      <c r="E313" s="41" t="str">
        <f>IF(Agent02_Savings!A120="","",Agent02_Savings!D120)</f>
        <v/>
      </c>
      <c r="F313" s="42" t="str">
        <f>IF(Agent02_Savings!A120="","",Agent02_Savings!E120)</f>
        <v/>
      </c>
      <c r="G313" s="42" t="str">
        <f>IF(Agent02_Savings!A120="","",Agent02_Savings!F120)</f>
        <v/>
      </c>
      <c r="H313" s="40" t="str">
        <f>IF(Agent02_Savings!A120="","",Agent02_Savings!I120)</f>
        <v/>
      </c>
      <c r="I313" s="40" t="str">
        <f>IF(Agent02_Savings!A120="","",Agent02_Savings!J120)</f>
        <v/>
      </c>
      <c r="J313" s="40" t="str">
        <f>IF(Agent02_Savings!A120="","",Agent02_Savings!K120)</f>
        <v/>
      </c>
      <c r="K313" s="40" t="str">
        <f>IFERROR(IF(Agent02_Savings!A120="","",YEAR(Agent02_Savings!D120)),"")</f>
        <v/>
      </c>
    </row>
    <row r="314" spans="1:11" ht="18" customHeight="1" x14ac:dyDescent="0.25">
      <c r="A314" s="40" t="str">
        <f>IF(Agent02_Savings!A121="","",Agent02_Savings!A121)</f>
        <v/>
      </c>
      <c r="B314" s="40" t="str">
        <f ca="1">IF(Agent02_Savings!A121="","","SV"&amp;TEXT(314-3,"0000")&amp;"-"&amp;TEXT(TODAY(),"YYYYMMDD"))</f>
        <v/>
      </c>
      <c r="C314" s="40" t="str">
        <f>IF(Agent02_Savings!A121="","",Agent02_Savings!B121)</f>
        <v/>
      </c>
      <c r="D314" s="40" t="str">
        <f>IF(Agent02_Savings!A121="","",Agent02_Savings!G121)</f>
        <v/>
      </c>
      <c r="E314" s="41" t="str">
        <f>IF(Agent02_Savings!A121="","",Agent02_Savings!D121)</f>
        <v/>
      </c>
      <c r="F314" s="42" t="str">
        <f>IF(Agent02_Savings!A121="","",Agent02_Savings!E121)</f>
        <v/>
      </c>
      <c r="G314" s="42" t="str">
        <f>IF(Agent02_Savings!A121="","",Agent02_Savings!F121)</f>
        <v/>
      </c>
      <c r="H314" s="40" t="str">
        <f>IF(Agent02_Savings!A121="","",Agent02_Savings!I121)</f>
        <v/>
      </c>
      <c r="I314" s="40" t="str">
        <f>IF(Agent02_Savings!A121="","",Agent02_Savings!J121)</f>
        <v/>
      </c>
      <c r="J314" s="40" t="str">
        <f>IF(Agent02_Savings!A121="","",Agent02_Savings!K121)</f>
        <v/>
      </c>
      <c r="K314" s="40" t="str">
        <f>IFERROR(IF(Agent02_Savings!A121="","",YEAR(Agent02_Savings!D121)),"")</f>
        <v/>
      </c>
    </row>
    <row r="315" spans="1:11" ht="18" customHeight="1" x14ac:dyDescent="0.25">
      <c r="A315" s="40" t="str">
        <f>IF(Agent02_Savings!A122="","",Agent02_Savings!A122)</f>
        <v/>
      </c>
      <c r="B315" s="40" t="str">
        <f ca="1">IF(Agent02_Savings!A122="","","SV"&amp;TEXT(315-3,"0000")&amp;"-"&amp;TEXT(TODAY(),"YYYYMMDD"))</f>
        <v/>
      </c>
      <c r="C315" s="40" t="str">
        <f>IF(Agent02_Savings!A122="","",Agent02_Savings!B122)</f>
        <v/>
      </c>
      <c r="D315" s="40" t="str">
        <f>IF(Agent02_Savings!A122="","",Agent02_Savings!G122)</f>
        <v/>
      </c>
      <c r="E315" s="41" t="str">
        <f>IF(Agent02_Savings!A122="","",Agent02_Savings!D122)</f>
        <v/>
      </c>
      <c r="F315" s="42" t="str">
        <f>IF(Agent02_Savings!A122="","",Agent02_Savings!E122)</f>
        <v/>
      </c>
      <c r="G315" s="42" t="str">
        <f>IF(Agent02_Savings!A122="","",Agent02_Savings!F122)</f>
        <v/>
      </c>
      <c r="H315" s="40" t="str">
        <f>IF(Agent02_Savings!A122="","",Agent02_Savings!I122)</f>
        <v/>
      </c>
      <c r="I315" s="40" t="str">
        <f>IF(Agent02_Savings!A122="","",Agent02_Savings!J122)</f>
        <v/>
      </c>
      <c r="J315" s="40" t="str">
        <f>IF(Agent02_Savings!A122="","",Agent02_Savings!K122)</f>
        <v/>
      </c>
      <c r="K315" s="40" t="str">
        <f>IFERROR(IF(Agent02_Savings!A122="","",YEAR(Agent02_Savings!D122)),"")</f>
        <v/>
      </c>
    </row>
    <row r="316" spans="1:11" ht="18" customHeight="1" x14ac:dyDescent="0.25">
      <c r="A316" s="40" t="str">
        <f>IF(Agent02_Savings!A123="","",Agent02_Savings!A123)</f>
        <v/>
      </c>
      <c r="B316" s="40" t="str">
        <f ca="1">IF(Agent02_Savings!A123="","","SV"&amp;TEXT(316-3,"0000")&amp;"-"&amp;TEXT(TODAY(),"YYYYMMDD"))</f>
        <v/>
      </c>
      <c r="C316" s="40" t="str">
        <f>IF(Agent02_Savings!A123="","",Agent02_Savings!B123)</f>
        <v/>
      </c>
      <c r="D316" s="40" t="str">
        <f>IF(Agent02_Savings!A123="","",Agent02_Savings!G123)</f>
        <v/>
      </c>
      <c r="E316" s="41" t="str">
        <f>IF(Agent02_Savings!A123="","",Agent02_Savings!D123)</f>
        <v/>
      </c>
      <c r="F316" s="42" t="str">
        <f>IF(Agent02_Savings!A123="","",Agent02_Savings!E123)</f>
        <v/>
      </c>
      <c r="G316" s="42" t="str">
        <f>IF(Agent02_Savings!A123="","",Agent02_Savings!F123)</f>
        <v/>
      </c>
      <c r="H316" s="40" t="str">
        <f>IF(Agent02_Savings!A123="","",Agent02_Savings!I123)</f>
        <v/>
      </c>
      <c r="I316" s="40" t="str">
        <f>IF(Agent02_Savings!A123="","",Agent02_Savings!J123)</f>
        <v/>
      </c>
      <c r="J316" s="40" t="str">
        <f>IF(Agent02_Savings!A123="","",Agent02_Savings!K123)</f>
        <v/>
      </c>
      <c r="K316" s="40" t="str">
        <f>IFERROR(IF(Agent02_Savings!A123="","",YEAR(Agent02_Savings!D123)),"")</f>
        <v/>
      </c>
    </row>
    <row r="317" spans="1:11" ht="18" customHeight="1" x14ac:dyDescent="0.25">
      <c r="A317" s="40" t="str">
        <f>IF(Agent02_Savings!A124="","",Agent02_Savings!A124)</f>
        <v/>
      </c>
      <c r="B317" s="40" t="str">
        <f ca="1">IF(Agent02_Savings!A124="","","SV"&amp;TEXT(317-3,"0000")&amp;"-"&amp;TEXT(TODAY(),"YYYYMMDD"))</f>
        <v/>
      </c>
      <c r="C317" s="40" t="str">
        <f>IF(Agent02_Savings!A124="","",Agent02_Savings!B124)</f>
        <v/>
      </c>
      <c r="D317" s="40" t="str">
        <f>IF(Agent02_Savings!A124="","",Agent02_Savings!G124)</f>
        <v/>
      </c>
      <c r="E317" s="41" t="str">
        <f>IF(Agent02_Savings!A124="","",Agent02_Savings!D124)</f>
        <v/>
      </c>
      <c r="F317" s="42" t="str">
        <f>IF(Agent02_Savings!A124="","",Agent02_Savings!E124)</f>
        <v/>
      </c>
      <c r="G317" s="42" t="str">
        <f>IF(Agent02_Savings!A124="","",Agent02_Savings!F124)</f>
        <v/>
      </c>
      <c r="H317" s="40" t="str">
        <f>IF(Agent02_Savings!A124="","",Agent02_Savings!I124)</f>
        <v/>
      </c>
      <c r="I317" s="40" t="str">
        <f>IF(Agent02_Savings!A124="","",Agent02_Savings!J124)</f>
        <v/>
      </c>
      <c r="J317" s="40" t="str">
        <f>IF(Agent02_Savings!A124="","",Agent02_Savings!K124)</f>
        <v/>
      </c>
      <c r="K317" s="40" t="str">
        <f>IFERROR(IF(Agent02_Savings!A124="","",YEAR(Agent02_Savings!D124)),"")</f>
        <v/>
      </c>
    </row>
    <row r="318" spans="1:11" ht="18" customHeight="1" x14ac:dyDescent="0.25">
      <c r="A318" s="40" t="str">
        <f>IF(Agent02_Savings!A125="","",Agent02_Savings!A125)</f>
        <v/>
      </c>
      <c r="B318" s="40" t="str">
        <f ca="1">IF(Agent02_Savings!A125="","","SV"&amp;TEXT(318-3,"0000")&amp;"-"&amp;TEXT(TODAY(),"YYYYMMDD"))</f>
        <v/>
      </c>
      <c r="C318" s="40" t="str">
        <f>IF(Agent02_Savings!A125="","",Agent02_Savings!B125)</f>
        <v/>
      </c>
      <c r="D318" s="40" t="str">
        <f>IF(Agent02_Savings!A125="","",Agent02_Savings!G125)</f>
        <v/>
      </c>
      <c r="E318" s="41" t="str">
        <f>IF(Agent02_Savings!A125="","",Agent02_Savings!D125)</f>
        <v/>
      </c>
      <c r="F318" s="42" t="str">
        <f>IF(Agent02_Savings!A125="","",Agent02_Savings!E125)</f>
        <v/>
      </c>
      <c r="G318" s="42" t="str">
        <f>IF(Agent02_Savings!A125="","",Agent02_Savings!F125)</f>
        <v/>
      </c>
      <c r="H318" s="40" t="str">
        <f>IF(Agent02_Savings!A125="","",Agent02_Savings!I125)</f>
        <v/>
      </c>
      <c r="I318" s="40" t="str">
        <f>IF(Agent02_Savings!A125="","",Agent02_Savings!J125)</f>
        <v/>
      </c>
      <c r="J318" s="40" t="str">
        <f>IF(Agent02_Savings!A125="","",Agent02_Savings!K125)</f>
        <v/>
      </c>
      <c r="K318" s="40" t="str">
        <f>IFERROR(IF(Agent02_Savings!A125="","",YEAR(Agent02_Savings!D125)),"")</f>
        <v/>
      </c>
    </row>
    <row r="319" spans="1:11" ht="18" customHeight="1" x14ac:dyDescent="0.25">
      <c r="A319" s="40" t="str">
        <f>IF(Agent02_Savings!A126="","",Agent02_Savings!A126)</f>
        <v/>
      </c>
      <c r="B319" s="40" t="str">
        <f ca="1">IF(Agent02_Savings!A126="","","SV"&amp;TEXT(319-3,"0000")&amp;"-"&amp;TEXT(TODAY(),"YYYYMMDD"))</f>
        <v/>
      </c>
      <c r="C319" s="40" t="str">
        <f>IF(Agent02_Savings!A126="","",Agent02_Savings!B126)</f>
        <v/>
      </c>
      <c r="D319" s="40" t="str">
        <f>IF(Agent02_Savings!A126="","",Agent02_Savings!G126)</f>
        <v/>
      </c>
      <c r="E319" s="41" t="str">
        <f>IF(Agent02_Savings!A126="","",Agent02_Savings!D126)</f>
        <v/>
      </c>
      <c r="F319" s="42" t="str">
        <f>IF(Agent02_Savings!A126="","",Agent02_Savings!E126)</f>
        <v/>
      </c>
      <c r="G319" s="42" t="str">
        <f>IF(Agent02_Savings!A126="","",Agent02_Savings!F126)</f>
        <v/>
      </c>
      <c r="H319" s="40" t="str">
        <f>IF(Agent02_Savings!A126="","",Agent02_Savings!I126)</f>
        <v/>
      </c>
      <c r="I319" s="40" t="str">
        <f>IF(Agent02_Savings!A126="","",Agent02_Savings!J126)</f>
        <v/>
      </c>
      <c r="J319" s="40" t="str">
        <f>IF(Agent02_Savings!A126="","",Agent02_Savings!K126)</f>
        <v/>
      </c>
      <c r="K319" s="40" t="str">
        <f>IFERROR(IF(Agent02_Savings!A126="","",YEAR(Agent02_Savings!D126)),"")</f>
        <v/>
      </c>
    </row>
    <row r="320" spans="1:11" ht="18" customHeight="1" x14ac:dyDescent="0.25">
      <c r="A320" s="40" t="str">
        <f>IF(Agent02_Savings!A127="","",Agent02_Savings!A127)</f>
        <v/>
      </c>
      <c r="B320" s="40" t="str">
        <f ca="1">IF(Agent02_Savings!A127="","","SV"&amp;TEXT(320-3,"0000")&amp;"-"&amp;TEXT(TODAY(),"YYYYMMDD"))</f>
        <v/>
      </c>
      <c r="C320" s="40" t="str">
        <f>IF(Agent02_Savings!A127="","",Agent02_Savings!B127)</f>
        <v/>
      </c>
      <c r="D320" s="40" t="str">
        <f>IF(Agent02_Savings!A127="","",Agent02_Savings!G127)</f>
        <v/>
      </c>
      <c r="E320" s="41" t="str">
        <f>IF(Agent02_Savings!A127="","",Agent02_Savings!D127)</f>
        <v/>
      </c>
      <c r="F320" s="42" t="str">
        <f>IF(Agent02_Savings!A127="","",Agent02_Savings!E127)</f>
        <v/>
      </c>
      <c r="G320" s="42" t="str">
        <f>IF(Agent02_Savings!A127="","",Agent02_Savings!F127)</f>
        <v/>
      </c>
      <c r="H320" s="40" t="str">
        <f>IF(Agent02_Savings!A127="","",Agent02_Savings!I127)</f>
        <v/>
      </c>
      <c r="I320" s="40" t="str">
        <f>IF(Agent02_Savings!A127="","",Agent02_Savings!J127)</f>
        <v/>
      </c>
      <c r="J320" s="40" t="str">
        <f>IF(Agent02_Savings!A127="","",Agent02_Savings!K127)</f>
        <v/>
      </c>
      <c r="K320" s="40" t="str">
        <f>IFERROR(IF(Agent02_Savings!A127="","",YEAR(Agent02_Savings!D127)),"")</f>
        <v/>
      </c>
    </row>
    <row r="321" spans="1:11" ht="18" customHeight="1" x14ac:dyDescent="0.25">
      <c r="A321" s="40" t="str">
        <f>IF(Agent02_Savings!A128="","",Agent02_Savings!A128)</f>
        <v/>
      </c>
      <c r="B321" s="40" t="str">
        <f ca="1">IF(Agent02_Savings!A128="","","SV"&amp;TEXT(321-3,"0000")&amp;"-"&amp;TEXT(TODAY(),"YYYYMMDD"))</f>
        <v/>
      </c>
      <c r="C321" s="40" t="str">
        <f>IF(Agent02_Savings!A128="","",Agent02_Savings!B128)</f>
        <v/>
      </c>
      <c r="D321" s="40" t="str">
        <f>IF(Agent02_Savings!A128="","",Agent02_Savings!G128)</f>
        <v/>
      </c>
      <c r="E321" s="41" t="str">
        <f>IF(Agent02_Savings!A128="","",Agent02_Savings!D128)</f>
        <v/>
      </c>
      <c r="F321" s="42" t="str">
        <f>IF(Agent02_Savings!A128="","",Agent02_Savings!E128)</f>
        <v/>
      </c>
      <c r="G321" s="42" t="str">
        <f>IF(Agent02_Savings!A128="","",Agent02_Savings!F128)</f>
        <v/>
      </c>
      <c r="H321" s="40" t="str">
        <f>IF(Agent02_Savings!A128="","",Agent02_Savings!I128)</f>
        <v/>
      </c>
      <c r="I321" s="40" t="str">
        <f>IF(Agent02_Savings!A128="","",Agent02_Savings!J128)</f>
        <v/>
      </c>
      <c r="J321" s="40" t="str">
        <f>IF(Agent02_Savings!A128="","",Agent02_Savings!K128)</f>
        <v/>
      </c>
      <c r="K321" s="40" t="str">
        <f>IFERROR(IF(Agent02_Savings!A128="","",YEAR(Agent02_Savings!D128)),"")</f>
        <v/>
      </c>
    </row>
    <row r="322" spans="1:11" ht="18" customHeight="1" x14ac:dyDescent="0.25">
      <c r="A322" s="40" t="str">
        <f>IF(Agent02_Savings!A129="","",Agent02_Savings!A129)</f>
        <v/>
      </c>
      <c r="B322" s="40" t="str">
        <f ca="1">IF(Agent02_Savings!A129="","","SV"&amp;TEXT(322-3,"0000")&amp;"-"&amp;TEXT(TODAY(),"YYYYMMDD"))</f>
        <v/>
      </c>
      <c r="C322" s="40" t="str">
        <f>IF(Agent02_Savings!A129="","",Agent02_Savings!B129)</f>
        <v/>
      </c>
      <c r="D322" s="40" t="str">
        <f>IF(Agent02_Savings!A129="","",Agent02_Savings!G129)</f>
        <v/>
      </c>
      <c r="E322" s="41" t="str">
        <f>IF(Agent02_Savings!A129="","",Agent02_Savings!D129)</f>
        <v/>
      </c>
      <c r="F322" s="42" t="str">
        <f>IF(Agent02_Savings!A129="","",Agent02_Savings!E129)</f>
        <v/>
      </c>
      <c r="G322" s="42" t="str">
        <f>IF(Agent02_Savings!A129="","",Agent02_Savings!F129)</f>
        <v/>
      </c>
      <c r="H322" s="40" t="str">
        <f>IF(Agent02_Savings!A129="","",Agent02_Savings!I129)</f>
        <v/>
      </c>
      <c r="I322" s="40" t="str">
        <f>IF(Agent02_Savings!A129="","",Agent02_Savings!J129)</f>
        <v/>
      </c>
      <c r="J322" s="40" t="str">
        <f>IF(Agent02_Savings!A129="","",Agent02_Savings!K129)</f>
        <v/>
      </c>
      <c r="K322" s="40" t="str">
        <f>IFERROR(IF(Agent02_Savings!A129="","",YEAR(Agent02_Savings!D129)),"")</f>
        <v/>
      </c>
    </row>
    <row r="323" spans="1:11" ht="18" customHeight="1" x14ac:dyDescent="0.25">
      <c r="A323" s="40" t="str">
        <f>IF(Agent02_Savings!A130="","",Agent02_Savings!A130)</f>
        <v/>
      </c>
      <c r="B323" s="40" t="str">
        <f ca="1">IF(Agent02_Savings!A130="","","SV"&amp;TEXT(323-3,"0000")&amp;"-"&amp;TEXT(TODAY(),"YYYYMMDD"))</f>
        <v/>
      </c>
      <c r="C323" s="40" t="str">
        <f>IF(Agent02_Savings!A130="","",Agent02_Savings!B130)</f>
        <v/>
      </c>
      <c r="D323" s="40" t="str">
        <f>IF(Agent02_Savings!A130="","",Agent02_Savings!G130)</f>
        <v/>
      </c>
      <c r="E323" s="41" t="str">
        <f>IF(Agent02_Savings!A130="","",Agent02_Savings!D130)</f>
        <v/>
      </c>
      <c r="F323" s="42" t="str">
        <f>IF(Agent02_Savings!A130="","",Agent02_Savings!E130)</f>
        <v/>
      </c>
      <c r="G323" s="42" t="str">
        <f>IF(Agent02_Savings!A130="","",Agent02_Savings!F130)</f>
        <v/>
      </c>
      <c r="H323" s="40" t="str">
        <f>IF(Agent02_Savings!A130="","",Agent02_Savings!I130)</f>
        <v/>
      </c>
      <c r="I323" s="40" t="str">
        <f>IF(Agent02_Savings!A130="","",Agent02_Savings!J130)</f>
        <v/>
      </c>
      <c r="J323" s="40" t="str">
        <f>IF(Agent02_Savings!A130="","",Agent02_Savings!K130)</f>
        <v/>
      </c>
      <c r="K323" s="40" t="str">
        <f>IFERROR(IF(Agent02_Savings!A130="","",YEAR(Agent02_Savings!D130)),"")</f>
        <v/>
      </c>
    </row>
    <row r="324" spans="1:11" ht="18" customHeight="1" x14ac:dyDescent="0.25">
      <c r="A324" s="40" t="str">
        <f>IF(Agent02_Savings!A131="","",Agent02_Savings!A131)</f>
        <v/>
      </c>
      <c r="B324" s="40" t="str">
        <f ca="1">IF(Agent02_Savings!A131="","","SV"&amp;TEXT(324-3,"0000")&amp;"-"&amp;TEXT(TODAY(),"YYYYMMDD"))</f>
        <v/>
      </c>
      <c r="C324" s="40" t="str">
        <f>IF(Agent02_Savings!A131="","",Agent02_Savings!B131)</f>
        <v/>
      </c>
      <c r="D324" s="40" t="str">
        <f>IF(Agent02_Savings!A131="","",Agent02_Savings!G131)</f>
        <v/>
      </c>
      <c r="E324" s="41" t="str">
        <f>IF(Agent02_Savings!A131="","",Agent02_Savings!D131)</f>
        <v/>
      </c>
      <c r="F324" s="42" t="str">
        <f>IF(Agent02_Savings!A131="","",Agent02_Savings!E131)</f>
        <v/>
      </c>
      <c r="G324" s="42" t="str">
        <f>IF(Agent02_Savings!A131="","",Agent02_Savings!F131)</f>
        <v/>
      </c>
      <c r="H324" s="40" t="str">
        <f>IF(Agent02_Savings!A131="","",Agent02_Savings!I131)</f>
        <v/>
      </c>
      <c r="I324" s="40" t="str">
        <f>IF(Agent02_Savings!A131="","",Agent02_Savings!J131)</f>
        <v/>
      </c>
      <c r="J324" s="40" t="str">
        <f>IF(Agent02_Savings!A131="","",Agent02_Savings!K131)</f>
        <v/>
      </c>
      <c r="K324" s="40" t="str">
        <f>IFERROR(IF(Agent02_Savings!A131="","",YEAR(Agent02_Savings!D131)),"")</f>
        <v/>
      </c>
    </row>
    <row r="325" spans="1:11" ht="18" customHeight="1" x14ac:dyDescent="0.25">
      <c r="A325" s="40" t="str">
        <f>IF(Agent02_Savings!A132="","",Agent02_Savings!A132)</f>
        <v/>
      </c>
      <c r="B325" s="40" t="str">
        <f ca="1">IF(Agent02_Savings!A132="","","SV"&amp;TEXT(325-3,"0000")&amp;"-"&amp;TEXT(TODAY(),"YYYYMMDD"))</f>
        <v/>
      </c>
      <c r="C325" s="40" t="str">
        <f>IF(Agent02_Savings!A132="","",Agent02_Savings!B132)</f>
        <v/>
      </c>
      <c r="D325" s="40" t="str">
        <f>IF(Agent02_Savings!A132="","",Agent02_Savings!G132)</f>
        <v/>
      </c>
      <c r="E325" s="41" t="str">
        <f>IF(Agent02_Savings!A132="","",Agent02_Savings!D132)</f>
        <v/>
      </c>
      <c r="F325" s="42" t="str">
        <f>IF(Agent02_Savings!A132="","",Agent02_Savings!E132)</f>
        <v/>
      </c>
      <c r="G325" s="42" t="str">
        <f>IF(Agent02_Savings!A132="","",Agent02_Savings!F132)</f>
        <v/>
      </c>
      <c r="H325" s="40" t="str">
        <f>IF(Agent02_Savings!A132="","",Agent02_Savings!I132)</f>
        <v/>
      </c>
      <c r="I325" s="40" t="str">
        <f>IF(Agent02_Savings!A132="","",Agent02_Savings!J132)</f>
        <v/>
      </c>
      <c r="J325" s="40" t="str">
        <f>IF(Agent02_Savings!A132="","",Agent02_Savings!K132)</f>
        <v/>
      </c>
      <c r="K325" s="40" t="str">
        <f>IFERROR(IF(Agent02_Savings!A132="","",YEAR(Agent02_Savings!D132)),"")</f>
        <v/>
      </c>
    </row>
    <row r="326" spans="1:11" ht="18" customHeight="1" x14ac:dyDescent="0.25">
      <c r="A326" s="40" t="str">
        <f>IF(Agent02_Savings!A133="","",Agent02_Savings!A133)</f>
        <v/>
      </c>
      <c r="B326" s="40" t="str">
        <f ca="1">IF(Agent02_Savings!A133="","","SV"&amp;TEXT(326-3,"0000")&amp;"-"&amp;TEXT(TODAY(),"YYYYMMDD"))</f>
        <v/>
      </c>
      <c r="C326" s="40" t="str">
        <f>IF(Agent02_Savings!A133="","",Agent02_Savings!B133)</f>
        <v/>
      </c>
      <c r="D326" s="40" t="str">
        <f>IF(Agent02_Savings!A133="","",Agent02_Savings!G133)</f>
        <v/>
      </c>
      <c r="E326" s="41" t="str">
        <f>IF(Agent02_Savings!A133="","",Agent02_Savings!D133)</f>
        <v/>
      </c>
      <c r="F326" s="42" t="str">
        <f>IF(Agent02_Savings!A133="","",Agent02_Savings!E133)</f>
        <v/>
      </c>
      <c r="G326" s="42" t="str">
        <f>IF(Agent02_Savings!A133="","",Agent02_Savings!F133)</f>
        <v/>
      </c>
      <c r="H326" s="40" t="str">
        <f>IF(Agent02_Savings!A133="","",Agent02_Savings!I133)</f>
        <v/>
      </c>
      <c r="I326" s="40" t="str">
        <f>IF(Agent02_Savings!A133="","",Agent02_Savings!J133)</f>
        <v/>
      </c>
      <c r="J326" s="40" t="str">
        <f>IF(Agent02_Savings!A133="","",Agent02_Savings!K133)</f>
        <v/>
      </c>
      <c r="K326" s="40" t="str">
        <f>IFERROR(IF(Agent02_Savings!A133="","",YEAR(Agent02_Savings!D133)),"")</f>
        <v/>
      </c>
    </row>
    <row r="327" spans="1:11" ht="18" customHeight="1" x14ac:dyDescent="0.25">
      <c r="A327" s="40" t="str">
        <f>IF(Agent02_Savings!A134="","",Agent02_Savings!A134)</f>
        <v/>
      </c>
      <c r="B327" s="40" t="str">
        <f ca="1">IF(Agent02_Savings!A134="","","SV"&amp;TEXT(327-3,"0000")&amp;"-"&amp;TEXT(TODAY(),"YYYYMMDD"))</f>
        <v/>
      </c>
      <c r="C327" s="40" t="str">
        <f>IF(Agent02_Savings!A134="","",Agent02_Savings!B134)</f>
        <v/>
      </c>
      <c r="D327" s="40" t="str">
        <f>IF(Agent02_Savings!A134="","",Agent02_Savings!G134)</f>
        <v/>
      </c>
      <c r="E327" s="41" t="str">
        <f>IF(Agent02_Savings!A134="","",Agent02_Savings!D134)</f>
        <v/>
      </c>
      <c r="F327" s="42" t="str">
        <f>IF(Agent02_Savings!A134="","",Agent02_Savings!E134)</f>
        <v/>
      </c>
      <c r="G327" s="42" t="str">
        <f>IF(Agent02_Savings!A134="","",Agent02_Savings!F134)</f>
        <v/>
      </c>
      <c r="H327" s="40" t="str">
        <f>IF(Agent02_Savings!A134="","",Agent02_Savings!I134)</f>
        <v/>
      </c>
      <c r="I327" s="40" t="str">
        <f>IF(Agent02_Savings!A134="","",Agent02_Savings!J134)</f>
        <v/>
      </c>
      <c r="J327" s="40" t="str">
        <f>IF(Agent02_Savings!A134="","",Agent02_Savings!K134)</f>
        <v/>
      </c>
      <c r="K327" s="40" t="str">
        <f>IFERROR(IF(Agent02_Savings!A134="","",YEAR(Agent02_Savings!D134)),"")</f>
        <v/>
      </c>
    </row>
    <row r="328" spans="1:11" ht="18" customHeight="1" x14ac:dyDescent="0.25">
      <c r="A328" s="40" t="str">
        <f>IF(Agent02_Savings!A135="","",Agent02_Savings!A135)</f>
        <v/>
      </c>
      <c r="B328" s="40" t="str">
        <f ca="1">IF(Agent02_Savings!A135="","","SV"&amp;TEXT(328-3,"0000")&amp;"-"&amp;TEXT(TODAY(),"YYYYMMDD"))</f>
        <v/>
      </c>
      <c r="C328" s="40" t="str">
        <f>IF(Agent02_Savings!A135="","",Agent02_Savings!B135)</f>
        <v/>
      </c>
      <c r="D328" s="40" t="str">
        <f>IF(Agent02_Savings!A135="","",Agent02_Savings!G135)</f>
        <v/>
      </c>
      <c r="E328" s="41" t="str">
        <f>IF(Agent02_Savings!A135="","",Agent02_Savings!D135)</f>
        <v/>
      </c>
      <c r="F328" s="42" t="str">
        <f>IF(Agent02_Savings!A135="","",Agent02_Savings!E135)</f>
        <v/>
      </c>
      <c r="G328" s="42" t="str">
        <f>IF(Agent02_Savings!A135="","",Agent02_Savings!F135)</f>
        <v/>
      </c>
      <c r="H328" s="40" t="str">
        <f>IF(Agent02_Savings!A135="","",Agent02_Savings!I135)</f>
        <v/>
      </c>
      <c r="I328" s="40" t="str">
        <f>IF(Agent02_Savings!A135="","",Agent02_Savings!J135)</f>
        <v/>
      </c>
      <c r="J328" s="40" t="str">
        <f>IF(Agent02_Savings!A135="","",Agent02_Savings!K135)</f>
        <v/>
      </c>
      <c r="K328" s="40" t="str">
        <f>IFERROR(IF(Agent02_Savings!A135="","",YEAR(Agent02_Savings!D135)),"")</f>
        <v/>
      </c>
    </row>
    <row r="329" spans="1:11" ht="18" customHeight="1" x14ac:dyDescent="0.25">
      <c r="A329" s="40" t="str">
        <f>IF(Agent02_Savings!A136="","",Agent02_Savings!A136)</f>
        <v/>
      </c>
      <c r="B329" s="40" t="str">
        <f ca="1">IF(Agent02_Savings!A136="","","SV"&amp;TEXT(329-3,"0000")&amp;"-"&amp;TEXT(TODAY(),"YYYYMMDD"))</f>
        <v/>
      </c>
      <c r="C329" s="40" t="str">
        <f>IF(Agent02_Savings!A136="","",Agent02_Savings!B136)</f>
        <v/>
      </c>
      <c r="D329" s="40" t="str">
        <f>IF(Agent02_Savings!A136="","",Agent02_Savings!G136)</f>
        <v/>
      </c>
      <c r="E329" s="41" t="str">
        <f>IF(Agent02_Savings!A136="","",Agent02_Savings!D136)</f>
        <v/>
      </c>
      <c r="F329" s="42" t="str">
        <f>IF(Agent02_Savings!A136="","",Agent02_Savings!E136)</f>
        <v/>
      </c>
      <c r="G329" s="42" t="str">
        <f>IF(Agent02_Savings!A136="","",Agent02_Savings!F136)</f>
        <v/>
      </c>
      <c r="H329" s="40" t="str">
        <f>IF(Agent02_Savings!A136="","",Agent02_Savings!I136)</f>
        <v/>
      </c>
      <c r="I329" s="40" t="str">
        <f>IF(Agent02_Savings!A136="","",Agent02_Savings!J136)</f>
        <v/>
      </c>
      <c r="J329" s="40" t="str">
        <f>IF(Agent02_Savings!A136="","",Agent02_Savings!K136)</f>
        <v/>
      </c>
      <c r="K329" s="40" t="str">
        <f>IFERROR(IF(Agent02_Savings!A136="","",YEAR(Agent02_Savings!D136)),"")</f>
        <v/>
      </c>
    </row>
    <row r="330" spans="1:11" ht="18" customHeight="1" x14ac:dyDescent="0.25">
      <c r="A330" s="40" t="str">
        <f>IF(Agent02_Savings!A137="","",Agent02_Savings!A137)</f>
        <v/>
      </c>
      <c r="B330" s="40" t="str">
        <f ca="1">IF(Agent02_Savings!A137="","","SV"&amp;TEXT(330-3,"0000")&amp;"-"&amp;TEXT(TODAY(),"YYYYMMDD"))</f>
        <v/>
      </c>
      <c r="C330" s="40" t="str">
        <f>IF(Agent02_Savings!A137="","",Agent02_Savings!B137)</f>
        <v/>
      </c>
      <c r="D330" s="40" t="str">
        <f>IF(Agent02_Savings!A137="","",Agent02_Savings!G137)</f>
        <v/>
      </c>
      <c r="E330" s="41" t="str">
        <f>IF(Agent02_Savings!A137="","",Agent02_Savings!D137)</f>
        <v/>
      </c>
      <c r="F330" s="42" t="str">
        <f>IF(Agent02_Savings!A137="","",Agent02_Savings!E137)</f>
        <v/>
      </c>
      <c r="G330" s="42" t="str">
        <f>IF(Agent02_Savings!A137="","",Agent02_Savings!F137)</f>
        <v/>
      </c>
      <c r="H330" s="40" t="str">
        <f>IF(Agent02_Savings!A137="","",Agent02_Savings!I137)</f>
        <v/>
      </c>
      <c r="I330" s="40" t="str">
        <f>IF(Agent02_Savings!A137="","",Agent02_Savings!J137)</f>
        <v/>
      </c>
      <c r="J330" s="40" t="str">
        <f>IF(Agent02_Savings!A137="","",Agent02_Savings!K137)</f>
        <v/>
      </c>
      <c r="K330" s="40" t="str">
        <f>IFERROR(IF(Agent02_Savings!A137="","",YEAR(Agent02_Savings!D137)),"")</f>
        <v/>
      </c>
    </row>
    <row r="331" spans="1:11" ht="18" customHeight="1" x14ac:dyDescent="0.25">
      <c r="A331" s="40" t="str">
        <f>IF(Agent02_Savings!A138="","",Agent02_Savings!A138)</f>
        <v/>
      </c>
      <c r="B331" s="40" t="str">
        <f ca="1">IF(Agent02_Savings!A138="","","SV"&amp;TEXT(331-3,"0000")&amp;"-"&amp;TEXT(TODAY(),"YYYYMMDD"))</f>
        <v/>
      </c>
      <c r="C331" s="40" t="str">
        <f>IF(Agent02_Savings!A138="","",Agent02_Savings!B138)</f>
        <v/>
      </c>
      <c r="D331" s="40" t="str">
        <f>IF(Agent02_Savings!A138="","",Agent02_Savings!G138)</f>
        <v/>
      </c>
      <c r="E331" s="41" t="str">
        <f>IF(Agent02_Savings!A138="","",Agent02_Savings!D138)</f>
        <v/>
      </c>
      <c r="F331" s="42" t="str">
        <f>IF(Agent02_Savings!A138="","",Agent02_Savings!E138)</f>
        <v/>
      </c>
      <c r="G331" s="42" t="str">
        <f>IF(Agent02_Savings!A138="","",Agent02_Savings!F138)</f>
        <v/>
      </c>
      <c r="H331" s="40" t="str">
        <f>IF(Agent02_Savings!A138="","",Agent02_Savings!I138)</f>
        <v/>
      </c>
      <c r="I331" s="40" t="str">
        <f>IF(Agent02_Savings!A138="","",Agent02_Savings!J138)</f>
        <v/>
      </c>
      <c r="J331" s="40" t="str">
        <f>IF(Agent02_Savings!A138="","",Agent02_Savings!K138)</f>
        <v/>
      </c>
      <c r="K331" s="40" t="str">
        <f>IFERROR(IF(Agent02_Savings!A138="","",YEAR(Agent02_Savings!D138)),"")</f>
        <v/>
      </c>
    </row>
    <row r="332" spans="1:11" ht="18" customHeight="1" x14ac:dyDescent="0.25">
      <c r="A332" s="40" t="str">
        <f>IF(Agent02_Savings!A139="","",Agent02_Savings!A139)</f>
        <v/>
      </c>
      <c r="B332" s="40" t="str">
        <f ca="1">IF(Agent02_Savings!A139="","","SV"&amp;TEXT(332-3,"0000")&amp;"-"&amp;TEXT(TODAY(),"YYYYMMDD"))</f>
        <v/>
      </c>
      <c r="C332" s="40" t="str">
        <f>IF(Agent02_Savings!A139="","",Agent02_Savings!B139)</f>
        <v/>
      </c>
      <c r="D332" s="40" t="str">
        <f>IF(Agent02_Savings!A139="","",Agent02_Savings!G139)</f>
        <v/>
      </c>
      <c r="E332" s="41" t="str">
        <f>IF(Agent02_Savings!A139="","",Agent02_Savings!D139)</f>
        <v/>
      </c>
      <c r="F332" s="42" t="str">
        <f>IF(Agent02_Savings!A139="","",Agent02_Savings!E139)</f>
        <v/>
      </c>
      <c r="G332" s="42" t="str">
        <f>IF(Agent02_Savings!A139="","",Agent02_Savings!F139)</f>
        <v/>
      </c>
      <c r="H332" s="40" t="str">
        <f>IF(Agent02_Savings!A139="","",Agent02_Savings!I139)</f>
        <v/>
      </c>
      <c r="I332" s="40" t="str">
        <f>IF(Agent02_Savings!A139="","",Agent02_Savings!J139)</f>
        <v/>
      </c>
      <c r="J332" s="40" t="str">
        <f>IF(Agent02_Savings!A139="","",Agent02_Savings!K139)</f>
        <v/>
      </c>
      <c r="K332" s="40" t="str">
        <f>IFERROR(IF(Agent02_Savings!A139="","",YEAR(Agent02_Savings!D139)),"")</f>
        <v/>
      </c>
    </row>
    <row r="333" spans="1:11" ht="18" customHeight="1" x14ac:dyDescent="0.25">
      <c r="A333" s="40" t="str">
        <f>IF(Agent02_Savings!A140="","",Agent02_Savings!A140)</f>
        <v/>
      </c>
      <c r="B333" s="40" t="str">
        <f ca="1">IF(Agent02_Savings!A140="","","SV"&amp;TEXT(333-3,"0000")&amp;"-"&amp;TEXT(TODAY(),"YYYYMMDD"))</f>
        <v/>
      </c>
      <c r="C333" s="40" t="str">
        <f>IF(Agent02_Savings!A140="","",Agent02_Savings!B140)</f>
        <v/>
      </c>
      <c r="D333" s="40" t="str">
        <f>IF(Agent02_Savings!A140="","",Agent02_Savings!G140)</f>
        <v/>
      </c>
      <c r="E333" s="41" t="str">
        <f>IF(Agent02_Savings!A140="","",Agent02_Savings!D140)</f>
        <v/>
      </c>
      <c r="F333" s="42" t="str">
        <f>IF(Agent02_Savings!A140="","",Agent02_Savings!E140)</f>
        <v/>
      </c>
      <c r="G333" s="42" t="str">
        <f>IF(Agent02_Savings!A140="","",Agent02_Savings!F140)</f>
        <v/>
      </c>
      <c r="H333" s="40" t="str">
        <f>IF(Agent02_Savings!A140="","",Agent02_Savings!I140)</f>
        <v/>
      </c>
      <c r="I333" s="40" t="str">
        <f>IF(Agent02_Savings!A140="","",Agent02_Savings!J140)</f>
        <v/>
      </c>
      <c r="J333" s="40" t="str">
        <f>IF(Agent02_Savings!A140="","",Agent02_Savings!K140)</f>
        <v/>
      </c>
      <c r="K333" s="40" t="str">
        <f>IFERROR(IF(Agent02_Savings!A140="","",YEAR(Agent02_Savings!D140)),"")</f>
        <v/>
      </c>
    </row>
    <row r="334" spans="1:11" ht="18" customHeight="1" x14ac:dyDescent="0.25">
      <c r="A334" s="40" t="str">
        <f>IF(Agent02_Savings!A141="","",Agent02_Savings!A141)</f>
        <v/>
      </c>
      <c r="B334" s="40" t="str">
        <f ca="1">IF(Agent02_Savings!A141="","","SV"&amp;TEXT(334-3,"0000")&amp;"-"&amp;TEXT(TODAY(),"YYYYMMDD"))</f>
        <v/>
      </c>
      <c r="C334" s="40" t="str">
        <f>IF(Agent02_Savings!A141="","",Agent02_Savings!B141)</f>
        <v/>
      </c>
      <c r="D334" s="40" t="str">
        <f>IF(Agent02_Savings!A141="","",Agent02_Savings!G141)</f>
        <v/>
      </c>
      <c r="E334" s="41" t="str">
        <f>IF(Agent02_Savings!A141="","",Agent02_Savings!D141)</f>
        <v/>
      </c>
      <c r="F334" s="42" t="str">
        <f>IF(Agent02_Savings!A141="","",Agent02_Savings!E141)</f>
        <v/>
      </c>
      <c r="G334" s="42" t="str">
        <f>IF(Agent02_Savings!A141="","",Agent02_Savings!F141)</f>
        <v/>
      </c>
      <c r="H334" s="40" t="str">
        <f>IF(Agent02_Savings!A141="","",Agent02_Savings!I141)</f>
        <v/>
      </c>
      <c r="I334" s="40" t="str">
        <f>IF(Agent02_Savings!A141="","",Agent02_Savings!J141)</f>
        <v/>
      </c>
      <c r="J334" s="40" t="str">
        <f>IF(Agent02_Savings!A141="","",Agent02_Savings!K141)</f>
        <v/>
      </c>
      <c r="K334" s="40" t="str">
        <f>IFERROR(IF(Agent02_Savings!A141="","",YEAR(Agent02_Savings!D141)),"")</f>
        <v/>
      </c>
    </row>
    <row r="335" spans="1:11" ht="18" customHeight="1" x14ac:dyDescent="0.25">
      <c r="A335" s="40" t="str">
        <f>IF(Agent02_Savings!A142="","",Agent02_Savings!A142)</f>
        <v/>
      </c>
      <c r="B335" s="40" t="str">
        <f ca="1">IF(Agent02_Savings!A142="","","SV"&amp;TEXT(335-3,"0000")&amp;"-"&amp;TEXT(TODAY(),"YYYYMMDD"))</f>
        <v/>
      </c>
      <c r="C335" s="40" t="str">
        <f>IF(Agent02_Savings!A142="","",Agent02_Savings!B142)</f>
        <v/>
      </c>
      <c r="D335" s="40" t="str">
        <f>IF(Agent02_Savings!A142="","",Agent02_Savings!G142)</f>
        <v/>
      </c>
      <c r="E335" s="41" t="str">
        <f>IF(Agent02_Savings!A142="","",Agent02_Savings!D142)</f>
        <v/>
      </c>
      <c r="F335" s="42" t="str">
        <f>IF(Agent02_Savings!A142="","",Agent02_Savings!E142)</f>
        <v/>
      </c>
      <c r="G335" s="42" t="str">
        <f>IF(Agent02_Savings!A142="","",Agent02_Savings!F142)</f>
        <v/>
      </c>
      <c r="H335" s="40" t="str">
        <f>IF(Agent02_Savings!A142="","",Agent02_Savings!I142)</f>
        <v/>
      </c>
      <c r="I335" s="40" t="str">
        <f>IF(Agent02_Savings!A142="","",Agent02_Savings!J142)</f>
        <v/>
      </c>
      <c r="J335" s="40" t="str">
        <f>IF(Agent02_Savings!A142="","",Agent02_Savings!K142)</f>
        <v/>
      </c>
      <c r="K335" s="40" t="str">
        <f>IFERROR(IF(Agent02_Savings!A142="","",YEAR(Agent02_Savings!D142)),"")</f>
        <v/>
      </c>
    </row>
    <row r="336" spans="1:11" ht="18" customHeight="1" x14ac:dyDescent="0.25">
      <c r="A336" s="40" t="str">
        <f>IF(Agent02_Savings!A143="","",Agent02_Savings!A143)</f>
        <v/>
      </c>
      <c r="B336" s="40" t="str">
        <f ca="1">IF(Agent02_Savings!A143="","","SV"&amp;TEXT(336-3,"0000")&amp;"-"&amp;TEXT(TODAY(),"YYYYMMDD"))</f>
        <v/>
      </c>
      <c r="C336" s="40" t="str">
        <f>IF(Agent02_Savings!A143="","",Agent02_Savings!B143)</f>
        <v/>
      </c>
      <c r="D336" s="40" t="str">
        <f>IF(Agent02_Savings!A143="","",Agent02_Savings!G143)</f>
        <v/>
      </c>
      <c r="E336" s="41" t="str">
        <f>IF(Agent02_Savings!A143="","",Agent02_Savings!D143)</f>
        <v/>
      </c>
      <c r="F336" s="42" t="str">
        <f>IF(Agent02_Savings!A143="","",Agent02_Savings!E143)</f>
        <v/>
      </c>
      <c r="G336" s="42" t="str">
        <f>IF(Agent02_Savings!A143="","",Agent02_Savings!F143)</f>
        <v/>
      </c>
      <c r="H336" s="40" t="str">
        <f>IF(Agent02_Savings!A143="","",Agent02_Savings!I143)</f>
        <v/>
      </c>
      <c r="I336" s="40" t="str">
        <f>IF(Agent02_Savings!A143="","",Agent02_Savings!J143)</f>
        <v/>
      </c>
      <c r="J336" s="40" t="str">
        <f>IF(Agent02_Savings!A143="","",Agent02_Savings!K143)</f>
        <v/>
      </c>
      <c r="K336" s="40" t="str">
        <f>IFERROR(IF(Agent02_Savings!A143="","",YEAR(Agent02_Savings!D143)),"")</f>
        <v/>
      </c>
    </row>
    <row r="337" spans="1:11" ht="18" customHeight="1" x14ac:dyDescent="0.25">
      <c r="A337" s="40" t="str">
        <f>IF(Agent02_Savings!A144="","",Agent02_Savings!A144)</f>
        <v/>
      </c>
      <c r="B337" s="40" t="str">
        <f ca="1">IF(Agent02_Savings!A144="","","SV"&amp;TEXT(337-3,"0000")&amp;"-"&amp;TEXT(TODAY(),"YYYYMMDD"))</f>
        <v/>
      </c>
      <c r="C337" s="40" t="str">
        <f>IF(Agent02_Savings!A144="","",Agent02_Savings!B144)</f>
        <v/>
      </c>
      <c r="D337" s="40" t="str">
        <f>IF(Agent02_Savings!A144="","",Agent02_Savings!G144)</f>
        <v/>
      </c>
      <c r="E337" s="41" t="str">
        <f>IF(Agent02_Savings!A144="","",Agent02_Savings!D144)</f>
        <v/>
      </c>
      <c r="F337" s="42" t="str">
        <f>IF(Agent02_Savings!A144="","",Agent02_Savings!E144)</f>
        <v/>
      </c>
      <c r="G337" s="42" t="str">
        <f>IF(Agent02_Savings!A144="","",Agent02_Savings!F144)</f>
        <v/>
      </c>
      <c r="H337" s="40" t="str">
        <f>IF(Agent02_Savings!A144="","",Agent02_Savings!I144)</f>
        <v/>
      </c>
      <c r="I337" s="40" t="str">
        <f>IF(Agent02_Savings!A144="","",Agent02_Savings!J144)</f>
        <v/>
      </c>
      <c r="J337" s="40" t="str">
        <f>IF(Agent02_Savings!A144="","",Agent02_Savings!K144)</f>
        <v/>
      </c>
      <c r="K337" s="40" t="str">
        <f>IFERROR(IF(Agent02_Savings!A144="","",YEAR(Agent02_Savings!D144)),"")</f>
        <v/>
      </c>
    </row>
    <row r="338" spans="1:11" ht="18" customHeight="1" x14ac:dyDescent="0.25">
      <c r="A338" s="40" t="str">
        <f>IF(Agent02_Savings!A145="","",Agent02_Savings!A145)</f>
        <v/>
      </c>
      <c r="B338" s="40" t="str">
        <f ca="1">IF(Agent02_Savings!A145="","","SV"&amp;TEXT(338-3,"0000")&amp;"-"&amp;TEXT(TODAY(),"YYYYMMDD"))</f>
        <v/>
      </c>
      <c r="C338" s="40" t="str">
        <f>IF(Agent02_Savings!A145="","",Agent02_Savings!B145)</f>
        <v/>
      </c>
      <c r="D338" s="40" t="str">
        <f>IF(Agent02_Savings!A145="","",Agent02_Savings!G145)</f>
        <v/>
      </c>
      <c r="E338" s="41" t="str">
        <f>IF(Agent02_Savings!A145="","",Agent02_Savings!D145)</f>
        <v/>
      </c>
      <c r="F338" s="42" t="str">
        <f>IF(Agent02_Savings!A145="","",Agent02_Savings!E145)</f>
        <v/>
      </c>
      <c r="G338" s="42" t="str">
        <f>IF(Agent02_Savings!A145="","",Agent02_Savings!F145)</f>
        <v/>
      </c>
      <c r="H338" s="40" t="str">
        <f>IF(Agent02_Savings!A145="","",Agent02_Savings!I145)</f>
        <v/>
      </c>
      <c r="I338" s="40" t="str">
        <f>IF(Agent02_Savings!A145="","",Agent02_Savings!J145)</f>
        <v/>
      </c>
      <c r="J338" s="40" t="str">
        <f>IF(Agent02_Savings!A145="","",Agent02_Savings!K145)</f>
        <v/>
      </c>
      <c r="K338" s="40" t="str">
        <f>IFERROR(IF(Agent02_Savings!A145="","",YEAR(Agent02_Savings!D145)),"")</f>
        <v/>
      </c>
    </row>
    <row r="339" spans="1:11" ht="18" customHeight="1" x14ac:dyDescent="0.25">
      <c r="A339" s="40" t="str">
        <f>IF(Agent02_Savings!A146="","",Agent02_Savings!A146)</f>
        <v/>
      </c>
      <c r="B339" s="40" t="str">
        <f ca="1">IF(Agent02_Savings!A146="","","SV"&amp;TEXT(339-3,"0000")&amp;"-"&amp;TEXT(TODAY(),"YYYYMMDD"))</f>
        <v/>
      </c>
      <c r="C339" s="40" t="str">
        <f>IF(Agent02_Savings!A146="","",Agent02_Savings!B146)</f>
        <v/>
      </c>
      <c r="D339" s="40" t="str">
        <f>IF(Agent02_Savings!A146="","",Agent02_Savings!G146)</f>
        <v/>
      </c>
      <c r="E339" s="41" t="str">
        <f>IF(Agent02_Savings!A146="","",Agent02_Savings!D146)</f>
        <v/>
      </c>
      <c r="F339" s="42" t="str">
        <f>IF(Agent02_Savings!A146="","",Agent02_Savings!E146)</f>
        <v/>
      </c>
      <c r="G339" s="42" t="str">
        <f>IF(Agent02_Savings!A146="","",Agent02_Savings!F146)</f>
        <v/>
      </c>
      <c r="H339" s="40" t="str">
        <f>IF(Agent02_Savings!A146="","",Agent02_Savings!I146)</f>
        <v/>
      </c>
      <c r="I339" s="40" t="str">
        <f>IF(Agent02_Savings!A146="","",Agent02_Savings!J146)</f>
        <v/>
      </c>
      <c r="J339" s="40" t="str">
        <f>IF(Agent02_Savings!A146="","",Agent02_Savings!K146)</f>
        <v/>
      </c>
      <c r="K339" s="40" t="str">
        <f>IFERROR(IF(Agent02_Savings!A146="","",YEAR(Agent02_Savings!D146)),"")</f>
        <v/>
      </c>
    </row>
    <row r="340" spans="1:11" ht="18" customHeight="1" x14ac:dyDescent="0.25">
      <c r="A340" s="40" t="str">
        <f>IF(Agent02_Savings!A147="","",Agent02_Savings!A147)</f>
        <v/>
      </c>
      <c r="B340" s="40" t="str">
        <f ca="1">IF(Agent02_Savings!A147="","","SV"&amp;TEXT(340-3,"0000")&amp;"-"&amp;TEXT(TODAY(),"YYYYMMDD"))</f>
        <v/>
      </c>
      <c r="C340" s="40" t="str">
        <f>IF(Agent02_Savings!A147="","",Agent02_Savings!B147)</f>
        <v/>
      </c>
      <c r="D340" s="40" t="str">
        <f>IF(Agent02_Savings!A147="","",Agent02_Savings!G147)</f>
        <v/>
      </c>
      <c r="E340" s="41" t="str">
        <f>IF(Agent02_Savings!A147="","",Agent02_Savings!D147)</f>
        <v/>
      </c>
      <c r="F340" s="42" t="str">
        <f>IF(Agent02_Savings!A147="","",Agent02_Savings!E147)</f>
        <v/>
      </c>
      <c r="G340" s="42" t="str">
        <f>IF(Agent02_Savings!A147="","",Agent02_Savings!F147)</f>
        <v/>
      </c>
      <c r="H340" s="40" t="str">
        <f>IF(Agent02_Savings!A147="","",Agent02_Savings!I147)</f>
        <v/>
      </c>
      <c r="I340" s="40" t="str">
        <f>IF(Agent02_Savings!A147="","",Agent02_Savings!J147)</f>
        <v/>
      </c>
      <c r="J340" s="40" t="str">
        <f>IF(Agent02_Savings!A147="","",Agent02_Savings!K147)</f>
        <v/>
      </c>
      <c r="K340" s="40" t="str">
        <f>IFERROR(IF(Agent02_Savings!A147="","",YEAR(Agent02_Savings!D147)),"")</f>
        <v/>
      </c>
    </row>
    <row r="341" spans="1:11" ht="18" customHeight="1" x14ac:dyDescent="0.25">
      <c r="A341" s="40" t="str">
        <f>IF(Agent02_Savings!A148="","",Agent02_Savings!A148)</f>
        <v/>
      </c>
      <c r="B341" s="40" t="str">
        <f ca="1">IF(Agent02_Savings!A148="","","SV"&amp;TEXT(341-3,"0000")&amp;"-"&amp;TEXT(TODAY(),"YYYYMMDD"))</f>
        <v/>
      </c>
      <c r="C341" s="40" t="str">
        <f>IF(Agent02_Savings!A148="","",Agent02_Savings!B148)</f>
        <v/>
      </c>
      <c r="D341" s="40" t="str">
        <f>IF(Agent02_Savings!A148="","",Agent02_Savings!G148)</f>
        <v/>
      </c>
      <c r="E341" s="41" t="str">
        <f>IF(Agent02_Savings!A148="","",Agent02_Savings!D148)</f>
        <v/>
      </c>
      <c r="F341" s="42" t="str">
        <f>IF(Agent02_Savings!A148="","",Agent02_Savings!E148)</f>
        <v/>
      </c>
      <c r="G341" s="42" t="str">
        <f>IF(Agent02_Savings!A148="","",Agent02_Savings!F148)</f>
        <v/>
      </c>
      <c r="H341" s="40" t="str">
        <f>IF(Agent02_Savings!A148="","",Agent02_Savings!I148)</f>
        <v/>
      </c>
      <c r="I341" s="40" t="str">
        <f>IF(Agent02_Savings!A148="","",Agent02_Savings!J148)</f>
        <v/>
      </c>
      <c r="J341" s="40" t="str">
        <f>IF(Agent02_Savings!A148="","",Agent02_Savings!K148)</f>
        <v/>
      </c>
      <c r="K341" s="40" t="str">
        <f>IFERROR(IF(Agent02_Savings!A148="","",YEAR(Agent02_Savings!D148)),"")</f>
        <v/>
      </c>
    </row>
    <row r="342" spans="1:11" ht="18" customHeight="1" x14ac:dyDescent="0.25">
      <c r="A342" s="40" t="str">
        <f>IF(Agent02_Savings!A149="","",Agent02_Savings!A149)</f>
        <v/>
      </c>
      <c r="B342" s="40" t="str">
        <f ca="1">IF(Agent02_Savings!A149="","","SV"&amp;TEXT(342-3,"0000")&amp;"-"&amp;TEXT(TODAY(),"YYYYMMDD"))</f>
        <v/>
      </c>
      <c r="C342" s="40" t="str">
        <f>IF(Agent02_Savings!A149="","",Agent02_Savings!B149)</f>
        <v/>
      </c>
      <c r="D342" s="40" t="str">
        <f>IF(Agent02_Savings!A149="","",Agent02_Savings!G149)</f>
        <v/>
      </c>
      <c r="E342" s="41" t="str">
        <f>IF(Agent02_Savings!A149="","",Agent02_Savings!D149)</f>
        <v/>
      </c>
      <c r="F342" s="42" t="str">
        <f>IF(Agent02_Savings!A149="","",Agent02_Savings!E149)</f>
        <v/>
      </c>
      <c r="G342" s="42" t="str">
        <f>IF(Agent02_Savings!A149="","",Agent02_Savings!F149)</f>
        <v/>
      </c>
      <c r="H342" s="40" t="str">
        <f>IF(Agent02_Savings!A149="","",Agent02_Savings!I149)</f>
        <v/>
      </c>
      <c r="I342" s="40" t="str">
        <f>IF(Agent02_Savings!A149="","",Agent02_Savings!J149)</f>
        <v/>
      </c>
      <c r="J342" s="40" t="str">
        <f>IF(Agent02_Savings!A149="","",Agent02_Savings!K149)</f>
        <v/>
      </c>
      <c r="K342" s="40" t="str">
        <f>IFERROR(IF(Agent02_Savings!A149="","",YEAR(Agent02_Savings!D149)),"")</f>
        <v/>
      </c>
    </row>
    <row r="343" spans="1:11" ht="18" customHeight="1" x14ac:dyDescent="0.25">
      <c r="A343" s="40" t="str">
        <f>IF(Agent02_Savings!A150="","",Agent02_Savings!A150)</f>
        <v/>
      </c>
      <c r="B343" s="40" t="str">
        <f ca="1">IF(Agent02_Savings!A150="","","SV"&amp;TEXT(343-3,"0000")&amp;"-"&amp;TEXT(TODAY(),"YYYYMMDD"))</f>
        <v/>
      </c>
      <c r="C343" s="40" t="str">
        <f>IF(Agent02_Savings!A150="","",Agent02_Savings!B150)</f>
        <v/>
      </c>
      <c r="D343" s="40" t="str">
        <f>IF(Agent02_Savings!A150="","",Agent02_Savings!G150)</f>
        <v/>
      </c>
      <c r="E343" s="41" t="str">
        <f>IF(Agent02_Savings!A150="","",Agent02_Savings!D150)</f>
        <v/>
      </c>
      <c r="F343" s="42" t="str">
        <f>IF(Agent02_Savings!A150="","",Agent02_Savings!E150)</f>
        <v/>
      </c>
      <c r="G343" s="42" t="str">
        <f>IF(Agent02_Savings!A150="","",Agent02_Savings!F150)</f>
        <v/>
      </c>
      <c r="H343" s="40" t="str">
        <f>IF(Agent02_Savings!A150="","",Agent02_Savings!I150)</f>
        <v/>
      </c>
      <c r="I343" s="40" t="str">
        <f>IF(Agent02_Savings!A150="","",Agent02_Savings!J150)</f>
        <v/>
      </c>
      <c r="J343" s="40" t="str">
        <f>IF(Agent02_Savings!A150="","",Agent02_Savings!K150)</f>
        <v/>
      </c>
      <c r="K343" s="40" t="str">
        <f>IFERROR(IF(Agent02_Savings!A150="","",YEAR(Agent02_Savings!D150)),"")</f>
        <v/>
      </c>
    </row>
    <row r="344" spans="1:11" ht="18" customHeight="1" x14ac:dyDescent="0.25">
      <c r="A344" s="40" t="str">
        <f>IF(Agent02_Savings!A151="","",Agent02_Savings!A151)</f>
        <v/>
      </c>
      <c r="B344" s="40" t="str">
        <f ca="1">IF(Agent02_Savings!A151="","","SV"&amp;TEXT(344-3,"0000")&amp;"-"&amp;TEXT(TODAY(),"YYYYMMDD"))</f>
        <v/>
      </c>
      <c r="C344" s="40" t="str">
        <f>IF(Agent02_Savings!A151="","",Agent02_Savings!B151)</f>
        <v/>
      </c>
      <c r="D344" s="40" t="str">
        <f>IF(Agent02_Savings!A151="","",Agent02_Savings!G151)</f>
        <v/>
      </c>
      <c r="E344" s="41" t="str">
        <f>IF(Agent02_Savings!A151="","",Agent02_Savings!D151)</f>
        <v/>
      </c>
      <c r="F344" s="42" t="str">
        <f>IF(Agent02_Savings!A151="","",Agent02_Savings!E151)</f>
        <v/>
      </c>
      <c r="G344" s="42" t="str">
        <f>IF(Agent02_Savings!A151="","",Agent02_Savings!F151)</f>
        <v/>
      </c>
      <c r="H344" s="40" t="str">
        <f>IF(Agent02_Savings!A151="","",Agent02_Savings!I151)</f>
        <v/>
      </c>
      <c r="I344" s="40" t="str">
        <f>IF(Agent02_Savings!A151="","",Agent02_Savings!J151)</f>
        <v/>
      </c>
      <c r="J344" s="40" t="str">
        <f>IF(Agent02_Savings!A151="","",Agent02_Savings!K151)</f>
        <v/>
      </c>
      <c r="K344" s="40" t="str">
        <f>IFERROR(IF(Agent02_Savings!A151="","",YEAR(Agent02_Savings!D151)),"")</f>
        <v/>
      </c>
    </row>
    <row r="345" spans="1:11" ht="18" customHeight="1" x14ac:dyDescent="0.25">
      <c r="A345" s="40" t="str">
        <f>IF(Agent02_Savings!A152="","",Agent02_Savings!A152)</f>
        <v/>
      </c>
      <c r="B345" s="40" t="str">
        <f ca="1">IF(Agent02_Savings!A152="","","SV"&amp;TEXT(345-3,"0000")&amp;"-"&amp;TEXT(TODAY(),"YYYYMMDD"))</f>
        <v/>
      </c>
      <c r="C345" s="40" t="str">
        <f>IF(Agent02_Savings!A152="","",Agent02_Savings!B152)</f>
        <v/>
      </c>
      <c r="D345" s="40" t="str">
        <f>IF(Agent02_Savings!A152="","",Agent02_Savings!G152)</f>
        <v/>
      </c>
      <c r="E345" s="41" t="str">
        <f>IF(Agent02_Savings!A152="","",Agent02_Savings!D152)</f>
        <v/>
      </c>
      <c r="F345" s="42" t="str">
        <f>IF(Agent02_Savings!A152="","",Agent02_Savings!E152)</f>
        <v/>
      </c>
      <c r="G345" s="42" t="str">
        <f>IF(Agent02_Savings!A152="","",Agent02_Savings!F152)</f>
        <v/>
      </c>
      <c r="H345" s="40" t="str">
        <f>IF(Agent02_Savings!A152="","",Agent02_Savings!I152)</f>
        <v/>
      </c>
      <c r="I345" s="40" t="str">
        <f>IF(Agent02_Savings!A152="","",Agent02_Savings!J152)</f>
        <v/>
      </c>
      <c r="J345" s="40" t="str">
        <f>IF(Agent02_Savings!A152="","",Agent02_Savings!K152)</f>
        <v/>
      </c>
      <c r="K345" s="40" t="str">
        <f>IFERROR(IF(Agent02_Savings!A152="","",YEAR(Agent02_Savings!D152)),"")</f>
        <v/>
      </c>
    </row>
    <row r="346" spans="1:11" ht="18" customHeight="1" x14ac:dyDescent="0.25">
      <c r="A346" s="40" t="str">
        <f>IF(Agent02_Savings!A153="","",Agent02_Savings!A153)</f>
        <v/>
      </c>
      <c r="B346" s="40" t="str">
        <f ca="1">IF(Agent02_Savings!A153="","","SV"&amp;TEXT(346-3,"0000")&amp;"-"&amp;TEXT(TODAY(),"YYYYMMDD"))</f>
        <v/>
      </c>
      <c r="C346" s="40" t="str">
        <f>IF(Agent02_Savings!A153="","",Agent02_Savings!B153)</f>
        <v/>
      </c>
      <c r="D346" s="40" t="str">
        <f>IF(Agent02_Savings!A153="","",Agent02_Savings!G153)</f>
        <v/>
      </c>
      <c r="E346" s="41" t="str">
        <f>IF(Agent02_Savings!A153="","",Agent02_Savings!D153)</f>
        <v/>
      </c>
      <c r="F346" s="42" t="str">
        <f>IF(Agent02_Savings!A153="","",Agent02_Savings!E153)</f>
        <v/>
      </c>
      <c r="G346" s="42" t="str">
        <f>IF(Agent02_Savings!A153="","",Agent02_Savings!F153)</f>
        <v/>
      </c>
      <c r="H346" s="40" t="str">
        <f>IF(Agent02_Savings!A153="","",Agent02_Savings!I153)</f>
        <v/>
      </c>
      <c r="I346" s="40" t="str">
        <f>IF(Agent02_Savings!A153="","",Agent02_Savings!J153)</f>
        <v/>
      </c>
      <c r="J346" s="40" t="str">
        <f>IF(Agent02_Savings!A153="","",Agent02_Savings!K153)</f>
        <v/>
      </c>
      <c r="K346" s="40" t="str">
        <f>IFERROR(IF(Agent02_Savings!A153="","",YEAR(Agent02_Savings!D153)),"")</f>
        <v/>
      </c>
    </row>
    <row r="347" spans="1:11" ht="18" customHeight="1" x14ac:dyDescent="0.25">
      <c r="A347" s="40" t="str">
        <f>IF(Agent02_Savings!A154="","",Agent02_Savings!A154)</f>
        <v/>
      </c>
      <c r="B347" s="40" t="str">
        <f ca="1">IF(Agent02_Savings!A154="","","SV"&amp;TEXT(347-3,"0000")&amp;"-"&amp;TEXT(TODAY(),"YYYYMMDD"))</f>
        <v/>
      </c>
      <c r="C347" s="40" t="str">
        <f>IF(Agent02_Savings!A154="","",Agent02_Savings!B154)</f>
        <v/>
      </c>
      <c r="D347" s="40" t="str">
        <f>IF(Agent02_Savings!A154="","",Agent02_Savings!G154)</f>
        <v/>
      </c>
      <c r="E347" s="41" t="str">
        <f>IF(Agent02_Savings!A154="","",Agent02_Savings!D154)</f>
        <v/>
      </c>
      <c r="F347" s="42" t="str">
        <f>IF(Agent02_Savings!A154="","",Agent02_Savings!E154)</f>
        <v/>
      </c>
      <c r="G347" s="42" t="str">
        <f>IF(Agent02_Savings!A154="","",Agent02_Savings!F154)</f>
        <v/>
      </c>
      <c r="H347" s="40" t="str">
        <f>IF(Agent02_Savings!A154="","",Agent02_Savings!I154)</f>
        <v/>
      </c>
      <c r="I347" s="40" t="str">
        <f>IF(Agent02_Savings!A154="","",Agent02_Savings!J154)</f>
        <v/>
      </c>
      <c r="J347" s="40" t="str">
        <f>IF(Agent02_Savings!A154="","",Agent02_Savings!K154)</f>
        <v/>
      </c>
      <c r="K347" s="40" t="str">
        <f>IFERROR(IF(Agent02_Savings!A154="","",YEAR(Agent02_Savings!D154)),"")</f>
        <v/>
      </c>
    </row>
    <row r="348" spans="1:11" ht="18" customHeight="1" x14ac:dyDescent="0.25">
      <c r="A348" s="40" t="str">
        <f>IF(Agent02_Savings!A155="","",Agent02_Savings!A155)</f>
        <v/>
      </c>
      <c r="B348" s="40" t="str">
        <f ca="1">IF(Agent02_Savings!A155="","","SV"&amp;TEXT(348-3,"0000")&amp;"-"&amp;TEXT(TODAY(),"YYYYMMDD"))</f>
        <v/>
      </c>
      <c r="C348" s="40" t="str">
        <f>IF(Agent02_Savings!A155="","",Agent02_Savings!B155)</f>
        <v/>
      </c>
      <c r="D348" s="40" t="str">
        <f>IF(Agent02_Savings!A155="","",Agent02_Savings!G155)</f>
        <v/>
      </c>
      <c r="E348" s="41" t="str">
        <f>IF(Agent02_Savings!A155="","",Agent02_Savings!D155)</f>
        <v/>
      </c>
      <c r="F348" s="42" t="str">
        <f>IF(Agent02_Savings!A155="","",Agent02_Savings!E155)</f>
        <v/>
      </c>
      <c r="G348" s="42" t="str">
        <f>IF(Agent02_Savings!A155="","",Agent02_Savings!F155)</f>
        <v/>
      </c>
      <c r="H348" s="40" t="str">
        <f>IF(Agent02_Savings!A155="","",Agent02_Savings!I155)</f>
        <v/>
      </c>
      <c r="I348" s="40" t="str">
        <f>IF(Agent02_Savings!A155="","",Agent02_Savings!J155)</f>
        <v/>
      </c>
      <c r="J348" s="40" t="str">
        <f>IF(Agent02_Savings!A155="","",Agent02_Savings!K155)</f>
        <v/>
      </c>
      <c r="K348" s="40" t="str">
        <f>IFERROR(IF(Agent02_Savings!A155="","",YEAR(Agent02_Savings!D155)),"")</f>
        <v/>
      </c>
    </row>
    <row r="349" spans="1:11" ht="18" customHeight="1" x14ac:dyDescent="0.25">
      <c r="A349" s="40" t="str">
        <f>IF(Agent02_Savings!A156="","",Agent02_Savings!A156)</f>
        <v/>
      </c>
      <c r="B349" s="40" t="str">
        <f ca="1">IF(Agent02_Savings!A156="","","SV"&amp;TEXT(349-3,"0000")&amp;"-"&amp;TEXT(TODAY(),"YYYYMMDD"))</f>
        <v/>
      </c>
      <c r="C349" s="40" t="str">
        <f>IF(Agent02_Savings!A156="","",Agent02_Savings!B156)</f>
        <v/>
      </c>
      <c r="D349" s="40" t="str">
        <f>IF(Agent02_Savings!A156="","",Agent02_Savings!G156)</f>
        <v/>
      </c>
      <c r="E349" s="41" t="str">
        <f>IF(Agent02_Savings!A156="","",Agent02_Savings!D156)</f>
        <v/>
      </c>
      <c r="F349" s="42" t="str">
        <f>IF(Agent02_Savings!A156="","",Agent02_Savings!E156)</f>
        <v/>
      </c>
      <c r="G349" s="42" t="str">
        <f>IF(Agent02_Savings!A156="","",Agent02_Savings!F156)</f>
        <v/>
      </c>
      <c r="H349" s="40" t="str">
        <f>IF(Agent02_Savings!A156="","",Agent02_Savings!I156)</f>
        <v/>
      </c>
      <c r="I349" s="40" t="str">
        <f>IF(Agent02_Savings!A156="","",Agent02_Savings!J156)</f>
        <v/>
      </c>
      <c r="J349" s="40" t="str">
        <f>IF(Agent02_Savings!A156="","",Agent02_Savings!K156)</f>
        <v/>
      </c>
      <c r="K349" s="40" t="str">
        <f>IFERROR(IF(Agent02_Savings!A156="","",YEAR(Agent02_Savings!D156)),"")</f>
        <v/>
      </c>
    </row>
    <row r="350" spans="1:11" ht="18" customHeight="1" x14ac:dyDescent="0.25">
      <c r="A350" s="40" t="str">
        <f>IF(Agent02_Savings!A157="","",Agent02_Savings!A157)</f>
        <v/>
      </c>
      <c r="B350" s="40" t="str">
        <f ca="1">IF(Agent02_Savings!A157="","","SV"&amp;TEXT(350-3,"0000")&amp;"-"&amp;TEXT(TODAY(),"YYYYMMDD"))</f>
        <v/>
      </c>
      <c r="C350" s="40" t="str">
        <f>IF(Agent02_Savings!A157="","",Agent02_Savings!B157)</f>
        <v/>
      </c>
      <c r="D350" s="40" t="str">
        <f>IF(Agent02_Savings!A157="","",Agent02_Savings!G157)</f>
        <v/>
      </c>
      <c r="E350" s="41" t="str">
        <f>IF(Agent02_Savings!A157="","",Agent02_Savings!D157)</f>
        <v/>
      </c>
      <c r="F350" s="42" t="str">
        <f>IF(Agent02_Savings!A157="","",Agent02_Savings!E157)</f>
        <v/>
      </c>
      <c r="G350" s="42" t="str">
        <f>IF(Agent02_Savings!A157="","",Agent02_Savings!F157)</f>
        <v/>
      </c>
      <c r="H350" s="40" t="str">
        <f>IF(Agent02_Savings!A157="","",Agent02_Savings!I157)</f>
        <v/>
      </c>
      <c r="I350" s="40" t="str">
        <f>IF(Agent02_Savings!A157="","",Agent02_Savings!J157)</f>
        <v/>
      </c>
      <c r="J350" s="40" t="str">
        <f>IF(Agent02_Savings!A157="","",Agent02_Savings!K157)</f>
        <v/>
      </c>
      <c r="K350" s="40" t="str">
        <f>IFERROR(IF(Agent02_Savings!A157="","",YEAR(Agent02_Savings!D157)),"")</f>
        <v/>
      </c>
    </row>
    <row r="351" spans="1:11" ht="18" customHeight="1" x14ac:dyDescent="0.25">
      <c r="A351" s="40" t="str">
        <f>IF(Agent02_Savings!A158="","",Agent02_Savings!A158)</f>
        <v/>
      </c>
      <c r="B351" s="40" t="str">
        <f ca="1">IF(Agent02_Savings!A158="","","SV"&amp;TEXT(351-3,"0000")&amp;"-"&amp;TEXT(TODAY(),"YYYYMMDD"))</f>
        <v/>
      </c>
      <c r="C351" s="40" t="str">
        <f>IF(Agent02_Savings!A158="","",Agent02_Savings!B158)</f>
        <v/>
      </c>
      <c r="D351" s="40" t="str">
        <f>IF(Agent02_Savings!A158="","",Agent02_Savings!G158)</f>
        <v/>
      </c>
      <c r="E351" s="41" t="str">
        <f>IF(Agent02_Savings!A158="","",Agent02_Savings!D158)</f>
        <v/>
      </c>
      <c r="F351" s="42" t="str">
        <f>IF(Agent02_Savings!A158="","",Agent02_Savings!E158)</f>
        <v/>
      </c>
      <c r="G351" s="42" t="str">
        <f>IF(Agent02_Savings!A158="","",Agent02_Savings!F158)</f>
        <v/>
      </c>
      <c r="H351" s="40" t="str">
        <f>IF(Agent02_Savings!A158="","",Agent02_Savings!I158)</f>
        <v/>
      </c>
      <c r="I351" s="40" t="str">
        <f>IF(Agent02_Savings!A158="","",Agent02_Savings!J158)</f>
        <v/>
      </c>
      <c r="J351" s="40" t="str">
        <f>IF(Agent02_Savings!A158="","",Agent02_Savings!K158)</f>
        <v/>
      </c>
      <c r="K351" s="40" t="str">
        <f>IFERROR(IF(Agent02_Savings!A158="","",YEAR(Agent02_Savings!D158)),"")</f>
        <v/>
      </c>
    </row>
    <row r="352" spans="1:11" ht="18" customHeight="1" x14ac:dyDescent="0.25">
      <c r="A352" s="40" t="str">
        <f>IF(Agent02_Savings!A159="","",Agent02_Savings!A159)</f>
        <v/>
      </c>
      <c r="B352" s="40" t="str">
        <f ca="1">IF(Agent02_Savings!A159="","","SV"&amp;TEXT(352-3,"0000")&amp;"-"&amp;TEXT(TODAY(),"YYYYMMDD"))</f>
        <v/>
      </c>
      <c r="C352" s="40" t="str">
        <f>IF(Agent02_Savings!A159="","",Agent02_Savings!B159)</f>
        <v/>
      </c>
      <c r="D352" s="40" t="str">
        <f>IF(Agent02_Savings!A159="","",Agent02_Savings!G159)</f>
        <v/>
      </c>
      <c r="E352" s="41" t="str">
        <f>IF(Agent02_Savings!A159="","",Agent02_Savings!D159)</f>
        <v/>
      </c>
      <c r="F352" s="42" t="str">
        <f>IF(Agent02_Savings!A159="","",Agent02_Savings!E159)</f>
        <v/>
      </c>
      <c r="G352" s="42" t="str">
        <f>IF(Agent02_Savings!A159="","",Agent02_Savings!F159)</f>
        <v/>
      </c>
      <c r="H352" s="40" t="str">
        <f>IF(Agent02_Savings!A159="","",Agent02_Savings!I159)</f>
        <v/>
      </c>
      <c r="I352" s="40" t="str">
        <f>IF(Agent02_Savings!A159="","",Agent02_Savings!J159)</f>
        <v/>
      </c>
      <c r="J352" s="40" t="str">
        <f>IF(Agent02_Savings!A159="","",Agent02_Savings!K159)</f>
        <v/>
      </c>
      <c r="K352" s="40" t="str">
        <f>IFERROR(IF(Agent02_Savings!A159="","",YEAR(Agent02_Savings!D159)),"")</f>
        <v/>
      </c>
    </row>
    <row r="353" spans="1:11" ht="18" customHeight="1" x14ac:dyDescent="0.25">
      <c r="A353" s="40" t="str">
        <f>IF(Agent02_Savings!A160="","",Agent02_Savings!A160)</f>
        <v/>
      </c>
      <c r="B353" s="40" t="str">
        <f ca="1">IF(Agent02_Savings!A160="","","SV"&amp;TEXT(353-3,"0000")&amp;"-"&amp;TEXT(TODAY(),"YYYYMMDD"))</f>
        <v/>
      </c>
      <c r="C353" s="40" t="str">
        <f>IF(Agent02_Savings!A160="","",Agent02_Savings!B160)</f>
        <v/>
      </c>
      <c r="D353" s="40" t="str">
        <f>IF(Agent02_Savings!A160="","",Agent02_Savings!G160)</f>
        <v/>
      </c>
      <c r="E353" s="41" t="str">
        <f>IF(Agent02_Savings!A160="","",Agent02_Savings!D160)</f>
        <v/>
      </c>
      <c r="F353" s="42" t="str">
        <f>IF(Agent02_Savings!A160="","",Agent02_Savings!E160)</f>
        <v/>
      </c>
      <c r="G353" s="42" t="str">
        <f>IF(Agent02_Savings!A160="","",Agent02_Savings!F160)</f>
        <v/>
      </c>
      <c r="H353" s="40" t="str">
        <f>IF(Agent02_Savings!A160="","",Agent02_Savings!I160)</f>
        <v/>
      </c>
      <c r="I353" s="40" t="str">
        <f>IF(Agent02_Savings!A160="","",Agent02_Savings!J160)</f>
        <v/>
      </c>
      <c r="J353" s="40" t="str">
        <f>IF(Agent02_Savings!A160="","",Agent02_Savings!K160)</f>
        <v/>
      </c>
      <c r="K353" s="40" t="str">
        <f>IFERROR(IF(Agent02_Savings!A160="","",YEAR(Agent02_Savings!D160)),"")</f>
        <v/>
      </c>
    </row>
    <row r="354" spans="1:11" ht="18" customHeight="1" x14ac:dyDescent="0.25">
      <c r="A354" s="40" t="str">
        <f>IF(Agent02_Savings!A161="","",Agent02_Savings!A161)</f>
        <v/>
      </c>
      <c r="B354" s="40" t="str">
        <f ca="1">IF(Agent02_Savings!A161="","","SV"&amp;TEXT(354-3,"0000")&amp;"-"&amp;TEXT(TODAY(),"YYYYMMDD"))</f>
        <v/>
      </c>
      <c r="C354" s="40" t="str">
        <f>IF(Agent02_Savings!A161="","",Agent02_Savings!B161)</f>
        <v/>
      </c>
      <c r="D354" s="40" t="str">
        <f>IF(Agent02_Savings!A161="","",Agent02_Savings!G161)</f>
        <v/>
      </c>
      <c r="E354" s="41" t="str">
        <f>IF(Agent02_Savings!A161="","",Agent02_Savings!D161)</f>
        <v/>
      </c>
      <c r="F354" s="42" t="str">
        <f>IF(Agent02_Savings!A161="","",Agent02_Savings!E161)</f>
        <v/>
      </c>
      <c r="G354" s="42" t="str">
        <f>IF(Agent02_Savings!A161="","",Agent02_Savings!F161)</f>
        <v/>
      </c>
      <c r="H354" s="40" t="str">
        <f>IF(Agent02_Savings!A161="","",Agent02_Savings!I161)</f>
        <v/>
      </c>
      <c r="I354" s="40" t="str">
        <f>IF(Agent02_Savings!A161="","",Agent02_Savings!J161)</f>
        <v/>
      </c>
      <c r="J354" s="40" t="str">
        <f>IF(Agent02_Savings!A161="","",Agent02_Savings!K161)</f>
        <v/>
      </c>
      <c r="K354" s="40" t="str">
        <f>IFERROR(IF(Agent02_Savings!A161="","",YEAR(Agent02_Savings!D161)),"")</f>
        <v/>
      </c>
    </row>
    <row r="355" spans="1:11" ht="18" customHeight="1" x14ac:dyDescent="0.25">
      <c r="A355" s="40" t="str">
        <f>IF(Agent02_Savings!A162="","",Agent02_Savings!A162)</f>
        <v/>
      </c>
      <c r="B355" s="40" t="str">
        <f ca="1">IF(Agent02_Savings!A162="","","SV"&amp;TEXT(355-3,"0000")&amp;"-"&amp;TEXT(TODAY(),"YYYYMMDD"))</f>
        <v/>
      </c>
      <c r="C355" s="40" t="str">
        <f>IF(Agent02_Savings!A162="","",Agent02_Savings!B162)</f>
        <v/>
      </c>
      <c r="D355" s="40" t="str">
        <f>IF(Agent02_Savings!A162="","",Agent02_Savings!G162)</f>
        <v/>
      </c>
      <c r="E355" s="41" t="str">
        <f>IF(Agent02_Savings!A162="","",Agent02_Savings!D162)</f>
        <v/>
      </c>
      <c r="F355" s="42" t="str">
        <f>IF(Agent02_Savings!A162="","",Agent02_Savings!E162)</f>
        <v/>
      </c>
      <c r="G355" s="42" t="str">
        <f>IF(Agent02_Savings!A162="","",Agent02_Savings!F162)</f>
        <v/>
      </c>
      <c r="H355" s="40" t="str">
        <f>IF(Agent02_Savings!A162="","",Agent02_Savings!I162)</f>
        <v/>
      </c>
      <c r="I355" s="40" t="str">
        <f>IF(Agent02_Savings!A162="","",Agent02_Savings!J162)</f>
        <v/>
      </c>
      <c r="J355" s="40" t="str">
        <f>IF(Agent02_Savings!A162="","",Agent02_Savings!K162)</f>
        <v/>
      </c>
      <c r="K355" s="40" t="str">
        <f>IFERROR(IF(Agent02_Savings!A162="","",YEAR(Agent02_Savings!D162)),"")</f>
        <v/>
      </c>
    </row>
    <row r="356" spans="1:11" ht="18" customHeight="1" x14ac:dyDescent="0.25">
      <c r="A356" s="40" t="str">
        <f>IF(Agent02_Savings!A163="","",Agent02_Savings!A163)</f>
        <v/>
      </c>
      <c r="B356" s="40" t="str">
        <f ca="1">IF(Agent02_Savings!A163="","","SV"&amp;TEXT(356-3,"0000")&amp;"-"&amp;TEXT(TODAY(),"YYYYMMDD"))</f>
        <v/>
      </c>
      <c r="C356" s="40" t="str">
        <f>IF(Agent02_Savings!A163="","",Agent02_Savings!B163)</f>
        <v/>
      </c>
      <c r="D356" s="40" t="str">
        <f>IF(Agent02_Savings!A163="","",Agent02_Savings!G163)</f>
        <v/>
      </c>
      <c r="E356" s="41" t="str">
        <f>IF(Agent02_Savings!A163="","",Agent02_Savings!D163)</f>
        <v/>
      </c>
      <c r="F356" s="42" t="str">
        <f>IF(Agent02_Savings!A163="","",Agent02_Savings!E163)</f>
        <v/>
      </c>
      <c r="G356" s="42" t="str">
        <f>IF(Agent02_Savings!A163="","",Agent02_Savings!F163)</f>
        <v/>
      </c>
      <c r="H356" s="40" t="str">
        <f>IF(Agent02_Savings!A163="","",Agent02_Savings!I163)</f>
        <v/>
      </c>
      <c r="I356" s="40" t="str">
        <f>IF(Agent02_Savings!A163="","",Agent02_Savings!J163)</f>
        <v/>
      </c>
      <c r="J356" s="40" t="str">
        <f>IF(Agent02_Savings!A163="","",Agent02_Savings!K163)</f>
        <v/>
      </c>
      <c r="K356" s="40" t="str">
        <f>IFERROR(IF(Agent02_Savings!A163="","",YEAR(Agent02_Savings!D163)),"")</f>
        <v/>
      </c>
    </row>
    <row r="357" spans="1:11" ht="18" customHeight="1" x14ac:dyDescent="0.25">
      <c r="A357" s="40" t="str">
        <f>IF(Agent02_Savings!A164="","",Agent02_Savings!A164)</f>
        <v/>
      </c>
      <c r="B357" s="40" t="str">
        <f ca="1">IF(Agent02_Savings!A164="","","SV"&amp;TEXT(357-3,"0000")&amp;"-"&amp;TEXT(TODAY(),"YYYYMMDD"))</f>
        <v/>
      </c>
      <c r="C357" s="40" t="str">
        <f>IF(Agent02_Savings!A164="","",Agent02_Savings!B164)</f>
        <v/>
      </c>
      <c r="D357" s="40" t="str">
        <f>IF(Agent02_Savings!A164="","",Agent02_Savings!G164)</f>
        <v/>
      </c>
      <c r="E357" s="41" t="str">
        <f>IF(Agent02_Savings!A164="","",Agent02_Savings!D164)</f>
        <v/>
      </c>
      <c r="F357" s="42" t="str">
        <f>IF(Agent02_Savings!A164="","",Agent02_Savings!E164)</f>
        <v/>
      </c>
      <c r="G357" s="42" t="str">
        <f>IF(Agent02_Savings!A164="","",Agent02_Savings!F164)</f>
        <v/>
      </c>
      <c r="H357" s="40" t="str">
        <f>IF(Agent02_Savings!A164="","",Agent02_Savings!I164)</f>
        <v/>
      </c>
      <c r="I357" s="40" t="str">
        <f>IF(Agent02_Savings!A164="","",Agent02_Savings!J164)</f>
        <v/>
      </c>
      <c r="J357" s="40" t="str">
        <f>IF(Agent02_Savings!A164="","",Agent02_Savings!K164)</f>
        <v/>
      </c>
      <c r="K357" s="40" t="str">
        <f>IFERROR(IF(Agent02_Savings!A164="","",YEAR(Agent02_Savings!D164)),"")</f>
        <v/>
      </c>
    </row>
    <row r="358" spans="1:11" ht="18" customHeight="1" x14ac:dyDescent="0.25">
      <c r="A358" s="40" t="str">
        <f>IF(Agent02_Savings!A165="","",Agent02_Savings!A165)</f>
        <v/>
      </c>
      <c r="B358" s="40" t="str">
        <f ca="1">IF(Agent02_Savings!A165="","","SV"&amp;TEXT(358-3,"0000")&amp;"-"&amp;TEXT(TODAY(),"YYYYMMDD"))</f>
        <v/>
      </c>
      <c r="C358" s="40" t="str">
        <f>IF(Agent02_Savings!A165="","",Agent02_Savings!B165)</f>
        <v/>
      </c>
      <c r="D358" s="40" t="str">
        <f>IF(Agent02_Savings!A165="","",Agent02_Savings!G165)</f>
        <v/>
      </c>
      <c r="E358" s="41" t="str">
        <f>IF(Agent02_Savings!A165="","",Agent02_Savings!D165)</f>
        <v/>
      </c>
      <c r="F358" s="42" t="str">
        <f>IF(Agent02_Savings!A165="","",Agent02_Savings!E165)</f>
        <v/>
      </c>
      <c r="G358" s="42" t="str">
        <f>IF(Agent02_Savings!A165="","",Agent02_Savings!F165)</f>
        <v/>
      </c>
      <c r="H358" s="40" t="str">
        <f>IF(Agent02_Savings!A165="","",Agent02_Savings!I165)</f>
        <v/>
      </c>
      <c r="I358" s="40" t="str">
        <f>IF(Agent02_Savings!A165="","",Agent02_Savings!J165)</f>
        <v/>
      </c>
      <c r="J358" s="40" t="str">
        <f>IF(Agent02_Savings!A165="","",Agent02_Savings!K165)</f>
        <v/>
      </c>
      <c r="K358" s="40" t="str">
        <f>IFERROR(IF(Agent02_Savings!A165="","",YEAR(Agent02_Savings!D165)),"")</f>
        <v/>
      </c>
    </row>
    <row r="359" spans="1:11" ht="18" customHeight="1" x14ac:dyDescent="0.25">
      <c r="A359" s="40" t="str">
        <f>IF(Agent02_Savings!A166="","",Agent02_Savings!A166)</f>
        <v/>
      </c>
      <c r="B359" s="40" t="str">
        <f ca="1">IF(Agent02_Savings!A166="","","SV"&amp;TEXT(359-3,"0000")&amp;"-"&amp;TEXT(TODAY(),"YYYYMMDD"))</f>
        <v/>
      </c>
      <c r="C359" s="40" t="str">
        <f>IF(Agent02_Savings!A166="","",Agent02_Savings!B166)</f>
        <v/>
      </c>
      <c r="D359" s="40" t="str">
        <f>IF(Agent02_Savings!A166="","",Agent02_Savings!G166)</f>
        <v/>
      </c>
      <c r="E359" s="41" t="str">
        <f>IF(Agent02_Savings!A166="","",Agent02_Savings!D166)</f>
        <v/>
      </c>
      <c r="F359" s="42" t="str">
        <f>IF(Agent02_Savings!A166="","",Agent02_Savings!E166)</f>
        <v/>
      </c>
      <c r="G359" s="42" t="str">
        <f>IF(Agent02_Savings!A166="","",Agent02_Savings!F166)</f>
        <v/>
      </c>
      <c r="H359" s="40" t="str">
        <f>IF(Agent02_Savings!A166="","",Agent02_Savings!I166)</f>
        <v/>
      </c>
      <c r="I359" s="40" t="str">
        <f>IF(Agent02_Savings!A166="","",Agent02_Savings!J166)</f>
        <v/>
      </c>
      <c r="J359" s="40" t="str">
        <f>IF(Agent02_Savings!A166="","",Agent02_Savings!K166)</f>
        <v/>
      </c>
      <c r="K359" s="40" t="str">
        <f>IFERROR(IF(Agent02_Savings!A166="","",YEAR(Agent02_Savings!D166)),"")</f>
        <v/>
      </c>
    </row>
    <row r="360" spans="1:11" ht="18" customHeight="1" x14ac:dyDescent="0.25">
      <c r="A360" s="40" t="str">
        <f>IF(Agent02_Savings!A167="","",Agent02_Savings!A167)</f>
        <v/>
      </c>
      <c r="B360" s="40" t="str">
        <f ca="1">IF(Agent02_Savings!A167="","","SV"&amp;TEXT(360-3,"0000")&amp;"-"&amp;TEXT(TODAY(),"YYYYMMDD"))</f>
        <v/>
      </c>
      <c r="C360" s="40" t="str">
        <f>IF(Agent02_Savings!A167="","",Agent02_Savings!B167)</f>
        <v/>
      </c>
      <c r="D360" s="40" t="str">
        <f>IF(Agent02_Savings!A167="","",Agent02_Savings!G167)</f>
        <v/>
      </c>
      <c r="E360" s="41" t="str">
        <f>IF(Agent02_Savings!A167="","",Agent02_Savings!D167)</f>
        <v/>
      </c>
      <c r="F360" s="42" t="str">
        <f>IF(Agent02_Savings!A167="","",Agent02_Savings!E167)</f>
        <v/>
      </c>
      <c r="G360" s="42" t="str">
        <f>IF(Agent02_Savings!A167="","",Agent02_Savings!F167)</f>
        <v/>
      </c>
      <c r="H360" s="40" t="str">
        <f>IF(Agent02_Savings!A167="","",Agent02_Savings!I167)</f>
        <v/>
      </c>
      <c r="I360" s="40" t="str">
        <f>IF(Agent02_Savings!A167="","",Agent02_Savings!J167)</f>
        <v/>
      </c>
      <c r="J360" s="40" t="str">
        <f>IF(Agent02_Savings!A167="","",Agent02_Savings!K167)</f>
        <v/>
      </c>
      <c r="K360" s="40" t="str">
        <f>IFERROR(IF(Agent02_Savings!A167="","",YEAR(Agent02_Savings!D167)),"")</f>
        <v/>
      </c>
    </row>
    <row r="361" spans="1:11" ht="18" customHeight="1" x14ac:dyDescent="0.25">
      <c r="A361" s="40" t="str">
        <f>IF(Agent02_Savings!A168="","",Agent02_Savings!A168)</f>
        <v/>
      </c>
      <c r="B361" s="40" t="str">
        <f ca="1">IF(Agent02_Savings!A168="","","SV"&amp;TEXT(361-3,"0000")&amp;"-"&amp;TEXT(TODAY(),"YYYYMMDD"))</f>
        <v/>
      </c>
      <c r="C361" s="40" t="str">
        <f>IF(Agent02_Savings!A168="","",Agent02_Savings!B168)</f>
        <v/>
      </c>
      <c r="D361" s="40" t="str">
        <f>IF(Agent02_Savings!A168="","",Agent02_Savings!G168)</f>
        <v/>
      </c>
      <c r="E361" s="41" t="str">
        <f>IF(Agent02_Savings!A168="","",Agent02_Savings!D168)</f>
        <v/>
      </c>
      <c r="F361" s="42" t="str">
        <f>IF(Agent02_Savings!A168="","",Agent02_Savings!E168)</f>
        <v/>
      </c>
      <c r="G361" s="42" t="str">
        <f>IF(Agent02_Savings!A168="","",Agent02_Savings!F168)</f>
        <v/>
      </c>
      <c r="H361" s="40" t="str">
        <f>IF(Agent02_Savings!A168="","",Agent02_Savings!I168)</f>
        <v/>
      </c>
      <c r="I361" s="40" t="str">
        <f>IF(Agent02_Savings!A168="","",Agent02_Savings!J168)</f>
        <v/>
      </c>
      <c r="J361" s="40" t="str">
        <f>IF(Agent02_Savings!A168="","",Agent02_Savings!K168)</f>
        <v/>
      </c>
      <c r="K361" s="40" t="str">
        <f>IFERROR(IF(Agent02_Savings!A168="","",YEAR(Agent02_Savings!D168)),"")</f>
        <v/>
      </c>
    </row>
    <row r="362" spans="1:11" ht="18" customHeight="1" x14ac:dyDescent="0.25">
      <c r="A362" s="40" t="str">
        <f>IF(Agent02_Savings!A169="","",Agent02_Savings!A169)</f>
        <v/>
      </c>
      <c r="B362" s="40" t="str">
        <f ca="1">IF(Agent02_Savings!A169="","","SV"&amp;TEXT(362-3,"0000")&amp;"-"&amp;TEXT(TODAY(),"YYYYMMDD"))</f>
        <v/>
      </c>
      <c r="C362" s="40" t="str">
        <f>IF(Agent02_Savings!A169="","",Agent02_Savings!B169)</f>
        <v/>
      </c>
      <c r="D362" s="40" t="str">
        <f>IF(Agent02_Savings!A169="","",Agent02_Savings!G169)</f>
        <v/>
      </c>
      <c r="E362" s="41" t="str">
        <f>IF(Agent02_Savings!A169="","",Agent02_Savings!D169)</f>
        <v/>
      </c>
      <c r="F362" s="42" t="str">
        <f>IF(Agent02_Savings!A169="","",Agent02_Savings!E169)</f>
        <v/>
      </c>
      <c r="G362" s="42" t="str">
        <f>IF(Agent02_Savings!A169="","",Agent02_Savings!F169)</f>
        <v/>
      </c>
      <c r="H362" s="40" t="str">
        <f>IF(Agent02_Savings!A169="","",Agent02_Savings!I169)</f>
        <v/>
      </c>
      <c r="I362" s="40" t="str">
        <f>IF(Agent02_Savings!A169="","",Agent02_Savings!J169)</f>
        <v/>
      </c>
      <c r="J362" s="40" t="str">
        <f>IF(Agent02_Savings!A169="","",Agent02_Savings!K169)</f>
        <v/>
      </c>
      <c r="K362" s="40" t="str">
        <f>IFERROR(IF(Agent02_Savings!A169="","",YEAR(Agent02_Savings!D169)),"")</f>
        <v/>
      </c>
    </row>
    <row r="363" spans="1:11" ht="18" customHeight="1" x14ac:dyDescent="0.25">
      <c r="A363" s="40" t="str">
        <f>IF(Agent02_Savings!A170="","",Agent02_Savings!A170)</f>
        <v/>
      </c>
      <c r="B363" s="40" t="str">
        <f ca="1">IF(Agent02_Savings!A170="","","SV"&amp;TEXT(363-3,"0000")&amp;"-"&amp;TEXT(TODAY(),"YYYYMMDD"))</f>
        <v/>
      </c>
      <c r="C363" s="40" t="str">
        <f>IF(Agent02_Savings!A170="","",Agent02_Savings!B170)</f>
        <v/>
      </c>
      <c r="D363" s="40" t="str">
        <f>IF(Agent02_Savings!A170="","",Agent02_Savings!G170)</f>
        <v/>
      </c>
      <c r="E363" s="41" t="str">
        <f>IF(Agent02_Savings!A170="","",Agent02_Savings!D170)</f>
        <v/>
      </c>
      <c r="F363" s="42" t="str">
        <f>IF(Agent02_Savings!A170="","",Agent02_Savings!E170)</f>
        <v/>
      </c>
      <c r="G363" s="42" t="str">
        <f>IF(Agent02_Savings!A170="","",Agent02_Savings!F170)</f>
        <v/>
      </c>
      <c r="H363" s="40" t="str">
        <f>IF(Agent02_Savings!A170="","",Agent02_Savings!I170)</f>
        <v/>
      </c>
      <c r="I363" s="40" t="str">
        <f>IF(Agent02_Savings!A170="","",Agent02_Savings!J170)</f>
        <v/>
      </c>
      <c r="J363" s="40" t="str">
        <f>IF(Agent02_Savings!A170="","",Agent02_Savings!K170)</f>
        <v/>
      </c>
      <c r="K363" s="40" t="str">
        <f>IFERROR(IF(Agent02_Savings!A170="","",YEAR(Agent02_Savings!D170)),"")</f>
        <v/>
      </c>
    </row>
    <row r="364" spans="1:11" ht="18" customHeight="1" x14ac:dyDescent="0.25">
      <c r="A364" s="40" t="str">
        <f>IF(Agent02_Savings!A171="","",Agent02_Savings!A171)</f>
        <v/>
      </c>
      <c r="B364" s="40" t="str">
        <f ca="1">IF(Agent02_Savings!A171="","","SV"&amp;TEXT(364-3,"0000")&amp;"-"&amp;TEXT(TODAY(),"YYYYMMDD"))</f>
        <v/>
      </c>
      <c r="C364" s="40" t="str">
        <f>IF(Agent02_Savings!A171="","",Agent02_Savings!B171)</f>
        <v/>
      </c>
      <c r="D364" s="40" t="str">
        <f>IF(Agent02_Savings!A171="","",Agent02_Savings!G171)</f>
        <v/>
      </c>
      <c r="E364" s="41" t="str">
        <f>IF(Agent02_Savings!A171="","",Agent02_Savings!D171)</f>
        <v/>
      </c>
      <c r="F364" s="42" t="str">
        <f>IF(Agent02_Savings!A171="","",Agent02_Savings!E171)</f>
        <v/>
      </c>
      <c r="G364" s="42" t="str">
        <f>IF(Agent02_Savings!A171="","",Agent02_Savings!F171)</f>
        <v/>
      </c>
      <c r="H364" s="40" t="str">
        <f>IF(Agent02_Savings!A171="","",Agent02_Savings!I171)</f>
        <v/>
      </c>
      <c r="I364" s="40" t="str">
        <f>IF(Agent02_Savings!A171="","",Agent02_Savings!J171)</f>
        <v/>
      </c>
      <c r="J364" s="40" t="str">
        <f>IF(Agent02_Savings!A171="","",Agent02_Savings!K171)</f>
        <v/>
      </c>
      <c r="K364" s="40" t="str">
        <f>IFERROR(IF(Agent02_Savings!A171="","",YEAR(Agent02_Savings!D171)),"")</f>
        <v/>
      </c>
    </row>
    <row r="365" spans="1:11" ht="18" customHeight="1" x14ac:dyDescent="0.25">
      <c r="A365" s="40" t="str">
        <f>IF(Agent02_Savings!A172="","",Agent02_Savings!A172)</f>
        <v/>
      </c>
      <c r="B365" s="40" t="str">
        <f ca="1">IF(Agent02_Savings!A172="","","SV"&amp;TEXT(365-3,"0000")&amp;"-"&amp;TEXT(TODAY(),"YYYYMMDD"))</f>
        <v/>
      </c>
      <c r="C365" s="40" t="str">
        <f>IF(Agent02_Savings!A172="","",Agent02_Savings!B172)</f>
        <v/>
      </c>
      <c r="D365" s="40" t="str">
        <f>IF(Agent02_Savings!A172="","",Agent02_Savings!G172)</f>
        <v/>
      </c>
      <c r="E365" s="41" t="str">
        <f>IF(Agent02_Savings!A172="","",Agent02_Savings!D172)</f>
        <v/>
      </c>
      <c r="F365" s="42" t="str">
        <f>IF(Agent02_Savings!A172="","",Agent02_Savings!E172)</f>
        <v/>
      </c>
      <c r="G365" s="42" t="str">
        <f>IF(Agent02_Savings!A172="","",Agent02_Savings!F172)</f>
        <v/>
      </c>
      <c r="H365" s="40" t="str">
        <f>IF(Agent02_Savings!A172="","",Agent02_Savings!I172)</f>
        <v/>
      </c>
      <c r="I365" s="40" t="str">
        <f>IF(Agent02_Savings!A172="","",Agent02_Savings!J172)</f>
        <v/>
      </c>
      <c r="J365" s="40" t="str">
        <f>IF(Agent02_Savings!A172="","",Agent02_Savings!K172)</f>
        <v/>
      </c>
      <c r="K365" s="40" t="str">
        <f>IFERROR(IF(Agent02_Savings!A172="","",YEAR(Agent02_Savings!D172)),"")</f>
        <v/>
      </c>
    </row>
    <row r="366" spans="1:11" ht="18" customHeight="1" x14ac:dyDescent="0.25">
      <c r="A366" s="40" t="str">
        <f>IF(Agent02_Savings!A173="","",Agent02_Savings!A173)</f>
        <v/>
      </c>
      <c r="B366" s="40" t="str">
        <f ca="1">IF(Agent02_Savings!A173="","","SV"&amp;TEXT(366-3,"0000")&amp;"-"&amp;TEXT(TODAY(),"YYYYMMDD"))</f>
        <v/>
      </c>
      <c r="C366" s="40" t="str">
        <f>IF(Agent02_Savings!A173="","",Agent02_Savings!B173)</f>
        <v/>
      </c>
      <c r="D366" s="40" t="str">
        <f>IF(Agent02_Savings!A173="","",Agent02_Savings!G173)</f>
        <v/>
      </c>
      <c r="E366" s="41" t="str">
        <f>IF(Agent02_Savings!A173="","",Agent02_Savings!D173)</f>
        <v/>
      </c>
      <c r="F366" s="42" t="str">
        <f>IF(Agent02_Savings!A173="","",Agent02_Savings!E173)</f>
        <v/>
      </c>
      <c r="G366" s="42" t="str">
        <f>IF(Agent02_Savings!A173="","",Agent02_Savings!F173)</f>
        <v/>
      </c>
      <c r="H366" s="40" t="str">
        <f>IF(Agent02_Savings!A173="","",Agent02_Savings!I173)</f>
        <v/>
      </c>
      <c r="I366" s="40" t="str">
        <f>IF(Agent02_Savings!A173="","",Agent02_Savings!J173)</f>
        <v/>
      </c>
      <c r="J366" s="40" t="str">
        <f>IF(Agent02_Savings!A173="","",Agent02_Savings!K173)</f>
        <v/>
      </c>
      <c r="K366" s="40" t="str">
        <f>IFERROR(IF(Agent02_Savings!A173="","",YEAR(Agent02_Savings!D173)),"")</f>
        <v/>
      </c>
    </row>
    <row r="367" spans="1:11" ht="18" customHeight="1" x14ac:dyDescent="0.25">
      <c r="A367" s="40" t="str">
        <f>IF(Agent02_Savings!A174="","",Agent02_Savings!A174)</f>
        <v/>
      </c>
      <c r="B367" s="40" t="str">
        <f ca="1">IF(Agent02_Savings!A174="","","SV"&amp;TEXT(367-3,"0000")&amp;"-"&amp;TEXT(TODAY(),"YYYYMMDD"))</f>
        <v/>
      </c>
      <c r="C367" s="40" t="str">
        <f>IF(Agent02_Savings!A174="","",Agent02_Savings!B174)</f>
        <v/>
      </c>
      <c r="D367" s="40" t="str">
        <f>IF(Agent02_Savings!A174="","",Agent02_Savings!G174)</f>
        <v/>
      </c>
      <c r="E367" s="41" t="str">
        <f>IF(Agent02_Savings!A174="","",Agent02_Savings!D174)</f>
        <v/>
      </c>
      <c r="F367" s="42" t="str">
        <f>IF(Agent02_Savings!A174="","",Agent02_Savings!E174)</f>
        <v/>
      </c>
      <c r="G367" s="42" t="str">
        <f>IF(Agent02_Savings!A174="","",Agent02_Savings!F174)</f>
        <v/>
      </c>
      <c r="H367" s="40" t="str">
        <f>IF(Agent02_Savings!A174="","",Agent02_Savings!I174)</f>
        <v/>
      </c>
      <c r="I367" s="40" t="str">
        <f>IF(Agent02_Savings!A174="","",Agent02_Savings!J174)</f>
        <v/>
      </c>
      <c r="J367" s="40" t="str">
        <f>IF(Agent02_Savings!A174="","",Agent02_Savings!K174)</f>
        <v/>
      </c>
      <c r="K367" s="40" t="str">
        <f>IFERROR(IF(Agent02_Savings!A174="","",YEAR(Agent02_Savings!D174)),"")</f>
        <v/>
      </c>
    </row>
    <row r="368" spans="1:11" ht="18" customHeight="1" x14ac:dyDescent="0.25">
      <c r="A368" s="40" t="str">
        <f>IF(Agent02_Savings!A175="","",Agent02_Savings!A175)</f>
        <v/>
      </c>
      <c r="B368" s="40" t="str">
        <f ca="1">IF(Agent02_Savings!A175="","","SV"&amp;TEXT(368-3,"0000")&amp;"-"&amp;TEXT(TODAY(),"YYYYMMDD"))</f>
        <v/>
      </c>
      <c r="C368" s="40" t="str">
        <f>IF(Agent02_Savings!A175="","",Agent02_Savings!B175)</f>
        <v/>
      </c>
      <c r="D368" s="40" t="str">
        <f>IF(Agent02_Savings!A175="","",Agent02_Savings!G175)</f>
        <v/>
      </c>
      <c r="E368" s="41" t="str">
        <f>IF(Agent02_Savings!A175="","",Agent02_Savings!D175)</f>
        <v/>
      </c>
      <c r="F368" s="42" t="str">
        <f>IF(Agent02_Savings!A175="","",Agent02_Savings!E175)</f>
        <v/>
      </c>
      <c r="G368" s="42" t="str">
        <f>IF(Agent02_Savings!A175="","",Agent02_Savings!F175)</f>
        <v/>
      </c>
      <c r="H368" s="40" t="str">
        <f>IF(Agent02_Savings!A175="","",Agent02_Savings!I175)</f>
        <v/>
      </c>
      <c r="I368" s="40" t="str">
        <f>IF(Agent02_Savings!A175="","",Agent02_Savings!J175)</f>
        <v/>
      </c>
      <c r="J368" s="40" t="str">
        <f>IF(Agent02_Savings!A175="","",Agent02_Savings!K175)</f>
        <v/>
      </c>
      <c r="K368" s="40" t="str">
        <f>IFERROR(IF(Agent02_Savings!A175="","",YEAR(Agent02_Savings!D175)),"")</f>
        <v/>
      </c>
    </row>
    <row r="369" spans="1:11" ht="18" customHeight="1" x14ac:dyDescent="0.25">
      <c r="A369" s="40" t="str">
        <f>IF(Agent02_Savings!A176="","",Agent02_Savings!A176)</f>
        <v/>
      </c>
      <c r="B369" s="40" t="str">
        <f ca="1">IF(Agent02_Savings!A176="","","SV"&amp;TEXT(369-3,"0000")&amp;"-"&amp;TEXT(TODAY(),"YYYYMMDD"))</f>
        <v/>
      </c>
      <c r="C369" s="40" t="str">
        <f>IF(Agent02_Savings!A176="","",Agent02_Savings!B176)</f>
        <v/>
      </c>
      <c r="D369" s="40" t="str">
        <f>IF(Agent02_Savings!A176="","",Agent02_Savings!G176)</f>
        <v/>
      </c>
      <c r="E369" s="41" t="str">
        <f>IF(Agent02_Savings!A176="","",Agent02_Savings!D176)</f>
        <v/>
      </c>
      <c r="F369" s="42" t="str">
        <f>IF(Agent02_Savings!A176="","",Agent02_Savings!E176)</f>
        <v/>
      </c>
      <c r="G369" s="42" t="str">
        <f>IF(Agent02_Savings!A176="","",Agent02_Savings!F176)</f>
        <v/>
      </c>
      <c r="H369" s="40" t="str">
        <f>IF(Agent02_Savings!A176="","",Agent02_Savings!I176)</f>
        <v/>
      </c>
      <c r="I369" s="40" t="str">
        <f>IF(Agent02_Savings!A176="","",Agent02_Savings!J176)</f>
        <v/>
      </c>
      <c r="J369" s="40" t="str">
        <f>IF(Agent02_Savings!A176="","",Agent02_Savings!K176)</f>
        <v/>
      </c>
      <c r="K369" s="40" t="str">
        <f>IFERROR(IF(Agent02_Savings!A176="","",YEAR(Agent02_Savings!D176)),"")</f>
        <v/>
      </c>
    </row>
    <row r="370" spans="1:11" ht="18" customHeight="1" x14ac:dyDescent="0.25">
      <c r="A370" s="40" t="str">
        <f>IF(Agent02_Savings!A177="","",Agent02_Savings!A177)</f>
        <v/>
      </c>
      <c r="B370" s="40" t="str">
        <f ca="1">IF(Agent02_Savings!A177="","","SV"&amp;TEXT(370-3,"0000")&amp;"-"&amp;TEXT(TODAY(),"YYYYMMDD"))</f>
        <v/>
      </c>
      <c r="C370" s="40" t="str">
        <f>IF(Agent02_Savings!A177="","",Agent02_Savings!B177)</f>
        <v/>
      </c>
      <c r="D370" s="40" t="str">
        <f>IF(Agent02_Savings!A177="","",Agent02_Savings!G177)</f>
        <v/>
      </c>
      <c r="E370" s="41" t="str">
        <f>IF(Agent02_Savings!A177="","",Agent02_Savings!D177)</f>
        <v/>
      </c>
      <c r="F370" s="42" t="str">
        <f>IF(Agent02_Savings!A177="","",Agent02_Savings!E177)</f>
        <v/>
      </c>
      <c r="G370" s="42" t="str">
        <f>IF(Agent02_Savings!A177="","",Agent02_Savings!F177)</f>
        <v/>
      </c>
      <c r="H370" s="40" t="str">
        <f>IF(Agent02_Savings!A177="","",Agent02_Savings!I177)</f>
        <v/>
      </c>
      <c r="I370" s="40" t="str">
        <f>IF(Agent02_Savings!A177="","",Agent02_Savings!J177)</f>
        <v/>
      </c>
      <c r="J370" s="40" t="str">
        <f>IF(Agent02_Savings!A177="","",Agent02_Savings!K177)</f>
        <v/>
      </c>
      <c r="K370" s="40" t="str">
        <f>IFERROR(IF(Agent02_Savings!A177="","",YEAR(Agent02_Savings!D177)),"")</f>
        <v/>
      </c>
    </row>
    <row r="371" spans="1:11" ht="18" customHeight="1" x14ac:dyDescent="0.25">
      <c r="A371" s="40" t="str">
        <f>IF(Agent02_Savings!A178="","",Agent02_Savings!A178)</f>
        <v/>
      </c>
      <c r="B371" s="40" t="str">
        <f ca="1">IF(Agent02_Savings!A178="","","SV"&amp;TEXT(371-3,"0000")&amp;"-"&amp;TEXT(TODAY(),"YYYYMMDD"))</f>
        <v/>
      </c>
      <c r="C371" s="40" t="str">
        <f>IF(Agent02_Savings!A178="","",Agent02_Savings!B178)</f>
        <v/>
      </c>
      <c r="D371" s="40" t="str">
        <f>IF(Agent02_Savings!A178="","",Agent02_Savings!G178)</f>
        <v/>
      </c>
      <c r="E371" s="41" t="str">
        <f>IF(Agent02_Savings!A178="","",Agent02_Savings!D178)</f>
        <v/>
      </c>
      <c r="F371" s="42" t="str">
        <f>IF(Agent02_Savings!A178="","",Agent02_Savings!E178)</f>
        <v/>
      </c>
      <c r="G371" s="42" t="str">
        <f>IF(Agent02_Savings!A178="","",Agent02_Savings!F178)</f>
        <v/>
      </c>
      <c r="H371" s="40" t="str">
        <f>IF(Agent02_Savings!A178="","",Agent02_Savings!I178)</f>
        <v/>
      </c>
      <c r="I371" s="40" t="str">
        <f>IF(Agent02_Savings!A178="","",Agent02_Savings!J178)</f>
        <v/>
      </c>
      <c r="J371" s="40" t="str">
        <f>IF(Agent02_Savings!A178="","",Agent02_Savings!K178)</f>
        <v/>
      </c>
      <c r="K371" s="40" t="str">
        <f>IFERROR(IF(Agent02_Savings!A178="","",YEAR(Agent02_Savings!D178)),"")</f>
        <v/>
      </c>
    </row>
    <row r="372" spans="1:11" ht="18" customHeight="1" x14ac:dyDescent="0.25">
      <c r="A372" s="40" t="str">
        <f>IF(Agent02_Savings!A179="","",Agent02_Savings!A179)</f>
        <v/>
      </c>
      <c r="B372" s="40" t="str">
        <f ca="1">IF(Agent02_Savings!A179="","","SV"&amp;TEXT(372-3,"0000")&amp;"-"&amp;TEXT(TODAY(),"YYYYMMDD"))</f>
        <v/>
      </c>
      <c r="C372" s="40" t="str">
        <f>IF(Agent02_Savings!A179="","",Agent02_Savings!B179)</f>
        <v/>
      </c>
      <c r="D372" s="40" t="str">
        <f>IF(Agent02_Savings!A179="","",Agent02_Savings!G179)</f>
        <v/>
      </c>
      <c r="E372" s="41" t="str">
        <f>IF(Agent02_Savings!A179="","",Agent02_Savings!D179)</f>
        <v/>
      </c>
      <c r="F372" s="42" t="str">
        <f>IF(Agent02_Savings!A179="","",Agent02_Savings!E179)</f>
        <v/>
      </c>
      <c r="G372" s="42" t="str">
        <f>IF(Agent02_Savings!A179="","",Agent02_Savings!F179)</f>
        <v/>
      </c>
      <c r="H372" s="40" t="str">
        <f>IF(Agent02_Savings!A179="","",Agent02_Savings!I179)</f>
        <v/>
      </c>
      <c r="I372" s="40" t="str">
        <f>IF(Agent02_Savings!A179="","",Agent02_Savings!J179)</f>
        <v/>
      </c>
      <c r="J372" s="40" t="str">
        <f>IF(Agent02_Savings!A179="","",Agent02_Savings!K179)</f>
        <v/>
      </c>
      <c r="K372" s="40" t="str">
        <f>IFERROR(IF(Agent02_Savings!A179="","",YEAR(Agent02_Savings!D179)),"")</f>
        <v/>
      </c>
    </row>
    <row r="373" spans="1:11" ht="18" customHeight="1" x14ac:dyDescent="0.25">
      <c r="A373" s="40" t="str">
        <f>IF(Agent02_Savings!A180="","",Agent02_Savings!A180)</f>
        <v/>
      </c>
      <c r="B373" s="40" t="str">
        <f ca="1">IF(Agent02_Savings!A180="","","SV"&amp;TEXT(373-3,"0000")&amp;"-"&amp;TEXT(TODAY(),"YYYYMMDD"))</f>
        <v/>
      </c>
      <c r="C373" s="40" t="str">
        <f>IF(Agent02_Savings!A180="","",Agent02_Savings!B180)</f>
        <v/>
      </c>
      <c r="D373" s="40" t="str">
        <f>IF(Agent02_Savings!A180="","",Agent02_Savings!G180)</f>
        <v/>
      </c>
      <c r="E373" s="41" t="str">
        <f>IF(Agent02_Savings!A180="","",Agent02_Savings!D180)</f>
        <v/>
      </c>
      <c r="F373" s="42" t="str">
        <f>IF(Agent02_Savings!A180="","",Agent02_Savings!E180)</f>
        <v/>
      </c>
      <c r="G373" s="42" t="str">
        <f>IF(Agent02_Savings!A180="","",Agent02_Savings!F180)</f>
        <v/>
      </c>
      <c r="H373" s="40" t="str">
        <f>IF(Agent02_Savings!A180="","",Agent02_Savings!I180)</f>
        <v/>
      </c>
      <c r="I373" s="40" t="str">
        <f>IF(Agent02_Savings!A180="","",Agent02_Savings!J180)</f>
        <v/>
      </c>
      <c r="J373" s="40" t="str">
        <f>IF(Agent02_Savings!A180="","",Agent02_Savings!K180)</f>
        <v/>
      </c>
      <c r="K373" s="40" t="str">
        <f>IFERROR(IF(Agent02_Savings!A180="","",YEAR(Agent02_Savings!D180)),"")</f>
        <v/>
      </c>
    </row>
    <row r="374" spans="1:11" ht="18" customHeight="1" x14ac:dyDescent="0.25">
      <c r="A374" s="40" t="str">
        <f>IF(Agent02_Savings!A181="","",Agent02_Savings!A181)</f>
        <v/>
      </c>
      <c r="B374" s="40" t="str">
        <f ca="1">IF(Agent02_Savings!A181="","","SV"&amp;TEXT(374-3,"0000")&amp;"-"&amp;TEXT(TODAY(),"YYYYMMDD"))</f>
        <v/>
      </c>
      <c r="C374" s="40" t="str">
        <f>IF(Agent02_Savings!A181="","",Agent02_Savings!B181)</f>
        <v/>
      </c>
      <c r="D374" s="40" t="str">
        <f>IF(Agent02_Savings!A181="","",Agent02_Savings!G181)</f>
        <v/>
      </c>
      <c r="E374" s="41" t="str">
        <f>IF(Agent02_Savings!A181="","",Agent02_Savings!D181)</f>
        <v/>
      </c>
      <c r="F374" s="42" t="str">
        <f>IF(Agent02_Savings!A181="","",Agent02_Savings!E181)</f>
        <v/>
      </c>
      <c r="G374" s="42" t="str">
        <f>IF(Agent02_Savings!A181="","",Agent02_Savings!F181)</f>
        <v/>
      </c>
      <c r="H374" s="40" t="str">
        <f>IF(Agent02_Savings!A181="","",Agent02_Savings!I181)</f>
        <v/>
      </c>
      <c r="I374" s="40" t="str">
        <f>IF(Agent02_Savings!A181="","",Agent02_Savings!J181)</f>
        <v/>
      </c>
      <c r="J374" s="40" t="str">
        <f>IF(Agent02_Savings!A181="","",Agent02_Savings!K181)</f>
        <v/>
      </c>
      <c r="K374" s="40" t="str">
        <f>IFERROR(IF(Agent02_Savings!A181="","",YEAR(Agent02_Savings!D181)),"")</f>
        <v/>
      </c>
    </row>
    <row r="375" spans="1:11" ht="18" customHeight="1" x14ac:dyDescent="0.25">
      <c r="A375" s="40" t="str">
        <f>IF(Agent02_Savings!A182="","",Agent02_Savings!A182)</f>
        <v/>
      </c>
      <c r="B375" s="40" t="str">
        <f ca="1">IF(Agent02_Savings!A182="","","SV"&amp;TEXT(375-3,"0000")&amp;"-"&amp;TEXT(TODAY(),"YYYYMMDD"))</f>
        <v/>
      </c>
      <c r="C375" s="40" t="str">
        <f>IF(Agent02_Savings!A182="","",Agent02_Savings!B182)</f>
        <v/>
      </c>
      <c r="D375" s="40" t="str">
        <f>IF(Agent02_Savings!A182="","",Agent02_Savings!G182)</f>
        <v/>
      </c>
      <c r="E375" s="41" t="str">
        <f>IF(Agent02_Savings!A182="","",Agent02_Savings!D182)</f>
        <v/>
      </c>
      <c r="F375" s="42" t="str">
        <f>IF(Agent02_Savings!A182="","",Agent02_Savings!E182)</f>
        <v/>
      </c>
      <c r="G375" s="42" t="str">
        <f>IF(Agent02_Savings!A182="","",Agent02_Savings!F182)</f>
        <v/>
      </c>
      <c r="H375" s="40" t="str">
        <f>IF(Agent02_Savings!A182="","",Agent02_Savings!I182)</f>
        <v/>
      </c>
      <c r="I375" s="40" t="str">
        <f>IF(Agent02_Savings!A182="","",Agent02_Savings!J182)</f>
        <v/>
      </c>
      <c r="J375" s="40" t="str">
        <f>IF(Agent02_Savings!A182="","",Agent02_Savings!K182)</f>
        <v/>
      </c>
      <c r="K375" s="40" t="str">
        <f>IFERROR(IF(Agent02_Savings!A182="","",YEAR(Agent02_Savings!D182)),"")</f>
        <v/>
      </c>
    </row>
    <row r="376" spans="1:11" ht="18" customHeight="1" x14ac:dyDescent="0.25">
      <c r="A376" s="40" t="str">
        <f>IF(Agent02_Savings!A183="","",Agent02_Savings!A183)</f>
        <v/>
      </c>
      <c r="B376" s="40" t="str">
        <f ca="1">IF(Agent02_Savings!A183="","","SV"&amp;TEXT(376-3,"0000")&amp;"-"&amp;TEXT(TODAY(),"YYYYMMDD"))</f>
        <v/>
      </c>
      <c r="C376" s="40" t="str">
        <f>IF(Agent02_Savings!A183="","",Agent02_Savings!B183)</f>
        <v/>
      </c>
      <c r="D376" s="40" t="str">
        <f>IF(Agent02_Savings!A183="","",Agent02_Savings!G183)</f>
        <v/>
      </c>
      <c r="E376" s="41" t="str">
        <f>IF(Agent02_Savings!A183="","",Agent02_Savings!D183)</f>
        <v/>
      </c>
      <c r="F376" s="42" t="str">
        <f>IF(Agent02_Savings!A183="","",Agent02_Savings!E183)</f>
        <v/>
      </c>
      <c r="G376" s="42" t="str">
        <f>IF(Agent02_Savings!A183="","",Agent02_Savings!F183)</f>
        <v/>
      </c>
      <c r="H376" s="40" t="str">
        <f>IF(Agent02_Savings!A183="","",Agent02_Savings!I183)</f>
        <v/>
      </c>
      <c r="I376" s="40" t="str">
        <f>IF(Agent02_Savings!A183="","",Agent02_Savings!J183)</f>
        <v/>
      </c>
      <c r="J376" s="40" t="str">
        <f>IF(Agent02_Savings!A183="","",Agent02_Savings!K183)</f>
        <v/>
      </c>
      <c r="K376" s="40" t="str">
        <f>IFERROR(IF(Agent02_Savings!A183="","",YEAR(Agent02_Savings!D183)),"")</f>
        <v/>
      </c>
    </row>
    <row r="377" spans="1:11" ht="18" customHeight="1" x14ac:dyDescent="0.25">
      <c r="A377" s="40" t="str">
        <f>IF(Agent02_Savings!A184="","",Agent02_Savings!A184)</f>
        <v/>
      </c>
      <c r="B377" s="40" t="str">
        <f ca="1">IF(Agent02_Savings!A184="","","SV"&amp;TEXT(377-3,"0000")&amp;"-"&amp;TEXT(TODAY(),"YYYYMMDD"))</f>
        <v/>
      </c>
      <c r="C377" s="40" t="str">
        <f>IF(Agent02_Savings!A184="","",Agent02_Savings!B184)</f>
        <v/>
      </c>
      <c r="D377" s="40" t="str">
        <f>IF(Agent02_Savings!A184="","",Agent02_Savings!G184)</f>
        <v/>
      </c>
      <c r="E377" s="41" t="str">
        <f>IF(Agent02_Savings!A184="","",Agent02_Savings!D184)</f>
        <v/>
      </c>
      <c r="F377" s="42" t="str">
        <f>IF(Agent02_Savings!A184="","",Agent02_Savings!E184)</f>
        <v/>
      </c>
      <c r="G377" s="42" t="str">
        <f>IF(Agent02_Savings!A184="","",Agent02_Savings!F184)</f>
        <v/>
      </c>
      <c r="H377" s="40" t="str">
        <f>IF(Agent02_Savings!A184="","",Agent02_Savings!I184)</f>
        <v/>
      </c>
      <c r="I377" s="40" t="str">
        <f>IF(Agent02_Savings!A184="","",Agent02_Savings!J184)</f>
        <v/>
      </c>
      <c r="J377" s="40" t="str">
        <f>IF(Agent02_Savings!A184="","",Agent02_Savings!K184)</f>
        <v/>
      </c>
      <c r="K377" s="40" t="str">
        <f>IFERROR(IF(Agent02_Savings!A184="","",YEAR(Agent02_Savings!D184)),"")</f>
        <v/>
      </c>
    </row>
    <row r="378" spans="1:11" ht="18" customHeight="1" x14ac:dyDescent="0.25">
      <c r="A378" s="40" t="str">
        <f>IF(Agent02_Savings!A185="","",Agent02_Savings!A185)</f>
        <v/>
      </c>
      <c r="B378" s="40" t="str">
        <f ca="1">IF(Agent02_Savings!A185="","","SV"&amp;TEXT(378-3,"0000")&amp;"-"&amp;TEXT(TODAY(),"YYYYMMDD"))</f>
        <v/>
      </c>
      <c r="C378" s="40" t="str">
        <f>IF(Agent02_Savings!A185="","",Agent02_Savings!B185)</f>
        <v/>
      </c>
      <c r="D378" s="40" t="str">
        <f>IF(Agent02_Savings!A185="","",Agent02_Savings!G185)</f>
        <v/>
      </c>
      <c r="E378" s="41" t="str">
        <f>IF(Agent02_Savings!A185="","",Agent02_Savings!D185)</f>
        <v/>
      </c>
      <c r="F378" s="42" t="str">
        <f>IF(Agent02_Savings!A185="","",Agent02_Savings!E185)</f>
        <v/>
      </c>
      <c r="G378" s="42" t="str">
        <f>IF(Agent02_Savings!A185="","",Agent02_Savings!F185)</f>
        <v/>
      </c>
      <c r="H378" s="40" t="str">
        <f>IF(Agent02_Savings!A185="","",Agent02_Savings!I185)</f>
        <v/>
      </c>
      <c r="I378" s="40" t="str">
        <f>IF(Agent02_Savings!A185="","",Agent02_Savings!J185)</f>
        <v/>
      </c>
      <c r="J378" s="40" t="str">
        <f>IF(Agent02_Savings!A185="","",Agent02_Savings!K185)</f>
        <v/>
      </c>
      <c r="K378" s="40" t="str">
        <f>IFERROR(IF(Agent02_Savings!A185="","",YEAR(Agent02_Savings!D185)),"")</f>
        <v/>
      </c>
    </row>
    <row r="379" spans="1:11" ht="18" customHeight="1" x14ac:dyDescent="0.25">
      <c r="A379" s="40" t="str">
        <f>IF(Agent02_Savings!A186="","",Agent02_Savings!A186)</f>
        <v/>
      </c>
      <c r="B379" s="40" t="str">
        <f ca="1">IF(Agent02_Savings!A186="","","SV"&amp;TEXT(379-3,"0000")&amp;"-"&amp;TEXT(TODAY(),"YYYYMMDD"))</f>
        <v/>
      </c>
      <c r="C379" s="40" t="str">
        <f>IF(Agent02_Savings!A186="","",Agent02_Savings!B186)</f>
        <v/>
      </c>
      <c r="D379" s="40" t="str">
        <f>IF(Agent02_Savings!A186="","",Agent02_Savings!G186)</f>
        <v/>
      </c>
      <c r="E379" s="41" t="str">
        <f>IF(Agent02_Savings!A186="","",Agent02_Savings!D186)</f>
        <v/>
      </c>
      <c r="F379" s="42" t="str">
        <f>IF(Agent02_Savings!A186="","",Agent02_Savings!E186)</f>
        <v/>
      </c>
      <c r="G379" s="42" t="str">
        <f>IF(Agent02_Savings!A186="","",Agent02_Savings!F186)</f>
        <v/>
      </c>
      <c r="H379" s="40" t="str">
        <f>IF(Agent02_Savings!A186="","",Agent02_Savings!I186)</f>
        <v/>
      </c>
      <c r="I379" s="40" t="str">
        <f>IF(Agent02_Savings!A186="","",Agent02_Savings!J186)</f>
        <v/>
      </c>
      <c r="J379" s="40" t="str">
        <f>IF(Agent02_Savings!A186="","",Agent02_Savings!K186)</f>
        <v/>
      </c>
      <c r="K379" s="40" t="str">
        <f>IFERROR(IF(Agent02_Savings!A186="","",YEAR(Agent02_Savings!D186)),"")</f>
        <v/>
      </c>
    </row>
    <row r="380" spans="1:11" ht="18" customHeight="1" x14ac:dyDescent="0.25">
      <c r="A380" s="40" t="str">
        <f>IF(Agent02_Savings!A187="","",Agent02_Savings!A187)</f>
        <v/>
      </c>
      <c r="B380" s="40" t="str">
        <f ca="1">IF(Agent02_Savings!A187="","","SV"&amp;TEXT(380-3,"0000")&amp;"-"&amp;TEXT(TODAY(),"YYYYMMDD"))</f>
        <v/>
      </c>
      <c r="C380" s="40" t="str">
        <f>IF(Agent02_Savings!A187="","",Agent02_Savings!B187)</f>
        <v/>
      </c>
      <c r="D380" s="40" t="str">
        <f>IF(Agent02_Savings!A187="","",Agent02_Savings!G187)</f>
        <v/>
      </c>
      <c r="E380" s="41" t="str">
        <f>IF(Agent02_Savings!A187="","",Agent02_Savings!D187)</f>
        <v/>
      </c>
      <c r="F380" s="42" t="str">
        <f>IF(Agent02_Savings!A187="","",Agent02_Savings!E187)</f>
        <v/>
      </c>
      <c r="G380" s="42" t="str">
        <f>IF(Agent02_Savings!A187="","",Agent02_Savings!F187)</f>
        <v/>
      </c>
      <c r="H380" s="40" t="str">
        <f>IF(Agent02_Savings!A187="","",Agent02_Savings!I187)</f>
        <v/>
      </c>
      <c r="I380" s="40" t="str">
        <f>IF(Agent02_Savings!A187="","",Agent02_Savings!J187)</f>
        <v/>
      </c>
      <c r="J380" s="40" t="str">
        <f>IF(Agent02_Savings!A187="","",Agent02_Savings!K187)</f>
        <v/>
      </c>
      <c r="K380" s="40" t="str">
        <f>IFERROR(IF(Agent02_Savings!A187="","",YEAR(Agent02_Savings!D187)),"")</f>
        <v/>
      </c>
    </row>
    <row r="381" spans="1:11" ht="18" customHeight="1" x14ac:dyDescent="0.25">
      <c r="A381" s="40" t="str">
        <f>IF(Agent02_Savings!A188="","",Agent02_Savings!A188)</f>
        <v/>
      </c>
      <c r="B381" s="40" t="str">
        <f ca="1">IF(Agent02_Savings!A188="","","SV"&amp;TEXT(381-3,"0000")&amp;"-"&amp;TEXT(TODAY(),"YYYYMMDD"))</f>
        <v/>
      </c>
      <c r="C381" s="40" t="str">
        <f>IF(Agent02_Savings!A188="","",Agent02_Savings!B188)</f>
        <v/>
      </c>
      <c r="D381" s="40" t="str">
        <f>IF(Agent02_Savings!A188="","",Agent02_Savings!G188)</f>
        <v/>
      </c>
      <c r="E381" s="41" t="str">
        <f>IF(Agent02_Savings!A188="","",Agent02_Savings!D188)</f>
        <v/>
      </c>
      <c r="F381" s="42" t="str">
        <f>IF(Agent02_Savings!A188="","",Agent02_Savings!E188)</f>
        <v/>
      </c>
      <c r="G381" s="42" t="str">
        <f>IF(Agent02_Savings!A188="","",Agent02_Savings!F188)</f>
        <v/>
      </c>
      <c r="H381" s="40" t="str">
        <f>IF(Agent02_Savings!A188="","",Agent02_Savings!I188)</f>
        <v/>
      </c>
      <c r="I381" s="40" t="str">
        <f>IF(Agent02_Savings!A188="","",Agent02_Savings!J188)</f>
        <v/>
      </c>
      <c r="J381" s="40" t="str">
        <f>IF(Agent02_Savings!A188="","",Agent02_Savings!K188)</f>
        <v/>
      </c>
      <c r="K381" s="40" t="str">
        <f>IFERROR(IF(Agent02_Savings!A188="","",YEAR(Agent02_Savings!D188)),"")</f>
        <v/>
      </c>
    </row>
    <row r="382" spans="1:11" ht="18" customHeight="1" x14ac:dyDescent="0.25">
      <c r="A382" s="40" t="str">
        <f>IF(Agent02_Savings!A189="","",Agent02_Savings!A189)</f>
        <v/>
      </c>
      <c r="B382" s="40" t="str">
        <f ca="1">IF(Agent02_Savings!A189="","","SV"&amp;TEXT(382-3,"0000")&amp;"-"&amp;TEXT(TODAY(),"YYYYMMDD"))</f>
        <v/>
      </c>
      <c r="C382" s="40" t="str">
        <f>IF(Agent02_Savings!A189="","",Agent02_Savings!B189)</f>
        <v/>
      </c>
      <c r="D382" s="40" t="str">
        <f>IF(Agent02_Savings!A189="","",Agent02_Savings!G189)</f>
        <v/>
      </c>
      <c r="E382" s="41" t="str">
        <f>IF(Agent02_Savings!A189="","",Agent02_Savings!D189)</f>
        <v/>
      </c>
      <c r="F382" s="42" t="str">
        <f>IF(Agent02_Savings!A189="","",Agent02_Savings!E189)</f>
        <v/>
      </c>
      <c r="G382" s="42" t="str">
        <f>IF(Agent02_Savings!A189="","",Agent02_Savings!F189)</f>
        <v/>
      </c>
      <c r="H382" s="40" t="str">
        <f>IF(Agent02_Savings!A189="","",Agent02_Savings!I189)</f>
        <v/>
      </c>
      <c r="I382" s="40" t="str">
        <f>IF(Agent02_Savings!A189="","",Agent02_Savings!J189)</f>
        <v/>
      </c>
      <c r="J382" s="40" t="str">
        <f>IF(Agent02_Savings!A189="","",Agent02_Savings!K189)</f>
        <v/>
      </c>
      <c r="K382" s="40" t="str">
        <f>IFERROR(IF(Agent02_Savings!A189="","",YEAR(Agent02_Savings!D189)),"")</f>
        <v/>
      </c>
    </row>
    <row r="383" spans="1:11" ht="18" customHeight="1" x14ac:dyDescent="0.25">
      <c r="A383" s="40" t="str">
        <f>IF(Agent02_Savings!A190="","",Agent02_Savings!A190)</f>
        <v/>
      </c>
      <c r="B383" s="40" t="str">
        <f ca="1">IF(Agent02_Savings!A190="","","SV"&amp;TEXT(383-3,"0000")&amp;"-"&amp;TEXT(TODAY(),"YYYYMMDD"))</f>
        <v/>
      </c>
      <c r="C383" s="40" t="str">
        <f>IF(Agent02_Savings!A190="","",Agent02_Savings!B190)</f>
        <v/>
      </c>
      <c r="D383" s="40" t="str">
        <f>IF(Agent02_Savings!A190="","",Agent02_Savings!G190)</f>
        <v/>
      </c>
      <c r="E383" s="41" t="str">
        <f>IF(Agent02_Savings!A190="","",Agent02_Savings!D190)</f>
        <v/>
      </c>
      <c r="F383" s="42" t="str">
        <f>IF(Agent02_Savings!A190="","",Agent02_Savings!E190)</f>
        <v/>
      </c>
      <c r="G383" s="42" t="str">
        <f>IF(Agent02_Savings!A190="","",Agent02_Savings!F190)</f>
        <v/>
      </c>
      <c r="H383" s="40" t="str">
        <f>IF(Agent02_Savings!A190="","",Agent02_Savings!I190)</f>
        <v/>
      </c>
      <c r="I383" s="40" t="str">
        <f>IF(Agent02_Savings!A190="","",Agent02_Savings!J190)</f>
        <v/>
      </c>
      <c r="J383" s="40" t="str">
        <f>IF(Agent02_Savings!A190="","",Agent02_Savings!K190)</f>
        <v/>
      </c>
      <c r="K383" s="40" t="str">
        <f>IFERROR(IF(Agent02_Savings!A190="","",YEAR(Agent02_Savings!D190)),"")</f>
        <v/>
      </c>
    </row>
    <row r="384" spans="1:11" ht="18" customHeight="1" x14ac:dyDescent="0.25">
      <c r="A384" s="40" t="str">
        <f>IF(Agent02_Savings!A191="","",Agent02_Savings!A191)</f>
        <v/>
      </c>
      <c r="B384" s="40" t="str">
        <f ca="1">IF(Agent02_Savings!A191="","","SV"&amp;TEXT(384-3,"0000")&amp;"-"&amp;TEXT(TODAY(),"YYYYMMDD"))</f>
        <v/>
      </c>
      <c r="C384" s="40" t="str">
        <f>IF(Agent02_Savings!A191="","",Agent02_Savings!B191)</f>
        <v/>
      </c>
      <c r="D384" s="40" t="str">
        <f>IF(Agent02_Savings!A191="","",Agent02_Savings!G191)</f>
        <v/>
      </c>
      <c r="E384" s="41" t="str">
        <f>IF(Agent02_Savings!A191="","",Agent02_Savings!D191)</f>
        <v/>
      </c>
      <c r="F384" s="42" t="str">
        <f>IF(Agent02_Savings!A191="","",Agent02_Savings!E191)</f>
        <v/>
      </c>
      <c r="G384" s="42" t="str">
        <f>IF(Agent02_Savings!A191="","",Agent02_Savings!F191)</f>
        <v/>
      </c>
      <c r="H384" s="40" t="str">
        <f>IF(Agent02_Savings!A191="","",Agent02_Savings!I191)</f>
        <v/>
      </c>
      <c r="I384" s="40" t="str">
        <f>IF(Agent02_Savings!A191="","",Agent02_Savings!J191)</f>
        <v/>
      </c>
      <c r="J384" s="40" t="str">
        <f>IF(Agent02_Savings!A191="","",Agent02_Savings!K191)</f>
        <v/>
      </c>
      <c r="K384" s="40" t="str">
        <f>IFERROR(IF(Agent02_Savings!A191="","",YEAR(Agent02_Savings!D191)),"")</f>
        <v/>
      </c>
    </row>
    <row r="385" spans="1:11" ht="18" customHeight="1" x14ac:dyDescent="0.25">
      <c r="A385" s="40" t="str">
        <f>IF(Agent02_Savings!A192="","",Agent02_Savings!A192)</f>
        <v/>
      </c>
      <c r="B385" s="40" t="str">
        <f ca="1">IF(Agent02_Savings!A192="","","SV"&amp;TEXT(385-3,"0000")&amp;"-"&amp;TEXT(TODAY(),"YYYYMMDD"))</f>
        <v/>
      </c>
      <c r="C385" s="40" t="str">
        <f>IF(Agent02_Savings!A192="","",Agent02_Savings!B192)</f>
        <v/>
      </c>
      <c r="D385" s="40" t="str">
        <f>IF(Agent02_Savings!A192="","",Agent02_Savings!G192)</f>
        <v/>
      </c>
      <c r="E385" s="41" t="str">
        <f>IF(Agent02_Savings!A192="","",Agent02_Savings!D192)</f>
        <v/>
      </c>
      <c r="F385" s="42" t="str">
        <f>IF(Agent02_Savings!A192="","",Agent02_Savings!E192)</f>
        <v/>
      </c>
      <c r="G385" s="42" t="str">
        <f>IF(Agent02_Savings!A192="","",Agent02_Savings!F192)</f>
        <v/>
      </c>
      <c r="H385" s="40" t="str">
        <f>IF(Agent02_Savings!A192="","",Agent02_Savings!I192)</f>
        <v/>
      </c>
      <c r="I385" s="40" t="str">
        <f>IF(Agent02_Savings!A192="","",Agent02_Savings!J192)</f>
        <v/>
      </c>
      <c r="J385" s="40" t="str">
        <f>IF(Agent02_Savings!A192="","",Agent02_Savings!K192)</f>
        <v/>
      </c>
      <c r="K385" s="40" t="str">
        <f>IFERROR(IF(Agent02_Savings!A192="","",YEAR(Agent02_Savings!D192)),"")</f>
        <v/>
      </c>
    </row>
    <row r="386" spans="1:11" ht="18" customHeight="1" x14ac:dyDescent="0.25">
      <c r="A386" s="40" t="str">
        <f>IF(Agent02_Savings!A193="","",Agent02_Savings!A193)</f>
        <v/>
      </c>
      <c r="B386" s="40" t="str">
        <f ca="1">IF(Agent02_Savings!A193="","","SV"&amp;TEXT(386-3,"0000")&amp;"-"&amp;TEXT(TODAY(),"YYYYMMDD"))</f>
        <v/>
      </c>
      <c r="C386" s="40" t="str">
        <f>IF(Agent02_Savings!A193="","",Agent02_Savings!B193)</f>
        <v/>
      </c>
      <c r="D386" s="40" t="str">
        <f>IF(Agent02_Savings!A193="","",Agent02_Savings!G193)</f>
        <v/>
      </c>
      <c r="E386" s="41" t="str">
        <f>IF(Agent02_Savings!A193="","",Agent02_Savings!D193)</f>
        <v/>
      </c>
      <c r="F386" s="42" t="str">
        <f>IF(Agent02_Savings!A193="","",Agent02_Savings!E193)</f>
        <v/>
      </c>
      <c r="G386" s="42" t="str">
        <f>IF(Agent02_Savings!A193="","",Agent02_Savings!F193)</f>
        <v/>
      </c>
      <c r="H386" s="40" t="str">
        <f>IF(Agent02_Savings!A193="","",Agent02_Savings!I193)</f>
        <v/>
      </c>
      <c r="I386" s="40" t="str">
        <f>IF(Agent02_Savings!A193="","",Agent02_Savings!J193)</f>
        <v/>
      </c>
      <c r="J386" s="40" t="str">
        <f>IF(Agent02_Savings!A193="","",Agent02_Savings!K193)</f>
        <v/>
      </c>
      <c r="K386" s="40" t="str">
        <f>IFERROR(IF(Agent02_Savings!A193="","",YEAR(Agent02_Savings!D193)),"")</f>
        <v/>
      </c>
    </row>
    <row r="387" spans="1:11" ht="18" customHeight="1" x14ac:dyDescent="0.25">
      <c r="A387" s="40" t="str">
        <f>IF(Agent02_Savings!A194="","",Agent02_Savings!A194)</f>
        <v/>
      </c>
      <c r="B387" s="40" t="str">
        <f ca="1">IF(Agent02_Savings!A194="","","SV"&amp;TEXT(387-3,"0000")&amp;"-"&amp;TEXT(TODAY(),"YYYYMMDD"))</f>
        <v/>
      </c>
      <c r="C387" s="40" t="str">
        <f>IF(Agent02_Savings!A194="","",Agent02_Savings!B194)</f>
        <v/>
      </c>
      <c r="D387" s="40" t="str">
        <f>IF(Agent02_Savings!A194="","",Agent02_Savings!G194)</f>
        <v/>
      </c>
      <c r="E387" s="41" t="str">
        <f>IF(Agent02_Savings!A194="","",Agent02_Savings!D194)</f>
        <v/>
      </c>
      <c r="F387" s="42" t="str">
        <f>IF(Agent02_Savings!A194="","",Agent02_Savings!E194)</f>
        <v/>
      </c>
      <c r="G387" s="42" t="str">
        <f>IF(Agent02_Savings!A194="","",Agent02_Savings!F194)</f>
        <v/>
      </c>
      <c r="H387" s="40" t="str">
        <f>IF(Agent02_Savings!A194="","",Agent02_Savings!I194)</f>
        <v/>
      </c>
      <c r="I387" s="40" t="str">
        <f>IF(Agent02_Savings!A194="","",Agent02_Savings!J194)</f>
        <v/>
      </c>
      <c r="J387" s="40" t="str">
        <f>IF(Agent02_Savings!A194="","",Agent02_Savings!K194)</f>
        <v/>
      </c>
      <c r="K387" s="40" t="str">
        <f>IFERROR(IF(Agent02_Savings!A194="","",YEAR(Agent02_Savings!D194)),"")</f>
        <v/>
      </c>
    </row>
    <row r="388" spans="1:11" ht="18" customHeight="1" x14ac:dyDescent="0.25">
      <c r="A388" s="40" t="str">
        <f>IF(Agent02_Savings!A195="","",Agent02_Savings!A195)</f>
        <v/>
      </c>
      <c r="B388" s="40" t="str">
        <f ca="1">IF(Agent02_Savings!A195="","","SV"&amp;TEXT(388-3,"0000")&amp;"-"&amp;TEXT(TODAY(),"YYYYMMDD"))</f>
        <v/>
      </c>
      <c r="C388" s="40" t="str">
        <f>IF(Agent02_Savings!A195="","",Agent02_Savings!B195)</f>
        <v/>
      </c>
      <c r="D388" s="40" t="str">
        <f>IF(Agent02_Savings!A195="","",Agent02_Savings!G195)</f>
        <v/>
      </c>
      <c r="E388" s="41" t="str">
        <f>IF(Agent02_Savings!A195="","",Agent02_Savings!D195)</f>
        <v/>
      </c>
      <c r="F388" s="42" t="str">
        <f>IF(Agent02_Savings!A195="","",Agent02_Savings!E195)</f>
        <v/>
      </c>
      <c r="G388" s="42" t="str">
        <f>IF(Agent02_Savings!A195="","",Agent02_Savings!F195)</f>
        <v/>
      </c>
      <c r="H388" s="40" t="str">
        <f>IF(Agent02_Savings!A195="","",Agent02_Savings!I195)</f>
        <v/>
      </c>
      <c r="I388" s="40" t="str">
        <f>IF(Agent02_Savings!A195="","",Agent02_Savings!J195)</f>
        <v/>
      </c>
      <c r="J388" s="40" t="str">
        <f>IF(Agent02_Savings!A195="","",Agent02_Savings!K195)</f>
        <v/>
      </c>
      <c r="K388" s="40" t="str">
        <f>IFERROR(IF(Agent02_Savings!A195="","",YEAR(Agent02_Savings!D195)),"")</f>
        <v/>
      </c>
    </row>
    <row r="389" spans="1:11" ht="18" customHeight="1" x14ac:dyDescent="0.25">
      <c r="A389" s="40" t="str">
        <f>IF(Agent02_Savings!A196="","",Agent02_Savings!A196)</f>
        <v/>
      </c>
      <c r="B389" s="40" t="str">
        <f ca="1">IF(Agent02_Savings!A196="","","SV"&amp;TEXT(389-3,"0000")&amp;"-"&amp;TEXT(TODAY(),"YYYYMMDD"))</f>
        <v/>
      </c>
      <c r="C389" s="40" t="str">
        <f>IF(Agent02_Savings!A196="","",Agent02_Savings!B196)</f>
        <v/>
      </c>
      <c r="D389" s="40" t="str">
        <f>IF(Agent02_Savings!A196="","",Agent02_Savings!G196)</f>
        <v/>
      </c>
      <c r="E389" s="41" t="str">
        <f>IF(Agent02_Savings!A196="","",Agent02_Savings!D196)</f>
        <v/>
      </c>
      <c r="F389" s="42" t="str">
        <f>IF(Agent02_Savings!A196="","",Agent02_Savings!E196)</f>
        <v/>
      </c>
      <c r="G389" s="42" t="str">
        <f>IF(Agent02_Savings!A196="","",Agent02_Savings!F196)</f>
        <v/>
      </c>
      <c r="H389" s="40" t="str">
        <f>IF(Agent02_Savings!A196="","",Agent02_Savings!I196)</f>
        <v/>
      </c>
      <c r="I389" s="40" t="str">
        <f>IF(Agent02_Savings!A196="","",Agent02_Savings!J196)</f>
        <v/>
      </c>
      <c r="J389" s="40" t="str">
        <f>IF(Agent02_Savings!A196="","",Agent02_Savings!K196)</f>
        <v/>
      </c>
      <c r="K389" s="40" t="str">
        <f>IFERROR(IF(Agent02_Savings!A196="","",YEAR(Agent02_Savings!D196)),"")</f>
        <v/>
      </c>
    </row>
    <row r="390" spans="1:11" ht="18" customHeight="1" x14ac:dyDescent="0.25">
      <c r="A390" s="40" t="str">
        <f>IF(Agent02_Savings!A197="","",Agent02_Savings!A197)</f>
        <v/>
      </c>
      <c r="B390" s="40" t="str">
        <f ca="1">IF(Agent02_Savings!A197="","","SV"&amp;TEXT(390-3,"0000")&amp;"-"&amp;TEXT(TODAY(),"YYYYMMDD"))</f>
        <v/>
      </c>
      <c r="C390" s="40" t="str">
        <f>IF(Agent02_Savings!A197="","",Agent02_Savings!B197)</f>
        <v/>
      </c>
      <c r="D390" s="40" t="str">
        <f>IF(Agent02_Savings!A197="","",Agent02_Savings!G197)</f>
        <v/>
      </c>
      <c r="E390" s="41" t="str">
        <f>IF(Agent02_Savings!A197="","",Agent02_Savings!D197)</f>
        <v/>
      </c>
      <c r="F390" s="42" t="str">
        <f>IF(Agent02_Savings!A197="","",Agent02_Savings!E197)</f>
        <v/>
      </c>
      <c r="G390" s="42" t="str">
        <f>IF(Agent02_Savings!A197="","",Agent02_Savings!F197)</f>
        <v/>
      </c>
      <c r="H390" s="40" t="str">
        <f>IF(Agent02_Savings!A197="","",Agent02_Savings!I197)</f>
        <v/>
      </c>
      <c r="I390" s="40" t="str">
        <f>IF(Agent02_Savings!A197="","",Agent02_Savings!J197)</f>
        <v/>
      </c>
      <c r="J390" s="40" t="str">
        <f>IF(Agent02_Savings!A197="","",Agent02_Savings!K197)</f>
        <v/>
      </c>
      <c r="K390" s="40" t="str">
        <f>IFERROR(IF(Agent02_Savings!A197="","",YEAR(Agent02_Savings!D197)),"")</f>
        <v/>
      </c>
    </row>
    <row r="391" spans="1:11" ht="18" customHeight="1" x14ac:dyDescent="0.25">
      <c r="A391" s="40" t="str">
        <f>IF(Agent02_Savings!A198="","",Agent02_Savings!A198)</f>
        <v/>
      </c>
      <c r="B391" s="40" t="str">
        <f ca="1">IF(Agent02_Savings!A198="","","SV"&amp;TEXT(391-3,"0000")&amp;"-"&amp;TEXT(TODAY(),"YYYYMMDD"))</f>
        <v/>
      </c>
      <c r="C391" s="40" t="str">
        <f>IF(Agent02_Savings!A198="","",Agent02_Savings!B198)</f>
        <v/>
      </c>
      <c r="D391" s="40" t="str">
        <f>IF(Agent02_Savings!A198="","",Agent02_Savings!G198)</f>
        <v/>
      </c>
      <c r="E391" s="41" t="str">
        <f>IF(Agent02_Savings!A198="","",Agent02_Savings!D198)</f>
        <v/>
      </c>
      <c r="F391" s="42" t="str">
        <f>IF(Agent02_Savings!A198="","",Agent02_Savings!E198)</f>
        <v/>
      </c>
      <c r="G391" s="42" t="str">
        <f>IF(Agent02_Savings!A198="","",Agent02_Savings!F198)</f>
        <v/>
      </c>
      <c r="H391" s="40" t="str">
        <f>IF(Agent02_Savings!A198="","",Agent02_Savings!I198)</f>
        <v/>
      </c>
      <c r="I391" s="40" t="str">
        <f>IF(Agent02_Savings!A198="","",Agent02_Savings!J198)</f>
        <v/>
      </c>
      <c r="J391" s="40" t="str">
        <f>IF(Agent02_Savings!A198="","",Agent02_Savings!K198)</f>
        <v/>
      </c>
      <c r="K391" s="40" t="str">
        <f>IFERROR(IF(Agent02_Savings!A198="","",YEAR(Agent02_Savings!D198)),"")</f>
        <v/>
      </c>
    </row>
    <row r="392" spans="1:11" ht="18" customHeight="1" x14ac:dyDescent="0.25">
      <c r="A392" s="40" t="str">
        <f>IF(Agent02_Savings!A199="","",Agent02_Savings!A199)</f>
        <v/>
      </c>
      <c r="B392" s="40" t="str">
        <f ca="1">IF(Agent02_Savings!A199="","","SV"&amp;TEXT(392-3,"0000")&amp;"-"&amp;TEXT(TODAY(),"YYYYMMDD"))</f>
        <v/>
      </c>
      <c r="C392" s="40" t="str">
        <f>IF(Agent02_Savings!A199="","",Agent02_Savings!B199)</f>
        <v/>
      </c>
      <c r="D392" s="40" t="str">
        <f>IF(Agent02_Savings!A199="","",Agent02_Savings!G199)</f>
        <v/>
      </c>
      <c r="E392" s="41" t="str">
        <f>IF(Agent02_Savings!A199="","",Agent02_Savings!D199)</f>
        <v/>
      </c>
      <c r="F392" s="42" t="str">
        <f>IF(Agent02_Savings!A199="","",Agent02_Savings!E199)</f>
        <v/>
      </c>
      <c r="G392" s="42" t="str">
        <f>IF(Agent02_Savings!A199="","",Agent02_Savings!F199)</f>
        <v/>
      </c>
      <c r="H392" s="40" t="str">
        <f>IF(Agent02_Savings!A199="","",Agent02_Savings!I199)</f>
        <v/>
      </c>
      <c r="I392" s="40" t="str">
        <f>IF(Agent02_Savings!A199="","",Agent02_Savings!J199)</f>
        <v/>
      </c>
      <c r="J392" s="40" t="str">
        <f>IF(Agent02_Savings!A199="","",Agent02_Savings!K199)</f>
        <v/>
      </c>
      <c r="K392" s="40" t="str">
        <f>IFERROR(IF(Agent02_Savings!A199="","",YEAR(Agent02_Savings!D199)),"")</f>
        <v/>
      </c>
    </row>
    <row r="393" spans="1:11" ht="18" customHeight="1" x14ac:dyDescent="0.25">
      <c r="A393" s="40" t="str">
        <f>IF(Agent02_Savings!A200="","",Agent02_Savings!A200)</f>
        <v/>
      </c>
      <c r="B393" s="40" t="str">
        <f ca="1">IF(Agent02_Savings!A200="","","SV"&amp;TEXT(393-3,"0000")&amp;"-"&amp;TEXT(TODAY(),"YYYYMMDD"))</f>
        <v/>
      </c>
      <c r="C393" s="40" t="str">
        <f>IF(Agent02_Savings!A200="","",Agent02_Savings!B200)</f>
        <v/>
      </c>
      <c r="D393" s="40" t="str">
        <f>IF(Agent02_Savings!A200="","",Agent02_Savings!G200)</f>
        <v/>
      </c>
      <c r="E393" s="41" t="str">
        <f>IF(Agent02_Savings!A200="","",Agent02_Savings!D200)</f>
        <v/>
      </c>
      <c r="F393" s="42" t="str">
        <f>IF(Agent02_Savings!A200="","",Agent02_Savings!E200)</f>
        <v/>
      </c>
      <c r="G393" s="42" t="str">
        <f>IF(Agent02_Savings!A200="","",Agent02_Savings!F200)</f>
        <v/>
      </c>
      <c r="H393" s="40" t="str">
        <f>IF(Agent02_Savings!A200="","",Agent02_Savings!I200)</f>
        <v/>
      </c>
      <c r="I393" s="40" t="str">
        <f>IF(Agent02_Savings!A200="","",Agent02_Savings!J200)</f>
        <v/>
      </c>
      <c r="J393" s="40" t="str">
        <f>IF(Agent02_Savings!A200="","",Agent02_Savings!K200)</f>
        <v/>
      </c>
      <c r="K393" s="40" t="str">
        <f>IFERROR(IF(Agent02_Savings!A200="","",YEAR(Agent02_Savings!D200)),"")</f>
        <v/>
      </c>
    </row>
    <row r="394" spans="1:11" ht="18" customHeight="1" x14ac:dyDescent="0.25">
      <c r="A394" s="40" t="str">
        <f>IF(Agent02_Savings!A201="","",Agent02_Savings!A201)</f>
        <v/>
      </c>
      <c r="B394" s="40" t="str">
        <f ca="1">IF(Agent02_Savings!A201="","","SV"&amp;TEXT(394-3,"0000")&amp;"-"&amp;TEXT(TODAY(),"YYYYMMDD"))</f>
        <v/>
      </c>
      <c r="C394" s="40" t="str">
        <f>IF(Agent02_Savings!A201="","",Agent02_Savings!B201)</f>
        <v/>
      </c>
      <c r="D394" s="40" t="str">
        <f>IF(Agent02_Savings!A201="","",Agent02_Savings!G201)</f>
        <v/>
      </c>
      <c r="E394" s="41" t="str">
        <f>IF(Agent02_Savings!A201="","",Agent02_Savings!D201)</f>
        <v/>
      </c>
      <c r="F394" s="42" t="str">
        <f>IF(Agent02_Savings!A201="","",Agent02_Savings!E201)</f>
        <v/>
      </c>
      <c r="G394" s="42" t="str">
        <f>IF(Agent02_Savings!A201="","",Agent02_Savings!F201)</f>
        <v/>
      </c>
      <c r="H394" s="40" t="str">
        <f>IF(Agent02_Savings!A201="","",Agent02_Savings!I201)</f>
        <v/>
      </c>
      <c r="I394" s="40" t="str">
        <f>IF(Agent02_Savings!A201="","",Agent02_Savings!J201)</f>
        <v/>
      </c>
      <c r="J394" s="40" t="str">
        <f>IF(Agent02_Savings!A201="","",Agent02_Savings!K201)</f>
        <v/>
      </c>
      <c r="K394" s="40" t="str">
        <f>IFERROR(IF(Agent02_Savings!A201="","",YEAR(Agent02_Savings!D201)),"")</f>
        <v/>
      </c>
    </row>
    <row r="395" spans="1:11" ht="18" customHeight="1" x14ac:dyDescent="0.25">
      <c r="A395" s="40" t="str">
        <f>IF(Agent02_Savings!A202="","",Agent02_Savings!A202)</f>
        <v/>
      </c>
      <c r="B395" s="40" t="str">
        <f ca="1">IF(Agent02_Savings!A202="","","SV"&amp;TEXT(395-3,"0000")&amp;"-"&amp;TEXT(TODAY(),"YYYYMMDD"))</f>
        <v/>
      </c>
      <c r="C395" s="40" t="str">
        <f>IF(Agent02_Savings!A202="","",Agent02_Savings!B202)</f>
        <v/>
      </c>
      <c r="D395" s="40" t="str">
        <f>IF(Agent02_Savings!A202="","",Agent02_Savings!G202)</f>
        <v/>
      </c>
      <c r="E395" s="41" t="str">
        <f>IF(Agent02_Savings!A202="","",Agent02_Savings!D202)</f>
        <v/>
      </c>
      <c r="F395" s="42" t="str">
        <f>IF(Agent02_Savings!A202="","",Agent02_Savings!E202)</f>
        <v/>
      </c>
      <c r="G395" s="42" t="str">
        <f>IF(Agent02_Savings!A202="","",Agent02_Savings!F202)</f>
        <v/>
      </c>
      <c r="H395" s="40" t="str">
        <f>IF(Agent02_Savings!A202="","",Agent02_Savings!I202)</f>
        <v/>
      </c>
      <c r="I395" s="40" t="str">
        <f>IF(Agent02_Savings!A202="","",Agent02_Savings!J202)</f>
        <v/>
      </c>
      <c r="J395" s="40" t="str">
        <f>IF(Agent02_Savings!A202="","",Agent02_Savings!K202)</f>
        <v/>
      </c>
      <c r="K395" s="40" t="str">
        <f>IFERROR(IF(Agent02_Savings!A202="","",YEAR(Agent02_Savings!D202)),"")</f>
        <v/>
      </c>
    </row>
    <row r="396" spans="1:11" ht="18" customHeight="1" x14ac:dyDescent="0.25">
      <c r="A396" s="40" t="str">
        <f>IF(Agent02_Savings!A203="","",Agent02_Savings!A203)</f>
        <v/>
      </c>
      <c r="B396" s="40" t="str">
        <f ca="1">IF(Agent02_Savings!A203="","","SV"&amp;TEXT(396-3,"0000")&amp;"-"&amp;TEXT(TODAY(),"YYYYMMDD"))</f>
        <v/>
      </c>
      <c r="C396" s="40" t="str">
        <f>IF(Agent02_Savings!A203="","",Agent02_Savings!B203)</f>
        <v/>
      </c>
      <c r="D396" s="40" t="str">
        <f>IF(Agent02_Savings!A203="","",Agent02_Savings!G203)</f>
        <v/>
      </c>
      <c r="E396" s="41" t="str">
        <f>IF(Agent02_Savings!A203="","",Agent02_Savings!D203)</f>
        <v/>
      </c>
      <c r="F396" s="42" t="str">
        <f>IF(Agent02_Savings!A203="","",Agent02_Savings!E203)</f>
        <v/>
      </c>
      <c r="G396" s="42" t="str">
        <f>IF(Agent02_Savings!A203="","",Agent02_Savings!F203)</f>
        <v/>
      </c>
      <c r="H396" s="40" t="str">
        <f>IF(Agent02_Savings!A203="","",Agent02_Savings!I203)</f>
        <v/>
      </c>
      <c r="I396" s="40" t="str">
        <f>IF(Agent02_Savings!A203="","",Agent02_Savings!J203)</f>
        <v/>
      </c>
      <c r="J396" s="40" t="str">
        <f>IF(Agent02_Savings!A203="","",Agent02_Savings!K203)</f>
        <v/>
      </c>
      <c r="K396" s="40" t="str">
        <f>IFERROR(IF(Agent02_Savings!A203="","",YEAR(Agent02_Savings!D203)),"")</f>
        <v/>
      </c>
    </row>
    <row r="397" spans="1:11" ht="18" customHeight="1" x14ac:dyDescent="0.25">
      <c r="A397" s="40" t="str">
        <f>IF(Agent02_Savings!A204="","",Agent02_Savings!A204)</f>
        <v/>
      </c>
      <c r="B397" s="40" t="str">
        <f ca="1">IF(Agent02_Savings!A204="","","SV"&amp;TEXT(397-3,"0000")&amp;"-"&amp;TEXT(TODAY(),"YYYYMMDD"))</f>
        <v/>
      </c>
      <c r="C397" s="40" t="str">
        <f>IF(Agent02_Savings!A204="","",Agent02_Savings!B204)</f>
        <v/>
      </c>
      <c r="D397" s="40" t="str">
        <f>IF(Agent02_Savings!A204="","",Agent02_Savings!G204)</f>
        <v/>
      </c>
      <c r="E397" s="41" t="str">
        <f>IF(Agent02_Savings!A204="","",Agent02_Savings!D204)</f>
        <v/>
      </c>
      <c r="F397" s="42" t="str">
        <f>IF(Agent02_Savings!A204="","",Agent02_Savings!E204)</f>
        <v/>
      </c>
      <c r="G397" s="42" t="str">
        <f>IF(Agent02_Savings!A204="","",Agent02_Savings!F204)</f>
        <v/>
      </c>
      <c r="H397" s="40" t="str">
        <f>IF(Agent02_Savings!A204="","",Agent02_Savings!I204)</f>
        <v/>
      </c>
      <c r="I397" s="40" t="str">
        <f>IF(Agent02_Savings!A204="","",Agent02_Savings!J204)</f>
        <v/>
      </c>
      <c r="J397" s="40" t="str">
        <f>IF(Agent02_Savings!A204="","",Agent02_Savings!K204)</f>
        <v/>
      </c>
      <c r="K397" s="40" t="str">
        <f>IFERROR(IF(Agent02_Savings!A204="","",YEAR(Agent02_Savings!D204)),"")</f>
        <v/>
      </c>
    </row>
    <row r="398" spans="1:11" ht="18" customHeight="1" x14ac:dyDescent="0.25">
      <c r="A398" s="40" t="str">
        <f>IF(Agent02_Savings!A205="","",Agent02_Savings!A205)</f>
        <v/>
      </c>
      <c r="B398" s="40" t="str">
        <f ca="1">IF(Agent02_Savings!A205="","","SV"&amp;TEXT(398-3,"0000")&amp;"-"&amp;TEXT(TODAY(),"YYYYMMDD"))</f>
        <v/>
      </c>
      <c r="C398" s="40" t="str">
        <f>IF(Agent02_Savings!A205="","",Agent02_Savings!B205)</f>
        <v/>
      </c>
      <c r="D398" s="40" t="str">
        <f>IF(Agent02_Savings!A205="","",Agent02_Savings!G205)</f>
        <v/>
      </c>
      <c r="E398" s="41" t="str">
        <f>IF(Agent02_Savings!A205="","",Agent02_Savings!D205)</f>
        <v/>
      </c>
      <c r="F398" s="42" t="str">
        <f>IF(Agent02_Savings!A205="","",Agent02_Savings!E205)</f>
        <v/>
      </c>
      <c r="G398" s="42" t="str">
        <f>IF(Agent02_Savings!A205="","",Agent02_Savings!F205)</f>
        <v/>
      </c>
      <c r="H398" s="40" t="str">
        <f>IF(Agent02_Savings!A205="","",Agent02_Savings!I205)</f>
        <v/>
      </c>
      <c r="I398" s="40" t="str">
        <f>IF(Agent02_Savings!A205="","",Agent02_Savings!J205)</f>
        <v/>
      </c>
      <c r="J398" s="40" t="str">
        <f>IF(Agent02_Savings!A205="","",Agent02_Savings!K205)</f>
        <v/>
      </c>
      <c r="K398" s="40" t="str">
        <f>IFERROR(IF(Agent02_Savings!A205="","",YEAR(Agent02_Savings!D205)),"")</f>
        <v/>
      </c>
    </row>
    <row r="399" spans="1:11" ht="18" customHeight="1" x14ac:dyDescent="0.25">
      <c r="A399" s="40" t="str">
        <f>IF(Agent02_Savings!A206="","",Agent02_Savings!A206)</f>
        <v/>
      </c>
      <c r="B399" s="40" t="str">
        <f ca="1">IF(Agent02_Savings!A206="","","SV"&amp;TEXT(399-3,"0000")&amp;"-"&amp;TEXT(TODAY(),"YYYYMMDD"))</f>
        <v/>
      </c>
      <c r="C399" s="40" t="str">
        <f>IF(Agent02_Savings!A206="","",Agent02_Savings!B206)</f>
        <v/>
      </c>
      <c r="D399" s="40" t="str">
        <f>IF(Agent02_Savings!A206="","",Agent02_Savings!G206)</f>
        <v/>
      </c>
      <c r="E399" s="41" t="str">
        <f>IF(Agent02_Savings!A206="","",Agent02_Savings!D206)</f>
        <v/>
      </c>
      <c r="F399" s="42" t="str">
        <f>IF(Agent02_Savings!A206="","",Agent02_Savings!E206)</f>
        <v/>
      </c>
      <c r="G399" s="42" t="str">
        <f>IF(Agent02_Savings!A206="","",Agent02_Savings!F206)</f>
        <v/>
      </c>
      <c r="H399" s="40" t="str">
        <f>IF(Agent02_Savings!A206="","",Agent02_Savings!I206)</f>
        <v/>
      </c>
      <c r="I399" s="40" t="str">
        <f>IF(Agent02_Savings!A206="","",Agent02_Savings!J206)</f>
        <v/>
      </c>
      <c r="J399" s="40" t="str">
        <f>IF(Agent02_Savings!A206="","",Agent02_Savings!K206)</f>
        <v/>
      </c>
      <c r="K399" s="40" t="str">
        <f>IFERROR(IF(Agent02_Savings!A206="","",YEAR(Agent02_Savings!D206)),"")</f>
        <v/>
      </c>
    </row>
    <row r="400" spans="1:11" ht="18" customHeight="1" x14ac:dyDescent="0.25">
      <c r="A400" s="40" t="str">
        <f>IF(Agent02_Savings!A207="","",Agent02_Savings!A207)</f>
        <v/>
      </c>
      <c r="B400" s="40" t="str">
        <f ca="1">IF(Agent02_Savings!A207="","","SV"&amp;TEXT(400-3,"0000")&amp;"-"&amp;TEXT(TODAY(),"YYYYMMDD"))</f>
        <v/>
      </c>
      <c r="C400" s="40" t="str">
        <f>IF(Agent02_Savings!A207="","",Agent02_Savings!B207)</f>
        <v/>
      </c>
      <c r="D400" s="40" t="str">
        <f>IF(Agent02_Savings!A207="","",Agent02_Savings!G207)</f>
        <v/>
      </c>
      <c r="E400" s="41" t="str">
        <f>IF(Agent02_Savings!A207="","",Agent02_Savings!D207)</f>
        <v/>
      </c>
      <c r="F400" s="42" t="str">
        <f>IF(Agent02_Savings!A207="","",Agent02_Savings!E207)</f>
        <v/>
      </c>
      <c r="G400" s="42" t="str">
        <f>IF(Agent02_Savings!A207="","",Agent02_Savings!F207)</f>
        <v/>
      </c>
      <c r="H400" s="40" t="str">
        <f>IF(Agent02_Savings!A207="","",Agent02_Savings!I207)</f>
        <v/>
      </c>
      <c r="I400" s="40" t="str">
        <f>IF(Agent02_Savings!A207="","",Agent02_Savings!J207)</f>
        <v/>
      </c>
      <c r="J400" s="40" t="str">
        <f>IF(Agent02_Savings!A207="","",Agent02_Savings!K207)</f>
        <v/>
      </c>
      <c r="K400" s="40" t="str">
        <f>IFERROR(IF(Agent02_Savings!A207="","",YEAR(Agent02_Savings!D207)),"")</f>
        <v/>
      </c>
    </row>
    <row r="401" spans="1:11" ht="18" customHeight="1" x14ac:dyDescent="0.25">
      <c r="A401" s="40" t="str">
        <f>IF(Agent02_Savings!A208="","",Agent02_Savings!A208)</f>
        <v/>
      </c>
      <c r="B401" s="40" t="str">
        <f ca="1">IF(Agent02_Savings!A208="","","SV"&amp;TEXT(401-3,"0000")&amp;"-"&amp;TEXT(TODAY(),"YYYYMMDD"))</f>
        <v/>
      </c>
      <c r="C401" s="40" t="str">
        <f>IF(Agent02_Savings!A208="","",Agent02_Savings!B208)</f>
        <v/>
      </c>
      <c r="D401" s="40" t="str">
        <f>IF(Agent02_Savings!A208="","",Agent02_Savings!G208)</f>
        <v/>
      </c>
      <c r="E401" s="41" t="str">
        <f>IF(Agent02_Savings!A208="","",Agent02_Savings!D208)</f>
        <v/>
      </c>
      <c r="F401" s="42" t="str">
        <f>IF(Agent02_Savings!A208="","",Agent02_Savings!E208)</f>
        <v/>
      </c>
      <c r="G401" s="42" t="str">
        <f>IF(Agent02_Savings!A208="","",Agent02_Savings!F208)</f>
        <v/>
      </c>
      <c r="H401" s="40" t="str">
        <f>IF(Agent02_Savings!A208="","",Agent02_Savings!I208)</f>
        <v/>
      </c>
      <c r="I401" s="40" t="str">
        <f>IF(Agent02_Savings!A208="","",Agent02_Savings!J208)</f>
        <v/>
      </c>
      <c r="J401" s="40" t="str">
        <f>IF(Agent02_Savings!A208="","",Agent02_Savings!K208)</f>
        <v/>
      </c>
      <c r="K401" s="40" t="str">
        <f>IFERROR(IF(Agent02_Savings!A208="","",YEAR(Agent02_Savings!D208)),"")</f>
        <v/>
      </c>
    </row>
    <row r="402" spans="1:11" ht="18" customHeight="1" x14ac:dyDescent="0.25">
      <c r="A402" s="40" t="str">
        <f>IF(Agent02_Savings!A209="","",Agent02_Savings!A209)</f>
        <v/>
      </c>
      <c r="B402" s="40" t="str">
        <f ca="1">IF(Agent02_Savings!A209="","","SV"&amp;TEXT(402-3,"0000")&amp;"-"&amp;TEXT(TODAY(),"YYYYMMDD"))</f>
        <v/>
      </c>
      <c r="C402" s="40" t="str">
        <f>IF(Agent02_Savings!A209="","",Agent02_Savings!B209)</f>
        <v/>
      </c>
      <c r="D402" s="40" t="str">
        <f>IF(Agent02_Savings!A209="","",Agent02_Savings!G209)</f>
        <v/>
      </c>
      <c r="E402" s="41" t="str">
        <f>IF(Agent02_Savings!A209="","",Agent02_Savings!D209)</f>
        <v/>
      </c>
      <c r="F402" s="42" t="str">
        <f>IF(Agent02_Savings!A209="","",Agent02_Savings!E209)</f>
        <v/>
      </c>
      <c r="G402" s="42" t="str">
        <f>IF(Agent02_Savings!A209="","",Agent02_Savings!F209)</f>
        <v/>
      </c>
      <c r="H402" s="40" t="str">
        <f>IF(Agent02_Savings!A209="","",Agent02_Savings!I209)</f>
        <v/>
      </c>
      <c r="I402" s="40" t="str">
        <f>IF(Agent02_Savings!A209="","",Agent02_Savings!J209)</f>
        <v/>
      </c>
      <c r="J402" s="40" t="str">
        <f>IF(Agent02_Savings!A209="","",Agent02_Savings!K209)</f>
        <v/>
      </c>
      <c r="K402" s="40" t="str">
        <f>IFERROR(IF(Agent02_Savings!A209="","",YEAR(Agent02_Savings!D209)),"")</f>
        <v/>
      </c>
    </row>
    <row r="403" spans="1:11" ht="18" customHeight="1" x14ac:dyDescent="0.25">
      <c r="A403" s="40" t="str">
        <f>IF(Agent02_Savings!A210="","",Agent02_Savings!A210)</f>
        <v/>
      </c>
      <c r="B403" s="40" t="str">
        <f ca="1">IF(Agent02_Savings!A210="","","SV"&amp;TEXT(403-3,"0000")&amp;"-"&amp;TEXT(TODAY(),"YYYYMMDD"))</f>
        <v/>
      </c>
      <c r="C403" s="40" t="str">
        <f>IF(Agent02_Savings!A210="","",Agent02_Savings!B210)</f>
        <v/>
      </c>
      <c r="D403" s="40" t="str">
        <f>IF(Agent02_Savings!A210="","",Agent02_Savings!G210)</f>
        <v/>
      </c>
      <c r="E403" s="41" t="str">
        <f>IF(Agent02_Savings!A210="","",Agent02_Savings!D210)</f>
        <v/>
      </c>
      <c r="F403" s="42" t="str">
        <f>IF(Agent02_Savings!A210="","",Agent02_Savings!E210)</f>
        <v/>
      </c>
      <c r="G403" s="42" t="str">
        <f>IF(Agent02_Savings!A210="","",Agent02_Savings!F210)</f>
        <v/>
      </c>
      <c r="H403" s="40" t="str">
        <f>IF(Agent02_Savings!A210="","",Agent02_Savings!I210)</f>
        <v/>
      </c>
      <c r="I403" s="40" t="str">
        <f>IF(Agent02_Savings!A210="","",Agent02_Savings!J210)</f>
        <v/>
      </c>
      <c r="J403" s="40" t="str">
        <f>IF(Agent02_Savings!A210="","",Agent02_Savings!K210)</f>
        <v/>
      </c>
      <c r="K403" s="40" t="str">
        <f>IFERROR(IF(Agent02_Savings!A210="","",YEAR(Agent02_Savings!D210)),"")</f>
        <v/>
      </c>
    </row>
    <row r="404" spans="1:11" ht="18" customHeight="1" x14ac:dyDescent="0.25">
      <c r="A404" s="40" t="str">
        <f>IF(Agent03_Savings!A11="","",Agent03_Savings!A11)</f>
        <v/>
      </c>
      <c r="B404" s="40" t="str">
        <f ca="1">IF(Agent03_Savings!A11="","","SV"&amp;TEXT(404-3,"0000")&amp;"-"&amp;TEXT(TODAY(),"YYYYMMDD"))</f>
        <v/>
      </c>
      <c r="C404" s="40" t="str">
        <f>IF(Agent03_Savings!A11="","",Agent03_Savings!B11)</f>
        <v/>
      </c>
      <c r="D404" s="40" t="str">
        <f>IF(Agent03_Savings!A11="","",Agent03_Savings!G11)</f>
        <v/>
      </c>
      <c r="E404" s="41" t="str">
        <f>IF(Agent03_Savings!A11="","",Agent03_Savings!D11)</f>
        <v/>
      </c>
      <c r="F404" s="42" t="str">
        <f>IF(Agent03_Savings!A11="","",Agent03_Savings!E11)</f>
        <v/>
      </c>
      <c r="G404" s="42" t="str">
        <f>IF(Agent03_Savings!A11="","",Agent03_Savings!F11)</f>
        <v/>
      </c>
      <c r="H404" s="40" t="str">
        <f>IF(Agent03_Savings!A11="","",Agent03_Savings!I11)</f>
        <v/>
      </c>
      <c r="I404" s="40" t="str">
        <f>IF(Agent03_Savings!A11="","",Agent03_Savings!J11)</f>
        <v/>
      </c>
      <c r="J404" s="40" t="str">
        <f>IF(Agent03_Savings!A11="","",Agent03_Savings!K11)</f>
        <v/>
      </c>
      <c r="K404" s="40" t="str">
        <f>IFERROR(IF(Agent03_Savings!A11="","",YEAR(Agent03_Savings!D11)),"")</f>
        <v/>
      </c>
    </row>
    <row r="405" spans="1:11" ht="18" customHeight="1" x14ac:dyDescent="0.25">
      <c r="A405" s="40" t="str">
        <f>IF(Agent03_Savings!A12="","",Agent03_Savings!A12)</f>
        <v/>
      </c>
      <c r="B405" s="40" t="str">
        <f ca="1">IF(Agent03_Savings!A12="","","SV"&amp;TEXT(405-3,"0000")&amp;"-"&amp;TEXT(TODAY(),"YYYYMMDD"))</f>
        <v/>
      </c>
      <c r="C405" s="40" t="str">
        <f>IF(Agent03_Savings!A12="","",Agent03_Savings!B12)</f>
        <v/>
      </c>
      <c r="D405" s="40" t="str">
        <f>IF(Agent03_Savings!A12="","",Agent03_Savings!G12)</f>
        <v/>
      </c>
      <c r="E405" s="41" t="str">
        <f>IF(Agent03_Savings!A12="","",Agent03_Savings!D12)</f>
        <v/>
      </c>
      <c r="F405" s="42" t="str">
        <f>IF(Agent03_Savings!A12="","",Agent03_Savings!E12)</f>
        <v/>
      </c>
      <c r="G405" s="42" t="str">
        <f>IF(Agent03_Savings!A12="","",Agent03_Savings!F12)</f>
        <v/>
      </c>
      <c r="H405" s="40" t="str">
        <f>IF(Agent03_Savings!A12="","",Agent03_Savings!I12)</f>
        <v/>
      </c>
      <c r="I405" s="40" t="str">
        <f>IF(Agent03_Savings!A12="","",Agent03_Savings!J12)</f>
        <v/>
      </c>
      <c r="J405" s="40" t="str">
        <f>IF(Agent03_Savings!A12="","",Agent03_Savings!K12)</f>
        <v/>
      </c>
      <c r="K405" s="40" t="str">
        <f>IFERROR(IF(Agent03_Savings!A12="","",YEAR(Agent03_Savings!D12)),"")</f>
        <v/>
      </c>
    </row>
    <row r="406" spans="1:11" ht="18" customHeight="1" x14ac:dyDescent="0.25">
      <c r="A406" s="40" t="str">
        <f>IF(Agent03_Savings!A13="","",Agent03_Savings!A13)</f>
        <v/>
      </c>
      <c r="B406" s="40" t="str">
        <f ca="1">IF(Agent03_Savings!A13="","","SV"&amp;TEXT(406-3,"0000")&amp;"-"&amp;TEXT(TODAY(),"YYYYMMDD"))</f>
        <v/>
      </c>
      <c r="C406" s="40" t="str">
        <f>IF(Agent03_Savings!A13="","",Agent03_Savings!B13)</f>
        <v/>
      </c>
      <c r="D406" s="40" t="str">
        <f>IF(Agent03_Savings!A13="","",Agent03_Savings!G13)</f>
        <v/>
      </c>
      <c r="E406" s="41" t="str">
        <f>IF(Agent03_Savings!A13="","",Agent03_Savings!D13)</f>
        <v/>
      </c>
      <c r="F406" s="42" t="str">
        <f>IF(Agent03_Savings!A13="","",Agent03_Savings!E13)</f>
        <v/>
      </c>
      <c r="G406" s="42" t="str">
        <f>IF(Agent03_Savings!A13="","",Agent03_Savings!F13)</f>
        <v/>
      </c>
      <c r="H406" s="40" t="str">
        <f>IF(Agent03_Savings!A13="","",Agent03_Savings!I13)</f>
        <v/>
      </c>
      <c r="I406" s="40" t="str">
        <f>IF(Agent03_Savings!A13="","",Agent03_Savings!J13)</f>
        <v/>
      </c>
      <c r="J406" s="40" t="str">
        <f>IF(Agent03_Savings!A13="","",Agent03_Savings!K13)</f>
        <v/>
      </c>
      <c r="K406" s="40" t="str">
        <f>IFERROR(IF(Agent03_Savings!A13="","",YEAR(Agent03_Savings!D13)),"")</f>
        <v/>
      </c>
    </row>
    <row r="407" spans="1:11" ht="18" customHeight="1" x14ac:dyDescent="0.25">
      <c r="A407" s="40" t="str">
        <f>IF(Agent03_Savings!A14="","",Agent03_Savings!A14)</f>
        <v/>
      </c>
      <c r="B407" s="40" t="str">
        <f ca="1">IF(Agent03_Savings!A14="","","SV"&amp;TEXT(407-3,"0000")&amp;"-"&amp;TEXT(TODAY(),"YYYYMMDD"))</f>
        <v/>
      </c>
      <c r="C407" s="40" t="str">
        <f>IF(Agent03_Savings!A14="","",Agent03_Savings!B14)</f>
        <v/>
      </c>
      <c r="D407" s="40" t="str">
        <f>IF(Agent03_Savings!A14="","",Agent03_Savings!G14)</f>
        <v/>
      </c>
      <c r="E407" s="41" t="str">
        <f>IF(Agent03_Savings!A14="","",Agent03_Savings!D14)</f>
        <v/>
      </c>
      <c r="F407" s="42" t="str">
        <f>IF(Agent03_Savings!A14="","",Agent03_Savings!E14)</f>
        <v/>
      </c>
      <c r="G407" s="42" t="str">
        <f>IF(Agent03_Savings!A14="","",Agent03_Savings!F14)</f>
        <v/>
      </c>
      <c r="H407" s="40" t="str">
        <f>IF(Agent03_Savings!A14="","",Agent03_Savings!I14)</f>
        <v/>
      </c>
      <c r="I407" s="40" t="str">
        <f>IF(Agent03_Savings!A14="","",Agent03_Savings!J14)</f>
        <v/>
      </c>
      <c r="J407" s="40" t="str">
        <f>IF(Agent03_Savings!A14="","",Agent03_Savings!K14)</f>
        <v/>
      </c>
      <c r="K407" s="40" t="str">
        <f>IFERROR(IF(Agent03_Savings!A14="","",YEAR(Agent03_Savings!D14)),"")</f>
        <v/>
      </c>
    </row>
    <row r="408" spans="1:11" ht="18" customHeight="1" x14ac:dyDescent="0.25">
      <c r="A408" s="40" t="str">
        <f>IF(Agent03_Savings!A15="","",Agent03_Savings!A15)</f>
        <v/>
      </c>
      <c r="B408" s="40" t="str">
        <f ca="1">IF(Agent03_Savings!A15="","","SV"&amp;TEXT(408-3,"0000")&amp;"-"&amp;TEXT(TODAY(),"YYYYMMDD"))</f>
        <v/>
      </c>
      <c r="C408" s="40" t="str">
        <f>IF(Agent03_Savings!A15="","",Agent03_Savings!B15)</f>
        <v/>
      </c>
      <c r="D408" s="40" t="str">
        <f>IF(Agent03_Savings!A15="","",Agent03_Savings!G15)</f>
        <v/>
      </c>
      <c r="E408" s="41" t="str">
        <f>IF(Agent03_Savings!A15="","",Agent03_Savings!D15)</f>
        <v/>
      </c>
      <c r="F408" s="42" t="str">
        <f>IF(Agent03_Savings!A15="","",Agent03_Savings!E15)</f>
        <v/>
      </c>
      <c r="G408" s="42" t="str">
        <f>IF(Agent03_Savings!A15="","",Agent03_Savings!F15)</f>
        <v/>
      </c>
      <c r="H408" s="40" t="str">
        <f>IF(Agent03_Savings!A15="","",Agent03_Savings!I15)</f>
        <v/>
      </c>
      <c r="I408" s="40" t="str">
        <f>IF(Agent03_Savings!A15="","",Agent03_Savings!J15)</f>
        <v/>
      </c>
      <c r="J408" s="40" t="str">
        <f>IF(Agent03_Savings!A15="","",Agent03_Savings!K15)</f>
        <v/>
      </c>
      <c r="K408" s="40" t="str">
        <f>IFERROR(IF(Agent03_Savings!A15="","",YEAR(Agent03_Savings!D15)),"")</f>
        <v/>
      </c>
    </row>
    <row r="409" spans="1:11" ht="18" customHeight="1" x14ac:dyDescent="0.25">
      <c r="A409" s="40" t="str">
        <f>IF(Agent03_Savings!A16="","",Agent03_Savings!A16)</f>
        <v/>
      </c>
      <c r="B409" s="40" t="str">
        <f ca="1">IF(Agent03_Savings!A16="","","SV"&amp;TEXT(409-3,"0000")&amp;"-"&amp;TEXT(TODAY(),"YYYYMMDD"))</f>
        <v/>
      </c>
      <c r="C409" s="40" t="str">
        <f>IF(Agent03_Savings!A16="","",Agent03_Savings!B16)</f>
        <v/>
      </c>
      <c r="D409" s="40" t="str">
        <f>IF(Agent03_Savings!A16="","",Agent03_Savings!G16)</f>
        <v/>
      </c>
      <c r="E409" s="41" t="str">
        <f>IF(Agent03_Savings!A16="","",Agent03_Savings!D16)</f>
        <v/>
      </c>
      <c r="F409" s="42" t="str">
        <f>IF(Agent03_Savings!A16="","",Agent03_Savings!E16)</f>
        <v/>
      </c>
      <c r="G409" s="42" t="str">
        <f>IF(Agent03_Savings!A16="","",Agent03_Savings!F16)</f>
        <v/>
      </c>
      <c r="H409" s="40" t="str">
        <f>IF(Agent03_Savings!A16="","",Agent03_Savings!I16)</f>
        <v/>
      </c>
      <c r="I409" s="40" t="str">
        <f>IF(Agent03_Savings!A16="","",Agent03_Savings!J16)</f>
        <v/>
      </c>
      <c r="J409" s="40" t="str">
        <f>IF(Agent03_Savings!A16="","",Agent03_Savings!K16)</f>
        <v/>
      </c>
      <c r="K409" s="40" t="str">
        <f>IFERROR(IF(Agent03_Savings!A16="","",YEAR(Agent03_Savings!D16)),"")</f>
        <v/>
      </c>
    </row>
    <row r="410" spans="1:11" ht="18" customHeight="1" x14ac:dyDescent="0.25">
      <c r="A410" s="40" t="str">
        <f>IF(Agent03_Savings!A17="","",Agent03_Savings!A17)</f>
        <v/>
      </c>
      <c r="B410" s="40" t="str">
        <f ca="1">IF(Agent03_Savings!A17="","","SV"&amp;TEXT(410-3,"0000")&amp;"-"&amp;TEXT(TODAY(),"YYYYMMDD"))</f>
        <v/>
      </c>
      <c r="C410" s="40" t="str">
        <f>IF(Agent03_Savings!A17="","",Agent03_Savings!B17)</f>
        <v/>
      </c>
      <c r="D410" s="40" t="str">
        <f>IF(Agent03_Savings!A17="","",Agent03_Savings!G17)</f>
        <v/>
      </c>
      <c r="E410" s="41" t="str">
        <f>IF(Agent03_Savings!A17="","",Agent03_Savings!D17)</f>
        <v/>
      </c>
      <c r="F410" s="42" t="str">
        <f>IF(Agent03_Savings!A17="","",Agent03_Savings!E17)</f>
        <v/>
      </c>
      <c r="G410" s="42" t="str">
        <f>IF(Agent03_Savings!A17="","",Agent03_Savings!F17)</f>
        <v/>
      </c>
      <c r="H410" s="40" t="str">
        <f>IF(Agent03_Savings!A17="","",Agent03_Savings!I17)</f>
        <v/>
      </c>
      <c r="I410" s="40" t="str">
        <f>IF(Agent03_Savings!A17="","",Agent03_Savings!J17)</f>
        <v/>
      </c>
      <c r="J410" s="40" t="str">
        <f>IF(Agent03_Savings!A17="","",Agent03_Savings!K17)</f>
        <v/>
      </c>
      <c r="K410" s="40" t="str">
        <f>IFERROR(IF(Agent03_Savings!A17="","",YEAR(Agent03_Savings!D17)),"")</f>
        <v/>
      </c>
    </row>
    <row r="411" spans="1:11" ht="18" customHeight="1" x14ac:dyDescent="0.25">
      <c r="A411" s="40" t="str">
        <f>IF(Agent03_Savings!A18="","",Agent03_Savings!A18)</f>
        <v/>
      </c>
      <c r="B411" s="40" t="str">
        <f ca="1">IF(Agent03_Savings!A18="","","SV"&amp;TEXT(411-3,"0000")&amp;"-"&amp;TEXT(TODAY(),"YYYYMMDD"))</f>
        <v/>
      </c>
      <c r="C411" s="40" t="str">
        <f>IF(Agent03_Savings!A18="","",Agent03_Savings!B18)</f>
        <v/>
      </c>
      <c r="D411" s="40" t="str">
        <f>IF(Agent03_Savings!A18="","",Agent03_Savings!G18)</f>
        <v/>
      </c>
      <c r="E411" s="41" t="str">
        <f>IF(Agent03_Savings!A18="","",Agent03_Savings!D18)</f>
        <v/>
      </c>
      <c r="F411" s="42" t="str">
        <f>IF(Agent03_Savings!A18="","",Agent03_Savings!E18)</f>
        <v/>
      </c>
      <c r="G411" s="42" t="str">
        <f>IF(Agent03_Savings!A18="","",Agent03_Savings!F18)</f>
        <v/>
      </c>
      <c r="H411" s="40" t="str">
        <f>IF(Agent03_Savings!A18="","",Agent03_Savings!I18)</f>
        <v/>
      </c>
      <c r="I411" s="40" t="str">
        <f>IF(Agent03_Savings!A18="","",Agent03_Savings!J18)</f>
        <v/>
      </c>
      <c r="J411" s="40" t="str">
        <f>IF(Agent03_Savings!A18="","",Agent03_Savings!K18)</f>
        <v/>
      </c>
      <c r="K411" s="40" t="str">
        <f>IFERROR(IF(Agent03_Savings!A18="","",YEAR(Agent03_Savings!D18)),"")</f>
        <v/>
      </c>
    </row>
    <row r="412" spans="1:11" ht="18" customHeight="1" x14ac:dyDescent="0.25">
      <c r="A412" s="40" t="str">
        <f>IF(Agent03_Savings!A19="","",Agent03_Savings!A19)</f>
        <v/>
      </c>
      <c r="B412" s="40" t="str">
        <f ca="1">IF(Agent03_Savings!A19="","","SV"&amp;TEXT(412-3,"0000")&amp;"-"&amp;TEXT(TODAY(),"YYYYMMDD"))</f>
        <v/>
      </c>
      <c r="C412" s="40" t="str">
        <f>IF(Agent03_Savings!A19="","",Agent03_Savings!B19)</f>
        <v/>
      </c>
      <c r="D412" s="40" t="str">
        <f>IF(Agent03_Savings!A19="","",Agent03_Savings!G19)</f>
        <v/>
      </c>
      <c r="E412" s="41" t="str">
        <f>IF(Agent03_Savings!A19="","",Agent03_Savings!D19)</f>
        <v/>
      </c>
      <c r="F412" s="42" t="str">
        <f>IF(Agent03_Savings!A19="","",Agent03_Savings!E19)</f>
        <v/>
      </c>
      <c r="G412" s="42" t="str">
        <f>IF(Agent03_Savings!A19="","",Agent03_Savings!F19)</f>
        <v/>
      </c>
      <c r="H412" s="40" t="str">
        <f>IF(Agent03_Savings!A19="","",Agent03_Savings!I19)</f>
        <v/>
      </c>
      <c r="I412" s="40" t="str">
        <f>IF(Agent03_Savings!A19="","",Agent03_Savings!J19)</f>
        <v/>
      </c>
      <c r="J412" s="40" t="str">
        <f>IF(Agent03_Savings!A19="","",Agent03_Savings!K19)</f>
        <v/>
      </c>
      <c r="K412" s="40" t="str">
        <f>IFERROR(IF(Agent03_Savings!A19="","",YEAR(Agent03_Savings!D19)),"")</f>
        <v/>
      </c>
    </row>
    <row r="413" spans="1:11" ht="18" customHeight="1" x14ac:dyDescent="0.25">
      <c r="A413" s="40" t="str">
        <f>IF(Agent03_Savings!A20="","",Agent03_Savings!A20)</f>
        <v/>
      </c>
      <c r="B413" s="40" t="str">
        <f ca="1">IF(Agent03_Savings!A20="","","SV"&amp;TEXT(413-3,"0000")&amp;"-"&amp;TEXT(TODAY(),"YYYYMMDD"))</f>
        <v/>
      </c>
      <c r="C413" s="40" t="str">
        <f>IF(Agent03_Savings!A20="","",Agent03_Savings!B20)</f>
        <v/>
      </c>
      <c r="D413" s="40" t="str">
        <f>IF(Agent03_Savings!A20="","",Agent03_Savings!G20)</f>
        <v/>
      </c>
      <c r="E413" s="41" t="str">
        <f>IF(Agent03_Savings!A20="","",Agent03_Savings!D20)</f>
        <v/>
      </c>
      <c r="F413" s="42" t="str">
        <f>IF(Agent03_Savings!A20="","",Agent03_Savings!E20)</f>
        <v/>
      </c>
      <c r="G413" s="42" t="str">
        <f>IF(Agent03_Savings!A20="","",Agent03_Savings!F20)</f>
        <v/>
      </c>
      <c r="H413" s="40" t="str">
        <f>IF(Agent03_Savings!A20="","",Agent03_Savings!I20)</f>
        <v/>
      </c>
      <c r="I413" s="40" t="str">
        <f>IF(Agent03_Savings!A20="","",Agent03_Savings!J20)</f>
        <v/>
      </c>
      <c r="J413" s="40" t="str">
        <f>IF(Agent03_Savings!A20="","",Agent03_Savings!K20)</f>
        <v/>
      </c>
      <c r="K413" s="40" t="str">
        <f>IFERROR(IF(Agent03_Savings!A20="","",YEAR(Agent03_Savings!D20)),"")</f>
        <v/>
      </c>
    </row>
    <row r="414" spans="1:11" ht="18" customHeight="1" x14ac:dyDescent="0.25">
      <c r="A414" s="40" t="str">
        <f>IF(Agent03_Savings!A21="","",Agent03_Savings!A21)</f>
        <v/>
      </c>
      <c r="B414" s="40" t="str">
        <f ca="1">IF(Agent03_Savings!A21="","","SV"&amp;TEXT(414-3,"0000")&amp;"-"&amp;TEXT(TODAY(),"YYYYMMDD"))</f>
        <v/>
      </c>
      <c r="C414" s="40" t="str">
        <f>IF(Agent03_Savings!A21="","",Agent03_Savings!B21)</f>
        <v/>
      </c>
      <c r="D414" s="40" t="str">
        <f>IF(Agent03_Savings!A21="","",Agent03_Savings!G21)</f>
        <v/>
      </c>
      <c r="E414" s="41" t="str">
        <f>IF(Agent03_Savings!A21="","",Agent03_Savings!D21)</f>
        <v/>
      </c>
      <c r="F414" s="42" t="str">
        <f>IF(Agent03_Savings!A21="","",Agent03_Savings!E21)</f>
        <v/>
      </c>
      <c r="G414" s="42" t="str">
        <f>IF(Agent03_Savings!A21="","",Agent03_Savings!F21)</f>
        <v/>
      </c>
      <c r="H414" s="40" t="str">
        <f>IF(Agent03_Savings!A21="","",Agent03_Savings!I21)</f>
        <v/>
      </c>
      <c r="I414" s="40" t="str">
        <f>IF(Agent03_Savings!A21="","",Agent03_Savings!J21)</f>
        <v/>
      </c>
      <c r="J414" s="40" t="str">
        <f>IF(Agent03_Savings!A21="","",Agent03_Savings!K21)</f>
        <v/>
      </c>
      <c r="K414" s="40" t="str">
        <f>IFERROR(IF(Agent03_Savings!A21="","",YEAR(Agent03_Savings!D21)),"")</f>
        <v/>
      </c>
    </row>
    <row r="415" spans="1:11" ht="18" customHeight="1" x14ac:dyDescent="0.25">
      <c r="A415" s="40" t="str">
        <f>IF(Agent03_Savings!A22="","",Agent03_Savings!A22)</f>
        <v/>
      </c>
      <c r="B415" s="40" t="str">
        <f ca="1">IF(Agent03_Savings!A22="","","SV"&amp;TEXT(415-3,"0000")&amp;"-"&amp;TEXT(TODAY(),"YYYYMMDD"))</f>
        <v/>
      </c>
      <c r="C415" s="40" t="str">
        <f>IF(Agent03_Savings!A22="","",Agent03_Savings!B22)</f>
        <v/>
      </c>
      <c r="D415" s="40" t="str">
        <f>IF(Agent03_Savings!A22="","",Agent03_Savings!G22)</f>
        <v/>
      </c>
      <c r="E415" s="41" t="str">
        <f>IF(Agent03_Savings!A22="","",Agent03_Savings!D22)</f>
        <v/>
      </c>
      <c r="F415" s="42" t="str">
        <f>IF(Agent03_Savings!A22="","",Agent03_Savings!E22)</f>
        <v/>
      </c>
      <c r="G415" s="42" t="str">
        <f>IF(Agent03_Savings!A22="","",Agent03_Savings!F22)</f>
        <v/>
      </c>
      <c r="H415" s="40" t="str">
        <f>IF(Agent03_Savings!A22="","",Agent03_Savings!I22)</f>
        <v/>
      </c>
      <c r="I415" s="40" t="str">
        <f>IF(Agent03_Savings!A22="","",Agent03_Savings!J22)</f>
        <v/>
      </c>
      <c r="J415" s="40" t="str">
        <f>IF(Agent03_Savings!A22="","",Agent03_Savings!K22)</f>
        <v/>
      </c>
      <c r="K415" s="40" t="str">
        <f>IFERROR(IF(Agent03_Savings!A22="","",YEAR(Agent03_Savings!D22)),"")</f>
        <v/>
      </c>
    </row>
    <row r="416" spans="1:11" ht="18" customHeight="1" x14ac:dyDescent="0.25">
      <c r="A416" s="40" t="str">
        <f>IF(Agent03_Savings!A23="","",Agent03_Savings!A23)</f>
        <v/>
      </c>
      <c r="B416" s="40" t="str">
        <f ca="1">IF(Agent03_Savings!A23="","","SV"&amp;TEXT(416-3,"0000")&amp;"-"&amp;TEXT(TODAY(),"YYYYMMDD"))</f>
        <v/>
      </c>
      <c r="C416" s="40" t="str">
        <f>IF(Agent03_Savings!A23="","",Agent03_Savings!B23)</f>
        <v/>
      </c>
      <c r="D416" s="40" t="str">
        <f>IF(Agent03_Savings!A23="","",Agent03_Savings!G23)</f>
        <v/>
      </c>
      <c r="E416" s="41" t="str">
        <f>IF(Agent03_Savings!A23="","",Agent03_Savings!D23)</f>
        <v/>
      </c>
      <c r="F416" s="42" t="str">
        <f>IF(Agent03_Savings!A23="","",Agent03_Savings!E23)</f>
        <v/>
      </c>
      <c r="G416" s="42" t="str">
        <f>IF(Agent03_Savings!A23="","",Agent03_Savings!F23)</f>
        <v/>
      </c>
      <c r="H416" s="40" t="str">
        <f>IF(Agent03_Savings!A23="","",Agent03_Savings!I23)</f>
        <v/>
      </c>
      <c r="I416" s="40" t="str">
        <f>IF(Agent03_Savings!A23="","",Agent03_Savings!J23)</f>
        <v/>
      </c>
      <c r="J416" s="40" t="str">
        <f>IF(Agent03_Savings!A23="","",Agent03_Savings!K23)</f>
        <v/>
      </c>
      <c r="K416" s="40" t="str">
        <f>IFERROR(IF(Agent03_Savings!A23="","",YEAR(Agent03_Savings!D23)),"")</f>
        <v/>
      </c>
    </row>
    <row r="417" spans="1:11" ht="18" customHeight="1" x14ac:dyDescent="0.25">
      <c r="A417" s="40" t="str">
        <f>IF(Agent03_Savings!A24="","",Agent03_Savings!A24)</f>
        <v/>
      </c>
      <c r="B417" s="40" t="str">
        <f ca="1">IF(Agent03_Savings!A24="","","SV"&amp;TEXT(417-3,"0000")&amp;"-"&amp;TEXT(TODAY(),"YYYYMMDD"))</f>
        <v/>
      </c>
      <c r="C417" s="40" t="str">
        <f>IF(Agent03_Savings!A24="","",Agent03_Savings!B24)</f>
        <v/>
      </c>
      <c r="D417" s="40" t="str">
        <f>IF(Agent03_Savings!A24="","",Agent03_Savings!G24)</f>
        <v/>
      </c>
      <c r="E417" s="41" t="str">
        <f>IF(Agent03_Savings!A24="","",Agent03_Savings!D24)</f>
        <v/>
      </c>
      <c r="F417" s="42" t="str">
        <f>IF(Agent03_Savings!A24="","",Agent03_Savings!E24)</f>
        <v/>
      </c>
      <c r="G417" s="42" t="str">
        <f>IF(Agent03_Savings!A24="","",Agent03_Savings!F24)</f>
        <v/>
      </c>
      <c r="H417" s="40" t="str">
        <f>IF(Agent03_Savings!A24="","",Agent03_Savings!I24)</f>
        <v/>
      </c>
      <c r="I417" s="40" t="str">
        <f>IF(Agent03_Savings!A24="","",Agent03_Savings!J24)</f>
        <v/>
      </c>
      <c r="J417" s="40" t="str">
        <f>IF(Agent03_Savings!A24="","",Agent03_Savings!K24)</f>
        <v/>
      </c>
      <c r="K417" s="40" t="str">
        <f>IFERROR(IF(Agent03_Savings!A24="","",YEAR(Agent03_Savings!D24)),"")</f>
        <v/>
      </c>
    </row>
    <row r="418" spans="1:11" ht="18" customHeight="1" x14ac:dyDescent="0.25">
      <c r="A418" s="40" t="str">
        <f>IF(Agent03_Savings!A25="","",Agent03_Savings!A25)</f>
        <v/>
      </c>
      <c r="B418" s="40" t="str">
        <f ca="1">IF(Agent03_Savings!A25="","","SV"&amp;TEXT(418-3,"0000")&amp;"-"&amp;TEXT(TODAY(),"YYYYMMDD"))</f>
        <v/>
      </c>
      <c r="C418" s="40" t="str">
        <f>IF(Agent03_Savings!A25="","",Agent03_Savings!B25)</f>
        <v/>
      </c>
      <c r="D418" s="40" t="str">
        <f>IF(Agent03_Savings!A25="","",Agent03_Savings!G25)</f>
        <v/>
      </c>
      <c r="E418" s="41" t="str">
        <f>IF(Agent03_Savings!A25="","",Agent03_Savings!D25)</f>
        <v/>
      </c>
      <c r="F418" s="42" t="str">
        <f>IF(Agent03_Savings!A25="","",Agent03_Savings!E25)</f>
        <v/>
      </c>
      <c r="G418" s="42" t="str">
        <f>IF(Agent03_Savings!A25="","",Agent03_Savings!F25)</f>
        <v/>
      </c>
      <c r="H418" s="40" t="str">
        <f>IF(Agent03_Savings!A25="","",Agent03_Savings!I25)</f>
        <v/>
      </c>
      <c r="I418" s="40" t="str">
        <f>IF(Agent03_Savings!A25="","",Agent03_Savings!J25)</f>
        <v/>
      </c>
      <c r="J418" s="40" t="str">
        <f>IF(Agent03_Savings!A25="","",Agent03_Savings!K25)</f>
        <v/>
      </c>
      <c r="K418" s="40" t="str">
        <f>IFERROR(IF(Agent03_Savings!A25="","",YEAR(Agent03_Savings!D25)),"")</f>
        <v/>
      </c>
    </row>
    <row r="419" spans="1:11" ht="18" customHeight="1" x14ac:dyDescent="0.25">
      <c r="A419" s="40" t="str">
        <f>IF(Agent03_Savings!A26="","",Agent03_Savings!A26)</f>
        <v/>
      </c>
      <c r="B419" s="40" t="str">
        <f ca="1">IF(Agent03_Savings!A26="","","SV"&amp;TEXT(419-3,"0000")&amp;"-"&amp;TEXT(TODAY(),"YYYYMMDD"))</f>
        <v/>
      </c>
      <c r="C419" s="40" t="str">
        <f>IF(Agent03_Savings!A26="","",Agent03_Savings!B26)</f>
        <v/>
      </c>
      <c r="D419" s="40" t="str">
        <f>IF(Agent03_Savings!A26="","",Agent03_Savings!G26)</f>
        <v/>
      </c>
      <c r="E419" s="41" t="str">
        <f>IF(Agent03_Savings!A26="","",Agent03_Savings!D26)</f>
        <v/>
      </c>
      <c r="F419" s="42" t="str">
        <f>IF(Agent03_Savings!A26="","",Agent03_Savings!E26)</f>
        <v/>
      </c>
      <c r="G419" s="42" t="str">
        <f>IF(Agent03_Savings!A26="","",Agent03_Savings!F26)</f>
        <v/>
      </c>
      <c r="H419" s="40" t="str">
        <f>IF(Agent03_Savings!A26="","",Agent03_Savings!I26)</f>
        <v/>
      </c>
      <c r="I419" s="40" t="str">
        <f>IF(Agent03_Savings!A26="","",Agent03_Savings!J26)</f>
        <v/>
      </c>
      <c r="J419" s="40" t="str">
        <f>IF(Agent03_Savings!A26="","",Agent03_Savings!K26)</f>
        <v/>
      </c>
      <c r="K419" s="40" t="str">
        <f>IFERROR(IF(Agent03_Savings!A26="","",YEAR(Agent03_Savings!D26)),"")</f>
        <v/>
      </c>
    </row>
    <row r="420" spans="1:11" ht="18" customHeight="1" x14ac:dyDescent="0.25">
      <c r="A420" s="40" t="str">
        <f>IF(Agent03_Savings!A27="","",Agent03_Savings!A27)</f>
        <v/>
      </c>
      <c r="B420" s="40" t="str">
        <f ca="1">IF(Agent03_Savings!A27="","","SV"&amp;TEXT(420-3,"0000")&amp;"-"&amp;TEXT(TODAY(),"YYYYMMDD"))</f>
        <v/>
      </c>
      <c r="C420" s="40" t="str">
        <f>IF(Agent03_Savings!A27="","",Agent03_Savings!B27)</f>
        <v/>
      </c>
      <c r="D420" s="40" t="str">
        <f>IF(Agent03_Savings!A27="","",Agent03_Savings!G27)</f>
        <v/>
      </c>
      <c r="E420" s="41" t="str">
        <f>IF(Agent03_Savings!A27="","",Agent03_Savings!D27)</f>
        <v/>
      </c>
      <c r="F420" s="42" t="str">
        <f>IF(Agent03_Savings!A27="","",Agent03_Savings!E27)</f>
        <v/>
      </c>
      <c r="G420" s="42" t="str">
        <f>IF(Agent03_Savings!A27="","",Agent03_Savings!F27)</f>
        <v/>
      </c>
      <c r="H420" s="40" t="str">
        <f>IF(Agent03_Savings!A27="","",Agent03_Savings!I27)</f>
        <v/>
      </c>
      <c r="I420" s="40" t="str">
        <f>IF(Agent03_Savings!A27="","",Agent03_Savings!J27)</f>
        <v/>
      </c>
      <c r="J420" s="40" t="str">
        <f>IF(Agent03_Savings!A27="","",Agent03_Savings!K27)</f>
        <v/>
      </c>
      <c r="K420" s="40" t="str">
        <f>IFERROR(IF(Agent03_Savings!A27="","",YEAR(Agent03_Savings!D27)),"")</f>
        <v/>
      </c>
    </row>
    <row r="421" spans="1:11" ht="18" customHeight="1" x14ac:dyDescent="0.25">
      <c r="A421" s="40" t="str">
        <f>IF(Agent03_Savings!A28="","",Agent03_Savings!A28)</f>
        <v/>
      </c>
      <c r="B421" s="40" t="str">
        <f ca="1">IF(Agent03_Savings!A28="","","SV"&amp;TEXT(421-3,"0000")&amp;"-"&amp;TEXT(TODAY(),"YYYYMMDD"))</f>
        <v/>
      </c>
      <c r="C421" s="40" t="str">
        <f>IF(Agent03_Savings!A28="","",Agent03_Savings!B28)</f>
        <v/>
      </c>
      <c r="D421" s="40" t="str">
        <f>IF(Agent03_Savings!A28="","",Agent03_Savings!G28)</f>
        <v/>
      </c>
      <c r="E421" s="41" t="str">
        <f>IF(Agent03_Savings!A28="","",Agent03_Savings!D28)</f>
        <v/>
      </c>
      <c r="F421" s="42" t="str">
        <f>IF(Agent03_Savings!A28="","",Agent03_Savings!E28)</f>
        <v/>
      </c>
      <c r="G421" s="42" t="str">
        <f>IF(Agent03_Savings!A28="","",Agent03_Savings!F28)</f>
        <v/>
      </c>
      <c r="H421" s="40" t="str">
        <f>IF(Agent03_Savings!A28="","",Agent03_Savings!I28)</f>
        <v/>
      </c>
      <c r="I421" s="40" t="str">
        <f>IF(Agent03_Savings!A28="","",Agent03_Savings!J28)</f>
        <v/>
      </c>
      <c r="J421" s="40" t="str">
        <f>IF(Agent03_Savings!A28="","",Agent03_Savings!K28)</f>
        <v/>
      </c>
      <c r="K421" s="40" t="str">
        <f>IFERROR(IF(Agent03_Savings!A28="","",YEAR(Agent03_Savings!D28)),"")</f>
        <v/>
      </c>
    </row>
    <row r="422" spans="1:11" ht="18" customHeight="1" x14ac:dyDescent="0.25">
      <c r="A422" s="40" t="str">
        <f>IF(Agent03_Savings!A29="","",Agent03_Savings!A29)</f>
        <v/>
      </c>
      <c r="B422" s="40" t="str">
        <f ca="1">IF(Agent03_Savings!A29="","","SV"&amp;TEXT(422-3,"0000")&amp;"-"&amp;TEXT(TODAY(),"YYYYMMDD"))</f>
        <v/>
      </c>
      <c r="C422" s="40" t="str">
        <f>IF(Agent03_Savings!A29="","",Agent03_Savings!B29)</f>
        <v/>
      </c>
      <c r="D422" s="40" t="str">
        <f>IF(Agent03_Savings!A29="","",Agent03_Savings!G29)</f>
        <v/>
      </c>
      <c r="E422" s="41" t="str">
        <f>IF(Agent03_Savings!A29="","",Agent03_Savings!D29)</f>
        <v/>
      </c>
      <c r="F422" s="42" t="str">
        <f>IF(Agent03_Savings!A29="","",Agent03_Savings!E29)</f>
        <v/>
      </c>
      <c r="G422" s="42" t="str">
        <f>IF(Agent03_Savings!A29="","",Agent03_Savings!F29)</f>
        <v/>
      </c>
      <c r="H422" s="40" t="str">
        <f>IF(Agent03_Savings!A29="","",Agent03_Savings!I29)</f>
        <v/>
      </c>
      <c r="I422" s="40" t="str">
        <f>IF(Agent03_Savings!A29="","",Agent03_Savings!J29)</f>
        <v/>
      </c>
      <c r="J422" s="40" t="str">
        <f>IF(Agent03_Savings!A29="","",Agent03_Savings!K29)</f>
        <v/>
      </c>
      <c r="K422" s="40" t="str">
        <f>IFERROR(IF(Agent03_Savings!A29="","",YEAR(Agent03_Savings!D29)),"")</f>
        <v/>
      </c>
    </row>
    <row r="423" spans="1:11" ht="18" customHeight="1" x14ac:dyDescent="0.25">
      <c r="A423" s="40" t="str">
        <f>IF(Agent03_Savings!A30="","",Agent03_Savings!A30)</f>
        <v/>
      </c>
      <c r="B423" s="40" t="str">
        <f ca="1">IF(Agent03_Savings!A30="","","SV"&amp;TEXT(423-3,"0000")&amp;"-"&amp;TEXT(TODAY(),"YYYYMMDD"))</f>
        <v/>
      </c>
      <c r="C423" s="40" t="str">
        <f>IF(Agent03_Savings!A30="","",Agent03_Savings!B30)</f>
        <v/>
      </c>
      <c r="D423" s="40" t="str">
        <f>IF(Agent03_Savings!A30="","",Agent03_Savings!G30)</f>
        <v/>
      </c>
      <c r="E423" s="41" t="str">
        <f>IF(Agent03_Savings!A30="","",Agent03_Savings!D30)</f>
        <v/>
      </c>
      <c r="F423" s="42" t="str">
        <f>IF(Agent03_Savings!A30="","",Agent03_Savings!E30)</f>
        <v/>
      </c>
      <c r="G423" s="42" t="str">
        <f>IF(Agent03_Savings!A30="","",Agent03_Savings!F30)</f>
        <v/>
      </c>
      <c r="H423" s="40" t="str">
        <f>IF(Agent03_Savings!A30="","",Agent03_Savings!I30)</f>
        <v/>
      </c>
      <c r="I423" s="40" t="str">
        <f>IF(Agent03_Savings!A30="","",Agent03_Savings!J30)</f>
        <v/>
      </c>
      <c r="J423" s="40" t="str">
        <f>IF(Agent03_Savings!A30="","",Agent03_Savings!K30)</f>
        <v/>
      </c>
      <c r="K423" s="40" t="str">
        <f>IFERROR(IF(Agent03_Savings!A30="","",YEAR(Agent03_Savings!D30)),"")</f>
        <v/>
      </c>
    </row>
    <row r="424" spans="1:11" ht="18" customHeight="1" x14ac:dyDescent="0.25">
      <c r="A424" s="40" t="str">
        <f>IF(Agent03_Savings!A31="","",Agent03_Savings!A31)</f>
        <v/>
      </c>
      <c r="B424" s="40" t="str">
        <f ca="1">IF(Agent03_Savings!A31="","","SV"&amp;TEXT(424-3,"0000")&amp;"-"&amp;TEXT(TODAY(),"YYYYMMDD"))</f>
        <v/>
      </c>
      <c r="C424" s="40" t="str">
        <f>IF(Agent03_Savings!A31="","",Agent03_Savings!B31)</f>
        <v/>
      </c>
      <c r="D424" s="40" t="str">
        <f>IF(Agent03_Savings!A31="","",Agent03_Savings!G31)</f>
        <v/>
      </c>
      <c r="E424" s="41" t="str">
        <f>IF(Agent03_Savings!A31="","",Agent03_Savings!D31)</f>
        <v/>
      </c>
      <c r="F424" s="42" t="str">
        <f>IF(Agent03_Savings!A31="","",Agent03_Savings!E31)</f>
        <v/>
      </c>
      <c r="G424" s="42" t="str">
        <f>IF(Agent03_Savings!A31="","",Agent03_Savings!F31)</f>
        <v/>
      </c>
      <c r="H424" s="40" t="str">
        <f>IF(Agent03_Savings!A31="","",Agent03_Savings!I31)</f>
        <v/>
      </c>
      <c r="I424" s="40" t="str">
        <f>IF(Agent03_Savings!A31="","",Agent03_Savings!J31)</f>
        <v/>
      </c>
      <c r="J424" s="40" t="str">
        <f>IF(Agent03_Savings!A31="","",Agent03_Savings!K31)</f>
        <v/>
      </c>
      <c r="K424" s="40" t="str">
        <f>IFERROR(IF(Agent03_Savings!A31="","",YEAR(Agent03_Savings!D31)),"")</f>
        <v/>
      </c>
    </row>
    <row r="425" spans="1:11" ht="18" customHeight="1" x14ac:dyDescent="0.25">
      <c r="A425" s="40" t="str">
        <f>IF(Agent03_Savings!A32="","",Agent03_Savings!A32)</f>
        <v/>
      </c>
      <c r="B425" s="40" t="str">
        <f ca="1">IF(Agent03_Savings!A32="","","SV"&amp;TEXT(425-3,"0000")&amp;"-"&amp;TEXT(TODAY(),"YYYYMMDD"))</f>
        <v/>
      </c>
      <c r="C425" s="40" t="str">
        <f>IF(Agent03_Savings!A32="","",Agent03_Savings!B32)</f>
        <v/>
      </c>
      <c r="D425" s="40" t="str">
        <f>IF(Agent03_Savings!A32="","",Agent03_Savings!G32)</f>
        <v/>
      </c>
      <c r="E425" s="41" t="str">
        <f>IF(Agent03_Savings!A32="","",Agent03_Savings!D32)</f>
        <v/>
      </c>
      <c r="F425" s="42" t="str">
        <f>IF(Agent03_Savings!A32="","",Agent03_Savings!E32)</f>
        <v/>
      </c>
      <c r="G425" s="42" t="str">
        <f>IF(Agent03_Savings!A32="","",Agent03_Savings!F32)</f>
        <v/>
      </c>
      <c r="H425" s="40" t="str">
        <f>IF(Agent03_Savings!A32="","",Agent03_Savings!I32)</f>
        <v/>
      </c>
      <c r="I425" s="40" t="str">
        <f>IF(Agent03_Savings!A32="","",Agent03_Savings!J32)</f>
        <v/>
      </c>
      <c r="J425" s="40" t="str">
        <f>IF(Agent03_Savings!A32="","",Agent03_Savings!K32)</f>
        <v/>
      </c>
      <c r="K425" s="40" t="str">
        <f>IFERROR(IF(Agent03_Savings!A32="","",YEAR(Agent03_Savings!D32)),"")</f>
        <v/>
      </c>
    </row>
    <row r="426" spans="1:11" ht="18" customHeight="1" x14ac:dyDescent="0.25">
      <c r="A426" s="40" t="str">
        <f>IF(Agent03_Savings!A33="","",Agent03_Savings!A33)</f>
        <v/>
      </c>
      <c r="B426" s="40" t="str">
        <f ca="1">IF(Agent03_Savings!A33="","","SV"&amp;TEXT(426-3,"0000")&amp;"-"&amp;TEXT(TODAY(),"YYYYMMDD"))</f>
        <v/>
      </c>
      <c r="C426" s="40" t="str">
        <f>IF(Agent03_Savings!A33="","",Agent03_Savings!B33)</f>
        <v/>
      </c>
      <c r="D426" s="40" t="str">
        <f>IF(Agent03_Savings!A33="","",Agent03_Savings!G33)</f>
        <v/>
      </c>
      <c r="E426" s="41" t="str">
        <f>IF(Agent03_Savings!A33="","",Agent03_Savings!D33)</f>
        <v/>
      </c>
      <c r="F426" s="42" t="str">
        <f>IF(Agent03_Savings!A33="","",Agent03_Savings!E33)</f>
        <v/>
      </c>
      <c r="G426" s="42" t="str">
        <f>IF(Agent03_Savings!A33="","",Agent03_Savings!F33)</f>
        <v/>
      </c>
      <c r="H426" s="40" t="str">
        <f>IF(Agent03_Savings!A33="","",Agent03_Savings!I33)</f>
        <v/>
      </c>
      <c r="I426" s="40" t="str">
        <f>IF(Agent03_Savings!A33="","",Agent03_Savings!J33)</f>
        <v/>
      </c>
      <c r="J426" s="40" t="str">
        <f>IF(Agent03_Savings!A33="","",Agent03_Savings!K33)</f>
        <v/>
      </c>
      <c r="K426" s="40" t="str">
        <f>IFERROR(IF(Agent03_Savings!A33="","",YEAR(Agent03_Savings!D33)),"")</f>
        <v/>
      </c>
    </row>
    <row r="427" spans="1:11" ht="18" customHeight="1" x14ac:dyDescent="0.25">
      <c r="A427" s="40" t="str">
        <f>IF(Agent03_Savings!A34="","",Agent03_Savings!A34)</f>
        <v/>
      </c>
      <c r="B427" s="40" t="str">
        <f ca="1">IF(Agent03_Savings!A34="","","SV"&amp;TEXT(427-3,"0000")&amp;"-"&amp;TEXT(TODAY(),"YYYYMMDD"))</f>
        <v/>
      </c>
      <c r="C427" s="40" t="str">
        <f>IF(Agent03_Savings!A34="","",Agent03_Savings!B34)</f>
        <v/>
      </c>
      <c r="D427" s="40" t="str">
        <f>IF(Agent03_Savings!A34="","",Agent03_Savings!G34)</f>
        <v/>
      </c>
      <c r="E427" s="41" t="str">
        <f>IF(Agent03_Savings!A34="","",Agent03_Savings!D34)</f>
        <v/>
      </c>
      <c r="F427" s="42" t="str">
        <f>IF(Agent03_Savings!A34="","",Agent03_Savings!E34)</f>
        <v/>
      </c>
      <c r="G427" s="42" t="str">
        <f>IF(Agent03_Savings!A34="","",Agent03_Savings!F34)</f>
        <v/>
      </c>
      <c r="H427" s="40" t="str">
        <f>IF(Agent03_Savings!A34="","",Agent03_Savings!I34)</f>
        <v/>
      </c>
      <c r="I427" s="40" t="str">
        <f>IF(Agent03_Savings!A34="","",Agent03_Savings!J34)</f>
        <v/>
      </c>
      <c r="J427" s="40" t="str">
        <f>IF(Agent03_Savings!A34="","",Agent03_Savings!K34)</f>
        <v/>
      </c>
      <c r="K427" s="40" t="str">
        <f>IFERROR(IF(Agent03_Savings!A34="","",YEAR(Agent03_Savings!D34)),"")</f>
        <v/>
      </c>
    </row>
    <row r="428" spans="1:11" ht="18" customHeight="1" x14ac:dyDescent="0.25">
      <c r="A428" s="40" t="str">
        <f>IF(Agent03_Savings!A35="","",Agent03_Savings!A35)</f>
        <v/>
      </c>
      <c r="B428" s="40" t="str">
        <f ca="1">IF(Agent03_Savings!A35="","","SV"&amp;TEXT(428-3,"0000")&amp;"-"&amp;TEXT(TODAY(),"YYYYMMDD"))</f>
        <v/>
      </c>
      <c r="C428" s="40" t="str">
        <f>IF(Agent03_Savings!A35="","",Agent03_Savings!B35)</f>
        <v/>
      </c>
      <c r="D428" s="40" t="str">
        <f>IF(Agent03_Savings!A35="","",Agent03_Savings!G35)</f>
        <v/>
      </c>
      <c r="E428" s="41" t="str">
        <f>IF(Agent03_Savings!A35="","",Agent03_Savings!D35)</f>
        <v/>
      </c>
      <c r="F428" s="42" t="str">
        <f>IF(Agent03_Savings!A35="","",Agent03_Savings!E35)</f>
        <v/>
      </c>
      <c r="G428" s="42" t="str">
        <f>IF(Agent03_Savings!A35="","",Agent03_Savings!F35)</f>
        <v/>
      </c>
      <c r="H428" s="40" t="str">
        <f>IF(Agent03_Savings!A35="","",Agent03_Savings!I35)</f>
        <v/>
      </c>
      <c r="I428" s="40" t="str">
        <f>IF(Agent03_Savings!A35="","",Agent03_Savings!J35)</f>
        <v/>
      </c>
      <c r="J428" s="40" t="str">
        <f>IF(Agent03_Savings!A35="","",Agent03_Savings!K35)</f>
        <v/>
      </c>
      <c r="K428" s="40" t="str">
        <f>IFERROR(IF(Agent03_Savings!A35="","",YEAR(Agent03_Savings!D35)),"")</f>
        <v/>
      </c>
    </row>
    <row r="429" spans="1:11" ht="18" customHeight="1" x14ac:dyDescent="0.25">
      <c r="A429" s="40" t="str">
        <f>IF(Agent03_Savings!A36="","",Agent03_Savings!A36)</f>
        <v/>
      </c>
      <c r="B429" s="40" t="str">
        <f ca="1">IF(Agent03_Savings!A36="","","SV"&amp;TEXT(429-3,"0000")&amp;"-"&amp;TEXT(TODAY(),"YYYYMMDD"))</f>
        <v/>
      </c>
      <c r="C429" s="40" t="str">
        <f>IF(Agent03_Savings!A36="","",Agent03_Savings!B36)</f>
        <v/>
      </c>
      <c r="D429" s="40" t="str">
        <f>IF(Agent03_Savings!A36="","",Agent03_Savings!G36)</f>
        <v/>
      </c>
      <c r="E429" s="41" t="str">
        <f>IF(Agent03_Savings!A36="","",Agent03_Savings!D36)</f>
        <v/>
      </c>
      <c r="F429" s="42" t="str">
        <f>IF(Agent03_Savings!A36="","",Agent03_Savings!E36)</f>
        <v/>
      </c>
      <c r="G429" s="42" t="str">
        <f>IF(Agent03_Savings!A36="","",Agent03_Savings!F36)</f>
        <v/>
      </c>
      <c r="H429" s="40" t="str">
        <f>IF(Agent03_Savings!A36="","",Agent03_Savings!I36)</f>
        <v/>
      </c>
      <c r="I429" s="40" t="str">
        <f>IF(Agent03_Savings!A36="","",Agent03_Savings!J36)</f>
        <v/>
      </c>
      <c r="J429" s="40" t="str">
        <f>IF(Agent03_Savings!A36="","",Agent03_Savings!K36)</f>
        <v/>
      </c>
      <c r="K429" s="40" t="str">
        <f>IFERROR(IF(Agent03_Savings!A36="","",YEAR(Agent03_Savings!D36)),"")</f>
        <v/>
      </c>
    </row>
    <row r="430" spans="1:11" ht="18" customHeight="1" x14ac:dyDescent="0.25">
      <c r="A430" s="40" t="str">
        <f>IF(Agent03_Savings!A37="","",Agent03_Savings!A37)</f>
        <v/>
      </c>
      <c r="B430" s="40" t="str">
        <f ca="1">IF(Agent03_Savings!A37="","","SV"&amp;TEXT(430-3,"0000")&amp;"-"&amp;TEXT(TODAY(),"YYYYMMDD"))</f>
        <v/>
      </c>
      <c r="C430" s="40" t="str">
        <f>IF(Agent03_Savings!A37="","",Agent03_Savings!B37)</f>
        <v/>
      </c>
      <c r="D430" s="40" t="str">
        <f>IF(Agent03_Savings!A37="","",Agent03_Savings!G37)</f>
        <v/>
      </c>
      <c r="E430" s="41" t="str">
        <f>IF(Agent03_Savings!A37="","",Agent03_Savings!D37)</f>
        <v/>
      </c>
      <c r="F430" s="42" t="str">
        <f>IF(Agent03_Savings!A37="","",Agent03_Savings!E37)</f>
        <v/>
      </c>
      <c r="G430" s="42" t="str">
        <f>IF(Agent03_Savings!A37="","",Agent03_Savings!F37)</f>
        <v/>
      </c>
      <c r="H430" s="40" t="str">
        <f>IF(Agent03_Savings!A37="","",Agent03_Savings!I37)</f>
        <v/>
      </c>
      <c r="I430" s="40" t="str">
        <f>IF(Agent03_Savings!A37="","",Agent03_Savings!J37)</f>
        <v/>
      </c>
      <c r="J430" s="40" t="str">
        <f>IF(Agent03_Savings!A37="","",Agent03_Savings!K37)</f>
        <v/>
      </c>
      <c r="K430" s="40" t="str">
        <f>IFERROR(IF(Agent03_Savings!A37="","",YEAR(Agent03_Savings!D37)),"")</f>
        <v/>
      </c>
    </row>
    <row r="431" spans="1:11" ht="18" customHeight="1" x14ac:dyDescent="0.25">
      <c r="A431" s="40" t="str">
        <f>IF(Agent03_Savings!A38="","",Agent03_Savings!A38)</f>
        <v/>
      </c>
      <c r="B431" s="40" t="str">
        <f ca="1">IF(Agent03_Savings!A38="","","SV"&amp;TEXT(431-3,"0000")&amp;"-"&amp;TEXT(TODAY(),"YYYYMMDD"))</f>
        <v/>
      </c>
      <c r="C431" s="40" t="str">
        <f>IF(Agent03_Savings!A38="","",Agent03_Savings!B38)</f>
        <v/>
      </c>
      <c r="D431" s="40" t="str">
        <f>IF(Agent03_Savings!A38="","",Agent03_Savings!G38)</f>
        <v/>
      </c>
      <c r="E431" s="41" t="str">
        <f>IF(Agent03_Savings!A38="","",Agent03_Savings!D38)</f>
        <v/>
      </c>
      <c r="F431" s="42" t="str">
        <f>IF(Agent03_Savings!A38="","",Agent03_Savings!E38)</f>
        <v/>
      </c>
      <c r="G431" s="42" t="str">
        <f>IF(Agent03_Savings!A38="","",Agent03_Savings!F38)</f>
        <v/>
      </c>
      <c r="H431" s="40" t="str">
        <f>IF(Agent03_Savings!A38="","",Agent03_Savings!I38)</f>
        <v/>
      </c>
      <c r="I431" s="40" t="str">
        <f>IF(Agent03_Savings!A38="","",Agent03_Savings!J38)</f>
        <v/>
      </c>
      <c r="J431" s="40" t="str">
        <f>IF(Agent03_Savings!A38="","",Agent03_Savings!K38)</f>
        <v/>
      </c>
      <c r="K431" s="40" t="str">
        <f>IFERROR(IF(Agent03_Savings!A38="","",YEAR(Agent03_Savings!D38)),"")</f>
        <v/>
      </c>
    </row>
    <row r="432" spans="1:11" ht="18" customHeight="1" x14ac:dyDescent="0.25">
      <c r="A432" s="40" t="str">
        <f>IF(Agent03_Savings!A39="","",Agent03_Savings!A39)</f>
        <v/>
      </c>
      <c r="B432" s="40" t="str">
        <f ca="1">IF(Agent03_Savings!A39="","","SV"&amp;TEXT(432-3,"0000")&amp;"-"&amp;TEXT(TODAY(),"YYYYMMDD"))</f>
        <v/>
      </c>
      <c r="C432" s="40" t="str">
        <f>IF(Agent03_Savings!A39="","",Agent03_Savings!B39)</f>
        <v/>
      </c>
      <c r="D432" s="40" t="str">
        <f>IF(Agent03_Savings!A39="","",Agent03_Savings!G39)</f>
        <v/>
      </c>
      <c r="E432" s="41" t="str">
        <f>IF(Agent03_Savings!A39="","",Agent03_Savings!D39)</f>
        <v/>
      </c>
      <c r="F432" s="42" t="str">
        <f>IF(Agent03_Savings!A39="","",Agent03_Savings!E39)</f>
        <v/>
      </c>
      <c r="G432" s="42" t="str">
        <f>IF(Agent03_Savings!A39="","",Agent03_Savings!F39)</f>
        <v/>
      </c>
      <c r="H432" s="40" t="str">
        <f>IF(Agent03_Savings!A39="","",Agent03_Savings!I39)</f>
        <v/>
      </c>
      <c r="I432" s="40" t="str">
        <f>IF(Agent03_Savings!A39="","",Agent03_Savings!J39)</f>
        <v/>
      </c>
      <c r="J432" s="40" t="str">
        <f>IF(Agent03_Savings!A39="","",Agent03_Savings!K39)</f>
        <v/>
      </c>
      <c r="K432" s="40" t="str">
        <f>IFERROR(IF(Agent03_Savings!A39="","",YEAR(Agent03_Savings!D39)),"")</f>
        <v/>
      </c>
    </row>
    <row r="433" spans="1:11" ht="18" customHeight="1" x14ac:dyDescent="0.25">
      <c r="A433" s="40" t="str">
        <f>IF(Agent03_Savings!A40="","",Agent03_Savings!A40)</f>
        <v/>
      </c>
      <c r="B433" s="40" t="str">
        <f ca="1">IF(Agent03_Savings!A40="","","SV"&amp;TEXT(433-3,"0000")&amp;"-"&amp;TEXT(TODAY(),"YYYYMMDD"))</f>
        <v/>
      </c>
      <c r="C433" s="40" t="str">
        <f>IF(Agent03_Savings!A40="","",Agent03_Savings!B40)</f>
        <v/>
      </c>
      <c r="D433" s="40" t="str">
        <f>IF(Agent03_Savings!A40="","",Agent03_Savings!G40)</f>
        <v/>
      </c>
      <c r="E433" s="41" t="str">
        <f>IF(Agent03_Savings!A40="","",Agent03_Savings!D40)</f>
        <v/>
      </c>
      <c r="F433" s="42" t="str">
        <f>IF(Agent03_Savings!A40="","",Agent03_Savings!E40)</f>
        <v/>
      </c>
      <c r="G433" s="42" t="str">
        <f>IF(Agent03_Savings!A40="","",Agent03_Savings!F40)</f>
        <v/>
      </c>
      <c r="H433" s="40" t="str">
        <f>IF(Agent03_Savings!A40="","",Agent03_Savings!I40)</f>
        <v/>
      </c>
      <c r="I433" s="40" t="str">
        <f>IF(Agent03_Savings!A40="","",Agent03_Savings!J40)</f>
        <v/>
      </c>
      <c r="J433" s="40" t="str">
        <f>IF(Agent03_Savings!A40="","",Agent03_Savings!K40)</f>
        <v/>
      </c>
      <c r="K433" s="40" t="str">
        <f>IFERROR(IF(Agent03_Savings!A40="","",YEAR(Agent03_Savings!D40)),"")</f>
        <v/>
      </c>
    </row>
    <row r="434" spans="1:11" ht="18" customHeight="1" x14ac:dyDescent="0.25">
      <c r="A434" s="40" t="str">
        <f>IF(Agent03_Savings!A41="","",Agent03_Savings!A41)</f>
        <v/>
      </c>
      <c r="B434" s="40" t="str">
        <f ca="1">IF(Agent03_Savings!A41="","","SV"&amp;TEXT(434-3,"0000")&amp;"-"&amp;TEXT(TODAY(),"YYYYMMDD"))</f>
        <v/>
      </c>
      <c r="C434" s="40" t="str">
        <f>IF(Agent03_Savings!A41="","",Agent03_Savings!B41)</f>
        <v/>
      </c>
      <c r="D434" s="40" t="str">
        <f>IF(Agent03_Savings!A41="","",Agent03_Savings!G41)</f>
        <v/>
      </c>
      <c r="E434" s="41" t="str">
        <f>IF(Agent03_Savings!A41="","",Agent03_Savings!D41)</f>
        <v/>
      </c>
      <c r="F434" s="42" t="str">
        <f>IF(Agent03_Savings!A41="","",Agent03_Savings!E41)</f>
        <v/>
      </c>
      <c r="G434" s="42" t="str">
        <f>IF(Agent03_Savings!A41="","",Agent03_Savings!F41)</f>
        <v/>
      </c>
      <c r="H434" s="40" t="str">
        <f>IF(Agent03_Savings!A41="","",Agent03_Savings!I41)</f>
        <v/>
      </c>
      <c r="I434" s="40" t="str">
        <f>IF(Agent03_Savings!A41="","",Agent03_Savings!J41)</f>
        <v/>
      </c>
      <c r="J434" s="40" t="str">
        <f>IF(Agent03_Savings!A41="","",Agent03_Savings!K41)</f>
        <v/>
      </c>
      <c r="K434" s="40" t="str">
        <f>IFERROR(IF(Agent03_Savings!A41="","",YEAR(Agent03_Savings!D41)),"")</f>
        <v/>
      </c>
    </row>
    <row r="435" spans="1:11" ht="18" customHeight="1" x14ac:dyDescent="0.25">
      <c r="A435" s="40" t="str">
        <f>IF(Agent03_Savings!A42="","",Agent03_Savings!A42)</f>
        <v/>
      </c>
      <c r="B435" s="40" t="str">
        <f ca="1">IF(Agent03_Savings!A42="","","SV"&amp;TEXT(435-3,"0000")&amp;"-"&amp;TEXT(TODAY(),"YYYYMMDD"))</f>
        <v/>
      </c>
      <c r="C435" s="40" t="str">
        <f>IF(Agent03_Savings!A42="","",Agent03_Savings!B42)</f>
        <v/>
      </c>
      <c r="D435" s="40" t="str">
        <f>IF(Agent03_Savings!A42="","",Agent03_Savings!G42)</f>
        <v/>
      </c>
      <c r="E435" s="41" t="str">
        <f>IF(Agent03_Savings!A42="","",Agent03_Savings!D42)</f>
        <v/>
      </c>
      <c r="F435" s="42" t="str">
        <f>IF(Agent03_Savings!A42="","",Agent03_Savings!E42)</f>
        <v/>
      </c>
      <c r="G435" s="42" t="str">
        <f>IF(Agent03_Savings!A42="","",Agent03_Savings!F42)</f>
        <v/>
      </c>
      <c r="H435" s="40" t="str">
        <f>IF(Agent03_Savings!A42="","",Agent03_Savings!I42)</f>
        <v/>
      </c>
      <c r="I435" s="40" t="str">
        <f>IF(Agent03_Savings!A42="","",Agent03_Savings!J42)</f>
        <v/>
      </c>
      <c r="J435" s="40" t="str">
        <f>IF(Agent03_Savings!A42="","",Agent03_Savings!K42)</f>
        <v/>
      </c>
      <c r="K435" s="40" t="str">
        <f>IFERROR(IF(Agent03_Savings!A42="","",YEAR(Agent03_Savings!D42)),"")</f>
        <v/>
      </c>
    </row>
    <row r="436" spans="1:11" ht="18" customHeight="1" x14ac:dyDescent="0.25">
      <c r="A436" s="40" t="str">
        <f>IF(Agent03_Savings!A43="","",Agent03_Savings!A43)</f>
        <v/>
      </c>
      <c r="B436" s="40" t="str">
        <f ca="1">IF(Agent03_Savings!A43="","","SV"&amp;TEXT(436-3,"0000")&amp;"-"&amp;TEXT(TODAY(),"YYYYMMDD"))</f>
        <v/>
      </c>
      <c r="C436" s="40" t="str">
        <f>IF(Agent03_Savings!A43="","",Agent03_Savings!B43)</f>
        <v/>
      </c>
      <c r="D436" s="40" t="str">
        <f>IF(Agent03_Savings!A43="","",Agent03_Savings!G43)</f>
        <v/>
      </c>
      <c r="E436" s="41" t="str">
        <f>IF(Agent03_Savings!A43="","",Agent03_Savings!D43)</f>
        <v/>
      </c>
      <c r="F436" s="42" t="str">
        <f>IF(Agent03_Savings!A43="","",Agent03_Savings!E43)</f>
        <v/>
      </c>
      <c r="G436" s="42" t="str">
        <f>IF(Agent03_Savings!A43="","",Agent03_Savings!F43)</f>
        <v/>
      </c>
      <c r="H436" s="40" t="str">
        <f>IF(Agent03_Savings!A43="","",Agent03_Savings!I43)</f>
        <v/>
      </c>
      <c r="I436" s="40" t="str">
        <f>IF(Agent03_Savings!A43="","",Agent03_Savings!J43)</f>
        <v/>
      </c>
      <c r="J436" s="40" t="str">
        <f>IF(Agent03_Savings!A43="","",Agent03_Savings!K43)</f>
        <v/>
      </c>
      <c r="K436" s="40" t="str">
        <f>IFERROR(IF(Agent03_Savings!A43="","",YEAR(Agent03_Savings!D43)),"")</f>
        <v/>
      </c>
    </row>
    <row r="437" spans="1:11" ht="18" customHeight="1" x14ac:dyDescent="0.25">
      <c r="A437" s="40" t="str">
        <f>IF(Agent03_Savings!A44="","",Agent03_Savings!A44)</f>
        <v/>
      </c>
      <c r="B437" s="40" t="str">
        <f ca="1">IF(Agent03_Savings!A44="","","SV"&amp;TEXT(437-3,"0000")&amp;"-"&amp;TEXT(TODAY(),"YYYYMMDD"))</f>
        <v/>
      </c>
      <c r="C437" s="40" t="str">
        <f>IF(Agent03_Savings!A44="","",Agent03_Savings!B44)</f>
        <v/>
      </c>
      <c r="D437" s="40" t="str">
        <f>IF(Agent03_Savings!A44="","",Agent03_Savings!G44)</f>
        <v/>
      </c>
      <c r="E437" s="41" t="str">
        <f>IF(Agent03_Savings!A44="","",Agent03_Savings!D44)</f>
        <v/>
      </c>
      <c r="F437" s="42" t="str">
        <f>IF(Agent03_Savings!A44="","",Agent03_Savings!E44)</f>
        <v/>
      </c>
      <c r="G437" s="42" t="str">
        <f>IF(Agent03_Savings!A44="","",Agent03_Savings!F44)</f>
        <v/>
      </c>
      <c r="H437" s="40" t="str">
        <f>IF(Agent03_Savings!A44="","",Agent03_Savings!I44)</f>
        <v/>
      </c>
      <c r="I437" s="40" t="str">
        <f>IF(Agent03_Savings!A44="","",Agent03_Savings!J44)</f>
        <v/>
      </c>
      <c r="J437" s="40" t="str">
        <f>IF(Agent03_Savings!A44="","",Agent03_Savings!K44)</f>
        <v/>
      </c>
      <c r="K437" s="40" t="str">
        <f>IFERROR(IF(Agent03_Savings!A44="","",YEAR(Agent03_Savings!D44)),"")</f>
        <v/>
      </c>
    </row>
    <row r="438" spans="1:11" ht="18" customHeight="1" x14ac:dyDescent="0.25">
      <c r="A438" s="40" t="str">
        <f>IF(Agent03_Savings!A45="","",Agent03_Savings!A45)</f>
        <v/>
      </c>
      <c r="B438" s="40" t="str">
        <f ca="1">IF(Agent03_Savings!A45="","","SV"&amp;TEXT(438-3,"0000")&amp;"-"&amp;TEXT(TODAY(),"YYYYMMDD"))</f>
        <v/>
      </c>
      <c r="C438" s="40" t="str">
        <f>IF(Agent03_Savings!A45="","",Agent03_Savings!B45)</f>
        <v/>
      </c>
      <c r="D438" s="40" t="str">
        <f>IF(Agent03_Savings!A45="","",Agent03_Savings!G45)</f>
        <v/>
      </c>
      <c r="E438" s="41" t="str">
        <f>IF(Agent03_Savings!A45="","",Agent03_Savings!D45)</f>
        <v/>
      </c>
      <c r="F438" s="42" t="str">
        <f>IF(Agent03_Savings!A45="","",Agent03_Savings!E45)</f>
        <v/>
      </c>
      <c r="G438" s="42" t="str">
        <f>IF(Agent03_Savings!A45="","",Agent03_Savings!F45)</f>
        <v/>
      </c>
      <c r="H438" s="40" t="str">
        <f>IF(Agent03_Savings!A45="","",Agent03_Savings!I45)</f>
        <v/>
      </c>
      <c r="I438" s="40" t="str">
        <f>IF(Agent03_Savings!A45="","",Agent03_Savings!J45)</f>
        <v/>
      </c>
      <c r="J438" s="40" t="str">
        <f>IF(Agent03_Savings!A45="","",Agent03_Savings!K45)</f>
        <v/>
      </c>
      <c r="K438" s="40" t="str">
        <f>IFERROR(IF(Agent03_Savings!A45="","",YEAR(Agent03_Savings!D45)),"")</f>
        <v/>
      </c>
    </row>
    <row r="439" spans="1:11" ht="18" customHeight="1" x14ac:dyDescent="0.25">
      <c r="A439" s="40" t="str">
        <f>IF(Agent03_Savings!A46="","",Agent03_Savings!A46)</f>
        <v/>
      </c>
      <c r="B439" s="40" t="str">
        <f ca="1">IF(Agent03_Savings!A46="","","SV"&amp;TEXT(439-3,"0000")&amp;"-"&amp;TEXT(TODAY(),"YYYYMMDD"))</f>
        <v/>
      </c>
      <c r="C439" s="40" t="str">
        <f>IF(Agent03_Savings!A46="","",Agent03_Savings!B46)</f>
        <v/>
      </c>
      <c r="D439" s="40" t="str">
        <f>IF(Agent03_Savings!A46="","",Agent03_Savings!G46)</f>
        <v/>
      </c>
      <c r="E439" s="41" t="str">
        <f>IF(Agent03_Savings!A46="","",Agent03_Savings!D46)</f>
        <v/>
      </c>
      <c r="F439" s="42" t="str">
        <f>IF(Agent03_Savings!A46="","",Agent03_Savings!E46)</f>
        <v/>
      </c>
      <c r="G439" s="42" t="str">
        <f>IF(Agent03_Savings!A46="","",Agent03_Savings!F46)</f>
        <v/>
      </c>
      <c r="H439" s="40" t="str">
        <f>IF(Agent03_Savings!A46="","",Agent03_Savings!I46)</f>
        <v/>
      </c>
      <c r="I439" s="40" t="str">
        <f>IF(Agent03_Savings!A46="","",Agent03_Savings!J46)</f>
        <v/>
      </c>
      <c r="J439" s="40" t="str">
        <f>IF(Agent03_Savings!A46="","",Agent03_Savings!K46)</f>
        <v/>
      </c>
      <c r="K439" s="40" t="str">
        <f>IFERROR(IF(Agent03_Savings!A46="","",YEAR(Agent03_Savings!D46)),"")</f>
        <v/>
      </c>
    </row>
    <row r="440" spans="1:11" ht="18" customHeight="1" x14ac:dyDescent="0.25">
      <c r="A440" s="40" t="str">
        <f>IF(Agent03_Savings!A47="","",Agent03_Savings!A47)</f>
        <v/>
      </c>
      <c r="B440" s="40" t="str">
        <f ca="1">IF(Agent03_Savings!A47="","","SV"&amp;TEXT(440-3,"0000")&amp;"-"&amp;TEXT(TODAY(),"YYYYMMDD"))</f>
        <v/>
      </c>
      <c r="C440" s="40" t="str">
        <f>IF(Agent03_Savings!A47="","",Agent03_Savings!B47)</f>
        <v/>
      </c>
      <c r="D440" s="40" t="str">
        <f>IF(Agent03_Savings!A47="","",Agent03_Savings!G47)</f>
        <v/>
      </c>
      <c r="E440" s="41" t="str">
        <f>IF(Agent03_Savings!A47="","",Agent03_Savings!D47)</f>
        <v/>
      </c>
      <c r="F440" s="42" t="str">
        <f>IF(Agent03_Savings!A47="","",Agent03_Savings!E47)</f>
        <v/>
      </c>
      <c r="G440" s="42" t="str">
        <f>IF(Agent03_Savings!A47="","",Agent03_Savings!F47)</f>
        <v/>
      </c>
      <c r="H440" s="40" t="str">
        <f>IF(Agent03_Savings!A47="","",Agent03_Savings!I47)</f>
        <v/>
      </c>
      <c r="I440" s="40" t="str">
        <f>IF(Agent03_Savings!A47="","",Agent03_Savings!J47)</f>
        <v/>
      </c>
      <c r="J440" s="40" t="str">
        <f>IF(Agent03_Savings!A47="","",Agent03_Savings!K47)</f>
        <v/>
      </c>
      <c r="K440" s="40" t="str">
        <f>IFERROR(IF(Agent03_Savings!A47="","",YEAR(Agent03_Savings!D47)),"")</f>
        <v/>
      </c>
    </row>
    <row r="441" spans="1:11" ht="18" customHeight="1" x14ac:dyDescent="0.25">
      <c r="A441" s="40" t="str">
        <f>IF(Agent03_Savings!A48="","",Agent03_Savings!A48)</f>
        <v/>
      </c>
      <c r="B441" s="40" t="str">
        <f ca="1">IF(Agent03_Savings!A48="","","SV"&amp;TEXT(441-3,"0000")&amp;"-"&amp;TEXT(TODAY(),"YYYYMMDD"))</f>
        <v/>
      </c>
      <c r="C441" s="40" t="str">
        <f>IF(Agent03_Savings!A48="","",Agent03_Savings!B48)</f>
        <v/>
      </c>
      <c r="D441" s="40" t="str">
        <f>IF(Agent03_Savings!A48="","",Agent03_Savings!G48)</f>
        <v/>
      </c>
      <c r="E441" s="41" t="str">
        <f>IF(Agent03_Savings!A48="","",Agent03_Savings!D48)</f>
        <v/>
      </c>
      <c r="F441" s="42" t="str">
        <f>IF(Agent03_Savings!A48="","",Agent03_Savings!E48)</f>
        <v/>
      </c>
      <c r="G441" s="42" t="str">
        <f>IF(Agent03_Savings!A48="","",Agent03_Savings!F48)</f>
        <v/>
      </c>
      <c r="H441" s="40" t="str">
        <f>IF(Agent03_Savings!A48="","",Agent03_Savings!I48)</f>
        <v/>
      </c>
      <c r="I441" s="40" t="str">
        <f>IF(Agent03_Savings!A48="","",Agent03_Savings!J48)</f>
        <v/>
      </c>
      <c r="J441" s="40" t="str">
        <f>IF(Agent03_Savings!A48="","",Agent03_Savings!K48)</f>
        <v/>
      </c>
      <c r="K441" s="40" t="str">
        <f>IFERROR(IF(Agent03_Savings!A48="","",YEAR(Agent03_Savings!D48)),"")</f>
        <v/>
      </c>
    </row>
    <row r="442" spans="1:11" ht="18" customHeight="1" x14ac:dyDescent="0.25">
      <c r="A442" s="40" t="str">
        <f>IF(Agent03_Savings!A49="","",Agent03_Savings!A49)</f>
        <v/>
      </c>
      <c r="B442" s="40" t="str">
        <f ca="1">IF(Agent03_Savings!A49="","","SV"&amp;TEXT(442-3,"0000")&amp;"-"&amp;TEXT(TODAY(),"YYYYMMDD"))</f>
        <v/>
      </c>
      <c r="C442" s="40" t="str">
        <f>IF(Agent03_Savings!A49="","",Agent03_Savings!B49)</f>
        <v/>
      </c>
      <c r="D442" s="40" t="str">
        <f>IF(Agent03_Savings!A49="","",Agent03_Savings!G49)</f>
        <v/>
      </c>
      <c r="E442" s="41" t="str">
        <f>IF(Agent03_Savings!A49="","",Agent03_Savings!D49)</f>
        <v/>
      </c>
      <c r="F442" s="42" t="str">
        <f>IF(Agent03_Savings!A49="","",Agent03_Savings!E49)</f>
        <v/>
      </c>
      <c r="G442" s="42" t="str">
        <f>IF(Agent03_Savings!A49="","",Agent03_Savings!F49)</f>
        <v/>
      </c>
      <c r="H442" s="40" t="str">
        <f>IF(Agent03_Savings!A49="","",Agent03_Savings!I49)</f>
        <v/>
      </c>
      <c r="I442" s="40" t="str">
        <f>IF(Agent03_Savings!A49="","",Agent03_Savings!J49)</f>
        <v/>
      </c>
      <c r="J442" s="40" t="str">
        <f>IF(Agent03_Savings!A49="","",Agent03_Savings!K49)</f>
        <v/>
      </c>
      <c r="K442" s="40" t="str">
        <f>IFERROR(IF(Agent03_Savings!A49="","",YEAR(Agent03_Savings!D49)),"")</f>
        <v/>
      </c>
    </row>
    <row r="443" spans="1:11" ht="18" customHeight="1" x14ac:dyDescent="0.25">
      <c r="A443" s="40" t="str">
        <f>IF(Agent03_Savings!A50="","",Agent03_Savings!A50)</f>
        <v/>
      </c>
      <c r="B443" s="40" t="str">
        <f ca="1">IF(Agent03_Savings!A50="","","SV"&amp;TEXT(443-3,"0000")&amp;"-"&amp;TEXT(TODAY(),"YYYYMMDD"))</f>
        <v/>
      </c>
      <c r="C443" s="40" t="str">
        <f>IF(Agent03_Savings!A50="","",Agent03_Savings!B50)</f>
        <v/>
      </c>
      <c r="D443" s="40" t="str">
        <f>IF(Agent03_Savings!A50="","",Agent03_Savings!G50)</f>
        <v/>
      </c>
      <c r="E443" s="41" t="str">
        <f>IF(Agent03_Savings!A50="","",Agent03_Savings!D50)</f>
        <v/>
      </c>
      <c r="F443" s="42" t="str">
        <f>IF(Agent03_Savings!A50="","",Agent03_Savings!E50)</f>
        <v/>
      </c>
      <c r="G443" s="42" t="str">
        <f>IF(Agent03_Savings!A50="","",Agent03_Savings!F50)</f>
        <v/>
      </c>
      <c r="H443" s="40" t="str">
        <f>IF(Agent03_Savings!A50="","",Agent03_Savings!I50)</f>
        <v/>
      </c>
      <c r="I443" s="40" t="str">
        <f>IF(Agent03_Savings!A50="","",Agent03_Savings!J50)</f>
        <v/>
      </c>
      <c r="J443" s="40" t="str">
        <f>IF(Agent03_Savings!A50="","",Agent03_Savings!K50)</f>
        <v/>
      </c>
      <c r="K443" s="40" t="str">
        <f>IFERROR(IF(Agent03_Savings!A50="","",YEAR(Agent03_Savings!D50)),"")</f>
        <v/>
      </c>
    </row>
    <row r="444" spans="1:11" ht="18" customHeight="1" x14ac:dyDescent="0.25">
      <c r="A444" s="40" t="str">
        <f>IF(Agent03_Savings!A51="","",Agent03_Savings!A51)</f>
        <v/>
      </c>
      <c r="B444" s="40" t="str">
        <f ca="1">IF(Agent03_Savings!A51="","","SV"&amp;TEXT(444-3,"0000")&amp;"-"&amp;TEXT(TODAY(),"YYYYMMDD"))</f>
        <v/>
      </c>
      <c r="C444" s="40" t="str">
        <f>IF(Agent03_Savings!A51="","",Agent03_Savings!B51)</f>
        <v/>
      </c>
      <c r="D444" s="40" t="str">
        <f>IF(Agent03_Savings!A51="","",Agent03_Savings!G51)</f>
        <v/>
      </c>
      <c r="E444" s="41" t="str">
        <f>IF(Agent03_Savings!A51="","",Agent03_Savings!D51)</f>
        <v/>
      </c>
      <c r="F444" s="42" t="str">
        <f>IF(Agent03_Savings!A51="","",Agent03_Savings!E51)</f>
        <v/>
      </c>
      <c r="G444" s="42" t="str">
        <f>IF(Agent03_Savings!A51="","",Agent03_Savings!F51)</f>
        <v/>
      </c>
      <c r="H444" s="40" t="str">
        <f>IF(Agent03_Savings!A51="","",Agent03_Savings!I51)</f>
        <v/>
      </c>
      <c r="I444" s="40" t="str">
        <f>IF(Agent03_Savings!A51="","",Agent03_Savings!J51)</f>
        <v/>
      </c>
      <c r="J444" s="40" t="str">
        <f>IF(Agent03_Savings!A51="","",Agent03_Savings!K51)</f>
        <v/>
      </c>
      <c r="K444" s="40" t="str">
        <f>IFERROR(IF(Agent03_Savings!A51="","",YEAR(Agent03_Savings!D51)),"")</f>
        <v/>
      </c>
    </row>
    <row r="445" spans="1:11" ht="18" customHeight="1" x14ac:dyDescent="0.25">
      <c r="A445" s="40" t="str">
        <f>IF(Agent03_Savings!A52="","",Agent03_Savings!A52)</f>
        <v/>
      </c>
      <c r="B445" s="40" t="str">
        <f ca="1">IF(Agent03_Savings!A52="","","SV"&amp;TEXT(445-3,"0000")&amp;"-"&amp;TEXT(TODAY(),"YYYYMMDD"))</f>
        <v/>
      </c>
      <c r="C445" s="40" t="str">
        <f>IF(Agent03_Savings!A52="","",Agent03_Savings!B52)</f>
        <v/>
      </c>
      <c r="D445" s="40" t="str">
        <f>IF(Agent03_Savings!A52="","",Agent03_Savings!G52)</f>
        <v/>
      </c>
      <c r="E445" s="41" t="str">
        <f>IF(Agent03_Savings!A52="","",Agent03_Savings!D52)</f>
        <v/>
      </c>
      <c r="F445" s="42" t="str">
        <f>IF(Agent03_Savings!A52="","",Agent03_Savings!E52)</f>
        <v/>
      </c>
      <c r="G445" s="42" t="str">
        <f>IF(Agent03_Savings!A52="","",Agent03_Savings!F52)</f>
        <v/>
      </c>
      <c r="H445" s="40" t="str">
        <f>IF(Agent03_Savings!A52="","",Agent03_Savings!I52)</f>
        <v/>
      </c>
      <c r="I445" s="40" t="str">
        <f>IF(Agent03_Savings!A52="","",Agent03_Savings!J52)</f>
        <v/>
      </c>
      <c r="J445" s="40" t="str">
        <f>IF(Agent03_Savings!A52="","",Agent03_Savings!K52)</f>
        <v/>
      </c>
      <c r="K445" s="40" t="str">
        <f>IFERROR(IF(Agent03_Savings!A52="","",YEAR(Agent03_Savings!D52)),"")</f>
        <v/>
      </c>
    </row>
    <row r="446" spans="1:11" ht="18" customHeight="1" x14ac:dyDescent="0.25">
      <c r="A446" s="40" t="str">
        <f>IF(Agent03_Savings!A53="","",Agent03_Savings!A53)</f>
        <v/>
      </c>
      <c r="B446" s="40" t="str">
        <f ca="1">IF(Agent03_Savings!A53="","","SV"&amp;TEXT(446-3,"0000")&amp;"-"&amp;TEXT(TODAY(),"YYYYMMDD"))</f>
        <v/>
      </c>
      <c r="C446" s="40" t="str">
        <f>IF(Agent03_Savings!A53="","",Agent03_Savings!B53)</f>
        <v/>
      </c>
      <c r="D446" s="40" t="str">
        <f>IF(Agent03_Savings!A53="","",Agent03_Savings!G53)</f>
        <v/>
      </c>
      <c r="E446" s="41" t="str">
        <f>IF(Agent03_Savings!A53="","",Agent03_Savings!D53)</f>
        <v/>
      </c>
      <c r="F446" s="42" t="str">
        <f>IF(Agent03_Savings!A53="","",Agent03_Savings!E53)</f>
        <v/>
      </c>
      <c r="G446" s="42" t="str">
        <f>IF(Agent03_Savings!A53="","",Agent03_Savings!F53)</f>
        <v/>
      </c>
      <c r="H446" s="40" t="str">
        <f>IF(Agent03_Savings!A53="","",Agent03_Savings!I53)</f>
        <v/>
      </c>
      <c r="I446" s="40" t="str">
        <f>IF(Agent03_Savings!A53="","",Agent03_Savings!J53)</f>
        <v/>
      </c>
      <c r="J446" s="40" t="str">
        <f>IF(Agent03_Savings!A53="","",Agent03_Savings!K53)</f>
        <v/>
      </c>
      <c r="K446" s="40" t="str">
        <f>IFERROR(IF(Agent03_Savings!A53="","",YEAR(Agent03_Savings!D53)),"")</f>
        <v/>
      </c>
    </row>
    <row r="447" spans="1:11" ht="18" customHeight="1" x14ac:dyDescent="0.25">
      <c r="A447" s="40" t="str">
        <f>IF(Agent03_Savings!A54="","",Agent03_Savings!A54)</f>
        <v/>
      </c>
      <c r="B447" s="40" t="str">
        <f ca="1">IF(Agent03_Savings!A54="","","SV"&amp;TEXT(447-3,"0000")&amp;"-"&amp;TEXT(TODAY(),"YYYYMMDD"))</f>
        <v/>
      </c>
      <c r="C447" s="40" t="str">
        <f>IF(Agent03_Savings!A54="","",Agent03_Savings!B54)</f>
        <v/>
      </c>
      <c r="D447" s="40" t="str">
        <f>IF(Agent03_Savings!A54="","",Agent03_Savings!G54)</f>
        <v/>
      </c>
      <c r="E447" s="41" t="str">
        <f>IF(Agent03_Savings!A54="","",Agent03_Savings!D54)</f>
        <v/>
      </c>
      <c r="F447" s="42" t="str">
        <f>IF(Agent03_Savings!A54="","",Agent03_Savings!E54)</f>
        <v/>
      </c>
      <c r="G447" s="42" t="str">
        <f>IF(Agent03_Savings!A54="","",Agent03_Savings!F54)</f>
        <v/>
      </c>
      <c r="H447" s="40" t="str">
        <f>IF(Agent03_Savings!A54="","",Agent03_Savings!I54)</f>
        <v/>
      </c>
      <c r="I447" s="40" t="str">
        <f>IF(Agent03_Savings!A54="","",Agent03_Savings!J54)</f>
        <v/>
      </c>
      <c r="J447" s="40" t="str">
        <f>IF(Agent03_Savings!A54="","",Agent03_Savings!K54)</f>
        <v/>
      </c>
      <c r="K447" s="40" t="str">
        <f>IFERROR(IF(Agent03_Savings!A54="","",YEAR(Agent03_Savings!D54)),"")</f>
        <v/>
      </c>
    </row>
    <row r="448" spans="1:11" ht="18" customHeight="1" x14ac:dyDescent="0.25">
      <c r="A448" s="40" t="str">
        <f>IF(Agent03_Savings!A55="","",Agent03_Savings!A55)</f>
        <v/>
      </c>
      <c r="B448" s="40" t="str">
        <f ca="1">IF(Agent03_Savings!A55="","","SV"&amp;TEXT(448-3,"0000")&amp;"-"&amp;TEXT(TODAY(),"YYYYMMDD"))</f>
        <v/>
      </c>
      <c r="C448" s="40" t="str">
        <f>IF(Agent03_Savings!A55="","",Agent03_Savings!B55)</f>
        <v/>
      </c>
      <c r="D448" s="40" t="str">
        <f>IF(Agent03_Savings!A55="","",Agent03_Savings!G55)</f>
        <v/>
      </c>
      <c r="E448" s="41" t="str">
        <f>IF(Agent03_Savings!A55="","",Agent03_Savings!D55)</f>
        <v/>
      </c>
      <c r="F448" s="42" t="str">
        <f>IF(Agent03_Savings!A55="","",Agent03_Savings!E55)</f>
        <v/>
      </c>
      <c r="G448" s="42" t="str">
        <f>IF(Agent03_Savings!A55="","",Agent03_Savings!F55)</f>
        <v/>
      </c>
      <c r="H448" s="40" t="str">
        <f>IF(Agent03_Savings!A55="","",Agent03_Savings!I55)</f>
        <v/>
      </c>
      <c r="I448" s="40" t="str">
        <f>IF(Agent03_Savings!A55="","",Agent03_Savings!J55)</f>
        <v/>
      </c>
      <c r="J448" s="40" t="str">
        <f>IF(Agent03_Savings!A55="","",Agent03_Savings!K55)</f>
        <v/>
      </c>
      <c r="K448" s="40" t="str">
        <f>IFERROR(IF(Agent03_Savings!A55="","",YEAR(Agent03_Savings!D55)),"")</f>
        <v/>
      </c>
    </row>
    <row r="449" spans="1:11" ht="18" customHeight="1" x14ac:dyDescent="0.25">
      <c r="A449" s="40" t="str">
        <f>IF(Agent03_Savings!A56="","",Agent03_Savings!A56)</f>
        <v/>
      </c>
      <c r="B449" s="40" t="str">
        <f ca="1">IF(Agent03_Savings!A56="","","SV"&amp;TEXT(449-3,"0000")&amp;"-"&amp;TEXT(TODAY(),"YYYYMMDD"))</f>
        <v/>
      </c>
      <c r="C449" s="40" t="str">
        <f>IF(Agent03_Savings!A56="","",Agent03_Savings!B56)</f>
        <v/>
      </c>
      <c r="D449" s="40" t="str">
        <f>IF(Agent03_Savings!A56="","",Agent03_Savings!G56)</f>
        <v/>
      </c>
      <c r="E449" s="41" t="str">
        <f>IF(Agent03_Savings!A56="","",Agent03_Savings!D56)</f>
        <v/>
      </c>
      <c r="F449" s="42" t="str">
        <f>IF(Agent03_Savings!A56="","",Agent03_Savings!E56)</f>
        <v/>
      </c>
      <c r="G449" s="42" t="str">
        <f>IF(Agent03_Savings!A56="","",Agent03_Savings!F56)</f>
        <v/>
      </c>
      <c r="H449" s="40" t="str">
        <f>IF(Agent03_Savings!A56="","",Agent03_Savings!I56)</f>
        <v/>
      </c>
      <c r="I449" s="40" t="str">
        <f>IF(Agent03_Savings!A56="","",Agent03_Savings!J56)</f>
        <v/>
      </c>
      <c r="J449" s="40" t="str">
        <f>IF(Agent03_Savings!A56="","",Agent03_Savings!K56)</f>
        <v/>
      </c>
      <c r="K449" s="40" t="str">
        <f>IFERROR(IF(Agent03_Savings!A56="","",YEAR(Agent03_Savings!D56)),"")</f>
        <v/>
      </c>
    </row>
    <row r="450" spans="1:11" ht="18" customHeight="1" x14ac:dyDescent="0.25">
      <c r="A450" s="40" t="str">
        <f>IF(Agent03_Savings!A57="","",Agent03_Savings!A57)</f>
        <v/>
      </c>
      <c r="B450" s="40" t="str">
        <f ca="1">IF(Agent03_Savings!A57="","","SV"&amp;TEXT(450-3,"0000")&amp;"-"&amp;TEXT(TODAY(),"YYYYMMDD"))</f>
        <v/>
      </c>
      <c r="C450" s="40" t="str">
        <f>IF(Agent03_Savings!A57="","",Agent03_Savings!B57)</f>
        <v/>
      </c>
      <c r="D450" s="40" t="str">
        <f>IF(Agent03_Savings!A57="","",Agent03_Savings!G57)</f>
        <v/>
      </c>
      <c r="E450" s="41" t="str">
        <f>IF(Agent03_Savings!A57="","",Agent03_Savings!D57)</f>
        <v/>
      </c>
      <c r="F450" s="42" t="str">
        <f>IF(Agent03_Savings!A57="","",Agent03_Savings!E57)</f>
        <v/>
      </c>
      <c r="G450" s="42" t="str">
        <f>IF(Agent03_Savings!A57="","",Agent03_Savings!F57)</f>
        <v/>
      </c>
      <c r="H450" s="40" t="str">
        <f>IF(Agent03_Savings!A57="","",Agent03_Savings!I57)</f>
        <v/>
      </c>
      <c r="I450" s="40" t="str">
        <f>IF(Agent03_Savings!A57="","",Agent03_Savings!J57)</f>
        <v/>
      </c>
      <c r="J450" s="40" t="str">
        <f>IF(Agent03_Savings!A57="","",Agent03_Savings!K57)</f>
        <v/>
      </c>
      <c r="K450" s="40" t="str">
        <f>IFERROR(IF(Agent03_Savings!A57="","",YEAR(Agent03_Savings!D57)),"")</f>
        <v/>
      </c>
    </row>
    <row r="451" spans="1:11" ht="18" customHeight="1" x14ac:dyDescent="0.25">
      <c r="A451" s="40" t="str">
        <f>IF(Agent03_Savings!A58="","",Agent03_Savings!A58)</f>
        <v/>
      </c>
      <c r="B451" s="40" t="str">
        <f ca="1">IF(Agent03_Savings!A58="","","SV"&amp;TEXT(451-3,"0000")&amp;"-"&amp;TEXT(TODAY(),"YYYYMMDD"))</f>
        <v/>
      </c>
      <c r="C451" s="40" t="str">
        <f>IF(Agent03_Savings!A58="","",Agent03_Savings!B58)</f>
        <v/>
      </c>
      <c r="D451" s="40" t="str">
        <f>IF(Agent03_Savings!A58="","",Agent03_Savings!G58)</f>
        <v/>
      </c>
      <c r="E451" s="41" t="str">
        <f>IF(Agent03_Savings!A58="","",Agent03_Savings!D58)</f>
        <v/>
      </c>
      <c r="F451" s="42" t="str">
        <f>IF(Agent03_Savings!A58="","",Agent03_Savings!E58)</f>
        <v/>
      </c>
      <c r="G451" s="42" t="str">
        <f>IF(Agent03_Savings!A58="","",Agent03_Savings!F58)</f>
        <v/>
      </c>
      <c r="H451" s="40" t="str">
        <f>IF(Agent03_Savings!A58="","",Agent03_Savings!I58)</f>
        <v/>
      </c>
      <c r="I451" s="40" t="str">
        <f>IF(Agent03_Savings!A58="","",Agent03_Savings!J58)</f>
        <v/>
      </c>
      <c r="J451" s="40" t="str">
        <f>IF(Agent03_Savings!A58="","",Agent03_Savings!K58)</f>
        <v/>
      </c>
      <c r="K451" s="40" t="str">
        <f>IFERROR(IF(Agent03_Savings!A58="","",YEAR(Agent03_Savings!D58)),"")</f>
        <v/>
      </c>
    </row>
    <row r="452" spans="1:11" ht="18" customHeight="1" x14ac:dyDescent="0.25">
      <c r="A452" s="40" t="str">
        <f>IF(Agent03_Savings!A59="","",Agent03_Savings!A59)</f>
        <v/>
      </c>
      <c r="B452" s="40" t="str">
        <f ca="1">IF(Agent03_Savings!A59="","","SV"&amp;TEXT(452-3,"0000")&amp;"-"&amp;TEXT(TODAY(),"YYYYMMDD"))</f>
        <v/>
      </c>
      <c r="C452" s="40" t="str">
        <f>IF(Agent03_Savings!A59="","",Agent03_Savings!B59)</f>
        <v/>
      </c>
      <c r="D452" s="40" t="str">
        <f>IF(Agent03_Savings!A59="","",Agent03_Savings!G59)</f>
        <v/>
      </c>
      <c r="E452" s="41" t="str">
        <f>IF(Agent03_Savings!A59="","",Agent03_Savings!D59)</f>
        <v/>
      </c>
      <c r="F452" s="42" t="str">
        <f>IF(Agent03_Savings!A59="","",Agent03_Savings!E59)</f>
        <v/>
      </c>
      <c r="G452" s="42" t="str">
        <f>IF(Agent03_Savings!A59="","",Agent03_Savings!F59)</f>
        <v/>
      </c>
      <c r="H452" s="40" t="str">
        <f>IF(Agent03_Savings!A59="","",Agent03_Savings!I59)</f>
        <v/>
      </c>
      <c r="I452" s="40" t="str">
        <f>IF(Agent03_Savings!A59="","",Agent03_Savings!J59)</f>
        <v/>
      </c>
      <c r="J452" s="40" t="str">
        <f>IF(Agent03_Savings!A59="","",Agent03_Savings!K59)</f>
        <v/>
      </c>
      <c r="K452" s="40" t="str">
        <f>IFERROR(IF(Agent03_Savings!A59="","",YEAR(Agent03_Savings!D59)),"")</f>
        <v/>
      </c>
    </row>
    <row r="453" spans="1:11" ht="18" customHeight="1" x14ac:dyDescent="0.25">
      <c r="A453" s="40" t="str">
        <f>IF(Agent03_Savings!A60="","",Agent03_Savings!A60)</f>
        <v/>
      </c>
      <c r="B453" s="40" t="str">
        <f ca="1">IF(Agent03_Savings!A60="","","SV"&amp;TEXT(453-3,"0000")&amp;"-"&amp;TEXT(TODAY(),"YYYYMMDD"))</f>
        <v/>
      </c>
      <c r="C453" s="40" t="str">
        <f>IF(Agent03_Savings!A60="","",Agent03_Savings!B60)</f>
        <v/>
      </c>
      <c r="D453" s="40" t="str">
        <f>IF(Agent03_Savings!A60="","",Agent03_Savings!G60)</f>
        <v/>
      </c>
      <c r="E453" s="41" t="str">
        <f>IF(Agent03_Savings!A60="","",Agent03_Savings!D60)</f>
        <v/>
      </c>
      <c r="F453" s="42" t="str">
        <f>IF(Agent03_Savings!A60="","",Agent03_Savings!E60)</f>
        <v/>
      </c>
      <c r="G453" s="42" t="str">
        <f>IF(Agent03_Savings!A60="","",Agent03_Savings!F60)</f>
        <v/>
      </c>
      <c r="H453" s="40" t="str">
        <f>IF(Agent03_Savings!A60="","",Agent03_Savings!I60)</f>
        <v/>
      </c>
      <c r="I453" s="40" t="str">
        <f>IF(Agent03_Savings!A60="","",Agent03_Savings!J60)</f>
        <v/>
      </c>
      <c r="J453" s="40" t="str">
        <f>IF(Agent03_Savings!A60="","",Agent03_Savings!K60)</f>
        <v/>
      </c>
      <c r="K453" s="40" t="str">
        <f>IFERROR(IF(Agent03_Savings!A60="","",YEAR(Agent03_Savings!D60)),"")</f>
        <v/>
      </c>
    </row>
    <row r="454" spans="1:11" ht="18" customHeight="1" x14ac:dyDescent="0.25">
      <c r="A454" s="40" t="str">
        <f>IF(Agent03_Savings!A61="","",Agent03_Savings!A61)</f>
        <v/>
      </c>
      <c r="B454" s="40" t="str">
        <f ca="1">IF(Agent03_Savings!A61="","","SV"&amp;TEXT(454-3,"0000")&amp;"-"&amp;TEXT(TODAY(),"YYYYMMDD"))</f>
        <v/>
      </c>
      <c r="C454" s="40" t="str">
        <f>IF(Agent03_Savings!A61="","",Agent03_Savings!B61)</f>
        <v/>
      </c>
      <c r="D454" s="40" t="str">
        <f>IF(Agent03_Savings!A61="","",Agent03_Savings!G61)</f>
        <v/>
      </c>
      <c r="E454" s="41" t="str">
        <f>IF(Agent03_Savings!A61="","",Agent03_Savings!D61)</f>
        <v/>
      </c>
      <c r="F454" s="42" t="str">
        <f>IF(Agent03_Savings!A61="","",Agent03_Savings!E61)</f>
        <v/>
      </c>
      <c r="G454" s="42" t="str">
        <f>IF(Agent03_Savings!A61="","",Agent03_Savings!F61)</f>
        <v/>
      </c>
      <c r="H454" s="40" t="str">
        <f>IF(Agent03_Savings!A61="","",Agent03_Savings!I61)</f>
        <v/>
      </c>
      <c r="I454" s="40" t="str">
        <f>IF(Agent03_Savings!A61="","",Agent03_Savings!J61)</f>
        <v/>
      </c>
      <c r="J454" s="40" t="str">
        <f>IF(Agent03_Savings!A61="","",Agent03_Savings!K61)</f>
        <v/>
      </c>
      <c r="K454" s="40" t="str">
        <f>IFERROR(IF(Agent03_Savings!A61="","",YEAR(Agent03_Savings!D61)),"")</f>
        <v/>
      </c>
    </row>
    <row r="455" spans="1:11" ht="18" customHeight="1" x14ac:dyDescent="0.25">
      <c r="A455" s="40" t="str">
        <f>IF(Agent03_Savings!A62="","",Agent03_Savings!A62)</f>
        <v/>
      </c>
      <c r="B455" s="40" t="str">
        <f ca="1">IF(Agent03_Savings!A62="","","SV"&amp;TEXT(455-3,"0000")&amp;"-"&amp;TEXT(TODAY(),"YYYYMMDD"))</f>
        <v/>
      </c>
      <c r="C455" s="40" t="str">
        <f>IF(Agent03_Savings!A62="","",Agent03_Savings!B62)</f>
        <v/>
      </c>
      <c r="D455" s="40" t="str">
        <f>IF(Agent03_Savings!A62="","",Agent03_Savings!G62)</f>
        <v/>
      </c>
      <c r="E455" s="41" t="str">
        <f>IF(Agent03_Savings!A62="","",Agent03_Savings!D62)</f>
        <v/>
      </c>
      <c r="F455" s="42" t="str">
        <f>IF(Agent03_Savings!A62="","",Agent03_Savings!E62)</f>
        <v/>
      </c>
      <c r="G455" s="42" t="str">
        <f>IF(Agent03_Savings!A62="","",Agent03_Savings!F62)</f>
        <v/>
      </c>
      <c r="H455" s="40" t="str">
        <f>IF(Agent03_Savings!A62="","",Agent03_Savings!I62)</f>
        <v/>
      </c>
      <c r="I455" s="40" t="str">
        <f>IF(Agent03_Savings!A62="","",Agent03_Savings!J62)</f>
        <v/>
      </c>
      <c r="J455" s="40" t="str">
        <f>IF(Agent03_Savings!A62="","",Agent03_Savings!K62)</f>
        <v/>
      </c>
      <c r="K455" s="40" t="str">
        <f>IFERROR(IF(Agent03_Savings!A62="","",YEAR(Agent03_Savings!D62)),"")</f>
        <v/>
      </c>
    </row>
    <row r="456" spans="1:11" ht="18" customHeight="1" x14ac:dyDescent="0.25">
      <c r="A456" s="40" t="str">
        <f>IF(Agent03_Savings!A63="","",Agent03_Savings!A63)</f>
        <v/>
      </c>
      <c r="B456" s="40" t="str">
        <f ca="1">IF(Agent03_Savings!A63="","","SV"&amp;TEXT(456-3,"0000")&amp;"-"&amp;TEXT(TODAY(),"YYYYMMDD"))</f>
        <v/>
      </c>
      <c r="C456" s="40" t="str">
        <f>IF(Agent03_Savings!A63="","",Agent03_Savings!B63)</f>
        <v/>
      </c>
      <c r="D456" s="40" t="str">
        <f>IF(Agent03_Savings!A63="","",Agent03_Savings!G63)</f>
        <v/>
      </c>
      <c r="E456" s="41" t="str">
        <f>IF(Agent03_Savings!A63="","",Agent03_Savings!D63)</f>
        <v/>
      </c>
      <c r="F456" s="42" t="str">
        <f>IF(Agent03_Savings!A63="","",Agent03_Savings!E63)</f>
        <v/>
      </c>
      <c r="G456" s="42" t="str">
        <f>IF(Agent03_Savings!A63="","",Agent03_Savings!F63)</f>
        <v/>
      </c>
      <c r="H456" s="40" t="str">
        <f>IF(Agent03_Savings!A63="","",Agent03_Savings!I63)</f>
        <v/>
      </c>
      <c r="I456" s="40" t="str">
        <f>IF(Agent03_Savings!A63="","",Agent03_Savings!J63)</f>
        <v/>
      </c>
      <c r="J456" s="40" t="str">
        <f>IF(Agent03_Savings!A63="","",Agent03_Savings!K63)</f>
        <v/>
      </c>
      <c r="K456" s="40" t="str">
        <f>IFERROR(IF(Agent03_Savings!A63="","",YEAR(Agent03_Savings!D63)),"")</f>
        <v/>
      </c>
    </row>
    <row r="457" spans="1:11" ht="18" customHeight="1" x14ac:dyDescent="0.25">
      <c r="A457" s="40" t="str">
        <f>IF(Agent03_Savings!A64="","",Agent03_Savings!A64)</f>
        <v/>
      </c>
      <c r="B457" s="40" t="str">
        <f ca="1">IF(Agent03_Savings!A64="","","SV"&amp;TEXT(457-3,"0000")&amp;"-"&amp;TEXT(TODAY(),"YYYYMMDD"))</f>
        <v/>
      </c>
      <c r="C457" s="40" t="str">
        <f>IF(Agent03_Savings!A64="","",Agent03_Savings!B64)</f>
        <v/>
      </c>
      <c r="D457" s="40" t="str">
        <f>IF(Agent03_Savings!A64="","",Agent03_Savings!G64)</f>
        <v/>
      </c>
      <c r="E457" s="41" t="str">
        <f>IF(Agent03_Savings!A64="","",Agent03_Savings!D64)</f>
        <v/>
      </c>
      <c r="F457" s="42" t="str">
        <f>IF(Agent03_Savings!A64="","",Agent03_Savings!E64)</f>
        <v/>
      </c>
      <c r="G457" s="42" t="str">
        <f>IF(Agent03_Savings!A64="","",Agent03_Savings!F64)</f>
        <v/>
      </c>
      <c r="H457" s="40" t="str">
        <f>IF(Agent03_Savings!A64="","",Agent03_Savings!I64)</f>
        <v/>
      </c>
      <c r="I457" s="40" t="str">
        <f>IF(Agent03_Savings!A64="","",Agent03_Savings!J64)</f>
        <v/>
      </c>
      <c r="J457" s="40" t="str">
        <f>IF(Agent03_Savings!A64="","",Agent03_Savings!K64)</f>
        <v/>
      </c>
      <c r="K457" s="40" t="str">
        <f>IFERROR(IF(Agent03_Savings!A64="","",YEAR(Agent03_Savings!D64)),"")</f>
        <v/>
      </c>
    </row>
    <row r="458" spans="1:11" ht="18" customHeight="1" x14ac:dyDescent="0.25">
      <c r="A458" s="40" t="str">
        <f>IF(Agent03_Savings!A65="","",Agent03_Savings!A65)</f>
        <v/>
      </c>
      <c r="B458" s="40" t="str">
        <f ca="1">IF(Agent03_Savings!A65="","","SV"&amp;TEXT(458-3,"0000")&amp;"-"&amp;TEXT(TODAY(),"YYYYMMDD"))</f>
        <v/>
      </c>
      <c r="C458" s="40" t="str">
        <f>IF(Agent03_Savings!A65="","",Agent03_Savings!B65)</f>
        <v/>
      </c>
      <c r="D458" s="40" t="str">
        <f>IF(Agent03_Savings!A65="","",Agent03_Savings!G65)</f>
        <v/>
      </c>
      <c r="E458" s="41" t="str">
        <f>IF(Agent03_Savings!A65="","",Agent03_Savings!D65)</f>
        <v/>
      </c>
      <c r="F458" s="42" t="str">
        <f>IF(Agent03_Savings!A65="","",Agent03_Savings!E65)</f>
        <v/>
      </c>
      <c r="G458" s="42" t="str">
        <f>IF(Agent03_Savings!A65="","",Agent03_Savings!F65)</f>
        <v/>
      </c>
      <c r="H458" s="40" t="str">
        <f>IF(Agent03_Savings!A65="","",Agent03_Savings!I65)</f>
        <v/>
      </c>
      <c r="I458" s="40" t="str">
        <f>IF(Agent03_Savings!A65="","",Agent03_Savings!J65)</f>
        <v/>
      </c>
      <c r="J458" s="40" t="str">
        <f>IF(Agent03_Savings!A65="","",Agent03_Savings!K65)</f>
        <v/>
      </c>
      <c r="K458" s="40" t="str">
        <f>IFERROR(IF(Agent03_Savings!A65="","",YEAR(Agent03_Savings!D65)),"")</f>
        <v/>
      </c>
    </row>
    <row r="459" spans="1:11" ht="18" customHeight="1" x14ac:dyDescent="0.25">
      <c r="A459" s="40" t="str">
        <f>IF(Agent03_Savings!A66="","",Agent03_Savings!A66)</f>
        <v/>
      </c>
      <c r="B459" s="40" t="str">
        <f ca="1">IF(Agent03_Savings!A66="","","SV"&amp;TEXT(459-3,"0000")&amp;"-"&amp;TEXT(TODAY(),"YYYYMMDD"))</f>
        <v/>
      </c>
      <c r="C459" s="40" t="str">
        <f>IF(Agent03_Savings!A66="","",Agent03_Savings!B66)</f>
        <v/>
      </c>
      <c r="D459" s="40" t="str">
        <f>IF(Agent03_Savings!A66="","",Agent03_Savings!G66)</f>
        <v/>
      </c>
      <c r="E459" s="41" t="str">
        <f>IF(Agent03_Savings!A66="","",Agent03_Savings!D66)</f>
        <v/>
      </c>
      <c r="F459" s="42" t="str">
        <f>IF(Agent03_Savings!A66="","",Agent03_Savings!E66)</f>
        <v/>
      </c>
      <c r="G459" s="42" t="str">
        <f>IF(Agent03_Savings!A66="","",Agent03_Savings!F66)</f>
        <v/>
      </c>
      <c r="H459" s="40" t="str">
        <f>IF(Agent03_Savings!A66="","",Agent03_Savings!I66)</f>
        <v/>
      </c>
      <c r="I459" s="40" t="str">
        <f>IF(Agent03_Savings!A66="","",Agent03_Savings!J66)</f>
        <v/>
      </c>
      <c r="J459" s="40" t="str">
        <f>IF(Agent03_Savings!A66="","",Agent03_Savings!K66)</f>
        <v/>
      </c>
      <c r="K459" s="40" t="str">
        <f>IFERROR(IF(Agent03_Savings!A66="","",YEAR(Agent03_Savings!D66)),"")</f>
        <v/>
      </c>
    </row>
    <row r="460" spans="1:11" ht="18" customHeight="1" x14ac:dyDescent="0.25">
      <c r="A460" s="40" t="str">
        <f>IF(Agent03_Savings!A67="","",Agent03_Savings!A67)</f>
        <v/>
      </c>
      <c r="B460" s="40" t="str">
        <f ca="1">IF(Agent03_Savings!A67="","","SV"&amp;TEXT(460-3,"0000")&amp;"-"&amp;TEXT(TODAY(),"YYYYMMDD"))</f>
        <v/>
      </c>
      <c r="C460" s="40" t="str">
        <f>IF(Agent03_Savings!A67="","",Agent03_Savings!B67)</f>
        <v/>
      </c>
      <c r="D460" s="40" t="str">
        <f>IF(Agent03_Savings!A67="","",Agent03_Savings!G67)</f>
        <v/>
      </c>
      <c r="E460" s="41" t="str">
        <f>IF(Agent03_Savings!A67="","",Agent03_Savings!D67)</f>
        <v/>
      </c>
      <c r="F460" s="42" t="str">
        <f>IF(Agent03_Savings!A67="","",Agent03_Savings!E67)</f>
        <v/>
      </c>
      <c r="G460" s="42" t="str">
        <f>IF(Agent03_Savings!A67="","",Agent03_Savings!F67)</f>
        <v/>
      </c>
      <c r="H460" s="40" t="str">
        <f>IF(Agent03_Savings!A67="","",Agent03_Savings!I67)</f>
        <v/>
      </c>
      <c r="I460" s="40" t="str">
        <f>IF(Agent03_Savings!A67="","",Agent03_Savings!J67)</f>
        <v/>
      </c>
      <c r="J460" s="40" t="str">
        <f>IF(Agent03_Savings!A67="","",Agent03_Savings!K67)</f>
        <v/>
      </c>
      <c r="K460" s="40" t="str">
        <f>IFERROR(IF(Agent03_Savings!A67="","",YEAR(Agent03_Savings!D67)),"")</f>
        <v/>
      </c>
    </row>
    <row r="461" spans="1:11" ht="18" customHeight="1" x14ac:dyDescent="0.25">
      <c r="A461" s="40" t="str">
        <f>IF(Agent03_Savings!A68="","",Agent03_Savings!A68)</f>
        <v/>
      </c>
      <c r="B461" s="40" t="str">
        <f ca="1">IF(Agent03_Savings!A68="","","SV"&amp;TEXT(461-3,"0000")&amp;"-"&amp;TEXT(TODAY(),"YYYYMMDD"))</f>
        <v/>
      </c>
      <c r="C461" s="40" t="str">
        <f>IF(Agent03_Savings!A68="","",Agent03_Savings!B68)</f>
        <v/>
      </c>
      <c r="D461" s="40" t="str">
        <f>IF(Agent03_Savings!A68="","",Agent03_Savings!G68)</f>
        <v/>
      </c>
      <c r="E461" s="41" t="str">
        <f>IF(Agent03_Savings!A68="","",Agent03_Savings!D68)</f>
        <v/>
      </c>
      <c r="F461" s="42" t="str">
        <f>IF(Agent03_Savings!A68="","",Agent03_Savings!E68)</f>
        <v/>
      </c>
      <c r="G461" s="42" t="str">
        <f>IF(Agent03_Savings!A68="","",Agent03_Savings!F68)</f>
        <v/>
      </c>
      <c r="H461" s="40" t="str">
        <f>IF(Agent03_Savings!A68="","",Agent03_Savings!I68)</f>
        <v/>
      </c>
      <c r="I461" s="40" t="str">
        <f>IF(Agent03_Savings!A68="","",Agent03_Savings!J68)</f>
        <v/>
      </c>
      <c r="J461" s="40" t="str">
        <f>IF(Agent03_Savings!A68="","",Agent03_Savings!K68)</f>
        <v/>
      </c>
      <c r="K461" s="40" t="str">
        <f>IFERROR(IF(Agent03_Savings!A68="","",YEAR(Agent03_Savings!D68)),"")</f>
        <v/>
      </c>
    </row>
    <row r="462" spans="1:11" ht="18" customHeight="1" x14ac:dyDescent="0.25">
      <c r="A462" s="40" t="str">
        <f>IF(Agent03_Savings!A69="","",Agent03_Savings!A69)</f>
        <v/>
      </c>
      <c r="B462" s="40" t="str">
        <f ca="1">IF(Agent03_Savings!A69="","","SV"&amp;TEXT(462-3,"0000")&amp;"-"&amp;TEXT(TODAY(),"YYYYMMDD"))</f>
        <v/>
      </c>
      <c r="C462" s="40" t="str">
        <f>IF(Agent03_Savings!A69="","",Agent03_Savings!B69)</f>
        <v/>
      </c>
      <c r="D462" s="40" t="str">
        <f>IF(Agent03_Savings!A69="","",Agent03_Savings!G69)</f>
        <v/>
      </c>
      <c r="E462" s="41" t="str">
        <f>IF(Agent03_Savings!A69="","",Agent03_Savings!D69)</f>
        <v/>
      </c>
      <c r="F462" s="42" t="str">
        <f>IF(Agent03_Savings!A69="","",Agent03_Savings!E69)</f>
        <v/>
      </c>
      <c r="G462" s="42" t="str">
        <f>IF(Agent03_Savings!A69="","",Agent03_Savings!F69)</f>
        <v/>
      </c>
      <c r="H462" s="40" t="str">
        <f>IF(Agent03_Savings!A69="","",Agent03_Savings!I69)</f>
        <v/>
      </c>
      <c r="I462" s="40" t="str">
        <f>IF(Agent03_Savings!A69="","",Agent03_Savings!J69)</f>
        <v/>
      </c>
      <c r="J462" s="40" t="str">
        <f>IF(Agent03_Savings!A69="","",Agent03_Savings!K69)</f>
        <v/>
      </c>
      <c r="K462" s="40" t="str">
        <f>IFERROR(IF(Agent03_Savings!A69="","",YEAR(Agent03_Savings!D69)),"")</f>
        <v/>
      </c>
    </row>
    <row r="463" spans="1:11" ht="18" customHeight="1" x14ac:dyDescent="0.25">
      <c r="A463" s="40" t="str">
        <f>IF(Agent03_Savings!A70="","",Agent03_Savings!A70)</f>
        <v/>
      </c>
      <c r="B463" s="40" t="str">
        <f ca="1">IF(Agent03_Savings!A70="","","SV"&amp;TEXT(463-3,"0000")&amp;"-"&amp;TEXT(TODAY(),"YYYYMMDD"))</f>
        <v/>
      </c>
      <c r="C463" s="40" t="str">
        <f>IF(Agent03_Savings!A70="","",Agent03_Savings!B70)</f>
        <v/>
      </c>
      <c r="D463" s="40" t="str">
        <f>IF(Agent03_Savings!A70="","",Agent03_Savings!G70)</f>
        <v/>
      </c>
      <c r="E463" s="41" t="str">
        <f>IF(Agent03_Savings!A70="","",Agent03_Savings!D70)</f>
        <v/>
      </c>
      <c r="F463" s="42" t="str">
        <f>IF(Agent03_Savings!A70="","",Agent03_Savings!E70)</f>
        <v/>
      </c>
      <c r="G463" s="42" t="str">
        <f>IF(Agent03_Savings!A70="","",Agent03_Savings!F70)</f>
        <v/>
      </c>
      <c r="H463" s="40" t="str">
        <f>IF(Agent03_Savings!A70="","",Agent03_Savings!I70)</f>
        <v/>
      </c>
      <c r="I463" s="40" t="str">
        <f>IF(Agent03_Savings!A70="","",Agent03_Savings!J70)</f>
        <v/>
      </c>
      <c r="J463" s="40" t="str">
        <f>IF(Agent03_Savings!A70="","",Agent03_Savings!K70)</f>
        <v/>
      </c>
      <c r="K463" s="40" t="str">
        <f>IFERROR(IF(Agent03_Savings!A70="","",YEAR(Agent03_Savings!D70)),"")</f>
        <v/>
      </c>
    </row>
    <row r="464" spans="1:11" ht="18" customHeight="1" x14ac:dyDescent="0.25">
      <c r="A464" s="40" t="str">
        <f>IF(Agent03_Savings!A71="","",Agent03_Savings!A71)</f>
        <v/>
      </c>
      <c r="B464" s="40" t="str">
        <f ca="1">IF(Agent03_Savings!A71="","","SV"&amp;TEXT(464-3,"0000")&amp;"-"&amp;TEXT(TODAY(),"YYYYMMDD"))</f>
        <v/>
      </c>
      <c r="C464" s="40" t="str">
        <f>IF(Agent03_Savings!A71="","",Agent03_Savings!B71)</f>
        <v/>
      </c>
      <c r="D464" s="40" t="str">
        <f>IF(Agent03_Savings!A71="","",Agent03_Savings!G71)</f>
        <v/>
      </c>
      <c r="E464" s="41" t="str">
        <f>IF(Agent03_Savings!A71="","",Agent03_Savings!D71)</f>
        <v/>
      </c>
      <c r="F464" s="42" t="str">
        <f>IF(Agent03_Savings!A71="","",Agent03_Savings!E71)</f>
        <v/>
      </c>
      <c r="G464" s="42" t="str">
        <f>IF(Agent03_Savings!A71="","",Agent03_Savings!F71)</f>
        <v/>
      </c>
      <c r="H464" s="40" t="str">
        <f>IF(Agent03_Savings!A71="","",Agent03_Savings!I71)</f>
        <v/>
      </c>
      <c r="I464" s="40" t="str">
        <f>IF(Agent03_Savings!A71="","",Agent03_Savings!J71)</f>
        <v/>
      </c>
      <c r="J464" s="40" t="str">
        <f>IF(Agent03_Savings!A71="","",Agent03_Savings!K71)</f>
        <v/>
      </c>
      <c r="K464" s="40" t="str">
        <f>IFERROR(IF(Agent03_Savings!A71="","",YEAR(Agent03_Savings!D71)),"")</f>
        <v/>
      </c>
    </row>
    <row r="465" spans="1:11" ht="18" customHeight="1" x14ac:dyDescent="0.25">
      <c r="A465" s="40" t="str">
        <f>IF(Agent03_Savings!A72="","",Agent03_Savings!A72)</f>
        <v/>
      </c>
      <c r="B465" s="40" t="str">
        <f ca="1">IF(Agent03_Savings!A72="","","SV"&amp;TEXT(465-3,"0000")&amp;"-"&amp;TEXT(TODAY(),"YYYYMMDD"))</f>
        <v/>
      </c>
      <c r="C465" s="40" t="str">
        <f>IF(Agent03_Savings!A72="","",Agent03_Savings!B72)</f>
        <v/>
      </c>
      <c r="D465" s="40" t="str">
        <f>IF(Agent03_Savings!A72="","",Agent03_Savings!G72)</f>
        <v/>
      </c>
      <c r="E465" s="41" t="str">
        <f>IF(Agent03_Savings!A72="","",Agent03_Savings!D72)</f>
        <v/>
      </c>
      <c r="F465" s="42" t="str">
        <f>IF(Agent03_Savings!A72="","",Agent03_Savings!E72)</f>
        <v/>
      </c>
      <c r="G465" s="42" t="str">
        <f>IF(Agent03_Savings!A72="","",Agent03_Savings!F72)</f>
        <v/>
      </c>
      <c r="H465" s="40" t="str">
        <f>IF(Agent03_Savings!A72="","",Agent03_Savings!I72)</f>
        <v/>
      </c>
      <c r="I465" s="40" t="str">
        <f>IF(Agent03_Savings!A72="","",Agent03_Savings!J72)</f>
        <v/>
      </c>
      <c r="J465" s="40" t="str">
        <f>IF(Agent03_Savings!A72="","",Agent03_Savings!K72)</f>
        <v/>
      </c>
      <c r="K465" s="40" t="str">
        <f>IFERROR(IF(Agent03_Savings!A72="","",YEAR(Agent03_Savings!D72)),"")</f>
        <v/>
      </c>
    </row>
    <row r="466" spans="1:11" ht="18" customHeight="1" x14ac:dyDescent="0.25">
      <c r="A466" s="40" t="str">
        <f>IF(Agent03_Savings!A73="","",Agent03_Savings!A73)</f>
        <v/>
      </c>
      <c r="B466" s="40" t="str">
        <f ca="1">IF(Agent03_Savings!A73="","","SV"&amp;TEXT(466-3,"0000")&amp;"-"&amp;TEXT(TODAY(),"YYYYMMDD"))</f>
        <v/>
      </c>
      <c r="C466" s="40" t="str">
        <f>IF(Agent03_Savings!A73="","",Agent03_Savings!B73)</f>
        <v/>
      </c>
      <c r="D466" s="40" t="str">
        <f>IF(Agent03_Savings!A73="","",Agent03_Savings!G73)</f>
        <v/>
      </c>
      <c r="E466" s="41" t="str">
        <f>IF(Agent03_Savings!A73="","",Agent03_Savings!D73)</f>
        <v/>
      </c>
      <c r="F466" s="42" t="str">
        <f>IF(Agent03_Savings!A73="","",Agent03_Savings!E73)</f>
        <v/>
      </c>
      <c r="G466" s="42" t="str">
        <f>IF(Agent03_Savings!A73="","",Agent03_Savings!F73)</f>
        <v/>
      </c>
      <c r="H466" s="40" t="str">
        <f>IF(Agent03_Savings!A73="","",Agent03_Savings!I73)</f>
        <v/>
      </c>
      <c r="I466" s="40" t="str">
        <f>IF(Agent03_Savings!A73="","",Agent03_Savings!J73)</f>
        <v/>
      </c>
      <c r="J466" s="40" t="str">
        <f>IF(Agent03_Savings!A73="","",Agent03_Savings!K73)</f>
        <v/>
      </c>
      <c r="K466" s="40" t="str">
        <f>IFERROR(IF(Agent03_Savings!A73="","",YEAR(Agent03_Savings!D73)),"")</f>
        <v/>
      </c>
    </row>
    <row r="467" spans="1:11" ht="18" customHeight="1" x14ac:dyDescent="0.25">
      <c r="A467" s="40" t="str">
        <f>IF(Agent03_Savings!A74="","",Agent03_Savings!A74)</f>
        <v/>
      </c>
      <c r="B467" s="40" t="str">
        <f ca="1">IF(Agent03_Savings!A74="","","SV"&amp;TEXT(467-3,"0000")&amp;"-"&amp;TEXT(TODAY(),"YYYYMMDD"))</f>
        <v/>
      </c>
      <c r="C467" s="40" t="str">
        <f>IF(Agent03_Savings!A74="","",Agent03_Savings!B74)</f>
        <v/>
      </c>
      <c r="D467" s="40" t="str">
        <f>IF(Agent03_Savings!A74="","",Agent03_Savings!G74)</f>
        <v/>
      </c>
      <c r="E467" s="41" t="str">
        <f>IF(Agent03_Savings!A74="","",Agent03_Savings!D74)</f>
        <v/>
      </c>
      <c r="F467" s="42" t="str">
        <f>IF(Agent03_Savings!A74="","",Agent03_Savings!E74)</f>
        <v/>
      </c>
      <c r="G467" s="42" t="str">
        <f>IF(Agent03_Savings!A74="","",Agent03_Savings!F74)</f>
        <v/>
      </c>
      <c r="H467" s="40" t="str">
        <f>IF(Agent03_Savings!A74="","",Agent03_Savings!I74)</f>
        <v/>
      </c>
      <c r="I467" s="40" t="str">
        <f>IF(Agent03_Savings!A74="","",Agent03_Savings!J74)</f>
        <v/>
      </c>
      <c r="J467" s="40" t="str">
        <f>IF(Agent03_Savings!A74="","",Agent03_Savings!K74)</f>
        <v/>
      </c>
      <c r="K467" s="40" t="str">
        <f>IFERROR(IF(Agent03_Savings!A74="","",YEAR(Agent03_Savings!D74)),"")</f>
        <v/>
      </c>
    </row>
    <row r="468" spans="1:11" ht="18" customHeight="1" x14ac:dyDescent="0.25">
      <c r="A468" s="40" t="str">
        <f>IF(Agent03_Savings!A75="","",Agent03_Savings!A75)</f>
        <v/>
      </c>
      <c r="B468" s="40" t="str">
        <f ca="1">IF(Agent03_Savings!A75="","","SV"&amp;TEXT(468-3,"0000")&amp;"-"&amp;TEXT(TODAY(),"YYYYMMDD"))</f>
        <v/>
      </c>
      <c r="C468" s="40" t="str">
        <f>IF(Agent03_Savings!A75="","",Agent03_Savings!B75)</f>
        <v/>
      </c>
      <c r="D468" s="40" t="str">
        <f>IF(Agent03_Savings!A75="","",Agent03_Savings!G75)</f>
        <v/>
      </c>
      <c r="E468" s="41" t="str">
        <f>IF(Agent03_Savings!A75="","",Agent03_Savings!D75)</f>
        <v/>
      </c>
      <c r="F468" s="42" t="str">
        <f>IF(Agent03_Savings!A75="","",Agent03_Savings!E75)</f>
        <v/>
      </c>
      <c r="G468" s="42" t="str">
        <f>IF(Agent03_Savings!A75="","",Agent03_Savings!F75)</f>
        <v/>
      </c>
      <c r="H468" s="40" t="str">
        <f>IF(Agent03_Savings!A75="","",Agent03_Savings!I75)</f>
        <v/>
      </c>
      <c r="I468" s="40" t="str">
        <f>IF(Agent03_Savings!A75="","",Agent03_Savings!J75)</f>
        <v/>
      </c>
      <c r="J468" s="40" t="str">
        <f>IF(Agent03_Savings!A75="","",Agent03_Savings!K75)</f>
        <v/>
      </c>
      <c r="K468" s="40" t="str">
        <f>IFERROR(IF(Agent03_Savings!A75="","",YEAR(Agent03_Savings!D75)),"")</f>
        <v/>
      </c>
    </row>
    <row r="469" spans="1:11" ht="18" customHeight="1" x14ac:dyDescent="0.25">
      <c r="A469" s="40" t="str">
        <f>IF(Agent03_Savings!A76="","",Agent03_Savings!A76)</f>
        <v/>
      </c>
      <c r="B469" s="40" t="str">
        <f ca="1">IF(Agent03_Savings!A76="","","SV"&amp;TEXT(469-3,"0000")&amp;"-"&amp;TEXT(TODAY(),"YYYYMMDD"))</f>
        <v/>
      </c>
      <c r="C469" s="40" t="str">
        <f>IF(Agent03_Savings!A76="","",Agent03_Savings!B76)</f>
        <v/>
      </c>
      <c r="D469" s="40" t="str">
        <f>IF(Agent03_Savings!A76="","",Agent03_Savings!G76)</f>
        <v/>
      </c>
      <c r="E469" s="41" t="str">
        <f>IF(Agent03_Savings!A76="","",Agent03_Savings!D76)</f>
        <v/>
      </c>
      <c r="F469" s="42" t="str">
        <f>IF(Agent03_Savings!A76="","",Agent03_Savings!E76)</f>
        <v/>
      </c>
      <c r="G469" s="42" t="str">
        <f>IF(Agent03_Savings!A76="","",Agent03_Savings!F76)</f>
        <v/>
      </c>
      <c r="H469" s="40" t="str">
        <f>IF(Agent03_Savings!A76="","",Agent03_Savings!I76)</f>
        <v/>
      </c>
      <c r="I469" s="40" t="str">
        <f>IF(Agent03_Savings!A76="","",Agent03_Savings!J76)</f>
        <v/>
      </c>
      <c r="J469" s="40" t="str">
        <f>IF(Agent03_Savings!A76="","",Agent03_Savings!K76)</f>
        <v/>
      </c>
      <c r="K469" s="40" t="str">
        <f>IFERROR(IF(Agent03_Savings!A76="","",YEAR(Agent03_Savings!D76)),"")</f>
        <v/>
      </c>
    </row>
    <row r="470" spans="1:11" ht="18" customHeight="1" x14ac:dyDescent="0.25">
      <c r="A470" s="40" t="str">
        <f>IF(Agent03_Savings!A77="","",Agent03_Savings!A77)</f>
        <v/>
      </c>
      <c r="B470" s="40" t="str">
        <f ca="1">IF(Agent03_Savings!A77="","","SV"&amp;TEXT(470-3,"0000")&amp;"-"&amp;TEXT(TODAY(),"YYYYMMDD"))</f>
        <v/>
      </c>
      <c r="C470" s="40" t="str">
        <f>IF(Agent03_Savings!A77="","",Agent03_Savings!B77)</f>
        <v/>
      </c>
      <c r="D470" s="40" t="str">
        <f>IF(Agent03_Savings!A77="","",Agent03_Savings!G77)</f>
        <v/>
      </c>
      <c r="E470" s="41" t="str">
        <f>IF(Agent03_Savings!A77="","",Agent03_Savings!D77)</f>
        <v/>
      </c>
      <c r="F470" s="42" t="str">
        <f>IF(Agent03_Savings!A77="","",Agent03_Savings!E77)</f>
        <v/>
      </c>
      <c r="G470" s="42" t="str">
        <f>IF(Agent03_Savings!A77="","",Agent03_Savings!F77)</f>
        <v/>
      </c>
      <c r="H470" s="40" t="str">
        <f>IF(Agent03_Savings!A77="","",Agent03_Savings!I77)</f>
        <v/>
      </c>
      <c r="I470" s="40" t="str">
        <f>IF(Agent03_Savings!A77="","",Agent03_Savings!J77)</f>
        <v/>
      </c>
      <c r="J470" s="40" t="str">
        <f>IF(Agent03_Savings!A77="","",Agent03_Savings!K77)</f>
        <v/>
      </c>
      <c r="K470" s="40" t="str">
        <f>IFERROR(IF(Agent03_Savings!A77="","",YEAR(Agent03_Savings!D77)),"")</f>
        <v/>
      </c>
    </row>
    <row r="471" spans="1:11" ht="18" customHeight="1" x14ac:dyDescent="0.25">
      <c r="A471" s="40" t="str">
        <f>IF(Agent03_Savings!A78="","",Agent03_Savings!A78)</f>
        <v/>
      </c>
      <c r="B471" s="40" t="str">
        <f ca="1">IF(Agent03_Savings!A78="","","SV"&amp;TEXT(471-3,"0000")&amp;"-"&amp;TEXT(TODAY(),"YYYYMMDD"))</f>
        <v/>
      </c>
      <c r="C471" s="40" t="str">
        <f>IF(Agent03_Savings!A78="","",Agent03_Savings!B78)</f>
        <v/>
      </c>
      <c r="D471" s="40" t="str">
        <f>IF(Agent03_Savings!A78="","",Agent03_Savings!G78)</f>
        <v/>
      </c>
      <c r="E471" s="41" t="str">
        <f>IF(Agent03_Savings!A78="","",Agent03_Savings!D78)</f>
        <v/>
      </c>
      <c r="F471" s="42" t="str">
        <f>IF(Agent03_Savings!A78="","",Agent03_Savings!E78)</f>
        <v/>
      </c>
      <c r="G471" s="42" t="str">
        <f>IF(Agent03_Savings!A78="","",Agent03_Savings!F78)</f>
        <v/>
      </c>
      <c r="H471" s="40" t="str">
        <f>IF(Agent03_Savings!A78="","",Agent03_Savings!I78)</f>
        <v/>
      </c>
      <c r="I471" s="40" t="str">
        <f>IF(Agent03_Savings!A78="","",Agent03_Savings!J78)</f>
        <v/>
      </c>
      <c r="J471" s="40" t="str">
        <f>IF(Agent03_Savings!A78="","",Agent03_Savings!K78)</f>
        <v/>
      </c>
      <c r="K471" s="40" t="str">
        <f>IFERROR(IF(Agent03_Savings!A78="","",YEAR(Agent03_Savings!D78)),"")</f>
        <v/>
      </c>
    </row>
    <row r="472" spans="1:11" ht="18" customHeight="1" x14ac:dyDescent="0.25">
      <c r="A472" s="40" t="str">
        <f>IF(Agent03_Savings!A79="","",Agent03_Savings!A79)</f>
        <v/>
      </c>
      <c r="B472" s="40" t="str">
        <f ca="1">IF(Agent03_Savings!A79="","","SV"&amp;TEXT(472-3,"0000")&amp;"-"&amp;TEXT(TODAY(),"YYYYMMDD"))</f>
        <v/>
      </c>
      <c r="C472" s="40" t="str">
        <f>IF(Agent03_Savings!A79="","",Agent03_Savings!B79)</f>
        <v/>
      </c>
      <c r="D472" s="40" t="str">
        <f>IF(Agent03_Savings!A79="","",Agent03_Savings!G79)</f>
        <v/>
      </c>
      <c r="E472" s="41" t="str">
        <f>IF(Agent03_Savings!A79="","",Agent03_Savings!D79)</f>
        <v/>
      </c>
      <c r="F472" s="42" t="str">
        <f>IF(Agent03_Savings!A79="","",Agent03_Savings!E79)</f>
        <v/>
      </c>
      <c r="G472" s="42" t="str">
        <f>IF(Agent03_Savings!A79="","",Agent03_Savings!F79)</f>
        <v/>
      </c>
      <c r="H472" s="40" t="str">
        <f>IF(Agent03_Savings!A79="","",Agent03_Savings!I79)</f>
        <v/>
      </c>
      <c r="I472" s="40" t="str">
        <f>IF(Agent03_Savings!A79="","",Agent03_Savings!J79)</f>
        <v/>
      </c>
      <c r="J472" s="40" t="str">
        <f>IF(Agent03_Savings!A79="","",Agent03_Savings!K79)</f>
        <v/>
      </c>
      <c r="K472" s="40" t="str">
        <f>IFERROR(IF(Agent03_Savings!A79="","",YEAR(Agent03_Savings!D79)),"")</f>
        <v/>
      </c>
    </row>
    <row r="473" spans="1:11" ht="18" customHeight="1" x14ac:dyDescent="0.25">
      <c r="A473" s="40" t="str">
        <f>IF(Agent03_Savings!A80="","",Agent03_Savings!A80)</f>
        <v/>
      </c>
      <c r="B473" s="40" t="str">
        <f ca="1">IF(Agent03_Savings!A80="","","SV"&amp;TEXT(473-3,"0000")&amp;"-"&amp;TEXT(TODAY(),"YYYYMMDD"))</f>
        <v/>
      </c>
      <c r="C473" s="40" t="str">
        <f>IF(Agent03_Savings!A80="","",Agent03_Savings!B80)</f>
        <v/>
      </c>
      <c r="D473" s="40" t="str">
        <f>IF(Agent03_Savings!A80="","",Agent03_Savings!G80)</f>
        <v/>
      </c>
      <c r="E473" s="41" t="str">
        <f>IF(Agent03_Savings!A80="","",Agent03_Savings!D80)</f>
        <v/>
      </c>
      <c r="F473" s="42" t="str">
        <f>IF(Agent03_Savings!A80="","",Agent03_Savings!E80)</f>
        <v/>
      </c>
      <c r="G473" s="42" t="str">
        <f>IF(Agent03_Savings!A80="","",Agent03_Savings!F80)</f>
        <v/>
      </c>
      <c r="H473" s="40" t="str">
        <f>IF(Agent03_Savings!A80="","",Agent03_Savings!I80)</f>
        <v/>
      </c>
      <c r="I473" s="40" t="str">
        <f>IF(Agent03_Savings!A80="","",Agent03_Savings!J80)</f>
        <v/>
      </c>
      <c r="J473" s="40" t="str">
        <f>IF(Agent03_Savings!A80="","",Agent03_Savings!K80)</f>
        <v/>
      </c>
      <c r="K473" s="40" t="str">
        <f>IFERROR(IF(Agent03_Savings!A80="","",YEAR(Agent03_Savings!D80)),"")</f>
        <v/>
      </c>
    </row>
    <row r="474" spans="1:11" ht="18" customHeight="1" x14ac:dyDescent="0.25">
      <c r="A474" s="40" t="str">
        <f>IF(Agent03_Savings!A81="","",Agent03_Savings!A81)</f>
        <v/>
      </c>
      <c r="B474" s="40" t="str">
        <f ca="1">IF(Agent03_Savings!A81="","","SV"&amp;TEXT(474-3,"0000")&amp;"-"&amp;TEXT(TODAY(),"YYYYMMDD"))</f>
        <v/>
      </c>
      <c r="C474" s="40" t="str">
        <f>IF(Agent03_Savings!A81="","",Agent03_Savings!B81)</f>
        <v/>
      </c>
      <c r="D474" s="40" t="str">
        <f>IF(Agent03_Savings!A81="","",Agent03_Savings!G81)</f>
        <v/>
      </c>
      <c r="E474" s="41" t="str">
        <f>IF(Agent03_Savings!A81="","",Agent03_Savings!D81)</f>
        <v/>
      </c>
      <c r="F474" s="42" t="str">
        <f>IF(Agent03_Savings!A81="","",Agent03_Savings!E81)</f>
        <v/>
      </c>
      <c r="G474" s="42" t="str">
        <f>IF(Agent03_Savings!A81="","",Agent03_Savings!F81)</f>
        <v/>
      </c>
      <c r="H474" s="40" t="str">
        <f>IF(Agent03_Savings!A81="","",Agent03_Savings!I81)</f>
        <v/>
      </c>
      <c r="I474" s="40" t="str">
        <f>IF(Agent03_Savings!A81="","",Agent03_Savings!J81)</f>
        <v/>
      </c>
      <c r="J474" s="40" t="str">
        <f>IF(Agent03_Savings!A81="","",Agent03_Savings!K81)</f>
        <v/>
      </c>
      <c r="K474" s="40" t="str">
        <f>IFERROR(IF(Agent03_Savings!A81="","",YEAR(Agent03_Savings!D81)),"")</f>
        <v/>
      </c>
    </row>
    <row r="475" spans="1:11" ht="18" customHeight="1" x14ac:dyDescent="0.25">
      <c r="A475" s="40" t="str">
        <f>IF(Agent03_Savings!A82="","",Agent03_Savings!A82)</f>
        <v/>
      </c>
      <c r="B475" s="40" t="str">
        <f ca="1">IF(Agent03_Savings!A82="","","SV"&amp;TEXT(475-3,"0000")&amp;"-"&amp;TEXT(TODAY(),"YYYYMMDD"))</f>
        <v/>
      </c>
      <c r="C475" s="40" t="str">
        <f>IF(Agent03_Savings!A82="","",Agent03_Savings!B82)</f>
        <v/>
      </c>
      <c r="D475" s="40" t="str">
        <f>IF(Agent03_Savings!A82="","",Agent03_Savings!G82)</f>
        <v/>
      </c>
      <c r="E475" s="41" t="str">
        <f>IF(Agent03_Savings!A82="","",Agent03_Savings!D82)</f>
        <v/>
      </c>
      <c r="F475" s="42" t="str">
        <f>IF(Agent03_Savings!A82="","",Agent03_Savings!E82)</f>
        <v/>
      </c>
      <c r="G475" s="42" t="str">
        <f>IF(Agent03_Savings!A82="","",Agent03_Savings!F82)</f>
        <v/>
      </c>
      <c r="H475" s="40" t="str">
        <f>IF(Agent03_Savings!A82="","",Agent03_Savings!I82)</f>
        <v/>
      </c>
      <c r="I475" s="40" t="str">
        <f>IF(Agent03_Savings!A82="","",Agent03_Savings!J82)</f>
        <v/>
      </c>
      <c r="J475" s="40" t="str">
        <f>IF(Agent03_Savings!A82="","",Agent03_Savings!K82)</f>
        <v/>
      </c>
      <c r="K475" s="40" t="str">
        <f>IFERROR(IF(Agent03_Savings!A82="","",YEAR(Agent03_Savings!D82)),"")</f>
        <v/>
      </c>
    </row>
    <row r="476" spans="1:11" ht="18" customHeight="1" x14ac:dyDescent="0.25">
      <c r="A476" s="40" t="str">
        <f>IF(Agent03_Savings!A83="","",Agent03_Savings!A83)</f>
        <v/>
      </c>
      <c r="B476" s="40" t="str">
        <f ca="1">IF(Agent03_Savings!A83="","","SV"&amp;TEXT(476-3,"0000")&amp;"-"&amp;TEXT(TODAY(),"YYYYMMDD"))</f>
        <v/>
      </c>
      <c r="C476" s="40" t="str">
        <f>IF(Agent03_Savings!A83="","",Agent03_Savings!B83)</f>
        <v/>
      </c>
      <c r="D476" s="40" t="str">
        <f>IF(Agent03_Savings!A83="","",Agent03_Savings!G83)</f>
        <v/>
      </c>
      <c r="E476" s="41" t="str">
        <f>IF(Agent03_Savings!A83="","",Agent03_Savings!D83)</f>
        <v/>
      </c>
      <c r="F476" s="42" t="str">
        <f>IF(Agent03_Savings!A83="","",Agent03_Savings!E83)</f>
        <v/>
      </c>
      <c r="G476" s="42" t="str">
        <f>IF(Agent03_Savings!A83="","",Agent03_Savings!F83)</f>
        <v/>
      </c>
      <c r="H476" s="40" t="str">
        <f>IF(Agent03_Savings!A83="","",Agent03_Savings!I83)</f>
        <v/>
      </c>
      <c r="I476" s="40" t="str">
        <f>IF(Agent03_Savings!A83="","",Agent03_Savings!J83)</f>
        <v/>
      </c>
      <c r="J476" s="40" t="str">
        <f>IF(Agent03_Savings!A83="","",Agent03_Savings!K83)</f>
        <v/>
      </c>
      <c r="K476" s="40" t="str">
        <f>IFERROR(IF(Agent03_Savings!A83="","",YEAR(Agent03_Savings!D83)),"")</f>
        <v/>
      </c>
    </row>
    <row r="477" spans="1:11" ht="18" customHeight="1" x14ac:dyDescent="0.25">
      <c r="A477" s="40" t="str">
        <f>IF(Agent03_Savings!A84="","",Agent03_Savings!A84)</f>
        <v/>
      </c>
      <c r="B477" s="40" t="str">
        <f ca="1">IF(Agent03_Savings!A84="","","SV"&amp;TEXT(477-3,"0000")&amp;"-"&amp;TEXT(TODAY(),"YYYYMMDD"))</f>
        <v/>
      </c>
      <c r="C477" s="40" t="str">
        <f>IF(Agent03_Savings!A84="","",Agent03_Savings!B84)</f>
        <v/>
      </c>
      <c r="D477" s="40" t="str">
        <f>IF(Agent03_Savings!A84="","",Agent03_Savings!G84)</f>
        <v/>
      </c>
      <c r="E477" s="41" t="str">
        <f>IF(Agent03_Savings!A84="","",Agent03_Savings!D84)</f>
        <v/>
      </c>
      <c r="F477" s="42" t="str">
        <f>IF(Agent03_Savings!A84="","",Agent03_Savings!E84)</f>
        <v/>
      </c>
      <c r="G477" s="42" t="str">
        <f>IF(Agent03_Savings!A84="","",Agent03_Savings!F84)</f>
        <v/>
      </c>
      <c r="H477" s="40" t="str">
        <f>IF(Agent03_Savings!A84="","",Agent03_Savings!I84)</f>
        <v/>
      </c>
      <c r="I477" s="40" t="str">
        <f>IF(Agent03_Savings!A84="","",Agent03_Savings!J84)</f>
        <v/>
      </c>
      <c r="J477" s="40" t="str">
        <f>IF(Agent03_Savings!A84="","",Agent03_Savings!K84)</f>
        <v/>
      </c>
      <c r="K477" s="40" t="str">
        <f>IFERROR(IF(Agent03_Savings!A84="","",YEAR(Agent03_Savings!D84)),"")</f>
        <v/>
      </c>
    </row>
    <row r="478" spans="1:11" ht="18" customHeight="1" x14ac:dyDescent="0.25">
      <c r="A478" s="40" t="str">
        <f>IF(Agent03_Savings!A85="","",Agent03_Savings!A85)</f>
        <v/>
      </c>
      <c r="B478" s="40" t="str">
        <f ca="1">IF(Agent03_Savings!A85="","","SV"&amp;TEXT(478-3,"0000")&amp;"-"&amp;TEXT(TODAY(),"YYYYMMDD"))</f>
        <v/>
      </c>
      <c r="C478" s="40" t="str">
        <f>IF(Agent03_Savings!A85="","",Agent03_Savings!B85)</f>
        <v/>
      </c>
      <c r="D478" s="40" t="str">
        <f>IF(Agent03_Savings!A85="","",Agent03_Savings!G85)</f>
        <v/>
      </c>
      <c r="E478" s="41" t="str">
        <f>IF(Agent03_Savings!A85="","",Agent03_Savings!D85)</f>
        <v/>
      </c>
      <c r="F478" s="42" t="str">
        <f>IF(Agent03_Savings!A85="","",Agent03_Savings!E85)</f>
        <v/>
      </c>
      <c r="G478" s="42" t="str">
        <f>IF(Agent03_Savings!A85="","",Agent03_Savings!F85)</f>
        <v/>
      </c>
      <c r="H478" s="40" t="str">
        <f>IF(Agent03_Savings!A85="","",Agent03_Savings!I85)</f>
        <v/>
      </c>
      <c r="I478" s="40" t="str">
        <f>IF(Agent03_Savings!A85="","",Agent03_Savings!J85)</f>
        <v/>
      </c>
      <c r="J478" s="40" t="str">
        <f>IF(Agent03_Savings!A85="","",Agent03_Savings!K85)</f>
        <v/>
      </c>
      <c r="K478" s="40" t="str">
        <f>IFERROR(IF(Agent03_Savings!A85="","",YEAR(Agent03_Savings!D85)),"")</f>
        <v/>
      </c>
    </row>
    <row r="479" spans="1:11" ht="18" customHeight="1" x14ac:dyDescent="0.25">
      <c r="A479" s="40" t="str">
        <f>IF(Agent03_Savings!A86="","",Agent03_Savings!A86)</f>
        <v/>
      </c>
      <c r="B479" s="40" t="str">
        <f ca="1">IF(Agent03_Savings!A86="","","SV"&amp;TEXT(479-3,"0000")&amp;"-"&amp;TEXT(TODAY(),"YYYYMMDD"))</f>
        <v/>
      </c>
      <c r="C479" s="40" t="str">
        <f>IF(Agent03_Savings!A86="","",Agent03_Savings!B86)</f>
        <v/>
      </c>
      <c r="D479" s="40" t="str">
        <f>IF(Agent03_Savings!A86="","",Agent03_Savings!G86)</f>
        <v/>
      </c>
      <c r="E479" s="41" t="str">
        <f>IF(Agent03_Savings!A86="","",Agent03_Savings!D86)</f>
        <v/>
      </c>
      <c r="F479" s="42" t="str">
        <f>IF(Agent03_Savings!A86="","",Agent03_Savings!E86)</f>
        <v/>
      </c>
      <c r="G479" s="42" t="str">
        <f>IF(Agent03_Savings!A86="","",Agent03_Savings!F86)</f>
        <v/>
      </c>
      <c r="H479" s="40" t="str">
        <f>IF(Agent03_Savings!A86="","",Agent03_Savings!I86)</f>
        <v/>
      </c>
      <c r="I479" s="40" t="str">
        <f>IF(Agent03_Savings!A86="","",Agent03_Savings!J86)</f>
        <v/>
      </c>
      <c r="J479" s="40" t="str">
        <f>IF(Agent03_Savings!A86="","",Agent03_Savings!K86)</f>
        <v/>
      </c>
      <c r="K479" s="40" t="str">
        <f>IFERROR(IF(Agent03_Savings!A86="","",YEAR(Agent03_Savings!D86)),"")</f>
        <v/>
      </c>
    </row>
    <row r="480" spans="1:11" ht="18" customHeight="1" x14ac:dyDescent="0.25">
      <c r="A480" s="40" t="str">
        <f>IF(Agent03_Savings!A87="","",Agent03_Savings!A87)</f>
        <v/>
      </c>
      <c r="B480" s="40" t="str">
        <f ca="1">IF(Agent03_Savings!A87="","","SV"&amp;TEXT(480-3,"0000")&amp;"-"&amp;TEXT(TODAY(),"YYYYMMDD"))</f>
        <v/>
      </c>
      <c r="C480" s="40" t="str">
        <f>IF(Agent03_Savings!A87="","",Agent03_Savings!B87)</f>
        <v/>
      </c>
      <c r="D480" s="40" t="str">
        <f>IF(Agent03_Savings!A87="","",Agent03_Savings!G87)</f>
        <v/>
      </c>
      <c r="E480" s="41" t="str">
        <f>IF(Agent03_Savings!A87="","",Agent03_Savings!D87)</f>
        <v/>
      </c>
      <c r="F480" s="42" t="str">
        <f>IF(Agent03_Savings!A87="","",Agent03_Savings!E87)</f>
        <v/>
      </c>
      <c r="G480" s="42" t="str">
        <f>IF(Agent03_Savings!A87="","",Agent03_Savings!F87)</f>
        <v/>
      </c>
      <c r="H480" s="40" t="str">
        <f>IF(Agent03_Savings!A87="","",Agent03_Savings!I87)</f>
        <v/>
      </c>
      <c r="I480" s="40" t="str">
        <f>IF(Agent03_Savings!A87="","",Agent03_Savings!J87)</f>
        <v/>
      </c>
      <c r="J480" s="40" t="str">
        <f>IF(Agent03_Savings!A87="","",Agent03_Savings!K87)</f>
        <v/>
      </c>
      <c r="K480" s="40" t="str">
        <f>IFERROR(IF(Agent03_Savings!A87="","",YEAR(Agent03_Savings!D87)),"")</f>
        <v/>
      </c>
    </row>
    <row r="481" spans="1:11" ht="18" customHeight="1" x14ac:dyDescent="0.25">
      <c r="A481" s="40" t="str">
        <f>IF(Agent03_Savings!A88="","",Agent03_Savings!A88)</f>
        <v/>
      </c>
      <c r="B481" s="40" t="str">
        <f ca="1">IF(Agent03_Savings!A88="","","SV"&amp;TEXT(481-3,"0000")&amp;"-"&amp;TEXT(TODAY(),"YYYYMMDD"))</f>
        <v/>
      </c>
      <c r="C481" s="40" t="str">
        <f>IF(Agent03_Savings!A88="","",Agent03_Savings!B88)</f>
        <v/>
      </c>
      <c r="D481" s="40" t="str">
        <f>IF(Agent03_Savings!A88="","",Agent03_Savings!G88)</f>
        <v/>
      </c>
      <c r="E481" s="41" t="str">
        <f>IF(Agent03_Savings!A88="","",Agent03_Savings!D88)</f>
        <v/>
      </c>
      <c r="F481" s="42" t="str">
        <f>IF(Agent03_Savings!A88="","",Agent03_Savings!E88)</f>
        <v/>
      </c>
      <c r="G481" s="42" t="str">
        <f>IF(Agent03_Savings!A88="","",Agent03_Savings!F88)</f>
        <v/>
      </c>
      <c r="H481" s="40" t="str">
        <f>IF(Agent03_Savings!A88="","",Agent03_Savings!I88)</f>
        <v/>
      </c>
      <c r="I481" s="40" t="str">
        <f>IF(Agent03_Savings!A88="","",Agent03_Savings!J88)</f>
        <v/>
      </c>
      <c r="J481" s="40" t="str">
        <f>IF(Agent03_Savings!A88="","",Agent03_Savings!K88)</f>
        <v/>
      </c>
      <c r="K481" s="40" t="str">
        <f>IFERROR(IF(Agent03_Savings!A88="","",YEAR(Agent03_Savings!D88)),"")</f>
        <v/>
      </c>
    </row>
    <row r="482" spans="1:11" ht="18" customHeight="1" x14ac:dyDescent="0.25">
      <c r="A482" s="40" t="str">
        <f>IF(Agent03_Savings!A89="","",Agent03_Savings!A89)</f>
        <v/>
      </c>
      <c r="B482" s="40" t="str">
        <f ca="1">IF(Agent03_Savings!A89="","","SV"&amp;TEXT(482-3,"0000")&amp;"-"&amp;TEXT(TODAY(),"YYYYMMDD"))</f>
        <v/>
      </c>
      <c r="C482" s="40" t="str">
        <f>IF(Agent03_Savings!A89="","",Agent03_Savings!B89)</f>
        <v/>
      </c>
      <c r="D482" s="40" t="str">
        <f>IF(Agent03_Savings!A89="","",Agent03_Savings!G89)</f>
        <v/>
      </c>
      <c r="E482" s="41" t="str">
        <f>IF(Agent03_Savings!A89="","",Agent03_Savings!D89)</f>
        <v/>
      </c>
      <c r="F482" s="42" t="str">
        <f>IF(Agent03_Savings!A89="","",Agent03_Savings!E89)</f>
        <v/>
      </c>
      <c r="G482" s="42" t="str">
        <f>IF(Agent03_Savings!A89="","",Agent03_Savings!F89)</f>
        <v/>
      </c>
      <c r="H482" s="40" t="str">
        <f>IF(Agent03_Savings!A89="","",Agent03_Savings!I89)</f>
        <v/>
      </c>
      <c r="I482" s="40" t="str">
        <f>IF(Agent03_Savings!A89="","",Agent03_Savings!J89)</f>
        <v/>
      </c>
      <c r="J482" s="40" t="str">
        <f>IF(Agent03_Savings!A89="","",Agent03_Savings!K89)</f>
        <v/>
      </c>
      <c r="K482" s="40" t="str">
        <f>IFERROR(IF(Agent03_Savings!A89="","",YEAR(Agent03_Savings!D89)),"")</f>
        <v/>
      </c>
    </row>
    <row r="483" spans="1:11" ht="18" customHeight="1" x14ac:dyDescent="0.25">
      <c r="A483" s="40" t="str">
        <f>IF(Agent03_Savings!A90="","",Agent03_Savings!A90)</f>
        <v/>
      </c>
      <c r="B483" s="40" t="str">
        <f ca="1">IF(Agent03_Savings!A90="","","SV"&amp;TEXT(483-3,"0000")&amp;"-"&amp;TEXT(TODAY(),"YYYYMMDD"))</f>
        <v/>
      </c>
      <c r="C483" s="40" t="str">
        <f>IF(Agent03_Savings!A90="","",Agent03_Savings!B90)</f>
        <v/>
      </c>
      <c r="D483" s="40" t="str">
        <f>IF(Agent03_Savings!A90="","",Agent03_Savings!G90)</f>
        <v/>
      </c>
      <c r="E483" s="41" t="str">
        <f>IF(Agent03_Savings!A90="","",Agent03_Savings!D90)</f>
        <v/>
      </c>
      <c r="F483" s="42" t="str">
        <f>IF(Agent03_Savings!A90="","",Agent03_Savings!E90)</f>
        <v/>
      </c>
      <c r="G483" s="42" t="str">
        <f>IF(Agent03_Savings!A90="","",Agent03_Savings!F90)</f>
        <v/>
      </c>
      <c r="H483" s="40" t="str">
        <f>IF(Agent03_Savings!A90="","",Agent03_Savings!I90)</f>
        <v/>
      </c>
      <c r="I483" s="40" t="str">
        <f>IF(Agent03_Savings!A90="","",Agent03_Savings!J90)</f>
        <v/>
      </c>
      <c r="J483" s="40" t="str">
        <f>IF(Agent03_Savings!A90="","",Agent03_Savings!K90)</f>
        <v/>
      </c>
      <c r="K483" s="40" t="str">
        <f>IFERROR(IF(Agent03_Savings!A90="","",YEAR(Agent03_Savings!D90)),"")</f>
        <v/>
      </c>
    </row>
    <row r="484" spans="1:11" ht="18" customHeight="1" x14ac:dyDescent="0.25">
      <c r="A484" s="40" t="str">
        <f>IF(Agent03_Savings!A91="","",Agent03_Savings!A91)</f>
        <v/>
      </c>
      <c r="B484" s="40" t="str">
        <f ca="1">IF(Agent03_Savings!A91="","","SV"&amp;TEXT(484-3,"0000")&amp;"-"&amp;TEXT(TODAY(),"YYYYMMDD"))</f>
        <v/>
      </c>
      <c r="C484" s="40" t="str">
        <f>IF(Agent03_Savings!A91="","",Agent03_Savings!B91)</f>
        <v/>
      </c>
      <c r="D484" s="40" t="str">
        <f>IF(Agent03_Savings!A91="","",Agent03_Savings!G91)</f>
        <v/>
      </c>
      <c r="E484" s="41" t="str">
        <f>IF(Agent03_Savings!A91="","",Agent03_Savings!D91)</f>
        <v/>
      </c>
      <c r="F484" s="42" t="str">
        <f>IF(Agent03_Savings!A91="","",Agent03_Savings!E91)</f>
        <v/>
      </c>
      <c r="G484" s="42" t="str">
        <f>IF(Agent03_Savings!A91="","",Agent03_Savings!F91)</f>
        <v/>
      </c>
      <c r="H484" s="40" t="str">
        <f>IF(Agent03_Savings!A91="","",Agent03_Savings!I91)</f>
        <v/>
      </c>
      <c r="I484" s="40" t="str">
        <f>IF(Agent03_Savings!A91="","",Agent03_Savings!J91)</f>
        <v/>
      </c>
      <c r="J484" s="40" t="str">
        <f>IF(Agent03_Savings!A91="","",Agent03_Savings!K91)</f>
        <v/>
      </c>
      <c r="K484" s="40" t="str">
        <f>IFERROR(IF(Agent03_Savings!A91="","",YEAR(Agent03_Savings!D91)),"")</f>
        <v/>
      </c>
    </row>
    <row r="485" spans="1:11" ht="18" customHeight="1" x14ac:dyDescent="0.25">
      <c r="A485" s="40" t="str">
        <f>IF(Agent03_Savings!A92="","",Agent03_Savings!A92)</f>
        <v/>
      </c>
      <c r="B485" s="40" t="str">
        <f ca="1">IF(Agent03_Savings!A92="","","SV"&amp;TEXT(485-3,"0000")&amp;"-"&amp;TEXT(TODAY(),"YYYYMMDD"))</f>
        <v/>
      </c>
      <c r="C485" s="40" t="str">
        <f>IF(Agent03_Savings!A92="","",Agent03_Savings!B92)</f>
        <v/>
      </c>
      <c r="D485" s="40" t="str">
        <f>IF(Agent03_Savings!A92="","",Agent03_Savings!G92)</f>
        <v/>
      </c>
      <c r="E485" s="41" t="str">
        <f>IF(Agent03_Savings!A92="","",Agent03_Savings!D92)</f>
        <v/>
      </c>
      <c r="F485" s="42" t="str">
        <f>IF(Agent03_Savings!A92="","",Agent03_Savings!E92)</f>
        <v/>
      </c>
      <c r="G485" s="42" t="str">
        <f>IF(Agent03_Savings!A92="","",Agent03_Savings!F92)</f>
        <v/>
      </c>
      <c r="H485" s="40" t="str">
        <f>IF(Agent03_Savings!A92="","",Agent03_Savings!I92)</f>
        <v/>
      </c>
      <c r="I485" s="40" t="str">
        <f>IF(Agent03_Savings!A92="","",Agent03_Savings!J92)</f>
        <v/>
      </c>
      <c r="J485" s="40" t="str">
        <f>IF(Agent03_Savings!A92="","",Agent03_Savings!K92)</f>
        <v/>
      </c>
      <c r="K485" s="40" t="str">
        <f>IFERROR(IF(Agent03_Savings!A92="","",YEAR(Agent03_Savings!D92)),"")</f>
        <v/>
      </c>
    </row>
    <row r="486" spans="1:11" ht="18" customHeight="1" x14ac:dyDescent="0.25">
      <c r="A486" s="40" t="str">
        <f>IF(Agent03_Savings!A93="","",Agent03_Savings!A93)</f>
        <v/>
      </c>
      <c r="B486" s="40" t="str">
        <f ca="1">IF(Agent03_Savings!A93="","","SV"&amp;TEXT(486-3,"0000")&amp;"-"&amp;TEXT(TODAY(),"YYYYMMDD"))</f>
        <v/>
      </c>
      <c r="C486" s="40" t="str">
        <f>IF(Agent03_Savings!A93="","",Agent03_Savings!B93)</f>
        <v/>
      </c>
      <c r="D486" s="40" t="str">
        <f>IF(Agent03_Savings!A93="","",Agent03_Savings!G93)</f>
        <v/>
      </c>
      <c r="E486" s="41" t="str">
        <f>IF(Agent03_Savings!A93="","",Agent03_Savings!D93)</f>
        <v/>
      </c>
      <c r="F486" s="42" t="str">
        <f>IF(Agent03_Savings!A93="","",Agent03_Savings!E93)</f>
        <v/>
      </c>
      <c r="G486" s="42" t="str">
        <f>IF(Agent03_Savings!A93="","",Agent03_Savings!F93)</f>
        <v/>
      </c>
      <c r="H486" s="40" t="str">
        <f>IF(Agent03_Savings!A93="","",Agent03_Savings!I93)</f>
        <v/>
      </c>
      <c r="I486" s="40" t="str">
        <f>IF(Agent03_Savings!A93="","",Agent03_Savings!J93)</f>
        <v/>
      </c>
      <c r="J486" s="40" t="str">
        <f>IF(Agent03_Savings!A93="","",Agent03_Savings!K93)</f>
        <v/>
      </c>
      <c r="K486" s="40" t="str">
        <f>IFERROR(IF(Agent03_Savings!A93="","",YEAR(Agent03_Savings!D93)),"")</f>
        <v/>
      </c>
    </row>
    <row r="487" spans="1:11" ht="18" customHeight="1" x14ac:dyDescent="0.25">
      <c r="A487" s="40" t="str">
        <f>IF(Agent03_Savings!A94="","",Agent03_Savings!A94)</f>
        <v/>
      </c>
      <c r="B487" s="40" t="str">
        <f ca="1">IF(Agent03_Savings!A94="","","SV"&amp;TEXT(487-3,"0000")&amp;"-"&amp;TEXT(TODAY(),"YYYYMMDD"))</f>
        <v/>
      </c>
      <c r="C487" s="40" t="str">
        <f>IF(Agent03_Savings!A94="","",Agent03_Savings!B94)</f>
        <v/>
      </c>
      <c r="D487" s="40" t="str">
        <f>IF(Agent03_Savings!A94="","",Agent03_Savings!G94)</f>
        <v/>
      </c>
      <c r="E487" s="41" t="str">
        <f>IF(Agent03_Savings!A94="","",Agent03_Savings!D94)</f>
        <v/>
      </c>
      <c r="F487" s="42" t="str">
        <f>IF(Agent03_Savings!A94="","",Agent03_Savings!E94)</f>
        <v/>
      </c>
      <c r="G487" s="42" t="str">
        <f>IF(Agent03_Savings!A94="","",Agent03_Savings!F94)</f>
        <v/>
      </c>
      <c r="H487" s="40" t="str">
        <f>IF(Agent03_Savings!A94="","",Agent03_Savings!I94)</f>
        <v/>
      </c>
      <c r="I487" s="40" t="str">
        <f>IF(Agent03_Savings!A94="","",Agent03_Savings!J94)</f>
        <v/>
      </c>
      <c r="J487" s="40" t="str">
        <f>IF(Agent03_Savings!A94="","",Agent03_Savings!K94)</f>
        <v/>
      </c>
      <c r="K487" s="40" t="str">
        <f>IFERROR(IF(Agent03_Savings!A94="","",YEAR(Agent03_Savings!D94)),"")</f>
        <v/>
      </c>
    </row>
    <row r="488" spans="1:11" ht="18" customHeight="1" x14ac:dyDescent="0.25">
      <c r="A488" s="40" t="str">
        <f>IF(Agent03_Savings!A95="","",Agent03_Savings!A95)</f>
        <v/>
      </c>
      <c r="B488" s="40" t="str">
        <f ca="1">IF(Agent03_Savings!A95="","","SV"&amp;TEXT(488-3,"0000")&amp;"-"&amp;TEXT(TODAY(),"YYYYMMDD"))</f>
        <v/>
      </c>
      <c r="C488" s="40" t="str">
        <f>IF(Agent03_Savings!A95="","",Agent03_Savings!B95)</f>
        <v/>
      </c>
      <c r="D488" s="40" t="str">
        <f>IF(Agent03_Savings!A95="","",Agent03_Savings!G95)</f>
        <v/>
      </c>
      <c r="E488" s="41" t="str">
        <f>IF(Agent03_Savings!A95="","",Agent03_Savings!D95)</f>
        <v/>
      </c>
      <c r="F488" s="42" t="str">
        <f>IF(Agent03_Savings!A95="","",Agent03_Savings!E95)</f>
        <v/>
      </c>
      <c r="G488" s="42" t="str">
        <f>IF(Agent03_Savings!A95="","",Agent03_Savings!F95)</f>
        <v/>
      </c>
      <c r="H488" s="40" t="str">
        <f>IF(Agent03_Savings!A95="","",Agent03_Savings!I95)</f>
        <v/>
      </c>
      <c r="I488" s="40" t="str">
        <f>IF(Agent03_Savings!A95="","",Agent03_Savings!J95)</f>
        <v/>
      </c>
      <c r="J488" s="40" t="str">
        <f>IF(Agent03_Savings!A95="","",Agent03_Savings!K95)</f>
        <v/>
      </c>
      <c r="K488" s="40" t="str">
        <f>IFERROR(IF(Agent03_Savings!A95="","",YEAR(Agent03_Savings!D95)),"")</f>
        <v/>
      </c>
    </row>
    <row r="489" spans="1:11" ht="18" customHeight="1" x14ac:dyDescent="0.25">
      <c r="A489" s="40" t="str">
        <f>IF(Agent03_Savings!A96="","",Agent03_Savings!A96)</f>
        <v/>
      </c>
      <c r="B489" s="40" t="str">
        <f ca="1">IF(Agent03_Savings!A96="","","SV"&amp;TEXT(489-3,"0000")&amp;"-"&amp;TEXT(TODAY(),"YYYYMMDD"))</f>
        <v/>
      </c>
      <c r="C489" s="40" t="str">
        <f>IF(Agent03_Savings!A96="","",Agent03_Savings!B96)</f>
        <v/>
      </c>
      <c r="D489" s="40" t="str">
        <f>IF(Agent03_Savings!A96="","",Agent03_Savings!G96)</f>
        <v/>
      </c>
      <c r="E489" s="41" t="str">
        <f>IF(Agent03_Savings!A96="","",Agent03_Savings!D96)</f>
        <v/>
      </c>
      <c r="F489" s="42" t="str">
        <f>IF(Agent03_Savings!A96="","",Agent03_Savings!E96)</f>
        <v/>
      </c>
      <c r="G489" s="42" t="str">
        <f>IF(Agent03_Savings!A96="","",Agent03_Savings!F96)</f>
        <v/>
      </c>
      <c r="H489" s="40" t="str">
        <f>IF(Agent03_Savings!A96="","",Agent03_Savings!I96)</f>
        <v/>
      </c>
      <c r="I489" s="40" t="str">
        <f>IF(Agent03_Savings!A96="","",Agent03_Savings!J96)</f>
        <v/>
      </c>
      <c r="J489" s="40" t="str">
        <f>IF(Agent03_Savings!A96="","",Agent03_Savings!K96)</f>
        <v/>
      </c>
      <c r="K489" s="40" t="str">
        <f>IFERROR(IF(Agent03_Savings!A96="","",YEAR(Agent03_Savings!D96)),"")</f>
        <v/>
      </c>
    </row>
    <row r="490" spans="1:11" ht="18" customHeight="1" x14ac:dyDescent="0.25">
      <c r="A490" s="40" t="str">
        <f>IF(Agent03_Savings!A97="","",Agent03_Savings!A97)</f>
        <v/>
      </c>
      <c r="B490" s="40" t="str">
        <f ca="1">IF(Agent03_Savings!A97="","","SV"&amp;TEXT(490-3,"0000")&amp;"-"&amp;TEXT(TODAY(),"YYYYMMDD"))</f>
        <v/>
      </c>
      <c r="C490" s="40" t="str">
        <f>IF(Agent03_Savings!A97="","",Agent03_Savings!B97)</f>
        <v/>
      </c>
      <c r="D490" s="40" t="str">
        <f>IF(Agent03_Savings!A97="","",Agent03_Savings!G97)</f>
        <v/>
      </c>
      <c r="E490" s="41" t="str">
        <f>IF(Agent03_Savings!A97="","",Agent03_Savings!D97)</f>
        <v/>
      </c>
      <c r="F490" s="42" t="str">
        <f>IF(Agent03_Savings!A97="","",Agent03_Savings!E97)</f>
        <v/>
      </c>
      <c r="G490" s="42" t="str">
        <f>IF(Agent03_Savings!A97="","",Agent03_Savings!F97)</f>
        <v/>
      </c>
      <c r="H490" s="40" t="str">
        <f>IF(Agent03_Savings!A97="","",Agent03_Savings!I97)</f>
        <v/>
      </c>
      <c r="I490" s="40" t="str">
        <f>IF(Agent03_Savings!A97="","",Agent03_Savings!J97)</f>
        <v/>
      </c>
      <c r="J490" s="40" t="str">
        <f>IF(Agent03_Savings!A97="","",Agent03_Savings!K97)</f>
        <v/>
      </c>
      <c r="K490" s="40" t="str">
        <f>IFERROR(IF(Agent03_Savings!A97="","",YEAR(Agent03_Savings!D97)),"")</f>
        <v/>
      </c>
    </row>
    <row r="491" spans="1:11" ht="18" customHeight="1" x14ac:dyDescent="0.25">
      <c r="A491" s="40" t="str">
        <f>IF(Agent03_Savings!A98="","",Agent03_Savings!A98)</f>
        <v/>
      </c>
      <c r="B491" s="40" t="str">
        <f ca="1">IF(Agent03_Savings!A98="","","SV"&amp;TEXT(491-3,"0000")&amp;"-"&amp;TEXT(TODAY(),"YYYYMMDD"))</f>
        <v/>
      </c>
      <c r="C491" s="40" t="str">
        <f>IF(Agent03_Savings!A98="","",Agent03_Savings!B98)</f>
        <v/>
      </c>
      <c r="D491" s="40" t="str">
        <f>IF(Agent03_Savings!A98="","",Agent03_Savings!G98)</f>
        <v/>
      </c>
      <c r="E491" s="41" t="str">
        <f>IF(Agent03_Savings!A98="","",Agent03_Savings!D98)</f>
        <v/>
      </c>
      <c r="F491" s="42" t="str">
        <f>IF(Agent03_Savings!A98="","",Agent03_Savings!E98)</f>
        <v/>
      </c>
      <c r="G491" s="42" t="str">
        <f>IF(Agent03_Savings!A98="","",Agent03_Savings!F98)</f>
        <v/>
      </c>
      <c r="H491" s="40" t="str">
        <f>IF(Agent03_Savings!A98="","",Agent03_Savings!I98)</f>
        <v/>
      </c>
      <c r="I491" s="40" t="str">
        <f>IF(Agent03_Savings!A98="","",Agent03_Savings!J98)</f>
        <v/>
      </c>
      <c r="J491" s="40" t="str">
        <f>IF(Agent03_Savings!A98="","",Agent03_Savings!K98)</f>
        <v/>
      </c>
      <c r="K491" s="40" t="str">
        <f>IFERROR(IF(Agent03_Savings!A98="","",YEAR(Agent03_Savings!D98)),"")</f>
        <v/>
      </c>
    </row>
    <row r="492" spans="1:11" ht="18" customHeight="1" x14ac:dyDescent="0.25">
      <c r="A492" s="40" t="str">
        <f>IF(Agent03_Savings!A99="","",Agent03_Savings!A99)</f>
        <v/>
      </c>
      <c r="B492" s="40" t="str">
        <f ca="1">IF(Agent03_Savings!A99="","","SV"&amp;TEXT(492-3,"0000")&amp;"-"&amp;TEXT(TODAY(),"YYYYMMDD"))</f>
        <v/>
      </c>
      <c r="C492" s="40" t="str">
        <f>IF(Agent03_Savings!A99="","",Agent03_Savings!B99)</f>
        <v/>
      </c>
      <c r="D492" s="40" t="str">
        <f>IF(Agent03_Savings!A99="","",Agent03_Savings!G99)</f>
        <v/>
      </c>
      <c r="E492" s="41" t="str">
        <f>IF(Agent03_Savings!A99="","",Agent03_Savings!D99)</f>
        <v/>
      </c>
      <c r="F492" s="42" t="str">
        <f>IF(Agent03_Savings!A99="","",Agent03_Savings!E99)</f>
        <v/>
      </c>
      <c r="G492" s="42" t="str">
        <f>IF(Agent03_Savings!A99="","",Agent03_Savings!F99)</f>
        <v/>
      </c>
      <c r="H492" s="40" t="str">
        <f>IF(Agent03_Savings!A99="","",Agent03_Savings!I99)</f>
        <v/>
      </c>
      <c r="I492" s="40" t="str">
        <f>IF(Agent03_Savings!A99="","",Agent03_Savings!J99)</f>
        <v/>
      </c>
      <c r="J492" s="40" t="str">
        <f>IF(Agent03_Savings!A99="","",Agent03_Savings!K99)</f>
        <v/>
      </c>
      <c r="K492" s="40" t="str">
        <f>IFERROR(IF(Agent03_Savings!A99="","",YEAR(Agent03_Savings!D99)),"")</f>
        <v/>
      </c>
    </row>
    <row r="493" spans="1:11" ht="18" customHeight="1" x14ac:dyDescent="0.25">
      <c r="A493" s="40" t="str">
        <f>IF(Agent03_Savings!A100="","",Agent03_Savings!A100)</f>
        <v/>
      </c>
      <c r="B493" s="40" t="str">
        <f ca="1">IF(Agent03_Savings!A100="","","SV"&amp;TEXT(493-3,"0000")&amp;"-"&amp;TEXT(TODAY(),"YYYYMMDD"))</f>
        <v/>
      </c>
      <c r="C493" s="40" t="str">
        <f>IF(Agent03_Savings!A100="","",Agent03_Savings!B100)</f>
        <v/>
      </c>
      <c r="D493" s="40" t="str">
        <f>IF(Agent03_Savings!A100="","",Agent03_Savings!G100)</f>
        <v/>
      </c>
      <c r="E493" s="41" t="str">
        <f>IF(Agent03_Savings!A100="","",Agent03_Savings!D100)</f>
        <v/>
      </c>
      <c r="F493" s="42" t="str">
        <f>IF(Agent03_Savings!A100="","",Agent03_Savings!E100)</f>
        <v/>
      </c>
      <c r="G493" s="42" t="str">
        <f>IF(Agent03_Savings!A100="","",Agent03_Savings!F100)</f>
        <v/>
      </c>
      <c r="H493" s="40" t="str">
        <f>IF(Agent03_Savings!A100="","",Agent03_Savings!I100)</f>
        <v/>
      </c>
      <c r="I493" s="40" t="str">
        <f>IF(Agent03_Savings!A100="","",Agent03_Savings!J100)</f>
        <v/>
      </c>
      <c r="J493" s="40" t="str">
        <f>IF(Agent03_Savings!A100="","",Agent03_Savings!K100)</f>
        <v/>
      </c>
      <c r="K493" s="40" t="str">
        <f>IFERROR(IF(Agent03_Savings!A100="","",YEAR(Agent03_Savings!D100)),"")</f>
        <v/>
      </c>
    </row>
    <row r="494" spans="1:11" ht="18" customHeight="1" x14ac:dyDescent="0.25">
      <c r="A494" s="40" t="str">
        <f>IF(Agent03_Savings!A101="","",Agent03_Savings!A101)</f>
        <v/>
      </c>
      <c r="B494" s="40" t="str">
        <f ca="1">IF(Agent03_Savings!A101="","","SV"&amp;TEXT(494-3,"0000")&amp;"-"&amp;TEXT(TODAY(),"YYYYMMDD"))</f>
        <v/>
      </c>
      <c r="C494" s="40" t="str">
        <f>IF(Agent03_Savings!A101="","",Agent03_Savings!B101)</f>
        <v/>
      </c>
      <c r="D494" s="40" t="str">
        <f>IF(Agent03_Savings!A101="","",Agent03_Savings!G101)</f>
        <v/>
      </c>
      <c r="E494" s="41" t="str">
        <f>IF(Agent03_Savings!A101="","",Agent03_Savings!D101)</f>
        <v/>
      </c>
      <c r="F494" s="42" t="str">
        <f>IF(Agent03_Savings!A101="","",Agent03_Savings!E101)</f>
        <v/>
      </c>
      <c r="G494" s="42" t="str">
        <f>IF(Agent03_Savings!A101="","",Agent03_Savings!F101)</f>
        <v/>
      </c>
      <c r="H494" s="40" t="str">
        <f>IF(Agent03_Savings!A101="","",Agent03_Savings!I101)</f>
        <v/>
      </c>
      <c r="I494" s="40" t="str">
        <f>IF(Agent03_Savings!A101="","",Agent03_Savings!J101)</f>
        <v/>
      </c>
      <c r="J494" s="40" t="str">
        <f>IF(Agent03_Savings!A101="","",Agent03_Savings!K101)</f>
        <v/>
      </c>
      <c r="K494" s="40" t="str">
        <f>IFERROR(IF(Agent03_Savings!A101="","",YEAR(Agent03_Savings!D101)),"")</f>
        <v/>
      </c>
    </row>
    <row r="495" spans="1:11" ht="18" customHeight="1" x14ac:dyDescent="0.25">
      <c r="A495" s="40" t="str">
        <f>IF(Agent03_Savings!A102="","",Agent03_Savings!A102)</f>
        <v/>
      </c>
      <c r="B495" s="40" t="str">
        <f ca="1">IF(Agent03_Savings!A102="","","SV"&amp;TEXT(495-3,"0000")&amp;"-"&amp;TEXT(TODAY(),"YYYYMMDD"))</f>
        <v/>
      </c>
      <c r="C495" s="40" t="str">
        <f>IF(Agent03_Savings!A102="","",Agent03_Savings!B102)</f>
        <v/>
      </c>
      <c r="D495" s="40" t="str">
        <f>IF(Agent03_Savings!A102="","",Agent03_Savings!G102)</f>
        <v/>
      </c>
      <c r="E495" s="41" t="str">
        <f>IF(Agent03_Savings!A102="","",Agent03_Savings!D102)</f>
        <v/>
      </c>
      <c r="F495" s="42" t="str">
        <f>IF(Agent03_Savings!A102="","",Agent03_Savings!E102)</f>
        <v/>
      </c>
      <c r="G495" s="42" t="str">
        <f>IF(Agent03_Savings!A102="","",Agent03_Savings!F102)</f>
        <v/>
      </c>
      <c r="H495" s="40" t="str">
        <f>IF(Agent03_Savings!A102="","",Agent03_Savings!I102)</f>
        <v/>
      </c>
      <c r="I495" s="40" t="str">
        <f>IF(Agent03_Savings!A102="","",Agent03_Savings!J102)</f>
        <v/>
      </c>
      <c r="J495" s="40" t="str">
        <f>IF(Agent03_Savings!A102="","",Agent03_Savings!K102)</f>
        <v/>
      </c>
      <c r="K495" s="40" t="str">
        <f>IFERROR(IF(Agent03_Savings!A102="","",YEAR(Agent03_Savings!D102)),"")</f>
        <v/>
      </c>
    </row>
    <row r="496" spans="1:11" ht="18" customHeight="1" x14ac:dyDescent="0.25">
      <c r="A496" s="40" t="str">
        <f>IF(Agent03_Savings!A103="","",Agent03_Savings!A103)</f>
        <v/>
      </c>
      <c r="B496" s="40" t="str">
        <f ca="1">IF(Agent03_Savings!A103="","","SV"&amp;TEXT(496-3,"0000")&amp;"-"&amp;TEXT(TODAY(),"YYYYMMDD"))</f>
        <v/>
      </c>
      <c r="C496" s="40" t="str">
        <f>IF(Agent03_Savings!A103="","",Agent03_Savings!B103)</f>
        <v/>
      </c>
      <c r="D496" s="40" t="str">
        <f>IF(Agent03_Savings!A103="","",Agent03_Savings!G103)</f>
        <v/>
      </c>
      <c r="E496" s="41" t="str">
        <f>IF(Agent03_Savings!A103="","",Agent03_Savings!D103)</f>
        <v/>
      </c>
      <c r="F496" s="42" t="str">
        <f>IF(Agent03_Savings!A103="","",Agent03_Savings!E103)</f>
        <v/>
      </c>
      <c r="G496" s="42" t="str">
        <f>IF(Agent03_Savings!A103="","",Agent03_Savings!F103)</f>
        <v/>
      </c>
      <c r="H496" s="40" t="str">
        <f>IF(Agent03_Savings!A103="","",Agent03_Savings!I103)</f>
        <v/>
      </c>
      <c r="I496" s="40" t="str">
        <f>IF(Agent03_Savings!A103="","",Agent03_Savings!J103)</f>
        <v/>
      </c>
      <c r="J496" s="40" t="str">
        <f>IF(Agent03_Savings!A103="","",Agent03_Savings!K103)</f>
        <v/>
      </c>
      <c r="K496" s="40" t="str">
        <f>IFERROR(IF(Agent03_Savings!A103="","",YEAR(Agent03_Savings!D103)),"")</f>
        <v/>
      </c>
    </row>
    <row r="497" spans="1:11" ht="18" customHeight="1" x14ac:dyDescent="0.25">
      <c r="A497" s="40" t="str">
        <f>IF(Agent03_Savings!A104="","",Agent03_Savings!A104)</f>
        <v/>
      </c>
      <c r="B497" s="40" t="str">
        <f ca="1">IF(Agent03_Savings!A104="","","SV"&amp;TEXT(497-3,"0000")&amp;"-"&amp;TEXT(TODAY(),"YYYYMMDD"))</f>
        <v/>
      </c>
      <c r="C497" s="40" t="str">
        <f>IF(Agent03_Savings!A104="","",Agent03_Savings!B104)</f>
        <v/>
      </c>
      <c r="D497" s="40" t="str">
        <f>IF(Agent03_Savings!A104="","",Agent03_Savings!G104)</f>
        <v/>
      </c>
      <c r="E497" s="41" t="str">
        <f>IF(Agent03_Savings!A104="","",Agent03_Savings!D104)</f>
        <v/>
      </c>
      <c r="F497" s="42" t="str">
        <f>IF(Agent03_Savings!A104="","",Agent03_Savings!E104)</f>
        <v/>
      </c>
      <c r="G497" s="42" t="str">
        <f>IF(Agent03_Savings!A104="","",Agent03_Savings!F104)</f>
        <v/>
      </c>
      <c r="H497" s="40" t="str">
        <f>IF(Agent03_Savings!A104="","",Agent03_Savings!I104)</f>
        <v/>
      </c>
      <c r="I497" s="40" t="str">
        <f>IF(Agent03_Savings!A104="","",Agent03_Savings!J104)</f>
        <v/>
      </c>
      <c r="J497" s="40" t="str">
        <f>IF(Agent03_Savings!A104="","",Agent03_Savings!K104)</f>
        <v/>
      </c>
      <c r="K497" s="40" t="str">
        <f>IFERROR(IF(Agent03_Savings!A104="","",YEAR(Agent03_Savings!D104)),"")</f>
        <v/>
      </c>
    </row>
    <row r="498" spans="1:11" ht="18" customHeight="1" x14ac:dyDescent="0.25">
      <c r="A498" s="40" t="str">
        <f>IF(Agent03_Savings!A105="","",Agent03_Savings!A105)</f>
        <v/>
      </c>
      <c r="B498" s="40" t="str">
        <f ca="1">IF(Agent03_Savings!A105="","","SV"&amp;TEXT(498-3,"0000")&amp;"-"&amp;TEXT(TODAY(),"YYYYMMDD"))</f>
        <v/>
      </c>
      <c r="C498" s="40" t="str">
        <f>IF(Agent03_Savings!A105="","",Agent03_Savings!B105)</f>
        <v/>
      </c>
      <c r="D498" s="40" t="str">
        <f>IF(Agent03_Savings!A105="","",Agent03_Savings!G105)</f>
        <v/>
      </c>
      <c r="E498" s="41" t="str">
        <f>IF(Agent03_Savings!A105="","",Agent03_Savings!D105)</f>
        <v/>
      </c>
      <c r="F498" s="42" t="str">
        <f>IF(Agent03_Savings!A105="","",Agent03_Savings!E105)</f>
        <v/>
      </c>
      <c r="G498" s="42" t="str">
        <f>IF(Agent03_Savings!A105="","",Agent03_Savings!F105)</f>
        <v/>
      </c>
      <c r="H498" s="40" t="str">
        <f>IF(Agent03_Savings!A105="","",Agent03_Savings!I105)</f>
        <v/>
      </c>
      <c r="I498" s="40" t="str">
        <f>IF(Agent03_Savings!A105="","",Agent03_Savings!J105)</f>
        <v/>
      </c>
      <c r="J498" s="40" t="str">
        <f>IF(Agent03_Savings!A105="","",Agent03_Savings!K105)</f>
        <v/>
      </c>
      <c r="K498" s="40" t="str">
        <f>IFERROR(IF(Agent03_Savings!A105="","",YEAR(Agent03_Savings!D105)),"")</f>
        <v/>
      </c>
    </row>
    <row r="499" spans="1:11" ht="18" customHeight="1" x14ac:dyDescent="0.25">
      <c r="A499" s="40" t="str">
        <f>IF(Agent03_Savings!A106="","",Agent03_Savings!A106)</f>
        <v/>
      </c>
      <c r="B499" s="40" t="str">
        <f ca="1">IF(Agent03_Savings!A106="","","SV"&amp;TEXT(499-3,"0000")&amp;"-"&amp;TEXT(TODAY(),"YYYYMMDD"))</f>
        <v/>
      </c>
      <c r="C499" s="40" t="str">
        <f>IF(Agent03_Savings!A106="","",Agent03_Savings!B106)</f>
        <v/>
      </c>
      <c r="D499" s="40" t="str">
        <f>IF(Agent03_Savings!A106="","",Agent03_Savings!G106)</f>
        <v/>
      </c>
      <c r="E499" s="41" t="str">
        <f>IF(Agent03_Savings!A106="","",Agent03_Savings!D106)</f>
        <v/>
      </c>
      <c r="F499" s="42" t="str">
        <f>IF(Agent03_Savings!A106="","",Agent03_Savings!E106)</f>
        <v/>
      </c>
      <c r="G499" s="42" t="str">
        <f>IF(Agent03_Savings!A106="","",Agent03_Savings!F106)</f>
        <v/>
      </c>
      <c r="H499" s="40" t="str">
        <f>IF(Agent03_Savings!A106="","",Agent03_Savings!I106)</f>
        <v/>
      </c>
      <c r="I499" s="40" t="str">
        <f>IF(Agent03_Savings!A106="","",Agent03_Savings!J106)</f>
        <v/>
      </c>
      <c r="J499" s="40" t="str">
        <f>IF(Agent03_Savings!A106="","",Agent03_Savings!K106)</f>
        <v/>
      </c>
      <c r="K499" s="40" t="str">
        <f>IFERROR(IF(Agent03_Savings!A106="","",YEAR(Agent03_Savings!D106)),"")</f>
        <v/>
      </c>
    </row>
    <row r="500" spans="1:11" ht="18" customHeight="1" x14ac:dyDescent="0.25">
      <c r="A500" s="40" t="str">
        <f>IF(Agent03_Savings!A107="","",Agent03_Savings!A107)</f>
        <v/>
      </c>
      <c r="B500" s="40" t="str">
        <f ca="1">IF(Agent03_Savings!A107="","","SV"&amp;TEXT(500-3,"0000")&amp;"-"&amp;TEXT(TODAY(),"YYYYMMDD"))</f>
        <v/>
      </c>
      <c r="C500" s="40" t="str">
        <f>IF(Agent03_Savings!A107="","",Agent03_Savings!B107)</f>
        <v/>
      </c>
      <c r="D500" s="40" t="str">
        <f>IF(Agent03_Savings!A107="","",Agent03_Savings!G107)</f>
        <v/>
      </c>
      <c r="E500" s="41" t="str">
        <f>IF(Agent03_Savings!A107="","",Agent03_Savings!D107)</f>
        <v/>
      </c>
      <c r="F500" s="42" t="str">
        <f>IF(Agent03_Savings!A107="","",Agent03_Savings!E107)</f>
        <v/>
      </c>
      <c r="G500" s="42" t="str">
        <f>IF(Agent03_Savings!A107="","",Agent03_Savings!F107)</f>
        <v/>
      </c>
      <c r="H500" s="40" t="str">
        <f>IF(Agent03_Savings!A107="","",Agent03_Savings!I107)</f>
        <v/>
      </c>
      <c r="I500" s="40" t="str">
        <f>IF(Agent03_Savings!A107="","",Agent03_Savings!J107)</f>
        <v/>
      </c>
      <c r="J500" s="40" t="str">
        <f>IF(Agent03_Savings!A107="","",Agent03_Savings!K107)</f>
        <v/>
      </c>
      <c r="K500" s="40" t="str">
        <f>IFERROR(IF(Agent03_Savings!A107="","",YEAR(Agent03_Savings!D107)),"")</f>
        <v/>
      </c>
    </row>
    <row r="501" spans="1:11" ht="18" customHeight="1" x14ac:dyDescent="0.25">
      <c r="A501" s="40" t="str">
        <f>IF(Agent03_Savings!A108="","",Agent03_Savings!A108)</f>
        <v/>
      </c>
      <c r="B501" s="40" t="str">
        <f ca="1">IF(Agent03_Savings!A108="","","SV"&amp;TEXT(501-3,"0000")&amp;"-"&amp;TEXT(TODAY(),"YYYYMMDD"))</f>
        <v/>
      </c>
      <c r="C501" s="40" t="str">
        <f>IF(Agent03_Savings!A108="","",Agent03_Savings!B108)</f>
        <v/>
      </c>
      <c r="D501" s="40" t="str">
        <f>IF(Agent03_Savings!A108="","",Agent03_Savings!G108)</f>
        <v/>
      </c>
      <c r="E501" s="41" t="str">
        <f>IF(Agent03_Savings!A108="","",Agent03_Savings!D108)</f>
        <v/>
      </c>
      <c r="F501" s="42" t="str">
        <f>IF(Agent03_Savings!A108="","",Agent03_Savings!E108)</f>
        <v/>
      </c>
      <c r="G501" s="42" t="str">
        <f>IF(Agent03_Savings!A108="","",Agent03_Savings!F108)</f>
        <v/>
      </c>
      <c r="H501" s="40" t="str">
        <f>IF(Agent03_Savings!A108="","",Agent03_Savings!I108)</f>
        <v/>
      </c>
      <c r="I501" s="40" t="str">
        <f>IF(Agent03_Savings!A108="","",Agent03_Savings!J108)</f>
        <v/>
      </c>
      <c r="J501" s="40" t="str">
        <f>IF(Agent03_Savings!A108="","",Agent03_Savings!K108)</f>
        <v/>
      </c>
      <c r="K501" s="40" t="str">
        <f>IFERROR(IF(Agent03_Savings!A108="","",YEAR(Agent03_Savings!D108)),"")</f>
        <v/>
      </c>
    </row>
    <row r="502" spans="1:11" ht="18" customHeight="1" x14ac:dyDescent="0.25">
      <c r="A502" s="40" t="str">
        <f>IF(Agent03_Savings!A109="","",Agent03_Savings!A109)</f>
        <v/>
      </c>
      <c r="B502" s="40" t="str">
        <f ca="1">IF(Agent03_Savings!A109="","","SV"&amp;TEXT(502-3,"0000")&amp;"-"&amp;TEXT(TODAY(),"YYYYMMDD"))</f>
        <v/>
      </c>
      <c r="C502" s="40" t="str">
        <f>IF(Agent03_Savings!A109="","",Agent03_Savings!B109)</f>
        <v/>
      </c>
      <c r="D502" s="40" t="str">
        <f>IF(Agent03_Savings!A109="","",Agent03_Savings!G109)</f>
        <v/>
      </c>
      <c r="E502" s="41" t="str">
        <f>IF(Agent03_Savings!A109="","",Agent03_Savings!D109)</f>
        <v/>
      </c>
      <c r="F502" s="42" t="str">
        <f>IF(Agent03_Savings!A109="","",Agent03_Savings!E109)</f>
        <v/>
      </c>
      <c r="G502" s="42" t="str">
        <f>IF(Agent03_Savings!A109="","",Agent03_Savings!F109)</f>
        <v/>
      </c>
      <c r="H502" s="40" t="str">
        <f>IF(Agent03_Savings!A109="","",Agent03_Savings!I109)</f>
        <v/>
      </c>
      <c r="I502" s="40" t="str">
        <f>IF(Agent03_Savings!A109="","",Agent03_Savings!J109)</f>
        <v/>
      </c>
      <c r="J502" s="40" t="str">
        <f>IF(Agent03_Savings!A109="","",Agent03_Savings!K109)</f>
        <v/>
      </c>
      <c r="K502" s="40" t="str">
        <f>IFERROR(IF(Agent03_Savings!A109="","",YEAR(Agent03_Savings!D109)),"")</f>
        <v/>
      </c>
    </row>
    <row r="503" spans="1:11" ht="18" customHeight="1" x14ac:dyDescent="0.25">
      <c r="A503" s="40" t="str">
        <f>IF(Agent03_Savings!A110="","",Agent03_Savings!A110)</f>
        <v/>
      </c>
      <c r="B503" s="40" t="str">
        <f ca="1">IF(Agent03_Savings!A110="","","SV"&amp;TEXT(503-3,"0000")&amp;"-"&amp;TEXT(TODAY(),"YYYYMMDD"))</f>
        <v/>
      </c>
      <c r="C503" s="40" t="str">
        <f>IF(Agent03_Savings!A110="","",Agent03_Savings!B110)</f>
        <v/>
      </c>
      <c r="D503" s="40" t="str">
        <f>IF(Agent03_Savings!A110="","",Agent03_Savings!G110)</f>
        <v/>
      </c>
      <c r="E503" s="41" t="str">
        <f>IF(Agent03_Savings!A110="","",Agent03_Savings!D110)</f>
        <v/>
      </c>
      <c r="F503" s="42" t="str">
        <f>IF(Agent03_Savings!A110="","",Agent03_Savings!E110)</f>
        <v/>
      </c>
      <c r="G503" s="42" t="str">
        <f>IF(Agent03_Savings!A110="","",Agent03_Savings!F110)</f>
        <v/>
      </c>
      <c r="H503" s="40" t="str">
        <f>IF(Agent03_Savings!A110="","",Agent03_Savings!I110)</f>
        <v/>
      </c>
      <c r="I503" s="40" t="str">
        <f>IF(Agent03_Savings!A110="","",Agent03_Savings!J110)</f>
        <v/>
      </c>
      <c r="J503" s="40" t="str">
        <f>IF(Agent03_Savings!A110="","",Agent03_Savings!K110)</f>
        <v/>
      </c>
      <c r="K503" s="40" t="str">
        <f>IFERROR(IF(Agent03_Savings!A110="","",YEAR(Agent03_Savings!D110)),"")</f>
        <v/>
      </c>
    </row>
    <row r="504" spans="1:11" ht="18" customHeight="1" x14ac:dyDescent="0.25">
      <c r="A504" s="40" t="str">
        <f>IF(Agent03_Savings!A111="","",Agent03_Savings!A111)</f>
        <v/>
      </c>
      <c r="B504" s="40" t="str">
        <f ca="1">IF(Agent03_Savings!A111="","","SV"&amp;TEXT(504-3,"0000")&amp;"-"&amp;TEXT(TODAY(),"YYYYMMDD"))</f>
        <v/>
      </c>
      <c r="C504" s="40" t="str">
        <f>IF(Agent03_Savings!A111="","",Agent03_Savings!B111)</f>
        <v/>
      </c>
      <c r="D504" s="40" t="str">
        <f>IF(Agent03_Savings!A111="","",Agent03_Savings!G111)</f>
        <v/>
      </c>
      <c r="E504" s="41" t="str">
        <f>IF(Agent03_Savings!A111="","",Agent03_Savings!D111)</f>
        <v/>
      </c>
      <c r="F504" s="42" t="str">
        <f>IF(Agent03_Savings!A111="","",Agent03_Savings!E111)</f>
        <v/>
      </c>
      <c r="G504" s="42" t="str">
        <f>IF(Agent03_Savings!A111="","",Agent03_Savings!F111)</f>
        <v/>
      </c>
      <c r="H504" s="40" t="str">
        <f>IF(Agent03_Savings!A111="","",Agent03_Savings!I111)</f>
        <v/>
      </c>
      <c r="I504" s="40" t="str">
        <f>IF(Agent03_Savings!A111="","",Agent03_Savings!J111)</f>
        <v/>
      </c>
      <c r="J504" s="40" t="str">
        <f>IF(Agent03_Savings!A111="","",Agent03_Savings!K111)</f>
        <v/>
      </c>
      <c r="K504" s="40" t="str">
        <f>IFERROR(IF(Agent03_Savings!A111="","",YEAR(Agent03_Savings!D111)),"")</f>
        <v/>
      </c>
    </row>
    <row r="505" spans="1:11" ht="18" customHeight="1" x14ac:dyDescent="0.25">
      <c r="A505" s="40" t="str">
        <f>IF(Agent03_Savings!A112="","",Agent03_Savings!A112)</f>
        <v/>
      </c>
      <c r="B505" s="40" t="str">
        <f ca="1">IF(Agent03_Savings!A112="","","SV"&amp;TEXT(505-3,"0000")&amp;"-"&amp;TEXT(TODAY(),"YYYYMMDD"))</f>
        <v/>
      </c>
      <c r="C505" s="40" t="str">
        <f>IF(Agent03_Savings!A112="","",Agent03_Savings!B112)</f>
        <v/>
      </c>
      <c r="D505" s="40" t="str">
        <f>IF(Agent03_Savings!A112="","",Agent03_Savings!G112)</f>
        <v/>
      </c>
      <c r="E505" s="41" t="str">
        <f>IF(Agent03_Savings!A112="","",Agent03_Savings!D112)</f>
        <v/>
      </c>
      <c r="F505" s="42" t="str">
        <f>IF(Agent03_Savings!A112="","",Agent03_Savings!E112)</f>
        <v/>
      </c>
      <c r="G505" s="42" t="str">
        <f>IF(Agent03_Savings!A112="","",Agent03_Savings!F112)</f>
        <v/>
      </c>
      <c r="H505" s="40" t="str">
        <f>IF(Agent03_Savings!A112="","",Agent03_Savings!I112)</f>
        <v/>
      </c>
      <c r="I505" s="40" t="str">
        <f>IF(Agent03_Savings!A112="","",Agent03_Savings!J112)</f>
        <v/>
      </c>
      <c r="J505" s="40" t="str">
        <f>IF(Agent03_Savings!A112="","",Agent03_Savings!K112)</f>
        <v/>
      </c>
      <c r="K505" s="40" t="str">
        <f>IFERROR(IF(Agent03_Savings!A112="","",YEAR(Agent03_Savings!D112)),"")</f>
        <v/>
      </c>
    </row>
    <row r="506" spans="1:11" ht="18" customHeight="1" x14ac:dyDescent="0.25">
      <c r="A506" s="40" t="str">
        <f>IF(Agent03_Savings!A113="","",Agent03_Savings!A113)</f>
        <v/>
      </c>
      <c r="B506" s="40" t="str">
        <f ca="1">IF(Agent03_Savings!A113="","","SV"&amp;TEXT(506-3,"0000")&amp;"-"&amp;TEXT(TODAY(),"YYYYMMDD"))</f>
        <v/>
      </c>
      <c r="C506" s="40" t="str">
        <f>IF(Agent03_Savings!A113="","",Agent03_Savings!B113)</f>
        <v/>
      </c>
      <c r="D506" s="40" t="str">
        <f>IF(Agent03_Savings!A113="","",Agent03_Savings!G113)</f>
        <v/>
      </c>
      <c r="E506" s="41" t="str">
        <f>IF(Agent03_Savings!A113="","",Agent03_Savings!D113)</f>
        <v/>
      </c>
      <c r="F506" s="42" t="str">
        <f>IF(Agent03_Savings!A113="","",Agent03_Savings!E113)</f>
        <v/>
      </c>
      <c r="G506" s="42" t="str">
        <f>IF(Agent03_Savings!A113="","",Agent03_Savings!F113)</f>
        <v/>
      </c>
      <c r="H506" s="40" t="str">
        <f>IF(Agent03_Savings!A113="","",Agent03_Savings!I113)</f>
        <v/>
      </c>
      <c r="I506" s="40" t="str">
        <f>IF(Agent03_Savings!A113="","",Agent03_Savings!J113)</f>
        <v/>
      </c>
      <c r="J506" s="40" t="str">
        <f>IF(Agent03_Savings!A113="","",Agent03_Savings!K113)</f>
        <v/>
      </c>
      <c r="K506" s="40" t="str">
        <f>IFERROR(IF(Agent03_Savings!A113="","",YEAR(Agent03_Savings!D113)),"")</f>
        <v/>
      </c>
    </row>
    <row r="507" spans="1:11" ht="18" customHeight="1" x14ac:dyDescent="0.25">
      <c r="A507" s="40" t="str">
        <f>IF(Agent03_Savings!A114="","",Agent03_Savings!A114)</f>
        <v/>
      </c>
      <c r="B507" s="40" t="str">
        <f ca="1">IF(Agent03_Savings!A114="","","SV"&amp;TEXT(507-3,"0000")&amp;"-"&amp;TEXT(TODAY(),"YYYYMMDD"))</f>
        <v/>
      </c>
      <c r="C507" s="40" t="str">
        <f>IF(Agent03_Savings!A114="","",Agent03_Savings!B114)</f>
        <v/>
      </c>
      <c r="D507" s="40" t="str">
        <f>IF(Agent03_Savings!A114="","",Agent03_Savings!G114)</f>
        <v/>
      </c>
      <c r="E507" s="41" t="str">
        <f>IF(Agent03_Savings!A114="","",Agent03_Savings!D114)</f>
        <v/>
      </c>
      <c r="F507" s="42" t="str">
        <f>IF(Agent03_Savings!A114="","",Agent03_Savings!E114)</f>
        <v/>
      </c>
      <c r="G507" s="42" t="str">
        <f>IF(Agent03_Savings!A114="","",Agent03_Savings!F114)</f>
        <v/>
      </c>
      <c r="H507" s="40" t="str">
        <f>IF(Agent03_Savings!A114="","",Agent03_Savings!I114)</f>
        <v/>
      </c>
      <c r="I507" s="40" t="str">
        <f>IF(Agent03_Savings!A114="","",Agent03_Savings!J114)</f>
        <v/>
      </c>
      <c r="J507" s="40" t="str">
        <f>IF(Agent03_Savings!A114="","",Agent03_Savings!K114)</f>
        <v/>
      </c>
      <c r="K507" s="40" t="str">
        <f>IFERROR(IF(Agent03_Savings!A114="","",YEAR(Agent03_Savings!D114)),"")</f>
        <v/>
      </c>
    </row>
    <row r="508" spans="1:11" ht="18" customHeight="1" x14ac:dyDescent="0.25">
      <c r="A508" s="40" t="str">
        <f>IF(Agent03_Savings!A115="","",Agent03_Savings!A115)</f>
        <v/>
      </c>
      <c r="B508" s="40" t="str">
        <f ca="1">IF(Agent03_Savings!A115="","","SV"&amp;TEXT(508-3,"0000")&amp;"-"&amp;TEXT(TODAY(),"YYYYMMDD"))</f>
        <v/>
      </c>
      <c r="C508" s="40" t="str">
        <f>IF(Agent03_Savings!A115="","",Agent03_Savings!B115)</f>
        <v/>
      </c>
      <c r="D508" s="40" t="str">
        <f>IF(Agent03_Savings!A115="","",Agent03_Savings!G115)</f>
        <v/>
      </c>
      <c r="E508" s="41" t="str">
        <f>IF(Agent03_Savings!A115="","",Agent03_Savings!D115)</f>
        <v/>
      </c>
      <c r="F508" s="42" t="str">
        <f>IF(Agent03_Savings!A115="","",Agent03_Savings!E115)</f>
        <v/>
      </c>
      <c r="G508" s="42" t="str">
        <f>IF(Agent03_Savings!A115="","",Agent03_Savings!F115)</f>
        <v/>
      </c>
      <c r="H508" s="40" t="str">
        <f>IF(Agent03_Savings!A115="","",Agent03_Savings!I115)</f>
        <v/>
      </c>
      <c r="I508" s="40" t="str">
        <f>IF(Agent03_Savings!A115="","",Agent03_Savings!J115)</f>
        <v/>
      </c>
      <c r="J508" s="40" t="str">
        <f>IF(Agent03_Savings!A115="","",Agent03_Savings!K115)</f>
        <v/>
      </c>
      <c r="K508" s="40" t="str">
        <f>IFERROR(IF(Agent03_Savings!A115="","",YEAR(Agent03_Savings!D115)),"")</f>
        <v/>
      </c>
    </row>
    <row r="509" spans="1:11" ht="18" customHeight="1" x14ac:dyDescent="0.25">
      <c r="A509" s="40" t="str">
        <f>IF(Agent03_Savings!A116="","",Agent03_Savings!A116)</f>
        <v/>
      </c>
      <c r="B509" s="40" t="str">
        <f ca="1">IF(Agent03_Savings!A116="","","SV"&amp;TEXT(509-3,"0000")&amp;"-"&amp;TEXT(TODAY(),"YYYYMMDD"))</f>
        <v/>
      </c>
      <c r="C509" s="40" t="str">
        <f>IF(Agent03_Savings!A116="","",Agent03_Savings!B116)</f>
        <v/>
      </c>
      <c r="D509" s="40" t="str">
        <f>IF(Agent03_Savings!A116="","",Agent03_Savings!G116)</f>
        <v/>
      </c>
      <c r="E509" s="41" t="str">
        <f>IF(Agent03_Savings!A116="","",Agent03_Savings!D116)</f>
        <v/>
      </c>
      <c r="F509" s="42" t="str">
        <f>IF(Agent03_Savings!A116="","",Agent03_Savings!E116)</f>
        <v/>
      </c>
      <c r="G509" s="42" t="str">
        <f>IF(Agent03_Savings!A116="","",Agent03_Savings!F116)</f>
        <v/>
      </c>
      <c r="H509" s="40" t="str">
        <f>IF(Agent03_Savings!A116="","",Agent03_Savings!I116)</f>
        <v/>
      </c>
      <c r="I509" s="40" t="str">
        <f>IF(Agent03_Savings!A116="","",Agent03_Savings!J116)</f>
        <v/>
      </c>
      <c r="J509" s="40" t="str">
        <f>IF(Agent03_Savings!A116="","",Agent03_Savings!K116)</f>
        <v/>
      </c>
      <c r="K509" s="40" t="str">
        <f>IFERROR(IF(Agent03_Savings!A116="","",YEAR(Agent03_Savings!D116)),"")</f>
        <v/>
      </c>
    </row>
    <row r="510" spans="1:11" ht="18" customHeight="1" x14ac:dyDescent="0.25">
      <c r="A510" s="40" t="str">
        <f>IF(Agent03_Savings!A117="","",Agent03_Savings!A117)</f>
        <v/>
      </c>
      <c r="B510" s="40" t="str">
        <f ca="1">IF(Agent03_Savings!A117="","","SV"&amp;TEXT(510-3,"0000")&amp;"-"&amp;TEXT(TODAY(),"YYYYMMDD"))</f>
        <v/>
      </c>
      <c r="C510" s="40" t="str">
        <f>IF(Agent03_Savings!A117="","",Agent03_Savings!B117)</f>
        <v/>
      </c>
      <c r="D510" s="40" t="str">
        <f>IF(Agent03_Savings!A117="","",Agent03_Savings!G117)</f>
        <v/>
      </c>
      <c r="E510" s="41" t="str">
        <f>IF(Agent03_Savings!A117="","",Agent03_Savings!D117)</f>
        <v/>
      </c>
      <c r="F510" s="42" t="str">
        <f>IF(Agent03_Savings!A117="","",Agent03_Savings!E117)</f>
        <v/>
      </c>
      <c r="G510" s="42" t="str">
        <f>IF(Agent03_Savings!A117="","",Agent03_Savings!F117)</f>
        <v/>
      </c>
      <c r="H510" s="40" t="str">
        <f>IF(Agent03_Savings!A117="","",Agent03_Savings!I117)</f>
        <v/>
      </c>
      <c r="I510" s="40" t="str">
        <f>IF(Agent03_Savings!A117="","",Agent03_Savings!J117)</f>
        <v/>
      </c>
      <c r="J510" s="40" t="str">
        <f>IF(Agent03_Savings!A117="","",Agent03_Savings!K117)</f>
        <v/>
      </c>
      <c r="K510" s="40" t="str">
        <f>IFERROR(IF(Agent03_Savings!A117="","",YEAR(Agent03_Savings!D117)),"")</f>
        <v/>
      </c>
    </row>
    <row r="511" spans="1:11" ht="18" customHeight="1" x14ac:dyDescent="0.25">
      <c r="A511" s="40" t="str">
        <f>IF(Agent03_Savings!A118="","",Agent03_Savings!A118)</f>
        <v/>
      </c>
      <c r="B511" s="40" t="str">
        <f ca="1">IF(Agent03_Savings!A118="","","SV"&amp;TEXT(511-3,"0000")&amp;"-"&amp;TEXT(TODAY(),"YYYYMMDD"))</f>
        <v/>
      </c>
      <c r="C511" s="40" t="str">
        <f>IF(Agent03_Savings!A118="","",Agent03_Savings!B118)</f>
        <v/>
      </c>
      <c r="D511" s="40" t="str">
        <f>IF(Agent03_Savings!A118="","",Agent03_Savings!G118)</f>
        <v/>
      </c>
      <c r="E511" s="41" t="str">
        <f>IF(Agent03_Savings!A118="","",Agent03_Savings!D118)</f>
        <v/>
      </c>
      <c r="F511" s="42" t="str">
        <f>IF(Agent03_Savings!A118="","",Agent03_Savings!E118)</f>
        <v/>
      </c>
      <c r="G511" s="42" t="str">
        <f>IF(Agent03_Savings!A118="","",Agent03_Savings!F118)</f>
        <v/>
      </c>
      <c r="H511" s="40" t="str">
        <f>IF(Agent03_Savings!A118="","",Agent03_Savings!I118)</f>
        <v/>
      </c>
      <c r="I511" s="40" t="str">
        <f>IF(Agent03_Savings!A118="","",Agent03_Savings!J118)</f>
        <v/>
      </c>
      <c r="J511" s="40" t="str">
        <f>IF(Agent03_Savings!A118="","",Agent03_Savings!K118)</f>
        <v/>
      </c>
      <c r="K511" s="40" t="str">
        <f>IFERROR(IF(Agent03_Savings!A118="","",YEAR(Agent03_Savings!D118)),"")</f>
        <v/>
      </c>
    </row>
    <row r="512" spans="1:11" ht="18" customHeight="1" x14ac:dyDescent="0.25">
      <c r="A512" s="40" t="str">
        <f>IF(Agent03_Savings!A119="","",Agent03_Savings!A119)</f>
        <v/>
      </c>
      <c r="B512" s="40" t="str">
        <f ca="1">IF(Agent03_Savings!A119="","","SV"&amp;TEXT(512-3,"0000")&amp;"-"&amp;TEXT(TODAY(),"YYYYMMDD"))</f>
        <v/>
      </c>
      <c r="C512" s="40" t="str">
        <f>IF(Agent03_Savings!A119="","",Agent03_Savings!B119)</f>
        <v/>
      </c>
      <c r="D512" s="40" t="str">
        <f>IF(Agent03_Savings!A119="","",Agent03_Savings!G119)</f>
        <v/>
      </c>
      <c r="E512" s="41" t="str">
        <f>IF(Agent03_Savings!A119="","",Agent03_Savings!D119)</f>
        <v/>
      </c>
      <c r="F512" s="42" t="str">
        <f>IF(Agent03_Savings!A119="","",Agent03_Savings!E119)</f>
        <v/>
      </c>
      <c r="G512" s="42" t="str">
        <f>IF(Agent03_Savings!A119="","",Agent03_Savings!F119)</f>
        <v/>
      </c>
      <c r="H512" s="40" t="str">
        <f>IF(Agent03_Savings!A119="","",Agent03_Savings!I119)</f>
        <v/>
      </c>
      <c r="I512" s="40" t="str">
        <f>IF(Agent03_Savings!A119="","",Agent03_Savings!J119)</f>
        <v/>
      </c>
      <c r="J512" s="40" t="str">
        <f>IF(Agent03_Savings!A119="","",Agent03_Savings!K119)</f>
        <v/>
      </c>
      <c r="K512" s="40" t="str">
        <f>IFERROR(IF(Agent03_Savings!A119="","",YEAR(Agent03_Savings!D119)),"")</f>
        <v/>
      </c>
    </row>
    <row r="513" spans="1:11" ht="18" customHeight="1" x14ac:dyDescent="0.25">
      <c r="A513" s="40" t="str">
        <f>IF(Agent03_Savings!A120="","",Agent03_Savings!A120)</f>
        <v/>
      </c>
      <c r="B513" s="40" t="str">
        <f ca="1">IF(Agent03_Savings!A120="","","SV"&amp;TEXT(513-3,"0000")&amp;"-"&amp;TEXT(TODAY(),"YYYYMMDD"))</f>
        <v/>
      </c>
      <c r="C513" s="40" t="str">
        <f>IF(Agent03_Savings!A120="","",Agent03_Savings!B120)</f>
        <v/>
      </c>
      <c r="D513" s="40" t="str">
        <f>IF(Agent03_Savings!A120="","",Agent03_Savings!G120)</f>
        <v/>
      </c>
      <c r="E513" s="41" t="str">
        <f>IF(Agent03_Savings!A120="","",Agent03_Savings!D120)</f>
        <v/>
      </c>
      <c r="F513" s="42" t="str">
        <f>IF(Agent03_Savings!A120="","",Agent03_Savings!E120)</f>
        <v/>
      </c>
      <c r="G513" s="42" t="str">
        <f>IF(Agent03_Savings!A120="","",Agent03_Savings!F120)</f>
        <v/>
      </c>
      <c r="H513" s="40" t="str">
        <f>IF(Agent03_Savings!A120="","",Agent03_Savings!I120)</f>
        <v/>
      </c>
      <c r="I513" s="40" t="str">
        <f>IF(Agent03_Savings!A120="","",Agent03_Savings!J120)</f>
        <v/>
      </c>
      <c r="J513" s="40" t="str">
        <f>IF(Agent03_Savings!A120="","",Agent03_Savings!K120)</f>
        <v/>
      </c>
      <c r="K513" s="40" t="str">
        <f>IFERROR(IF(Agent03_Savings!A120="","",YEAR(Agent03_Savings!D120)),"")</f>
        <v/>
      </c>
    </row>
    <row r="514" spans="1:11" ht="18" customHeight="1" x14ac:dyDescent="0.25">
      <c r="A514" s="40" t="str">
        <f>IF(Agent03_Savings!A121="","",Agent03_Savings!A121)</f>
        <v/>
      </c>
      <c r="B514" s="40" t="str">
        <f ca="1">IF(Agent03_Savings!A121="","","SV"&amp;TEXT(514-3,"0000")&amp;"-"&amp;TEXT(TODAY(),"YYYYMMDD"))</f>
        <v/>
      </c>
      <c r="C514" s="40" t="str">
        <f>IF(Agent03_Savings!A121="","",Agent03_Savings!B121)</f>
        <v/>
      </c>
      <c r="D514" s="40" t="str">
        <f>IF(Agent03_Savings!A121="","",Agent03_Savings!G121)</f>
        <v/>
      </c>
      <c r="E514" s="41" t="str">
        <f>IF(Agent03_Savings!A121="","",Agent03_Savings!D121)</f>
        <v/>
      </c>
      <c r="F514" s="42" t="str">
        <f>IF(Agent03_Savings!A121="","",Agent03_Savings!E121)</f>
        <v/>
      </c>
      <c r="G514" s="42" t="str">
        <f>IF(Agent03_Savings!A121="","",Agent03_Savings!F121)</f>
        <v/>
      </c>
      <c r="H514" s="40" t="str">
        <f>IF(Agent03_Savings!A121="","",Agent03_Savings!I121)</f>
        <v/>
      </c>
      <c r="I514" s="40" t="str">
        <f>IF(Agent03_Savings!A121="","",Agent03_Savings!J121)</f>
        <v/>
      </c>
      <c r="J514" s="40" t="str">
        <f>IF(Agent03_Savings!A121="","",Agent03_Savings!K121)</f>
        <v/>
      </c>
      <c r="K514" s="40" t="str">
        <f>IFERROR(IF(Agent03_Savings!A121="","",YEAR(Agent03_Savings!D121)),"")</f>
        <v/>
      </c>
    </row>
    <row r="515" spans="1:11" ht="18" customHeight="1" x14ac:dyDescent="0.25">
      <c r="A515" s="40" t="str">
        <f>IF(Agent03_Savings!A122="","",Agent03_Savings!A122)</f>
        <v/>
      </c>
      <c r="B515" s="40" t="str">
        <f ca="1">IF(Agent03_Savings!A122="","","SV"&amp;TEXT(515-3,"0000")&amp;"-"&amp;TEXT(TODAY(),"YYYYMMDD"))</f>
        <v/>
      </c>
      <c r="C515" s="40" t="str">
        <f>IF(Agent03_Savings!A122="","",Agent03_Savings!B122)</f>
        <v/>
      </c>
      <c r="D515" s="40" t="str">
        <f>IF(Agent03_Savings!A122="","",Agent03_Savings!G122)</f>
        <v/>
      </c>
      <c r="E515" s="41" t="str">
        <f>IF(Agent03_Savings!A122="","",Agent03_Savings!D122)</f>
        <v/>
      </c>
      <c r="F515" s="42" t="str">
        <f>IF(Agent03_Savings!A122="","",Agent03_Savings!E122)</f>
        <v/>
      </c>
      <c r="G515" s="42" t="str">
        <f>IF(Agent03_Savings!A122="","",Agent03_Savings!F122)</f>
        <v/>
      </c>
      <c r="H515" s="40" t="str">
        <f>IF(Agent03_Savings!A122="","",Agent03_Savings!I122)</f>
        <v/>
      </c>
      <c r="I515" s="40" t="str">
        <f>IF(Agent03_Savings!A122="","",Agent03_Savings!J122)</f>
        <v/>
      </c>
      <c r="J515" s="40" t="str">
        <f>IF(Agent03_Savings!A122="","",Agent03_Savings!K122)</f>
        <v/>
      </c>
      <c r="K515" s="40" t="str">
        <f>IFERROR(IF(Agent03_Savings!A122="","",YEAR(Agent03_Savings!D122)),"")</f>
        <v/>
      </c>
    </row>
    <row r="516" spans="1:11" ht="18" customHeight="1" x14ac:dyDescent="0.25">
      <c r="A516" s="40" t="str">
        <f>IF(Agent03_Savings!A123="","",Agent03_Savings!A123)</f>
        <v/>
      </c>
      <c r="B516" s="40" t="str">
        <f ca="1">IF(Agent03_Savings!A123="","","SV"&amp;TEXT(516-3,"0000")&amp;"-"&amp;TEXT(TODAY(),"YYYYMMDD"))</f>
        <v/>
      </c>
      <c r="C516" s="40" t="str">
        <f>IF(Agent03_Savings!A123="","",Agent03_Savings!B123)</f>
        <v/>
      </c>
      <c r="D516" s="40" t="str">
        <f>IF(Agent03_Savings!A123="","",Agent03_Savings!G123)</f>
        <v/>
      </c>
      <c r="E516" s="41" t="str">
        <f>IF(Agent03_Savings!A123="","",Agent03_Savings!D123)</f>
        <v/>
      </c>
      <c r="F516" s="42" t="str">
        <f>IF(Agent03_Savings!A123="","",Agent03_Savings!E123)</f>
        <v/>
      </c>
      <c r="G516" s="42" t="str">
        <f>IF(Agent03_Savings!A123="","",Agent03_Savings!F123)</f>
        <v/>
      </c>
      <c r="H516" s="40" t="str">
        <f>IF(Agent03_Savings!A123="","",Agent03_Savings!I123)</f>
        <v/>
      </c>
      <c r="I516" s="40" t="str">
        <f>IF(Agent03_Savings!A123="","",Agent03_Savings!J123)</f>
        <v/>
      </c>
      <c r="J516" s="40" t="str">
        <f>IF(Agent03_Savings!A123="","",Agent03_Savings!K123)</f>
        <v/>
      </c>
      <c r="K516" s="40" t="str">
        <f>IFERROR(IF(Agent03_Savings!A123="","",YEAR(Agent03_Savings!D123)),"")</f>
        <v/>
      </c>
    </row>
    <row r="517" spans="1:11" ht="18" customHeight="1" x14ac:dyDescent="0.25">
      <c r="A517" s="40" t="str">
        <f>IF(Agent03_Savings!A124="","",Agent03_Savings!A124)</f>
        <v/>
      </c>
      <c r="B517" s="40" t="str">
        <f ca="1">IF(Agent03_Savings!A124="","","SV"&amp;TEXT(517-3,"0000")&amp;"-"&amp;TEXT(TODAY(),"YYYYMMDD"))</f>
        <v/>
      </c>
      <c r="C517" s="40" t="str">
        <f>IF(Agent03_Savings!A124="","",Agent03_Savings!B124)</f>
        <v/>
      </c>
      <c r="D517" s="40" t="str">
        <f>IF(Agent03_Savings!A124="","",Agent03_Savings!G124)</f>
        <v/>
      </c>
      <c r="E517" s="41" t="str">
        <f>IF(Agent03_Savings!A124="","",Agent03_Savings!D124)</f>
        <v/>
      </c>
      <c r="F517" s="42" t="str">
        <f>IF(Agent03_Savings!A124="","",Agent03_Savings!E124)</f>
        <v/>
      </c>
      <c r="G517" s="42" t="str">
        <f>IF(Agent03_Savings!A124="","",Agent03_Savings!F124)</f>
        <v/>
      </c>
      <c r="H517" s="40" t="str">
        <f>IF(Agent03_Savings!A124="","",Agent03_Savings!I124)</f>
        <v/>
      </c>
      <c r="I517" s="40" t="str">
        <f>IF(Agent03_Savings!A124="","",Agent03_Savings!J124)</f>
        <v/>
      </c>
      <c r="J517" s="40" t="str">
        <f>IF(Agent03_Savings!A124="","",Agent03_Savings!K124)</f>
        <v/>
      </c>
      <c r="K517" s="40" t="str">
        <f>IFERROR(IF(Agent03_Savings!A124="","",YEAR(Agent03_Savings!D124)),"")</f>
        <v/>
      </c>
    </row>
    <row r="518" spans="1:11" ht="18" customHeight="1" x14ac:dyDescent="0.25">
      <c r="A518" s="40" t="str">
        <f>IF(Agent03_Savings!A125="","",Agent03_Savings!A125)</f>
        <v/>
      </c>
      <c r="B518" s="40" t="str">
        <f ca="1">IF(Agent03_Savings!A125="","","SV"&amp;TEXT(518-3,"0000")&amp;"-"&amp;TEXT(TODAY(),"YYYYMMDD"))</f>
        <v/>
      </c>
      <c r="C518" s="40" t="str">
        <f>IF(Agent03_Savings!A125="","",Agent03_Savings!B125)</f>
        <v/>
      </c>
      <c r="D518" s="40" t="str">
        <f>IF(Agent03_Savings!A125="","",Agent03_Savings!G125)</f>
        <v/>
      </c>
      <c r="E518" s="41" t="str">
        <f>IF(Agent03_Savings!A125="","",Agent03_Savings!D125)</f>
        <v/>
      </c>
      <c r="F518" s="42" t="str">
        <f>IF(Agent03_Savings!A125="","",Agent03_Savings!E125)</f>
        <v/>
      </c>
      <c r="G518" s="42" t="str">
        <f>IF(Agent03_Savings!A125="","",Agent03_Savings!F125)</f>
        <v/>
      </c>
      <c r="H518" s="40" t="str">
        <f>IF(Agent03_Savings!A125="","",Agent03_Savings!I125)</f>
        <v/>
      </c>
      <c r="I518" s="40" t="str">
        <f>IF(Agent03_Savings!A125="","",Agent03_Savings!J125)</f>
        <v/>
      </c>
      <c r="J518" s="40" t="str">
        <f>IF(Agent03_Savings!A125="","",Agent03_Savings!K125)</f>
        <v/>
      </c>
      <c r="K518" s="40" t="str">
        <f>IFERROR(IF(Agent03_Savings!A125="","",YEAR(Agent03_Savings!D125)),"")</f>
        <v/>
      </c>
    </row>
    <row r="519" spans="1:11" ht="18" customHeight="1" x14ac:dyDescent="0.25">
      <c r="A519" s="40" t="str">
        <f>IF(Agent03_Savings!A126="","",Agent03_Savings!A126)</f>
        <v/>
      </c>
      <c r="B519" s="40" t="str">
        <f ca="1">IF(Agent03_Savings!A126="","","SV"&amp;TEXT(519-3,"0000")&amp;"-"&amp;TEXT(TODAY(),"YYYYMMDD"))</f>
        <v/>
      </c>
      <c r="C519" s="40" t="str">
        <f>IF(Agent03_Savings!A126="","",Agent03_Savings!B126)</f>
        <v/>
      </c>
      <c r="D519" s="40" t="str">
        <f>IF(Agent03_Savings!A126="","",Agent03_Savings!G126)</f>
        <v/>
      </c>
      <c r="E519" s="41" t="str">
        <f>IF(Agent03_Savings!A126="","",Agent03_Savings!D126)</f>
        <v/>
      </c>
      <c r="F519" s="42" t="str">
        <f>IF(Agent03_Savings!A126="","",Agent03_Savings!E126)</f>
        <v/>
      </c>
      <c r="G519" s="42" t="str">
        <f>IF(Agent03_Savings!A126="","",Agent03_Savings!F126)</f>
        <v/>
      </c>
      <c r="H519" s="40" t="str">
        <f>IF(Agent03_Savings!A126="","",Agent03_Savings!I126)</f>
        <v/>
      </c>
      <c r="I519" s="40" t="str">
        <f>IF(Agent03_Savings!A126="","",Agent03_Savings!J126)</f>
        <v/>
      </c>
      <c r="J519" s="40" t="str">
        <f>IF(Agent03_Savings!A126="","",Agent03_Savings!K126)</f>
        <v/>
      </c>
      <c r="K519" s="40" t="str">
        <f>IFERROR(IF(Agent03_Savings!A126="","",YEAR(Agent03_Savings!D126)),"")</f>
        <v/>
      </c>
    </row>
    <row r="520" spans="1:11" ht="18" customHeight="1" x14ac:dyDescent="0.25">
      <c r="A520" s="40" t="str">
        <f>IF(Agent03_Savings!A127="","",Agent03_Savings!A127)</f>
        <v/>
      </c>
      <c r="B520" s="40" t="str">
        <f ca="1">IF(Agent03_Savings!A127="","","SV"&amp;TEXT(520-3,"0000")&amp;"-"&amp;TEXT(TODAY(),"YYYYMMDD"))</f>
        <v/>
      </c>
      <c r="C520" s="40" t="str">
        <f>IF(Agent03_Savings!A127="","",Agent03_Savings!B127)</f>
        <v/>
      </c>
      <c r="D520" s="40" t="str">
        <f>IF(Agent03_Savings!A127="","",Agent03_Savings!G127)</f>
        <v/>
      </c>
      <c r="E520" s="41" t="str">
        <f>IF(Agent03_Savings!A127="","",Agent03_Savings!D127)</f>
        <v/>
      </c>
      <c r="F520" s="42" t="str">
        <f>IF(Agent03_Savings!A127="","",Agent03_Savings!E127)</f>
        <v/>
      </c>
      <c r="G520" s="42" t="str">
        <f>IF(Agent03_Savings!A127="","",Agent03_Savings!F127)</f>
        <v/>
      </c>
      <c r="H520" s="40" t="str">
        <f>IF(Agent03_Savings!A127="","",Agent03_Savings!I127)</f>
        <v/>
      </c>
      <c r="I520" s="40" t="str">
        <f>IF(Agent03_Savings!A127="","",Agent03_Savings!J127)</f>
        <v/>
      </c>
      <c r="J520" s="40" t="str">
        <f>IF(Agent03_Savings!A127="","",Agent03_Savings!K127)</f>
        <v/>
      </c>
      <c r="K520" s="40" t="str">
        <f>IFERROR(IF(Agent03_Savings!A127="","",YEAR(Agent03_Savings!D127)),"")</f>
        <v/>
      </c>
    </row>
    <row r="521" spans="1:11" ht="18" customHeight="1" x14ac:dyDescent="0.25">
      <c r="A521" s="40" t="str">
        <f>IF(Agent03_Savings!A128="","",Agent03_Savings!A128)</f>
        <v/>
      </c>
      <c r="B521" s="40" t="str">
        <f ca="1">IF(Agent03_Savings!A128="","","SV"&amp;TEXT(521-3,"0000")&amp;"-"&amp;TEXT(TODAY(),"YYYYMMDD"))</f>
        <v/>
      </c>
      <c r="C521" s="40" t="str">
        <f>IF(Agent03_Savings!A128="","",Agent03_Savings!B128)</f>
        <v/>
      </c>
      <c r="D521" s="40" t="str">
        <f>IF(Agent03_Savings!A128="","",Agent03_Savings!G128)</f>
        <v/>
      </c>
      <c r="E521" s="41" t="str">
        <f>IF(Agent03_Savings!A128="","",Agent03_Savings!D128)</f>
        <v/>
      </c>
      <c r="F521" s="42" t="str">
        <f>IF(Agent03_Savings!A128="","",Agent03_Savings!E128)</f>
        <v/>
      </c>
      <c r="G521" s="42" t="str">
        <f>IF(Agent03_Savings!A128="","",Agent03_Savings!F128)</f>
        <v/>
      </c>
      <c r="H521" s="40" t="str">
        <f>IF(Agent03_Savings!A128="","",Agent03_Savings!I128)</f>
        <v/>
      </c>
      <c r="I521" s="40" t="str">
        <f>IF(Agent03_Savings!A128="","",Agent03_Savings!J128)</f>
        <v/>
      </c>
      <c r="J521" s="40" t="str">
        <f>IF(Agent03_Savings!A128="","",Agent03_Savings!K128)</f>
        <v/>
      </c>
      <c r="K521" s="40" t="str">
        <f>IFERROR(IF(Agent03_Savings!A128="","",YEAR(Agent03_Savings!D128)),"")</f>
        <v/>
      </c>
    </row>
    <row r="522" spans="1:11" ht="18" customHeight="1" x14ac:dyDescent="0.25">
      <c r="A522" s="40" t="str">
        <f>IF(Agent03_Savings!A129="","",Agent03_Savings!A129)</f>
        <v/>
      </c>
      <c r="B522" s="40" t="str">
        <f ca="1">IF(Agent03_Savings!A129="","","SV"&amp;TEXT(522-3,"0000")&amp;"-"&amp;TEXT(TODAY(),"YYYYMMDD"))</f>
        <v/>
      </c>
      <c r="C522" s="40" t="str">
        <f>IF(Agent03_Savings!A129="","",Agent03_Savings!B129)</f>
        <v/>
      </c>
      <c r="D522" s="40" t="str">
        <f>IF(Agent03_Savings!A129="","",Agent03_Savings!G129)</f>
        <v/>
      </c>
      <c r="E522" s="41" t="str">
        <f>IF(Agent03_Savings!A129="","",Agent03_Savings!D129)</f>
        <v/>
      </c>
      <c r="F522" s="42" t="str">
        <f>IF(Agent03_Savings!A129="","",Agent03_Savings!E129)</f>
        <v/>
      </c>
      <c r="G522" s="42" t="str">
        <f>IF(Agent03_Savings!A129="","",Agent03_Savings!F129)</f>
        <v/>
      </c>
      <c r="H522" s="40" t="str">
        <f>IF(Agent03_Savings!A129="","",Agent03_Savings!I129)</f>
        <v/>
      </c>
      <c r="I522" s="40" t="str">
        <f>IF(Agent03_Savings!A129="","",Agent03_Savings!J129)</f>
        <v/>
      </c>
      <c r="J522" s="40" t="str">
        <f>IF(Agent03_Savings!A129="","",Agent03_Savings!K129)</f>
        <v/>
      </c>
      <c r="K522" s="40" t="str">
        <f>IFERROR(IF(Agent03_Savings!A129="","",YEAR(Agent03_Savings!D129)),"")</f>
        <v/>
      </c>
    </row>
    <row r="523" spans="1:11" ht="18" customHeight="1" x14ac:dyDescent="0.25">
      <c r="A523" s="40" t="str">
        <f>IF(Agent03_Savings!A130="","",Agent03_Savings!A130)</f>
        <v/>
      </c>
      <c r="B523" s="40" t="str">
        <f ca="1">IF(Agent03_Savings!A130="","","SV"&amp;TEXT(523-3,"0000")&amp;"-"&amp;TEXT(TODAY(),"YYYYMMDD"))</f>
        <v/>
      </c>
      <c r="C523" s="40" t="str">
        <f>IF(Agent03_Savings!A130="","",Agent03_Savings!B130)</f>
        <v/>
      </c>
      <c r="D523" s="40" t="str">
        <f>IF(Agent03_Savings!A130="","",Agent03_Savings!G130)</f>
        <v/>
      </c>
      <c r="E523" s="41" t="str">
        <f>IF(Agent03_Savings!A130="","",Agent03_Savings!D130)</f>
        <v/>
      </c>
      <c r="F523" s="42" t="str">
        <f>IF(Agent03_Savings!A130="","",Agent03_Savings!E130)</f>
        <v/>
      </c>
      <c r="G523" s="42" t="str">
        <f>IF(Agent03_Savings!A130="","",Agent03_Savings!F130)</f>
        <v/>
      </c>
      <c r="H523" s="40" t="str">
        <f>IF(Agent03_Savings!A130="","",Agent03_Savings!I130)</f>
        <v/>
      </c>
      <c r="I523" s="40" t="str">
        <f>IF(Agent03_Savings!A130="","",Agent03_Savings!J130)</f>
        <v/>
      </c>
      <c r="J523" s="40" t="str">
        <f>IF(Agent03_Savings!A130="","",Agent03_Savings!K130)</f>
        <v/>
      </c>
      <c r="K523" s="40" t="str">
        <f>IFERROR(IF(Agent03_Savings!A130="","",YEAR(Agent03_Savings!D130)),"")</f>
        <v/>
      </c>
    </row>
    <row r="524" spans="1:11" ht="18" customHeight="1" x14ac:dyDescent="0.25">
      <c r="A524" s="40" t="str">
        <f>IF(Agent03_Savings!A131="","",Agent03_Savings!A131)</f>
        <v/>
      </c>
      <c r="B524" s="40" t="str">
        <f ca="1">IF(Agent03_Savings!A131="","","SV"&amp;TEXT(524-3,"0000")&amp;"-"&amp;TEXT(TODAY(),"YYYYMMDD"))</f>
        <v/>
      </c>
      <c r="C524" s="40" t="str">
        <f>IF(Agent03_Savings!A131="","",Agent03_Savings!B131)</f>
        <v/>
      </c>
      <c r="D524" s="40" t="str">
        <f>IF(Agent03_Savings!A131="","",Agent03_Savings!G131)</f>
        <v/>
      </c>
      <c r="E524" s="41" t="str">
        <f>IF(Agent03_Savings!A131="","",Agent03_Savings!D131)</f>
        <v/>
      </c>
      <c r="F524" s="42" t="str">
        <f>IF(Agent03_Savings!A131="","",Agent03_Savings!E131)</f>
        <v/>
      </c>
      <c r="G524" s="42" t="str">
        <f>IF(Agent03_Savings!A131="","",Agent03_Savings!F131)</f>
        <v/>
      </c>
      <c r="H524" s="40" t="str">
        <f>IF(Agent03_Savings!A131="","",Agent03_Savings!I131)</f>
        <v/>
      </c>
      <c r="I524" s="40" t="str">
        <f>IF(Agent03_Savings!A131="","",Agent03_Savings!J131)</f>
        <v/>
      </c>
      <c r="J524" s="40" t="str">
        <f>IF(Agent03_Savings!A131="","",Agent03_Savings!K131)</f>
        <v/>
      </c>
      <c r="K524" s="40" t="str">
        <f>IFERROR(IF(Agent03_Savings!A131="","",YEAR(Agent03_Savings!D131)),"")</f>
        <v/>
      </c>
    </row>
    <row r="525" spans="1:11" ht="18" customHeight="1" x14ac:dyDescent="0.25">
      <c r="A525" s="40" t="str">
        <f>IF(Agent03_Savings!A132="","",Agent03_Savings!A132)</f>
        <v/>
      </c>
      <c r="B525" s="40" t="str">
        <f ca="1">IF(Agent03_Savings!A132="","","SV"&amp;TEXT(525-3,"0000")&amp;"-"&amp;TEXT(TODAY(),"YYYYMMDD"))</f>
        <v/>
      </c>
      <c r="C525" s="40" t="str">
        <f>IF(Agent03_Savings!A132="","",Agent03_Savings!B132)</f>
        <v/>
      </c>
      <c r="D525" s="40" t="str">
        <f>IF(Agent03_Savings!A132="","",Agent03_Savings!G132)</f>
        <v/>
      </c>
      <c r="E525" s="41" t="str">
        <f>IF(Agent03_Savings!A132="","",Agent03_Savings!D132)</f>
        <v/>
      </c>
      <c r="F525" s="42" t="str">
        <f>IF(Agent03_Savings!A132="","",Agent03_Savings!E132)</f>
        <v/>
      </c>
      <c r="G525" s="42" t="str">
        <f>IF(Agent03_Savings!A132="","",Agent03_Savings!F132)</f>
        <v/>
      </c>
      <c r="H525" s="40" t="str">
        <f>IF(Agent03_Savings!A132="","",Agent03_Savings!I132)</f>
        <v/>
      </c>
      <c r="I525" s="40" t="str">
        <f>IF(Agent03_Savings!A132="","",Agent03_Savings!J132)</f>
        <v/>
      </c>
      <c r="J525" s="40" t="str">
        <f>IF(Agent03_Savings!A132="","",Agent03_Savings!K132)</f>
        <v/>
      </c>
      <c r="K525" s="40" t="str">
        <f>IFERROR(IF(Agent03_Savings!A132="","",YEAR(Agent03_Savings!D132)),"")</f>
        <v/>
      </c>
    </row>
    <row r="526" spans="1:11" ht="18" customHeight="1" x14ac:dyDescent="0.25">
      <c r="A526" s="40" t="str">
        <f>IF(Agent03_Savings!A133="","",Agent03_Savings!A133)</f>
        <v/>
      </c>
      <c r="B526" s="40" t="str">
        <f ca="1">IF(Agent03_Savings!A133="","","SV"&amp;TEXT(526-3,"0000")&amp;"-"&amp;TEXT(TODAY(),"YYYYMMDD"))</f>
        <v/>
      </c>
      <c r="C526" s="40" t="str">
        <f>IF(Agent03_Savings!A133="","",Agent03_Savings!B133)</f>
        <v/>
      </c>
      <c r="D526" s="40" t="str">
        <f>IF(Agent03_Savings!A133="","",Agent03_Savings!G133)</f>
        <v/>
      </c>
      <c r="E526" s="41" t="str">
        <f>IF(Agent03_Savings!A133="","",Agent03_Savings!D133)</f>
        <v/>
      </c>
      <c r="F526" s="42" t="str">
        <f>IF(Agent03_Savings!A133="","",Agent03_Savings!E133)</f>
        <v/>
      </c>
      <c r="G526" s="42" t="str">
        <f>IF(Agent03_Savings!A133="","",Agent03_Savings!F133)</f>
        <v/>
      </c>
      <c r="H526" s="40" t="str">
        <f>IF(Agent03_Savings!A133="","",Agent03_Savings!I133)</f>
        <v/>
      </c>
      <c r="I526" s="40" t="str">
        <f>IF(Agent03_Savings!A133="","",Agent03_Savings!J133)</f>
        <v/>
      </c>
      <c r="J526" s="40" t="str">
        <f>IF(Agent03_Savings!A133="","",Agent03_Savings!K133)</f>
        <v/>
      </c>
      <c r="K526" s="40" t="str">
        <f>IFERROR(IF(Agent03_Savings!A133="","",YEAR(Agent03_Savings!D133)),"")</f>
        <v/>
      </c>
    </row>
    <row r="527" spans="1:11" ht="18" customHeight="1" x14ac:dyDescent="0.25">
      <c r="A527" s="40" t="str">
        <f>IF(Agent03_Savings!A134="","",Agent03_Savings!A134)</f>
        <v/>
      </c>
      <c r="B527" s="40" t="str">
        <f ca="1">IF(Agent03_Savings!A134="","","SV"&amp;TEXT(527-3,"0000")&amp;"-"&amp;TEXT(TODAY(),"YYYYMMDD"))</f>
        <v/>
      </c>
      <c r="C527" s="40" t="str">
        <f>IF(Agent03_Savings!A134="","",Agent03_Savings!B134)</f>
        <v/>
      </c>
      <c r="D527" s="40" t="str">
        <f>IF(Agent03_Savings!A134="","",Agent03_Savings!G134)</f>
        <v/>
      </c>
      <c r="E527" s="41" t="str">
        <f>IF(Agent03_Savings!A134="","",Agent03_Savings!D134)</f>
        <v/>
      </c>
      <c r="F527" s="42" t="str">
        <f>IF(Agent03_Savings!A134="","",Agent03_Savings!E134)</f>
        <v/>
      </c>
      <c r="G527" s="42" t="str">
        <f>IF(Agent03_Savings!A134="","",Agent03_Savings!F134)</f>
        <v/>
      </c>
      <c r="H527" s="40" t="str">
        <f>IF(Agent03_Savings!A134="","",Agent03_Savings!I134)</f>
        <v/>
      </c>
      <c r="I527" s="40" t="str">
        <f>IF(Agent03_Savings!A134="","",Agent03_Savings!J134)</f>
        <v/>
      </c>
      <c r="J527" s="40" t="str">
        <f>IF(Agent03_Savings!A134="","",Agent03_Savings!K134)</f>
        <v/>
      </c>
      <c r="K527" s="40" t="str">
        <f>IFERROR(IF(Agent03_Savings!A134="","",YEAR(Agent03_Savings!D134)),"")</f>
        <v/>
      </c>
    </row>
    <row r="528" spans="1:11" ht="18" customHeight="1" x14ac:dyDescent="0.25">
      <c r="A528" s="40" t="str">
        <f>IF(Agent03_Savings!A135="","",Agent03_Savings!A135)</f>
        <v/>
      </c>
      <c r="B528" s="40" t="str">
        <f ca="1">IF(Agent03_Savings!A135="","","SV"&amp;TEXT(528-3,"0000")&amp;"-"&amp;TEXT(TODAY(),"YYYYMMDD"))</f>
        <v/>
      </c>
      <c r="C528" s="40" t="str">
        <f>IF(Agent03_Savings!A135="","",Agent03_Savings!B135)</f>
        <v/>
      </c>
      <c r="D528" s="40" t="str">
        <f>IF(Agent03_Savings!A135="","",Agent03_Savings!G135)</f>
        <v/>
      </c>
      <c r="E528" s="41" t="str">
        <f>IF(Agent03_Savings!A135="","",Agent03_Savings!D135)</f>
        <v/>
      </c>
      <c r="F528" s="42" t="str">
        <f>IF(Agent03_Savings!A135="","",Agent03_Savings!E135)</f>
        <v/>
      </c>
      <c r="G528" s="42" t="str">
        <f>IF(Agent03_Savings!A135="","",Agent03_Savings!F135)</f>
        <v/>
      </c>
      <c r="H528" s="40" t="str">
        <f>IF(Agent03_Savings!A135="","",Agent03_Savings!I135)</f>
        <v/>
      </c>
      <c r="I528" s="40" t="str">
        <f>IF(Agent03_Savings!A135="","",Agent03_Savings!J135)</f>
        <v/>
      </c>
      <c r="J528" s="40" t="str">
        <f>IF(Agent03_Savings!A135="","",Agent03_Savings!K135)</f>
        <v/>
      </c>
      <c r="K528" s="40" t="str">
        <f>IFERROR(IF(Agent03_Savings!A135="","",YEAR(Agent03_Savings!D135)),"")</f>
        <v/>
      </c>
    </row>
    <row r="529" spans="1:11" ht="18" customHeight="1" x14ac:dyDescent="0.25">
      <c r="A529" s="40" t="str">
        <f>IF(Agent03_Savings!A136="","",Agent03_Savings!A136)</f>
        <v/>
      </c>
      <c r="B529" s="40" t="str">
        <f ca="1">IF(Agent03_Savings!A136="","","SV"&amp;TEXT(529-3,"0000")&amp;"-"&amp;TEXT(TODAY(),"YYYYMMDD"))</f>
        <v/>
      </c>
      <c r="C529" s="40" t="str">
        <f>IF(Agent03_Savings!A136="","",Agent03_Savings!B136)</f>
        <v/>
      </c>
      <c r="D529" s="40" t="str">
        <f>IF(Agent03_Savings!A136="","",Agent03_Savings!G136)</f>
        <v/>
      </c>
      <c r="E529" s="41" t="str">
        <f>IF(Agent03_Savings!A136="","",Agent03_Savings!D136)</f>
        <v/>
      </c>
      <c r="F529" s="42" t="str">
        <f>IF(Agent03_Savings!A136="","",Agent03_Savings!E136)</f>
        <v/>
      </c>
      <c r="G529" s="42" t="str">
        <f>IF(Agent03_Savings!A136="","",Agent03_Savings!F136)</f>
        <v/>
      </c>
      <c r="H529" s="40" t="str">
        <f>IF(Agent03_Savings!A136="","",Agent03_Savings!I136)</f>
        <v/>
      </c>
      <c r="I529" s="40" t="str">
        <f>IF(Agent03_Savings!A136="","",Agent03_Savings!J136)</f>
        <v/>
      </c>
      <c r="J529" s="40" t="str">
        <f>IF(Agent03_Savings!A136="","",Agent03_Savings!K136)</f>
        <v/>
      </c>
      <c r="K529" s="40" t="str">
        <f>IFERROR(IF(Agent03_Savings!A136="","",YEAR(Agent03_Savings!D136)),"")</f>
        <v/>
      </c>
    </row>
    <row r="530" spans="1:11" ht="18" customHeight="1" x14ac:dyDescent="0.25">
      <c r="A530" s="40" t="str">
        <f>IF(Agent03_Savings!A137="","",Agent03_Savings!A137)</f>
        <v/>
      </c>
      <c r="B530" s="40" t="str">
        <f ca="1">IF(Agent03_Savings!A137="","","SV"&amp;TEXT(530-3,"0000")&amp;"-"&amp;TEXT(TODAY(),"YYYYMMDD"))</f>
        <v/>
      </c>
      <c r="C530" s="40" t="str">
        <f>IF(Agent03_Savings!A137="","",Agent03_Savings!B137)</f>
        <v/>
      </c>
      <c r="D530" s="40" t="str">
        <f>IF(Agent03_Savings!A137="","",Agent03_Savings!G137)</f>
        <v/>
      </c>
      <c r="E530" s="41" t="str">
        <f>IF(Agent03_Savings!A137="","",Agent03_Savings!D137)</f>
        <v/>
      </c>
      <c r="F530" s="42" t="str">
        <f>IF(Agent03_Savings!A137="","",Agent03_Savings!E137)</f>
        <v/>
      </c>
      <c r="G530" s="42" t="str">
        <f>IF(Agent03_Savings!A137="","",Agent03_Savings!F137)</f>
        <v/>
      </c>
      <c r="H530" s="40" t="str">
        <f>IF(Agent03_Savings!A137="","",Agent03_Savings!I137)</f>
        <v/>
      </c>
      <c r="I530" s="40" t="str">
        <f>IF(Agent03_Savings!A137="","",Agent03_Savings!J137)</f>
        <v/>
      </c>
      <c r="J530" s="40" t="str">
        <f>IF(Agent03_Savings!A137="","",Agent03_Savings!K137)</f>
        <v/>
      </c>
      <c r="K530" s="40" t="str">
        <f>IFERROR(IF(Agent03_Savings!A137="","",YEAR(Agent03_Savings!D137)),"")</f>
        <v/>
      </c>
    </row>
    <row r="531" spans="1:11" ht="18" customHeight="1" x14ac:dyDescent="0.25">
      <c r="A531" s="40" t="str">
        <f>IF(Agent03_Savings!A138="","",Agent03_Savings!A138)</f>
        <v/>
      </c>
      <c r="B531" s="40" t="str">
        <f ca="1">IF(Agent03_Savings!A138="","","SV"&amp;TEXT(531-3,"0000")&amp;"-"&amp;TEXT(TODAY(),"YYYYMMDD"))</f>
        <v/>
      </c>
      <c r="C531" s="40" t="str">
        <f>IF(Agent03_Savings!A138="","",Agent03_Savings!B138)</f>
        <v/>
      </c>
      <c r="D531" s="40" t="str">
        <f>IF(Agent03_Savings!A138="","",Agent03_Savings!G138)</f>
        <v/>
      </c>
      <c r="E531" s="41" t="str">
        <f>IF(Agent03_Savings!A138="","",Agent03_Savings!D138)</f>
        <v/>
      </c>
      <c r="F531" s="42" t="str">
        <f>IF(Agent03_Savings!A138="","",Agent03_Savings!E138)</f>
        <v/>
      </c>
      <c r="G531" s="42" t="str">
        <f>IF(Agent03_Savings!A138="","",Agent03_Savings!F138)</f>
        <v/>
      </c>
      <c r="H531" s="40" t="str">
        <f>IF(Agent03_Savings!A138="","",Agent03_Savings!I138)</f>
        <v/>
      </c>
      <c r="I531" s="40" t="str">
        <f>IF(Agent03_Savings!A138="","",Agent03_Savings!J138)</f>
        <v/>
      </c>
      <c r="J531" s="40" t="str">
        <f>IF(Agent03_Savings!A138="","",Agent03_Savings!K138)</f>
        <v/>
      </c>
      <c r="K531" s="40" t="str">
        <f>IFERROR(IF(Agent03_Savings!A138="","",YEAR(Agent03_Savings!D138)),"")</f>
        <v/>
      </c>
    </row>
    <row r="532" spans="1:11" ht="18" customHeight="1" x14ac:dyDescent="0.25">
      <c r="A532" s="40" t="str">
        <f>IF(Agent03_Savings!A139="","",Agent03_Savings!A139)</f>
        <v/>
      </c>
      <c r="B532" s="40" t="str">
        <f ca="1">IF(Agent03_Savings!A139="","","SV"&amp;TEXT(532-3,"0000")&amp;"-"&amp;TEXT(TODAY(),"YYYYMMDD"))</f>
        <v/>
      </c>
      <c r="C532" s="40" t="str">
        <f>IF(Agent03_Savings!A139="","",Agent03_Savings!B139)</f>
        <v/>
      </c>
      <c r="D532" s="40" t="str">
        <f>IF(Agent03_Savings!A139="","",Agent03_Savings!G139)</f>
        <v/>
      </c>
      <c r="E532" s="41" t="str">
        <f>IF(Agent03_Savings!A139="","",Agent03_Savings!D139)</f>
        <v/>
      </c>
      <c r="F532" s="42" t="str">
        <f>IF(Agent03_Savings!A139="","",Agent03_Savings!E139)</f>
        <v/>
      </c>
      <c r="G532" s="42" t="str">
        <f>IF(Agent03_Savings!A139="","",Agent03_Savings!F139)</f>
        <v/>
      </c>
      <c r="H532" s="40" t="str">
        <f>IF(Agent03_Savings!A139="","",Agent03_Savings!I139)</f>
        <v/>
      </c>
      <c r="I532" s="40" t="str">
        <f>IF(Agent03_Savings!A139="","",Agent03_Savings!J139)</f>
        <v/>
      </c>
      <c r="J532" s="40" t="str">
        <f>IF(Agent03_Savings!A139="","",Agent03_Savings!K139)</f>
        <v/>
      </c>
      <c r="K532" s="40" t="str">
        <f>IFERROR(IF(Agent03_Savings!A139="","",YEAR(Agent03_Savings!D139)),"")</f>
        <v/>
      </c>
    </row>
    <row r="533" spans="1:11" ht="18" customHeight="1" x14ac:dyDescent="0.25">
      <c r="A533" s="40" t="str">
        <f>IF(Agent03_Savings!A140="","",Agent03_Savings!A140)</f>
        <v/>
      </c>
      <c r="B533" s="40" t="str">
        <f ca="1">IF(Agent03_Savings!A140="","","SV"&amp;TEXT(533-3,"0000")&amp;"-"&amp;TEXT(TODAY(),"YYYYMMDD"))</f>
        <v/>
      </c>
      <c r="C533" s="40" t="str">
        <f>IF(Agent03_Savings!A140="","",Agent03_Savings!B140)</f>
        <v/>
      </c>
      <c r="D533" s="40" t="str">
        <f>IF(Agent03_Savings!A140="","",Agent03_Savings!G140)</f>
        <v/>
      </c>
      <c r="E533" s="41" t="str">
        <f>IF(Agent03_Savings!A140="","",Agent03_Savings!D140)</f>
        <v/>
      </c>
      <c r="F533" s="42" t="str">
        <f>IF(Agent03_Savings!A140="","",Agent03_Savings!E140)</f>
        <v/>
      </c>
      <c r="G533" s="42" t="str">
        <f>IF(Agent03_Savings!A140="","",Agent03_Savings!F140)</f>
        <v/>
      </c>
      <c r="H533" s="40" t="str">
        <f>IF(Agent03_Savings!A140="","",Agent03_Savings!I140)</f>
        <v/>
      </c>
      <c r="I533" s="40" t="str">
        <f>IF(Agent03_Savings!A140="","",Agent03_Savings!J140)</f>
        <v/>
      </c>
      <c r="J533" s="40" t="str">
        <f>IF(Agent03_Savings!A140="","",Agent03_Savings!K140)</f>
        <v/>
      </c>
      <c r="K533" s="40" t="str">
        <f>IFERROR(IF(Agent03_Savings!A140="","",YEAR(Agent03_Savings!D140)),"")</f>
        <v/>
      </c>
    </row>
    <row r="534" spans="1:11" ht="18" customHeight="1" x14ac:dyDescent="0.25">
      <c r="A534" s="40" t="str">
        <f>IF(Agent03_Savings!A141="","",Agent03_Savings!A141)</f>
        <v/>
      </c>
      <c r="B534" s="40" t="str">
        <f ca="1">IF(Agent03_Savings!A141="","","SV"&amp;TEXT(534-3,"0000")&amp;"-"&amp;TEXT(TODAY(),"YYYYMMDD"))</f>
        <v/>
      </c>
      <c r="C534" s="40" t="str">
        <f>IF(Agent03_Savings!A141="","",Agent03_Savings!B141)</f>
        <v/>
      </c>
      <c r="D534" s="40" t="str">
        <f>IF(Agent03_Savings!A141="","",Agent03_Savings!G141)</f>
        <v/>
      </c>
      <c r="E534" s="41" t="str">
        <f>IF(Agent03_Savings!A141="","",Agent03_Savings!D141)</f>
        <v/>
      </c>
      <c r="F534" s="42" t="str">
        <f>IF(Agent03_Savings!A141="","",Agent03_Savings!E141)</f>
        <v/>
      </c>
      <c r="G534" s="42" t="str">
        <f>IF(Agent03_Savings!A141="","",Agent03_Savings!F141)</f>
        <v/>
      </c>
      <c r="H534" s="40" t="str">
        <f>IF(Agent03_Savings!A141="","",Agent03_Savings!I141)</f>
        <v/>
      </c>
      <c r="I534" s="40" t="str">
        <f>IF(Agent03_Savings!A141="","",Agent03_Savings!J141)</f>
        <v/>
      </c>
      <c r="J534" s="40" t="str">
        <f>IF(Agent03_Savings!A141="","",Agent03_Savings!K141)</f>
        <v/>
      </c>
      <c r="K534" s="40" t="str">
        <f>IFERROR(IF(Agent03_Savings!A141="","",YEAR(Agent03_Savings!D141)),"")</f>
        <v/>
      </c>
    </row>
    <row r="535" spans="1:11" ht="18" customHeight="1" x14ac:dyDescent="0.25">
      <c r="A535" s="40" t="str">
        <f>IF(Agent03_Savings!A142="","",Agent03_Savings!A142)</f>
        <v/>
      </c>
      <c r="B535" s="40" t="str">
        <f ca="1">IF(Agent03_Savings!A142="","","SV"&amp;TEXT(535-3,"0000")&amp;"-"&amp;TEXT(TODAY(),"YYYYMMDD"))</f>
        <v/>
      </c>
      <c r="C535" s="40" t="str">
        <f>IF(Agent03_Savings!A142="","",Agent03_Savings!B142)</f>
        <v/>
      </c>
      <c r="D535" s="40" t="str">
        <f>IF(Agent03_Savings!A142="","",Agent03_Savings!G142)</f>
        <v/>
      </c>
      <c r="E535" s="41" t="str">
        <f>IF(Agent03_Savings!A142="","",Agent03_Savings!D142)</f>
        <v/>
      </c>
      <c r="F535" s="42" t="str">
        <f>IF(Agent03_Savings!A142="","",Agent03_Savings!E142)</f>
        <v/>
      </c>
      <c r="G535" s="42" t="str">
        <f>IF(Agent03_Savings!A142="","",Agent03_Savings!F142)</f>
        <v/>
      </c>
      <c r="H535" s="40" t="str">
        <f>IF(Agent03_Savings!A142="","",Agent03_Savings!I142)</f>
        <v/>
      </c>
      <c r="I535" s="40" t="str">
        <f>IF(Agent03_Savings!A142="","",Agent03_Savings!J142)</f>
        <v/>
      </c>
      <c r="J535" s="40" t="str">
        <f>IF(Agent03_Savings!A142="","",Agent03_Savings!K142)</f>
        <v/>
      </c>
      <c r="K535" s="40" t="str">
        <f>IFERROR(IF(Agent03_Savings!A142="","",YEAR(Agent03_Savings!D142)),"")</f>
        <v/>
      </c>
    </row>
    <row r="536" spans="1:11" ht="18" customHeight="1" x14ac:dyDescent="0.25">
      <c r="A536" s="40" t="str">
        <f>IF(Agent03_Savings!A143="","",Agent03_Savings!A143)</f>
        <v/>
      </c>
      <c r="B536" s="40" t="str">
        <f ca="1">IF(Agent03_Savings!A143="","","SV"&amp;TEXT(536-3,"0000")&amp;"-"&amp;TEXT(TODAY(),"YYYYMMDD"))</f>
        <v/>
      </c>
      <c r="C536" s="40" t="str">
        <f>IF(Agent03_Savings!A143="","",Agent03_Savings!B143)</f>
        <v/>
      </c>
      <c r="D536" s="40" t="str">
        <f>IF(Agent03_Savings!A143="","",Agent03_Savings!G143)</f>
        <v/>
      </c>
      <c r="E536" s="41" t="str">
        <f>IF(Agent03_Savings!A143="","",Agent03_Savings!D143)</f>
        <v/>
      </c>
      <c r="F536" s="42" t="str">
        <f>IF(Agent03_Savings!A143="","",Agent03_Savings!E143)</f>
        <v/>
      </c>
      <c r="G536" s="42" t="str">
        <f>IF(Agent03_Savings!A143="","",Agent03_Savings!F143)</f>
        <v/>
      </c>
      <c r="H536" s="40" t="str">
        <f>IF(Agent03_Savings!A143="","",Agent03_Savings!I143)</f>
        <v/>
      </c>
      <c r="I536" s="40" t="str">
        <f>IF(Agent03_Savings!A143="","",Agent03_Savings!J143)</f>
        <v/>
      </c>
      <c r="J536" s="40" t="str">
        <f>IF(Agent03_Savings!A143="","",Agent03_Savings!K143)</f>
        <v/>
      </c>
      <c r="K536" s="40" t="str">
        <f>IFERROR(IF(Agent03_Savings!A143="","",YEAR(Agent03_Savings!D143)),"")</f>
        <v/>
      </c>
    </row>
    <row r="537" spans="1:11" ht="18" customHeight="1" x14ac:dyDescent="0.25">
      <c r="A537" s="40" t="str">
        <f>IF(Agent03_Savings!A144="","",Agent03_Savings!A144)</f>
        <v/>
      </c>
      <c r="B537" s="40" t="str">
        <f ca="1">IF(Agent03_Savings!A144="","","SV"&amp;TEXT(537-3,"0000")&amp;"-"&amp;TEXT(TODAY(),"YYYYMMDD"))</f>
        <v/>
      </c>
      <c r="C537" s="40" t="str">
        <f>IF(Agent03_Savings!A144="","",Agent03_Savings!B144)</f>
        <v/>
      </c>
      <c r="D537" s="40" t="str">
        <f>IF(Agent03_Savings!A144="","",Agent03_Savings!G144)</f>
        <v/>
      </c>
      <c r="E537" s="41" t="str">
        <f>IF(Agent03_Savings!A144="","",Agent03_Savings!D144)</f>
        <v/>
      </c>
      <c r="F537" s="42" t="str">
        <f>IF(Agent03_Savings!A144="","",Agent03_Savings!E144)</f>
        <v/>
      </c>
      <c r="G537" s="42" t="str">
        <f>IF(Agent03_Savings!A144="","",Agent03_Savings!F144)</f>
        <v/>
      </c>
      <c r="H537" s="40" t="str">
        <f>IF(Agent03_Savings!A144="","",Agent03_Savings!I144)</f>
        <v/>
      </c>
      <c r="I537" s="40" t="str">
        <f>IF(Agent03_Savings!A144="","",Agent03_Savings!J144)</f>
        <v/>
      </c>
      <c r="J537" s="40" t="str">
        <f>IF(Agent03_Savings!A144="","",Agent03_Savings!K144)</f>
        <v/>
      </c>
      <c r="K537" s="40" t="str">
        <f>IFERROR(IF(Agent03_Savings!A144="","",YEAR(Agent03_Savings!D144)),"")</f>
        <v/>
      </c>
    </row>
    <row r="538" spans="1:11" ht="18" customHeight="1" x14ac:dyDescent="0.25">
      <c r="A538" s="40" t="str">
        <f>IF(Agent03_Savings!A145="","",Agent03_Savings!A145)</f>
        <v/>
      </c>
      <c r="B538" s="40" t="str">
        <f ca="1">IF(Agent03_Savings!A145="","","SV"&amp;TEXT(538-3,"0000")&amp;"-"&amp;TEXT(TODAY(),"YYYYMMDD"))</f>
        <v/>
      </c>
      <c r="C538" s="40" t="str">
        <f>IF(Agent03_Savings!A145="","",Agent03_Savings!B145)</f>
        <v/>
      </c>
      <c r="D538" s="40" t="str">
        <f>IF(Agent03_Savings!A145="","",Agent03_Savings!G145)</f>
        <v/>
      </c>
      <c r="E538" s="41" t="str">
        <f>IF(Agent03_Savings!A145="","",Agent03_Savings!D145)</f>
        <v/>
      </c>
      <c r="F538" s="42" t="str">
        <f>IF(Agent03_Savings!A145="","",Agent03_Savings!E145)</f>
        <v/>
      </c>
      <c r="G538" s="42" t="str">
        <f>IF(Agent03_Savings!A145="","",Agent03_Savings!F145)</f>
        <v/>
      </c>
      <c r="H538" s="40" t="str">
        <f>IF(Agent03_Savings!A145="","",Agent03_Savings!I145)</f>
        <v/>
      </c>
      <c r="I538" s="40" t="str">
        <f>IF(Agent03_Savings!A145="","",Agent03_Savings!J145)</f>
        <v/>
      </c>
      <c r="J538" s="40" t="str">
        <f>IF(Agent03_Savings!A145="","",Agent03_Savings!K145)</f>
        <v/>
      </c>
      <c r="K538" s="40" t="str">
        <f>IFERROR(IF(Agent03_Savings!A145="","",YEAR(Agent03_Savings!D145)),"")</f>
        <v/>
      </c>
    </row>
    <row r="539" spans="1:11" ht="18" customHeight="1" x14ac:dyDescent="0.25">
      <c r="A539" s="40" t="str">
        <f>IF(Agent03_Savings!A146="","",Agent03_Savings!A146)</f>
        <v/>
      </c>
      <c r="B539" s="40" t="str">
        <f ca="1">IF(Agent03_Savings!A146="","","SV"&amp;TEXT(539-3,"0000")&amp;"-"&amp;TEXT(TODAY(),"YYYYMMDD"))</f>
        <v/>
      </c>
      <c r="C539" s="40" t="str">
        <f>IF(Agent03_Savings!A146="","",Agent03_Savings!B146)</f>
        <v/>
      </c>
      <c r="D539" s="40" t="str">
        <f>IF(Agent03_Savings!A146="","",Agent03_Savings!G146)</f>
        <v/>
      </c>
      <c r="E539" s="41" t="str">
        <f>IF(Agent03_Savings!A146="","",Agent03_Savings!D146)</f>
        <v/>
      </c>
      <c r="F539" s="42" t="str">
        <f>IF(Agent03_Savings!A146="","",Agent03_Savings!E146)</f>
        <v/>
      </c>
      <c r="G539" s="42" t="str">
        <f>IF(Agent03_Savings!A146="","",Agent03_Savings!F146)</f>
        <v/>
      </c>
      <c r="H539" s="40" t="str">
        <f>IF(Agent03_Savings!A146="","",Agent03_Savings!I146)</f>
        <v/>
      </c>
      <c r="I539" s="40" t="str">
        <f>IF(Agent03_Savings!A146="","",Agent03_Savings!J146)</f>
        <v/>
      </c>
      <c r="J539" s="40" t="str">
        <f>IF(Agent03_Savings!A146="","",Agent03_Savings!K146)</f>
        <v/>
      </c>
      <c r="K539" s="40" t="str">
        <f>IFERROR(IF(Agent03_Savings!A146="","",YEAR(Agent03_Savings!D146)),"")</f>
        <v/>
      </c>
    </row>
    <row r="540" spans="1:11" ht="18" customHeight="1" x14ac:dyDescent="0.25">
      <c r="A540" s="40" t="str">
        <f>IF(Agent03_Savings!A147="","",Agent03_Savings!A147)</f>
        <v/>
      </c>
      <c r="B540" s="40" t="str">
        <f ca="1">IF(Agent03_Savings!A147="","","SV"&amp;TEXT(540-3,"0000")&amp;"-"&amp;TEXT(TODAY(),"YYYYMMDD"))</f>
        <v/>
      </c>
      <c r="C540" s="40" t="str">
        <f>IF(Agent03_Savings!A147="","",Agent03_Savings!B147)</f>
        <v/>
      </c>
      <c r="D540" s="40" t="str">
        <f>IF(Agent03_Savings!A147="","",Agent03_Savings!G147)</f>
        <v/>
      </c>
      <c r="E540" s="41" t="str">
        <f>IF(Agent03_Savings!A147="","",Agent03_Savings!D147)</f>
        <v/>
      </c>
      <c r="F540" s="42" t="str">
        <f>IF(Agent03_Savings!A147="","",Agent03_Savings!E147)</f>
        <v/>
      </c>
      <c r="G540" s="42" t="str">
        <f>IF(Agent03_Savings!A147="","",Agent03_Savings!F147)</f>
        <v/>
      </c>
      <c r="H540" s="40" t="str">
        <f>IF(Agent03_Savings!A147="","",Agent03_Savings!I147)</f>
        <v/>
      </c>
      <c r="I540" s="40" t="str">
        <f>IF(Agent03_Savings!A147="","",Agent03_Savings!J147)</f>
        <v/>
      </c>
      <c r="J540" s="40" t="str">
        <f>IF(Agent03_Savings!A147="","",Agent03_Savings!K147)</f>
        <v/>
      </c>
      <c r="K540" s="40" t="str">
        <f>IFERROR(IF(Agent03_Savings!A147="","",YEAR(Agent03_Savings!D147)),"")</f>
        <v/>
      </c>
    </row>
    <row r="541" spans="1:11" ht="18" customHeight="1" x14ac:dyDescent="0.25">
      <c r="A541" s="40" t="str">
        <f>IF(Agent03_Savings!A148="","",Agent03_Savings!A148)</f>
        <v/>
      </c>
      <c r="B541" s="40" t="str">
        <f ca="1">IF(Agent03_Savings!A148="","","SV"&amp;TEXT(541-3,"0000")&amp;"-"&amp;TEXT(TODAY(),"YYYYMMDD"))</f>
        <v/>
      </c>
      <c r="C541" s="40" t="str">
        <f>IF(Agent03_Savings!A148="","",Agent03_Savings!B148)</f>
        <v/>
      </c>
      <c r="D541" s="40" t="str">
        <f>IF(Agent03_Savings!A148="","",Agent03_Savings!G148)</f>
        <v/>
      </c>
      <c r="E541" s="41" t="str">
        <f>IF(Agent03_Savings!A148="","",Agent03_Savings!D148)</f>
        <v/>
      </c>
      <c r="F541" s="42" t="str">
        <f>IF(Agent03_Savings!A148="","",Agent03_Savings!E148)</f>
        <v/>
      </c>
      <c r="G541" s="42" t="str">
        <f>IF(Agent03_Savings!A148="","",Agent03_Savings!F148)</f>
        <v/>
      </c>
      <c r="H541" s="40" t="str">
        <f>IF(Agent03_Savings!A148="","",Agent03_Savings!I148)</f>
        <v/>
      </c>
      <c r="I541" s="40" t="str">
        <f>IF(Agent03_Savings!A148="","",Agent03_Savings!J148)</f>
        <v/>
      </c>
      <c r="J541" s="40" t="str">
        <f>IF(Agent03_Savings!A148="","",Agent03_Savings!K148)</f>
        <v/>
      </c>
      <c r="K541" s="40" t="str">
        <f>IFERROR(IF(Agent03_Savings!A148="","",YEAR(Agent03_Savings!D148)),"")</f>
        <v/>
      </c>
    </row>
    <row r="542" spans="1:11" ht="18" customHeight="1" x14ac:dyDescent="0.25">
      <c r="A542" s="40" t="str">
        <f>IF(Agent03_Savings!A149="","",Agent03_Savings!A149)</f>
        <v/>
      </c>
      <c r="B542" s="40" t="str">
        <f ca="1">IF(Agent03_Savings!A149="","","SV"&amp;TEXT(542-3,"0000")&amp;"-"&amp;TEXT(TODAY(),"YYYYMMDD"))</f>
        <v/>
      </c>
      <c r="C542" s="40" t="str">
        <f>IF(Agent03_Savings!A149="","",Agent03_Savings!B149)</f>
        <v/>
      </c>
      <c r="D542" s="40" t="str">
        <f>IF(Agent03_Savings!A149="","",Agent03_Savings!G149)</f>
        <v/>
      </c>
      <c r="E542" s="41" t="str">
        <f>IF(Agent03_Savings!A149="","",Agent03_Savings!D149)</f>
        <v/>
      </c>
      <c r="F542" s="42" t="str">
        <f>IF(Agent03_Savings!A149="","",Agent03_Savings!E149)</f>
        <v/>
      </c>
      <c r="G542" s="42" t="str">
        <f>IF(Agent03_Savings!A149="","",Agent03_Savings!F149)</f>
        <v/>
      </c>
      <c r="H542" s="40" t="str">
        <f>IF(Agent03_Savings!A149="","",Agent03_Savings!I149)</f>
        <v/>
      </c>
      <c r="I542" s="40" t="str">
        <f>IF(Agent03_Savings!A149="","",Agent03_Savings!J149)</f>
        <v/>
      </c>
      <c r="J542" s="40" t="str">
        <f>IF(Agent03_Savings!A149="","",Agent03_Savings!K149)</f>
        <v/>
      </c>
      <c r="K542" s="40" t="str">
        <f>IFERROR(IF(Agent03_Savings!A149="","",YEAR(Agent03_Savings!D149)),"")</f>
        <v/>
      </c>
    </row>
    <row r="543" spans="1:11" ht="18" customHeight="1" x14ac:dyDescent="0.25">
      <c r="A543" s="40" t="str">
        <f>IF(Agent03_Savings!A150="","",Agent03_Savings!A150)</f>
        <v/>
      </c>
      <c r="B543" s="40" t="str">
        <f ca="1">IF(Agent03_Savings!A150="","","SV"&amp;TEXT(543-3,"0000")&amp;"-"&amp;TEXT(TODAY(),"YYYYMMDD"))</f>
        <v/>
      </c>
      <c r="C543" s="40" t="str">
        <f>IF(Agent03_Savings!A150="","",Agent03_Savings!B150)</f>
        <v/>
      </c>
      <c r="D543" s="40" t="str">
        <f>IF(Agent03_Savings!A150="","",Agent03_Savings!G150)</f>
        <v/>
      </c>
      <c r="E543" s="41" t="str">
        <f>IF(Agent03_Savings!A150="","",Agent03_Savings!D150)</f>
        <v/>
      </c>
      <c r="F543" s="42" t="str">
        <f>IF(Agent03_Savings!A150="","",Agent03_Savings!E150)</f>
        <v/>
      </c>
      <c r="G543" s="42" t="str">
        <f>IF(Agent03_Savings!A150="","",Agent03_Savings!F150)</f>
        <v/>
      </c>
      <c r="H543" s="40" t="str">
        <f>IF(Agent03_Savings!A150="","",Agent03_Savings!I150)</f>
        <v/>
      </c>
      <c r="I543" s="40" t="str">
        <f>IF(Agent03_Savings!A150="","",Agent03_Savings!J150)</f>
        <v/>
      </c>
      <c r="J543" s="40" t="str">
        <f>IF(Agent03_Savings!A150="","",Agent03_Savings!K150)</f>
        <v/>
      </c>
      <c r="K543" s="40" t="str">
        <f>IFERROR(IF(Agent03_Savings!A150="","",YEAR(Agent03_Savings!D150)),"")</f>
        <v/>
      </c>
    </row>
    <row r="544" spans="1:11" ht="18" customHeight="1" x14ac:dyDescent="0.25">
      <c r="A544" s="40" t="str">
        <f>IF(Agent03_Savings!A151="","",Agent03_Savings!A151)</f>
        <v/>
      </c>
      <c r="B544" s="40" t="str">
        <f ca="1">IF(Agent03_Savings!A151="","","SV"&amp;TEXT(544-3,"0000")&amp;"-"&amp;TEXT(TODAY(),"YYYYMMDD"))</f>
        <v/>
      </c>
      <c r="C544" s="40" t="str">
        <f>IF(Agent03_Savings!A151="","",Agent03_Savings!B151)</f>
        <v/>
      </c>
      <c r="D544" s="40" t="str">
        <f>IF(Agent03_Savings!A151="","",Agent03_Savings!G151)</f>
        <v/>
      </c>
      <c r="E544" s="41" t="str">
        <f>IF(Agent03_Savings!A151="","",Agent03_Savings!D151)</f>
        <v/>
      </c>
      <c r="F544" s="42" t="str">
        <f>IF(Agent03_Savings!A151="","",Agent03_Savings!E151)</f>
        <v/>
      </c>
      <c r="G544" s="42" t="str">
        <f>IF(Agent03_Savings!A151="","",Agent03_Savings!F151)</f>
        <v/>
      </c>
      <c r="H544" s="40" t="str">
        <f>IF(Agent03_Savings!A151="","",Agent03_Savings!I151)</f>
        <v/>
      </c>
      <c r="I544" s="40" t="str">
        <f>IF(Agent03_Savings!A151="","",Agent03_Savings!J151)</f>
        <v/>
      </c>
      <c r="J544" s="40" t="str">
        <f>IF(Agent03_Savings!A151="","",Agent03_Savings!K151)</f>
        <v/>
      </c>
      <c r="K544" s="40" t="str">
        <f>IFERROR(IF(Agent03_Savings!A151="","",YEAR(Agent03_Savings!D151)),"")</f>
        <v/>
      </c>
    </row>
    <row r="545" spans="1:11" ht="18" customHeight="1" x14ac:dyDescent="0.25">
      <c r="A545" s="40" t="str">
        <f>IF(Agent03_Savings!A152="","",Agent03_Savings!A152)</f>
        <v/>
      </c>
      <c r="B545" s="40" t="str">
        <f ca="1">IF(Agent03_Savings!A152="","","SV"&amp;TEXT(545-3,"0000")&amp;"-"&amp;TEXT(TODAY(),"YYYYMMDD"))</f>
        <v/>
      </c>
      <c r="C545" s="40" t="str">
        <f>IF(Agent03_Savings!A152="","",Agent03_Savings!B152)</f>
        <v/>
      </c>
      <c r="D545" s="40" t="str">
        <f>IF(Agent03_Savings!A152="","",Agent03_Savings!G152)</f>
        <v/>
      </c>
      <c r="E545" s="41" t="str">
        <f>IF(Agent03_Savings!A152="","",Agent03_Savings!D152)</f>
        <v/>
      </c>
      <c r="F545" s="42" t="str">
        <f>IF(Agent03_Savings!A152="","",Agent03_Savings!E152)</f>
        <v/>
      </c>
      <c r="G545" s="42" t="str">
        <f>IF(Agent03_Savings!A152="","",Agent03_Savings!F152)</f>
        <v/>
      </c>
      <c r="H545" s="40" t="str">
        <f>IF(Agent03_Savings!A152="","",Agent03_Savings!I152)</f>
        <v/>
      </c>
      <c r="I545" s="40" t="str">
        <f>IF(Agent03_Savings!A152="","",Agent03_Savings!J152)</f>
        <v/>
      </c>
      <c r="J545" s="40" t="str">
        <f>IF(Agent03_Savings!A152="","",Agent03_Savings!K152)</f>
        <v/>
      </c>
      <c r="K545" s="40" t="str">
        <f>IFERROR(IF(Agent03_Savings!A152="","",YEAR(Agent03_Savings!D152)),"")</f>
        <v/>
      </c>
    </row>
    <row r="546" spans="1:11" ht="18" customHeight="1" x14ac:dyDescent="0.25">
      <c r="A546" s="40" t="str">
        <f>IF(Agent03_Savings!A153="","",Agent03_Savings!A153)</f>
        <v/>
      </c>
      <c r="B546" s="40" t="str">
        <f ca="1">IF(Agent03_Savings!A153="","","SV"&amp;TEXT(546-3,"0000")&amp;"-"&amp;TEXT(TODAY(),"YYYYMMDD"))</f>
        <v/>
      </c>
      <c r="C546" s="40" t="str">
        <f>IF(Agent03_Savings!A153="","",Agent03_Savings!B153)</f>
        <v/>
      </c>
      <c r="D546" s="40" t="str">
        <f>IF(Agent03_Savings!A153="","",Agent03_Savings!G153)</f>
        <v/>
      </c>
      <c r="E546" s="41" t="str">
        <f>IF(Agent03_Savings!A153="","",Agent03_Savings!D153)</f>
        <v/>
      </c>
      <c r="F546" s="42" t="str">
        <f>IF(Agent03_Savings!A153="","",Agent03_Savings!E153)</f>
        <v/>
      </c>
      <c r="G546" s="42" t="str">
        <f>IF(Agent03_Savings!A153="","",Agent03_Savings!F153)</f>
        <v/>
      </c>
      <c r="H546" s="40" t="str">
        <f>IF(Agent03_Savings!A153="","",Agent03_Savings!I153)</f>
        <v/>
      </c>
      <c r="I546" s="40" t="str">
        <f>IF(Agent03_Savings!A153="","",Agent03_Savings!J153)</f>
        <v/>
      </c>
      <c r="J546" s="40" t="str">
        <f>IF(Agent03_Savings!A153="","",Agent03_Savings!K153)</f>
        <v/>
      </c>
      <c r="K546" s="40" t="str">
        <f>IFERROR(IF(Agent03_Savings!A153="","",YEAR(Agent03_Savings!D153)),"")</f>
        <v/>
      </c>
    </row>
    <row r="547" spans="1:11" ht="18" customHeight="1" x14ac:dyDescent="0.25">
      <c r="A547" s="40" t="str">
        <f>IF(Agent03_Savings!A154="","",Agent03_Savings!A154)</f>
        <v/>
      </c>
      <c r="B547" s="40" t="str">
        <f ca="1">IF(Agent03_Savings!A154="","","SV"&amp;TEXT(547-3,"0000")&amp;"-"&amp;TEXT(TODAY(),"YYYYMMDD"))</f>
        <v/>
      </c>
      <c r="C547" s="40" t="str">
        <f>IF(Agent03_Savings!A154="","",Agent03_Savings!B154)</f>
        <v/>
      </c>
      <c r="D547" s="40" t="str">
        <f>IF(Agent03_Savings!A154="","",Agent03_Savings!G154)</f>
        <v/>
      </c>
      <c r="E547" s="41" t="str">
        <f>IF(Agent03_Savings!A154="","",Agent03_Savings!D154)</f>
        <v/>
      </c>
      <c r="F547" s="42" t="str">
        <f>IF(Agent03_Savings!A154="","",Agent03_Savings!E154)</f>
        <v/>
      </c>
      <c r="G547" s="42" t="str">
        <f>IF(Agent03_Savings!A154="","",Agent03_Savings!F154)</f>
        <v/>
      </c>
      <c r="H547" s="40" t="str">
        <f>IF(Agent03_Savings!A154="","",Agent03_Savings!I154)</f>
        <v/>
      </c>
      <c r="I547" s="40" t="str">
        <f>IF(Agent03_Savings!A154="","",Agent03_Savings!J154)</f>
        <v/>
      </c>
      <c r="J547" s="40" t="str">
        <f>IF(Agent03_Savings!A154="","",Agent03_Savings!K154)</f>
        <v/>
      </c>
      <c r="K547" s="40" t="str">
        <f>IFERROR(IF(Agent03_Savings!A154="","",YEAR(Agent03_Savings!D154)),"")</f>
        <v/>
      </c>
    </row>
    <row r="548" spans="1:11" ht="18" customHeight="1" x14ac:dyDescent="0.25">
      <c r="A548" s="40" t="str">
        <f>IF(Agent03_Savings!A155="","",Agent03_Savings!A155)</f>
        <v/>
      </c>
      <c r="B548" s="40" t="str">
        <f ca="1">IF(Agent03_Savings!A155="","","SV"&amp;TEXT(548-3,"0000")&amp;"-"&amp;TEXT(TODAY(),"YYYYMMDD"))</f>
        <v/>
      </c>
      <c r="C548" s="40" t="str">
        <f>IF(Agent03_Savings!A155="","",Agent03_Savings!B155)</f>
        <v/>
      </c>
      <c r="D548" s="40" t="str">
        <f>IF(Agent03_Savings!A155="","",Agent03_Savings!G155)</f>
        <v/>
      </c>
      <c r="E548" s="41" t="str">
        <f>IF(Agent03_Savings!A155="","",Agent03_Savings!D155)</f>
        <v/>
      </c>
      <c r="F548" s="42" t="str">
        <f>IF(Agent03_Savings!A155="","",Agent03_Savings!E155)</f>
        <v/>
      </c>
      <c r="G548" s="42" t="str">
        <f>IF(Agent03_Savings!A155="","",Agent03_Savings!F155)</f>
        <v/>
      </c>
      <c r="H548" s="40" t="str">
        <f>IF(Agent03_Savings!A155="","",Agent03_Savings!I155)</f>
        <v/>
      </c>
      <c r="I548" s="40" t="str">
        <f>IF(Agent03_Savings!A155="","",Agent03_Savings!J155)</f>
        <v/>
      </c>
      <c r="J548" s="40" t="str">
        <f>IF(Agent03_Savings!A155="","",Agent03_Savings!K155)</f>
        <v/>
      </c>
      <c r="K548" s="40" t="str">
        <f>IFERROR(IF(Agent03_Savings!A155="","",YEAR(Agent03_Savings!D155)),"")</f>
        <v/>
      </c>
    </row>
    <row r="549" spans="1:11" ht="18" customHeight="1" x14ac:dyDescent="0.25">
      <c r="A549" s="40" t="str">
        <f>IF(Agent03_Savings!A156="","",Agent03_Savings!A156)</f>
        <v/>
      </c>
      <c r="B549" s="40" t="str">
        <f ca="1">IF(Agent03_Savings!A156="","","SV"&amp;TEXT(549-3,"0000")&amp;"-"&amp;TEXT(TODAY(),"YYYYMMDD"))</f>
        <v/>
      </c>
      <c r="C549" s="40" t="str">
        <f>IF(Agent03_Savings!A156="","",Agent03_Savings!B156)</f>
        <v/>
      </c>
      <c r="D549" s="40" t="str">
        <f>IF(Agent03_Savings!A156="","",Agent03_Savings!G156)</f>
        <v/>
      </c>
      <c r="E549" s="41" t="str">
        <f>IF(Agent03_Savings!A156="","",Agent03_Savings!D156)</f>
        <v/>
      </c>
      <c r="F549" s="42" t="str">
        <f>IF(Agent03_Savings!A156="","",Agent03_Savings!E156)</f>
        <v/>
      </c>
      <c r="G549" s="42" t="str">
        <f>IF(Agent03_Savings!A156="","",Agent03_Savings!F156)</f>
        <v/>
      </c>
      <c r="H549" s="40" t="str">
        <f>IF(Agent03_Savings!A156="","",Agent03_Savings!I156)</f>
        <v/>
      </c>
      <c r="I549" s="40" t="str">
        <f>IF(Agent03_Savings!A156="","",Agent03_Savings!J156)</f>
        <v/>
      </c>
      <c r="J549" s="40" t="str">
        <f>IF(Agent03_Savings!A156="","",Agent03_Savings!K156)</f>
        <v/>
      </c>
      <c r="K549" s="40" t="str">
        <f>IFERROR(IF(Agent03_Savings!A156="","",YEAR(Agent03_Savings!D156)),"")</f>
        <v/>
      </c>
    </row>
    <row r="550" spans="1:11" ht="18" customHeight="1" x14ac:dyDescent="0.25">
      <c r="A550" s="40" t="str">
        <f>IF(Agent03_Savings!A157="","",Agent03_Savings!A157)</f>
        <v/>
      </c>
      <c r="B550" s="40" t="str">
        <f ca="1">IF(Agent03_Savings!A157="","","SV"&amp;TEXT(550-3,"0000")&amp;"-"&amp;TEXT(TODAY(),"YYYYMMDD"))</f>
        <v/>
      </c>
      <c r="C550" s="40" t="str">
        <f>IF(Agent03_Savings!A157="","",Agent03_Savings!B157)</f>
        <v/>
      </c>
      <c r="D550" s="40" t="str">
        <f>IF(Agent03_Savings!A157="","",Agent03_Savings!G157)</f>
        <v/>
      </c>
      <c r="E550" s="41" t="str">
        <f>IF(Agent03_Savings!A157="","",Agent03_Savings!D157)</f>
        <v/>
      </c>
      <c r="F550" s="42" t="str">
        <f>IF(Agent03_Savings!A157="","",Agent03_Savings!E157)</f>
        <v/>
      </c>
      <c r="G550" s="42" t="str">
        <f>IF(Agent03_Savings!A157="","",Agent03_Savings!F157)</f>
        <v/>
      </c>
      <c r="H550" s="40" t="str">
        <f>IF(Agent03_Savings!A157="","",Agent03_Savings!I157)</f>
        <v/>
      </c>
      <c r="I550" s="40" t="str">
        <f>IF(Agent03_Savings!A157="","",Agent03_Savings!J157)</f>
        <v/>
      </c>
      <c r="J550" s="40" t="str">
        <f>IF(Agent03_Savings!A157="","",Agent03_Savings!K157)</f>
        <v/>
      </c>
      <c r="K550" s="40" t="str">
        <f>IFERROR(IF(Agent03_Savings!A157="","",YEAR(Agent03_Savings!D157)),"")</f>
        <v/>
      </c>
    </row>
    <row r="551" spans="1:11" ht="18" customHeight="1" x14ac:dyDescent="0.25">
      <c r="A551" s="40" t="str">
        <f>IF(Agent03_Savings!A158="","",Agent03_Savings!A158)</f>
        <v/>
      </c>
      <c r="B551" s="40" t="str">
        <f ca="1">IF(Agent03_Savings!A158="","","SV"&amp;TEXT(551-3,"0000")&amp;"-"&amp;TEXT(TODAY(),"YYYYMMDD"))</f>
        <v/>
      </c>
      <c r="C551" s="40" t="str">
        <f>IF(Agent03_Savings!A158="","",Agent03_Savings!B158)</f>
        <v/>
      </c>
      <c r="D551" s="40" t="str">
        <f>IF(Agent03_Savings!A158="","",Agent03_Savings!G158)</f>
        <v/>
      </c>
      <c r="E551" s="41" t="str">
        <f>IF(Agent03_Savings!A158="","",Agent03_Savings!D158)</f>
        <v/>
      </c>
      <c r="F551" s="42" t="str">
        <f>IF(Agent03_Savings!A158="","",Agent03_Savings!E158)</f>
        <v/>
      </c>
      <c r="G551" s="42" t="str">
        <f>IF(Agent03_Savings!A158="","",Agent03_Savings!F158)</f>
        <v/>
      </c>
      <c r="H551" s="40" t="str">
        <f>IF(Agent03_Savings!A158="","",Agent03_Savings!I158)</f>
        <v/>
      </c>
      <c r="I551" s="40" t="str">
        <f>IF(Agent03_Savings!A158="","",Agent03_Savings!J158)</f>
        <v/>
      </c>
      <c r="J551" s="40" t="str">
        <f>IF(Agent03_Savings!A158="","",Agent03_Savings!K158)</f>
        <v/>
      </c>
      <c r="K551" s="40" t="str">
        <f>IFERROR(IF(Agent03_Savings!A158="","",YEAR(Agent03_Savings!D158)),"")</f>
        <v/>
      </c>
    </row>
    <row r="552" spans="1:11" ht="18" customHeight="1" x14ac:dyDescent="0.25">
      <c r="A552" s="40" t="str">
        <f>IF(Agent03_Savings!A159="","",Agent03_Savings!A159)</f>
        <v/>
      </c>
      <c r="B552" s="40" t="str">
        <f ca="1">IF(Agent03_Savings!A159="","","SV"&amp;TEXT(552-3,"0000")&amp;"-"&amp;TEXT(TODAY(),"YYYYMMDD"))</f>
        <v/>
      </c>
      <c r="C552" s="40" t="str">
        <f>IF(Agent03_Savings!A159="","",Agent03_Savings!B159)</f>
        <v/>
      </c>
      <c r="D552" s="40" t="str">
        <f>IF(Agent03_Savings!A159="","",Agent03_Savings!G159)</f>
        <v/>
      </c>
      <c r="E552" s="41" t="str">
        <f>IF(Agent03_Savings!A159="","",Agent03_Savings!D159)</f>
        <v/>
      </c>
      <c r="F552" s="42" t="str">
        <f>IF(Agent03_Savings!A159="","",Agent03_Savings!E159)</f>
        <v/>
      </c>
      <c r="G552" s="42" t="str">
        <f>IF(Agent03_Savings!A159="","",Agent03_Savings!F159)</f>
        <v/>
      </c>
      <c r="H552" s="40" t="str">
        <f>IF(Agent03_Savings!A159="","",Agent03_Savings!I159)</f>
        <v/>
      </c>
      <c r="I552" s="40" t="str">
        <f>IF(Agent03_Savings!A159="","",Agent03_Savings!J159)</f>
        <v/>
      </c>
      <c r="J552" s="40" t="str">
        <f>IF(Agent03_Savings!A159="","",Agent03_Savings!K159)</f>
        <v/>
      </c>
      <c r="K552" s="40" t="str">
        <f>IFERROR(IF(Agent03_Savings!A159="","",YEAR(Agent03_Savings!D159)),"")</f>
        <v/>
      </c>
    </row>
    <row r="553" spans="1:11" ht="18" customHeight="1" x14ac:dyDescent="0.25">
      <c r="A553" s="40" t="str">
        <f>IF(Agent03_Savings!A160="","",Agent03_Savings!A160)</f>
        <v/>
      </c>
      <c r="B553" s="40" t="str">
        <f ca="1">IF(Agent03_Savings!A160="","","SV"&amp;TEXT(553-3,"0000")&amp;"-"&amp;TEXT(TODAY(),"YYYYMMDD"))</f>
        <v/>
      </c>
      <c r="C553" s="40" t="str">
        <f>IF(Agent03_Savings!A160="","",Agent03_Savings!B160)</f>
        <v/>
      </c>
      <c r="D553" s="40" t="str">
        <f>IF(Agent03_Savings!A160="","",Agent03_Savings!G160)</f>
        <v/>
      </c>
      <c r="E553" s="41" t="str">
        <f>IF(Agent03_Savings!A160="","",Agent03_Savings!D160)</f>
        <v/>
      </c>
      <c r="F553" s="42" t="str">
        <f>IF(Agent03_Savings!A160="","",Agent03_Savings!E160)</f>
        <v/>
      </c>
      <c r="G553" s="42" t="str">
        <f>IF(Agent03_Savings!A160="","",Agent03_Savings!F160)</f>
        <v/>
      </c>
      <c r="H553" s="40" t="str">
        <f>IF(Agent03_Savings!A160="","",Agent03_Savings!I160)</f>
        <v/>
      </c>
      <c r="I553" s="40" t="str">
        <f>IF(Agent03_Savings!A160="","",Agent03_Savings!J160)</f>
        <v/>
      </c>
      <c r="J553" s="40" t="str">
        <f>IF(Agent03_Savings!A160="","",Agent03_Savings!K160)</f>
        <v/>
      </c>
      <c r="K553" s="40" t="str">
        <f>IFERROR(IF(Agent03_Savings!A160="","",YEAR(Agent03_Savings!D160)),"")</f>
        <v/>
      </c>
    </row>
    <row r="554" spans="1:11" ht="18" customHeight="1" x14ac:dyDescent="0.25">
      <c r="A554" s="40" t="str">
        <f>IF(Agent03_Savings!A161="","",Agent03_Savings!A161)</f>
        <v/>
      </c>
      <c r="B554" s="40" t="str">
        <f ca="1">IF(Agent03_Savings!A161="","","SV"&amp;TEXT(554-3,"0000")&amp;"-"&amp;TEXT(TODAY(),"YYYYMMDD"))</f>
        <v/>
      </c>
      <c r="C554" s="40" t="str">
        <f>IF(Agent03_Savings!A161="","",Agent03_Savings!B161)</f>
        <v/>
      </c>
      <c r="D554" s="40" t="str">
        <f>IF(Agent03_Savings!A161="","",Agent03_Savings!G161)</f>
        <v/>
      </c>
      <c r="E554" s="41" t="str">
        <f>IF(Agent03_Savings!A161="","",Agent03_Savings!D161)</f>
        <v/>
      </c>
      <c r="F554" s="42" t="str">
        <f>IF(Agent03_Savings!A161="","",Agent03_Savings!E161)</f>
        <v/>
      </c>
      <c r="G554" s="42" t="str">
        <f>IF(Agent03_Savings!A161="","",Agent03_Savings!F161)</f>
        <v/>
      </c>
      <c r="H554" s="40" t="str">
        <f>IF(Agent03_Savings!A161="","",Agent03_Savings!I161)</f>
        <v/>
      </c>
      <c r="I554" s="40" t="str">
        <f>IF(Agent03_Savings!A161="","",Agent03_Savings!J161)</f>
        <v/>
      </c>
      <c r="J554" s="40" t="str">
        <f>IF(Agent03_Savings!A161="","",Agent03_Savings!K161)</f>
        <v/>
      </c>
      <c r="K554" s="40" t="str">
        <f>IFERROR(IF(Agent03_Savings!A161="","",YEAR(Agent03_Savings!D161)),"")</f>
        <v/>
      </c>
    </row>
    <row r="555" spans="1:11" ht="18" customHeight="1" x14ac:dyDescent="0.25">
      <c r="A555" s="40" t="str">
        <f>IF(Agent03_Savings!A162="","",Agent03_Savings!A162)</f>
        <v/>
      </c>
      <c r="B555" s="40" t="str">
        <f ca="1">IF(Agent03_Savings!A162="","","SV"&amp;TEXT(555-3,"0000")&amp;"-"&amp;TEXT(TODAY(),"YYYYMMDD"))</f>
        <v/>
      </c>
      <c r="C555" s="40" t="str">
        <f>IF(Agent03_Savings!A162="","",Agent03_Savings!B162)</f>
        <v/>
      </c>
      <c r="D555" s="40" t="str">
        <f>IF(Agent03_Savings!A162="","",Agent03_Savings!G162)</f>
        <v/>
      </c>
      <c r="E555" s="41" t="str">
        <f>IF(Agent03_Savings!A162="","",Agent03_Savings!D162)</f>
        <v/>
      </c>
      <c r="F555" s="42" t="str">
        <f>IF(Agent03_Savings!A162="","",Agent03_Savings!E162)</f>
        <v/>
      </c>
      <c r="G555" s="42" t="str">
        <f>IF(Agent03_Savings!A162="","",Agent03_Savings!F162)</f>
        <v/>
      </c>
      <c r="H555" s="40" t="str">
        <f>IF(Agent03_Savings!A162="","",Agent03_Savings!I162)</f>
        <v/>
      </c>
      <c r="I555" s="40" t="str">
        <f>IF(Agent03_Savings!A162="","",Agent03_Savings!J162)</f>
        <v/>
      </c>
      <c r="J555" s="40" t="str">
        <f>IF(Agent03_Savings!A162="","",Agent03_Savings!K162)</f>
        <v/>
      </c>
      <c r="K555" s="40" t="str">
        <f>IFERROR(IF(Agent03_Savings!A162="","",YEAR(Agent03_Savings!D162)),"")</f>
        <v/>
      </c>
    </row>
    <row r="556" spans="1:11" ht="18" customHeight="1" x14ac:dyDescent="0.25">
      <c r="A556" s="40" t="str">
        <f>IF(Agent03_Savings!A163="","",Agent03_Savings!A163)</f>
        <v/>
      </c>
      <c r="B556" s="40" t="str">
        <f ca="1">IF(Agent03_Savings!A163="","","SV"&amp;TEXT(556-3,"0000")&amp;"-"&amp;TEXT(TODAY(),"YYYYMMDD"))</f>
        <v/>
      </c>
      <c r="C556" s="40" t="str">
        <f>IF(Agent03_Savings!A163="","",Agent03_Savings!B163)</f>
        <v/>
      </c>
      <c r="D556" s="40" t="str">
        <f>IF(Agent03_Savings!A163="","",Agent03_Savings!G163)</f>
        <v/>
      </c>
      <c r="E556" s="41" t="str">
        <f>IF(Agent03_Savings!A163="","",Agent03_Savings!D163)</f>
        <v/>
      </c>
      <c r="F556" s="42" t="str">
        <f>IF(Agent03_Savings!A163="","",Agent03_Savings!E163)</f>
        <v/>
      </c>
      <c r="G556" s="42" t="str">
        <f>IF(Agent03_Savings!A163="","",Agent03_Savings!F163)</f>
        <v/>
      </c>
      <c r="H556" s="40" t="str">
        <f>IF(Agent03_Savings!A163="","",Agent03_Savings!I163)</f>
        <v/>
      </c>
      <c r="I556" s="40" t="str">
        <f>IF(Agent03_Savings!A163="","",Agent03_Savings!J163)</f>
        <v/>
      </c>
      <c r="J556" s="40" t="str">
        <f>IF(Agent03_Savings!A163="","",Agent03_Savings!K163)</f>
        <v/>
      </c>
      <c r="K556" s="40" t="str">
        <f>IFERROR(IF(Agent03_Savings!A163="","",YEAR(Agent03_Savings!D163)),"")</f>
        <v/>
      </c>
    </row>
    <row r="557" spans="1:11" ht="18" customHeight="1" x14ac:dyDescent="0.25">
      <c r="A557" s="40" t="str">
        <f>IF(Agent03_Savings!A164="","",Agent03_Savings!A164)</f>
        <v/>
      </c>
      <c r="B557" s="40" t="str">
        <f ca="1">IF(Agent03_Savings!A164="","","SV"&amp;TEXT(557-3,"0000")&amp;"-"&amp;TEXT(TODAY(),"YYYYMMDD"))</f>
        <v/>
      </c>
      <c r="C557" s="40" t="str">
        <f>IF(Agent03_Savings!A164="","",Agent03_Savings!B164)</f>
        <v/>
      </c>
      <c r="D557" s="40" t="str">
        <f>IF(Agent03_Savings!A164="","",Agent03_Savings!G164)</f>
        <v/>
      </c>
      <c r="E557" s="41" t="str">
        <f>IF(Agent03_Savings!A164="","",Agent03_Savings!D164)</f>
        <v/>
      </c>
      <c r="F557" s="42" t="str">
        <f>IF(Agent03_Savings!A164="","",Agent03_Savings!E164)</f>
        <v/>
      </c>
      <c r="G557" s="42" t="str">
        <f>IF(Agent03_Savings!A164="","",Agent03_Savings!F164)</f>
        <v/>
      </c>
      <c r="H557" s="40" t="str">
        <f>IF(Agent03_Savings!A164="","",Agent03_Savings!I164)</f>
        <v/>
      </c>
      <c r="I557" s="40" t="str">
        <f>IF(Agent03_Savings!A164="","",Agent03_Savings!J164)</f>
        <v/>
      </c>
      <c r="J557" s="40" t="str">
        <f>IF(Agent03_Savings!A164="","",Agent03_Savings!K164)</f>
        <v/>
      </c>
      <c r="K557" s="40" t="str">
        <f>IFERROR(IF(Agent03_Savings!A164="","",YEAR(Agent03_Savings!D164)),"")</f>
        <v/>
      </c>
    </row>
    <row r="558" spans="1:11" ht="18" customHeight="1" x14ac:dyDescent="0.25">
      <c r="A558" s="40" t="str">
        <f>IF(Agent03_Savings!A165="","",Agent03_Savings!A165)</f>
        <v/>
      </c>
      <c r="B558" s="40" t="str">
        <f ca="1">IF(Agent03_Savings!A165="","","SV"&amp;TEXT(558-3,"0000")&amp;"-"&amp;TEXT(TODAY(),"YYYYMMDD"))</f>
        <v/>
      </c>
      <c r="C558" s="40" t="str">
        <f>IF(Agent03_Savings!A165="","",Agent03_Savings!B165)</f>
        <v/>
      </c>
      <c r="D558" s="40" t="str">
        <f>IF(Agent03_Savings!A165="","",Agent03_Savings!G165)</f>
        <v/>
      </c>
      <c r="E558" s="41" t="str">
        <f>IF(Agent03_Savings!A165="","",Agent03_Savings!D165)</f>
        <v/>
      </c>
      <c r="F558" s="42" t="str">
        <f>IF(Agent03_Savings!A165="","",Agent03_Savings!E165)</f>
        <v/>
      </c>
      <c r="G558" s="42" t="str">
        <f>IF(Agent03_Savings!A165="","",Agent03_Savings!F165)</f>
        <v/>
      </c>
      <c r="H558" s="40" t="str">
        <f>IF(Agent03_Savings!A165="","",Agent03_Savings!I165)</f>
        <v/>
      </c>
      <c r="I558" s="40" t="str">
        <f>IF(Agent03_Savings!A165="","",Agent03_Savings!J165)</f>
        <v/>
      </c>
      <c r="J558" s="40" t="str">
        <f>IF(Agent03_Savings!A165="","",Agent03_Savings!K165)</f>
        <v/>
      </c>
      <c r="K558" s="40" t="str">
        <f>IFERROR(IF(Agent03_Savings!A165="","",YEAR(Agent03_Savings!D165)),"")</f>
        <v/>
      </c>
    </row>
    <row r="559" spans="1:11" ht="18" customHeight="1" x14ac:dyDescent="0.25">
      <c r="A559" s="40" t="str">
        <f>IF(Agent03_Savings!A166="","",Agent03_Savings!A166)</f>
        <v/>
      </c>
      <c r="B559" s="40" t="str">
        <f ca="1">IF(Agent03_Savings!A166="","","SV"&amp;TEXT(559-3,"0000")&amp;"-"&amp;TEXT(TODAY(),"YYYYMMDD"))</f>
        <v/>
      </c>
      <c r="C559" s="40" t="str">
        <f>IF(Agent03_Savings!A166="","",Agent03_Savings!B166)</f>
        <v/>
      </c>
      <c r="D559" s="40" t="str">
        <f>IF(Agent03_Savings!A166="","",Agent03_Savings!G166)</f>
        <v/>
      </c>
      <c r="E559" s="41" t="str">
        <f>IF(Agent03_Savings!A166="","",Agent03_Savings!D166)</f>
        <v/>
      </c>
      <c r="F559" s="42" t="str">
        <f>IF(Agent03_Savings!A166="","",Agent03_Savings!E166)</f>
        <v/>
      </c>
      <c r="G559" s="42" t="str">
        <f>IF(Agent03_Savings!A166="","",Agent03_Savings!F166)</f>
        <v/>
      </c>
      <c r="H559" s="40" t="str">
        <f>IF(Agent03_Savings!A166="","",Agent03_Savings!I166)</f>
        <v/>
      </c>
      <c r="I559" s="40" t="str">
        <f>IF(Agent03_Savings!A166="","",Agent03_Savings!J166)</f>
        <v/>
      </c>
      <c r="J559" s="40" t="str">
        <f>IF(Agent03_Savings!A166="","",Agent03_Savings!K166)</f>
        <v/>
      </c>
      <c r="K559" s="40" t="str">
        <f>IFERROR(IF(Agent03_Savings!A166="","",YEAR(Agent03_Savings!D166)),"")</f>
        <v/>
      </c>
    </row>
    <row r="560" spans="1:11" ht="18" customHeight="1" x14ac:dyDescent="0.25">
      <c r="A560" s="40" t="str">
        <f>IF(Agent03_Savings!A167="","",Agent03_Savings!A167)</f>
        <v/>
      </c>
      <c r="B560" s="40" t="str">
        <f ca="1">IF(Agent03_Savings!A167="","","SV"&amp;TEXT(560-3,"0000")&amp;"-"&amp;TEXT(TODAY(),"YYYYMMDD"))</f>
        <v/>
      </c>
      <c r="C560" s="40" t="str">
        <f>IF(Agent03_Savings!A167="","",Agent03_Savings!B167)</f>
        <v/>
      </c>
      <c r="D560" s="40" t="str">
        <f>IF(Agent03_Savings!A167="","",Agent03_Savings!G167)</f>
        <v/>
      </c>
      <c r="E560" s="41" t="str">
        <f>IF(Agent03_Savings!A167="","",Agent03_Savings!D167)</f>
        <v/>
      </c>
      <c r="F560" s="42" t="str">
        <f>IF(Agent03_Savings!A167="","",Agent03_Savings!E167)</f>
        <v/>
      </c>
      <c r="G560" s="42" t="str">
        <f>IF(Agent03_Savings!A167="","",Agent03_Savings!F167)</f>
        <v/>
      </c>
      <c r="H560" s="40" t="str">
        <f>IF(Agent03_Savings!A167="","",Agent03_Savings!I167)</f>
        <v/>
      </c>
      <c r="I560" s="40" t="str">
        <f>IF(Agent03_Savings!A167="","",Agent03_Savings!J167)</f>
        <v/>
      </c>
      <c r="J560" s="40" t="str">
        <f>IF(Agent03_Savings!A167="","",Agent03_Savings!K167)</f>
        <v/>
      </c>
      <c r="K560" s="40" t="str">
        <f>IFERROR(IF(Agent03_Savings!A167="","",YEAR(Agent03_Savings!D167)),"")</f>
        <v/>
      </c>
    </row>
    <row r="561" spans="1:11" ht="18" customHeight="1" x14ac:dyDescent="0.25">
      <c r="A561" s="40" t="str">
        <f>IF(Agent03_Savings!A168="","",Agent03_Savings!A168)</f>
        <v/>
      </c>
      <c r="B561" s="40" t="str">
        <f ca="1">IF(Agent03_Savings!A168="","","SV"&amp;TEXT(561-3,"0000")&amp;"-"&amp;TEXT(TODAY(),"YYYYMMDD"))</f>
        <v/>
      </c>
      <c r="C561" s="40" t="str">
        <f>IF(Agent03_Savings!A168="","",Agent03_Savings!B168)</f>
        <v/>
      </c>
      <c r="D561" s="40" t="str">
        <f>IF(Agent03_Savings!A168="","",Agent03_Savings!G168)</f>
        <v/>
      </c>
      <c r="E561" s="41" t="str">
        <f>IF(Agent03_Savings!A168="","",Agent03_Savings!D168)</f>
        <v/>
      </c>
      <c r="F561" s="42" t="str">
        <f>IF(Agent03_Savings!A168="","",Agent03_Savings!E168)</f>
        <v/>
      </c>
      <c r="G561" s="42" t="str">
        <f>IF(Agent03_Savings!A168="","",Agent03_Savings!F168)</f>
        <v/>
      </c>
      <c r="H561" s="40" t="str">
        <f>IF(Agent03_Savings!A168="","",Agent03_Savings!I168)</f>
        <v/>
      </c>
      <c r="I561" s="40" t="str">
        <f>IF(Agent03_Savings!A168="","",Agent03_Savings!J168)</f>
        <v/>
      </c>
      <c r="J561" s="40" t="str">
        <f>IF(Agent03_Savings!A168="","",Agent03_Savings!K168)</f>
        <v/>
      </c>
      <c r="K561" s="40" t="str">
        <f>IFERROR(IF(Agent03_Savings!A168="","",YEAR(Agent03_Savings!D168)),"")</f>
        <v/>
      </c>
    </row>
    <row r="562" spans="1:11" ht="18" customHeight="1" x14ac:dyDescent="0.25">
      <c r="A562" s="40" t="str">
        <f>IF(Agent03_Savings!A169="","",Agent03_Savings!A169)</f>
        <v/>
      </c>
      <c r="B562" s="40" t="str">
        <f ca="1">IF(Agent03_Savings!A169="","","SV"&amp;TEXT(562-3,"0000")&amp;"-"&amp;TEXT(TODAY(),"YYYYMMDD"))</f>
        <v/>
      </c>
      <c r="C562" s="40" t="str">
        <f>IF(Agent03_Savings!A169="","",Agent03_Savings!B169)</f>
        <v/>
      </c>
      <c r="D562" s="40" t="str">
        <f>IF(Agent03_Savings!A169="","",Agent03_Savings!G169)</f>
        <v/>
      </c>
      <c r="E562" s="41" t="str">
        <f>IF(Agent03_Savings!A169="","",Agent03_Savings!D169)</f>
        <v/>
      </c>
      <c r="F562" s="42" t="str">
        <f>IF(Agent03_Savings!A169="","",Agent03_Savings!E169)</f>
        <v/>
      </c>
      <c r="G562" s="42" t="str">
        <f>IF(Agent03_Savings!A169="","",Agent03_Savings!F169)</f>
        <v/>
      </c>
      <c r="H562" s="40" t="str">
        <f>IF(Agent03_Savings!A169="","",Agent03_Savings!I169)</f>
        <v/>
      </c>
      <c r="I562" s="40" t="str">
        <f>IF(Agent03_Savings!A169="","",Agent03_Savings!J169)</f>
        <v/>
      </c>
      <c r="J562" s="40" t="str">
        <f>IF(Agent03_Savings!A169="","",Agent03_Savings!K169)</f>
        <v/>
      </c>
      <c r="K562" s="40" t="str">
        <f>IFERROR(IF(Agent03_Savings!A169="","",YEAR(Agent03_Savings!D169)),"")</f>
        <v/>
      </c>
    </row>
    <row r="563" spans="1:11" ht="18" customHeight="1" x14ac:dyDescent="0.25">
      <c r="A563" s="40" t="str">
        <f>IF(Agent03_Savings!A170="","",Agent03_Savings!A170)</f>
        <v/>
      </c>
      <c r="B563" s="40" t="str">
        <f ca="1">IF(Agent03_Savings!A170="","","SV"&amp;TEXT(563-3,"0000")&amp;"-"&amp;TEXT(TODAY(),"YYYYMMDD"))</f>
        <v/>
      </c>
      <c r="C563" s="40" t="str">
        <f>IF(Agent03_Savings!A170="","",Agent03_Savings!B170)</f>
        <v/>
      </c>
      <c r="D563" s="40" t="str">
        <f>IF(Agent03_Savings!A170="","",Agent03_Savings!G170)</f>
        <v/>
      </c>
      <c r="E563" s="41" t="str">
        <f>IF(Agent03_Savings!A170="","",Agent03_Savings!D170)</f>
        <v/>
      </c>
      <c r="F563" s="42" t="str">
        <f>IF(Agent03_Savings!A170="","",Agent03_Savings!E170)</f>
        <v/>
      </c>
      <c r="G563" s="42" t="str">
        <f>IF(Agent03_Savings!A170="","",Agent03_Savings!F170)</f>
        <v/>
      </c>
      <c r="H563" s="40" t="str">
        <f>IF(Agent03_Savings!A170="","",Agent03_Savings!I170)</f>
        <v/>
      </c>
      <c r="I563" s="40" t="str">
        <f>IF(Agent03_Savings!A170="","",Agent03_Savings!J170)</f>
        <v/>
      </c>
      <c r="J563" s="40" t="str">
        <f>IF(Agent03_Savings!A170="","",Agent03_Savings!K170)</f>
        <v/>
      </c>
      <c r="K563" s="40" t="str">
        <f>IFERROR(IF(Agent03_Savings!A170="","",YEAR(Agent03_Savings!D170)),"")</f>
        <v/>
      </c>
    </row>
    <row r="564" spans="1:11" ht="18" customHeight="1" x14ac:dyDescent="0.25">
      <c r="A564" s="40" t="str">
        <f>IF(Agent03_Savings!A171="","",Agent03_Savings!A171)</f>
        <v/>
      </c>
      <c r="B564" s="40" t="str">
        <f ca="1">IF(Agent03_Savings!A171="","","SV"&amp;TEXT(564-3,"0000")&amp;"-"&amp;TEXT(TODAY(),"YYYYMMDD"))</f>
        <v/>
      </c>
      <c r="C564" s="40" t="str">
        <f>IF(Agent03_Savings!A171="","",Agent03_Savings!B171)</f>
        <v/>
      </c>
      <c r="D564" s="40" t="str">
        <f>IF(Agent03_Savings!A171="","",Agent03_Savings!G171)</f>
        <v/>
      </c>
      <c r="E564" s="41" t="str">
        <f>IF(Agent03_Savings!A171="","",Agent03_Savings!D171)</f>
        <v/>
      </c>
      <c r="F564" s="42" t="str">
        <f>IF(Agent03_Savings!A171="","",Agent03_Savings!E171)</f>
        <v/>
      </c>
      <c r="G564" s="42" t="str">
        <f>IF(Agent03_Savings!A171="","",Agent03_Savings!F171)</f>
        <v/>
      </c>
      <c r="H564" s="40" t="str">
        <f>IF(Agent03_Savings!A171="","",Agent03_Savings!I171)</f>
        <v/>
      </c>
      <c r="I564" s="40" t="str">
        <f>IF(Agent03_Savings!A171="","",Agent03_Savings!J171)</f>
        <v/>
      </c>
      <c r="J564" s="40" t="str">
        <f>IF(Agent03_Savings!A171="","",Agent03_Savings!K171)</f>
        <v/>
      </c>
      <c r="K564" s="40" t="str">
        <f>IFERROR(IF(Agent03_Savings!A171="","",YEAR(Agent03_Savings!D171)),"")</f>
        <v/>
      </c>
    </row>
    <row r="565" spans="1:11" ht="18" customHeight="1" x14ac:dyDescent="0.25">
      <c r="A565" s="40" t="str">
        <f>IF(Agent03_Savings!A172="","",Agent03_Savings!A172)</f>
        <v/>
      </c>
      <c r="B565" s="40" t="str">
        <f ca="1">IF(Agent03_Savings!A172="","","SV"&amp;TEXT(565-3,"0000")&amp;"-"&amp;TEXT(TODAY(),"YYYYMMDD"))</f>
        <v/>
      </c>
      <c r="C565" s="40" t="str">
        <f>IF(Agent03_Savings!A172="","",Agent03_Savings!B172)</f>
        <v/>
      </c>
      <c r="D565" s="40" t="str">
        <f>IF(Agent03_Savings!A172="","",Agent03_Savings!G172)</f>
        <v/>
      </c>
      <c r="E565" s="41" t="str">
        <f>IF(Agent03_Savings!A172="","",Agent03_Savings!D172)</f>
        <v/>
      </c>
      <c r="F565" s="42" t="str">
        <f>IF(Agent03_Savings!A172="","",Agent03_Savings!E172)</f>
        <v/>
      </c>
      <c r="G565" s="42" t="str">
        <f>IF(Agent03_Savings!A172="","",Agent03_Savings!F172)</f>
        <v/>
      </c>
      <c r="H565" s="40" t="str">
        <f>IF(Agent03_Savings!A172="","",Agent03_Savings!I172)</f>
        <v/>
      </c>
      <c r="I565" s="40" t="str">
        <f>IF(Agent03_Savings!A172="","",Agent03_Savings!J172)</f>
        <v/>
      </c>
      <c r="J565" s="40" t="str">
        <f>IF(Agent03_Savings!A172="","",Agent03_Savings!K172)</f>
        <v/>
      </c>
      <c r="K565" s="40" t="str">
        <f>IFERROR(IF(Agent03_Savings!A172="","",YEAR(Agent03_Savings!D172)),"")</f>
        <v/>
      </c>
    </row>
    <row r="566" spans="1:11" ht="18" customHeight="1" x14ac:dyDescent="0.25">
      <c r="A566" s="40" t="str">
        <f>IF(Agent03_Savings!A173="","",Agent03_Savings!A173)</f>
        <v/>
      </c>
      <c r="B566" s="40" t="str">
        <f ca="1">IF(Agent03_Savings!A173="","","SV"&amp;TEXT(566-3,"0000")&amp;"-"&amp;TEXT(TODAY(),"YYYYMMDD"))</f>
        <v/>
      </c>
      <c r="C566" s="40" t="str">
        <f>IF(Agent03_Savings!A173="","",Agent03_Savings!B173)</f>
        <v/>
      </c>
      <c r="D566" s="40" t="str">
        <f>IF(Agent03_Savings!A173="","",Agent03_Savings!G173)</f>
        <v/>
      </c>
      <c r="E566" s="41" t="str">
        <f>IF(Agent03_Savings!A173="","",Agent03_Savings!D173)</f>
        <v/>
      </c>
      <c r="F566" s="42" t="str">
        <f>IF(Agent03_Savings!A173="","",Agent03_Savings!E173)</f>
        <v/>
      </c>
      <c r="G566" s="42" t="str">
        <f>IF(Agent03_Savings!A173="","",Agent03_Savings!F173)</f>
        <v/>
      </c>
      <c r="H566" s="40" t="str">
        <f>IF(Agent03_Savings!A173="","",Agent03_Savings!I173)</f>
        <v/>
      </c>
      <c r="I566" s="40" t="str">
        <f>IF(Agent03_Savings!A173="","",Agent03_Savings!J173)</f>
        <v/>
      </c>
      <c r="J566" s="40" t="str">
        <f>IF(Agent03_Savings!A173="","",Agent03_Savings!K173)</f>
        <v/>
      </c>
      <c r="K566" s="40" t="str">
        <f>IFERROR(IF(Agent03_Savings!A173="","",YEAR(Agent03_Savings!D173)),"")</f>
        <v/>
      </c>
    </row>
    <row r="567" spans="1:11" ht="18" customHeight="1" x14ac:dyDescent="0.25">
      <c r="A567" s="40" t="str">
        <f>IF(Agent03_Savings!A174="","",Agent03_Savings!A174)</f>
        <v/>
      </c>
      <c r="B567" s="40" t="str">
        <f ca="1">IF(Agent03_Savings!A174="","","SV"&amp;TEXT(567-3,"0000")&amp;"-"&amp;TEXT(TODAY(),"YYYYMMDD"))</f>
        <v/>
      </c>
      <c r="C567" s="40" t="str">
        <f>IF(Agent03_Savings!A174="","",Agent03_Savings!B174)</f>
        <v/>
      </c>
      <c r="D567" s="40" t="str">
        <f>IF(Agent03_Savings!A174="","",Agent03_Savings!G174)</f>
        <v/>
      </c>
      <c r="E567" s="41" t="str">
        <f>IF(Agent03_Savings!A174="","",Agent03_Savings!D174)</f>
        <v/>
      </c>
      <c r="F567" s="42" t="str">
        <f>IF(Agent03_Savings!A174="","",Agent03_Savings!E174)</f>
        <v/>
      </c>
      <c r="G567" s="42" t="str">
        <f>IF(Agent03_Savings!A174="","",Agent03_Savings!F174)</f>
        <v/>
      </c>
      <c r="H567" s="40" t="str">
        <f>IF(Agent03_Savings!A174="","",Agent03_Savings!I174)</f>
        <v/>
      </c>
      <c r="I567" s="40" t="str">
        <f>IF(Agent03_Savings!A174="","",Agent03_Savings!J174)</f>
        <v/>
      </c>
      <c r="J567" s="40" t="str">
        <f>IF(Agent03_Savings!A174="","",Agent03_Savings!K174)</f>
        <v/>
      </c>
      <c r="K567" s="40" t="str">
        <f>IFERROR(IF(Agent03_Savings!A174="","",YEAR(Agent03_Savings!D174)),"")</f>
        <v/>
      </c>
    </row>
    <row r="568" spans="1:11" ht="18" customHeight="1" x14ac:dyDescent="0.25">
      <c r="A568" s="40" t="str">
        <f>IF(Agent03_Savings!A175="","",Agent03_Savings!A175)</f>
        <v/>
      </c>
      <c r="B568" s="40" t="str">
        <f ca="1">IF(Agent03_Savings!A175="","","SV"&amp;TEXT(568-3,"0000")&amp;"-"&amp;TEXT(TODAY(),"YYYYMMDD"))</f>
        <v/>
      </c>
      <c r="C568" s="40" t="str">
        <f>IF(Agent03_Savings!A175="","",Agent03_Savings!B175)</f>
        <v/>
      </c>
      <c r="D568" s="40" t="str">
        <f>IF(Agent03_Savings!A175="","",Agent03_Savings!G175)</f>
        <v/>
      </c>
      <c r="E568" s="41" t="str">
        <f>IF(Agent03_Savings!A175="","",Agent03_Savings!D175)</f>
        <v/>
      </c>
      <c r="F568" s="42" t="str">
        <f>IF(Agent03_Savings!A175="","",Agent03_Savings!E175)</f>
        <v/>
      </c>
      <c r="G568" s="42" t="str">
        <f>IF(Agent03_Savings!A175="","",Agent03_Savings!F175)</f>
        <v/>
      </c>
      <c r="H568" s="40" t="str">
        <f>IF(Agent03_Savings!A175="","",Agent03_Savings!I175)</f>
        <v/>
      </c>
      <c r="I568" s="40" t="str">
        <f>IF(Agent03_Savings!A175="","",Agent03_Savings!J175)</f>
        <v/>
      </c>
      <c r="J568" s="40" t="str">
        <f>IF(Agent03_Savings!A175="","",Agent03_Savings!K175)</f>
        <v/>
      </c>
      <c r="K568" s="40" t="str">
        <f>IFERROR(IF(Agent03_Savings!A175="","",YEAR(Agent03_Savings!D175)),"")</f>
        <v/>
      </c>
    </row>
    <row r="569" spans="1:11" ht="18" customHeight="1" x14ac:dyDescent="0.25">
      <c r="A569" s="40" t="str">
        <f>IF(Agent03_Savings!A176="","",Agent03_Savings!A176)</f>
        <v/>
      </c>
      <c r="B569" s="40" t="str">
        <f ca="1">IF(Agent03_Savings!A176="","","SV"&amp;TEXT(569-3,"0000")&amp;"-"&amp;TEXT(TODAY(),"YYYYMMDD"))</f>
        <v/>
      </c>
      <c r="C569" s="40" t="str">
        <f>IF(Agent03_Savings!A176="","",Agent03_Savings!B176)</f>
        <v/>
      </c>
      <c r="D569" s="40" t="str">
        <f>IF(Agent03_Savings!A176="","",Agent03_Savings!G176)</f>
        <v/>
      </c>
      <c r="E569" s="41" t="str">
        <f>IF(Agent03_Savings!A176="","",Agent03_Savings!D176)</f>
        <v/>
      </c>
      <c r="F569" s="42" t="str">
        <f>IF(Agent03_Savings!A176="","",Agent03_Savings!E176)</f>
        <v/>
      </c>
      <c r="G569" s="42" t="str">
        <f>IF(Agent03_Savings!A176="","",Agent03_Savings!F176)</f>
        <v/>
      </c>
      <c r="H569" s="40" t="str">
        <f>IF(Agent03_Savings!A176="","",Agent03_Savings!I176)</f>
        <v/>
      </c>
      <c r="I569" s="40" t="str">
        <f>IF(Agent03_Savings!A176="","",Agent03_Savings!J176)</f>
        <v/>
      </c>
      <c r="J569" s="40" t="str">
        <f>IF(Agent03_Savings!A176="","",Agent03_Savings!K176)</f>
        <v/>
      </c>
      <c r="K569" s="40" t="str">
        <f>IFERROR(IF(Agent03_Savings!A176="","",YEAR(Agent03_Savings!D176)),"")</f>
        <v/>
      </c>
    </row>
    <row r="570" spans="1:11" ht="18" customHeight="1" x14ac:dyDescent="0.25">
      <c r="A570" s="40" t="str">
        <f>IF(Agent03_Savings!A177="","",Agent03_Savings!A177)</f>
        <v/>
      </c>
      <c r="B570" s="40" t="str">
        <f ca="1">IF(Agent03_Savings!A177="","","SV"&amp;TEXT(570-3,"0000")&amp;"-"&amp;TEXT(TODAY(),"YYYYMMDD"))</f>
        <v/>
      </c>
      <c r="C570" s="40" t="str">
        <f>IF(Agent03_Savings!A177="","",Agent03_Savings!B177)</f>
        <v/>
      </c>
      <c r="D570" s="40" t="str">
        <f>IF(Agent03_Savings!A177="","",Agent03_Savings!G177)</f>
        <v/>
      </c>
      <c r="E570" s="41" t="str">
        <f>IF(Agent03_Savings!A177="","",Agent03_Savings!D177)</f>
        <v/>
      </c>
      <c r="F570" s="42" t="str">
        <f>IF(Agent03_Savings!A177="","",Agent03_Savings!E177)</f>
        <v/>
      </c>
      <c r="G570" s="42" t="str">
        <f>IF(Agent03_Savings!A177="","",Agent03_Savings!F177)</f>
        <v/>
      </c>
      <c r="H570" s="40" t="str">
        <f>IF(Agent03_Savings!A177="","",Agent03_Savings!I177)</f>
        <v/>
      </c>
      <c r="I570" s="40" t="str">
        <f>IF(Agent03_Savings!A177="","",Agent03_Savings!J177)</f>
        <v/>
      </c>
      <c r="J570" s="40" t="str">
        <f>IF(Agent03_Savings!A177="","",Agent03_Savings!K177)</f>
        <v/>
      </c>
      <c r="K570" s="40" t="str">
        <f>IFERROR(IF(Agent03_Savings!A177="","",YEAR(Agent03_Savings!D177)),"")</f>
        <v/>
      </c>
    </row>
    <row r="571" spans="1:11" ht="18" customHeight="1" x14ac:dyDescent="0.25">
      <c r="A571" s="40" t="str">
        <f>IF(Agent03_Savings!A178="","",Agent03_Savings!A178)</f>
        <v/>
      </c>
      <c r="B571" s="40" t="str">
        <f ca="1">IF(Agent03_Savings!A178="","","SV"&amp;TEXT(571-3,"0000")&amp;"-"&amp;TEXT(TODAY(),"YYYYMMDD"))</f>
        <v/>
      </c>
      <c r="C571" s="40" t="str">
        <f>IF(Agent03_Savings!A178="","",Agent03_Savings!B178)</f>
        <v/>
      </c>
      <c r="D571" s="40" t="str">
        <f>IF(Agent03_Savings!A178="","",Agent03_Savings!G178)</f>
        <v/>
      </c>
      <c r="E571" s="41" t="str">
        <f>IF(Agent03_Savings!A178="","",Agent03_Savings!D178)</f>
        <v/>
      </c>
      <c r="F571" s="42" t="str">
        <f>IF(Agent03_Savings!A178="","",Agent03_Savings!E178)</f>
        <v/>
      </c>
      <c r="G571" s="42" t="str">
        <f>IF(Agent03_Savings!A178="","",Agent03_Savings!F178)</f>
        <v/>
      </c>
      <c r="H571" s="40" t="str">
        <f>IF(Agent03_Savings!A178="","",Agent03_Savings!I178)</f>
        <v/>
      </c>
      <c r="I571" s="40" t="str">
        <f>IF(Agent03_Savings!A178="","",Agent03_Savings!J178)</f>
        <v/>
      </c>
      <c r="J571" s="40" t="str">
        <f>IF(Agent03_Savings!A178="","",Agent03_Savings!K178)</f>
        <v/>
      </c>
      <c r="K571" s="40" t="str">
        <f>IFERROR(IF(Agent03_Savings!A178="","",YEAR(Agent03_Savings!D178)),"")</f>
        <v/>
      </c>
    </row>
    <row r="572" spans="1:11" ht="18" customHeight="1" x14ac:dyDescent="0.25">
      <c r="A572" s="40" t="str">
        <f>IF(Agent03_Savings!A179="","",Agent03_Savings!A179)</f>
        <v/>
      </c>
      <c r="B572" s="40" t="str">
        <f ca="1">IF(Agent03_Savings!A179="","","SV"&amp;TEXT(572-3,"0000")&amp;"-"&amp;TEXT(TODAY(),"YYYYMMDD"))</f>
        <v/>
      </c>
      <c r="C572" s="40" t="str">
        <f>IF(Agent03_Savings!A179="","",Agent03_Savings!B179)</f>
        <v/>
      </c>
      <c r="D572" s="40" t="str">
        <f>IF(Agent03_Savings!A179="","",Agent03_Savings!G179)</f>
        <v/>
      </c>
      <c r="E572" s="41" t="str">
        <f>IF(Agent03_Savings!A179="","",Agent03_Savings!D179)</f>
        <v/>
      </c>
      <c r="F572" s="42" t="str">
        <f>IF(Agent03_Savings!A179="","",Agent03_Savings!E179)</f>
        <v/>
      </c>
      <c r="G572" s="42" t="str">
        <f>IF(Agent03_Savings!A179="","",Agent03_Savings!F179)</f>
        <v/>
      </c>
      <c r="H572" s="40" t="str">
        <f>IF(Agent03_Savings!A179="","",Agent03_Savings!I179)</f>
        <v/>
      </c>
      <c r="I572" s="40" t="str">
        <f>IF(Agent03_Savings!A179="","",Agent03_Savings!J179)</f>
        <v/>
      </c>
      <c r="J572" s="40" t="str">
        <f>IF(Agent03_Savings!A179="","",Agent03_Savings!K179)</f>
        <v/>
      </c>
      <c r="K572" s="40" t="str">
        <f>IFERROR(IF(Agent03_Savings!A179="","",YEAR(Agent03_Savings!D179)),"")</f>
        <v/>
      </c>
    </row>
    <row r="573" spans="1:11" ht="18" customHeight="1" x14ac:dyDescent="0.25">
      <c r="A573" s="40" t="str">
        <f>IF(Agent03_Savings!A180="","",Agent03_Savings!A180)</f>
        <v/>
      </c>
      <c r="B573" s="40" t="str">
        <f ca="1">IF(Agent03_Savings!A180="","","SV"&amp;TEXT(573-3,"0000")&amp;"-"&amp;TEXT(TODAY(),"YYYYMMDD"))</f>
        <v/>
      </c>
      <c r="C573" s="40" t="str">
        <f>IF(Agent03_Savings!A180="","",Agent03_Savings!B180)</f>
        <v/>
      </c>
      <c r="D573" s="40" t="str">
        <f>IF(Agent03_Savings!A180="","",Agent03_Savings!G180)</f>
        <v/>
      </c>
      <c r="E573" s="41" t="str">
        <f>IF(Agent03_Savings!A180="","",Agent03_Savings!D180)</f>
        <v/>
      </c>
      <c r="F573" s="42" t="str">
        <f>IF(Agent03_Savings!A180="","",Agent03_Savings!E180)</f>
        <v/>
      </c>
      <c r="G573" s="42" t="str">
        <f>IF(Agent03_Savings!A180="","",Agent03_Savings!F180)</f>
        <v/>
      </c>
      <c r="H573" s="40" t="str">
        <f>IF(Agent03_Savings!A180="","",Agent03_Savings!I180)</f>
        <v/>
      </c>
      <c r="I573" s="40" t="str">
        <f>IF(Agent03_Savings!A180="","",Agent03_Savings!J180)</f>
        <v/>
      </c>
      <c r="J573" s="40" t="str">
        <f>IF(Agent03_Savings!A180="","",Agent03_Savings!K180)</f>
        <v/>
      </c>
      <c r="K573" s="40" t="str">
        <f>IFERROR(IF(Agent03_Savings!A180="","",YEAR(Agent03_Savings!D180)),"")</f>
        <v/>
      </c>
    </row>
    <row r="574" spans="1:11" ht="18" customHeight="1" x14ac:dyDescent="0.25">
      <c r="A574" s="40" t="str">
        <f>IF(Agent03_Savings!A181="","",Agent03_Savings!A181)</f>
        <v/>
      </c>
      <c r="B574" s="40" t="str">
        <f ca="1">IF(Agent03_Savings!A181="","","SV"&amp;TEXT(574-3,"0000")&amp;"-"&amp;TEXT(TODAY(),"YYYYMMDD"))</f>
        <v/>
      </c>
      <c r="C574" s="40" t="str">
        <f>IF(Agent03_Savings!A181="","",Agent03_Savings!B181)</f>
        <v/>
      </c>
      <c r="D574" s="40" t="str">
        <f>IF(Agent03_Savings!A181="","",Agent03_Savings!G181)</f>
        <v/>
      </c>
      <c r="E574" s="41" t="str">
        <f>IF(Agent03_Savings!A181="","",Agent03_Savings!D181)</f>
        <v/>
      </c>
      <c r="F574" s="42" t="str">
        <f>IF(Agent03_Savings!A181="","",Agent03_Savings!E181)</f>
        <v/>
      </c>
      <c r="G574" s="42" t="str">
        <f>IF(Agent03_Savings!A181="","",Agent03_Savings!F181)</f>
        <v/>
      </c>
      <c r="H574" s="40" t="str">
        <f>IF(Agent03_Savings!A181="","",Agent03_Savings!I181)</f>
        <v/>
      </c>
      <c r="I574" s="40" t="str">
        <f>IF(Agent03_Savings!A181="","",Agent03_Savings!J181)</f>
        <v/>
      </c>
      <c r="J574" s="40" t="str">
        <f>IF(Agent03_Savings!A181="","",Agent03_Savings!K181)</f>
        <v/>
      </c>
      <c r="K574" s="40" t="str">
        <f>IFERROR(IF(Agent03_Savings!A181="","",YEAR(Agent03_Savings!D181)),"")</f>
        <v/>
      </c>
    </row>
    <row r="575" spans="1:11" ht="18" customHeight="1" x14ac:dyDescent="0.25">
      <c r="A575" s="40" t="str">
        <f>IF(Agent03_Savings!A182="","",Agent03_Savings!A182)</f>
        <v/>
      </c>
      <c r="B575" s="40" t="str">
        <f ca="1">IF(Agent03_Savings!A182="","","SV"&amp;TEXT(575-3,"0000")&amp;"-"&amp;TEXT(TODAY(),"YYYYMMDD"))</f>
        <v/>
      </c>
      <c r="C575" s="40" t="str">
        <f>IF(Agent03_Savings!A182="","",Agent03_Savings!B182)</f>
        <v/>
      </c>
      <c r="D575" s="40" t="str">
        <f>IF(Agent03_Savings!A182="","",Agent03_Savings!G182)</f>
        <v/>
      </c>
      <c r="E575" s="41" t="str">
        <f>IF(Agent03_Savings!A182="","",Agent03_Savings!D182)</f>
        <v/>
      </c>
      <c r="F575" s="42" t="str">
        <f>IF(Agent03_Savings!A182="","",Agent03_Savings!E182)</f>
        <v/>
      </c>
      <c r="G575" s="42" t="str">
        <f>IF(Agent03_Savings!A182="","",Agent03_Savings!F182)</f>
        <v/>
      </c>
      <c r="H575" s="40" t="str">
        <f>IF(Agent03_Savings!A182="","",Agent03_Savings!I182)</f>
        <v/>
      </c>
      <c r="I575" s="40" t="str">
        <f>IF(Agent03_Savings!A182="","",Agent03_Savings!J182)</f>
        <v/>
      </c>
      <c r="J575" s="40" t="str">
        <f>IF(Agent03_Savings!A182="","",Agent03_Savings!K182)</f>
        <v/>
      </c>
      <c r="K575" s="40" t="str">
        <f>IFERROR(IF(Agent03_Savings!A182="","",YEAR(Agent03_Savings!D182)),"")</f>
        <v/>
      </c>
    </row>
    <row r="576" spans="1:11" ht="18" customHeight="1" x14ac:dyDescent="0.25">
      <c r="A576" s="40" t="str">
        <f>IF(Agent03_Savings!A183="","",Agent03_Savings!A183)</f>
        <v/>
      </c>
      <c r="B576" s="40" t="str">
        <f ca="1">IF(Agent03_Savings!A183="","","SV"&amp;TEXT(576-3,"0000")&amp;"-"&amp;TEXT(TODAY(),"YYYYMMDD"))</f>
        <v/>
      </c>
      <c r="C576" s="40" t="str">
        <f>IF(Agent03_Savings!A183="","",Agent03_Savings!B183)</f>
        <v/>
      </c>
      <c r="D576" s="40" t="str">
        <f>IF(Agent03_Savings!A183="","",Agent03_Savings!G183)</f>
        <v/>
      </c>
      <c r="E576" s="41" t="str">
        <f>IF(Agent03_Savings!A183="","",Agent03_Savings!D183)</f>
        <v/>
      </c>
      <c r="F576" s="42" t="str">
        <f>IF(Agent03_Savings!A183="","",Agent03_Savings!E183)</f>
        <v/>
      </c>
      <c r="G576" s="42" t="str">
        <f>IF(Agent03_Savings!A183="","",Agent03_Savings!F183)</f>
        <v/>
      </c>
      <c r="H576" s="40" t="str">
        <f>IF(Agent03_Savings!A183="","",Agent03_Savings!I183)</f>
        <v/>
      </c>
      <c r="I576" s="40" t="str">
        <f>IF(Agent03_Savings!A183="","",Agent03_Savings!J183)</f>
        <v/>
      </c>
      <c r="J576" s="40" t="str">
        <f>IF(Agent03_Savings!A183="","",Agent03_Savings!K183)</f>
        <v/>
      </c>
      <c r="K576" s="40" t="str">
        <f>IFERROR(IF(Agent03_Savings!A183="","",YEAR(Agent03_Savings!D183)),"")</f>
        <v/>
      </c>
    </row>
    <row r="577" spans="1:11" ht="18" customHeight="1" x14ac:dyDescent="0.25">
      <c r="A577" s="40" t="str">
        <f>IF(Agent03_Savings!A184="","",Agent03_Savings!A184)</f>
        <v/>
      </c>
      <c r="B577" s="40" t="str">
        <f ca="1">IF(Agent03_Savings!A184="","","SV"&amp;TEXT(577-3,"0000")&amp;"-"&amp;TEXT(TODAY(),"YYYYMMDD"))</f>
        <v/>
      </c>
      <c r="C577" s="40" t="str">
        <f>IF(Agent03_Savings!A184="","",Agent03_Savings!B184)</f>
        <v/>
      </c>
      <c r="D577" s="40" t="str">
        <f>IF(Agent03_Savings!A184="","",Agent03_Savings!G184)</f>
        <v/>
      </c>
      <c r="E577" s="41" t="str">
        <f>IF(Agent03_Savings!A184="","",Agent03_Savings!D184)</f>
        <v/>
      </c>
      <c r="F577" s="42" t="str">
        <f>IF(Agent03_Savings!A184="","",Agent03_Savings!E184)</f>
        <v/>
      </c>
      <c r="G577" s="42" t="str">
        <f>IF(Agent03_Savings!A184="","",Agent03_Savings!F184)</f>
        <v/>
      </c>
      <c r="H577" s="40" t="str">
        <f>IF(Agent03_Savings!A184="","",Agent03_Savings!I184)</f>
        <v/>
      </c>
      <c r="I577" s="40" t="str">
        <f>IF(Agent03_Savings!A184="","",Agent03_Savings!J184)</f>
        <v/>
      </c>
      <c r="J577" s="40" t="str">
        <f>IF(Agent03_Savings!A184="","",Agent03_Savings!K184)</f>
        <v/>
      </c>
      <c r="K577" s="40" t="str">
        <f>IFERROR(IF(Agent03_Savings!A184="","",YEAR(Agent03_Savings!D184)),"")</f>
        <v/>
      </c>
    </row>
    <row r="578" spans="1:11" ht="18" customHeight="1" x14ac:dyDescent="0.25">
      <c r="A578" s="40" t="str">
        <f>IF(Agent03_Savings!A185="","",Agent03_Savings!A185)</f>
        <v/>
      </c>
      <c r="B578" s="40" t="str">
        <f ca="1">IF(Agent03_Savings!A185="","","SV"&amp;TEXT(578-3,"0000")&amp;"-"&amp;TEXT(TODAY(),"YYYYMMDD"))</f>
        <v/>
      </c>
      <c r="C578" s="40" t="str">
        <f>IF(Agent03_Savings!A185="","",Agent03_Savings!B185)</f>
        <v/>
      </c>
      <c r="D578" s="40" t="str">
        <f>IF(Agent03_Savings!A185="","",Agent03_Savings!G185)</f>
        <v/>
      </c>
      <c r="E578" s="41" t="str">
        <f>IF(Agent03_Savings!A185="","",Agent03_Savings!D185)</f>
        <v/>
      </c>
      <c r="F578" s="42" t="str">
        <f>IF(Agent03_Savings!A185="","",Agent03_Savings!E185)</f>
        <v/>
      </c>
      <c r="G578" s="42" t="str">
        <f>IF(Agent03_Savings!A185="","",Agent03_Savings!F185)</f>
        <v/>
      </c>
      <c r="H578" s="40" t="str">
        <f>IF(Agent03_Savings!A185="","",Agent03_Savings!I185)</f>
        <v/>
      </c>
      <c r="I578" s="40" t="str">
        <f>IF(Agent03_Savings!A185="","",Agent03_Savings!J185)</f>
        <v/>
      </c>
      <c r="J578" s="40" t="str">
        <f>IF(Agent03_Savings!A185="","",Agent03_Savings!K185)</f>
        <v/>
      </c>
      <c r="K578" s="40" t="str">
        <f>IFERROR(IF(Agent03_Savings!A185="","",YEAR(Agent03_Savings!D185)),"")</f>
        <v/>
      </c>
    </row>
    <row r="579" spans="1:11" ht="18" customHeight="1" x14ac:dyDescent="0.25">
      <c r="A579" s="40" t="str">
        <f>IF(Agent03_Savings!A186="","",Agent03_Savings!A186)</f>
        <v/>
      </c>
      <c r="B579" s="40" t="str">
        <f ca="1">IF(Agent03_Savings!A186="","","SV"&amp;TEXT(579-3,"0000")&amp;"-"&amp;TEXT(TODAY(),"YYYYMMDD"))</f>
        <v/>
      </c>
      <c r="C579" s="40" t="str">
        <f>IF(Agent03_Savings!A186="","",Agent03_Savings!B186)</f>
        <v/>
      </c>
      <c r="D579" s="40" t="str">
        <f>IF(Agent03_Savings!A186="","",Agent03_Savings!G186)</f>
        <v/>
      </c>
      <c r="E579" s="41" t="str">
        <f>IF(Agent03_Savings!A186="","",Agent03_Savings!D186)</f>
        <v/>
      </c>
      <c r="F579" s="42" t="str">
        <f>IF(Agent03_Savings!A186="","",Agent03_Savings!E186)</f>
        <v/>
      </c>
      <c r="G579" s="42" t="str">
        <f>IF(Agent03_Savings!A186="","",Agent03_Savings!F186)</f>
        <v/>
      </c>
      <c r="H579" s="40" t="str">
        <f>IF(Agent03_Savings!A186="","",Agent03_Savings!I186)</f>
        <v/>
      </c>
      <c r="I579" s="40" t="str">
        <f>IF(Agent03_Savings!A186="","",Agent03_Savings!J186)</f>
        <v/>
      </c>
      <c r="J579" s="40" t="str">
        <f>IF(Agent03_Savings!A186="","",Agent03_Savings!K186)</f>
        <v/>
      </c>
      <c r="K579" s="40" t="str">
        <f>IFERROR(IF(Agent03_Savings!A186="","",YEAR(Agent03_Savings!D186)),"")</f>
        <v/>
      </c>
    </row>
    <row r="580" spans="1:11" ht="18" customHeight="1" x14ac:dyDescent="0.25">
      <c r="A580" s="40" t="str">
        <f>IF(Agent03_Savings!A187="","",Agent03_Savings!A187)</f>
        <v/>
      </c>
      <c r="B580" s="40" t="str">
        <f ca="1">IF(Agent03_Savings!A187="","","SV"&amp;TEXT(580-3,"0000")&amp;"-"&amp;TEXT(TODAY(),"YYYYMMDD"))</f>
        <v/>
      </c>
      <c r="C580" s="40" t="str">
        <f>IF(Agent03_Savings!A187="","",Agent03_Savings!B187)</f>
        <v/>
      </c>
      <c r="D580" s="40" t="str">
        <f>IF(Agent03_Savings!A187="","",Agent03_Savings!G187)</f>
        <v/>
      </c>
      <c r="E580" s="41" t="str">
        <f>IF(Agent03_Savings!A187="","",Agent03_Savings!D187)</f>
        <v/>
      </c>
      <c r="F580" s="42" t="str">
        <f>IF(Agent03_Savings!A187="","",Agent03_Savings!E187)</f>
        <v/>
      </c>
      <c r="G580" s="42" t="str">
        <f>IF(Agent03_Savings!A187="","",Agent03_Savings!F187)</f>
        <v/>
      </c>
      <c r="H580" s="40" t="str">
        <f>IF(Agent03_Savings!A187="","",Agent03_Savings!I187)</f>
        <v/>
      </c>
      <c r="I580" s="40" t="str">
        <f>IF(Agent03_Savings!A187="","",Agent03_Savings!J187)</f>
        <v/>
      </c>
      <c r="J580" s="40" t="str">
        <f>IF(Agent03_Savings!A187="","",Agent03_Savings!K187)</f>
        <v/>
      </c>
      <c r="K580" s="40" t="str">
        <f>IFERROR(IF(Agent03_Savings!A187="","",YEAR(Agent03_Savings!D187)),"")</f>
        <v/>
      </c>
    </row>
    <row r="581" spans="1:11" ht="18" customHeight="1" x14ac:dyDescent="0.25">
      <c r="A581" s="40" t="str">
        <f>IF(Agent03_Savings!A188="","",Agent03_Savings!A188)</f>
        <v/>
      </c>
      <c r="B581" s="40" t="str">
        <f ca="1">IF(Agent03_Savings!A188="","","SV"&amp;TEXT(581-3,"0000")&amp;"-"&amp;TEXT(TODAY(),"YYYYMMDD"))</f>
        <v/>
      </c>
      <c r="C581" s="40" t="str">
        <f>IF(Agent03_Savings!A188="","",Agent03_Savings!B188)</f>
        <v/>
      </c>
      <c r="D581" s="40" t="str">
        <f>IF(Agent03_Savings!A188="","",Agent03_Savings!G188)</f>
        <v/>
      </c>
      <c r="E581" s="41" t="str">
        <f>IF(Agent03_Savings!A188="","",Agent03_Savings!D188)</f>
        <v/>
      </c>
      <c r="F581" s="42" t="str">
        <f>IF(Agent03_Savings!A188="","",Agent03_Savings!E188)</f>
        <v/>
      </c>
      <c r="G581" s="42" t="str">
        <f>IF(Agent03_Savings!A188="","",Agent03_Savings!F188)</f>
        <v/>
      </c>
      <c r="H581" s="40" t="str">
        <f>IF(Agent03_Savings!A188="","",Agent03_Savings!I188)</f>
        <v/>
      </c>
      <c r="I581" s="40" t="str">
        <f>IF(Agent03_Savings!A188="","",Agent03_Savings!J188)</f>
        <v/>
      </c>
      <c r="J581" s="40" t="str">
        <f>IF(Agent03_Savings!A188="","",Agent03_Savings!K188)</f>
        <v/>
      </c>
      <c r="K581" s="40" t="str">
        <f>IFERROR(IF(Agent03_Savings!A188="","",YEAR(Agent03_Savings!D188)),"")</f>
        <v/>
      </c>
    </row>
    <row r="582" spans="1:11" ht="18" customHeight="1" x14ac:dyDescent="0.25">
      <c r="A582" s="40" t="str">
        <f>IF(Agent03_Savings!A189="","",Agent03_Savings!A189)</f>
        <v/>
      </c>
      <c r="B582" s="40" t="str">
        <f ca="1">IF(Agent03_Savings!A189="","","SV"&amp;TEXT(582-3,"0000")&amp;"-"&amp;TEXT(TODAY(),"YYYYMMDD"))</f>
        <v/>
      </c>
      <c r="C582" s="40" t="str">
        <f>IF(Agent03_Savings!A189="","",Agent03_Savings!B189)</f>
        <v/>
      </c>
      <c r="D582" s="40" t="str">
        <f>IF(Agent03_Savings!A189="","",Agent03_Savings!G189)</f>
        <v/>
      </c>
      <c r="E582" s="41" t="str">
        <f>IF(Agent03_Savings!A189="","",Agent03_Savings!D189)</f>
        <v/>
      </c>
      <c r="F582" s="42" t="str">
        <f>IF(Agent03_Savings!A189="","",Agent03_Savings!E189)</f>
        <v/>
      </c>
      <c r="G582" s="42" t="str">
        <f>IF(Agent03_Savings!A189="","",Agent03_Savings!F189)</f>
        <v/>
      </c>
      <c r="H582" s="40" t="str">
        <f>IF(Agent03_Savings!A189="","",Agent03_Savings!I189)</f>
        <v/>
      </c>
      <c r="I582" s="40" t="str">
        <f>IF(Agent03_Savings!A189="","",Agent03_Savings!J189)</f>
        <v/>
      </c>
      <c r="J582" s="40" t="str">
        <f>IF(Agent03_Savings!A189="","",Agent03_Savings!K189)</f>
        <v/>
      </c>
      <c r="K582" s="40" t="str">
        <f>IFERROR(IF(Agent03_Savings!A189="","",YEAR(Agent03_Savings!D189)),"")</f>
        <v/>
      </c>
    </row>
    <row r="583" spans="1:11" ht="18" customHeight="1" x14ac:dyDescent="0.25">
      <c r="A583" s="40" t="str">
        <f>IF(Agent03_Savings!A190="","",Agent03_Savings!A190)</f>
        <v/>
      </c>
      <c r="B583" s="40" t="str">
        <f ca="1">IF(Agent03_Savings!A190="","","SV"&amp;TEXT(583-3,"0000")&amp;"-"&amp;TEXT(TODAY(),"YYYYMMDD"))</f>
        <v/>
      </c>
      <c r="C583" s="40" t="str">
        <f>IF(Agent03_Savings!A190="","",Agent03_Savings!B190)</f>
        <v/>
      </c>
      <c r="D583" s="40" t="str">
        <f>IF(Agent03_Savings!A190="","",Agent03_Savings!G190)</f>
        <v/>
      </c>
      <c r="E583" s="41" t="str">
        <f>IF(Agent03_Savings!A190="","",Agent03_Savings!D190)</f>
        <v/>
      </c>
      <c r="F583" s="42" t="str">
        <f>IF(Agent03_Savings!A190="","",Agent03_Savings!E190)</f>
        <v/>
      </c>
      <c r="G583" s="42" t="str">
        <f>IF(Agent03_Savings!A190="","",Agent03_Savings!F190)</f>
        <v/>
      </c>
      <c r="H583" s="40" t="str">
        <f>IF(Agent03_Savings!A190="","",Agent03_Savings!I190)</f>
        <v/>
      </c>
      <c r="I583" s="40" t="str">
        <f>IF(Agent03_Savings!A190="","",Agent03_Savings!J190)</f>
        <v/>
      </c>
      <c r="J583" s="40" t="str">
        <f>IF(Agent03_Savings!A190="","",Agent03_Savings!K190)</f>
        <v/>
      </c>
      <c r="K583" s="40" t="str">
        <f>IFERROR(IF(Agent03_Savings!A190="","",YEAR(Agent03_Savings!D190)),"")</f>
        <v/>
      </c>
    </row>
    <row r="584" spans="1:11" ht="18" customHeight="1" x14ac:dyDescent="0.25">
      <c r="A584" s="40" t="str">
        <f>IF(Agent03_Savings!A191="","",Agent03_Savings!A191)</f>
        <v/>
      </c>
      <c r="B584" s="40" t="str">
        <f ca="1">IF(Agent03_Savings!A191="","","SV"&amp;TEXT(584-3,"0000")&amp;"-"&amp;TEXT(TODAY(),"YYYYMMDD"))</f>
        <v/>
      </c>
      <c r="C584" s="40" t="str">
        <f>IF(Agent03_Savings!A191="","",Agent03_Savings!B191)</f>
        <v/>
      </c>
      <c r="D584" s="40" t="str">
        <f>IF(Agent03_Savings!A191="","",Agent03_Savings!G191)</f>
        <v/>
      </c>
      <c r="E584" s="41" t="str">
        <f>IF(Agent03_Savings!A191="","",Agent03_Savings!D191)</f>
        <v/>
      </c>
      <c r="F584" s="42" t="str">
        <f>IF(Agent03_Savings!A191="","",Agent03_Savings!E191)</f>
        <v/>
      </c>
      <c r="G584" s="42" t="str">
        <f>IF(Agent03_Savings!A191="","",Agent03_Savings!F191)</f>
        <v/>
      </c>
      <c r="H584" s="40" t="str">
        <f>IF(Agent03_Savings!A191="","",Agent03_Savings!I191)</f>
        <v/>
      </c>
      <c r="I584" s="40" t="str">
        <f>IF(Agent03_Savings!A191="","",Agent03_Savings!J191)</f>
        <v/>
      </c>
      <c r="J584" s="40" t="str">
        <f>IF(Agent03_Savings!A191="","",Agent03_Savings!K191)</f>
        <v/>
      </c>
      <c r="K584" s="40" t="str">
        <f>IFERROR(IF(Agent03_Savings!A191="","",YEAR(Agent03_Savings!D191)),"")</f>
        <v/>
      </c>
    </row>
    <row r="585" spans="1:11" ht="18" customHeight="1" x14ac:dyDescent="0.25">
      <c r="A585" s="40" t="str">
        <f>IF(Agent03_Savings!A192="","",Agent03_Savings!A192)</f>
        <v/>
      </c>
      <c r="B585" s="40" t="str">
        <f ca="1">IF(Agent03_Savings!A192="","","SV"&amp;TEXT(585-3,"0000")&amp;"-"&amp;TEXT(TODAY(),"YYYYMMDD"))</f>
        <v/>
      </c>
      <c r="C585" s="40" t="str">
        <f>IF(Agent03_Savings!A192="","",Agent03_Savings!B192)</f>
        <v/>
      </c>
      <c r="D585" s="40" t="str">
        <f>IF(Agent03_Savings!A192="","",Agent03_Savings!G192)</f>
        <v/>
      </c>
      <c r="E585" s="41" t="str">
        <f>IF(Agent03_Savings!A192="","",Agent03_Savings!D192)</f>
        <v/>
      </c>
      <c r="F585" s="42" t="str">
        <f>IF(Agent03_Savings!A192="","",Agent03_Savings!E192)</f>
        <v/>
      </c>
      <c r="G585" s="42" t="str">
        <f>IF(Agent03_Savings!A192="","",Agent03_Savings!F192)</f>
        <v/>
      </c>
      <c r="H585" s="40" t="str">
        <f>IF(Agent03_Savings!A192="","",Agent03_Savings!I192)</f>
        <v/>
      </c>
      <c r="I585" s="40" t="str">
        <f>IF(Agent03_Savings!A192="","",Agent03_Savings!J192)</f>
        <v/>
      </c>
      <c r="J585" s="40" t="str">
        <f>IF(Agent03_Savings!A192="","",Agent03_Savings!K192)</f>
        <v/>
      </c>
      <c r="K585" s="40" t="str">
        <f>IFERROR(IF(Agent03_Savings!A192="","",YEAR(Agent03_Savings!D192)),"")</f>
        <v/>
      </c>
    </row>
    <row r="586" spans="1:11" ht="18" customHeight="1" x14ac:dyDescent="0.25">
      <c r="A586" s="40" t="str">
        <f>IF(Agent03_Savings!A193="","",Agent03_Savings!A193)</f>
        <v/>
      </c>
      <c r="B586" s="40" t="str">
        <f ca="1">IF(Agent03_Savings!A193="","","SV"&amp;TEXT(586-3,"0000")&amp;"-"&amp;TEXT(TODAY(),"YYYYMMDD"))</f>
        <v/>
      </c>
      <c r="C586" s="40" t="str">
        <f>IF(Agent03_Savings!A193="","",Agent03_Savings!B193)</f>
        <v/>
      </c>
      <c r="D586" s="40" t="str">
        <f>IF(Agent03_Savings!A193="","",Agent03_Savings!G193)</f>
        <v/>
      </c>
      <c r="E586" s="41" t="str">
        <f>IF(Agent03_Savings!A193="","",Agent03_Savings!D193)</f>
        <v/>
      </c>
      <c r="F586" s="42" t="str">
        <f>IF(Agent03_Savings!A193="","",Agent03_Savings!E193)</f>
        <v/>
      </c>
      <c r="G586" s="42" t="str">
        <f>IF(Agent03_Savings!A193="","",Agent03_Savings!F193)</f>
        <v/>
      </c>
      <c r="H586" s="40" t="str">
        <f>IF(Agent03_Savings!A193="","",Agent03_Savings!I193)</f>
        <v/>
      </c>
      <c r="I586" s="40" t="str">
        <f>IF(Agent03_Savings!A193="","",Agent03_Savings!J193)</f>
        <v/>
      </c>
      <c r="J586" s="40" t="str">
        <f>IF(Agent03_Savings!A193="","",Agent03_Savings!K193)</f>
        <v/>
      </c>
      <c r="K586" s="40" t="str">
        <f>IFERROR(IF(Agent03_Savings!A193="","",YEAR(Agent03_Savings!D193)),"")</f>
        <v/>
      </c>
    </row>
    <row r="587" spans="1:11" ht="18" customHeight="1" x14ac:dyDescent="0.25">
      <c r="A587" s="40" t="str">
        <f>IF(Agent03_Savings!A194="","",Agent03_Savings!A194)</f>
        <v/>
      </c>
      <c r="B587" s="40" t="str">
        <f ca="1">IF(Agent03_Savings!A194="","","SV"&amp;TEXT(587-3,"0000")&amp;"-"&amp;TEXT(TODAY(),"YYYYMMDD"))</f>
        <v/>
      </c>
      <c r="C587" s="40" t="str">
        <f>IF(Agent03_Savings!A194="","",Agent03_Savings!B194)</f>
        <v/>
      </c>
      <c r="D587" s="40" t="str">
        <f>IF(Agent03_Savings!A194="","",Agent03_Savings!G194)</f>
        <v/>
      </c>
      <c r="E587" s="41" t="str">
        <f>IF(Agent03_Savings!A194="","",Agent03_Savings!D194)</f>
        <v/>
      </c>
      <c r="F587" s="42" t="str">
        <f>IF(Agent03_Savings!A194="","",Agent03_Savings!E194)</f>
        <v/>
      </c>
      <c r="G587" s="42" t="str">
        <f>IF(Agent03_Savings!A194="","",Agent03_Savings!F194)</f>
        <v/>
      </c>
      <c r="H587" s="40" t="str">
        <f>IF(Agent03_Savings!A194="","",Agent03_Savings!I194)</f>
        <v/>
      </c>
      <c r="I587" s="40" t="str">
        <f>IF(Agent03_Savings!A194="","",Agent03_Savings!J194)</f>
        <v/>
      </c>
      <c r="J587" s="40" t="str">
        <f>IF(Agent03_Savings!A194="","",Agent03_Savings!K194)</f>
        <v/>
      </c>
      <c r="K587" s="40" t="str">
        <f>IFERROR(IF(Agent03_Savings!A194="","",YEAR(Agent03_Savings!D194)),"")</f>
        <v/>
      </c>
    </row>
    <row r="588" spans="1:11" ht="18" customHeight="1" x14ac:dyDescent="0.25">
      <c r="A588" s="40" t="str">
        <f>IF(Agent03_Savings!A195="","",Agent03_Savings!A195)</f>
        <v/>
      </c>
      <c r="B588" s="40" t="str">
        <f ca="1">IF(Agent03_Savings!A195="","","SV"&amp;TEXT(588-3,"0000")&amp;"-"&amp;TEXT(TODAY(),"YYYYMMDD"))</f>
        <v/>
      </c>
      <c r="C588" s="40" t="str">
        <f>IF(Agent03_Savings!A195="","",Agent03_Savings!B195)</f>
        <v/>
      </c>
      <c r="D588" s="40" t="str">
        <f>IF(Agent03_Savings!A195="","",Agent03_Savings!G195)</f>
        <v/>
      </c>
      <c r="E588" s="41" t="str">
        <f>IF(Agent03_Savings!A195="","",Agent03_Savings!D195)</f>
        <v/>
      </c>
      <c r="F588" s="42" t="str">
        <f>IF(Agent03_Savings!A195="","",Agent03_Savings!E195)</f>
        <v/>
      </c>
      <c r="G588" s="42" t="str">
        <f>IF(Agent03_Savings!A195="","",Agent03_Savings!F195)</f>
        <v/>
      </c>
      <c r="H588" s="40" t="str">
        <f>IF(Agent03_Savings!A195="","",Agent03_Savings!I195)</f>
        <v/>
      </c>
      <c r="I588" s="40" t="str">
        <f>IF(Agent03_Savings!A195="","",Agent03_Savings!J195)</f>
        <v/>
      </c>
      <c r="J588" s="40" t="str">
        <f>IF(Agent03_Savings!A195="","",Agent03_Savings!K195)</f>
        <v/>
      </c>
      <c r="K588" s="40" t="str">
        <f>IFERROR(IF(Agent03_Savings!A195="","",YEAR(Agent03_Savings!D195)),"")</f>
        <v/>
      </c>
    </row>
    <row r="589" spans="1:11" ht="18" customHeight="1" x14ac:dyDescent="0.25">
      <c r="A589" s="40" t="str">
        <f>IF(Agent03_Savings!A196="","",Agent03_Savings!A196)</f>
        <v/>
      </c>
      <c r="B589" s="40" t="str">
        <f ca="1">IF(Agent03_Savings!A196="","","SV"&amp;TEXT(589-3,"0000")&amp;"-"&amp;TEXT(TODAY(),"YYYYMMDD"))</f>
        <v/>
      </c>
      <c r="C589" s="40" t="str">
        <f>IF(Agent03_Savings!A196="","",Agent03_Savings!B196)</f>
        <v/>
      </c>
      <c r="D589" s="40" t="str">
        <f>IF(Agent03_Savings!A196="","",Agent03_Savings!G196)</f>
        <v/>
      </c>
      <c r="E589" s="41" t="str">
        <f>IF(Agent03_Savings!A196="","",Agent03_Savings!D196)</f>
        <v/>
      </c>
      <c r="F589" s="42" t="str">
        <f>IF(Agent03_Savings!A196="","",Agent03_Savings!E196)</f>
        <v/>
      </c>
      <c r="G589" s="42" t="str">
        <f>IF(Agent03_Savings!A196="","",Agent03_Savings!F196)</f>
        <v/>
      </c>
      <c r="H589" s="40" t="str">
        <f>IF(Agent03_Savings!A196="","",Agent03_Savings!I196)</f>
        <v/>
      </c>
      <c r="I589" s="40" t="str">
        <f>IF(Agent03_Savings!A196="","",Agent03_Savings!J196)</f>
        <v/>
      </c>
      <c r="J589" s="40" t="str">
        <f>IF(Agent03_Savings!A196="","",Agent03_Savings!K196)</f>
        <v/>
      </c>
      <c r="K589" s="40" t="str">
        <f>IFERROR(IF(Agent03_Savings!A196="","",YEAR(Agent03_Savings!D196)),"")</f>
        <v/>
      </c>
    </row>
    <row r="590" spans="1:11" ht="18" customHeight="1" x14ac:dyDescent="0.25">
      <c r="A590" s="40" t="str">
        <f>IF(Agent03_Savings!A197="","",Agent03_Savings!A197)</f>
        <v/>
      </c>
      <c r="B590" s="40" t="str">
        <f ca="1">IF(Agent03_Savings!A197="","","SV"&amp;TEXT(590-3,"0000")&amp;"-"&amp;TEXT(TODAY(),"YYYYMMDD"))</f>
        <v/>
      </c>
      <c r="C590" s="40" t="str">
        <f>IF(Agent03_Savings!A197="","",Agent03_Savings!B197)</f>
        <v/>
      </c>
      <c r="D590" s="40" t="str">
        <f>IF(Agent03_Savings!A197="","",Agent03_Savings!G197)</f>
        <v/>
      </c>
      <c r="E590" s="41" t="str">
        <f>IF(Agent03_Savings!A197="","",Agent03_Savings!D197)</f>
        <v/>
      </c>
      <c r="F590" s="42" t="str">
        <f>IF(Agent03_Savings!A197="","",Agent03_Savings!E197)</f>
        <v/>
      </c>
      <c r="G590" s="42" t="str">
        <f>IF(Agent03_Savings!A197="","",Agent03_Savings!F197)</f>
        <v/>
      </c>
      <c r="H590" s="40" t="str">
        <f>IF(Agent03_Savings!A197="","",Agent03_Savings!I197)</f>
        <v/>
      </c>
      <c r="I590" s="40" t="str">
        <f>IF(Agent03_Savings!A197="","",Agent03_Savings!J197)</f>
        <v/>
      </c>
      <c r="J590" s="40" t="str">
        <f>IF(Agent03_Savings!A197="","",Agent03_Savings!K197)</f>
        <v/>
      </c>
      <c r="K590" s="40" t="str">
        <f>IFERROR(IF(Agent03_Savings!A197="","",YEAR(Agent03_Savings!D197)),"")</f>
        <v/>
      </c>
    </row>
    <row r="591" spans="1:11" ht="18" customHeight="1" x14ac:dyDescent="0.25">
      <c r="A591" s="40" t="str">
        <f>IF(Agent03_Savings!A198="","",Agent03_Savings!A198)</f>
        <v/>
      </c>
      <c r="B591" s="40" t="str">
        <f ca="1">IF(Agent03_Savings!A198="","","SV"&amp;TEXT(591-3,"0000")&amp;"-"&amp;TEXT(TODAY(),"YYYYMMDD"))</f>
        <v/>
      </c>
      <c r="C591" s="40" t="str">
        <f>IF(Agent03_Savings!A198="","",Agent03_Savings!B198)</f>
        <v/>
      </c>
      <c r="D591" s="40" t="str">
        <f>IF(Agent03_Savings!A198="","",Agent03_Savings!G198)</f>
        <v/>
      </c>
      <c r="E591" s="41" t="str">
        <f>IF(Agent03_Savings!A198="","",Agent03_Savings!D198)</f>
        <v/>
      </c>
      <c r="F591" s="42" t="str">
        <f>IF(Agent03_Savings!A198="","",Agent03_Savings!E198)</f>
        <v/>
      </c>
      <c r="G591" s="42" t="str">
        <f>IF(Agent03_Savings!A198="","",Agent03_Savings!F198)</f>
        <v/>
      </c>
      <c r="H591" s="40" t="str">
        <f>IF(Agent03_Savings!A198="","",Agent03_Savings!I198)</f>
        <v/>
      </c>
      <c r="I591" s="40" t="str">
        <f>IF(Agent03_Savings!A198="","",Agent03_Savings!J198)</f>
        <v/>
      </c>
      <c r="J591" s="40" t="str">
        <f>IF(Agent03_Savings!A198="","",Agent03_Savings!K198)</f>
        <v/>
      </c>
      <c r="K591" s="40" t="str">
        <f>IFERROR(IF(Agent03_Savings!A198="","",YEAR(Agent03_Savings!D198)),"")</f>
        <v/>
      </c>
    </row>
    <row r="592" spans="1:11" ht="18" customHeight="1" x14ac:dyDescent="0.25">
      <c r="A592" s="40" t="str">
        <f>IF(Agent03_Savings!A199="","",Agent03_Savings!A199)</f>
        <v/>
      </c>
      <c r="B592" s="40" t="str">
        <f ca="1">IF(Agent03_Savings!A199="","","SV"&amp;TEXT(592-3,"0000")&amp;"-"&amp;TEXT(TODAY(),"YYYYMMDD"))</f>
        <v/>
      </c>
      <c r="C592" s="40" t="str">
        <f>IF(Agent03_Savings!A199="","",Agent03_Savings!B199)</f>
        <v/>
      </c>
      <c r="D592" s="40" t="str">
        <f>IF(Agent03_Savings!A199="","",Agent03_Savings!G199)</f>
        <v/>
      </c>
      <c r="E592" s="41" t="str">
        <f>IF(Agent03_Savings!A199="","",Agent03_Savings!D199)</f>
        <v/>
      </c>
      <c r="F592" s="42" t="str">
        <f>IF(Agent03_Savings!A199="","",Agent03_Savings!E199)</f>
        <v/>
      </c>
      <c r="G592" s="42" t="str">
        <f>IF(Agent03_Savings!A199="","",Agent03_Savings!F199)</f>
        <v/>
      </c>
      <c r="H592" s="40" t="str">
        <f>IF(Agent03_Savings!A199="","",Agent03_Savings!I199)</f>
        <v/>
      </c>
      <c r="I592" s="40" t="str">
        <f>IF(Agent03_Savings!A199="","",Agent03_Savings!J199)</f>
        <v/>
      </c>
      <c r="J592" s="40" t="str">
        <f>IF(Agent03_Savings!A199="","",Agent03_Savings!K199)</f>
        <v/>
      </c>
      <c r="K592" s="40" t="str">
        <f>IFERROR(IF(Agent03_Savings!A199="","",YEAR(Agent03_Savings!D199)),"")</f>
        <v/>
      </c>
    </row>
    <row r="593" spans="1:11" ht="18" customHeight="1" x14ac:dyDescent="0.25">
      <c r="A593" s="40" t="str">
        <f>IF(Agent03_Savings!A200="","",Agent03_Savings!A200)</f>
        <v/>
      </c>
      <c r="B593" s="40" t="str">
        <f ca="1">IF(Agent03_Savings!A200="","","SV"&amp;TEXT(593-3,"0000")&amp;"-"&amp;TEXT(TODAY(),"YYYYMMDD"))</f>
        <v/>
      </c>
      <c r="C593" s="40" t="str">
        <f>IF(Agent03_Savings!A200="","",Agent03_Savings!B200)</f>
        <v/>
      </c>
      <c r="D593" s="40" t="str">
        <f>IF(Agent03_Savings!A200="","",Agent03_Savings!G200)</f>
        <v/>
      </c>
      <c r="E593" s="41" t="str">
        <f>IF(Agent03_Savings!A200="","",Agent03_Savings!D200)</f>
        <v/>
      </c>
      <c r="F593" s="42" t="str">
        <f>IF(Agent03_Savings!A200="","",Agent03_Savings!E200)</f>
        <v/>
      </c>
      <c r="G593" s="42" t="str">
        <f>IF(Agent03_Savings!A200="","",Agent03_Savings!F200)</f>
        <v/>
      </c>
      <c r="H593" s="40" t="str">
        <f>IF(Agent03_Savings!A200="","",Agent03_Savings!I200)</f>
        <v/>
      </c>
      <c r="I593" s="40" t="str">
        <f>IF(Agent03_Savings!A200="","",Agent03_Savings!J200)</f>
        <v/>
      </c>
      <c r="J593" s="40" t="str">
        <f>IF(Agent03_Savings!A200="","",Agent03_Savings!K200)</f>
        <v/>
      </c>
      <c r="K593" s="40" t="str">
        <f>IFERROR(IF(Agent03_Savings!A200="","",YEAR(Agent03_Savings!D200)),"")</f>
        <v/>
      </c>
    </row>
    <row r="594" spans="1:11" ht="18" customHeight="1" x14ac:dyDescent="0.25">
      <c r="A594" s="40" t="str">
        <f>IF(Agent03_Savings!A201="","",Agent03_Savings!A201)</f>
        <v/>
      </c>
      <c r="B594" s="40" t="str">
        <f ca="1">IF(Agent03_Savings!A201="","","SV"&amp;TEXT(594-3,"0000")&amp;"-"&amp;TEXT(TODAY(),"YYYYMMDD"))</f>
        <v/>
      </c>
      <c r="C594" s="40" t="str">
        <f>IF(Agent03_Savings!A201="","",Agent03_Savings!B201)</f>
        <v/>
      </c>
      <c r="D594" s="40" t="str">
        <f>IF(Agent03_Savings!A201="","",Agent03_Savings!G201)</f>
        <v/>
      </c>
      <c r="E594" s="41" t="str">
        <f>IF(Agent03_Savings!A201="","",Agent03_Savings!D201)</f>
        <v/>
      </c>
      <c r="F594" s="42" t="str">
        <f>IF(Agent03_Savings!A201="","",Agent03_Savings!E201)</f>
        <v/>
      </c>
      <c r="G594" s="42" t="str">
        <f>IF(Agent03_Savings!A201="","",Agent03_Savings!F201)</f>
        <v/>
      </c>
      <c r="H594" s="40" t="str">
        <f>IF(Agent03_Savings!A201="","",Agent03_Savings!I201)</f>
        <v/>
      </c>
      <c r="I594" s="40" t="str">
        <f>IF(Agent03_Savings!A201="","",Agent03_Savings!J201)</f>
        <v/>
      </c>
      <c r="J594" s="40" t="str">
        <f>IF(Agent03_Savings!A201="","",Agent03_Savings!K201)</f>
        <v/>
      </c>
      <c r="K594" s="40" t="str">
        <f>IFERROR(IF(Agent03_Savings!A201="","",YEAR(Agent03_Savings!D201)),"")</f>
        <v/>
      </c>
    </row>
    <row r="595" spans="1:11" ht="18" customHeight="1" x14ac:dyDescent="0.25">
      <c r="A595" s="40" t="str">
        <f>IF(Agent03_Savings!A202="","",Agent03_Savings!A202)</f>
        <v/>
      </c>
      <c r="B595" s="40" t="str">
        <f ca="1">IF(Agent03_Savings!A202="","","SV"&amp;TEXT(595-3,"0000")&amp;"-"&amp;TEXT(TODAY(),"YYYYMMDD"))</f>
        <v/>
      </c>
      <c r="C595" s="40" t="str">
        <f>IF(Agent03_Savings!A202="","",Agent03_Savings!B202)</f>
        <v/>
      </c>
      <c r="D595" s="40" t="str">
        <f>IF(Agent03_Savings!A202="","",Agent03_Savings!G202)</f>
        <v/>
      </c>
      <c r="E595" s="41" t="str">
        <f>IF(Agent03_Savings!A202="","",Agent03_Savings!D202)</f>
        <v/>
      </c>
      <c r="F595" s="42" t="str">
        <f>IF(Agent03_Savings!A202="","",Agent03_Savings!E202)</f>
        <v/>
      </c>
      <c r="G595" s="42" t="str">
        <f>IF(Agent03_Savings!A202="","",Agent03_Savings!F202)</f>
        <v/>
      </c>
      <c r="H595" s="40" t="str">
        <f>IF(Agent03_Savings!A202="","",Agent03_Savings!I202)</f>
        <v/>
      </c>
      <c r="I595" s="40" t="str">
        <f>IF(Agent03_Savings!A202="","",Agent03_Savings!J202)</f>
        <v/>
      </c>
      <c r="J595" s="40" t="str">
        <f>IF(Agent03_Savings!A202="","",Agent03_Savings!K202)</f>
        <v/>
      </c>
      <c r="K595" s="40" t="str">
        <f>IFERROR(IF(Agent03_Savings!A202="","",YEAR(Agent03_Savings!D202)),"")</f>
        <v/>
      </c>
    </row>
    <row r="596" spans="1:11" ht="18" customHeight="1" x14ac:dyDescent="0.25">
      <c r="A596" s="40" t="str">
        <f>IF(Agent03_Savings!A203="","",Agent03_Savings!A203)</f>
        <v/>
      </c>
      <c r="B596" s="40" t="str">
        <f ca="1">IF(Agent03_Savings!A203="","","SV"&amp;TEXT(596-3,"0000")&amp;"-"&amp;TEXT(TODAY(),"YYYYMMDD"))</f>
        <v/>
      </c>
      <c r="C596" s="40" t="str">
        <f>IF(Agent03_Savings!A203="","",Agent03_Savings!B203)</f>
        <v/>
      </c>
      <c r="D596" s="40" t="str">
        <f>IF(Agent03_Savings!A203="","",Agent03_Savings!G203)</f>
        <v/>
      </c>
      <c r="E596" s="41" t="str">
        <f>IF(Agent03_Savings!A203="","",Agent03_Savings!D203)</f>
        <v/>
      </c>
      <c r="F596" s="42" t="str">
        <f>IF(Agent03_Savings!A203="","",Agent03_Savings!E203)</f>
        <v/>
      </c>
      <c r="G596" s="42" t="str">
        <f>IF(Agent03_Savings!A203="","",Agent03_Savings!F203)</f>
        <v/>
      </c>
      <c r="H596" s="40" t="str">
        <f>IF(Agent03_Savings!A203="","",Agent03_Savings!I203)</f>
        <v/>
      </c>
      <c r="I596" s="40" t="str">
        <f>IF(Agent03_Savings!A203="","",Agent03_Savings!J203)</f>
        <v/>
      </c>
      <c r="J596" s="40" t="str">
        <f>IF(Agent03_Savings!A203="","",Agent03_Savings!K203)</f>
        <v/>
      </c>
      <c r="K596" s="40" t="str">
        <f>IFERROR(IF(Agent03_Savings!A203="","",YEAR(Agent03_Savings!D203)),"")</f>
        <v/>
      </c>
    </row>
    <row r="597" spans="1:11" ht="18" customHeight="1" x14ac:dyDescent="0.25">
      <c r="A597" s="40" t="str">
        <f>IF(Agent03_Savings!A204="","",Agent03_Savings!A204)</f>
        <v/>
      </c>
      <c r="B597" s="40" t="str">
        <f ca="1">IF(Agent03_Savings!A204="","","SV"&amp;TEXT(597-3,"0000")&amp;"-"&amp;TEXT(TODAY(),"YYYYMMDD"))</f>
        <v/>
      </c>
      <c r="C597" s="40" t="str">
        <f>IF(Agent03_Savings!A204="","",Agent03_Savings!B204)</f>
        <v/>
      </c>
      <c r="D597" s="40" t="str">
        <f>IF(Agent03_Savings!A204="","",Agent03_Savings!G204)</f>
        <v/>
      </c>
      <c r="E597" s="41" t="str">
        <f>IF(Agent03_Savings!A204="","",Agent03_Savings!D204)</f>
        <v/>
      </c>
      <c r="F597" s="42" t="str">
        <f>IF(Agent03_Savings!A204="","",Agent03_Savings!E204)</f>
        <v/>
      </c>
      <c r="G597" s="42" t="str">
        <f>IF(Agent03_Savings!A204="","",Agent03_Savings!F204)</f>
        <v/>
      </c>
      <c r="H597" s="40" t="str">
        <f>IF(Agent03_Savings!A204="","",Agent03_Savings!I204)</f>
        <v/>
      </c>
      <c r="I597" s="40" t="str">
        <f>IF(Agent03_Savings!A204="","",Agent03_Savings!J204)</f>
        <v/>
      </c>
      <c r="J597" s="40" t="str">
        <f>IF(Agent03_Savings!A204="","",Agent03_Savings!K204)</f>
        <v/>
      </c>
      <c r="K597" s="40" t="str">
        <f>IFERROR(IF(Agent03_Savings!A204="","",YEAR(Agent03_Savings!D204)),"")</f>
        <v/>
      </c>
    </row>
    <row r="598" spans="1:11" ht="18" customHeight="1" x14ac:dyDescent="0.25">
      <c r="A598" s="40" t="str">
        <f>IF(Agent03_Savings!A205="","",Agent03_Savings!A205)</f>
        <v/>
      </c>
      <c r="B598" s="40" t="str">
        <f ca="1">IF(Agent03_Savings!A205="","","SV"&amp;TEXT(598-3,"0000")&amp;"-"&amp;TEXT(TODAY(),"YYYYMMDD"))</f>
        <v/>
      </c>
      <c r="C598" s="40" t="str">
        <f>IF(Agent03_Savings!A205="","",Agent03_Savings!B205)</f>
        <v/>
      </c>
      <c r="D598" s="40" t="str">
        <f>IF(Agent03_Savings!A205="","",Agent03_Savings!G205)</f>
        <v/>
      </c>
      <c r="E598" s="41" t="str">
        <f>IF(Agent03_Savings!A205="","",Agent03_Savings!D205)</f>
        <v/>
      </c>
      <c r="F598" s="42" t="str">
        <f>IF(Agent03_Savings!A205="","",Agent03_Savings!E205)</f>
        <v/>
      </c>
      <c r="G598" s="42" t="str">
        <f>IF(Agent03_Savings!A205="","",Agent03_Savings!F205)</f>
        <v/>
      </c>
      <c r="H598" s="40" t="str">
        <f>IF(Agent03_Savings!A205="","",Agent03_Savings!I205)</f>
        <v/>
      </c>
      <c r="I598" s="40" t="str">
        <f>IF(Agent03_Savings!A205="","",Agent03_Savings!J205)</f>
        <v/>
      </c>
      <c r="J598" s="40" t="str">
        <f>IF(Agent03_Savings!A205="","",Agent03_Savings!K205)</f>
        <v/>
      </c>
      <c r="K598" s="40" t="str">
        <f>IFERROR(IF(Agent03_Savings!A205="","",YEAR(Agent03_Savings!D205)),"")</f>
        <v/>
      </c>
    </row>
    <row r="599" spans="1:11" ht="18" customHeight="1" x14ac:dyDescent="0.25">
      <c r="A599" s="40" t="str">
        <f>IF(Agent03_Savings!A206="","",Agent03_Savings!A206)</f>
        <v/>
      </c>
      <c r="B599" s="40" t="str">
        <f ca="1">IF(Agent03_Savings!A206="","","SV"&amp;TEXT(599-3,"0000")&amp;"-"&amp;TEXT(TODAY(),"YYYYMMDD"))</f>
        <v/>
      </c>
      <c r="C599" s="40" t="str">
        <f>IF(Agent03_Savings!A206="","",Agent03_Savings!B206)</f>
        <v/>
      </c>
      <c r="D599" s="40" t="str">
        <f>IF(Agent03_Savings!A206="","",Agent03_Savings!G206)</f>
        <v/>
      </c>
      <c r="E599" s="41" t="str">
        <f>IF(Agent03_Savings!A206="","",Agent03_Savings!D206)</f>
        <v/>
      </c>
      <c r="F599" s="42" t="str">
        <f>IF(Agent03_Savings!A206="","",Agent03_Savings!E206)</f>
        <v/>
      </c>
      <c r="G599" s="42" t="str">
        <f>IF(Agent03_Savings!A206="","",Agent03_Savings!F206)</f>
        <v/>
      </c>
      <c r="H599" s="40" t="str">
        <f>IF(Agent03_Savings!A206="","",Agent03_Savings!I206)</f>
        <v/>
      </c>
      <c r="I599" s="40" t="str">
        <f>IF(Agent03_Savings!A206="","",Agent03_Savings!J206)</f>
        <v/>
      </c>
      <c r="J599" s="40" t="str">
        <f>IF(Agent03_Savings!A206="","",Agent03_Savings!K206)</f>
        <v/>
      </c>
      <c r="K599" s="40" t="str">
        <f>IFERROR(IF(Agent03_Savings!A206="","",YEAR(Agent03_Savings!D206)),"")</f>
        <v/>
      </c>
    </row>
    <row r="600" spans="1:11" ht="18" customHeight="1" x14ac:dyDescent="0.25">
      <c r="A600" s="40" t="str">
        <f>IF(Agent03_Savings!A207="","",Agent03_Savings!A207)</f>
        <v/>
      </c>
      <c r="B600" s="40" t="str">
        <f ca="1">IF(Agent03_Savings!A207="","","SV"&amp;TEXT(600-3,"0000")&amp;"-"&amp;TEXT(TODAY(),"YYYYMMDD"))</f>
        <v/>
      </c>
      <c r="C600" s="40" t="str">
        <f>IF(Agent03_Savings!A207="","",Agent03_Savings!B207)</f>
        <v/>
      </c>
      <c r="D600" s="40" t="str">
        <f>IF(Agent03_Savings!A207="","",Agent03_Savings!G207)</f>
        <v/>
      </c>
      <c r="E600" s="41" t="str">
        <f>IF(Agent03_Savings!A207="","",Agent03_Savings!D207)</f>
        <v/>
      </c>
      <c r="F600" s="42" t="str">
        <f>IF(Agent03_Savings!A207="","",Agent03_Savings!E207)</f>
        <v/>
      </c>
      <c r="G600" s="42" t="str">
        <f>IF(Agent03_Savings!A207="","",Agent03_Savings!F207)</f>
        <v/>
      </c>
      <c r="H600" s="40" t="str">
        <f>IF(Agent03_Savings!A207="","",Agent03_Savings!I207)</f>
        <v/>
      </c>
      <c r="I600" s="40" t="str">
        <f>IF(Agent03_Savings!A207="","",Agent03_Savings!J207)</f>
        <v/>
      </c>
      <c r="J600" s="40" t="str">
        <f>IF(Agent03_Savings!A207="","",Agent03_Savings!K207)</f>
        <v/>
      </c>
      <c r="K600" s="40" t="str">
        <f>IFERROR(IF(Agent03_Savings!A207="","",YEAR(Agent03_Savings!D207)),"")</f>
        <v/>
      </c>
    </row>
    <row r="601" spans="1:11" ht="18" customHeight="1" x14ac:dyDescent="0.25">
      <c r="A601" s="40" t="str">
        <f>IF(Agent03_Savings!A208="","",Agent03_Savings!A208)</f>
        <v/>
      </c>
      <c r="B601" s="40" t="str">
        <f ca="1">IF(Agent03_Savings!A208="","","SV"&amp;TEXT(601-3,"0000")&amp;"-"&amp;TEXT(TODAY(),"YYYYMMDD"))</f>
        <v/>
      </c>
      <c r="C601" s="40" t="str">
        <f>IF(Agent03_Savings!A208="","",Agent03_Savings!B208)</f>
        <v/>
      </c>
      <c r="D601" s="40" t="str">
        <f>IF(Agent03_Savings!A208="","",Agent03_Savings!G208)</f>
        <v/>
      </c>
      <c r="E601" s="41" t="str">
        <f>IF(Agent03_Savings!A208="","",Agent03_Savings!D208)</f>
        <v/>
      </c>
      <c r="F601" s="42" t="str">
        <f>IF(Agent03_Savings!A208="","",Agent03_Savings!E208)</f>
        <v/>
      </c>
      <c r="G601" s="42" t="str">
        <f>IF(Agent03_Savings!A208="","",Agent03_Savings!F208)</f>
        <v/>
      </c>
      <c r="H601" s="40" t="str">
        <f>IF(Agent03_Savings!A208="","",Agent03_Savings!I208)</f>
        <v/>
      </c>
      <c r="I601" s="40" t="str">
        <f>IF(Agent03_Savings!A208="","",Agent03_Savings!J208)</f>
        <v/>
      </c>
      <c r="J601" s="40" t="str">
        <f>IF(Agent03_Savings!A208="","",Agent03_Savings!K208)</f>
        <v/>
      </c>
      <c r="K601" s="40" t="str">
        <f>IFERROR(IF(Agent03_Savings!A208="","",YEAR(Agent03_Savings!D208)),"")</f>
        <v/>
      </c>
    </row>
    <row r="602" spans="1:11" ht="18" customHeight="1" x14ac:dyDescent="0.25">
      <c r="A602" s="40" t="str">
        <f>IF(Agent03_Savings!A209="","",Agent03_Savings!A209)</f>
        <v/>
      </c>
      <c r="B602" s="40" t="str">
        <f ca="1">IF(Agent03_Savings!A209="","","SV"&amp;TEXT(602-3,"0000")&amp;"-"&amp;TEXT(TODAY(),"YYYYMMDD"))</f>
        <v/>
      </c>
      <c r="C602" s="40" t="str">
        <f>IF(Agent03_Savings!A209="","",Agent03_Savings!B209)</f>
        <v/>
      </c>
      <c r="D602" s="40" t="str">
        <f>IF(Agent03_Savings!A209="","",Agent03_Savings!G209)</f>
        <v/>
      </c>
      <c r="E602" s="41" t="str">
        <f>IF(Agent03_Savings!A209="","",Agent03_Savings!D209)</f>
        <v/>
      </c>
      <c r="F602" s="42" t="str">
        <f>IF(Agent03_Savings!A209="","",Agent03_Savings!E209)</f>
        <v/>
      </c>
      <c r="G602" s="42" t="str">
        <f>IF(Agent03_Savings!A209="","",Agent03_Savings!F209)</f>
        <v/>
      </c>
      <c r="H602" s="40" t="str">
        <f>IF(Agent03_Savings!A209="","",Agent03_Savings!I209)</f>
        <v/>
      </c>
      <c r="I602" s="40" t="str">
        <f>IF(Agent03_Savings!A209="","",Agent03_Savings!J209)</f>
        <v/>
      </c>
      <c r="J602" s="40" t="str">
        <f>IF(Agent03_Savings!A209="","",Agent03_Savings!K209)</f>
        <v/>
      </c>
      <c r="K602" s="40" t="str">
        <f>IFERROR(IF(Agent03_Savings!A209="","",YEAR(Agent03_Savings!D209)),"")</f>
        <v/>
      </c>
    </row>
    <row r="603" spans="1:11" ht="18" customHeight="1" x14ac:dyDescent="0.25">
      <c r="A603" s="40" t="str">
        <f>IF(Agent03_Savings!A210="","",Agent03_Savings!A210)</f>
        <v/>
      </c>
      <c r="B603" s="40" t="str">
        <f ca="1">IF(Agent03_Savings!A210="","","SV"&amp;TEXT(603-3,"0000")&amp;"-"&amp;TEXT(TODAY(),"YYYYMMDD"))</f>
        <v/>
      </c>
      <c r="C603" s="40" t="str">
        <f>IF(Agent03_Savings!A210="","",Agent03_Savings!B210)</f>
        <v/>
      </c>
      <c r="D603" s="40" t="str">
        <f>IF(Agent03_Savings!A210="","",Agent03_Savings!G210)</f>
        <v/>
      </c>
      <c r="E603" s="41" t="str">
        <f>IF(Agent03_Savings!A210="","",Agent03_Savings!D210)</f>
        <v/>
      </c>
      <c r="F603" s="42" t="str">
        <f>IF(Agent03_Savings!A210="","",Agent03_Savings!E210)</f>
        <v/>
      </c>
      <c r="G603" s="42" t="str">
        <f>IF(Agent03_Savings!A210="","",Agent03_Savings!F210)</f>
        <v/>
      </c>
      <c r="H603" s="40" t="str">
        <f>IF(Agent03_Savings!A210="","",Agent03_Savings!I210)</f>
        <v/>
      </c>
      <c r="I603" s="40" t="str">
        <f>IF(Agent03_Savings!A210="","",Agent03_Savings!J210)</f>
        <v/>
      </c>
      <c r="J603" s="40" t="str">
        <f>IF(Agent03_Savings!A210="","",Agent03_Savings!K210)</f>
        <v/>
      </c>
      <c r="K603" s="40" t="str">
        <f>IFERROR(IF(Agent03_Savings!A210="","",YEAR(Agent03_Savings!D210)),"")</f>
        <v/>
      </c>
    </row>
    <row r="604" spans="1:11" ht="18" customHeight="1" x14ac:dyDescent="0.25">
      <c r="A604" s="40" t="str">
        <f>IF(Agent04_Savings!A11="","",Agent04_Savings!A11)</f>
        <v/>
      </c>
      <c r="B604" s="40" t="str">
        <f ca="1">IF(Agent04_Savings!A11="","","SV"&amp;TEXT(604-3,"0000")&amp;"-"&amp;TEXT(TODAY(),"YYYYMMDD"))</f>
        <v/>
      </c>
      <c r="C604" s="40" t="str">
        <f>IF(Agent04_Savings!A11="","",Agent04_Savings!B11)</f>
        <v/>
      </c>
      <c r="D604" s="40" t="str">
        <f>IF(Agent04_Savings!A11="","",Agent04_Savings!G11)</f>
        <v/>
      </c>
      <c r="E604" s="41" t="str">
        <f>IF(Agent04_Savings!A11="","",Agent04_Savings!D11)</f>
        <v/>
      </c>
      <c r="F604" s="42" t="str">
        <f>IF(Agent04_Savings!A11="","",Agent04_Savings!E11)</f>
        <v/>
      </c>
      <c r="G604" s="42" t="str">
        <f>IF(Agent04_Savings!A11="","",Agent04_Savings!F11)</f>
        <v/>
      </c>
      <c r="H604" s="40" t="str">
        <f>IF(Agent04_Savings!A11="","",Agent04_Savings!I11)</f>
        <v/>
      </c>
      <c r="I604" s="40" t="str">
        <f>IF(Agent04_Savings!A11="","",Agent04_Savings!J11)</f>
        <v/>
      </c>
      <c r="J604" s="40" t="str">
        <f>IF(Agent04_Savings!A11="","",Agent04_Savings!K11)</f>
        <v/>
      </c>
      <c r="K604" s="40" t="str">
        <f>IFERROR(IF(Agent04_Savings!A11="","",YEAR(Agent04_Savings!D11)),"")</f>
        <v/>
      </c>
    </row>
    <row r="605" spans="1:11" ht="18" customHeight="1" x14ac:dyDescent="0.25">
      <c r="A605" s="40" t="str">
        <f>IF(Agent04_Savings!A12="","",Agent04_Savings!A12)</f>
        <v/>
      </c>
      <c r="B605" s="40" t="str">
        <f ca="1">IF(Agent04_Savings!A12="","","SV"&amp;TEXT(605-3,"0000")&amp;"-"&amp;TEXT(TODAY(),"YYYYMMDD"))</f>
        <v/>
      </c>
      <c r="C605" s="40" t="str">
        <f>IF(Agent04_Savings!A12="","",Agent04_Savings!B12)</f>
        <v/>
      </c>
      <c r="D605" s="40" t="str">
        <f>IF(Agent04_Savings!A12="","",Agent04_Savings!G12)</f>
        <v/>
      </c>
      <c r="E605" s="41" t="str">
        <f>IF(Agent04_Savings!A12="","",Agent04_Savings!D12)</f>
        <v/>
      </c>
      <c r="F605" s="42" t="str">
        <f>IF(Agent04_Savings!A12="","",Agent04_Savings!E12)</f>
        <v/>
      </c>
      <c r="G605" s="42" t="str">
        <f>IF(Agent04_Savings!A12="","",Agent04_Savings!F12)</f>
        <v/>
      </c>
      <c r="H605" s="40" t="str">
        <f>IF(Agent04_Savings!A12="","",Agent04_Savings!I12)</f>
        <v/>
      </c>
      <c r="I605" s="40" t="str">
        <f>IF(Agent04_Savings!A12="","",Agent04_Savings!J12)</f>
        <v/>
      </c>
      <c r="J605" s="40" t="str">
        <f>IF(Agent04_Savings!A12="","",Agent04_Savings!K12)</f>
        <v/>
      </c>
      <c r="K605" s="40" t="str">
        <f>IFERROR(IF(Agent04_Savings!A12="","",YEAR(Agent04_Savings!D12)),"")</f>
        <v/>
      </c>
    </row>
    <row r="606" spans="1:11" ht="18" customHeight="1" x14ac:dyDescent="0.25">
      <c r="A606" s="40" t="str">
        <f>IF(Agent04_Savings!A13="","",Agent04_Savings!A13)</f>
        <v/>
      </c>
      <c r="B606" s="40" t="str">
        <f ca="1">IF(Agent04_Savings!A13="","","SV"&amp;TEXT(606-3,"0000")&amp;"-"&amp;TEXT(TODAY(),"YYYYMMDD"))</f>
        <v/>
      </c>
      <c r="C606" s="40" t="str">
        <f>IF(Agent04_Savings!A13="","",Agent04_Savings!B13)</f>
        <v/>
      </c>
      <c r="D606" s="40" t="str">
        <f>IF(Agent04_Savings!A13="","",Agent04_Savings!G13)</f>
        <v/>
      </c>
      <c r="E606" s="41" t="str">
        <f>IF(Agent04_Savings!A13="","",Agent04_Savings!D13)</f>
        <v/>
      </c>
      <c r="F606" s="42" t="str">
        <f>IF(Agent04_Savings!A13="","",Agent04_Savings!E13)</f>
        <v/>
      </c>
      <c r="G606" s="42" t="str">
        <f>IF(Agent04_Savings!A13="","",Agent04_Savings!F13)</f>
        <v/>
      </c>
      <c r="H606" s="40" t="str">
        <f>IF(Agent04_Savings!A13="","",Agent04_Savings!I13)</f>
        <v/>
      </c>
      <c r="I606" s="40" t="str">
        <f>IF(Agent04_Savings!A13="","",Agent04_Savings!J13)</f>
        <v/>
      </c>
      <c r="J606" s="40" t="str">
        <f>IF(Agent04_Savings!A13="","",Agent04_Savings!K13)</f>
        <v/>
      </c>
      <c r="K606" s="40" t="str">
        <f>IFERROR(IF(Agent04_Savings!A13="","",YEAR(Agent04_Savings!D13)),"")</f>
        <v/>
      </c>
    </row>
    <row r="607" spans="1:11" ht="18" customHeight="1" x14ac:dyDescent="0.25">
      <c r="A607" s="40" t="str">
        <f>IF(Agent04_Savings!A14="","",Agent04_Savings!A14)</f>
        <v/>
      </c>
      <c r="B607" s="40" t="str">
        <f ca="1">IF(Agent04_Savings!A14="","","SV"&amp;TEXT(607-3,"0000")&amp;"-"&amp;TEXT(TODAY(),"YYYYMMDD"))</f>
        <v/>
      </c>
      <c r="C607" s="40" t="str">
        <f>IF(Agent04_Savings!A14="","",Agent04_Savings!B14)</f>
        <v/>
      </c>
      <c r="D607" s="40" t="str">
        <f>IF(Agent04_Savings!A14="","",Agent04_Savings!G14)</f>
        <v/>
      </c>
      <c r="E607" s="41" t="str">
        <f>IF(Agent04_Savings!A14="","",Agent04_Savings!D14)</f>
        <v/>
      </c>
      <c r="F607" s="42" t="str">
        <f>IF(Agent04_Savings!A14="","",Agent04_Savings!E14)</f>
        <v/>
      </c>
      <c r="G607" s="42" t="str">
        <f>IF(Agent04_Savings!A14="","",Agent04_Savings!F14)</f>
        <v/>
      </c>
      <c r="H607" s="40" t="str">
        <f>IF(Agent04_Savings!A14="","",Agent04_Savings!I14)</f>
        <v/>
      </c>
      <c r="I607" s="40" t="str">
        <f>IF(Agent04_Savings!A14="","",Agent04_Savings!J14)</f>
        <v/>
      </c>
      <c r="J607" s="40" t="str">
        <f>IF(Agent04_Savings!A14="","",Agent04_Savings!K14)</f>
        <v/>
      </c>
      <c r="K607" s="40" t="str">
        <f>IFERROR(IF(Agent04_Savings!A14="","",YEAR(Agent04_Savings!D14)),"")</f>
        <v/>
      </c>
    </row>
    <row r="608" spans="1:11" ht="18" customHeight="1" x14ac:dyDescent="0.25">
      <c r="A608" s="40" t="str">
        <f>IF(Agent04_Savings!A15="","",Agent04_Savings!A15)</f>
        <v/>
      </c>
      <c r="B608" s="40" t="str">
        <f ca="1">IF(Agent04_Savings!A15="","","SV"&amp;TEXT(608-3,"0000")&amp;"-"&amp;TEXT(TODAY(),"YYYYMMDD"))</f>
        <v/>
      </c>
      <c r="C608" s="40" t="str">
        <f>IF(Agent04_Savings!A15="","",Agent04_Savings!B15)</f>
        <v/>
      </c>
      <c r="D608" s="40" t="str">
        <f>IF(Agent04_Savings!A15="","",Agent04_Savings!G15)</f>
        <v/>
      </c>
      <c r="E608" s="41" t="str">
        <f>IF(Agent04_Savings!A15="","",Agent04_Savings!D15)</f>
        <v/>
      </c>
      <c r="F608" s="42" t="str">
        <f>IF(Agent04_Savings!A15="","",Agent04_Savings!E15)</f>
        <v/>
      </c>
      <c r="G608" s="42" t="str">
        <f>IF(Agent04_Savings!A15="","",Agent04_Savings!F15)</f>
        <v/>
      </c>
      <c r="H608" s="40" t="str">
        <f>IF(Agent04_Savings!A15="","",Agent04_Savings!I15)</f>
        <v/>
      </c>
      <c r="I608" s="40" t="str">
        <f>IF(Agent04_Savings!A15="","",Agent04_Savings!J15)</f>
        <v/>
      </c>
      <c r="J608" s="40" t="str">
        <f>IF(Agent04_Savings!A15="","",Agent04_Savings!K15)</f>
        <v/>
      </c>
      <c r="K608" s="40" t="str">
        <f>IFERROR(IF(Agent04_Savings!A15="","",YEAR(Agent04_Savings!D15)),"")</f>
        <v/>
      </c>
    </row>
    <row r="609" spans="1:11" ht="18" customHeight="1" x14ac:dyDescent="0.25">
      <c r="A609" s="40" t="str">
        <f>IF(Agent04_Savings!A16="","",Agent04_Savings!A16)</f>
        <v/>
      </c>
      <c r="B609" s="40" t="str">
        <f ca="1">IF(Agent04_Savings!A16="","","SV"&amp;TEXT(609-3,"0000")&amp;"-"&amp;TEXT(TODAY(),"YYYYMMDD"))</f>
        <v/>
      </c>
      <c r="C609" s="40" t="str">
        <f>IF(Agent04_Savings!A16="","",Agent04_Savings!B16)</f>
        <v/>
      </c>
      <c r="D609" s="40" t="str">
        <f>IF(Agent04_Savings!A16="","",Agent04_Savings!G16)</f>
        <v/>
      </c>
      <c r="E609" s="41" t="str">
        <f>IF(Agent04_Savings!A16="","",Agent04_Savings!D16)</f>
        <v/>
      </c>
      <c r="F609" s="42" t="str">
        <f>IF(Agent04_Savings!A16="","",Agent04_Savings!E16)</f>
        <v/>
      </c>
      <c r="G609" s="42" t="str">
        <f>IF(Agent04_Savings!A16="","",Agent04_Savings!F16)</f>
        <v/>
      </c>
      <c r="H609" s="40" t="str">
        <f>IF(Agent04_Savings!A16="","",Agent04_Savings!I16)</f>
        <v/>
      </c>
      <c r="I609" s="40" t="str">
        <f>IF(Agent04_Savings!A16="","",Agent04_Savings!J16)</f>
        <v/>
      </c>
      <c r="J609" s="40" t="str">
        <f>IF(Agent04_Savings!A16="","",Agent04_Savings!K16)</f>
        <v/>
      </c>
      <c r="K609" s="40" t="str">
        <f>IFERROR(IF(Agent04_Savings!A16="","",YEAR(Agent04_Savings!D16)),"")</f>
        <v/>
      </c>
    </row>
    <row r="610" spans="1:11" ht="18" customHeight="1" x14ac:dyDescent="0.25">
      <c r="A610" s="40" t="str">
        <f>IF(Agent04_Savings!A17="","",Agent04_Savings!A17)</f>
        <v/>
      </c>
      <c r="B610" s="40" t="str">
        <f ca="1">IF(Agent04_Savings!A17="","","SV"&amp;TEXT(610-3,"0000")&amp;"-"&amp;TEXT(TODAY(),"YYYYMMDD"))</f>
        <v/>
      </c>
      <c r="C610" s="40" t="str">
        <f>IF(Agent04_Savings!A17="","",Agent04_Savings!B17)</f>
        <v/>
      </c>
      <c r="D610" s="40" t="str">
        <f>IF(Agent04_Savings!A17="","",Agent04_Savings!G17)</f>
        <v/>
      </c>
      <c r="E610" s="41" t="str">
        <f>IF(Agent04_Savings!A17="","",Agent04_Savings!D17)</f>
        <v/>
      </c>
      <c r="F610" s="42" t="str">
        <f>IF(Agent04_Savings!A17="","",Agent04_Savings!E17)</f>
        <v/>
      </c>
      <c r="G610" s="42" t="str">
        <f>IF(Agent04_Savings!A17="","",Agent04_Savings!F17)</f>
        <v/>
      </c>
      <c r="H610" s="40" t="str">
        <f>IF(Agent04_Savings!A17="","",Agent04_Savings!I17)</f>
        <v/>
      </c>
      <c r="I610" s="40" t="str">
        <f>IF(Agent04_Savings!A17="","",Agent04_Savings!J17)</f>
        <v/>
      </c>
      <c r="J610" s="40" t="str">
        <f>IF(Agent04_Savings!A17="","",Agent04_Savings!K17)</f>
        <v/>
      </c>
      <c r="K610" s="40" t="str">
        <f>IFERROR(IF(Agent04_Savings!A17="","",YEAR(Agent04_Savings!D17)),"")</f>
        <v/>
      </c>
    </row>
    <row r="611" spans="1:11" ht="18" customHeight="1" x14ac:dyDescent="0.25">
      <c r="A611" s="40" t="str">
        <f>IF(Agent04_Savings!A18="","",Agent04_Savings!A18)</f>
        <v/>
      </c>
      <c r="B611" s="40" t="str">
        <f ca="1">IF(Agent04_Savings!A18="","","SV"&amp;TEXT(611-3,"0000")&amp;"-"&amp;TEXT(TODAY(),"YYYYMMDD"))</f>
        <v/>
      </c>
      <c r="C611" s="40" t="str">
        <f>IF(Agent04_Savings!A18="","",Agent04_Savings!B18)</f>
        <v/>
      </c>
      <c r="D611" s="40" t="str">
        <f>IF(Agent04_Savings!A18="","",Agent04_Savings!G18)</f>
        <v/>
      </c>
      <c r="E611" s="41" t="str">
        <f>IF(Agent04_Savings!A18="","",Agent04_Savings!D18)</f>
        <v/>
      </c>
      <c r="F611" s="42" t="str">
        <f>IF(Agent04_Savings!A18="","",Agent04_Savings!E18)</f>
        <v/>
      </c>
      <c r="G611" s="42" t="str">
        <f>IF(Agent04_Savings!A18="","",Agent04_Savings!F18)</f>
        <v/>
      </c>
      <c r="H611" s="40" t="str">
        <f>IF(Agent04_Savings!A18="","",Agent04_Savings!I18)</f>
        <v/>
      </c>
      <c r="I611" s="40" t="str">
        <f>IF(Agent04_Savings!A18="","",Agent04_Savings!J18)</f>
        <v/>
      </c>
      <c r="J611" s="40" t="str">
        <f>IF(Agent04_Savings!A18="","",Agent04_Savings!K18)</f>
        <v/>
      </c>
      <c r="K611" s="40" t="str">
        <f>IFERROR(IF(Agent04_Savings!A18="","",YEAR(Agent04_Savings!D18)),"")</f>
        <v/>
      </c>
    </row>
    <row r="612" spans="1:11" ht="18" customHeight="1" x14ac:dyDescent="0.25">
      <c r="A612" s="40" t="str">
        <f>IF(Agent04_Savings!A19="","",Agent04_Savings!A19)</f>
        <v/>
      </c>
      <c r="B612" s="40" t="str">
        <f ca="1">IF(Agent04_Savings!A19="","","SV"&amp;TEXT(612-3,"0000")&amp;"-"&amp;TEXT(TODAY(),"YYYYMMDD"))</f>
        <v/>
      </c>
      <c r="C612" s="40" t="str">
        <f>IF(Agent04_Savings!A19="","",Agent04_Savings!B19)</f>
        <v/>
      </c>
      <c r="D612" s="40" t="str">
        <f>IF(Agent04_Savings!A19="","",Agent04_Savings!G19)</f>
        <v/>
      </c>
      <c r="E612" s="41" t="str">
        <f>IF(Agent04_Savings!A19="","",Agent04_Savings!D19)</f>
        <v/>
      </c>
      <c r="F612" s="42" t="str">
        <f>IF(Agent04_Savings!A19="","",Agent04_Savings!E19)</f>
        <v/>
      </c>
      <c r="G612" s="42" t="str">
        <f>IF(Agent04_Savings!A19="","",Agent04_Savings!F19)</f>
        <v/>
      </c>
      <c r="H612" s="40" t="str">
        <f>IF(Agent04_Savings!A19="","",Agent04_Savings!I19)</f>
        <v/>
      </c>
      <c r="I612" s="40" t="str">
        <f>IF(Agent04_Savings!A19="","",Agent04_Savings!J19)</f>
        <v/>
      </c>
      <c r="J612" s="40" t="str">
        <f>IF(Agent04_Savings!A19="","",Agent04_Savings!K19)</f>
        <v/>
      </c>
      <c r="K612" s="40" t="str">
        <f>IFERROR(IF(Agent04_Savings!A19="","",YEAR(Agent04_Savings!D19)),"")</f>
        <v/>
      </c>
    </row>
    <row r="613" spans="1:11" ht="18" customHeight="1" x14ac:dyDescent="0.25">
      <c r="A613" s="40" t="str">
        <f>IF(Agent04_Savings!A20="","",Agent04_Savings!A20)</f>
        <v/>
      </c>
      <c r="B613" s="40" t="str">
        <f ca="1">IF(Agent04_Savings!A20="","","SV"&amp;TEXT(613-3,"0000")&amp;"-"&amp;TEXT(TODAY(),"YYYYMMDD"))</f>
        <v/>
      </c>
      <c r="C613" s="40" t="str">
        <f>IF(Agent04_Savings!A20="","",Agent04_Savings!B20)</f>
        <v/>
      </c>
      <c r="D613" s="40" t="str">
        <f>IF(Agent04_Savings!A20="","",Agent04_Savings!G20)</f>
        <v/>
      </c>
      <c r="E613" s="41" t="str">
        <f>IF(Agent04_Savings!A20="","",Agent04_Savings!D20)</f>
        <v/>
      </c>
      <c r="F613" s="42" t="str">
        <f>IF(Agent04_Savings!A20="","",Agent04_Savings!E20)</f>
        <v/>
      </c>
      <c r="G613" s="42" t="str">
        <f>IF(Agent04_Savings!A20="","",Agent04_Savings!F20)</f>
        <v/>
      </c>
      <c r="H613" s="40" t="str">
        <f>IF(Agent04_Savings!A20="","",Agent04_Savings!I20)</f>
        <v/>
      </c>
      <c r="I613" s="40" t="str">
        <f>IF(Agent04_Savings!A20="","",Agent04_Savings!J20)</f>
        <v/>
      </c>
      <c r="J613" s="40" t="str">
        <f>IF(Agent04_Savings!A20="","",Agent04_Savings!K20)</f>
        <v/>
      </c>
      <c r="K613" s="40" t="str">
        <f>IFERROR(IF(Agent04_Savings!A20="","",YEAR(Agent04_Savings!D20)),"")</f>
        <v/>
      </c>
    </row>
    <row r="614" spans="1:11" ht="18" customHeight="1" x14ac:dyDescent="0.25">
      <c r="A614" s="40" t="str">
        <f>IF(Agent04_Savings!A21="","",Agent04_Savings!A21)</f>
        <v/>
      </c>
      <c r="B614" s="40" t="str">
        <f ca="1">IF(Agent04_Savings!A21="","","SV"&amp;TEXT(614-3,"0000")&amp;"-"&amp;TEXT(TODAY(),"YYYYMMDD"))</f>
        <v/>
      </c>
      <c r="C614" s="40" t="str">
        <f>IF(Agent04_Savings!A21="","",Agent04_Savings!B21)</f>
        <v/>
      </c>
      <c r="D614" s="40" t="str">
        <f>IF(Agent04_Savings!A21="","",Agent04_Savings!G21)</f>
        <v/>
      </c>
      <c r="E614" s="41" t="str">
        <f>IF(Agent04_Savings!A21="","",Agent04_Savings!D21)</f>
        <v/>
      </c>
      <c r="F614" s="42" t="str">
        <f>IF(Agent04_Savings!A21="","",Agent04_Savings!E21)</f>
        <v/>
      </c>
      <c r="G614" s="42" t="str">
        <f>IF(Agent04_Savings!A21="","",Agent04_Savings!F21)</f>
        <v/>
      </c>
      <c r="H614" s="40" t="str">
        <f>IF(Agent04_Savings!A21="","",Agent04_Savings!I21)</f>
        <v/>
      </c>
      <c r="I614" s="40" t="str">
        <f>IF(Agent04_Savings!A21="","",Agent04_Savings!J21)</f>
        <v/>
      </c>
      <c r="J614" s="40" t="str">
        <f>IF(Agent04_Savings!A21="","",Agent04_Savings!K21)</f>
        <v/>
      </c>
      <c r="K614" s="40" t="str">
        <f>IFERROR(IF(Agent04_Savings!A21="","",YEAR(Agent04_Savings!D21)),"")</f>
        <v/>
      </c>
    </row>
    <row r="615" spans="1:11" ht="18" customHeight="1" x14ac:dyDescent="0.25">
      <c r="A615" s="40" t="str">
        <f>IF(Agent04_Savings!A22="","",Agent04_Savings!A22)</f>
        <v/>
      </c>
      <c r="B615" s="40" t="str">
        <f ca="1">IF(Agent04_Savings!A22="","","SV"&amp;TEXT(615-3,"0000")&amp;"-"&amp;TEXT(TODAY(),"YYYYMMDD"))</f>
        <v/>
      </c>
      <c r="C615" s="40" t="str">
        <f>IF(Agent04_Savings!A22="","",Agent04_Savings!B22)</f>
        <v/>
      </c>
      <c r="D615" s="40" t="str">
        <f>IF(Agent04_Savings!A22="","",Agent04_Savings!G22)</f>
        <v/>
      </c>
      <c r="E615" s="41" t="str">
        <f>IF(Agent04_Savings!A22="","",Agent04_Savings!D22)</f>
        <v/>
      </c>
      <c r="F615" s="42" t="str">
        <f>IF(Agent04_Savings!A22="","",Agent04_Savings!E22)</f>
        <v/>
      </c>
      <c r="G615" s="42" t="str">
        <f>IF(Agent04_Savings!A22="","",Agent04_Savings!F22)</f>
        <v/>
      </c>
      <c r="H615" s="40" t="str">
        <f>IF(Agent04_Savings!A22="","",Agent04_Savings!I22)</f>
        <v/>
      </c>
      <c r="I615" s="40" t="str">
        <f>IF(Agent04_Savings!A22="","",Agent04_Savings!J22)</f>
        <v/>
      </c>
      <c r="J615" s="40" t="str">
        <f>IF(Agent04_Savings!A22="","",Agent04_Savings!K22)</f>
        <v/>
      </c>
      <c r="K615" s="40" t="str">
        <f>IFERROR(IF(Agent04_Savings!A22="","",YEAR(Agent04_Savings!D22)),"")</f>
        <v/>
      </c>
    </row>
    <row r="616" spans="1:11" ht="18" customHeight="1" x14ac:dyDescent="0.25">
      <c r="A616" s="40" t="str">
        <f>IF(Agent04_Savings!A23="","",Agent04_Savings!A23)</f>
        <v/>
      </c>
      <c r="B616" s="40" t="str">
        <f ca="1">IF(Agent04_Savings!A23="","","SV"&amp;TEXT(616-3,"0000")&amp;"-"&amp;TEXT(TODAY(),"YYYYMMDD"))</f>
        <v/>
      </c>
      <c r="C616" s="40" t="str">
        <f>IF(Agent04_Savings!A23="","",Agent04_Savings!B23)</f>
        <v/>
      </c>
      <c r="D616" s="40" t="str">
        <f>IF(Agent04_Savings!A23="","",Agent04_Savings!G23)</f>
        <v/>
      </c>
      <c r="E616" s="41" t="str">
        <f>IF(Agent04_Savings!A23="","",Agent04_Savings!D23)</f>
        <v/>
      </c>
      <c r="F616" s="42" t="str">
        <f>IF(Agent04_Savings!A23="","",Agent04_Savings!E23)</f>
        <v/>
      </c>
      <c r="G616" s="42" t="str">
        <f>IF(Agent04_Savings!A23="","",Agent04_Savings!F23)</f>
        <v/>
      </c>
      <c r="H616" s="40" t="str">
        <f>IF(Agent04_Savings!A23="","",Agent04_Savings!I23)</f>
        <v/>
      </c>
      <c r="I616" s="40" t="str">
        <f>IF(Agent04_Savings!A23="","",Agent04_Savings!J23)</f>
        <v/>
      </c>
      <c r="J616" s="40" t="str">
        <f>IF(Agent04_Savings!A23="","",Agent04_Savings!K23)</f>
        <v/>
      </c>
      <c r="K616" s="40" t="str">
        <f>IFERROR(IF(Agent04_Savings!A23="","",YEAR(Agent04_Savings!D23)),"")</f>
        <v/>
      </c>
    </row>
    <row r="617" spans="1:11" ht="18" customHeight="1" x14ac:dyDescent="0.25">
      <c r="A617" s="40" t="str">
        <f>IF(Agent04_Savings!A24="","",Agent04_Savings!A24)</f>
        <v/>
      </c>
      <c r="B617" s="40" t="str">
        <f ca="1">IF(Agent04_Savings!A24="","","SV"&amp;TEXT(617-3,"0000")&amp;"-"&amp;TEXT(TODAY(),"YYYYMMDD"))</f>
        <v/>
      </c>
      <c r="C617" s="40" t="str">
        <f>IF(Agent04_Savings!A24="","",Agent04_Savings!B24)</f>
        <v/>
      </c>
      <c r="D617" s="40" t="str">
        <f>IF(Agent04_Savings!A24="","",Agent04_Savings!G24)</f>
        <v/>
      </c>
      <c r="E617" s="41" t="str">
        <f>IF(Agent04_Savings!A24="","",Agent04_Savings!D24)</f>
        <v/>
      </c>
      <c r="F617" s="42" t="str">
        <f>IF(Agent04_Savings!A24="","",Agent04_Savings!E24)</f>
        <v/>
      </c>
      <c r="G617" s="42" t="str">
        <f>IF(Agent04_Savings!A24="","",Agent04_Savings!F24)</f>
        <v/>
      </c>
      <c r="H617" s="40" t="str">
        <f>IF(Agent04_Savings!A24="","",Agent04_Savings!I24)</f>
        <v/>
      </c>
      <c r="I617" s="40" t="str">
        <f>IF(Agent04_Savings!A24="","",Agent04_Savings!J24)</f>
        <v/>
      </c>
      <c r="J617" s="40" t="str">
        <f>IF(Agent04_Savings!A24="","",Agent04_Savings!K24)</f>
        <v/>
      </c>
      <c r="K617" s="40" t="str">
        <f>IFERROR(IF(Agent04_Savings!A24="","",YEAR(Agent04_Savings!D24)),"")</f>
        <v/>
      </c>
    </row>
    <row r="618" spans="1:11" ht="18" customHeight="1" x14ac:dyDescent="0.25">
      <c r="A618" s="40" t="str">
        <f>IF(Agent04_Savings!A25="","",Agent04_Savings!A25)</f>
        <v/>
      </c>
      <c r="B618" s="40" t="str">
        <f ca="1">IF(Agent04_Savings!A25="","","SV"&amp;TEXT(618-3,"0000")&amp;"-"&amp;TEXT(TODAY(),"YYYYMMDD"))</f>
        <v/>
      </c>
      <c r="C618" s="40" t="str">
        <f>IF(Agent04_Savings!A25="","",Agent04_Savings!B25)</f>
        <v/>
      </c>
      <c r="D618" s="40" t="str">
        <f>IF(Agent04_Savings!A25="","",Agent04_Savings!G25)</f>
        <v/>
      </c>
      <c r="E618" s="41" t="str">
        <f>IF(Agent04_Savings!A25="","",Agent04_Savings!D25)</f>
        <v/>
      </c>
      <c r="F618" s="42" t="str">
        <f>IF(Agent04_Savings!A25="","",Agent04_Savings!E25)</f>
        <v/>
      </c>
      <c r="G618" s="42" t="str">
        <f>IF(Agent04_Savings!A25="","",Agent04_Savings!F25)</f>
        <v/>
      </c>
      <c r="H618" s="40" t="str">
        <f>IF(Agent04_Savings!A25="","",Agent04_Savings!I25)</f>
        <v/>
      </c>
      <c r="I618" s="40" t="str">
        <f>IF(Agent04_Savings!A25="","",Agent04_Savings!J25)</f>
        <v/>
      </c>
      <c r="J618" s="40" t="str">
        <f>IF(Agent04_Savings!A25="","",Agent04_Savings!K25)</f>
        <v/>
      </c>
      <c r="K618" s="40" t="str">
        <f>IFERROR(IF(Agent04_Savings!A25="","",YEAR(Agent04_Savings!D25)),"")</f>
        <v/>
      </c>
    </row>
    <row r="619" spans="1:11" ht="18" customHeight="1" x14ac:dyDescent="0.25">
      <c r="A619" s="40" t="str">
        <f>IF(Agent04_Savings!A26="","",Agent04_Savings!A26)</f>
        <v/>
      </c>
      <c r="B619" s="40" t="str">
        <f ca="1">IF(Agent04_Savings!A26="","","SV"&amp;TEXT(619-3,"0000")&amp;"-"&amp;TEXT(TODAY(),"YYYYMMDD"))</f>
        <v/>
      </c>
      <c r="C619" s="40" t="str">
        <f>IF(Agent04_Savings!A26="","",Agent04_Savings!B26)</f>
        <v/>
      </c>
      <c r="D619" s="40" t="str">
        <f>IF(Agent04_Savings!A26="","",Agent04_Savings!G26)</f>
        <v/>
      </c>
      <c r="E619" s="41" t="str">
        <f>IF(Agent04_Savings!A26="","",Agent04_Savings!D26)</f>
        <v/>
      </c>
      <c r="F619" s="42" t="str">
        <f>IF(Agent04_Savings!A26="","",Agent04_Savings!E26)</f>
        <v/>
      </c>
      <c r="G619" s="42" t="str">
        <f>IF(Agent04_Savings!A26="","",Agent04_Savings!F26)</f>
        <v/>
      </c>
      <c r="H619" s="40" t="str">
        <f>IF(Agent04_Savings!A26="","",Agent04_Savings!I26)</f>
        <v/>
      </c>
      <c r="I619" s="40" t="str">
        <f>IF(Agent04_Savings!A26="","",Agent04_Savings!J26)</f>
        <v/>
      </c>
      <c r="J619" s="40" t="str">
        <f>IF(Agent04_Savings!A26="","",Agent04_Savings!K26)</f>
        <v/>
      </c>
      <c r="K619" s="40" t="str">
        <f>IFERROR(IF(Agent04_Savings!A26="","",YEAR(Agent04_Savings!D26)),"")</f>
        <v/>
      </c>
    </row>
    <row r="620" spans="1:11" ht="18" customHeight="1" x14ac:dyDescent="0.25">
      <c r="A620" s="40" t="str">
        <f>IF(Agent04_Savings!A27="","",Agent04_Savings!A27)</f>
        <v/>
      </c>
      <c r="B620" s="40" t="str">
        <f ca="1">IF(Agent04_Savings!A27="","","SV"&amp;TEXT(620-3,"0000")&amp;"-"&amp;TEXT(TODAY(),"YYYYMMDD"))</f>
        <v/>
      </c>
      <c r="C620" s="40" t="str">
        <f>IF(Agent04_Savings!A27="","",Agent04_Savings!B27)</f>
        <v/>
      </c>
      <c r="D620" s="40" t="str">
        <f>IF(Agent04_Savings!A27="","",Agent04_Savings!G27)</f>
        <v/>
      </c>
      <c r="E620" s="41" t="str">
        <f>IF(Agent04_Savings!A27="","",Agent04_Savings!D27)</f>
        <v/>
      </c>
      <c r="F620" s="42" t="str">
        <f>IF(Agent04_Savings!A27="","",Agent04_Savings!E27)</f>
        <v/>
      </c>
      <c r="G620" s="42" t="str">
        <f>IF(Agent04_Savings!A27="","",Agent04_Savings!F27)</f>
        <v/>
      </c>
      <c r="H620" s="40" t="str">
        <f>IF(Agent04_Savings!A27="","",Agent04_Savings!I27)</f>
        <v/>
      </c>
      <c r="I620" s="40" t="str">
        <f>IF(Agent04_Savings!A27="","",Agent04_Savings!J27)</f>
        <v/>
      </c>
      <c r="J620" s="40" t="str">
        <f>IF(Agent04_Savings!A27="","",Agent04_Savings!K27)</f>
        <v/>
      </c>
      <c r="K620" s="40" t="str">
        <f>IFERROR(IF(Agent04_Savings!A27="","",YEAR(Agent04_Savings!D27)),"")</f>
        <v/>
      </c>
    </row>
    <row r="621" spans="1:11" ht="18" customHeight="1" x14ac:dyDescent="0.25">
      <c r="A621" s="40" t="str">
        <f>IF(Agent04_Savings!A28="","",Agent04_Savings!A28)</f>
        <v/>
      </c>
      <c r="B621" s="40" t="str">
        <f ca="1">IF(Agent04_Savings!A28="","","SV"&amp;TEXT(621-3,"0000")&amp;"-"&amp;TEXT(TODAY(),"YYYYMMDD"))</f>
        <v/>
      </c>
      <c r="C621" s="40" t="str">
        <f>IF(Agent04_Savings!A28="","",Agent04_Savings!B28)</f>
        <v/>
      </c>
      <c r="D621" s="40" t="str">
        <f>IF(Agent04_Savings!A28="","",Agent04_Savings!G28)</f>
        <v/>
      </c>
      <c r="E621" s="41" t="str">
        <f>IF(Agent04_Savings!A28="","",Agent04_Savings!D28)</f>
        <v/>
      </c>
      <c r="F621" s="42" t="str">
        <f>IF(Agent04_Savings!A28="","",Agent04_Savings!E28)</f>
        <v/>
      </c>
      <c r="G621" s="42" t="str">
        <f>IF(Agent04_Savings!A28="","",Agent04_Savings!F28)</f>
        <v/>
      </c>
      <c r="H621" s="40" t="str">
        <f>IF(Agent04_Savings!A28="","",Agent04_Savings!I28)</f>
        <v/>
      </c>
      <c r="I621" s="40" t="str">
        <f>IF(Agent04_Savings!A28="","",Agent04_Savings!J28)</f>
        <v/>
      </c>
      <c r="J621" s="40" t="str">
        <f>IF(Agent04_Savings!A28="","",Agent04_Savings!K28)</f>
        <v/>
      </c>
      <c r="K621" s="40" t="str">
        <f>IFERROR(IF(Agent04_Savings!A28="","",YEAR(Agent04_Savings!D28)),"")</f>
        <v/>
      </c>
    </row>
    <row r="622" spans="1:11" ht="18" customHeight="1" x14ac:dyDescent="0.25">
      <c r="A622" s="40" t="str">
        <f>IF(Agent04_Savings!A29="","",Agent04_Savings!A29)</f>
        <v/>
      </c>
      <c r="B622" s="40" t="str">
        <f ca="1">IF(Agent04_Savings!A29="","","SV"&amp;TEXT(622-3,"0000")&amp;"-"&amp;TEXT(TODAY(),"YYYYMMDD"))</f>
        <v/>
      </c>
      <c r="C622" s="40" t="str">
        <f>IF(Agent04_Savings!A29="","",Agent04_Savings!B29)</f>
        <v/>
      </c>
      <c r="D622" s="40" t="str">
        <f>IF(Agent04_Savings!A29="","",Agent04_Savings!G29)</f>
        <v/>
      </c>
      <c r="E622" s="41" t="str">
        <f>IF(Agent04_Savings!A29="","",Agent04_Savings!D29)</f>
        <v/>
      </c>
      <c r="F622" s="42" t="str">
        <f>IF(Agent04_Savings!A29="","",Agent04_Savings!E29)</f>
        <v/>
      </c>
      <c r="G622" s="42" t="str">
        <f>IF(Agent04_Savings!A29="","",Agent04_Savings!F29)</f>
        <v/>
      </c>
      <c r="H622" s="40" t="str">
        <f>IF(Agent04_Savings!A29="","",Agent04_Savings!I29)</f>
        <v/>
      </c>
      <c r="I622" s="40" t="str">
        <f>IF(Agent04_Savings!A29="","",Agent04_Savings!J29)</f>
        <v/>
      </c>
      <c r="J622" s="40" t="str">
        <f>IF(Agent04_Savings!A29="","",Agent04_Savings!K29)</f>
        <v/>
      </c>
      <c r="K622" s="40" t="str">
        <f>IFERROR(IF(Agent04_Savings!A29="","",YEAR(Agent04_Savings!D29)),"")</f>
        <v/>
      </c>
    </row>
    <row r="623" spans="1:11" ht="18" customHeight="1" x14ac:dyDescent="0.25">
      <c r="A623" s="40" t="str">
        <f>IF(Agent04_Savings!A30="","",Agent04_Savings!A30)</f>
        <v/>
      </c>
      <c r="B623" s="40" t="str">
        <f ca="1">IF(Agent04_Savings!A30="","","SV"&amp;TEXT(623-3,"0000")&amp;"-"&amp;TEXT(TODAY(),"YYYYMMDD"))</f>
        <v/>
      </c>
      <c r="C623" s="40" t="str">
        <f>IF(Agent04_Savings!A30="","",Agent04_Savings!B30)</f>
        <v/>
      </c>
      <c r="D623" s="40" t="str">
        <f>IF(Agent04_Savings!A30="","",Agent04_Savings!G30)</f>
        <v/>
      </c>
      <c r="E623" s="41" t="str">
        <f>IF(Agent04_Savings!A30="","",Agent04_Savings!D30)</f>
        <v/>
      </c>
      <c r="F623" s="42" t="str">
        <f>IF(Agent04_Savings!A30="","",Agent04_Savings!E30)</f>
        <v/>
      </c>
      <c r="G623" s="42" t="str">
        <f>IF(Agent04_Savings!A30="","",Agent04_Savings!F30)</f>
        <v/>
      </c>
      <c r="H623" s="40" t="str">
        <f>IF(Agent04_Savings!A30="","",Agent04_Savings!I30)</f>
        <v/>
      </c>
      <c r="I623" s="40" t="str">
        <f>IF(Agent04_Savings!A30="","",Agent04_Savings!J30)</f>
        <v/>
      </c>
      <c r="J623" s="40" t="str">
        <f>IF(Agent04_Savings!A30="","",Agent04_Savings!K30)</f>
        <v/>
      </c>
      <c r="K623" s="40" t="str">
        <f>IFERROR(IF(Agent04_Savings!A30="","",YEAR(Agent04_Savings!D30)),"")</f>
        <v/>
      </c>
    </row>
    <row r="624" spans="1:11" ht="18" customHeight="1" x14ac:dyDescent="0.25">
      <c r="A624" s="40" t="str">
        <f>IF(Agent04_Savings!A31="","",Agent04_Savings!A31)</f>
        <v/>
      </c>
      <c r="B624" s="40" t="str">
        <f ca="1">IF(Agent04_Savings!A31="","","SV"&amp;TEXT(624-3,"0000")&amp;"-"&amp;TEXT(TODAY(),"YYYYMMDD"))</f>
        <v/>
      </c>
      <c r="C624" s="40" t="str">
        <f>IF(Agent04_Savings!A31="","",Agent04_Savings!B31)</f>
        <v/>
      </c>
      <c r="D624" s="40" t="str">
        <f>IF(Agent04_Savings!A31="","",Agent04_Savings!G31)</f>
        <v/>
      </c>
      <c r="E624" s="41" t="str">
        <f>IF(Agent04_Savings!A31="","",Agent04_Savings!D31)</f>
        <v/>
      </c>
      <c r="F624" s="42" t="str">
        <f>IF(Agent04_Savings!A31="","",Agent04_Savings!E31)</f>
        <v/>
      </c>
      <c r="G624" s="42" t="str">
        <f>IF(Agent04_Savings!A31="","",Agent04_Savings!F31)</f>
        <v/>
      </c>
      <c r="H624" s="40" t="str">
        <f>IF(Agent04_Savings!A31="","",Agent04_Savings!I31)</f>
        <v/>
      </c>
      <c r="I624" s="40" t="str">
        <f>IF(Agent04_Savings!A31="","",Agent04_Savings!J31)</f>
        <v/>
      </c>
      <c r="J624" s="40" t="str">
        <f>IF(Agent04_Savings!A31="","",Agent04_Savings!K31)</f>
        <v/>
      </c>
      <c r="K624" s="40" t="str">
        <f>IFERROR(IF(Agent04_Savings!A31="","",YEAR(Agent04_Savings!D31)),"")</f>
        <v/>
      </c>
    </row>
    <row r="625" spans="1:11" ht="18" customHeight="1" x14ac:dyDescent="0.25">
      <c r="A625" s="40" t="str">
        <f>IF(Agent04_Savings!A32="","",Agent04_Savings!A32)</f>
        <v/>
      </c>
      <c r="B625" s="40" t="str">
        <f ca="1">IF(Agent04_Savings!A32="","","SV"&amp;TEXT(625-3,"0000")&amp;"-"&amp;TEXT(TODAY(),"YYYYMMDD"))</f>
        <v/>
      </c>
      <c r="C625" s="40" t="str">
        <f>IF(Agent04_Savings!A32="","",Agent04_Savings!B32)</f>
        <v/>
      </c>
      <c r="D625" s="40" t="str">
        <f>IF(Agent04_Savings!A32="","",Agent04_Savings!G32)</f>
        <v/>
      </c>
      <c r="E625" s="41" t="str">
        <f>IF(Agent04_Savings!A32="","",Agent04_Savings!D32)</f>
        <v/>
      </c>
      <c r="F625" s="42" t="str">
        <f>IF(Agent04_Savings!A32="","",Agent04_Savings!E32)</f>
        <v/>
      </c>
      <c r="G625" s="42" t="str">
        <f>IF(Agent04_Savings!A32="","",Agent04_Savings!F32)</f>
        <v/>
      </c>
      <c r="H625" s="40" t="str">
        <f>IF(Agent04_Savings!A32="","",Agent04_Savings!I32)</f>
        <v/>
      </c>
      <c r="I625" s="40" t="str">
        <f>IF(Agent04_Savings!A32="","",Agent04_Savings!J32)</f>
        <v/>
      </c>
      <c r="J625" s="40" t="str">
        <f>IF(Agent04_Savings!A32="","",Agent04_Savings!K32)</f>
        <v/>
      </c>
      <c r="K625" s="40" t="str">
        <f>IFERROR(IF(Agent04_Savings!A32="","",YEAR(Agent04_Savings!D32)),"")</f>
        <v/>
      </c>
    </row>
    <row r="626" spans="1:11" ht="18" customHeight="1" x14ac:dyDescent="0.25">
      <c r="A626" s="40" t="str">
        <f>IF(Agent04_Savings!A33="","",Agent04_Savings!A33)</f>
        <v/>
      </c>
      <c r="B626" s="40" t="str">
        <f ca="1">IF(Agent04_Savings!A33="","","SV"&amp;TEXT(626-3,"0000")&amp;"-"&amp;TEXT(TODAY(),"YYYYMMDD"))</f>
        <v/>
      </c>
      <c r="C626" s="40" t="str">
        <f>IF(Agent04_Savings!A33="","",Agent04_Savings!B33)</f>
        <v/>
      </c>
      <c r="D626" s="40" t="str">
        <f>IF(Agent04_Savings!A33="","",Agent04_Savings!G33)</f>
        <v/>
      </c>
      <c r="E626" s="41" t="str">
        <f>IF(Agent04_Savings!A33="","",Agent04_Savings!D33)</f>
        <v/>
      </c>
      <c r="F626" s="42" t="str">
        <f>IF(Agent04_Savings!A33="","",Agent04_Savings!E33)</f>
        <v/>
      </c>
      <c r="G626" s="42" t="str">
        <f>IF(Agent04_Savings!A33="","",Agent04_Savings!F33)</f>
        <v/>
      </c>
      <c r="H626" s="40" t="str">
        <f>IF(Agent04_Savings!A33="","",Agent04_Savings!I33)</f>
        <v/>
      </c>
      <c r="I626" s="40" t="str">
        <f>IF(Agent04_Savings!A33="","",Agent04_Savings!J33)</f>
        <v/>
      </c>
      <c r="J626" s="40" t="str">
        <f>IF(Agent04_Savings!A33="","",Agent04_Savings!K33)</f>
        <v/>
      </c>
      <c r="K626" s="40" t="str">
        <f>IFERROR(IF(Agent04_Savings!A33="","",YEAR(Agent04_Savings!D33)),"")</f>
        <v/>
      </c>
    </row>
    <row r="627" spans="1:11" ht="18" customHeight="1" x14ac:dyDescent="0.25">
      <c r="A627" s="40" t="str">
        <f>IF(Agent04_Savings!A34="","",Agent04_Savings!A34)</f>
        <v/>
      </c>
      <c r="B627" s="40" t="str">
        <f ca="1">IF(Agent04_Savings!A34="","","SV"&amp;TEXT(627-3,"0000")&amp;"-"&amp;TEXT(TODAY(),"YYYYMMDD"))</f>
        <v/>
      </c>
      <c r="C627" s="40" t="str">
        <f>IF(Agent04_Savings!A34="","",Agent04_Savings!B34)</f>
        <v/>
      </c>
      <c r="D627" s="40" t="str">
        <f>IF(Agent04_Savings!A34="","",Agent04_Savings!G34)</f>
        <v/>
      </c>
      <c r="E627" s="41" t="str">
        <f>IF(Agent04_Savings!A34="","",Agent04_Savings!D34)</f>
        <v/>
      </c>
      <c r="F627" s="42" t="str">
        <f>IF(Agent04_Savings!A34="","",Agent04_Savings!E34)</f>
        <v/>
      </c>
      <c r="G627" s="42" t="str">
        <f>IF(Agent04_Savings!A34="","",Agent04_Savings!F34)</f>
        <v/>
      </c>
      <c r="H627" s="40" t="str">
        <f>IF(Agent04_Savings!A34="","",Agent04_Savings!I34)</f>
        <v/>
      </c>
      <c r="I627" s="40" t="str">
        <f>IF(Agent04_Savings!A34="","",Agent04_Savings!J34)</f>
        <v/>
      </c>
      <c r="J627" s="40" t="str">
        <f>IF(Agent04_Savings!A34="","",Agent04_Savings!K34)</f>
        <v/>
      </c>
      <c r="K627" s="40" t="str">
        <f>IFERROR(IF(Agent04_Savings!A34="","",YEAR(Agent04_Savings!D34)),"")</f>
        <v/>
      </c>
    </row>
    <row r="628" spans="1:11" ht="18" customHeight="1" x14ac:dyDescent="0.25">
      <c r="A628" s="40" t="str">
        <f>IF(Agent04_Savings!A35="","",Agent04_Savings!A35)</f>
        <v/>
      </c>
      <c r="B628" s="40" t="str">
        <f ca="1">IF(Agent04_Savings!A35="","","SV"&amp;TEXT(628-3,"0000")&amp;"-"&amp;TEXT(TODAY(),"YYYYMMDD"))</f>
        <v/>
      </c>
      <c r="C628" s="40" t="str">
        <f>IF(Agent04_Savings!A35="","",Agent04_Savings!B35)</f>
        <v/>
      </c>
      <c r="D628" s="40" t="str">
        <f>IF(Agent04_Savings!A35="","",Agent04_Savings!G35)</f>
        <v/>
      </c>
      <c r="E628" s="41" t="str">
        <f>IF(Agent04_Savings!A35="","",Agent04_Savings!D35)</f>
        <v/>
      </c>
      <c r="F628" s="42" t="str">
        <f>IF(Agent04_Savings!A35="","",Agent04_Savings!E35)</f>
        <v/>
      </c>
      <c r="G628" s="42" t="str">
        <f>IF(Agent04_Savings!A35="","",Agent04_Savings!F35)</f>
        <v/>
      </c>
      <c r="H628" s="40" t="str">
        <f>IF(Agent04_Savings!A35="","",Agent04_Savings!I35)</f>
        <v/>
      </c>
      <c r="I628" s="40" t="str">
        <f>IF(Agent04_Savings!A35="","",Agent04_Savings!J35)</f>
        <v/>
      </c>
      <c r="J628" s="40" t="str">
        <f>IF(Agent04_Savings!A35="","",Agent04_Savings!K35)</f>
        <v/>
      </c>
      <c r="K628" s="40" t="str">
        <f>IFERROR(IF(Agent04_Savings!A35="","",YEAR(Agent04_Savings!D35)),"")</f>
        <v/>
      </c>
    </row>
    <row r="629" spans="1:11" ht="18" customHeight="1" x14ac:dyDescent="0.25">
      <c r="A629" s="40" t="str">
        <f>IF(Agent04_Savings!A36="","",Agent04_Savings!A36)</f>
        <v/>
      </c>
      <c r="B629" s="40" t="str">
        <f ca="1">IF(Agent04_Savings!A36="","","SV"&amp;TEXT(629-3,"0000")&amp;"-"&amp;TEXT(TODAY(),"YYYYMMDD"))</f>
        <v/>
      </c>
      <c r="C629" s="40" t="str">
        <f>IF(Agent04_Savings!A36="","",Agent04_Savings!B36)</f>
        <v/>
      </c>
      <c r="D629" s="40" t="str">
        <f>IF(Agent04_Savings!A36="","",Agent04_Savings!G36)</f>
        <v/>
      </c>
      <c r="E629" s="41" t="str">
        <f>IF(Agent04_Savings!A36="","",Agent04_Savings!D36)</f>
        <v/>
      </c>
      <c r="F629" s="42" t="str">
        <f>IF(Agent04_Savings!A36="","",Agent04_Savings!E36)</f>
        <v/>
      </c>
      <c r="G629" s="42" t="str">
        <f>IF(Agent04_Savings!A36="","",Agent04_Savings!F36)</f>
        <v/>
      </c>
      <c r="H629" s="40" t="str">
        <f>IF(Agent04_Savings!A36="","",Agent04_Savings!I36)</f>
        <v/>
      </c>
      <c r="I629" s="40" t="str">
        <f>IF(Agent04_Savings!A36="","",Agent04_Savings!J36)</f>
        <v/>
      </c>
      <c r="J629" s="40" t="str">
        <f>IF(Agent04_Savings!A36="","",Agent04_Savings!K36)</f>
        <v/>
      </c>
      <c r="K629" s="40" t="str">
        <f>IFERROR(IF(Agent04_Savings!A36="","",YEAR(Agent04_Savings!D36)),"")</f>
        <v/>
      </c>
    </row>
    <row r="630" spans="1:11" ht="18" customHeight="1" x14ac:dyDescent="0.25">
      <c r="A630" s="40" t="str">
        <f>IF(Agent04_Savings!A37="","",Agent04_Savings!A37)</f>
        <v/>
      </c>
      <c r="B630" s="40" t="str">
        <f ca="1">IF(Agent04_Savings!A37="","","SV"&amp;TEXT(630-3,"0000")&amp;"-"&amp;TEXT(TODAY(),"YYYYMMDD"))</f>
        <v/>
      </c>
      <c r="C630" s="40" t="str">
        <f>IF(Agent04_Savings!A37="","",Agent04_Savings!B37)</f>
        <v/>
      </c>
      <c r="D630" s="40" t="str">
        <f>IF(Agent04_Savings!A37="","",Agent04_Savings!G37)</f>
        <v/>
      </c>
      <c r="E630" s="41" t="str">
        <f>IF(Agent04_Savings!A37="","",Agent04_Savings!D37)</f>
        <v/>
      </c>
      <c r="F630" s="42" t="str">
        <f>IF(Agent04_Savings!A37="","",Agent04_Savings!E37)</f>
        <v/>
      </c>
      <c r="G630" s="42" t="str">
        <f>IF(Agent04_Savings!A37="","",Agent04_Savings!F37)</f>
        <v/>
      </c>
      <c r="H630" s="40" t="str">
        <f>IF(Agent04_Savings!A37="","",Agent04_Savings!I37)</f>
        <v/>
      </c>
      <c r="I630" s="40" t="str">
        <f>IF(Agent04_Savings!A37="","",Agent04_Savings!J37)</f>
        <v/>
      </c>
      <c r="J630" s="40" t="str">
        <f>IF(Agent04_Savings!A37="","",Agent04_Savings!K37)</f>
        <v/>
      </c>
      <c r="K630" s="40" t="str">
        <f>IFERROR(IF(Agent04_Savings!A37="","",YEAR(Agent04_Savings!D37)),"")</f>
        <v/>
      </c>
    </row>
    <row r="631" spans="1:11" ht="18" customHeight="1" x14ac:dyDescent="0.25">
      <c r="A631" s="40" t="str">
        <f>IF(Agent04_Savings!A38="","",Agent04_Savings!A38)</f>
        <v/>
      </c>
      <c r="B631" s="40" t="str">
        <f ca="1">IF(Agent04_Savings!A38="","","SV"&amp;TEXT(631-3,"0000")&amp;"-"&amp;TEXT(TODAY(),"YYYYMMDD"))</f>
        <v/>
      </c>
      <c r="C631" s="40" t="str">
        <f>IF(Agent04_Savings!A38="","",Agent04_Savings!B38)</f>
        <v/>
      </c>
      <c r="D631" s="40" t="str">
        <f>IF(Agent04_Savings!A38="","",Agent04_Savings!G38)</f>
        <v/>
      </c>
      <c r="E631" s="41" t="str">
        <f>IF(Agent04_Savings!A38="","",Agent04_Savings!D38)</f>
        <v/>
      </c>
      <c r="F631" s="42" t="str">
        <f>IF(Agent04_Savings!A38="","",Agent04_Savings!E38)</f>
        <v/>
      </c>
      <c r="G631" s="42" t="str">
        <f>IF(Agent04_Savings!A38="","",Agent04_Savings!F38)</f>
        <v/>
      </c>
      <c r="H631" s="40" t="str">
        <f>IF(Agent04_Savings!A38="","",Agent04_Savings!I38)</f>
        <v/>
      </c>
      <c r="I631" s="40" t="str">
        <f>IF(Agent04_Savings!A38="","",Agent04_Savings!J38)</f>
        <v/>
      </c>
      <c r="J631" s="40" t="str">
        <f>IF(Agent04_Savings!A38="","",Agent04_Savings!K38)</f>
        <v/>
      </c>
      <c r="K631" s="40" t="str">
        <f>IFERROR(IF(Agent04_Savings!A38="","",YEAR(Agent04_Savings!D38)),"")</f>
        <v/>
      </c>
    </row>
    <row r="632" spans="1:11" ht="18" customHeight="1" x14ac:dyDescent="0.25">
      <c r="A632" s="40" t="str">
        <f>IF(Agent04_Savings!A39="","",Agent04_Savings!A39)</f>
        <v/>
      </c>
      <c r="B632" s="40" t="str">
        <f ca="1">IF(Agent04_Savings!A39="","","SV"&amp;TEXT(632-3,"0000")&amp;"-"&amp;TEXT(TODAY(),"YYYYMMDD"))</f>
        <v/>
      </c>
      <c r="C632" s="40" t="str">
        <f>IF(Agent04_Savings!A39="","",Agent04_Savings!B39)</f>
        <v/>
      </c>
      <c r="D632" s="40" t="str">
        <f>IF(Agent04_Savings!A39="","",Agent04_Savings!G39)</f>
        <v/>
      </c>
      <c r="E632" s="41" t="str">
        <f>IF(Agent04_Savings!A39="","",Agent04_Savings!D39)</f>
        <v/>
      </c>
      <c r="F632" s="42" t="str">
        <f>IF(Agent04_Savings!A39="","",Agent04_Savings!E39)</f>
        <v/>
      </c>
      <c r="G632" s="42" t="str">
        <f>IF(Agent04_Savings!A39="","",Agent04_Savings!F39)</f>
        <v/>
      </c>
      <c r="H632" s="40" t="str">
        <f>IF(Agent04_Savings!A39="","",Agent04_Savings!I39)</f>
        <v/>
      </c>
      <c r="I632" s="40" t="str">
        <f>IF(Agent04_Savings!A39="","",Agent04_Savings!J39)</f>
        <v/>
      </c>
      <c r="J632" s="40" t="str">
        <f>IF(Agent04_Savings!A39="","",Agent04_Savings!K39)</f>
        <v/>
      </c>
      <c r="K632" s="40" t="str">
        <f>IFERROR(IF(Agent04_Savings!A39="","",YEAR(Agent04_Savings!D39)),"")</f>
        <v/>
      </c>
    </row>
    <row r="633" spans="1:11" ht="18" customHeight="1" x14ac:dyDescent="0.25">
      <c r="A633" s="40" t="str">
        <f>IF(Agent04_Savings!A40="","",Agent04_Savings!A40)</f>
        <v/>
      </c>
      <c r="B633" s="40" t="str">
        <f ca="1">IF(Agent04_Savings!A40="","","SV"&amp;TEXT(633-3,"0000")&amp;"-"&amp;TEXT(TODAY(),"YYYYMMDD"))</f>
        <v/>
      </c>
      <c r="C633" s="40" t="str">
        <f>IF(Agent04_Savings!A40="","",Agent04_Savings!B40)</f>
        <v/>
      </c>
      <c r="D633" s="40" t="str">
        <f>IF(Agent04_Savings!A40="","",Agent04_Savings!G40)</f>
        <v/>
      </c>
      <c r="E633" s="41" t="str">
        <f>IF(Agent04_Savings!A40="","",Agent04_Savings!D40)</f>
        <v/>
      </c>
      <c r="F633" s="42" t="str">
        <f>IF(Agent04_Savings!A40="","",Agent04_Savings!E40)</f>
        <v/>
      </c>
      <c r="G633" s="42" t="str">
        <f>IF(Agent04_Savings!A40="","",Agent04_Savings!F40)</f>
        <v/>
      </c>
      <c r="H633" s="40" t="str">
        <f>IF(Agent04_Savings!A40="","",Agent04_Savings!I40)</f>
        <v/>
      </c>
      <c r="I633" s="40" t="str">
        <f>IF(Agent04_Savings!A40="","",Agent04_Savings!J40)</f>
        <v/>
      </c>
      <c r="J633" s="40" t="str">
        <f>IF(Agent04_Savings!A40="","",Agent04_Savings!K40)</f>
        <v/>
      </c>
      <c r="K633" s="40" t="str">
        <f>IFERROR(IF(Agent04_Savings!A40="","",YEAR(Agent04_Savings!D40)),"")</f>
        <v/>
      </c>
    </row>
    <row r="634" spans="1:11" ht="18" customHeight="1" x14ac:dyDescent="0.25">
      <c r="A634" s="40" t="str">
        <f>IF(Agent04_Savings!A41="","",Agent04_Savings!A41)</f>
        <v/>
      </c>
      <c r="B634" s="40" t="str">
        <f ca="1">IF(Agent04_Savings!A41="","","SV"&amp;TEXT(634-3,"0000")&amp;"-"&amp;TEXT(TODAY(),"YYYYMMDD"))</f>
        <v/>
      </c>
      <c r="C634" s="40" t="str">
        <f>IF(Agent04_Savings!A41="","",Agent04_Savings!B41)</f>
        <v/>
      </c>
      <c r="D634" s="40" t="str">
        <f>IF(Agent04_Savings!A41="","",Agent04_Savings!G41)</f>
        <v/>
      </c>
      <c r="E634" s="41" t="str">
        <f>IF(Agent04_Savings!A41="","",Agent04_Savings!D41)</f>
        <v/>
      </c>
      <c r="F634" s="42" t="str">
        <f>IF(Agent04_Savings!A41="","",Agent04_Savings!E41)</f>
        <v/>
      </c>
      <c r="G634" s="42" t="str">
        <f>IF(Agent04_Savings!A41="","",Agent04_Savings!F41)</f>
        <v/>
      </c>
      <c r="H634" s="40" t="str">
        <f>IF(Agent04_Savings!A41="","",Agent04_Savings!I41)</f>
        <v/>
      </c>
      <c r="I634" s="40" t="str">
        <f>IF(Agent04_Savings!A41="","",Agent04_Savings!J41)</f>
        <v/>
      </c>
      <c r="J634" s="40" t="str">
        <f>IF(Agent04_Savings!A41="","",Agent04_Savings!K41)</f>
        <v/>
      </c>
      <c r="K634" s="40" t="str">
        <f>IFERROR(IF(Agent04_Savings!A41="","",YEAR(Agent04_Savings!D41)),"")</f>
        <v/>
      </c>
    </row>
    <row r="635" spans="1:11" ht="18" customHeight="1" x14ac:dyDescent="0.25">
      <c r="A635" s="40" t="str">
        <f>IF(Agent04_Savings!A42="","",Agent04_Savings!A42)</f>
        <v/>
      </c>
      <c r="B635" s="40" t="str">
        <f ca="1">IF(Agent04_Savings!A42="","","SV"&amp;TEXT(635-3,"0000")&amp;"-"&amp;TEXT(TODAY(),"YYYYMMDD"))</f>
        <v/>
      </c>
      <c r="C635" s="40" t="str">
        <f>IF(Agent04_Savings!A42="","",Agent04_Savings!B42)</f>
        <v/>
      </c>
      <c r="D635" s="40" t="str">
        <f>IF(Agent04_Savings!A42="","",Agent04_Savings!G42)</f>
        <v/>
      </c>
      <c r="E635" s="41" t="str">
        <f>IF(Agent04_Savings!A42="","",Agent04_Savings!D42)</f>
        <v/>
      </c>
      <c r="F635" s="42" t="str">
        <f>IF(Agent04_Savings!A42="","",Agent04_Savings!E42)</f>
        <v/>
      </c>
      <c r="G635" s="42" t="str">
        <f>IF(Agent04_Savings!A42="","",Agent04_Savings!F42)</f>
        <v/>
      </c>
      <c r="H635" s="40" t="str">
        <f>IF(Agent04_Savings!A42="","",Agent04_Savings!I42)</f>
        <v/>
      </c>
      <c r="I635" s="40" t="str">
        <f>IF(Agent04_Savings!A42="","",Agent04_Savings!J42)</f>
        <v/>
      </c>
      <c r="J635" s="40" t="str">
        <f>IF(Agent04_Savings!A42="","",Agent04_Savings!K42)</f>
        <v/>
      </c>
      <c r="K635" s="40" t="str">
        <f>IFERROR(IF(Agent04_Savings!A42="","",YEAR(Agent04_Savings!D42)),"")</f>
        <v/>
      </c>
    </row>
    <row r="636" spans="1:11" ht="18" customHeight="1" x14ac:dyDescent="0.25">
      <c r="A636" s="40" t="str">
        <f>IF(Agent04_Savings!A43="","",Agent04_Savings!A43)</f>
        <v/>
      </c>
      <c r="B636" s="40" t="str">
        <f ca="1">IF(Agent04_Savings!A43="","","SV"&amp;TEXT(636-3,"0000")&amp;"-"&amp;TEXT(TODAY(),"YYYYMMDD"))</f>
        <v/>
      </c>
      <c r="C636" s="40" t="str">
        <f>IF(Agent04_Savings!A43="","",Agent04_Savings!B43)</f>
        <v/>
      </c>
      <c r="D636" s="40" t="str">
        <f>IF(Agent04_Savings!A43="","",Agent04_Savings!G43)</f>
        <v/>
      </c>
      <c r="E636" s="41" t="str">
        <f>IF(Agent04_Savings!A43="","",Agent04_Savings!D43)</f>
        <v/>
      </c>
      <c r="F636" s="42" t="str">
        <f>IF(Agent04_Savings!A43="","",Agent04_Savings!E43)</f>
        <v/>
      </c>
      <c r="G636" s="42" t="str">
        <f>IF(Agent04_Savings!A43="","",Agent04_Savings!F43)</f>
        <v/>
      </c>
      <c r="H636" s="40" t="str">
        <f>IF(Agent04_Savings!A43="","",Agent04_Savings!I43)</f>
        <v/>
      </c>
      <c r="I636" s="40" t="str">
        <f>IF(Agent04_Savings!A43="","",Agent04_Savings!J43)</f>
        <v/>
      </c>
      <c r="J636" s="40" t="str">
        <f>IF(Agent04_Savings!A43="","",Agent04_Savings!K43)</f>
        <v/>
      </c>
      <c r="K636" s="40" t="str">
        <f>IFERROR(IF(Agent04_Savings!A43="","",YEAR(Agent04_Savings!D43)),"")</f>
        <v/>
      </c>
    </row>
    <row r="637" spans="1:11" ht="18" customHeight="1" x14ac:dyDescent="0.25">
      <c r="A637" s="40" t="str">
        <f>IF(Agent04_Savings!A44="","",Agent04_Savings!A44)</f>
        <v/>
      </c>
      <c r="B637" s="40" t="str">
        <f ca="1">IF(Agent04_Savings!A44="","","SV"&amp;TEXT(637-3,"0000")&amp;"-"&amp;TEXT(TODAY(),"YYYYMMDD"))</f>
        <v/>
      </c>
      <c r="C637" s="40" t="str">
        <f>IF(Agent04_Savings!A44="","",Agent04_Savings!B44)</f>
        <v/>
      </c>
      <c r="D637" s="40" t="str">
        <f>IF(Agent04_Savings!A44="","",Agent04_Savings!G44)</f>
        <v/>
      </c>
      <c r="E637" s="41" t="str">
        <f>IF(Agent04_Savings!A44="","",Agent04_Savings!D44)</f>
        <v/>
      </c>
      <c r="F637" s="42" t="str">
        <f>IF(Agent04_Savings!A44="","",Agent04_Savings!E44)</f>
        <v/>
      </c>
      <c r="G637" s="42" t="str">
        <f>IF(Agent04_Savings!A44="","",Agent04_Savings!F44)</f>
        <v/>
      </c>
      <c r="H637" s="40" t="str">
        <f>IF(Agent04_Savings!A44="","",Agent04_Savings!I44)</f>
        <v/>
      </c>
      <c r="I637" s="40" t="str">
        <f>IF(Agent04_Savings!A44="","",Agent04_Savings!J44)</f>
        <v/>
      </c>
      <c r="J637" s="40" t="str">
        <f>IF(Agent04_Savings!A44="","",Agent04_Savings!K44)</f>
        <v/>
      </c>
      <c r="K637" s="40" t="str">
        <f>IFERROR(IF(Agent04_Savings!A44="","",YEAR(Agent04_Savings!D44)),"")</f>
        <v/>
      </c>
    </row>
    <row r="638" spans="1:11" ht="18" customHeight="1" x14ac:dyDescent="0.25">
      <c r="A638" s="40" t="str">
        <f>IF(Agent04_Savings!A45="","",Agent04_Savings!A45)</f>
        <v/>
      </c>
      <c r="B638" s="40" t="str">
        <f ca="1">IF(Agent04_Savings!A45="","","SV"&amp;TEXT(638-3,"0000")&amp;"-"&amp;TEXT(TODAY(),"YYYYMMDD"))</f>
        <v/>
      </c>
      <c r="C638" s="40" t="str">
        <f>IF(Agent04_Savings!A45="","",Agent04_Savings!B45)</f>
        <v/>
      </c>
      <c r="D638" s="40" t="str">
        <f>IF(Agent04_Savings!A45="","",Agent04_Savings!G45)</f>
        <v/>
      </c>
      <c r="E638" s="41" t="str">
        <f>IF(Agent04_Savings!A45="","",Agent04_Savings!D45)</f>
        <v/>
      </c>
      <c r="F638" s="42" t="str">
        <f>IF(Agent04_Savings!A45="","",Agent04_Savings!E45)</f>
        <v/>
      </c>
      <c r="G638" s="42" t="str">
        <f>IF(Agent04_Savings!A45="","",Agent04_Savings!F45)</f>
        <v/>
      </c>
      <c r="H638" s="40" t="str">
        <f>IF(Agent04_Savings!A45="","",Agent04_Savings!I45)</f>
        <v/>
      </c>
      <c r="I638" s="40" t="str">
        <f>IF(Agent04_Savings!A45="","",Agent04_Savings!J45)</f>
        <v/>
      </c>
      <c r="J638" s="40" t="str">
        <f>IF(Agent04_Savings!A45="","",Agent04_Savings!K45)</f>
        <v/>
      </c>
      <c r="K638" s="40" t="str">
        <f>IFERROR(IF(Agent04_Savings!A45="","",YEAR(Agent04_Savings!D45)),"")</f>
        <v/>
      </c>
    </row>
    <row r="639" spans="1:11" ht="18" customHeight="1" x14ac:dyDescent="0.25">
      <c r="A639" s="40" t="str">
        <f>IF(Agent04_Savings!A46="","",Agent04_Savings!A46)</f>
        <v/>
      </c>
      <c r="B639" s="40" t="str">
        <f ca="1">IF(Agent04_Savings!A46="","","SV"&amp;TEXT(639-3,"0000")&amp;"-"&amp;TEXT(TODAY(),"YYYYMMDD"))</f>
        <v/>
      </c>
      <c r="C639" s="40" t="str">
        <f>IF(Agent04_Savings!A46="","",Agent04_Savings!B46)</f>
        <v/>
      </c>
      <c r="D639" s="40" t="str">
        <f>IF(Agent04_Savings!A46="","",Agent04_Savings!G46)</f>
        <v/>
      </c>
      <c r="E639" s="41" t="str">
        <f>IF(Agent04_Savings!A46="","",Agent04_Savings!D46)</f>
        <v/>
      </c>
      <c r="F639" s="42" t="str">
        <f>IF(Agent04_Savings!A46="","",Agent04_Savings!E46)</f>
        <v/>
      </c>
      <c r="G639" s="42" t="str">
        <f>IF(Agent04_Savings!A46="","",Agent04_Savings!F46)</f>
        <v/>
      </c>
      <c r="H639" s="40" t="str">
        <f>IF(Agent04_Savings!A46="","",Agent04_Savings!I46)</f>
        <v/>
      </c>
      <c r="I639" s="40" t="str">
        <f>IF(Agent04_Savings!A46="","",Agent04_Savings!J46)</f>
        <v/>
      </c>
      <c r="J639" s="40" t="str">
        <f>IF(Agent04_Savings!A46="","",Agent04_Savings!K46)</f>
        <v/>
      </c>
      <c r="K639" s="40" t="str">
        <f>IFERROR(IF(Agent04_Savings!A46="","",YEAR(Agent04_Savings!D46)),"")</f>
        <v/>
      </c>
    </row>
    <row r="640" spans="1:11" ht="18" customHeight="1" x14ac:dyDescent="0.25">
      <c r="A640" s="40" t="str">
        <f>IF(Agent04_Savings!A47="","",Agent04_Savings!A47)</f>
        <v/>
      </c>
      <c r="B640" s="40" t="str">
        <f ca="1">IF(Agent04_Savings!A47="","","SV"&amp;TEXT(640-3,"0000")&amp;"-"&amp;TEXT(TODAY(),"YYYYMMDD"))</f>
        <v/>
      </c>
      <c r="C640" s="40" t="str">
        <f>IF(Agent04_Savings!A47="","",Agent04_Savings!B47)</f>
        <v/>
      </c>
      <c r="D640" s="40" t="str">
        <f>IF(Agent04_Savings!A47="","",Agent04_Savings!G47)</f>
        <v/>
      </c>
      <c r="E640" s="41" t="str">
        <f>IF(Agent04_Savings!A47="","",Agent04_Savings!D47)</f>
        <v/>
      </c>
      <c r="F640" s="42" t="str">
        <f>IF(Agent04_Savings!A47="","",Agent04_Savings!E47)</f>
        <v/>
      </c>
      <c r="G640" s="42" t="str">
        <f>IF(Agent04_Savings!A47="","",Agent04_Savings!F47)</f>
        <v/>
      </c>
      <c r="H640" s="40" t="str">
        <f>IF(Agent04_Savings!A47="","",Agent04_Savings!I47)</f>
        <v/>
      </c>
      <c r="I640" s="40" t="str">
        <f>IF(Agent04_Savings!A47="","",Agent04_Savings!J47)</f>
        <v/>
      </c>
      <c r="J640" s="40" t="str">
        <f>IF(Agent04_Savings!A47="","",Agent04_Savings!K47)</f>
        <v/>
      </c>
      <c r="K640" s="40" t="str">
        <f>IFERROR(IF(Agent04_Savings!A47="","",YEAR(Agent04_Savings!D47)),"")</f>
        <v/>
      </c>
    </row>
    <row r="641" spans="1:11" ht="18" customHeight="1" x14ac:dyDescent="0.25">
      <c r="A641" s="40" t="str">
        <f>IF(Agent04_Savings!A48="","",Agent04_Savings!A48)</f>
        <v/>
      </c>
      <c r="B641" s="40" t="str">
        <f ca="1">IF(Agent04_Savings!A48="","","SV"&amp;TEXT(641-3,"0000")&amp;"-"&amp;TEXT(TODAY(),"YYYYMMDD"))</f>
        <v/>
      </c>
      <c r="C641" s="40" t="str">
        <f>IF(Agent04_Savings!A48="","",Agent04_Savings!B48)</f>
        <v/>
      </c>
      <c r="D641" s="40" t="str">
        <f>IF(Agent04_Savings!A48="","",Agent04_Savings!G48)</f>
        <v/>
      </c>
      <c r="E641" s="41" t="str">
        <f>IF(Agent04_Savings!A48="","",Agent04_Savings!D48)</f>
        <v/>
      </c>
      <c r="F641" s="42" t="str">
        <f>IF(Agent04_Savings!A48="","",Agent04_Savings!E48)</f>
        <v/>
      </c>
      <c r="G641" s="42" t="str">
        <f>IF(Agent04_Savings!A48="","",Agent04_Savings!F48)</f>
        <v/>
      </c>
      <c r="H641" s="40" t="str">
        <f>IF(Agent04_Savings!A48="","",Agent04_Savings!I48)</f>
        <v/>
      </c>
      <c r="I641" s="40" t="str">
        <f>IF(Agent04_Savings!A48="","",Agent04_Savings!J48)</f>
        <v/>
      </c>
      <c r="J641" s="40" t="str">
        <f>IF(Agent04_Savings!A48="","",Agent04_Savings!K48)</f>
        <v/>
      </c>
      <c r="K641" s="40" t="str">
        <f>IFERROR(IF(Agent04_Savings!A48="","",YEAR(Agent04_Savings!D48)),"")</f>
        <v/>
      </c>
    </row>
    <row r="642" spans="1:11" ht="18" customHeight="1" x14ac:dyDescent="0.25">
      <c r="A642" s="40" t="str">
        <f>IF(Agent04_Savings!A49="","",Agent04_Savings!A49)</f>
        <v/>
      </c>
      <c r="B642" s="40" t="str">
        <f ca="1">IF(Agent04_Savings!A49="","","SV"&amp;TEXT(642-3,"0000")&amp;"-"&amp;TEXT(TODAY(),"YYYYMMDD"))</f>
        <v/>
      </c>
      <c r="C642" s="40" t="str">
        <f>IF(Agent04_Savings!A49="","",Agent04_Savings!B49)</f>
        <v/>
      </c>
      <c r="D642" s="40" t="str">
        <f>IF(Agent04_Savings!A49="","",Agent04_Savings!G49)</f>
        <v/>
      </c>
      <c r="E642" s="41" t="str">
        <f>IF(Agent04_Savings!A49="","",Agent04_Savings!D49)</f>
        <v/>
      </c>
      <c r="F642" s="42" t="str">
        <f>IF(Agent04_Savings!A49="","",Agent04_Savings!E49)</f>
        <v/>
      </c>
      <c r="G642" s="42" t="str">
        <f>IF(Agent04_Savings!A49="","",Agent04_Savings!F49)</f>
        <v/>
      </c>
      <c r="H642" s="40" t="str">
        <f>IF(Agent04_Savings!A49="","",Agent04_Savings!I49)</f>
        <v/>
      </c>
      <c r="I642" s="40" t="str">
        <f>IF(Agent04_Savings!A49="","",Agent04_Savings!J49)</f>
        <v/>
      </c>
      <c r="J642" s="40" t="str">
        <f>IF(Agent04_Savings!A49="","",Agent04_Savings!K49)</f>
        <v/>
      </c>
      <c r="K642" s="40" t="str">
        <f>IFERROR(IF(Agent04_Savings!A49="","",YEAR(Agent04_Savings!D49)),"")</f>
        <v/>
      </c>
    </row>
    <row r="643" spans="1:11" ht="18" customHeight="1" x14ac:dyDescent="0.25">
      <c r="A643" s="40" t="str">
        <f>IF(Agent04_Savings!A50="","",Agent04_Savings!A50)</f>
        <v/>
      </c>
      <c r="B643" s="40" t="str">
        <f ca="1">IF(Agent04_Savings!A50="","","SV"&amp;TEXT(643-3,"0000")&amp;"-"&amp;TEXT(TODAY(),"YYYYMMDD"))</f>
        <v/>
      </c>
      <c r="C643" s="40" t="str">
        <f>IF(Agent04_Savings!A50="","",Agent04_Savings!B50)</f>
        <v/>
      </c>
      <c r="D643" s="40" t="str">
        <f>IF(Agent04_Savings!A50="","",Agent04_Savings!G50)</f>
        <v/>
      </c>
      <c r="E643" s="41" t="str">
        <f>IF(Agent04_Savings!A50="","",Agent04_Savings!D50)</f>
        <v/>
      </c>
      <c r="F643" s="42" t="str">
        <f>IF(Agent04_Savings!A50="","",Agent04_Savings!E50)</f>
        <v/>
      </c>
      <c r="G643" s="42" t="str">
        <f>IF(Agent04_Savings!A50="","",Agent04_Savings!F50)</f>
        <v/>
      </c>
      <c r="H643" s="40" t="str">
        <f>IF(Agent04_Savings!A50="","",Agent04_Savings!I50)</f>
        <v/>
      </c>
      <c r="I643" s="40" t="str">
        <f>IF(Agent04_Savings!A50="","",Agent04_Savings!J50)</f>
        <v/>
      </c>
      <c r="J643" s="40" t="str">
        <f>IF(Agent04_Savings!A50="","",Agent04_Savings!K50)</f>
        <v/>
      </c>
      <c r="K643" s="40" t="str">
        <f>IFERROR(IF(Agent04_Savings!A50="","",YEAR(Agent04_Savings!D50)),"")</f>
        <v/>
      </c>
    </row>
    <row r="644" spans="1:11" ht="18" customHeight="1" x14ac:dyDescent="0.25">
      <c r="A644" s="40" t="str">
        <f>IF(Agent04_Savings!A51="","",Agent04_Savings!A51)</f>
        <v/>
      </c>
      <c r="B644" s="40" t="str">
        <f ca="1">IF(Agent04_Savings!A51="","","SV"&amp;TEXT(644-3,"0000")&amp;"-"&amp;TEXT(TODAY(),"YYYYMMDD"))</f>
        <v/>
      </c>
      <c r="C644" s="40" t="str">
        <f>IF(Agent04_Savings!A51="","",Agent04_Savings!B51)</f>
        <v/>
      </c>
      <c r="D644" s="40" t="str">
        <f>IF(Agent04_Savings!A51="","",Agent04_Savings!G51)</f>
        <v/>
      </c>
      <c r="E644" s="41" t="str">
        <f>IF(Agent04_Savings!A51="","",Agent04_Savings!D51)</f>
        <v/>
      </c>
      <c r="F644" s="42" t="str">
        <f>IF(Agent04_Savings!A51="","",Agent04_Savings!E51)</f>
        <v/>
      </c>
      <c r="G644" s="42" t="str">
        <f>IF(Agent04_Savings!A51="","",Agent04_Savings!F51)</f>
        <v/>
      </c>
      <c r="H644" s="40" t="str">
        <f>IF(Agent04_Savings!A51="","",Agent04_Savings!I51)</f>
        <v/>
      </c>
      <c r="I644" s="40" t="str">
        <f>IF(Agent04_Savings!A51="","",Agent04_Savings!J51)</f>
        <v/>
      </c>
      <c r="J644" s="40" t="str">
        <f>IF(Agent04_Savings!A51="","",Agent04_Savings!K51)</f>
        <v/>
      </c>
      <c r="K644" s="40" t="str">
        <f>IFERROR(IF(Agent04_Savings!A51="","",YEAR(Agent04_Savings!D51)),"")</f>
        <v/>
      </c>
    </row>
    <row r="645" spans="1:11" ht="18" customHeight="1" x14ac:dyDescent="0.25">
      <c r="A645" s="40" t="str">
        <f>IF(Agent04_Savings!A52="","",Agent04_Savings!A52)</f>
        <v/>
      </c>
      <c r="B645" s="40" t="str">
        <f ca="1">IF(Agent04_Savings!A52="","","SV"&amp;TEXT(645-3,"0000")&amp;"-"&amp;TEXT(TODAY(),"YYYYMMDD"))</f>
        <v/>
      </c>
      <c r="C645" s="40" t="str">
        <f>IF(Agent04_Savings!A52="","",Agent04_Savings!B52)</f>
        <v/>
      </c>
      <c r="D645" s="40" t="str">
        <f>IF(Agent04_Savings!A52="","",Agent04_Savings!G52)</f>
        <v/>
      </c>
      <c r="E645" s="41" t="str">
        <f>IF(Agent04_Savings!A52="","",Agent04_Savings!D52)</f>
        <v/>
      </c>
      <c r="F645" s="42" t="str">
        <f>IF(Agent04_Savings!A52="","",Agent04_Savings!E52)</f>
        <v/>
      </c>
      <c r="G645" s="42" t="str">
        <f>IF(Agent04_Savings!A52="","",Agent04_Savings!F52)</f>
        <v/>
      </c>
      <c r="H645" s="40" t="str">
        <f>IF(Agent04_Savings!A52="","",Agent04_Savings!I52)</f>
        <v/>
      </c>
      <c r="I645" s="40" t="str">
        <f>IF(Agent04_Savings!A52="","",Agent04_Savings!J52)</f>
        <v/>
      </c>
      <c r="J645" s="40" t="str">
        <f>IF(Agent04_Savings!A52="","",Agent04_Savings!K52)</f>
        <v/>
      </c>
      <c r="K645" s="40" t="str">
        <f>IFERROR(IF(Agent04_Savings!A52="","",YEAR(Agent04_Savings!D52)),"")</f>
        <v/>
      </c>
    </row>
    <row r="646" spans="1:11" ht="18" customHeight="1" x14ac:dyDescent="0.25">
      <c r="A646" s="40" t="str">
        <f>IF(Agent04_Savings!A53="","",Agent04_Savings!A53)</f>
        <v/>
      </c>
      <c r="B646" s="40" t="str">
        <f ca="1">IF(Agent04_Savings!A53="","","SV"&amp;TEXT(646-3,"0000")&amp;"-"&amp;TEXT(TODAY(),"YYYYMMDD"))</f>
        <v/>
      </c>
      <c r="C646" s="40" t="str">
        <f>IF(Agent04_Savings!A53="","",Agent04_Savings!B53)</f>
        <v/>
      </c>
      <c r="D646" s="40" t="str">
        <f>IF(Agent04_Savings!A53="","",Agent04_Savings!G53)</f>
        <v/>
      </c>
      <c r="E646" s="41" t="str">
        <f>IF(Agent04_Savings!A53="","",Agent04_Savings!D53)</f>
        <v/>
      </c>
      <c r="F646" s="42" t="str">
        <f>IF(Agent04_Savings!A53="","",Agent04_Savings!E53)</f>
        <v/>
      </c>
      <c r="G646" s="42" t="str">
        <f>IF(Agent04_Savings!A53="","",Agent04_Savings!F53)</f>
        <v/>
      </c>
      <c r="H646" s="40" t="str">
        <f>IF(Agent04_Savings!A53="","",Agent04_Savings!I53)</f>
        <v/>
      </c>
      <c r="I646" s="40" t="str">
        <f>IF(Agent04_Savings!A53="","",Agent04_Savings!J53)</f>
        <v/>
      </c>
      <c r="J646" s="40" t="str">
        <f>IF(Agent04_Savings!A53="","",Agent04_Savings!K53)</f>
        <v/>
      </c>
      <c r="K646" s="40" t="str">
        <f>IFERROR(IF(Agent04_Savings!A53="","",YEAR(Agent04_Savings!D53)),"")</f>
        <v/>
      </c>
    </row>
    <row r="647" spans="1:11" ht="18" customHeight="1" x14ac:dyDescent="0.25">
      <c r="A647" s="40" t="str">
        <f>IF(Agent04_Savings!A54="","",Agent04_Savings!A54)</f>
        <v/>
      </c>
      <c r="B647" s="40" t="str">
        <f ca="1">IF(Agent04_Savings!A54="","","SV"&amp;TEXT(647-3,"0000")&amp;"-"&amp;TEXT(TODAY(),"YYYYMMDD"))</f>
        <v/>
      </c>
      <c r="C647" s="40" t="str">
        <f>IF(Agent04_Savings!A54="","",Agent04_Savings!B54)</f>
        <v/>
      </c>
      <c r="D647" s="40" t="str">
        <f>IF(Agent04_Savings!A54="","",Agent04_Savings!G54)</f>
        <v/>
      </c>
      <c r="E647" s="41" t="str">
        <f>IF(Agent04_Savings!A54="","",Agent04_Savings!D54)</f>
        <v/>
      </c>
      <c r="F647" s="42" t="str">
        <f>IF(Agent04_Savings!A54="","",Agent04_Savings!E54)</f>
        <v/>
      </c>
      <c r="G647" s="42" t="str">
        <f>IF(Agent04_Savings!A54="","",Agent04_Savings!F54)</f>
        <v/>
      </c>
      <c r="H647" s="40" t="str">
        <f>IF(Agent04_Savings!A54="","",Agent04_Savings!I54)</f>
        <v/>
      </c>
      <c r="I647" s="40" t="str">
        <f>IF(Agent04_Savings!A54="","",Agent04_Savings!J54)</f>
        <v/>
      </c>
      <c r="J647" s="40" t="str">
        <f>IF(Agent04_Savings!A54="","",Agent04_Savings!K54)</f>
        <v/>
      </c>
      <c r="K647" s="40" t="str">
        <f>IFERROR(IF(Agent04_Savings!A54="","",YEAR(Agent04_Savings!D54)),"")</f>
        <v/>
      </c>
    </row>
    <row r="648" spans="1:11" ht="18" customHeight="1" x14ac:dyDescent="0.25">
      <c r="A648" s="40" t="str">
        <f>IF(Agent04_Savings!A55="","",Agent04_Savings!A55)</f>
        <v/>
      </c>
      <c r="B648" s="40" t="str">
        <f ca="1">IF(Agent04_Savings!A55="","","SV"&amp;TEXT(648-3,"0000")&amp;"-"&amp;TEXT(TODAY(),"YYYYMMDD"))</f>
        <v/>
      </c>
      <c r="C648" s="40" t="str">
        <f>IF(Agent04_Savings!A55="","",Agent04_Savings!B55)</f>
        <v/>
      </c>
      <c r="D648" s="40" t="str">
        <f>IF(Agent04_Savings!A55="","",Agent04_Savings!G55)</f>
        <v/>
      </c>
      <c r="E648" s="41" t="str">
        <f>IF(Agent04_Savings!A55="","",Agent04_Savings!D55)</f>
        <v/>
      </c>
      <c r="F648" s="42" t="str">
        <f>IF(Agent04_Savings!A55="","",Agent04_Savings!E55)</f>
        <v/>
      </c>
      <c r="G648" s="42" t="str">
        <f>IF(Agent04_Savings!A55="","",Agent04_Savings!F55)</f>
        <v/>
      </c>
      <c r="H648" s="40" t="str">
        <f>IF(Agent04_Savings!A55="","",Agent04_Savings!I55)</f>
        <v/>
      </c>
      <c r="I648" s="40" t="str">
        <f>IF(Agent04_Savings!A55="","",Agent04_Savings!J55)</f>
        <v/>
      </c>
      <c r="J648" s="40" t="str">
        <f>IF(Agent04_Savings!A55="","",Agent04_Savings!K55)</f>
        <v/>
      </c>
      <c r="K648" s="40" t="str">
        <f>IFERROR(IF(Agent04_Savings!A55="","",YEAR(Agent04_Savings!D55)),"")</f>
        <v/>
      </c>
    </row>
    <row r="649" spans="1:11" ht="18" customHeight="1" x14ac:dyDescent="0.25">
      <c r="A649" s="40" t="str">
        <f>IF(Agent04_Savings!A56="","",Agent04_Savings!A56)</f>
        <v/>
      </c>
      <c r="B649" s="40" t="str">
        <f ca="1">IF(Agent04_Savings!A56="","","SV"&amp;TEXT(649-3,"0000")&amp;"-"&amp;TEXT(TODAY(),"YYYYMMDD"))</f>
        <v/>
      </c>
      <c r="C649" s="40" t="str">
        <f>IF(Agent04_Savings!A56="","",Agent04_Savings!B56)</f>
        <v/>
      </c>
      <c r="D649" s="40" t="str">
        <f>IF(Agent04_Savings!A56="","",Agent04_Savings!G56)</f>
        <v/>
      </c>
      <c r="E649" s="41" t="str">
        <f>IF(Agent04_Savings!A56="","",Agent04_Savings!D56)</f>
        <v/>
      </c>
      <c r="F649" s="42" t="str">
        <f>IF(Agent04_Savings!A56="","",Agent04_Savings!E56)</f>
        <v/>
      </c>
      <c r="G649" s="42" t="str">
        <f>IF(Agent04_Savings!A56="","",Agent04_Savings!F56)</f>
        <v/>
      </c>
      <c r="H649" s="40" t="str">
        <f>IF(Agent04_Savings!A56="","",Agent04_Savings!I56)</f>
        <v/>
      </c>
      <c r="I649" s="40" t="str">
        <f>IF(Agent04_Savings!A56="","",Agent04_Savings!J56)</f>
        <v/>
      </c>
      <c r="J649" s="40" t="str">
        <f>IF(Agent04_Savings!A56="","",Agent04_Savings!K56)</f>
        <v/>
      </c>
      <c r="K649" s="40" t="str">
        <f>IFERROR(IF(Agent04_Savings!A56="","",YEAR(Agent04_Savings!D56)),"")</f>
        <v/>
      </c>
    </row>
    <row r="650" spans="1:11" ht="18" customHeight="1" x14ac:dyDescent="0.25">
      <c r="A650" s="40" t="str">
        <f>IF(Agent04_Savings!A57="","",Agent04_Savings!A57)</f>
        <v/>
      </c>
      <c r="B650" s="40" t="str">
        <f ca="1">IF(Agent04_Savings!A57="","","SV"&amp;TEXT(650-3,"0000")&amp;"-"&amp;TEXT(TODAY(),"YYYYMMDD"))</f>
        <v/>
      </c>
      <c r="C650" s="40" t="str">
        <f>IF(Agent04_Savings!A57="","",Agent04_Savings!B57)</f>
        <v/>
      </c>
      <c r="D650" s="40" t="str">
        <f>IF(Agent04_Savings!A57="","",Agent04_Savings!G57)</f>
        <v/>
      </c>
      <c r="E650" s="41" t="str">
        <f>IF(Agent04_Savings!A57="","",Agent04_Savings!D57)</f>
        <v/>
      </c>
      <c r="F650" s="42" t="str">
        <f>IF(Agent04_Savings!A57="","",Agent04_Savings!E57)</f>
        <v/>
      </c>
      <c r="G650" s="42" t="str">
        <f>IF(Agent04_Savings!A57="","",Agent04_Savings!F57)</f>
        <v/>
      </c>
      <c r="H650" s="40" t="str">
        <f>IF(Agent04_Savings!A57="","",Agent04_Savings!I57)</f>
        <v/>
      </c>
      <c r="I650" s="40" t="str">
        <f>IF(Agent04_Savings!A57="","",Agent04_Savings!J57)</f>
        <v/>
      </c>
      <c r="J650" s="40" t="str">
        <f>IF(Agent04_Savings!A57="","",Agent04_Savings!K57)</f>
        <v/>
      </c>
      <c r="K650" s="40" t="str">
        <f>IFERROR(IF(Agent04_Savings!A57="","",YEAR(Agent04_Savings!D57)),"")</f>
        <v/>
      </c>
    </row>
    <row r="651" spans="1:11" ht="18" customHeight="1" x14ac:dyDescent="0.25">
      <c r="A651" s="40" t="str">
        <f>IF(Agent04_Savings!A58="","",Agent04_Savings!A58)</f>
        <v/>
      </c>
      <c r="B651" s="40" t="str">
        <f ca="1">IF(Agent04_Savings!A58="","","SV"&amp;TEXT(651-3,"0000")&amp;"-"&amp;TEXT(TODAY(),"YYYYMMDD"))</f>
        <v/>
      </c>
      <c r="C651" s="40" t="str">
        <f>IF(Agent04_Savings!A58="","",Agent04_Savings!B58)</f>
        <v/>
      </c>
      <c r="D651" s="40" t="str">
        <f>IF(Agent04_Savings!A58="","",Agent04_Savings!G58)</f>
        <v/>
      </c>
      <c r="E651" s="41" t="str">
        <f>IF(Agent04_Savings!A58="","",Agent04_Savings!D58)</f>
        <v/>
      </c>
      <c r="F651" s="42" t="str">
        <f>IF(Agent04_Savings!A58="","",Agent04_Savings!E58)</f>
        <v/>
      </c>
      <c r="G651" s="42" t="str">
        <f>IF(Agent04_Savings!A58="","",Agent04_Savings!F58)</f>
        <v/>
      </c>
      <c r="H651" s="40" t="str">
        <f>IF(Agent04_Savings!A58="","",Agent04_Savings!I58)</f>
        <v/>
      </c>
      <c r="I651" s="40" t="str">
        <f>IF(Agent04_Savings!A58="","",Agent04_Savings!J58)</f>
        <v/>
      </c>
      <c r="J651" s="40" t="str">
        <f>IF(Agent04_Savings!A58="","",Agent04_Savings!K58)</f>
        <v/>
      </c>
      <c r="K651" s="40" t="str">
        <f>IFERROR(IF(Agent04_Savings!A58="","",YEAR(Agent04_Savings!D58)),"")</f>
        <v/>
      </c>
    </row>
    <row r="652" spans="1:11" ht="18" customHeight="1" x14ac:dyDescent="0.25">
      <c r="A652" s="40" t="str">
        <f>IF(Agent04_Savings!A59="","",Agent04_Savings!A59)</f>
        <v/>
      </c>
      <c r="B652" s="40" t="str">
        <f ca="1">IF(Agent04_Savings!A59="","","SV"&amp;TEXT(652-3,"0000")&amp;"-"&amp;TEXT(TODAY(),"YYYYMMDD"))</f>
        <v/>
      </c>
      <c r="C652" s="40" t="str">
        <f>IF(Agent04_Savings!A59="","",Agent04_Savings!B59)</f>
        <v/>
      </c>
      <c r="D652" s="40" t="str">
        <f>IF(Agent04_Savings!A59="","",Agent04_Savings!G59)</f>
        <v/>
      </c>
      <c r="E652" s="41" t="str">
        <f>IF(Agent04_Savings!A59="","",Agent04_Savings!D59)</f>
        <v/>
      </c>
      <c r="F652" s="42" t="str">
        <f>IF(Agent04_Savings!A59="","",Agent04_Savings!E59)</f>
        <v/>
      </c>
      <c r="G652" s="42" t="str">
        <f>IF(Agent04_Savings!A59="","",Agent04_Savings!F59)</f>
        <v/>
      </c>
      <c r="H652" s="40" t="str">
        <f>IF(Agent04_Savings!A59="","",Agent04_Savings!I59)</f>
        <v/>
      </c>
      <c r="I652" s="40" t="str">
        <f>IF(Agent04_Savings!A59="","",Agent04_Savings!J59)</f>
        <v/>
      </c>
      <c r="J652" s="40" t="str">
        <f>IF(Agent04_Savings!A59="","",Agent04_Savings!K59)</f>
        <v/>
      </c>
      <c r="K652" s="40" t="str">
        <f>IFERROR(IF(Agent04_Savings!A59="","",YEAR(Agent04_Savings!D59)),"")</f>
        <v/>
      </c>
    </row>
    <row r="653" spans="1:11" ht="18" customHeight="1" x14ac:dyDescent="0.25">
      <c r="A653" s="40" t="str">
        <f>IF(Agent04_Savings!A60="","",Agent04_Savings!A60)</f>
        <v/>
      </c>
      <c r="B653" s="40" t="str">
        <f ca="1">IF(Agent04_Savings!A60="","","SV"&amp;TEXT(653-3,"0000")&amp;"-"&amp;TEXT(TODAY(),"YYYYMMDD"))</f>
        <v/>
      </c>
      <c r="C653" s="40" t="str">
        <f>IF(Agent04_Savings!A60="","",Agent04_Savings!B60)</f>
        <v/>
      </c>
      <c r="D653" s="40" t="str">
        <f>IF(Agent04_Savings!A60="","",Agent04_Savings!G60)</f>
        <v/>
      </c>
      <c r="E653" s="41" t="str">
        <f>IF(Agent04_Savings!A60="","",Agent04_Savings!D60)</f>
        <v/>
      </c>
      <c r="F653" s="42" t="str">
        <f>IF(Agent04_Savings!A60="","",Agent04_Savings!E60)</f>
        <v/>
      </c>
      <c r="G653" s="42" t="str">
        <f>IF(Agent04_Savings!A60="","",Agent04_Savings!F60)</f>
        <v/>
      </c>
      <c r="H653" s="40" t="str">
        <f>IF(Agent04_Savings!A60="","",Agent04_Savings!I60)</f>
        <v/>
      </c>
      <c r="I653" s="40" t="str">
        <f>IF(Agent04_Savings!A60="","",Agent04_Savings!J60)</f>
        <v/>
      </c>
      <c r="J653" s="40" t="str">
        <f>IF(Agent04_Savings!A60="","",Agent04_Savings!K60)</f>
        <v/>
      </c>
      <c r="K653" s="40" t="str">
        <f>IFERROR(IF(Agent04_Savings!A60="","",YEAR(Agent04_Savings!D60)),"")</f>
        <v/>
      </c>
    </row>
    <row r="654" spans="1:11" ht="18" customHeight="1" x14ac:dyDescent="0.25">
      <c r="A654" s="40" t="str">
        <f>IF(Agent04_Savings!A61="","",Agent04_Savings!A61)</f>
        <v/>
      </c>
      <c r="B654" s="40" t="str">
        <f ca="1">IF(Agent04_Savings!A61="","","SV"&amp;TEXT(654-3,"0000")&amp;"-"&amp;TEXT(TODAY(),"YYYYMMDD"))</f>
        <v/>
      </c>
      <c r="C654" s="40" t="str">
        <f>IF(Agent04_Savings!A61="","",Agent04_Savings!B61)</f>
        <v/>
      </c>
      <c r="D654" s="40" t="str">
        <f>IF(Agent04_Savings!A61="","",Agent04_Savings!G61)</f>
        <v/>
      </c>
      <c r="E654" s="41" t="str">
        <f>IF(Agent04_Savings!A61="","",Agent04_Savings!D61)</f>
        <v/>
      </c>
      <c r="F654" s="42" t="str">
        <f>IF(Agent04_Savings!A61="","",Agent04_Savings!E61)</f>
        <v/>
      </c>
      <c r="G654" s="42" t="str">
        <f>IF(Agent04_Savings!A61="","",Agent04_Savings!F61)</f>
        <v/>
      </c>
      <c r="H654" s="40" t="str">
        <f>IF(Agent04_Savings!A61="","",Agent04_Savings!I61)</f>
        <v/>
      </c>
      <c r="I654" s="40" t="str">
        <f>IF(Agent04_Savings!A61="","",Agent04_Savings!J61)</f>
        <v/>
      </c>
      <c r="J654" s="40" t="str">
        <f>IF(Agent04_Savings!A61="","",Agent04_Savings!K61)</f>
        <v/>
      </c>
      <c r="K654" s="40" t="str">
        <f>IFERROR(IF(Agent04_Savings!A61="","",YEAR(Agent04_Savings!D61)),"")</f>
        <v/>
      </c>
    </row>
    <row r="655" spans="1:11" ht="18" customHeight="1" x14ac:dyDescent="0.25">
      <c r="A655" s="40" t="str">
        <f>IF(Agent04_Savings!A62="","",Agent04_Savings!A62)</f>
        <v/>
      </c>
      <c r="B655" s="40" t="str">
        <f ca="1">IF(Agent04_Savings!A62="","","SV"&amp;TEXT(655-3,"0000")&amp;"-"&amp;TEXT(TODAY(),"YYYYMMDD"))</f>
        <v/>
      </c>
      <c r="C655" s="40" t="str">
        <f>IF(Agent04_Savings!A62="","",Agent04_Savings!B62)</f>
        <v/>
      </c>
      <c r="D655" s="40" t="str">
        <f>IF(Agent04_Savings!A62="","",Agent04_Savings!G62)</f>
        <v/>
      </c>
      <c r="E655" s="41" t="str">
        <f>IF(Agent04_Savings!A62="","",Agent04_Savings!D62)</f>
        <v/>
      </c>
      <c r="F655" s="42" t="str">
        <f>IF(Agent04_Savings!A62="","",Agent04_Savings!E62)</f>
        <v/>
      </c>
      <c r="G655" s="42" t="str">
        <f>IF(Agent04_Savings!A62="","",Agent04_Savings!F62)</f>
        <v/>
      </c>
      <c r="H655" s="40" t="str">
        <f>IF(Agent04_Savings!A62="","",Agent04_Savings!I62)</f>
        <v/>
      </c>
      <c r="I655" s="40" t="str">
        <f>IF(Agent04_Savings!A62="","",Agent04_Savings!J62)</f>
        <v/>
      </c>
      <c r="J655" s="40" t="str">
        <f>IF(Agent04_Savings!A62="","",Agent04_Savings!K62)</f>
        <v/>
      </c>
      <c r="K655" s="40" t="str">
        <f>IFERROR(IF(Agent04_Savings!A62="","",YEAR(Agent04_Savings!D62)),"")</f>
        <v/>
      </c>
    </row>
    <row r="656" spans="1:11" ht="18" customHeight="1" x14ac:dyDescent="0.25">
      <c r="A656" s="40" t="str">
        <f>IF(Agent04_Savings!A63="","",Agent04_Savings!A63)</f>
        <v/>
      </c>
      <c r="B656" s="40" t="str">
        <f ca="1">IF(Agent04_Savings!A63="","","SV"&amp;TEXT(656-3,"0000")&amp;"-"&amp;TEXT(TODAY(),"YYYYMMDD"))</f>
        <v/>
      </c>
      <c r="C656" s="40" t="str">
        <f>IF(Agent04_Savings!A63="","",Agent04_Savings!B63)</f>
        <v/>
      </c>
      <c r="D656" s="40" t="str">
        <f>IF(Agent04_Savings!A63="","",Agent04_Savings!G63)</f>
        <v/>
      </c>
      <c r="E656" s="41" t="str">
        <f>IF(Agent04_Savings!A63="","",Agent04_Savings!D63)</f>
        <v/>
      </c>
      <c r="F656" s="42" t="str">
        <f>IF(Agent04_Savings!A63="","",Agent04_Savings!E63)</f>
        <v/>
      </c>
      <c r="G656" s="42" t="str">
        <f>IF(Agent04_Savings!A63="","",Agent04_Savings!F63)</f>
        <v/>
      </c>
      <c r="H656" s="40" t="str">
        <f>IF(Agent04_Savings!A63="","",Agent04_Savings!I63)</f>
        <v/>
      </c>
      <c r="I656" s="40" t="str">
        <f>IF(Agent04_Savings!A63="","",Agent04_Savings!J63)</f>
        <v/>
      </c>
      <c r="J656" s="40" t="str">
        <f>IF(Agent04_Savings!A63="","",Agent04_Savings!K63)</f>
        <v/>
      </c>
      <c r="K656" s="40" t="str">
        <f>IFERROR(IF(Agent04_Savings!A63="","",YEAR(Agent04_Savings!D63)),"")</f>
        <v/>
      </c>
    </row>
    <row r="657" spans="1:11" ht="18" customHeight="1" x14ac:dyDescent="0.25">
      <c r="A657" s="40" t="str">
        <f>IF(Agent04_Savings!A64="","",Agent04_Savings!A64)</f>
        <v/>
      </c>
      <c r="B657" s="40" t="str">
        <f ca="1">IF(Agent04_Savings!A64="","","SV"&amp;TEXT(657-3,"0000")&amp;"-"&amp;TEXT(TODAY(),"YYYYMMDD"))</f>
        <v/>
      </c>
      <c r="C657" s="40" t="str">
        <f>IF(Agent04_Savings!A64="","",Agent04_Savings!B64)</f>
        <v/>
      </c>
      <c r="D657" s="40" t="str">
        <f>IF(Agent04_Savings!A64="","",Agent04_Savings!G64)</f>
        <v/>
      </c>
      <c r="E657" s="41" t="str">
        <f>IF(Agent04_Savings!A64="","",Agent04_Savings!D64)</f>
        <v/>
      </c>
      <c r="F657" s="42" t="str">
        <f>IF(Agent04_Savings!A64="","",Agent04_Savings!E64)</f>
        <v/>
      </c>
      <c r="G657" s="42" t="str">
        <f>IF(Agent04_Savings!A64="","",Agent04_Savings!F64)</f>
        <v/>
      </c>
      <c r="H657" s="40" t="str">
        <f>IF(Agent04_Savings!A64="","",Agent04_Savings!I64)</f>
        <v/>
      </c>
      <c r="I657" s="40" t="str">
        <f>IF(Agent04_Savings!A64="","",Agent04_Savings!J64)</f>
        <v/>
      </c>
      <c r="J657" s="40" t="str">
        <f>IF(Agent04_Savings!A64="","",Agent04_Savings!K64)</f>
        <v/>
      </c>
      <c r="K657" s="40" t="str">
        <f>IFERROR(IF(Agent04_Savings!A64="","",YEAR(Agent04_Savings!D64)),"")</f>
        <v/>
      </c>
    </row>
    <row r="658" spans="1:11" ht="18" customHeight="1" x14ac:dyDescent="0.25">
      <c r="A658" s="40" t="str">
        <f>IF(Agent04_Savings!A65="","",Agent04_Savings!A65)</f>
        <v/>
      </c>
      <c r="B658" s="40" t="str">
        <f ca="1">IF(Agent04_Savings!A65="","","SV"&amp;TEXT(658-3,"0000")&amp;"-"&amp;TEXT(TODAY(),"YYYYMMDD"))</f>
        <v/>
      </c>
      <c r="C658" s="40" t="str">
        <f>IF(Agent04_Savings!A65="","",Agent04_Savings!B65)</f>
        <v/>
      </c>
      <c r="D658" s="40" t="str">
        <f>IF(Agent04_Savings!A65="","",Agent04_Savings!G65)</f>
        <v/>
      </c>
      <c r="E658" s="41" t="str">
        <f>IF(Agent04_Savings!A65="","",Agent04_Savings!D65)</f>
        <v/>
      </c>
      <c r="F658" s="42" t="str">
        <f>IF(Agent04_Savings!A65="","",Agent04_Savings!E65)</f>
        <v/>
      </c>
      <c r="G658" s="42" t="str">
        <f>IF(Agent04_Savings!A65="","",Agent04_Savings!F65)</f>
        <v/>
      </c>
      <c r="H658" s="40" t="str">
        <f>IF(Agent04_Savings!A65="","",Agent04_Savings!I65)</f>
        <v/>
      </c>
      <c r="I658" s="40" t="str">
        <f>IF(Agent04_Savings!A65="","",Agent04_Savings!J65)</f>
        <v/>
      </c>
      <c r="J658" s="40" t="str">
        <f>IF(Agent04_Savings!A65="","",Agent04_Savings!K65)</f>
        <v/>
      </c>
      <c r="K658" s="40" t="str">
        <f>IFERROR(IF(Agent04_Savings!A65="","",YEAR(Agent04_Savings!D65)),"")</f>
        <v/>
      </c>
    </row>
    <row r="659" spans="1:11" ht="18" customHeight="1" x14ac:dyDescent="0.25">
      <c r="A659" s="40" t="str">
        <f>IF(Agent04_Savings!A66="","",Agent04_Savings!A66)</f>
        <v/>
      </c>
      <c r="B659" s="40" t="str">
        <f ca="1">IF(Agent04_Savings!A66="","","SV"&amp;TEXT(659-3,"0000")&amp;"-"&amp;TEXT(TODAY(),"YYYYMMDD"))</f>
        <v/>
      </c>
      <c r="C659" s="40" t="str">
        <f>IF(Agent04_Savings!A66="","",Agent04_Savings!B66)</f>
        <v/>
      </c>
      <c r="D659" s="40" t="str">
        <f>IF(Agent04_Savings!A66="","",Agent04_Savings!G66)</f>
        <v/>
      </c>
      <c r="E659" s="41" t="str">
        <f>IF(Agent04_Savings!A66="","",Agent04_Savings!D66)</f>
        <v/>
      </c>
      <c r="F659" s="42" t="str">
        <f>IF(Agent04_Savings!A66="","",Agent04_Savings!E66)</f>
        <v/>
      </c>
      <c r="G659" s="42" t="str">
        <f>IF(Agent04_Savings!A66="","",Agent04_Savings!F66)</f>
        <v/>
      </c>
      <c r="H659" s="40" t="str">
        <f>IF(Agent04_Savings!A66="","",Agent04_Savings!I66)</f>
        <v/>
      </c>
      <c r="I659" s="40" t="str">
        <f>IF(Agent04_Savings!A66="","",Agent04_Savings!J66)</f>
        <v/>
      </c>
      <c r="J659" s="40" t="str">
        <f>IF(Agent04_Savings!A66="","",Agent04_Savings!K66)</f>
        <v/>
      </c>
      <c r="K659" s="40" t="str">
        <f>IFERROR(IF(Agent04_Savings!A66="","",YEAR(Agent04_Savings!D66)),"")</f>
        <v/>
      </c>
    </row>
    <row r="660" spans="1:11" ht="18" customHeight="1" x14ac:dyDescent="0.25">
      <c r="A660" s="40" t="str">
        <f>IF(Agent04_Savings!A67="","",Agent04_Savings!A67)</f>
        <v/>
      </c>
      <c r="B660" s="40" t="str">
        <f ca="1">IF(Agent04_Savings!A67="","","SV"&amp;TEXT(660-3,"0000")&amp;"-"&amp;TEXT(TODAY(),"YYYYMMDD"))</f>
        <v/>
      </c>
      <c r="C660" s="40" t="str">
        <f>IF(Agent04_Savings!A67="","",Agent04_Savings!B67)</f>
        <v/>
      </c>
      <c r="D660" s="40" t="str">
        <f>IF(Agent04_Savings!A67="","",Agent04_Savings!G67)</f>
        <v/>
      </c>
      <c r="E660" s="41" t="str">
        <f>IF(Agent04_Savings!A67="","",Agent04_Savings!D67)</f>
        <v/>
      </c>
      <c r="F660" s="42" t="str">
        <f>IF(Agent04_Savings!A67="","",Agent04_Savings!E67)</f>
        <v/>
      </c>
      <c r="G660" s="42" t="str">
        <f>IF(Agent04_Savings!A67="","",Agent04_Savings!F67)</f>
        <v/>
      </c>
      <c r="H660" s="40" t="str">
        <f>IF(Agent04_Savings!A67="","",Agent04_Savings!I67)</f>
        <v/>
      </c>
      <c r="I660" s="40" t="str">
        <f>IF(Agent04_Savings!A67="","",Agent04_Savings!J67)</f>
        <v/>
      </c>
      <c r="J660" s="40" t="str">
        <f>IF(Agent04_Savings!A67="","",Agent04_Savings!K67)</f>
        <v/>
      </c>
      <c r="K660" s="40" t="str">
        <f>IFERROR(IF(Agent04_Savings!A67="","",YEAR(Agent04_Savings!D67)),"")</f>
        <v/>
      </c>
    </row>
    <row r="661" spans="1:11" ht="18" customHeight="1" x14ac:dyDescent="0.25">
      <c r="A661" s="40" t="str">
        <f>IF(Agent04_Savings!A68="","",Agent04_Savings!A68)</f>
        <v/>
      </c>
      <c r="B661" s="40" t="str">
        <f ca="1">IF(Agent04_Savings!A68="","","SV"&amp;TEXT(661-3,"0000")&amp;"-"&amp;TEXT(TODAY(),"YYYYMMDD"))</f>
        <v/>
      </c>
      <c r="C661" s="40" t="str">
        <f>IF(Agent04_Savings!A68="","",Agent04_Savings!B68)</f>
        <v/>
      </c>
      <c r="D661" s="40" t="str">
        <f>IF(Agent04_Savings!A68="","",Agent04_Savings!G68)</f>
        <v/>
      </c>
      <c r="E661" s="41" t="str">
        <f>IF(Agent04_Savings!A68="","",Agent04_Savings!D68)</f>
        <v/>
      </c>
      <c r="F661" s="42" t="str">
        <f>IF(Agent04_Savings!A68="","",Agent04_Savings!E68)</f>
        <v/>
      </c>
      <c r="G661" s="42" t="str">
        <f>IF(Agent04_Savings!A68="","",Agent04_Savings!F68)</f>
        <v/>
      </c>
      <c r="H661" s="40" t="str">
        <f>IF(Agent04_Savings!A68="","",Agent04_Savings!I68)</f>
        <v/>
      </c>
      <c r="I661" s="40" t="str">
        <f>IF(Agent04_Savings!A68="","",Agent04_Savings!J68)</f>
        <v/>
      </c>
      <c r="J661" s="40" t="str">
        <f>IF(Agent04_Savings!A68="","",Agent04_Savings!K68)</f>
        <v/>
      </c>
      <c r="K661" s="40" t="str">
        <f>IFERROR(IF(Agent04_Savings!A68="","",YEAR(Agent04_Savings!D68)),"")</f>
        <v/>
      </c>
    </row>
    <row r="662" spans="1:11" ht="18" customHeight="1" x14ac:dyDescent="0.25">
      <c r="A662" s="40" t="str">
        <f>IF(Agent04_Savings!A69="","",Agent04_Savings!A69)</f>
        <v/>
      </c>
      <c r="B662" s="40" t="str">
        <f ca="1">IF(Agent04_Savings!A69="","","SV"&amp;TEXT(662-3,"0000")&amp;"-"&amp;TEXT(TODAY(),"YYYYMMDD"))</f>
        <v/>
      </c>
      <c r="C662" s="40" t="str">
        <f>IF(Agent04_Savings!A69="","",Agent04_Savings!B69)</f>
        <v/>
      </c>
      <c r="D662" s="40" t="str">
        <f>IF(Agent04_Savings!A69="","",Agent04_Savings!G69)</f>
        <v/>
      </c>
      <c r="E662" s="41" t="str">
        <f>IF(Agent04_Savings!A69="","",Agent04_Savings!D69)</f>
        <v/>
      </c>
      <c r="F662" s="42" t="str">
        <f>IF(Agent04_Savings!A69="","",Agent04_Savings!E69)</f>
        <v/>
      </c>
      <c r="G662" s="42" t="str">
        <f>IF(Agent04_Savings!A69="","",Agent04_Savings!F69)</f>
        <v/>
      </c>
      <c r="H662" s="40" t="str">
        <f>IF(Agent04_Savings!A69="","",Agent04_Savings!I69)</f>
        <v/>
      </c>
      <c r="I662" s="40" t="str">
        <f>IF(Agent04_Savings!A69="","",Agent04_Savings!J69)</f>
        <v/>
      </c>
      <c r="J662" s="40" t="str">
        <f>IF(Agent04_Savings!A69="","",Agent04_Savings!K69)</f>
        <v/>
      </c>
      <c r="K662" s="40" t="str">
        <f>IFERROR(IF(Agent04_Savings!A69="","",YEAR(Agent04_Savings!D69)),"")</f>
        <v/>
      </c>
    </row>
    <row r="663" spans="1:11" ht="18" customHeight="1" x14ac:dyDescent="0.25">
      <c r="A663" s="40" t="str">
        <f>IF(Agent04_Savings!A70="","",Agent04_Savings!A70)</f>
        <v/>
      </c>
      <c r="B663" s="40" t="str">
        <f ca="1">IF(Agent04_Savings!A70="","","SV"&amp;TEXT(663-3,"0000")&amp;"-"&amp;TEXT(TODAY(),"YYYYMMDD"))</f>
        <v/>
      </c>
      <c r="C663" s="40" t="str">
        <f>IF(Agent04_Savings!A70="","",Agent04_Savings!B70)</f>
        <v/>
      </c>
      <c r="D663" s="40" t="str">
        <f>IF(Agent04_Savings!A70="","",Agent04_Savings!G70)</f>
        <v/>
      </c>
      <c r="E663" s="41" t="str">
        <f>IF(Agent04_Savings!A70="","",Agent04_Savings!D70)</f>
        <v/>
      </c>
      <c r="F663" s="42" t="str">
        <f>IF(Agent04_Savings!A70="","",Agent04_Savings!E70)</f>
        <v/>
      </c>
      <c r="G663" s="42" t="str">
        <f>IF(Agent04_Savings!A70="","",Agent04_Savings!F70)</f>
        <v/>
      </c>
      <c r="H663" s="40" t="str">
        <f>IF(Agent04_Savings!A70="","",Agent04_Savings!I70)</f>
        <v/>
      </c>
      <c r="I663" s="40" t="str">
        <f>IF(Agent04_Savings!A70="","",Agent04_Savings!J70)</f>
        <v/>
      </c>
      <c r="J663" s="40" t="str">
        <f>IF(Agent04_Savings!A70="","",Agent04_Savings!K70)</f>
        <v/>
      </c>
      <c r="K663" s="40" t="str">
        <f>IFERROR(IF(Agent04_Savings!A70="","",YEAR(Agent04_Savings!D70)),"")</f>
        <v/>
      </c>
    </row>
    <row r="664" spans="1:11" ht="18" customHeight="1" x14ac:dyDescent="0.25">
      <c r="A664" s="40" t="str">
        <f>IF(Agent04_Savings!A71="","",Agent04_Savings!A71)</f>
        <v/>
      </c>
      <c r="B664" s="40" t="str">
        <f ca="1">IF(Agent04_Savings!A71="","","SV"&amp;TEXT(664-3,"0000")&amp;"-"&amp;TEXT(TODAY(),"YYYYMMDD"))</f>
        <v/>
      </c>
      <c r="C664" s="40" t="str">
        <f>IF(Agent04_Savings!A71="","",Agent04_Savings!B71)</f>
        <v/>
      </c>
      <c r="D664" s="40" t="str">
        <f>IF(Agent04_Savings!A71="","",Agent04_Savings!G71)</f>
        <v/>
      </c>
      <c r="E664" s="41" t="str">
        <f>IF(Agent04_Savings!A71="","",Agent04_Savings!D71)</f>
        <v/>
      </c>
      <c r="F664" s="42" t="str">
        <f>IF(Agent04_Savings!A71="","",Agent04_Savings!E71)</f>
        <v/>
      </c>
      <c r="G664" s="42" t="str">
        <f>IF(Agent04_Savings!A71="","",Agent04_Savings!F71)</f>
        <v/>
      </c>
      <c r="H664" s="40" t="str">
        <f>IF(Agent04_Savings!A71="","",Agent04_Savings!I71)</f>
        <v/>
      </c>
      <c r="I664" s="40" t="str">
        <f>IF(Agent04_Savings!A71="","",Agent04_Savings!J71)</f>
        <v/>
      </c>
      <c r="J664" s="40" t="str">
        <f>IF(Agent04_Savings!A71="","",Agent04_Savings!K71)</f>
        <v/>
      </c>
      <c r="K664" s="40" t="str">
        <f>IFERROR(IF(Agent04_Savings!A71="","",YEAR(Agent04_Savings!D71)),"")</f>
        <v/>
      </c>
    </row>
    <row r="665" spans="1:11" ht="18" customHeight="1" x14ac:dyDescent="0.25">
      <c r="A665" s="40" t="str">
        <f>IF(Agent04_Savings!A72="","",Agent04_Savings!A72)</f>
        <v/>
      </c>
      <c r="B665" s="40" t="str">
        <f ca="1">IF(Agent04_Savings!A72="","","SV"&amp;TEXT(665-3,"0000")&amp;"-"&amp;TEXT(TODAY(),"YYYYMMDD"))</f>
        <v/>
      </c>
      <c r="C665" s="40" t="str">
        <f>IF(Agent04_Savings!A72="","",Agent04_Savings!B72)</f>
        <v/>
      </c>
      <c r="D665" s="40" t="str">
        <f>IF(Agent04_Savings!A72="","",Agent04_Savings!G72)</f>
        <v/>
      </c>
      <c r="E665" s="41" t="str">
        <f>IF(Agent04_Savings!A72="","",Agent04_Savings!D72)</f>
        <v/>
      </c>
      <c r="F665" s="42" t="str">
        <f>IF(Agent04_Savings!A72="","",Agent04_Savings!E72)</f>
        <v/>
      </c>
      <c r="G665" s="42" t="str">
        <f>IF(Agent04_Savings!A72="","",Agent04_Savings!F72)</f>
        <v/>
      </c>
      <c r="H665" s="40" t="str">
        <f>IF(Agent04_Savings!A72="","",Agent04_Savings!I72)</f>
        <v/>
      </c>
      <c r="I665" s="40" t="str">
        <f>IF(Agent04_Savings!A72="","",Agent04_Savings!J72)</f>
        <v/>
      </c>
      <c r="J665" s="40" t="str">
        <f>IF(Agent04_Savings!A72="","",Agent04_Savings!K72)</f>
        <v/>
      </c>
      <c r="K665" s="40" t="str">
        <f>IFERROR(IF(Agent04_Savings!A72="","",YEAR(Agent04_Savings!D72)),"")</f>
        <v/>
      </c>
    </row>
    <row r="666" spans="1:11" ht="18" customHeight="1" x14ac:dyDescent="0.25">
      <c r="A666" s="40" t="str">
        <f>IF(Agent04_Savings!A73="","",Agent04_Savings!A73)</f>
        <v/>
      </c>
      <c r="B666" s="40" t="str">
        <f ca="1">IF(Agent04_Savings!A73="","","SV"&amp;TEXT(666-3,"0000")&amp;"-"&amp;TEXT(TODAY(),"YYYYMMDD"))</f>
        <v/>
      </c>
      <c r="C666" s="40" t="str">
        <f>IF(Agent04_Savings!A73="","",Agent04_Savings!B73)</f>
        <v/>
      </c>
      <c r="D666" s="40" t="str">
        <f>IF(Agent04_Savings!A73="","",Agent04_Savings!G73)</f>
        <v/>
      </c>
      <c r="E666" s="41" t="str">
        <f>IF(Agent04_Savings!A73="","",Agent04_Savings!D73)</f>
        <v/>
      </c>
      <c r="F666" s="42" t="str">
        <f>IF(Agent04_Savings!A73="","",Agent04_Savings!E73)</f>
        <v/>
      </c>
      <c r="G666" s="42" t="str">
        <f>IF(Agent04_Savings!A73="","",Agent04_Savings!F73)</f>
        <v/>
      </c>
      <c r="H666" s="40" t="str">
        <f>IF(Agent04_Savings!A73="","",Agent04_Savings!I73)</f>
        <v/>
      </c>
      <c r="I666" s="40" t="str">
        <f>IF(Agent04_Savings!A73="","",Agent04_Savings!J73)</f>
        <v/>
      </c>
      <c r="J666" s="40" t="str">
        <f>IF(Agent04_Savings!A73="","",Agent04_Savings!K73)</f>
        <v/>
      </c>
      <c r="K666" s="40" t="str">
        <f>IFERROR(IF(Agent04_Savings!A73="","",YEAR(Agent04_Savings!D73)),"")</f>
        <v/>
      </c>
    </row>
    <row r="667" spans="1:11" ht="18" customHeight="1" x14ac:dyDescent="0.25">
      <c r="A667" s="40" t="str">
        <f>IF(Agent04_Savings!A74="","",Agent04_Savings!A74)</f>
        <v/>
      </c>
      <c r="B667" s="40" t="str">
        <f ca="1">IF(Agent04_Savings!A74="","","SV"&amp;TEXT(667-3,"0000")&amp;"-"&amp;TEXT(TODAY(),"YYYYMMDD"))</f>
        <v/>
      </c>
      <c r="C667" s="40" t="str">
        <f>IF(Agent04_Savings!A74="","",Agent04_Savings!B74)</f>
        <v/>
      </c>
      <c r="D667" s="40" t="str">
        <f>IF(Agent04_Savings!A74="","",Agent04_Savings!G74)</f>
        <v/>
      </c>
      <c r="E667" s="41" t="str">
        <f>IF(Agent04_Savings!A74="","",Agent04_Savings!D74)</f>
        <v/>
      </c>
      <c r="F667" s="42" t="str">
        <f>IF(Agent04_Savings!A74="","",Agent04_Savings!E74)</f>
        <v/>
      </c>
      <c r="G667" s="42" t="str">
        <f>IF(Agent04_Savings!A74="","",Agent04_Savings!F74)</f>
        <v/>
      </c>
      <c r="H667" s="40" t="str">
        <f>IF(Agent04_Savings!A74="","",Agent04_Savings!I74)</f>
        <v/>
      </c>
      <c r="I667" s="40" t="str">
        <f>IF(Agent04_Savings!A74="","",Agent04_Savings!J74)</f>
        <v/>
      </c>
      <c r="J667" s="40" t="str">
        <f>IF(Agent04_Savings!A74="","",Agent04_Savings!K74)</f>
        <v/>
      </c>
      <c r="K667" s="40" t="str">
        <f>IFERROR(IF(Agent04_Savings!A74="","",YEAR(Agent04_Savings!D74)),"")</f>
        <v/>
      </c>
    </row>
    <row r="668" spans="1:11" ht="18" customHeight="1" x14ac:dyDescent="0.25">
      <c r="A668" s="40" t="str">
        <f>IF(Agent04_Savings!A75="","",Agent04_Savings!A75)</f>
        <v/>
      </c>
      <c r="B668" s="40" t="str">
        <f ca="1">IF(Agent04_Savings!A75="","","SV"&amp;TEXT(668-3,"0000")&amp;"-"&amp;TEXT(TODAY(),"YYYYMMDD"))</f>
        <v/>
      </c>
      <c r="C668" s="40" t="str">
        <f>IF(Agent04_Savings!A75="","",Agent04_Savings!B75)</f>
        <v/>
      </c>
      <c r="D668" s="40" t="str">
        <f>IF(Agent04_Savings!A75="","",Agent04_Savings!G75)</f>
        <v/>
      </c>
      <c r="E668" s="41" t="str">
        <f>IF(Agent04_Savings!A75="","",Agent04_Savings!D75)</f>
        <v/>
      </c>
      <c r="F668" s="42" t="str">
        <f>IF(Agent04_Savings!A75="","",Agent04_Savings!E75)</f>
        <v/>
      </c>
      <c r="G668" s="42" t="str">
        <f>IF(Agent04_Savings!A75="","",Agent04_Savings!F75)</f>
        <v/>
      </c>
      <c r="H668" s="40" t="str">
        <f>IF(Agent04_Savings!A75="","",Agent04_Savings!I75)</f>
        <v/>
      </c>
      <c r="I668" s="40" t="str">
        <f>IF(Agent04_Savings!A75="","",Agent04_Savings!J75)</f>
        <v/>
      </c>
      <c r="J668" s="40" t="str">
        <f>IF(Agent04_Savings!A75="","",Agent04_Savings!K75)</f>
        <v/>
      </c>
      <c r="K668" s="40" t="str">
        <f>IFERROR(IF(Agent04_Savings!A75="","",YEAR(Agent04_Savings!D75)),"")</f>
        <v/>
      </c>
    </row>
    <row r="669" spans="1:11" ht="18" customHeight="1" x14ac:dyDescent="0.25">
      <c r="A669" s="40" t="str">
        <f>IF(Agent04_Savings!A76="","",Agent04_Savings!A76)</f>
        <v/>
      </c>
      <c r="B669" s="40" t="str">
        <f ca="1">IF(Agent04_Savings!A76="","","SV"&amp;TEXT(669-3,"0000")&amp;"-"&amp;TEXT(TODAY(),"YYYYMMDD"))</f>
        <v/>
      </c>
      <c r="C669" s="40" t="str">
        <f>IF(Agent04_Savings!A76="","",Agent04_Savings!B76)</f>
        <v/>
      </c>
      <c r="D669" s="40" t="str">
        <f>IF(Agent04_Savings!A76="","",Agent04_Savings!G76)</f>
        <v/>
      </c>
      <c r="E669" s="41" t="str">
        <f>IF(Agent04_Savings!A76="","",Agent04_Savings!D76)</f>
        <v/>
      </c>
      <c r="F669" s="42" t="str">
        <f>IF(Agent04_Savings!A76="","",Agent04_Savings!E76)</f>
        <v/>
      </c>
      <c r="G669" s="42" t="str">
        <f>IF(Agent04_Savings!A76="","",Agent04_Savings!F76)</f>
        <v/>
      </c>
      <c r="H669" s="40" t="str">
        <f>IF(Agent04_Savings!A76="","",Agent04_Savings!I76)</f>
        <v/>
      </c>
      <c r="I669" s="40" t="str">
        <f>IF(Agent04_Savings!A76="","",Agent04_Savings!J76)</f>
        <v/>
      </c>
      <c r="J669" s="40" t="str">
        <f>IF(Agent04_Savings!A76="","",Agent04_Savings!K76)</f>
        <v/>
      </c>
      <c r="K669" s="40" t="str">
        <f>IFERROR(IF(Agent04_Savings!A76="","",YEAR(Agent04_Savings!D76)),"")</f>
        <v/>
      </c>
    </row>
    <row r="670" spans="1:11" ht="18" customHeight="1" x14ac:dyDescent="0.25">
      <c r="A670" s="40" t="str">
        <f>IF(Agent04_Savings!A77="","",Agent04_Savings!A77)</f>
        <v/>
      </c>
      <c r="B670" s="40" t="str">
        <f ca="1">IF(Agent04_Savings!A77="","","SV"&amp;TEXT(670-3,"0000")&amp;"-"&amp;TEXT(TODAY(),"YYYYMMDD"))</f>
        <v/>
      </c>
      <c r="C670" s="40" t="str">
        <f>IF(Agent04_Savings!A77="","",Agent04_Savings!B77)</f>
        <v/>
      </c>
      <c r="D670" s="40" t="str">
        <f>IF(Agent04_Savings!A77="","",Agent04_Savings!G77)</f>
        <v/>
      </c>
      <c r="E670" s="41" t="str">
        <f>IF(Agent04_Savings!A77="","",Agent04_Savings!D77)</f>
        <v/>
      </c>
      <c r="F670" s="42" t="str">
        <f>IF(Agent04_Savings!A77="","",Agent04_Savings!E77)</f>
        <v/>
      </c>
      <c r="G670" s="42" t="str">
        <f>IF(Agent04_Savings!A77="","",Agent04_Savings!F77)</f>
        <v/>
      </c>
      <c r="H670" s="40" t="str">
        <f>IF(Agent04_Savings!A77="","",Agent04_Savings!I77)</f>
        <v/>
      </c>
      <c r="I670" s="40" t="str">
        <f>IF(Agent04_Savings!A77="","",Agent04_Savings!J77)</f>
        <v/>
      </c>
      <c r="J670" s="40" t="str">
        <f>IF(Agent04_Savings!A77="","",Agent04_Savings!K77)</f>
        <v/>
      </c>
      <c r="K670" s="40" t="str">
        <f>IFERROR(IF(Agent04_Savings!A77="","",YEAR(Agent04_Savings!D77)),"")</f>
        <v/>
      </c>
    </row>
    <row r="671" spans="1:11" ht="18" customHeight="1" x14ac:dyDescent="0.25">
      <c r="A671" s="40" t="str">
        <f>IF(Agent04_Savings!A78="","",Agent04_Savings!A78)</f>
        <v/>
      </c>
      <c r="B671" s="40" t="str">
        <f ca="1">IF(Agent04_Savings!A78="","","SV"&amp;TEXT(671-3,"0000")&amp;"-"&amp;TEXT(TODAY(),"YYYYMMDD"))</f>
        <v/>
      </c>
      <c r="C671" s="40" t="str">
        <f>IF(Agent04_Savings!A78="","",Agent04_Savings!B78)</f>
        <v/>
      </c>
      <c r="D671" s="40" t="str">
        <f>IF(Agent04_Savings!A78="","",Agent04_Savings!G78)</f>
        <v/>
      </c>
      <c r="E671" s="41" t="str">
        <f>IF(Agent04_Savings!A78="","",Agent04_Savings!D78)</f>
        <v/>
      </c>
      <c r="F671" s="42" t="str">
        <f>IF(Agent04_Savings!A78="","",Agent04_Savings!E78)</f>
        <v/>
      </c>
      <c r="G671" s="42" t="str">
        <f>IF(Agent04_Savings!A78="","",Agent04_Savings!F78)</f>
        <v/>
      </c>
      <c r="H671" s="40" t="str">
        <f>IF(Agent04_Savings!A78="","",Agent04_Savings!I78)</f>
        <v/>
      </c>
      <c r="I671" s="40" t="str">
        <f>IF(Agent04_Savings!A78="","",Agent04_Savings!J78)</f>
        <v/>
      </c>
      <c r="J671" s="40" t="str">
        <f>IF(Agent04_Savings!A78="","",Agent04_Savings!K78)</f>
        <v/>
      </c>
      <c r="K671" s="40" t="str">
        <f>IFERROR(IF(Agent04_Savings!A78="","",YEAR(Agent04_Savings!D78)),"")</f>
        <v/>
      </c>
    </row>
    <row r="672" spans="1:11" ht="18" customHeight="1" x14ac:dyDescent="0.25">
      <c r="A672" s="40" t="str">
        <f>IF(Agent04_Savings!A79="","",Agent04_Savings!A79)</f>
        <v/>
      </c>
      <c r="B672" s="40" t="str">
        <f ca="1">IF(Agent04_Savings!A79="","","SV"&amp;TEXT(672-3,"0000")&amp;"-"&amp;TEXT(TODAY(),"YYYYMMDD"))</f>
        <v/>
      </c>
      <c r="C672" s="40" t="str">
        <f>IF(Agent04_Savings!A79="","",Agent04_Savings!B79)</f>
        <v/>
      </c>
      <c r="D672" s="40" t="str">
        <f>IF(Agent04_Savings!A79="","",Agent04_Savings!G79)</f>
        <v/>
      </c>
      <c r="E672" s="41" t="str">
        <f>IF(Agent04_Savings!A79="","",Agent04_Savings!D79)</f>
        <v/>
      </c>
      <c r="F672" s="42" t="str">
        <f>IF(Agent04_Savings!A79="","",Agent04_Savings!E79)</f>
        <v/>
      </c>
      <c r="G672" s="42" t="str">
        <f>IF(Agent04_Savings!A79="","",Agent04_Savings!F79)</f>
        <v/>
      </c>
      <c r="H672" s="40" t="str">
        <f>IF(Agent04_Savings!A79="","",Agent04_Savings!I79)</f>
        <v/>
      </c>
      <c r="I672" s="40" t="str">
        <f>IF(Agent04_Savings!A79="","",Agent04_Savings!J79)</f>
        <v/>
      </c>
      <c r="J672" s="40" t="str">
        <f>IF(Agent04_Savings!A79="","",Agent04_Savings!K79)</f>
        <v/>
      </c>
      <c r="K672" s="40" t="str">
        <f>IFERROR(IF(Agent04_Savings!A79="","",YEAR(Agent04_Savings!D79)),"")</f>
        <v/>
      </c>
    </row>
    <row r="673" spans="1:11" ht="18" customHeight="1" x14ac:dyDescent="0.25">
      <c r="A673" s="40" t="str">
        <f>IF(Agent04_Savings!A80="","",Agent04_Savings!A80)</f>
        <v/>
      </c>
      <c r="B673" s="40" t="str">
        <f ca="1">IF(Agent04_Savings!A80="","","SV"&amp;TEXT(673-3,"0000")&amp;"-"&amp;TEXT(TODAY(),"YYYYMMDD"))</f>
        <v/>
      </c>
      <c r="C673" s="40" t="str">
        <f>IF(Agent04_Savings!A80="","",Agent04_Savings!B80)</f>
        <v/>
      </c>
      <c r="D673" s="40" t="str">
        <f>IF(Agent04_Savings!A80="","",Agent04_Savings!G80)</f>
        <v/>
      </c>
      <c r="E673" s="41" t="str">
        <f>IF(Agent04_Savings!A80="","",Agent04_Savings!D80)</f>
        <v/>
      </c>
      <c r="F673" s="42" t="str">
        <f>IF(Agent04_Savings!A80="","",Agent04_Savings!E80)</f>
        <v/>
      </c>
      <c r="G673" s="42" t="str">
        <f>IF(Agent04_Savings!A80="","",Agent04_Savings!F80)</f>
        <v/>
      </c>
      <c r="H673" s="40" t="str">
        <f>IF(Agent04_Savings!A80="","",Agent04_Savings!I80)</f>
        <v/>
      </c>
      <c r="I673" s="40" t="str">
        <f>IF(Agent04_Savings!A80="","",Agent04_Savings!J80)</f>
        <v/>
      </c>
      <c r="J673" s="40" t="str">
        <f>IF(Agent04_Savings!A80="","",Agent04_Savings!K80)</f>
        <v/>
      </c>
      <c r="K673" s="40" t="str">
        <f>IFERROR(IF(Agent04_Savings!A80="","",YEAR(Agent04_Savings!D80)),"")</f>
        <v/>
      </c>
    </row>
    <row r="674" spans="1:11" ht="18" customHeight="1" x14ac:dyDescent="0.25">
      <c r="A674" s="40" t="str">
        <f>IF(Agent04_Savings!A81="","",Agent04_Savings!A81)</f>
        <v/>
      </c>
      <c r="B674" s="40" t="str">
        <f ca="1">IF(Agent04_Savings!A81="","","SV"&amp;TEXT(674-3,"0000")&amp;"-"&amp;TEXT(TODAY(),"YYYYMMDD"))</f>
        <v/>
      </c>
      <c r="C674" s="40" t="str">
        <f>IF(Agent04_Savings!A81="","",Agent04_Savings!B81)</f>
        <v/>
      </c>
      <c r="D674" s="40" t="str">
        <f>IF(Agent04_Savings!A81="","",Agent04_Savings!G81)</f>
        <v/>
      </c>
      <c r="E674" s="41" t="str">
        <f>IF(Agent04_Savings!A81="","",Agent04_Savings!D81)</f>
        <v/>
      </c>
      <c r="F674" s="42" t="str">
        <f>IF(Agent04_Savings!A81="","",Agent04_Savings!E81)</f>
        <v/>
      </c>
      <c r="G674" s="42" t="str">
        <f>IF(Agent04_Savings!A81="","",Agent04_Savings!F81)</f>
        <v/>
      </c>
      <c r="H674" s="40" t="str">
        <f>IF(Agent04_Savings!A81="","",Agent04_Savings!I81)</f>
        <v/>
      </c>
      <c r="I674" s="40" t="str">
        <f>IF(Agent04_Savings!A81="","",Agent04_Savings!J81)</f>
        <v/>
      </c>
      <c r="J674" s="40" t="str">
        <f>IF(Agent04_Savings!A81="","",Agent04_Savings!K81)</f>
        <v/>
      </c>
      <c r="K674" s="40" t="str">
        <f>IFERROR(IF(Agent04_Savings!A81="","",YEAR(Agent04_Savings!D81)),"")</f>
        <v/>
      </c>
    </row>
    <row r="675" spans="1:11" ht="18" customHeight="1" x14ac:dyDescent="0.25">
      <c r="A675" s="40" t="str">
        <f>IF(Agent04_Savings!A82="","",Agent04_Savings!A82)</f>
        <v/>
      </c>
      <c r="B675" s="40" t="str">
        <f ca="1">IF(Agent04_Savings!A82="","","SV"&amp;TEXT(675-3,"0000")&amp;"-"&amp;TEXT(TODAY(),"YYYYMMDD"))</f>
        <v/>
      </c>
      <c r="C675" s="40" t="str">
        <f>IF(Agent04_Savings!A82="","",Agent04_Savings!B82)</f>
        <v/>
      </c>
      <c r="D675" s="40" t="str">
        <f>IF(Agent04_Savings!A82="","",Agent04_Savings!G82)</f>
        <v/>
      </c>
      <c r="E675" s="41" t="str">
        <f>IF(Agent04_Savings!A82="","",Agent04_Savings!D82)</f>
        <v/>
      </c>
      <c r="F675" s="42" t="str">
        <f>IF(Agent04_Savings!A82="","",Agent04_Savings!E82)</f>
        <v/>
      </c>
      <c r="G675" s="42" t="str">
        <f>IF(Agent04_Savings!A82="","",Agent04_Savings!F82)</f>
        <v/>
      </c>
      <c r="H675" s="40" t="str">
        <f>IF(Agent04_Savings!A82="","",Agent04_Savings!I82)</f>
        <v/>
      </c>
      <c r="I675" s="40" t="str">
        <f>IF(Agent04_Savings!A82="","",Agent04_Savings!J82)</f>
        <v/>
      </c>
      <c r="J675" s="40" t="str">
        <f>IF(Agent04_Savings!A82="","",Agent04_Savings!K82)</f>
        <v/>
      </c>
      <c r="K675" s="40" t="str">
        <f>IFERROR(IF(Agent04_Savings!A82="","",YEAR(Agent04_Savings!D82)),"")</f>
        <v/>
      </c>
    </row>
    <row r="676" spans="1:11" ht="18" customHeight="1" x14ac:dyDescent="0.25">
      <c r="A676" s="40" t="str">
        <f>IF(Agent04_Savings!A83="","",Agent04_Savings!A83)</f>
        <v/>
      </c>
      <c r="B676" s="40" t="str">
        <f ca="1">IF(Agent04_Savings!A83="","","SV"&amp;TEXT(676-3,"0000")&amp;"-"&amp;TEXT(TODAY(),"YYYYMMDD"))</f>
        <v/>
      </c>
      <c r="C676" s="40" t="str">
        <f>IF(Agent04_Savings!A83="","",Agent04_Savings!B83)</f>
        <v/>
      </c>
      <c r="D676" s="40" t="str">
        <f>IF(Agent04_Savings!A83="","",Agent04_Savings!G83)</f>
        <v/>
      </c>
      <c r="E676" s="41" t="str">
        <f>IF(Agent04_Savings!A83="","",Agent04_Savings!D83)</f>
        <v/>
      </c>
      <c r="F676" s="42" t="str">
        <f>IF(Agent04_Savings!A83="","",Agent04_Savings!E83)</f>
        <v/>
      </c>
      <c r="G676" s="42" t="str">
        <f>IF(Agent04_Savings!A83="","",Agent04_Savings!F83)</f>
        <v/>
      </c>
      <c r="H676" s="40" t="str">
        <f>IF(Agent04_Savings!A83="","",Agent04_Savings!I83)</f>
        <v/>
      </c>
      <c r="I676" s="40" t="str">
        <f>IF(Agent04_Savings!A83="","",Agent04_Savings!J83)</f>
        <v/>
      </c>
      <c r="J676" s="40" t="str">
        <f>IF(Agent04_Savings!A83="","",Agent04_Savings!K83)</f>
        <v/>
      </c>
      <c r="K676" s="40" t="str">
        <f>IFERROR(IF(Agent04_Savings!A83="","",YEAR(Agent04_Savings!D83)),"")</f>
        <v/>
      </c>
    </row>
    <row r="677" spans="1:11" ht="18" customHeight="1" x14ac:dyDescent="0.25">
      <c r="A677" s="40" t="str">
        <f>IF(Agent04_Savings!A84="","",Agent04_Savings!A84)</f>
        <v/>
      </c>
      <c r="B677" s="40" t="str">
        <f ca="1">IF(Agent04_Savings!A84="","","SV"&amp;TEXT(677-3,"0000")&amp;"-"&amp;TEXT(TODAY(),"YYYYMMDD"))</f>
        <v/>
      </c>
      <c r="C677" s="40" t="str">
        <f>IF(Agent04_Savings!A84="","",Agent04_Savings!B84)</f>
        <v/>
      </c>
      <c r="D677" s="40" t="str">
        <f>IF(Agent04_Savings!A84="","",Agent04_Savings!G84)</f>
        <v/>
      </c>
      <c r="E677" s="41" t="str">
        <f>IF(Agent04_Savings!A84="","",Agent04_Savings!D84)</f>
        <v/>
      </c>
      <c r="F677" s="42" t="str">
        <f>IF(Agent04_Savings!A84="","",Agent04_Savings!E84)</f>
        <v/>
      </c>
      <c r="G677" s="42" t="str">
        <f>IF(Agent04_Savings!A84="","",Agent04_Savings!F84)</f>
        <v/>
      </c>
      <c r="H677" s="40" t="str">
        <f>IF(Agent04_Savings!A84="","",Agent04_Savings!I84)</f>
        <v/>
      </c>
      <c r="I677" s="40" t="str">
        <f>IF(Agent04_Savings!A84="","",Agent04_Savings!J84)</f>
        <v/>
      </c>
      <c r="J677" s="40" t="str">
        <f>IF(Agent04_Savings!A84="","",Agent04_Savings!K84)</f>
        <v/>
      </c>
      <c r="K677" s="40" t="str">
        <f>IFERROR(IF(Agent04_Savings!A84="","",YEAR(Agent04_Savings!D84)),"")</f>
        <v/>
      </c>
    </row>
    <row r="678" spans="1:11" ht="18" customHeight="1" x14ac:dyDescent="0.25">
      <c r="A678" s="40" t="str">
        <f>IF(Agent04_Savings!A85="","",Agent04_Savings!A85)</f>
        <v/>
      </c>
      <c r="B678" s="40" t="str">
        <f ca="1">IF(Agent04_Savings!A85="","","SV"&amp;TEXT(678-3,"0000")&amp;"-"&amp;TEXT(TODAY(),"YYYYMMDD"))</f>
        <v/>
      </c>
      <c r="C678" s="40" t="str">
        <f>IF(Agent04_Savings!A85="","",Agent04_Savings!B85)</f>
        <v/>
      </c>
      <c r="D678" s="40" t="str">
        <f>IF(Agent04_Savings!A85="","",Agent04_Savings!G85)</f>
        <v/>
      </c>
      <c r="E678" s="41" t="str">
        <f>IF(Agent04_Savings!A85="","",Agent04_Savings!D85)</f>
        <v/>
      </c>
      <c r="F678" s="42" t="str">
        <f>IF(Agent04_Savings!A85="","",Agent04_Savings!E85)</f>
        <v/>
      </c>
      <c r="G678" s="42" t="str">
        <f>IF(Agent04_Savings!A85="","",Agent04_Savings!F85)</f>
        <v/>
      </c>
      <c r="H678" s="40" t="str">
        <f>IF(Agent04_Savings!A85="","",Agent04_Savings!I85)</f>
        <v/>
      </c>
      <c r="I678" s="40" t="str">
        <f>IF(Agent04_Savings!A85="","",Agent04_Savings!J85)</f>
        <v/>
      </c>
      <c r="J678" s="40" t="str">
        <f>IF(Agent04_Savings!A85="","",Agent04_Savings!K85)</f>
        <v/>
      </c>
      <c r="K678" s="40" t="str">
        <f>IFERROR(IF(Agent04_Savings!A85="","",YEAR(Agent04_Savings!D85)),"")</f>
        <v/>
      </c>
    </row>
    <row r="679" spans="1:11" ht="18" customHeight="1" x14ac:dyDescent="0.25">
      <c r="A679" s="40" t="str">
        <f>IF(Agent04_Savings!A86="","",Agent04_Savings!A86)</f>
        <v/>
      </c>
      <c r="B679" s="40" t="str">
        <f ca="1">IF(Agent04_Savings!A86="","","SV"&amp;TEXT(679-3,"0000")&amp;"-"&amp;TEXT(TODAY(),"YYYYMMDD"))</f>
        <v/>
      </c>
      <c r="C679" s="40" t="str">
        <f>IF(Agent04_Savings!A86="","",Agent04_Savings!B86)</f>
        <v/>
      </c>
      <c r="D679" s="40" t="str">
        <f>IF(Agent04_Savings!A86="","",Agent04_Savings!G86)</f>
        <v/>
      </c>
      <c r="E679" s="41" t="str">
        <f>IF(Agent04_Savings!A86="","",Agent04_Savings!D86)</f>
        <v/>
      </c>
      <c r="F679" s="42" t="str">
        <f>IF(Agent04_Savings!A86="","",Agent04_Savings!E86)</f>
        <v/>
      </c>
      <c r="G679" s="42" t="str">
        <f>IF(Agent04_Savings!A86="","",Agent04_Savings!F86)</f>
        <v/>
      </c>
      <c r="H679" s="40" t="str">
        <f>IF(Agent04_Savings!A86="","",Agent04_Savings!I86)</f>
        <v/>
      </c>
      <c r="I679" s="40" t="str">
        <f>IF(Agent04_Savings!A86="","",Agent04_Savings!J86)</f>
        <v/>
      </c>
      <c r="J679" s="40" t="str">
        <f>IF(Agent04_Savings!A86="","",Agent04_Savings!K86)</f>
        <v/>
      </c>
      <c r="K679" s="40" t="str">
        <f>IFERROR(IF(Agent04_Savings!A86="","",YEAR(Agent04_Savings!D86)),"")</f>
        <v/>
      </c>
    </row>
    <row r="680" spans="1:11" ht="18" customHeight="1" x14ac:dyDescent="0.25">
      <c r="A680" s="40" t="str">
        <f>IF(Agent04_Savings!A87="","",Agent04_Savings!A87)</f>
        <v/>
      </c>
      <c r="B680" s="40" t="str">
        <f ca="1">IF(Agent04_Savings!A87="","","SV"&amp;TEXT(680-3,"0000")&amp;"-"&amp;TEXT(TODAY(),"YYYYMMDD"))</f>
        <v/>
      </c>
      <c r="C680" s="40" t="str">
        <f>IF(Agent04_Savings!A87="","",Agent04_Savings!B87)</f>
        <v/>
      </c>
      <c r="D680" s="40" t="str">
        <f>IF(Agent04_Savings!A87="","",Agent04_Savings!G87)</f>
        <v/>
      </c>
      <c r="E680" s="41" t="str">
        <f>IF(Agent04_Savings!A87="","",Agent04_Savings!D87)</f>
        <v/>
      </c>
      <c r="F680" s="42" t="str">
        <f>IF(Agent04_Savings!A87="","",Agent04_Savings!E87)</f>
        <v/>
      </c>
      <c r="G680" s="42" t="str">
        <f>IF(Agent04_Savings!A87="","",Agent04_Savings!F87)</f>
        <v/>
      </c>
      <c r="H680" s="40" t="str">
        <f>IF(Agent04_Savings!A87="","",Agent04_Savings!I87)</f>
        <v/>
      </c>
      <c r="I680" s="40" t="str">
        <f>IF(Agent04_Savings!A87="","",Agent04_Savings!J87)</f>
        <v/>
      </c>
      <c r="J680" s="40" t="str">
        <f>IF(Agent04_Savings!A87="","",Agent04_Savings!K87)</f>
        <v/>
      </c>
      <c r="K680" s="40" t="str">
        <f>IFERROR(IF(Agent04_Savings!A87="","",YEAR(Agent04_Savings!D87)),"")</f>
        <v/>
      </c>
    </row>
    <row r="681" spans="1:11" ht="18" customHeight="1" x14ac:dyDescent="0.25">
      <c r="A681" s="40" t="str">
        <f>IF(Agent04_Savings!A88="","",Agent04_Savings!A88)</f>
        <v/>
      </c>
      <c r="B681" s="40" t="str">
        <f ca="1">IF(Agent04_Savings!A88="","","SV"&amp;TEXT(681-3,"0000")&amp;"-"&amp;TEXT(TODAY(),"YYYYMMDD"))</f>
        <v/>
      </c>
      <c r="C681" s="40" t="str">
        <f>IF(Agent04_Savings!A88="","",Agent04_Savings!B88)</f>
        <v/>
      </c>
      <c r="D681" s="40" t="str">
        <f>IF(Agent04_Savings!A88="","",Agent04_Savings!G88)</f>
        <v/>
      </c>
      <c r="E681" s="41" t="str">
        <f>IF(Agent04_Savings!A88="","",Agent04_Savings!D88)</f>
        <v/>
      </c>
      <c r="F681" s="42" t="str">
        <f>IF(Agent04_Savings!A88="","",Agent04_Savings!E88)</f>
        <v/>
      </c>
      <c r="G681" s="42" t="str">
        <f>IF(Agent04_Savings!A88="","",Agent04_Savings!F88)</f>
        <v/>
      </c>
      <c r="H681" s="40" t="str">
        <f>IF(Agent04_Savings!A88="","",Agent04_Savings!I88)</f>
        <v/>
      </c>
      <c r="I681" s="40" t="str">
        <f>IF(Agent04_Savings!A88="","",Agent04_Savings!J88)</f>
        <v/>
      </c>
      <c r="J681" s="40" t="str">
        <f>IF(Agent04_Savings!A88="","",Agent04_Savings!K88)</f>
        <v/>
      </c>
      <c r="K681" s="40" t="str">
        <f>IFERROR(IF(Agent04_Savings!A88="","",YEAR(Agent04_Savings!D88)),"")</f>
        <v/>
      </c>
    </row>
    <row r="682" spans="1:11" ht="18" customHeight="1" x14ac:dyDescent="0.25">
      <c r="A682" s="40" t="str">
        <f>IF(Agent04_Savings!A89="","",Agent04_Savings!A89)</f>
        <v/>
      </c>
      <c r="B682" s="40" t="str">
        <f ca="1">IF(Agent04_Savings!A89="","","SV"&amp;TEXT(682-3,"0000")&amp;"-"&amp;TEXT(TODAY(),"YYYYMMDD"))</f>
        <v/>
      </c>
      <c r="C682" s="40" t="str">
        <f>IF(Agent04_Savings!A89="","",Agent04_Savings!B89)</f>
        <v/>
      </c>
      <c r="D682" s="40" t="str">
        <f>IF(Agent04_Savings!A89="","",Agent04_Savings!G89)</f>
        <v/>
      </c>
      <c r="E682" s="41" t="str">
        <f>IF(Agent04_Savings!A89="","",Agent04_Savings!D89)</f>
        <v/>
      </c>
      <c r="F682" s="42" t="str">
        <f>IF(Agent04_Savings!A89="","",Agent04_Savings!E89)</f>
        <v/>
      </c>
      <c r="G682" s="42" t="str">
        <f>IF(Agent04_Savings!A89="","",Agent04_Savings!F89)</f>
        <v/>
      </c>
      <c r="H682" s="40" t="str">
        <f>IF(Agent04_Savings!A89="","",Agent04_Savings!I89)</f>
        <v/>
      </c>
      <c r="I682" s="40" t="str">
        <f>IF(Agent04_Savings!A89="","",Agent04_Savings!J89)</f>
        <v/>
      </c>
      <c r="J682" s="40" t="str">
        <f>IF(Agent04_Savings!A89="","",Agent04_Savings!K89)</f>
        <v/>
      </c>
      <c r="K682" s="40" t="str">
        <f>IFERROR(IF(Agent04_Savings!A89="","",YEAR(Agent04_Savings!D89)),"")</f>
        <v/>
      </c>
    </row>
    <row r="683" spans="1:11" ht="18" customHeight="1" x14ac:dyDescent="0.25">
      <c r="A683" s="40" t="str">
        <f>IF(Agent04_Savings!A90="","",Agent04_Savings!A90)</f>
        <v/>
      </c>
      <c r="B683" s="40" t="str">
        <f ca="1">IF(Agent04_Savings!A90="","","SV"&amp;TEXT(683-3,"0000")&amp;"-"&amp;TEXT(TODAY(),"YYYYMMDD"))</f>
        <v/>
      </c>
      <c r="C683" s="40" t="str">
        <f>IF(Agent04_Savings!A90="","",Agent04_Savings!B90)</f>
        <v/>
      </c>
      <c r="D683" s="40" t="str">
        <f>IF(Agent04_Savings!A90="","",Agent04_Savings!G90)</f>
        <v/>
      </c>
      <c r="E683" s="41" t="str">
        <f>IF(Agent04_Savings!A90="","",Agent04_Savings!D90)</f>
        <v/>
      </c>
      <c r="F683" s="42" t="str">
        <f>IF(Agent04_Savings!A90="","",Agent04_Savings!E90)</f>
        <v/>
      </c>
      <c r="G683" s="42" t="str">
        <f>IF(Agent04_Savings!A90="","",Agent04_Savings!F90)</f>
        <v/>
      </c>
      <c r="H683" s="40" t="str">
        <f>IF(Agent04_Savings!A90="","",Agent04_Savings!I90)</f>
        <v/>
      </c>
      <c r="I683" s="40" t="str">
        <f>IF(Agent04_Savings!A90="","",Agent04_Savings!J90)</f>
        <v/>
      </c>
      <c r="J683" s="40" t="str">
        <f>IF(Agent04_Savings!A90="","",Agent04_Savings!K90)</f>
        <v/>
      </c>
      <c r="K683" s="40" t="str">
        <f>IFERROR(IF(Agent04_Savings!A90="","",YEAR(Agent04_Savings!D90)),"")</f>
        <v/>
      </c>
    </row>
    <row r="684" spans="1:11" ht="18" customHeight="1" x14ac:dyDescent="0.25">
      <c r="A684" s="40" t="str">
        <f>IF(Agent04_Savings!A91="","",Agent04_Savings!A91)</f>
        <v/>
      </c>
      <c r="B684" s="40" t="str">
        <f ca="1">IF(Agent04_Savings!A91="","","SV"&amp;TEXT(684-3,"0000")&amp;"-"&amp;TEXT(TODAY(),"YYYYMMDD"))</f>
        <v/>
      </c>
      <c r="C684" s="40" t="str">
        <f>IF(Agent04_Savings!A91="","",Agent04_Savings!B91)</f>
        <v/>
      </c>
      <c r="D684" s="40" t="str">
        <f>IF(Agent04_Savings!A91="","",Agent04_Savings!G91)</f>
        <v/>
      </c>
      <c r="E684" s="41" t="str">
        <f>IF(Agent04_Savings!A91="","",Agent04_Savings!D91)</f>
        <v/>
      </c>
      <c r="F684" s="42" t="str">
        <f>IF(Agent04_Savings!A91="","",Agent04_Savings!E91)</f>
        <v/>
      </c>
      <c r="G684" s="42" t="str">
        <f>IF(Agent04_Savings!A91="","",Agent04_Savings!F91)</f>
        <v/>
      </c>
      <c r="H684" s="40" t="str">
        <f>IF(Agent04_Savings!A91="","",Agent04_Savings!I91)</f>
        <v/>
      </c>
      <c r="I684" s="40" t="str">
        <f>IF(Agent04_Savings!A91="","",Agent04_Savings!J91)</f>
        <v/>
      </c>
      <c r="J684" s="40" t="str">
        <f>IF(Agent04_Savings!A91="","",Agent04_Savings!K91)</f>
        <v/>
      </c>
      <c r="K684" s="40" t="str">
        <f>IFERROR(IF(Agent04_Savings!A91="","",YEAR(Agent04_Savings!D91)),"")</f>
        <v/>
      </c>
    </row>
    <row r="685" spans="1:11" ht="18" customHeight="1" x14ac:dyDescent="0.25">
      <c r="A685" s="40" t="str">
        <f>IF(Agent04_Savings!A92="","",Agent04_Savings!A92)</f>
        <v/>
      </c>
      <c r="B685" s="40" t="str">
        <f ca="1">IF(Agent04_Savings!A92="","","SV"&amp;TEXT(685-3,"0000")&amp;"-"&amp;TEXT(TODAY(),"YYYYMMDD"))</f>
        <v/>
      </c>
      <c r="C685" s="40" t="str">
        <f>IF(Agent04_Savings!A92="","",Agent04_Savings!B92)</f>
        <v/>
      </c>
      <c r="D685" s="40" t="str">
        <f>IF(Agent04_Savings!A92="","",Agent04_Savings!G92)</f>
        <v/>
      </c>
      <c r="E685" s="41" t="str">
        <f>IF(Agent04_Savings!A92="","",Agent04_Savings!D92)</f>
        <v/>
      </c>
      <c r="F685" s="42" t="str">
        <f>IF(Agent04_Savings!A92="","",Agent04_Savings!E92)</f>
        <v/>
      </c>
      <c r="G685" s="42" t="str">
        <f>IF(Agent04_Savings!A92="","",Agent04_Savings!F92)</f>
        <v/>
      </c>
      <c r="H685" s="40" t="str">
        <f>IF(Agent04_Savings!A92="","",Agent04_Savings!I92)</f>
        <v/>
      </c>
      <c r="I685" s="40" t="str">
        <f>IF(Agent04_Savings!A92="","",Agent04_Savings!J92)</f>
        <v/>
      </c>
      <c r="J685" s="40" t="str">
        <f>IF(Agent04_Savings!A92="","",Agent04_Savings!K92)</f>
        <v/>
      </c>
      <c r="K685" s="40" t="str">
        <f>IFERROR(IF(Agent04_Savings!A92="","",YEAR(Agent04_Savings!D92)),"")</f>
        <v/>
      </c>
    </row>
    <row r="686" spans="1:11" ht="18" customHeight="1" x14ac:dyDescent="0.25">
      <c r="A686" s="40" t="str">
        <f>IF(Agent04_Savings!A93="","",Agent04_Savings!A93)</f>
        <v/>
      </c>
      <c r="B686" s="40" t="str">
        <f ca="1">IF(Agent04_Savings!A93="","","SV"&amp;TEXT(686-3,"0000")&amp;"-"&amp;TEXT(TODAY(),"YYYYMMDD"))</f>
        <v/>
      </c>
      <c r="C686" s="40" t="str">
        <f>IF(Agent04_Savings!A93="","",Agent04_Savings!B93)</f>
        <v/>
      </c>
      <c r="D686" s="40" t="str">
        <f>IF(Agent04_Savings!A93="","",Agent04_Savings!G93)</f>
        <v/>
      </c>
      <c r="E686" s="41" t="str">
        <f>IF(Agent04_Savings!A93="","",Agent04_Savings!D93)</f>
        <v/>
      </c>
      <c r="F686" s="42" t="str">
        <f>IF(Agent04_Savings!A93="","",Agent04_Savings!E93)</f>
        <v/>
      </c>
      <c r="G686" s="42" t="str">
        <f>IF(Agent04_Savings!A93="","",Agent04_Savings!F93)</f>
        <v/>
      </c>
      <c r="H686" s="40" t="str">
        <f>IF(Agent04_Savings!A93="","",Agent04_Savings!I93)</f>
        <v/>
      </c>
      <c r="I686" s="40" t="str">
        <f>IF(Agent04_Savings!A93="","",Agent04_Savings!J93)</f>
        <v/>
      </c>
      <c r="J686" s="40" t="str">
        <f>IF(Agent04_Savings!A93="","",Agent04_Savings!K93)</f>
        <v/>
      </c>
      <c r="K686" s="40" t="str">
        <f>IFERROR(IF(Agent04_Savings!A93="","",YEAR(Agent04_Savings!D93)),"")</f>
        <v/>
      </c>
    </row>
    <row r="687" spans="1:11" ht="18" customHeight="1" x14ac:dyDescent="0.25">
      <c r="A687" s="40" t="str">
        <f>IF(Agent04_Savings!A94="","",Agent04_Savings!A94)</f>
        <v/>
      </c>
      <c r="B687" s="40" t="str">
        <f ca="1">IF(Agent04_Savings!A94="","","SV"&amp;TEXT(687-3,"0000")&amp;"-"&amp;TEXT(TODAY(),"YYYYMMDD"))</f>
        <v/>
      </c>
      <c r="C687" s="40" t="str">
        <f>IF(Agent04_Savings!A94="","",Agent04_Savings!B94)</f>
        <v/>
      </c>
      <c r="D687" s="40" t="str">
        <f>IF(Agent04_Savings!A94="","",Agent04_Savings!G94)</f>
        <v/>
      </c>
      <c r="E687" s="41" t="str">
        <f>IF(Agent04_Savings!A94="","",Agent04_Savings!D94)</f>
        <v/>
      </c>
      <c r="F687" s="42" t="str">
        <f>IF(Agent04_Savings!A94="","",Agent04_Savings!E94)</f>
        <v/>
      </c>
      <c r="G687" s="42" t="str">
        <f>IF(Agent04_Savings!A94="","",Agent04_Savings!F94)</f>
        <v/>
      </c>
      <c r="H687" s="40" t="str">
        <f>IF(Agent04_Savings!A94="","",Agent04_Savings!I94)</f>
        <v/>
      </c>
      <c r="I687" s="40" t="str">
        <f>IF(Agent04_Savings!A94="","",Agent04_Savings!J94)</f>
        <v/>
      </c>
      <c r="J687" s="40" t="str">
        <f>IF(Agent04_Savings!A94="","",Agent04_Savings!K94)</f>
        <v/>
      </c>
      <c r="K687" s="40" t="str">
        <f>IFERROR(IF(Agent04_Savings!A94="","",YEAR(Agent04_Savings!D94)),"")</f>
        <v/>
      </c>
    </row>
    <row r="688" spans="1:11" ht="18" customHeight="1" x14ac:dyDescent="0.25">
      <c r="A688" s="40" t="str">
        <f>IF(Agent04_Savings!A95="","",Agent04_Savings!A95)</f>
        <v/>
      </c>
      <c r="B688" s="40" t="str">
        <f ca="1">IF(Agent04_Savings!A95="","","SV"&amp;TEXT(688-3,"0000")&amp;"-"&amp;TEXT(TODAY(),"YYYYMMDD"))</f>
        <v/>
      </c>
      <c r="C688" s="40" t="str">
        <f>IF(Agent04_Savings!A95="","",Agent04_Savings!B95)</f>
        <v/>
      </c>
      <c r="D688" s="40" t="str">
        <f>IF(Agent04_Savings!A95="","",Agent04_Savings!G95)</f>
        <v/>
      </c>
      <c r="E688" s="41" t="str">
        <f>IF(Agent04_Savings!A95="","",Agent04_Savings!D95)</f>
        <v/>
      </c>
      <c r="F688" s="42" t="str">
        <f>IF(Agent04_Savings!A95="","",Agent04_Savings!E95)</f>
        <v/>
      </c>
      <c r="G688" s="42" t="str">
        <f>IF(Agent04_Savings!A95="","",Agent04_Savings!F95)</f>
        <v/>
      </c>
      <c r="H688" s="40" t="str">
        <f>IF(Agent04_Savings!A95="","",Agent04_Savings!I95)</f>
        <v/>
      </c>
      <c r="I688" s="40" t="str">
        <f>IF(Agent04_Savings!A95="","",Agent04_Savings!J95)</f>
        <v/>
      </c>
      <c r="J688" s="40" t="str">
        <f>IF(Agent04_Savings!A95="","",Agent04_Savings!K95)</f>
        <v/>
      </c>
      <c r="K688" s="40" t="str">
        <f>IFERROR(IF(Agent04_Savings!A95="","",YEAR(Agent04_Savings!D95)),"")</f>
        <v/>
      </c>
    </row>
    <row r="689" spans="1:11" ht="18" customHeight="1" x14ac:dyDescent="0.25">
      <c r="A689" s="40" t="str">
        <f>IF(Agent04_Savings!A96="","",Agent04_Savings!A96)</f>
        <v/>
      </c>
      <c r="B689" s="40" t="str">
        <f ca="1">IF(Agent04_Savings!A96="","","SV"&amp;TEXT(689-3,"0000")&amp;"-"&amp;TEXT(TODAY(),"YYYYMMDD"))</f>
        <v/>
      </c>
      <c r="C689" s="40" t="str">
        <f>IF(Agent04_Savings!A96="","",Agent04_Savings!B96)</f>
        <v/>
      </c>
      <c r="D689" s="40" t="str">
        <f>IF(Agent04_Savings!A96="","",Agent04_Savings!G96)</f>
        <v/>
      </c>
      <c r="E689" s="41" t="str">
        <f>IF(Agent04_Savings!A96="","",Agent04_Savings!D96)</f>
        <v/>
      </c>
      <c r="F689" s="42" t="str">
        <f>IF(Agent04_Savings!A96="","",Agent04_Savings!E96)</f>
        <v/>
      </c>
      <c r="G689" s="42" t="str">
        <f>IF(Agent04_Savings!A96="","",Agent04_Savings!F96)</f>
        <v/>
      </c>
      <c r="H689" s="40" t="str">
        <f>IF(Agent04_Savings!A96="","",Agent04_Savings!I96)</f>
        <v/>
      </c>
      <c r="I689" s="40" t="str">
        <f>IF(Agent04_Savings!A96="","",Agent04_Savings!J96)</f>
        <v/>
      </c>
      <c r="J689" s="40" t="str">
        <f>IF(Agent04_Savings!A96="","",Agent04_Savings!K96)</f>
        <v/>
      </c>
      <c r="K689" s="40" t="str">
        <f>IFERROR(IF(Agent04_Savings!A96="","",YEAR(Agent04_Savings!D96)),"")</f>
        <v/>
      </c>
    </row>
    <row r="690" spans="1:11" ht="18" customHeight="1" x14ac:dyDescent="0.25">
      <c r="A690" s="40" t="str">
        <f>IF(Agent04_Savings!A97="","",Agent04_Savings!A97)</f>
        <v/>
      </c>
      <c r="B690" s="40" t="str">
        <f ca="1">IF(Agent04_Savings!A97="","","SV"&amp;TEXT(690-3,"0000")&amp;"-"&amp;TEXT(TODAY(),"YYYYMMDD"))</f>
        <v/>
      </c>
      <c r="C690" s="40" t="str">
        <f>IF(Agent04_Savings!A97="","",Agent04_Savings!B97)</f>
        <v/>
      </c>
      <c r="D690" s="40" t="str">
        <f>IF(Agent04_Savings!A97="","",Agent04_Savings!G97)</f>
        <v/>
      </c>
      <c r="E690" s="41" t="str">
        <f>IF(Agent04_Savings!A97="","",Agent04_Savings!D97)</f>
        <v/>
      </c>
      <c r="F690" s="42" t="str">
        <f>IF(Agent04_Savings!A97="","",Agent04_Savings!E97)</f>
        <v/>
      </c>
      <c r="G690" s="42" t="str">
        <f>IF(Agent04_Savings!A97="","",Agent04_Savings!F97)</f>
        <v/>
      </c>
      <c r="H690" s="40" t="str">
        <f>IF(Agent04_Savings!A97="","",Agent04_Savings!I97)</f>
        <v/>
      </c>
      <c r="I690" s="40" t="str">
        <f>IF(Agent04_Savings!A97="","",Agent04_Savings!J97)</f>
        <v/>
      </c>
      <c r="J690" s="40" t="str">
        <f>IF(Agent04_Savings!A97="","",Agent04_Savings!K97)</f>
        <v/>
      </c>
      <c r="K690" s="40" t="str">
        <f>IFERROR(IF(Agent04_Savings!A97="","",YEAR(Agent04_Savings!D97)),"")</f>
        <v/>
      </c>
    </row>
    <row r="691" spans="1:11" ht="18" customHeight="1" x14ac:dyDescent="0.25">
      <c r="A691" s="40" t="str">
        <f>IF(Agent04_Savings!A98="","",Agent04_Savings!A98)</f>
        <v/>
      </c>
      <c r="B691" s="40" t="str">
        <f ca="1">IF(Agent04_Savings!A98="","","SV"&amp;TEXT(691-3,"0000")&amp;"-"&amp;TEXT(TODAY(),"YYYYMMDD"))</f>
        <v/>
      </c>
      <c r="C691" s="40" t="str">
        <f>IF(Agent04_Savings!A98="","",Agent04_Savings!B98)</f>
        <v/>
      </c>
      <c r="D691" s="40" t="str">
        <f>IF(Agent04_Savings!A98="","",Agent04_Savings!G98)</f>
        <v/>
      </c>
      <c r="E691" s="41" t="str">
        <f>IF(Agent04_Savings!A98="","",Agent04_Savings!D98)</f>
        <v/>
      </c>
      <c r="F691" s="42" t="str">
        <f>IF(Agent04_Savings!A98="","",Agent04_Savings!E98)</f>
        <v/>
      </c>
      <c r="G691" s="42" t="str">
        <f>IF(Agent04_Savings!A98="","",Agent04_Savings!F98)</f>
        <v/>
      </c>
      <c r="H691" s="40" t="str">
        <f>IF(Agent04_Savings!A98="","",Agent04_Savings!I98)</f>
        <v/>
      </c>
      <c r="I691" s="40" t="str">
        <f>IF(Agent04_Savings!A98="","",Agent04_Savings!J98)</f>
        <v/>
      </c>
      <c r="J691" s="40" t="str">
        <f>IF(Agent04_Savings!A98="","",Agent04_Savings!K98)</f>
        <v/>
      </c>
      <c r="K691" s="40" t="str">
        <f>IFERROR(IF(Agent04_Savings!A98="","",YEAR(Agent04_Savings!D98)),"")</f>
        <v/>
      </c>
    </row>
    <row r="692" spans="1:11" ht="18" customHeight="1" x14ac:dyDescent="0.25">
      <c r="A692" s="40" t="str">
        <f>IF(Agent04_Savings!A99="","",Agent04_Savings!A99)</f>
        <v/>
      </c>
      <c r="B692" s="40" t="str">
        <f ca="1">IF(Agent04_Savings!A99="","","SV"&amp;TEXT(692-3,"0000")&amp;"-"&amp;TEXT(TODAY(),"YYYYMMDD"))</f>
        <v/>
      </c>
      <c r="C692" s="40" t="str">
        <f>IF(Agent04_Savings!A99="","",Agent04_Savings!B99)</f>
        <v/>
      </c>
      <c r="D692" s="40" t="str">
        <f>IF(Agent04_Savings!A99="","",Agent04_Savings!G99)</f>
        <v/>
      </c>
      <c r="E692" s="41" t="str">
        <f>IF(Agent04_Savings!A99="","",Agent04_Savings!D99)</f>
        <v/>
      </c>
      <c r="F692" s="42" t="str">
        <f>IF(Agent04_Savings!A99="","",Agent04_Savings!E99)</f>
        <v/>
      </c>
      <c r="G692" s="42" t="str">
        <f>IF(Agent04_Savings!A99="","",Agent04_Savings!F99)</f>
        <v/>
      </c>
      <c r="H692" s="40" t="str">
        <f>IF(Agent04_Savings!A99="","",Agent04_Savings!I99)</f>
        <v/>
      </c>
      <c r="I692" s="40" t="str">
        <f>IF(Agent04_Savings!A99="","",Agent04_Savings!J99)</f>
        <v/>
      </c>
      <c r="J692" s="40" t="str">
        <f>IF(Agent04_Savings!A99="","",Agent04_Savings!K99)</f>
        <v/>
      </c>
      <c r="K692" s="40" t="str">
        <f>IFERROR(IF(Agent04_Savings!A99="","",YEAR(Agent04_Savings!D99)),"")</f>
        <v/>
      </c>
    </row>
    <row r="693" spans="1:11" ht="18" customHeight="1" x14ac:dyDescent="0.25">
      <c r="A693" s="40" t="str">
        <f>IF(Agent04_Savings!A100="","",Agent04_Savings!A100)</f>
        <v/>
      </c>
      <c r="B693" s="40" t="str">
        <f ca="1">IF(Agent04_Savings!A100="","","SV"&amp;TEXT(693-3,"0000")&amp;"-"&amp;TEXT(TODAY(),"YYYYMMDD"))</f>
        <v/>
      </c>
      <c r="C693" s="40" t="str">
        <f>IF(Agent04_Savings!A100="","",Agent04_Savings!B100)</f>
        <v/>
      </c>
      <c r="D693" s="40" t="str">
        <f>IF(Agent04_Savings!A100="","",Agent04_Savings!G100)</f>
        <v/>
      </c>
      <c r="E693" s="41" t="str">
        <f>IF(Agent04_Savings!A100="","",Agent04_Savings!D100)</f>
        <v/>
      </c>
      <c r="F693" s="42" t="str">
        <f>IF(Agent04_Savings!A100="","",Agent04_Savings!E100)</f>
        <v/>
      </c>
      <c r="G693" s="42" t="str">
        <f>IF(Agent04_Savings!A100="","",Agent04_Savings!F100)</f>
        <v/>
      </c>
      <c r="H693" s="40" t="str">
        <f>IF(Agent04_Savings!A100="","",Agent04_Savings!I100)</f>
        <v/>
      </c>
      <c r="I693" s="40" t="str">
        <f>IF(Agent04_Savings!A100="","",Agent04_Savings!J100)</f>
        <v/>
      </c>
      <c r="J693" s="40" t="str">
        <f>IF(Agent04_Savings!A100="","",Agent04_Savings!K100)</f>
        <v/>
      </c>
      <c r="K693" s="40" t="str">
        <f>IFERROR(IF(Agent04_Savings!A100="","",YEAR(Agent04_Savings!D100)),"")</f>
        <v/>
      </c>
    </row>
    <row r="694" spans="1:11" ht="18" customHeight="1" x14ac:dyDescent="0.25">
      <c r="A694" s="40" t="str">
        <f>IF(Agent04_Savings!A101="","",Agent04_Savings!A101)</f>
        <v/>
      </c>
      <c r="B694" s="40" t="str">
        <f ca="1">IF(Agent04_Savings!A101="","","SV"&amp;TEXT(694-3,"0000")&amp;"-"&amp;TEXT(TODAY(),"YYYYMMDD"))</f>
        <v/>
      </c>
      <c r="C694" s="40" t="str">
        <f>IF(Agent04_Savings!A101="","",Agent04_Savings!B101)</f>
        <v/>
      </c>
      <c r="D694" s="40" t="str">
        <f>IF(Agent04_Savings!A101="","",Agent04_Savings!G101)</f>
        <v/>
      </c>
      <c r="E694" s="41" t="str">
        <f>IF(Agent04_Savings!A101="","",Agent04_Savings!D101)</f>
        <v/>
      </c>
      <c r="F694" s="42" t="str">
        <f>IF(Agent04_Savings!A101="","",Agent04_Savings!E101)</f>
        <v/>
      </c>
      <c r="G694" s="42" t="str">
        <f>IF(Agent04_Savings!A101="","",Agent04_Savings!F101)</f>
        <v/>
      </c>
      <c r="H694" s="40" t="str">
        <f>IF(Agent04_Savings!A101="","",Agent04_Savings!I101)</f>
        <v/>
      </c>
      <c r="I694" s="40" t="str">
        <f>IF(Agent04_Savings!A101="","",Agent04_Savings!J101)</f>
        <v/>
      </c>
      <c r="J694" s="40" t="str">
        <f>IF(Agent04_Savings!A101="","",Agent04_Savings!K101)</f>
        <v/>
      </c>
      <c r="K694" s="40" t="str">
        <f>IFERROR(IF(Agent04_Savings!A101="","",YEAR(Agent04_Savings!D101)),"")</f>
        <v/>
      </c>
    </row>
    <row r="695" spans="1:11" ht="18" customHeight="1" x14ac:dyDescent="0.25">
      <c r="A695" s="40" t="str">
        <f>IF(Agent04_Savings!A102="","",Agent04_Savings!A102)</f>
        <v/>
      </c>
      <c r="B695" s="40" t="str">
        <f ca="1">IF(Agent04_Savings!A102="","","SV"&amp;TEXT(695-3,"0000")&amp;"-"&amp;TEXT(TODAY(),"YYYYMMDD"))</f>
        <v/>
      </c>
      <c r="C695" s="40" t="str">
        <f>IF(Agent04_Savings!A102="","",Agent04_Savings!B102)</f>
        <v/>
      </c>
      <c r="D695" s="40" t="str">
        <f>IF(Agent04_Savings!A102="","",Agent04_Savings!G102)</f>
        <v/>
      </c>
      <c r="E695" s="41" t="str">
        <f>IF(Agent04_Savings!A102="","",Agent04_Savings!D102)</f>
        <v/>
      </c>
      <c r="F695" s="42" t="str">
        <f>IF(Agent04_Savings!A102="","",Agent04_Savings!E102)</f>
        <v/>
      </c>
      <c r="G695" s="42" t="str">
        <f>IF(Agent04_Savings!A102="","",Agent04_Savings!F102)</f>
        <v/>
      </c>
      <c r="H695" s="40" t="str">
        <f>IF(Agent04_Savings!A102="","",Agent04_Savings!I102)</f>
        <v/>
      </c>
      <c r="I695" s="40" t="str">
        <f>IF(Agent04_Savings!A102="","",Agent04_Savings!J102)</f>
        <v/>
      </c>
      <c r="J695" s="40" t="str">
        <f>IF(Agent04_Savings!A102="","",Agent04_Savings!K102)</f>
        <v/>
      </c>
      <c r="K695" s="40" t="str">
        <f>IFERROR(IF(Agent04_Savings!A102="","",YEAR(Agent04_Savings!D102)),"")</f>
        <v/>
      </c>
    </row>
    <row r="696" spans="1:11" ht="18" customHeight="1" x14ac:dyDescent="0.25">
      <c r="A696" s="40" t="str">
        <f>IF(Agent04_Savings!A103="","",Agent04_Savings!A103)</f>
        <v/>
      </c>
      <c r="B696" s="40" t="str">
        <f ca="1">IF(Agent04_Savings!A103="","","SV"&amp;TEXT(696-3,"0000")&amp;"-"&amp;TEXT(TODAY(),"YYYYMMDD"))</f>
        <v/>
      </c>
      <c r="C696" s="40" t="str">
        <f>IF(Agent04_Savings!A103="","",Agent04_Savings!B103)</f>
        <v/>
      </c>
      <c r="D696" s="40" t="str">
        <f>IF(Agent04_Savings!A103="","",Agent04_Savings!G103)</f>
        <v/>
      </c>
      <c r="E696" s="41" t="str">
        <f>IF(Agent04_Savings!A103="","",Agent04_Savings!D103)</f>
        <v/>
      </c>
      <c r="F696" s="42" t="str">
        <f>IF(Agent04_Savings!A103="","",Agent04_Savings!E103)</f>
        <v/>
      </c>
      <c r="G696" s="42" t="str">
        <f>IF(Agent04_Savings!A103="","",Agent04_Savings!F103)</f>
        <v/>
      </c>
      <c r="H696" s="40" t="str">
        <f>IF(Agent04_Savings!A103="","",Agent04_Savings!I103)</f>
        <v/>
      </c>
      <c r="I696" s="40" t="str">
        <f>IF(Agent04_Savings!A103="","",Agent04_Savings!J103)</f>
        <v/>
      </c>
      <c r="J696" s="40" t="str">
        <f>IF(Agent04_Savings!A103="","",Agent04_Savings!K103)</f>
        <v/>
      </c>
      <c r="K696" s="40" t="str">
        <f>IFERROR(IF(Agent04_Savings!A103="","",YEAR(Agent04_Savings!D103)),"")</f>
        <v/>
      </c>
    </row>
    <row r="697" spans="1:11" ht="18" customHeight="1" x14ac:dyDescent="0.25">
      <c r="A697" s="40" t="str">
        <f>IF(Agent04_Savings!A104="","",Agent04_Savings!A104)</f>
        <v/>
      </c>
      <c r="B697" s="40" t="str">
        <f ca="1">IF(Agent04_Savings!A104="","","SV"&amp;TEXT(697-3,"0000")&amp;"-"&amp;TEXT(TODAY(),"YYYYMMDD"))</f>
        <v/>
      </c>
      <c r="C697" s="40" t="str">
        <f>IF(Agent04_Savings!A104="","",Agent04_Savings!B104)</f>
        <v/>
      </c>
      <c r="D697" s="40" t="str">
        <f>IF(Agent04_Savings!A104="","",Agent04_Savings!G104)</f>
        <v/>
      </c>
      <c r="E697" s="41" t="str">
        <f>IF(Agent04_Savings!A104="","",Agent04_Savings!D104)</f>
        <v/>
      </c>
      <c r="F697" s="42" t="str">
        <f>IF(Agent04_Savings!A104="","",Agent04_Savings!E104)</f>
        <v/>
      </c>
      <c r="G697" s="42" t="str">
        <f>IF(Agent04_Savings!A104="","",Agent04_Savings!F104)</f>
        <v/>
      </c>
      <c r="H697" s="40" t="str">
        <f>IF(Agent04_Savings!A104="","",Agent04_Savings!I104)</f>
        <v/>
      </c>
      <c r="I697" s="40" t="str">
        <f>IF(Agent04_Savings!A104="","",Agent04_Savings!J104)</f>
        <v/>
      </c>
      <c r="J697" s="40" t="str">
        <f>IF(Agent04_Savings!A104="","",Agent04_Savings!K104)</f>
        <v/>
      </c>
      <c r="K697" s="40" t="str">
        <f>IFERROR(IF(Agent04_Savings!A104="","",YEAR(Agent04_Savings!D104)),"")</f>
        <v/>
      </c>
    </row>
    <row r="698" spans="1:11" ht="18" customHeight="1" x14ac:dyDescent="0.25">
      <c r="A698" s="40" t="str">
        <f>IF(Agent04_Savings!A105="","",Agent04_Savings!A105)</f>
        <v/>
      </c>
      <c r="B698" s="40" t="str">
        <f ca="1">IF(Agent04_Savings!A105="","","SV"&amp;TEXT(698-3,"0000")&amp;"-"&amp;TEXT(TODAY(),"YYYYMMDD"))</f>
        <v/>
      </c>
      <c r="C698" s="40" t="str">
        <f>IF(Agent04_Savings!A105="","",Agent04_Savings!B105)</f>
        <v/>
      </c>
      <c r="D698" s="40" t="str">
        <f>IF(Agent04_Savings!A105="","",Agent04_Savings!G105)</f>
        <v/>
      </c>
      <c r="E698" s="41" t="str">
        <f>IF(Agent04_Savings!A105="","",Agent04_Savings!D105)</f>
        <v/>
      </c>
      <c r="F698" s="42" t="str">
        <f>IF(Agent04_Savings!A105="","",Agent04_Savings!E105)</f>
        <v/>
      </c>
      <c r="G698" s="42" t="str">
        <f>IF(Agent04_Savings!A105="","",Agent04_Savings!F105)</f>
        <v/>
      </c>
      <c r="H698" s="40" t="str">
        <f>IF(Agent04_Savings!A105="","",Agent04_Savings!I105)</f>
        <v/>
      </c>
      <c r="I698" s="40" t="str">
        <f>IF(Agent04_Savings!A105="","",Agent04_Savings!J105)</f>
        <v/>
      </c>
      <c r="J698" s="40" t="str">
        <f>IF(Agent04_Savings!A105="","",Agent04_Savings!K105)</f>
        <v/>
      </c>
      <c r="K698" s="40" t="str">
        <f>IFERROR(IF(Agent04_Savings!A105="","",YEAR(Agent04_Savings!D105)),"")</f>
        <v/>
      </c>
    </row>
    <row r="699" spans="1:11" ht="18" customHeight="1" x14ac:dyDescent="0.25">
      <c r="A699" s="40" t="str">
        <f>IF(Agent04_Savings!A106="","",Agent04_Savings!A106)</f>
        <v/>
      </c>
      <c r="B699" s="40" t="str">
        <f ca="1">IF(Agent04_Savings!A106="","","SV"&amp;TEXT(699-3,"0000")&amp;"-"&amp;TEXT(TODAY(),"YYYYMMDD"))</f>
        <v/>
      </c>
      <c r="C699" s="40" t="str">
        <f>IF(Agent04_Savings!A106="","",Agent04_Savings!B106)</f>
        <v/>
      </c>
      <c r="D699" s="40" t="str">
        <f>IF(Agent04_Savings!A106="","",Agent04_Savings!G106)</f>
        <v/>
      </c>
      <c r="E699" s="41" t="str">
        <f>IF(Agent04_Savings!A106="","",Agent04_Savings!D106)</f>
        <v/>
      </c>
      <c r="F699" s="42" t="str">
        <f>IF(Agent04_Savings!A106="","",Agent04_Savings!E106)</f>
        <v/>
      </c>
      <c r="G699" s="42" t="str">
        <f>IF(Agent04_Savings!A106="","",Agent04_Savings!F106)</f>
        <v/>
      </c>
      <c r="H699" s="40" t="str">
        <f>IF(Agent04_Savings!A106="","",Agent04_Savings!I106)</f>
        <v/>
      </c>
      <c r="I699" s="40" t="str">
        <f>IF(Agent04_Savings!A106="","",Agent04_Savings!J106)</f>
        <v/>
      </c>
      <c r="J699" s="40" t="str">
        <f>IF(Agent04_Savings!A106="","",Agent04_Savings!K106)</f>
        <v/>
      </c>
      <c r="K699" s="40" t="str">
        <f>IFERROR(IF(Agent04_Savings!A106="","",YEAR(Agent04_Savings!D106)),"")</f>
        <v/>
      </c>
    </row>
    <row r="700" spans="1:11" ht="18" customHeight="1" x14ac:dyDescent="0.25">
      <c r="A700" s="40" t="str">
        <f>IF(Agent04_Savings!A107="","",Agent04_Savings!A107)</f>
        <v/>
      </c>
      <c r="B700" s="40" t="str">
        <f ca="1">IF(Agent04_Savings!A107="","","SV"&amp;TEXT(700-3,"0000")&amp;"-"&amp;TEXT(TODAY(),"YYYYMMDD"))</f>
        <v/>
      </c>
      <c r="C700" s="40" t="str">
        <f>IF(Agent04_Savings!A107="","",Agent04_Savings!B107)</f>
        <v/>
      </c>
      <c r="D700" s="40" t="str">
        <f>IF(Agent04_Savings!A107="","",Agent04_Savings!G107)</f>
        <v/>
      </c>
      <c r="E700" s="41" t="str">
        <f>IF(Agent04_Savings!A107="","",Agent04_Savings!D107)</f>
        <v/>
      </c>
      <c r="F700" s="42" t="str">
        <f>IF(Agent04_Savings!A107="","",Agent04_Savings!E107)</f>
        <v/>
      </c>
      <c r="G700" s="42" t="str">
        <f>IF(Agent04_Savings!A107="","",Agent04_Savings!F107)</f>
        <v/>
      </c>
      <c r="H700" s="40" t="str">
        <f>IF(Agent04_Savings!A107="","",Agent04_Savings!I107)</f>
        <v/>
      </c>
      <c r="I700" s="40" t="str">
        <f>IF(Agent04_Savings!A107="","",Agent04_Savings!J107)</f>
        <v/>
      </c>
      <c r="J700" s="40" t="str">
        <f>IF(Agent04_Savings!A107="","",Agent04_Savings!K107)</f>
        <v/>
      </c>
      <c r="K700" s="40" t="str">
        <f>IFERROR(IF(Agent04_Savings!A107="","",YEAR(Agent04_Savings!D107)),"")</f>
        <v/>
      </c>
    </row>
    <row r="701" spans="1:11" ht="18" customHeight="1" x14ac:dyDescent="0.25">
      <c r="A701" s="40" t="str">
        <f>IF(Agent04_Savings!A108="","",Agent04_Savings!A108)</f>
        <v/>
      </c>
      <c r="B701" s="40" t="str">
        <f ca="1">IF(Agent04_Savings!A108="","","SV"&amp;TEXT(701-3,"0000")&amp;"-"&amp;TEXT(TODAY(),"YYYYMMDD"))</f>
        <v/>
      </c>
      <c r="C701" s="40" t="str">
        <f>IF(Agent04_Savings!A108="","",Agent04_Savings!B108)</f>
        <v/>
      </c>
      <c r="D701" s="40" t="str">
        <f>IF(Agent04_Savings!A108="","",Agent04_Savings!G108)</f>
        <v/>
      </c>
      <c r="E701" s="41" t="str">
        <f>IF(Agent04_Savings!A108="","",Agent04_Savings!D108)</f>
        <v/>
      </c>
      <c r="F701" s="42" t="str">
        <f>IF(Agent04_Savings!A108="","",Agent04_Savings!E108)</f>
        <v/>
      </c>
      <c r="G701" s="42" t="str">
        <f>IF(Agent04_Savings!A108="","",Agent04_Savings!F108)</f>
        <v/>
      </c>
      <c r="H701" s="40" t="str">
        <f>IF(Agent04_Savings!A108="","",Agent04_Savings!I108)</f>
        <v/>
      </c>
      <c r="I701" s="40" t="str">
        <f>IF(Agent04_Savings!A108="","",Agent04_Savings!J108)</f>
        <v/>
      </c>
      <c r="J701" s="40" t="str">
        <f>IF(Agent04_Savings!A108="","",Agent04_Savings!K108)</f>
        <v/>
      </c>
      <c r="K701" s="40" t="str">
        <f>IFERROR(IF(Agent04_Savings!A108="","",YEAR(Agent04_Savings!D108)),"")</f>
        <v/>
      </c>
    </row>
    <row r="702" spans="1:11" ht="18" customHeight="1" x14ac:dyDescent="0.25">
      <c r="A702" s="40" t="str">
        <f>IF(Agent04_Savings!A109="","",Agent04_Savings!A109)</f>
        <v/>
      </c>
      <c r="B702" s="40" t="str">
        <f ca="1">IF(Agent04_Savings!A109="","","SV"&amp;TEXT(702-3,"0000")&amp;"-"&amp;TEXT(TODAY(),"YYYYMMDD"))</f>
        <v/>
      </c>
      <c r="C702" s="40" t="str">
        <f>IF(Agent04_Savings!A109="","",Agent04_Savings!B109)</f>
        <v/>
      </c>
      <c r="D702" s="40" t="str">
        <f>IF(Agent04_Savings!A109="","",Agent04_Savings!G109)</f>
        <v/>
      </c>
      <c r="E702" s="41" t="str">
        <f>IF(Agent04_Savings!A109="","",Agent04_Savings!D109)</f>
        <v/>
      </c>
      <c r="F702" s="42" t="str">
        <f>IF(Agent04_Savings!A109="","",Agent04_Savings!E109)</f>
        <v/>
      </c>
      <c r="G702" s="42" t="str">
        <f>IF(Agent04_Savings!A109="","",Agent04_Savings!F109)</f>
        <v/>
      </c>
      <c r="H702" s="40" t="str">
        <f>IF(Agent04_Savings!A109="","",Agent04_Savings!I109)</f>
        <v/>
      </c>
      <c r="I702" s="40" t="str">
        <f>IF(Agent04_Savings!A109="","",Agent04_Savings!J109)</f>
        <v/>
      </c>
      <c r="J702" s="40" t="str">
        <f>IF(Agent04_Savings!A109="","",Agent04_Savings!K109)</f>
        <v/>
      </c>
      <c r="K702" s="40" t="str">
        <f>IFERROR(IF(Agent04_Savings!A109="","",YEAR(Agent04_Savings!D109)),"")</f>
        <v/>
      </c>
    </row>
    <row r="703" spans="1:11" ht="18" customHeight="1" x14ac:dyDescent="0.25">
      <c r="A703" s="40" t="str">
        <f>IF(Agent04_Savings!A110="","",Agent04_Savings!A110)</f>
        <v/>
      </c>
      <c r="B703" s="40" t="str">
        <f ca="1">IF(Agent04_Savings!A110="","","SV"&amp;TEXT(703-3,"0000")&amp;"-"&amp;TEXT(TODAY(),"YYYYMMDD"))</f>
        <v/>
      </c>
      <c r="C703" s="40" t="str">
        <f>IF(Agent04_Savings!A110="","",Agent04_Savings!B110)</f>
        <v/>
      </c>
      <c r="D703" s="40" t="str">
        <f>IF(Agent04_Savings!A110="","",Agent04_Savings!G110)</f>
        <v/>
      </c>
      <c r="E703" s="41" t="str">
        <f>IF(Agent04_Savings!A110="","",Agent04_Savings!D110)</f>
        <v/>
      </c>
      <c r="F703" s="42" t="str">
        <f>IF(Agent04_Savings!A110="","",Agent04_Savings!E110)</f>
        <v/>
      </c>
      <c r="G703" s="42" t="str">
        <f>IF(Agent04_Savings!A110="","",Agent04_Savings!F110)</f>
        <v/>
      </c>
      <c r="H703" s="40" t="str">
        <f>IF(Agent04_Savings!A110="","",Agent04_Savings!I110)</f>
        <v/>
      </c>
      <c r="I703" s="40" t="str">
        <f>IF(Agent04_Savings!A110="","",Agent04_Savings!J110)</f>
        <v/>
      </c>
      <c r="J703" s="40" t="str">
        <f>IF(Agent04_Savings!A110="","",Agent04_Savings!K110)</f>
        <v/>
      </c>
      <c r="K703" s="40" t="str">
        <f>IFERROR(IF(Agent04_Savings!A110="","",YEAR(Agent04_Savings!D110)),"")</f>
        <v/>
      </c>
    </row>
    <row r="704" spans="1:11" ht="18" customHeight="1" x14ac:dyDescent="0.25">
      <c r="A704" s="40" t="str">
        <f>IF(Agent04_Savings!A111="","",Agent04_Savings!A111)</f>
        <v/>
      </c>
      <c r="B704" s="40" t="str">
        <f ca="1">IF(Agent04_Savings!A111="","","SV"&amp;TEXT(704-3,"0000")&amp;"-"&amp;TEXT(TODAY(),"YYYYMMDD"))</f>
        <v/>
      </c>
      <c r="C704" s="40" t="str">
        <f>IF(Agent04_Savings!A111="","",Agent04_Savings!B111)</f>
        <v/>
      </c>
      <c r="D704" s="40" t="str">
        <f>IF(Agent04_Savings!A111="","",Agent04_Savings!G111)</f>
        <v/>
      </c>
      <c r="E704" s="41" t="str">
        <f>IF(Agent04_Savings!A111="","",Agent04_Savings!D111)</f>
        <v/>
      </c>
      <c r="F704" s="42" t="str">
        <f>IF(Agent04_Savings!A111="","",Agent04_Savings!E111)</f>
        <v/>
      </c>
      <c r="G704" s="42" t="str">
        <f>IF(Agent04_Savings!A111="","",Agent04_Savings!F111)</f>
        <v/>
      </c>
      <c r="H704" s="40" t="str">
        <f>IF(Agent04_Savings!A111="","",Agent04_Savings!I111)</f>
        <v/>
      </c>
      <c r="I704" s="40" t="str">
        <f>IF(Agent04_Savings!A111="","",Agent04_Savings!J111)</f>
        <v/>
      </c>
      <c r="J704" s="40" t="str">
        <f>IF(Agent04_Savings!A111="","",Agent04_Savings!K111)</f>
        <v/>
      </c>
      <c r="K704" s="40" t="str">
        <f>IFERROR(IF(Agent04_Savings!A111="","",YEAR(Agent04_Savings!D111)),"")</f>
        <v/>
      </c>
    </row>
    <row r="705" spans="1:11" ht="18" customHeight="1" x14ac:dyDescent="0.25">
      <c r="A705" s="40" t="str">
        <f>IF(Agent04_Savings!A112="","",Agent04_Savings!A112)</f>
        <v/>
      </c>
      <c r="B705" s="40" t="str">
        <f ca="1">IF(Agent04_Savings!A112="","","SV"&amp;TEXT(705-3,"0000")&amp;"-"&amp;TEXT(TODAY(),"YYYYMMDD"))</f>
        <v/>
      </c>
      <c r="C705" s="40" t="str">
        <f>IF(Agent04_Savings!A112="","",Agent04_Savings!B112)</f>
        <v/>
      </c>
      <c r="D705" s="40" t="str">
        <f>IF(Agent04_Savings!A112="","",Agent04_Savings!G112)</f>
        <v/>
      </c>
      <c r="E705" s="41" t="str">
        <f>IF(Agent04_Savings!A112="","",Agent04_Savings!D112)</f>
        <v/>
      </c>
      <c r="F705" s="42" t="str">
        <f>IF(Agent04_Savings!A112="","",Agent04_Savings!E112)</f>
        <v/>
      </c>
      <c r="G705" s="42" t="str">
        <f>IF(Agent04_Savings!A112="","",Agent04_Savings!F112)</f>
        <v/>
      </c>
      <c r="H705" s="40" t="str">
        <f>IF(Agent04_Savings!A112="","",Agent04_Savings!I112)</f>
        <v/>
      </c>
      <c r="I705" s="40" t="str">
        <f>IF(Agent04_Savings!A112="","",Agent04_Savings!J112)</f>
        <v/>
      </c>
      <c r="J705" s="40" t="str">
        <f>IF(Agent04_Savings!A112="","",Agent04_Savings!K112)</f>
        <v/>
      </c>
      <c r="K705" s="40" t="str">
        <f>IFERROR(IF(Agent04_Savings!A112="","",YEAR(Agent04_Savings!D112)),"")</f>
        <v/>
      </c>
    </row>
    <row r="706" spans="1:11" ht="18" customHeight="1" x14ac:dyDescent="0.25">
      <c r="A706" s="40" t="str">
        <f>IF(Agent04_Savings!A113="","",Agent04_Savings!A113)</f>
        <v/>
      </c>
      <c r="B706" s="40" t="str">
        <f ca="1">IF(Agent04_Savings!A113="","","SV"&amp;TEXT(706-3,"0000")&amp;"-"&amp;TEXT(TODAY(),"YYYYMMDD"))</f>
        <v/>
      </c>
      <c r="C706" s="40" t="str">
        <f>IF(Agent04_Savings!A113="","",Agent04_Savings!B113)</f>
        <v/>
      </c>
      <c r="D706" s="40" t="str">
        <f>IF(Agent04_Savings!A113="","",Agent04_Savings!G113)</f>
        <v/>
      </c>
      <c r="E706" s="41" t="str">
        <f>IF(Agent04_Savings!A113="","",Agent04_Savings!D113)</f>
        <v/>
      </c>
      <c r="F706" s="42" t="str">
        <f>IF(Agent04_Savings!A113="","",Agent04_Savings!E113)</f>
        <v/>
      </c>
      <c r="G706" s="42" t="str">
        <f>IF(Agent04_Savings!A113="","",Agent04_Savings!F113)</f>
        <v/>
      </c>
      <c r="H706" s="40" t="str">
        <f>IF(Agent04_Savings!A113="","",Agent04_Savings!I113)</f>
        <v/>
      </c>
      <c r="I706" s="40" t="str">
        <f>IF(Agent04_Savings!A113="","",Agent04_Savings!J113)</f>
        <v/>
      </c>
      <c r="J706" s="40" t="str">
        <f>IF(Agent04_Savings!A113="","",Agent04_Savings!K113)</f>
        <v/>
      </c>
      <c r="K706" s="40" t="str">
        <f>IFERROR(IF(Agent04_Savings!A113="","",YEAR(Agent04_Savings!D113)),"")</f>
        <v/>
      </c>
    </row>
    <row r="707" spans="1:11" ht="18" customHeight="1" x14ac:dyDescent="0.25">
      <c r="A707" s="40" t="str">
        <f>IF(Agent04_Savings!A114="","",Agent04_Savings!A114)</f>
        <v/>
      </c>
      <c r="B707" s="40" t="str">
        <f ca="1">IF(Agent04_Savings!A114="","","SV"&amp;TEXT(707-3,"0000")&amp;"-"&amp;TEXT(TODAY(),"YYYYMMDD"))</f>
        <v/>
      </c>
      <c r="C707" s="40" t="str">
        <f>IF(Agent04_Savings!A114="","",Agent04_Savings!B114)</f>
        <v/>
      </c>
      <c r="D707" s="40" t="str">
        <f>IF(Agent04_Savings!A114="","",Agent04_Savings!G114)</f>
        <v/>
      </c>
      <c r="E707" s="41" t="str">
        <f>IF(Agent04_Savings!A114="","",Agent04_Savings!D114)</f>
        <v/>
      </c>
      <c r="F707" s="42" t="str">
        <f>IF(Agent04_Savings!A114="","",Agent04_Savings!E114)</f>
        <v/>
      </c>
      <c r="G707" s="42" t="str">
        <f>IF(Agent04_Savings!A114="","",Agent04_Savings!F114)</f>
        <v/>
      </c>
      <c r="H707" s="40" t="str">
        <f>IF(Agent04_Savings!A114="","",Agent04_Savings!I114)</f>
        <v/>
      </c>
      <c r="I707" s="40" t="str">
        <f>IF(Agent04_Savings!A114="","",Agent04_Savings!J114)</f>
        <v/>
      </c>
      <c r="J707" s="40" t="str">
        <f>IF(Agent04_Savings!A114="","",Agent04_Savings!K114)</f>
        <v/>
      </c>
      <c r="K707" s="40" t="str">
        <f>IFERROR(IF(Agent04_Savings!A114="","",YEAR(Agent04_Savings!D114)),"")</f>
        <v/>
      </c>
    </row>
    <row r="708" spans="1:11" ht="18" customHeight="1" x14ac:dyDescent="0.25">
      <c r="A708" s="40" t="str">
        <f>IF(Agent04_Savings!A115="","",Agent04_Savings!A115)</f>
        <v/>
      </c>
      <c r="B708" s="40" t="str">
        <f ca="1">IF(Agent04_Savings!A115="","","SV"&amp;TEXT(708-3,"0000")&amp;"-"&amp;TEXT(TODAY(),"YYYYMMDD"))</f>
        <v/>
      </c>
      <c r="C708" s="40" t="str">
        <f>IF(Agent04_Savings!A115="","",Agent04_Savings!B115)</f>
        <v/>
      </c>
      <c r="D708" s="40" t="str">
        <f>IF(Agent04_Savings!A115="","",Agent04_Savings!G115)</f>
        <v/>
      </c>
      <c r="E708" s="41" t="str">
        <f>IF(Agent04_Savings!A115="","",Agent04_Savings!D115)</f>
        <v/>
      </c>
      <c r="F708" s="42" t="str">
        <f>IF(Agent04_Savings!A115="","",Agent04_Savings!E115)</f>
        <v/>
      </c>
      <c r="G708" s="42" t="str">
        <f>IF(Agent04_Savings!A115="","",Agent04_Savings!F115)</f>
        <v/>
      </c>
      <c r="H708" s="40" t="str">
        <f>IF(Agent04_Savings!A115="","",Agent04_Savings!I115)</f>
        <v/>
      </c>
      <c r="I708" s="40" t="str">
        <f>IF(Agent04_Savings!A115="","",Agent04_Savings!J115)</f>
        <v/>
      </c>
      <c r="J708" s="40" t="str">
        <f>IF(Agent04_Savings!A115="","",Agent04_Savings!K115)</f>
        <v/>
      </c>
      <c r="K708" s="40" t="str">
        <f>IFERROR(IF(Agent04_Savings!A115="","",YEAR(Agent04_Savings!D115)),"")</f>
        <v/>
      </c>
    </row>
    <row r="709" spans="1:11" ht="18" customHeight="1" x14ac:dyDescent="0.25">
      <c r="A709" s="40" t="str">
        <f>IF(Agent04_Savings!A116="","",Agent04_Savings!A116)</f>
        <v/>
      </c>
      <c r="B709" s="40" t="str">
        <f ca="1">IF(Agent04_Savings!A116="","","SV"&amp;TEXT(709-3,"0000")&amp;"-"&amp;TEXT(TODAY(),"YYYYMMDD"))</f>
        <v/>
      </c>
      <c r="C709" s="40" t="str">
        <f>IF(Agent04_Savings!A116="","",Agent04_Savings!B116)</f>
        <v/>
      </c>
      <c r="D709" s="40" t="str">
        <f>IF(Agent04_Savings!A116="","",Agent04_Savings!G116)</f>
        <v/>
      </c>
      <c r="E709" s="41" t="str">
        <f>IF(Agent04_Savings!A116="","",Agent04_Savings!D116)</f>
        <v/>
      </c>
      <c r="F709" s="42" t="str">
        <f>IF(Agent04_Savings!A116="","",Agent04_Savings!E116)</f>
        <v/>
      </c>
      <c r="G709" s="42" t="str">
        <f>IF(Agent04_Savings!A116="","",Agent04_Savings!F116)</f>
        <v/>
      </c>
      <c r="H709" s="40" t="str">
        <f>IF(Agent04_Savings!A116="","",Agent04_Savings!I116)</f>
        <v/>
      </c>
      <c r="I709" s="40" t="str">
        <f>IF(Agent04_Savings!A116="","",Agent04_Savings!J116)</f>
        <v/>
      </c>
      <c r="J709" s="40" t="str">
        <f>IF(Agent04_Savings!A116="","",Agent04_Savings!K116)</f>
        <v/>
      </c>
      <c r="K709" s="40" t="str">
        <f>IFERROR(IF(Agent04_Savings!A116="","",YEAR(Agent04_Savings!D116)),"")</f>
        <v/>
      </c>
    </row>
    <row r="710" spans="1:11" ht="18" customHeight="1" x14ac:dyDescent="0.25">
      <c r="A710" s="40" t="str">
        <f>IF(Agent04_Savings!A117="","",Agent04_Savings!A117)</f>
        <v/>
      </c>
      <c r="B710" s="40" t="str">
        <f ca="1">IF(Agent04_Savings!A117="","","SV"&amp;TEXT(710-3,"0000")&amp;"-"&amp;TEXT(TODAY(),"YYYYMMDD"))</f>
        <v/>
      </c>
      <c r="C710" s="40" t="str">
        <f>IF(Agent04_Savings!A117="","",Agent04_Savings!B117)</f>
        <v/>
      </c>
      <c r="D710" s="40" t="str">
        <f>IF(Agent04_Savings!A117="","",Agent04_Savings!G117)</f>
        <v/>
      </c>
      <c r="E710" s="41" t="str">
        <f>IF(Agent04_Savings!A117="","",Agent04_Savings!D117)</f>
        <v/>
      </c>
      <c r="F710" s="42" t="str">
        <f>IF(Agent04_Savings!A117="","",Agent04_Savings!E117)</f>
        <v/>
      </c>
      <c r="G710" s="42" t="str">
        <f>IF(Agent04_Savings!A117="","",Agent04_Savings!F117)</f>
        <v/>
      </c>
      <c r="H710" s="40" t="str">
        <f>IF(Agent04_Savings!A117="","",Agent04_Savings!I117)</f>
        <v/>
      </c>
      <c r="I710" s="40" t="str">
        <f>IF(Agent04_Savings!A117="","",Agent04_Savings!J117)</f>
        <v/>
      </c>
      <c r="J710" s="40" t="str">
        <f>IF(Agent04_Savings!A117="","",Agent04_Savings!K117)</f>
        <v/>
      </c>
      <c r="K710" s="40" t="str">
        <f>IFERROR(IF(Agent04_Savings!A117="","",YEAR(Agent04_Savings!D117)),"")</f>
        <v/>
      </c>
    </row>
    <row r="711" spans="1:11" ht="18" customHeight="1" x14ac:dyDescent="0.25">
      <c r="A711" s="40" t="str">
        <f>IF(Agent04_Savings!A118="","",Agent04_Savings!A118)</f>
        <v/>
      </c>
      <c r="B711" s="40" t="str">
        <f ca="1">IF(Agent04_Savings!A118="","","SV"&amp;TEXT(711-3,"0000")&amp;"-"&amp;TEXT(TODAY(),"YYYYMMDD"))</f>
        <v/>
      </c>
      <c r="C711" s="40" t="str">
        <f>IF(Agent04_Savings!A118="","",Agent04_Savings!B118)</f>
        <v/>
      </c>
      <c r="D711" s="40" t="str">
        <f>IF(Agent04_Savings!A118="","",Agent04_Savings!G118)</f>
        <v/>
      </c>
      <c r="E711" s="41" t="str">
        <f>IF(Agent04_Savings!A118="","",Agent04_Savings!D118)</f>
        <v/>
      </c>
      <c r="F711" s="42" t="str">
        <f>IF(Agent04_Savings!A118="","",Agent04_Savings!E118)</f>
        <v/>
      </c>
      <c r="G711" s="42" t="str">
        <f>IF(Agent04_Savings!A118="","",Agent04_Savings!F118)</f>
        <v/>
      </c>
      <c r="H711" s="40" t="str">
        <f>IF(Agent04_Savings!A118="","",Agent04_Savings!I118)</f>
        <v/>
      </c>
      <c r="I711" s="40" t="str">
        <f>IF(Agent04_Savings!A118="","",Agent04_Savings!J118)</f>
        <v/>
      </c>
      <c r="J711" s="40" t="str">
        <f>IF(Agent04_Savings!A118="","",Agent04_Savings!K118)</f>
        <v/>
      </c>
      <c r="K711" s="40" t="str">
        <f>IFERROR(IF(Agent04_Savings!A118="","",YEAR(Agent04_Savings!D118)),"")</f>
        <v/>
      </c>
    </row>
    <row r="712" spans="1:11" ht="18" customHeight="1" x14ac:dyDescent="0.25">
      <c r="A712" s="40" t="str">
        <f>IF(Agent04_Savings!A119="","",Agent04_Savings!A119)</f>
        <v/>
      </c>
      <c r="B712" s="40" t="str">
        <f ca="1">IF(Agent04_Savings!A119="","","SV"&amp;TEXT(712-3,"0000")&amp;"-"&amp;TEXT(TODAY(),"YYYYMMDD"))</f>
        <v/>
      </c>
      <c r="C712" s="40" t="str">
        <f>IF(Agent04_Savings!A119="","",Agent04_Savings!B119)</f>
        <v/>
      </c>
      <c r="D712" s="40" t="str">
        <f>IF(Agent04_Savings!A119="","",Agent04_Savings!G119)</f>
        <v/>
      </c>
      <c r="E712" s="41" t="str">
        <f>IF(Agent04_Savings!A119="","",Agent04_Savings!D119)</f>
        <v/>
      </c>
      <c r="F712" s="42" t="str">
        <f>IF(Agent04_Savings!A119="","",Agent04_Savings!E119)</f>
        <v/>
      </c>
      <c r="G712" s="42" t="str">
        <f>IF(Agent04_Savings!A119="","",Agent04_Savings!F119)</f>
        <v/>
      </c>
      <c r="H712" s="40" t="str">
        <f>IF(Agent04_Savings!A119="","",Agent04_Savings!I119)</f>
        <v/>
      </c>
      <c r="I712" s="40" t="str">
        <f>IF(Agent04_Savings!A119="","",Agent04_Savings!J119)</f>
        <v/>
      </c>
      <c r="J712" s="40" t="str">
        <f>IF(Agent04_Savings!A119="","",Agent04_Savings!K119)</f>
        <v/>
      </c>
      <c r="K712" s="40" t="str">
        <f>IFERROR(IF(Agent04_Savings!A119="","",YEAR(Agent04_Savings!D119)),"")</f>
        <v/>
      </c>
    </row>
    <row r="713" spans="1:11" ht="18" customHeight="1" x14ac:dyDescent="0.25">
      <c r="A713" s="40" t="str">
        <f>IF(Agent04_Savings!A120="","",Agent04_Savings!A120)</f>
        <v/>
      </c>
      <c r="B713" s="40" t="str">
        <f ca="1">IF(Agent04_Savings!A120="","","SV"&amp;TEXT(713-3,"0000")&amp;"-"&amp;TEXT(TODAY(),"YYYYMMDD"))</f>
        <v/>
      </c>
      <c r="C713" s="40" t="str">
        <f>IF(Agent04_Savings!A120="","",Agent04_Savings!B120)</f>
        <v/>
      </c>
      <c r="D713" s="40" t="str">
        <f>IF(Agent04_Savings!A120="","",Agent04_Savings!G120)</f>
        <v/>
      </c>
      <c r="E713" s="41" t="str">
        <f>IF(Agent04_Savings!A120="","",Agent04_Savings!D120)</f>
        <v/>
      </c>
      <c r="F713" s="42" t="str">
        <f>IF(Agent04_Savings!A120="","",Agent04_Savings!E120)</f>
        <v/>
      </c>
      <c r="G713" s="42" t="str">
        <f>IF(Agent04_Savings!A120="","",Agent04_Savings!F120)</f>
        <v/>
      </c>
      <c r="H713" s="40" t="str">
        <f>IF(Agent04_Savings!A120="","",Agent04_Savings!I120)</f>
        <v/>
      </c>
      <c r="I713" s="40" t="str">
        <f>IF(Agent04_Savings!A120="","",Agent04_Savings!J120)</f>
        <v/>
      </c>
      <c r="J713" s="40" t="str">
        <f>IF(Agent04_Savings!A120="","",Agent04_Savings!K120)</f>
        <v/>
      </c>
      <c r="K713" s="40" t="str">
        <f>IFERROR(IF(Agent04_Savings!A120="","",YEAR(Agent04_Savings!D120)),"")</f>
        <v/>
      </c>
    </row>
    <row r="714" spans="1:11" ht="18" customHeight="1" x14ac:dyDescent="0.25">
      <c r="A714" s="40" t="str">
        <f>IF(Agent04_Savings!A121="","",Agent04_Savings!A121)</f>
        <v/>
      </c>
      <c r="B714" s="40" t="str">
        <f ca="1">IF(Agent04_Savings!A121="","","SV"&amp;TEXT(714-3,"0000")&amp;"-"&amp;TEXT(TODAY(),"YYYYMMDD"))</f>
        <v/>
      </c>
      <c r="C714" s="40" t="str">
        <f>IF(Agent04_Savings!A121="","",Agent04_Savings!B121)</f>
        <v/>
      </c>
      <c r="D714" s="40" t="str">
        <f>IF(Agent04_Savings!A121="","",Agent04_Savings!G121)</f>
        <v/>
      </c>
      <c r="E714" s="41" t="str">
        <f>IF(Agent04_Savings!A121="","",Agent04_Savings!D121)</f>
        <v/>
      </c>
      <c r="F714" s="42" t="str">
        <f>IF(Agent04_Savings!A121="","",Agent04_Savings!E121)</f>
        <v/>
      </c>
      <c r="G714" s="42" t="str">
        <f>IF(Agent04_Savings!A121="","",Agent04_Savings!F121)</f>
        <v/>
      </c>
      <c r="H714" s="40" t="str">
        <f>IF(Agent04_Savings!A121="","",Agent04_Savings!I121)</f>
        <v/>
      </c>
      <c r="I714" s="40" t="str">
        <f>IF(Agent04_Savings!A121="","",Agent04_Savings!J121)</f>
        <v/>
      </c>
      <c r="J714" s="40" t="str">
        <f>IF(Agent04_Savings!A121="","",Agent04_Savings!K121)</f>
        <v/>
      </c>
      <c r="K714" s="40" t="str">
        <f>IFERROR(IF(Agent04_Savings!A121="","",YEAR(Agent04_Savings!D121)),"")</f>
        <v/>
      </c>
    </row>
    <row r="715" spans="1:11" ht="18" customHeight="1" x14ac:dyDescent="0.25">
      <c r="A715" s="40" t="str">
        <f>IF(Agent04_Savings!A122="","",Agent04_Savings!A122)</f>
        <v/>
      </c>
      <c r="B715" s="40" t="str">
        <f ca="1">IF(Agent04_Savings!A122="","","SV"&amp;TEXT(715-3,"0000")&amp;"-"&amp;TEXT(TODAY(),"YYYYMMDD"))</f>
        <v/>
      </c>
      <c r="C715" s="40" t="str">
        <f>IF(Agent04_Savings!A122="","",Agent04_Savings!B122)</f>
        <v/>
      </c>
      <c r="D715" s="40" t="str">
        <f>IF(Agent04_Savings!A122="","",Agent04_Savings!G122)</f>
        <v/>
      </c>
      <c r="E715" s="41" t="str">
        <f>IF(Agent04_Savings!A122="","",Agent04_Savings!D122)</f>
        <v/>
      </c>
      <c r="F715" s="42" t="str">
        <f>IF(Agent04_Savings!A122="","",Agent04_Savings!E122)</f>
        <v/>
      </c>
      <c r="G715" s="42" t="str">
        <f>IF(Agent04_Savings!A122="","",Agent04_Savings!F122)</f>
        <v/>
      </c>
      <c r="H715" s="40" t="str">
        <f>IF(Agent04_Savings!A122="","",Agent04_Savings!I122)</f>
        <v/>
      </c>
      <c r="I715" s="40" t="str">
        <f>IF(Agent04_Savings!A122="","",Agent04_Savings!J122)</f>
        <v/>
      </c>
      <c r="J715" s="40" t="str">
        <f>IF(Agent04_Savings!A122="","",Agent04_Savings!K122)</f>
        <v/>
      </c>
      <c r="K715" s="40" t="str">
        <f>IFERROR(IF(Agent04_Savings!A122="","",YEAR(Agent04_Savings!D122)),"")</f>
        <v/>
      </c>
    </row>
    <row r="716" spans="1:11" ht="18" customHeight="1" x14ac:dyDescent="0.25">
      <c r="A716" s="40" t="str">
        <f>IF(Agent04_Savings!A123="","",Agent04_Savings!A123)</f>
        <v/>
      </c>
      <c r="B716" s="40" t="str">
        <f ca="1">IF(Agent04_Savings!A123="","","SV"&amp;TEXT(716-3,"0000")&amp;"-"&amp;TEXT(TODAY(),"YYYYMMDD"))</f>
        <v/>
      </c>
      <c r="C716" s="40" t="str">
        <f>IF(Agent04_Savings!A123="","",Agent04_Savings!B123)</f>
        <v/>
      </c>
      <c r="D716" s="40" t="str">
        <f>IF(Agent04_Savings!A123="","",Agent04_Savings!G123)</f>
        <v/>
      </c>
      <c r="E716" s="41" t="str">
        <f>IF(Agent04_Savings!A123="","",Agent04_Savings!D123)</f>
        <v/>
      </c>
      <c r="F716" s="42" t="str">
        <f>IF(Agent04_Savings!A123="","",Agent04_Savings!E123)</f>
        <v/>
      </c>
      <c r="G716" s="42" t="str">
        <f>IF(Agent04_Savings!A123="","",Agent04_Savings!F123)</f>
        <v/>
      </c>
      <c r="H716" s="40" t="str">
        <f>IF(Agent04_Savings!A123="","",Agent04_Savings!I123)</f>
        <v/>
      </c>
      <c r="I716" s="40" t="str">
        <f>IF(Agent04_Savings!A123="","",Agent04_Savings!J123)</f>
        <v/>
      </c>
      <c r="J716" s="40" t="str">
        <f>IF(Agent04_Savings!A123="","",Agent04_Savings!K123)</f>
        <v/>
      </c>
      <c r="K716" s="40" t="str">
        <f>IFERROR(IF(Agent04_Savings!A123="","",YEAR(Agent04_Savings!D123)),"")</f>
        <v/>
      </c>
    </row>
    <row r="717" spans="1:11" ht="18" customHeight="1" x14ac:dyDescent="0.25">
      <c r="A717" s="40" t="str">
        <f>IF(Agent04_Savings!A124="","",Agent04_Savings!A124)</f>
        <v/>
      </c>
      <c r="B717" s="40" t="str">
        <f ca="1">IF(Agent04_Savings!A124="","","SV"&amp;TEXT(717-3,"0000")&amp;"-"&amp;TEXT(TODAY(),"YYYYMMDD"))</f>
        <v/>
      </c>
      <c r="C717" s="40" t="str">
        <f>IF(Agent04_Savings!A124="","",Agent04_Savings!B124)</f>
        <v/>
      </c>
      <c r="D717" s="40" t="str">
        <f>IF(Agent04_Savings!A124="","",Agent04_Savings!G124)</f>
        <v/>
      </c>
      <c r="E717" s="41" t="str">
        <f>IF(Agent04_Savings!A124="","",Agent04_Savings!D124)</f>
        <v/>
      </c>
      <c r="F717" s="42" t="str">
        <f>IF(Agent04_Savings!A124="","",Agent04_Savings!E124)</f>
        <v/>
      </c>
      <c r="G717" s="42" t="str">
        <f>IF(Agent04_Savings!A124="","",Agent04_Savings!F124)</f>
        <v/>
      </c>
      <c r="H717" s="40" t="str">
        <f>IF(Agent04_Savings!A124="","",Agent04_Savings!I124)</f>
        <v/>
      </c>
      <c r="I717" s="40" t="str">
        <f>IF(Agent04_Savings!A124="","",Agent04_Savings!J124)</f>
        <v/>
      </c>
      <c r="J717" s="40" t="str">
        <f>IF(Agent04_Savings!A124="","",Agent04_Savings!K124)</f>
        <v/>
      </c>
      <c r="K717" s="40" t="str">
        <f>IFERROR(IF(Agent04_Savings!A124="","",YEAR(Agent04_Savings!D124)),"")</f>
        <v/>
      </c>
    </row>
    <row r="718" spans="1:11" ht="18" customHeight="1" x14ac:dyDescent="0.25">
      <c r="A718" s="40" t="str">
        <f>IF(Agent04_Savings!A125="","",Agent04_Savings!A125)</f>
        <v/>
      </c>
      <c r="B718" s="40" t="str">
        <f ca="1">IF(Agent04_Savings!A125="","","SV"&amp;TEXT(718-3,"0000")&amp;"-"&amp;TEXT(TODAY(),"YYYYMMDD"))</f>
        <v/>
      </c>
      <c r="C718" s="40" t="str">
        <f>IF(Agent04_Savings!A125="","",Agent04_Savings!B125)</f>
        <v/>
      </c>
      <c r="D718" s="40" t="str">
        <f>IF(Agent04_Savings!A125="","",Agent04_Savings!G125)</f>
        <v/>
      </c>
      <c r="E718" s="41" t="str">
        <f>IF(Agent04_Savings!A125="","",Agent04_Savings!D125)</f>
        <v/>
      </c>
      <c r="F718" s="42" t="str">
        <f>IF(Agent04_Savings!A125="","",Agent04_Savings!E125)</f>
        <v/>
      </c>
      <c r="G718" s="42" t="str">
        <f>IF(Agent04_Savings!A125="","",Agent04_Savings!F125)</f>
        <v/>
      </c>
      <c r="H718" s="40" t="str">
        <f>IF(Agent04_Savings!A125="","",Agent04_Savings!I125)</f>
        <v/>
      </c>
      <c r="I718" s="40" t="str">
        <f>IF(Agent04_Savings!A125="","",Agent04_Savings!J125)</f>
        <v/>
      </c>
      <c r="J718" s="40" t="str">
        <f>IF(Agent04_Savings!A125="","",Agent04_Savings!K125)</f>
        <v/>
      </c>
      <c r="K718" s="40" t="str">
        <f>IFERROR(IF(Agent04_Savings!A125="","",YEAR(Agent04_Savings!D125)),"")</f>
        <v/>
      </c>
    </row>
    <row r="719" spans="1:11" ht="18" customHeight="1" x14ac:dyDescent="0.25">
      <c r="A719" s="40" t="str">
        <f>IF(Agent04_Savings!A126="","",Agent04_Savings!A126)</f>
        <v/>
      </c>
      <c r="B719" s="40" t="str">
        <f ca="1">IF(Agent04_Savings!A126="","","SV"&amp;TEXT(719-3,"0000")&amp;"-"&amp;TEXT(TODAY(),"YYYYMMDD"))</f>
        <v/>
      </c>
      <c r="C719" s="40" t="str">
        <f>IF(Agent04_Savings!A126="","",Agent04_Savings!B126)</f>
        <v/>
      </c>
      <c r="D719" s="40" t="str">
        <f>IF(Agent04_Savings!A126="","",Agent04_Savings!G126)</f>
        <v/>
      </c>
      <c r="E719" s="41" t="str">
        <f>IF(Agent04_Savings!A126="","",Agent04_Savings!D126)</f>
        <v/>
      </c>
      <c r="F719" s="42" t="str">
        <f>IF(Agent04_Savings!A126="","",Agent04_Savings!E126)</f>
        <v/>
      </c>
      <c r="G719" s="42" t="str">
        <f>IF(Agent04_Savings!A126="","",Agent04_Savings!F126)</f>
        <v/>
      </c>
      <c r="H719" s="40" t="str">
        <f>IF(Agent04_Savings!A126="","",Agent04_Savings!I126)</f>
        <v/>
      </c>
      <c r="I719" s="40" t="str">
        <f>IF(Agent04_Savings!A126="","",Agent04_Savings!J126)</f>
        <v/>
      </c>
      <c r="J719" s="40" t="str">
        <f>IF(Agent04_Savings!A126="","",Agent04_Savings!K126)</f>
        <v/>
      </c>
      <c r="K719" s="40" t="str">
        <f>IFERROR(IF(Agent04_Savings!A126="","",YEAR(Agent04_Savings!D126)),"")</f>
        <v/>
      </c>
    </row>
    <row r="720" spans="1:11" ht="18" customHeight="1" x14ac:dyDescent="0.25">
      <c r="A720" s="40" t="str">
        <f>IF(Agent04_Savings!A127="","",Agent04_Savings!A127)</f>
        <v/>
      </c>
      <c r="B720" s="40" t="str">
        <f ca="1">IF(Agent04_Savings!A127="","","SV"&amp;TEXT(720-3,"0000")&amp;"-"&amp;TEXT(TODAY(),"YYYYMMDD"))</f>
        <v/>
      </c>
      <c r="C720" s="40" t="str">
        <f>IF(Agent04_Savings!A127="","",Agent04_Savings!B127)</f>
        <v/>
      </c>
      <c r="D720" s="40" t="str">
        <f>IF(Agent04_Savings!A127="","",Agent04_Savings!G127)</f>
        <v/>
      </c>
      <c r="E720" s="41" t="str">
        <f>IF(Agent04_Savings!A127="","",Agent04_Savings!D127)</f>
        <v/>
      </c>
      <c r="F720" s="42" t="str">
        <f>IF(Agent04_Savings!A127="","",Agent04_Savings!E127)</f>
        <v/>
      </c>
      <c r="G720" s="42" t="str">
        <f>IF(Agent04_Savings!A127="","",Agent04_Savings!F127)</f>
        <v/>
      </c>
      <c r="H720" s="40" t="str">
        <f>IF(Agent04_Savings!A127="","",Agent04_Savings!I127)</f>
        <v/>
      </c>
      <c r="I720" s="40" t="str">
        <f>IF(Agent04_Savings!A127="","",Agent04_Savings!J127)</f>
        <v/>
      </c>
      <c r="J720" s="40" t="str">
        <f>IF(Agent04_Savings!A127="","",Agent04_Savings!K127)</f>
        <v/>
      </c>
      <c r="K720" s="40" t="str">
        <f>IFERROR(IF(Agent04_Savings!A127="","",YEAR(Agent04_Savings!D127)),"")</f>
        <v/>
      </c>
    </row>
    <row r="721" spans="1:11" ht="18" customHeight="1" x14ac:dyDescent="0.25">
      <c r="A721" s="40" t="str">
        <f>IF(Agent04_Savings!A128="","",Agent04_Savings!A128)</f>
        <v/>
      </c>
      <c r="B721" s="40" t="str">
        <f ca="1">IF(Agent04_Savings!A128="","","SV"&amp;TEXT(721-3,"0000")&amp;"-"&amp;TEXT(TODAY(),"YYYYMMDD"))</f>
        <v/>
      </c>
      <c r="C721" s="40" t="str">
        <f>IF(Agent04_Savings!A128="","",Agent04_Savings!B128)</f>
        <v/>
      </c>
      <c r="D721" s="40" t="str">
        <f>IF(Agent04_Savings!A128="","",Agent04_Savings!G128)</f>
        <v/>
      </c>
      <c r="E721" s="41" t="str">
        <f>IF(Agent04_Savings!A128="","",Agent04_Savings!D128)</f>
        <v/>
      </c>
      <c r="F721" s="42" t="str">
        <f>IF(Agent04_Savings!A128="","",Agent04_Savings!E128)</f>
        <v/>
      </c>
      <c r="G721" s="42" t="str">
        <f>IF(Agent04_Savings!A128="","",Agent04_Savings!F128)</f>
        <v/>
      </c>
      <c r="H721" s="40" t="str">
        <f>IF(Agent04_Savings!A128="","",Agent04_Savings!I128)</f>
        <v/>
      </c>
      <c r="I721" s="40" t="str">
        <f>IF(Agent04_Savings!A128="","",Agent04_Savings!J128)</f>
        <v/>
      </c>
      <c r="J721" s="40" t="str">
        <f>IF(Agent04_Savings!A128="","",Agent04_Savings!K128)</f>
        <v/>
      </c>
      <c r="K721" s="40" t="str">
        <f>IFERROR(IF(Agent04_Savings!A128="","",YEAR(Agent04_Savings!D128)),"")</f>
        <v/>
      </c>
    </row>
    <row r="722" spans="1:11" ht="18" customHeight="1" x14ac:dyDescent="0.25">
      <c r="A722" s="40" t="str">
        <f>IF(Agent04_Savings!A129="","",Agent04_Savings!A129)</f>
        <v/>
      </c>
      <c r="B722" s="40" t="str">
        <f ca="1">IF(Agent04_Savings!A129="","","SV"&amp;TEXT(722-3,"0000")&amp;"-"&amp;TEXT(TODAY(),"YYYYMMDD"))</f>
        <v/>
      </c>
      <c r="C722" s="40" t="str">
        <f>IF(Agent04_Savings!A129="","",Agent04_Savings!B129)</f>
        <v/>
      </c>
      <c r="D722" s="40" t="str">
        <f>IF(Agent04_Savings!A129="","",Agent04_Savings!G129)</f>
        <v/>
      </c>
      <c r="E722" s="41" t="str">
        <f>IF(Agent04_Savings!A129="","",Agent04_Savings!D129)</f>
        <v/>
      </c>
      <c r="F722" s="42" t="str">
        <f>IF(Agent04_Savings!A129="","",Agent04_Savings!E129)</f>
        <v/>
      </c>
      <c r="G722" s="42" t="str">
        <f>IF(Agent04_Savings!A129="","",Agent04_Savings!F129)</f>
        <v/>
      </c>
      <c r="H722" s="40" t="str">
        <f>IF(Agent04_Savings!A129="","",Agent04_Savings!I129)</f>
        <v/>
      </c>
      <c r="I722" s="40" t="str">
        <f>IF(Agent04_Savings!A129="","",Agent04_Savings!J129)</f>
        <v/>
      </c>
      <c r="J722" s="40" t="str">
        <f>IF(Agent04_Savings!A129="","",Agent04_Savings!K129)</f>
        <v/>
      </c>
      <c r="K722" s="40" t="str">
        <f>IFERROR(IF(Agent04_Savings!A129="","",YEAR(Agent04_Savings!D129)),"")</f>
        <v/>
      </c>
    </row>
    <row r="723" spans="1:11" ht="18" customHeight="1" x14ac:dyDescent="0.25">
      <c r="A723" s="40" t="str">
        <f>IF(Agent04_Savings!A130="","",Agent04_Savings!A130)</f>
        <v/>
      </c>
      <c r="B723" s="40" t="str">
        <f ca="1">IF(Agent04_Savings!A130="","","SV"&amp;TEXT(723-3,"0000")&amp;"-"&amp;TEXT(TODAY(),"YYYYMMDD"))</f>
        <v/>
      </c>
      <c r="C723" s="40" t="str">
        <f>IF(Agent04_Savings!A130="","",Agent04_Savings!B130)</f>
        <v/>
      </c>
      <c r="D723" s="40" t="str">
        <f>IF(Agent04_Savings!A130="","",Agent04_Savings!G130)</f>
        <v/>
      </c>
      <c r="E723" s="41" t="str">
        <f>IF(Agent04_Savings!A130="","",Agent04_Savings!D130)</f>
        <v/>
      </c>
      <c r="F723" s="42" t="str">
        <f>IF(Agent04_Savings!A130="","",Agent04_Savings!E130)</f>
        <v/>
      </c>
      <c r="G723" s="42" t="str">
        <f>IF(Agent04_Savings!A130="","",Agent04_Savings!F130)</f>
        <v/>
      </c>
      <c r="H723" s="40" t="str">
        <f>IF(Agent04_Savings!A130="","",Agent04_Savings!I130)</f>
        <v/>
      </c>
      <c r="I723" s="40" t="str">
        <f>IF(Agent04_Savings!A130="","",Agent04_Savings!J130)</f>
        <v/>
      </c>
      <c r="J723" s="40" t="str">
        <f>IF(Agent04_Savings!A130="","",Agent04_Savings!K130)</f>
        <v/>
      </c>
      <c r="K723" s="40" t="str">
        <f>IFERROR(IF(Agent04_Savings!A130="","",YEAR(Agent04_Savings!D130)),"")</f>
        <v/>
      </c>
    </row>
    <row r="724" spans="1:11" ht="18" customHeight="1" x14ac:dyDescent="0.25">
      <c r="A724" s="40" t="str">
        <f>IF(Agent04_Savings!A131="","",Agent04_Savings!A131)</f>
        <v/>
      </c>
      <c r="B724" s="40" t="str">
        <f ca="1">IF(Agent04_Savings!A131="","","SV"&amp;TEXT(724-3,"0000")&amp;"-"&amp;TEXT(TODAY(),"YYYYMMDD"))</f>
        <v/>
      </c>
      <c r="C724" s="40" t="str">
        <f>IF(Agent04_Savings!A131="","",Agent04_Savings!B131)</f>
        <v/>
      </c>
      <c r="D724" s="40" t="str">
        <f>IF(Agent04_Savings!A131="","",Agent04_Savings!G131)</f>
        <v/>
      </c>
      <c r="E724" s="41" t="str">
        <f>IF(Agent04_Savings!A131="","",Agent04_Savings!D131)</f>
        <v/>
      </c>
      <c r="F724" s="42" t="str">
        <f>IF(Agent04_Savings!A131="","",Agent04_Savings!E131)</f>
        <v/>
      </c>
      <c r="G724" s="42" t="str">
        <f>IF(Agent04_Savings!A131="","",Agent04_Savings!F131)</f>
        <v/>
      </c>
      <c r="H724" s="40" t="str">
        <f>IF(Agent04_Savings!A131="","",Agent04_Savings!I131)</f>
        <v/>
      </c>
      <c r="I724" s="40" t="str">
        <f>IF(Agent04_Savings!A131="","",Agent04_Savings!J131)</f>
        <v/>
      </c>
      <c r="J724" s="40" t="str">
        <f>IF(Agent04_Savings!A131="","",Agent04_Savings!K131)</f>
        <v/>
      </c>
      <c r="K724" s="40" t="str">
        <f>IFERROR(IF(Agent04_Savings!A131="","",YEAR(Agent04_Savings!D131)),"")</f>
        <v/>
      </c>
    </row>
    <row r="725" spans="1:11" ht="18" customHeight="1" x14ac:dyDescent="0.25">
      <c r="A725" s="40" t="str">
        <f>IF(Agent04_Savings!A132="","",Agent04_Savings!A132)</f>
        <v/>
      </c>
      <c r="B725" s="40" t="str">
        <f ca="1">IF(Agent04_Savings!A132="","","SV"&amp;TEXT(725-3,"0000")&amp;"-"&amp;TEXT(TODAY(),"YYYYMMDD"))</f>
        <v/>
      </c>
      <c r="C725" s="40" t="str">
        <f>IF(Agent04_Savings!A132="","",Agent04_Savings!B132)</f>
        <v/>
      </c>
      <c r="D725" s="40" t="str">
        <f>IF(Agent04_Savings!A132="","",Agent04_Savings!G132)</f>
        <v/>
      </c>
      <c r="E725" s="41" t="str">
        <f>IF(Agent04_Savings!A132="","",Agent04_Savings!D132)</f>
        <v/>
      </c>
      <c r="F725" s="42" t="str">
        <f>IF(Agent04_Savings!A132="","",Agent04_Savings!E132)</f>
        <v/>
      </c>
      <c r="G725" s="42" t="str">
        <f>IF(Agent04_Savings!A132="","",Agent04_Savings!F132)</f>
        <v/>
      </c>
      <c r="H725" s="40" t="str">
        <f>IF(Agent04_Savings!A132="","",Agent04_Savings!I132)</f>
        <v/>
      </c>
      <c r="I725" s="40" t="str">
        <f>IF(Agent04_Savings!A132="","",Agent04_Savings!J132)</f>
        <v/>
      </c>
      <c r="J725" s="40" t="str">
        <f>IF(Agent04_Savings!A132="","",Agent04_Savings!K132)</f>
        <v/>
      </c>
      <c r="K725" s="40" t="str">
        <f>IFERROR(IF(Agent04_Savings!A132="","",YEAR(Agent04_Savings!D132)),"")</f>
        <v/>
      </c>
    </row>
    <row r="726" spans="1:11" ht="18" customHeight="1" x14ac:dyDescent="0.25">
      <c r="A726" s="40" t="str">
        <f>IF(Agent04_Savings!A133="","",Agent04_Savings!A133)</f>
        <v/>
      </c>
      <c r="B726" s="40" t="str">
        <f ca="1">IF(Agent04_Savings!A133="","","SV"&amp;TEXT(726-3,"0000")&amp;"-"&amp;TEXT(TODAY(),"YYYYMMDD"))</f>
        <v/>
      </c>
      <c r="C726" s="40" t="str">
        <f>IF(Agent04_Savings!A133="","",Agent04_Savings!B133)</f>
        <v/>
      </c>
      <c r="D726" s="40" t="str">
        <f>IF(Agent04_Savings!A133="","",Agent04_Savings!G133)</f>
        <v/>
      </c>
      <c r="E726" s="41" t="str">
        <f>IF(Agent04_Savings!A133="","",Agent04_Savings!D133)</f>
        <v/>
      </c>
      <c r="F726" s="42" t="str">
        <f>IF(Agent04_Savings!A133="","",Agent04_Savings!E133)</f>
        <v/>
      </c>
      <c r="G726" s="42" t="str">
        <f>IF(Agent04_Savings!A133="","",Agent04_Savings!F133)</f>
        <v/>
      </c>
      <c r="H726" s="40" t="str">
        <f>IF(Agent04_Savings!A133="","",Agent04_Savings!I133)</f>
        <v/>
      </c>
      <c r="I726" s="40" t="str">
        <f>IF(Agent04_Savings!A133="","",Agent04_Savings!J133)</f>
        <v/>
      </c>
      <c r="J726" s="40" t="str">
        <f>IF(Agent04_Savings!A133="","",Agent04_Savings!K133)</f>
        <v/>
      </c>
      <c r="K726" s="40" t="str">
        <f>IFERROR(IF(Agent04_Savings!A133="","",YEAR(Agent04_Savings!D133)),"")</f>
        <v/>
      </c>
    </row>
    <row r="727" spans="1:11" ht="18" customHeight="1" x14ac:dyDescent="0.25">
      <c r="A727" s="40" t="str">
        <f>IF(Agent04_Savings!A134="","",Agent04_Savings!A134)</f>
        <v/>
      </c>
      <c r="B727" s="40" t="str">
        <f ca="1">IF(Agent04_Savings!A134="","","SV"&amp;TEXT(727-3,"0000")&amp;"-"&amp;TEXT(TODAY(),"YYYYMMDD"))</f>
        <v/>
      </c>
      <c r="C727" s="40" t="str">
        <f>IF(Agent04_Savings!A134="","",Agent04_Savings!B134)</f>
        <v/>
      </c>
      <c r="D727" s="40" t="str">
        <f>IF(Agent04_Savings!A134="","",Agent04_Savings!G134)</f>
        <v/>
      </c>
      <c r="E727" s="41" t="str">
        <f>IF(Agent04_Savings!A134="","",Agent04_Savings!D134)</f>
        <v/>
      </c>
      <c r="F727" s="42" t="str">
        <f>IF(Agent04_Savings!A134="","",Agent04_Savings!E134)</f>
        <v/>
      </c>
      <c r="G727" s="42" t="str">
        <f>IF(Agent04_Savings!A134="","",Agent04_Savings!F134)</f>
        <v/>
      </c>
      <c r="H727" s="40" t="str">
        <f>IF(Agent04_Savings!A134="","",Agent04_Savings!I134)</f>
        <v/>
      </c>
      <c r="I727" s="40" t="str">
        <f>IF(Agent04_Savings!A134="","",Agent04_Savings!J134)</f>
        <v/>
      </c>
      <c r="J727" s="40" t="str">
        <f>IF(Agent04_Savings!A134="","",Agent04_Savings!K134)</f>
        <v/>
      </c>
      <c r="K727" s="40" t="str">
        <f>IFERROR(IF(Agent04_Savings!A134="","",YEAR(Agent04_Savings!D134)),"")</f>
        <v/>
      </c>
    </row>
    <row r="728" spans="1:11" ht="18" customHeight="1" x14ac:dyDescent="0.25">
      <c r="A728" s="40" t="str">
        <f>IF(Agent04_Savings!A135="","",Agent04_Savings!A135)</f>
        <v/>
      </c>
      <c r="B728" s="40" t="str">
        <f ca="1">IF(Agent04_Savings!A135="","","SV"&amp;TEXT(728-3,"0000")&amp;"-"&amp;TEXT(TODAY(),"YYYYMMDD"))</f>
        <v/>
      </c>
      <c r="C728" s="40" t="str">
        <f>IF(Agent04_Savings!A135="","",Agent04_Savings!B135)</f>
        <v/>
      </c>
      <c r="D728" s="40" t="str">
        <f>IF(Agent04_Savings!A135="","",Agent04_Savings!G135)</f>
        <v/>
      </c>
      <c r="E728" s="41" t="str">
        <f>IF(Agent04_Savings!A135="","",Agent04_Savings!D135)</f>
        <v/>
      </c>
      <c r="F728" s="42" t="str">
        <f>IF(Agent04_Savings!A135="","",Agent04_Savings!E135)</f>
        <v/>
      </c>
      <c r="G728" s="42" t="str">
        <f>IF(Agent04_Savings!A135="","",Agent04_Savings!F135)</f>
        <v/>
      </c>
      <c r="H728" s="40" t="str">
        <f>IF(Agent04_Savings!A135="","",Agent04_Savings!I135)</f>
        <v/>
      </c>
      <c r="I728" s="40" t="str">
        <f>IF(Agent04_Savings!A135="","",Agent04_Savings!J135)</f>
        <v/>
      </c>
      <c r="J728" s="40" t="str">
        <f>IF(Agent04_Savings!A135="","",Agent04_Savings!K135)</f>
        <v/>
      </c>
      <c r="K728" s="40" t="str">
        <f>IFERROR(IF(Agent04_Savings!A135="","",YEAR(Agent04_Savings!D135)),"")</f>
        <v/>
      </c>
    </row>
    <row r="729" spans="1:11" ht="18" customHeight="1" x14ac:dyDescent="0.25">
      <c r="A729" s="40" t="str">
        <f>IF(Agent04_Savings!A136="","",Agent04_Savings!A136)</f>
        <v/>
      </c>
      <c r="B729" s="40" t="str">
        <f ca="1">IF(Agent04_Savings!A136="","","SV"&amp;TEXT(729-3,"0000")&amp;"-"&amp;TEXT(TODAY(),"YYYYMMDD"))</f>
        <v/>
      </c>
      <c r="C729" s="40" t="str">
        <f>IF(Agent04_Savings!A136="","",Agent04_Savings!B136)</f>
        <v/>
      </c>
      <c r="D729" s="40" t="str">
        <f>IF(Agent04_Savings!A136="","",Agent04_Savings!G136)</f>
        <v/>
      </c>
      <c r="E729" s="41" t="str">
        <f>IF(Agent04_Savings!A136="","",Agent04_Savings!D136)</f>
        <v/>
      </c>
      <c r="F729" s="42" t="str">
        <f>IF(Agent04_Savings!A136="","",Agent04_Savings!E136)</f>
        <v/>
      </c>
      <c r="G729" s="42" t="str">
        <f>IF(Agent04_Savings!A136="","",Agent04_Savings!F136)</f>
        <v/>
      </c>
      <c r="H729" s="40" t="str">
        <f>IF(Agent04_Savings!A136="","",Agent04_Savings!I136)</f>
        <v/>
      </c>
      <c r="I729" s="40" t="str">
        <f>IF(Agent04_Savings!A136="","",Agent04_Savings!J136)</f>
        <v/>
      </c>
      <c r="J729" s="40" t="str">
        <f>IF(Agent04_Savings!A136="","",Agent04_Savings!K136)</f>
        <v/>
      </c>
      <c r="K729" s="40" t="str">
        <f>IFERROR(IF(Agent04_Savings!A136="","",YEAR(Agent04_Savings!D136)),"")</f>
        <v/>
      </c>
    </row>
    <row r="730" spans="1:11" ht="18" customHeight="1" x14ac:dyDescent="0.25">
      <c r="A730" s="40" t="str">
        <f>IF(Agent04_Savings!A137="","",Agent04_Savings!A137)</f>
        <v/>
      </c>
      <c r="B730" s="40" t="str">
        <f ca="1">IF(Agent04_Savings!A137="","","SV"&amp;TEXT(730-3,"0000")&amp;"-"&amp;TEXT(TODAY(),"YYYYMMDD"))</f>
        <v/>
      </c>
      <c r="C730" s="40" t="str">
        <f>IF(Agent04_Savings!A137="","",Agent04_Savings!B137)</f>
        <v/>
      </c>
      <c r="D730" s="40" t="str">
        <f>IF(Agent04_Savings!A137="","",Agent04_Savings!G137)</f>
        <v/>
      </c>
      <c r="E730" s="41" t="str">
        <f>IF(Agent04_Savings!A137="","",Agent04_Savings!D137)</f>
        <v/>
      </c>
      <c r="F730" s="42" t="str">
        <f>IF(Agent04_Savings!A137="","",Agent04_Savings!E137)</f>
        <v/>
      </c>
      <c r="G730" s="42" t="str">
        <f>IF(Agent04_Savings!A137="","",Agent04_Savings!F137)</f>
        <v/>
      </c>
      <c r="H730" s="40" t="str">
        <f>IF(Agent04_Savings!A137="","",Agent04_Savings!I137)</f>
        <v/>
      </c>
      <c r="I730" s="40" t="str">
        <f>IF(Agent04_Savings!A137="","",Agent04_Savings!J137)</f>
        <v/>
      </c>
      <c r="J730" s="40" t="str">
        <f>IF(Agent04_Savings!A137="","",Agent04_Savings!K137)</f>
        <v/>
      </c>
      <c r="K730" s="40" t="str">
        <f>IFERROR(IF(Agent04_Savings!A137="","",YEAR(Agent04_Savings!D137)),"")</f>
        <v/>
      </c>
    </row>
    <row r="731" spans="1:11" ht="18" customHeight="1" x14ac:dyDescent="0.25">
      <c r="A731" s="40" t="str">
        <f>IF(Agent04_Savings!A138="","",Agent04_Savings!A138)</f>
        <v/>
      </c>
      <c r="B731" s="40" t="str">
        <f ca="1">IF(Agent04_Savings!A138="","","SV"&amp;TEXT(731-3,"0000")&amp;"-"&amp;TEXT(TODAY(),"YYYYMMDD"))</f>
        <v/>
      </c>
      <c r="C731" s="40" t="str">
        <f>IF(Agent04_Savings!A138="","",Agent04_Savings!B138)</f>
        <v/>
      </c>
      <c r="D731" s="40" t="str">
        <f>IF(Agent04_Savings!A138="","",Agent04_Savings!G138)</f>
        <v/>
      </c>
      <c r="E731" s="41" t="str">
        <f>IF(Agent04_Savings!A138="","",Agent04_Savings!D138)</f>
        <v/>
      </c>
      <c r="F731" s="42" t="str">
        <f>IF(Agent04_Savings!A138="","",Agent04_Savings!E138)</f>
        <v/>
      </c>
      <c r="G731" s="42" t="str">
        <f>IF(Agent04_Savings!A138="","",Agent04_Savings!F138)</f>
        <v/>
      </c>
      <c r="H731" s="40" t="str">
        <f>IF(Agent04_Savings!A138="","",Agent04_Savings!I138)</f>
        <v/>
      </c>
      <c r="I731" s="40" t="str">
        <f>IF(Agent04_Savings!A138="","",Agent04_Savings!J138)</f>
        <v/>
      </c>
      <c r="J731" s="40" t="str">
        <f>IF(Agent04_Savings!A138="","",Agent04_Savings!K138)</f>
        <v/>
      </c>
      <c r="K731" s="40" t="str">
        <f>IFERROR(IF(Agent04_Savings!A138="","",YEAR(Agent04_Savings!D138)),"")</f>
        <v/>
      </c>
    </row>
    <row r="732" spans="1:11" ht="18" customHeight="1" x14ac:dyDescent="0.25">
      <c r="A732" s="40" t="str">
        <f>IF(Agent04_Savings!A139="","",Agent04_Savings!A139)</f>
        <v/>
      </c>
      <c r="B732" s="40" t="str">
        <f ca="1">IF(Agent04_Savings!A139="","","SV"&amp;TEXT(732-3,"0000")&amp;"-"&amp;TEXT(TODAY(),"YYYYMMDD"))</f>
        <v/>
      </c>
      <c r="C732" s="40" t="str">
        <f>IF(Agent04_Savings!A139="","",Agent04_Savings!B139)</f>
        <v/>
      </c>
      <c r="D732" s="40" t="str">
        <f>IF(Agent04_Savings!A139="","",Agent04_Savings!G139)</f>
        <v/>
      </c>
      <c r="E732" s="41" t="str">
        <f>IF(Agent04_Savings!A139="","",Agent04_Savings!D139)</f>
        <v/>
      </c>
      <c r="F732" s="42" t="str">
        <f>IF(Agent04_Savings!A139="","",Agent04_Savings!E139)</f>
        <v/>
      </c>
      <c r="G732" s="42" t="str">
        <f>IF(Agent04_Savings!A139="","",Agent04_Savings!F139)</f>
        <v/>
      </c>
      <c r="H732" s="40" t="str">
        <f>IF(Agent04_Savings!A139="","",Agent04_Savings!I139)</f>
        <v/>
      </c>
      <c r="I732" s="40" t="str">
        <f>IF(Agent04_Savings!A139="","",Agent04_Savings!J139)</f>
        <v/>
      </c>
      <c r="J732" s="40" t="str">
        <f>IF(Agent04_Savings!A139="","",Agent04_Savings!K139)</f>
        <v/>
      </c>
      <c r="K732" s="40" t="str">
        <f>IFERROR(IF(Agent04_Savings!A139="","",YEAR(Agent04_Savings!D139)),"")</f>
        <v/>
      </c>
    </row>
    <row r="733" spans="1:11" ht="18" customHeight="1" x14ac:dyDescent="0.25">
      <c r="A733" s="40" t="str">
        <f>IF(Agent04_Savings!A140="","",Agent04_Savings!A140)</f>
        <v/>
      </c>
      <c r="B733" s="40" t="str">
        <f ca="1">IF(Agent04_Savings!A140="","","SV"&amp;TEXT(733-3,"0000")&amp;"-"&amp;TEXT(TODAY(),"YYYYMMDD"))</f>
        <v/>
      </c>
      <c r="C733" s="40" t="str">
        <f>IF(Agent04_Savings!A140="","",Agent04_Savings!B140)</f>
        <v/>
      </c>
      <c r="D733" s="40" t="str">
        <f>IF(Agent04_Savings!A140="","",Agent04_Savings!G140)</f>
        <v/>
      </c>
      <c r="E733" s="41" t="str">
        <f>IF(Agent04_Savings!A140="","",Agent04_Savings!D140)</f>
        <v/>
      </c>
      <c r="F733" s="42" t="str">
        <f>IF(Agent04_Savings!A140="","",Agent04_Savings!E140)</f>
        <v/>
      </c>
      <c r="G733" s="42" t="str">
        <f>IF(Agent04_Savings!A140="","",Agent04_Savings!F140)</f>
        <v/>
      </c>
      <c r="H733" s="40" t="str">
        <f>IF(Agent04_Savings!A140="","",Agent04_Savings!I140)</f>
        <v/>
      </c>
      <c r="I733" s="40" t="str">
        <f>IF(Agent04_Savings!A140="","",Agent04_Savings!J140)</f>
        <v/>
      </c>
      <c r="J733" s="40" t="str">
        <f>IF(Agent04_Savings!A140="","",Agent04_Savings!K140)</f>
        <v/>
      </c>
      <c r="K733" s="40" t="str">
        <f>IFERROR(IF(Agent04_Savings!A140="","",YEAR(Agent04_Savings!D140)),"")</f>
        <v/>
      </c>
    </row>
    <row r="734" spans="1:11" ht="18" customHeight="1" x14ac:dyDescent="0.25">
      <c r="A734" s="40" t="str">
        <f>IF(Agent04_Savings!A141="","",Agent04_Savings!A141)</f>
        <v/>
      </c>
      <c r="B734" s="40" t="str">
        <f ca="1">IF(Agent04_Savings!A141="","","SV"&amp;TEXT(734-3,"0000")&amp;"-"&amp;TEXT(TODAY(),"YYYYMMDD"))</f>
        <v/>
      </c>
      <c r="C734" s="40" t="str">
        <f>IF(Agent04_Savings!A141="","",Agent04_Savings!B141)</f>
        <v/>
      </c>
      <c r="D734" s="40" t="str">
        <f>IF(Agent04_Savings!A141="","",Agent04_Savings!G141)</f>
        <v/>
      </c>
      <c r="E734" s="41" t="str">
        <f>IF(Agent04_Savings!A141="","",Agent04_Savings!D141)</f>
        <v/>
      </c>
      <c r="F734" s="42" t="str">
        <f>IF(Agent04_Savings!A141="","",Agent04_Savings!E141)</f>
        <v/>
      </c>
      <c r="G734" s="42" t="str">
        <f>IF(Agent04_Savings!A141="","",Agent04_Savings!F141)</f>
        <v/>
      </c>
      <c r="H734" s="40" t="str">
        <f>IF(Agent04_Savings!A141="","",Agent04_Savings!I141)</f>
        <v/>
      </c>
      <c r="I734" s="40" t="str">
        <f>IF(Agent04_Savings!A141="","",Agent04_Savings!J141)</f>
        <v/>
      </c>
      <c r="J734" s="40" t="str">
        <f>IF(Agent04_Savings!A141="","",Agent04_Savings!K141)</f>
        <v/>
      </c>
      <c r="K734" s="40" t="str">
        <f>IFERROR(IF(Agent04_Savings!A141="","",YEAR(Agent04_Savings!D141)),"")</f>
        <v/>
      </c>
    </row>
    <row r="735" spans="1:11" ht="18" customHeight="1" x14ac:dyDescent="0.25">
      <c r="A735" s="40" t="str">
        <f>IF(Agent04_Savings!A142="","",Agent04_Savings!A142)</f>
        <v/>
      </c>
      <c r="B735" s="40" t="str">
        <f ca="1">IF(Agent04_Savings!A142="","","SV"&amp;TEXT(735-3,"0000")&amp;"-"&amp;TEXT(TODAY(),"YYYYMMDD"))</f>
        <v/>
      </c>
      <c r="C735" s="40" t="str">
        <f>IF(Agent04_Savings!A142="","",Agent04_Savings!B142)</f>
        <v/>
      </c>
      <c r="D735" s="40" t="str">
        <f>IF(Agent04_Savings!A142="","",Agent04_Savings!G142)</f>
        <v/>
      </c>
      <c r="E735" s="41" t="str">
        <f>IF(Agent04_Savings!A142="","",Agent04_Savings!D142)</f>
        <v/>
      </c>
      <c r="F735" s="42" t="str">
        <f>IF(Agent04_Savings!A142="","",Agent04_Savings!E142)</f>
        <v/>
      </c>
      <c r="G735" s="42" t="str">
        <f>IF(Agent04_Savings!A142="","",Agent04_Savings!F142)</f>
        <v/>
      </c>
      <c r="H735" s="40" t="str">
        <f>IF(Agent04_Savings!A142="","",Agent04_Savings!I142)</f>
        <v/>
      </c>
      <c r="I735" s="40" t="str">
        <f>IF(Agent04_Savings!A142="","",Agent04_Savings!J142)</f>
        <v/>
      </c>
      <c r="J735" s="40" t="str">
        <f>IF(Agent04_Savings!A142="","",Agent04_Savings!K142)</f>
        <v/>
      </c>
      <c r="K735" s="40" t="str">
        <f>IFERROR(IF(Agent04_Savings!A142="","",YEAR(Agent04_Savings!D142)),"")</f>
        <v/>
      </c>
    </row>
    <row r="736" spans="1:11" ht="18" customHeight="1" x14ac:dyDescent="0.25">
      <c r="A736" s="40" t="str">
        <f>IF(Agent04_Savings!A143="","",Agent04_Savings!A143)</f>
        <v/>
      </c>
      <c r="B736" s="40" t="str">
        <f ca="1">IF(Agent04_Savings!A143="","","SV"&amp;TEXT(736-3,"0000")&amp;"-"&amp;TEXT(TODAY(),"YYYYMMDD"))</f>
        <v/>
      </c>
      <c r="C736" s="40" t="str">
        <f>IF(Agent04_Savings!A143="","",Agent04_Savings!B143)</f>
        <v/>
      </c>
      <c r="D736" s="40" t="str">
        <f>IF(Agent04_Savings!A143="","",Agent04_Savings!G143)</f>
        <v/>
      </c>
      <c r="E736" s="41" t="str">
        <f>IF(Agent04_Savings!A143="","",Agent04_Savings!D143)</f>
        <v/>
      </c>
      <c r="F736" s="42" t="str">
        <f>IF(Agent04_Savings!A143="","",Agent04_Savings!E143)</f>
        <v/>
      </c>
      <c r="G736" s="42" t="str">
        <f>IF(Agent04_Savings!A143="","",Agent04_Savings!F143)</f>
        <v/>
      </c>
      <c r="H736" s="40" t="str">
        <f>IF(Agent04_Savings!A143="","",Agent04_Savings!I143)</f>
        <v/>
      </c>
      <c r="I736" s="40" t="str">
        <f>IF(Agent04_Savings!A143="","",Agent04_Savings!J143)</f>
        <v/>
      </c>
      <c r="J736" s="40" t="str">
        <f>IF(Agent04_Savings!A143="","",Agent04_Savings!K143)</f>
        <v/>
      </c>
      <c r="K736" s="40" t="str">
        <f>IFERROR(IF(Agent04_Savings!A143="","",YEAR(Agent04_Savings!D143)),"")</f>
        <v/>
      </c>
    </row>
    <row r="737" spans="1:11" ht="18" customHeight="1" x14ac:dyDescent="0.25">
      <c r="A737" s="40" t="str">
        <f>IF(Agent04_Savings!A144="","",Agent04_Savings!A144)</f>
        <v/>
      </c>
      <c r="B737" s="40" t="str">
        <f ca="1">IF(Agent04_Savings!A144="","","SV"&amp;TEXT(737-3,"0000")&amp;"-"&amp;TEXT(TODAY(),"YYYYMMDD"))</f>
        <v/>
      </c>
      <c r="C737" s="40" t="str">
        <f>IF(Agent04_Savings!A144="","",Agent04_Savings!B144)</f>
        <v/>
      </c>
      <c r="D737" s="40" t="str">
        <f>IF(Agent04_Savings!A144="","",Agent04_Savings!G144)</f>
        <v/>
      </c>
      <c r="E737" s="41" t="str">
        <f>IF(Agent04_Savings!A144="","",Agent04_Savings!D144)</f>
        <v/>
      </c>
      <c r="F737" s="42" t="str">
        <f>IF(Agent04_Savings!A144="","",Agent04_Savings!E144)</f>
        <v/>
      </c>
      <c r="G737" s="42" t="str">
        <f>IF(Agent04_Savings!A144="","",Agent04_Savings!F144)</f>
        <v/>
      </c>
      <c r="H737" s="40" t="str">
        <f>IF(Agent04_Savings!A144="","",Agent04_Savings!I144)</f>
        <v/>
      </c>
      <c r="I737" s="40" t="str">
        <f>IF(Agent04_Savings!A144="","",Agent04_Savings!J144)</f>
        <v/>
      </c>
      <c r="J737" s="40" t="str">
        <f>IF(Agent04_Savings!A144="","",Agent04_Savings!K144)</f>
        <v/>
      </c>
      <c r="K737" s="40" t="str">
        <f>IFERROR(IF(Agent04_Savings!A144="","",YEAR(Agent04_Savings!D144)),"")</f>
        <v/>
      </c>
    </row>
    <row r="738" spans="1:11" ht="18" customHeight="1" x14ac:dyDescent="0.25">
      <c r="A738" s="40" t="str">
        <f>IF(Agent04_Savings!A145="","",Agent04_Savings!A145)</f>
        <v/>
      </c>
      <c r="B738" s="40" t="str">
        <f ca="1">IF(Agent04_Savings!A145="","","SV"&amp;TEXT(738-3,"0000")&amp;"-"&amp;TEXT(TODAY(),"YYYYMMDD"))</f>
        <v/>
      </c>
      <c r="C738" s="40" t="str">
        <f>IF(Agent04_Savings!A145="","",Agent04_Savings!B145)</f>
        <v/>
      </c>
      <c r="D738" s="40" t="str">
        <f>IF(Agent04_Savings!A145="","",Agent04_Savings!G145)</f>
        <v/>
      </c>
      <c r="E738" s="41" t="str">
        <f>IF(Agent04_Savings!A145="","",Agent04_Savings!D145)</f>
        <v/>
      </c>
      <c r="F738" s="42" t="str">
        <f>IF(Agent04_Savings!A145="","",Agent04_Savings!E145)</f>
        <v/>
      </c>
      <c r="G738" s="42" t="str">
        <f>IF(Agent04_Savings!A145="","",Agent04_Savings!F145)</f>
        <v/>
      </c>
      <c r="H738" s="40" t="str">
        <f>IF(Agent04_Savings!A145="","",Agent04_Savings!I145)</f>
        <v/>
      </c>
      <c r="I738" s="40" t="str">
        <f>IF(Agent04_Savings!A145="","",Agent04_Savings!J145)</f>
        <v/>
      </c>
      <c r="J738" s="40" t="str">
        <f>IF(Agent04_Savings!A145="","",Agent04_Savings!K145)</f>
        <v/>
      </c>
      <c r="K738" s="40" t="str">
        <f>IFERROR(IF(Agent04_Savings!A145="","",YEAR(Agent04_Savings!D145)),"")</f>
        <v/>
      </c>
    </row>
    <row r="739" spans="1:11" ht="18" customHeight="1" x14ac:dyDescent="0.25">
      <c r="A739" s="40" t="str">
        <f>IF(Agent04_Savings!A146="","",Agent04_Savings!A146)</f>
        <v/>
      </c>
      <c r="B739" s="40" t="str">
        <f ca="1">IF(Agent04_Savings!A146="","","SV"&amp;TEXT(739-3,"0000")&amp;"-"&amp;TEXT(TODAY(),"YYYYMMDD"))</f>
        <v/>
      </c>
      <c r="C739" s="40" t="str">
        <f>IF(Agent04_Savings!A146="","",Agent04_Savings!B146)</f>
        <v/>
      </c>
      <c r="D739" s="40" t="str">
        <f>IF(Agent04_Savings!A146="","",Agent04_Savings!G146)</f>
        <v/>
      </c>
      <c r="E739" s="41" t="str">
        <f>IF(Agent04_Savings!A146="","",Agent04_Savings!D146)</f>
        <v/>
      </c>
      <c r="F739" s="42" t="str">
        <f>IF(Agent04_Savings!A146="","",Agent04_Savings!E146)</f>
        <v/>
      </c>
      <c r="G739" s="42" t="str">
        <f>IF(Agent04_Savings!A146="","",Agent04_Savings!F146)</f>
        <v/>
      </c>
      <c r="H739" s="40" t="str">
        <f>IF(Agent04_Savings!A146="","",Agent04_Savings!I146)</f>
        <v/>
      </c>
      <c r="I739" s="40" t="str">
        <f>IF(Agent04_Savings!A146="","",Agent04_Savings!J146)</f>
        <v/>
      </c>
      <c r="J739" s="40" t="str">
        <f>IF(Agent04_Savings!A146="","",Agent04_Savings!K146)</f>
        <v/>
      </c>
      <c r="K739" s="40" t="str">
        <f>IFERROR(IF(Agent04_Savings!A146="","",YEAR(Agent04_Savings!D146)),"")</f>
        <v/>
      </c>
    </row>
    <row r="740" spans="1:11" ht="18" customHeight="1" x14ac:dyDescent="0.25">
      <c r="A740" s="40" t="str">
        <f>IF(Agent04_Savings!A147="","",Agent04_Savings!A147)</f>
        <v/>
      </c>
      <c r="B740" s="40" t="str">
        <f ca="1">IF(Agent04_Savings!A147="","","SV"&amp;TEXT(740-3,"0000")&amp;"-"&amp;TEXT(TODAY(),"YYYYMMDD"))</f>
        <v/>
      </c>
      <c r="C740" s="40" t="str">
        <f>IF(Agent04_Savings!A147="","",Agent04_Savings!B147)</f>
        <v/>
      </c>
      <c r="D740" s="40" t="str">
        <f>IF(Agent04_Savings!A147="","",Agent04_Savings!G147)</f>
        <v/>
      </c>
      <c r="E740" s="41" t="str">
        <f>IF(Agent04_Savings!A147="","",Agent04_Savings!D147)</f>
        <v/>
      </c>
      <c r="F740" s="42" t="str">
        <f>IF(Agent04_Savings!A147="","",Agent04_Savings!E147)</f>
        <v/>
      </c>
      <c r="G740" s="42" t="str">
        <f>IF(Agent04_Savings!A147="","",Agent04_Savings!F147)</f>
        <v/>
      </c>
      <c r="H740" s="40" t="str">
        <f>IF(Agent04_Savings!A147="","",Agent04_Savings!I147)</f>
        <v/>
      </c>
      <c r="I740" s="40" t="str">
        <f>IF(Agent04_Savings!A147="","",Agent04_Savings!J147)</f>
        <v/>
      </c>
      <c r="J740" s="40" t="str">
        <f>IF(Agent04_Savings!A147="","",Agent04_Savings!K147)</f>
        <v/>
      </c>
      <c r="K740" s="40" t="str">
        <f>IFERROR(IF(Agent04_Savings!A147="","",YEAR(Agent04_Savings!D147)),"")</f>
        <v/>
      </c>
    </row>
    <row r="741" spans="1:11" ht="18" customHeight="1" x14ac:dyDescent="0.25">
      <c r="A741" s="40" t="str">
        <f>IF(Agent04_Savings!A148="","",Agent04_Savings!A148)</f>
        <v/>
      </c>
      <c r="B741" s="40" t="str">
        <f ca="1">IF(Agent04_Savings!A148="","","SV"&amp;TEXT(741-3,"0000")&amp;"-"&amp;TEXT(TODAY(),"YYYYMMDD"))</f>
        <v/>
      </c>
      <c r="C741" s="40" t="str">
        <f>IF(Agent04_Savings!A148="","",Agent04_Savings!B148)</f>
        <v/>
      </c>
      <c r="D741" s="40" t="str">
        <f>IF(Agent04_Savings!A148="","",Agent04_Savings!G148)</f>
        <v/>
      </c>
      <c r="E741" s="41" t="str">
        <f>IF(Agent04_Savings!A148="","",Agent04_Savings!D148)</f>
        <v/>
      </c>
      <c r="F741" s="42" t="str">
        <f>IF(Agent04_Savings!A148="","",Agent04_Savings!E148)</f>
        <v/>
      </c>
      <c r="G741" s="42" t="str">
        <f>IF(Agent04_Savings!A148="","",Agent04_Savings!F148)</f>
        <v/>
      </c>
      <c r="H741" s="40" t="str">
        <f>IF(Agent04_Savings!A148="","",Agent04_Savings!I148)</f>
        <v/>
      </c>
      <c r="I741" s="40" t="str">
        <f>IF(Agent04_Savings!A148="","",Agent04_Savings!J148)</f>
        <v/>
      </c>
      <c r="J741" s="40" t="str">
        <f>IF(Agent04_Savings!A148="","",Agent04_Savings!K148)</f>
        <v/>
      </c>
      <c r="K741" s="40" t="str">
        <f>IFERROR(IF(Agent04_Savings!A148="","",YEAR(Agent04_Savings!D148)),"")</f>
        <v/>
      </c>
    </row>
    <row r="742" spans="1:11" ht="18" customHeight="1" x14ac:dyDescent="0.25">
      <c r="A742" s="40" t="str">
        <f>IF(Agent04_Savings!A149="","",Agent04_Savings!A149)</f>
        <v/>
      </c>
      <c r="B742" s="40" t="str">
        <f ca="1">IF(Agent04_Savings!A149="","","SV"&amp;TEXT(742-3,"0000")&amp;"-"&amp;TEXT(TODAY(),"YYYYMMDD"))</f>
        <v/>
      </c>
      <c r="C742" s="40" t="str">
        <f>IF(Agent04_Savings!A149="","",Agent04_Savings!B149)</f>
        <v/>
      </c>
      <c r="D742" s="40" t="str">
        <f>IF(Agent04_Savings!A149="","",Agent04_Savings!G149)</f>
        <v/>
      </c>
      <c r="E742" s="41" t="str">
        <f>IF(Agent04_Savings!A149="","",Agent04_Savings!D149)</f>
        <v/>
      </c>
      <c r="F742" s="42" t="str">
        <f>IF(Agent04_Savings!A149="","",Agent04_Savings!E149)</f>
        <v/>
      </c>
      <c r="G742" s="42" t="str">
        <f>IF(Agent04_Savings!A149="","",Agent04_Savings!F149)</f>
        <v/>
      </c>
      <c r="H742" s="40" t="str">
        <f>IF(Agent04_Savings!A149="","",Agent04_Savings!I149)</f>
        <v/>
      </c>
      <c r="I742" s="40" t="str">
        <f>IF(Agent04_Savings!A149="","",Agent04_Savings!J149)</f>
        <v/>
      </c>
      <c r="J742" s="40" t="str">
        <f>IF(Agent04_Savings!A149="","",Agent04_Savings!K149)</f>
        <v/>
      </c>
      <c r="K742" s="40" t="str">
        <f>IFERROR(IF(Agent04_Savings!A149="","",YEAR(Agent04_Savings!D149)),"")</f>
        <v/>
      </c>
    </row>
    <row r="743" spans="1:11" ht="18" customHeight="1" x14ac:dyDescent="0.25">
      <c r="A743" s="40" t="str">
        <f>IF(Agent04_Savings!A150="","",Agent04_Savings!A150)</f>
        <v/>
      </c>
      <c r="B743" s="40" t="str">
        <f ca="1">IF(Agent04_Savings!A150="","","SV"&amp;TEXT(743-3,"0000")&amp;"-"&amp;TEXT(TODAY(),"YYYYMMDD"))</f>
        <v/>
      </c>
      <c r="C743" s="40" t="str">
        <f>IF(Agent04_Savings!A150="","",Agent04_Savings!B150)</f>
        <v/>
      </c>
      <c r="D743" s="40" t="str">
        <f>IF(Agent04_Savings!A150="","",Agent04_Savings!G150)</f>
        <v/>
      </c>
      <c r="E743" s="41" t="str">
        <f>IF(Agent04_Savings!A150="","",Agent04_Savings!D150)</f>
        <v/>
      </c>
      <c r="F743" s="42" t="str">
        <f>IF(Agent04_Savings!A150="","",Agent04_Savings!E150)</f>
        <v/>
      </c>
      <c r="G743" s="42" t="str">
        <f>IF(Agent04_Savings!A150="","",Agent04_Savings!F150)</f>
        <v/>
      </c>
      <c r="H743" s="40" t="str">
        <f>IF(Agent04_Savings!A150="","",Agent04_Savings!I150)</f>
        <v/>
      </c>
      <c r="I743" s="40" t="str">
        <f>IF(Agent04_Savings!A150="","",Agent04_Savings!J150)</f>
        <v/>
      </c>
      <c r="J743" s="40" t="str">
        <f>IF(Agent04_Savings!A150="","",Agent04_Savings!K150)</f>
        <v/>
      </c>
      <c r="K743" s="40" t="str">
        <f>IFERROR(IF(Agent04_Savings!A150="","",YEAR(Agent04_Savings!D150)),"")</f>
        <v/>
      </c>
    </row>
    <row r="744" spans="1:11" ht="18" customHeight="1" x14ac:dyDescent="0.25">
      <c r="A744" s="40" t="str">
        <f>IF(Agent04_Savings!A151="","",Agent04_Savings!A151)</f>
        <v/>
      </c>
      <c r="B744" s="40" t="str">
        <f ca="1">IF(Agent04_Savings!A151="","","SV"&amp;TEXT(744-3,"0000")&amp;"-"&amp;TEXT(TODAY(),"YYYYMMDD"))</f>
        <v/>
      </c>
      <c r="C744" s="40" t="str">
        <f>IF(Agent04_Savings!A151="","",Agent04_Savings!B151)</f>
        <v/>
      </c>
      <c r="D744" s="40" t="str">
        <f>IF(Agent04_Savings!A151="","",Agent04_Savings!G151)</f>
        <v/>
      </c>
      <c r="E744" s="41" t="str">
        <f>IF(Agent04_Savings!A151="","",Agent04_Savings!D151)</f>
        <v/>
      </c>
      <c r="F744" s="42" t="str">
        <f>IF(Agent04_Savings!A151="","",Agent04_Savings!E151)</f>
        <v/>
      </c>
      <c r="G744" s="42" t="str">
        <f>IF(Agent04_Savings!A151="","",Agent04_Savings!F151)</f>
        <v/>
      </c>
      <c r="H744" s="40" t="str">
        <f>IF(Agent04_Savings!A151="","",Agent04_Savings!I151)</f>
        <v/>
      </c>
      <c r="I744" s="40" t="str">
        <f>IF(Agent04_Savings!A151="","",Agent04_Savings!J151)</f>
        <v/>
      </c>
      <c r="J744" s="40" t="str">
        <f>IF(Agent04_Savings!A151="","",Agent04_Savings!K151)</f>
        <v/>
      </c>
      <c r="K744" s="40" t="str">
        <f>IFERROR(IF(Agent04_Savings!A151="","",YEAR(Agent04_Savings!D151)),"")</f>
        <v/>
      </c>
    </row>
    <row r="745" spans="1:11" ht="18" customHeight="1" x14ac:dyDescent="0.25">
      <c r="A745" s="40" t="str">
        <f>IF(Agent04_Savings!A152="","",Agent04_Savings!A152)</f>
        <v/>
      </c>
      <c r="B745" s="40" t="str">
        <f ca="1">IF(Agent04_Savings!A152="","","SV"&amp;TEXT(745-3,"0000")&amp;"-"&amp;TEXT(TODAY(),"YYYYMMDD"))</f>
        <v/>
      </c>
      <c r="C745" s="40" t="str">
        <f>IF(Agent04_Savings!A152="","",Agent04_Savings!B152)</f>
        <v/>
      </c>
      <c r="D745" s="40" t="str">
        <f>IF(Agent04_Savings!A152="","",Agent04_Savings!G152)</f>
        <v/>
      </c>
      <c r="E745" s="41" t="str">
        <f>IF(Agent04_Savings!A152="","",Agent04_Savings!D152)</f>
        <v/>
      </c>
      <c r="F745" s="42" t="str">
        <f>IF(Agent04_Savings!A152="","",Agent04_Savings!E152)</f>
        <v/>
      </c>
      <c r="G745" s="42" t="str">
        <f>IF(Agent04_Savings!A152="","",Agent04_Savings!F152)</f>
        <v/>
      </c>
      <c r="H745" s="40" t="str">
        <f>IF(Agent04_Savings!A152="","",Agent04_Savings!I152)</f>
        <v/>
      </c>
      <c r="I745" s="40" t="str">
        <f>IF(Agent04_Savings!A152="","",Agent04_Savings!J152)</f>
        <v/>
      </c>
      <c r="J745" s="40" t="str">
        <f>IF(Agent04_Savings!A152="","",Agent04_Savings!K152)</f>
        <v/>
      </c>
      <c r="K745" s="40" t="str">
        <f>IFERROR(IF(Agent04_Savings!A152="","",YEAR(Agent04_Savings!D152)),"")</f>
        <v/>
      </c>
    </row>
    <row r="746" spans="1:11" ht="18" customHeight="1" x14ac:dyDescent="0.25">
      <c r="A746" s="40" t="str">
        <f>IF(Agent04_Savings!A153="","",Agent04_Savings!A153)</f>
        <v/>
      </c>
      <c r="B746" s="40" t="str">
        <f ca="1">IF(Agent04_Savings!A153="","","SV"&amp;TEXT(746-3,"0000")&amp;"-"&amp;TEXT(TODAY(),"YYYYMMDD"))</f>
        <v/>
      </c>
      <c r="C746" s="40" t="str">
        <f>IF(Agent04_Savings!A153="","",Agent04_Savings!B153)</f>
        <v/>
      </c>
      <c r="D746" s="40" t="str">
        <f>IF(Agent04_Savings!A153="","",Agent04_Savings!G153)</f>
        <v/>
      </c>
      <c r="E746" s="41" t="str">
        <f>IF(Agent04_Savings!A153="","",Agent04_Savings!D153)</f>
        <v/>
      </c>
      <c r="F746" s="42" t="str">
        <f>IF(Agent04_Savings!A153="","",Agent04_Savings!E153)</f>
        <v/>
      </c>
      <c r="G746" s="42" t="str">
        <f>IF(Agent04_Savings!A153="","",Agent04_Savings!F153)</f>
        <v/>
      </c>
      <c r="H746" s="40" t="str">
        <f>IF(Agent04_Savings!A153="","",Agent04_Savings!I153)</f>
        <v/>
      </c>
      <c r="I746" s="40" t="str">
        <f>IF(Agent04_Savings!A153="","",Agent04_Savings!J153)</f>
        <v/>
      </c>
      <c r="J746" s="40" t="str">
        <f>IF(Agent04_Savings!A153="","",Agent04_Savings!K153)</f>
        <v/>
      </c>
      <c r="K746" s="40" t="str">
        <f>IFERROR(IF(Agent04_Savings!A153="","",YEAR(Agent04_Savings!D153)),"")</f>
        <v/>
      </c>
    </row>
    <row r="747" spans="1:11" ht="18" customHeight="1" x14ac:dyDescent="0.25">
      <c r="A747" s="40" t="str">
        <f>IF(Agent04_Savings!A154="","",Agent04_Savings!A154)</f>
        <v/>
      </c>
      <c r="B747" s="40" t="str">
        <f ca="1">IF(Agent04_Savings!A154="","","SV"&amp;TEXT(747-3,"0000")&amp;"-"&amp;TEXT(TODAY(),"YYYYMMDD"))</f>
        <v/>
      </c>
      <c r="C747" s="40" t="str">
        <f>IF(Agent04_Savings!A154="","",Agent04_Savings!B154)</f>
        <v/>
      </c>
      <c r="D747" s="40" t="str">
        <f>IF(Agent04_Savings!A154="","",Agent04_Savings!G154)</f>
        <v/>
      </c>
      <c r="E747" s="41" t="str">
        <f>IF(Agent04_Savings!A154="","",Agent04_Savings!D154)</f>
        <v/>
      </c>
      <c r="F747" s="42" t="str">
        <f>IF(Agent04_Savings!A154="","",Agent04_Savings!E154)</f>
        <v/>
      </c>
      <c r="G747" s="42" t="str">
        <f>IF(Agent04_Savings!A154="","",Agent04_Savings!F154)</f>
        <v/>
      </c>
      <c r="H747" s="40" t="str">
        <f>IF(Agent04_Savings!A154="","",Agent04_Savings!I154)</f>
        <v/>
      </c>
      <c r="I747" s="40" t="str">
        <f>IF(Agent04_Savings!A154="","",Agent04_Savings!J154)</f>
        <v/>
      </c>
      <c r="J747" s="40" t="str">
        <f>IF(Agent04_Savings!A154="","",Agent04_Savings!K154)</f>
        <v/>
      </c>
      <c r="K747" s="40" t="str">
        <f>IFERROR(IF(Agent04_Savings!A154="","",YEAR(Agent04_Savings!D154)),"")</f>
        <v/>
      </c>
    </row>
    <row r="748" spans="1:11" ht="18" customHeight="1" x14ac:dyDescent="0.25">
      <c r="A748" s="40" t="str">
        <f>IF(Agent04_Savings!A155="","",Agent04_Savings!A155)</f>
        <v/>
      </c>
      <c r="B748" s="40" t="str">
        <f ca="1">IF(Agent04_Savings!A155="","","SV"&amp;TEXT(748-3,"0000")&amp;"-"&amp;TEXT(TODAY(),"YYYYMMDD"))</f>
        <v/>
      </c>
      <c r="C748" s="40" t="str">
        <f>IF(Agent04_Savings!A155="","",Agent04_Savings!B155)</f>
        <v/>
      </c>
      <c r="D748" s="40" t="str">
        <f>IF(Agent04_Savings!A155="","",Agent04_Savings!G155)</f>
        <v/>
      </c>
      <c r="E748" s="41" t="str">
        <f>IF(Agent04_Savings!A155="","",Agent04_Savings!D155)</f>
        <v/>
      </c>
      <c r="F748" s="42" t="str">
        <f>IF(Agent04_Savings!A155="","",Agent04_Savings!E155)</f>
        <v/>
      </c>
      <c r="G748" s="42" t="str">
        <f>IF(Agent04_Savings!A155="","",Agent04_Savings!F155)</f>
        <v/>
      </c>
      <c r="H748" s="40" t="str">
        <f>IF(Agent04_Savings!A155="","",Agent04_Savings!I155)</f>
        <v/>
      </c>
      <c r="I748" s="40" t="str">
        <f>IF(Agent04_Savings!A155="","",Agent04_Savings!J155)</f>
        <v/>
      </c>
      <c r="J748" s="40" t="str">
        <f>IF(Agent04_Savings!A155="","",Agent04_Savings!K155)</f>
        <v/>
      </c>
      <c r="K748" s="40" t="str">
        <f>IFERROR(IF(Agent04_Savings!A155="","",YEAR(Agent04_Savings!D155)),"")</f>
        <v/>
      </c>
    </row>
    <row r="749" spans="1:11" ht="18" customHeight="1" x14ac:dyDescent="0.25">
      <c r="A749" s="40" t="str">
        <f>IF(Agent04_Savings!A156="","",Agent04_Savings!A156)</f>
        <v/>
      </c>
      <c r="B749" s="40" t="str">
        <f ca="1">IF(Agent04_Savings!A156="","","SV"&amp;TEXT(749-3,"0000")&amp;"-"&amp;TEXT(TODAY(),"YYYYMMDD"))</f>
        <v/>
      </c>
      <c r="C749" s="40" t="str">
        <f>IF(Agent04_Savings!A156="","",Agent04_Savings!B156)</f>
        <v/>
      </c>
      <c r="D749" s="40" t="str">
        <f>IF(Agent04_Savings!A156="","",Agent04_Savings!G156)</f>
        <v/>
      </c>
      <c r="E749" s="41" t="str">
        <f>IF(Agent04_Savings!A156="","",Agent04_Savings!D156)</f>
        <v/>
      </c>
      <c r="F749" s="42" t="str">
        <f>IF(Agent04_Savings!A156="","",Agent04_Savings!E156)</f>
        <v/>
      </c>
      <c r="G749" s="42" t="str">
        <f>IF(Agent04_Savings!A156="","",Agent04_Savings!F156)</f>
        <v/>
      </c>
      <c r="H749" s="40" t="str">
        <f>IF(Agent04_Savings!A156="","",Agent04_Savings!I156)</f>
        <v/>
      </c>
      <c r="I749" s="40" t="str">
        <f>IF(Agent04_Savings!A156="","",Agent04_Savings!J156)</f>
        <v/>
      </c>
      <c r="J749" s="40" t="str">
        <f>IF(Agent04_Savings!A156="","",Agent04_Savings!K156)</f>
        <v/>
      </c>
      <c r="K749" s="40" t="str">
        <f>IFERROR(IF(Agent04_Savings!A156="","",YEAR(Agent04_Savings!D156)),"")</f>
        <v/>
      </c>
    </row>
    <row r="750" spans="1:11" ht="18" customHeight="1" x14ac:dyDescent="0.25">
      <c r="A750" s="40" t="str">
        <f>IF(Agent04_Savings!A157="","",Agent04_Savings!A157)</f>
        <v/>
      </c>
      <c r="B750" s="40" t="str">
        <f ca="1">IF(Agent04_Savings!A157="","","SV"&amp;TEXT(750-3,"0000")&amp;"-"&amp;TEXT(TODAY(),"YYYYMMDD"))</f>
        <v/>
      </c>
      <c r="C750" s="40" t="str">
        <f>IF(Agent04_Savings!A157="","",Agent04_Savings!B157)</f>
        <v/>
      </c>
      <c r="D750" s="40" t="str">
        <f>IF(Agent04_Savings!A157="","",Agent04_Savings!G157)</f>
        <v/>
      </c>
      <c r="E750" s="41" t="str">
        <f>IF(Agent04_Savings!A157="","",Agent04_Savings!D157)</f>
        <v/>
      </c>
      <c r="F750" s="42" t="str">
        <f>IF(Agent04_Savings!A157="","",Agent04_Savings!E157)</f>
        <v/>
      </c>
      <c r="G750" s="42" t="str">
        <f>IF(Agent04_Savings!A157="","",Agent04_Savings!F157)</f>
        <v/>
      </c>
      <c r="H750" s="40" t="str">
        <f>IF(Agent04_Savings!A157="","",Agent04_Savings!I157)</f>
        <v/>
      </c>
      <c r="I750" s="40" t="str">
        <f>IF(Agent04_Savings!A157="","",Agent04_Savings!J157)</f>
        <v/>
      </c>
      <c r="J750" s="40" t="str">
        <f>IF(Agent04_Savings!A157="","",Agent04_Savings!K157)</f>
        <v/>
      </c>
      <c r="K750" s="40" t="str">
        <f>IFERROR(IF(Agent04_Savings!A157="","",YEAR(Agent04_Savings!D157)),"")</f>
        <v/>
      </c>
    </row>
    <row r="751" spans="1:11" ht="18" customHeight="1" x14ac:dyDescent="0.25">
      <c r="A751" s="40" t="str">
        <f>IF(Agent04_Savings!A158="","",Agent04_Savings!A158)</f>
        <v/>
      </c>
      <c r="B751" s="40" t="str">
        <f ca="1">IF(Agent04_Savings!A158="","","SV"&amp;TEXT(751-3,"0000")&amp;"-"&amp;TEXT(TODAY(),"YYYYMMDD"))</f>
        <v/>
      </c>
      <c r="C751" s="40" t="str">
        <f>IF(Agent04_Savings!A158="","",Agent04_Savings!B158)</f>
        <v/>
      </c>
      <c r="D751" s="40" t="str">
        <f>IF(Agent04_Savings!A158="","",Agent04_Savings!G158)</f>
        <v/>
      </c>
      <c r="E751" s="41" t="str">
        <f>IF(Agent04_Savings!A158="","",Agent04_Savings!D158)</f>
        <v/>
      </c>
      <c r="F751" s="42" t="str">
        <f>IF(Agent04_Savings!A158="","",Agent04_Savings!E158)</f>
        <v/>
      </c>
      <c r="G751" s="42" t="str">
        <f>IF(Agent04_Savings!A158="","",Agent04_Savings!F158)</f>
        <v/>
      </c>
      <c r="H751" s="40" t="str">
        <f>IF(Agent04_Savings!A158="","",Agent04_Savings!I158)</f>
        <v/>
      </c>
      <c r="I751" s="40" t="str">
        <f>IF(Agent04_Savings!A158="","",Agent04_Savings!J158)</f>
        <v/>
      </c>
      <c r="J751" s="40" t="str">
        <f>IF(Agent04_Savings!A158="","",Agent04_Savings!K158)</f>
        <v/>
      </c>
      <c r="K751" s="40" t="str">
        <f>IFERROR(IF(Agent04_Savings!A158="","",YEAR(Agent04_Savings!D158)),"")</f>
        <v/>
      </c>
    </row>
    <row r="752" spans="1:11" ht="18" customHeight="1" x14ac:dyDescent="0.25">
      <c r="A752" s="40" t="str">
        <f>IF(Agent04_Savings!A159="","",Agent04_Savings!A159)</f>
        <v/>
      </c>
      <c r="B752" s="40" t="str">
        <f ca="1">IF(Agent04_Savings!A159="","","SV"&amp;TEXT(752-3,"0000")&amp;"-"&amp;TEXT(TODAY(),"YYYYMMDD"))</f>
        <v/>
      </c>
      <c r="C752" s="40" t="str">
        <f>IF(Agent04_Savings!A159="","",Agent04_Savings!B159)</f>
        <v/>
      </c>
      <c r="D752" s="40" t="str">
        <f>IF(Agent04_Savings!A159="","",Agent04_Savings!G159)</f>
        <v/>
      </c>
      <c r="E752" s="41" t="str">
        <f>IF(Agent04_Savings!A159="","",Agent04_Savings!D159)</f>
        <v/>
      </c>
      <c r="F752" s="42" t="str">
        <f>IF(Agent04_Savings!A159="","",Agent04_Savings!E159)</f>
        <v/>
      </c>
      <c r="G752" s="42" t="str">
        <f>IF(Agent04_Savings!A159="","",Agent04_Savings!F159)</f>
        <v/>
      </c>
      <c r="H752" s="40" t="str">
        <f>IF(Agent04_Savings!A159="","",Agent04_Savings!I159)</f>
        <v/>
      </c>
      <c r="I752" s="40" t="str">
        <f>IF(Agent04_Savings!A159="","",Agent04_Savings!J159)</f>
        <v/>
      </c>
      <c r="J752" s="40" t="str">
        <f>IF(Agent04_Savings!A159="","",Agent04_Savings!K159)</f>
        <v/>
      </c>
      <c r="K752" s="40" t="str">
        <f>IFERROR(IF(Agent04_Savings!A159="","",YEAR(Agent04_Savings!D159)),"")</f>
        <v/>
      </c>
    </row>
    <row r="753" spans="1:11" ht="18" customHeight="1" x14ac:dyDescent="0.25">
      <c r="A753" s="40" t="str">
        <f>IF(Agent04_Savings!A160="","",Agent04_Savings!A160)</f>
        <v/>
      </c>
      <c r="B753" s="40" t="str">
        <f ca="1">IF(Agent04_Savings!A160="","","SV"&amp;TEXT(753-3,"0000")&amp;"-"&amp;TEXT(TODAY(),"YYYYMMDD"))</f>
        <v/>
      </c>
      <c r="C753" s="40" t="str">
        <f>IF(Agent04_Savings!A160="","",Agent04_Savings!B160)</f>
        <v/>
      </c>
      <c r="D753" s="40" t="str">
        <f>IF(Agent04_Savings!A160="","",Agent04_Savings!G160)</f>
        <v/>
      </c>
      <c r="E753" s="41" t="str">
        <f>IF(Agent04_Savings!A160="","",Agent04_Savings!D160)</f>
        <v/>
      </c>
      <c r="F753" s="42" t="str">
        <f>IF(Agent04_Savings!A160="","",Agent04_Savings!E160)</f>
        <v/>
      </c>
      <c r="G753" s="42" t="str">
        <f>IF(Agent04_Savings!A160="","",Agent04_Savings!F160)</f>
        <v/>
      </c>
      <c r="H753" s="40" t="str">
        <f>IF(Agent04_Savings!A160="","",Agent04_Savings!I160)</f>
        <v/>
      </c>
      <c r="I753" s="40" t="str">
        <f>IF(Agent04_Savings!A160="","",Agent04_Savings!J160)</f>
        <v/>
      </c>
      <c r="J753" s="40" t="str">
        <f>IF(Agent04_Savings!A160="","",Agent04_Savings!K160)</f>
        <v/>
      </c>
      <c r="K753" s="40" t="str">
        <f>IFERROR(IF(Agent04_Savings!A160="","",YEAR(Agent04_Savings!D160)),"")</f>
        <v/>
      </c>
    </row>
    <row r="754" spans="1:11" ht="18" customHeight="1" x14ac:dyDescent="0.25">
      <c r="A754" s="40" t="str">
        <f>IF(Agent04_Savings!A161="","",Agent04_Savings!A161)</f>
        <v/>
      </c>
      <c r="B754" s="40" t="str">
        <f ca="1">IF(Agent04_Savings!A161="","","SV"&amp;TEXT(754-3,"0000")&amp;"-"&amp;TEXT(TODAY(),"YYYYMMDD"))</f>
        <v/>
      </c>
      <c r="C754" s="40" t="str">
        <f>IF(Agent04_Savings!A161="","",Agent04_Savings!B161)</f>
        <v/>
      </c>
      <c r="D754" s="40" t="str">
        <f>IF(Agent04_Savings!A161="","",Agent04_Savings!G161)</f>
        <v/>
      </c>
      <c r="E754" s="41" t="str">
        <f>IF(Agent04_Savings!A161="","",Agent04_Savings!D161)</f>
        <v/>
      </c>
      <c r="F754" s="42" t="str">
        <f>IF(Agent04_Savings!A161="","",Agent04_Savings!E161)</f>
        <v/>
      </c>
      <c r="G754" s="42" t="str">
        <f>IF(Agent04_Savings!A161="","",Agent04_Savings!F161)</f>
        <v/>
      </c>
      <c r="H754" s="40" t="str">
        <f>IF(Agent04_Savings!A161="","",Agent04_Savings!I161)</f>
        <v/>
      </c>
      <c r="I754" s="40" t="str">
        <f>IF(Agent04_Savings!A161="","",Agent04_Savings!J161)</f>
        <v/>
      </c>
      <c r="J754" s="40" t="str">
        <f>IF(Agent04_Savings!A161="","",Agent04_Savings!K161)</f>
        <v/>
      </c>
      <c r="K754" s="40" t="str">
        <f>IFERROR(IF(Agent04_Savings!A161="","",YEAR(Agent04_Savings!D161)),"")</f>
        <v/>
      </c>
    </row>
    <row r="755" spans="1:11" ht="18" customHeight="1" x14ac:dyDescent="0.25">
      <c r="A755" s="40" t="str">
        <f>IF(Agent04_Savings!A162="","",Agent04_Savings!A162)</f>
        <v/>
      </c>
      <c r="B755" s="40" t="str">
        <f ca="1">IF(Agent04_Savings!A162="","","SV"&amp;TEXT(755-3,"0000")&amp;"-"&amp;TEXT(TODAY(),"YYYYMMDD"))</f>
        <v/>
      </c>
      <c r="C755" s="40" t="str">
        <f>IF(Agent04_Savings!A162="","",Agent04_Savings!B162)</f>
        <v/>
      </c>
      <c r="D755" s="40" t="str">
        <f>IF(Agent04_Savings!A162="","",Agent04_Savings!G162)</f>
        <v/>
      </c>
      <c r="E755" s="41" t="str">
        <f>IF(Agent04_Savings!A162="","",Agent04_Savings!D162)</f>
        <v/>
      </c>
      <c r="F755" s="42" t="str">
        <f>IF(Agent04_Savings!A162="","",Agent04_Savings!E162)</f>
        <v/>
      </c>
      <c r="G755" s="42" t="str">
        <f>IF(Agent04_Savings!A162="","",Agent04_Savings!F162)</f>
        <v/>
      </c>
      <c r="H755" s="40" t="str">
        <f>IF(Agent04_Savings!A162="","",Agent04_Savings!I162)</f>
        <v/>
      </c>
      <c r="I755" s="40" t="str">
        <f>IF(Agent04_Savings!A162="","",Agent04_Savings!J162)</f>
        <v/>
      </c>
      <c r="J755" s="40" t="str">
        <f>IF(Agent04_Savings!A162="","",Agent04_Savings!K162)</f>
        <v/>
      </c>
      <c r="K755" s="40" t="str">
        <f>IFERROR(IF(Agent04_Savings!A162="","",YEAR(Agent04_Savings!D162)),"")</f>
        <v/>
      </c>
    </row>
    <row r="756" spans="1:11" ht="18" customHeight="1" x14ac:dyDescent="0.25">
      <c r="A756" s="40" t="str">
        <f>IF(Agent04_Savings!A163="","",Agent04_Savings!A163)</f>
        <v/>
      </c>
      <c r="B756" s="40" t="str">
        <f ca="1">IF(Agent04_Savings!A163="","","SV"&amp;TEXT(756-3,"0000")&amp;"-"&amp;TEXT(TODAY(),"YYYYMMDD"))</f>
        <v/>
      </c>
      <c r="C756" s="40" t="str">
        <f>IF(Agent04_Savings!A163="","",Agent04_Savings!B163)</f>
        <v/>
      </c>
      <c r="D756" s="40" t="str">
        <f>IF(Agent04_Savings!A163="","",Agent04_Savings!G163)</f>
        <v/>
      </c>
      <c r="E756" s="41" t="str">
        <f>IF(Agent04_Savings!A163="","",Agent04_Savings!D163)</f>
        <v/>
      </c>
      <c r="F756" s="42" t="str">
        <f>IF(Agent04_Savings!A163="","",Agent04_Savings!E163)</f>
        <v/>
      </c>
      <c r="G756" s="42" t="str">
        <f>IF(Agent04_Savings!A163="","",Agent04_Savings!F163)</f>
        <v/>
      </c>
      <c r="H756" s="40" t="str">
        <f>IF(Agent04_Savings!A163="","",Agent04_Savings!I163)</f>
        <v/>
      </c>
      <c r="I756" s="40" t="str">
        <f>IF(Agent04_Savings!A163="","",Agent04_Savings!J163)</f>
        <v/>
      </c>
      <c r="J756" s="40" t="str">
        <f>IF(Agent04_Savings!A163="","",Agent04_Savings!K163)</f>
        <v/>
      </c>
      <c r="K756" s="40" t="str">
        <f>IFERROR(IF(Agent04_Savings!A163="","",YEAR(Agent04_Savings!D163)),"")</f>
        <v/>
      </c>
    </row>
    <row r="757" spans="1:11" ht="18" customHeight="1" x14ac:dyDescent="0.25">
      <c r="A757" s="40" t="str">
        <f>IF(Agent04_Savings!A164="","",Agent04_Savings!A164)</f>
        <v/>
      </c>
      <c r="B757" s="40" t="str">
        <f ca="1">IF(Agent04_Savings!A164="","","SV"&amp;TEXT(757-3,"0000")&amp;"-"&amp;TEXT(TODAY(),"YYYYMMDD"))</f>
        <v/>
      </c>
      <c r="C757" s="40" t="str">
        <f>IF(Agent04_Savings!A164="","",Agent04_Savings!B164)</f>
        <v/>
      </c>
      <c r="D757" s="40" t="str">
        <f>IF(Agent04_Savings!A164="","",Agent04_Savings!G164)</f>
        <v/>
      </c>
      <c r="E757" s="41" t="str">
        <f>IF(Agent04_Savings!A164="","",Agent04_Savings!D164)</f>
        <v/>
      </c>
      <c r="F757" s="42" t="str">
        <f>IF(Agent04_Savings!A164="","",Agent04_Savings!E164)</f>
        <v/>
      </c>
      <c r="G757" s="42" t="str">
        <f>IF(Agent04_Savings!A164="","",Agent04_Savings!F164)</f>
        <v/>
      </c>
      <c r="H757" s="40" t="str">
        <f>IF(Agent04_Savings!A164="","",Agent04_Savings!I164)</f>
        <v/>
      </c>
      <c r="I757" s="40" t="str">
        <f>IF(Agent04_Savings!A164="","",Agent04_Savings!J164)</f>
        <v/>
      </c>
      <c r="J757" s="40" t="str">
        <f>IF(Agent04_Savings!A164="","",Agent04_Savings!K164)</f>
        <v/>
      </c>
      <c r="K757" s="40" t="str">
        <f>IFERROR(IF(Agent04_Savings!A164="","",YEAR(Agent04_Savings!D164)),"")</f>
        <v/>
      </c>
    </row>
    <row r="758" spans="1:11" ht="18" customHeight="1" x14ac:dyDescent="0.25">
      <c r="A758" s="40" t="str">
        <f>IF(Agent04_Savings!A165="","",Agent04_Savings!A165)</f>
        <v/>
      </c>
      <c r="B758" s="40" t="str">
        <f ca="1">IF(Agent04_Savings!A165="","","SV"&amp;TEXT(758-3,"0000")&amp;"-"&amp;TEXT(TODAY(),"YYYYMMDD"))</f>
        <v/>
      </c>
      <c r="C758" s="40" t="str">
        <f>IF(Agent04_Savings!A165="","",Agent04_Savings!B165)</f>
        <v/>
      </c>
      <c r="D758" s="40" t="str">
        <f>IF(Agent04_Savings!A165="","",Agent04_Savings!G165)</f>
        <v/>
      </c>
      <c r="E758" s="41" t="str">
        <f>IF(Agent04_Savings!A165="","",Agent04_Savings!D165)</f>
        <v/>
      </c>
      <c r="F758" s="42" t="str">
        <f>IF(Agent04_Savings!A165="","",Agent04_Savings!E165)</f>
        <v/>
      </c>
      <c r="G758" s="42" t="str">
        <f>IF(Agent04_Savings!A165="","",Agent04_Savings!F165)</f>
        <v/>
      </c>
      <c r="H758" s="40" t="str">
        <f>IF(Agent04_Savings!A165="","",Agent04_Savings!I165)</f>
        <v/>
      </c>
      <c r="I758" s="40" t="str">
        <f>IF(Agent04_Savings!A165="","",Agent04_Savings!J165)</f>
        <v/>
      </c>
      <c r="J758" s="40" t="str">
        <f>IF(Agent04_Savings!A165="","",Agent04_Savings!K165)</f>
        <v/>
      </c>
      <c r="K758" s="40" t="str">
        <f>IFERROR(IF(Agent04_Savings!A165="","",YEAR(Agent04_Savings!D165)),"")</f>
        <v/>
      </c>
    </row>
    <row r="759" spans="1:11" ht="18" customHeight="1" x14ac:dyDescent="0.25">
      <c r="A759" s="40" t="str">
        <f>IF(Agent04_Savings!A166="","",Agent04_Savings!A166)</f>
        <v/>
      </c>
      <c r="B759" s="40" t="str">
        <f ca="1">IF(Agent04_Savings!A166="","","SV"&amp;TEXT(759-3,"0000")&amp;"-"&amp;TEXT(TODAY(),"YYYYMMDD"))</f>
        <v/>
      </c>
      <c r="C759" s="40" t="str">
        <f>IF(Agent04_Savings!A166="","",Agent04_Savings!B166)</f>
        <v/>
      </c>
      <c r="D759" s="40" t="str">
        <f>IF(Agent04_Savings!A166="","",Agent04_Savings!G166)</f>
        <v/>
      </c>
      <c r="E759" s="41" t="str">
        <f>IF(Agent04_Savings!A166="","",Agent04_Savings!D166)</f>
        <v/>
      </c>
      <c r="F759" s="42" t="str">
        <f>IF(Agent04_Savings!A166="","",Agent04_Savings!E166)</f>
        <v/>
      </c>
      <c r="G759" s="42" t="str">
        <f>IF(Agent04_Savings!A166="","",Agent04_Savings!F166)</f>
        <v/>
      </c>
      <c r="H759" s="40" t="str">
        <f>IF(Agent04_Savings!A166="","",Agent04_Savings!I166)</f>
        <v/>
      </c>
      <c r="I759" s="40" t="str">
        <f>IF(Agent04_Savings!A166="","",Agent04_Savings!J166)</f>
        <v/>
      </c>
      <c r="J759" s="40" t="str">
        <f>IF(Agent04_Savings!A166="","",Agent04_Savings!K166)</f>
        <v/>
      </c>
      <c r="K759" s="40" t="str">
        <f>IFERROR(IF(Agent04_Savings!A166="","",YEAR(Agent04_Savings!D166)),"")</f>
        <v/>
      </c>
    </row>
    <row r="760" spans="1:11" ht="18" customHeight="1" x14ac:dyDescent="0.25">
      <c r="A760" s="40" t="str">
        <f>IF(Agent04_Savings!A167="","",Agent04_Savings!A167)</f>
        <v/>
      </c>
      <c r="B760" s="40" t="str">
        <f ca="1">IF(Agent04_Savings!A167="","","SV"&amp;TEXT(760-3,"0000")&amp;"-"&amp;TEXT(TODAY(),"YYYYMMDD"))</f>
        <v/>
      </c>
      <c r="C760" s="40" t="str">
        <f>IF(Agent04_Savings!A167="","",Agent04_Savings!B167)</f>
        <v/>
      </c>
      <c r="D760" s="40" t="str">
        <f>IF(Agent04_Savings!A167="","",Agent04_Savings!G167)</f>
        <v/>
      </c>
      <c r="E760" s="41" t="str">
        <f>IF(Agent04_Savings!A167="","",Agent04_Savings!D167)</f>
        <v/>
      </c>
      <c r="F760" s="42" t="str">
        <f>IF(Agent04_Savings!A167="","",Agent04_Savings!E167)</f>
        <v/>
      </c>
      <c r="G760" s="42" t="str">
        <f>IF(Agent04_Savings!A167="","",Agent04_Savings!F167)</f>
        <v/>
      </c>
      <c r="H760" s="40" t="str">
        <f>IF(Agent04_Savings!A167="","",Agent04_Savings!I167)</f>
        <v/>
      </c>
      <c r="I760" s="40" t="str">
        <f>IF(Agent04_Savings!A167="","",Agent04_Savings!J167)</f>
        <v/>
      </c>
      <c r="J760" s="40" t="str">
        <f>IF(Agent04_Savings!A167="","",Agent04_Savings!K167)</f>
        <v/>
      </c>
      <c r="K760" s="40" t="str">
        <f>IFERROR(IF(Agent04_Savings!A167="","",YEAR(Agent04_Savings!D167)),"")</f>
        <v/>
      </c>
    </row>
    <row r="761" spans="1:11" ht="18" customHeight="1" x14ac:dyDescent="0.25">
      <c r="A761" s="40" t="str">
        <f>IF(Agent04_Savings!A168="","",Agent04_Savings!A168)</f>
        <v/>
      </c>
      <c r="B761" s="40" t="str">
        <f ca="1">IF(Agent04_Savings!A168="","","SV"&amp;TEXT(761-3,"0000")&amp;"-"&amp;TEXT(TODAY(),"YYYYMMDD"))</f>
        <v/>
      </c>
      <c r="C761" s="40" t="str">
        <f>IF(Agent04_Savings!A168="","",Agent04_Savings!B168)</f>
        <v/>
      </c>
      <c r="D761" s="40" t="str">
        <f>IF(Agent04_Savings!A168="","",Agent04_Savings!G168)</f>
        <v/>
      </c>
      <c r="E761" s="41" t="str">
        <f>IF(Agent04_Savings!A168="","",Agent04_Savings!D168)</f>
        <v/>
      </c>
      <c r="F761" s="42" t="str">
        <f>IF(Agent04_Savings!A168="","",Agent04_Savings!E168)</f>
        <v/>
      </c>
      <c r="G761" s="42" t="str">
        <f>IF(Agent04_Savings!A168="","",Agent04_Savings!F168)</f>
        <v/>
      </c>
      <c r="H761" s="40" t="str">
        <f>IF(Agent04_Savings!A168="","",Agent04_Savings!I168)</f>
        <v/>
      </c>
      <c r="I761" s="40" t="str">
        <f>IF(Agent04_Savings!A168="","",Agent04_Savings!J168)</f>
        <v/>
      </c>
      <c r="J761" s="40" t="str">
        <f>IF(Agent04_Savings!A168="","",Agent04_Savings!K168)</f>
        <v/>
      </c>
      <c r="K761" s="40" t="str">
        <f>IFERROR(IF(Agent04_Savings!A168="","",YEAR(Agent04_Savings!D168)),"")</f>
        <v/>
      </c>
    </row>
    <row r="762" spans="1:11" ht="18" customHeight="1" x14ac:dyDescent="0.25">
      <c r="A762" s="40" t="str">
        <f>IF(Agent04_Savings!A169="","",Agent04_Savings!A169)</f>
        <v/>
      </c>
      <c r="B762" s="40" t="str">
        <f ca="1">IF(Agent04_Savings!A169="","","SV"&amp;TEXT(762-3,"0000")&amp;"-"&amp;TEXT(TODAY(),"YYYYMMDD"))</f>
        <v/>
      </c>
      <c r="C762" s="40" t="str">
        <f>IF(Agent04_Savings!A169="","",Agent04_Savings!B169)</f>
        <v/>
      </c>
      <c r="D762" s="40" t="str">
        <f>IF(Agent04_Savings!A169="","",Agent04_Savings!G169)</f>
        <v/>
      </c>
      <c r="E762" s="41" t="str">
        <f>IF(Agent04_Savings!A169="","",Agent04_Savings!D169)</f>
        <v/>
      </c>
      <c r="F762" s="42" t="str">
        <f>IF(Agent04_Savings!A169="","",Agent04_Savings!E169)</f>
        <v/>
      </c>
      <c r="G762" s="42" t="str">
        <f>IF(Agent04_Savings!A169="","",Agent04_Savings!F169)</f>
        <v/>
      </c>
      <c r="H762" s="40" t="str">
        <f>IF(Agent04_Savings!A169="","",Agent04_Savings!I169)</f>
        <v/>
      </c>
      <c r="I762" s="40" t="str">
        <f>IF(Agent04_Savings!A169="","",Agent04_Savings!J169)</f>
        <v/>
      </c>
      <c r="J762" s="40" t="str">
        <f>IF(Agent04_Savings!A169="","",Agent04_Savings!K169)</f>
        <v/>
      </c>
      <c r="K762" s="40" t="str">
        <f>IFERROR(IF(Agent04_Savings!A169="","",YEAR(Agent04_Savings!D169)),"")</f>
        <v/>
      </c>
    </row>
    <row r="763" spans="1:11" ht="18" customHeight="1" x14ac:dyDescent="0.25">
      <c r="A763" s="40" t="str">
        <f>IF(Agent04_Savings!A170="","",Agent04_Savings!A170)</f>
        <v/>
      </c>
      <c r="B763" s="40" t="str">
        <f ca="1">IF(Agent04_Savings!A170="","","SV"&amp;TEXT(763-3,"0000")&amp;"-"&amp;TEXT(TODAY(),"YYYYMMDD"))</f>
        <v/>
      </c>
      <c r="C763" s="40" t="str">
        <f>IF(Agent04_Savings!A170="","",Agent04_Savings!B170)</f>
        <v/>
      </c>
      <c r="D763" s="40" t="str">
        <f>IF(Agent04_Savings!A170="","",Agent04_Savings!G170)</f>
        <v/>
      </c>
      <c r="E763" s="41" t="str">
        <f>IF(Agent04_Savings!A170="","",Agent04_Savings!D170)</f>
        <v/>
      </c>
      <c r="F763" s="42" t="str">
        <f>IF(Agent04_Savings!A170="","",Agent04_Savings!E170)</f>
        <v/>
      </c>
      <c r="G763" s="42" t="str">
        <f>IF(Agent04_Savings!A170="","",Agent04_Savings!F170)</f>
        <v/>
      </c>
      <c r="H763" s="40" t="str">
        <f>IF(Agent04_Savings!A170="","",Agent04_Savings!I170)</f>
        <v/>
      </c>
      <c r="I763" s="40" t="str">
        <f>IF(Agent04_Savings!A170="","",Agent04_Savings!J170)</f>
        <v/>
      </c>
      <c r="J763" s="40" t="str">
        <f>IF(Agent04_Savings!A170="","",Agent04_Savings!K170)</f>
        <v/>
      </c>
      <c r="K763" s="40" t="str">
        <f>IFERROR(IF(Agent04_Savings!A170="","",YEAR(Agent04_Savings!D170)),"")</f>
        <v/>
      </c>
    </row>
    <row r="764" spans="1:11" ht="18" customHeight="1" x14ac:dyDescent="0.25">
      <c r="A764" s="40" t="str">
        <f>IF(Agent04_Savings!A171="","",Agent04_Savings!A171)</f>
        <v/>
      </c>
      <c r="B764" s="40" t="str">
        <f ca="1">IF(Agent04_Savings!A171="","","SV"&amp;TEXT(764-3,"0000")&amp;"-"&amp;TEXT(TODAY(),"YYYYMMDD"))</f>
        <v/>
      </c>
      <c r="C764" s="40" t="str">
        <f>IF(Agent04_Savings!A171="","",Agent04_Savings!B171)</f>
        <v/>
      </c>
      <c r="D764" s="40" t="str">
        <f>IF(Agent04_Savings!A171="","",Agent04_Savings!G171)</f>
        <v/>
      </c>
      <c r="E764" s="41" t="str">
        <f>IF(Agent04_Savings!A171="","",Agent04_Savings!D171)</f>
        <v/>
      </c>
      <c r="F764" s="42" t="str">
        <f>IF(Agent04_Savings!A171="","",Agent04_Savings!E171)</f>
        <v/>
      </c>
      <c r="G764" s="42" t="str">
        <f>IF(Agent04_Savings!A171="","",Agent04_Savings!F171)</f>
        <v/>
      </c>
      <c r="H764" s="40" t="str">
        <f>IF(Agent04_Savings!A171="","",Agent04_Savings!I171)</f>
        <v/>
      </c>
      <c r="I764" s="40" t="str">
        <f>IF(Agent04_Savings!A171="","",Agent04_Savings!J171)</f>
        <v/>
      </c>
      <c r="J764" s="40" t="str">
        <f>IF(Agent04_Savings!A171="","",Agent04_Savings!K171)</f>
        <v/>
      </c>
      <c r="K764" s="40" t="str">
        <f>IFERROR(IF(Agent04_Savings!A171="","",YEAR(Agent04_Savings!D171)),"")</f>
        <v/>
      </c>
    </row>
    <row r="765" spans="1:11" ht="18" customHeight="1" x14ac:dyDescent="0.25">
      <c r="A765" s="40" t="str">
        <f>IF(Agent04_Savings!A172="","",Agent04_Savings!A172)</f>
        <v/>
      </c>
      <c r="B765" s="40" t="str">
        <f ca="1">IF(Agent04_Savings!A172="","","SV"&amp;TEXT(765-3,"0000")&amp;"-"&amp;TEXT(TODAY(),"YYYYMMDD"))</f>
        <v/>
      </c>
      <c r="C765" s="40" t="str">
        <f>IF(Agent04_Savings!A172="","",Agent04_Savings!B172)</f>
        <v/>
      </c>
      <c r="D765" s="40" t="str">
        <f>IF(Agent04_Savings!A172="","",Agent04_Savings!G172)</f>
        <v/>
      </c>
      <c r="E765" s="41" t="str">
        <f>IF(Agent04_Savings!A172="","",Agent04_Savings!D172)</f>
        <v/>
      </c>
      <c r="F765" s="42" t="str">
        <f>IF(Agent04_Savings!A172="","",Agent04_Savings!E172)</f>
        <v/>
      </c>
      <c r="G765" s="42" t="str">
        <f>IF(Agent04_Savings!A172="","",Agent04_Savings!F172)</f>
        <v/>
      </c>
      <c r="H765" s="40" t="str">
        <f>IF(Agent04_Savings!A172="","",Agent04_Savings!I172)</f>
        <v/>
      </c>
      <c r="I765" s="40" t="str">
        <f>IF(Agent04_Savings!A172="","",Agent04_Savings!J172)</f>
        <v/>
      </c>
      <c r="J765" s="40" t="str">
        <f>IF(Agent04_Savings!A172="","",Agent04_Savings!K172)</f>
        <v/>
      </c>
      <c r="K765" s="40" t="str">
        <f>IFERROR(IF(Agent04_Savings!A172="","",YEAR(Agent04_Savings!D172)),"")</f>
        <v/>
      </c>
    </row>
    <row r="766" spans="1:11" ht="18" customHeight="1" x14ac:dyDescent="0.25">
      <c r="A766" s="40" t="str">
        <f>IF(Agent04_Savings!A173="","",Agent04_Savings!A173)</f>
        <v/>
      </c>
      <c r="B766" s="40" t="str">
        <f ca="1">IF(Agent04_Savings!A173="","","SV"&amp;TEXT(766-3,"0000")&amp;"-"&amp;TEXT(TODAY(),"YYYYMMDD"))</f>
        <v/>
      </c>
      <c r="C766" s="40" t="str">
        <f>IF(Agent04_Savings!A173="","",Agent04_Savings!B173)</f>
        <v/>
      </c>
      <c r="D766" s="40" t="str">
        <f>IF(Agent04_Savings!A173="","",Agent04_Savings!G173)</f>
        <v/>
      </c>
      <c r="E766" s="41" t="str">
        <f>IF(Agent04_Savings!A173="","",Agent04_Savings!D173)</f>
        <v/>
      </c>
      <c r="F766" s="42" t="str">
        <f>IF(Agent04_Savings!A173="","",Agent04_Savings!E173)</f>
        <v/>
      </c>
      <c r="G766" s="42" t="str">
        <f>IF(Agent04_Savings!A173="","",Agent04_Savings!F173)</f>
        <v/>
      </c>
      <c r="H766" s="40" t="str">
        <f>IF(Agent04_Savings!A173="","",Agent04_Savings!I173)</f>
        <v/>
      </c>
      <c r="I766" s="40" t="str">
        <f>IF(Agent04_Savings!A173="","",Agent04_Savings!J173)</f>
        <v/>
      </c>
      <c r="J766" s="40" t="str">
        <f>IF(Agent04_Savings!A173="","",Agent04_Savings!K173)</f>
        <v/>
      </c>
      <c r="K766" s="40" t="str">
        <f>IFERROR(IF(Agent04_Savings!A173="","",YEAR(Agent04_Savings!D173)),"")</f>
        <v/>
      </c>
    </row>
    <row r="767" spans="1:11" ht="18" customHeight="1" x14ac:dyDescent="0.25">
      <c r="A767" s="40" t="str">
        <f>IF(Agent04_Savings!A174="","",Agent04_Savings!A174)</f>
        <v/>
      </c>
      <c r="B767" s="40" t="str">
        <f ca="1">IF(Agent04_Savings!A174="","","SV"&amp;TEXT(767-3,"0000")&amp;"-"&amp;TEXT(TODAY(),"YYYYMMDD"))</f>
        <v/>
      </c>
      <c r="C767" s="40" t="str">
        <f>IF(Agent04_Savings!A174="","",Agent04_Savings!B174)</f>
        <v/>
      </c>
      <c r="D767" s="40" t="str">
        <f>IF(Agent04_Savings!A174="","",Agent04_Savings!G174)</f>
        <v/>
      </c>
      <c r="E767" s="41" t="str">
        <f>IF(Agent04_Savings!A174="","",Agent04_Savings!D174)</f>
        <v/>
      </c>
      <c r="F767" s="42" t="str">
        <f>IF(Agent04_Savings!A174="","",Agent04_Savings!E174)</f>
        <v/>
      </c>
      <c r="G767" s="42" t="str">
        <f>IF(Agent04_Savings!A174="","",Agent04_Savings!F174)</f>
        <v/>
      </c>
      <c r="H767" s="40" t="str">
        <f>IF(Agent04_Savings!A174="","",Agent04_Savings!I174)</f>
        <v/>
      </c>
      <c r="I767" s="40" t="str">
        <f>IF(Agent04_Savings!A174="","",Agent04_Savings!J174)</f>
        <v/>
      </c>
      <c r="J767" s="40" t="str">
        <f>IF(Agent04_Savings!A174="","",Agent04_Savings!K174)</f>
        <v/>
      </c>
      <c r="K767" s="40" t="str">
        <f>IFERROR(IF(Agent04_Savings!A174="","",YEAR(Agent04_Savings!D174)),"")</f>
        <v/>
      </c>
    </row>
    <row r="768" spans="1:11" ht="18" customHeight="1" x14ac:dyDescent="0.25">
      <c r="A768" s="40" t="str">
        <f>IF(Agent04_Savings!A175="","",Agent04_Savings!A175)</f>
        <v/>
      </c>
      <c r="B768" s="40" t="str">
        <f ca="1">IF(Agent04_Savings!A175="","","SV"&amp;TEXT(768-3,"0000")&amp;"-"&amp;TEXT(TODAY(),"YYYYMMDD"))</f>
        <v/>
      </c>
      <c r="C768" s="40" t="str">
        <f>IF(Agent04_Savings!A175="","",Agent04_Savings!B175)</f>
        <v/>
      </c>
      <c r="D768" s="40" t="str">
        <f>IF(Agent04_Savings!A175="","",Agent04_Savings!G175)</f>
        <v/>
      </c>
      <c r="E768" s="41" t="str">
        <f>IF(Agent04_Savings!A175="","",Agent04_Savings!D175)</f>
        <v/>
      </c>
      <c r="F768" s="42" t="str">
        <f>IF(Agent04_Savings!A175="","",Agent04_Savings!E175)</f>
        <v/>
      </c>
      <c r="G768" s="42" t="str">
        <f>IF(Agent04_Savings!A175="","",Agent04_Savings!F175)</f>
        <v/>
      </c>
      <c r="H768" s="40" t="str">
        <f>IF(Agent04_Savings!A175="","",Agent04_Savings!I175)</f>
        <v/>
      </c>
      <c r="I768" s="40" t="str">
        <f>IF(Agent04_Savings!A175="","",Agent04_Savings!J175)</f>
        <v/>
      </c>
      <c r="J768" s="40" t="str">
        <f>IF(Agent04_Savings!A175="","",Agent04_Savings!K175)</f>
        <v/>
      </c>
      <c r="K768" s="40" t="str">
        <f>IFERROR(IF(Agent04_Savings!A175="","",YEAR(Agent04_Savings!D175)),"")</f>
        <v/>
      </c>
    </row>
    <row r="769" spans="1:11" ht="18" customHeight="1" x14ac:dyDescent="0.25">
      <c r="A769" s="40" t="str">
        <f>IF(Agent04_Savings!A176="","",Agent04_Savings!A176)</f>
        <v/>
      </c>
      <c r="B769" s="40" t="str">
        <f ca="1">IF(Agent04_Savings!A176="","","SV"&amp;TEXT(769-3,"0000")&amp;"-"&amp;TEXT(TODAY(),"YYYYMMDD"))</f>
        <v/>
      </c>
      <c r="C769" s="40" t="str">
        <f>IF(Agent04_Savings!A176="","",Agent04_Savings!B176)</f>
        <v/>
      </c>
      <c r="D769" s="40" t="str">
        <f>IF(Agent04_Savings!A176="","",Agent04_Savings!G176)</f>
        <v/>
      </c>
      <c r="E769" s="41" t="str">
        <f>IF(Agent04_Savings!A176="","",Agent04_Savings!D176)</f>
        <v/>
      </c>
      <c r="F769" s="42" t="str">
        <f>IF(Agent04_Savings!A176="","",Agent04_Savings!E176)</f>
        <v/>
      </c>
      <c r="G769" s="42" t="str">
        <f>IF(Agent04_Savings!A176="","",Agent04_Savings!F176)</f>
        <v/>
      </c>
      <c r="H769" s="40" t="str">
        <f>IF(Agent04_Savings!A176="","",Agent04_Savings!I176)</f>
        <v/>
      </c>
      <c r="I769" s="40" t="str">
        <f>IF(Agent04_Savings!A176="","",Agent04_Savings!J176)</f>
        <v/>
      </c>
      <c r="J769" s="40" t="str">
        <f>IF(Agent04_Savings!A176="","",Agent04_Savings!K176)</f>
        <v/>
      </c>
      <c r="K769" s="40" t="str">
        <f>IFERROR(IF(Agent04_Savings!A176="","",YEAR(Agent04_Savings!D176)),"")</f>
        <v/>
      </c>
    </row>
    <row r="770" spans="1:11" ht="18" customHeight="1" x14ac:dyDescent="0.25">
      <c r="A770" s="40" t="str">
        <f>IF(Agent04_Savings!A177="","",Agent04_Savings!A177)</f>
        <v/>
      </c>
      <c r="B770" s="40" t="str">
        <f ca="1">IF(Agent04_Savings!A177="","","SV"&amp;TEXT(770-3,"0000")&amp;"-"&amp;TEXT(TODAY(),"YYYYMMDD"))</f>
        <v/>
      </c>
      <c r="C770" s="40" t="str">
        <f>IF(Agent04_Savings!A177="","",Agent04_Savings!B177)</f>
        <v/>
      </c>
      <c r="D770" s="40" t="str">
        <f>IF(Agent04_Savings!A177="","",Agent04_Savings!G177)</f>
        <v/>
      </c>
      <c r="E770" s="41" t="str">
        <f>IF(Agent04_Savings!A177="","",Agent04_Savings!D177)</f>
        <v/>
      </c>
      <c r="F770" s="42" t="str">
        <f>IF(Agent04_Savings!A177="","",Agent04_Savings!E177)</f>
        <v/>
      </c>
      <c r="G770" s="42" t="str">
        <f>IF(Agent04_Savings!A177="","",Agent04_Savings!F177)</f>
        <v/>
      </c>
      <c r="H770" s="40" t="str">
        <f>IF(Agent04_Savings!A177="","",Agent04_Savings!I177)</f>
        <v/>
      </c>
      <c r="I770" s="40" t="str">
        <f>IF(Agent04_Savings!A177="","",Agent04_Savings!J177)</f>
        <v/>
      </c>
      <c r="J770" s="40" t="str">
        <f>IF(Agent04_Savings!A177="","",Agent04_Savings!K177)</f>
        <v/>
      </c>
      <c r="K770" s="40" t="str">
        <f>IFERROR(IF(Agent04_Savings!A177="","",YEAR(Agent04_Savings!D177)),"")</f>
        <v/>
      </c>
    </row>
    <row r="771" spans="1:11" ht="18" customHeight="1" x14ac:dyDescent="0.25">
      <c r="A771" s="40" t="str">
        <f>IF(Agent04_Savings!A178="","",Agent04_Savings!A178)</f>
        <v/>
      </c>
      <c r="B771" s="40" t="str">
        <f ca="1">IF(Agent04_Savings!A178="","","SV"&amp;TEXT(771-3,"0000")&amp;"-"&amp;TEXT(TODAY(),"YYYYMMDD"))</f>
        <v/>
      </c>
      <c r="C771" s="40" t="str">
        <f>IF(Agent04_Savings!A178="","",Agent04_Savings!B178)</f>
        <v/>
      </c>
      <c r="D771" s="40" t="str">
        <f>IF(Agent04_Savings!A178="","",Agent04_Savings!G178)</f>
        <v/>
      </c>
      <c r="E771" s="41" t="str">
        <f>IF(Agent04_Savings!A178="","",Agent04_Savings!D178)</f>
        <v/>
      </c>
      <c r="F771" s="42" t="str">
        <f>IF(Agent04_Savings!A178="","",Agent04_Savings!E178)</f>
        <v/>
      </c>
      <c r="G771" s="42" t="str">
        <f>IF(Agent04_Savings!A178="","",Agent04_Savings!F178)</f>
        <v/>
      </c>
      <c r="H771" s="40" t="str">
        <f>IF(Agent04_Savings!A178="","",Agent04_Savings!I178)</f>
        <v/>
      </c>
      <c r="I771" s="40" t="str">
        <f>IF(Agent04_Savings!A178="","",Agent04_Savings!J178)</f>
        <v/>
      </c>
      <c r="J771" s="40" t="str">
        <f>IF(Agent04_Savings!A178="","",Agent04_Savings!K178)</f>
        <v/>
      </c>
      <c r="K771" s="40" t="str">
        <f>IFERROR(IF(Agent04_Savings!A178="","",YEAR(Agent04_Savings!D178)),"")</f>
        <v/>
      </c>
    </row>
    <row r="772" spans="1:11" ht="18" customHeight="1" x14ac:dyDescent="0.25">
      <c r="A772" s="40" t="str">
        <f>IF(Agent04_Savings!A179="","",Agent04_Savings!A179)</f>
        <v/>
      </c>
      <c r="B772" s="40" t="str">
        <f ca="1">IF(Agent04_Savings!A179="","","SV"&amp;TEXT(772-3,"0000")&amp;"-"&amp;TEXT(TODAY(),"YYYYMMDD"))</f>
        <v/>
      </c>
      <c r="C772" s="40" t="str">
        <f>IF(Agent04_Savings!A179="","",Agent04_Savings!B179)</f>
        <v/>
      </c>
      <c r="D772" s="40" t="str">
        <f>IF(Agent04_Savings!A179="","",Agent04_Savings!G179)</f>
        <v/>
      </c>
      <c r="E772" s="41" t="str">
        <f>IF(Agent04_Savings!A179="","",Agent04_Savings!D179)</f>
        <v/>
      </c>
      <c r="F772" s="42" t="str">
        <f>IF(Agent04_Savings!A179="","",Agent04_Savings!E179)</f>
        <v/>
      </c>
      <c r="G772" s="42" t="str">
        <f>IF(Agent04_Savings!A179="","",Agent04_Savings!F179)</f>
        <v/>
      </c>
      <c r="H772" s="40" t="str">
        <f>IF(Agent04_Savings!A179="","",Agent04_Savings!I179)</f>
        <v/>
      </c>
      <c r="I772" s="40" t="str">
        <f>IF(Agent04_Savings!A179="","",Agent04_Savings!J179)</f>
        <v/>
      </c>
      <c r="J772" s="40" t="str">
        <f>IF(Agent04_Savings!A179="","",Agent04_Savings!K179)</f>
        <v/>
      </c>
      <c r="K772" s="40" t="str">
        <f>IFERROR(IF(Agent04_Savings!A179="","",YEAR(Agent04_Savings!D179)),"")</f>
        <v/>
      </c>
    </row>
    <row r="773" spans="1:11" ht="18" customHeight="1" x14ac:dyDescent="0.25">
      <c r="A773" s="40" t="str">
        <f>IF(Agent04_Savings!A180="","",Agent04_Savings!A180)</f>
        <v/>
      </c>
      <c r="B773" s="40" t="str">
        <f ca="1">IF(Agent04_Savings!A180="","","SV"&amp;TEXT(773-3,"0000")&amp;"-"&amp;TEXT(TODAY(),"YYYYMMDD"))</f>
        <v/>
      </c>
      <c r="C773" s="40" t="str">
        <f>IF(Agent04_Savings!A180="","",Agent04_Savings!B180)</f>
        <v/>
      </c>
      <c r="D773" s="40" t="str">
        <f>IF(Agent04_Savings!A180="","",Agent04_Savings!G180)</f>
        <v/>
      </c>
      <c r="E773" s="41" t="str">
        <f>IF(Agent04_Savings!A180="","",Agent04_Savings!D180)</f>
        <v/>
      </c>
      <c r="F773" s="42" t="str">
        <f>IF(Agent04_Savings!A180="","",Agent04_Savings!E180)</f>
        <v/>
      </c>
      <c r="G773" s="42" t="str">
        <f>IF(Agent04_Savings!A180="","",Agent04_Savings!F180)</f>
        <v/>
      </c>
      <c r="H773" s="40" t="str">
        <f>IF(Agent04_Savings!A180="","",Agent04_Savings!I180)</f>
        <v/>
      </c>
      <c r="I773" s="40" t="str">
        <f>IF(Agent04_Savings!A180="","",Agent04_Savings!J180)</f>
        <v/>
      </c>
      <c r="J773" s="40" t="str">
        <f>IF(Agent04_Savings!A180="","",Agent04_Savings!K180)</f>
        <v/>
      </c>
      <c r="K773" s="40" t="str">
        <f>IFERROR(IF(Agent04_Savings!A180="","",YEAR(Agent04_Savings!D180)),"")</f>
        <v/>
      </c>
    </row>
    <row r="774" spans="1:11" ht="18" customHeight="1" x14ac:dyDescent="0.25">
      <c r="A774" s="40" t="str">
        <f>IF(Agent04_Savings!A181="","",Agent04_Savings!A181)</f>
        <v/>
      </c>
      <c r="B774" s="40" t="str">
        <f ca="1">IF(Agent04_Savings!A181="","","SV"&amp;TEXT(774-3,"0000")&amp;"-"&amp;TEXT(TODAY(),"YYYYMMDD"))</f>
        <v/>
      </c>
      <c r="C774" s="40" t="str">
        <f>IF(Agent04_Savings!A181="","",Agent04_Savings!B181)</f>
        <v/>
      </c>
      <c r="D774" s="40" t="str">
        <f>IF(Agent04_Savings!A181="","",Agent04_Savings!G181)</f>
        <v/>
      </c>
      <c r="E774" s="41" t="str">
        <f>IF(Agent04_Savings!A181="","",Agent04_Savings!D181)</f>
        <v/>
      </c>
      <c r="F774" s="42" t="str">
        <f>IF(Agent04_Savings!A181="","",Agent04_Savings!E181)</f>
        <v/>
      </c>
      <c r="G774" s="42" t="str">
        <f>IF(Agent04_Savings!A181="","",Agent04_Savings!F181)</f>
        <v/>
      </c>
      <c r="H774" s="40" t="str">
        <f>IF(Agent04_Savings!A181="","",Agent04_Savings!I181)</f>
        <v/>
      </c>
      <c r="I774" s="40" t="str">
        <f>IF(Agent04_Savings!A181="","",Agent04_Savings!J181)</f>
        <v/>
      </c>
      <c r="J774" s="40" t="str">
        <f>IF(Agent04_Savings!A181="","",Agent04_Savings!K181)</f>
        <v/>
      </c>
      <c r="K774" s="40" t="str">
        <f>IFERROR(IF(Agent04_Savings!A181="","",YEAR(Agent04_Savings!D181)),"")</f>
        <v/>
      </c>
    </row>
    <row r="775" spans="1:11" ht="18" customHeight="1" x14ac:dyDescent="0.25">
      <c r="A775" s="40" t="str">
        <f>IF(Agent04_Savings!A182="","",Agent04_Savings!A182)</f>
        <v/>
      </c>
      <c r="B775" s="40" t="str">
        <f ca="1">IF(Agent04_Savings!A182="","","SV"&amp;TEXT(775-3,"0000")&amp;"-"&amp;TEXT(TODAY(),"YYYYMMDD"))</f>
        <v/>
      </c>
      <c r="C775" s="40" t="str">
        <f>IF(Agent04_Savings!A182="","",Agent04_Savings!B182)</f>
        <v/>
      </c>
      <c r="D775" s="40" t="str">
        <f>IF(Agent04_Savings!A182="","",Agent04_Savings!G182)</f>
        <v/>
      </c>
      <c r="E775" s="41" t="str">
        <f>IF(Agent04_Savings!A182="","",Agent04_Savings!D182)</f>
        <v/>
      </c>
      <c r="F775" s="42" t="str">
        <f>IF(Agent04_Savings!A182="","",Agent04_Savings!E182)</f>
        <v/>
      </c>
      <c r="G775" s="42" t="str">
        <f>IF(Agent04_Savings!A182="","",Agent04_Savings!F182)</f>
        <v/>
      </c>
      <c r="H775" s="40" t="str">
        <f>IF(Agent04_Savings!A182="","",Agent04_Savings!I182)</f>
        <v/>
      </c>
      <c r="I775" s="40" t="str">
        <f>IF(Agent04_Savings!A182="","",Agent04_Savings!J182)</f>
        <v/>
      </c>
      <c r="J775" s="40" t="str">
        <f>IF(Agent04_Savings!A182="","",Agent04_Savings!K182)</f>
        <v/>
      </c>
      <c r="K775" s="40" t="str">
        <f>IFERROR(IF(Agent04_Savings!A182="","",YEAR(Agent04_Savings!D182)),"")</f>
        <v/>
      </c>
    </row>
    <row r="776" spans="1:11" ht="18" customHeight="1" x14ac:dyDescent="0.25">
      <c r="A776" s="40" t="str">
        <f>IF(Agent04_Savings!A183="","",Agent04_Savings!A183)</f>
        <v/>
      </c>
      <c r="B776" s="40" t="str">
        <f ca="1">IF(Agent04_Savings!A183="","","SV"&amp;TEXT(776-3,"0000")&amp;"-"&amp;TEXT(TODAY(),"YYYYMMDD"))</f>
        <v/>
      </c>
      <c r="C776" s="40" t="str">
        <f>IF(Agent04_Savings!A183="","",Agent04_Savings!B183)</f>
        <v/>
      </c>
      <c r="D776" s="40" t="str">
        <f>IF(Agent04_Savings!A183="","",Agent04_Savings!G183)</f>
        <v/>
      </c>
      <c r="E776" s="41" t="str">
        <f>IF(Agent04_Savings!A183="","",Agent04_Savings!D183)</f>
        <v/>
      </c>
      <c r="F776" s="42" t="str">
        <f>IF(Agent04_Savings!A183="","",Agent04_Savings!E183)</f>
        <v/>
      </c>
      <c r="G776" s="42" t="str">
        <f>IF(Agent04_Savings!A183="","",Agent04_Savings!F183)</f>
        <v/>
      </c>
      <c r="H776" s="40" t="str">
        <f>IF(Agent04_Savings!A183="","",Agent04_Savings!I183)</f>
        <v/>
      </c>
      <c r="I776" s="40" t="str">
        <f>IF(Agent04_Savings!A183="","",Agent04_Savings!J183)</f>
        <v/>
      </c>
      <c r="J776" s="40" t="str">
        <f>IF(Agent04_Savings!A183="","",Agent04_Savings!K183)</f>
        <v/>
      </c>
      <c r="K776" s="40" t="str">
        <f>IFERROR(IF(Agent04_Savings!A183="","",YEAR(Agent04_Savings!D183)),"")</f>
        <v/>
      </c>
    </row>
    <row r="777" spans="1:11" ht="18" customHeight="1" x14ac:dyDescent="0.25">
      <c r="A777" s="40" t="str">
        <f>IF(Agent04_Savings!A184="","",Agent04_Savings!A184)</f>
        <v/>
      </c>
      <c r="B777" s="40" t="str">
        <f ca="1">IF(Agent04_Savings!A184="","","SV"&amp;TEXT(777-3,"0000")&amp;"-"&amp;TEXT(TODAY(),"YYYYMMDD"))</f>
        <v/>
      </c>
      <c r="C777" s="40" t="str">
        <f>IF(Agent04_Savings!A184="","",Agent04_Savings!B184)</f>
        <v/>
      </c>
      <c r="D777" s="40" t="str">
        <f>IF(Agent04_Savings!A184="","",Agent04_Savings!G184)</f>
        <v/>
      </c>
      <c r="E777" s="41" t="str">
        <f>IF(Agent04_Savings!A184="","",Agent04_Savings!D184)</f>
        <v/>
      </c>
      <c r="F777" s="42" t="str">
        <f>IF(Agent04_Savings!A184="","",Agent04_Savings!E184)</f>
        <v/>
      </c>
      <c r="G777" s="42" t="str">
        <f>IF(Agent04_Savings!A184="","",Agent04_Savings!F184)</f>
        <v/>
      </c>
      <c r="H777" s="40" t="str">
        <f>IF(Agent04_Savings!A184="","",Agent04_Savings!I184)</f>
        <v/>
      </c>
      <c r="I777" s="40" t="str">
        <f>IF(Agent04_Savings!A184="","",Agent04_Savings!J184)</f>
        <v/>
      </c>
      <c r="J777" s="40" t="str">
        <f>IF(Agent04_Savings!A184="","",Agent04_Savings!K184)</f>
        <v/>
      </c>
      <c r="K777" s="40" t="str">
        <f>IFERROR(IF(Agent04_Savings!A184="","",YEAR(Agent04_Savings!D184)),"")</f>
        <v/>
      </c>
    </row>
    <row r="778" spans="1:11" ht="18" customHeight="1" x14ac:dyDescent="0.25">
      <c r="A778" s="40" t="str">
        <f>IF(Agent04_Savings!A185="","",Agent04_Savings!A185)</f>
        <v/>
      </c>
      <c r="B778" s="40" t="str">
        <f ca="1">IF(Agent04_Savings!A185="","","SV"&amp;TEXT(778-3,"0000")&amp;"-"&amp;TEXT(TODAY(),"YYYYMMDD"))</f>
        <v/>
      </c>
      <c r="C778" s="40" t="str">
        <f>IF(Agent04_Savings!A185="","",Agent04_Savings!B185)</f>
        <v/>
      </c>
      <c r="D778" s="40" t="str">
        <f>IF(Agent04_Savings!A185="","",Agent04_Savings!G185)</f>
        <v/>
      </c>
      <c r="E778" s="41" t="str">
        <f>IF(Agent04_Savings!A185="","",Agent04_Savings!D185)</f>
        <v/>
      </c>
      <c r="F778" s="42" t="str">
        <f>IF(Agent04_Savings!A185="","",Agent04_Savings!E185)</f>
        <v/>
      </c>
      <c r="G778" s="42" t="str">
        <f>IF(Agent04_Savings!A185="","",Agent04_Savings!F185)</f>
        <v/>
      </c>
      <c r="H778" s="40" t="str">
        <f>IF(Agent04_Savings!A185="","",Agent04_Savings!I185)</f>
        <v/>
      </c>
      <c r="I778" s="40" t="str">
        <f>IF(Agent04_Savings!A185="","",Agent04_Savings!J185)</f>
        <v/>
      </c>
      <c r="J778" s="40" t="str">
        <f>IF(Agent04_Savings!A185="","",Agent04_Savings!K185)</f>
        <v/>
      </c>
      <c r="K778" s="40" t="str">
        <f>IFERROR(IF(Agent04_Savings!A185="","",YEAR(Agent04_Savings!D185)),"")</f>
        <v/>
      </c>
    </row>
    <row r="779" spans="1:11" ht="18" customHeight="1" x14ac:dyDescent="0.25">
      <c r="A779" s="40" t="str">
        <f>IF(Agent04_Savings!A186="","",Agent04_Savings!A186)</f>
        <v/>
      </c>
      <c r="B779" s="40" t="str">
        <f ca="1">IF(Agent04_Savings!A186="","","SV"&amp;TEXT(779-3,"0000")&amp;"-"&amp;TEXT(TODAY(),"YYYYMMDD"))</f>
        <v/>
      </c>
      <c r="C779" s="40" t="str">
        <f>IF(Agent04_Savings!A186="","",Agent04_Savings!B186)</f>
        <v/>
      </c>
      <c r="D779" s="40" t="str">
        <f>IF(Agent04_Savings!A186="","",Agent04_Savings!G186)</f>
        <v/>
      </c>
      <c r="E779" s="41" t="str">
        <f>IF(Agent04_Savings!A186="","",Agent04_Savings!D186)</f>
        <v/>
      </c>
      <c r="F779" s="42" t="str">
        <f>IF(Agent04_Savings!A186="","",Agent04_Savings!E186)</f>
        <v/>
      </c>
      <c r="G779" s="42" t="str">
        <f>IF(Agent04_Savings!A186="","",Agent04_Savings!F186)</f>
        <v/>
      </c>
      <c r="H779" s="40" t="str">
        <f>IF(Agent04_Savings!A186="","",Agent04_Savings!I186)</f>
        <v/>
      </c>
      <c r="I779" s="40" t="str">
        <f>IF(Agent04_Savings!A186="","",Agent04_Savings!J186)</f>
        <v/>
      </c>
      <c r="J779" s="40" t="str">
        <f>IF(Agent04_Savings!A186="","",Agent04_Savings!K186)</f>
        <v/>
      </c>
      <c r="K779" s="40" t="str">
        <f>IFERROR(IF(Agent04_Savings!A186="","",YEAR(Agent04_Savings!D186)),"")</f>
        <v/>
      </c>
    </row>
    <row r="780" spans="1:11" ht="18" customHeight="1" x14ac:dyDescent="0.25">
      <c r="A780" s="40" t="str">
        <f>IF(Agent04_Savings!A187="","",Agent04_Savings!A187)</f>
        <v/>
      </c>
      <c r="B780" s="40" t="str">
        <f ca="1">IF(Agent04_Savings!A187="","","SV"&amp;TEXT(780-3,"0000")&amp;"-"&amp;TEXT(TODAY(),"YYYYMMDD"))</f>
        <v/>
      </c>
      <c r="C780" s="40" t="str">
        <f>IF(Agent04_Savings!A187="","",Agent04_Savings!B187)</f>
        <v/>
      </c>
      <c r="D780" s="40" t="str">
        <f>IF(Agent04_Savings!A187="","",Agent04_Savings!G187)</f>
        <v/>
      </c>
      <c r="E780" s="41" t="str">
        <f>IF(Agent04_Savings!A187="","",Agent04_Savings!D187)</f>
        <v/>
      </c>
      <c r="F780" s="42" t="str">
        <f>IF(Agent04_Savings!A187="","",Agent04_Savings!E187)</f>
        <v/>
      </c>
      <c r="G780" s="42" t="str">
        <f>IF(Agent04_Savings!A187="","",Agent04_Savings!F187)</f>
        <v/>
      </c>
      <c r="H780" s="40" t="str">
        <f>IF(Agent04_Savings!A187="","",Agent04_Savings!I187)</f>
        <v/>
      </c>
      <c r="I780" s="40" t="str">
        <f>IF(Agent04_Savings!A187="","",Agent04_Savings!J187)</f>
        <v/>
      </c>
      <c r="J780" s="40" t="str">
        <f>IF(Agent04_Savings!A187="","",Agent04_Savings!K187)</f>
        <v/>
      </c>
      <c r="K780" s="40" t="str">
        <f>IFERROR(IF(Agent04_Savings!A187="","",YEAR(Agent04_Savings!D187)),"")</f>
        <v/>
      </c>
    </row>
    <row r="781" spans="1:11" ht="18" customHeight="1" x14ac:dyDescent="0.25">
      <c r="A781" s="40" t="str">
        <f>IF(Agent04_Savings!A188="","",Agent04_Savings!A188)</f>
        <v/>
      </c>
      <c r="B781" s="40" t="str">
        <f ca="1">IF(Agent04_Savings!A188="","","SV"&amp;TEXT(781-3,"0000")&amp;"-"&amp;TEXT(TODAY(),"YYYYMMDD"))</f>
        <v/>
      </c>
      <c r="C781" s="40" t="str">
        <f>IF(Agent04_Savings!A188="","",Agent04_Savings!B188)</f>
        <v/>
      </c>
      <c r="D781" s="40" t="str">
        <f>IF(Agent04_Savings!A188="","",Agent04_Savings!G188)</f>
        <v/>
      </c>
      <c r="E781" s="41" t="str">
        <f>IF(Agent04_Savings!A188="","",Agent04_Savings!D188)</f>
        <v/>
      </c>
      <c r="F781" s="42" t="str">
        <f>IF(Agent04_Savings!A188="","",Agent04_Savings!E188)</f>
        <v/>
      </c>
      <c r="G781" s="42" t="str">
        <f>IF(Agent04_Savings!A188="","",Agent04_Savings!F188)</f>
        <v/>
      </c>
      <c r="H781" s="40" t="str">
        <f>IF(Agent04_Savings!A188="","",Agent04_Savings!I188)</f>
        <v/>
      </c>
      <c r="I781" s="40" t="str">
        <f>IF(Agent04_Savings!A188="","",Agent04_Savings!J188)</f>
        <v/>
      </c>
      <c r="J781" s="40" t="str">
        <f>IF(Agent04_Savings!A188="","",Agent04_Savings!K188)</f>
        <v/>
      </c>
      <c r="K781" s="40" t="str">
        <f>IFERROR(IF(Agent04_Savings!A188="","",YEAR(Agent04_Savings!D188)),"")</f>
        <v/>
      </c>
    </row>
    <row r="782" spans="1:11" ht="18" customHeight="1" x14ac:dyDescent="0.25">
      <c r="A782" s="40" t="str">
        <f>IF(Agent04_Savings!A189="","",Agent04_Savings!A189)</f>
        <v/>
      </c>
      <c r="B782" s="40" t="str">
        <f ca="1">IF(Agent04_Savings!A189="","","SV"&amp;TEXT(782-3,"0000")&amp;"-"&amp;TEXT(TODAY(),"YYYYMMDD"))</f>
        <v/>
      </c>
      <c r="C782" s="40" t="str">
        <f>IF(Agent04_Savings!A189="","",Agent04_Savings!B189)</f>
        <v/>
      </c>
      <c r="D782" s="40" t="str">
        <f>IF(Agent04_Savings!A189="","",Agent04_Savings!G189)</f>
        <v/>
      </c>
      <c r="E782" s="41" t="str">
        <f>IF(Agent04_Savings!A189="","",Agent04_Savings!D189)</f>
        <v/>
      </c>
      <c r="F782" s="42" t="str">
        <f>IF(Agent04_Savings!A189="","",Agent04_Savings!E189)</f>
        <v/>
      </c>
      <c r="G782" s="42" t="str">
        <f>IF(Agent04_Savings!A189="","",Agent04_Savings!F189)</f>
        <v/>
      </c>
      <c r="H782" s="40" t="str">
        <f>IF(Agent04_Savings!A189="","",Agent04_Savings!I189)</f>
        <v/>
      </c>
      <c r="I782" s="40" t="str">
        <f>IF(Agent04_Savings!A189="","",Agent04_Savings!J189)</f>
        <v/>
      </c>
      <c r="J782" s="40" t="str">
        <f>IF(Agent04_Savings!A189="","",Agent04_Savings!K189)</f>
        <v/>
      </c>
      <c r="K782" s="40" t="str">
        <f>IFERROR(IF(Agent04_Savings!A189="","",YEAR(Agent04_Savings!D189)),"")</f>
        <v/>
      </c>
    </row>
    <row r="783" spans="1:11" ht="18" customHeight="1" x14ac:dyDescent="0.25">
      <c r="A783" s="40" t="str">
        <f>IF(Agent04_Savings!A190="","",Agent04_Savings!A190)</f>
        <v/>
      </c>
      <c r="B783" s="40" t="str">
        <f ca="1">IF(Agent04_Savings!A190="","","SV"&amp;TEXT(783-3,"0000")&amp;"-"&amp;TEXT(TODAY(),"YYYYMMDD"))</f>
        <v/>
      </c>
      <c r="C783" s="40" t="str">
        <f>IF(Agent04_Savings!A190="","",Agent04_Savings!B190)</f>
        <v/>
      </c>
      <c r="D783" s="40" t="str">
        <f>IF(Agent04_Savings!A190="","",Agent04_Savings!G190)</f>
        <v/>
      </c>
      <c r="E783" s="41" t="str">
        <f>IF(Agent04_Savings!A190="","",Agent04_Savings!D190)</f>
        <v/>
      </c>
      <c r="F783" s="42" t="str">
        <f>IF(Agent04_Savings!A190="","",Agent04_Savings!E190)</f>
        <v/>
      </c>
      <c r="G783" s="42" t="str">
        <f>IF(Agent04_Savings!A190="","",Agent04_Savings!F190)</f>
        <v/>
      </c>
      <c r="H783" s="40" t="str">
        <f>IF(Agent04_Savings!A190="","",Agent04_Savings!I190)</f>
        <v/>
      </c>
      <c r="I783" s="40" t="str">
        <f>IF(Agent04_Savings!A190="","",Agent04_Savings!J190)</f>
        <v/>
      </c>
      <c r="J783" s="40" t="str">
        <f>IF(Agent04_Savings!A190="","",Agent04_Savings!K190)</f>
        <v/>
      </c>
      <c r="K783" s="40" t="str">
        <f>IFERROR(IF(Agent04_Savings!A190="","",YEAR(Agent04_Savings!D190)),"")</f>
        <v/>
      </c>
    </row>
    <row r="784" spans="1:11" ht="18" customHeight="1" x14ac:dyDescent="0.25">
      <c r="A784" s="40" t="str">
        <f>IF(Agent04_Savings!A191="","",Agent04_Savings!A191)</f>
        <v/>
      </c>
      <c r="B784" s="40" t="str">
        <f ca="1">IF(Agent04_Savings!A191="","","SV"&amp;TEXT(784-3,"0000")&amp;"-"&amp;TEXT(TODAY(),"YYYYMMDD"))</f>
        <v/>
      </c>
      <c r="C784" s="40" t="str">
        <f>IF(Agent04_Savings!A191="","",Agent04_Savings!B191)</f>
        <v/>
      </c>
      <c r="D784" s="40" t="str">
        <f>IF(Agent04_Savings!A191="","",Agent04_Savings!G191)</f>
        <v/>
      </c>
      <c r="E784" s="41" t="str">
        <f>IF(Agent04_Savings!A191="","",Agent04_Savings!D191)</f>
        <v/>
      </c>
      <c r="F784" s="42" t="str">
        <f>IF(Agent04_Savings!A191="","",Agent04_Savings!E191)</f>
        <v/>
      </c>
      <c r="G784" s="42" t="str">
        <f>IF(Agent04_Savings!A191="","",Agent04_Savings!F191)</f>
        <v/>
      </c>
      <c r="H784" s="40" t="str">
        <f>IF(Agent04_Savings!A191="","",Agent04_Savings!I191)</f>
        <v/>
      </c>
      <c r="I784" s="40" t="str">
        <f>IF(Agent04_Savings!A191="","",Agent04_Savings!J191)</f>
        <v/>
      </c>
      <c r="J784" s="40" t="str">
        <f>IF(Agent04_Savings!A191="","",Agent04_Savings!K191)</f>
        <v/>
      </c>
      <c r="K784" s="40" t="str">
        <f>IFERROR(IF(Agent04_Savings!A191="","",YEAR(Agent04_Savings!D191)),"")</f>
        <v/>
      </c>
    </row>
    <row r="785" spans="1:11" ht="18" customHeight="1" x14ac:dyDescent="0.25">
      <c r="A785" s="40" t="str">
        <f>IF(Agent04_Savings!A192="","",Agent04_Savings!A192)</f>
        <v/>
      </c>
      <c r="B785" s="40" t="str">
        <f ca="1">IF(Agent04_Savings!A192="","","SV"&amp;TEXT(785-3,"0000")&amp;"-"&amp;TEXT(TODAY(),"YYYYMMDD"))</f>
        <v/>
      </c>
      <c r="C785" s="40" t="str">
        <f>IF(Agent04_Savings!A192="","",Agent04_Savings!B192)</f>
        <v/>
      </c>
      <c r="D785" s="40" t="str">
        <f>IF(Agent04_Savings!A192="","",Agent04_Savings!G192)</f>
        <v/>
      </c>
      <c r="E785" s="41" t="str">
        <f>IF(Agent04_Savings!A192="","",Agent04_Savings!D192)</f>
        <v/>
      </c>
      <c r="F785" s="42" t="str">
        <f>IF(Agent04_Savings!A192="","",Agent04_Savings!E192)</f>
        <v/>
      </c>
      <c r="G785" s="42" t="str">
        <f>IF(Agent04_Savings!A192="","",Agent04_Savings!F192)</f>
        <v/>
      </c>
      <c r="H785" s="40" t="str">
        <f>IF(Agent04_Savings!A192="","",Agent04_Savings!I192)</f>
        <v/>
      </c>
      <c r="I785" s="40" t="str">
        <f>IF(Agent04_Savings!A192="","",Agent04_Savings!J192)</f>
        <v/>
      </c>
      <c r="J785" s="40" t="str">
        <f>IF(Agent04_Savings!A192="","",Agent04_Savings!K192)</f>
        <v/>
      </c>
      <c r="K785" s="40" t="str">
        <f>IFERROR(IF(Agent04_Savings!A192="","",YEAR(Agent04_Savings!D192)),"")</f>
        <v/>
      </c>
    </row>
    <row r="786" spans="1:11" ht="18" customHeight="1" x14ac:dyDescent="0.25">
      <c r="A786" s="40" t="str">
        <f>IF(Agent04_Savings!A193="","",Agent04_Savings!A193)</f>
        <v/>
      </c>
      <c r="B786" s="40" t="str">
        <f ca="1">IF(Agent04_Savings!A193="","","SV"&amp;TEXT(786-3,"0000")&amp;"-"&amp;TEXT(TODAY(),"YYYYMMDD"))</f>
        <v/>
      </c>
      <c r="C786" s="40" t="str">
        <f>IF(Agent04_Savings!A193="","",Agent04_Savings!B193)</f>
        <v/>
      </c>
      <c r="D786" s="40" t="str">
        <f>IF(Agent04_Savings!A193="","",Agent04_Savings!G193)</f>
        <v/>
      </c>
      <c r="E786" s="41" t="str">
        <f>IF(Agent04_Savings!A193="","",Agent04_Savings!D193)</f>
        <v/>
      </c>
      <c r="F786" s="42" t="str">
        <f>IF(Agent04_Savings!A193="","",Agent04_Savings!E193)</f>
        <v/>
      </c>
      <c r="G786" s="42" t="str">
        <f>IF(Agent04_Savings!A193="","",Agent04_Savings!F193)</f>
        <v/>
      </c>
      <c r="H786" s="40" t="str">
        <f>IF(Agent04_Savings!A193="","",Agent04_Savings!I193)</f>
        <v/>
      </c>
      <c r="I786" s="40" t="str">
        <f>IF(Agent04_Savings!A193="","",Agent04_Savings!J193)</f>
        <v/>
      </c>
      <c r="J786" s="40" t="str">
        <f>IF(Agent04_Savings!A193="","",Agent04_Savings!K193)</f>
        <v/>
      </c>
      <c r="K786" s="40" t="str">
        <f>IFERROR(IF(Agent04_Savings!A193="","",YEAR(Agent04_Savings!D193)),"")</f>
        <v/>
      </c>
    </row>
    <row r="787" spans="1:11" ht="18" customHeight="1" x14ac:dyDescent="0.25">
      <c r="A787" s="40" t="str">
        <f>IF(Agent04_Savings!A194="","",Agent04_Savings!A194)</f>
        <v/>
      </c>
      <c r="B787" s="40" t="str">
        <f ca="1">IF(Agent04_Savings!A194="","","SV"&amp;TEXT(787-3,"0000")&amp;"-"&amp;TEXT(TODAY(),"YYYYMMDD"))</f>
        <v/>
      </c>
      <c r="C787" s="40" t="str">
        <f>IF(Agent04_Savings!A194="","",Agent04_Savings!B194)</f>
        <v/>
      </c>
      <c r="D787" s="40" t="str">
        <f>IF(Agent04_Savings!A194="","",Agent04_Savings!G194)</f>
        <v/>
      </c>
      <c r="E787" s="41" t="str">
        <f>IF(Agent04_Savings!A194="","",Agent04_Savings!D194)</f>
        <v/>
      </c>
      <c r="F787" s="42" t="str">
        <f>IF(Agent04_Savings!A194="","",Agent04_Savings!E194)</f>
        <v/>
      </c>
      <c r="G787" s="42" t="str">
        <f>IF(Agent04_Savings!A194="","",Agent04_Savings!F194)</f>
        <v/>
      </c>
      <c r="H787" s="40" t="str">
        <f>IF(Agent04_Savings!A194="","",Agent04_Savings!I194)</f>
        <v/>
      </c>
      <c r="I787" s="40" t="str">
        <f>IF(Agent04_Savings!A194="","",Agent04_Savings!J194)</f>
        <v/>
      </c>
      <c r="J787" s="40" t="str">
        <f>IF(Agent04_Savings!A194="","",Agent04_Savings!K194)</f>
        <v/>
      </c>
      <c r="K787" s="40" t="str">
        <f>IFERROR(IF(Agent04_Savings!A194="","",YEAR(Agent04_Savings!D194)),"")</f>
        <v/>
      </c>
    </row>
    <row r="788" spans="1:11" ht="18" customHeight="1" x14ac:dyDescent="0.25">
      <c r="A788" s="40" t="str">
        <f>IF(Agent04_Savings!A195="","",Agent04_Savings!A195)</f>
        <v/>
      </c>
      <c r="B788" s="40" t="str">
        <f ca="1">IF(Agent04_Savings!A195="","","SV"&amp;TEXT(788-3,"0000")&amp;"-"&amp;TEXT(TODAY(),"YYYYMMDD"))</f>
        <v/>
      </c>
      <c r="C788" s="40" t="str">
        <f>IF(Agent04_Savings!A195="","",Agent04_Savings!B195)</f>
        <v/>
      </c>
      <c r="D788" s="40" t="str">
        <f>IF(Agent04_Savings!A195="","",Agent04_Savings!G195)</f>
        <v/>
      </c>
      <c r="E788" s="41" t="str">
        <f>IF(Agent04_Savings!A195="","",Agent04_Savings!D195)</f>
        <v/>
      </c>
      <c r="F788" s="42" t="str">
        <f>IF(Agent04_Savings!A195="","",Agent04_Savings!E195)</f>
        <v/>
      </c>
      <c r="G788" s="42" t="str">
        <f>IF(Agent04_Savings!A195="","",Agent04_Savings!F195)</f>
        <v/>
      </c>
      <c r="H788" s="40" t="str">
        <f>IF(Agent04_Savings!A195="","",Agent04_Savings!I195)</f>
        <v/>
      </c>
      <c r="I788" s="40" t="str">
        <f>IF(Agent04_Savings!A195="","",Agent04_Savings!J195)</f>
        <v/>
      </c>
      <c r="J788" s="40" t="str">
        <f>IF(Agent04_Savings!A195="","",Agent04_Savings!K195)</f>
        <v/>
      </c>
      <c r="K788" s="40" t="str">
        <f>IFERROR(IF(Agent04_Savings!A195="","",YEAR(Agent04_Savings!D195)),"")</f>
        <v/>
      </c>
    </row>
    <row r="789" spans="1:11" ht="18" customHeight="1" x14ac:dyDescent="0.25">
      <c r="A789" s="40" t="str">
        <f>IF(Agent04_Savings!A196="","",Agent04_Savings!A196)</f>
        <v/>
      </c>
      <c r="B789" s="40" t="str">
        <f ca="1">IF(Agent04_Savings!A196="","","SV"&amp;TEXT(789-3,"0000")&amp;"-"&amp;TEXT(TODAY(),"YYYYMMDD"))</f>
        <v/>
      </c>
      <c r="C789" s="40" t="str">
        <f>IF(Agent04_Savings!A196="","",Agent04_Savings!B196)</f>
        <v/>
      </c>
      <c r="D789" s="40" t="str">
        <f>IF(Agent04_Savings!A196="","",Agent04_Savings!G196)</f>
        <v/>
      </c>
      <c r="E789" s="41" t="str">
        <f>IF(Agent04_Savings!A196="","",Agent04_Savings!D196)</f>
        <v/>
      </c>
      <c r="F789" s="42" t="str">
        <f>IF(Agent04_Savings!A196="","",Agent04_Savings!E196)</f>
        <v/>
      </c>
      <c r="G789" s="42" t="str">
        <f>IF(Agent04_Savings!A196="","",Agent04_Savings!F196)</f>
        <v/>
      </c>
      <c r="H789" s="40" t="str">
        <f>IF(Agent04_Savings!A196="","",Agent04_Savings!I196)</f>
        <v/>
      </c>
      <c r="I789" s="40" t="str">
        <f>IF(Agent04_Savings!A196="","",Agent04_Savings!J196)</f>
        <v/>
      </c>
      <c r="J789" s="40" t="str">
        <f>IF(Agent04_Savings!A196="","",Agent04_Savings!K196)</f>
        <v/>
      </c>
      <c r="K789" s="40" t="str">
        <f>IFERROR(IF(Agent04_Savings!A196="","",YEAR(Agent04_Savings!D196)),"")</f>
        <v/>
      </c>
    </row>
    <row r="790" spans="1:11" ht="18" customHeight="1" x14ac:dyDescent="0.25">
      <c r="A790" s="40" t="str">
        <f>IF(Agent04_Savings!A197="","",Agent04_Savings!A197)</f>
        <v/>
      </c>
      <c r="B790" s="40" t="str">
        <f ca="1">IF(Agent04_Savings!A197="","","SV"&amp;TEXT(790-3,"0000")&amp;"-"&amp;TEXT(TODAY(),"YYYYMMDD"))</f>
        <v/>
      </c>
      <c r="C790" s="40" t="str">
        <f>IF(Agent04_Savings!A197="","",Agent04_Savings!B197)</f>
        <v/>
      </c>
      <c r="D790" s="40" t="str">
        <f>IF(Agent04_Savings!A197="","",Agent04_Savings!G197)</f>
        <v/>
      </c>
      <c r="E790" s="41" t="str">
        <f>IF(Agent04_Savings!A197="","",Agent04_Savings!D197)</f>
        <v/>
      </c>
      <c r="F790" s="42" t="str">
        <f>IF(Agent04_Savings!A197="","",Agent04_Savings!E197)</f>
        <v/>
      </c>
      <c r="G790" s="42" t="str">
        <f>IF(Agent04_Savings!A197="","",Agent04_Savings!F197)</f>
        <v/>
      </c>
      <c r="H790" s="40" t="str">
        <f>IF(Agent04_Savings!A197="","",Agent04_Savings!I197)</f>
        <v/>
      </c>
      <c r="I790" s="40" t="str">
        <f>IF(Agent04_Savings!A197="","",Agent04_Savings!J197)</f>
        <v/>
      </c>
      <c r="J790" s="40" t="str">
        <f>IF(Agent04_Savings!A197="","",Agent04_Savings!K197)</f>
        <v/>
      </c>
      <c r="K790" s="40" t="str">
        <f>IFERROR(IF(Agent04_Savings!A197="","",YEAR(Agent04_Savings!D197)),"")</f>
        <v/>
      </c>
    </row>
    <row r="791" spans="1:11" ht="18" customHeight="1" x14ac:dyDescent="0.25">
      <c r="A791" s="40" t="str">
        <f>IF(Agent04_Savings!A198="","",Agent04_Savings!A198)</f>
        <v/>
      </c>
      <c r="B791" s="40" t="str">
        <f ca="1">IF(Agent04_Savings!A198="","","SV"&amp;TEXT(791-3,"0000")&amp;"-"&amp;TEXT(TODAY(),"YYYYMMDD"))</f>
        <v/>
      </c>
      <c r="C791" s="40" t="str">
        <f>IF(Agent04_Savings!A198="","",Agent04_Savings!B198)</f>
        <v/>
      </c>
      <c r="D791" s="40" t="str">
        <f>IF(Agent04_Savings!A198="","",Agent04_Savings!G198)</f>
        <v/>
      </c>
      <c r="E791" s="41" t="str">
        <f>IF(Agent04_Savings!A198="","",Agent04_Savings!D198)</f>
        <v/>
      </c>
      <c r="F791" s="42" t="str">
        <f>IF(Agent04_Savings!A198="","",Agent04_Savings!E198)</f>
        <v/>
      </c>
      <c r="G791" s="42" t="str">
        <f>IF(Agent04_Savings!A198="","",Agent04_Savings!F198)</f>
        <v/>
      </c>
      <c r="H791" s="40" t="str">
        <f>IF(Agent04_Savings!A198="","",Agent04_Savings!I198)</f>
        <v/>
      </c>
      <c r="I791" s="40" t="str">
        <f>IF(Agent04_Savings!A198="","",Agent04_Savings!J198)</f>
        <v/>
      </c>
      <c r="J791" s="40" t="str">
        <f>IF(Agent04_Savings!A198="","",Agent04_Savings!K198)</f>
        <v/>
      </c>
      <c r="K791" s="40" t="str">
        <f>IFERROR(IF(Agent04_Savings!A198="","",YEAR(Agent04_Savings!D198)),"")</f>
        <v/>
      </c>
    </row>
    <row r="792" spans="1:11" ht="18" customHeight="1" x14ac:dyDescent="0.25">
      <c r="A792" s="40" t="str">
        <f>IF(Agent04_Savings!A199="","",Agent04_Savings!A199)</f>
        <v/>
      </c>
      <c r="B792" s="40" t="str">
        <f ca="1">IF(Agent04_Savings!A199="","","SV"&amp;TEXT(792-3,"0000")&amp;"-"&amp;TEXT(TODAY(),"YYYYMMDD"))</f>
        <v/>
      </c>
      <c r="C792" s="40" t="str">
        <f>IF(Agent04_Savings!A199="","",Agent04_Savings!B199)</f>
        <v/>
      </c>
      <c r="D792" s="40" t="str">
        <f>IF(Agent04_Savings!A199="","",Agent04_Savings!G199)</f>
        <v/>
      </c>
      <c r="E792" s="41" t="str">
        <f>IF(Agent04_Savings!A199="","",Agent04_Savings!D199)</f>
        <v/>
      </c>
      <c r="F792" s="42" t="str">
        <f>IF(Agent04_Savings!A199="","",Agent04_Savings!E199)</f>
        <v/>
      </c>
      <c r="G792" s="42" t="str">
        <f>IF(Agent04_Savings!A199="","",Agent04_Savings!F199)</f>
        <v/>
      </c>
      <c r="H792" s="40" t="str">
        <f>IF(Agent04_Savings!A199="","",Agent04_Savings!I199)</f>
        <v/>
      </c>
      <c r="I792" s="40" t="str">
        <f>IF(Agent04_Savings!A199="","",Agent04_Savings!J199)</f>
        <v/>
      </c>
      <c r="J792" s="40" t="str">
        <f>IF(Agent04_Savings!A199="","",Agent04_Savings!K199)</f>
        <v/>
      </c>
      <c r="K792" s="40" t="str">
        <f>IFERROR(IF(Agent04_Savings!A199="","",YEAR(Agent04_Savings!D199)),"")</f>
        <v/>
      </c>
    </row>
    <row r="793" spans="1:11" ht="18" customHeight="1" x14ac:dyDescent="0.25">
      <c r="A793" s="40" t="str">
        <f>IF(Agent04_Savings!A200="","",Agent04_Savings!A200)</f>
        <v/>
      </c>
      <c r="B793" s="40" t="str">
        <f ca="1">IF(Agent04_Savings!A200="","","SV"&amp;TEXT(793-3,"0000")&amp;"-"&amp;TEXT(TODAY(),"YYYYMMDD"))</f>
        <v/>
      </c>
      <c r="C793" s="40" t="str">
        <f>IF(Agent04_Savings!A200="","",Agent04_Savings!B200)</f>
        <v/>
      </c>
      <c r="D793" s="40" t="str">
        <f>IF(Agent04_Savings!A200="","",Agent04_Savings!G200)</f>
        <v/>
      </c>
      <c r="E793" s="41" t="str">
        <f>IF(Agent04_Savings!A200="","",Agent04_Savings!D200)</f>
        <v/>
      </c>
      <c r="F793" s="42" t="str">
        <f>IF(Agent04_Savings!A200="","",Agent04_Savings!E200)</f>
        <v/>
      </c>
      <c r="G793" s="42" t="str">
        <f>IF(Agent04_Savings!A200="","",Agent04_Savings!F200)</f>
        <v/>
      </c>
      <c r="H793" s="40" t="str">
        <f>IF(Agent04_Savings!A200="","",Agent04_Savings!I200)</f>
        <v/>
      </c>
      <c r="I793" s="40" t="str">
        <f>IF(Agent04_Savings!A200="","",Agent04_Savings!J200)</f>
        <v/>
      </c>
      <c r="J793" s="40" t="str">
        <f>IF(Agent04_Savings!A200="","",Agent04_Savings!K200)</f>
        <v/>
      </c>
      <c r="K793" s="40" t="str">
        <f>IFERROR(IF(Agent04_Savings!A200="","",YEAR(Agent04_Savings!D200)),"")</f>
        <v/>
      </c>
    </row>
    <row r="794" spans="1:11" ht="18" customHeight="1" x14ac:dyDescent="0.25">
      <c r="A794" s="40" t="str">
        <f>IF(Agent04_Savings!A201="","",Agent04_Savings!A201)</f>
        <v/>
      </c>
      <c r="B794" s="40" t="str">
        <f ca="1">IF(Agent04_Savings!A201="","","SV"&amp;TEXT(794-3,"0000")&amp;"-"&amp;TEXT(TODAY(),"YYYYMMDD"))</f>
        <v/>
      </c>
      <c r="C794" s="40" t="str">
        <f>IF(Agent04_Savings!A201="","",Agent04_Savings!B201)</f>
        <v/>
      </c>
      <c r="D794" s="40" t="str">
        <f>IF(Agent04_Savings!A201="","",Agent04_Savings!G201)</f>
        <v/>
      </c>
      <c r="E794" s="41" t="str">
        <f>IF(Agent04_Savings!A201="","",Agent04_Savings!D201)</f>
        <v/>
      </c>
      <c r="F794" s="42" t="str">
        <f>IF(Agent04_Savings!A201="","",Agent04_Savings!E201)</f>
        <v/>
      </c>
      <c r="G794" s="42" t="str">
        <f>IF(Agent04_Savings!A201="","",Agent04_Savings!F201)</f>
        <v/>
      </c>
      <c r="H794" s="40" t="str">
        <f>IF(Agent04_Savings!A201="","",Agent04_Savings!I201)</f>
        <v/>
      </c>
      <c r="I794" s="40" t="str">
        <f>IF(Agent04_Savings!A201="","",Agent04_Savings!J201)</f>
        <v/>
      </c>
      <c r="J794" s="40" t="str">
        <f>IF(Agent04_Savings!A201="","",Agent04_Savings!K201)</f>
        <v/>
      </c>
      <c r="K794" s="40" t="str">
        <f>IFERROR(IF(Agent04_Savings!A201="","",YEAR(Agent04_Savings!D201)),"")</f>
        <v/>
      </c>
    </row>
    <row r="795" spans="1:11" ht="18" customHeight="1" x14ac:dyDescent="0.25">
      <c r="A795" s="40" t="str">
        <f>IF(Agent04_Savings!A202="","",Agent04_Savings!A202)</f>
        <v/>
      </c>
      <c r="B795" s="40" t="str">
        <f ca="1">IF(Agent04_Savings!A202="","","SV"&amp;TEXT(795-3,"0000")&amp;"-"&amp;TEXT(TODAY(),"YYYYMMDD"))</f>
        <v/>
      </c>
      <c r="C795" s="40" t="str">
        <f>IF(Agent04_Savings!A202="","",Agent04_Savings!B202)</f>
        <v/>
      </c>
      <c r="D795" s="40" t="str">
        <f>IF(Agent04_Savings!A202="","",Agent04_Savings!G202)</f>
        <v/>
      </c>
      <c r="E795" s="41" t="str">
        <f>IF(Agent04_Savings!A202="","",Agent04_Savings!D202)</f>
        <v/>
      </c>
      <c r="F795" s="42" t="str">
        <f>IF(Agent04_Savings!A202="","",Agent04_Savings!E202)</f>
        <v/>
      </c>
      <c r="G795" s="42" t="str">
        <f>IF(Agent04_Savings!A202="","",Agent04_Savings!F202)</f>
        <v/>
      </c>
      <c r="H795" s="40" t="str">
        <f>IF(Agent04_Savings!A202="","",Agent04_Savings!I202)</f>
        <v/>
      </c>
      <c r="I795" s="40" t="str">
        <f>IF(Agent04_Savings!A202="","",Agent04_Savings!J202)</f>
        <v/>
      </c>
      <c r="J795" s="40" t="str">
        <f>IF(Agent04_Savings!A202="","",Agent04_Savings!K202)</f>
        <v/>
      </c>
      <c r="K795" s="40" t="str">
        <f>IFERROR(IF(Agent04_Savings!A202="","",YEAR(Agent04_Savings!D202)),"")</f>
        <v/>
      </c>
    </row>
    <row r="796" spans="1:11" ht="18" customHeight="1" x14ac:dyDescent="0.25">
      <c r="A796" s="40" t="str">
        <f>IF(Agent04_Savings!A203="","",Agent04_Savings!A203)</f>
        <v/>
      </c>
      <c r="B796" s="40" t="str">
        <f ca="1">IF(Agent04_Savings!A203="","","SV"&amp;TEXT(796-3,"0000")&amp;"-"&amp;TEXT(TODAY(),"YYYYMMDD"))</f>
        <v/>
      </c>
      <c r="C796" s="40" t="str">
        <f>IF(Agent04_Savings!A203="","",Agent04_Savings!B203)</f>
        <v/>
      </c>
      <c r="D796" s="40" t="str">
        <f>IF(Agent04_Savings!A203="","",Agent04_Savings!G203)</f>
        <v/>
      </c>
      <c r="E796" s="41" t="str">
        <f>IF(Agent04_Savings!A203="","",Agent04_Savings!D203)</f>
        <v/>
      </c>
      <c r="F796" s="42" t="str">
        <f>IF(Agent04_Savings!A203="","",Agent04_Savings!E203)</f>
        <v/>
      </c>
      <c r="G796" s="42" t="str">
        <f>IF(Agent04_Savings!A203="","",Agent04_Savings!F203)</f>
        <v/>
      </c>
      <c r="H796" s="40" t="str">
        <f>IF(Agent04_Savings!A203="","",Agent04_Savings!I203)</f>
        <v/>
      </c>
      <c r="I796" s="40" t="str">
        <f>IF(Agent04_Savings!A203="","",Agent04_Savings!J203)</f>
        <v/>
      </c>
      <c r="J796" s="40" t="str">
        <f>IF(Agent04_Savings!A203="","",Agent04_Savings!K203)</f>
        <v/>
      </c>
      <c r="K796" s="40" t="str">
        <f>IFERROR(IF(Agent04_Savings!A203="","",YEAR(Agent04_Savings!D203)),"")</f>
        <v/>
      </c>
    </row>
    <row r="797" spans="1:11" ht="18" customHeight="1" x14ac:dyDescent="0.25">
      <c r="A797" s="40" t="str">
        <f>IF(Agent04_Savings!A204="","",Agent04_Savings!A204)</f>
        <v/>
      </c>
      <c r="B797" s="40" t="str">
        <f ca="1">IF(Agent04_Savings!A204="","","SV"&amp;TEXT(797-3,"0000")&amp;"-"&amp;TEXT(TODAY(),"YYYYMMDD"))</f>
        <v/>
      </c>
      <c r="C797" s="40" t="str">
        <f>IF(Agent04_Savings!A204="","",Agent04_Savings!B204)</f>
        <v/>
      </c>
      <c r="D797" s="40" t="str">
        <f>IF(Agent04_Savings!A204="","",Agent04_Savings!G204)</f>
        <v/>
      </c>
      <c r="E797" s="41" t="str">
        <f>IF(Agent04_Savings!A204="","",Agent04_Savings!D204)</f>
        <v/>
      </c>
      <c r="F797" s="42" t="str">
        <f>IF(Agent04_Savings!A204="","",Agent04_Savings!E204)</f>
        <v/>
      </c>
      <c r="G797" s="42" t="str">
        <f>IF(Agent04_Savings!A204="","",Agent04_Savings!F204)</f>
        <v/>
      </c>
      <c r="H797" s="40" t="str">
        <f>IF(Agent04_Savings!A204="","",Agent04_Savings!I204)</f>
        <v/>
      </c>
      <c r="I797" s="40" t="str">
        <f>IF(Agent04_Savings!A204="","",Agent04_Savings!J204)</f>
        <v/>
      </c>
      <c r="J797" s="40" t="str">
        <f>IF(Agent04_Savings!A204="","",Agent04_Savings!K204)</f>
        <v/>
      </c>
      <c r="K797" s="40" t="str">
        <f>IFERROR(IF(Agent04_Savings!A204="","",YEAR(Agent04_Savings!D204)),"")</f>
        <v/>
      </c>
    </row>
    <row r="798" spans="1:11" ht="18" customHeight="1" x14ac:dyDescent="0.25">
      <c r="A798" s="40" t="str">
        <f>IF(Agent04_Savings!A205="","",Agent04_Savings!A205)</f>
        <v/>
      </c>
      <c r="B798" s="40" t="str">
        <f ca="1">IF(Agent04_Savings!A205="","","SV"&amp;TEXT(798-3,"0000")&amp;"-"&amp;TEXT(TODAY(),"YYYYMMDD"))</f>
        <v/>
      </c>
      <c r="C798" s="40" t="str">
        <f>IF(Agent04_Savings!A205="","",Agent04_Savings!B205)</f>
        <v/>
      </c>
      <c r="D798" s="40" t="str">
        <f>IF(Agent04_Savings!A205="","",Agent04_Savings!G205)</f>
        <v/>
      </c>
      <c r="E798" s="41" t="str">
        <f>IF(Agent04_Savings!A205="","",Agent04_Savings!D205)</f>
        <v/>
      </c>
      <c r="F798" s="42" t="str">
        <f>IF(Agent04_Savings!A205="","",Agent04_Savings!E205)</f>
        <v/>
      </c>
      <c r="G798" s="42" t="str">
        <f>IF(Agent04_Savings!A205="","",Agent04_Savings!F205)</f>
        <v/>
      </c>
      <c r="H798" s="40" t="str">
        <f>IF(Agent04_Savings!A205="","",Agent04_Savings!I205)</f>
        <v/>
      </c>
      <c r="I798" s="40" t="str">
        <f>IF(Agent04_Savings!A205="","",Agent04_Savings!J205)</f>
        <v/>
      </c>
      <c r="J798" s="40" t="str">
        <f>IF(Agent04_Savings!A205="","",Agent04_Savings!K205)</f>
        <v/>
      </c>
      <c r="K798" s="40" t="str">
        <f>IFERROR(IF(Agent04_Savings!A205="","",YEAR(Agent04_Savings!D205)),"")</f>
        <v/>
      </c>
    </row>
    <row r="799" spans="1:11" ht="18" customHeight="1" x14ac:dyDescent="0.25">
      <c r="A799" s="40" t="str">
        <f>IF(Agent04_Savings!A206="","",Agent04_Savings!A206)</f>
        <v/>
      </c>
      <c r="B799" s="40" t="str">
        <f ca="1">IF(Agent04_Savings!A206="","","SV"&amp;TEXT(799-3,"0000")&amp;"-"&amp;TEXT(TODAY(),"YYYYMMDD"))</f>
        <v/>
      </c>
      <c r="C799" s="40" t="str">
        <f>IF(Agent04_Savings!A206="","",Agent04_Savings!B206)</f>
        <v/>
      </c>
      <c r="D799" s="40" t="str">
        <f>IF(Agent04_Savings!A206="","",Agent04_Savings!G206)</f>
        <v/>
      </c>
      <c r="E799" s="41" t="str">
        <f>IF(Agent04_Savings!A206="","",Agent04_Savings!D206)</f>
        <v/>
      </c>
      <c r="F799" s="42" t="str">
        <f>IF(Agent04_Savings!A206="","",Agent04_Savings!E206)</f>
        <v/>
      </c>
      <c r="G799" s="42" t="str">
        <f>IF(Agent04_Savings!A206="","",Agent04_Savings!F206)</f>
        <v/>
      </c>
      <c r="H799" s="40" t="str">
        <f>IF(Agent04_Savings!A206="","",Agent04_Savings!I206)</f>
        <v/>
      </c>
      <c r="I799" s="40" t="str">
        <f>IF(Agent04_Savings!A206="","",Agent04_Savings!J206)</f>
        <v/>
      </c>
      <c r="J799" s="40" t="str">
        <f>IF(Agent04_Savings!A206="","",Agent04_Savings!K206)</f>
        <v/>
      </c>
      <c r="K799" s="40" t="str">
        <f>IFERROR(IF(Agent04_Savings!A206="","",YEAR(Agent04_Savings!D206)),"")</f>
        <v/>
      </c>
    </row>
    <row r="800" spans="1:11" ht="18" customHeight="1" x14ac:dyDescent="0.25">
      <c r="A800" s="40" t="str">
        <f>IF(Agent04_Savings!A207="","",Agent04_Savings!A207)</f>
        <v/>
      </c>
      <c r="B800" s="40" t="str">
        <f ca="1">IF(Agent04_Savings!A207="","","SV"&amp;TEXT(800-3,"0000")&amp;"-"&amp;TEXT(TODAY(),"YYYYMMDD"))</f>
        <v/>
      </c>
      <c r="C800" s="40" t="str">
        <f>IF(Agent04_Savings!A207="","",Agent04_Savings!B207)</f>
        <v/>
      </c>
      <c r="D800" s="40" t="str">
        <f>IF(Agent04_Savings!A207="","",Agent04_Savings!G207)</f>
        <v/>
      </c>
      <c r="E800" s="41" t="str">
        <f>IF(Agent04_Savings!A207="","",Agent04_Savings!D207)</f>
        <v/>
      </c>
      <c r="F800" s="42" t="str">
        <f>IF(Agent04_Savings!A207="","",Agent04_Savings!E207)</f>
        <v/>
      </c>
      <c r="G800" s="42" t="str">
        <f>IF(Agent04_Savings!A207="","",Agent04_Savings!F207)</f>
        <v/>
      </c>
      <c r="H800" s="40" t="str">
        <f>IF(Agent04_Savings!A207="","",Agent04_Savings!I207)</f>
        <v/>
      </c>
      <c r="I800" s="40" t="str">
        <f>IF(Agent04_Savings!A207="","",Agent04_Savings!J207)</f>
        <v/>
      </c>
      <c r="J800" s="40" t="str">
        <f>IF(Agent04_Savings!A207="","",Agent04_Savings!K207)</f>
        <v/>
      </c>
      <c r="K800" s="40" t="str">
        <f>IFERROR(IF(Agent04_Savings!A207="","",YEAR(Agent04_Savings!D207)),"")</f>
        <v/>
      </c>
    </row>
    <row r="801" spans="1:11" ht="18" customHeight="1" x14ac:dyDescent="0.25">
      <c r="A801" s="40" t="str">
        <f>IF(Agent04_Savings!A208="","",Agent04_Savings!A208)</f>
        <v/>
      </c>
      <c r="B801" s="40" t="str">
        <f ca="1">IF(Agent04_Savings!A208="","","SV"&amp;TEXT(801-3,"0000")&amp;"-"&amp;TEXT(TODAY(),"YYYYMMDD"))</f>
        <v/>
      </c>
      <c r="C801" s="40" t="str">
        <f>IF(Agent04_Savings!A208="","",Agent04_Savings!B208)</f>
        <v/>
      </c>
      <c r="D801" s="40" t="str">
        <f>IF(Agent04_Savings!A208="","",Agent04_Savings!G208)</f>
        <v/>
      </c>
      <c r="E801" s="41" t="str">
        <f>IF(Agent04_Savings!A208="","",Agent04_Savings!D208)</f>
        <v/>
      </c>
      <c r="F801" s="42" t="str">
        <f>IF(Agent04_Savings!A208="","",Agent04_Savings!E208)</f>
        <v/>
      </c>
      <c r="G801" s="42" t="str">
        <f>IF(Agent04_Savings!A208="","",Agent04_Savings!F208)</f>
        <v/>
      </c>
      <c r="H801" s="40" t="str">
        <f>IF(Agent04_Savings!A208="","",Agent04_Savings!I208)</f>
        <v/>
      </c>
      <c r="I801" s="40" t="str">
        <f>IF(Agent04_Savings!A208="","",Agent04_Savings!J208)</f>
        <v/>
      </c>
      <c r="J801" s="40" t="str">
        <f>IF(Agent04_Savings!A208="","",Agent04_Savings!K208)</f>
        <v/>
      </c>
      <c r="K801" s="40" t="str">
        <f>IFERROR(IF(Agent04_Savings!A208="","",YEAR(Agent04_Savings!D208)),"")</f>
        <v/>
      </c>
    </row>
    <row r="802" spans="1:11" ht="18" customHeight="1" x14ac:dyDescent="0.25">
      <c r="A802" s="40" t="str">
        <f>IF(Agent04_Savings!A209="","",Agent04_Savings!A209)</f>
        <v/>
      </c>
      <c r="B802" s="40" t="str">
        <f ca="1">IF(Agent04_Savings!A209="","","SV"&amp;TEXT(802-3,"0000")&amp;"-"&amp;TEXT(TODAY(),"YYYYMMDD"))</f>
        <v/>
      </c>
      <c r="C802" s="40" t="str">
        <f>IF(Agent04_Savings!A209="","",Agent04_Savings!B209)</f>
        <v/>
      </c>
      <c r="D802" s="40" t="str">
        <f>IF(Agent04_Savings!A209="","",Agent04_Savings!G209)</f>
        <v/>
      </c>
      <c r="E802" s="41" t="str">
        <f>IF(Agent04_Savings!A209="","",Agent04_Savings!D209)</f>
        <v/>
      </c>
      <c r="F802" s="42" t="str">
        <f>IF(Agent04_Savings!A209="","",Agent04_Savings!E209)</f>
        <v/>
      </c>
      <c r="G802" s="42" t="str">
        <f>IF(Agent04_Savings!A209="","",Agent04_Savings!F209)</f>
        <v/>
      </c>
      <c r="H802" s="40" t="str">
        <f>IF(Agent04_Savings!A209="","",Agent04_Savings!I209)</f>
        <v/>
      </c>
      <c r="I802" s="40" t="str">
        <f>IF(Agent04_Savings!A209="","",Agent04_Savings!J209)</f>
        <v/>
      </c>
      <c r="J802" s="40" t="str">
        <f>IF(Agent04_Savings!A209="","",Agent04_Savings!K209)</f>
        <v/>
      </c>
      <c r="K802" s="40" t="str">
        <f>IFERROR(IF(Agent04_Savings!A209="","",YEAR(Agent04_Savings!D209)),"")</f>
        <v/>
      </c>
    </row>
    <row r="803" spans="1:11" ht="18" customHeight="1" x14ac:dyDescent="0.25">
      <c r="A803" s="40" t="str">
        <f>IF(Agent04_Savings!A210="","",Agent04_Savings!A210)</f>
        <v/>
      </c>
      <c r="B803" s="40" t="str">
        <f ca="1">IF(Agent04_Savings!A210="","","SV"&amp;TEXT(803-3,"0000")&amp;"-"&amp;TEXT(TODAY(),"YYYYMMDD"))</f>
        <v/>
      </c>
      <c r="C803" s="40" t="str">
        <f>IF(Agent04_Savings!A210="","",Agent04_Savings!B210)</f>
        <v/>
      </c>
      <c r="D803" s="40" t="str">
        <f>IF(Agent04_Savings!A210="","",Agent04_Savings!G210)</f>
        <v/>
      </c>
      <c r="E803" s="41" t="str">
        <f>IF(Agent04_Savings!A210="","",Agent04_Savings!D210)</f>
        <v/>
      </c>
      <c r="F803" s="42" t="str">
        <f>IF(Agent04_Savings!A210="","",Agent04_Savings!E210)</f>
        <v/>
      </c>
      <c r="G803" s="42" t="str">
        <f>IF(Agent04_Savings!A210="","",Agent04_Savings!F210)</f>
        <v/>
      </c>
      <c r="H803" s="40" t="str">
        <f>IF(Agent04_Savings!A210="","",Agent04_Savings!I210)</f>
        <v/>
      </c>
      <c r="I803" s="40" t="str">
        <f>IF(Agent04_Savings!A210="","",Agent04_Savings!J210)</f>
        <v/>
      </c>
      <c r="J803" s="40" t="str">
        <f>IF(Agent04_Savings!A210="","",Agent04_Savings!K210)</f>
        <v/>
      </c>
      <c r="K803" s="40" t="str">
        <f>IFERROR(IF(Agent04_Savings!A210="","",YEAR(Agent04_Savings!D210)),"")</f>
        <v/>
      </c>
    </row>
    <row r="804" spans="1:11" ht="18" customHeight="1" x14ac:dyDescent="0.25">
      <c r="A804" s="40" t="str">
        <f>IF(Agent05_Savings!A11="","",Agent05_Savings!A11)</f>
        <v/>
      </c>
      <c r="B804" s="40" t="str">
        <f ca="1">IF(Agent05_Savings!A11="","","SV"&amp;TEXT(804-3,"0000")&amp;"-"&amp;TEXT(TODAY(),"YYYYMMDD"))</f>
        <v/>
      </c>
      <c r="C804" s="40" t="str">
        <f>IF(Agent05_Savings!A11="","",Agent05_Savings!B11)</f>
        <v/>
      </c>
      <c r="D804" s="40" t="str">
        <f>IF(Agent05_Savings!A11="","",Agent05_Savings!G11)</f>
        <v/>
      </c>
      <c r="E804" s="41" t="str">
        <f>IF(Agent05_Savings!A11="","",Agent05_Savings!D11)</f>
        <v/>
      </c>
      <c r="F804" s="42" t="str">
        <f>IF(Agent05_Savings!A11="","",Agent05_Savings!E11)</f>
        <v/>
      </c>
      <c r="G804" s="42" t="str">
        <f>IF(Agent05_Savings!A11="","",Agent05_Savings!F11)</f>
        <v/>
      </c>
      <c r="H804" s="40" t="str">
        <f>IF(Agent05_Savings!A11="","",Agent05_Savings!I11)</f>
        <v/>
      </c>
      <c r="I804" s="40" t="str">
        <f>IF(Agent05_Savings!A11="","",Agent05_Savings!J11)</f>
        <v/>
      </c>
      <c r="J804" s="40" t="str">
        <f>IF(Agent05_Savings!A11="","",Agent05_Savings!K11)</f>
        <v/>
      </c>
      <c r="K804" s="40" t="str">
        <f>IFERROR(IF(Agent05_Savings!A11="","",YEAR(Agent05_Savings!D11)),"")</f>
        <v/>
      </c>
    </row>
    <row r="805" spans="1:11" ht="18" customHeight="1" x14ac:dyDescent="0.25">
      <c r="A805" s="40" t="str">
        <f>IF(Agent05_Savings!A12="","",Agent05_Savings!A12)</f>
        <v/>
      </c>
      <c r="B805" s="40" t="str">
        <f ca="1">IF(Agent05_Savings!A12="","","SV"&amp;TEXT(805-3,"0000")&amp;"-"&amp;TEXT(TODAY(),"YYYYMMDD"))</f>
        <v/>
      </c>
      <c r="C805" s="40" t="str">
        <f>IF(Agent05_Savings!A12="","",Agent05_Savings!B12)</f>
        <v/>
      </c>
      <c r="D805" s="40" t="str">
        <f>IF(Agent05_Savings!A12="","",Agent05_Savings!G12)</f>
        <v/>
      </c>
      <c r="E805" s="41" t="str">
        <f>IF(Agent05_Savings!A12="","",Agent05_Savings!D12)</f>
        <v/>
      </c>
      <c r="F805" s="42" t="str">
        <f>IF(Agent05_Savings!A12="","",Agent05_Savings!E12)</f>
        <v/>
      </c>
      <c r="G805" s="42" t="str">
        <f>IF(Agent05_Savings!A12="","",Agent05_Savings!F12)</f>
        <v/>
      </c>
      <c r="H805" s="40" t="str">
        <f>IF(Agent05_Savings!A12="","",Agent05_Savings!I12)</f>
        <v/>
      </c>
      <c r="I805" s="40" t="str">
        <f>IF(Agent05_Savings!A12="","",Agent05_Savings!J12)</f>
        <v/>
      </c>
      <c r="J805" s="40" t="str">
        <f>IF(Agent05_Savings!A12="","",Agent05_Savings!K12)</f>
        <v/>
      </c>
      <c r="K805" s="40" t="str">
        <f>IFERROR(IF(Agent05_Savings!A12="","",YEAR(Agent05_Savings!D12)),"")</f>
        <v/>
      </c>
    </row>
    <row r="806" spans="1:11" ht="18" customHeight="1" x14ac:dyDescent="0.25">
      <c r="A806" s="40" t="str">
        <f>IF(Agent05_Savings!A13="","",Agent05_Savings!A13)</f>
        <v/>
      </c>
      <c r="B806" s="40" t="str">
        <f ca="1">IF(Agent05_Savings!A13="","","SV"&amp;TEXT(806-3,"0000")&amp;"-"&amp;TEXT(TODAY(),"YYYYMMDD"))</f>
        <v/>
      </c>
      <c r="C806" s="40" t="str">
        <f>IF(Agent05_Savings!A13="","",Agent05_Savings!B13)</f>
        <v/>
      </c>
      <c r="D806" s="40" t="str">
        <f>IF(Agent05_Savings!A13="","",Agent05_Savings!G13)</f>
        <v/>
      </c>
      <c r="E806" s="41" t="str">
        <f>IF(Agent05_Savings!A13="","",Agent05_Savings!D13)</f>
        <v/>
      </c>
      <c r="F806" s="42" t="str">
        <f>IF(Agent05_Savings!A13="","",Agent05_Savings!E13)</f>
        <v/>
      </c>
      <c r="G806" s="42" t="str">
        <f>IF(Agent05_Savings!A13="","",Agent05_Savings!F13)</f>
        <v/>
      </c>
      <c r="H806" s="40" t="str">
        <f>IF(Agent05_Savings!A13="","",Agent05_Savings!I13)</f>
        <v/>
      </c>
      <c r="I806" s="40" t="str">
        <f>IF(Agent05_Savings!A13="","",Agent05_Savings!J13)</f>
        <v/>
      </c>
      <c r="J806" s="40" t="str">
        <f>IF(Agent05_Savings!A13="","",Agent05_Savings!K13)</f>
        <v/>
      </c>
      <c r="K806" s="40" t="str">
        <f>IFERROR(IF(Agent05_Savings!A13="","",YEAR(Agent05_Savings!D13)),"")</f>
        <v/>
      </c>
    </row>
    <row r="807" spans="1:11" ht="18" customHeight="1" x14ac:dyDescent="0.25">
      <c r="A807" s="40" t="str">
        <f>IF(Agent05_Savings!A14="","",Agent05_Savings!A14)</f>
        <v/>
      </c>
      <c r="B807" s="40" t="str">
        <f ca="1">IF(Agent05_Savings!A14="","","SV"&amp;TEXT(807-3,"0000")&amp;"-"&amp;TEXT(TODAY(),"YYYYMMDD"))</f>
        <v/>
      </c>
      <c r="C807" s="40" t="str">
        <f>IF(Agent05_Savings!A14="","",Agent05_Savings!B14)</f>
        <v/>
      </c>
      <c r="D807" s="40" t="str">
        <f>IF(Agent05_Savings!A14="","",Agent05_Savings!G14)</f>
        <v/>
      </c>
      <c r="E807" s="41" t="str">
        <f>IF(Agent05_Savings!A14="","",Agent05_Savings!D14)</f>
        <v/>
      </c>
      <c r="F807" s="42" t="str">
        <f>IF(Agent05_Savings!A14="","",Agent05_Savings!E14)</f>
        <v/>
      </c>
      <c r="G807" s="42" t="str">
        <f>IF(Agent05_Savings!A14="","",Agent05_Savings!F14)</f>
        <v/>
      </c>
      <c r="H807" s="40" t="str">
        <f>IF(Agent05_Savings!A14="","",Agent05_Savings!I14)</f>
        <v/>
      </c>
      <c r="I807" s="40" t="str">
        <f>IF(Agent05_Savings!A14="","",Agent05_Savings!J14)</f>
        <v/>
      </c>
      <c r="J807" s="40" t="str">
        <f>IF(Agent05_Savings!A14="","",Agent05_Savings!K14)</f>
        <v/>
      </c>
      <c r="K807" s="40" t="str">
        <f>IFERROR(IF(Agent05_Savings!A14="","",YEAR(Agent05_Savings!D14)),"")</f>
        <v/>
      </c>
    </row>
    <row r="808" spans="1:11" ht="18" customHeight="1" x14ac:dyDescent="0.25">
      <c r="A808" s="40" t="str">
        <f>IF(Agent05_Savings!A15="","",Agent05_Savings!A15)</f>
        <v/>
      </c>
      <c r="B808" s="40" t="str">
        <f ca="1">IF(Agent05_Savings!A15="","","SV"&amp;TEXT(808-3,"0000")&amp;"-"&amp;TEXT(TODAY(),"YYYYMMDD"))</f>
        <v/>
      </c>
      <c r="C808" s="40" t="str">
        <f>IF(Agent05_Savings!A15="","",Agent05_Savings!B15)</f>
        <v/>
      </c>
      <c r="D808" s="40" t="str">
        <f>IF(Agent05_Savings!A15="","",Agent05_Savings!G15)</f>
        <v/>
      </c>
      <c r="E808" s="41" t="str">
        <f>IF(Agent05_Savings!A15="","",Agent05_Savings!D15)</f>
        <v/>
      </c>
      <c r="F808" s="42" t="str">
        <f>IF(Agent05_Savings!A15="","",Agent05_Savings!E15)</f>
        <v/>
      </c>
      <c r="G808" s="42" t="str">
        <f>IF(Agent05_Savings!A15="","",Agent05_Savings!F15)</f>
        <v/>
      </c>
      <c r="H808" s="40" t="str">
        <f>IF(Agent05_Savings!A15="","",Agent05_Savings!I15)</f>
        <v/>
      </c>
      <c r="I808" s="40" t="str">
        <f>IF(Agent05_Savings!A15="","",Agent05_Savings!J15)</f>
        <v/>
      </c>
      <c r="J808" s="40" t="str">
        <f>IF(Agent05_Savings!A15="","",Agent05_Savings!K15)</f>
        <v/>
      </c>
      <c r="K808" s="40" t="str">
        <f>IFERROR(IF(Agent05_Savings!A15="","",YEAR(Agent05_Savings!D15)),"")</f>
        <v/>
      </c>
    </row>
    <row r="809" spans="1:11" ht="18" customHeight="1" x14ac:dyDescent="0.25">
      <c r="A809" s="40" t="str">
        <f>IF(Agent05_Savings!A16="","",Agent05_Savings!A16)</f>
        <v/>
      </c>
      <c r="B809" s="40" t="str">
        <f ca="1">IF(Agent05_Savings!A16="","","SV"&amp;TEXT(809-3,"0000")&amp;"-"&amp;TEXT(TODAY(),"YYYYMMDD"))</f>
        <v/>
      </c>
      <c r="C809" s="40" t="str">
        <f>IF(Agent05_Savings!A16="","",Agent05_Savings!B16)</f>
        <v/>
      </c>
      <c r="D809" s="40" t="str">
        <f>IF(Agent05_Savings!A16="","",Agent05_Savings!G16)</f>
        <v/>
      </c>
      <c r="E809" s="41" t="str">
        <f>IF(Agent05_Savings!A16="","",Agent05_Savings!D16)</f>
        <v/>
      </c>
      <c r="F809" s="42" t="str">
        <f>IF(Agent05_Savings!A16="","",Agent05_Savings!E16)</f>
        <v/>
      </c>
      <c r="G809" s="42" t="str">
        <f>IF(Agent05_Savings!A16="","",Agent05_Savings!F16)</f>
        <v/>
      </c>
      <c r="H809" s="40" t="str">
        <f>IF(Agent05_Savings!A16="","",Agent05_Savings!I16)</f>
        <v/>
      </c>
      <c r="I809" s="40" t="str">
        <f>IF(Agent05_Savings!A16="","",Agent05_Savings!J16)</f>
        <v/>
      </c>
      <c r="J809" s="40" t="str">
        <f>IF(Agent05_Savings!A16="","",Agent05_Savings!K16)</f>
        <v/>
      </c>
      <c r="K809" s="40" t="str">
        <f>IFERROR(IF(Agent05_Savings!A16="","",YEAR(Agent05_Savings!D16)),"")</f>
        <v/>
      </c>
    </row>
    <row r="810" spans="1:11" ht="18" customHeight="1" x14ac:dyDescent="0.25">
      <c r="A810" s="40" t="str">
        <f>IF(Agent05_Savings!A17="","",Agent05_Savings!A17)</f>
        <v/>
      </c>
      <c r="B810" s="40" t="str">
        <f ca="1">IF(Agent05_Savings!A17="","","SV"&amp;TEXT(810-3,"0000")&amp;"-"&amp;TEXT(TODAY(),"YYYYMMDD"))</f>
        <v/>
      </c>
      <c r="C810" s="40" t="str">
        <f>IF(Agent05_Savings!A17="","",Agent05_Savings!B17)</f>
        <v/>
      </c>
      <c r="D810" s="40" t="str">
        <f>IF(Agent05_Savings!A17="","",Agent05_Savings!G17)</f>
        <v/>
      </c>
      <c r="E810" s="41" t="str">
        <f>IF(Agent05_Savings!A17="","",Agent05_Savings!D17)</f>
        <v/>
      </c>
      <c r="F810" s="42" t="str">
        <f>IF(Agent05_Savings!A17="","",Agent05_Savings!E17)</f>
        <v/>
      </c>
      <c r="G810" s="42" t="str">
        <f>IF(Agent05_Savings!A17="","",Agent05_Savings!F17)</f>
        <v/>
      </c>
      <c r="H810" s="40" t="str">
        <f>IF(Agent05_Savings!A17="","",Agent05_Savings!I17)</f>
        <v/>
      </c>
      <c r="I810" s="40" t="str">
        <f>IF(Agent05_Savings!A17="","",Agent05_Savings!J17)</f>
        <v/>
      </c>
      <c r="J810" s="40" t="str">
        <f>IF(Agent05_Savings!A17="","",Agent05_Savings!K17)</f>
        <v/>
      </c>
      <c r="K810" s="40" t="str">
        <f>IFERROR(IF(Agent05_Savings!A17="","",YEAR(Agent05_Savings!D17)),"")</f>
        <v/>
      </c>
    </row>
    <row r="811" spans="1:11" ht="18" customHeight="1" x14ac:dyDescent="0.25">
      <c r="A811" s="40" t="str">
        <f>IF(Agent05_Savings!A18="","",Agent05_Savings!A18)</f>
        <v/>
      </c>
      <c r="B811" s="40" t="str">
        <f ca="1">IF(Agent05_Savings!A18="","","SV"&amp;TEXT(811-3,"0000")&amp;"-"&amp;TEXT(TODAY(),"YYYYMMDD"))</f>
        <v/>
      </c>
      <c r="C811" s="40" t="str">
        <f>IF(Agent05_Savings!A18="","",Agent05_Savings!B18)</f>
        <v/>
      </c>
      <c r="D811" s="40" t="str">
        <f>IF(Agent05_Savings!A18="","",Agent05_Savings!G18)</f>
        <v/>
      </c>
      <c r="E811" s="41" t="str">
        <f>IF(Agent05_Savings!A18="","",Agent05_Savings!D18)</f>
        <v/>
      </c>
      <c r="F811" s="42" t="str">
        <f>IF(Agent05_Savings!A18="","",Agent05_Savings!E18)</f>
        <v/>
      </c>
      <c r="G811" s="42" t="str">
        <f>IF(Agent05_Savings!A18="","",Agent05_Savings!F18)</f>
        <v/>
      </c>
      <c r="H811" s="40" t="str">
        <f>IF(Agent05_Savings!A18="","",Agent05_Savings!I18)</f>
        <v/>
      </c>
      <c r="I811" s="40" t="str">
        <f>IF(Agent05_Savings!A18="","",Agent05_Savings!J18)</f>
        <v/>
      </c>
      <c r="J811" s="40" t="str">
        <f>IF(Agent05_Savings!A18="","",Agent05_Savings!K18)</f>
        <v/>
      </c>
      <c r="K811" s="40" t="str">
        <f>IFERROR(IF(Agent05_Savings!A18="","",YEAR(Agent05_Savings!D18)),"")</f>
        <v/>
      </c>
    </row>
    <row r="812" spans="1:11" ht="18" customHeight="1" x14ac:dyDescent="0.25">
      <c r="A812" s="40" t="str">
        <f>IF(Agent05_Savings!A19="","",Agent05_Savings!A19)</f>
        <v/>
      </c>
      <c r="B812" s="40" t="str">
        <f ca="1">IF(Agent05_Savings!A19="","","SV"&amp;TEXT(812-3,"0000")&amp;"-"&amp;TEXT(TODAY(),"YYYYMMDD"))</f>
        <v/>
      </c>
      <c r="C812" s="40" t="str">
        <f>IF(Agent05_Savings!A19="","",Agent05_Savings!B19)</f>
        <v/>
      </c>
      <c r="D812" s="40" t="str">
        <f>IF(Agent05_Savings!A19="","",Agent05_Savings!G19)</f>
        <v/>
      </c>
      <c r="E812" s="41" t="str">
        <f>IF(Agent05_Savings!A19="","",Agent05_Savings!D19)</f>
        <v/>
      </c>
      <c r="F812" s="42" t="str">
        <f>IF(Agent05_Savings!A19="","",Agent05_Savings!E19)</f>
        <v/>
      </c>
      <c r="G812" s="42" t="str">
        <f>IF(Agent05_Savings!A19="","",Agent05_Savings!F19)</f>
        <v/>
      </c>
      <c r="H812" s="40" t="str">
        <f>IF(Agent05_Savings!A19="","",Agent05_Savings!I19)</f>
        <v/>
      </c>
      <c r="I812" s="40" t="str">
        <f>IF(Agent05_Savings!A19="","",Agent05_Savings!J19)</f>
        <v/>
      </c>
      <c r="J812" s="40" t="str">
        <f>IF(Agent05_Savings!A19="","",Agent05_Savings!K19)</f>
        <v/>
      </c>
      <c r="K812" s="40" t="str">
        <f>IFERROR(IF(Agent05_Savings!A19="","",YEAR(Agent05_Savings!D19)),"")</f>
        <v/>
      </c>
    </row>
    <row r="813" spans="1:11" ht="18" customHeight="1" x14ac:dyDescent="0.25">
      <c r="A813" s="40" t="str">
        <f>IF(Agent05_Savings!A20="","",Agent05_Savings!A20)</f>
        <v/>
      </c>
      <c r="B813" s="40" t="str">
        <f ca="1">IF(Agent05_Savings!A20="","","SV"&amp;TEXT(813-3,"0000")&amp;"-"&amp;TEXT(TODAY(),"YYYYMMDD"))</f>
        <v/>
      </c>
      <c r="C813" s="40" t="str">
        <f>IF(Agent05_Savings!A20="","",Agent05_Savings!B20)</f>
        <v/>
      </c>
      <c r="D813" s="40" t="str">
        <f>IF(Agent05_Savings!A20="","",Agent05_Savings!G20)</f>
        <v/>
      </c>
      <c r="E813" s="41" t="str">
        <f>IF(Agent05_Savings!A20="","",Agent05_Savings!D20)</f>
        <v/>
      </c>
      <c r="F813" s="42" t="str">
        <f>IF(Agent05_Savings!A20="","",Agent05_Savings!E20)</f>
        <v/>
      </c>
      <c r="G813" s="42" t="str">
        <f>IF(Agent05_Savings!A20="","",Agent05_Savings!F20)</f>
        <v/>
      </c>
      <c r="H813" s="40" t="str">
        <f>IF(Agent05_Savings!A20="","",Agent05_Savings!I20)</f>
        <v/>
      </c>
      <c r="I813" s="40" t="str">
        <f>IF(Agent05_Savings!A20="","",Agent05_Savings!J20)</f>
        <v/>
      </c>
      <c r="J813" s="40" t="str">
        <f>IF(Agent05_Savings!A20="","",Agent05_Savings!K20)</f>
        <v/>
      </c>
      <c r="K813" s="40" t="str">
        <f>IFERROR(IF(Agent05_Savings!A20="","",YEAR(Agent05_Savings!D20)),"")</f>
        <v/>
      </c>
    </row>
    <row r="814" spans="1:11" ht="18" customHeight="1" x14ac:dyDescent="0.25">
      <c r="A814" s="40" t="str">
        <f>IF(Agent05_Savings!A21="","",Agent05_Savings!A21)</f>
        <v/>
      </c>
      <c r="B814" s="40" t="str">
        <f ca="1">IF(Agent05_Savings!A21="","","SV"&amp;TEXT(814-3,"0000")&amp;"-"&amp;TEXT(TODAY(),"YYYYMMDD"))</f>
        <v/>
      </c>
      <c r="C814" s="40" t="str">
        <f>IF(Agent05_Savings!A21="","",Agent05_Savings!B21)</f>
        <v/>
      </c>
      <c r="D814" s="40" t="str">
        <f>IF(Agent05_Savings!A21="","",Agent05_Savings!G21)</f>
        <v/>
      </c>
      <c r="E814" s="41" t="str">
        <f>IF(Agent05_Savings!A21="","",Agent05_Savings!D21)</f>
        <v/>
      </c>
      <c r="F814" s="42" t="str">
        <f>IF(Agent05_Savings!A21="","",Agent05_Savings!E21)</f>
        <v/>
      </c>
      <c r="G814" s="42" t="str">
        <f>IF(Agent05_Savings!A21="","",Agent05_Savings!F21)</f>
        <v/>
      </c>
      <c r="H814" s="40" t="str">
        <f>IF(Agent05_Savings!A21="","",Agent05_Savings!I21)</f>
        <v/>
      </c>
      <c r="I814" s="40" t="str">
        <f>IF(Agent05_Savings!A21="","",Agent05_Savings!J21)</f>
        <v/>
      </c>
      <c r="J814" s="40" t="str">
        <f>IF(Agent05_Savings!A21="","",Agent05_Savings!K21)</f>
        <v/>
      </c>
      <c r="K814" s="40" t="str">
        <f>IFERROR(IF(Agent05_Savings!A21="","",YEAR(Agent05_Savings!D21)),"")</f>
        <v/>
      </c>
    </row>
    <row r="815" spans="1:11" ht="18" customHeight="1" x14ac:dyDescent="0.25">
      <c r="A815" s="40" t="str">
        <f>IF(Agent05_Savings!A22="","",Agent05_Savings!A22)</f>
        <v/>
      </c>
      <c r="B815" s="40" t="str">
        <f ca="1">IF(Agent05_Savings!A22="","","SV"&amp;TEXT(815-3,"0000")&amp;"-"&amp;TEXT(TODAY(),"YYYYMMDD"))</f>
        <v/>
      </c>
      <c r="C815" s="40" t="str">
        <f>IF(Agent05_Savings!A22="","",Agent05_Savings!B22)</f>
        <v/>
      </c>
      <c r="D815" s="40" t="str">
        <f>IF(Agent05_Savings!A22="","",Agent05_Savings!G22)</f>
        <v/>
      </c>
      <c r="E815" s="41" t="str">
        <f>IF(Agent05_Savings!A22="","",Agent05_Savings!D22)</f>
        <v/>
      </c>
      <c r="F815" s="42" t="str">
        <f>IF(Agent05_Savings!A22="","",Agent05_Savings!E22)</f>
        <v/>
      </c>
      <c r="G815" s="42" t="str">
        <f>IF(Agent05_Savings!A22="","",Agent05_Savings!F22)</f>
        <v/>
      </c>
      <c r="H815" s="40" t="str">
        <f>IF(Agent05_Savings!A22="","",Agent05_Savings!I22)</f>
        <v/>
      </c>
      <c r="I815" s="40" t="str">
        <f>IF(Agent05_Savings!A22="","",Agent05_Savings!J22)</f>
        <v/>
      </c>
      <c r="J815" s="40" t="str">
        <f>IF(Agent05_Savings!A22="","",Agent05_Savings!K22)</f>
        <v/>
      </c>
      <c r="K815" s="40" t="str">
        <f>IFERROR(IF(Agent05_Savings!A22="","",YEAR(Agent05_Savings!D22)),"")</f>
        <v/>
      </c>
    </row>
    <row r="816" spans="1:11" ht="18" customHeight="1" x14ac:dyDescent="0.25">
      <c r="A816" s="40" t="str">
        <f>IF(Agent05_Savings!A23="","",Agent05_Savings!A23)</f>
        <v/>
      </c>
      <c r="B816" s="40" t="str">
        <f ca="1">IF(Agent05_Savings!A23="","","SV"&amp;TEXT(816-3,"0000")&amp;"-"&amp;TEXT(TODAY(),"YYYYMMDD"))</f>
        <v/>
      </c>
      <c r="C816" s="40" t="str">
        <f>IF(Agent05_Savings!A23="","",Agent05_Savings!B23)</f>
        <v/>
      </c>
      <c r="D816" s="40" t="str">
        <f>IF(Agent05_Savings!A23="","",Agent05_Savings!G23)</f>
        <v/>
      </c>
      <c r="E816" s="41" t="str">
        <f>IF(Agent05_Savings!A23="","",Agent05_Savings!D23)</f>
        <v/>
      </c>
      <c r="F816" s="42" t="str">
        <f>IF(Agent05_Savings!A23="","",Agent05_Savings!E23)</f>
        <v/>
      </c>
      <c r="G816" s="42" t="str">
        <f>IF(Agent05_Savings!A23="","",Agent05_Savings!F23)</f>
        <v/>
      </c>
      <c r="H816" s="40" t="str">
        <f>IF(Agent05_Savings!A23="","",Agent05_Savings!I23)</f>
        <v/>
      </c>
      <c r="I816" s="40" t="str">
        <f>IF(Agent05_Savings!A23="","",Agent05_Savings!J23)</f>
        <v/>
      </c>
      <c r="J816" s="40" t="str">
        <f>IF(Agent05_Savings!A23="","",Agent05_Savings!K23)</f>
        <v/>
      </c>
      <c r="K816" s="40" t="str">
        <f>IFERROR(IF(Agent05_Savings!A23="","",YEAR(Agent05_Savings!D23)),"")</f>
        <v/>
      </c>
    </row>
    <row r="817" spans="1:11" ht="18" customHeight="1" x14ac:dyDescent="0.25">
      <c r="A817" s="40" t="str">
        <f>IF(Agent05_Savings!A24="","",Agent05_Savings!A24)</f>
        <v/>
      </c>
      <c r="B817" s="40" t="str">
        <f ca="1">IF(Agent05_Savings!A24="","","SV"&amp;TEXT(817-3,"0000")&amp;"-"&amp;TEXT(TODAY(),"YYYYMMDD"))</f>
        <v/>
      </c>
      <c r="C817" s="40" t="str">
        <f>IF(Agent05_Savings!A24="","",Agent05_Savings!B24)</f>
        <v/>
      </c>
      <c r="D817" s="40" t="str">
        <f>IF(Agent05_Savings!A24="","",Agent05_Savings!G24)</f>
        <v/>
      </c>
      <c r="E817" s="41" t="str">
        <f>IF(Agent05_Savings!A24="","",Agent05_Savings!D24)</f>
        <v/>
      </c>
      <c r="F817" s="42" t="str">
        <f>IF(Agent05_Savings!A24="","",Agent05_Savings!E24)</f>
        <v/>
      </c>
      <c r="G817" s="42" t="str">
        <f>IF(Agent05_Savings!A24="","",Agent05_Savings!F24)</f>
        <v/>
      </c>
      <c r="H817" s="40" t="str">
        <f>IF(Agent05_Savings!A24="","",Agent05_Savings!I24)</f>
        <v/>
      </c>
      <c r="I817" s="40" t="str">
        <f>IF(Agent05_Savings!A24="","",Agent05_Savings!J24)</f>
        <v/>
      </c>
      <c r="J817" s="40" t="str">
        <f>IF(Agent05_Savings!A24="","",Agent05_Savings!K24)</f>
        <v/>
      </c>
      <c r="K817" s="40" t="str">
        <f>IFERROR(IF(Agent05_Savings!A24="","",YEAR(Agent05_Savings!D24)),"")</f>
        <v/>
      </c>
    </row>
    <row r="818" spans="1:11" ht="18" customHeight="1" x14ac:dyDescent="0.25">
      <c r="A818" s="40" t="str">
        <f>IF(Agent05_Savings!A25="","",Agent05_Savings!A25)</f>
        <v/>
      </c>
      <c r="B818" s="40" t="str">
        <f ca="1">IF(Agent05_Savings!A25="","","SV"&amp;TEXT(818-3,"0000")&amp;"-"&amp;TEXT(TODAY(),"YYYYMMDD"))</f>
        <v/>
      </c>
      <c r="C818" s="40" t="str">
        <f>IF(Agent05_Savings!A25="","",Agent05_Savings!B25)</f>
        <v/>
      </c>
      <c r="D818" s="40" t="str">
        <f>IF(Agent05_Savings!A25="","",Agent05_Savings!G25)</f>
        <v/>
      </c>
      <c r="E818" s="41" t="str">
        <f>IF(Agent05_Savings!A25="","",Agent05_Savings!D25)</f>
        <v/>
      </c>
      <c r="F818" s="42" t="str">
        <f>IF(Agent05_Savings!A25="","",Agent05_Savings!E25)</f>
        <v/>
      </c>
      <c r="G818" s="42" t="str">
        <f>IF(Agent05_Savings!A25="","",Agent05_Savings!F25)</f>
        <v/>
      </c>
      <c r="H818" s="40" t="str">
        <f>IF(Agent05_Savings!A25="","",Agent05_Savings!I25)</f>
        <v/>
      </c>
      <c r="I818" s="40" t="str">
        <f>IF(Agent05_Savings!A25="","",Agent05_Savings!J25)</f>
        <v/>
      </c>
      <c r="J818" s="40" t="str">
        <f>IF(Agent05_Savings!A25="","",Agent05_Savings!K25)</f>
        <v/>
      </c>
      <c r="K818" s="40" t="str">
        <f>IFERROR(IF(Agent05_Savings!A25="","",YEAR(Agent05_Savings!D25)),"")</f>
        <v/>
      </c>
    </row>
    <row r="819" spans="1:11" ht="18" customHeight="1" x14ac:dyDescent="0.25">
      <c r="A819" s="40" t="str">
        <f>IF(Agent05_Savings!A26="","",Agent05_Savings!A26)</f>
        <v/>
      </c>
      <c r="B819" s="40" t="str">
        <f ca="1">IF(Agent05_Savings!A26="","","SV"&amp;TEXT(819-3,"0000")&amp;"-"&amp;TEXT(TODAY(),"YYYYMMDD"))</f>
        <v/>
      </c>
      <c r="C819" s="40" t="str">
        <f>IF(Agent05_Savings!A26="","",Agent05_Savings!B26)</f>
        <v/>
      </c>
      <c r="D819" s="40" t="str">
        <f>IF(Agent05_Savings!A26="","",Agent05_Savings!G26)</f>
        <v/>
      </c>
      <c r="E819" s="41" t="str">
        <f>IF(Agent05_Savings!A26="","",Agent05_Savings!D26)</f>
        <v/>
      </c>
      <c r="F819" s="42" t="str">
        <f>IF(Agent05_Savings!A26="","",Agent05_Savings!E26)</f>
        <v/>
      </c>
      <c r="G819" s="42" t="str">
        <f>IF(Agent05_Savings!A26="","",Agent05_Savings!F26)</f>
        <v/>
      </c>
      <c r="H819" s="40" t="str">
        <f>IF(Agent05_Savings!A26="","",Agent05_Savings!I26)</f>
        <v/>
      </c>
      <c r="I819" s="40" t="str">
        <f>IF(Agent05_Savings!A26="","",Agent05_Savings!J26)</f>
        <v/>
      </c>
      <c r="J819" s="40" t="str">
        <f>IF(Agent05_Savings!A26="","",Agent05_Savings!K26)</f>
        <v/>
      </c>
      <c r="K819" s="40" t="str">
        <f>IFERROR(IF(Agent05_Savings!A26="","",YEAR(Agent05_Savings!D26)),"")</f>
        <v/>
      </c>
    </row>
    <row r="820" spans="1:11" ht="18" customHeight="1" x14ac:dyDescent="0.25">
      <c r="A820" s="40" t="str">
        <f>IF(Agent05_Savings!A27="","",Agent05_Savings!A27)</f>
        <v/>
      </c>
      <c r="B820" s="40" t="str">
        <f ca="1">IF(Agent05_Savings!A27="","","SV"&amp;TEXT(820-3,"0000")&amp;"-"&amp;TEXT(TODAY(),"YYYYMMDD"))</f>
        <v/>
      </c>
      <c r="C820" s="40" t="str">
        <f>IF(Agent05_Savings!A27="","",Agent05_Savings!B27)</f>
        <v/>
      </c>
      <c r="D820" s="40" t="str">
        <f>IF(Agent05_Savings!A27="","",Agent05_Savings!G27)</f>
        <v/>
      </c>
      <c r="E820" s="41" t="str">
        <f>IF(Agent05_Savings!A27="","",Agent05_Savings!D27)</f>
        <v/>
      </c>
      <c r="F820" s="42" t="str">
        <f>IF(Agent05_Savings!A27="","",Agent05_Savings!E27)</f>
        <v/>
      </c>
      <c r="G820" s="42" t="str">
        <f>IF(Agent05_Savings!A27="","",Agent05_Savings!F27)</f>
        <v/>
      </c>
      <c r="H820" s="40" t="str">
        <f>IF(Agent05_Savings!A27="","",Agent05_Savings!I27)</f>
        <v/>
      </c>
      <c r="I820" s="40" t="str">
        <f>IF(Agent05_Savings!A27="","",Agent05_Savings!J27)</f>
        <v/>
      </c>
      <c r="J820" s="40" t="str">
        <f>IF(Agent05_Savings!A27="","",Agent05_Savings!K27)</f>
        <v/>
      </c>
      <c r="K820" s="40" t="str">
        <f>IFERROR(IF(Agent05_Savings!A27="","",YEAR(Agent05_Savings!D27)),"")</f>
        <v/>
      </c>
    </row>
    <row r="821" spans="1:11" ht="18" customHeight="1" x14ac:dyDescent="0.25">
      <c r="A821" s="40" t="str">
        <f>IF(Agent05_Savings!A28="","",Agent05_Savings!A28)</f>
        <v/>
      </c>
      <c r="B821" s="40" t="str">
        <f ca="1">IF(Agent05_Savings!A28="","","SV"&amp;TEXT(821-3,"0000")&amp;"-"&amp;TEXT(TODAY(),"YYYYMMDD"))</f>
        <v/>
      </c>
      <c r="C821" s="40" t="str">
        <f>IF(Agent05_Savings!A28="","",Agent05_Savings!B28)</f>
        <v/>
      </c>
      <c r="D821" s="40" t="str">
        <f>IF(Agent05_Savings!A28="","",Agent05_Savings!G28)</f>
        <v/>
      </c>
      <c r="E821" s="41" t="str">
        <f>IF(Agent05_Savings!A28="","",Agent05_Savings!D28)</f>
        <v/>
      </c>
      <c r="F821" s="42" t="str">
        <f>IF(Agent05_Savings!A28="","",Agent05_Savings!E28)</f>
        <v/>
      </c>
      <c r="G821" s="42" t="str">
        <f>IF(Agent05_Savings!A28="","",Agent05_Savings!F28)</f>
        <v/>
      </c>
      <c r="H821" s="40" t="str">
        <f>IF(Agent05_Savings!A28="","",Agent05_Savings!I28)</f>
        <v/>
      </c>
      <c r="I821" s="40" t="str">
        <f>IF(Agent05_Savings!A28="","",Agent05_Savings!J28)</f>
        <v/>
      </c>
      <c r="J821" s="40" t="str">
        <f>IF(Agent05_Savings!A28="","",Agent05_Savings!K28)</f>
        <v/>
      </c>
      <c r="K821" s="40" t="str">
        <f>IFERROR(IF(Agent05_Savings!A28="","",YEAR(Agent05_Savings!D28)),"")</f>
        <v/>
      </c>
    </row>
    <row r="822" spans="1:11" ht="18" customHeight="1" x14ac:dyDescent="0.25">
      <c r="A822" s="40" t="str">
        <f>IF(Agent05_Savings!A29="","",Agent05_Savings!A29)</f>
        <v/>
      </c>
      <c r="B822" s="40" t="str">
        <f ca="1">IF(Agent05_Savings!A29="","","SV"&amp;TEXT(822-3,"0000")&amp;"-"&amp;TEXT(TODAY(),"YYYYMMDD"))</f>
        <v/>
      </c>
      <c r="C822" s="40" t="str">
        <f>IF(Agent05_Savings!A29="","",Agent05_Savings!B29)</f>
        <v/>
      </c>
      <c r="D822" s="40" t="str">
        <f>IF(Agent05_Savings!A29="","",Agent05_Savings!G29)</f>
        <v/>
      </c>
      <c r="E822" s="41" t="str">
        <f>IF(Agent05_Savings!A29="","",Agent05_Savings!D29)</f>
        <v/>
      </c>
      <c r="F822" s="42" t="str">
        <f>IF(Agent05_Savings!A29="","",Agent05_Savings!E29)</f>
        <v/>
      </c>
      <c r="G822" s="42" t="str">
        <f>IF(Agent05_Savings!A29="","",Agent05_Savings!F29)</f>
        <v/>
      </c>
      <c r="H822" s="40" t="str">
        <f>IF(Agent05_Savings!A29="","",Agent05_Savings!I29)</f>
        <v/>
      </c>
      <c r="I822" s="40" t="str">
        <f>IF(Agent05_Savings!A29="","",Agent05_Savings!J29)</f>
        <v/>
      </c>
      <c r="J822" s="40" t="str">
        <f>IF(Agent05_Savings!A29="","",Agent05_Savings!K29)</f>
        <v/>
      </c>
      <c r="K822" s="40" t="str">
        <f>IFERROR(IF(Agent05_Savings!A29="","",YEAR(Agent05_Savings!D29)),"")</f>
        <v/>
      </c>
    </row>
    <row r="823" spans="1:11" ht="18" customHeight="1" x14ac:dyDescent="0.25">
      <c r="A823" s="40" t="str">
        <f>IF(Agent05_Savings!A30="","",Agent05_Savings!A30)</f>
        <v/>
      </c>
      <c r="B823" s="40" t="str">
        <f ca="1">IF(Agent05_Savings!A30="","","SV"&amp;TEXT(823-3,"0000")&amp;"-"&amp;TEXT(TODAY(),"YYYYMMDD"))</f>
        <v/>
      </c>
      <c r="C823" s="40" t="str">
        <f>IF(Agent05_Savings!A30="","",Agent05_Savings!B30)</f>
        <v/>
      </c>
      <c r="D823" s="40" t="str">
        <f>IF(Agent05_Savings!A30="","",Agent05_Savings!G30)</f>
        <v/>
      </c>
      <c r="E823" s="41" t="str">
        <f>IF(Agent05_Savings!A30="","",Agent05_Savings!D30)</f>
        <v/>
      </c>
      <c r="F823" s="42" t="str">
        <f>IF(Agent05_Savings!A30="","",Agent05_Savings!E30)</f>
        <v/>
      </c>
      <c r="G823" s="42" t="str">
        <f>IF(Agent05_Savings!A30="","",Agent05_Savings!F30)</f>
        <v/>
      </c>
      <c r="H823" s="40" t="str">
        <f>IF(Agent05_Savings!A30="","",Agent05_Savings!I30)</f>
        <v/>
      </c>
      <c r="I823" s="40" t="str">
        <f>IF(Agent05_Savings!A30="","",Agent05_Savings!J30)</f>
        <v/>
      </c>
      <c r="J823" s="40" t="str">
        <f>IF(Agent05_Savings!A30="","",Agent05_Savings!K30)</f>
        <v/>
      </c>
      <c r="K823" s="40" t="str">
        <f>IFERROR(IF(Agent05_Savings!A30="","",YEAR(Agent05_Savings!D30)),"")</f>
        <v/>
      </c>
    </row>
    <row r="824" spans="1:11" ht="18" customHeight="1" x14ac:dyDescent="0.25">
      <c r="A824" s="40" t="str">
        <f>IF(Agent05_Savings!A31="","",Agent05_Savings!A31)</f>
        <v/>
      </c>
      <c r="B824" s="40" t="str">
        <f ca="1">IF(Agent05_Savings!A31="","","SV"&amp;TEXT(824-3,"0000")&amp;"-"&amp;TEXT(TODAY(),"YYYYMMDD"))</f>
        <v/>
      </c>
      <c r="C824" s="40" t="str">
        <f>IF(Agent05_Savings!A31="","",Agent05_Savings!B31)</f>
        <v/>
      </c>
      <c r="D824" s="40" t="str">
        <f>IF(Agent05_Savings!A31="","",Agent05_Savings!G31)</f>
        <v/>
      </c>
      <c r="E824" s="41" t="str">
        <f>IF(Agent05_Savings!A31="","",Agent05_Savings!D31)</f>
        <v/>
      </c>
      <c r="F824" s="42" t="str">
        <f>IF(Agent05_Savings!A31="","",Agent05_Savings!E31)</f>
        <v/>
      </c>
      <c r="G824" s="42" t="str">
        <f>IF(Agent05_Savings!A31="","",Agent05_Savings!F31)</f>
        <v/>
      </c>
      <c r="H824" s="40" t="str">
        <f>IF(Agent05_Savings!A31="","",Agent05_Savings!I31)</f>
        <v/>
      </c>
      <c r="I824" s="40" t="str">
        <f>IF(Agent05_Savings!A31="","",Agent05_Savings!J31)</f>
        <v/>
      </c>
      <c r="J824" s="40" t="str">
        <f>IF(Agent05_Savings!A31="","",Agent05_Savings!K31)</f>
        <v/>
      </c>
      <c r="K824" s="40" t="str">
        <f>IFERROR(IF(Agent05_Savings!A31="","",YEAR(Agent05_Savings!D31)),"")</f>
        <v/>
      </c>
    </row>
    <row r="825" spans="1:11" ht="18" customHeight="1" x14ac:dyDescent="0.25">
      <c r="A825" s="40" t="str">
        <f>IF(Agent05_Savings!A32="","",Agent05_Savings!A32)</f>
        <v/>
      </c>
      <c r="B825" s="40" t="str">
        <f ca="1">IF(Agent05_Savings!A32="","","SV"&amp;TEXT(825-3,"0000")&amp;"-"&amp;TEXT(TODAY(),"YYYYMMDD"))</f>
        <v/>
      </c>
      <c r="C825" s="40" t="str">
        <f>IF(Agent05_Savings!A32="","",Agent05_Savings!B32)</f>
        <v/>
      </c>
      <c r="D825" s="40" t="str">
        <f>IF(Agent05_Savings!A32="","",Agent05_Savings!G32)</f>
        <v/>
      </c>
      <c r="E825" s="41" t="str">
        <f>IF(Agent05_Savings!A32="","",Agent05_Savings!D32)</f>
        <v/>
      </c>
      <c r="F825" s="42" t="str">
        <f>IF(Agent05_Savings!A32="","",Agent05_Savings!E32)</f>
        <v/>
      </c>
      <c r="G825" s="42" t="str">
        <f>IF(Agent05_Savings!A32="","",Agent05_Savings!F32)</f>
        <v/>
      </c>
      <c r="H825" s="40" t="str">
        <f>IF(Agent05_Savings!A32="","",Agent05_Savings!I32)</f>
        <v/>
      </c>
      <c r="I825" s="40" t="str">
        <f>IF(Agent05_Savings!A32="","",Agent05_Savings!J32)</f>
        <v/>
      </c>
      <c r="J825" s="40" t="str">
        <f>IF(Agent05_Savings!A32="","",Agent05_Savings!K32)</f>
        <v/>
      </c>
      <c r="K825" s="40" t="str">
        <f>IFERROR(IF(Agent05_Savings!A32="","",YEAR(Agent05_Savings!D32)),"")</f>
        <v/>
      </c>
    </row>
    <row r="826" spans="1:11" ht="18" customHeight="1" x14ac:dyDescent="0.25">
      <c r="A826" s="40" t="str">
        <f>IF(Agent05_Savings!A33="","",Agent05_Savings!A33)</f>
        <v/>
      </c>
      <c r="B826" s="40" t="str">
        <f ca="1">IF(Agent05_Savings!A33="","","SV"&amp;TEXT(826-3,"0000")&amp;"-"&amp;TEXT(TODAY(),"YYYYMMDD"))</f>
        <v/>
      </c>
      <c r="C826" s="40" t="str">
        <f>IF(Agent05_Savings!A33="","",Agent05_Savings!B33)</f>
        <v/>
      </c>
      <c r="D826" s="40" t="str">
        <f>IF(Agent05_Savings!A33="","",Agent05_Savings!G33)</f>
        <v/>
      </c>
      <c r="E826" s="41" t="str">
        <f>IF(Agent05_Savings!A33="","",Agent05_Savings!D33)</f>
        <v/>
      </c>
      <c r="F826" s="42" t="str">
        <f>IF(Agent05_Savings!A33="","",Agent05_Savings!E33)</f>
        <v/>
      </c>
      <c r="G826" s="42" t="str">
        <f>IF(Agent05_Savings!A33="","",Agent05_Savings!F33)</f>
        <v/>
      </c>
      <c r="H826" s="40" t="str">
        <f>IF(Agent05_Savings!A33="","",Agent05_Savings!I33)</f>
        <v/>
      </c>
      <c r="I826" s="40" t="str">
        <f>IF(Agent05_Savings!A33="","",Agent05_Savings!J33)</f>
        <v/>
      </c>
      <c r="J826" s="40" t="str">
        <f>IF(Agent05_Savings!A33="","",Agent05_Savings!K33)</f>
        <v/>
      </c>
      <c r="K826" s="40" t="str">
        <f>IFERROR(IF(Agent05_Savings!A33="","",YEAR(Agent05_Savings!D33)),"")</f>
        <v/>
      </c>
    </row>
    <row r="827" spans="1:11" ht="18" customHeight="1" x14ac:dyDescent="0.25">
      <c r="A827" s="40" t="str">
        <f>IF(Agent05_Savings!A34="","",Agent05_Savings!A34)</f>
        <v/>
      </c>
      <c r="B827" s="40" t="str">
        <f ca="1">IF(Agent05_Savings!A34="","","SV"&amp;TEXT(827-3,"0000")&amp;"-"&amp;TEXT(TODAY(),"YYYYMMDD"))</f>
        <v/>
      </c>
      <c r="C827" s="40" t="str">
        <f>IF(Agent05_Savings!A34="","",Agent05_Savings!B34)</f>
        <v/>
      </c>
      <c r="D827" s="40" t="str">
        <f>IF(Agent05_Savings!A34="","",Agent05_Savings!G34)</f>
        <v/>
      </c>
      <c r="E827" s="41" t="str">
        <f>IF(Agent05_Savings!A34="","",Agent05_Savings!D34)</f>
        <v/>
      </c>
      <c r="F827" s="42" t="str">
        <f>IF(Agent05_Savings!A34="","",Agent05_Savings!E34)</f>
        <v/>
      </c>
      <c r="G827" s="42" t="str">
        <f>IF(Agent05_Savings!A34="","",Agent05_Savings!F34)</f>
        <v/>
      </c>
      <c r="H827" s="40" t="str">
        <f>IF(Agent05_Savings!A34="","",Agent05_Savings!I34)</f>
        <v/>
      </c>
      <c r="I827" s="40" t="str">
        <f>IF(Agent05_Savings!A34="","",Agent05_Savings!J34)</f>
        <v/>
      </c>
      <c r="J827" s="40" t="str">
        <f>IF(Agent05_Savings!A34="","",Agent05_Savings!K34)</f>
        <v/>
      </c>
      <c r="K827" s="40" t="str">
        <f>IFERROR(IF(Agent05_Savings!A34="","",YEAR(Agent05_Savings!D34)),"")</f>
        <v/>
      </c>
    </row>
    <row r="828" spans="1:11" ht="18" customHeight="1" x14ac:dyDescent="0.25">
      <c r="A828" s="40" t="str">
        <f>IF(Agent05_Savings!A35="","",Agent05_Savings!A35)</f>
        <v/>
      </c>
      <c r="B828" s="40" t="str">
        <f ca="1">IF(Agent05_Savings!A35="","","SV"&amp;TEXT(828-3,"0000")&amp;"-"&amp;TEXT(TODAY(),"YYYYMMDD"))</f>
        <v/>
      </c>
      <c r="C828" s="40" t="str">
        <f>IF(Agent05_Savings!A35="","",Agent05_Savings!B35)</f>
        <v/>
      </c>
      <c r="D828" s="40" t="str">
        <f>IF(Agent05_Savings!A35="","",Agent05_Savings!G35)</f>
        <v/>
      </c>
      <c r="E828" s="41" t="str">
        <f>IF(Agent05_Savings!A35="","",Agent05_Savings!D35)</f>
        <v/>
      </c>
      <c r="F828" s="42" t="str">
        <f>IF(Agent05_Savings!A35="","",Agent05_Savings!E35)</f>
        <v/>
      </c>
      <c r="G828" s="42" t="str">
        <f>IF(Agent05_Savings!A35="","",Agent05_Savings!F35)</f>
        <v/>
      </c>
      <c r="H828" s="40" t="str">
        <f>IF(Agent05_Savings!A35="","",Agent05_Savings!I35)</f>
        <v/>
      </c>
      <c r="I828" s="40" t="str">
        <f>IF(Agent05_Savings!A35="","",Agent05_Savings!J35)</f>
        <v/>
      </c>
      <c r="J828" s="40" t="str">
        <f>IF(Agent05_Savings!A35="","",Agent05_Savings!K35)</f>
        <v/>
      </c>
      <c r="K828" s="40" t="str">
        <f>IFERROR(IF(Agent05_Savings!A35="","",YEAR(Agent05_Savings!D35)),"")</f>
        <v/>
      </c>
    </row>
    <row r="829" spans="1:11" ht="18" customHeight="1" x14ac:dyDescent="0.25">
      <c r="A829" s="40" t="str">
        <f>IF(Agent05_Savings!A36="","",Agent05_Savings!A36)</f>
        <v/>
      </c>
      <c r="B829" s="40" t="str">
        <f ca="1">IF(Agent05_Savings!A36="","","SV"&amp;TEXT(829-3,"0000")&amp;"-"&amp;TEXT(TODAY(),"YYYYMMDD"))</f>
        <v/>
      </c>
      <c r="C829" s="40" t="str">
        <f>IF(Agent05_Savings!A36="","",Agent05_Savings!B36)</f>
        <v/>
      </c>
      <c r="D829" s="40" t="str">
        <f>IF(Agent05_Savings!A36="","",Agent05_Savings!G36)</f>
        <v/>
      </c>
      <c r="E829" s="41" t="str">
        <f>IF(Agent05_Savings!A36="","",Agent05_Savings!D36)</f>
        <v/>
      </c>
      <c r="F829" s="42" t="str">
        <f>IF(Agent05_Savings!A36="","",Agent05_Savings!E36)</f>
        <v/>
      </c>
      <c r="G829" s="42" t="str">
        <f>IF(Agent05_Savings!A36="","",Agent05_Savings!F36)</f>
        <v/>
      </c>
      <c r="H829" s="40" t="str">
        <f>IF(Agent05_Savings!A36="","",Agent05_Savings!I36)</f>
        <v/>
      </c>
      <c r="I829" s="40" t="str">
        <f>IF(Agent05_Savings!A36="","",Agent05_Savings!J36)</f>
        <v/>
      </c>
      <c r="J829" s="40" t="str">
        <f>IF(Agent05_Savings!A36="","",Agent05_Savings!K36)</f>
        <v/>
      </c>
      <c r="K829" s="40" t="str">
        <f>IFERROR(IF(Agent05_Savings!A36="","",YEAR(Agent05_Savings!D36)),"")</f>
        <v/>
      </c>
    </row>
    <row r="830" spans="1:11" ht="18" customHeight="1" x14ac:dyDescent="0.25">
      <c r="A830" s="40" t="str">
        <f>IF(Agent05_Savings!A37="","",Agent05_Savings!A37)</f>
        <v/>
      </c>
      <c r="B830" s="40" t="str">
        <f ca="1">IF(Agent05_Savings!A37="","","SV"&amp;TEXT(830-3,"0000")&amp;"-"&amp;TEXT(TODAY(),"YYYYMMDD"))</f>
        <v/>
      </c>
      <c r="C830" s="40" t="str">
        <f>IF(Agent05_Savings!A37="","",Agent05_Savings!B37)</f>
        <v/>
      </c>
      <c r="D830" s="40" t="str">
        <f>IF(Agent05_Savings!A37="","",Agent05_Savings!G37)</f>
        <v/>
      </c>
      <c r="E830" s="41" t="str">
        <f>IF(Agent05_Savings!A37="","",Agent05_Savings!D37)</f>
        <v/>
      </c>
      <c r="F830" s="42" t="str">
        <f>IF(Agent05_Savings!A37="","",Agent05_Savings!E37)</f>
        <v/>
      </c>
      <c r="G830" s="42" t="str">
        <f>IF(Agent05_Savings!A37="","",Agent05_Savings!F37)</f>
        <v/>
      </c>
      <c r="H830" s="40" t="str">
        <f>IF(Agent05_Savings!A37="","",Agent05_Savings!I37)</f>
        <v/>
      </c>
      <c r="I830" s="40" t="str">
        <f>IF(Agent05_Savings!A37="","",Agent05_Savings!J37)</f>
        <v/>
      </c>
      <c r="J830" s="40" t="str">
        <f>IF(Agent05_Savings!A37="","",Agent05_Savings!K37)</f>
        <v/>
      </c>
      <c r="K830" s="40" t="str">
        <f>IFERROR(IF(Agent05_Savings!A37="","",YEAR(Agent05_Savings!D37)),"")</f>
        <v/>
      </c>
    </row>
    <row r="831" spans="1:11" ht="18" customHeight="1" x14ac:dyDescent="0.25">
      <c r="A831" s="40" t="str">
        <f>IF(Agent05_Savings!A38="","",Agent05_Savings!A38)</f>
        <v/>
      </c>
      <c r="B831" s="40" t="str">
        <f ca="1">IF(Agent05_Savings!A38="","","SV"&amp;TEXT(831-3,"0000")&amp;"-"&amp;TEXT(TODAY(),"YYYYMMDD"))</f>
        <v/>
      </c>
      <c r="C831" s="40" t="str">
        <f>IF(Agent05_Savings!A38="","",Agent05_Savings!B38)</f>
        <v/>
      </c>
      <c r="D831" s="40" t="str">
        <f>IF(Agent05_Savings!A38="","",Agent05_Savings!G38)</f>
        <v/>
      </c>
      <c r="E831" s="41" t="str">
        <f>IF(Agent05_Savings!A38="","",Agent05_Savings!D38)</f>
        <v/>
      </c>
      <c r="F831" s="42" t="str">
        <f>IF(Agent05_Savings!A38="","",Agent05_Savings!E38)</f>
        <v/>
      </c>
      <c r="G831" s="42" t="str">
        <f>IF(Agent05_Savings!A38="","",Agent05_Savings!F38)</f>
        <v/>
      </c>
      <c r="H831" s="40" t="str">
        <f>IF(Agent05_Savings!A38="","",Agent05_Savings!I38)</f>
        <v/>
      </c>
      <c r="I831" s="40" t="str">
        <f>IF(Agent05_Savings!A38="","",Agent05_Savings!J38)</f>
        <v/>
      </c>
      <c r="J831" s="40" t="str">
        <f>IF(Agent05_Savings!A38="","",Agent05_Savings!K38)</f>
        <v/>
      </c>
      <c r="K831" s="40" t="str">
        <f>IFERROR(IF(Agent05_Savings!A38="","",YEAR(Agent05_Savings!D38)),"")</f>
        <v/>
      </c>
    </row>
    <row r="832" spans="1:11" ht="18" customHeight="1" x14ac:dyDescent="0.25">
      <c r="A832" s="40" t="str">
        <f>IF(Agent05_Savings!A39="","",Agent05_Savings!A39)</f>
        <v/>
      </c>
      <c r="B832" s="40" t="str">
        <f ca="1">IF(Agent05_Savings!A39="","","SV"&amp;TEXT(832-3,"0000")&amp;"-"&amp;TEXT(TODAY(),"YYYYMMDD"))</f>
        <v/>
      </c>
      <c r="C832" s="40" t="str">
        <f>IF(Agent05_Savings!A39="","",Agent05_Savings!B39)</f>
        <v/>
      </c>
      <c r="D832" s="40" t="str">
        <f>IF(Agent05_Savings!A39="","",Agent05_Savings!G39)</f>
        <v/>
      </c>
      <c r="E832" s="41" t="str">
        <f>IF(Agent05_Savings!A39="","",Agent05_Savings!D39)</f>
        <v/>
      </c>
      <c r="F832" s="42" t="str">
        <f>IF(Agent05_Savings!A39="","",Agent05_Savings!E39)</f>
        <v/>
      </c>
      <c r="G832" s="42" t="str">
        <f>IF(Agent05_Savings!A39="","",Agent05_Savings!F39)</f>
        <v/>
      </c>
      <c r="H832" s="40" t="str">
        <f>IF(Agent05_Savings!A39="","",Agent05_Savings!I39)</f>
        <v/>
      </c>
      <c r="I832" s="40" t="str">
        <f>IF(Agent05_Savings!A39="","",Agent05_Savings!J39)</f>
        <v/>
      </c>
      <c r="J832" s="40" t="str">
        <f>IF(Agent05_Savings!A39="","",Agent05_Savings!K39)</f>
        <v/>
      </c>
      <c r="K832" s="40" t="str">
        <f>IFERROR(IF(Agent05_Savings!A39="","",YEAR(Agent05_Savings!D39)),"")</f>
        <v/>
      </c>
    </row>
    <row r="833" spans="1:11" ht="18" customHeight="1" x14ac:dyDescent="0.25">
      <c r="A833" s="40" t="str">
        <f>IF(Agent05_Savings!A40="","",Agent05_Savings!A40)</f>
        <v/>
      </c>
      <c r="B833" s="40" t="str">
        <f ca="1">IF(Agent05_Savings!A40="","","SV"&amp;TEXT(833-3,"0000")&amp;"-"&amp;TEXT(TODAY(),"YYYYMMDD"))</f>
        <v/>
      </c>
      <c r="C833" s="40" t="str">
        <f>IF(Agent05_Savings!A40="","",Agent05_Savings!B40)</f>
        <v/>
      </c>
      <c r="D833" s="40" t="str">
        <f>IF(Agent05_Savings!A40="","",Agent05_Savings!G40)</f>
        <v/>
      </c>
      <c r="E833" s="41" t="str">
        <f>IF(Agent05_Savings!A40="","",Agent05_Savings!D40)</f>
        <v/>
      </c>
      <c r="F833" s="42" t="str">
        <f>IF(Agent05_Savings!A40="","",Agent05_Savings!E40)</f>
        <v/>
      </c>
      <c r="G833" s="42" t="str">
        <f>IF(Agent05_Savings!A40="","",Agent05_Savings!F40)</f>
        <v/>
      </c>
      <c r="H833" s="40" t="str">
        <f>IF(Agent05_Savings!A40="","",Agent05_Savings!I40)</f>
        <v/>
      </c>
      <c r="I833" s="40" t="str">
        <f>IF(Agent05_Savings!A40="","",Agent05_Savings!J40)</f>
        <v/>
      </c>
      <c r="J833" s="40" t="str">
        <f>IF(Agent05_Savings!A40="","",Agent05_Savings!K40)</f>
        <v/>
      </c>
      <c r="K833" s="40" t="str">
        <f>IFERROR(IF(Agent05_Savings!A40="","",YEAR(Agent05_Savings!D40)),"")</f>
        <v/>
      </c>
    </row>
    <row r="834" spans="1:11" ht="18" customHeight="1" x14ac:dyDescent="0.25">
      <c r="A834" s="40" t="str">
        <f>IF(Agent05_Savings!A41="","",Agent05_Savings!A41)</f>
        <v/>
      </c>
      <c r="B834" s="40" t="str">
        <f ca="1">IF(Agent05_Savings!A41="","","SV"&amp;TEXT(834-3,"0000")&amp;"-"&amp;TEXT(TODAY(),"YYYYMMDD"))</f>
        <v/>
      </c>
      <c r="C834" s="40" t="str">
        <f>IF(Agent05_Savings!A41="","",Agent05_Savings!B41)</f>
        <v/>
      </c>
      <c r="D834" s="40" t="str">
        <f>IF(Agent05_Savings!A41="","",Agent05_Savings!G41)</f>
        <v/>
      </c>
      <c r="E834" s="41" t="str">
        <f>IF(Agent05_Savings!A41="","",Agent05_Savings!D41)</f>
        <v/>
      </c>
      <c r="F834" s="42" t="str">
        <f>IF(Agent05_Savings!A41="","",Agent05_Savings!E41)</f>
        <v/>
      </c>
      <c r="G834" s="42" t="str">
        <f>IF(Agent05_Savings!A41="","",Agent05_Savings!F41)</f>
        <v/>
      </c>
      <c r="H834" s="40" t="str">
        <f>IF(Agent05_Savings!A41="","",Agent05_Savings!I41)</f>
        <v/>
      </c>
      <c r="I834" s="40" t="str">
        <f>IF(Agent05_Savings!A41="","",Agent05_Savings!J41)</f>
        <v/>
      </c>
      <c r="J834" s="40" t="str">
        <f>IF(Agent05_Savings!A41="","",Agent05_Savings!K41)</f>
        <v/>
      </c>
      <c r="K834" s="40" t="str">
        <f>IFERROR(IF(Agent05_Savings!A41="","",YEAR(Agent05_Savings!D41)),"")</f>
        <v/>
      </c>
    </row>
    <row r="835" spans="1:11" ht="18" customHeight="1" x14ac:dyDescent="0.25">
      <c r="A835" s="40" t="str">
        <f>IF(Agent05_Savings!A42="","",Agent05_Savings!A42)</f>
        <v/>
      </c>
      <c r="B835" s="40" t="str">
        <f ca="1">IF(Agent05_Savings!A42="","","SV"&amp;TEXT(835-3,"0000")&amp;"-"&amp;TEXT(TODAY(),"YYYYMMDD"))</f>
        <v/>
      </c>
      <c r="C835" s="40" t="str">
        <f>IF(Agent05_Savings!A42="","",Agent05_Savings!B42)</f>
        <v/>
      </c>
      <c r="D835" s="40" t="str">
        <f>IF(Agent05_Savings!A42="","",Agent05_Savings!G42)</f>
        <v/>
      </c>
      <c r="E835" s="41" t="str">
        <f>IF(Agent05_Savings!A42="","",Agent05_Savings!D42)</f>
        <v/>
      </c>
      <c r="F835" s="42" t="str">
        <f>IF(Agent05_Savings!A42="","",Agent05_Savings!E42)</f>
        <v/>
      </c>
      <c r="G835" s="42" t="str">
        <f>IF(Agent05_Savings!A42="","",Agent05_Savings!F42)</f>
        <v/>
      </c>
      <c r="H835" s="40" t="str">
        <f>IF(Agent05_Savings!A42="","",Agent05_Savings!I42)</f>
        <v/>
      </c>
      <c r="I835" s="40" t="str">
        <f>IF(Agent05_Savings!A42="","",Agent05_Savings!J42)</f>
        <v/>
      </c>
      <c r="J835" s="40" t="str">
        <f>IF(Agent05_Savings!A42="","",Agent05_Savings!K42)</f>
        <v/>
      </c>
      <c r="K835" s="40" t="str">
        <f>IFERROR(IF(Agent05_Savings!A42="","",YEAR(Agent05_Savings!D42)),"")</f>
        <v/>
      </c>
    </row>
    <row r="836" spans="1:11" ht="18" customHeight="1" x14ac:dyDescent="0.25">
      <c r="A836" s="40" t="str">
        <f>IF(Agent05_Savings!A43="","",Agent05_Savings!A43)</f>
        <v/>
      </c>
      <c r="B836" s="40" t="str">
        <f ca="1">IF(Agent05_Savings!A43="","","SV"&amp;TEXT(836-3,"0000")&amp;"-"&amp;TEXT(TODAY(),"YYYYMMDD"))</f>
        <v/>
      </c>
      <c r="C836" s="40" t="str">
        <f>IF(Agent05_Savings!A43="","",Agent05_Savings!B43)</f>
        <v/>
      </c>
      <c r="D836" s="40" t="str">
        <f>IF(Agent05_Savings!A43="","",Agent05_Savings!G43)</f>
        <v/>
      </c>
      <c r="E836" s="41" t="str">
        <f>IF(Agent05_Savings!A43="","",Agent05_Savings!D43)</f>
        <v/>
      </c>
      <c r="F836" s="42" t="str">
        <f>IF(Agent05_Savings!A43="","",Agent05_Savings!E43)</f>
        <v/>
      </c>
      <c r="G836" s="42" t="str">
        <f>IF(Agent05_Savings!A43="","",Agent05_Savings!F43)</f>
        <v/>
      </c>
      <c r="H836" s="40" t="str">
        <f>IF(Agent05_Savings!A43="","",Agent05_Savings!I43)</f>
        <v/>
      </c>
      <c r="I836" s="40" t="str">
        <f>IF(Agent05_Savings!A43="","",Agent05_Savings!J43)</f>
        <v/>
      </c>
      <c r="J836" s="40" t="str">
        <f>IF(Agent05_Savings!A43="","",Agent05_Savings!K43)</f>
        <v/>
      </c>
      <c r="K836" s="40" t="str">
        <f>IFERROR(IF(Agent05_Savings!A43="","",YEAR(Agent05_Savings!D43)),"")</f>
        <v/>
      </c>
    </row>
    <row r="837" spans="1:11" ht="18" customHeight="1" x14ac:dyDescent="0.25">
      <c r="A837" s="40" t="str">
        <f>IF(Agent05_Savings!A44="","",Agent05_Savings!A44)</f>
        <v/>
      </c>
      <c r="B837" s="40" t="str">
        <f ca="1">IF(Agent05_Savings!A44="","","SV"&amp;TEXT(837-3,"0000")&amp;"-"&amp;TEXT(TODAY(),"YYYYMMDD"))</f>
        <v/>
      </c>
      <c r="C837" s="40" t="str">
        <f>IF(Agent05_Savings!A44="","",Agent05_Savings!B44)</f>
        <v/>
      </c>
      <c r="D837" s="40" t="str">
        <f>IF(Agent05_Savings!A44="","",Agent05_Savings!G44)</f>
        <v/>
      </c>
      <c r="E837" s="41" t="str">
        <f>IF(Agent05_Savings!A44="","",Agent05_Savings!D44)</f>
        <v/>
      </c>
      <c r="F837" s="42" t="str">
        <f>IF(Agent05_Savings!A44="","",Agent05_Savings!E44)</f>
        <v/>
      </c>
      <c r="G837" s="42" t="str">
        <f>IF(Agent05_Savings!A44="","",Agent05_Savings!F44)</f>
        <v/>
      </c>
      <c r="H837" s="40" t="str">
        <f>IF(Agent05_Savings!A44="","",Agent05_Savings!I44)</f>
        <v/>
      </c>
      <c r="I837" s="40" t="str">
        <f>IF(Agent05_Savings!A44="","",Agent05_Savings!J44)</f>
        <v/>
      </c>
      <c r="J837" s="40" t="str">
        <f>IF(Agent05_Savings!A44="","",Agent05_Savings!K44)</f>
        <v/>
      </c>
      <c r="K837" s="40" t="str">
        <f>IFERROR(IF(Agent05_Savings!A44="","",YEAR(Agent05_Savings!D44)),"")</f>
        <v/>
      </c>
    </row>
    <row r="838" spans="1:11" ht="18" customHeight="1" x14ac:dyDescent="0.25">
      <c r="A838" s="40" t="str">
        <f>IF(Agent05_Savings!A45="","",Agent05_Savings!A45)</f>
        <v/>
      </c>
      <c r="B838" s="40" t="str">
        <f ca="1">IF(Agent05_Savings!A45="","","SV"&amp;TEXT(838-3,"0000")&amp;"-"&amp;TEXT(TODAY(),"YYYYMMDD"))</f>
        <v/>
      </c>
      <c r="C838" s="40" t="str">
        <f>IF(Agent05_Savings!A45="","",Agent05_Savings!B45)</f>
        <v/>
      </c>
      <c r="D838" s="40" t="str">
        <f>IF(Agent05_Savings!A45="","",Agent05_Savings!G45)</f>
        <v/>
      </c>
      <c r="E838" s="41" t="str">
        <f>IF(Agent05_Savings!A45="","",Agent05_Savings!D45)</f>
        <v/>
      </c>
      <c r="F838" s="42" t="str">
        <f>IF(Agent05_Savings!A45="","",Agent05_Savings!E45)</f>
        <v/>
      </c>
      <c r="G838" s="42" t="str">
        <f>IF(Agent05_Savings!A45="","",Agent05_Savings!F45)</f>
        <v/>
      </c>
      <c r="H838" s="40" t="str">
        <f>IF(Agent05_Savings!A45="","",Agent05_Savings!I45)</f>
        <v/>
      </c>
      <c r="I838" s="40" t="str">
        <f>IF(Agent05_Savings!A45="","",Agent05_Savings!J45)</f>
        <v/>
      </c>
      <c r="J838" s="40" t="str">
        <f>IF(Agent05_Savings!A45="","",Agent05_Savings!K45)</f>
        <v/>
      </c>
      <c r="K838" s="40" t="str">
        <f>IFERROR(IF(Agent05_Savings!A45="","",YEAR(Agent05_Savings!D45)),"")</f>
        <v/>
      </c>
    </row>
    <row r="839" spans="1:11" ht="18" customHeight="1" x14ac:dyDescent="0.25">
      <c r="A839" s="40" t="str">
        <f>IF(Agent05_Savings!A46="","",Agent05_Savings!A46)</f>
        <v/>
      </c>
      <c r="B839" s="40" t="str">
        <f ca="1">IF(Agent05_Savings!A46="","","SV"&amp;TEXT(839-3,"0000")&amp;"-"&amp;TEXT(TODAY(),"YYYYMMDD"))</f>
        <v/>
      </c>
      <c r="C839" s="40" t="str">
        <f>IF(Agent05_Savings!A46="","",Agent05_Savings!B46)</f>
        <v/>
      </c>
      <c r="D839" s="40" t="str">
        <f>IF(Agent05_Savings!A46="","",Agent05_Savings!G46)</f>
        <v/>
      </c>
      <c r="E839" s="41" t="str">
        <f>IF(Agent05_Savings!A46="","",Agent05_Savings!D46)</f>
        <v/>
      </c>
      <c r="F839" s="42" t="str">
        <f>IF(Agent05_Savings!A46="","",Agent05_Savings!E46)</f>
        <v/>
      </c>
      <c r="G839" s="42" t="str">
        <f>IF(Agent05_Savings!A46="","",Agent05_Savings!F46)</f>
        <v/>
      </c>
      <c r="H839" s="40" t="str">
        <f>IF(Agent05_Savings!A46="","",Agent05_Savings!I46)</f>
        <v/>
      </c>
      <c r="I839" s="40" t="str">
        <f>IF(Agent05_Savings!A46="","",Agent05_Savings!J46)</f>
        <v/>
      </c>
      <c r="J839" s="40" t="str">
        <f>IF(Agent05_Savings!A46="","",Agent05_Savings!K46)</f>
        <v/>
      </c>
      <c r="K839" s="40" t="str">
        <f>IFERROR(IF(Agent05_Savings!A46="","",YEAR(Agent05_Savings!D46)),"")</f>
        <v/>
      </c>
    </row>
    <row r="840" spans="1:11" ht="18" customHeight="1" x14ac:dyDescent="0.25">
      <c r="A840" s="40" t="str">
        <f>IF(Agent05_Savings!A47="","",Agent05_Savings!A47)</f>
        <v/>
      </c>
      <c r="B840" s="40" t="str">
        <f ca="1">IF(Agent05_Savings!A47="","","SV"&amp;TEXT(840-3,"0000")&amp;"-"&amp;TEXT(TODAY(),"YYYYMMDD"))</f>
        <v/>
      </c>
      <c r="C840" s="40" t="str">
        <f>IF(Agent05_Savings!A47="","",Agent05_Savings!B47)</f>
        <v/>
      </c>
      <c r="D840" s="40" t="str">
        <f>IF(Agent05_Savings!A47="","",Agent05_Savings!G47)</f>
        <v/>
      </c>
      <c r="E840" s="41" t="str">
        <f>IF(Agent05_Savings!A47="","",Agent05_Savings!D47)</f>
        <v/>
      </c>
      <c r="F840" s="42" t="str">
        <f>IF(Agent05_Savings!A47="","",Agent05_Savings!E47)</f>
        <v/>
      </c>
      <c r="G840" s="42" t="str">
        <f>IF(Agent05_Savings!A47="","",Agent05_Savings!F47)</f>
        <v/>
      </c>
      <c r="H840" s="40" t="str">
        <f>IF(Agent05_Savings!A47="","",Agent05_Savings!I47)</f>
        <v/>
      </c>
      <c r="I840" s="40" t="str">
        <f>IF(Agent05_Savings!A47="","",Agent05_Savings!J47)</f>
        <v/>
      </c>
      <c r="J840" s="40" t="str">
        <f>IF(Agent05_Savings!A47="","",Agent05_Savings!K47)</f>
        <v/>
      </c>
      <c r="K840" s="40" t="str">
        <f>IFERROR(IF(Agent05_Savings!A47="","",YEAR(Agent05_Savings!D47)),"")</f>
        <v/>
      </c>
    </row>
    <row r="841" spans="1:11" ht="18" customHeight="1" x14ac:dyDescent="0.25">
      <c r="A841" s="40" t="str">
        <f>IF(Agent05_Savings!A48="","",Agent05_Savings!A48)</f>
        <v/>
      </c>
      <c r="B841" s="40" t="str">
        <f ca="1">IF(Agent05_Savings!A48="","","SV"&amp;TEXT(841-3,"0000")&amp;"-"&amp;TEXT(TODAY(),"YYYYMMDD"))</f>
        <v/>
      </c>
      <c r="C841" s="40" t="str">
        <f>IF(Agent05_Savings!A48="","",Agent05_Savings!B48)</f>
        <v/>
      </c>
      <c r="D841" s="40" t="str">
        <f>IF(Agent05_Savings!A48="","",Agent05_Savings!G48)</f>
        <v/>
      </c>
      <c r="E841" s="41" t="str">
        <f>IF(Agent05_Savings!A48="","",Agent05_Savings!D48)</f>
        <v/>
      </c>
      <c r="F841" s="42" t="str">
        <f>IF(Agent05_Savings!A48="","",Agent05_Savings!E48)</f>
        <v/>
      </c>
      <c r="G841" s="42" t="str">
        <f>IF(Agent05_Savings!A48="","",Agent05_Savings!F48)</f>
        <v/>
      </c>
      <c r="H841" s="40" t="str">
        <f>IF(Agent05_Savings!A48="","",Agent05_Savings!I48)</f>
        <v/>
      </c>
      <c r="I841" s="40" t="str">
        <f>IF(Agent05_Savings!A48="","",Agent05_Savings!J48)</f>
        <v/>
      </c>
      <c r="J841" s="40" t="str">
        <f>IF(Agent05_Savings!A48="","",Agent05_Savings!K48)</f>
        <v/>
      </c>
      <c r="K841" s="40" t="str">
        <f>IFERROR(IF(Agent05_Savings!A48="","",YEAR(Agent05_Savings!D48)),"")</f>
        <v/>
      </c>
    </row>
    <row r="842" spans="1:11" ht="18" customHeight="1" x14ac:dyDescent="0.25">
      <c r="A842" s="40" t="str">
        <f>IF(Agent05_Savings!A49="","",Agent05_Savings!A49)</f>
        <v/>
      </c>
      <c r="B842" s="40" t="str">
        <f ca="1">IF(Agent05_Savings!A49="","","SV"&amp;TEXT(842-3,"0000")&amp;"-"&amp;TEXT(TODAY(),"YYYYMMDD"))</f>
        <v/>
      </c>
      <c r="C842" s="40" t="str">
        <f>IF(Agent05_Savings!A49="","",Agent05_Savings!B49)</f>
        <v/>
      </c>
      <c r="D842" s="40" t="str">
        <f>IF(Agent05_Savings!A49="","",Agent05_Savings!G49)</f>
        <v/>
      </c>
      <c r="E842" s="41" t="str">
        <f>IF(Agent05_Savings!A49="","",Agent05_Savings!D49)</f>
        <v/>
      </c>
      <c r="F842" s="42" t="str">
        <f>IF(Agent05_Savings!A49="","",Agent05_Savings!E49)</f>
        <v/>
      </c>
      <c r="G842" s="42" t="str">
        <f>IF(Agent05_Savings!A49="","",Agent05_Savings!F49)</f>
        <v/>
      </c>
      <c r="H842" s="40" t="str">
        <f>IF(Agent05_Savings!A49="","",Agent05_Savings!I49)</f>
        <v/>
      </c>
      <c r="I842" s="40" t="str">
        <f>IF(Agent05_Savings!A49="","",Agent05_Savings!J49)</f>
        <v/>
      </c>
      <c r="J842" s="40" t="str">
        <f>IF(Agent05_Savings!A49="","",Agent05_Savings!K49)</f>
        <v/>
      </c>
      <c r="K842" s="40" t="str">
        <f>IFERROR(IF(Agent05_Savings!A49="","",YEAR(Agent05_Savings!D49)),"")</f>
        <v/>
      </c>
    </row>
    <row r="843" spans="1:11" ht="18" customHeight="1" x14ac:dyDescent="0.25">
      <c r="A843" s="40" t="str">
        <f>IF(Agent05_Savings!A50="","",Agent05_Savings!A50)</f>
        <v/>
      </c>
      <c r="B843" s="40" t="str">
        <f ca="1">IF(Agent05_Savings!A50="","","SV"&amp;TEXT(843-3,"0000")&amp;"-"&amp;TEXT(TODAY(),"YYYYMMDD"))</f>
        <v/>
      </c>
      <c r="C843" s="40" t="str">
        <f>IF(Agent05_Savings!A50="","",Agent05_Savings!B50)</f>
        <v/>
      </c>
      <c r="D843" s="40" t="str">
        <f>IF(Agent05_Savings!A50="","",Agent05_Savings!G50)</f>
        <v/>
      </c>
      <c r="E843" s="41" t="str">
        <f>IF(Agent05_Savings!A50="","",Agent05_Savings!D50)</f>
        <v/>
      </c>
      <c r="F843" s="42" t="str">
        <f>IF(Agent05_Savings!A50="","",Agent05_Savings!E50)</f>
        <v/>
      </c>
      <c r="G843" s="42" t="str">
        <f>IF(Agent05_Savings!A50="","",Agent05_Savings!F50)</f>
        <v/>
      </c>
      <c r="H843" s="40" t="str">
        <f>IF(Agent05_Savings!A50="","",Agent05_Savings!I50)</f>
        <v/>
      </c>
      <c r="I843" s="40" t="str">
        <f>IF(Agent05_Savings!A50="","",Agent05_Savings!J50)</f>
        <v/>
      </c>
      <c r="J843" s="40" t="str">
        <f>IF(Agent05_Savings!A50="","",Agent05_Savings!K50)</f>
        <v/>
      </c>
      <c r="K843" s="40" t="str">
        <f>IFERROR(IF(Agent05_Savings!A50="","",YEAR(Agent05_Savings!D50)),"")</f>
        <v/>
      </c>
    </row>
    <row r="844" spans="1:11" ht="18" customHeight="1" x14ac:dyDescent="0.25">
      <c r="A844" s="40" t="str">
        <f>IF(Agent05_Savings!A51="","",Agent05_Savings!A51)</f>
        <v/>
      </c>
      <c r="B844" s="40" t="str">
        <f ca="1">IF(Agent05_Savings!A51="","","SV"&amp;TEXT(844-3,"0000")&amp;"-"&amp;TEXT(TODAY(),"YYYYMMDD"))</f>
        <v/>
      </c>
      <c r="C844" s="40" t="str">
        <f>IF(Agent05_Savings!A51="","",Agent05_Savings!B51)</f>
        <v/>
      </c>
      <c r="D844" s="40" t="str">
        <f>IF(Agent05_Savings!A51="","",Agent05_Savings!G51)</f>
        <v/>
      </c>
      <c r="E844" s="41" t="str">
        <f>IF(Agent05_Savings!A51="","",Agent05_Savings!D51)</f>
        <v/>
      </c>
      <c r="F844" s="42" t="str">
        <f>IF(Agent05_Savings!A51="","",Agent05_Savings!E51)</f>
        <v/>
      </c>
      <c r="G844" s="42" t="str">
        <f>IF(Agent05_Savings!A51="","",Agent05_Savings!F51)</f>
        <v/>
      </c>
      <c r="H844" s="40" t="str">
        <f>IF(Agent05_Savings!A51="","",Agent05_Savings!I51)</f>
        <v/>
      </c>
      <c r="I844" s="40" t="str">
        <f>IF(Agent05_Savings!A51="","",Agent05_Savings!J51)</f>
        <v/>
      </c>
      <c r="J844" s="40" t="str">
        <f>IF(Agent05_Savings!A51="","",Agent05_Savings!K51)</f>
        <v/>
      </c>
      <c r="K844" s="40" t="str">
        <f>IFERROR(IF(Agent05_Savings!A51="","",YEAR(Agent05_Savings!D51)),"")</f>
        <v/>
      </c>
    </row>
    <row r="845" spans="1:11" ht="18" customHeight="1" x14ac:dyDescent="0.25">
      <c r="A845" s="40" t="str">
        <f>IF(Agent05_Savings!A52="","",Agent05_Savings!A52)</f>
        <v/>
      </c>
      <c r="B845" s="40" t="str">
        <f ca="1">IF(Agent05_Savings!A52="","","SV"&amp;TEXT(845-3,"0000")&amp;"-"&amp;TEXT(TODAY(),"YYYYMMDD"))</f>
        <v/>
      </c>
      <c r="C845" s="40" t="str">
        <f>IF(Agent05_Savings!A52="","",Agent05_Savings!B52)</f>
        <v/>
      </c>
      <c r="D845" s="40" t="str">
        <f>IF(Agent05_Savings!A52="","",Agent05_Savings!G52)</f>
        <v/>
      </c>
      <c r="E845" s="41" t="str">
        <f>IF(Agent05_Savings!A52="","",Agent05_Savings!D52)</f>
        <v/>
      </c>
      <c r="F845" s="42" t="str">
        <f>IF(Agent05_Savings!A52="","",Agent05_Savings!E52)</f>
        <v/>
      </c>
      <c r="G845" s="42" t="str">
        <f>IF(Agent05_Savings!A52="","",Agent05_Savings!F52)</f>
        <v/>
      </c>
      <c r="H845" s="40" t="str">
        <f>IF(Agent05_Savings!A52="","",Agent05_Savings!I52)</f>
        <v/>
      </c>
      <c r="I845" s="40" t="str">
        <f>IF(Agent05_Savings!A52="","",Agent05_Savings!J52)</f>
        <v/>
      </c>
      <c r="J845" s="40" t="str">
        <f>IF(Agent05_Savings!A52="","",Agent05_Savings!K52)</f>
        <v/>
      </c>
      <c r="K845" s="40" t="str">
        <f>IFERROR(IF(Agent05_Savings!A52="","",YEAR(Agent05_Savings!D52)),"")</f>
        <v/>
      </c>
    </row>
    <row r="846" spans="1:11" ht="18" customHeight="1" x14ac:dyDescent="0.25">
      <c r="A846" s="40" t="str">
        <f>IF(Agent05_Savings!A53="","",Agent05_Savings!A53)</f>
        <v/>
      </c>
      <c r="B846" s="40" t="str">
        <f ca="1">IF(Agent05_Savings!A53="","","SV"&amp;TEXT(846-3,"0000")&amp;"-"&amp;TEXT(TODAY(),"YYYYMMDD"))</f>
        <v/>
      </c>
      <c r="C846" s="40" t="str">
        <f>IF(Agent05_Savings!A53="","",Agent05_Savings!B53)</f>
        <v/>
      </c>
      <c r="D846" s="40" t="str">
        <f>IF(Agent05_Savings!A53="","",Agent05_Savings!G53)</f>
        <v/>
      </c>
      <c r="E846" s="41" t="str">
        <f>IF(Agent05_Savings!A53="","",Agent05_Savings!D53)</f>
        <v/>
      </c>
      <c r="F846" s="42" t="str">
        <f>IF(Agent05_Savings!A53="","",Agent05_Savings!E53)</f>
        <v/>
      </c>
      <c r="G846" s="42" t="str">
        <f>IF(Agent05_Savings!A53="","",Agent05_Savings!F53)</f>
        <v/>
      </c>
      <c r="H846" s="40" t="str">
        <f>IF(Agent05_Savings!A53="","",Agent05_Savings!I53)</f>
        <v/>
      </c>
      <c r="I846" s="40" t="str">
        <f>IF(Agent05_Savings!A53="","",Agent05_Savings!J53)</f>
        <v/>
      </c>
      <c r="J846" s="40" t="str">
        <f>IF(Agent05_Savings!A53="","",Agent05_Savings!K53)</f>
        <v/>
      </c>
      <c r="K846" s="40" t="str">
        <f>IFERROR(IF(Agent05_Savings!A53="","",YEAR(Agent05_Savings!D53)),"")</f>
        <v/>
      </c>
    </row>
    <row r="847" spans="1:11" ht="18" customHeight="1" x14ac:dyDescent="0.25">
      <c r="A847" s="40" t="str">
        <f>IF(Agent05_Savings!A54="","",Agent05_Savings!A54)</f>
        <v/>
      </c>
      <c r="B847" s="40" t="str">
        <f ca="1">IF(Agent05_Savings!A54="","","SV"&amp;TEXT(847-3,"0000")&amp;"-"&amp;TEXT(TODAY(),"YYYYMMDD"))</f>
        <v/>
      </c>
      <c r="C847" s="40" t="str">
        <f>IF(Agent05_Savings!A54="","",Agent05_Savings!B54)</f>
        <v/>
      </c>
      <c r="D847" s="40" t="str">
        <f>IF(Agent05_Savings!A54="","",Agent05_Savings!G54)</f>
        <v/>
      </c>
      <c r="E847" s="41" t="str">
        <f>IF(Agent05_Savings!A54="","",Agent05_Savings!D54)</f>
        <v/>
      </c>
      <c r="F847" s="42" t="str">
        <f>IF(Agent05_Savings!A54="","",Agent05_Savings!E54)</f>
        <v/>
      </c>
      <c r="G847" s="42" t="str">
        <f>IF(Agent05_Savings!A54="","",Agent05_Savings!F54)</f>
        <v/>
      </c>
      <c r="H847" s="40" t="str">
        <f>IF(Agent05_Savings!A54="","",Agent05_Savings!I54)</f>
        <v/>
      </c>
      <c r="I847" s="40" t="str">
        <f>IF(Agent05_Savings!A54="","",Agent05_Savings!J54)</f>
        <v/>
      </c>
      <c r="J847" s="40" t="str">
        <f>IF(Agent05_Savings!A54="","",Agent05_Savings!K54)</f>
        <v/>
      </c>
      <c r="K847" s="40" t="str">
        <f>IFERROR(IF(Agent05_Savings!A54="","",YEAR(Agent05_Savings!D54)),"")</f>
        <v/>
      </c>
    </row>
    <row r="848" spans="1:11" ht="18" customHeight="1" x14ac:dyDescent="0.25">
      <c r="A848" s="40" t="str">
        <f>IF(Agent05_Savings!A55="","",Agent05_Savings!A55)</f>
        <v/>
      </c>
      <c r="B848" s="40" t="str">
        <f ca="1">IF(Agent05_Savings!A55="","","SV"&amp;TEXT(848-3,"0000")&amp;"-"&amp;TEXT(TODAY(),"YYYYMMDD"))</f>
        <v/>
      </c>
      <c r="C848" s="40" t="str">
        <f>IF(Agent05_Savings!A55="","",Agent05_Savings!B55)</f>
        <v/>
      </c>
      <c r="D848" s="40" t="str">
        <f>IF(Agent05_Savings!A55="","",Agent05_Savings!G55)</f>
        <v/>
      </c>
      <c r="E848" s="41" t="str">
        <f>IF(Agent05_Savings!A55="","",Agent05_Savings!D55)</f>
        <v/>
      </c>
      <c r="F848" s="42" t="str">
        <f>IF(Agent05_Savings!A55="","",Agent05_Savings!E55)</f>
        <v/>
      </c>
      <c r="G848" s="42" t="str">
        <f>IF(Agent05_Savings!A55="","",Agent05_Savings!F55)</f>
        <v/>
      </c>
      <c r="H848" s="40" t="str">
        <f>IF(Agent05_Savings!A55="","",Agent05_Savings!I55)</f>
        <v/>
      </c>
      <c r="I848" s="40" t="str">
        <f>IF(Agent05_Savings!A55="","",Agent05_Savings!J55)</f>
        <v/>
      </c>
      <c r="J848" s="40" t="str">
        <f>IF(Agent05_Savings!A55="","",Agent05_Savings!K55)</f>
        <v/>
      </c>
      <c r="K848" s="40" t="str">
        <f>IFERROR(IF(Agent05_Savings!A55="","",YEAR(Agent05_Savings!D55)),"")</f>
        <v/>
      </c>
    </row>
    <row r="849" spans="1:11" ht="18" customHeight="1" x14ac:dyDescent="0.25">
      <c r="A849" s="40" t="str">
        <f>IF(Agent05_Savings!A56="","",Agent05_Savings!A56)</f>
        <v/>
      </c>
      <c r="B849" s="40" t="str">
        <f ca="1">IF(Agent05_Savings!A56="","","SV"&amp;TEXT(849-3,"0000")&amp;"-"&amp;TEXT(TODAY(),"YYYYMMDD"))</f>
        <v/>
      </c>
      <c r="C849" s="40" t="str">
        <f>IF(Agent05_Savings!A56="","",Agent05_Savings!B56)</f>
        <v/>
      </c>
      <c r="D849" s="40" t="str">
        <f>IF(Agent05_Savings!A56="","",Agent05_Savings!G56)</f>
        <v/>
      </c>
      <c r="E849" s="41" t="str">
        <f>IF(Agent05_Savings!A56="","",Agent05_Savings!D56)</f>
        <v/>
      </c>
      <c r="F849" s="42" t="str">
        <f>IF(Agent05_Savings!A56="","",Agent05_Savings!E56)</f>
        <v/>
      </c>
      <c r="G849" s="42" t="str">
        <f>IF(Agent05_Savings!A56="","",Agent05_Savings!F56)</f>
        <v/>
      </c>
      <c r="H849" s="40" t="str">
        <f>IF(Agent05_Savings!A56="","",Agent05_Savings!I56)</f>
        <v/>
      </c>
      <c r="I849" s="40" t="str">
        <f>IF(Agent05_Savings!A56="","",Agent05_Savings!J56)</f>
        <v/>
      </c>
      <c r="J849" s="40" t="str">
        <f>IF(Agent05_Savings!A56="","",Agent05_Savings!K56)</f>
        <v/>
      </c>
      <c r="K849" s="40" t="str">
        <f>IFERROR(IF(Agent05_Savings!A56="","",YEAR(Agent05_Savings!D56)),"")</f>
        <v/>
      </c>
    </row>
    <row r="850" spans="1:11" ht="18" customHeight="1" x14ac:dyDescent="0.25">
      <c r="A850" s="40" t="str">
        <f>IF(Agent05_Savings!A57="","",Agent05_Savings!A57)</f>
        <v/>
      </c>
      <c r="B850" s="40" t="str">
        <f ca="1">IF(Agent05_Savings!A57="","","SV"&amp;TEXT(850-3,"0000")&amp;"-"&amp;TEXT(TODAY(),"YYYYMMDD"))</f>
        <v/>
      </c>
      <c r="C850" s="40" t="str">
        <f>IF(Agent05_Savings!A57="","",Agent05_Savings!B57)</f>
        <v/>
      </c>
      <c r="D850" s="40" t="str">
        <f>IF(Agent05_Savings!A57="","",Agent05_Savings!G57)</f>
        <v/>
      </c>
      <c r="E850" s="41" t="str">
        <f>IF(Agent05_Savings!A57="","",Agent05_Savings!D57)</f>
        <v/>
      </c>
      <c r="F850" s="42" t="str">
        <f>IF(Agent05_Savings!A57="","",Agent05_Savings!E57)</f>
        <v/>
      </c>
      <c r="G850" s="42" t="str">
        <f>IF(Agent05_Savings!A57="","",Agent05_Savings!F57)</f>
        <v/>
      </c>
      <c r="H850" s="40" t="str">
        <f>IF(Agent05_Savings!A57="","",Agent05_Savings!I57)</f>
        <v/>
      </c>
      <c r="I850" s="40" t="str">
        <f>IF(Agent05_Savings!A57="","",Agent05_Savings!J57)</f>
        <v/>
      </c>
      <c r="J850" s="40" t="str">
        <f>IF(Agent05_Savings!A57="","",Agent05_Savings!K57)</f>
        <v/>
      </c>
      <c r="K850" s="40" t="str">
        <f>IFERROR(IF(Agent05_Savings!A57="","",YEAR(Agent05_Savings!D57)),"")</f>
        <v/>
      </c>
    </row>
    <row r="851" spans="1:11" ht="18" customHeight="1" x14ac:dyDescent="0.25">
      <c r="A851" s="40" t="str">
        <f>IF(Agent05_Savings!A58="","",Agent05_Savings!A58)</f>
        <v/>
      </c>
      <c r="B851" s="40" t="str">
        <f ca="1">IF(Agent05_Savings!A58="","","SV"&amp;TEXT(851-3,"0000")&amp;"-"&amp;TEXT(TODAY(),"YYYYMMDD"))</f>
        <v/>
      </c>
      <c r="C851" s="40" t="str">
        <f>IF(Agent05_Savings!A58="","",Agent05_Savings!B58)</f>
        <v/>
      </c>
      <c r="D851" s="40" t="str">
        <f>IF(Agent05_Savings!A58="","",Agent05_Savings!G58)</f>
        <v/>
      </c>
      <c r="E851" s="41" t="str">
        <f>IF(Agent05_Savings!A58="","",Agent05_Savings!D58)</f>
        <v/>
      </c>
      <c r="F851" s="42" t="str">
        <f>IF(Agent05_Savings!A58="","",Agent05_Savings!E58)</f>
        <v/>
      </c>
      <c r="G851" s="42" t="str">
        <f>IF(Agent05_Savings!A58="","",Agent05_Savings!F58)</f>
        <v/>
      </c>
      <c r="H851" s="40" t="str">
        <f>IF(Agent05_Savings!A58="","",Agent05_Savings!I58)</f>
        <v/>
      </c>
      <c r="I851" s="40" t="str">
        <f>IF(Agent05_Savings!A58="","",Agent05_Savings!J58)</f>
        <v/>
      </c>
      <c r="J851" s="40" t="str">
        <f>IF(Agent05_Savings!A58="","",Agent05_Savings!K58)</f>
        <v/>
      </c>
      <c r="K851" s="40" t="str">
        <f>IFERROR(IF(Agent05_Savings!A58="","",YEAR(Agent05_Savings!D58)),"")</f>
        <v/>
      </c>
    </row>
    <row r="852" spans="1:11" ht="18" customHeight="1" x14ac:dyDescent="0.25">
      <c r="A852" s="40" t="str">
        <f>IF(Agent05_Savings!A59="","",Agent05_Savings!A59)</f>
        <v/>
      </c>
      <c r="B852" s="40" t="str">
        <f ca="1">IF(Agent05_Savings!A59="","","SV"&amp;TEXT(852-3,"0000")&amp;"-"&amp;TEXT(TODAY(),"YYYYMMDD"))</f>
        <v/>
      </c>
      <c r="C852" s="40" t="str">
        <f>IF(Agent05_Savings!A59="","",Agent05_Savings!B59)</f>
        <v/>
      </c>
      <c r="D852" s="40" t="str">
        <f>IF(Agent05_Savings!A59="","",Agent05_Savings!G59)</f>
        <v/>
      </c>
      <c r="E852" s="41" t="str">
        <f>IF(Agent05_Savings!A59="","",Agent05_Savings!D59)</f>
        <v/>
      </c>
      <c r="F852" s="42" t="str">
        <f>IF(Agent05_Savings!A59="","",Agent05_Savings!E59)</f>
        <v/>
      </c>
      <c r="G852" s="42" t="str">
        <f>IF(Agent05_Savings!A59="","",Agent05_Savings!F59)</f>
        <v/>
      </c>
      <c r="H852" s="40" t="str">
        <f>IF(Agent05_Savings!A59="","",Agent05_Savings!I59)</f>
        <v/>
      </c>
      <c r="I852" s="40" t="str">
        <f>IF(Agent05_Savings!A59="","",Agent05_Savings!J59)</f>
        <v/>
      </c>
      <c r="J852" s="40" t="str">
        <f>IF(Agent05_Savings!A59="","",Agent05_Savings!K59)</f>
        <v/>
      </c>
      <c r="K852" s="40" t="str">
        <f>IFERROR(IF(Agent05_Savings!A59="","",YEAR(Agent05_Savings!D59)),"")</f>
        <v/>
      </c>
    </row>
    <row r="853" spans="1:11" ht="18" customHeight="1" x14ac:dyDescent="0.25">
      <c r="A853" s="40" t="str">
        <f>IF(Agent05_Savings!A60="","",Agent05_Savings!A60)</f>
        <v/>
      </c>
      <c r="B853" s="40" t="str">
        <f ca="1">IF(Agent05_Savings!A60="","","SV"&amp;TEXT(853-3,"0000")&amp;"-"&amp;TEXT(TODAY(),"YYYYMMDD"))</f>
        <v/>
      </c>
      <c r="C853" s="40" t="str">
        <f>IF(Agent05_Savings!A60="","",Agent05_Savings!B60)</f>
        <v/>
      </c>
      <c r="D853" s="40" t="str">
        <f>IF(Agent05_Savings!A60="","",Agent05_Savings!G60)</f>
        <v/>
      </c>
      <c r="E853" s="41" t="str">
        <f>IF(Agent05_Savings!A60="","",Agent05_Savings!D60)</f>
        <v/>
      </c>
      <c r="F853" s="42" t="str">
        <f>IF(Agent05_Savings!A60="","",Agent05_Savings!E60)</f>
        <v/>
      </c>
      <c r="G853" s="42" t="str">
        <f>IF(Agent05_Savings!A60="","",Agent05_Savings!F60)</f>
        <v/>
      </c>
      <c r="H853" s="40" t="str">
        <f>IF(Agent05_Savings!A60="","",Agent05_Savings!I60)</f>
        <v/>
      </c>
      <c r="I853" s="40" t="str">
        <f>IF(Agent05_Savings!A60="","",Agent05_Savings!J60)</f>
        <v/>
      </c>
      <c r="J853" s="40" t="str">
        <f>IF(Agent05_Savings!A60="","",Agent05_Savings!K60)</f>
        <v/>
      </c>
      <c r="K853" s="40" t="str">
        <f>IFERROR(IF(Agent05_Savings!A60="","",YEAR(Agent05_Savings!D60)),"")</f>
        <v/>
      </c>
    </row>
    <row r="854" spans="1:11" ht="18" customHeight="1" x14ac:dyDescent="0.25">
      <c r="A854" s="40" t="str">
        <f>IF(Agent05_Savings!A61="","",Agent05_Savings!A61)</f>
        <v/>
      </c>
      <c r="B854" s="40" t="str">
        <f ca="1">IF(Agent05_Savings!A61="","","SV"&amp;TEXT(854-3,"0000")&amp;"-"&amp;TEXT(TODAY(),"YYYYMMDD"))</f>
        <v/>
      </c>
      <c r="C854" s="40" t="str">
        <f>IF(Agent05_Savings!A61="","",Agent05_Savings!B61)</f>
        <v/>
      </c>
      <c r="D854" s="40" t="str">
        <f>IF(Agent05_Savings!A61="","",Agent05_Savings!G61)</f>
        <v/>
      </c>
      <c r="E854" s="41" t="str">
        <f>IF(Agent05_Savings!A61="","",Agent05_Savings!D61)</f>
        <v/>
      </c>
      <c r="F854" s="42" t="str">
        <f>IF(Agent05_Savings!A61="","",Agent05_Savings!E61)</f>
        <v/>
      </c>
      <c r="G854" s="42" t="str">
        <f>IF(Agent05_Savings!A61="","",Agent05_Savings!F61)</f>
        <v/>
      </c>
      <c r="H854" s="40" t="str">
        <f>IF(Agent05_Savings!A61="","",Agent05_Savings!I61)</f>
        <v/>
      </c>
      <c r="I854" s="40" t="str">
        <f>IF(Agent05_Savings!A61="","",Agent05_Savings!J61)</f>
        <v/>
      </c>
      <c r="J854" s="40" t="str">
        <f>IF(Agent05_Savings!A61="","",Agent05_Savings!K61)</f>
        <v/>
      </c>
      <c r="K854" s="40" t="str">
        <f>IFERROR(IF(Agent05_Savings!A61="","",YEAR(Agent05_Savings!D61)),"")</f>
        <v/>
      </c>
    </row>
    <row r="855" spans="1:11" ht="18" customHeight="1" x14ac:dyDescent="0.25">
      <c r="A855" s="40" t="str">
        <f>IF(Agent05_Savings!A62="","",Agent05_Savings!A62)</f>
        <v/>
      </c>
      <c r="B855" s="40" t="str">
        <f ca="1">IF(Agent05_Savings!A62="","","SV"&amp;TEXT(855-3,"0000")&amp;"-"&amp;TEXT(TODAY(),"YYYYMMDD"))</f>
        <v/>
      </c>
      <c r="C855" s="40" t="str">
        <f>IF(Agent05_Savings!A62="","",Agent05_Savings!B62)</f>
        <v/>
      </c>
      <c r="D855" s="40" t="str">
        <f>IF(Agent05_Savings!A62="","",Agent05_Savings!G62)</f>
        <v/>
      </c>
      <c r="E855" s="41" t="str">
        <f>IF(Agent05_Savings!A62="","",Agent05_Savings!D62)</f>
        <v/>
      </c>
      <c r="F855" s="42" t="str">
        <f>IF(Agent05_Savings!A62="","",Agent05_Savings!E62)</f>
        <v/>
      </c>
      <c r="G855" s="42" t="str">
        <f>IF(Agent05_Savings!A62="","",Agent05_Savings!F62)</f>
        <v/>
      </c>
      <c r="H855" s="40" t="str">
        <f>IF(Agent05_Savings!A62="","",Agent05_Savings!I62)</f>
        <v/>
      </c>
      <c r="I855" s="40" t="str">
        <f>IF(Agent05_Savings!A62="","",Agent05_Savings!J62)</f>
        <v/>
      </c>
      <c r="J855" s="40" t="str">
        <f>IF(Agent05_Savings!A62="","",Agent05_Savings!K62)</f>
        <v/>
      </c>
      <c r="K855" s="40" t="str">
        <f>IFERROR(IF(Agent05_Savings!A62="","",YEAR(Agent05_Savings!D62)),"")</f>
        <v/>
      </c>
    </row>
    <row r="856" spans="1:11" ht="18" customHeight="1" x14ac:dyDescent="0.25">
      <c r="A856" s="40" t="str">
        <f>IF(Agent05_Savings!A63="","",Agent05_Savings!A63)</f>
        <v/>
      </c>
      <c r="B856" s="40" t="str">
        <f ca="1">IF(Agent05_Savings!A63="","","SV"&amp;TEXT(856-3,"0000")&amp;"-"&amp;TEXT(TODAY(),"YYYYMMDD"))</f>
        <v/>
      </c>
      <c r="C856" s="40" t="str">
        <f>IF(Agent05_Savings!A63="","",Agent05_Savings!B63)</f>
        <v/>
      </c>
      <c r="D856" s="40" t="str">
        <f>IF(Agent05_Savings!A63="","",Agent05_Savings!G63)</f>
        <v/>
      </c>
      <c r="E856" s="41" t="str">
        <f>IF(Agent05_Savings!A63="","",Agent05_Savings!D63)</f>
        <v/>
      </c>
      <c r="F856" s="42" t="str">
        <f>IF(Agent05_Savings!A63="","",Agent05_Savings!E63)</f>
        <v/>
      </c>
      <c r="G856" s="42" t="str">
        <f>IF(Agent05_Savings!A63="","",Agent05_Savings!F63)</f>
        <v/>
      </c>
      <c r="H856" s="40" t="str">
        <f>IF(Agent05_Savings!A63="","",Agent05_Savings!I63)</f>
        <v/>
      </c>
      <c r="I856" s="40" t="str">
        <f>IF(Agent05_Savings!A63="","",Agent05_Savings!J63)</f>
        <v/>
      </c>
      <c r="J856" s="40" t="str">
        <f>IF(Agent05_Savings!A63="","",Agent05_Savings!K63)</f>
        <v/>
      </c>
      <c r="K856" s="40" t="str">
        <f>IFERROR(IF(Agent05_Savings!A63="","",YEAR(Agent05_Savings!D63)),"")</f>
        <v/>
      </c>
    </row>
    <row r="857" spans="1:11" ht="18" customHeight="1" x14ac:dyDescent="0.25">
      <c r="A857" s="40" t="str">
        <f>IF(Agent05_Savings!A64="","",Agent05_Savings!A64)</f>
        <v/>
      </c>
      <c r="B857" s="40" t="str">
        <f ca="1">IF(Agent05_Savings!A64="","","SV"&amp;TEXT(857-3,"0000")&amp;"-"&amp;TEXT(TODAY(),"YYYYMMDD"))</f>
        <v/>
      </c>
      <c r="C857" s="40" t="str">
        <f>IF(Agent05_Savings!A64="","",Agent05_Savings!B64)</f>
        <v/>
      </c>
      <c r="D857" s="40" t="str">
        <f>IF(Agent05_Savings!A64="","",Agent05_Savings!G64)</f>
        <v/>
      </c>
      <c r="E857" s="41" t="str">
        <f>IF(Agent05_Savings!A64="","",Agent05_Savings!D64)</f>
        <v/>
      </c>
      <c r="F857" s="42" t="str">
        <f>IF(Agent05_Savings!A64="","",Agent05_Savings!E64)</f>
        <v/>
      </c>
      <c r="G857" s="42" t="str">
        <f>IF(Agent05_Savings!A64="","",Agent05_Savings!F64)</f>
        <v/>
      </c>
      <c r="H857" s="40" t="str">
        <f>IF(Agent05_Savings!A64="","",Agent05_Savings!I64)</f>
        <v/>
      </c>
      <c r="I857" s="40" t="str">
        <f>IF(Agent05_Savings!A64="","",Agent05_Savings!J64)</f>
        <v/>
      </c>
      <c r="J857" s="40" t="str">
        <f>IF(Agent05_Savings!A64="","",Agent05_Savings!K64)</f>
        <v/>
      </c>
      <c r="K857" s="40" t="str">
        <f>IFERROR(IF(Agent05_Savings!A64="","",YEAR(Agent05_Savings!D64)),"")</f>
        <v/>
      </c>
    </row>
    <row r="858" spans="1:11" ht="18" customHeight="1" x14ac:dyDescent="0.25">
      <c r="A858" s="40" t="str">
        <f>IF(Agent05_Savings!A65="","",Agent05_Savings!A65)</f>
        <v/>
      </c>
      <c r="B858" s="40" t="str">
        <f ca="1">IF(Agent05_Savings!A65="","","SV"&amp;TEXT(858-3,"0000")&amp;"-"&amp;TEXT(TODAY(),"YYYYMMDD"))</f>
        <v/>
      </c>
      <c r="C858" s="40" t="str">
        <f>IF(Agent05_Savings!A65="","",Agent05_Savings!B65)</f>
        <v/>
      </c>
      <c r="D858" s="40" t="str">
        <f>IF(Agent05_Savings!A65="","",Agent05_Savings!G65)</f>
        <v/>
      </c>
      <c r="E858" s="41" t="str">
        <f>IF(Agent05_Savings!A65="","",Agent05_Savings!D65)</f>
        <v/>
      </c>
      <c r="F858" s="42" t="str">
        <f>IF(Agent05_Savings!A65="","",Agent05_Savings!E65)</f>
        <v/>
      </c>
      <c r="G858" s="42" t="str">
        <f>IF(Agent05_Savings!A65="","",Agent05_Savings!F65)</f>
        <v/>
      </c>
      <c r="H858" s="40" t="str">
        <f>IF(Agent05_Savings!A65="","",Agent05_Savings!I65)</f>
        <v/>
      </c>
      <c r="I858" s="40" t="str">
        <f>IF(Agent05_Savings!A65="","",Agent05_Savings!J65)</f>
        <v/>
      </c>
      <c r="J858" s="40" t="str">
        <f>IF(Agent05_Savings!A65="","",Agent05_Savings!K65)</f>
        <v/>
      </c>
      <c r="K858" s="40" t="str">
        <f>IFERROR(IF(Agent05_Savings!A65="","",YEAR(Agent05_Savings!D65)),"")</f>
        <v/>
      </c>
    </row>
    <row r="859" spans="1:11" ht="18" customHeight="1" x14ac:dyDescent="0.25">
      <c r="A859" s="40" t="str">
        <f>IF(Agent05_Savings!A66="","",Agent05_Savings!A66)</f>
        <v/>
      </c>
      <c r="B859" s="40" t="str">
        <f ca="1">IF(Agent05_Savings!A66="","","SV"&amp;TEXT(859-3,"0000")&amp;"-"&amp;TEXT(TODAY(),"YYYYMMDD"))</f>
        <v/>
      </c>
      <c r="C859" s="40" t="str">
        <f>IF(Agent05_Savings!A66="","",Agent05_Savings!B66)</f>
        <v/>
      </c>
      <c r="D859" s="40" t="str">
        <f>IF(Agent05_Savings!A66="","",Agent05_Savings!G66)</f>
        <v/>
      </c>
      <c r="E859" s="41" t="str">
        <f>IF(Agent05_Savings!A66="","",Agent05_Savings!D66)</f>
        <v/>
      </c>
      <c r="F859" s="42" t="str">
        <f>IF(Agent05_Savings!A66="","",Agent05_Savings!E66)</f>
        <v/>
      </c>
      <c r="G859" s="42" t="str">
        <f>IF(Agent05_Savings!A66="","",Agent05_Savings!F66)</f>
        <v/>
      </c>
      <c r="H859" s="40" t="str">
        <f>IF(Agent05_Savings!A66="","",Agent05_Savings!I66)</f>
        <v/>
      </c>
      <c r="I859" s="40" t="str">
        <f>IF(Agent05_Savings!A66="","",Agent05_Savings!J66)</f>
        <v/>
      </c>
      <c r="J859" s="40" t="str">
        <f>IF(Agent05_Savings!A66="","",Agent05_Savings!K66)</f>
        <v/>
      </c>
      <c r="K859" s="40" t="str">
        <f>IFERROR(IF(Agent05_Savings!A66="","",YEAR(Agent05_Savings!D66)),"")</f>
        <v/>
      </c>
    </row>
    <row r="860" spans="1:11" ht="18" customHeight="1" x14ac:dyDescent="0.25">
      <c r="A860" s="40" t="str">
        <f>IF(Agent05_Savings!A67="","",Agent05_Savings!A67)</f>
        <v/>
      </c>
      <c r="B860" s="40" t="str">
        <f ca="1">IF(Agent05_Savings!A67="","","SV"&amp;TEXT(860-3,"0000")&amp;"-"&amp;TEXT(TODAY(),"YYYYMMDD"))</f>
        <v/>
      </c>
      <c r="C860" s="40" t="str">
        <f>IF(Agent05_Savings!A67="","",Agent05_Savings!B67)</f>
        <v/>
      </c>
      <c r="D860" s="40" t="str">
        <f>IF(Agent05_Savings!A67="","",Agent05_Savings!G67)</f>
        <v/>
      </c>
      <c r="E860" s="41" t="str">
        <f>IF(Agent05_Savings!A67="","",Agent05_Savings!D67)</f>
        <v/>
      </c>
      <c r="F860" s="42" t="str">
        <f>IF(Agent05_Savings!A67="","",Agent05_Savings!E67)</f>
        <v/>
      </c>
      <c r="G860" s="42" t="str">
        <f>IF(Agent05_Savings!A67="","",Agent05_Savings!F67)</f>
        <v/>
      </c>
      <c r="H860" s="40" t="str">
        <f>IF(Agent05_Savings!A67="","",Agent05_Savings!I67)</f>
        <v/>
      </c>
      <c r="I860" s="40" t="str">
        <f>IF(Agent05_Savings!A67="","",Agent05_Savings!J67)</f>
        <v/>
      </c>
      <c r="J860" s="40" t="str">
        <f>IF(Agent05_Savings!A67="","",Agent05_Savings!K67)</f>
        <v/>
      </c>
      <c r="K860" s="40" t="str">
        <f>IFERROR(IF(Agent05_Savings!A67="","",YEAR(Agent05_Savings!D67)),"")</f>
        <v/>
      </c>
    </row>
    <row r="861" spans="1:11" ht="18" customHeight="1" x14ac:dyDescent="0.25">
      <c r="A861" s="40" t="str">
        <f>IF(Agent05_Savings!A68="","",Agent05_Savings!A68)</f>
        <v/>
      </c>
      <c r="B861" s="40" t="str">
        <f ca="1">IF(Agent05_Savings!A68="","","SV"&amp;TEXT(861-3,"0000")&amp;"-"&amp;TEXT(TODAY(),"YYYYMMDD"))</f>
        <v/>
      </c>
      <c r="C861" s="40" t="str">
        <f>IF(Agent05_Savings!A68="","",Agent05_Savings!B68)</f>
        <v/>
      </c>
      <c r="D861" s="40" t="str">
        <f>IF(Agent05_Savings!A68="","",Agent05_Savings!G68)</f>
        <v/>
      </c>
      <c r="E861" s="41" t="str">
        <f>IF(Agent05_Savings!A68="","",Agent05_Savings!D68)</f>
        <v/>
      </c>
      <c r="F861" s="42" t="str">
        <f>IF(Agent05_Savings!A68="","",Agent05_Savings!E68)</f>
        <v/>
      </c>
      <c r="G861" s="42" t="str">
        <f>IF(Agent05_Savings!A68="","",Agent05_Savings!F68)</f>
        <v/>
      </c>
      <c r="H861" s="40" t="str">
        <f>IF(Agent05_Savings!A68="","",Agent05_Savings!I68)</f>
        <v/>
      </c>
      <c r="I861" s="40" t="str">
        <f>IF(Agent05_Savings!A68="","",Agent05_Savings!J68)</f>
        <v/>
      </c>
      <c r="J861" s="40" t="str">
        <f>IF(Agent05_Savings!A68="","",Agent05_Savings!K68)</f>
        <v/>
      </c>
      <c r="K861" s="40" t="str">
        <f>IFERROR(IF(Agent05_Savings!A68="","",YEAR(Agent05_Savings!D68)),"")</f>
        <v/>
      </c>
    </row>
    <row r="862" spans="1:11" ht="18" customHeight="1" x14ac:dyDescent="0.25">
      <c r="A862" s="40" t="str">
        <f>IF(Agent05_Savings!A69="","",Agent05_Savings!A69)</f>
        <v/>
      </c>
      <c r="B862" s="40" t="str">
        <f ca="1">IF(Agent05_Savings!A69="","","SV"&amp;TEXT(862-3,"0000")&amp;"-"&amp;TEXT(TODAY(),"YYYYMMDD"))</f>
        <v/>
      </c>
      <c r="C862" s="40" t="str">
        <f>IF(Agent05_Savings!A69="","",Agent05_Savings!B69)</f>
        <v/>
      </c>
      <c r="D862" s="40" t="str">
        <f>IF(Agent05_Savings!A69="","",Agent05_Savings!G69)</f>
        <v/>
      </c>
      <c r="E862" s="41" t="str">
        <f>IF(Agent05_Savings!A69="","",Agent05_Savings!D69)</f>
        <v/>
      </c>
      <c r="F862" s="42" t="str">
        <f>IF(Agent05_Savings!A69="","",Agent05_Savings!E69)</f>
        <v/>
      </c>
      <c r="G862" s="42" t="str">
        <f>IF(Agent05_Savings!A69="","",Agent05_Savings!F69)</f>
        <v/>
      </c>
      <c r="H862" s="40" t="str">
        <f>IF(Agent05_Savings!A69="","",Agent05_Savings!I69)</f>
        <v/>
      </c>
      <c r="I862" s="40" t="str">
        <f>IF(Agent05_Savings!A69="","",Agent05_Savings!J69)</f>
        <v/>
      </c>
      <c r="J862" s="40" t="str">
        <f>IF(Agent05_Savings!A69="","",Agent05_Savings!K69)</f>
        <v/>
      </c>
      <c r="K862" s="40" t="str">
        <f>IFERROR(IF(Agent05_Savings!A69="","",YEAR(Agent05_Savings!D69)),"")</f>
        <v/>
      </c>
    </row>
    <row r="863" spans="1:11" ht="18" customHeight="1" x14ac:dyDescent="0.25">
      <c r="A863" s="40" t="str">
        <f>IF(Agent05_Savings!A70="","",Agent05_Savings!A70)</f>
        <v/>
      </c>
      <c r="B863" s="40" t="str">
        <f ca="1">IF(Agent05_Savings!A70="","","SV"&amp;TEXT(863-3,"0000")&amp;"-"&amp;TEXT(TODAY(),"YYYYMMDD"))</f>
        <v/>
      </c>
      <c r="C863" s="40" t="str">
        <f>IF(Agent05_Savings!A70="","",Agent05_Savings!B70)</f>
        <v/>
      </c>
      <c r="D863" s="40" t="str">
        <f>IF(Agent05_Savings!A70="","",Agent05_Savings!G70)</f>
        <v/>
      </c>
      <c r="E863" s="41" t="str">
        <f>IF(Agent05_Savings!A70="","",Agent05_Savings!D70)</f>
        <v/>
      </c>
      <c r="F863" s="42" t="str">
        <f>IF(Agent05_Savings!A70="","",Agent05_Savings!E70)</f>
        <v/>
      </c>
      <c r="G863" s="42" t="str">
        <f>IF(Agent05_Savings!A70="","",Agent05_Savings!F70)</f>
        <v/>
      </c>
      <c r="H863" s="40" t="str">
        <f>IF(Agent05_Savings!A70="","",Agent05_Savings!I70)</f>
        <v/>
      </c>
      <c r="I863" s="40" t="str">
        <f>IF(Agent05_Savings!A70="","",Agent05_Savings!J70)</f>
        <v/>
      </c>
      <c r="J863" s="40" t="str">
        <f>IF(Agent05_Savings!A70="","",Agent05_Savings!K70)</f>
        <v/>
      </c>
      <c r="K863" s="40" t="str">
        <f>IFERROR(IF(Agent05_Savings!A70="","",YEAR(Agent05_Savings!D70)),"")</f>
        <v/>
      </c>
    </row>
    <row r="864" spans="1:11" ht="18" customHeight="1" x14ac:dyDescent="0.25">
      <c r="A864" s="40" t="str">
        <f>IF(Agent05_Savings!A71="","",Agent05_Savings!A71)</f>
        <v/>
      </c>
      <c r="B864" s="40" t="str">
        <f ca="1">IF(Agent05_Savings!A71="","","SV"&amp;TEXT(864-3,"0000")&amp;"-"&amp;TEXT(TODAY(),"YYYYMMDD"))</f>
        <v/>
      </c>
      <c r="C864" s="40" t="str">
        <f>IF(Agent05_Savings!A71="","",Agent05_Savings!B71)</f>
        <v/>
      </c>
      <c r="D864" s="40" t="str">
        <f>IF(Agent05_Savings!A71="","",Agent05_Savings!G71)</f>
        <v/>
      </c>
      <c r="E864" s="41" t="str">
        <f>IF(Agent05_Savings!A71="","",Agent05_Savings!D71)</f>
        <v/>
      </c>
      <c r="F864" s="42" t="str">
        <f>IF(Agent05_Savings!A71="","",Agent05_Savings!E71)</f>
        <v/>
      </c>
      <c r="G864" s="42" t="str">
        <f>IF(Agent05_Savings!A71="","",Agent05_Savings!F71)</f>
        <v/>
      </c>
      <c r="H864" s="40" t="str">
        <f>IF(Agent05_Savings!A71="","",Agent05_Savings!I71)</f>
        <v/>
      </c>
      <c r="I864" s="40" t="str">
        <f>IF(Agent05_Savings!A71="","",Agent05_Savings!J71)</f>
        <v/>
      </c>
      <c r="J864" s="40" t="str">
        <f>IF(Agent05_Savings!A71="","",Agent05_Savings!K71)</f>
        <v/>
      </c>
      <c r="K864" s="40" t="str">
        <f>IFERROR(IF(Agent05_Savings!A71="","",YEAR(Agent05_Savings!D71)),"")</f>
        <v/>
      </c>
    </row>
    <row r="865" spans="1:11" ht="18" customHeight="1" x14ac:dyDescent="0.25">
      <c r="A865" s="40" t="str">
        <f>IF(Agent05_Savings!A72="","",Agent05_Savings!A72)</f>
        <v/>
      </c>
      <c r="B865" s="40" t="str">
        <f ca="1">IF(Agent05_Savings!A72="","","SV"&amp;TEXT(865-3,"0000")&amp;"-"&amp;TEXT(TODAY(),"YYYYMMDD"))</f>
        <v/>
      </c>
      <c r="C865" s="40" t="str">
        <f>IF(Agent05_Savings!A72="","",Agent05_Savings!B72)</f>
        <v/>
      </c>
      <c r="D865" s="40" t="str">
        <f>IF(Agent05_Savings!A72="","",Agent05_Savings!G72)</f>
        <v/>
      </c>
      <c r="E865" s="41" t="str">
        <f>IF(Agent05_Savings!A72="","",Agent05_Savings!D72)</f>
        <v/>
      </c>
      <c r="F865" s="42" t="str">
        <f>IF(Agent05_Savings!A72="","",Agent05_Savings!E72)</f>
        <v/>
      </c>
      <c r="G865" s="42" t="str">
        <f>IF(Agent05_Savings!A72="","",Agent05_Savings!F72)</f>
        <v/>
      </c>
      <c r="H865" s="40" t="str">
        <f>IF(Agent05_Savings!A72="","",Agent05_Savings!I72)</f>
        <v/>
      </c>
      <c r="I865" s="40" t="str">
        <f>IF(Agent05_Savings!A72="","",Agent05_Savings!J72)</f>
        <v/>
      </c>
      <c r="J865" s="40" t="str">
        <f>IF(Agent05_Savings!A72="","",Agent05_Savings!K72)</f>
        <v/>
      </c>
      <c r="K865" s="40" t="str">
        <f>IFERROR(IF(Agent05_Savings!A72="","",YEAR(Agent05_Savings!D72)),"")</f>
        <v/>
      </c>
    </row>
    <row r="866" spans="1:11" ht="18" customHeight="1" x14ac:dyDescent="0.25">
      <c r="A866" s="40" t="str">
        <f>IF(Agent05_Savings!A73="","",Agent05_Savings!A73)</f>
        <v/>
      </c>
      <c r="B866" s="40" t="str">
        <f ca="1">IF(Agent05_Savings!A73="","","SV"&amp;TEXT(866-3,"0000")&amp;"-"&amp;TEXT(TODAY(),"YYYYMMDD"))</f>
        <v/>
      </c>
      <c r="C866" s="40" t="str">
        <f>IF(Agent05_Savings!A73="","",Agent05_Savings!B73)</f>
        <v/>
      </c>
      <c r="D866" s="40" t="str">
        <f>IF(Agent05_Savings!A73="","",Agent05_Savings!G73)</f>
        <v/>
      </c>
      <c r="E866" s="41" t="str">
        <f>IF(Agent05_Savings!A73="","",Agent05_Savings!D73)</f>
        <v/>
      </c>
      <c r="F866" s="42" t="str">
        <f>IF(Agent05_Savings!A73="","",Agent05_Savings!E73)</f>
        <v/>
      </c>
      <c r="G866" s="42" t="str">
        <f>IF(Agent05_Savings!A73="","",Agent05_Savings!F73)</f>
        <v/>
      </c>
      <c r="H866" s="40" t="str">
        <f>IF(Agent05_Savings!A73="","",Agent05_Savings!I73)</f>
        <v/>
      </c>
      <c r="I866" s="40" t="str">
        <f>IF(Agent05_Savings!A73="","",Agent05_Savings!J73)</f>
        <v/>
      </c>
      <c r="J866" s="40" t="str">
        <f>IF(Agent05_Savings!A73="","",Agent05_Savings!K73)</f>
        <v/>
      </c>
      <c r="K866" s="40" t="str">
        <f>IFERROR(IF(Agent05_Savings!A73="","",YEAR(Agent05_Savings!D73)),"")</f>
        <v/>
      </c>
    </row>
    <row r="867" spans="1:11" ht="18" customHeight="1" x14ac:dyDescent="0.25">
      <c r="A867" s="40" t="str">
        <f>IF(Agent05_Savings!A74="","",Agent05_Savings!A74)</f>
        <v/>
      </c>
      <c r="B867" s="40" t="str">
        <f ca="1">IF(Agent05_Savings!A74="","","SV"&amp;TEXT(867-3,"0000")&amp;"-"&amp;TEXT(TODAY(),"YYYYMMDD"))</f>
        <v/>
      </c>
      <c r="C867" s="40" t="str">
        <f>IF(Agent05_Savings!A74="","",Agent05_Savings!B74)</f>
        <v/>
      </c>
      <c r="D867" s="40" t="str">
        <f>IF(Agent05_Savings!A74="","",Agent05_Savings!G74)</f>
        <v/>
      </c>
      <c r="E867" s="41" t="str">
        <f>IF(Agent05_Savings!A74="","",Agent05_Savings!D74)</f>
        <v/>
      </c>
      <c r="F867" s="42" t="str">
        <f>IF(Agent05_Savings!A74="","",Agent05_Savings!E74)</f>
        <v/>
      </c>
      <c r="G867" s="42" t="str">
        <f>IF(Agent05_Savings!A74="","",Agent05_Savings!F74)</f>
        <v/>
      </c>
      <c r="H867" s="40" t="str">
        <f>IF(Agent05_Savings!A74="","",Agent05_Savings!I74)</f>
        <v/>
      </c>
      <c r="I867" s="40" t="str">
        <f>IF(Agent05_Savings!A74="","",Agent05_Savings!J74)</f>
        <v/>
      </c>
      <c r="J867" s="40" t="str">
        <f>IF(Agent05_Savings!A74="","",Agent05_Savings!K74)</f>
        <v/>
      </c>
      <c r="K867" s="40" t="str">
        <f>IFERROR(IF(Agent05_Savings!A74="","",YEAR(Agent05_Savings!D74)),"")</f>
        <v/>
      </c>
    </row>
    <row r="868" spans="1:11" ht="18" customHeight="1" x14ac:dyDescent="0.25">
      <c r="A868" s="40" t="str">
        <f>IF(Agent05_Savings!A75="","",Agent05_Savings!A75)</f>
        <v/>
      </c>
      <c r="B868" s="40" t="str">
        <f ca="1">IF(Agent05_Savings!A75="","","SV"&amp;TEXT(868-3,"0000")&amp;"-"&amp;TEXT(TODAY(),"YYYYMMDD"))</f>
        <v/>
      </c>
      <c r="C868" s="40" t="str">
        <f>IF(Agent05_Savings!A75="","",Agent05_Savings!B75)</f>
        <v/>
      </c>
      <c r="D868" s="40" t="str">
        <f>IF(Agent05_Savings!A75="","",Agent05_Savings!G75)</f>
        <v/>
      </c>
      <c r="E868" s="41" t="str">
        <f>IF(Agent05_Savings!A75="","",Agent05_Savings!D75)</f>
        <v/>
      </c>
      <c r="F868" s="42" t="str">
        <f>IF(Agent05_Savings!A75="","",Agent05_Savings!E75)</f>
        <v/>
      </c>
      <c r="G868" s="42" t="str">
        <f>IF(Agent05_Savings!A75="","",Agent05_Savings!F75)</f>
        <v/>
      </c>
      <c r="H868" s="40" t="str">
        <f>IF(Agent05_Savings!A75="","",Agent05_Savings!I75)</f>
        <v/>
      </c>
      <c r="I868" s="40" t="str">
        <f>IF(Agent05_Savings!A75="","",Agent05_Savings!J75)</f>
        <v/>
      </c>
      <c r="J868" s="40" t="str">
        <f>IF(Agent05_Savings!A75="","",Agent05_Savings!K75)</f>
        <v/>
      </c>
      <c r="K868" s="40" t="str">
        <f>IFERROR(IF(Agent05_Savings!A75="","",YEAR(Agent05_Savings!D75)),"")</f>
        <v/>
      </c>
    </row>
    <row r="869" spans="1:11" ht="18" customHeight="1" x14ac:dyDescent="0.25">
      <c r="A869" s="40" t="str">
        <f>IF(Agent05_Savings!A76="","",Agent05_Savings!A76)</f>
        <v/>
      </c>
      <c r="B869" s="40" t="str">
        <f ca="1">IF(Agent05_Savings!A76="","","SV"&amp;TEXT(869-3,"0000")&amp;"-"&amp;TEXT(TODAY(),"YYYYMMDD"))</f>
        <v/>
      </c>
      <c r="C869" s="40" t="str">
        <f>IF(Agent05_Savings!A76="","",Agent05_Savings!B76)</f>
        <v/>
      </c>
      <c r="D869" s="40" t="str">
        <f>IF(Agent05_Savings!A76="","",Agent05_Savings!G76)</f>
        <v/>
      </c>
      <c r="E869" s="41" t="str">
        <f>IF(Agent05_Savings!A76="","",Agent05_Savings!D76)</f>
        <v/>
      </c>
      <c r="F869" s="42" t="str">
        <f>IF(Agent05_Savings!A76="","",Agent05_Savings!E76)</f>
        <v/>
      </c>
      <c r="G869" s="42" t="str">
        <f>IF(Agent05_Savings!A76="","",Agent05_Savings!F76)</f>
        <v/>
      </c>
      <c r="H869" s="40" t="str">
        <f>IF(Agent05_Savings!A76="","",Agent05_Savings!I76)</f>
        <v/>
      </c>
      <c r="I869" s="40" t="str">
        <f>IF(Agent05_Savings!A76="","",Agent05_Savings!J76)</f>
        <v/>
      </c>
      <c r="J869" s="40" t="str">
        <f>IF(Agent05_Savings!A76="","",Agent05_Savings!K76)</f>
        <v/>
      </c>
      <c r="K869" s="40" t="str">
        <f>IFERROR(IF(Agent05_Savings!A76="","",YEAR(Agent05_Savings!D76)),"")</f>
        <v/>
      </c>
    </row>
    <row r="870" spans="1:11" ht="18" customHeight="1" x14ac:dyDescent="0.25">
      <c r="A870" s="40" t="str">
        <f>IF(Agent05_Savings!A77="","",Agent05_Savings!A77)</f>
        <v/>
      </c>
      <c r="B870" s="40" t="str">
        <f ca="1">IF(Agent05_Savings!A77="","","SV"&amp;TEXT(870-3,"0000")&amp;"-"&amp;TEXT(TODAY(),"YYYYMMDD"))</f>
        <v/>
      </c>
      <c r="C870" s="40" t="str">
        <f>IF(Agent05_Savings!A77="","",Agent05_Savings!B77)</f>
        <v/>
      </c>
      <c r="D870" s="40" t="str">
        <f>IF(Agent05_Savings!A77="","",Agent05_Savings!G77)</f>
        <v/>
      </c>
      <c r="E870" s="41" t="str">
        <f>IF(Agent05_Savings!A77="","",Agent05_Savings!D77)</f>
        <v/>
      </c>
      <c r="F870" s="42" t="str">
        <f>IF(Agent05_Savings!A77="","",Agent05_Savings!E77)</f>
        <v/>
      </c>
      <c r="G870" s="42" t="str">
        <f>IF(Agent05_Savings!A77="","",Agent05_Savings!F77)</f>
        <v/>
      </c>
      <c r="H870" s="40" t="str">
        <f>IF(Agent05_Savings!A77="","",Agent05_Savings!I77)</f>
        <v/>
      </c>
      <c r="I870" s="40" t="str">
        <f>IF(Agent05_Savings!A77="","",Agent05_Savings!J77)</f>
        <v/>
      </c>
      <c r="J870" s="40" t="str">
        <f>IF(Agent05_Savings!A77="","",Agent05_Savings!K77)</f>
        <v/>
      </c>
      <c r="K870" s="40" t="str">
        <f>IFERROR(IF(Agent05_Savings!A77="","",YEAR(Agent05_Savings!D77)),"")</f>
        <v/>
      </c>
    </row>
    <row r="871" spans="1:11" ht="18" customHeight="1" x14ac:dyDescent="0.25">
      <c r="A871" s="40" t="str">
        <f>IF(Agent05_Savings!A78="","",Agent05_Savings!A78)</f>
        <v/>
      </c>
      <c r="B871" s="40" t="str">
        <f ca="1">IF(Agent05_Savings!A78="","","SV"&amp;TEXT(871-3,"0000")&amp;"-"&amp;TEXT(TODAY(),"YYYYMMDD"))</f>
        <v/>
      </c>
      <c r="C871" s="40" t="str">
        <f>IF(Agent05_Savings!A78="","",Agent05_Savings!B78)</f>
        <v/>
      </c>
      <c r="D871" s="40" t="str">
        <f>IF(Agent05_Savings!A78="","",Agent05_Savings!G78)</f>
        <v/>
      </c>
      <c r="E871" s="41" t="str">
        <f>IF(Agent05_Savings!A78="","",Agent05_Savings!D78)</f>
        <v/>
      </c>
      <c r="F871" s="42" t="str">
        <f>IF(Agent05_Savings!A78="","",Agent05_Savings!E78)</f>
        <v/>
      </c>
      <c r="G871" s="42" t="str">
        <f>IF(Agent05_Savings!A78="","",Agent05_Savings!F78)</f>
        <v/>
      </c>
      <c r="H871" s="40" t="str">
        <f>IF(Agent05_Savings!A78="","",Agent05_Savings!I78)</f>
        <v/>
      </c>
      <c r="I871" s="40" t="str">
        <f>IF(Agent05_Savings!A78="","",Agent05_Savings!J78)</f>
        <v/>
      </c>
      <c r="J871" s="40" t="str">
        <f>IF(Agent05_Savings!A78="","",Agent05_Savings!K78)</f>
        <v/>
      </c>
      <c r="K871" s="40" t="str">
        <f>IFERROR(IF(Agent05_Savings!A78="","",YEAR(Agent05_Savings!D78)),"")</f>
        <v/>
      </c>
    </row>
    <row r="872" spans="1:11" ht="18" customHeight="1" x14ac:dyDescent="0.25">
      <c r="A872" s="40" t="str">
        <f>IF(Agent05_Savings!A79="","",Agent05_Savings!A79)</f>
        <v/>
      </c>
      <c r="B872" s="40" t="str">
        <f ca="1">IF(Agent05_Savings!A79="","","SV"&amp;TEXT(872-3,"0000")&amp;"-"&amp;TEXT(TODAY(),"YYYYMMDD"))</f>
        <v/>
      </c>
      <c r="C872" s="40" t="str">
        <f>IF(Agent05_Savings!A79="","",Agent05_Savings!B79)</f>
        <v/>
      </c>
      <c r="D872" s="40" t="str">
        <f>IF(Agent05_Savings!A79="","",Agent05_Savings!G79)</f>
        <v/>
      </c>
      <c r="E872" s="41" t="str">
        <f>IF(Agent05_Savings!A79="","",Agent05_Savings!D79)</f>
        <v/>
      </c>
      <c r="F872" s="42" t="str">
        <f>IF(Agent05_Savings!A79="","",Agent05_Savings!E79)</f>
        <v/>
      </c>
      <c r="G872" s="42" t="str">
        <f>IF(Agent05_Savings!A79="","",Agent05_Savings!F79)</f>
        <v/>
      </c>
      <c r="H872" s="40" t="str">
        <f>IF(Agent05_Savings!A79="","",Agent05_Savings!I79)</f>
        <v/>
      </c>
      <c r="I872" s="40" t="str">
        <f>IF(Agent05_Savings!A79="","",Agent05_Savings!J79)</f>
        <v/>
      </c>
      <c r="J872" s="40" t="str">
        <f>IF(Agent05_Savings!A79="","",Agent05_Savings!K79)</f>
        <v/>
      </c>
      <c r="K872" s="40" t="str">
        <f>IFERROR(IF(Agent05_Savings!A79="","",YEAR(Agent05_Savings!D79)),"")</f>
        <v/>
      </c>
    </row>
    <row r="873" spans="1:11" ht="18" customHeight="1" x14ac:dyDescent="0.25">
      <c r="A873" s="40" t="str">
        <f>IF(Agent05_Savings!A80="","",Agent05_Savings!A80)</f>
        <v/>
      </c>
      <c r="B873" s="40" t="str">
        <f ca="1">IF(Agent05_Savings!A80="","","SV"&amp;TEXT(873-3,"0000")&amp;"-"&amp;TEXT(TODAY(),"YYYYMMDD"))</f>
        <v/>
      </c>
      <c r="C873" s="40" t="str">
        <f>IF(Agent05_Savings!A80="","",Agent05_Savings!B80)</f>
        <v/>
      </c>
      <c r="D873" s="40" t="str">
        <f>IF(Agent05_Savings!A80="","",Agent05_Savings!G80)</f>
        <v/>
      </c>
      <c r="E873" s="41" t="str">
        <f>IF(Agent05_Savings!A80="","",Agent05_Savings!D80)</f>
        <v/>
      </c>
      <c r="F873" s="42" t="str">
        <f>IF(Agent05_Savings!A80="","",Agent05_Savings!E80)</f>
        <v/>
      </c>
      <c r="G873" s="42" t="str">
        <f>IF(Agent05_Savings!A80="","",Agent05_Savings!F80)</f>
        <v/>
      </c>
      <c r="H873" s="40" t="str">
        <f>IF(Agent05_Savings!A80="","",Agent05_Savings!I80)</f>
        <v/>
      </c>
      <c r="I873" s="40" t="str">
        <f>IF(Agent05_Savings!A80="","",Agent05_Savings!J80)</f>
        <v/>
      </c>
      <c r="J873" s="40" t="str">
        <f>IF(Agent05_Savings!A80="","",Agent05_Savings!K80)</f>
        <v/>
      </c>
      <c r="K873" s="40" t="str">
        <f>IFERROR(IF(Agent05_Savings!A80="","",YEAR(Agent05_Savings!D80)),"")</f>
        <v/>
      </c>
    </row>
    <row r="874" spans="1:11" ht="18" customHeight="1" x14ac:dyDescent="0.25">
      <c r="A874" s="40" t="str">
        <f>IF(Agent05_Savings!A81="","",Agent05_Savings!A81)</f>
        <v/>
      </c>
      <c r="B874" s="40" t="str">
        <f ca="1">IF(Agent05_Savings!A81="","","SV"&amp;TEXT(874-3,"0000")&amp;"-"&amp;TEXT(TODAY(),"YYYYMMDD"))</f>
        <v/>
      </c>
      <c r="C874" s="40" t="str">
        <f>IF(Agent05_Savings!A81="","",Agent05_Savings!B81)</f>
        <v/>
      </c>
      <c r="D874" s="40" t="str">
        <f>IF(Agent05_Savings!A81="","",Agent05_Savings!G81)</f>
        <v/>
      </c>
      <c r="E874" s="41" t="str">
        <f>IF(Agent05_Savings!A81="","",Agent05_Savings!D81)</f>
        <v/>
      </c>
      <c r="F874" s="42" t="str">
        <f>IF(Agent05_Savings!A81="","",Agent05_Savings!E81)</f>
        <v/>
      </c>
      <c r="G874" s="42" t="str">
        <f>IF(Agent05_Savings!A81="","",Agent05_Savings!F81)</f>
        <v/>
      </c>
      <c r="H874" s="40" t="str">
        <f>IF(Agent05_Savings!A81="","",Agent05_Savings!I81)</f>
        <v/>
      </c>
      <c r="I874" s="40" t="str">
        <f>IF(Agent05_Savings!A81="","",Agent05_Savings!J81)</f>
        <v/>
      </c>
      <c r="J874" s="40" t="str">
        <f>IF(Agent05_Savings!A81="","",Agent05_Savings!K81)</f>
        <v/>
      </c>
      <c r="K874" s="40" t="str">
        <f>IFERROR(IF(Agent05_Savings!A81="","",YEAR(Agent05_Savings!D81)),"")</f>
        <v/>
      </c>
    </row>
    <row r="875" spans="1:11" ht="18" customHeight="1" x14ac:dyDescent="0.25">
      <c r="A875" s="40" t="str">
        <f>IF(Agent05_Savings!A82="","",Agent05_Savings!A82)</f>
        <v/>
      </c>
      <c r="B875" s="40" t="str">
        <f ca="1">IF(Agent05_Savings!A82="","","SV"&amp;TEXT(875-3,"0000")&amp;"-"&amp;TEXT(TODAY(),"YYYYMMDD"))</f>
        <v/>
      </c>
      <c r="C875" s="40" t="str">
        <f>IF(Agent05_Savings!A82="","",Agent05_Savings!B82)</f>
        <v/>
      </c>
      <c r="D875" s="40" t="str">
        <f>IF(Agent05_Savings!A82="","",Agent05_Savings!G82)</f>
        <v/>
      </c>
      <c r="E875" s="41" t="str">
        <f>IF(Agent05_Savings!A82="","",Agent05_Savings!D82)</f>
        <v/>
      </c>
      <c r="F875" s="42" t="str">
        <f>IF(Agent05_Savings!A82="","",Agent05_Savings!E82)</f>
        <v/>
      </c>
      <c r="G875" s="42" t="str">
        <f>IF(Agent05_Savings!A82="","",Agent05_Savings!F82)</f>
        <v/>
      </c>
      <c r="H875" s="40" t="str">
        <f>IF(Agent05_Savings!A82="","",Agent05_Savings!I82)</f>
        <v/>
      </c>
      <c r="I875" s="40" t="str">
        <f>IF(Agent05_Savings!A82="","",Agent05_Savings!J82)</f>
        <v/>
      </c>
      <c r="J875" s="40" t="str">
        <f>IF(Agent05_Savings!A82="","",Agent05_Savings!K82)</f>
        <v/>
      </c>
      <c r="K875" s="40" t="str">
        <f>IFERROR(IF(Agent05_Savings!A82="","",YEAR(Agent05_Savings!D82)),"")</f>
        <v/>
      </c>
    </row>
    <row r="876" spans="1:11" ht="18" customHeight="1" x14ac:dyDescent="0.25">
      <c r="A876" s="40" t="str">
        <f>IF(Agent05_Savings!A83="","",Agent05_Savings!A83)</f>
        <v/>
      </c>
      <c r="B876" s="40" t="str">
        <f ca="1">IF(Agent05_Savings!A83="","","SV"&amp;TEXT(876-3,"0000")&amp;"-"&amp;TEXT(TODAY(),"YYYYMMDD"))</f>
        <v/>
      </c>
      <c r="C876" s="40" t="str">
        <f>IF(Agent05_Savings!A83="","",Agent05_Savings!B83)</f>
        <v/>
      </c>
      <c r="D876" s="40" t="str">
        <f>IF(Agent05_Savings!A83="","",Agent05_Savings!G83)</f>
        <v/>
      </c>
      <c r="E876" s="41" t="str">
        <f>IF(Agent05_Savings!A83="","",Agent05_Savings!D83)</f>
        <v/>
      </c>
      <c r="F876" s="42" t="str">
        <f>IF(Agent05_Savings!A83="","",Agent05_Savings!E83)</f>
        <v/>
      </c>
      <c r="G876" s="42" t="str">
        <f>IF(Agent05_Savings!A83="","",Agent05_Savings!F83)</f>
        <v/>
      </c>
      <c r="H876" s="40" t="str">
        <f>IF(Agent05_Savings!A83="","",Agent05_Savings!I83)</f>
        <v/>
      </c>
      <c r="I876" s="40" t="str">
        <f>IF(Agent05_Savings!A83="","",Agent05_Savings!J83)</f>
        <v/>
      </c>
      <c r="J876" s="40" t="str">
        <f>IF(Agent05_Savings!A83="","",Agent05_Savings!K83)</f>
        <v/>
      </c>
      <c r="K876" s="40" t="str">
        <f>IFERROR(IF(Agent05_Savings!A83="","",YEAR(Agent05_Savings!D83)),"")</f>
        <v/>
      </c>
    </row>
    <row r="877" spans="1:11" ht="18" customHeight="1" x14ac:dyDescent="0.25">
      <c r="A877" s="40" t="str">
        <f>IF(Agent05_Savings!A84="","",Agent05_Savings!A84)</f>
        <v/>
      </c>
      <c r="B877" s="40" t="str">
        <f ca="1">IF(Agent05_Savings!A84="","","SV"&amp;TEXT(877-3,"0000")&amp;"-"&amp;TEXT(TODAY(),"YYYYMMDD"))</f>
        <v/>
      </c>
      <c r="C877" s="40" t="str">
        <f>IF(Agent05_Savings!A84="","",Agent05_Savings!B84)</f>
        <v/>
      </c>
      <c r="D877" s="40" t="str">
        <f>IF(Agent05_Savings!A84="","",Agent05_Savings!G84)</f>
        <v/>
      </c>
      <c r="E877" s="41" t="str">
        <f>IF(Agent05_Savings!A84="","",Agent05_Savings!D84)</f>
        <v/>
      </c>
      <c r="F877" s="42" t="str">
        <f>IF(Agent05_Savings!A84="","",Agent05_Savings!E84)</f>
        <v/>
      </c>
      <c r="G877" s="42" t="str">
        <f>IF(Agent05_Savings!A84="","",Agent05_Savings!F84)</f>
        <v/>
      </c>
      <c r="H877" s="40" t="str">
        <f>IF(Agent05_Savings!A84="","",Agent05_Savings!I84)</f>
        <v/>
      </c>
      <c r="I877" s="40" t="str">
        <f>IF(Agent05_Savings!A84="","",Agent05_Savings!J84)</f>
        <v/>
      </c>
      <c r="J877" s="40" t="str">
        <f>IF(Agent05_Savings!A84="","",Agent05_Savings!K84)</f>
        <v/>
      </c>
      <c r="K877" s="40" t="str">
        <f>IFERROR(IF(Agent05_Savings!A84="","",YEAR(Agent05_Savings!D84)),"")</f>
        <v/>
      </c>
    </row>
    <row r="878" spans="1:11" ht="18" customHeight="1" x14ac:dyDescent="0.25">
      <c r="A878" s="40" t="str">
        <f>IF(Agent05_Savings!A85="","",Agent05_Savings!A85)</f>
        <v/>
      </c>
      <c r="B878" s="40" t="str">
        <f ca="1">IF(Agent05_Savings!A85="","","SV"&amp;TEXT(878-3,"0000")&amp;"-"&amp;TEXT(TODAY(),"YYYYMMDD"))</f>
        <v/>
      </c>
      <c r="C878" s="40" t="str">
        <f>IF(Agent05_Savings!A85="","",Agent05_Savings!B85)</f>
        <v/>
      </c>
      <c r="D878" s="40" t="str">
        <f>IF(Agent05_Savings!A85="","",Agent05_Savings!G85)</f>
        <v/>
      </c>
      <c r="E878" s="41" t="str">
        <f>IF(Agent05_Savings!A85="","",Agent05_Savings!D85)</f>
        <v/>
      </c>
      <c r="F878" s="42" t="str">
        <f>IF(Agent05_Savings!A85="","",Agent05_Savings!E85)</f>
        <v/>
      </c>
      <c r="G878" s="42" t="str">
        <f>IF(Agent05_Savings!A85="","",Agent05_Savings!F85)</f>
        <v/>
      </c>
      <c r="H878" s="40" t="str">
        <f>IF(Agent05_Savings!A85="","",Agent05_Savings!I85)</f>
        <v/>
      </c>
      <c r="I878" s="40" t="str">
        <f>IF(Agent05_Savings!A85="","",Agent05_Savings!J85)</f>
        <v/>
      </c>
      <c r="J878" s="40" t="str">
        <f>IF(Agent05_Savings!A85="","",Agent05_Savings!K85)</f>
        <v/>
      </c>
      <c r="K878" s="40" t="str">
        <f>IFERROR(IF(Agent05_Savings!A85="","",YEAR(Agent05_Savings!D85)),"")</f>
        <v/>
      </c>
    </row>
    <row r="879" spans="1:11" ht="18" customHeight="1" x14ac:dyDescent="0.25">
      <c r="A879" s="40" t="str">
        <f>IF(Agent05_Savings!A86="","",Agent05_Savings!A86)</f>
        <v/>
      </c>
      <c r="B879" s="40" t="str">
        <f ca="1">IF(Agent05_Savings!A86="","","SV"&amp;TEXT(879-3,"0000")&amp;"-"&amp;TEXT(TODAY(),"YYYYMMDD"))</f>
        <v/>
      </c>
      <c r="C879" s="40" t="str">
        <f>IF(Agent05_Savings!A86="","",Agent05_Savings!B86)</f>
        <v/>
      </c>
      <c r="D879" s="40" t="str">
        <f>IF(Agent05_Savings!A86="","",Agent05_Savings!G86)</f>
        <v/>
      </c>
      <c r="E879" s="41" t="str">
        <f>IF(Agent05_Savings!A86="","",Agent05_Savings!D86)</f>
        <v/>
      </c>
      <c r="F879" s="42" t="str">
        <f>IF(Agent05_Savings!A86="","",Agent05_Savings!E86)</f>
        <v/>
      </c>
      <c r="G879" s="42" t="str">
        <f>IF(Agent05_Savings!A86="","",Agent05_Savings!F86)</f>
        <v/>
      </c>
      <c r="H879" s="40" t="str">
        <f>IF(Agent05_Savings!A86="","",Agent05_Savings!I86)</f>
        <v/>
      </c>
      <c r="I879" s="40" t="str">
        <f>IF(Agent05_Savings!A86="","",Agent05_Savings!J86)</f>
        <v/>
      </c>
      <c r="J879" s="40" t="str">
        <f>IF(Agent05_Savings!A86="","",Agent05_Savings!K86)</f>
        <v/>
      </c>
      <c r="K879" s="40" t="str">
        <f>IFERROR(IF(Agent05_Savings!A86="","",YEAR(Agent05_Savings!D86)),"")</f>
        <v/>
      </c>
    </row>
    <row r="880" spans="1:11" ht="18" customHeight="1" x14ac:dyDescent="0.25">
      <c r="A880" s="40" t="str">
        <f>IF(Agent05_Savings!A87="","",Agent05_Savings!A87)</f>
        <v/>
      </c>
      <c r="B880" s="40" t="str">
        <f ca="1">IF(Agent05_Savings!A87="","","SV"&amp;TEXT(880-3,"0000")&amp;"-"&amp;TEXT(TODAY(),"YYYYMMDD"))</f>
        <v/>
      </c>
      <c r="C880" s="40" t="str">
        <f>IF(Agent05_Savings!A87="","",Agent05_Savings!B87)</f>
        <v/>
      </c>
      <c r="D880" s="40" t="str">
        <f>IF(Agent05_Savings!A87="","",Agent05_Savings!G87)</f>
        <v/>
      </c>
      <c r="E880" s="41" t="str">
        <f>IF(Agent05_Savings!A87="","",Agent05_Savings!D87)</f>
        <v/>
      </c>
      <c r="F880" s="42" t="str">
        <f>IF(Agent05_Savings!A87="","",Agent05_Savings!E87)</f>
        <v/>
      </c>
      <c r="G880" s="42" t="str">
        <f>IF(Agent05_Savings!A87="","",Agent05_Savings!F87)</f>
        <v/>
      </c>
      <c r="H880" s="40" t="str">
        <f>IF(Agent05_Savings!A87="","",Agent05_Savings!I87)</f>
        <v/>
      </c>
      <c r="I880" s="40" t="str">
        <f>IF(Agent05_Savings!A87="","",Agent05_Savings!J87)</f>
        <v/>
      </c>
      <c r="J880" s="40" t="str">
        <f>IF(Agent05_Savings!A87="","",Agent05_Savings!K87)</f>
        <v/>
      </c>
      <c r="K880" s="40" t="str">
        <f>IFERROR(IF(Agent05_Savings!A87="","",YEAR(Agent05_Savings!D87)),"")</f>
        <v/>
      </c>
    </row>
    <row r="881" spans="1:11" ht="18" customHeight="1" x14ac:dyDescent="0.25">
      <c r="A881" s="40" t="str">
        <f>IF(Agent05_Savings!A88="","",Agent05_Savings!A88)</f>
        <v/>
      </c>
      <c r="B881" s="40" t="str">
        <f ca="1">IF(Agent05_Savings!A88="","","SV"&amp;TEXT(881-3,"0000")&amp;"-"&amp;TEXT(TODAY(),"YYYYMMDD"))</f>
        <v/>
      </c>
      <c r="C881" s="40" t="str">
        <f>IF(Agent05_Savings!A88="","",Agent05_Savings!B88)</f>
        <v/>
      </c>
      <c r="D881" s="40" t="str">
        <f>IF(Agent05_Savings!A88="","",Agent05_Savings!G88)</f>
        <v/>
      </c>
      <c r="E881" s="41" t="str">
        <f>IF(Agent05_Savings!A88="","",Agent05_Savings!D88)</f>
        <v/>
      </c>
      <c r="F881" s="42" t="str">
        <f>IF(Agent05_Savings!A88="","",Agent05_Savings!E88)</f>
        <v/>
      </c>
      <c r="G881" s="42" t="str">
        <f>IF(Agent05_Savings!A88="","",Agent05_Savings!F88)</f>
        <v/>
      </c>
      <c r="H881" s="40" t="str">
        <f>IF(Agent05_Savings!A88="","",Agent05_Savings!I88)</f>
        <v/>
      </c>
      <c r="I881" s="40" t="str">
        <f>IF(Agent05_Savings!A88="","",Agent05_Savings!J88)</f>
        <v/>
      </c>
      <c r="J881" s="40" t="str">
        <f>IF(Agent05_Savings!A88="","",Agent05_Savings!K88)</f>
        <v/>
      </c>
      <c r="K881" s="40" t="str">
        <f>IFERROR(IF(Agent05_Savings!A88="","",YEAR(Agent05_Savings!D88)),"")</f>
        <v/>
      </c>
    </row>
    <row r="882" spans="1:11" ht="18" customHeight="1" x14ac:dyDescent="0.25">
      <c r="A882" s="40" t="str">
        <f>IF(Agent05_Savings!A89="","",Agent05_Savings!A89)</f>
        <v/>
      </c>
      <c r="B882" s="40" t="str">
        <f ca="1">IF(Agent05_Savings!A89="","","SV"&amp;TEXT(882-3,"0000")&amp;"-"&amp;TEXT(TODAY(),"YYYYMMDD"))</f>
        <v/>
      </c>
      <c r="C882" s="40" t="str">
        <f>IF(Agent05_Savings!A89="","",Agent05_Savings!B89)</f>
        <v/>
      </c>
      <c r="D882" s="40" t="str">
        <f>IF(Agent05_Savings!A89="","",Agent05_Savings!G89)</f>
        <v/>
      </c>
      <c r="E882" s="41" t="str">
        <f>IF(Agent05_Savings!A89="","",Agent05_Savings!D89)</f>
        <v/>
      </c>
      <c r="F882" s="42" t="str">
        <f>IF(Agent05_Savings!A89="","",Agent05_Savings!E89)</f>
        <v/>
      </c>
      <c r="G882" s="42" t="str">
        <f>IF(Agent05_Savings!A89="","",Agent05_Savings!F89)</f>
        <v/>
      </c>
      <c r="H882" s="40" t="str">
        <f>IF(Agent05_Savings!A89="","",Agent05_Savings!I89)</f>
        <v/>
      </c>
      <c r="I882" s="40" t="str">
        <f>IF(Agent05_Savings!A89="","",Agent05_Savings!J89)</f>
        <v/>
      </c>
      <c r="J882" s="40" t="str">
        <f>IF(Agent05_Savings!A89="","",Agent05_Savings!K89)</f>
        <v/>
      </c>
      <c r="K882" s="40" t="str">
        <f>IFERROR(IF(Agent05_Savings!A89="","",YEAR(Agent05_Savings!D89)),"")</f>
        <v/>
      </c>
    </row>
    <row r="883" spans="1:11" ht="18" customHeight="1" x14ac:dyDescent="0.25">
      <c r="A883" s="40" t="str">
        <f>IF(Agent05_Savings!A90="","",Agent05_Savings!A90)</f>
        <v/>
      </c>
      <c r="B883" s="40" t="str">
        <f ca="1">IF(Agent05_Savings!A90="","","SV"&amp;TEXT(883-3,"0000")&amp;"-"&amp;TEXT(TODAY(),"YYYYMMDD"))</f>
        <v/>
      </c>
      <c r="C883" s="40" t="str">
        <f>IF(Agent05_Savings!A90="","",Agent05_Savings!B90)</f>
        <v/>
      </c>
      <c r="D883" s="40" t="str">
        <f>IF(Agent05_Savings!A90="","",Agent05_Savings!G90)</f>
        <v/>
      </c>
      <c r="E883" s="41" t="str">
        <f>IF(Agent05_Savings!A90="","",Agent05_Savings!D90)</f>
        <v/>
      </c>
      <c r="F883" s="42" t="str">
        <f>IF(Agent05_Savings!A90="","",Agent05_Savings!E90)</f>
        <v/>
      </c>
      <c r="G883" s="42" t="str">
        <f>IF(Agent05_Savings!A90="","",Agent05_Savings!F90)</f>
        <v/>
      </c>
      <c r="H883" s="40" t="str">
        <f>IF(Agent05_Savings!A90="","",Agent05_Savings!I90)</f>
        <v/>
      </c>
      <c r="I883" s="40" t="str">
        <f>IF(Agent05_Savings!A90="","",Agent05_Savings!J90)</f>
        <v/>
      </c>
      <c r="J883" s="40" t="str">
        <f>IF(Agent05_Savings!A90="","",Agent05_Savings!K90)</f>
        <v/>
      </c>
      <c r="K883" s="40" t="str">
        <f>IFERROR(IF(Agent05_Savings!A90="","",YEAR(Agent05_Savings!D90)),"")</f>
        <v/>
      </c>
    </row>
    <row r="884" spans="1:11" ht="18" customHeight="1" x14ac:dyDescent="0.25">
      <c r="A884" s="40" t="str">
        <f>IF(Agent05_Savings!A91="","",Agent05_Savings!A91)</f>
        <v/>
      </c>
      <c r="B884" s="40" t="str">
        <f ca="1">IF(Agent05_Savings!A91="","","SV"&amp;TEXT(884-3,"0000")&amp;"-"&amp;TEXT(TODAY(),"YYYYMMDD"))</f>
        <v/>
      </c>
      <c r="C884" s="40" t="str">
        <f>IF(Agent05_Savings!A91="","",Agent05_Savings!B91)</f>
        <v/>
      </c>
      <c r="D884" s="40" t="str">
        <f>IF(Agent05_Savings!A91="","",Agent05_Savings!G91)</f>
        <v/>
      </c>
      <c r="E884" s="41" t="str">
        <f>IF(Agent05_Savings!A91="","",Agent05_Savings!D91)</f>
        <v/>
      </c>
      <c r="F884" s="42" t="str">
        <f>IF(Agent05_Savings!A91="","",Agent05_Savings!E91)</f>
        <v/>
      </c>
      <c r="G884" s="42" t="str">
        <f>IF(Agent05_Savings!A91="","",Agent05_Savings!F91)</f>
        <v/>
      </c>
      <c r="H884" s="40" t="str">
        <f>IF(Agent05_Savings!A91="","",Agent05_Savings!I91)</f>
        <v/>
      </c>
      <c r="I884" s="40" t="str">
        <f>IF(Agent05_Savings!A91="","",Agent05_Savings!J91)</f>
        <v/>
      </c>
      <c r="J884" s="40" t="str">
        <f>IF(Agent05_Savings!A91="","",Agent05_Savings!K91)</f>
        <v/>
      </c>
      <c r="K884" s="40" t="str">
        <f>IFERROR(IF(Agent05_Savings!A91="","",YEAR(Agent05_Savings!D91)),"")</f>
        <v/>
      </c>
    </row>
    <row r="885" spans="1:11" ht="18" customHeight="1" x14ac:dyDescent="0.25">
      <c r="A885" s="40" t="str">
        <f>IF(Agent05_Savings!A92="","",Agent05_Savings!A92)</f>
        <v/>
      </c>
      <c r="B885" s="40" t="str">
        <f ca="1">IF(Agent05_Savings!A92="","","SV"&amp;TEXT(885-3,"0000")&amp;"-"&amp;TEXT(TODAY(),"YYYYMMDD"))</f>
        <v/>
      </c>
      <c r="C885" s="40" t="str">
        <f>IF(Agent05_Savings!A92="","",Agent05_Savings!B92)</f>
        <v/>
      </c>
      <c r="D885" s="40" t="str">
        <f>IF(Agent05_Savings!A92="","",Agent05_Savings!G92)</f>
        <v/>
      </c>
      <c r="E885" s="41" t="str">
        <f>IF(Agent05_Savings!A92="","",Agent05_Savings!D92)</f>
        <v/>
      </c>
      <c r="F885" s="42" t="str">
        <f>IF(Agent05_Savings!A92="","",Agent05_Savings!E92)</f>
        <v/>
      </c>
      <c r="G885" s="42" t="str">
        <f>IF(Agent05_Savings!A92="","",Agent05_Savings!F92)</f>
        <v/>
      </c>
      <c r="H885" s="40" t="str">
        <f>IF(Agent05_Savings!A92="","",Agent05_Savings!I92)</f>
        <v/>
      </c>
      <c r="I885" s="40" t="str">
        <f>IF(Agent05_Savings!A92="","",Agent05_Savings!J92)</f>
        <v/>
      </c>
      <c r="J885" s="40" t="str">
        <f>IF(Agent05_Savings!A92="","",Agent05_Savings!K92)</f>
        <v/>
      </c>
      <c r="K885" s="40" t="str">
        <f>IFERROR(IF(Agent05_Savings!A92="","",YEAR(Agent05_Savings!D92)),"")</f>
        <v/>
      </c>
    </row>
    <row r="886" spans="1:11" ht="18" customHeight="1" x14ac:dyDescent="0.25">
      <c r="A886" s="40" t="str">
        <f>IF(Agent05_Savings!A93="","",Agent05_Savings!A93)</f>
        <v/>
      </c>
      <c r="B886" s="40" t="str">
        <f ca="1">IF(Agent05_Savings!A93="","","SV"&amp;TEXT(886-3,"0000")&amp;"-"&amp;TEXT(TODAY(),"YYYYMMDD"))</f>
        <v/>
      </c>
      <c r="C886" s="40" t="str">
        <f>IF(Agent05_Savings!A93="","",Agent05_Savings!B93)</f>
        <v/>
      </c>
      <c r="D886" s="40" t="str">
        <f>IF(Agent05_Savings!A93="","",Agent05_Savings!G93)</f>
        <v/>
      </c>
      <c r="E886" s="41" t="str">
        <f>IF(Agent05_Savings!A93="","",Agent05_Savings!D93)</f>
        <v/>
      </c>
      <c r="F886" s="42" t="str">
        <f>IF(Agent05_Savings!A93="","",Agent05_Savings!E93)</f>
        <v/>
      </c>
      <c r="G886" s="42" t="str">
        <f>IF(Agent05_Savings!A93="","",Agent05_Savings!F93)</f>
        <v/>
      </c>
      <c r="H886" s="40" t="str">
        <f>IF(Agent05_Savings!A93="","",Agent05_Savings!I93)</f>
        <v/>
      </c>
      <c r="I886" s="40" t="str">
        <f>IF(Agent05_Savings!A93="","",Agent05_Savings!J93)</f>
        <v/>
      </c>
      <c r="J886" s="40" t="str">
        <f>IF(Agent05_Savings!A93="","",Agent05_Savings!K93)</f>
        <v/>
      </c>
      <c r="K886" s="40" t="str">
        <f>IFERROR(IF(Agent05_Savings!A93="","",YEAR(Agent05_Savings!D93)),"")</f>
        <v/>
      </c>
    </row>
    <row r="887" spans="1:11" ht="18" customHeight="1" x14ac:dyDescent="0.25">
      <c r="A887" s="40" t="str">
        <f>IF(Agent05_Savings!A94="","",Agent05_Savings!A94)</f>
        <v/>
      </c>
      <c r="B887" s="40" t="str">
        <f ca="1">IF(Agent05_Savings!A94="","","SV"&amp;TEXT(887-3,"0000")&amp;"-"&amp;TEXT(TODAY(),"YYYYMMDD"))</f>
        <v/>
      </c>
      <c r="C887" s="40" t="str">
        <f>IF(Agent05_Savings!A94="","",Agent05_Savings!B94)</f>
        <v/>
      </c>
      <c r="D887" s="40" t="str">
        <f>IF(Agent05_Savings!A94="","",Agent05_Savings!G94)</f>
        <v/>
      </c>
      <c r="E887" s="41" t="str">
        <f>IF(Agent05_Savings!A94="","",Agent05_Savings!D94)</f>
        <v/>
      </c>
      <c r="F887" s="42" t="str">
        <f>IF(Agent05_Savings!A94="","",Agent05_Savings!E94)</f>
        <v/>
      </c>
      <c r="G887" s="42" t="str">
        <f>IF(Agent05_Savings!A94="","",Agent05_Savings!F94)</f>
        <v/>
      </c>
      <c r="H887" s="40" t="str">
        <f>IF(Agent05_Savings!A94="","",Agent05_Savings!I94)</f>
        <v/>
      </c>
      <c r="I887" s="40" t="str">
        <f>IF(Agent05_Savings!A94="","",Agent05_Savings!J94)</f>
        <v/>
      </c>
      <c r="J887" s="40" t="str">
        <f>IF(Agent05_Savings!A94="","",Agent05_Savings!K94)</f>
        <v/>
      </c>
      <c r="K887" s="40" t="str">
        <f>IFERROR(IF(Agent05_Savings!A94="","",YEAR(Agent05_Savings!D94)),"")</f>
        <v/>
      </c>
    </row>
    <row r="888" spans="1:11" ht="18" customHeight="1" x14ac:dyDescent="0.25">
      <c r="A888" s="40" t="str">
        <f>IF(Agent05_Savings!A95="","",Agent05_Savings!A95)</f>
        <v/>
      </c>
      <c r="B888" s="40" t="str">
        <f ca="1">IF(Agent05_Savings!A95="","","SV"&amp;TEXT(888-3,"0000")&amp;"-"&amp;TEXT(TODAY(),"YYYYMMDD"))</f>
        <v/>
      </c>
      <c r="C888" s="40" t="str">
        <f>IF(Agent05_Savings!A95="","",Agent05_Savings!B95)</f>
        <v/>
      </c>
      <c r="D888" s="40" t="str">
        <f>IF(Agent05_Savings!A95="","",Agent05_Savings!G95)</f>
        <v/>
      </c>
      <c r="E888" s="41" t="str">
        <f>IF(Agent05_Savings!A95="","",Agent05_Savings!D95)</f>
        <v/>
      </c>
      <c r="F888" s="42" t="str">
        <f>IF(Agent05_Savings!A95="","",Agent05_Savings!E95)</f>
        <v/>
      </c>
      <c r="G888" s="42" t="str">
        <f>IF(Agent05_Savings!A95="","",Agent05_Savings!F95)</f>
        <v/>
      </c>
      <c r="H888" s="40" t="str">
        <f>IF(Agent05_Savings!A95="","",Agent05_Savings!I95)</f>
        <v/>
      </c>
      <c r="I888" s="40" t="str">
        <f>IF(Agent05_Savings!A95="","",Agent05_Savings!J95)</f>
        <v/>
      </c>
      <c r="J888" s="40" t="str">
        <f>IF(Agent05_Savings!A95="","",Agent05_Savings!K95)</f>
        <v/>
      </c>
      <c r="K888" s="40" t="str">
        <f>IFERROR(IF(Agent05_Savings!A95="","",YEAR(Agent05_Savings!D95)),"")</f>
        <v/>
      </c>
    </row>
    <row r="889" spans="1:11" ht="18" customHeight="1" x14ac:dyDescent="0.25">
      <c r="A889" s="40" t="str">
        <f>IF(Agent05_Savings!A96="","",Agent05_Savings!A96)</f>
        <v/>
      </c>
      <c r="B889" s="40" t="str">
        <f ca="1">IF(Agent05_Savings!A96="","","SV"&amp;TEXT(889-3,"0000")&amp;"-"&amp;TEXT(TODAY(),"YYYYMMDD"))</f>
        <v/>
      </c>
      <c r="C889" s="40" t="str">
        <f>IF(Agent05_Savings!A96="","",Agent05_Savings!B96)</f>
        <v/>
      </c>
      <c r="D889" s="40" t="str">
        <f>IF(Agent05_Savings!A96="","",Agent05_Savings!G96)</f>
        <v/>
      </c>
      <c r="E889" s="41" t="str">
        <f>IF(Agent05_Savings!A96="","",Agent05_Savings!D96)</f>
        <v/>
      </c>
      <c r="F889" s="42" t="str">
        <f>IF(Agent05_Savings!A96="","",Agent05_Savings!E96)</f>
        <v/>
      </c>
      <c r="G889" s="42" t="str">
        <f>IF(Agent05_Savings!A96="","",Agent05_Savings!F96)</f>
        <v/>
      </c>
      <c r="H889" s="40" t="str">
        <f>IF(Agent05_Savings!A96="","",Agent05_Savings!I96)</f>
        <v/>
      </c>
      <c r="I889" s="40" t="str">
        <f>IF(Agent05_Savings!A96="","",Agent05_Savings!J96)</f>
        <v/>
      </c>
      <c r="J889" s="40" t="str">
        <f>IF(Agent05_Savings!A96="","",Agent05_Savings!K96)</f>
        <v/>
      </c>
      <c r="K889" s="40" t="str">
        <f>IFERROR(IF(Agent05_Savings!A96="","",YEAR(Agent05_Savings!D96)),"")</f>
        <v/>
      </c>
    </row>
    <row r="890" spans="1:11" ht="18" customHeight="1" x14ac:dyDescent="0.25">
      <c r="A890" s="40" t="str">
        <f>IF(Agent05_Savings!A97="","",Agent05_Savings!A97)</f>
        <v/>
      </c>
      <c r="B890" s="40" t="str">
        <f ca="1">IF(Agent05_Savings!A97="","","SV"&amp;TEXT(890-3,"0000")&amp;"-"&amp;TEXT(TODAY(),"YYYYMMDD"))</f>
        <v/>
      </c>
      <c r="C890" s="40" t="str">
        <f>IF(Agent05_Savings!A97="","",Agent05_Savings!B97)</f>
        <v/>
      </c>
      <c r="D890" s="40" t="str">
        <f>IF(Agent05_Savings!A97="","",Agent05_Savings!G97)</f>
        <v/>
      </c>
      <c r="E890" s="41" t="str">
        <f>IF(Agent05_Savings!A97="","",Agent05_Savings!D97)</f>
        <v/>
      </c>
      <c r="F890" s="42" t="str">
        <f>IF(Agent05_Savings!A97="","",Agent05_Savings!E97)</f>
        <v/>
      </c>
      <c r="G890" s="42" t="str">
        <f>IF(Agent05_Savings!A97="","",Agent05_Savings!F97)</f>
        <v/>
      </c>
      <c r="H890" s="40" t="str">
        <f>IF(Agent05_Savings!A97="","",Agent05_Savings!I97)</f>
        <v/>
      </c>
      <c r="I890" s="40" t="str">
        <f>IF(Agent05_Savings!A97="","",Agent05_Savings!J97)</f>
        <v/>
      </c>
      <c r="J890" s="40" t="str">
        <f>IF(Agent05_Savings!A97="","",Agent05_Savings!K97)</f>
        <v/>
      </c>
      <c r="K890" s="40" t="str">
        <f>IFERROR(IF(Agent05_Savings!A97="","",YEAR(Agent05_Savings!D97)),"")</f>
        <v/>
      </c>
    </row>
    <row r="891" spans="1:11" ht="18" customHeight="1" x14ac:dyDescent="0.25">
      <c r="A891" s="40" t="str">
        <f>IF(Agent05_Savings!A98="","",Agent05_Savings!A98)</f>
        <v/>
      </c>
      <c r="B891" s="40" t="str">
        <f ca="1">IF(Agent05_Savings!A98="","","SV"&amp;TEXT(891-3,"0000")&amp;"-"&amp;TEXT(TODAY(),"YYYYMMDD"))</f>
        <v/>
      </c>
      <c r="C891" s="40" t="str">
        <f>IF(Agent05_Savings!A98="","",Agent05_Savings!B98)</f>
        <v/>
      </c>
      <c r="D891" s="40" t="str">
        <f>IF(Agent05_Savings!A98="","",Agent05_Savings!G98)</f>
        <v/>
      </c>
      <c r="E891" s="41" t="str">
        <f>IF(Agent05_Savings!A98="","",Agent05_Savings!D98)</f>
        <v/>
      </c>
      <c r="F891" s="42" t="str">
        <f>IF(Agent05_Savings!A98="","",Agent05_Savings!E98)</f>
        <v/>
      </c>
      <c r="G891" s="42" t="str">
        <f>IF(Agent05_Savings!A98="","",Agent05_Savings!F98)</f>
        <v/>
      </c>
      <c r="H891" s="40" t="str">
        <f>IF(Agent05_Savings!A98="","",Agent05_Savings!I98)</f>
        <v/>
      </c>
      <c r="I891" s="40" t="str">
        <f>IF(Agent05_Savings!A98="","",Agent05_Savings!J98)</f>
        <v/>
      </c>
      <c r="J891" s="40" t="str">
        <f>IF(Agent05_Savings!A98="","",Agent05_Savings!K98)</f>
        <v/>
      </c>
      <c r="K891" s="40" t="str">
        <f>IFERROR(IF(Agent05_Savings!A98="","",YEAR(Agent05_Savings!D98)),"")</f>
        <v/>
      </c>
    </row>
    <row r="892" spans="1:11" ht="18" customHeight="1" x14ac:dyDescent="0.25">
      <c r="A892" s="40" t="str">
        <f>IF(Agent05_Savings!A99="","",Agent05_Savings!A99)</f>
        <v/>
      </c>
      <c r="B892" s="40" t="str">
        <f ca="1">IF(Agent05_Savings!A99="","","SV"&amp;TEXT(892-3,"0000")&amp;"-"&amp;TEXT(TODAY(),"YYYYMMDD"))</f>
        <v/>
      </c>
      <c r="C892" s="40" t="str">
        <f>IF(Agent05_Savings!A99="","",Agent05_Savings!B99)</f>
        <v/>
      </c>
      <c r="D892" s="40" t="str">
        <f>IF(Agent05_Savings!A99="","",Agent05_Savings!G99)</f>
        <v/>
      </c>
      <c r="E892" s="41" t="str">
        <f>IF(Agent05_Savings!A99="","",Agent05_Savings!D99)</f>
        <v/>
      </c>
      <c r="F892" s="42" t="str">
        <f>IF(Agent05_Savings!A99="","",Agent05_Savings!E99)</f>
        <v/>
      </c>
      <c r="G892" s="42" t="str">
        <f>IF(Agent05_Savings!A99="","",Agent05_Savings!F99)</f>
        <v/>
      </c>
      <c r="H892" s="40" t="str">
        <f>IF(Agent05_Savings!A99="","",Agent05_Savings!I99)</f>
        <v/>
      </c>
      <c r="I892" s="40" t="str">
        <f>IF(Agent05_Savings!A99="","",Agent05_Savings!J99)</f>
        <v/>
      </c>
      <c r="J892" s="40" t="str">
        <f>IF(Agent05_Savings!A99="","",Agent05_Savings!K99)</f>
        <v/>
      </c>
      <c r="K892" s="40" t="str">
        <f>IFERROR(IF(Agent05_Savings!A99="","",YEAR(Agent05_Savings!D99)),"")</f>
        <v/>
      </c>
    </row>
    <row r="893" spans="1:11" ht="18" customHeight="1" x14ac:dyDescent="0.25">
      <c r="A893" s="40" t="str">
        <f>IF(Agent05_Savings!A100="","",Agent05_Savings!A100)</f>
        <v/>
      </c>
      <c r="B893" s="40" t="str">
        <f ca="1">IF(Agent05_Savings!A100="","","SV"&amp;TEXT(893-3,"0000")&amp;"-"&amp;TEXT(TODAY(),"YYYYMMDD"))</f>
        <v/>
      </c>
      <c r="C893" s="40" t="str">
        <f>IF(Agent05_Savings!A100="","",Agent05_Savings!B100)</f>
        <v/>
      </c>
      <c r="D893" s="40" t="str">
        <f>IF(Agent05_Savings!A100="","",Agent05_Savings!G100)</f>
        <v/>
      </c>
      <c r="E893" s="41" t="str">
        <f>IF(Agent05_Savings!A100="","",Agent05_Savings!D100)</f>
        <v/>
      </c>
      <c r="F893" s="42" t="str">
        <f>IF(Agent05_Savings!A100="","",Agent05_Savings!E100)</f>
        <v/>
      </c>
      <c r="G893" s="42" t="str">
        <f>IF(Agent05_Savings!A100="","",Agent05_Savings!F100)</f>
        <v/>
      </c>
      <c r="H893" s="40" t="str">
        <f>IF(Agent05_Savings!A100="","",Agent05_Savings!I100)</f>
        <v/>
      </c>
      <c r="I893" s="40" t="str">
        <f>IF(Agent05_Savings!A100="","",Agent05_Savings!J100)</f>
        <v/>
      </c>
      <c r="J893" s="40" t="str">
        <f>IF(Agent05_Savings!A100="","",Agent05_Savings!K100)</f>
        <v/>
      </c>
      <c r="K893" s="40" t="str">
        <f>IFERROR(IF(Agent05_Savings!A100="","",YEAR(Agent05_Savings!D100)),"")</f>
        <v/>
      </c>
    </row>
    <row r="894" spans="1:11" ht="18" customHeight="1" x14ac:dyDescent="0.25">
      <c r="A894" s="40" t="str">
        <f>IF(Agent05_Savings!A101="","",Agent05_Savings!A101)</f>
        <v/>
      </c>
      <c r="B894" s="40" t="str">
        <f ca="1">IF(Agent05_Savings!A101="","","SV"&amp;TEXT(894-3,"0000")&amp;"-"&amp;TEXT(TODAY(),"YYYYMMDD"))</f>
        <v/>
      </c>
      <c r="C894" s="40" t="str">
        <f>IF(Agent05_Savings!A101="","",Agent05_Savings!B101)</f>
        <v/>
      </c>
      <c r="D894" s="40" t="str">
        <f>IF(Agent05_Savings!A101="","",Agent05_Savings!G101)</f>
        <v/>
      </c>
      <c r="E894" s="41" t="str">
        <f>IF(Agent05_Savings!A101="","",Agent05_Savings!D101)</f>
        <v/>
      </c>
      <c r="F894" s="42" t="str">
        <f>IF(Agent05_Savings!A101="","",Agent05_Savings!E101)</f>
        <v/>
      </c>
      <c r="G894" s="42" t="str">
        <f>IF(Agent05_Savings!A101="","",Agent05_Savings!F101)</f>
        <v/>
      </c>
      <c r="H894" s="40" t="str">
        <f>IF(Agent05_Savings!A101="","",Agent05_Savings!I101)</f>
        <v/>
      </c>
      <c r="I894" s="40" t="str">
        <f>IF(Agent05_Savings!A101="","",Agent05_Savings!J101)</f>
        <v/>
      </c>
      <c r="J894" s="40" t="str">
        <f>IF(Agent05_Savings!A101="","",Agent05_Savings!K101)</f>
        <v/>
      </c>
      <c r="K894" s="40" t="str">
        <f>IFERROR(IF(Agent05_Savings!A101="","",YEAR(Agent05_Savings!D101)),"")</f>
        <v/>
      </c>
    </row>
    <row r="895" spans="1:11" ht="18" customHeight="1" x14ac:dyDescent="0.25">
      <c r="A895" s="40" t="str">
        <f>IF(Agent05_Savings!A102="","",Agent05_Savings!A102)</f>
        <v/>
      </c>
      <c r="B895" s="40" t="str">
        <f ca="1">IF(Agent05_Savings!A102="","","SV"&amp;TEXT(895-3,"0000")&amp;"-"&amp;TEXT(TODAY(),"YYYYMMDD"))</f>
        <v/>
      </c>
      <c r="C895" s="40" t="str">
        <f>IF(Agent05_Savings!A102="","",Agent05_Savings!B102)</f>
        <v/>
      </c>
      <c r="D895" s="40" t="str">
        <f>IF(Agent05_Savings!A102="","",Agent05_Savings!G102)</f>
        <v/>
      </c>
      <c r="E895" s="41" t="str">
        <f>IF(Agent05_Savings!A102="","",Agent05_Savings!D102)</f>
        <v/>
      </c>
      <c r="F895" s="42" t="str">
        <f>IF(Agent05_Savings!A102="","",Agent05_Savings!E102)</f>
        <v/>
      </c>
      <c r="G895" s="42" t="str">
        <f>IF(Agent05_Savings!A102="","",Agent05_Savings!F102)</f>
        <v/>
      </c>
      <c r="H895" s="40" t="str">
        <f>IF(Agent05_Savings!A102="","",Agent05_Savings!I102)</f>
        <v/>
      </c>
      <c r="I895" s="40" t="str">
        <f>IF(Agent05_Savings!A102="","",Agent05_Savings!J102)</f>
        <v/>
      </c>
      <c r="J895" s="40" t="str">
        <f>IF(Agent05_Savings!A102="","",Agent05_Savings!K102)</f>
        <v/>
      </c>
      <c r="K895" s="40" t="str">
        <f>IFERROR(IF(Agent05_Savings!A102="","",YEAR(Agent05_Savings!D102)),"")</f>
        <v/>
      </c>
    </row>
    <row r="896" spans="1:11" ht="18" customHeight="1" x14ac:dyDescent="0.25">
      <c r="A896" s="40" t="str">
        <f>IF(Agent05_Savings!A103="","",Agent05_Savings!A103)</f>
        <v/>
      </c>
      <c r="B896" s="40" t="str">
        <f ca="1">IF(Agent05_Savings!A103="","","SV"&amp;TEXT(896-3,"0000")&amp;"-"&amp;TEXT(TODAY(),"YYYYMMDD"))</f>
        <v/>
      </c>
      <c r="C896" s="40" t="str">
        <f>IF(Agent05_Savings!A103="","",Agent05_Savings!B103)</f>
        <v/>
      </c>
      <c r="D896" s="40" t="str">
        <f>IF(Agent05_Savings!A103="","",Agent05_Savings!G103)</f>
        <v/>
      </c>
      <c r="E896" s="41" t="str">
        <f>IF(Agent05_Savings!A103="","",Agent05_Savings!D103)</f>
        <v/>
      </c>
      <c r="F896" s="42" t="str">
        <f>IF(Agent05_Savings!A103="","",Agent05_Savings!E103)</f>
        <v/>
      </c>
      <c r="G896" s="42" t="str">
        <f>IF(Agent05_Savings!A103="","",Agent05_Savings!F103)</f>
        <v/>
      </c>
      <c r="H896" s="40" t="str">
        <f>IF(Agent05_Savings!A103="","",Agent05_Savings!I103)</f>
        <v/>
      </c>
      <c r="I896" s="40" t="str">
        <f>IF(Agent05_Savings!A103="","",Agent05_Savings!J103)</f>
        <v/>
      </c>
      <c r="J896" s="40" t="str">
        <f>IF(Agent05_Savings!A103="","",Agent05_Savings!K103)</f>
        <v/>
      </c>
      <c r="K896" s="40" t="str">
        <f>IFERROR(IF(Agent05_Savings!A103="","",YEAR(Agent05_Savings!D103)),"")</f>
        <v/>
      </c>
    </row>
    <row r="897" spans="1:11" ht="18" customHeight="1" x14ac:dyDescent="0.25">
      <c r="A897" s="40" t="str">
        <f>IF(Agent05_Savings!A104="","",Agent05_Savings!A104)</f>
        <v/>
      </c>
      <c r="B897" s="40" t="str">
        <f ca="1">IF(Agent05_Savings!A104="","","SV"&amp;TEXT(897-3,"0000")&amp;"-"&amp;TEXT(TODAY(),"YYYYMMDD"))</f>
        <v/>
      </c>
      <c r="C897" s="40" t="str">
        <f>IF(Agent05_Savings!A104="","",Agent05_Savings!B104)</f>
        <v/>
      </c>
      <c r="D897" s="40" t="str">
        <f>IF(Agent05_Savings!A104="","",Agent05_Savings!G104)</f>
        <v/>
      </c>
      <c r="E897" s="41" t="str">
        <f>IF(Agent05_Savings!A104="","",Agent05_Savings!D104)</f>
        <v/>
      </c>
      <c r="F897" s="42" t="str">
        <f>IF(Agent05_Savings!A104="","",Agent05_Savings!E104)</f>
        <v/>
      </c>
      <c r="G897" s="42" t="str">
        <f>IF(Agent05_Savings!A104="","",Agent05_Savings!F104)</f>
        <v/>
      </c>
      <c r="H897" s="40" t="str">
        <f>IF(Agent05_Savings!A104="","",Agent05_Savings!I104)</f>
        <v/>
      </c>
      <c r="I897" s="40" t="str">
        <f>IF(Agent05_Savings!A104="","",Agent05_Savings!J104)</f>
        <v/>
      </c>
      <c r="J897" s="40" t="str">
        <f>IF(Agent05_Savings!A104="","",Agent05_Savings!K104)</f>
        <v/>
      </c>
      <c r="K897" s="40" t="str">
        <f>IFERROR(IF(Agent05_Savings!A104="","",YEAR(Agent05_Savings!D104)),"")</f>
        <v/>
      </c>
    </row>
    <row r="898" spans="1:11" ht="18" customHeight="1" x14ac:dyDescent="0.25">
      <c r="A898" s="40" t="str">
        <f>IF(Agent05_Savings!A105="","",Agent05_Savings!A105)</f>
        <v/>
      </c>
      <c r="B898" s="40" t="str">
        <f ca="1">IF(Agent05_Savings!A105="","","SV"&amp;TEXT(898-3,"0000")&amp;"-"&amp;TEXT(TODAY(),"YYYYMMDD"))</f>
        <v/>
      </c>
      <c r="C898" s="40" t="str">
        <f>IF(Agent05_Savings!A105="","",Agent05_Savings!B105)</f>
        <v/>
      </c>
      <c r="D898" s="40" t="str">
        <f>IF(Agent05_Savings!A105="","",Agent05_Savings!G105)</f>
        <v/>
      </c>
      <c r="E898" s="41" t="str">
        <f>IF(Agent05_Savings!A105="","",Agent05_Savings!D105)</f>
        <v/>
      </c>
      <c r="F898" s="42" t="str">
        <f>IF(Agent05_Savings!A105="","",Agent05_Savings!E105)</f>
        <v/>
      </c>
      <c r="G898" s="42" t="str">
        <f>IF(Agent05_Savings!A105="","",Agent05_Savings!F105)</f>
        <v/>
      </c>
      <c r="H898" s="40" t="str">
        <f>IF(Agent05_Savings!A105="","",Agent05_Savings!I105)</f>
        <v/>
      </c>
      <c r="I898" s="40" t="str">
        <f>IF(Agent05_Savings!A105="","",Agent05_Savings!J105)</f>
        <v/>
      </c>
      <c r="J898" s="40" t="str">
        <f>IF(Agent05_Savings!A105="","",Agent05_Savings!K105)</f>
        <v/>
      </c>
      <c r="K898" s="40" t="str">
        <f>IFERROR(IF(Agent05_Savings!A105="","",YEAR(Agent05_Savings!D105)),"")</f>
        <v/>
      </c>
    </row>
    <row r="899" spans="1:11" ht="18" customHeight="1" x14ac:dyDescent="0.25">
      <c r="A899" s="40" t="str">
        <f>IF(Agent05_Savings!A106="","",Agent05_Savings!A106)</f>
        <v/>
      </c>
      <c r="B899" s="40" t="str">
        <f ca="1">IF(Agent05_Savings!A106="","","SV"&amp;TEXT(899-3,"0000")&amp;"-"&amp;TEXT(TODAY(),"YYYYMMDD"))</f>
        <v/>
      </c>
      <c r="C899" s="40" t="str">
        <f>IF(Agent05_Savings!A106="","",Agent05_Savings!B106)</f>
        <v/>
      </c>
      <c r="D899" s="40" t="str">
        <f>IF(Agent05_Savings!A106="","",Agent05_Savings!G106)</f>
        <v/>
      </c>
      <c r="E899" s="41" t="str">
        <f>IF(Agent05_Savings!A106="","",Agent05_Savings!D106)</f>
        <v/>
      </c>
      <c r="F899" s="42" t="str">
        <f>IF(Agent05_Savings!A106="","",Agent05_Savings!E106)</f>
        <v/>
      </c>
      <c r="G899" s="42" t="str">
        <f>IF(Agent05_Savings!A106="","",Agent05_Savings!F106)</f>
        <v/>
      </c>
      <c r="H899" s="40" t="str">
        <f>IF(Agent05_Savings!A106="","",Agent05_Savings!I106)</f>
        <v/>
      </c>
      <c r="I899" s="40" t="str">
        <f>IF(Agent05_Savings!A106="","",Agent05_Savings!J106)</f>
        <v/>
      </c>
      <c r="J899" s="40" t="str">
        <f>IF(Agent05_Savings!A106="","",Agent05_Savings!K106)</f>
        <v/>
      </c>
      <c r="K899" s="40" t="str">
        <f>IFERROR(IF(Agent05_Savings!A106="","",YEAR(Agent05_Savings!D106)),"")</f>
        <v/>
      </c>
    </row>
    <row r="900" spans="1:11" ht="18" customHeight="1" x14ac:dyDescent="0.25">
      <c r="A900" s="40" t="str">
        <f>IF(Agent05_Savings!A107="","",Agent05_Savings!A107)</f>
        <v/>
      </c>
      <c r="B900" s="40" t="str">
        <f ca="1">IF(Agent05_Savings!A107="","","SV"&amp;TEXT(900-3,"0000")&amp;"-"&amp;TEXT(TODAY(),"YYYYMMDD"))</f>
        <v/>
      </c>
      <c r="C900" s="40" t="str">
        <f>IF(Agent05_Savings!A107="","",Agent05_Savings!B107)</f>
        <v/>
      </c>
      <c r="D900" s="40" t="str">
        <f>IF(Agent05_Savings!A107="","",Agent05_Savings!G107)</f>
        <v/>
      </c>
      <c r="E900" s="41" t="str">
        <f>IF(Agent05_Savings!A107="","",Agent05_Savings!D107)</f>
        <v/>
      </c>
      <c r="F900" s="42" t="str">
        <f>IF(Agent05_Savings!A107="","",Agent05_Savings!E107)</f>
        <v/>
      </c>
      <c r="G900" s="42" t="str">
        <f>IF(Agent05_Savings!A107="","",Agent05_Savings!F107)</f>
        <v/>
      </c>
      <c r="H900" s="40" t="str">
        <f>IF(Agent05_Savings!A107="","",Agent05_Savings!I107)</f>
        <v/>
      </c>
      <c r="I900" s="40" t="str">
        <f>IF(Agent05_Savings!A107="","",Agent05_Savings!J107)</f>
        <v/>
      </c>
      <c r="J900" s="40" t="str">
        <f>IF(Agent05_Savings!A107="","",Agent05_Savings!K107)</f>
        <v/>
      </c>
      <c r="K900" s="40" t="str">
        <f>IFERROR(IF(Agent05_Savings!A107="","",YEAR(Agent05_Savings!D107)),"")</f>
        <v/>
      </c>
    </row>
    <row r="901" spans="1:11" ht="18" customHeight="1" x14ac:dyDescent="0.25">
      <c r="A901" s="40" t="str">
        <f>IF(Agent05_Savings!A108="","",Agent05_Savings!A108)</f>
        <v/>
      </c>
      <c r="B901" s="40" t="str">
        <f ca="1">IF(Agent05_Savings!A108="","","SV"&amp;TEXT(901-3,"0000")&amp;"-"&amp;TEXT(TODAY(),"YYYYMMDD"))</f>
        <v/>
      </c>
      <c r="C901" s="40" t="str">
        <f>IF(Agent05_Savings!A108="","",Agent05_Savings!B108)</f>
        <v/>
      </c>
      <c r="D901" s="40" t="str">
        <f>IF(Agent05_Savings!A108="","",Agent05_Savings!G108)</f>
        <v/>
      </c>
      <c r="E901" s="41" t="str">
        <f>IF(Agent05_Savings!A108="","",Agent05_Savings!D108)</f>
        <v/>
      </c>
      <c r="F901" s="42" t="str">
        <f>IF(Agent05_Savings!A108="","",Agent05_Savings!E108)</f>
        <v/>
      </c>
      <c r="G901" s="42" t="str">
        <f>IF(Agent05_Savings!A108="","",Agent05_Savings!F108)</f>
        <v/>
      </c>
      <c r="H901" s="40" t="str">
        <f>IF(Agent05_Savings!A108="","",Agent05_Savings!I108)</f>
        <v/>
      </c>
      <c r="I901" s="40" t="str">
        <f>IF(Agent05_Savings!A108="","",Agent05_Savings!J108)</f>
        <v/>
      </c>
      <c r="J901" s="40" t="str">
        <f>IF(Agent05_Savings!A108="","",Agent05_Savings!K108)</f>
        <v/>
      </c>
      <c r="K901" s="40" t="str">
        <f>IFERROR(IF(Agent05_Savings!A108="","",YEAR(Agent05_Savings!D108)),"")</f>
        <v/>
      </c>
    </row>
    <row r="902" spans="1:11" ht="18" customHeight="1" x14ac:dyDescent="0.25">
      <c r="A902" s="40" t="str">
        <f>IF(Agent05_Savings!A109="","",Agent05_Savings!A109)</f>
        <v/>
      </c>
      <c r="B902" s="40" t="str">
        <f ca="1">IF(Agent05_Savings!A109="","","SV"&amp;TEXT(902-3,"0000")&amp;"-"&amp;TEXT(TODAY(),"YYYYMMDD"))</f>
        <v/>
      </c>
      <c r="C902" s="40" t="str">
        <f>IF(Agent05_Savings!A109="","",Agent05_Savings!B109)</f>
        <v/>
      </c>
      <c r="D902" s="40" t="str">
        <f>IF(Agent05_Savings!A109="","",Agent05_Savings!G109)</f>
        <v/>
      </c>
      <c r="E902" s="41" t="str">
        <f>IF(Agent05_Savings!A109="","",Agent05_Savings!D109)</f>
        <v/>
      </c>
      <c r="F902" s="42" t="str">
        <f>IF(Agent05_Savings!A109="","",Agent05_Savings!E109)</f>
        <v/>
      </c>
      <c r="G902" s="42" t="str">
        <f>IF(Agent05_Savings!A109="","",Agent05_Savings!F109)</f>
        <v/>
      </c>
      <c r="H902" s="40" t="str">
        <f>IF(Agent05_Savings!A109="","",Agent05_Savings!I109)</f>
        <v/>
      </c>
      <c r="I902" s="40" t="str">
        <f>IF(Agent05_Savings!A109="","",Agent05_Savings!J109)</f>
        <v/>
      </c>
      <c r="J902" s="40" t="str">
        <f>IF(Agent05_Savings!A109="","",Agent05_Savings!K109)</f>
        <v/>
      </c>
      <c r="K902" s="40" t="str">
        <f>IFERROR(IF(Agent05_Savings!A109="","",YEAR(Agent05_Savings!D109)),"")</f>
        <v/>
      </c>
    </row>
    <row r="903" spans="1:11" ht="18" customHeight="1" x14ac:dyDescent="0.25">
      <c r="A903" s="40" t="str">
        <f>IF(Agent05_Savings!A110="","",Agent05_Savings!A110)</f>
        <v/>
      </c>
      <c r="B903" s="40" t="str">
        <f ca="1">IF(Agent05_Savings!A110="","","SV"&amp;TEXT(903-3,"0000")&amp;"-"&amp;TEXT(TODAY(),"YYYYMMDD"))</f>
        <v/>
      </c>
      <c r="C903" s="40" t="str">
        <f>IF(Agent05_Savings!A110="","",Agent05_Savings!B110)</f>
        <v/>
      </c>
      <c r="D903" s="40" t="str">
        <f>IF(Agent05_Savings!A110="","",Agent05_Savings!G110)</f>
        <v/>
      </c>
      <c r="E903" s="41" t="str">
        <f>IF(Agent05_Savings!A110="","",Agent05_Savings!D110)</f>
        <v/>
      </c>
      <c r="F903" s="42" t="str">
        <f>IF(Agent05_Savings!A110="","",Agent05_Savings!E110)</f>
        <v/>
      </c>
      <c r="G903" s="42" t="str">
        <f>IF(Agent05_Savings!A110="","",Agent05_Savings!F110)</f>
        <v/>
      </c>
      <c r="H903" s="40" t="str">
        <f>IF(Agent05_Savings!A110="","",Agent05_Savings!I110)</f>
        <v/>
      </c>
      <c r="I903" s="40" t="str">
        <f>IF(Agent05_Savings!A110="","",Agent05_Savings!J110)</f>
        <v/>
      </c>
      <c r="J903" s="40" t="str">
        <f>IF(Agent05_Savings!A110="","",Agent05_Savings!K110)</f>
        <v/>
      </c>
      <c r="K903" s="40" t="str">
        <f>IFERROR(IF(Agent05_Savings!A110="","",YEAR(Agent05_Savings!D110)),"")</f>
        <v/>
      </c>
    </row>
    <row r="904" spans="1:11" ht="18" customHeight="1" x14ac:dyDescent="0.25">
      <c r="A904" s="40" t="str">
        <f>IF(Agent05_Savings!A111="","",Agent05_Savings!A111)</f>
        <v/>
      </c>
      <c r="B904" s="40" t="str">
        <f ca="1">IF(Agent05_Savings!A111="","","SV"&amp;TEXT(904-3,"0000")&amp;"-"&amp;TEXT(TODAY(),"YYYYMMDD"))</f>
        <v/>
      </c>
      <c r="C904" s="40" t="str">
        <f>IF(Agent05_Savings!A111="","",Agent05_Savings!B111)</f>
        <v/>
      </c>
      <c r="D904" s="40" t="str">
        <f>IF(Agent05_Savings!A111="","",Agent05_Savings!G111)</f>
        <v/>
      </c>
      <c r="E904" s="41" t="str">
        <f>IF(Agent05_Savings!A111="","",Agent05_Savings!D111)</f>
        <v/>
      </c>
      <c r="F904" s="42" t="str">
        <f>IF(Agent05_Savings!A111="","",Agent05_Savings!E111)</f>
        <v/>
      </c>
      <c r="G904" s="42" t="str">
        <f>IF(Agent05_Savings!A111="","",Agent05_Savings!F111)</f>
        <v/>
      </c>
      <c r="H904" s="40" t="str">
        <f>IF(Agent05_Savings!A111="","",Agent05_Savings!I111)</f>
        <v/>
      </c>
      <c r="I904" s="40" t="str">
        <f>IF(Agent05_Savings!A111="","",Agent05_Savings!J111)</f>
        <v/>
      </c>
      <c r="J904" s="40" t="str">
        <f>IF(Agent05_Savings!A111="","",Agent05_Savings!K111)</f>
        <v/>
      </c>
      <c r="K904" s="40" t="str">
        <f>IFERROR(IF(Agent05_Savings!A111="","",YEAR(Agent05_Savings!D111)),"")</f>
        <v/>
      </c>
    </row>
    <row r="905" spans="1:11" ht="18" customHeight="1" x14ac:dyDescent="0.25">
      <c r="A905" s="40" t="str">
        <f>IF(Agent05_Savings!A112="","",Agent05_Savings!A112)</f>
        <v/>
      </c>
      <c r="B905" s="40" t="str">
        <f ca="1">IF(Agent05_Savings!A112="","","SV"&amp;TEXT(905-3,"0000")&amp;"-"&amp;TEXT(TODAY(),"YYYYMMDD"))</f>
        <v/>
      </c>
      <c r="C905" s="40" t="str">
        <f>IF(Agent05_Savings!A112="","",Agent05_Savings!B112)</f>
        <v/>
      </c>
      <c r="D905" s="40" t="str">
        <f>IF(Agent05_Savings!A112="","",Agent05_Savings!G112)</f>
        <v/>
      </c>
      <c r="E905" s="41" t="str">
        <f>IF(Agent05_Savings!A112="","",Agent05_Savings!D112)</f>
        <v/>
      </c>
      <c r="F905" s="42" t="str">
        <f>IF(Agent05_Savings!A112="","",Agent05_Savings!E112)</f>
        <v/>
      </c>
      <c r="G905" s="42" t="str">
        <f>IF(Agent05_Savings!A112="","",Agent05_Savings!F112)</f>
        <v/>
      </c>
      <c r="H905" s="40" t="str">
        <f>IF(Agent05_Savings!A112="","",Agent05_Savings!I112)</f>
        <v/>
      </c>
      <c r="I905" s="40" t="str">
        <f>IF(Agent05_Savings!A112="","",Agent05_Savings!J112)</f>
        <v/>
      </c>
      <c r="J905" s="40" t="str">
        <f>IF(Agent05_Savings!A112="","",Agent05_Savings!K112)</f>
        <v/>
      </c>
      <c r="K905" s="40" t="str">
        <f>IFERROR(IF(Agent05_Savings!A112="","",YEAR(Agent05_Savings!D112)),"")</f>
        <v/>
      </c>
    </row>
    <row r="906" spans="1:11" ht="18" customHeight="1" x14ac:dyDescent="0.25">
      <c r="A906" s="40" t="str">
        <f>IF(Agent05_Savings!A113="","",Agent05_Savings!A113)</f>
        <v/>
      </c>
      <c r="B906" s="40" t="str">
        <f ca="1">IF(Agent05_Savings!A113="","","SV"&amp;TEXT(906-3,"0000")&amp;"-"&amp;TEXT(TODAY(),"YYYYMMDD"))</f>
        <v/>
      </c>
      <c r="C906" s="40" t="str">
        <f>IF(Agent05_Savings!A113="","",Agent05_Savings!B113)</f>
        <v/>
      </c>
      <c r="D906" s="40" t="str">
        <f>IF(Agent05_Savings!A113="","",Agent05_Savings!G113)</f>
        <v/>
      </c>
      <c r="E906" s="41" t="str">
        <f>IF(Agent05_Savings!A113="","",Agent05_Savings!D113)</f>
        <v/>
      </c>
      <c r="F906" s="42" t="str">
        <f>IF(Agent05_Savings!A113="","",Agent05_Savings!E113)</f>
        <v/>
      </c>
      <c r="G906" s="42" t="str">
        <f>IF(Agent05_Savings!A113="","",Agent05_Savings!F113)</f>
        <v/>
      </c>
      <c r="H906" s="40" t="str">
        <f>IF(Agent05_Savings!A113="","",Agent05_Savings!I113)</f>
        <v/>
      </c>
      <c r="I906" s="40" t="str">
        <f>IF(Agent05_Savings!A113="","",Agent05_Savings!J113)</f>
        <v/>
      </c>
      <c r="J906" s="40" t="str">
        <f>IF(Agent05_Savings!A113="","",Agent05_Savings!K113)</f>
        <v/>
      </c>
      <c r="K906" s="40" t="str">
        <f>IFERROR(IF(Agent05_Savings!A113="","",YEAR(Agent05_Savings!D113)),"")</f>
        <v/>
      </c>
    </row>
    <row r="907" spans="1:11" ht="18" customHeight="1" x14ac:dyDescent="0.25">
      <c r="A907" s="40" t="str">
        <f>IF(Agent05_Savings!A114="","",Agent05_Savings!A114)</f>
        <v/>
      </c>
      <c r="B907" s="40" t="str">
        <f ca="1">IF(Agent05_Savings!A114="","","SV"&amp;TEXT(907-3,"0000")&amp;"-"&amp;TEXT(TODAY(),"YYYYMMDD"))</f>
        <v/>
      </c>
      <c r="C907" s="40" t="str">
        <f>IF(Agent05_Savings!A114="","",Agent05_Savings!B114)</f>
        <v/>
      </c>
      <c r="D907" s="40" t="str">
        <f>IF(Agent05_Savings!A114="","",Agent05_Savings!G114)</f>
        <v/>
      </c>
      <c r="E907" s="41" t="str">
        <f>IF(Agent05_Savings!A114="","",Agent05_Savings!D114)</f>
        <v/>
      </c>
      <c r="F907" s="42" t="str">
        <f>IF(Agent05_Savings!A114="","",Agent05_Savings!E114)</f>
        <v/>
      </c>
      <c r="G907" s="42" t="str">
        <f>IF(Agent05_Savings!A114="","",Agent05_Savings!F114)</f>
        <v/>
      </c>
      <c r="H907" s="40" t="str">
        <f>IF(Agent05_Savings!A114="","",Agent05_Savings!I114)</f>
        <v/>
      </c>
      <c r="I907" s="40" t="str">
        <f>IF(Agent05_Savings!A114="","",Agent05_Savings!J114)</f>
        <v/>
      </c>
      <c r="J907" s="40" t="str">
        <f>IF(Agent05_Savings!A114="","",Agent05_Savings!K114)</f>
        <v/>
      </c>
      <c r="K907" s="40" t="str">
        <f>IFERROR(IF(Agent05_Savings!A114="","",YEAR(Agent05_Savings!D114)),"")</f>
        <v/>
      </c>
    </row>
    <row r="908" spans="1:11" ht="18" customHeight="1" x14ac:dyDescent="0.25">
      <c r="A908" s="40" t="str">
        <f>IF(Agent05_Savings!A115="","",Agent05_Savings!A115)</f>
        <v/>
      </c>
      <c r="B908" s="40" t="str">
        <f ca="1">IF(Agent05_Savings!A115="","","SV"&amp;TEXT(908-3,"0000")&amp;"-"&amp;TEXT(TODAY(),"YYYYMMDD"))</f>
        <v/>
      </c>
      <c r="C908" s="40" t="str">
        <f>IF(Agent05_Savings!A115="","",Agent05_Savings!B115)</f>
        <v/>
      </c>
      <c r="D908" s="40" t="str">
        <f>IF(Agent05_Savings!A115="","",Agent05_Savings!G115)</f>
        <v/>
      </c>
      <c r="E908" s="41" t="str">
        <f>IF(Agent05_Savings!A115="","",Agent05_Savings!D115)</f>
        <v/>
      </c>
      <c r="F908" s="42" t="str">
        <f>IF(Agent05_Savings!A115="","",Agent05_Savings!E115)</f>
        <v/>
      </c>
      <c r="G908" s="42" t="str">
        <f>IF(Agent05_Savings!A115="","",Agent05_Savings!F115)</f>
        <v/>
      </c>
      <c r="H908" s="40" t="str">
        <f>IF(Agent05_Savings!A115="","",Agent05_Savings!I115)</f>
        <v/>
      </c>
      <c r="I908" s="40" t="str">
        <f>IF(Agent05_Savings!A115="","",Agent05_Savings!J115)</f>
        <v/>
      </c>
      <c r="J908" s="40" t="str">
        <f>IF(Agent05_Savings!A115="","",Agent05_Savings!K115)</f>
        <v/>
      </c>
      <c r="K908" s="40" t="str">
        <f>IFERROR(IF(Agent05_Savings!A115="","",YEAR(Agent05_Savings!D115)),"")</f>
        <v/>
      </c>
    </row>
    <row r="909" spans="1:11" ht="18" customHeight="1" x14ac:dyDescent="0.25">
      <c r="A909" s="40" t="str">
        <f>IF(Agent05_Savings!A116="","",Agent05_Savings!A116)</f>
        <v/>
      </c>
      <c r="B909" s="40" t="str">
        <f ca="1">IF(Agent05_Savings!A116="","","SV"&amp;TEXT(909-3,"0000")&amp;"-"&amp;TEXT(TODAY(),"YYYYMMDD"))</f>
        <v/>
      </c>
      <c r="C909" s="40" t="str">
        <f>IF(Agent05_Savings!A116="","",Agent05_Savings!B116)</f>
        <v/>
      </c>
      <c r="D909" s="40" t="str">
        <f>IF(Agent05_Savings!A116="","",Agent05_Savings!G116)</f>
        <v/>
      </c>
      <c r="E909" s="41" t="str">
        <f>IF(Agent05_Savings!A116="","",Agent05_Savings!D116)</f>
        <v/>
      </c>
      <c r="F909" s="42" t="str">
        <f>IF(Agent05_Savings!A116="","",Agent05_Savings!E116)</f>
        <v/>
      </c>
      <c r="G909" s="42" t="str">
        <f>IF(Agent05_Savings!A116="","",Agent05_Savings!F116)</f>
        <v/>
      </c>
      <c r="H909" s="40" t="str">
        <f>IF(Agent05_Savings!A116="","",Agent05_Savings!I116)</f>
        <v/>
      </c>
      <c r="I909" s="40" t="str">
        <f>IF(Agent05_Savings!A116="","",Agent05_Savings!J116)</f>
        <v/>
      </c>
      <c r="J909" s="40" t="str">
        <f>IF(Agent05_Savings!A116="","",Agent05_Savings!K116)</f>
        <v/>
      </c>
      <c r="K909" s="40" t="str">
        <f>IFERROR(IF(Agent05_Savings!A116="","",YEAR(Agent05_Savings!D116)),"")</f>
        <v/>
      </c>
    </row>
    <row r="910" spans="1:11" ht="18" customHeight="1" x14ac:dyDescent="0.25">
      <c r="A910" s="40" t="str">
        <f>IF(Agent05_Savings!A117="","",Agent05_Savings!A117)</f>
        <v/>
      </c>
      <c r="B910" s="40" t="str">
        <f ca="1">IF(Agent05_Savings!A117="","","SV"&amp;TEXT(910-3,"0000")&amp;"-"&amp;TEXT(TODAY(),"YYYYMMDD"))</f>
        <v/>
      </c>
      <c r="C910" s="40" t="str">
        <f>IF(Agent05_Savings!A117="","",Agent05_Savings!B117)</f>
        <v/>
      </c>
      <c r="D910" s="40" t="str">
        <f>IF(Agent05_Savings!A117="","",Agent05_Savings!G117)</f>
        <v/>
      </c>
      <c r="E910" s="41" t="str">
        <f>IF(Agent05_Savings!A117="","",Agent05_Savings!D117)</f>
        <v/>
      </c>
      <c r="F910" s="42" t="str">
        <f>IF(Agent05_Savings!A117="","",Agent05_Savings!E117)</f>
        <v/>
      </c>
      <c r="G910" s="42" t="str">
        <f>IF(Agent05_Savings!A117="","",Agent05_Savings!F117)</f>
        <v/>
      </c>
      <c r="H910" s="40" t="str">
        <f>IF(Agent05_Savings!A117="","",Agent05_Savings!I117)</f>
        <v/>
      </c>
      <c r="I910" s="40" t="str">
        <f>IF(Agent05_Savings!A117="","",Agent05_Savings!J117)</f>
        <v/>
      </c>
      <c r="J910" s="40" t="str">
        <f>IF(Agent05_Savings!A117="","",Agent05_Savings!K117)</f>
        <v/>
      </c>
      <c r="K910" s="40" t="str">
        <f>IFERROR(IF(Agent05_Savings!A117="","",YEAR(Agent05_Savings!D117)),"")</f>
        <v/>
      </c>
    </row>
    <row r="911" spans="1:11" ht="18" customHeight="1" x14ac:dyDescent="0.25">
      <c r="A911" s="40" t="str">
        <f>IF(Agent05_Savings!A118="","",Agent05_Savings!A118)</f>
        <v/>
      </c>
      <c r="B911" s="40" t="str">
        <f ca="1">IF(Agent05_Savings!A118="","","SV"&amp;TEXT(911-3,"0000")&amp;"-"&amp;TEXT(TODAY(),"YYYYMMDD"))</f>
        <v/>
      </c>
      <c r="C911" s="40" t="str">
        <f>IF(Agent05_Savings!A118="","",Agent05_Savings!B118)</f>
        <v/>
      </c>
      <c r="D911" s="40" t="str">
        <f>IF(Agent05_Savings!A118="","",Agent05_Savings!G118)</f>
        <v/>
      </c>
      <c r="E911" s="41" t="str">
        <f>IF(Agent05_Savings!A118="","",Agent05_Savings!D118)</f>
        <v/>
      </c>
      <c r="F911" s="42" t="str">
        <f>IF(Agent05_Savings!A118="","",Agent05_Savings!E118)</f>
        <v/>
      </c>
      <c r="G911" s="42" t="str">
        <f>IF(Agent05_Savings!A118="","",Agent05_Savings!F118)</f>
        <v/>
      </c>
      <c r="H911" s="40" t="str">
        <f>IF(Agent05_Savings!A118="","",Agent05_Savings!I118)</f>
        <v/>
      </c>
      <c r="I911" s="40" t="str">
        <f>IF(Agent05_Savings!A118="","",Agent05_Savings!J118)</f>
        <v/>
      </c>
      <c r="J911" s="40" t="str">
        <f>IF(Agent05_Savings!A118="","",Agent05_Savings!K118)</f>
        <v/>
      </c>
      <c r="K911" s="40" t="str">
        <f>IFERROR(IF(Agent05_Savings!A118="","",YEAR(Agent05_Savings!D118)),"")</f>
        <v/>
      </c>
    </row>
    <row r="912" spans="1:11" ht="18" customHeight="1" x14ac:dyDescent="0.25">
      <c r="A912" s="40" t="str">
        <f>IF(Agent05_Savings!A119="","",Agent05_Savings!A119)</f>
        <v/>
      </c>
      <c r="B912" s="40" t="str">
        <f ca="1">IF(Agent05_Savings!A119="","","SV"&amp;TEXT(912-3,"0000")&amp;"-"&amp;TEXT(TODAY(),"YYYYMMDD"))</f>
        <v/>
      </c>
      <c r="C912" s="40" t="str">
        <f>IF(Agent05_Savings!A119="","",Agent05_Savings!B119)</f>
        <v/>
      </c>
      <c r="D912" s="40" t="str">
        <f>IF(Agent05_Savings!A119="","",Agent05_Savings!G119)</f>
        <v/>
      </c>
      <c r="E912" s="41" t="str">
        <f>IF(Agent05_Savings!A119="","",Agent05_Savings!D119)</f>
        <v/>
      </c>
      <c r="F912" s="42" t="str">
        <f>IF(Agent05_Savings!A119="","",Agent05_Savings!E119)</f>
        <v/>
      </c>
      <c r="G912" s="42" t="str">
        <f>IF(Agent05_Savings!A119="","",Agent05_Savings!F119)</f>
        <v/>
      </c>
      <c r="H912" s="40" t="str">
        <f>IF(Agent05_Savings!A119="","",Agent05_Savings!I119)</f>
        <v/>
      </c>
      <c r="I912" s="40" t="str">
        <f>IF(Agent05_Savings!A119="","",Agent05_Savings!J119)</f>
        <v/>
      </c>
      <c r="J912" s="40" t="str">
        <f>IF(Agent05_Savings!A119="","",Agent05_Savings!K119)</f>
        <v/>
      </c>
      <c r="K912" s="40" t="str">
        <f>IFERROR(IF(Agent05_Savings!A119="","",YEAR(Agent05_Savings!D119)),"")</f>
        <v/>
      </c>
    </row>
    <row r="913" spans="1:11" ht="18" customHeight="1" x14ac:dyDescent="0.25">
      <c r="A913" s="40" t="str">
        <f>IF(Agent05_Savings!A120="","",Agent05_Savings!A120)</f>
        <v/>
      </c>
      <c r="B913" s="40" t="str">
        <f ca="1">IF(Agent05_Savings!A120="","","SV"&amp;TEXT(913-3,"0000")&amp;"-"&amp;TEXT(TODAY(),"YYYYMMDD"))</f>
        <v/>
      </c>
      <c r="C913" s="40" t="str">
        <f>IF(Agent05_Savings!A120="","",Agent05_Savings!B120)</f>
        <v/>
      </c>
      <c r="D913" s="40" t="str">
        <f>IF(Agent05_Savings!A120="","",Agent05_Savings!G120)</f>
        <v/>
      </c>
      <c r="E913" s="41" t="str">
        <f>IF(Agent05_Savings!A120="","",Agent05_Savings!D120)</f>
        <v/>
      </c>
      <c r="F913" s="42" t="str">
        <f>IF(Agent05_Savings!A120="","",Agent05_Savings!E120)</f>
        <v/>
      </c>
      <c r="G913" s="42" t="str">
        <f>IF(Agent05_Savings!A120="","",Agent05_Savings!F120)</f>
        <v/>
      </c>
      <c r="H913" s="40" t="str">
        <f>IF(Agent05_Savings!A120="","",Agent05_Savings!I120)</f>
        <v/>
      </c>
      <c r="I913" s="40" t="str">
        <f>IF(Agent05_Savings!A120="","",Agent05_Savings!J120)</f>
        <v/>
      </c>
      <c r="J913" s="40" t="str">
        <f>IF(Agent05_Savings!A120="","",Agent05_Savings!K120)</f>
        <v/>
      </c>
      <c r="K913" s="40" t="str">
        <f>IFERROR(IF(Agent05_Savings!A120="","",YEAR(Agent05_Savings!D120)),"")</f>
        <v/>
      </c>
    </row>
    <row r="914" spans="1:11" ht="18" customHeight="1" x14ac:dyDescent="0.25">
      <c r="A914" s="40" t="str">
        <f>IF(Agent05_Savings!A121="","",Agent05_Savings!A121)</f>
        <v/>
      </c>
      <c r="B914" s="40" t="str">
        <f ca="1">IF(Agent05_Savings!A121="","","SV"&amp;TEXT(914-3,"0000")&amp;"-"&amp;TEXT(TODAY(),"YYYYMMDD"))</f>
        <v/>
      </c>
      <c r="C914" s="40" t="str">
        <f>IF(Agent05_Savings!A121="","",Agent05_Savings!B121)</f>
        <v/>
      </c>
      <c r="D914" s="40" t="str">
        <f>IF(Agent05_Savings!A121="","",Agent05_Savings!G121)</f>
        <v/>
      </c>
      <c r="E914" s="41" t="str">
        <f>IF(Agent05_Savings!A121="","",Agent05_Savings!D121)</f>
        <v/>
      </c>
      <c r="F914" s="42" t="str">
        <f>IF(Agent05_Savings!A121="","",Agent05_Savings!E121)</f>
        <v/>
      </c>
      <c r="G914" s="42" t="str">
        <f>IF(Agent05_Savings!A121="","",Agent05_Savings!F121)</f>
        <v/>
      </c>
      <c r="H914" s="40" t="str">
        <f>IF(Agent05_Savings!A121="","",Agent05_Savings!I121)</f>
        <v/>
      </c>
      <c r="I914" s="40" t="str">
        <f>IF(Agent05_Savings!A121="","",Agent05_Savings!J121)</f>
        <v/>
      </c>
      <c r="J914" s="40" t="str">
        <f>IF(Agent05_Savings!A121="","",Agent05_Savings!K121)</f>
        <v/>
      </c>
      <c r="K914" s="40" t="str">
        <f>IFERROR(IF(Agent05_Savings!A121="","",YEAR(Agent05_Savings!D121)),"")</f>
        <v/>
      </c>
    </row>
    <row r="915" spans="1:11" ht="18" customHeight="1" x14ac:dyDescent="0.25">
      <c r="A915" s="40" t="str">
        <f>IF(Agent05_Savings!A122="","",Agent05_Savings!A122)</f>
        <v/>
      </c>
      <c r="B915" s="40" t="str">
        <f ca="1">IF(Agent05_Savings!A122="","","SV"&amp;TEXT(915-3,"0000")&amp;"-"&amp;TEXT(TODAY(),"YYYYMMDD"))</f>
        <v/>
      </c>
      <c r="C915" s="40" t="str">
        <f>IF(Agent05_Savings!A122="","",Agent05_Savings!B122)</f>
        <v/>
      </c>
      <c r="D915" s="40" t="str">
        <f>IF(Agent05_Savings!A122="","",Agent05_Savings!G122)</f>
        <v/>
      </c>
      <c r="E915" s="41" t="str">
        <f>IF(Agent05_Savings!A122="","",Agent05_Savings!D122)</f>
        <v/>
      </c>
      <c r="F915" s="42" t="str">
        <f>IF(Agent05_Savings!A122="","",Agent05_Savings!E122)</f>
        <v/>
      </c>
      <c r="G915" s="42" t="str">
        <f>IF(Agent05_Savings!A122="","",Agent05_Savings!F122)</f>
        <v/>
      </c>
      <c r="H915" s="40" t="str">
        <f>IF(Agent05_Savings!A122="","",Agent05_Savings!I122)</f>
        <v/>
      </c>
      <c r="I915" s="40" t="str">
        <f>IF(Agent05_Savings!A122="","",Agent05_Savings!J122)</f>
        <v/>
      </c>
      <c r="J915" s="40" t="str">
        <f>IF(Agent05_Savings!A122="","",Agent05_Savings!K122)</f>
        <v/>
      </c>
      <c r="K915" s="40" t="str">
        <f>IFERROR(IF(Agent05_Savings!A122="","",YEAR(Agent05_Savings!D122)),"")</f>
        <v/>
      </c>
    </row>
    <row r="916" spans="1:11" ht="18" customHeight="1" x14ac:dyDescent="0.25">
      <c r="A916" s="40" t="str">
        <f>IF(Agent05_Savings!A123="","",Agent05_Savings!A123)</f>
        <v/>
      </c>
      <c r="B916" s="40" t="str">
        <f ca="1">IF(Agent05_Savings!A123="","","SV"&amp;TEXT(916-3,"0000")&amp;"-"&amp;TEXT(TODAY(),"YYYYMMDD"))</f>
        <v/>
      </c>
      <c r="C916" s="40" t="str">
        <f>IF(Agent05_Savings!A123="","",Agent05_Savings!B123)</f>
        <v/>
      </c>
      <c r="D916" s="40" t="str">
        <f>IF(Agent05_Savings!A123="","",Agent05_Savings!G123)</f>
        <v/>
      </c>
      <c r="E916" s="41" t="str">
        <f>IF(Agent05_Savings!A123="","",Agent05_Savings!D123)</f>
        <v/>
      </c>
      <c r="F916" s="42" t="str">
        <f>IF(Agent05_Savings!A123="","",Agent05_Savings!E123)</f>
        <v/>
      </c>
      <c r="G916" s="42" t="str">
        <f>IF(Agent05_Savings!A123="","",Agent05_Savings!F123)</f>
        <v/>
      </c>
      <c r="H916" s="40" t="str">
        <f>IF(Agent05_Savings!A123="","",Agent05_Savings!I123)</f>
        <v/>
      </c>
      <c r="I916" s="40" t="str">
        <f>IF(Agent05_Savings!A123="","",Agent05_Savings!J123)</f>
        <v/>
      </c>
      <c r="J916" s="40" t="str">
        <f>IF(Agent05_Savings!A123="","",Agent05_Savings!K123)</f>
        <v/>
      </c>
      <c r="K916" s="40" t="str">
        <f>IFERROR(IF(Agent05_Savings!A123="","",YEAR(Agent05_Savings!D123)),"")</f>
        <v/>
      </c>
    </row>
    <row r="917" spans="1:11" ht="18" customHeight="1" x14ac:dyDescent="0.25">
      <c r="A917" s="40" t="str">
        <f>IF(Agent05_Savings!A124="","",Agent05_Savings!A124)</f>
        <v/>
      </c>
      <c r="B917" s="40" t="str">
        <f ca="1">IF(Agent05_Savings!A124="","","SV"&amp;TEXT(917-3,"0000")&amp;"-"&amp;TEXT(TODAY(),"YYYYMMDD"))</f>
        <v/>
      </c>
      <c r="C917" s="40" t="str">
        <f>IF(Agent05_Savings!A124="","",Agent05_Savings!B124)</f>
        <v/>
      </c>
      <c r="D917" s="40" t="str">
        <f>IF(Agent05_Savings!A124="","",Agent05_Savings!G124)</f>
        <v/>
      </c>
      <c r="E917" s="41" t="str">
        <f>IF(Agent05_Savings!A124="","",Agent05_Savings!D124)</f>
        <v/>
      </c>
      <c r="F917" s="42" t="str">
        <f>IF(Agent05_Savings!A124="","",Agent05_Savings!E124)</f>
        <v/>
      </c>
      <c r="G917" s="42" t="str">
        <f>IF(Agent05_Savings!A124="","",Agent05_Savings!F124)</f>
        <v/>
      </c>
      <c r="H917" s="40" t="str">
        <f>IF(Agent05_Savings!A124="","",Agent05_Savings!I124)</f>
        <v/>
      </c>
      <c r="I917" s="40" t="str">
        <f>IF(Agent05_Savings!A124="","",Agent05_Savings!J124)</f>
        <v/>
      </c>
      <c r="J917" s="40" t="str">
        <f>IF(Agent05_Savings!A124="","",Agent05_Savings!K124)</f>
        <v/>
      </c>
      <c r="K917" s="40" t="str">
        <f>IFERROR(IF(Agent05_Savings!A124="","",YEAR(Agent05_Savings!D124)),"")</f>
        <v/>
      </c>
    </row>
    <row r="918" spans="1:11" ht="18" customHeight="1" x14ac:dyDescent="0.25">
      <c r="A918" s="40" t="str">
        <f>IF(Agent05_Savings!A125="","",Agent05_Savings!A125)</f>
        <v/>
      </c>
      <c r="B918" s="40" t="str">
        <f ca="1">IF(Agent05_Savings!A125="","","SV"&amp;TEXT(918-3,"0000")&amp;"-"&amp;TEXT(TODAY(),"YYYYMMDD"))</f>
        <v/>
      </c>
      <c r="C918" s="40" t="str">
        <f>IF(Agent05_Savings!A125="","",Agent05_Savings!B125)</f>
        <v/>
      </c>
      <c r="D918" s="40" t="str">
        <f>IF(Agent05_Savings!A125="","",Agent05_Savings!G125)</f>
        <v/>
      </c>
      <c r="E918" s="41" t="str">
        <f>IF(Agent05_Savings!A125="","",Agent05_Savings!D125)</f>
        <v/>
      </c>
      <c r="F918" s="42" t="str">
        <f>IF(Agent05_Savings!A125="","",Agent05_Savings!E125)</f>
        <v/>
      </c>
      <c r="G918" s="42" t="str">
        <f>IF(Agent05_Savings!A125="","",Agent05_Savings!F125)</f>
        <v/>
      </c>
      <c r="H918" s="40" t="str">
        <f>IF(Agent05_Savings!A125="","",Agent05_Savings!I125)</f>
        <v/>
      </c>
      <c r="I918" s="40" t="str">
        <f>IF(Agent05_Savings!A125="","",Agent05_Savings!J125)</f>
        <v/>
      </c>
      <c r="J918" s="40" t="str">
        <f>IF(Agent05_Savings!A125="","",Agent05_Savings!K125)</f>
        <v/>
      </c>
      <c r="K918" s="40" t="str">
        <f>IFERROR(IF(Agent05_Savings!A125="","",YEAR(Agent05_Savings!D125)),"")</f>
        <v/>
      </c>
    </row>
    <row r="919" spans="1:11" ht="18" customHeight="1" x14ac:dyDescent="0.25">
      <c r="A919" s="40" t="str">
        <f>IF(Agent05_Savings!A126="","",Agent05_Savings!A126)</f>
        <v/>
      </c>
      <c r="B919" s="40" t="str">
        <f ca="1">IF(Agent05_Savings!A126="","","SV"&amp;TEXT(919-3,"0000")&amp;"-"&amp;TEXT(TODAY(),"YYYYMMDD"))</f>
        <v/>
      </c>
      <c r="C919" s="40" t="str">
        <f>IF(Agent05_Savings!A126="","",Agent05_Savings!B126)</f>
        <v/>
      </c>
      <c r="D919" s="40" t="str">
        <f>IF(Agent05_Savings!A126="","",Agent05_Savings!G126)</f>
        <v/>
      </c>
      <c r="E919" s="41" t="str">
        <f>IF(Agent05_Savings!A126="","",Agent05_Savings!D126)</f>
        <v/>
      </c>
      <c r="F919" s="42" t="str">
        <f>IF(Agent05_Savings!A126="","",Agent05_Savings!E126)</f>
        <v/>
      </c>
      <c r="G919" s="42" t="str">
        <f>IF(Agent05_Savings!A126="","",Agent05_Savings!F126)</f>
        <v/>
      </c>
      <c r="H919" s="40" t="str">
        <f>IF(Agent05_Savings!A126="","",Agent05_Savings!I126)</f>
        <v/>
      </c>
      <c r="I919" s="40" t="str">
        <f>IF(Agent05_Savings!A126="","",Agent05_Savings!J126)</f>
        <v/>
      </c>
      <c r="J919" s="40" t="str">
        <f>IF(Agent05_Savings!A126="","",Agent05_Savings!K126)</f>
        <v/>
      </c>
      <c r="K919" s="40" t="str">
        <f>IFERROR(IF(Agent05_Savings!A126="","",YEAR(Agent05_Savings!D126)),"")</f>
        <v/>
      </c>
    </row>
    <row r="920" spans="1:11" ht="18" customHeight="1" x14ac:dyDescent="0.25">
      <c r="A920" s="40" t="str">
        <f>IF(Agent05_Savings!A127="","",Agent05_Savings!A127)</f>
        <v/>
      </c>
      <c r="B920" s="40" t="str">
        <f ca="1">IF(Agent05_Savings!A127="","","SV"&amp;TEXT(920-3,"0000")&amp;"-"&amp;TEXT(TODAY(),"YYYYMMDD"))</f>
        <v/>
      </c>
      <c r="C920" s="40" t="str">
        <f>IF(Agent05_Savings!A127="","",Agent05_Savings!B127)</f>
        <v/>
      </c>
      <c r="D920" s="40" t="str">
        <f>IF(Agent05_Savings!A127="","",Agent05_Savings!G127)</f>
        <v/>
      </c>
      <c r="E920" s="41" t="str">
        <f>IF(Agent05_Savings!A127="","",Agent05_Savings!D127)</f>
        <v/>
      </c>
      <c r="F920" s="42" t="str">
        <f>IF(Agent05_Savings!A127="","",Agent05_Savings!E127)</f>
        <v/>
      </c>
      <c r="G920" s="42" t="str">
        <f>IF(Agent05_Savings!A127="","",Agent05_Savings!F127)</f>
        <v/>
      </c>
      <c r="H920" s="40" t="str">
        <f>IF(Agent05_Savings!A127="","",Agent05_Savings!I127)</f>
        <v/>
      </c>
      <c r="I920" s="40" t="str">
        <f>IF(Agent05_Savings!A127="","",Agent05_Savings!J127)</f>
        <v/>
      </c>
      <c r="J920" s="40" t="str">
        <f>IF(Agent05_Savings!A127="","",Agent05_Savings!K127)</f>
        <v/>
      </c>
      <c r="K920" s="40" t="str">
        <f>IFERROR(IF(Agent05_Savings!A127="","",YEAR(Agent05_Savings!D127)),"")</f>
        <v/>
      </c>
    </row>
    <row r="921" spans="1:11" ht="18" customHeight="1" x14ac:dyDescent="0.25">
      <c r="A921" s="40" t="str">
        <f>IF(Agent05_Savings!A128="","",Agent05_Savings!A128)</f>
        <v/>
      </c>
      <c r="B921" s="40" t="str">
        <f ca="1">IF(Agent05_Savings!A128="","","SV"&amp;TEXT(921-3,"0000")&amp;"-"&amp;TEXT(TODAY(),"YYYYMMDD"))</f>
        <v/>
      </c>
      <c r="C921" s="40" t="str">
        <f>IF(Agent05_Savings!A128="","",Agent05_Savings!B128)</f>
        <v/>
      </c>
      <c r="D921" s="40" t="str">
        <f>IF(Agent05_Savings!A128="","",Agent05_Savings!G128)</f>
        <v/>
      </c>
      <c r="E921" s="41" t="str">
        <f>IF(Agent05_Savings!A128="","",Agent05_Savings!D128)</f>
        <v/>
      </c>
      <c r="F921" s="42" t="str">
        <f>IF(Agent05_Savings!A128="","",Agent05_Savings!E128)</f>
        <v/>
      </c>
      <c r="G921" s="42" t="str">
        <f>IF(Agent05_Savings!A128="","",Agent05_Savings!F128)</f>
        <v/>
      </c>
      <c r="H921" s="40" t="str">
        <f>IF(Agent05_Savings!A128="","",Agent05_Savings!I128)</f>
        <v/>
      </c>
      <c r="I921" s="40" t="str">
        <f>IF(Agent05_Savings!A128="","",Agent05_Savings!J128)</f>
        <v/>
      </c>
      <c r="J921" s="40" t="str">
        <f>IF(Agent05_Savings!A128="","",Agent05_Savings!K128)</f>
        <v/>
      </c>
      <c r="K921" s="40" t="str">
        <f>IFERROR(IF(Agent05_Savings!A128="","",YEAR(Agent05_Savings!D128)),"")</f>
        <v/>
      </c>
    </row>
    <row r="922" spans="1:11" ht="18" customHeight="1" x14ac:dyDescent="0.25">
      <c r="A922" s="40" t="str">
        <f>IF(Agent05_Savings!A129="","",Agent05_Savings!A129)</f>
        <v/>
      </c>
      <c r="B922" s="40" t="str">
        <f ca="1">IF(Agent05_Savings!A129="","","SV"&amp;TEXT(922-3,"0000")&amp;"-"&amp;TEXT(TODAY(),"YYYYMMDD"))</f>
        <v/>
      </c>
      <c r="C922" s="40" t="str">
        <f>IF(Agent05_Savings!A129="","",Agent05_Savings!B129)</f>
        <v/>
      </c>
      <c r="D922" s="40" t="str">
        <f>IF(Agent05_Savings!A129="","",Agent05_Savings!G129)</f>
        <v/>
      </c>
      <c r="E922" s="41" t="str">
        <f>IF(Agent05_Savings!A129="","",Agent05_Savings!D129)</f>
        <v/>
      </c>
      <c r="F922" s="42" t="str">
        <f>IF(Agent05_Savings!A129="","",Agent05_Savings!E129)</f>
        <v/>
      </c>
      <c r="G922" s="42" t="str">
        <f>IF(Agent05_Savings!A129="","",Agent05_Savings!F129)</f>
        <v/>
      </c>
      <c r="H922" s="40" t="str">
        <f>IF(Agent05_Savings!A129="","",Agent05_Savings!I129)</f>
        <v/>
      </c>
      <c r="I922" s="40" t="str">
        <f>IF(Agent05_Savings!A129="","",Agent05_Savings!J129)</f>
        <v/>
      </c>
      <c r="J922" s="40" t="str">
        <f>IF(Agent05_Savings!A129="","",Agent05_Savings!K129)</f>
        <v/>
      </c>
      <c r="K922" s="40" t="str">
        <f>IFERROR(IF(Agent05_Savings!A129="","",YEAR(Agent05_Savings!D129)),"")</f>
        <v/>
      </c>
    </row>
    <row r="923" spans="1:11" ht="18" customHeight="1" x14ac:dyDescent="0.25">
      <c r="A923" s="40" t="str">
        <f>IF(Agent05_Savings!A130="","",Agent05_Savings!A130)</f>
        <v/>
      </c>
      <c r="B923" s="40" t="str">
        <f ca="1">IF(Agent05_Savings!A130="","","SV"&amp;TEXT(923-3,"0000")&amp;"-"&amp;TEXT(TODAY(),"YYYYMMDD"))</f>
        <v/>
      </c>
      <c r="C923" s="40" t="str">
        <f>IF(Agent05_Savings!A130="","",Agent05_Savings!B130)</f>
        <v/>
      </c>
      <c r="D923" s="40" t="str">
        <f>IF(Agent05_Savings!A130="","",Agent05_Savings!G130)</f>
        <v/>
      </c>
      <c r="E923" s="41" t="str">
        <f>IF(Agent05_Savings!A130="","",Agent05_Savings!D130)</f>
        <v/>
      </c>
      <c r="F923" s="42" t="str">
        <f>IF(Agent05_Savings!A130="","",Agent05_Savings!E130)</f>
        <v/>
      </c>
      <c r="G923" s="42" t="str">
        <f>IF(Agent05_Savings!A130="","",Agent05_Savings!F130)</f>
        <v/>
      </c>
      <c r="H923" s="40" t="str">
        <f>IF(Agent05_Savings!A130="","",Agent05_Savings!I130)</f>
        <v/>
      </c>
      <c r="I923" s="40" t="str">
        <f>IF(Agent05_Savings!A130="","",Agent05_Savings!J130)</f>
        <v/>
      </c>
      <c r="J923" s="40" t="str">
        <f>IF(Agent05_Savings!A130="","",Agent05_Savings!K130)</f>
        <v/>
      </c>
      <c r="K923" s="40" t="str">
        <f>IFERROR(IF(Agent05_Savings!A130="","",YEAR(Agent05_Savings!D130)),"")</f>
        <v/>
      </c>
    </row>
    <row r="924" spans="1:11" ht="18" customHeight="1" x14ac:dyDescent="0.25">
      <c r="A924" s="40" t="str">
        <f>IF(Agent05_Savings!A131="","",Agent05_Savings!A131)</f>
        <v/>
      </c>
      <c r="B924" s="40" t="str">
        <f ca="1">IF(Agent05_Savings!A131="","","SV"&amp;TEXT(924-3,"0000")&amp;"-"&amp;TEXT(TODAY(),"YYYYMMDD"))</f>
        <v/>
      </c>
      <c r="C924" s="40" t="str">
        <f>IF(Agent05_Savings!A131="","",Agent05_Savings!B131)</f>
        <v/>
      </c>
      <c r="D924" s="40" t="str">
        <f>IF(Agent05_Savings!A131="","",Agent05_Savings!G131)</f>
        <v/>
      </c>
      <c r="E924" s="41" t="str">
        <f>IF(Agent05_Savings!A131="","",Agent05_Savings!D131)</f>
        <v/>
      </c>
      <c r="F924" s="42" t="str">
        <f>IF(Agent05_Savings!A131="","",Agent05_Savings!E131)</f>
        <v/>
      </c>
      <c r="G924" s="42" t="str">
        <f>IF(Agent05_Savings!A131="","",Agent05_Savings!F131)</f>
        <v/>
      </c>
      <c r="H924" s="40" t="str">
        <f>IF(Agent05_Savings!A131="","",Agent05_Savings!I131)</f>
        <v/>
      </c>
      <c r="I924" s="40" t="str">
        <f>IF(Agent05_Savings!A131="","",Agent05_Savings!J131)</f>
        <v/>
      </c>
      <c r="J924" s="40" t="str">
        <f>IF(Agent05_Savings!A131="","",Agent05_Savings!K131)</f>
        <v/>
      </c>
      <c r="K924" s="40" t="str">
        <f>IFERROR(IF(Agent05_Savings!A131="","",YEAR(Agent05_Savings!D131)),"")</f>
        <v/>
      </c>
    </row>
    <row r="925" spans="1:11" ht="18" customHeight="1" x14ac:dyDescent="0.25">
      <c r="A925" s="40" t="str">
        <f>IF(Agent05_Savings!A132="","",Agent05_Savings!A132)</f>
        <v/>
      </c>
      <c r="B925" s="40" t="str">
        <f ca="1">IF(Agent05_Savings!A132="","","SV"&amp;TEXT(925-3,"0000")&amp;"-"&amp;TEXT(TODAY(),"YYYYMMDD"))</f>
        <v/>
      </c>
      <c r="C925" s="40" t="str">
        <f>IF(Agent05_Savings!A132="","",Agent05_Savings!B132)</f>
        <v/>
      </c>
      <c r="D925" s="40" t="str">
        <f>IF(Agent05_Savings!A132="","",Agent05_Savings!G132)</f>
        <v/>
      </c>
      <c r="E925" s="41" t="str">
        <f>IF(Agent05_Savings!A132="","",Agent05_Savings!D132)</f>
        <v/>
      </c>
      <c r="F925" s="42" t="str">
        <f>IF(Agent05_Savings!A132="","",Agent05_Savings!E132)</f>
        <v/>
      </c>
      <c r="G925" s="42" t="str">
        <f>IF(Agent05_Savings!A132="","",Agent05_Savings!F132)</f>
        <v/>
      </c>
      <c r="H925" s="40" t="str">
        <f>IF(Agent05_Savings!A132="","",Agent05_Savings!I132)</f>
        <v/>
      </c>
      <c r="I925" s="40" t="str">
        <f>IF(Agent05_Savings!A132="","",Agent05_Savings!J132)</f>
        <v/>
      </c>
      <c r="J925" s="40" t="str">
        <f>IF(Agent05_Savings!A132="","",Agent05_Savings!K132)</f>
        <v/>
      </c>
      <c r="K925" s="40" t="str">
        <f>IFERROR(IF(Agent05_Savings!A132="","",YEAR(Agent05_Savings!D132)),"")</f>
        <v/>
      </c>
    </row>
    <row r="926" spans="1:11" ht="18" customHeight="1" x14ac:dyDescent="0.25">
      <c r="A926" s="40" t="str">
        <f>IF(Agent05_Savings!A133="","",Agent05_Savings!A133)</f>
        <v/>
      </c>
      <c r="B926" s="40" t="str">
        <f ca="1">IF(Agent05_Savings!A133="","","SV"&amp;TEXT(926-3,"0000")&amp;"-"&amp;TEXT(TODAY(),"YYYYMMDD"))</f>
        <v/>
      </c>
      <c r="C926" s="40" t="str">
        <f>IF(Agent05_Savings!A133="","",Agent05_Savings!B133)</f>
        <v/>
      </c>
      <c r="D926" s="40" t="str">
        <f>IF(Agent05_Savings!A133="","",Agent05_Savings!G133)</f>
        <v/>
      </c>
      <c r="E926" s="41" t="str">
        <f>IF(Agent05_Savings!A133="","",Agent05_Savings!D133)</f>
        <v/>
      </c>
      <c r="F926" s="42" t="str">
        <f>IF(Agent05_Savings!A133="","",Agent05_Savings!E133)</f>
        <v/>
      </c>
      <c r="G926" s="42" t="str">
        <f>IF(Agent05_Savings!A133="","",Agent05_Savings!F133)</f>
        <v/>
      </c>
      <c r="H926" s="40" t="str">
        <f>IF(Agent05_Savings!A133="","",Agent05_Savings!I133)</f>
        <v/>
      </c>
      <c r="I926" s="40" t="str">
        <f>IF(Agent05_Savings!A133="","",Agent05_Savings!J133)</f>
        <v/>
      </c>
      <c r="J926" s="40" t="str">
        <f>IF(Agent05_Savings!A133="","",Agent05_Savings!K133)</f>
        <v/>
      </c>
      <c r="K926" s="40" t="str">
        <f>IFERROR(IF(Agent05_Savings!A133="","",YEAR(Agent05_Savings!D133)),"")</f>
        <v/>
      </c>
    </row>
    <row r="927" spans="1:11" ht="18" customHeight="1" x14ac:dyDescent="0.25">
      <c r="A927" s="40" t="str">
        <f>IF(Agent05_Savings!A134="","",Agent05_Savings!A134)</f>
        <v/>
      </c>
      <c r="B927" s="40" t="str">
        <f ca="1">IF(Agent05_Savings!A134="","","SV"&amp;TEXT(927-3,"0000")&amp;"-"&amp;TEXT(TODAY(),"YYYYMMDD"))</f>
        <v/>
      </c>
      <c r="C927" s="40" t="str">
        <f>IF(Agent05_Savings!A134="","",Agent05_Savings!B134)</f>
        <v/>
      </c>
      <c r="D927" s="40" t="str">
        <f>IF(Agent05_Savings!A134="","",Agent05_Savings!G134)</f>
        <v/>
      </c>
      <c r="E927" s="41" t="str">
        <f>IF(Agent05_Savings!A134="","",Agent05_Savings!D134)</f>
        <v/>
      </c>
      <c r="F927" s="42" t="str">
        <f>IF(Agent05_Savings!A134="","",Agent05_Savings!E134)</f>
        <v/>
      </c>
      <c r="G927" s="42" t="str">
        <f>IF(Agent05_Savings!A134="","",Agent05_Savings!F134)</f>
        <v/>
      </c>
      <c r="H927" s="40" t="str">
        <f>IF(Agent05_Savings!A134="","",Agent05_Savings!I134)</f>
        <v/>
      </c>
      <c r="I927" s="40" t="str">
        <f>IF(Agent05_Savings!A134="","",Agent05_Savings!J134)</f>
        <v/>
      </c>
      <c r="J927" s="40" t="str">
        <f>IF(Agent05_Savings!A134="","",Agent05_Savings!K134)</f>
        <v/>
      </c>
      <c r="K927" s="40" t="str">
        <f>IFERROR(IF(Agent05_Savings!A134="","",YEAR(Agent05_Savings!D134)),"")</f>
        <v/>
      </c>
    </row>
    <row r="928" spans="1:11" ht="18" customHeight="1" x14ac:dyDescent="0.25">
      <c r="A928" s="40" t="str">
        <f>IF(Agent05_Savings!A135="","",Agent05_Savings!A135)</f>
        <v/>
      </c>
      <c r="B928" s="40" t="str">
        <f ca="1">IF(Agent05_Savings!A135="","","SV"&amp;TEXT(928-3,"0000")&amp;"-"&amp;TEXT(TODAY(),"YYYYMMDD"))</f>
        <v/>
      </c>
      <c r="C928" s="40" t="str">
        <f>IF(Agent05_Savings!A135="","",Agent05_Savings!B135)</f>
        <v/>
      </c>
      <c r="D928" s="40" t="str">
        <f>IF(Agent05_Savings!A135="","",Agent05_Savings!G135)</f>
        <v/>
      </c>
      <c r="E928" s="41" t="str">
        <f>IF(Agent05_Savings!A135="","",Agent05_Savings!D135)</f>
        <v/>
      </c>
      <c r="F928" s="42" t="str">
        <f>IF(Agent05_Savings!A135="","",Agent05_Savings!E135)</f>
        <v/>
      </c>
      <c r="G928" s="42" t="str">
        <f>IF(Agent05_Savings!A135="","",Agent05_Savings!F135)</f>
        <v/>
      </c>
      <c r="H928" s="40" t="str">
        <f>IF(Agent05_Savings!A135="","",Agent05_Savings!I135)</f>
        <v/>
      </c>
      <c r="I928" s="40" t="str">
        <f>IF(Agent05_Savings!A135="","",Agent05_Savings!J135)</f>
        <v/>
      </c>
      <c r="J928" s="40" t="str">
        <f>IF(Agent05_Savings!A135="","",Agent05_Savings!K135)</f>
        <v/>
      </c>
      <c r="K928" s="40" t="str">
        <f>IFERROR(IF(Agent05_Savings!A135="","",YEAR(Agent05_Savings!D135)),"")</f>
        <v/>
      </c>
    </row>
    <row r="929" spans="1:11" ht="18" customHeight="1" x14ac:dyDescent="0.25">
      <c r="A929" s="40" t="str">
        <f>IF(Agent05_Savings!A136="","",Agent05_Savings!A136)</f>
        <v/>
      </c>
      <c r="B929" s="40" t="str">
        <f ca="1">IF(Agent05_Savings!A136="","","SV"&amp;TEXT(929-3,"0000")&amp;"-"&amp;TEXT(TODAY(),"YYYYMMDD"))</f>
        <v/>
      </c>
      <c r="C929" s="40" t="str">
        <f>IF(Agent05_Savings!A136="","",Agent05_Savings!B136)</f>
        <v/>
      </c>
      <c r="D929" s="40" t="str">
        <f>IF(Agent05_Savings!A136="","",Agent05_Savings!G136)</f>
        <v/>
      </c>
      <c r="E929" s="41" t="str">
        <f>IF(Agent05_Savings!A136="","",Agent05_Savings!D136)</f>
        <v/>
      </c>
      <c r="F929" s="42" t="str">
        <f>IF(Agent05_Savings!A136="","",Agent05_Savings!E136)</f>
        <v/>
      </c>
      <c r="G929" s="42" t="str">
        <f>IF(Agent05_Savings!A136="","",Agent05_Savings!F136)</f>
        <v/>
      </c>
      <c r="H929" s="40" t="str">
        <f>IF(Agent05_Savings!A136="","",Agent05_Savings!I136)</f>
        <v/>
      </c>
      <c r="I929" s="40" t="str">
        <f>IF(Agent05_Savings!A136="","",Agent05_Savings!J136)</f>
        <v/>
      </c>
      <c r="J929" s="40" t="str">
        <f>IF(Agent05_Savings!A136="","",Agent05_Savings!K136)</f>
        <v/>
      </c>
      <c r="K929" s="40" t="str">
        <f>IFERROR(IF(Agent05_Savings!A136="","",YEAR(Agent05_Savings!D136)),"")</f>
        <v/>
      </c>
    </row>
    <row r="930" spans="1:11" ht="18" customHeight="1" x14ac:dyDescent="0.25">
      <c r="A930" s="40" t="str">
        <f>IF(Agent05_Savings!A137="","",Agent05_Savings!A137)</f>
        <v/>
      </c>
      <c r="B930" s="40" t="str">
        <f ca="1">IF(Agent05_Savings!A137="","","SV"&amp;TEXT(930-3,"0000")&amp;"-"&amp;TEXT(TODAY(),"YYYYMMDD"))</f>
        <v/>
      </c>
      <c r="C930" s="40" t="str">
        <f>IF(Agent05_Savings!A137="","",Agent05_Savings!B137)</f>
        <v/>
      </c>
      <c r="D930" s="40" t="str">
        <f>IF(Agent05_Savings!A137="","",Agent05_Savings!G137)</f>
        <v/>
      </c>
      <c r="E930" s="41" t="str">
        <f>IF(Agent05_Savings!A137="","",Agent05_Savings!D137)</f>
        <v/>
      </c>
      <c r="F930" s="42" t="str">
        <f>IF(Agent05_Savings!A137="","",Agent05_Savings!E137)</f>
        <v/>
      </c>
      <c r="G930" s="42" t="str">
        <f>IF(Agent05_Savings!A137="","",Agent05_Savings!F137)</f>
        <v/>
      </c>
      <c r="H930" s="40" t="str">
        <f>IF(Agent05_Savings!A137="","",Agent05_Savings!I137)</f>
        <v/>
      </c>
      <c r="I930" s="40" t="str">
        <f>IF(Agent05_Savings!A137="","",Agent05_Savings!J137)</f>
        <v/>
      </c>
      <c r="J930" s="40" t="str">
        <f>IF(Agent05_Savings!A137="","",Agent05_Savings!K137)</f>
        <v/>
      </c>
      <c r="K930" s="40" t="str">
        <f>IFERROR(IF(Agent05_Savings!A137="","",YEAR(Agent05_Savings!D137)),"")</f>
        <v/>
      </c>
    </row>
    <row r="931" spans="1:11" ht="18" customHeight="1" x14ac:dyDescent="0.25">
      <c r="A931" s="40" t="str">
        <f>IF(Agent05_Savings!A138="","",Agent05_Savings!A138)</f>
        <v/>
      </c>
      <c r="B931" s="40" t="str">
        <f ca="1">IF(Agent05_Savings!A138="","","SV"&amp;TEXT(931-3,"0000")&amp;"-"&amp;TEXT(TODAY(),"YYYYMMDD"))</f>
        <v/>
      </c>
      <c r="C931" s="40" t="str">
        <f>IF(Agent05_Savings!A138="","",Agent05_Savings!B138)</f>
        <v/>
      </c>
      <c r="D931" s="40" t="str">
        <f>IF(Agent05_Savings!A138="","",Agent05_Savings!G138)</f>
        <v/>
      </c>
      <c r="E931" s="41" t="str">
        <f>IF(Agent05_Savings!A138="","",Agent05_Savings!D138)</f>
        <v/>
      </c>
      <c r="F931" s="42" t="str">
        <f>IF(Agent05_Savings!A138="","",Agent05_Savings!E138)</f>
        <v/>
      </c>
      <c r="G931" s="42" t="str">
        <f>IF(Agent05_Savings!A138="","",Agent05_Savings!F138)</f>
        <v/>
      </c>
      <c r="H931" s="40" t="str">
        <f>IF(Agent05_Savings!A138="","",Agent05_Savings!I138)</f>
        <v/>
      </c>
      <c r="I931" s="40" t="str">
        <f>IF(Agent05_Savings!A138="","",Agent05_Savings!J138)</f>
        <v/>
      </c>
      <c r="J931" s="40" t="str">
        <f>IF(Agent05_Savings!A138="","",Agent05_Savings!K138)</f>
        <v/>
      </c>
      <c r="K931" s="40" t="str">
        <f>IFERROR(IF(Agent05_Savings!A138="","",YEAR(Agent05_Savings!D138)),"")</f>
        <v/>
      </c>
    </row>
    <row r="932" spans="1:11" ht="18" customHeight="1" x14ac:dyDescent="0.25">
      <c r="A932" s="40" t="str">
        <f>IF(Agent05_Savings!A139="","",Agent05_Savings!A139)</f>
        <v/>
      </c>
      <c r="B932" s="40" t="str">
        <f ca="1">IF(Agent05_Savings!A139="","","SV"&amp;TEXT(932-3,"0000")&amp;"-"&amp;TEXT(TODAY(),"YYYYMMDD"))</f>
        <v/>
      </c>
      <c r="C932" s="40" t="str">
        <f>IF(Agent05_Savings!A139="","",Agent05_Savings!B139)</f>
        <v/>
      </c>
      <c r="D932" s="40" t="str">
        <f>IF(Agent05_Savings!A139="","",Agent05_Savings!G139)</f>
        <v/>
      </c>
      <c r="E932" s="41" t="str">
        <f>IF(Agent05_Savings!A139="","",Agent05_Savings!D139)</f>
        <v/>
      </c>
      <c r="F932" s="42" t="str">
        <f>IF(Agent05_Savings!A139="","",Agent05_Savings!E139)</f>
        <v/>
      </c>
      <c r="G932" s="42" t="str">
        <f>IF(Agent05_Savings!A139="","",Agent05_Savings!F139)</f>
        <v/>
      </c>
      <c r="H932" s="40" t="str">
        <f>IF(Agent05_Savings!A139="","",Agent05_Savings!I139)</f>
        <v/>
      </c>
      <c r="I932" s="40" t="str">
        <f>IF(Agent05_Savings!A139="","",Agent05_Savings!J139)</f>
        <v/>
      </c>
      <c r="J932" s="40" t="str">
        <f>IF(Agent05_Savings!A139="","",Agent05_Savings!K139)</f>
        <v/>
      </c>
      <c r="K932" s="40" t="str">
        <f>IFERROR(IF(Agent05_Savings!A139="","",YEAR(Agent05_Savings!D139)),"")</f>
        <v/>
      </c>
    </row>
    <row r="933" spans="1:11" ht="18" customHeight="1" x14ac:dyDescent="0.25">
      <c r="A933" s="40" t="str">
        <f>IF(Agent05_Savings!A140="","",Agent05_Savings!A140)</f>
        <v/>
      </c>
      <c r="B933" s="40" t="str">
        <f ca="1">IF(Agent05_Savings!A140="","","SV"&amp;TEXT(933-3,"0000")&amp;"-"&amp;TEXT(TODAY(),"YYYYMMDD"))</f>
        <v/>
      </c>
      <c r="C933" s="40" t="str">
        <f>IF(Agent05_Savings!A140="","",Agent05_Savings!B140)</f>
        <v/>
      </c>
      <c r="D933" s="40" t="str">
        <f>IF(Agent05_Savings!A140="","",Agent05_Savings!G140)</f>
        <v/>
      </c>
      <c r="E933" s="41" t="str">
        <f>IF(Agent05_Savings!A140="","",Agent05_Savings!D140)</f>
        <v/>
      </c>
      <c r="F933" s="42" t="str">
        <f>IF(Agent05_Savings!A140="","",Agent05_Savings!E140)</f>
        <v/>
      </c>
      <c r="G933" s="42" t="str">
        <f>IF(Agent05_Savings!A140="","",Agent05_Savings!F140)</f>
        <v/>
      </c>
      <c r="H933" s="40" t="str">
        <f>IF(Agent05_Savings!A140="","",Agent05_Savings!I140)</f>
        <v/>
      </c>
      <c r="I933" s="40" t="str">
        <f>IF(Agent05_Savings!A140="","",Agent05_Savings!J140)</f>
        <v/>
      </c>
      <c r="J933" s="40" t="str">
        <f>IF(Agent05_Savings!A140="","",Agent05_Savings!K140)</f>
        <v/>
      </c>
      <c r="K933" s="40" t="str">
        <f>IFERROR(IF(Agent05_Savings!A140="","",YEAR(Agent05_Savings!D140)),"")</f>
        <v/>
      </c>
    </row>
    <row r="934" spans="1:11" ht="18" customHeight="1" x14ac:dyDescent="0.25">
      <c r="A934" s="40" t="str">
        <f>IF(Agent05_Savings!A141="","",Agent05_Savings!A141)</f>
        <v/>
      </c>
      <c r="B934" s="40" t="str">
        <f ca="1">IF(Agent05_Savings!A141="","","SV"&amp;TEXT(934-3,"0000")&amp;"-"&amp;TEXT(TODAY(),"YYYYMMDD"))</f>
        <v/>
      </c>
      <c r="C934" s="40" t="str">
        <f>IF(Agent05_Savings!A141="","",Agent05_Savings!B141)</f>
        <v/>
      </c>
      <c r="D934" s="40" t="str">
        <f>IF(Agent05_Savings!A141="","",Agent05_Savings!G141)</f>
        <v/>
      </c>
      <c r="E934" s="41" t="str">
        <f>IF(Agent05_Savings!A141="","",Agent05_Savings!D141)</f>
        <v/>
      </c>
      <c r="F934" s="42" t="str">
        <f>IF(Agent05_Savings!A141="","",Agent05_Savings!E141)</f>
        <v/>
      </c>
      <c r="G934" s="42" t="str">
        <f>IF(Agent05_Savings!A141="","",Agent05_Savings!F141)</f>
        <v/>
      </c>
      <c r="H934" s="40" t="str">
        <f>IF(Agent05_Savings!A141="","",Agent05_Savings!I141)</f>
        <v/>
      </c>
      <c r="I934" s="40" t="str">
        <f>IF(Agent05_Savings!A141="","",Agent05_Savings!J141)</f>
        <v/>
      </c>
      <c r="J934" s="40" t="str">
        <f>IF(Agent05_Savings!A141="","",Agent05_Savings!K141)</f>
        <v/>
      </c>
      <c r="K934" s="40" t="str">
        <f>IFERROR(IF(Agent05_Savings!A141="","",YEAR(Agent05_Savings!D141)),"")</f>
        <v/>
      </c>
    </row>
    <row r="935" spans="1:11" ht="18" customHeight="1" x14ac:dyDescent="0.25">
      <c r="A935" s="40" t="str">
        <f>IF(Agent05_Savings!A142="","",Agent05_Savings!A142)</f>
        <v/>
      </c>
      <c r="B935" s="40" t="str">
        <f ca="1">IF(Agent05_Savings!A142="","","SV"&amp;TEXT(935-3,"0000")&amp;"-"&amp;TEXT(TODAY(),"YYYYMMDD"))</f>
        <v/>
      </c>
      <c r="C935" s="40" t="str">
        <f>IF(Agent05_Savings!A142="","",Agent05_Savings!B142)</f>
        <v/>
      </c>
      <c r="D935" s="40" t="str">
        <f>IF(Agent05_Savings!A142="","",Agent05_Savings!G142)</f>
        <v/>
      </c>
      <c r="E935" s="41" t="str">
        <f>IF(Agent05_Savings!A142="","",Agent05_Savings!D142)</f>
        <v/>
      </c>
      <c r="F935" s="42" t="str">
        <f>IF(Agent05_Savings!A142="","",Agent05_Savings!E142)</f>
        <v/>
      </c>
      <c r="G935" s="42" t="str">
        <f>IF(Agent05_Savings!A142="","",Agent05_Savings!F142)</f>
        <v/>
      </c>
      <c r="H935" s="40" t="str">
        <f>IF(Agent05_Savings!A142="","",Agent05_Savings!I142)</f>
        <v/>
      </c>
      <c r="I935" s="40" t="str">
        <f>IF(Agent05_Savings!A142="","",Agent05_Savings!J142)</f>
        <v/>
      </c>
      <c r="J935" s="40" t="str">
        <f>IF(Agent05_Savings!A142="","",Agent05_Savings!K142)</f>
        <v/>
      </c>
      <c r="K935" s="40" t="str">
        <f>IFERROR(IF(Agent05_Savings!A142="","",YEAR(Agent05_Savings!D142)),"")</f>
        <v/>
      </c>
    </row>
    <row r="936" spans="1:11" ht="18" customHeight="1" x14ac:dyDescent="0.25">
      <c r="A936" s="40" t="str">
        <f>IF(Agent05_Savings!A143="","",Agent05_Savings!A143)</f>
        <v/>
      </c>
      <c r="B936" s="40" t="str">
        <f ca="1">IF(Agent05_Savings!A143="","","SV"&amp;TEXT(936-3,"0000")&amp;"-"&amp;TEXT(TODAY(),"YYYYMMDD"))</f>
        <v/>
      </c>
      <c r="C936" s="40" t="str">
        <f>IF(Agent05_Savings!A143="","",Agent05_Savings!B143)</f>
        <v/>
      </c>
      <c r="D936" s="40" t="str">
        <f>IF(Agent05_Savings!A143="","",Agent05_Savings!G143)</f>
        <v/>
      </c>
      <c r="E936" s="41" t="str">
        <f>IF(Agent05_Savings!A143="","",Agent05_Savings!D143)</f>
        <v/>
      </c>
      <c r="F936" s="42" t="str">
        <f>IF(Agent05_Savings!A143="","",Agent05_Savings!E143)</f>
        <v/>
      </c>
      <c r="G936" s="42" t="str">
        <f>IF(Agent05_Savings!A143="","",Agent05_Savings!F143)</f>
        <v/>
      </c>
      <c r="H936" s="40" t="str">
        <f>IF(Agent05_Savings!A143="","",Agent05_Savings!I143)</f>
        <v/>
      </c>
      <c r="I936" s="40" t="str">
        <f>IF(Agent05_Savings!A143="","",Agent05_Savings!J143)</f>
        <v/>
      </c>
      <c r="J936" s="40" t="str">
        <f>IF(Agent05_Savings!A143="","",Agent05_Savings!K143)</f>
        <v/>
      </c>
      <c r="K936" s="40" t="str">
        <f>IFERROR(IF(Agent05_Savings!A143="","",YEAR(Agent05_Savings!D143)),"")</f>
        <v/>
      </c>
    </row>
    <row r="937" spans="1:11" ht="18" customHeight="1" x14ac:dyDescent="0.25">
      <c r="A937" s="40" t="str">
        <f>IF(Agent05_Savings!A144="","",Agent05_Savings!A144)</f>
        <v/>
      </c>
      <c r="B937" s="40" t="str">
        <f ca="1">IF(Agent05_Savings!A144="","","SV"&amp;TEXT(937-3,"0000")&amp;"-"&amp;TEXT(TODAY(),"YYYYMMDD"))</f>
        <v/>
      </c>
      <c r="C937" s="40" t="str">
        <f>IF(Agent05_Savings!A144="","",Agent05_Savings!B144)</f>
        <v/>
      </c>
      <c r="D937" s="40" t="str">
        <f>IF(Agent05_Savings!A144="","",Agent05_Savings!G144)</f>
        <v/>
      </c>
      <c r="E937" s="41" t="str">
        <f>IF(Agent05_Savings!A144="","",Agent05_Savings!D144)</f>
        <v/>
      </c>
      <c r="F937" s="42" t="str">
        <f>IF(Agent05_Savings!A144="","",Agent05_Savings!E144)</f>
        <v/>
      </c>
      <c r="G937" s="42" t="str">
        <f>IF(Agent05_Savings!A144="","",Agent05_Savings!F144)</f>
        <v/>
      </c>
      <c r="H937" s="40" t="str">
        <f>IF(Agent05_Savings!A144="","",Agent05_Savings!I144)</f>
        <v/>
      </c>
      <c r="I937" s="40" t="str">
        <f>IF(Agent05_Savings!A144="","",Agent05_Savings!J144)</f>
        <v/>
      </c>
      <c r="J937" s="40" t="str">
        <f>IF(Agent05_Savings!A144="","",Agent05_Savings!K144)</f>
        <v/>
      </c>
      <c r="K937" s="40" t="str">
        <f>IFERROR(IF(Agent05_Savings!A144="","",YEAR(Agent05_Savings!D144)),"")</f>
        <v/>
      </c>
    </row>
    <row r="938" spans="1:11" ht="18" customHeight="1" x14ac:dyDescent="0.25">
      <c r="A938" s="40" t="str">
        <f>IF(Agent05_Savings!A145="","",Agent05_Savings!A145)</f>
        <v/>
      </c>
      <c r="B938" s="40" t="str">
        <f ca="1">IF(Agent05_Savings!A145="","","SV"&amp;TEXT(938-3,"0000")&amp;"-"&amp;TEXT(TODAY(),"YYYYMMDD"))</f>
        <v/>
      </c>
      <c r="C938" s="40" t="str">
        <f>IF(Agent05_Savings!A145="","",Agent05_Savings!B145)</f>
        <v/>
      </c>
      <c r="D938" s="40" t="str">
        <f>IF(Agent05_Savings!A145="","",Agent05_Savings!G145)</f>
        <v/>
      </c>
      <c r="E938" s="41" t="str">
        <f>IF(Agent05_Savings!A145="","",Agent05_Savings!D145)</f>
        <v/>
      </c>
      <c r="F938" s="42" t="str">
        <f>IF(Agent05_Savings!A145="","",Agent05_Savings!E145)</f>
        <v/>
      </c>
      <c r="G938" s="42" t="str">
        <f>IF(Agent05_Savings!A145="","",Agent05_Savings!F145)</f>
        <v/>
      </c>
      <c r="H938" s="40" t="str">
        <f>IF(Agent05_Savings!A145="","",Agent05_Savings!I145)</f>
        <v/>
      </c>
      <c r="I938" s="40" t="str">
        <f>IF(Agent05_Savings!A145="","",Agent05_Savings!J145)</f>
        <v/>
      </c>
      <c r="J938" s="40" t="str">
        <f>IF(Agent05_Savings!A145="","",Agent05_Savings!K145)</f>
        <v/>
      </c>
      <c r="K938" s="40" t="str">
        <f>IFERROR(IF(Agent05_Savings!A145="","",YEAR(Agent05_Savings!D145)),"")</f>
        <v/>
      </c>
    </row>
    <row r="939" spans="1:11" ht="18" customHeight="1" x14ac:dyDescent="0.25">
      <c r="A939" s="40" t="str">
        <f>IF(Agent05_Savings!A146="","",Agent05_Savings!A146)</f>
        <v/>
      </c>
      <c r="B939" s="40" t="str">
        <f ca="1">IF(Agent05_Savings!A146="","","SV"&amp;TEXT(939-3,"0000")&amp;"-"&amp;TEXT(TODAY(),"YYYYMMDD"))</f>
        <v/>
      </c>
      <c r="C939" s="40" t="str">
        <f>IF(Agent05_Savings!A146="","",Agent05_Savings!B146)</f>
        <v/>
      </c>
      <c r="D939" s="40" t="str">
        <f>IF(Agent05_Savings!A146="","",Agent05_Savings!G146)</f>
        <v/>
      </c>
      <c r="E939" s="41" t="str">
        <f>IF(Agent05_Savings!A146="","",Agent05_Savings!D146)</f>
        <v/>
      </c>
      <c r="F939" s="42" t="str">
        <f>IF(Agent05_Savings!A146="","",Agent05_Savings!E146)</f>
        <v/>
      </c>
      <c r="G939" s="42" t="str">
        <f>IF(Agent05_Savings!A146="","",Agent05_Savings!F146)</f>
        <v/>
      </c>
      <c r="H939" s="40" t="str">
        <f>IF(Agent05_Savings!A146="","",Agent05_Savings!I146)</f>
        <v/>
      </c>
      <c r="I939" s="40" t="str">
        <f>IF(Agent05_Savings!A146="","",Agent05_Savings!J146)</f>
        <v/>
      </c>
      <c r="J939" s="40" t="str">
        <f>IF(Agent05_Savings!A146="","",Agent05_Savings!K146)</f>
        <v/>
      </c>
      <c r="K939" s="40" t="str">
        <f>IFERROR(IF(Agent05_Savings!A146="","",YEAR(Agent05_Savings!D146)),"")</f>
        <v/>
      </c>
    </row>
    <row r="940" spans="1:11" ht="18" customHeight="1" x14ac:dyDescent="0.25">
      <c r="A940" s="40" t="str">
        <f>IF(Agent05_Savings!A147="","",Agent05_Savings!A147)</f>
        <v/>
      </c>
      <c r="B940" s="40" t="str">
        <f ca="1">IF(Agent05_Savings!A147="","","SV"&amp;TEXT(940-3,"0000")&amp;"-"&amp;TEXT(TODAY(),"YYYYMMDD"))</f>
        <v/>
      </c>
      <c r="C940" s="40" t="str">
        <f>IF(Agent05_Savings!A147="","",Agent05_Savings!B147)</f>
        <v/>
      </c>
      <c r="D940" s="40" t="str">
        <f>IF(Agent05_Savings!A147="","",Agent05_Savings!G147)</f>
        <v/>
      </c>
      <c r="E940" s="41" t="str">
        <f>IF(Agent05_Savings!A147="","",Agent05_Savings!D147)</f>
        <v/>
      </c>
      <c r="F940" s="42" t="str">
        <f>IF(Agent05_Savings!A147="","",Agent05_Savings!E147)</f>
        <v/>
      </c>
      <c r="G940" s="42" t="str">
        <f>IF(Agent05_Savings!A147="","",Agent05_Savings!F147)</f>
        <v/>
      </c>
      <c r="H940" s="40" t="str">
        <f>IF(Agent05_Savings!A147="","",Agent05_Savings!I147)</f>
        <v/>
      </c>
      <c r="I940" s="40" t="str">
        <f>IF(Agent05_Savings!A147="","",Agent05_Savings!J147)</f>
        <v/>
      </c>
      <c r="J940" s="40" t="str">
        <f>IF(Agent05_Savings!A147="","",Agent05_Savings!K147)</f>
        <v/>
      </c>
      <c r="K940" s="40" t="str">
        <f>IFERROR(IF(Agent05_Savings!A147="","",YEAR(Agent05_Savings!D147)),"")</f>
        <v/>
      </c>
    </row>
    <row r="941" spans="1:11" ht="18" customHeight="1" x14ac:dyDescent="0.25">
      <c r="A941" s="40" t="str">
        <f>IF(Agent05_Savings!A148="","",Agent05_Savings!A148)</f>
        <v/>
      </c>
      <c r="B941" s="40" t="str">
        <f ca="1">IF(Agent05_Savings!A148="","","SV"&amp;TEXT(941-3,"0000")&amp;"-"&amp;TEXT(TODAY(),"YYYYMMDD"))</f>
        <v/>
      </c>
      <c r="C941" s="40" t="str">
        <f>IF(Agent05_Savings!A148="","",Agent05_Savings!B148)</f>
        <v/>
      </c>
      <c r="D941" s="40" t="str">
        <f>IF(Agent05_Savings!A148="","",Agent05_Savings!G148)</f>
        <v/>
      </c>
      <c r="E941" s="41" t="str">
        <f>IF(Agent05_Savings!A148="","",Agent05_Savings!D148)</f>
        <v/>
      </c>
      <c r="F941" s="42" t="str">
        <f>IF(Agent05_Savings!A148="","",Agent05_Savings!E148)</f>
        <v/>
      </c>
      <c r="G941" s="42" t="str">
        <f>IF(Agent05_Savings!A148="","",Agent05_Savings!F148)</f>
        <v/>
      </c>
      <c r="H941" s="40" t="str">
        <f>IF(Agent05_Savings!A148="","",Agent05_Savings!I148)</f>
        <v/>
      </c>
      <c r="I941" s="40" t="str">
        <f>IF(Agent05_Savings!A148="","",Agent05_Savings!J148)</f>
        <v/>
      </c>
      <c r="J941" s="40" t="str">
        <f>IF(Agent05_Savings!A148="","",Agent05_Savings!K148)</f>
        <v/>
      </c>
      <c r="K941" s="40" t="str">
        <f>IFERROR(IF(Agent05_Savings!A148="","",YEAR(Agent05_Savings!D148)),"")</f>
        <v/>
      </c>
    </row>
    <row r="942" spans="1:11" ht="18" customHeight="1" x14ac:dyDescent="0.25">
      <c r="A942" s="40" t="str">
        <f>IF(Agent05_Savings!A149="","",Agent05_Savings!A149)</f>
        <v/>
      </c>
      <c r="B942" s="40" t="str">
        <f ca="1">IF(Agent05_Savings!A149="","","SV"&amp;TEXT(942-3,"0000")&amp;"-"&amp;TEXT(TODAY(),"YYYYMMDD"))</f>
        <v/>
      </c>
      <c r="C942" s="40" t="str">
        <f>IF(Agent05_Savings!A149="","",Agent05_Savings!B149)</f>
        <v/>
      </c>
      <c r="D942" s="40" t="str">
        <f>IF(Agent05_Savings!A149="","",Agent05_Savings!G149)</f>
        <v/>
      </c>
      <c r="E942" s="41" t="str">
        <f>IF(Agent05_Savings!A149="","",Agent05_Savings!D149)</f>
        <v/>
      </c>
      <c r="F942" s="42" t="str">
        <f>IF(Agent05_Savings!A149="","",Agent05_Savings!E149)</f>
        <v/>
      </c>
      <c r="G942" s="42" t="str">
        <f>IF(Agent05_Savings!A149="","",Agent05_Savings!F149)</f>
        <v/>
      </c>
      <c r="H942" s="40" t="str">
        <f>IF(Agent05_Savings!A149="","",Agent05_Savings!I149)</f>
        <v/>
      </c>
      <c r="I942" s="40" t="str">
        <f>IF(Agent05_Savings!A149="","",Agent05_Savings!J149)</f>
        <v/>
      </c>
      <c r="J942" s="40" t="str">
        <f>IF(Agent05_Savings!A149="","",Agent05_Savings!K149)</f>
        <v/>
      </c>
      <c r="K942" s="40" t="str">
        <f>IFERROR(IF(Agent05_Savings!A149="","",YEAR(Agent05_Savings!D149)),"")</f>
        <v/>
      </c>
    </row>
    <row r="943" spans="1:11" ht="18" customHeight="1" x14ac:dyDescent="0.25">
      <c r="A943" s="40" t="str">
        <f>IF(Agent05_Savings!A150="","",Agent05_Savings!A150)</f>
        <v/>
      </c>
      <c r="B943" s="40" t="str">
        <f ca="1">IF(Agent05_Savings!A150="","","SV"&amp;TEXT(943-3,"0000")&amp;"-"&amp;TEXT(TODAY(),"YYYYMMDD"))</f>
        <v/>
      </c>
      <c r="C943" s="40" t="str">
        <f>IF(Agent05_Savings!A150="","",Agent05_Savings!B150)</f>
        <v/>
      </c>
      <c r="D943" s="40" t="str">
        <f>IF(Agent05_Savings!A150="","",Agent05_Savings!G150)</f>
        <v/>
      </c>
      <c r="E943" s="41" t="str">
        <f>IF(Agent05_Savings!A150="","",Agent05_Savings!D150)</f>
        <v/>
      </c>
      <c r="F943" s="42" t="str">
        <f>IF(Agent05_Savings!A150="","",Agent05_Savings!E150)</f>
        <v/>
      </c>
      <c r="G943" s="42" t="str">
        <f>IF(Agent05_Savings!A150="","",Agent05_Savings!F150)</f>
        <v/>
      </c>
      <c r="H943" s="40" t="str">
        <f>IF(Agent05_Savings!A150="","",Agent05_Savings!I150)</f>
        <v/>
      </c>
      <c r="I943" s="40" t="str">
        <f>IF(Agent05_Savings!A150="","",Agent05_Savings!J150)</f>
        <v/>
      </c>
      <c r="J943" s="40" t="str">
        <f>IF(Agent05_Savings!A150="","",Agent05_Savings!K150)</f>
        <v/>
      </c>
      <c r="K943" s="40" t="str">
        <f>IFERROR(IF(Agent05_Savings!A150="","",YEAR(Agent05_Savings!D150)),"")</f>
        <v/>
      </c>
    </row>
    <row r="944" spans="1:11" ht="18" customHeight="1" x14ac:dyDescent="0.25">
      <c r="A944" s="40" t="str">
        <f>IF(Agent05_Savings!A151="","",Agent05_Savings!A151)</f>
        <v/>
      </c>
      <c r="B944" s="40" t="str">
        <f ca="1">IF(Agent05_Savings!A151="","","SV"&amp;TEXT(944-3,"0000")&amp;"-"&amp;TEXT(TODAY(),"YYYYMMDD"))</f>
        <v/>
      </c>
      <c r="C944" s="40" t="str">
        <f>IF(Agent05_Savings!A151="","",Agent05_Savings!B151)</f>
        <v/>
      </c>
      <c r="D944" s="40" t="str">
        <f>IF(Agent05_Savings!A151="","",Agent05_Savings!G151)</f>
        <v/>
      </c>
      <c r="E944" s="41" t="str">
        <f>IF(Agent05_Savings!A151="","",Agent05_Savings!D151)</f>
        <v/>
      </c>
      <c r="F944" s="42" t="str">
        <f>IF(Agent05_Savings!A151="","",Agent05_Savings!E151)</f>
        <v/>
      </c>
      <c r="G944" s="42" t="str">
        <f>IF(Agent05_Savings!A151="","",Agent05_Savings!F151)</f>
        <v/>
      </c>
      <c r="H944" s="40" t="str">
        <f>IF(Agent05_Savings!A151="","",Agent05_Savings!I151)</f>
        <v/>
      </c>
      <c r="I944" s="40" t="str">
        <f>IF(Agent05_Savings!A151="","",Agent05_Savings!J151)</f>
        <v/>
      </c>
      <c r="J944" s="40" t="str">
        <f>IF(Agent05_Savings!A151="","",Agent05_Savings!K151)</f>
        <v/>
      </c>
      <c r="K944" s="40" t="str">
        <f>IFERROR(IF(Agent05_Savings!A151="","",YEAR(Agent05_Savings!D151)),"")</f>
        <v/>
      </c>
    </row>
    <row r="945" spans="1:11" ht="18" customHeight="1" x14ac:dyDescent="0.25">
      <c r="A945" s="40" t="str">
        <f>IF(Agent05_Savings!A152="","",Agent05_Savings!A152)</f>
        <v/>
      </c>
      <c r="B945" s="40" t="str">
        <f ca="1">IF(Agent05_Savings!A152="","","SV"&amp;TEXT(945-3,"0000")&amp;"-"&amp;TEXT(TODAY(),"YYYYMMDD"))</f>
        <v/>
      </c>
      <c r="C945" s="40" t="str">
        <f>IF(Agent05_Savings!A152="","",Agent05_Savings!B152)</f>
        <v/>
      </c>
      <c r="D945" s="40" t="str">
        <f>IF(Agent05_Savings!A152="","",Agent05_Savings!G152)</f>
        <v/>
      </c>
      <c r="E945" s="41" t="str">
        <f>IF(Agent05_Savings!A152="","",Agent05_Savings!D152)</f>
        <v/>
      </c>
      <c r="F945" s="42" t="str">
        <f>IF(Agent05_Savings!A152="","",Agent05_Savings!E152)</f>
        <v/>
      </c>
      <c r="G945" s="42" t="str">
        <f>IF(Agent05_Savings!A152="","",Agent05_Savings!F152)</f>
        <v/>
      </c>
      <c r="H945" s="40" t="str">
        <f>IF(Agent05_Savings!A152="","",Agent05_Savings!I152)</f>
        <v/>
      </c>
      <c r="I945" s="40" t="str">
        <f>IF(Agent05_Savings!A152="","",Agent05_Savings!J152)</f>
        <v/>
      </c>
      <c r="J945" s="40" t="str">
        <f>IF(Agent05_Savings!A152="","",Agent05_Savings!K152)</f>
        <v/>
      </c>
      <c r="K945" s="40" t="str">
        <f>IFERROR(IF(Agent05_Savings!A152="","",YEAR(Agent05_Savings!D152)),"")</f>
        <v/>
      </c>
    </row>
    <row r="946" spans="1:11" ht="18" customHeight="1" x14ac:dyDescent="0.25">
      <c r="A946" s="40" t="str">
        <f>IF(Agent05_Savings!A153="","",Agent05_Savings!A153)</f>
        <v/>
      </c>
      <c r="B946" s="40" t="str">
        <f ca="1">IF(Agent05_Savings!A153="","","SV"&amp;TEXT(946-3,"0000")&amp;"-"&amp;TEXT(TODAY(),"YYYYMMDD"))</f>
        <v/>
      </c>
      <c r="C946" s="40" t="str">
        <f>IF(Agent05_Savings!A153="","",Agent05_Savings!B153)</f>
        <v/>
      </c>
      <c r="D946" s="40" t="str">
        <f>IF(Agent05_Savings!A153="","",Agent05_Savings!G153)</f>
        <v/>
      </c>
      <c r="E946" s="41" t="str">
        <f>IF(Agent05_Savings!A153="","",Agent05_Savings!D153)</f>
        <v/>
      </c>
      <c r="F946" s="42" t="str">
        <f>IF(Agent05_Savings!A153="","",Agent05_Savings!E153)</f>
        <v/>
      </c>
      <c r="G946" s="42" t="str">
        <f>IF(Agent05_Savings!A153="","",Agent05_Savings!F153)</f>
        <v/>
      </c>
      <c r="H946" s="40" t="str">
        <f>IF(Agent05_Savings!A153="","",Agent05_Savings!I153)</f>
        <v/>
      </c>
      <c r="I946" s="40" t="str">
        <f>IF(Agent05_Savings!A153="","",Agent05_Savings!J153)</f>
        <v/>
      </c>
      <c r="J946" s="40" t="str">
        <f>IF(Agent05_Savings!A153="","",Agent05_Savings!K153)</f>
        <v/>
      </c>
      <c r="K946" s="40" t="str">
        <f>IFERROR(IF(Agent05_Savings!A153="","",YEAR(Agent05_Savings!D153)),"")</f>
        <v/>
      </c>
    </row>
    <row r="947" spans="1:11" ht="18" customHeight="1" x14ac:dyDescent="0.25">
      <c r="A947" s="40" t="str">
        <f>IF(Agent05_Savings!A154="","",Agent05_Savings!A154)</f>
        <v/>
      </c>
      <c r="B947" s="40" t="str">
        <f ca="1">IF(Agent05_Savings!A154="","","SV"&amp;TEXT(947-3,"0000")&amp;"-"&amp;TEXT(TODAY(),"YYYYMMDD"))</f>
        <v/>
      </c>
      <c r="C947" s="40" t="str">
        <f>IF(Agent05_Savings!A154="","",Agent05_Savings!B154)</f>
        <v/>
      </c>
      <c r="D947" s="40" t="str">
        <f>IF(Agent05_Savings!A154="","",Agent05_Savings!G154)</f>
        <v/>
      </c>
      <c r="E947" s="41" t="str">
        <f>IF(Agent05_Savings!A154="","",Agent05_Savings!D154)</f>
        <v/>
      </c>
      <c r="F947" s="42" t="str">
        <f>IF(Agent05_Savings!A154="","",Agent05_Savings!E154)</f>
        <v/>
      </c>
      <c r="G947" s="42" t="str">
        <f>IF(Agent05_Savings!A154="","",Agent05_Savings!F154)</f>
        <v/>
      </c>
      <c r="H947" s="40" t="str">
        <f>IF(Agent05_Savings!A154="","",Agent05_Savings!I154)</f>
        <v/>
      </c>
      <c r="I947" s="40" t="str">
        <f>IF(Agent05_Savings!A154="","",Agent05_Savings!J154)</f>
        <v/>
      </c>
      <c r="J947" s="40" t="str">
        <f>IF(Agent05_Savings!A154="","",Agent05_Savings!K154)</f>
        <v/>
      </c>
      <c r="K947" s="40" t="str">
        <f>IFERROR(IF(Agent05_Savings!A154="","",YEAR(Agent05_Savings!D154)),"")</f>
        <v/>
      </c>
    </row>
    <row r="948" spans="1:11" ht="18" customHeight="1" x14ac:dyDescent="0.25">
      <c r="A948" s="40" t="str">
        <f>IF(Agent05_Savings!A155="","",Agent05_Savings!A155)</f>
        <v/>
      </c>
      <c r="B948" s="40" t="str">
        <f ca="1">IF(Agent05_Savings!A155="","","SV"&amp;TEXT(948-3,"0000")&amp;"-"&amp;TEXT(TODAY(),"YYYYMMDD"))</f>
        <v/>
      </c>
      <c r="C948" s="40" t="str">
        <f>IF(Agent05_Savings!A155="","",Agent05_Savings!B155)</f>
        <v/>
      </c>
      <c r="D948" s="40" t="str">
        <f>IF(Agent05_Savings!A155="","",Agent05_Savings!G155)</f>
        <v/>
      </c>
      <c r="E948" s="41" t="str">
        <f>IF(Agent05_Savings!A155="","",Agent05_Savings!D155)</f>
        <v/>
      </c>
      <c r="F948" s="42" t="str">
        <f>IF(Agent05_Savings!A155="","",Agent05_Savings!E155)</f>
        <v/>
      </c>
      <c r="G948" s="42" t="str">
        <f>IF(Agent05_Savings!A155="","",Agent05_Savings!F155)</f>
        <v/>
      </c>
      <c r="H948" s="40" t="str">
        <f>IF(Agent05_Savings!A155="","",Agent05_Savings!I155)</f>
        <v/>
      </c>
      <c r="I948" s="40" t="str">
        <f>IF(Agent05_Savings!A155="","",Agent05_Savings!J155)</f>
        <v/>
      </c>
      <c r="J948" s="40" t="str">
        <f>IF(Agent05_Savings!A155="","",Agent05_Savings!K155)</f>
        <v/>
      </c>
      <c r="K948" s="40" t="str">
        <f>IFERROR(IF(Agent05_Savings!A155="","",YEAR(Agent05_Savings!D155)),"")</f>
        <v/>
      </c>
    </row>
    <row r="949" spans="1:11" ht="18" customHeight="1" x14ac:dyDescent="0.25">
      <c r="A949" s="40" t="str">
        <f>IF(Agent05_Savings!A156="","",Agent05_Savings!A156)</f>
        <v/>
      </c>
      <c r="B949" s="40" t="str">
        <f ca="1">IF(Agent05_Savings!A156="","","SV"&amp;TEXT(949-3,"0000")&amp;"-"&amp;TEXT(TODAY(),"YYYYMMDD"))</f>
        <v/>
      </c>
      <c r="C949" s="40" t="str">
        <f>IF(Agent05_Savings!A156="","",Agent05_Savings!B156)</f>
        <v/>
      </c>
      <c r="D949" s="40" t="str">
        <f>IF(Agent05_Savings!A156="","",Agent05_Savings!G156)</f>
        <v/>
      </c>
      <c r="E949" s="41" t="str">
        <f>IF(Agent05_Savings!A156="","",Agent05_Savings!D156)</f>
        <v/>
      </c>
      <c r="F949" s="42" t="str">
        <f>IF(Agent05_Savings!A156="","",Agent05_Savings!E156)</f>
        <v/>
      </c>
      <c r="G949" s="42" t="str">
        <f>IF(Agent05_Savings!A156="","",Agent05_Savings!F156)</f>
        <v/>
      </c>
      <c r="H949" s="40" t="str">
        <f>IF(Agent05_Savings!A156="","",Agent05_Savings!I156)</f>
        <v/>
      </c>
      <c r="I949" s="40" t="str">
        <f>IF(Agent05_Savings!A156="","",Agent05_Savings!J156)</f>
        <v/>
      </c>
      <c r="J949" s="40" t="str">
        <f>IF(Agent05_Savings!A156="","",Agent05_Savings!K156)</f>
        <v/>
      </c>
      <c r="K949" s="40" t="str">
        <f>IFERROR(IF(Agent05_Savings!A156="","",YEAR(Agent05_Savings!D156)),"")</f>
        <v/>
      </c>
    </row>
    <row r="950" spans="1:11" ht="18" customHeight="1" x14ac:dyDescent="0.25">
      <c r="A950" s="40" t="str">
        <f>IF(Agent05_Savings!A157="","",Agent05_Savings!A157)</f>
        <v/>
      </c>
      <c r="B950" s="40" t="str">
        <f ca="1">IF(Agent05_Savings!A157="","","SV"&amp;TEXT(950-3,"0000")&amp;"-"&amp;TEXT(TODAY(),"YYYYMMDD"))</f>
        <v/>
      </c>
      <c r="C950" s="40" t="str">
        <f>IF(Agent05_Savings!A157="","",Agent05_Savings!B157)</f>
        <v/>
      </c>
      <c r="D950" s="40" t="str">
        <f>IF(Agent05_Savings!A157="","",Agent05_Savings!G157)</f>
        <v/>
      </c>
      <c r="E950" s="41" t="str">
        <f>IF(Agent05_Savings!A157="","",Agent05_Savings!D157)</f>
        <v/>
      </c>
      <c r="F950" s="42" t="str">
        <f>IF(Agent05_Savings!A157="","",Agent05_Savings!E157)</f>
        <v/>
      </c>
      <c r="G950" s="42" t="str">
        <f>IF(Agent05_Savings!A157="","",Agent05_Savings!F157)</f>
        <v/>
      </c>
      <c r="H950" s="40" t="str">
        <f>IF(Agent05_Savings!A157="","",Agent05_Savings!I157)</f>
        <v/>
      </c>
      <c r="I950" s="40" t="str">
        <f>IF(Agent05_Savings!A157="","",Agent05_Savings!J157)</f>
        <v/>
      </c>
      <c r="J950" s="40" t="str">
        <f>IF(Agent05_Savings!A157="","",Agent05_Savings!K157)</f>
        <v/>
      </c>
      <c r="K950" s="40" t="str">
        <f>IFERROR(IF(Agent05_Savings!A157="","",YEAR(Agent05_Savings!D157)),"")</f>
        <v/>
      </c>
    </row>
    <row r="951" spans="1:11" ht="18" customHeight="1" x14ac:dyDescent="0.25">
      <c r="A951" s="40" t="str">
        <f>IF(Agent05_Savings!A158="","",Agent05_Savings!A158)</f>
        <v/>
      </c>
      <c r="B951" s="40" t="str">
        <f ca="1">IF(Agent05_Savings!A158="","","SV"&amp;TEXT(951-3,"0000")&amp;"-"&amp;TEXT(TODAY(),"YYYYMMDD"))</f>
        <v/>
      </c>
      <c r="C951" s="40" t="str">
        <f>IF(Agent05_Savings!A158="","",Agent05_Savings!B158)</f>
        <v/>
      </c>
      <c r="D951" s="40" t="str">
        <f>IF(Agent05_Savings!A158="","",Agent05_Savings!G158)</f>
        <v/>
      </c>
      <c r="E951" s="41" t="str">
        <f>IF(Agent05_Savings!A158="","",Agent05_Savings!D158)</f>
        <v/>
      </c>
      <c r="F951" s="42" t="str">
        <f>IF(Agent05_Savings!A158="","",Agent05_Savings!E158)</f>
        <v/>
      </c>
      <c r="G951" s="42" t="str">
        <f>IF(Agent05_Savings!A158="","",Agent05_Savings!F158)</f>
        <v/>
      </c>
      <c r="H951" s="40" t="str">
        <f>IF(Agent05_Savings!A158="","",Agent05_Savings!I158)</f>
        <v/>
      </c>
      <c r="I951" s="40" t="str">
        <f>IF(Agent05_Savings!A158="","",Agent05_Savings!J158)</f>
        <v/>
      </c>
      <c r="J951" s="40" t="str">
        <f>IF(Agent05_Savings!A158="","",Agent05_Savings!K158)</f>
        <v/>
      </c>
      <c r="K951" s="40" t="str">
        <f>IFERROR(IF(Agent05_Savings!A158="","",YEAR(Agent05_Savings!D158)),"")</f>
        <v/>
      </c>
    </row>
    <row r="952" spans="1:11" ht="18" customHeight="1" x14ac:dyDescent="0.25">
      <c r="A952" s="40" t="str">
        <f>IF(Agent05_Savings!A159="","",Agent05_Savings!A159)</f>
        <v/>
      </c>
      <c r="B952" s="40" t="str">
        <f ca="1">IF(Agent05_Savings!A159="","","SV"&amp;TEXT(952-3,"0000")&amp;"-"&amp;TEXT(TODAY(),"YYYYMMDD"))</f>
        <v/>
      </c>
      <c r="C952" s="40" t="str">
        <f>IF(Agent05_Savings!A159="","",Agent05_Savings!B159)</f>
        <v/>
      </c>
      <c r="D952" s="40" t="str">
        <f>IF(Agent05_Savings!A159="","",Agent05_Savings!G159)</f>
        <v/>
      </c>
      <c r="E952" s="41" t="str">
        <f>IF(Agent05_Savings!A159="","",Agent05_Savings!D159)</f>
        <v/>
      </c>
      <c r="F952" s="42" t="str">
        <f>IF(Agent05_Savings!A159="","",Agent05_Savings!E159)</f>
        <v/>
      </c>
      <c r="G952" s="42" t="str">
        <f>IF(Agent05_Savings!A159="","",Agent05_Savings!F159)</f>
        <v/>
      </c>
      <c r="H952" s="40" t="str">
        <f>IF(Agent05_Savings!A159="","",Agent05_Savings!I159)</f>
        <v/>
      </c>
      <c r="I952" s="40" t="str">
        <f>IF(Agent05_Savings!A159="","",Agent05_Savings!J159)</f>
        <v/>
      </c>
      <c r="J952" s="40" t="str">
        <f>IF(Agent05_Savings!A159="","",Agent05_Savings!K159)</f>
        <v/>
      </c>
      <c r="K952" s="40" t="str">
        <f>IFERROR(IF(Agent05_Savings!A159="","",YEAR(Agent05_Savings!D159)),"")</f>
        <v/>
      </c>
    </row>
    <row r="953" spans="1:11" ht="18" customHeight="1" x14ac:dyDescent="0.25">
      <c r="A953" s="40" t="str">
        <f>IF(Agent05_Savings!A160="","",Agent05_Savings!A160)</f>
        <v/>
      </c>
      <c r="B953" s="40" t="str">
        <f ca="1">IF(Agent05_Savings!A160="","","SV"&amp;TEXT(953-3,"0000")&amp;"-"&amp;TEXT(TODAY(),"YYYYMMDD"))</f>
        <v/>
      </c>
      <c r="C953" s="40" t="str">
        <f>IF(Agent05_Savings!A160="","",Agent05_Savings!B160)</f>
        <v/>
      </c>
      <c r="D953" s="40" t="str">
        <f>IF(Agent05_Savings!A160="","",Agent05_Savings!G160)</f>
        <v/>
      </c>
      <c r="E953" s="41" t="str">
        <f>IF(Agent05_Savings!A160="","",Agent05_Savings!D160)</f>
        <v/>
      </c>
      <c r="F953" s="42" t="str">
        <f>IF(Agent05_Savings!A160="","",Agent05_Savings!E160)</f>
        <v/>
      </c>
      <c r="G953" s="42" t="str">
        <f>IF(Agent05_Savings!A160="","",Agent05_Savings!F160)</f>
        <v/>
      </c>
      <c r="H953" s="40" t="str">
        <f>IF(Agent05_Savings!A160="","",Agent05_Savings!I160)</f>
        <v/>
      </c>
      <c r="I953" s="40" t="str">
        <f>IF(Agent05_Savings!A160="","",Agent05_Savings!J160)</f>
        <v/>
      </c>
      <c r="J953" s="40" t="str">
        <f>IF(Agent05_Savings!A160="","",Agent05_Savings!K160)</f>
        <v/>
      </c>
      <c r="K953" s="40" t="str">
        <f>IFERROR(IF(Agent05_Savings!A160="","",YEAR(Agent05_Savings!D160)),"")</f>
        <v/>
      </c>
    </row>
    <row r="954" spans="1:11" ht="18" customHeight="1" x14ac:dyDescent="0.25">
      <c r="A954" s="40" t="str">
        <f>IF(Agent05_Savings!A161="","",Agent05_Savings!A161)</f>
        <v/>
      </c>
      <c r="B954" s="40" t="str">
        <f ca="1">IF(Agent05_Savings!A161="","","SV"&amp;TEXT(954-3,"0000")&amp;"-"&amp;TEXT(TODAY(),"YYYYMMDD"))</f>
        <v/>
      </c>
      <c r="C954" s="40" t="str">
        <f>IF(Agent05_Savings!A161="","",Agent05_Savings!B161)</f>
        <v/>
      </c>
      <c r="D954" s="40" t="str">
        <f>IF(Agent05_Savings!A161="","",Agent05_Savings!G161)</f>
        <v/>
      </c>
      <c r="E954" s="41" t="str">
        <f>IF(Agent05_Savings!A161="","",Agent05_Savings!D161)</f>
        <v/>
      </c>
      <c r="F954" s="42" t="str">
        <f>IF(Agent05_Savings!A161="","",Agent05_Savings!E161)</f>
        <v/>
      </c>
      <c r="G954" s="42" t="str">
        <f>IF(Agent05_Savings!A161="","",Agent05_Savings!F161)</f>
        <v/>
      </c>
      <c r="H954" s="40" t="str">
        <f>IF(Agent05_Savings!A161="","",Agent05_Savings!I161)</f>
        <v/>
      </c>
      <c r="I954" s="40" t="str">
        <f>IF(Agent05_Savings!A161="","",Agent05_Savings!J161)</f>
        <v/>
      </c>
      <c r="J954" s="40" t="str">
        <f>IF(Agent05_Savings!A161="","",Agent05_Savings!K161)</f>
        <v/>
      </c>
      <c r="K954" s="40" t="str">
        <f>IFERROR(IF(Agent05_Savings!A161="","",YEAR(Agent05_Savings!D161)),"")</f>
        <v/>
      </c>
    </row>
    <row r="955" spans="1:11" ht="18" customHeight="1" x14ac:dyDescent="0.25">
      <c r="A955" s="40" t="str">
        <f>IF(Agent05_Savings!A162="","",Agent05_Savings!A162)</f>
        <v/>
      </c>
      <c r="B955" s="40" t="str">
        <f ca="1">IF(Agent05_Savings!A162="","","SV"&amp;TEXT(955-3,"0000")&amp;"-"&amp;TEXT(TODAY(),"YYYYMMDD"))</f>
        <v/>
      </c>
      <c r="C955" s="40" t="str">
        <f>IF(Agent05_Savings!A162="","",Agent05_Savings!B162)</f>
        <v/>
      </c>
      <c r="D955" s="40" t="str">
        <f>IF(Agent05_Savings!A162="","",Agent05_Savings!G162)</f>
        <v/>
      </c>
      <c r="E955" s="41" t="str">
        <f>IF(Agent05_Savings!A162="","",Agent05_Savings!D162)</f>
        <v/>
      </c>
      <c r="F955" s="42" t="str">
        <f>IF(Agent05_Savings!A162="","",Agent05_Savings!E162)</f>
        <v/>
      </c>
      <c r="G955" s="42" t="str">
        <f>IF(Agent05_Savings!A162="","",Agent05_Savings!F162)</f>
        <v/>
      </c>
      <c r="H955" s="40" t="str">
        <f>IF(Agent05_Savings!A162="","",Agent05_Savings!I162)</f>
        <v/>
      </c>
      <c r="I955" s="40" t="str">
        <f>IF(Agent05_Savings!A162="","",Agent05_Savings!J162)</f>
        <v/>
      </c>
      <c r="J955" s="40" t="str">
        <f>IF(Agent05_Savings!A162="","",Agent05_Savings!K162)</f>
        <v/>
      </c>
      <c r="K955" s="40" t="str">
        <f>IFERROR(IF(Agent05_Savings!A162="","",YEAR(Agent05_Savings!D162)),"")</f>
        <v/>
      </c>
    </row>
    <row r="956" spans="1:11" ht="18" customHeight="1" x14ac:dyDescent="0.25">
      <c r="A956" s="40" t="str">
        <f>IF(Agent05_Savings!A163="","",Agent05_Savings!A163)</f>
        <v/>
      </c>
      <c r="B956" s="40" t="str">
        <f ca="1">IF(Agent05_Savings!A163="","","SV"&amp;TEXT(956-3,"0000")&amp;"-"&amp;TEXT(TODAY(),"YYYYMMDD"))</f>
        <v/>
      </c>
      <c r="C956" s="40" t="str">
        <f>IF(Agent05_Savings!A163="","",Agent05_Savings!B163)</f>
        <v/>
      </c>
      <c r="D956" s="40" t="str">
        <f>IF(Agent05_Savings!A163="","",Agent05_Savings!G163)</f>
        <v/>
      </c>
      <c r="E956" s="41" t="str">
        <f>IF(Agent05_Savings!A163="","",Agent05_Savings!D163)</f>
        <v/>
      </c>
      <c r="F956" s="42" t="str">
        <f>IF(Agent05_Savings!A163="","",Agent05_Savings!E163)</f>
        <v/>
      </c>
      <c r="G956" s="42" t="str">
        <f>IF(Agent05_Savings!A163="","",Agent05_Savings!F163)</f>
        <v/>
      </c>
      <c r="H956" s="40" t="str">
        <f>IF(Agent05_Savings!A163="","",Agent05_Savings!I163)</f>
        <v/>
      </c>
      <c r="I956" s="40" t="str">
        <f>IF(Agent05_Savings!A163="","",Agent05_Savings!J163)</f>
        <v/>
      </c>
      <c r="J956" s="40" t="str">
        <f>IF(Agent05_Savings!A163="","",Agent05_Savings!K163)</f>
        <v/>
      </c>
      <c r="K956" s="40" t="str">
        <f>IFERROR(IF(Agent05_Savings!A163="","",YEAR(Agent05_Savings!D163)),"")</f>
        <v/>
      </c>
    </row>
    <row r="957" spans="1:11" ht="18" customHeight="1" x14ac:dyDescent="0.25">
      <c r="A957" s="40" t="str">
        <f>IF(Agent05_Savings!A164="","",Agent05_Savings!A164)</f>
        <v/>
      </c>
      <c r="B957" s="40" t="str">
        <f ca="1">IF(Agent05_Savings!A164="","","SV"&amp;TEXT(957-3,"0000")&amp;"-"&amp;TEXT(TODAY(),"YYYYMMDD"))</f>
        <v/>
      </c>
      <c r="C957" s="40" t="str">
        <f>IF(Agent05_Savings!A164="","",Agent05_Savings!B164)</f>
        <v/>
      </c>
      <c r="D957" s="40" t="str">
        <f>IF(Agent05_Savings!A164="","",Agent05_Savings!G164)</f>
        <v/>
      </c>
      <c r="E957" s="41" t="str">
        <f>IF(Agent05_Savings!A164="","",Agent05_Savings!D164)</f>
        <v/>
      </c>
      <c r="F957" s="42" t="str">
        <f>IF(Agent05_Savings!A164="","",Agent05_Savings!E164)</f>
        <v/>
      </c>
      <c r="G957" s="42" t="str">
        <f>IF(Agent05_Savings!A164="","",Agent05_Savings!F164)</f>
        <v/>
      </c>
      <c r="H957" s="40" t="str">
        <f>IF(Agent05_Savings!A164="","",Agent05_Savings!I164)</f>
        <v/>
      </c>
      <c r="I957" s="40" t="str">
        <f>IF(Agent05_Savings!A164="","",Agent05_Savings!J164)</f>
        <v/>
      </c>
      <c r="J957" s="40" t="str">
        <f>IF(Agent05_Savings!A164="","",Agent05_Savings!K164)</f>
        <v/>
      </c>
      <c r="K957" s="40" t="str">
        <f>IFERROR(IF(Agent05_Savings!A164="","",YEAR(Agent05_Savings!D164)),"")</f>
        <v/>
      </c>
    </row>
    <row r="958" spans="1:11" ht="18" customHeight="1" x14ac:dyDescent="0.25">
      <c r="A958" s="40" t="str">
        <f>IF(Agent05_Savings!A165="","",Agent05_Savings!A165)</f>
        <v/>
      </c>
      <c r="B958" s="40" t="str">
        <f ca="1">IF(Agent05_Savings!A165="","","SV"&amp;TEXT(958-3,"0000")&amp;"-"&amp;TEXT(TODAY(),"YYYYMMDD"))</f>
        <v/>
      </c>
      <c r="C958" s="40" t="str">
        <f>IF(Agent05_Savings!A165="","",Agent05_Savings!B165)</f>
        <v/>
      </c>
      <c r="D958" s="40" t="str">
        <f>IF(Agent05_Savings!A165="","",Agent05_Savings!G165)</f>
        <v/>
      </c>
      <c r="E958" s="41" t="str">
        <f>IF(Agent05_Savings!A165="","",Agent05_Savings!D165)</f>
        <v/>
      </c>
      <c r="F958" s="42" t="str">
        <f>IF(Agent05_Savings!A165="","",Agent05_Savings!E165)</f>
        <v/>
      </c>
      <c r="G958" s="42" t="str">
        <f>IF(Agent05_Savings!A165="","",Agent05_Savings!F165)</f>
        <v/>
      </c>
      <c r="H958" s="40" t="str">
        <f>IF(Agent05_Savings!A165="","",Agent05_Savings!I165)</f>
        <v/>
      </c>
      <c r="I958" s="40" t="str">
        <f>IF(Agent05_Savings!A165="","",Agent05_Savings!J165)</f>
        <v/>
      </c>
      <c r="J958" s="40" t="str">
        <f>IF(Agent05_Savings!A165="","",Agent05_Savings!K165)</f>
        <v/>
      </c>
      <c r="K958" s="40" t="str">
        <f>IFERROR(IF(Agent05_Savings!A165="","",YEAR(Agent05_Savings!D165)),"")</f>
        <v/>
      </c>
    </row>
    <row r="959" spans="1:11" ht="18" customHeight="1" x14ac:dyDescent="0.25">
      <c r="A959" s="40" t="str">
        <f>IF(Agent05_Savings!A166="","",Agent05_Savings!A166)</f>
        <v/>
      </c>
      <c r="B959" s="40" t="str">
        <f ca="1">IF(Agent05_Savings!A166="","","SV"&amp;TEXT(959-3,"0000")&amp;"-"&amp;TEXT(TODAY(),"YYYYMMDD"))</f>
        <v/>
      </c>
      <c r="C959" s="40" t="str">
        <f>IF(Agent05_Savings!A166="","",Agent05_Savings!B166)</f>
        <v/>
      </c>
      <c r="D959" s="40" t="str">
        <f>IF(Agent05_Savings!A166="","",Agent05_Savings!G166)</f>
        <v/>
      </c>
      <c r="E959" s="41" t="str">
        <f>IF(Agent05_Savings!A166="","",Agent05_Savings!D166)</f>
        <v/>
      </c>
      <c r="F959" s="42" t="str">
        <f>IF(Agent05_Savings!A166="","",Agent05_Savings!E166)</f>
        <v/>
      </c>
      <c r="G959" s="42" t="str">
        <f>IF(Agent05_Savings!A166="","",Agent05_Savings!F166)</f>
        <v/>
      </c>
      <c r="H959" s="40" t="str">
        <f>IF(Agent05_Savings!A166="","",Agent05_Savings!I166)</f>
        <v/>
      </c>
      <c r="I959" s="40" t="str">
        <f>IF(Agent05_Savings!A166="","",Agent05_Savings!J166)</f>
        <v/>
      </c>
      <c r="J959" s="40" t="str">
        <f>IF(Agent05_Savings!A166="","",Agent05_Savings!K166)</f>
        <v/>
      </c>
      <c r="K959" s="40" t="str">
        <f>IFERROR(IF(Agent05_Savings!A166="","",YEAR(Agent05_Savings!D166)),"")</f>
        <v/>
      </c>
    </row>
    <row r="960" spans="1:11" ht="18" customHeight="1" x14ac:dyDescent="0.25">
      <c r="A960" s="40" t="str">
        <f>IF(Agent05_Savings!A167="","",Agent05_Savings!A167)</f>
        <v/>
      </c>
      <c r="B960" s="40" t="str">
        <f ca="1">IF(Agent05_Savings!A167="","","SV"&amp;TEXT(960-3,"0000")&amp;"-"&amp;TEXT(TODAY(),"YYYYMMDD"))</f>
        <v/>
      </c>
      <c r="C960" s="40" t="str">
        <f>IF(Agent05_Savings!A167="","",Agent05_Savings!B167)</f>
        <v/>
      </c>
      <c r="D960" s="40" t="str">
        <f>IF(Agent05_Savings!A167="","",Agent05_Savings!G167)</f>
        <v/>
      </c>
      <c r="E960" s="41" t="str">
        <f>IF(Agent05_Savings!A167="","",Agent05_Savings!D167)</f>
        <v/>
      </c>
      <c r="F960" s="42" t="str">
        <f>IF(Agent05_Savings!A167="","",Agent05_Savings!E167)</f>
        <v/>
      </c>
      <c r="G960" s="42" t="str">
        <f>IF(Agent05_Savings!A167="","",Agent05_Savings!F167)</f>
        <v/>
      </c>
      <c r="H960" s="40" t="str">
        <f>IF(Agent05_Savings!A167="","",Agent05_Savings!I167)</f>
        <v/>
      </c>
      <c r="I960" s="40" t="str">
        <f>IF(Agent05_Savings!A167="","",Agent05_Savings!J167)</f>
        <v/>
      </c>
      <c r="J960" s="40" t="str">
        <f>IF(Agent05_Savings!A167="","",Agent05_Savings!K167)</f>
        <v/>
      </c>
      <c r="K960" s="40" t="str">
        <f>IFERROR(IF(Agent05_Savings!A167="","",YEAR(Agent05_Savings!D167)),"")</f>
        <v/>
      </c>
    </row>
    <row r="961" spans="1:11" ht="18" customHeight="1" x14ac:dyDescent="0.25">
      <c r="A961" s="40" t="str">
        <f>IF(Agent05_Savings!A168="","",Agent05_Savings!A168)</f>
        <v/>
      </c>
      <c r="B961" s="40" t="str">
        <f ca="1">IF(Agent05_Savings!A168="","","SV"&amp;TEXT(961-3,"0000")&amp;"-"&amp;TEXT(TODAY(),"YYYYMMDD"))</f>
        <v/>
      </c>
      <c r="C961" s="40" t="str">
        <f>IF(Agent05_Savings!A168="","",Agent05_Savings!B168)</f>
        <v/>
      </c>
      <c r="D961" s="40" t="str">
        <f>IF(Agent05_Savings!A168="","",Agent05_Savings!G168)</f>
        <v/>
      </c>
      <c r="E961" s="41" t="str">
        <f>IF(Agent05_Savings!A168="","",Agent05_Savings!D168)</f>
        <v/>
      </c>
      <c r="F961" s="42" t="str">
        <f>IF(Agent05_Savings!A168="","",Agent05_Savings!E168)</f>
        <v/>
      </c>
      <c r="G961" s="42" t="str">
        <f>IF(Agent05_Savings!A168="","",Agent05_Savings!F168)</f>
        <v/>
      </c>
      <c r="H961" s="40" t="str">
        <f>IF(Agent05_Savings!A168="","",Agent05_Savings!I168)</f>
        <v/>
      </c>
      <c r="I961" s="40" t="str">
        <f>IF(Agent05_Savings!A168="","",Agent05_Savings!J168)</f>
        <v/>
      </c>
      <c r="J961" s="40" t="str">
        <f>IF(Agent05_Savings!A168="","",Agent05_Savings!K168)</f>
        <v/>
      </c>
      <c r="K961" s="40" t="str">
        <f>IFERROR(IF(Agent05_Savings!A168="","",YEAR(Agent05_Savings!D168)),"")</f>
        <v/>
      </c>
    </row>
    <row r="962" spans="1:11" ht="18" customHeight="1" x14ac:dyDescent="0.25">
      <c r="A962" s="40" t="str">
        <f>IF(Agent05_Savings!A169="","",Agent05_Savings!A169)</f>
        <v/>
      </c>
      <c r="B962" s="40" t="str">
        <f ca="1">IF(Agent05_Savings!A169="","","SV"&amp;TEXT(962-3,"0000")&amp;"-"&amp;TEXT(TODAY(),"YYYYMMDD"))</f>
        <v/>
      </c>
      <c r="C962" s="40" t="str">
        <f>IF(Agent05_Savings!A169="","",Agent05_Savings!B169)</f>
        <v/>
      </c>
      <c r="D962" s="40" t="str">
        <f>IF(Agent05_Savings!A169="","",Agent05_Savings!G169)</f>
        <v/>
      </c>
      <c r="E962" s="41" t="str">
        <f>IF(Agent05_Savings!A169="","",Agent05_Savings!D169)</f>
        <v/>
      </c>
      <c r="F962" s="42" t="str">
        <f>IF(Agent05_Savings!A169="","",Agent05_Savings!E169)</f>
        <v/>
      </c>
      <c r="G962" s="42" t="str">
        <f>IF(Agent05_Savings!A169="","",Agent05_Savings!F169)</f>
        <v/>
      </c>
      <c r="H962" s="40" t="str">
        <f>IF(Agent05_Savings!A169="","",Agent05_Savings!I169)</f>
        <v/>
      </c>
      <c r="I962" s="40" t="str">
        <f>IF(Agent05_Savings!A169="","",Agent05_Savings!J169)</f>
        <v/>
      </c>
      <c r="J962" s="40" t="str">
        <f>IF(Agent05_Savings!A169="","",Agent05_Savings!K169)</f>
        <v/>
      </c>
      <c r="K962" s="40" t="str">
        <f>IFERROR(IF(Agent05_Savings!A169="","",YEAR(Agent05_Savings!D169)),"")</f>
        <v/>
      </c>
    </row>
    <row r="963" spans="1:11" ht="18" customHeight="1" x14ac:dyDescent="0.25">
      <c r="A963" s="40" t="str">
        <f>IF(Agent05_Savings!A170="","",Agent05_Savings!A170)</f>
        <v/>
      </c>
      <c r="B963" s="40" t="str">
        <f ca="1">IF(Agent05_Savings!A170="","","SV"&amp;TEXT(963-3,"0000")&amp;"-"&amp;TEXT(TODAY(),"YYYYMMDD"))</f>
        <v/>
      </c>
      <c r="C963" s="40" t="str">
        <f>IF(Agent05_Savings!A170="","",Agent05_Savings!B170)</f>
        <v/>
      </c>
      <c r="D963" s="40" t="str">
        <f>IF(Agent05_Savings!A170="","",Agent05_Savings!G170)</f>
        <v/>
      </c>
      <c r="E963" s="41" t="str">
        <f>IF(Agent05_Savings!A170="","",Agent05_Savings!D170)</f>
        <v/>
      </c>
      <c r="F963" s="42" t="str">
        <f>IF(Agent05_Savings!A170="","",Agent05_Savings!E170)</f>
        <v/>
      </c>
      <c r="G963" s="42" t="str">
        <f>IF(Agent05_Savings!A170="","",Agent05_Savings!F170)</f>
        <v/>
      </c>
      <c r="H963" s="40" t="str">
        <f>IF(Agent05_Savings!A170="","",Agent05_Savings!I170)</f>
        <v/>
      </c>
      <c r="I963" s="40" t="str">
        <f>IF(Agent05_Savings!A170="","",Agent05_Savings!J170)</f>
        <v/>
      </c>
      <c r="J963" s="40" t="str">
        <f>IF(Agent05_Savings!A170="","",Agent05_Savings!K170)</f>
        <v/>
      </c>
      <c r="K963" s="40" t="str">
        <f>IFERROR(IF(Agent05_Savings!A170="","",YEAR(Agent05_Savings!D170)),"")</f>
        <v/>
      </c>
    </row>
    <row r="964" spans="1:11" ht="18" customHeight="1" x14ac:dyDescent="0.25">
      <c r="A964" s="40" t="str">
        <f>IF(Agent05_Savings!A171="","",Agent05_Savings!A171)</f>
        <v/>
      </c>
      <c r="B964" s="40" t="str">
        <f ca="1">IF(Agent05_Savings!A171="","","SV"&amp;TEXT(964-3,"0000")&amp;"-"&amp;TEXT(TODAY(),"YYYYMMDD"))</f>
        <v/>
      </c>
      <c r="C964" s="40" t="str">
        <f>IF(Agent05_Savings!A171="","",Agent05_Savings!B171)</f>
        <v/>
      </c>
      <c r="D964" s="40" t="str">
        <f>IF(Agent05_Savings!A171="","",Agent05_Savings!G171)</f>
        <v/>
      </c>
      <c r="E964" s="41" t="str">
        <f>IF(Agent05_Savings!A171="","",Agent05_Savings!D171)</f>
        <v/>
      </c>
      <c r="F964" s="42" t="str">
        <f>IF(Agent05_Savings!A171="","",Agent05_Savings!E171)</f>
        <v/>
      </c>
      <c r="G964" s="42" t="str">
        <f>IF(Agent05_Savings!A171="","",Agent05_Savings!F171)</f>
        <v/>
      </c>
      <c r="H964" s="40" t="str">
        <f>IF(Agent05_Savings!A171="","",Agent05_Savings!I171)</f>
        <v/>
      </c>
      <c r="I964" s="40" t="str">
        <f>IF(Agent05_Savings!A171="","",Agent05_Savings!J171)</f>
        <v/>
      </c>
      <c r="J964" s="40" t="str">
        <f>IF(Agent05_Savings!A171="","",Agent05_Savings!K171)</f>
        <v/>
      </c>
      <c r="K964" s="40" t="str">
        <f>IFERROR(IF(Agent05_Savings!A171="","",YEAR(Agent05_Savings!D171)),"")</f>
        <v/>
      </c>
    </row>
    <row r="965" spans="1:11" ht="18" customHeight="1" x14ac:dyDescent="0.25">
      <c r="A965" s="40" t="str">
        <f>IF(Agent05_Savings!A172="","",Agent05_Savings!A172)</f>
        <v/>
      </c>
      <c r="B965" s="40" t="str">
        <f ca="1">IF(Agent05_Savings!A172="","","SV"&amp;TEXT(965-3,"0000")&amp;"-"&amp;TEXT(TODAY(),"YYYYMMDD"))</f>
        <v/>
      </c>
      <c r="C965" s="40" t="str">
        <f>IF(Agent05_Savings!A172="","",Agent05_Savings!B172)</f>
        <v/>
      </c>
      <c r="D965" s="40" t="str">
        <f>IF(Agent05_Savings!A172="","",Agent05_Savings!G172)</f>
        <v/>
      </c>
      <c r="E965" s="41" t="str">
        <f>IF(Agent05_Savings!A172="","",Agent05_Savings!D172)</f>
        <v/>
      </c>
      <c r="F965" s="42" t="str">
        <f>IF(Agent05_Savings!A172="","",Agent05_Savings!E172)</f>
        <v/>
      </c>
      <c r="G965" s="42" t="str">
        <f>IF(Agent05_Savings!A172="","",Agent05_Savings!F172)</f>
        <v/>
      </c>
      <c r="H965" s="40" t="str">
        <f>IF(Agent05_Savings!A172="","",Agent05_Savings!I172)</f>
        <v/>
      </c>
      <c r="I965" s="40" t="str">
        <f>IF(Agent05_Savings!A172="","",Agent05_Savings!J172)</f>
        <v/>
      </c>
      <c r="J965" s="40" t="str">
        <f>IF(Agent05_Savings!A172="","",Agent05_Savings!K172)</f>
        <v/>
      </c>
      <c r="K965" s="40" t="str">
        <f>IFERROR(IF(Agent05_Savings!A172="","",YEAR(Agent05_Savings!D172)),"")</f>
        <v/>
      </c>
    </row>
    <row r="966" spans="1:11" ht="18" customHeight="1" x14ac:dyDescent="0.25">
      <c r="A966" s="40" t="str">
        <f>IF(Agent05_Savings!A173="","",Agent05_Savings!A173)</f>
        <v/>
      </c>
      <c r="B966" s="40" t="str">
        <f ca="1">IF(Agent05_Savings!A173="","","SV"&amp;TEXT(966-3,"0000")&amp;"-"&amp;TEXT(TODAY(),"YYYYMMDD"))</f>
        <v/>
      </c>
      <c r="C966" s="40" t="str">
        <f>IF(Agent05_Savings!A173="","",Agent05_Savings!B173)</f>
        <v/>
      </c>
      <c r="D966" s="40" t="str">
        <f>IF(Agent05_Savings!A173="","",Agent05_Savings!G173)</f>
        <v/>
      </c>
      <c r="E966" s="41" t="str">
        <f>IF(Agent05_Savings!A173="","",Agent05_Savings!D173)</f>
        <v/>
      </c>
      <c r="F966" s="42" t="str">
        <f>IF(Agent05_Savings!A173="","",Agent05_Savings!E173)</f>
        <v/>
      </c>
      <c r="G966" s="42" t="str">
        <f>IF(Agent05_Savings!A173="","",Agent05_Savings!F173)</f>
        <v/>
      </c>
      <c r="H966" s="40" t="str">
        <f>IF(Agent05_Savings!A173="","",Agent05_Savings!I173)</f>
        <v/>
      </c>
      <c r="I966" s="40" t="str">
        <f>IF(Agent05_Savings!A173="","",Agent05_Savings!J173)</f>
        <v/>
      </c>
      <c r="J966" s="40" t="str">
        <f>IF(Agent05_Savings!A173="","",Agent05_Savings!K173)</f>
        <v/>
      </c>
      <c r="K966" s="40" t="str">
        <f>IFERROR(IF(Agent05_Savings!A173="","",YEAR(Agent05_Savings!D173)),"")</f>
        <v/>
      </c>
    </row>
    <row r="967" spans="1:11" ht="18" customHeight="1" x14ac:dyDescent="0.25">
      <c r="A967" s="40" t="str">
        <f>IF(Agent05_Savings!A174="","",Agent05_Savings!A174)</f>
        <v/>
      </c>
      <c r="B967" s="40" t="str">
        <f ca="1">IF(Agent05_Savings!A174="","","SV"&amp;TEXT(967-3,"0000")&amp;"-"&amp;TEXT(TODAY(),"YYYYMMDD"))</f>
        <v/>
      </c>
      <c r="C967" s="40" t="str">
        <f>IF(Agent05_Savings!A174="","",Agent05_Savings!B174)</f>
        <v/>
      </c>
      <c r="D967" s="40" t="str">
        <f>IF(Agent05_Savings!A174="","",Agent05_Savings!G174)</f>
        <v/>
      </c>
      <c r="E967" s="41" t="str">
        <f>IF(Agent05_Savings!A174="","",Agent05_Savings!D174)</f>
        <v/>
      </c>
      <c r="F967" s="42" t="str">
        <f>IF(Agent05_Savings!A174="","",Agent05_Savings!E174)</f>
        <v/>
      </c>
      <c r="G967" s="42" t="str">
        <f>IF(Agent05_Savings!A174="","",Agent05_Savings!F174)</f>
        <v/>
      </c>
      <c r="H967" s="40" t="str">
        <f>IF(Agent05_Savings!A174="","",Agent05_Savings!I174)</f>
        <v/>
      </c>
      <c r="I967" s="40" t="str">
        <f>IF(Agent05_Savings!A174="","",Agent05_Savings!J174)</f>
        <v/>
      </c>
      <c r="J967" s="40" t="str">
        <f>IF(Agent05_Savings!A174="","",Agent05_Savings!K174)</f>
        <v/>
      </c>
      <c r="K967" s="40" t="str">
        <f>IFERROR(IF(Agent05_Savings!A174="","",YEAR(Agent05_Savings!D174)),"")</f>
        <v/>
      </c>
    </row>
    <row r="968" spans="1:11" ht="18" customHeight="1" x14ac:dyDescent="0.25">
      <c r="A968" s="40" t="str">
        <f>IF(Agent05_Savings!A175="","",Agent05_Savings!A175)</f>
        <v/>
      </c>
      <c r="B968" s="40" t="str">
        <f ca="1">IF(Agent05_Savings!A175="","","SV"&amp;TEXT(968-3,"0000")&amp;"-"&amp;TEXT(TODAY(),"YYYYMMDD"))</f>
        <v/>
      </c>
      <c r="C968" s="40" t="str">
        <f>IF(Agent05_Savings!A175="","",Agent05_Savings!B175)</f>
        <v/>
      </c>
      <c r="D968" s="40" t="str">
        <f>IF(Agent05_Savings!A175="","",Agent05_Savings!G175)</f>
        <v/>
      </c>
      <c r="E968" s="41" t="str">
        <f>IF(Agent05_Savings!A175="","",Agent05_Savings!D175)</f>
        <v/>
      </c>
      <c r="F968" s="42" t="str">
        <f>IF(Agent05_Savings!A175="","",Agent05_Savings!E175)</f>
        <v/>
      </c>
      <c r="G968" s="42" t="str">
        <f>IF(Agent05_Savings!A175="","",Agent05_Savings!F175)</f>
        <v/>
      </c>
      <c r="H968" s="40" t="str">
        <f>IF(Agent05_Savings!A175="","",Agent05_Savings!I175)</f>
        <v/>
      </c>
      <c r="I968" s="40" t="str">
        <f>IF(Agent05_Savings!A175="","",Agent05_Savings!J175)</f>
        <v/>
      </c>
      <c r="J968" s="40" t="str">
        <f>IF(Agent05_Savings!A175="","",Agent05_Savings!K175)</f>
        <v/>
      </c>
      <c r="K968" s="40" t="str">
        <f>IFERROR(IF(Agent05_Savings!A175="","",YEAR(Agent05_Savings!D175)),"")</f>
        <v/>
      </c>
    </row>
    <row r="969" spans="1:11" ht="18" customHeight="1" x14ac:dyDescent="0.25">
      <c r="A969" s="40" t="str">
        <f>IF(Agent05_Savings!A176="","",Agent05_Savings!A176)</f>
        <v/>
      </c>
      <c r="B969" s="40" t="str">
        <f ca="1">IF(Agent05_Savings!A176="","","SV"&amp;TEXT(969-3,"0000")&amp;"-"&amp;TEXT(TODAY(),"YYYYMMDD"))</f>
        <v/>
      </c>
      <c r="C969" s="40" t="str">
        <f>IF(Agent05_Savings!A176="","",Agent05_Savings!B176)</f>
        <v/>
      </c>
      <c r="D969" s="40" t="str">
        <f>IF(Agent05_Savings!A176="","",Agent05_Savings!G176)</f>
        <v/>
      </c>
      <c r="E969" s="41" t="str">
        <f>IF(Agent05_Savings!A176="","",Agent05_Savings!D176)</f>
        <v/>
      </c>
      <c r="F969" s="42" t="str">
        <f>IF(Agent05_Savings!A176="","",Agent05_Savings!E176)</f>
        <v/>
      </c>
      <c r="G969" s="42" t="str">
        <f>IF(Agent05_Savings!A176="","",Agent05_Savings!F176)</f>
        <v/>
      </c>
      <c r="H969" s="40" t="str">
        <f>IF(Agent05_Savings!A176="","",Agent05_Savings!I176)</f>
        <v/>
      </c>
      <c r="I969" s="40" t="str">
        <f>IF(Agent05_Savings!A176="","",Agent05_Savings!J176)</f>
        <v/>
      </c>
      <c r="J969" s="40" t="str">
        <f>IF(Agent05_Savings!A176="","",Agent05_Savings!K176)</f>
        <v/>
      </c>
      <c r="K969" s="40" t="str">
        <f>IFERROR(IF(Agent05_Savings!A176="","",YEAR(Agent05_Savings!D176)),"")</f>
        <v/>
      </c>
    </row>
    <row r="970" spans="1:11" ht="18" customHeight="1" x14ac:dyDescent="0.25">
      <c r="A970" s="40" t="str">
        <f>IF(Agent05_Savings!A177="","",Agent05_Savings!A177)</f>
        <v/>
      </c>
      <c r="B970" s="40" t="str">
        <f ca="1">IF(Agent05_Savings!A177="","","SV"&amp;TEXT(970-3,"0000")&amp;"-"&amp;TEXT(TODAY(),"YYYYMMDD"))</f>
        <v/>
      </c>
      <c r="C970" s="40" t="str">
        <f>IF(Agent05_Savings!A177="","",Agent05_Savings!B177)</f>
        <v/>
      </c>
      <c r="D970" s="40" t="str">
        <f>IF(Agent05_Savings!A177="","",Agent05_Savings!G177)</f>
        <v/>
      </c>
      <c r="E970" s="41" t="str">
        <f>IF(Agent05_Savings!A177="","",Agent05_Savings!D177)</f>
        <v/>
      </c>
      <c r="F970" s="42" t="str">
        <f>IF(Agent05_Savings!A177="","",Agent05_Savings!E177)</f>
        <v/>
      </c>
      <c r="G970" s="42" t="str">
        <f>IF(Agent05_Savings!A177="","",Agent05_Savings!F177)</f>
        <v/>
      </c>
      <c r="H970" s="40" t="str">
        <f>IF(Agent05_Savings!A177="","",Agent05_Savings!I177)</f>
        <v/>
      </c>
      <c r="I970" s="40" t="str">
        <f>IF(Agent05_Savings!A177="","",Agent05_Savings!J177)</f>
        <v/>
      </c>
      <c r="J970" s="40" t="str">
        <f>IF(Agent05_Savings!A177="","",Agent05_Savings!K177)</f>
        <v/>
      </c>
      <c r="K970" s="40" t="str">
        <f>IFERROR(IF(Agent05_Savings!A177="","",YEAR(Agent05_Savings!D177)),"")</f>
        <v/>
      </c>
    </row>
    <row r="971" spans="1:11" ht="18" customHeight="1" x14ac:dyDescent="0.25">
      <c r="A971" s="40" t="str">
        <f>IF(Agent05_Savings!A178="","",Agent05_Savings!A178)</f>
        <v/>
      </c>
      <c r="B971" s="40" t="str">
        <f ca="1">IF(Agent05_Savings!A178="","","SV"&amp;TEXT(971-3,"0000")&amp;"-"&amp;TEXT(TODAY(),"YYYYMMDD"))</f>
        <v/>
      </c>
      <c r="C971" s="40" t="str">
        <f>IF(Agent05_Savings!A178="","",Agent05_Savings!B178)</f>
        <v/>
      </c>
      <c r="D971" s="40" t="str">
        <f>IF(Agent05_Savings!A178="","",Agent05_Savings!G178)</f>
        <v/>
      </c>
      <c r="E971" s="41" t="str">
        <f>IF(Agent05_Savings!A178="","",Agent05_Savings!D178)</f>
        <v/>
      </c>
      <c r="F971" s="42" t="str">
        <f>IF(Agent05_Savings!A178="","",Agent05_Savings!E178)</f>
        <v/>
      </c>
      <c r="G971" s="42" t="str">
        <f>IF(Agent05_Savings!A178="","",Agent05_Savings!F178)</f>
        <v/>
      </c>
      <c r="H971" s="40" t="str">
        <f>IF(Agent05_Savings!A178="","",Agent05_Savings!I178)</f>
        <v/>
      </c>
      <c r="I971" s="40" t="str">
        <f>IF(Agent05_Savings!A178="","",Agent05_Savings!J178)</f>
        <v/>
      </c>
      <c r="J971" s="40" t="str">
        <f>IF(Agent05_Savings!A178="","",Agent05_Savings!K178)</f>
        <v/>
      </c>
      <c r="K971" s="40" t="str">
        <f>IFERROR(IF(Agent05_Savings!A178="","",YEAR(Agent05_Savings!D178)),"")</f>
        <v/>
      </c>
    </row>
    <row r="972" spans="1:11" ht="18" customHeight="1" x14ac:dyDescent="0.25">
      <c r="A972" s="40" t="str">
        <f>IF(Agent05_Savings!A179="","",Agent05_Savings!A179)</f>
        <v/>
      </c>
      <c r="B972" s="40" t="str">
        <f ca="1">IF(Agent05_Savings!A179="","","SV"&amp;TEXT(972-3,"0000")&amp;"-"&amp;TEXT(TODAY(),"YYYYMMDD"))</f>
        <v/>
      </c>
      <c r="C972" s="40" t="str">
        <f>IF(Agent05_Savings!A179="","",Agent05_Savings!B179)</f>
        <v/>
      </c>
      <c r="D972" s="40" t="str">
        <f>IF(Agent05_Savings!A179="","",Agent05_Savings!G179)</f>
        <v/>
      </c>
      <c r="E972" s="41" t="str">
        <f>IF(Agent05_Savings!A179="","",Agent05_Savings!D179)</f>
        <v/>
      </c>
      <c r="F972" s="42" t="str">
        <f>IF(Agent05_Savings!A179="","",Agent05_Savings!E179)</f>
        <v/>
      </c>
      <c r="G972" s="42" t="str">
        <f>IF(Agent05_Savings!A179="","",Agent05_Savings!F179)</f>
        <v/>
      </c>
      <c r="H972" s="40" t="str">
        <f>IF(Agent05_Savings!A179="","",Agent05_Savings!I179)</f>
        <v/>
      </c>
      <c r="I972" s="40" t="str">
        <f>IF(Agent05_Savings!A179="","",Agent05_Savings!J179)</f>
        <v/>
      </c>
      <c r="J972" s="40" t="str">
        <f>IF(Agent05_Savings!A179="","",Agent05_Savings!K179)</f>
        <v/>
      </c>
      <c r="K972" s="40" t="str">
        <f>IFERROR(IF(Agent05_Savings!A179="","",YEAR(Agent05_Savings!D179)),"")</f>
        <v/>
      </c>
    </row>
    <row r="973" spans="1:11" ht="18" customHeight="1" x14ac:dyDescent="0.25">
      <c r="A973" s="40" t="str">
        <f>IF(Agent05_Savings!A180="","",Agent05_Savings!A180)</f>
        <v/>
      </c>
      <c r="B973" s="40" t="str">
        <f ca="1">IF(Agent05_Savings!A180="","","SV"&amp;TEXT(973-3,"0000")&amp;"-"&amp;TEXT(TODAY(),"YYYYMMDD"))</f>
        <v/>
      </c>
      <c r="C973" s="40" t="str">
        <f>IF(Agent05_Savings!A180="","",Agent05_Savings!B180)</f>
        <v/>
      </c>
      <c r="D973" s="40" t="str">
        <f>IF(Agent05_Savings!A180="","",Agent05_Savings!G180)</f>
        <v/>
      </c>
      <c r="E973" s="41" t="str">
        <f>IF(Agent05_Savings!A180="","",Agent05_Savings!D180)</f>
        <v/>
      </c>
      <c r="F973" s="42" t="str">
        <f>IF(Agent05_Savings!A180="","",Agent05_Savings!E180)</f>
        <v/>
      </c>
      <c r="G973" s="42" t="str">
        <f>IF(Agent05_Savings!A180="","",Agent05_Savings!F180)</f>
        <v/>
      </c>
      <c r="H973" s="40" t="str">
        <f>IF(Agent05_Savings!A180="","",Agent05_Savings!I180)</f>
        <v/>
      </c>
      <c r="I973" s="40" t="str">
        <f>IF(Agent05_Savings!A180="","",Agent05_Savings!J180)</f>
        <v/>
      </c>
      <c r="J973" s="40" t="str">
        <f>IF(Agent05_Savings!A180="","",Agent05_Savings!K180)</f>
        <v/>
      </c>
      <c r="K973" s="40" t="str">
        <f>IFERROR(IF(Agent05_Savings!A180="","",YEAR(Agent05_Savings!D180)),"")</f>
        <v/>
      </c>
    </row>
    <row r="974" spans="1:11" ht="18" customHeight="1" x14ac:dyDescent="0.25">
      <c r="A974" s="40" t="str">
        <f>IF(Agent05_Savings!A181="","",Agent05_Savings!A181)</f>
        <v/>
      </c>
      <c r="B974" s="40" t="str">
        <f ca="1">IF(Agent05_Savings!A181="","","SV"&amp;TEXT(974-3,"0000")&amp;"-"&amp;TEXT(TODAY(),"YYYYMMDD"))</f>
        <v/>
      </c>
      <c r="C974" s="40" t="str">
        <f>IF(Agent05_Savings!A181="","",Agent05_Savings!B181)</f>
        <v/>
      </c>
      <c r="D974" s="40" t="str">
        <f>IF(Agent05_Savings!A181="","",Agent05_Savings!G181)</f>
        <v/>
      </c>
      <c r="E974" s="41" t="str">
        <f>IF(Agent05_Savings!A181="","",Agent05_Savings!D181)</f>
        <v/>
      </c>
      <c r="F974" s="42" t="str">
        <f>IF(Agent05_Savings!A181="","",Agent05_Savings!E181)</f>
        <v/>
      </c>
      <c r="G974" s="42" t="str">
        <f>IF(Agent05_Savings!A181="","",Agent05_Savings!F181)</f>
        <v/>
      </c>
      <c r="H974" s="40" t="str">
        <f>IF(Agent05_Savings!A181="","",Agent05_Savings!I181)</f>
        <v/>
      </c>
      <c r="I974" s="40" t="str">
        <f>IF(Agent05_Savings!A181="","",Agent05_Savings!J181)</f>
        <v/>
      </c>
      <c r="J974" s="40" t="str">
        <f>IF(Agent05_Savings!A181="","",Agent05_Savings!K181)</f>
        <v/>
      </c>
      <c r="K974" s="40" t="str">
        <f>IFERROR(IF(Agent05_Savings!A181="","",YEAR(Agent05_Savings!D181)),"")</f>
        <v/>
      </c>
    </row>
    <row r="975" spans="1:11" ht="18" customHeight="1" x14ac:dyDescent="0.25">
      <c r="A975" s="40" t="str">
        <f>IF(Agent05_Savings!A182="","",Agent05_Savings!A182)</f>
        <v/>
      </c>
      <c r="B975" s="40" t="str">
        <f ca="1">IF(Agent05_Savings!A182="","","SV"&amp;TEXT(975-3,"0000")&amp;"-"&amp;TEXT(TODAY(),"YYYYMMDD"))</f>
        <v/>
      </c>
      <c r="C975" s="40" t="str">
        <f>IF(Agent05_Savings!A182="","",Agent05_Savings!B182)</f>
        <v/>
      </c>
      <c r="D975" s="40" t="str">
        <f>IF(Agent05_Savings!A182="","",Agent05_Savings!G182)</f>
        <v/>
      </c>
      <c r="E975" s="41" t="str">
        <f>IF(Agent05_Savings!A182="","",Agent05_Savings!D182)</f>
        <v/>
      </c>
      <c r="F975" s="42" t="str">
        <f>IF(Agent05_Savings!A182="","",Agent05_Savings!E182)</f>
        <v/>
      </c>
      <c r="G975" s="42" t="str">
        <f>IF(Agent05_Savings!A182="","",Agent05_Savings!F182)</f>
        <v/>
      </c>
      <c r="H975" s="40" t="str">
        <f>IF(Agent05_Savings!A182="","",Agent05_Savings!I182)</f>
        <v/>
      </c>
      <c r="I975" s="40" t="str">
        <f>IF(Agent05_Savings!A182="","",Agent05_Savings!J182)</f>
        <v/>
      </c>
      <c r="J975" s="40" t="str">
        <f>IF(Agent05_Savings!A182="","",Agent05_Savings!K182)</f>
        <v/>
      </c>
      <c r="K975" s="40" t="str">
        <f>IFERROR(IF(Agent05_Savings!A182="","",YEAR(Agent05_Savings!D182)),"")</f>
        <v/>
      </c>
    </row>
    <row r="976" spans="1:11" ht="18" customHeight="1" x14ac:dyDescent="0.25">
      <c r="A976" s="40" t="str">
        <f>IF(Agent05_Savings!A183="","",Agent05_Savings!A183)</f>
        <v/>
      </c>
      <c r="B976" s="40" t="str">
        <f ca="1">IF(Agent05_Savings!A183="","","SV"&amp;TEXT(976-3,"0000")&amp;"-"&amp;TEXT(TODAY(),"YYYYMMDD"))</f>
        <v/>
      </c>
      <c r="C976" s="40" t="str">
        <f>IF(Agent05_Savings!A183="","",Agent05_Savings!B183)</f>
        <v/>
      </c>
      <c r="D976" s="40" t="str">
        <f>IF(Agent05_Savings!A183="","",Agent05_Savings!G183)</f>
        <v/>
      </c>
      <c r="E976" s="41" t="str">
        <f>IF(Agent05_Savings!A183="","",Agent05_Savings!D183)</f>
        <v/>
      </c>
      <c r="F976" s="42" t="str">
        <f>IF(Agent05_Savings!A183="","",Agent05_Savings!E183)</f>
        <v/>
      </c>
      <c r="G976" s="42" t="str">
        <f>IF(Agent05_Savings!A183="","",Agent05_Savings!F183)</f>
        <v/>
      </c>
      <c r="H976" s="40" t="str">
        <f>IF(Agent05_Savings!A183="","",Agent05_Savings!I183)</f>
        <v/>
      </c>
      <c r="I976" s="40" t="str">
        <f>IF(Agent05_Savings!A183="","",Agent05_Savings!J183)</f>
        <v/>
      </c>
      <c r="J976" s="40" t="str">
        <f>IF(Agent05_Savings!A183="","",Agent05_Savings!K183)</f>
        <v/>
      </c>
      <c r="K976" s="40" t="str">
        <f>IFERROR(IF(Agent05_Savings!A183="","",YEAR(Agent05_Savings!D183)),"")</f>
        <v/>
      </c>
    </row>
    <row r="977" spans="1:11" ht="18" customHeight="1" x14ac:dyDescent="0.25">
      <c r="A977" s="40" t="str">
        <f>IF(Agent05_Savings!A184="","",Agent05_Savings!A184)</f>
        <v/>
      </c>
      <c r="B977" s="40" t="str">
        <f ca="1">IF(Agent05_Savings!A184="","","SV"&amp;TEXT(977-3,"0000")&amp;"-"&amp;TEXT(TODAY(),"YYYYMMDD"))</f>
        <v/>
      </c>
      <c r="C977" s="40" t="str">
        <f>IF(Agent05_Savings!A184="","",Agent05_Savings!B184)</f>
        <v/>
      </c>
      <c r="D977" s="40" t="str">
        <f>IF(Agent05_Savings!A184="","",Agent05_Savings!G184)</f>
        <v/>
      </c>
      <c r="E977" s="41" t="str">
        <f>IF(Agent05_Savings!A184="","",Agent05_Savings!D184)</f>
        <v/>
      </c>
      <c r="F977" s="42" t="str">
        <f>IF(Agent05_Savings!A184="","",Agent05_Savings!E184)</f>
        <v/>
      </c>
      <c r="G977" s="42" t="str">
        <f>IF(Agent05_Savings!A184="","",Agent05_Savings!F184)</f>
        <v/>
      </c>
      <c r="H977" s="40" t="str">
        <f>IF(Agent05_Savings!A184="","",Agent05_Savings!I184)</f>
        <v/>
      </c>
      <c r="I977" s="40" t="str">
        <f>IF(Agent05_Savings!A184="","",Agent05_Savings!J184)</f>
        <v/>
      </c>
      <c r="J977" s="40" t="str">
        <f>IF(Agent05_Savings!A184="","",Agent05_Savings!K184)</f>
        <v/>
      </c>
      <c r="K977" s="40" t="str">
        <f>IFERROR(IF(Agent05_Savings!A184="","",YEAR(Agent05_Savings!D184)),"")</f>
        <v/>
      </c>
    </row>
    <row r="978" spans="1:11" ht="18" customHeight="1" x14ac:dyDescent="0.25">
      <c r="A978" s="40" t="str">
        <f>IF(Agent05_Savings!A185="","",Agent05_Savings!A185)</f>
        <v/>
      </c>
      <c r="B978" s="40" t="str">
        <f ca="1">IF(Agent05_Savings!A185="","","SV"&amp;TEXT(978-3,"0000")&amp;"-"&amp;TEXT(TODAY(),"YYYYMMDD"))</f>
        <v/>
      </c>
      <c r="C978" s="40" t="str">
        <f>IF(Agent05_Savings!A185="","",Agent05_Savings!B185)</f>
        <v/>
      </c>
      <c r="D978" s="40" t="str">
        <f>IF(Agent05_Savings!A185="","",Agent05_Savings!G185)</f>
        <v/>
      </c>
      <c r="E978" s="41" t="str">
        <f>IF(Agent05_Savings!A185="","",Agent05_Savings!D185)</f>
        <v/>
      </c>
      <c r="F978" s="42" t="str">
        <f>IF(Agent05_Savings!A185="","",Agent05_Savings!E185)</f>
        <v/>
      </c>
      <c r="G978" s="42" t="str">
        <f>IF(Agent05_Savings!A185="","",Agent05_Savings!F185)</f>
        <v/>
      </c>
      <c r="H978" s="40" t="str">
        <f>IF(Agent05_Savings!A185="","",Agent05_Savings!I185)</f>
        <v/>
      </c>
      <c r="I978" s="40" t="str">
        <f>IF(Agent05_Savings!A185="","",Agent05_Savings!J185)</f>
        <v/>
      </c>
      <c r="J978" s="40" t="str">
        <f>IF(Agent05_Savings!A185="","",Agent05_Savings!K185)</f>
        <v/>
      </c>
      <c r="K978" s="40" t="str">
        <f>IFERROR(IF(Agent05_Savings!A185="","",YEAR(Agent05_Savings!D185)),"")</f>
        <v/>
      </c>
    </row>
    <row r="979" spans="1:11" ht="18" customHeight="1" x14ac:dyDescent="0.25">
      <c r="A979" s="40" t="str">
        <f>IF(Agent05_Savings!A186="","",Agent05_Savings!A186)</f>
        <v/>
      </c>
      <c r="B979" s="40" t="str">
        <f ca="1">IF(Agent05_Savings!A186="","","SV"&amp;TEXT(979-3,"0000")&amp;"-"&amp;TEXT(TODAY(),"YYYYMMDD"))</f>
        <v/>
      </c>
      <c r="C979" s="40" t="str">
        <f>IF(Agent05_Savings!A186="","",Agent05_Savings!B186)</f>
        <v/>
      </c>
      <c r="D979" s="40" t="str">
        <f>IF(Agent05_Savings!A186="","",Agent05_Savings!G186)</f>
        <v/>
      </c>
      <c r="E979" s="41" t="str">
        <f>IF(Agent05_Savings!A186="","",Agent05_Savings!D186)</f>
        <v/>
      </c>
      <c r="F979" s="42" t="str">
        <f>IF(Agent05_Savings!A186="","",Agent05_Savings!E186)</f>
        <v/>
      </c>
      <c r="G979" s="42" t="str">
        <f>IF(Agent05_Savings!A186="","",Agent05_Savings!F186)</f>
        <v/>
      </c>
      <c r="H979" s="40" t="str">
        <f>IF(Agent05_Savings!A186="","",Agent05_Savings!I186)</f>
        <v/>
      </c>
      <c r="I979" s="40" t="str">
        <f>IF(Agent05_Savings!A186="","",Agent05_Savings!J186)</f>
        <v/>
      </c>
      <c r="J979" s="40" t="str">
        <f>IF(Agent05_Savings!A186="","",Agent05_Savings!K186)</f>
        <v/>
      </c>
      <c r="K979" s="40" t="str">
        <f>IFERROR(IF(Agent05_Savings!A186="","",YEAR(Agent05_Savings!D186)),"")</f>
        <v/>
      </c>
    </row>
    <row r="980" spans="1:11" ht="18" customHeight="1" x14ac:dyDescent="0.25">
      <c r="A980" s="40" t="str">
        <f>IF(Agent05_Savings!A187="","",Agent05_Savings!A187)</f>
        <v/>
      </c>
      <c r="B980" s="40" t="str">
        <f ca="1">IF(Agent05_Savings!A187="","","SV"&amp;TEXT(980-3,"0000")&amp;"-"&amp;TEXT(TODAY(),"YYYYMMDD"))</f>
        <v/>
      </c>
      <c r="C980" s="40" t="str">
        <f>IF(Agent05_Savings!A187="","",Agent05_Savings!B187)</f>
        <v/>
      </c>
      <c r="D980" s="40" t="str">
        <f>IF(Agent05_Savings!A187="","",Agent05_Savings!G187)</f>
        <v/>
      </c>
      <c r="E980" s="41" t="str">
        <f>IF(Agent05_Savings!A187="","",Agent05_Savings!D187)</f>
        <v/>
      </c>
      <c r="F980" s="42" t="str">
        <f>IF(Agent05_Savings!A187="","",Agent05_Savings!E187)</f>
        <v/>
      </c>
      <c r="G980" s="42" t="str">
        <f>IF(Agent05_Savings!A187="","",Agent05_Savings!F187)</f>
        <v/>
      </c>
      <c r="H980" s="40" t="str">
        <f>IF(Agent05_Savings!A187="","",Agent05_Savings!I187)</f>
        <v/>
      </c>
      <c r="I980" s="40" t="str">
        <f>IF(Agent05_Savings!A187="","",Agent05_Savings!J187)</f>
        <v/>
      </c>
      <c r="J980" s="40" t="str">
        <f>IF(Agent05_Savings!A187="","",Agent05_Savings!K187)</f>
        <v/>
      </c>
      <c r="K980" s="40" t="str">
        <f>IFERROR(IF(Agent05_Savings!A187="","",YEAR(Agent05_Savings!D187)),"")</f>
        <v/>
      </c>
    </row>
    <row r="981" spans="1:11" ht="18" customHeight="1" x14ac:dyDescent="0.25">
      <c r="A981" s="40" t="str">
        <f>IF(Agent05_Savings!A188="","",Agent05_Savings!A188)</f>
        <v/>
      </c>
      <c r="B981" s="40" t="str">
        <f ca="1">IF(Agent05_Savings!A188="","","SV"&amp;TEXT(981-3,"0000")&amp;"-"&amp;TEXT(TODAY(),"YYYYMMDD"))</f>
        <v/>
      </c>
      <c r="C981" s="40" t="str">
        <f>IF(Agent05_Savings!A188="","",Agent05_Savings!B188)</f>
        <v/>
      </c>
      <c r="D981" s="40" t="str">
        <f>IF(Agent05_Savings!A188="","",Agent05_Savings!G188)</f>
        <v/>
      </c>
      <c r="E981" s="41" t="str">
        <f>IF(Agent05_Savings!A188="","",Agent05_Savings!D188)</f>
        <v/>
      </c>
      <c r="F981" s="42" t="str">
        <f>IF(Agent05_Savings!A188="","",Agent05_Savings!E188)</f>
        <v/>
      </c>
      <c r="G981" s="42" t="str">
        <f>IF(Agent05_Savings!A188="","",Agent05_Savings!F188)</f>
        <v/>
      </c>
      <c r="H981" s="40" t="str">
        <f>IF(Agent05_Savings!A188="","",Agent05_Savings!I188)</f>
        <v/>
      </c>
      <c r="I981" s="40" t="str">
        <f>IF(Agent05_Savings!A188="","",Agent05_Savings!J188)</f>
        <v/>
      </c>
      <c r="J981" s="40" t="str">
        <f>IF(Agent05_Savings!A188="","",Agent05_Savings!K188)</f>
        <v/>
      </c>
      <c r="K981" s="40" t="str">
        <f>IFERROR(IF(Agent05_Savings!A188="","",YEAR(Agent05_Savings!D188)),"")</f>
        <v/>
      </c>
    </row>
    <row r="982" spans="1:11" ht="18" customHeight="1" x14ac:dyDescent="0.25">
      <c r="A982" s="40" t="str">
        <f>IF(Agent05_Savings!A189="","",Agent05_Savings!A189)</f>
        <v/>
      </c>
      <c r="B982" s="40" t="str">
        <f ca="1">IF(Agent05_Savings!A189="","","SV"&amp;TEXT(982-3,"0000")&amp;"-"&amp;TEXT(TODAY(),"YYYYMMDD"))</f>
        <v/>
      </c>
      <c r="C982" s="40" t="str">
        <f>IF(Agent05_Savings!A189="","",Agent05_Savings!B189)</f>
        <v/>
      </c>
      <c r="D982" s="40" t="str">
        <f>IF(Agent05_Savings!A189="","",Agent05_Savings!G189)</f>
        <v/>
      </c>
      <c r="E982" s="41" t="str">
        <f>IF(Agent05_Savings!A189="","",Agent05_Savings!D189)</f>
        <v/>
      </c>
      <c r="F982" s="42" t="str">
        <f>IF(Agent05_Savings!A189="","",Agent05_Savings!E189)</f>
        <v/>
      </c>
      <c r="G982" s="42" t="str">
        <f>IF(Agent05_Savings!A189="","",Agent05_Savings!F189)</f>
        <v/>
      </c>
      <c r="H982" s="40" t="str">
        <f>IF(Agent05_Savings!A189="","",Agent05_Savings!I189)</f>
        <v/>
      </c>
      <c r="I982" s="40" t="str">
        <f>IF(Agent05_Savings!A189="","",Agent05_Savings!J189)</f>
        <v/>
      </c>
      <c r="J982" s="40" t="str">
        <f>IF(Agent05_Savings!A189="","",Agent05_Savings!K189)</f>
        <v/>
      </c>
      <c r="K982" s="40" t="str">
        <f>IFERROR(IF(Agent05_Savings!A189="","",YEAR(Agent05_Savings!D189)),"")</f>
        <v/>
      </c>
    </row>
    <row r="983" spans="1:11" ht="18" customHeight="1" x14ac:dyDescent="0.25">
      <c r="A983" s="40" t="str">
        <f>IF(Agent05_Savings!A190="","",Agent05_Savings!A190)</f>
        <v/>
      </c>
      <c r="B983" s="40" t="str">
        <f ca="1">IF(Agent05_Savings!A190="","","SV"&amp;TEXT(983-3,"0000")&amp;"-"&amp;TEXT(TODAY(),"YYYYMMDD"))</f>
        <v/>
      </c>
      <c r="C983" s="40" t="str">
        <f>IF(Agent05_Savings!A190="","",Agent05_Savings!B190)</f>
        <v/>
      </c>
      <c r="D983" s="40" t="str">
        <f>IF(Agent05_Savings!A190="","",Agent05_Savings!G190)</f>
        <v/>
      </c>
      <c r="E983" s="41" t="str">
        <f>IF(Agent05_Savings!A190="","",Agent05_Savings!D190)</f>
        <v/>
      </c>
      <c r="F983" s="42" t="str">
        <f>IF(Agent05_Savings!A190="","",Agent05_Savings!E190)</f>
        <v/>
      </c>
      <c r="G983" s="42" t="str">
        <f>IF(Agent05_Savings!A190="","",Agent05_Savings!F190)</f>
        <v/>
      </c>
      <c r="H983" s="40" t="str">
        <f>IF(Agent05_Savings!A190="","",Agent05_Savings!I190)</f>
        <v/>
      </c>
      <c r="I983" s="40" t="str">
        <f>IF(Agent05_Savings!A190="","",Agent05_Savings!J190)</f>
        <v/>
      </c>
      <c r="J983" s="40" t="str">
        <f>IF(Agent05_Savings!A190="","",Agent05_Savings!K190)</f>
        <v/>
      </c>
      <c r="K983" s="40" t="str">
        <f>IFERROR(IF(Agent05_Savings!A190="","",YEAR(Agent05_Savings!D190)),"")</f>
        <v/>
      </c>
    </row>
    <row r="984" spans="1:11" ht="18" customHeight="1" x14ac:dyDescent="0.25">
      <c r="A984" s="40" t="str">
        <f>IF(Agent05_Savings!A191="","",Agent05_Savings!A191)</f>
        <v/>
      </c>
      <c r="B984" s="40" t="str">
        <f ca="1">IF(Agent05_Savings!A191="","","SV"&amp;TEXT(984-3,"0000")&amp;"-"&amp;TEXT(TODAY(),"YYYYMMDD"))</f>
        <v/>
      </c>
      <c r="C984" s="40" t="str">
        <f>IF(Agent05_Savings!A191="","",Agent05_Savings!B191)</f>
        <v/>
      </c>
      <c r="D984" s="40" t="str">
        <f>IF(Agent05_Savings!A191="","",Agent05_Savings!G191)</f>
        <v/>
      </c>
      <c r="E984" s="41" t="str">
        <f>IF(Agent05_Savings!A191="","",Agent05_Savings!D191)</f>
        <v/>
      </c>
      <c r="F984" s="42" t="str">
        <f>IF(Agent05_Savings!A191="","",Agent05_Savings!E191)</f>
        <v/>
      </c>
      <c r="G984" s="42" t="str">
        <f>IF(Agent05_Savings!A191="","",Agent05_Savings!F191)</f>
        <v/>
      </c>
      <c r="H984" s="40" t="str">
        <f>IF(Agent05_Savings!A191="","",Agent05_Savings!I191)</f>
        <v/>
      </c>
      <c r="I984" s="40" t="str">
        <f>IF(Agent05_Savings!A191="","",Agent05_Savings!J191)</f>
        <v/>
      </c>
      <c r="J984" s="40" t="str">
        <f>IF(Agent05_Savings!A191="","",Agent05_Savings!K191)</f>
        <v/>
      </c>
      <c r="K984" s="40" t="str">
        <f>IFERROR(IF(Agent05_Savings!A191="","",YEAR(Agent05_Savings!D191)),"")</f>
        <v/>
      </c>
    </row>
    <row r="985" spans="1:11" ht="18" customHeight="1" x14ac:dyDescent="0.25">
      <c r="A985" s="40" t="str">
        <f>IF(Agent05_Savings!A192="","",Agent05_Savings!A192)</f>
        <v/>
      </c>
      <c r="B985" s="40" t="str">
        <f ca="1">IF(Agent05_Savings!A192="","","SV"&amp;TEXT(985-3,"0000")&amp;"-"&amp;TEXT(TODAY(),"YYYYMMDD"))</f>
        <v/>
      </c>
      <c r="C985" s="40" t="str">
        <f>IF(Agent05_Savings!A192="","",Agent05_Savings!B192)</f>
        <v/>
      </c>
      <c r="D985" s="40" t="str">
        <f>IF(Agent05_Savings!A192="","",Agent05_Savings!G192)</f>
        <v/>
      </c>
      <c r="E985" s="41" t="str">
        <f>IF(Agent05_Savings!A192="","",Agent05_Savings!D192)</f>
        <v/>
      </c>
      <c r="F985" s="42" t="str">
        <f>IF(Agent05_Savings!A192="","",Agent05_Savings!E192)</f>
        <v/>
      </c>
      <c r="G985" s="42" t="str">
        <f>IF(Agent05_Savings!A192="","",Agent05_Savings!F192)</f>
        <v/>
      </c>
      <c r="H985" s="40" t="str">
        <f>IF(Agent05_Savings!A192="","",Agent05_Savings!I192)</f>
        <v/>
      </c>
      <c r="I985" s="40" t="str">
        <f>IF(Agent05_Savings!A192="","",Agent05_Savings!J192)</f>
        <v/>
      </c>
      <c r="J985" s="40" t="str">
        <f>IF(Agent05_Savings!A192="","",Agent05_Savings!K192)</f>
        <v/>
      </c>
      <c r="K985" s="40" t="str">
        <f>IFERROR(IF(Agent05_Savings!A192="","",YEAR(Agent05_Savings!D192)),"")</f>
        <v/>
      </c>
    </row>
    <row r="986" spans="1:11" ht="18" customHeight="1" x14ac:dyDescent="0.25">
      <c r="A986" s="40" t="str">
        <f>IF(Agent05_Savings!A193="","",Agent05_Savings!A193)</f>
        <v/>
      </c>
      <c r="B986" s="40" t="str">
        <f ca="1">IF(Agent05_Savings!A193="","","SV"&amp;TEXT(986-3,"0000")&amp;"-"&amp;TEXT(TODAY(),"YYYYMMDD"))</f>
        <v/>
      </c>
      <c r="C986" s="40" t="str">
        <f>IF(Agent05_Savings!A193="","",Agent05_Savings!B193)</f>
        <v/>
      </c>
      <c r="D986" s="40" t="str">
        <f>IF(Agent05_Savings!A193="","",Agent05_Savings!G193)</f>
        <v/>
      </c>
      <c r="E986" s="41" t="str">
        <f>IF(Agent05_Savings!A193="","",Agent05_Savings!D193)</f>
        <v/>
      </c>
      <c r="F986" s="42" t="str">
        <f>IF(Agent05_Savings!A193="","",Agent05_Savings!E193)</f>
        <v/>
      </c>
      <c r="G986" s="42" t="str">
        <f>IF(Agent05_Savings!A193="","",Agent05_Savings!F193)</f>
        <v/>
      </c>
      <c r="H986" s="40" t="str">
        <f>IF(Agent05_Savings!A193="","",Agent05_Savings!I193)</f>
        <v/>
      </c>
      <c r="I986" s="40" t="str">
        <f>IF(Agent05_Savings!A193="","",Agent05_Savings!J193)</f>
        <v/>
      </c>
      <c r="J986" s="40" t="str">
        <f>IF(Agent05_Savings!A193="","",Agent05_Savings!K193)</f>
        <v/>
      </c>
      <c r="K986" s="40" t="str">
        <f>IFERROR(IF(Agent05_Savings!A193="","",YEAR(Agent05_Savings!D193)),"")</f>
        <v/>
      </c>
    </row>
    <row r="987" spans="1:11" ht="18" customHeight="1" x14ac:dyDescent="0.25">
      <c r="A987" s="40" t="str">
        <f>IF(Agent05_Savings!A194="","",Agent05_Savings!A194)</f>
        <v/>
      </c>
      <c r="B987" s="40" t="str">
        <f ca="1">IF(Agent05_Savings!A194="","","SV"&amp;TEXT(987-3,"0000")&amp;"-"&amp;TEXT(TODAY(),"YYYYMMDD"))</f>
        <v/>
      </c>
      <c r="C987" s="40" t="str">
        <f>IF(Agent05_Savings!A194="","",Agent05_Savings!B194)</f>
        <v/>
      </c>
      <c r="D987" s="40" t="str">
        <f>IF(Agent05_Savings!A194="","",Agent05_Savings!G194)</f>
        <v/>
      </c>
      <c r="E987" s="41" t="str">
        <f>IF(Agent05_Savings!A194="","",Agent05_Savings!D194)</f>
        <v/>
      </c>
      <c r="F987" s="42" t="str">
        <f>IF(Agent05_Savings!A194="","",Agent05_Savings!E194)</f>
        <v/>
      </c>
      <c r="G987" s="42" t="str">
        <f>IF(Agent05_Savings!A194="","",Agent05_Savings!F194)</f>
        <v/>
      </c>
      <c r="H987" s="40" t="str">
        <f>IF(Agent05_Savings!A194="","",Agent05_Savings!I194)</f>
        <v/>
      </c>
      <c r="I987" s="40" t="str">
        <f>IF(Agent05_Savings!A194="","",Agent05_Savings!J194)</f>
        <v/>
      </c>
      <c r="J987" s="40" t="str">
        <f>IF(Agent05_Savings!A194="","",Agent05_Savings!K194)</f>
        <v/>
      </c>
      <c r="K987" s="40" t="str">
        <f>IFERROR(IF(Agent05_Savings!A194="","",YEAR(Agent05_Savings!D194)),"")</f>
        <v/>
      </c>
    </row>
    <row r="988" spans="1:11" ht="18" customHeight="1" x14ac:dyDescent="0.25">
      <c r="A988" s="40" t="str">
        <f>IF(Agent05_Savings!A195="","",Agent05_Savings!A195)</f>
        <v/>
      </c>
      <c r="B988" s="40" t="str">
        <f ca="1">IF(Agent05_Savings!A195="","","SV"&amp;TEXT(988-3,"0000")&amp;"-"&amp;TEXT(TODAY(),"YYYYMMDD"))</f>
        <v/>
      </c>
      <c r="C988" s="40" t="str">
        <f>IF(Agent05_Savings!A195="","",Agent05_Savings!B195)</f>
        <v/>
      </c>
      <c r="D988" s="40" t="str">
        <f>IF(Agent05_Savings!A195="","",Agent05_Savings!G195)</f>
        <v/>
      </c>
      <c r="E988" s="41" t="str">
        <f>IF(Agent05_Savings!A195="","",Agent05_Savings!D195)</f>
        <v/>
      </c>
      <c r="F988" s="42" t="str">
        <f>IF(Agent05_Savings!A195="","",Agent05_Savings!E195)</f>
        <v/>
      </c>
      <c r="G988" s="42" t="str">
        <f>IF(Agent05_Savings!A195="","",Agent05_Savings!F195)</f>
        <v/>
      </c>
      <c r="H988" s="40" t="str">
        <f>IF(Agent05_Savings!A195="","",Agent05_Savings!I195)</f>
        <v/>
      </c>
      <c r="I988" s="40" t="str">
        <f>IF(Agent05_Savings!A195="","",Agent05_Savings!J195)</f>
        <v/>
      </c>
      <c r="J988" s="40" t="str">
        <f>IF(Agent05_Savings!A195="","",Agent05_Savings!K195)</f>
        <v/>
      </c>
      <c r="K988" s="40" t="str">
        <f>IFERROR(IF(Agent05_Savings!A195="","",YEAR(Agent05_Savings!D195)),"")</f>
        <v/>
      </c>
    </row>
    <row r="989" spans="1:11" ht="18" customHeight="1" x14ac:dyDescent="0.25">
      <c r="A989" s="40" t="str">
        <f>IF(Agent05_Savings!A196="","",Agent05_Savings!A196)</f>
        <v/>
      </c>
      <c r="B989" s="40" t="str">
        <f ca="1">IF(Agent05_Savings!A196="","","SV"&amp;TEXT(989-3,"0000")&amp;"-"&amp;TEXT(TODAY(),"YYYYMMDD"))</f>
        <v/>
      </c>
      <c r="C989" s="40" t="str">
        <f>IF(Agent05_Savings!A196="","",Agent05_Savings!B196)</f>
        <v/>
      </c>
      <c r="D989" s="40" t="str">
        <f>IF(Agent05_Savings!A196="","",Agent05_Savings!G196)</f>
        <v/>
      </c>
      <c r="E989" s="41" t="str">
        <f>IF(Agent05_Savings!A196="","",Agent05_Savings!D196)</f>
        <v/>
      </c>
      <c r="F989" s="42" t="str">
        <f>IF(Agent05_Savings!A196="","",Agent05_Savings!E196)</f>
        <v/>
      </c>
      <c r="G989" s="42" t="str">
        <f>IF(Agent05_Savings!A196="","",Agent05_Savings!F196)</f>
        <v/>
      </c>
      <c r="H989" s="40" t="str">
        <f>IF(Agent05_Savings!A196="","",Agent05_Savings!I196)</f>
        <v/>
      </c>
      <c r="I989" s="40" t="str">
        <f>IF(Agent05_Savings!A196="","",Agent05_Savings!J196)</f>
        <v/>
      </c>
      <c r="J989" s="40" t="str">
        <f>IF(Agent05_Savings!A196="","",Agent05_Savings!K196)</f>
        <v/>
      </c>
      <c r="K989" s="40" t="str">
        <f>IFERROR(IF(Agent05_Savings!A196="","",YEAR(Agent05_Savings!D196)),"")</f>
        <v/>
      </c>
    </row>
    <row r="990" spans="1:11" ht="18" customHeight="1" x14ac:dyDescent="0.25">
      <c r="A990" s="40" t="str">
        <f>IF(Agent05_Savings!A197="","",Agent05_Savings!A197)</f>
        <v/>
      </c>
      <c r="B990" s="40" t="str">
        <f ca="1">IF(Agent05_Savings!A197="","","SV"&amp;TEXT(990-3,"0000")&amp;"-"&amp;TEXT(TODAY(),"YYYYMMDD"))</f>
        <v/>
      </c>
      <c r="C990" s="40" t="str">
        <f>IF(Agent05_Savings!A197="","",Agent05_Savings!B197)</f>
        <v/>
      </c>
      <c r="D990" s="40" t="str">
        <f>IF(Agent05_Savings!A197="","",Agent05_Savings!G197)</f>
        <v/>
      </c>
      <c r="E990" s="41" t="str">
        <f>IF(Agent05_Savings!A197="","",Agent05_Savings!D197)</f>
        <v/>
      </c>
      <c r="F990" s="42" t="str">
        <f>IF(Agent05_Savings!A197="","",Agent05_Savings!E197)</f>
        <v/>
      </c>
      <c r="G990" s="42" t="str">
        <f>IF(Agent05_Savings!A197="","",Agent05_Savings!F197)</f>
        <v/>
      </c>
      <c r="H990" s="40" t="str">
        <f>IF(Agent05_Savings!A197="","",Agent05_Savings!I197)</f>
        <v/>
      </c>
      <c r="I990" s="40" t="str">
        <f>IF(Agent05_Savings!A197="","",Agent05_Savings!J197)</f>
        <v/>
      </c>
      <c r="J990" s="40" t="str">
        <f>IF(Agent05_Savings!A197="","",Agent05_Savings!K197)</f>
        <v/>
      </c>
      <c r="K990" s="40" t="str">
        <f>IFERROR(IF(Agent05_Savings!A197="","",YEAR(Agent05_Savings!D197)),"")</f>
        <v/>
      </c>
    </row>
    <row r="991" spans="1:11" ht="18" customHeight="1" x14ac:dyDescent="0.25">
      <c r="A991" s="40" t="str">
        <f>IF(Agent05_Savings!A198="","",Agent05_Savings!A198)</f>
        <v/>
      </c>
      <c r="B991" s="40" t="str">
        <f ca="1">IF(Agent05_Savings!A198="","","SV"&amp;TEXT(991-3,"0000")&amp;"-"&amp;TEXT(TODAY(),"YYYYMMDD"))</f>
        <v/>
      </c>
      <c r="C991" s="40" t="str">
        <f>IF(Agent05_Savings!A198="","",Agent05_Savings!B198)</f>
        <v/>
      </c>
      <c r="D991" s="40" t="str">
        <f>IF(Agent05_Savings!A198="","",Agent05_Savings!G198)</f>
        <v/>
      </c>
      <c r="E991" s="41" t="str">
        <f>IF(Agent05_Savings!A198="","",Agent05_Savings!D198)</f>
        <v/>
      </c>
      <c r="F991" s="42" t="str">
        <f>IF(Agent05_Savings!A198="","",Agent05_Savings!E198)</f>
        <v/>
      </c>
      <c r="G991" s="42" t="str">
        <f>IF(Agent05_Savings!A198="","",Agent05_Savings!F198)</f>
        <v/>
      </c>
      <c r="H991" s="40" t="str">
        <f>IF(Agent05_Savings!A198="","",Agent05_Savings!I198)</f>
        <v/>
      </c>
      <c r="I991" s="40" t="str">
        <f>IF(Agent05_Savings!A198="","",Agent05_Savings!J198)</f>
        <v/>
      </c>
      <c r="J991" s="40" t="str">
        <f>IF(Agent05_Savings!A198="","",Agent05_Savings!K198)</f>
        <v/>
      </c>
      <c r="K991" s="40" t="str">
        <f>IFERROR(IF(Agent05_Savings!A198="","",YEAR(Agent05_Savings!D198)),"")</f>
        <v/>
      </c>
    </row>
    <row r="992" spans="1:11" ht="18" customHeight="1" x14ac:dyDescent="0.25">
      <c r="A992" s="40" t="str">
        <f>IF(Agent05_Savings!A199="","",Agent05_Savings!A199)</f>
        <v/>
      </c>
      <c r="B992" s="40" t="str">
        <f ca="1">IF(Agent05_Savings!A199="","","SV"&amp;TEXT(992-3,"0000")&amp;"-"&amp;TEXT(TODAY(),"YYYYMMDD"))</f>
        <v/>
      </c>
      <c r="C992" s="40" t="str">
        <f>IF(Agent05_Savings!A199="","",Agent05_Savings!B199)</f>
        <v/>
      </c>
      <c r="D992" s="40" t="str">
        <f>IF(Agent05_Savings!A199="","",Agent05_Savings!G199)</f>
        <v/>
      </c>
      <c r="E992" s="41" t="str">
        <f>IF(Agent05_Savings!A199="","",Agent05_Savings!D199)</f>
        <v/>
      </c>
      <c r="F992" s="42" t="str">
        <f>IF(Agent05_Savings!A199="","",Agent05_Savings!E199)</f>
        <v/>
      </c>
      <c r="G992" s="42" t="str">
        <f>IF(Agent05_Savings!A199="","",Agent05_Savings!F199)</f>
        <v/>
      </c>
      <c r="H992" s="40" t="str">
        <f>IF(Agent05_Savings!A199="","",Agent05_Savings!I199)</f>
        <v/>
      </c>
      <c r="I992" s="40" t="str">
        <f>IF(Agent05_Savings!A199="","",Agent05_Savings!J199)</f>
        <v/>
      </c>
      <c r="J992" s="40" t="str">
        <f>IF(Agent05_Savings!A199="","",Agent05_Savings!K199)</f>
        <v/>
      </c>
      <c r="K992" s="40" t="str">
        <f>IFERROR(IF(Agent05_Savings!A199="","",YEAR(Agent05_Savings!D199)),"")</f>
        <v/>
      </c>
    </row>
    <row r="993" spans="1:11" ht="18" customHeight="1" x14ac:dyDescent="0.25">
      <c r="A993" s="40" t="str">
        <f>IF(Agent05_Savings!A200="","",Agent05_Savings!A200)</f>
        <v/>
      </c>
      <c r="B993" s="40" t="str">
        <f ca="1">IF(Agent05_Savings!A200="","","SV"&amp;TEXT(993-3,"0000")&amp;"-"&amp;TEXT(TODAY(),"YYYYMMDD"))</f>
        <v/>
      </c>
      <c r="C993" s="40" t="str">
        <f>IF(Agent05_Savings!A200="","",Agent05_Savings!B200)</f>
        <v/>
      </c>
      <c r="D993" s="40" t="str">
        <f>IF(Agent05_Savings!A200="","",Agent05_Savings!G200)</f>
        <v/>
      </c>
      <c r="E993" s="41" t="str">
        <f>IF(Agent05_Savings!A200="","",Agent05_Savings!D200)</f>
        <v/>
      </c>
      <c r="F993" s="42" t="str">
        <f>IF(Agent05_Savings!A200="","",Agent05_Savings!E200)</f>
        <v/>
      </c>
      <c r="G993" s="42" t="str">
        <f>IF(Agent05_Savings!A200="","",Agent05_Savings!F200)</f>
        <v/>
      </c>
      <c r="H993" s="40" t="str">
        <f>IF(Agent05_Savings!A200="","",Agent05_Savings!I200)</f>
        <v/>
      </c>
      <c r="I993" s="40" t="str">
        <f>IF(Agent05_Savings!A200="","",Agent05_Savings!J200)</f>
        <v/>
      </c>
      <c r="J993" s="40" t="str">
        <f>IF(Agent05_Savings!A200="","",Agent05_Savings!K200)</f>
        <v/>
      </c>
      <c r="K993" s="40" t="str">
        <f>IFERROR(IF(Agent05_Savings!A200="","",YEAR(Agent05_Savings!D200)),"")</f>
        <v/>
      </c>
    </row>
    <row r="994" spans="1:11" ht="18" customHeight="1" x14ac:dyDescent="0.25">
      <c r="A994" s="40" t="str">
        <f>IF(Agent05_Savings!A201="","",Agent05_Savings!A201)</f>
        <v/>
      </c>
      <c r="B994" s="40" t="str">
        <f ca="1">IF(Agent05_Savings!A201="","","SV"&amp;TEXT(994-3,"0000")&amp;"-"&amp;TEXT(TODAY(),"YYYYMMDD"))</f>
        <v/>
      </c>
      <c r="C994" s="40" t="str">
        <f>IF(Agent05_Savings!A201="","",Agent05_Savings!B201)</f>
        <v/>
      </c>
      <c r="D994" s="40" t="str">
        <f>IF(Agent05_Savings!A201="","",Agent05_Savings!G201)</f>
        <v/>
      </c>
      <c r="E994" s="41" t="str">
        <f>IF(Agent05_Savings!A201="","",Agent05_Savings!D201)</f>
        <v/>
      </c>
      <c r="F994" s="42" t="str">
        <f>IF(Agent05_Savings!A201="","",Agent05_Savings!E201)</f>
        <v/>
      </c>
      <c r="G994" s="42" t="str">
        <f>IF(Agent05_Savings!A201="","",Agent05_Savings!F201)</f>
        <v/>
      </c>
      <c r="H994" s="40" t="str">
        <f>IF(Agent05_Savings!A201="","",Agent05_Savings!I201)</f>
        <v/>
      </c>
      <c r="I994" s="40" t="str">
        <f>IF(Agent05_Savings!A201="","",Agent05_Savings!J201)</f>
        <v/>
      </c>
      <c r="J994" s="40" t="str">
        <f>IF(Agent05_Savings!A201="","",Agent05_Savings!K201)</f>
        <v/>
      </c>
      <c r="K994" s="40" t="str">
        <f>IFERROR(IF(Agent05_Savings!A201="","",YEAR(Agent05_Savings!D201)),"")</f>
        <v/>
      </c>
    </row>
    <row r="995" spans="1:11" ht="18" customHeight="1" x14ac:dyDescent="0.25">
      <c r="A995" s="40" t="str">
        <f>IF(Agent05_Savings!A202="","",Agent05_Savings!A202)</f>
        <v/>
      </c>
      <c r="B995" s="40" t="str">
        <f ca="1">IF(Agent05_Savings!A202="","","SV"&amp;TEXT(995-3,"0000")&amp;"-"&amp;TEXT(TODAY(),"YYYYMMDD"))</f>
        <v/>
      </c>
      <c r="C995" s="40" t="str">
        <f>IF(Agent05_Savings!A202="","",Agent05_Savings!B202)</f>
        <v/>
      </c>
      <c r="D995" s="40" t="str">
        <f>IF(Agent05_Savings!A202="","",Agent05_Savings!G202)</f>
        <v/>
      </c>
      <c r="E995" s="41" t="str">
        <f>IF(Agent05_Savings!A202="","",Agent05_Savings!D202)</f>
        <v/>
      </c>
      <c r="F995" s="42" t="str">
        <f>IF(Agent05_Savings!A202="","",Agent05_Savings!E202)</f>
        <v/>
      </c>
      <c r="G995" s="42" t="str">
        <f>IF(Agent05_Savings!A202="","",Agent05_Savings!F202)</f>
        <v/>
      </c>
      <c r="H995" s="40" t="str">
        <f>IF(Agent05_Savings!A202="","",Agent05_Savings!I202)</f>
        <v/>
      </c>
      <c r="I995" s="40" t="str">
        <f>IF(Agent05_Savings!A202="","",Agent05_Savings!J202)</f>
        <v/>
      </c>
      <c r="J995" s="40" t="str">
        <f>IF(Agent05_Savings!A202="","",Agent05_Savings!K202)</f>
        <v/>
      </c>
      <c r="K995" s="40" t="str">
        <f>IFERROR(IF(Agent05_Savings!A202="","",YEAR(Agent05_Savings!D202)),"")</f>
        <v/>
      </c>
    </row>
    <row r="996" spans="1:11" ht="18" customHeight="1" x14ac:dyDescent="0.25">
      <c r="A996" s="40" t="str">
        <f>IF(Agent05_Savings!A203="","",Agent05_Savings!A203)</f>
        <v/>
      </c>
      <c r="B996" s="40" t="str">
        <f ca="1">IF(Agent05_Savings!A203="","","SV"&amp;TEXT(996-3,"0000")&amp;"-"&amp;TEXT(TODAY(),"YYYYMMDD"))</f>
        <v/>
      </c>
      <c r="C996" s="40" t="str">
        <f>IF(Agent05_Savings!A203="","",Agent05_Savings!B203)</f>
        <v/>
      </c>
      <c r="D996" s="40" t="str">
        <f>IF(Agent05_Savings!A203="","",Agent05_Savings!G203)</f>
        <v/>
      </c>
      <c r="E996" s="41" t="str">
        <f>IF(Agent05_Savings!A203="","",Agent05_Savings!D203)</f>
        <v/>
      </c>
      <c r="F996" s="42" t="str">
        <f>IF(Agent05_Savings!A203="","",Agent05_Savings!E203)</f>
        <v/>
      </c>
      <c r="G996" s="42" t="str">
        <f>IF(Agent05_Savings!A203="","",Agent05_Savings!F203)</f>
        <v/>
      </c>
      <c r="H996" s="40" t="str">
        <f>IF(Agent05_Savings!A203="","",Agent05_Savings!I203)</f>
        <v/>
      </c>
      <c r="I996" s="40" t="str">
        <f>IF(Agent05_Savings!A203="","",Agent05_Savings!J203)</f>
        <v/>
      </c>
      <c r="J996" s="40" t="str">
        <f>IF(Agent05_Savings!A203="","",Agent05_Savings!K203)</f>
        <v/>
      </c>
      <c r="K996" s="40" t="str">
        <f>IFERROR(IF(Agent05_Savings!A203="","",YEAR(Agent05_Savings!D203)),"")</f>
        <v/>
      </c>
    </row>
    <row r="997" spans="1:11" ht="18" customHeight="1" x14ac:dyDescent="0.25">
      <c r="A997" s="40" t="str">
        <f>IF(Agent05_Savings!A204="","",Agent05_Savings!A204)</f>
        <v/>
      </c>
      <c r="B997" s="40" t="str">
        <f ca="1">IF(Agent05_Savings!A204="","","SV"&amp;TEXT(997-3,"0000")&amp;"-"&amp;TEXT(TODAY(),"YYYYMMDD"))</f>
        <v/>
      </c>
      <c r="C997" s="40" t="str">
        <f>IF(Agent05_Savings!A204="","",Agent05_Savings!B204)</f>
        <v/>
      </c>
      <c r="D997" s="40" t="str">
        <f>IF(Agent05_Savings!A204="","",Agent05_Savings!G204)</f>
        <v/>
      </c>
      <c r="E997" s="41" t="str">
        <f>IF(Agent05_Savings!A204="","",Agent05_Savings!D204)</f>
        <v/>
      </c>
      <c r="F997" s="42" t="str">
        <f>IF(Agent05_Savings!A204="","",Agent05_Savings!E204)</f>
        <v/>
      </c>
      <c r="G997" s="42" t="str">
        <f>IF(Agent05_Savings!A204="","",Agent05_Savings!F204)</f>
        <v/>
      </c>
      <c r="H997" s="40" t="str">
        <f>IF(Agent05_Savings!A204="","",Agent05_Savings!I204)</f>
        <v/>
      </c>
      <c r="I997" s="40" t="str">
        <f>IF(Agent05_Savings!A204="","",Agent05_Savings!J204)</f>
        <v/>
      </c>
      <c r="J997" s="40" t="str">
        <f>IF(Agent05_Savings!A204="","",Agent05_Savings!K204)</f>
        <v/>
      </c>
      <c r="K997" s="40" t="str">
        <f>IFERROR(IF(Agent05_Savings!A204="","",YEAR(Agent05_Savings!D204)),"")</f>
        <v/>
      </c>
    </row>
    <row r="998" spans="1:11" ht="18" customHeight="1" x14ac:dyDescent="0.25">
      <c r="A998" s="40" t="str">
        <f>IF(Agent05_Savings!A205="","",Agent05_Savings!A205)</f>
        <v/>
      </c>
      <c r="B998" s="40" t="str">
        <f ca="1">IF(Agent05_Savings!A205="","","SV"&amp;TEXT(998-3,"0000")&amp;"-"&amp;TEXT(TODAY(),"YYYYMMDD"))</f>
        <v/>
      </c>
      <c r="C998" s="40" t="str">
        <f>IF(Agent05_Savings!A205="","",Agent05_Savings!B205)</f>
        <v/>
      </c>
      <c r="D998" s="40" t="str">
        <f>IF(Agent05_Savings!A205="","",Agent05_Savings!G205)</f>
        <v/>
      </c>
      <c r="E998" s="41" t="str">
        <f>IF(Agent05_Savings!A205="","",Agent05_Savings!D205)</f>
        <v/>
      </c>
      <c r="F998" s="42" t="str">
        <f>IF(Agent05_Savings!A205="","",Agent05_Savings!E205)</f>
        <v/>
      </c>
      <c r="G998" s="42" t="str">
        <f>IF(Agent05_Savings!A205="","",Agent05_Savings!F205)</f>
        <v/>
      </c>
      <c r="H998" s="40" t="str">
        <f>IF(Agent05_Savings!A205="","",Agent05_Savings!I205)</f>
        <v/>
      </c>
      <c r="I998" s="40" t="str">
        <f>IF(Agent05_Savings!A205="","",Agent05_Savings!J205)</f>
        <v/>
      </c>
      <c r="J998" s="40" t="str">
        <f>IF(Agent05_Savings!A205="","",Agent05_Savings!K205)</f>
        <v/>
      </c>
      <c r="K998" s="40" t="str">
        <f>IFERROR(IF(Agent05_Savings!A205="","",YEAR(Agent05_Savings!D205)),"")</f>
        <v/>
      </c>
    </row>
    <row r="999" spans="1:11" ht="18" customHeight="1" x14ac:dyDescent="0.25">
      <c r="A999" s="40" t="str">
        <f>IF(Agent05_Savings!A206="","",Agent05_Savings!A206)</f>
        <v/>
      </c>
      <c r="B999" s="40" t="str">
        <f ca="1">IF(Agent05_Savings!A206="","","SV"&amp;TEXT(999-3,"0000")&amp;"-"&amp;TEXT(TODAY(),"YYYYMMDD"))</f>
        <v/>
      </c>
      <c r="C999" s="40" t="str">
        <f>IF(Agent05_Savings!A206="","",Agent05_Savings!B206)</f>
        <v/>
      </c>
      <c r="D999" s="40" t="str">
        <f>IF(Agent05_Savings!A206="","",Agent05_Savings!G206)</f>
        <v/>
      </c>
      <c r="E999" s="41" t="str">
        <f>IF(Agent05_Savings!A206="","",Agent05_Savings!D206)</f>
        <v/>
      </c>
      <c r="F999" s="42" t="str">
        <f>IF(Agent05_Savings!A206="","",Agent05_Savings!E206)</f>
        <v/>
      </c>
      <c r="G999" s="42" t="str">
        <f>IF(Agent05_Savings!A206="","",Agent05_Savings!F206)</f>
        <v/>
      </c>
      <c r="H999" s="40" t="str">
        <f>IF(Agent05_Savings!A206="","",Agent05_Savings!I206)</f>
        <v/>
      </c>
      <c r="I999" s="40" t="str">
        <f>IF(Agent05_Savings!A206="","",Agent05_Savings!J206)</f>
        <v/>
      </c>
      <c r="J999" s="40" t="str">
        <f>IF(Agent05_Savings!A206="","",Agent05_Savings!K206)</f>
        <v/>
      </c>
      <c r="K999" s="40" t="str">
        <f>IFERROR(IF(Agent05_Savings!A206="","",YEAR(Agent05_Savings!D206)),"")</f>
        <v/>
      </c>
    </row>
    <row r="1000" spans="1:11" ht="18" customHeight="1" x14ac:dyDescent="0.25">
      <c r="A1000" s="40" t="str">
        <f>IF(Agent05_Savings!A207="","",Agent05_Savings!A207)</f>
        <v/>
      </c>
      <c r="B1000" s="40" t="str">
        <f ca="1">IF(Agent05_Savings!A207="","","SV"&amp;TEXT(1000-3,"0000")&amp;"-"&amp;TEXT(TODAY(),"YYYYMMDD"))</f>
        <v/>
      </c>
      <c r="C1000" s="40" t="str">
        <f>IF(Agent05_Savings!A207="","",Agent05_Savings!B207)</f>
        <v/>
      </c>
      <c r="D1000" s="40" t="str">
        <f>IF(Agent05_Savings!A207="","",Agent05_Savings!G207)</f>
        <v/>
      </c>
      <c r="E1000" s="41" t="str">
        <f>IF(Agent05_Savings!A207="","",Agent05_Savings!D207)</f>
        <v/>
      </c>
      <c r="F1000" s="42" t="str">
        <f>IF(Agent05_Savings!A207="","",Agent05_Savings!E207)</f>
        <v/>
      </c>
      <c r="G1000" s="42" t="str">
        <f>IF(Agent05_Savings!A207="","",Agent05_Savings!F207)</f>
        <v/>
      </c>
      <c r="H1000" s="40" t="str">
        <f>IF(Agent05_Savings!A207="","",Agent05_Savings!I207)</f>
        <v/>
      </c>
      <c r="I1000" s="40" t="str">
        <f>IF(Agent05_Savings!A207="","",Agent05_Savings!J207)</f>
        <v/>
      </c>
      <c r="J1000" s="40" t="str">
        <f>IF(Agent05_Savings!A207="","",Agent05_Savings!K207)</f>
        <v/>
      </c>
      <c r="K1000" s="40" t="str">
        <f>IFERROR(IF(Agent05_Savings!A207="","",YEAR(Agent05_Savings!D207)),"")</f>
        <v/>
      </c>
    </row>
    <row r="1001" spans="1:11" ht="18" customHeight="1" x14ac:dyDescent="0.25">
      <c r="A1001" s="40" t="str">
        <f>IF(Agent05_Savings!A208="","",Agent05_Savings!A208)</f>
        <v/>
      </c>
      <c r="B1001" s="40" t="str">
        <f ca="1">IF(Agent05_Savings!A208="","","SV"&amp;TEXT(1001-3,"0000")&amp;"-"&amp;TEXT(TODAY(),"YYYYMMDD"))</f>
        <v/>
      </c>
      <c r="C1001" s="40" t="str">
        <f>IF(Agent05_Savings!A208="","",Agent05_Savings!B208)</f>
        <v/>
      </c>
      <c r="D1001" s="40" t="str">
        <f>IF(Agent05_Savings!A208="","",Agent05_Savings!G208)</f>
        <v/>
      </c>
      <c r="E1001" s="41" t="str">
        <f>IF(Agent05_Savings!A208="","",Agent05_Savings!D208)</f>
        <v/>
      </c>
      <c r="F1001" s="42" t="str">
        <f>IF(Agent05_Savings!A208="","",Agent05_Savings!E208)</f>
        <v/>
      </c>
      <c r="G1001" s="42" t="str">
        <f>IF(Agent05_Savings!A208="","",Agent05_Savings!F208)</f>
        <v/>
      </c>
      <c r="H1001" s="40" t="str">
        <f>IF(Agent05_Savings!A208="","",Agent05_Savings!I208)</f>
        <v/>
      </c>
      <c r="I1001" s="40" t="str">
        <f>IF(Agent05_Savings!A208="","",Agent05_Savings!J208)</f>
        <v/>
      </c>
      <c r="J1001" s="40" t="str">
        <f>IF(Agent05_Savings!A208="","",Agent05_Savings!K208)</f>
        <v/>
      </c>
      <c r="K1001" s="40" t="str">
        <f>IFERROR(IF(Agent05_Savings!A208="","",YEAR(Agent05_Savings!D208)),"")</f>
        <v/>
      </c>
    </row>
    <row r="1002" spans="1:11" ht="18" customHeight="1" x14ac:dyDescent="0.25">
      <c r="A1002" s="40" t="str">
        <f>IF(Agent05_Savings!A209="","",Agent05_Savings!A209)</f>
        <v/>
      </c>
      <c r="B1002" s="40" t="str">
        <f ca="1">IF(Agent05_Savings!A209="","","SV"&amp;TEXT(1002-3,"0000")&amp;"-"&amp;TEXT(TODAY(),"YYYYMMDD"))</f>
        <v/>
      </c>
      <c r="C1002" s="40" t="str">
        <f>IF(Agent05_Savings!A209="","",Agent05_Savings!B209)</f>
        <v/>
      </c>
      <c r="D1002" s="40" t="str">
        <f>IF(Agent05_Savings!A209="","",Agent05_Savings!G209)</f>
        <v/>
      </c>
      <c r="E1002" s="41" t="str">
        <f>IF(Agent05_Savings!A209="","",Agent05_Savings!D209)</f>
        <v/>
      </c>
      <c r="F1002" s="42" t="str">
        <f>IF(Agent05_Savings!A209="","",Agent05_Savings!E209)</f>
        <v/>
      </c>
      <c r="G1002" s="42" t="str">
        <f>IF(Agent05_Savings!A209="","",Agent05_Savings!F209)</f>
        <v/>
      </c>
      <c r="H1002" s="40" t="str">
        <f>IF(Agent05_Savings!A209="","",Agent05_Savings!I209)</f>
        <v/>
      </c>
      <c r="I1002" s="40" t="str">
        <f>IF(Agent05_Savings!A209="","",Agent05_Savings!J209)</f>
        <v/>
      </c>
      <c r="J1002" s="40" t="str">
        <f>IF(Agent05_Savings!A209="","",Agent05_Savings!K209)</f>
        <v/>
      </c>
      <c r="K1002" s="40" t="str">
        <f>IFERROR(IF(Agent05_Savings!A209="","",YEAR(Agent05_Savings!D209)),"")</f>
        <v/>
      </c>
    </row>
    <row r="1003" spans="1:11" ht="18" customHeight="1" x14ac:dyDescent="0.25">
      <c r="A1003" s="40" t="str">
        <f>IF(Agent05_Savings!A210="","",Agent05_Savings!A210)</f>
        <v/>
      </c>
      <c r="B1003" s="40" t="str">
        <f ca="1">IF(Agent05_Savings!A210="","","SV"&amp;TEXT(1003-3,"0000")&amp;"-"&amp;TEXT(TODAY(),"YYYYMMDD"))</f>
        <v/>
      </c>
      <c r="C1003" s="40" t="str">
        <f>IF(Agent05_Savings!A210="","",Agent05_Savings!B210)</f>
        <v/>
      </c>
      <c r="D1003" s="40" t="str">
        <f>IF(Agent05_Savings!A210="","",Agent05_Savings!G210)</f>
        <v/>
      </c>
      <c r="E1003" s="41" t="str">
        <f>IF(Agent05_Savings!A210="","",Agent05_Savings!D210)</f>
        <v/>
      </c>
      <c r="F1003" s="42" t="str">
        <f>IF(Agent05_Savings!A210="","",Agent05_Savings!E210)</f>
        <v/>
      </c>
      <c r="G1003" s="42" t="str">
        <f>IF(Agent05_Savings!A210="","",Agent05_Savings!F210)</f>
        <v/>
      </c>
      <c r="H1003" s="40" t="str">
        <f>IF(Agent05_Savings!A210="","",Agent05_Savings!I210)</f>
        <v/>
      </c>
      <c r="I1003" s="40" t="str">
        <f>IF(Agent05_Savings!A210="","",Agent05_Savings!J210)</f>
        <v/>
      </c>
      <c r="J1003" s="40" t="str">
        <f>IF(Agent05_Savings!A210="","",Agent05_Savings!K210)</f>
        <v/>
      </c>
      <c r="K1003" s="40" t="str">
        <f>IFERROR(IF(Agent05_Savings!A210="","",YEAR(Agent05_Savings!D210)),"")</f>
        <v/>
      </c>
    </row>
    <row r="1004" spans="1:11" ht="18" customHeight="1" x14ac:dyDescent="0.25">
      <c r="A1004" s="40" t="str">
        <f>IF(Agent06_Savings!A11="","",Agent06_Savings!A11)</f>
        <v/>
      </c>
      <c r="B1004" s="40" t="str">
        <f ca="1">IF(Agent06_Savings!A11="","","SV"&amp;TEXT(1004-3,"0000")&amp;"-"&amp;TEXT(TODAY(),"YYYYMMDD"))</f>
        <v/>
      </c>
      <c r="C1004" s="40" t="str">
        <f>IF(Agent06_Savings!A11="","",Agent06_Savings!B11)</f>
        <v/>
      </c>
      <c r="D1004" s="40" t="str">
        <f>IF(Agent06_Savings!A11="","",Agent06_Savings!G11)</f>
        <v/>
      </c>
      <c r="E1004" s="41" t="str">
        <f>IF(Agent06_Savings!A11="","",Agent06_Savings!D11)</f>
        <v/>
      </c>
      <c r="F1004" s="42" t="str">
        <f>IF(Agent06_Savings!A11="","",Agent06_Savings!E11)</f>
        <v/>
      </c>
      <c r="G1004" s="42" t="str">
        <f>IF(Agent06_Savings!A11="","",Agent06_Savings!F11)</f>
        <v/>
      </c>
      <c r="H1004" s="40" t="str">
        <f>IF(Agent06_Savings!A11="","",Agent06_Savings!I11)</f>
        <v/>
      </c>
      <c r="I1004" s="40" t="str">
        <f>IF(Agent06_Savings!A11="","",Agent06_Savings!J11)</f>
        <v/>
      </c>
      <c r="J1004" s="40" t="str">
        <f>IF(Agent06_Savings!A11="","",Agent06_Savings!K11)</f>
        <v/>
      </c>
      <c r="K1004" s="40" t="str">
        <f>IFERROR(IF(Agent06_Savings!A11="","",YEAR(Agent06_Savings!D11)),"")</f>
        <v/>
      </c>
    </row>
    <row r="1005" spans="1:11" ht="18" customHeight="1" x14ac:dyDescent="0.25">
      <c r="A1005" s="40" t="str">
        <f>IF(Agent06_Savings!A12="","",Agent06_Savings!A12)</f>
        <v/>
      </c>
      <c r="B1005" s="40" t="str">
        <f ca="1">IF(Agent06_Savings!A12="","","SV"&amp;TEXT(1005-3,"0000")&amp;"-"&amp;TEXT(TODAY(),"YYYYMMDD"))</f>
        <v/>
      </c>
      <c r="C1005" s="40" t="str">
        <f>IF(Agent06_Savings!A12="","",Agent06_Savings!B12)</f>
        <v/>
      </c>
      <c r="D1005" s="40" t="str">
        <f>IF(Agent06_Savings!A12="","",Agent06_Savings!G12)</f>
        <v/>
      </c>
      <c r="E1005" s="41" t="str">
        <f>IF(Agent06_Savings!A12="","",Agent06_Savings!D12)</f>
        <v/>
      </c>
      <c r="F1005" s="42" t="str">
        <f>IF(Agent06_Savings!A12="","",Agent06_Savings!E12)</f>
        <v/>
      </c>
      <c r="G1005" s="42" t="str">
        <f>IF(Agent06_Savings!A12="","",Agent06_Savings!F12)</f>
        <v/>
      </c>
      <c r="H1005" s="40" t="str">
        <f>IF(Agent06_Savings!A12="","",Agent06_Savings!I12)</f>
        <v/>
      </c>
      <c r="I1005" s="40" t="str">
        <f>IF(Agent06_Savings!A12="","",Agent06_Savings!J12)</f>
        <v/>
      </c>
      <c r="J1005" s="40" t="str">
        <f>IF(Agent06_Savings!A12="","",Agent06_Savings!K12)</f>
        <v/>
      </c>
      <c r="K1005" s="40" t="str">
        <f>IFERROR(IF(Agent06_Savings!A12="","",YEAR(Agent06_Savings!D12)),"")</f>
        <v/>
      </c>
    </row>
    <row r="1006" spans="1:11" ht="18" customHeight="1" x14ac:dyDescent="0.25">
      <c r="A1006" s="40" t="str">
        <f>IF(Agent06_Savings!A13="","",Agent06_Savings!A13)</f>
        <v/>
      </c>
      <c r="B1006" s="40" t="str">
        <f ca="1">IF(Agent06_Savings!A13="","","SV"&amp;TEXT(1006-3,"0000")&amp;"-"&amp;TEXT(TODAY(),"YYYYMMDD"))</f>
        <v/>
      </c>
      <c r="C1006" s="40" t="str">
        <f>IF(Agent06_Savings!A13="","",Agent06_Savings!B13)</f>
        <v/>
      </c>
      <c r="D1006" s="40" t="str">
        <f>IF(Agent06_Savings!A13="","",Agent06_Savings!G13)</f>
        <v/>
      </c>
      <c r="E1006" s="41" t="str">
        <f>IF(Agent06_Savings!A13="","",Agent06_Savings!D13)</f>
        <v/>
      </c>
      <c r="F1006" s="42" t="str">
        <f>IF(Agent06_Savings!A13="","",Agent06_Savings!E13)</f>
        <v/>
      </c>
      <c r="G1006" s="42" t="str">
        <f>IF(Agent06_Savings!A13="","",Agent06_Savings!F13)</f>
        <v/>
      </c>
      <c r="H1006" s="40" t="str">
        <f>IF(Agent06_Savings!A13="","",Agent06_Savings!I13)</f>
        <v/>
      </c>
      <c r="I1006" s="40" t="str">
        <f>IF(Agent06_Savings!A13="","",Agent06_Savings!J13)</f>
        <v/>
      </c>
      <c r="J1006" s="40" t="str">
        <f>IF(Agent06_Savings!A13="","",Agent06_Savings!K13)</f>
        <v/>
      </c>
      <c r="K1006" s="40" t="str">
        <f>IFERROR(IF(Agent06_Savings!A13="","",YEAR(Agent06_Savings!D13)),"")</f>
        <v/>
      </c>
    </row>
    <row r="1007" spans="1:11" ht="18" customHeight="1" x14ac:dyDescent="0.25">
      <c r="A1007" s="40" t="str">
        <f>IF(Agent06_Savings!A14="","",Agent06_Savings!A14)</f>
        <v/>
      </c>
      <c r="B1007" s="40" t="str">
        <f ca="1">IF(Agent06_Savings!A14="","","SV"&amp;TEXT(1007-3,"0000")&amp;"-"&amp;TEXT(TODAY(),"YYYYMMDD"))</f>
        <v/>
      </c>
      <c r="C1007" s="40" t="str">
        <f>IF(Agent06_Savings!A14="","",Agent06_Savings!B14)</f>
        <v/>
      </c>
      <c r="D1007" s="40" t="str">
        <f>IF(Agent06_Savings!A14="","",Agent06_Savings!G14)</f>
        <v/>
      </c>
      <c r="E1007" s="41" t="str">
        <f>IF(Agent06_Savings!A14="","",Agent06_Savings!D14)</f>
        <v/>
      </c>
      <c r="F1007" s="42" t="str">
        <f>IF(Agent06_Savings!A14="","",Agent06_Savings!E14)</f>
        <v/>
      </c>
      <c r="G1007" s="42" t="str">
        <f>IF(Agent06_Savings!A14="","",Agent06_Savings!F14)</f>
        <v/>
      </c>
      <c r="H1007" s="40" t="str">
        <f>IF(Agent06_Savings!A14="","",Agent06_Savings!I14)</f>
        <v/>
      </c>
      <c r="I1007" s="40" t="str">
        <f>IF(Agent06_Savings!A14="","",Agent06_Savings!J14)</f>
        <v/>
      </c>
      <c r="J1007" s="40" t="str">
        <f>IF(Agent06_Savings!A14="","",Agent06_Savings!K14)</f>
        <v/>
      </c>
      <c r="K1007" s="40" t="str">
        <f>IFERROR(IF(Agent06_Savings!A14="","",YEAR(Agent06_Savings!D14)),"")</f>
        <v/>
      </c>
    </row>
    <row r="1008" spans="1:11" ht="18" customHeight="1" x14ac:dyDescent="0.25">
      <c r="A1008" s="40" t="str">
        <f>IF(Agent06_Savings!A15="","",Agent06_Savings!A15)</f>
        <v/>
      </c>
      <c r="B1008" s="40" t="str">
        <f ca="1">IF(Agent06_Savings!A15="","","SV"&amp;TEXT(1008-3,"0000")&amp;"-"&amp;TEXT(TODAY(),"YYYYMMDD"))</f>
        <v/>
      </c>
      <c r="C1008" s="40" t="str">
        <f>IF(Agent06_Savings!A15="","",Agent06_Savings!B15)</f>
        <v/>
      </c>
      <c r="D1008" s="40" t="str">
        <f>IF(Agent06_Savings!A15="","",Agent06_Savings!G15)</f>
        <v/>
      </c>
      <c r="E1008" s="41" t="str">
        <f>IF(Agent06_Savings!A15="","",Agent06_Savings!D15)</f>
        <v/>
      </c>
      <c r="F1008" s="42" t="str">
        <f>IF(Agent06_Savings!A15="","",Agent06_Savings!E15)</f>
        <v/>
      </c>
      <c r="G1008" s="42" t="str">
        <f>IF(Agent06_Savings!A15="","",Agent06_Savings!F15)</f>
        <v/>
      </c>
      <c r="H1008" s="40" t="str">
        <f>IF(Agent06_Savings!A15="","",Agent06_Savings!I15)</f>
        <v/>
      </c>
      <c r="I1008" s="40" t="str">
        <f>IF(Agent06_Savings!A15="","",Agent06_Savings!J15)</f>
        <v/>
      </c>
      <c r="J1008" s="40" t="str">
        <f>IF(Agent06_Savings!A15="","",Agent06_Savings!K15)</f>
        <v/>
      </c>
      <c r="K1008" s="40" t="str">
        <f>IFERROR(IF(Agent06_Savings!A15="","",YEAR(Agent06_Savings!D15)),"")</f>
        <v/>
      </c>
    </row>
    <row r="1009" spans="1:11" ht="18" customHeight="1" x14ac:dyDescent="0.25">
      <c r="A1009" s="40" t="str">
        <f>IF(Agent06_Savings!A16="","",Agent06_Savings!A16)</f>
        <v/>
      </c>
      <c r="B1009" s="40" t="str">
        <f ca="1">IF(Agent06_Savings!A16="","","SV"&amp;TEXT(1009-3,"0000")&amp;"-"&amp;TEXT(TODAY(),"YYYYMMDD"))</f>
        <v/>
      </c>
      <c r="C1009" s="40" t="str">
        <f>IF(Agent06_Savings!A16="","",Agent06_Savings!B16)</f>
        <v/>
      </c>
      <c r="D1009" s="40" t="str">
        <f>IF(Agent06_Savings!A16="","",Agent06_Savings!G16)</f>
        <v/>
      </c>
      <c r="E1009" s="41" t="str">
        <f>IF(Agent06_Savings!A16="","",Agent06_Savings!D16)</f>
        <v/>
      </c>
      <c r="F1009" s="42" t="str">
        <f>IF(Agent06_Savings!A16="","",Agent06_Savings!E16)</f>
        <v/>
      </c>
      <c r="G1009" s="42" t="str">
        <f>IF(Agent06_Savings!A16="","",Agent06_Savings!F16)</f>
        <v/>
      </c>
      <c r="H1009" s="40" t="str">
        <f>IF(Agent06_Savings!A16="","",Agent06_Savings!I16)</f>
        <v/>
      </c>
      <c r="I1009" s="40" t="str">
        <f>IF(Agent06_Savings!A16="","",Agent06_Savings!J16)</f>
        <v/>
      </c>
      <c r="J1009" s="40" t="str">
        <f>IF(Agent06_Savings!A16="","",Agent06_Savings!K16)</f>
        <v/>
      </c>
      <c r="K1009" s="40" t="str">
        <f>IFERROR(IF(Agent06_Savings!A16="","",YEAR(Agent06_Savings!D16)),"")</f>
        <v/>
      </c>
    </row>
    <row r="1010" spans="1:11" ht="18" customHeight="1" x14ac:dyDescent="0.25">
      <c r="A1010" s="40" t="str">
        <f>IF(Agent06_Savings!A17="","",Agent06_Savings!A17)</f>
        <v/>
      </c>
      <c r="B1010" s="40" t="str">
        <f ca="1">IF(Agent06_Savings!A17="","","SV"&amp;TEXT(1010-3,"0000")&amp;"-"&amp;TEXT(TODAY(),"YYYYMMDD"))</f>
        <v/>
      </c>
      <c r="C1010" s="40" t="str">
        <f>IF(Agent06_Savings!A17="","",Agent06_Savings!B17)</f>
        <v/>
      </c>
      <c r="D1010" s="40" t="str">
        <f>IF(Agent06_Savings!A17="","",Agent06_Savings!G17)</f>
        <v/>
      </c>
      <c r="E1010" s="41" t="str">
        <f>IF(Agent06_Savings!A17="","",Agent06_Savings!D17)</f>
        <v/>
      </c>
      <c r="F1010" s="42" t="str">
        <f>IF(Agent06_Savings!A17="","",Agent06_Savings!E17)</f>
        <v/>
      </c>
      <c r="G1010" s="42" t="str">
        <f>IF(Agent06_Savings!A17="","",Agent06_Savings!F17)</f>
        <v/>
      </c>
      <c r="H1010" s="40" t="str">
        <f>IF(Agent06_Savings!A17="","",Agent06_Savings!I17)</f>
        <v/>
      </c>
      <c r="I1010" s="40" t="str">
        <f>IF(Agent06_Savings!A17="","",Agent06_Savings!J17)</f>
        <v/>
      </c>
      <c r="J1010" s="40" t="str">
        <f>IF(Agent06_Savings!A17="","",Agent06_Savings!K17)</f>
        <v/>
      </c>
      <c r="K1010" s="40" t="str">
        <f>IFERROR(IF(Agent06_Savings!A17="","",YEAR(Agent06_Savings!D17)),"")</f>
        <v/>
      </c>
    </row>
    <row r="1011" spans="1:11" ht="18" customHeight="1" x14ac:dyDescent="0.25">
      <c r="A1011" s="40" t="str">
        <f>IF(Agent06_Savings!A18="","",Agent06_Savings!A18)</f>
        <v/>
      </c>
      <c r="B1011" s="40" t="str">
        <f ca="1">IF(Agent06_Savings!A18="","","SV"&amp;TEXT(1011-3,"0000")&amp;"-"&amp;TEXT(TODAY(),"YYYYMMDD"))</f>
        <v/>
      </c>
      <c r="C1011" s="40" t="str">
        <f>IF(Agent06_Savings!A18="","",Agent06_Savings!B18)</f>
        <v/>
      </c>
      <c r="D1011" s="40" t="str">
        <f>IF(Agent06_Savings!A18="","",Agent06_Savings!G18)</f>
        <v/>
      </c>
      <c r="E1011" s="41" t="str">
        <f>IF(Agent06_Savings!A18="","",Agent06_Savings!D18)</f>
        <v/>
      </c>
      <c r="F1011" s="42" t="str">
        <f>IF(Agent06_Savings!A18="","",Agent06_Savings!E18)</f>
        <v/>
      </c>
      <c r="G1011" s="42" t="str">
        <f>IF(Agent06_Savings!A18="","",Agent06_Savings!F18)</f>
        <v/>
      </c>
      <c r="H1011" s="40" t="str">
        <f>IF(Agent06_Savings!A18="","",Agent06_Savings!I18)</f>
        <v/>
      </c>
      <c r="I1011" s="40" t="str">
        <f>IF(Agent06_Savings!A18="","",Agent06_Savings!J18)</f>
        <v/>
      </c>
      <c r="J1011" s="40" t="str">
        <f>IF(Agent06_Savings!A18="","",Agent06_Savings!K18)</f>
        <v/>
      </c>
      <c r="K1011" s="40" t="str">
        <f>IFERROR(IF(Agent06_Savings!A18="","",YEAR(Agent06_Savings!D18)),"")</f>
        <v/>
      </c>
    </row>
    <row r="1012" spans="1:11" ht="18" customHeight="1" x14ac:dyDescent="0.25">
      <c r="A1012" s="40" t="str">
        <f>IF(Agent06_Savings!A19="","",Agent06_Savings!A19)</f>
        <v/>
      </c>
      <c r="B1012" s="40" t="str">
        <f ca="1">IF(Agent06_Savings!A19="","","SV"&amp;TEXT(1012-3,"0000")&amp;"-"&amp;TEXT(TODAY(),"YYYYMMDD"))</f>
        <v/>
      </c>
      <c r="C1012" s="40" t="str">
        <f>IF(Agent06_Savings!A19="","",Agent06_Savings!B19)</f>
        <v/>
      </c>
      <c r="D1012" s="40" t="str">
        <f>IF(Agent06_Savings!A19="","",Agent06_Savings!G19)</f>
        <v/>
      </c>
      <c r="E1012" s="41" t="str">
        <f>IF(Agent06_Savings!A19="","",Agent06_Savings!D19)</f>
        <v/>
      </c>
      <c r="F1012" s="42" t="str">
        <f>IF(Agent06_Savings!A19="","",Agent06_Savings!E19)</f>
        <v/>
      </c>
      <c r="G1012" s="42" t="str">
        <f>IF(Agent06_Savings!A19="","",Agent06_Savings!F19)</f>
        <v/>
      </c>
      <c r="H1012" s="40" t="str">
        <f>IF(Agent06_Savings!A19="","",Agent06_Savings!I19)</f>
        <v/>
      </c>
      <c r="I1012" s="40" t="str">
        <f>IF(Agent06_Savings!A19="","",Agent06_Savings!J19)</f>
        <v/>
      </c>
      <c r="J1012" s="40" t="str">
        <f>IF(Agent06_Savings!A19="","",Agent06_Savings!K19)</f>
        <v/>
      </c>
      <c r="K1012" s="40" t="str">
        <f>IFERROR(IF(Agent06_Savings!A19="","",YEAR(Agent06_Savings!D19)),"")</f>
        <v/>
      </c>
    </row>
    <row r="1013" spans="1:11" ht="18" customHeight="1" x14ac:dyDescent="0.25">
      <c r="A1013" s="40" t="str">
        <f>IF(Agent06_Savings!A20="","",Agent06_Savings!A20)</f>
        <v/>
      </c>
      <c r="B1013" s="40" t="str">
        <f ca="1">IF(Agent06_Savings!A20="","","SV"&amp;TEXT(1013-3,"0000")&amp;"-"&amp;TEXT(TODAY(),"YYYYMMDD"))</f>
        <v/>
      </c>
      <c r="C1013" s="40" t="str">
        <f>IF(Agent06_Savings!A20="","",Agent06_Savings!B20)</f>
        <v/>
      </c>
      <c r="D1013" s="40" t="str">
        <f>IF(Agent06_Savings!A20="","",Agent06_Savings!G20)</f>
        <v/>
      </c>
      <c r="E1013" s="41" t="str">
        <f>IF(Agent06_Savings!A20="","",Agent06_Savings!D20)</f>
        <v/>
      </c>
      <c r="F1013" s="42" t="str">
        <f>IF(Agent06_Savings!A20="","",Agent06_Savings!E20)</f>
        <v/>
      </c>
      <c r="G1013" s="42" t="str">
        <f>IF(Agent06_Savings!A20="","",Agent06_Savings!F20)</f>
        <v/>
      </c>
      <c r="H1013" s="40" t="str">
        <f>IF(Agent06_Savings!A20="","",Agent06_Savings!I20)</f>
        <v/>
      </c>
      <c r="I1013" s="40" t="str">
        <f>IF(Agent06_Savings!A20="","",Agent06_Savings!J20)</f>
        <v/>
      </c>
      <c r="J1013" s="40" t="str">
        <f>IF(Agent06_Savings!A20="","",Agent06_Savings!K20)</f>
        <v/>
      </c>
      <c r="K1013" s="40" t="str">
        <f>IFERROR(IF(Agent06_Savings!A20="","",YEAR(Agent06_Savings!D20)),"")</f>
        <v/>
      </c>
    </row>
    <row r="1014" spans="1:11" ht="18" customHeight="1" x14ac:dyDescent="0.25">
      <c r="A1014" s="40" t="str">
        <f>IF(Agent06_Savings!A21="","",Agent06_Savings!A21)</f>
        <v/>
      </c>
      <c r="B1014" s="40" t="str">
        <f ca="1">IF(Agent06_Savings!A21="","","SV"&amp;TEXT(1014-3,"0000")&amp;"-"&amp;TEXT(TODAY(),"YYYYMMDD"))</f>
        <v/>
      </c>
      <c r="C1014" s="40" t="str">
        <f>IF(Agent06_Savings!A21="","",Agent06_Savings!B21)</f>
        <v/>
      </c>
      <c r="D1014" s="40" t="str">
        <f>IF(Agent06_Savings!A21="","",Agent06_Savings!G21)</f>
        <v/>
      </c>
      <c r="E1014" s="41" t="str">
        <f>IF(Agent06_Savings!A21="","",Agent06_Savings!D21)</f>
        <v/>
      </c>
      <c r="F1014" s="42" t="str">
        <f>IF(Agent06_Savings!A21="","",Agent06_Savings!E21)</f>
        <v/>
      </c>
      <c r="G1014" s="42" t="str">
        <f>IF(Agent06_Savings!A21="","",Agent06_Savings!F21)</f>
        <v/>
      </c>
      <c r="H1014" s="40" t="str">
        <f>IF(Agent06_Savings!A21="","",Agent06_Savings!I21)</f>
        <v/>
      </c>
      <c r="I1014" s="40" t="str">
        <f>IF(Agent06_Savings!A21="","",Agent06_Savings!J21)</f>
        <v/>
      </c>
      <c r="J1014" s="40" t="str">
        <f>IF(Agent06_Savings!A21="","",Agent06_Savings!K21)</f>
        <v/>
      </c>
      <c r="K1014" s="40" t="str">
        <f>IFERROR(IF(Agent06_Savings!A21="","",YEAR(Agent06_Savings!D21)),"")</f>
        <v/>
      </c>
    </row>
    <row r="1015" spans="1:11" ht="18" customHeight="1" x14ac:dyDescent="0.25">
      <c r="A1015" s="40" t="str">
        <f>IF(Agent06_Savings!A22="","",Agent06_Savings!A22)</f>
        <v/>
      </c>
      <c r="B1015" s="40" t="str">
        <f ca="1">IF(Agent06_Savings!A22="","","SV"&amp;TEXT(1015-3,"0000")&amp;"-"&amp;TEXT(TODAY(),"YYYYMMDD"))</f>
        <v/>
      </c>
      <c r="C1015" s="40" t="str">
        <f>IF(Agent06_Savings!A22="","",Agent06_Savings!B22)</f>
        <v/>
      </c>
      <c r="D1015" s="40" t="str">
        <f>IF(Agent06_Savings!A22="","",Agent06_Savings!G22)</f>
        <v/>
      </c>
      <c r="E1015" s="41" t="str">
        <f>IF(Agent06_Savings!A22="","",Agent06_Savings!D22)</f>
        <v/>
      </c>
      <c r="F1015" s="42" t="str">
        <f>IF(Agent06_Savings!A22="","",Agent06_Savings!E22)</f>
        <v/>
      </c>
      <c r="G1015" s="42" t="str">
        <f>IF(Agent06_Savings!A22="","",Agent06_Savings!F22)</f>
        <v/>
      </c>
      <c r="H1015" s="40" t="str">
        <f>IF(Agent06_Savings!A22="","",Agent06_Savings!I22)</f>
        <v/>
      </c>
      <c r="I1015" s="40" t="str">
        <f>IF(Agent06_Savings!A22="","",Agent06_Savings!J22)</f>
        <v/>
      </c>
      <c r="J1015" s="40" t="str">
        <f>IF(Agent06_Savings!A22="","",Agent06_Savings!K22)</f>
        <v/>
      </c>
      <c r="K1015" s="40" t="str">
        <f>IFERROR(IF(Agent06_Savings!A22="","",YEAR(Agent06_Savings!D22)),"")</f>
        <v/>
      </c>
    </row>
    <row r="1016" spans="1:11" ht="18" customHeight="1" x14ac:dyDescent="0.25">
      <c r="A1016" s="40" t="str">
        <f>IF(Agent06_Savings!A23="","",Agent06_Savings!A23)</f>
        <v/>
      </c>
      <c r="B1016" s="40" t="str">
        <f ca="1">IF(Agent06_Savings!A23="","","SV"&amp;TEXT(1016-3,"0000")&amp;"-"&amp;TEXT(TODAY(),"YYYYMMDD"))</f>
        <v/>
      </c>
      <c r="C1016" s="40" t="str">
        <f>IF(Agent06_Savings!A23="","",Agent06_Savings!B23)</f>
        <v/>
      </c>
      <c r="D1016" s="40" t="str">
        <f>IF(Agent06_Savings!A23="","",Agent06_Savings!G23)</f>
        <v/>
      </c>
      <c r="E1016" s="41" t="str">
        <f>IF(Agent06_Savings!A23="","",Agent06_Savings!D23)</f>
        <v/>
      </c>
      <c r="F1016" s="42" t="str">
        <f>IF(Agent06_Savings!A23="","",Agent06_Savings!E23)</f>
        <v/>
      </c>
      <c r="G1016" s="42" t="str">
        <f>IF(Agent06_Savings!A23="","",Agent06_Savings!F23)</f>
        <v/>
      </c>
      <c r="H1016" s="40" t="str">
        <f>IF(Agent06_Savings!A23="","",Agent06_Savings!I23)</f>
        <v/>
      </c>
      <c r="I1016" s="40" t="str">
        <f>IF(Agent06_Savings!A23="","",Agent06_Savings!J23)</f>
        <v/>
      </c>
      <c r="J1016" s="40" t="str">
        <f>IF(Agent06_Savings!A23="","",Agent06_Savings!K23)</f>
        <v/>
      </c>
      <c r="K1016" s="40" t="str">
        <f>IFERROR(IF(Agent06_Savings!A23="","",YEAR(Agent06_Savings!D23)),"")</f>
        <v/>
      </c>
    </row>
    <row r="1017" spans="1:11" ht="18" customHeight="1" x14ac:dyDescent="0.25">
      <c r="A1017" s="40" t="str">
        <f>IF(Agent06_Savings!A24="","",Agent06_Savings!A24)</f>
        <v/>
      </c>
      <c r="B1017" s="40" t="str">
        <f ca="1">IF(Agent06_Savings!A24="","","SV"&amp;TEXT(1017-3,"0000")&amp;"-"&amp;TEXT(TODAY(),"YYYYMMDD"))</f>
        <v/>
      </c>
      <c r="C1017" s="40" t="str">
        <f>IF(Agent06_Savings!A24="","",Agent06_Savings!B24)</f>
        <v/>
      </c>
      <c r="D1017" s="40" t="str">
        <f>IF(Agent06_Savings!A24="","",Agent06_Savings!G24)</f>
        <v/>
      </c>
      <c r="E1017" s="41" t="str">
        <f>IF(Agent06_Savings!A24="","",Agent06_Savings!D24)</f>
        <v/>
      </c>
      <c r="F1017" s="42" t="str">
        <f>IF(Agent06_Savings!A24="","",Agent06_Savings!E24)</f>
        <v/>
      </c>
      <c r="G1017" s="42" t="str">
        <f>IF(Agent06_Savings!A24="","",Agent06_Savings!F24)</f>
        <v/>
      </c>
      <c r="H1017" s="40" t="str">
        <f>IF(Agent06_Savings!A24="","",Agent06_Savings!I24)</f>
        <v/>
      </c>
      <c r="I1017" s="40" t="str">
        <f>IF(Agent06_Savings!A24="","",Agent06_Savings!J24)</f>
        <v/>
      </c>
      <c r="J1017" s="40" t="str">
        <f>IF(Agent06_Savings!A24="","",Agent06_Savings!K24)</f>
        <v/>
      </c>
      <c r="K1017" s="40" t="str">
        <f>IFERROR(IF(Agent06_Savings!A24="","",YEAR(Agent06_Savings!D24)),"")</f>
        <v/>
      </c>
    </row>
    <row r="1018" spans="1:11" ht="18" customHeight="1" x14ac:dyDescent="0.25">
      <c r="A1018" s="40" t="str">
        <f>IF(Agent06_Savings!A25="","",Agent06_Savings!A25)</f>
        <v/>
      </c>
      <c r="B1018" s="40" t="str">
        <f ca="1">IF(Agent06_Savings!A25="","","SV"&amp;TEXT(1018-3,"0000")&amp;"-"&amp;TEXT(TODAY(),"YYYYMMDD"))</f>
        <v/>
      </c>
      <c r="C1018" s="40" t="str">
        <f>IF(Agent06_Savings!A25="","",Agent06_Savings!B25)</f>
        <v/>
      </c>
      <c r="D1018" s="40" t="str">
        <f>IF(Agent06_Savings!A25="","",Agent06_Savings!G25)</f>
        <v/>
      </c>
      <c r="E1018" s="41" t="str">
        <f>IF(Agent06_Savings!A25="","",Agent06_Savings!D25)</f>
        <v/>
      </c>
      <c r="F1018" s="42" t="str">
        <f>IF(Agent06_Savings!A25="","",Agent06_Savings!E25)</f>
        <v/>
      </c>
      <c r="G1018" s="42" t="str">
        <f>IF(Agent06_Savings!A25="","",Agent06_Savings!F25)</f>
        <v/>
      </c>
      <c r="H1018" s="40" t="str">
        <f>IF(Agent06_Savings!A25="","",Agent06_Savings!I25)</f>
        <v/>
      </c>
      <c r="I1018" s="40" t="str">
        <f>IF(Agent06_Savings!A25="","",Agent06_Savings!J25)</f>
        <v/>
      </c>
      <c r="J1018" s="40" t="str">
        <f>IF(Agent06_Savings!A25="","",Agent06_Savings!K25)</f>
        <v/>
      </c>
      <c r="K1018" s="40" t="str">
        <f>IFERROR(IF(Agent06_Savings!A25="","",YEAR(Agent06_Savings!D25)),"")</f>
        <v/>
      </c>
    </row>
    <row r="1019" spans="1:11" ht="18" customHeight="1" x14ac:dyDescent="0.25">
      <c r="A1019" s="40" t="str">
        <f>IF(Agent06_Savings!A26="","",Agent06_Savings!A26)</f>
        <v/>
      </c>
      <c r="B1019" s="40" t="str">
        <f ca="1">IF(Agent06_Savings!A26="","","SV"&amp;TEXT(1019-3,"0000")&amp;"-"&amp;TEXT(TODAY(),"YYYYMMDD"))</f>
        <v/>
      </c>
      <c r="C1019" s="40" t="str">
        <f>IF(Agent06_Savings!A26="","",Agent06_Savings!B26)</f>
        <v/>
      </c>
      <c r="D1019" s="40" t="str">
        <f>IF(Agent06_Savings!A26="","",Agent06_Savings!G26)</f>
        <v/>
      </c>
      <c r="E1019" s="41" t="str">
        <f>IF(Agent06_Savings!A26="","",Agent06_Savings!D26)</f>
        <v/>
      </c>
      <c r="F1019" s="42" t="str">
        <f>IF(Agent06_Savings!A26="","",Agent06_Savings!E26)</f>
        <v/>
      </c>
      <c r="G1019" s="42" t="str">
        <f>IF(Agent06_Savings!A26="","",Agent06_Savings!F26)</f>
        <v/>
      </c>
      <c r="H1019" s="40" t="str">
        <f>IF(Agent06_Savings!A26="","",Agent06_Savings!I26)</f>
        <v/>
      </c>
      <c r="I1019" s="40" t="str">
        <f>IF(Agent06_Savings!A26="","",Agent06_Savings!J26)</f>
        <v/>
      </c>
      <c r="J1019" s="40" t="str">
        <f>IF(Agent06_Savings!A26="","",Agent06_Savings!K26)</f>
        <v/>
      </c>
      <c r="K1019" s="40" t="str">
        <f>IFERROR(IF(Agent06_Savings!A26="","",YEAR(Agent06_Savings!D26)),"")</f>
        <v/>
      </c>
    </row>
    <row r="1020" spans="1:11" ht="18" customHeight="1" x14ac:dyDescent="0.25">
      <c r="A1020" s="40" t="str">
        <f>IF(Agent06_Savings!A27="","",Agent06_Savings!A27)</f>
        <v/>
      </c>
      <c r="B1020" s="40" t="str">
        <f ca="1">IF(Agent06_Savings!A27="","","SV"&amp;TEXT(1020-3,"0000")&amp;"-"&amp;TEXT(TODAY(),"YYYYMMDD"))</f>
        <v/>
      </c>
      <c r="C1020" s="40" t="str">
        <f>IF(Agent06_Savings!A27="","",Agent06_Savings!B27)</f>
        <v/>
      </c>
      <c r="D1020" s="40" t="str">
        <f>IF(Agent06_Savings!A27="","",Agent06_Savings!G27)</f>
        <v/>
      </c>
      <c r="E1020" s="41" t="str">
        <f>IF(Agent06_Savings!A27="","",Agent06_Savings!D27)</f>
        <v/>
      </c>
      <c r="F1020" s="42" t="str">
        <f>IF(Agent06_Savings!A27="","",Agent06_Savings!E27)</f>
        <v/>
      </c>
      <c r="G1020" s="42" t="str">
        <f>IF(Agent06_Savings!A27="","",Agent06_Savings!F27)</f>
        <v/>
      </c>
      <c r="H1020" s="40" t="str">
        <f>IF(Agent06_Savings!A27="","",Agent06_Savings!I27)</f>
        <v/>
      </c>
      <c r="I1020" s="40" t="str">
        <f>IF(Agent06_Savings!A27="","",Agent06_Savings!J27)</f>
        <v/>
      </c>
      <c r="J1020" s="40" t="str">
        <f>IF(Agent06_Savings!A27="","",Agent06_Savings!K27)</f>
        <v/>
      </c>
      <c r="K1020" s="40" t="str">
        <f>IFERROR(IF(Agent06_Savings!A27="","",YEAR(Agent06_Savings!D27)),"")</f>
        <v/>
      </c>
    </row>
    <row r="1021" spans="1:11" ht="18" customHeight="1" x14ac:dyDescent="0.25">
      <c r="A1021" s="40" t="str">
        <f>IF(Agent06_Savings!A28="","",Agent06_Savings!A28)</f>
        <v/>
      </c>
      <c r="B1021" s="40" t="str">
        <f ca="1">IF(Agent06_Savings!A28="","","SV"&amp;TEXT(1021-3,"0000")&amp;"-"&amp;TEXT(TODAY(),"YYYYMMDD"))</f>
        <v/>
      </c>
      <c r="C1021" s="40" t="str">
        <f>IF(Agent06_Savings!A28="","",Agent06_Savings!B28)</f>
        <v/>
      </c>
      <c r="D1021" s="40" t="str">
        <f>IF(Agent06_Savings!A28="","",Agent06_Savings!G28)</f>
        <v/>
      </c>
      <c r="E1021" s="41" t="str">
        <f>IF(Agent06_Savings!A28="","",Agent06_Savings!D28)</f>
        <v/>
      </c>
      <c r="F1021" s="42" t="str">
        <f>IF(Agent06_Savings!A28="","",Agent06_Savings!E28)</f>
        <v/>
      </c>
      <c r="G1021" s="42" t="str">
        <f>IF(Agent06_Savings!A28="","",Agent06_Savings!F28)</f>
        <v/>
      </c>
      <c r="H1021" s="40" t="str">
        <f>IF(Agent06_Savings!A28="","",Agent06_Savings!I28)</f>
        <v/>
      </c>
      <c r="I1021" s="40" t="str">
        <f>IF(Agent06_Savings!A28="","",Agent06_Savings!J28)</f>
        <v/>
      </c>
      <c r="J1021" s="40" t="str">
        <f>IF(Agent06_Savings!A28="","",Agent06_Savings!K28)</f>
        <v/>
      </c>
      <c r="K1021" s="40" t="str">
        <f>IFERROR(IF(Agent06_Savings!A28="","",YEAR(Agent06_Savings!D28)),"")</f>
        <v/>
      </c>
    </row>
    <row r="1022" spans="1:11" ht="18" customHeight="1" x14ac:dyDescent="0.25">
      <c r="A1022" s="40" t="str">
        <f>IF(Agent06_Savings!A29="","",Agent06_Savings!A29)</f>
        <v/>
      </c>
      <c r="B1022" s="40" t="str">
        <f ca="1">IF(Agent06_Savings!A29="","","SV"&amp;TEXT(1022-3,"0000")&amp;"-"&amp;TEXT(TODAY(),"YYYYMMDD"))</f>
        <v/>
      </c>
      <c r="C1022" s="40" t="str">
        <f>IF(Agent06_Savings!A29="","",Agent06_Savings!B29)</f>
        <v/>
      </c>
      <c r="D1022" s="40" t="str">
        <f>IF(Agent06_Savings!A29="","",Agent06_Savings!G29)</f>
        <v/>
      </c>
      <c r="E1022" s="41" t="str">
        <f>IF(Agent06_Savings!A29="","",Agent06_Savings!D29)</f>
        <v/>
      </c>
      <c r="F1022" s="42" t="str">
        <f>IF(Agent06_Savings!A29="","",Agent06_Savings!E29)</f>
        <v/>
      </c>
      <c r="G1022" s="42" t="str">
        <f>IF(Agent06_Savings!A29="","",Agent06_Savings!F29)</f>
        <v/>
      </c>
      <c r="H1022" s="40" t="str">
        <f>IF(Agent06_Savings!A29="","",Agent06_Savings!I29)</f>
        <v/>
      </c>
      <c r="I1022" s="40" t="str">
        <f>IF(Agent06_Savings!A29="","",Agent06_Savings!J29)</f>
        <v/>
      </c>
      <c r="J1022" s="40" t="str">
        <f>IF(Agent06_Savings!A29="","",Agent06_Savings!K29)</f>
        <v/>
      </c>
      <c r="K1022" s="40" t="str">
        <f>IFERROR(IF(Agent06_Savings!A29="","",YEAR(Agent06_Savings!D29)),"")</f>
        <v/>
      </c>
    </row>
    <row r="1023" spans="1:11" ht="18" customHeight="1" x14ac:dyDescent="0.25">
      <c r="A1023" s="40" t="str">
        <f>IF(Agent06_Savings!A30="","",Agent06_Savings!A30)</f>
        <v/>
      </c>
      <c r="B1023" s="40" t="str">
        <f ca="1">IF(Agent06_Savings!A30="","","SV"&amp;TEXT(1023-3,"0000")&amp;"-"&amp;TEXT(TODAY(),"YYYYMMDD"))</f>
        <v/>
      </c>
      <c r="C1023" s="40" t="str">
        <f>IF(Agent06_Savings!A30="","",Agent06_Savings!B30)</f>
        <v/>
      </c>
      <c r="D1023" s="40" t="str">
        <f>IF(Agent06_Savings!A30="","",Agent06_Savings!G30)</f>
        <v/>
      </c>
      <c r="E1023" s="41" t="str">
        <f>IF(Agent06_Savings!A30="","",Agent06_Savings!D30)</f>
        <v/>
      </c>
      <c r="F1023" s="42" t="str">
        <f>IF(Agent06_Savings!A30="","",Agent06_Savings!E30)</f>
        <v/>
      </c>
      <c r="G1023" s="42" t="str">
        <f>IF(Agent06_Savings!A30="","",Agent06_Savings!F30)</f>
        <v/>
      </c>
      <c r="H1023" s="40" t="str">
        <f>IF(Agent06_Savings!A30="","",Agent06_Savings!I30)</f>
        <v/>
      </c>
      <c r="I1023" s="40" t="str">
        <f>IF(Agent06_Savings!A30="","",Agent06_Savings!J30)</f>
        <v/>
      </c>
      <c r="J1023" s="40" t="str">
        <f>IF(Agent06_Savings!A30="","",Agent06_Savings!K30)</f>
        <v/>
      </c>
      <c r="K1023" s="40" t="str">
        <f>IFERROR(IF(Agent06_Savings!A30="","",YEAR(Agent06_Savings!D30)),"")</f>
        <v/>
      </c>
    </row>
    <row r="1024" spans="1:11" ht="18" customHeight="1" x14ac:dyDescent="0.25">
      <c r="A1024" s="40" t="str">
        <f>IF(Agent06_Savings!A31="","",Agent06_Savings!A31)</f>
        <v/>
      </c>
      <c r="B1024" s="40" t="str">
        <f ca="1">IF(Agent06_Savings!A31="","","SV"&amp;TEXT(1024-3,"0000")&amp;"-"&amp;TEXT(TODAY(),"YYYYMMDD"))</f>
        <v/>
      </c>
      <c r="C1024" s="40" t="str">
        <f>IF(Agent06_Savings!A31="","",Agent06_Savings!B31)</f>
        <v/>
      </c>
      <c r="D1024" s="40" t="str">
        <f>IF(Agent06_Savings!A31="","",Agent06_Savings!G31)</f>
        <v/>
      </c>
      <c r="E1024" s="41" t="str">
        <f>IF(Agent06_Savings!A31="","",Agent06_Savings!D31)</f>
        <v/>
      </c>
      <c r="F1024" s="42" t="str">
        <f>IF(Agent06_Savings!A31="","",Agent06_Savings!E31)</f>
        <v/>
      </c>
      <c r="G1024" s="42" t="str">
        <f>IF(Agent06_Savings!A31="","",Agent06_Savings!F31)</f>
        <v/>
      </c>
      <c r="H1024" s="40" t="str">
        <f>IF(Agent06_Savings!A31="","",Agent06_Savings!I31)</f>
        <v/>
      </c>
      <c r="I1024" s="40" t="str">
        <f>IF(Agent06_Savings!A31="","",Agent06_Savings!J31)</f>
        <v/>
      </c>
      <c r="J1024" s="40" t="str">
        <f>IF(Agent06_Savings!A31="","",Agent06_Savings!K31)</f>
        <v/>
      </c>
      <c r="K1024" s="40" t="str">
        <f>IFERROR(IF(Agent06_Savings!A31="","",YEAR(Agent06_Savings!D31)),"")</f>
        <v/>
      </c>
    </row>
    <row r="1025" spans="1:11" ht="18" customHeight="1" x14ac:dyDescent="0.25">
      <c r="A1025" s="40" t="str">
        <f>IF(Agent06_Savings!A32="","",Agent06_Savings!A32)</f>
        <v/>
      </c>
      <c r="B1025" s="40" t="str">
        <f ca="1">IF(Agent06_Savings!A32="","","SV"&amp;TEXT(1025-3,"0000")&amp;"-"&amp;TEXT(TODAY(),"YYYYMMDD"))</f>
        <v/>
      </c>
      <c r="C1025" s="40" t="str">
        <f>IF(Agent06_Savings!A32="","",Agent06_Savings!B32)</f>
        <v/>
      </c>
      <c r="D1025" s="40" t="str">
        <f>IF(Agent06_Savings!A32="","",Agent06_Savings!G32)</f>
        <v/>
      </c>
      <c r="E1025" s="41" t="str">
        <f>IF(Agent06_Savings!A32="","",Agent06_Savings!D32)</f>
        <v/>
      </c>
      <c r="F1025" s="42" t="str">
        <f>IF(Agent06_Savings!A32="","",Agent06_Savings!E32)</f>
        <v/>
      </c>
      <c r="G1025" s="42" t="str">
        <f>IF(Agent06_Savings!A32="","",Agent06_Savings!F32)</f>
        <v/>
      </c>
      <c r="H1025" s="40" t="str">
        <f>IF(Agent06_Savings!A32="","",Agent06_Savings!I32)</f>
        <v/>
      </c>
      <c r="I1025" s="40" t="str">
        <f>IF(Agent06_Savings!A32="","",Agent06_Savings!J32)</f>
        <v/>
      </c>
      <c r="J1025" s="40" t="str">
        <f>IF(Agent06_Savings!A32="","",Agent06_Savings!K32)</f>
        <v/>
      </c>
      <c r="K1025" s="40" t="str">
        <f>IFERROR(IF(Agent06_Savings!A32="","",YEAR(Agent06_Savings!D32)),"")</f>
        <v/>
      </c>
    </row>
    <row r="1026" spans="1:11" ht="18" customHeight="1" x14ac:dyDescent="0.25">
      <c r="A1026" s="40" t="str">
        <f>IF(Agent06_Savings!A33="","",Agent06_Savings!A33)</f>
        <v/>
      </c>
      <c r="B1026" s="40" t="str">
        <f ca="1">IF(Agent06_Savings!A33="","","SV"&amp;TEXT(1026-3,"0000")&amp;"-"&amp;TEXT(TODAY(),"YYYYMMDD"))</f>
        <v/>
      </c>
      <c r="C1026" s="40" t="str">
        <f>IF(Agent06_Savings!A33="","",Agent06_Savings!B33)</f>
        <v/>
      </c>
      <c r="D1026" s="40" t="str">
        <f>IF(Agent06_Savings!A33="","",Agent06_Savings!G33)</f>
        <v/>
      </c>
      <c r="E1026" s="41" t="str">
        <f>IF(Agent06_Savings!A33="","",Agent06_Savings!D33)</f>
        <v/>
      </c>
      <c r="F1026" s="42" t="str">
        <f>IF(Agent06_Savings!A33="","",Agent06_Savings!E33)</f>
        <v/>
      </c>
      <c r="G1026" s="42" t="str">
        <f>IF(Agent06_Savings!A33="","",Agent06_Savings!F33)</f>
        <v/>
      </c>
      <c r="H1026" s="40" t="str">
        <f>IF(Agent06_Savings!A33="","",Agent06_Savings!I33)</f>
        <v/>
      </c>
      <c r="I1026" s="40" t="str">
        <f>IF(Agent06_Savings!A33="","",Agent06_Savings!J33)</f>
        <v/>
      </c>
      <c r="J1026" s="40" t="str">
        <f>IF(Agent06_Savings!A33="","",Agent06_Savings!K33)</f>
        <v/>
      </c>
      <c r="K1026" s="40" t="str">
        <f>IFERROR(IF(Agent06_Savings!A33="","",YEAR(Agent06_Savings!D33)),"")</f>
        <v/>
      </c>
    </row>
    <row r="1027" spans="1:11" ht="18" customHeight="1" x14ac:dyDescent="0.25">
      <c r="A1027" s="40" t="str">
        <f>IF(Agent06_Savings!A34="","",Agent06_Savings!A34)</f>
        <v/>
      </c>
      <c r="B1027" s="40" t="str">
        <f ca="1">IF(Agent06_Savings!A34="","","SV"&amp;TEXT(1027-3,"0000")&amp;"-"&amp;TEXT(TODAY(),"YYYYMMDD"))</f>
        <v/>
      </c>
      <c r="C1027" s="40" t="str">
        <f>IF(Agent06_Savings!A34="","",Agent06_Savings!B34)</f>
        <v/>
      </c>
      <c r="D1027" s="40" t="str">
        <f>IF(Agent06_Savings!A34="","",Agent06_Savings!G34)</f>
        <v/>
      </c>
      <c r="E1027" s="41" t="str">
        <f>IF(Agent06_Savings!A34="","",Agent06_Savings!D34)</f>
        <v/>
      </c>
      <c r="F1027" s="42" t="str">
        <f>IF(Agent06_Savings!A34="","",Agent06_Savings!E34)</f>
        <v/>
      </c>
      <c r="G1027" s="42" t="str">
        <f>IF(Agent06_Savings!A34="","",Agent06_Savings!F34)</f>
        <v/>
      </c>
      <c r="H1027" s="40" t="str">
        <f>IF(Agent06_Savings!A34="","",Agent06_Savings!I34)</f>
        <v/>
      </c>
      <c r="I1027" s="40" t="str">
        <f>IF(Agent06_Savings!A34="","",Agent06_Savings!J34)</f>
        <v/>
      </c>
      <c r="J1027" s="40" t="str">
        <f>IF(Agent06_Savings!A34="","",Agent06_Savings!K34)</f>
        <v/>
      </c>
      <c r="K1027" s="40" t="str">
        <f>IFERROR(IF(Agent06_Savings!A34="","",YEAR(Agent06_Savings!D34)),"")</f>
        <v/>
      </c>
    </row>
    <row r="1028" spans="1:11" ht="18" customHeight="1" x14ac:dyDescent="0.25">
      <c r="A1028" s="40" t="str">
        <f>IF(Agent06_Savings!A35="","",Agent06_Savings!A35)</f>
        <v/>
      </c>
      <c r="B1028" s="40" t="str">
        <f ca="1">IF(Agent06_Savings!A35="","","SV"&amp;TEXT(1028-3,"0000")&amp;"-"&amp;TEXT(TODAY(),"YYYYMMDD"))</f>
        <v/>
      </c>
      <c r="C1028" s="40" t="str">
        <f>IF(Agent06_Savings!A35="","",Agent06_Savings!B35)</f>
        <v/>
      </c>
      <c r="D1028" s="40" t="str">
        <f>IF(Agent06_Savings!A35="","",Agent06_Savings!G35)</f>
        <v/>
      </c>
      <c r="E1028" s="41" t="str">
        <f>IF(Agent06_Savings!A35="","",Agent06_Savings!D35)</f>
        <v/>
      </c>
      <c r="F1028" s="42" t="str">
        <f>IF(Agent06_Savings!A35="","",Agent06_Savings!E35)</f>
        <v/>
      </c>
      <c r="G1028" s="42" t="str">
        <f>IF(Agent06_Savings!A35="","",Agent06_Savings!F35)</f>
        <v/>
      </c>
      <c r="H1028" s="40" t="str">
        <f>IF(Agent06_Savings!A35="","",Agent06_Savings!I35)</f>
        <v/>
      </c>
      <c r="I1028" s="40" t="str">
        <f>IF(Agent06_Savings!A35="","",Agent06_Savings!J35)</f>
        <v/>
      </c>
      <c r="J1028" s="40" t="str">
        <f>IF(Agent06_Savings!A35="","",Agent06_Savings!K35)</f>
        <v/>
      </c>
      <c r="K1028" s="40" t="str">
        <f>IFERROR(IF(Agent06_Savings!A35="","",YEAR(Agent06_Savings!D35)),"")</f>
        <v/>
      </c>
    </row>
    <row r="1029" spans="1:11" ht="18" customHeight="1" x14ac:dyDescent="0.25">
      <c r="A1029" s="40" t="str">
        <f>IF(Agent06_Savings!A36="","",Agent06_Savings!A36)</f>
        <v/>
      </c>
      <c r="B1029" s="40" t="str">
        <f ca="1">IF(Agent06_Savings!A36="","","SV"&amp;TEXT(1029-3,"0000")&amp;"-"&amp;TEXT(TODAY(),"YYYYMMDD"))</f>
        <v/>
      </c>
      <c r="C1029" s="40" t="str">
        <f>IF(Agent06_Savings!A36="","",Agent06_Savings!B36)</f>
        <v/>
      </c>
      <c r="D1029" s="40" t="str">
        <f>IF(Agent06_Savings!A36="","",Agent06_Savings!G36)</f>
        <v/>
      </c>
      <c r="E1029" s="41" t="str">
        <f>IF(Agent06_Savings!A36="","",Agent06_Savings!D36)</f>
        <v/>
      </c>
      <c r="F1029" s="42" t="str">
        <f>IF(Agent06_Savings!A36="","",Agent06_Savings!E36)</f>
        <v/>
      </c>
      <c r="G1029" s="42" t="str">
        <f>IF(Agent06_Savings!A36="","",Agent06_Savings!F36)</f>
        <v/>
      </c>
      <c r="H1029" s="40" t="str">
        <f>IF(Agent06_Savings!A36="","",Agent06_Savings!I36)</f>
        <v/>
      </c>
      <c r="I1029" s="40" t="str">
        <f>IF(Agent06_Savings!A36="","",Agent06_Savings!J36)</f>
        <v/>
      </c>
      <c r="J1029" s="40" t="str">
        <f>IF(Agent06_Savings!A36="","",Agent06_Savings!K36)</f>
        <v/>
      </c>
      <c r="K1029" s="40" t="str">
        <f>IFERROR(IF(Agent06_Savings!A36="","",YEAR(Agent06_Savings!D36)),"")</f>
        <v/>
      </c>
    </row>
    <row r="1030" spans="1:11" ht="18" customHeight="1" x14ac:dyDescent="0.25">
      <c r="A1030" s="40" t="str">
        <f>IF(Agent06_Savings!A37="","",Agent06_Savings!A37)</f>
        <v/>
      </c>
      <c r="B1030" s="40" t="str">
        <f ca="1">IF(Agent06_Savings!A37="","","SV"&amp;TEXT(1030-3,"0000")&amp;"-"&amp;TEXT(TODAY(),"YYYYMMDD"))</f>
        <v/>
      </c>
      <c r="C1030" s="40" t="str">
        <f>IF(Agent06_Savings!A37="","",Agent06_Savings!B37)</f>
        <v/>
      </c>
      <c r="D1030" s="40" t="str">
        <f>IF(Agent06_Savings!A37="","",Agent06_Savings!G37)</f>
        <v/>
      </c>
      <c r="E1030" s="41" t="str">
        <f>IF(Agent06_Savings!A37="","",Agent06_Savings!D37)</f>
        <v/>
      </c>
      <c r="F1030" s="42" t="str">
        <f>IF(Agent06_Savings!A37="","",Agent06_Savings!E37)</f>
        <v/>
      </c>
      <c r="G1030" s="42" t="str">
        <f>IF(Agent06_Savings!A37="","",Agent06_Savings!F37)</f>
        <v/>
      </c>
      <c r="H1030" s="40" t="str">
        <f>IF(Agent06_Savings!A37="","",Agent06_Savings!I37)</f>
        <v/>
      </c>
      <c r="I1030" s="40" t="str">
        <f>IF(Agent06_Savings!A37="","",Agent06_Savings!J37)</f>
        <v/>
      </c>
      <c r="J1030" s="40" t="str">
        <f>IF(Agent06_Savings!A37="","",Agent06_Savings!K37)</f>
        <v/>
      </c>
      <c r="K1030" s="40" t="str">
        <f>IFERROR(IF(Agent06_Savings!A37="","",YEAR(Agent06_Savings!D37)),"")</f>
        <v/>
      </c>
    </row>
    <row r="1031" spans="1:11" ht="18" customHeight="1" x14ac:dyDescent="0.25">
      <c r="A1031" s="40" t="str">
        <f>IF(Agent06_Savings!A38="","",Agent06_Savings!A38)</f>
        <v/>
      </c>
      <c r="B1031" s="40" t="str">
        <f ca="1">IF(Agent06_Savings!A38="","","SV"&amp;TEXT(1031-3,"0000")&amp;"-"&amp;TEXT(TODAY(),"YYYYMMDD"))</f>
        <v/>
      </c>
      <c r="C1031" s="40" t="str">
        <f>IF(Agent06_Savings!A38="","",Agent06_Savings!B38)</f>
        <v/>
      </c>
      <c r="D1031" s="40" t="str">
        <f>IF(Agent06_Savings!A38="","",Agent06_Savings!G38)</f>
        <v/>
      </c>
      <c r="E1031" s="41" t="str">
        <f>IF(Agent06_Savings!A38="","",Agent06_Savings!D38)</f>
        <v/>
      </c>
      <c r="F1031" s="42" t="str">
        <f>IF(Agent06_Savings!A38="","",Agent06_Savings!E38)</f>
        <v/>
      </c>
      <c r="G1031" s="42" t="str">
        <f>IF(Agent06_Savings!A38="","",Agent06_Savings!F38)</f>
        <v/>
      </c>
      <c r="H1031" s="40" t="str">
        <f>IF(Agent06_Savings!A38="","",Agent06_Savings!I38)</f>
        <v/>
      </c>
      <c r="I1031" s="40" t="str">
        <f>IF(Agent06_Savings!A38="","",Agent06_Savings!J38)</f>
        <v/>
      </c>
      <c r="J1031" s="40" t="str">
        <f>IF(Agent06_Savings!A38="","",Agent06_Savings!K38)</f>
        <v/>
      </c>
      <c r="K1031" s="40" t="str">
        <f>IFERROR(IF(Agent06_Savings!A38="","",YEAR(Agent06_Savings!D38)),"")</f>
        <v/>
      </c>
    </row>
    <row r="1032" spans="1:11" ht="18" customHeight="1" x14ac:dyDescent="0.25">
      <c r="A1032" s="40" t="str">
        <f>IF(Agent06_Savings!A39="","",Agent06_Savings!A39)</f>
        <v/>
      </c>
      <c r="B1032" s="40" t="str">
        <f ca="1">IF(Agent06_Savings!A39="","","SV"&amp;TEXT(1032-3,"0000")&amp;"-"&amp;TEXT(TODAY(),"YYYYMMDD"))</f>
        <v/>
      </c>
      <c r="C1032" s="40" t="str">
        <f>IF(Agent06_Savings!A39="","",Agent06_Savings!B39)</f>
        <v/>
      </c>
      <c r="D1032" s="40" t="str">
        <f>IF(Agent06_Savings!A39="","",Agent06_Savings!G39)</f>
        <v/>
      </c>
      <c r="E1032" s="41" t="str">
        <f>IF(Agent06_Savings!A39="","",Agent06_Savings!D39)</f>
        <v/>
      </c>
      <c r="F1032" s="42" t="str">
        <f>IF(Agent06_Savings!A39="","",Agent06_Savings!E39)</f>
        <v/>
      </c>
      <c r="G1032" s="42" t="str">
        <f>IF(Agent06_Savings!A39="","",Agent06_Savings!F39)</f>
        <v/>
      </c>
      <c r="H1032" s="40" t="str">
        <f>IF(Agent06_Savings!A39="","",Agent06_Savings!I39)</f>
        <v/>
      </c>
      <c r="I1032" s="40" t="str">
        <f>IF(Agent06_Savings!A39="","",Agent06_Savings!J39)</f>
        <v/>
      </c>
      <c r="J1032" s="40" t="str">
        <f>IF(Agent06_Savings!A39="","",Agent06_Savings!K39)</f>
        <v/>
      </c>
      <c r="K1032" s="40" t="str">
        <f>IFERROR(IF(Agent06_Savings!A39="","",YEAR(Agent06_Savings!D39)),"")</f>
        <v/>
      </c>
    </row>
    <row r="1033" spans="1:11" ht="18" customHeight="1" x14ac:dyDescent="0.25">
      <c r="A1033" s="40" t="str">
        <f>IF(Agent06_Savings!A40="","",Agent06_Savings!A40)</f>
        <v/>
      </c>
      <c r="B1033" s="40" t="str">
        <f ca="1">IF(Agent06_Savings!A40="","","SV"&amp;TEXT(1033-3,"0000")&amp;"-"&amp;TEXT(TODAY(),"YYYYMMDD"))</f>
        <v/>
      </c>
      <c r="C1033" s="40" t="str">
        <f>IF(Agent06_Savings!A40="","",Agent06_Savings!B40)</f>
        <v/>
      </c>
      <c r="D1033" s="40" t="str">
        <f>IF(Agent06_Savings!A40="","",Agent06_Savings!G40)</f>
        <v/>
      </c>
      <c r="E1033" s="41" t="str">
        <f>IF(Agent06_Savings!A40="","",Agent06_Savings!D40)</f>
        <v/>
      </c>
      <c r="F1033" s="42" t="str">
        <f>IF(Agent06_Savings!A40="","",Agent06_Savings!E40)</f>
        <v/>
      </c>
      <c r="G1033" s="42" t="str">
        <f>IF(Agent06_Savings!A40="","",Agent06_Savings!F40)</f>
        <v/>
      </c>
      <c r="H1033" s="40" t="str">
        <f>IF(Agent06_Savings!A40="","",Agent06_Savings!I40)</f>
        <v/>
      </c>
      <c r="I1033" s="40" t="str">
        <f>IF(Agent06_Savings!A40="","",Agent06_Savings!J40)</f>
        <v/>
      </c>
      <c r="J1033" s="40" t="str">
        <f>IF(Agent06_Savings!A40="","",Agent06_Savings!K40)</f>
        <v/>
      </c>
      <c r="K1033" s="40" t="str">
        <f>IFERROR(IF(Agent06_Savings!A40="","",YEAR(Agent06_Savings!D40)),"")</f>
        <v/>
      </c>
    </row>
    <row r="1034" spans="1:11" ht="18" customHeight="1" x14ac:dyDescent="0.25">
      <c r="A1034" s="40" t="str">
        <f>IF(Agent06_Savings!A41="","",Agent06_Savings!A41)</f>
        <v/>
      </c>
      <c r="B1034" s="40" t="str">
        <f ca="1">IF(Agent06_Savings!A41="","","SV"&amp;TEXT(1034-3,"0000")&amp;"-"&amp;TEXT(TODAY(),"YYYYMMDD"))</f>
        <v/>
      </c>
      <c r="C1034" s="40" t="str">
        <f>IF(Agent06_Savings!A41="","",Agent06_Savings!B41)</f>
        <v/>
      </c>
      <c r="D1034" s="40" t="str">
        <f>IF(Agent06_Savings!A41="","",Agent06_Savings!G41)</f>
        <v/>
      </c>
      <c r="E1034" s="41" t="str">
        <f>IF(Agent06_Savings!A41="","",Agent06_Savings!D41)</f>
        <v/>
      </c>
      <c r="F1034" s="42" t="str">
        <f>IF(Agent06_Savings!A41="","",Agent06_Savings!E41)</f>
        <v/>
      </c>
      <c r="G1034" s="42" t="str">
        <f>IF(Agent06_Savings!A41="","",Agent06_Savings!F41)</f>
        <v/>
      </c>
      <c r="H1034" s="40" t="str">
        <f>IF(Agent06_Savings!A41="","",Agent06_Savings!I41)</f>
        <v/>
      </c>
      <c r="I1034" s="40" t="str">
        <f>IF(Agent06_Savings!A41="","",Agent06_Savings!J41)</f>
        <v/>
      </c>
      <c r="J1034" s="40" t="str">
        <f>IF(Agent06_Savings!A41="","",Agent06_Savings!K41)</f>
        <v/>
      </c>
      <c r="K1034" s="40" t="str">
        <f>IFERROR(IF(Agent06_Savings!A41="","",YEAR(Agent06_Savings!D41)),"")</f>
        <v/>
      </c>
    </row>
    <row r="1035" spans="1:11" ht="18" customHeight="1" x14ac:dyDescent="0.25">
      <c r="A1035" s="40" t="str">
        <f>IF(Agent06_Savings!A42="","",Agent06_Savings!A42)</f>
        <v/>
      </c>
      <c r="B1035" s="40" t="str">
        <f ca="1">IF(Agent06_Savings!A42="","","SV"&amp;TEXT(1035-3,"0000")&amp;"-"&amp;TEXT(TODAY(),"YYYYMMDD"))</f>
        <v/>
      </c>
      <c r="C1035" s="40" t="str">
        <f>IF(Agent06_Savings!A42="","",Agent06_Savings!B42)</f>
        <v/>
      </c>
      <c r="D1035" s="40" t="str">
        <f>IF(Agent06_Savings!A42="","",Agent06_Savings!G42)</f>
        <v/>
      </c>
      <c r="E1035" s="41" t="str">
        <f>IF(Agent06_Savings!A42="","",Agent06_Savings!D42)</f>
        <v/>
      </c>
      <c r="F1035" s="42" t="str">
        <f>IF(Agent06_Savings!A42="","",Agent06_Savings!E42)</f>
        <v/>
      </c>
      <c r="G1035" s="42" t="str">
        <f>IF(Agent06_Savings!A42="","",Agent06_Savings!F42)</f>
        <v/>
      </c>
      <c r="H1035" s="40" t="str">
        <f>IF(Agent06_Savings!A42="","",Agent06_Savings!I42)</f>
        <v/>
      </c>
      <c r="I1035" s="40" t="str">
        <f>IF(Agent06_Savings!A42="","",Agent06_Savings!J42)</f>
        <v/>
      </c>
      <c r="J1035" s="40" t="str">
        <f>IF(Agent06_Savings!A42="","",Agent06_Savings!K42)</f>
        <v/>
      </c>
      <c r="K1035" s="40" t="str">
        <f>IFERROR(IF(Agent06_Savings!A42="","",YEAR(Agent06_Savings!D42)),"")</f>
        <v/>
      </c>
    </row>
    <row r="1036" spans="1:11" ht="18" customHeight="1" x14ac:dyDescent="0.25">
      <c r="A1036" s="40" t="str">
        <f>IF(Agent06_Savings!A43="","",Agent06_Savings!A43)</f>
        <v/>
      </c>
      <c r="B1036" s="40" t="str">
        <f ca="1">IF(Agent06_Savings!A43="","","SV"&amp;TEXT(1036-3,"0000")&amp;"-"&amp;TEXT(TODAY(),"YYYYMMDD"))</f>
        <v/>
      </c>
      <c r="C1036" s="40" t="str">
        <f>IF(Agent06_Savings!A43="","",Agent06_Savings!B43)</f>
        <v/>
      </c>
      <c r="D1036" s="40" t="str">
        <f>IF(Agent06_Savings!A43="","",Agent06_Savings!G43)</f>
        <v/>
      </c>
      <c r="E1036" s="41" t="str">
        <f>IF(Agent06_Savings!A43="","",Agent06_Savings!D43)</f>
        <v/>
      </c>
      <c r="F1036" s="42" t="str">
        <f>IF(Agent06_Savings!A43="","",Agent06_Savings!E43)</f>
        <v/>
      </c>
      <c r="G1036" s="42" t="str">
        <f>IF(Agent06_Savings!A43="","",Agent06_Savings!F43)</f>
        <v/>
      </c>
      <c r="H1036" s="40" t="str">
        <f>IF(Agent06_Savings!A43="","",Agent06_Savings!I43)</f>
        <v/>
      </c>
      <c r="I1036" s="40" t="str">
        <f>IF(Agent06_Savings!A43="","",Agent06_Savings!J43)</f>
        <v/>
      </c>
      <c r="J1036" s="40" t="str">
        <f>IF(Agent06_Savings!A43="","",Agent06_Savings!K43)</f>
        <v/>
      </c>
      <c r="K1036" s="40" t="str">
        <f>IFERROR(IF(Agent06_Savings!A43="","",YEAR(Agent06_Savings!D43)),"")</f>
        <v/>
      </c>
    </row>
    <row r="1037" spans="1:11" ht="18" customHeight="1" x14ac:dyDescent="0.25">
      <c r="A1037" s="40" t="str">
        <f>IF(Agent06_Savings!A44="","",Agent06_Savings!A44)</f>
        <v/>
      </c>
      <c r="B1037" s="40" t="str">
        <f ca="1">IF(Agent06_Savings!A44="","","SV"&amp;TEXT(1037-3,"0000")&amp;"-"&amp;TEXT(TODAY(),"YYYYMMDD"))</f>
        <v/>
      </c>
      <c r="C1037" s="40" t="str">
        <f>IF(Agent06_Savings!A44="","",Agent06_Savings!B44)</f>
        <v/>
      </c>
      <c r="D1037" s="40" t="str">
        <f>IF(Agent06_Savings!A44="","",Agent06_Savings!G44)</f>
        <v/>
      </c>
      <c r="E1037" s="41" t="str">
        <f>IF(Agent06_Savings!A44="","",Agent06_Savings!D44)</f>
        <v/>
      </c>
      <c r="F1037" s="42" t="str">
        <f>IF(Agent06_Savings!A44="","",Agent06_Savings!E44)</f>
        <v/>
      </c>
      <c r="G1037" s="42" t="str">
        <f>IF(Agent06_Savings!A44="","",Agent06_Savings!F44)</f>
        <v/>
      </c>
      <c r="H1037" s="40" t="str">
        <f>IF(Agent06_Savings!A44="","",Agent06_Savings!I44)</f>
        <v/>
      </c>
      <c r="I1037" s="40" t="str">
        <f>IF(Agent06_Savings!A44="","",Agent06_Savings!J44)</f>
        <v/>
      </c>
      <c r="J1037" s="40" t="str">
        <f>IF(Agent06_Savings!A44="","",Agent06_Savings!K44)</f>
        <v/>
      </c>
      <c r="K1037" s="40" t="str">
        <f>IFERROR(IF(Agent06_Savings!A44="","",YEAR(Agent06_Savings!D44)),"")</f>
        <v/>
      </c>
    </row>
    <row r="1038" spans="1:11" ht="18" customHeight="1" x14ac:dyDescent="0.25">
      <c r="A1038" s="40" t="str">
        <f>IF(Agent06_Savings!A45="","",Agent06_Savings!A45)</f>
        <v/>
      </c>
      <c r="B1038" s="40" t="str">
        <f ca="1">IF(Agent06_Savings!A45="","","SV"&amp;TEXT(1038-3,"0000")&amp;"-"&amp;TEXT(TODAY(),"YYYYMMDD"))</f>
        <v/>
      </c>
      <c r="C1038" s="40" t="str">
        <f>IF(Agent06_Savings!A45="","",Agent06_Savings!B45)</f>
        <v/>
      </c>
      <c r="D1038" s="40" t="str">
        <f>IF(Agent06_Savings!A45="","",Agent06_Savings!G45)</f>
        <v/>
      </c>
      <c r="E1038" s="41" t="str">
        <f>IF(Agent06_Savings!A45="","",Agent06_Savings!D45)</f>
        <v/>
      </c>
      <c r="F1038" s="42" t="str">
        <f>IF(Agent06_Savings!A45="","",Agent06_Savings!E45)</f>
        <v/>
      </c>
      <c r="G1038" s="42" t="str">
        <f>IF(Agent06_Savings!A45="","",Agent06_Savings!F45)</f>
        <v/>
      </c>
      <c r="H1038" s="40" t="str">
        <f>IF(Agent06_Savings!A45="","",Agent06_Savings!I45)</f>
        <v/>
      </c>
      <c r="I1038" s="40" t="str">
        <f>IF(Agent06_Savings!A45="","",Agent06_Savings!J45)</f>
        <v/>
      </c>
      <c r="J1038" s="40" t="str">
        <f>IF(Agent06_Savings!A45="","",Agent06_Savings!K45)</f>
        <v/>
      </c>
      <c r="K1038" s="40" t="str">
        <f>IFERROR(IF(Agent06_Savings!A45="","",YEAR(Agent06_Savings!D45)),"")</f>
        <v/>
      </c>
    </row>
    <row r="1039" spans="1:11" ht="18" customHeight="1" x14ac:dyDescent="0.25">
      <c r="A1039" s="40" t="str">
        <f>IF(Agent06_Savings!A46="","",Agent06_Savings!A46)</f>
        <v/>
      </c>
      <c r="B1039" s="40" t="str">
        <f ca="1">IF(Agent06_Savings!A46="","","SV"&amp;TEXT(1039-3,"0000")&amp;"-"&amp;TEXT(TODAY(),"YYYYMMDD"))</f>
        <v/>
      </c>
      <c r="C1039" s="40" t="str">
        <f>IF(Agent06_Savings!A46="","",Agent06_Savings!B46)</f>
        <v/>
      </c>
      <c r="D1039" s="40" t="str">
        <f>IF(Agent06_Savings!A46="","",Agent06_Savings!G46)</f>
        <v/>
      </c>
      <c r="E1039" s="41" t="str">
        <f>IF(Agent06_Savings!A46="","",Agent06_Savings!D46)</f>
        <v/>
      </c>
      <c r="F1039" s="42" t="str">
        <f>IF(Agent06_Savings!A46="","",Agent06_Savings!E46)</f>
        <v/>
      </c>
      <c r="G1039" s="42" t="str">
        <f>IF(Agent06_Savings!A46="","",Agent06_Savings!F46)</f>
        <v/>
      </c>
      <c r="H1039" s="40" t="str">
        <f>IF(Agent06_Savings!A46="","",Agent06_Savings!I46)</f>
        <v/>
      </c>
      <c r="I1039" s="40" t="str">
        <f>IF(Agent06_Savings!A46="","",Agent06_Savings!J46)</f>
        <v/>
      </c>
      <c r="J1039" s="40" t="str">
        <f>IF(Agent06_Savings!A46="","",Agent06_Savings!K46)</f>
        <v/>
      </c>
      <c r="K1039" s="40" t="str">
        <f>IFERROR(IF(Agent06_Savings!A46="","",YEAR(Agent06_Savings!D46)),"")</f>
        <v/>
      </c>
    </row>
    <row r="1040" spans="1:11" ht="18" customHeight="1" x14ac:dyDescent="0.25">
      <c r="A1040" s="40" t="str">
        <f>IF(Agent06_Savings!A47="","",Agent06_Savings!A47)</f>
        <v/>
      </c>
      <c r="B1040" s="40" t="str">
        <f ca="1">IF(Agent06_Savings!A47="","","SV"&amp;TEXT(1040-3,"0000")&amp;"-"&amp;TEXT(TODAY(),"YYYYMMDD"))</f>
        <v/>
      </c>
      <c r="C1040" s="40" t="str">
        <f>IF(Agent06_Savings!A47="","",Agent06_Savings!B47)</f>
        <v/>
      </c>
      <c r="D1040" s="40" t="str">
        <f>IF(Agent06_Savings!A47="","",Agent06_Savings!G47)</f>
        <v/>
      </c>
      <c r="E1040" s="41" t="str">
        <f>IF(Agent06_Savings!A47="","",Agent06_Savings!D47)</f>
        <v/>
      </c>
      <c r="F1040" s="42" t="str">
        <f>IF(Agent06_Savings!A47="","",Agent06_Savings!E47)</f>
        <v/>
      </c>
      <c r="G1040" s="42" t="str">
        <f>IF(Agent06_Savings!A47="","",Agent06_Savings!F47)</f>
        <v/>
      </c>
      <c r="H1040" s="40" t="str">
        <f>IF(Agent06_Savings!A47="","",Agent06_Savings!I47)</f>
        <v/>
      </c>
      <c r="I1040" s="40" t="str">
        <f>IF(Agent06_Savings!A47="","",Agent06_Savings!J47)</f>
        <v/>
      </c>
      <c r="J1040" s="40" t="str">
        <f>IF(Agent06_Savings!A47="","",Agent06_Savings!K47)</f>
        <v/>
      </c>
      <c r="K1040" s="40" t="str">
        <f>IFERROR(IF(Agent06_Savings!A47="","",YEAR(Agent06_Savings!D47)),"")</f>
        <v/>
      </c>
    </row>
    <row r="1041" spans="1:11" ht="18" customHeight="1" x14ac:dyDescent="0.25">
      <c r="A1041" s="40" t="str">
        <f>IF(Agent06_Savings!A48="","",Agent06_Savings!A48)</f>
        <v/>
      </c>
      <c r="B1041" s="40" t="str">
        <f ca="1">IF(Agent06_Savings!A48="","","SV"&amp;TEXT(1041-3,"0000")&amp;"-"&amp;TEXT(TODAY(),"YYYYMMDD"))</f>
        <v/>
      </c>
      <c r="C1041" s="40" t="str">
        <f>IF(Agent06_Savings!A48="","",Agent06_Savings!B48)</f>
        <v/>
      </c>
      <c r="D1041" s="40" t="str">
        <f>IF(Agent06_Savings!A48="","",Agent06_Savings!G48)</f>
        <v/>
      </c>
      <c r="E1041" s="41" t="str">
        <f>IF(Agent06_Savings!A48="","",Agent06_Savings!D48)</f>
        <v/>
      </c>
      <c r="F1041" s="42" t="str">
        <f>IF(Agent06_Savings!A48="","",Agent06_Savings!E48)</f>
        <v/>
      </c>
      <c r="G1041" s="42" t="str">
        <f>IF(Agent06_Savings!A48="","",Agent06_Savings!F48)</f>
        <v/>
      </c>
      <c r="H1041" s="40" t="str">
        <f>IF(Agent06_Savings!A48="","",Agent06_Savings!I48)</f>
        <v/>
      </c>
      <c r="I1041" s="40" t="str">
        <f>IF(Agent06_Savings!A48="","",Agent06_Savings!J48)</f>
        <v/>
      </c>
      <c r="J1041" s="40" t="str">
        <f>IF(Agent06_Savings!A48="","",Agent06_Savings!K48)</f>
        <v/>
      </c>
      <c r="K1041" s="40" t="str">
        <f>IFERROR(IF(Agent06_Savings!A48="","",YEAR(Agent06_Savings!D48)),"")</f>
        <v/>
      </c>
    </row>
    <row r="1042" spans="1:11" ht="18" customHeight="1" x14ac:dyDescent="0.25">
      <c r="A1042" s="40" t="str">
        <f>IF(Agent06_Savings!A49="","",Agent06_Savings!A49)</f>
        <v/>
      </c>
      <c r="B1042" s="40" t="str">
        <f ca="1">IF(Agent06_Savings!A49="","","SV"&amp;TEXT(1042-3,"0000")&amp;"-"&amp;TEXT(TODAY(),"YYYYMMDD"))</f>
        <v/>
      </c>
      <c r="C1042" s="40" t="str">
        <f>IF(Agent06_Savings!A49="","",Agent06_Savings!B49)</f>
        <v/>
      </c>
      <c r="D1042" s="40" t="str">
        <f>IF(Agent06_Savings!A49="","",Agent06_Savings!G49)</f>
        <v/>
      </c>
      <c r="E1042" s="41" t="str">
        <f>IF(Agent06_Savings!A49="","",Agent06_Savings!D49)</f>
        <v/>
      </c>
      <c r="F1042" s="42" t="str">
        <f>IF(Agent06_Savings!A49="","",Agent06_Savings!E49)</f>
        <v/>
      </c>
      <c r="G1042" s="42" t="str">
        <f>IF(Agent06_Savings!A49="","",Agent06_Savings!F49)</f>
        <v/>
      </c>
      <c r="H1042" s="40" t="str">
        <f>IF(Agent06_Savings!A49="","",Agent06_Savings!I49)</f>
        <v/>
      </c>
      <c r="I1042" s="40" t="str">
        <f>IF(Agent06_Savings!A49="","",Agent06_Savings!J49)</f>
        <v/>
      </c>
      <c r="J1042" s="40" t="str">
        <f>IF(Agent06_Savings!A49="","",Agent06_Savings!K49)</f>
        <v/>
      </c>
      <c r="K1042" s="40" t="str">
        <f>IFERROR(IF(Agent06_Savings!A49="","",YEAR(Agent06_Savings!D49)),"")</f>
        <v/>
      </c>
    </row>
    <row r="1043" spans="1:11" ht="18" customHeight="1" x14ac:dyDescent="0.25">
      <c r="A1043" s="40" t="str">
        <f>IF(Agent06_Savings!A50="","",Agent06_Savings!A50)</f>
        <v/>
      </c>
      <c r="B1043" s="40" t="str">
        <f ca="1">IF(Agent06_Savings!A50="","","SV"&amp;TEXT(1043-3,"0000")&amp;"-"&amp;TEXT(TODAY(),"YYYYMMDD"))</f>
        <v/>
      </c>
      <c r="C1043" s="40" t="str">
        <f>IF(Agent06_Savings!A50="","",Agent06_Savings!B50)</f>
        <v/>
      </c>
      <c r="D1043" s="40" t="str">
        <f>IF(Agent06_Savings!A50="","",Agent06_Savings!G50)</f>
        <v/>
      </c>
      <c r="E1043" s="41" t="str">
        <f>IF(Agent06_Savings!A50="","",Agent06_Savings!D50)</f>
        <v/>
      </c>
      <c r="F1043" s="42" t="str">
        <f>IF(Agent06_Savings!A50="","",Agent06_Savings!E50)</f>
        <v/>
      </c>
      <c r="G1043" s="42" t="str">
        <f>IF(Agent06_Savings!A50="","",Agent06_Savings!F50)</f>
        <v/>
      </c>
      <c r="H1043" s="40" t="str">
        <f>IF(Agent06_Savings!A50="","",Agent06_Savings!I50)</f>
        <v/>
      </c>
      <c r="I1043" s="40" t="str">
        <f>IF(Agent06_Savings!A50="","",Agent06_Savings!J50)</f>
        <v/>
      </c>
      <c r="J1043" s="40" t="str">
        <f>IF(Agent06_Savings!A50="","",Agent06_Savings!K50)</f>
        <v/>
      </c>
      <c r="K1043" s="40" t="str">
        <f>IFERROR(IF(Agent06_Savings!A50="","",YEAR(Agent06_Savings!D50)),"")</f>
        <v/>
      </c>
    </row>
    <row r="1044" spans="1:11" ht="18" customHeight="1" x14ac:dyDescent="0.25">
      <c r="A1044" s="40" t="str">
        <f>IF(Agent06_Savings!A51="","",Agent06_Savings!A51)</f>
        <v/>
      </c>
      <c r="B1044" s="40" t="str">
        <f ca="1">IF(Agent06_Savings!A51="","","SV"&amp;TEXT(1044-3,"0000")&amp;"-"&amp;TEXT(TODAY(),"YYYYMMDD"))</f>
        <v/>
      </c>
      <c r="C1044" s="40" t="str">
        <f>IF(Agent06_Savings!A51="","",Agent06_Savings!B51)</f>
        <v/>
      </c>
      <c r="D1044" s="40" t="str">
        <f>IF(Agent06_Savings!A51="","",Agent06_Savings!G51)</f>
        <v/>
      </c>
      <c r="E1044" s="41" t="str">
        <f>IF(Agent06_Savings!A51="","",Agent06_Savings!D51)</f>
        <v/>
      </c>
      <c r="F1044" s="42" t="str">
        <f>IF(Agent06_Savings!A51="","",Agent06_Savings!E51)</f>
        <v/>
      </c>
      <c r="G1044" s="42" t="str">
        <f>IF(Agent06_Savings!A51="","",Agent06_Savings!F51)</f>
        <v/>
      </c>
      <c r="H1044" s="40" t="str">
        <f>IF(Agent06_Savings!A51="","",Agent06_Savings!I51)</f>
        <v/>
      </c>
      <c r="I1044" s="40" t="str">
        <f>IF(Agent06_Savings!A51="","",Agent06_Savings!J51)</f>
        <v/>
      </c>
      <c r="J1044" s="40" t="str">
        <f>IF(Agent06_Savings!A51="","",Agent06_Savings!K51)</f>
        <v/>
      </c>
      <c r="K1044" s="40" t="str">
        <f>IFERROR(IF(Agent06_Savings!A51="","",YEAR(Agent06_Savings!D51)),"")</f>
        <v/>
      </c>
    </row>
    <row r="1045" spans="1:11" ht="18" customHeight="1" x14ac:dyDescent="0.25">
      <c r="A1045" s="40" t="str">
        <f>IF(Agent06_Savings!A52="","",Agent06_Savings!A52)</f>
        <v/>
      </c>
      <c r="B1045" s="40" t="str">
        <f ca="1">IF(Agent06_Savings!A52="","","SV"&amp;TEXT(1045-3,"0000")&amp;"-"&amp;TEXT(TODAY(),"YYYYMMDD"))</f>
        <v/>
      </c>
      <c r="C1045" s="40" t="str">
        <f>IF(Agent06_Savings!A52="","",Agent06_Savings!B52)</f>
        <v/>
      </c>
      <c r="D1045" s="40" t="str">
        <f>IF(Agent06_Savings!A52="","",Agent06_Savings!G52)</f>
        <v/>
      </c>
      <c r="E1045" s="41" t="str">
        <f>IF(Agent06_Savings!A52="","",Agent06_Savings!D52)</f>
        <v/>
      </c>
      <c r="F1045" s="42" t="str">
        <f>IF(Agent06_Savings!A52="","",Agent06_Savings!E52)</f>
        <v/>
      </c>
      <c r="G1045" s="42" t="str">
        <f>IF(Agent06_Savings!A52="","",Agent06_Savings!F52)</f>
        <v/>
      </c>
      <c r="H1045" s="40" t="str">
        <f>IF(Agent06_Savings!A52="","",Agent06_Savings!I52)</f>
        <v/>
      </c>
      <c r="I1045" s="40" t="str">
        <f>IF(Agent06_Savings!A52="","",Agent06_Savings!J52)</f>
        <v/>
      </c>
      <c r="J1045" s="40" t="str">
        <f>IF(Agent06_Savings!A52="","",Agent06_Savings!K52)</f>
        <v/>
      </c>
      <c r="K1045" s="40" t="str">
        <f>IFERROR(IF(Agent06_Savings!A52="","",YEAR(Agent06_Savings!D52)),"")</f>
        <v/>
      </c>
    </row>
    <row r="1046" spans="1:11" ht="18" customHeight="1" x14ac:dyDescent="0.25">
      <c r="A1046" s="40" t="str">
        <f>IF(Agent06_Savings!A53="","",Agent06_Savings!A53)</f>
        <v/>
      </c>
      <c r="B1046" s="40" t="str">
        <f ca="1">IF(Agent06_Savings!A53="","","SV"&amp;TEXT(1046-3,"0000")&amp;"-"&amp;TEXT(TODAY(),"YYYYMMDD"))</f>
        <v/>
      </c>
      <c r="C1046" s="40" t="str">
        <f>IF(Agent06_Savings!A53="","",Agent06_Savings!B53)</f>
        <v/>
      </c>
      <c r="D1046" s="40" t="str">
        <f>IF(Agent06_Savings!A53="","",Agent06_Savings!G53)</f>
        <v/>
      </c>
      <c r="E1046" s="41" t="str">
        <f>IF(Agent06_Savings!A53="","",Agent06_Savings!D53)</f>
        <v/>
      </c>
      <c r="F1046" s="42" t="str">
        <f>IF(Agent06_Savings!A53="","",Agent06_Savings!E53)</f>
        <v/>
      </c>
      <c r="G1046" s="42" t="str">
        <f>IF(Agent06_Savings!A53="","",Agent06_Savings!F53)</f>
        <v/>
      </c>
      <c r="H1046" s="40" t="str">
        <f>IF(Agent06_Savings!A53="","",Agent06_Savings!I53)</f>
        <v/>
      </c>
      <c r="I1046" s="40" t="str">
        <f>IF(Agent06_Savings!A53="","",Agent06_Savings!J53)</f>
        <v/>
      </c>
      <c r="J1046" s="40" t="str">
        <f>IF(Agent06_Savings!A53="","",Agent06_Savings!K53)</f>
        <v/>
      </c>
      <c r="K1046" s="40" t="str">
        <f>IFERROR(IF(Agent06_Savings!A53="","",YEAR(Agent06_Savings!D53)),"")</f>
        <v/>
      </c>
    </row>
    <row r="1047" spans="1:11" ht="18" customHeight="1" x14ac:dyDescent="0.25">
      <c r="A1047" s="40" t="str">
        <f>IF(Agent06_Savings!A54="","",Agent06_Savings!A54)</f>
        <v/>
      </c>
      <c r="B1047" s="40" t="str">
        <f ca="1">IF(Agent06_Savings!A54="","","SV"&amp;TEXT(1047-3,"0000")&amp;"-"&amp;TEXT(TODAY(),"YYYYMMDD"))</f>
        <v/>
      </c>
      <c r="C1047" s="40" t="str">
        <f>IF(Agent06_Savings!A54="","",Agent06_Savings!B54)</f>
        <v/>
      </c>
      <c r="D1047" s="40" t="str">
        <f>IF(Agent06_Savings!A54="","",Agent06_Savings!G54)</f>
        <v/>
      </c>
      <c r="E1047" s="41" t="str">
        <f>IF(Agent06_Savings!A54="","",Agent06_Savings!D54)</f>
        <v/>
      </c>
      <c r="F1047" s="42" t="str">
        <f>IF(Agent06_Savings!A54="","",Agent06_Savings!E54)</f>
        <v/>
      </c>
      <c r="G1047" s="42" t="str">
        <f>IF(Agent06_Savings!A54="","",Agent06_Savings!F54)</f>
        <v/>
      </c>
      <c r="H1047" s="40" t="str">
        <f>IF(Agent06_Savings!A54="","",Agent06_Savings!I54)</f>
        <v/>
      </c>
      <c r="I1047" s="40" t="str">
        <f>IF(Agent06_Savings!A54="","",Agent06_Savings!J54)</f>
        <v/>
      </c>
      <c r="J1047" s="40" t="str">
        <f>IF(Agent06_Savings!A54="","",Agent06_Savings!K54)</f>
        <v/>
      </c>
      <c r="K1047" s="40" t="str">
        <f>IFERROR(IF(Agent06_Savings!A54="","",YEAR(Agent06_Savings!D54)),"")</f>
        <v/>
      </c>
    </row>
    <row r="1048" spans="1:11" ht="18" customHeight="1" x14ac:dyDescent="0.25">
      <c r="A1048" s="40" t="str">
        <f>IF(Agent06_Savings!A55="","",Agent06_Savings!A55)</f>
        <v/>
      </c>
      <c r="B1048" s="40" t="str">
        <f ca="1">IF(Agent06_Savings!A55="","","SV"&amp;TEXT(1048-3,"0000")&amp;"-"&amp;TEXT(TODAY(),"YYYYMMDD"))</f>
        <v/>
      </c>
      <c r="C1048" s="40" t="str">
        <f>IF(Agent06_Savings!A55="","",Agent06_Savings!B55)</f>
        <v/>
      </c>
      <c r="D1048" s="40" t="str">
        <f>IF(Agent06_Savings!A55="","",Agent06_Savings!G55)</f>
        <v/>
      </c>
      <c r="E1048" s="41" t="str">
        <f>IF(Agent06_Savings!A55="","",Agent06_Savings!D55)</f>
        <v/>
      </c>
      <c r="F1048" s="42" t="str">
        <f>IF(Agent06_Savings!A55="","",Agent06_Savings!E55)</f>
        <v/>
      </c>
      <c r="G1048" s="42" t="str">
        <f>IF(Agent06_Savings!A55="","",Agent06_Savings!F55)</f>
        <v/>
      </c>
      <c r="H1048" s="40" t="str">
        <f>IF(Agent06_Savings!A55="","",Agent06_Savings!I55)</f>
        <v/>
      </c>
      <c r="I1048" s="40" t="str">
        <f>IF(Agent06_Savings!A55="","",Agent06_Savings!J55)</f>
        <v/>
      </c>
      <c r="J1048" s="40" t="str">
        <f>IF(Agent06_Savings!A55="","",Agent06_Savings!K55)</f>
        <v/>
      </c>
      <c r="K1048" s="40" t="str">
        <f>IFERROR(IF(Agent06_Savings!A55="","",YEAR(Agent06_Savings!D55)),"")</f>
        <v/>
      </c>
    </row>
    <row r="1049" spans="1:11" ht="18" customHeight="1" x14ac:dyDescent="0.25">
      <c r="A1049" s="40" t="str">
        <f>IF(Agent06_Savings!A56="","",Agent06_Savings!A56)</f>
        <v/>
      </c>
      <c r="B1049" s="40" t="str">
        <f ca="1">IF(Agent06_Savings!A56="","","SV"&amp;TEXT(1049-3,"0000")&amp;"-"&amp;TEXT(TODAY(),"YYYYMMDD"))</f>
        <v/>
      </c>
      <c r="C1049" s="40" t="str">
        <f>IF(Agent06_Savings!A56="","",Agent06_Savings!B56)</f>
        <v/>
      </c>
      <c r="D1049" s="40" t="str">
        <f>IF(Agent06_Savings!A56="","",Agent06_Savings!G56)</f>
        <v/>
      </c>
      <c r="E1049" s="41" t="str">
        <f>IF(Agent06_Savings!A56="","",Agent06_Savings!D56)</f>
        <v/>
      </c>
      <c r="F1049" s="42" t="str">
        <f>IF(Agent06_Savings!A56="","",Agent06_Savings!E56)</f>
        <v/>
      </c>
      <c r="G1049" s="42" t="str">
        <f>IF(Agent06_Savings!A56="","",Agent06_Savings!F56)</f>
        <v/>
      </c>
      <c r="H1049" s="40" t="str">
        <f>IF(Agent06_Savings!A56="","",Agent06_Savings!I56)</f>
        <v/>
      </c>
      <c r="I1049" s="40" t="str">
        <f>IF(Agent06_Savings!A56="","",Agent06_Savings!J56)</f>
        <v/>
      </c>
      <c r="J1049" s="40" t="str">
        <f>IF(Agent06_Savings!A56="","",Agent06_Savings!K56)</f>
        <v/>
      </c>
      <c r="K1049" s="40" t="str">
        <f>IFERROR(IF(Agent06_Savings!A56="","",YEAR(Agent06_Savings!D56)),"")</f>
        <v/>
      </c>
    </row>
    <row r="1050" spans="1:11" ht="18" customHeight="1" x14ac:dyDescent="0.25">
      <c r="A1050" s="40" t="str">
        <f>IF(Agent06_Savings!A57="","",Agent06_Savings!A57)</f>
        <v/>
      </c>
      <c r="B1050" s="40" t="str">
        <f ca="1">IF(Agent06_Savings!A57="","","SV"&amp;TEXT(1050-3,"0000")&amp;"-"&amp;TEXT(TODAY(),"YYYYMMDD"))</f>
        <v/>
      </c>
      <c r="C1050" s="40" t="str">
        <f>IF(Agent06_Savings!A57="","",Agent06_Savings!B57)</f>
        <v/>
      </c>
      <c r="D1050" s="40" t="str">
        <f>IF(Agent06_Savings!A57="","",Agent06_Savings!G57)</f>
        <v/>
      </c>
      <c r="E1050" s="41" t="str">
        <f>IF(Agent06_Savings!A57="","",Agent06_Savings!D57)</f>
        <v/>
      </c>
      <c r="F1050" s="42" t="str">
        <f>IF(Agent06_Savings!A57="","",Agent06_Savings!E57)</f>
        <v/>
      </c>
      <c r="G1050" s="42" t="str">
        <f>IF(Agent06_Savings!A57="","",Agent06_Savings!F57)</f>
        <v/>
      </c>
      <c r="H1050" s="40" t="str">
        <f>IF(Agent06_Savings!A57="","",Agent06_Savings!I57)</f>
        <v/>
      </c>
      <c r="I1050" s="40" t="str">
        <f>IF(Agent06_Savings!A57="","",Agent06_Savings!J57)</f>
        <v/>
      </c>
      <c r="J1050" s="40" t="str">
        <f>IF(Agent06_Savings!A57="","",Agent06_Savings!K57)</f>
        <v/>
      </c>
      <c r="K1050" s="40" t="str">
        <f>IFERROR(IF(Agent06_Savings!A57="","",YEAR(Agent06_Savings!D57)),"")</f>
        <v/>
      </c>
    </row>
    <row r="1051" spans="1:11" ht="18" customHeight="1" x14ac:dyDescent="0.25">
      <c r="A1051" s="40" t="str">
        <f>IF(Agent06_Savings!A58="","",Agent06_Savings!A58)</f>
        <v/>
      </c>
      <c r="B1051" s="40" t="str">
        <f ca="1">IF(Agent06_Savings!A58="","","SV"&amp;TEXT(1051-3,"0000")&amp;"-"&amp;TEXT(TODAY(),"YYYYMMDD"))</f>
        <v/>
      </c>
      <c r="C1051" s="40" t="str">
        <f>IF(Agent06_Savings!A58="","",Agent06_Savings!B58)</f>
        <v/>
      </c>
      <c r="D1051" s="40" t="str">
        <f>IF(Agent06_Savings!A58="","",Agent06_Savings!G58)</f>
        <v/>
      </c>
      <c r="E1051" s="41" t="str">
        <f>IF(Agent06_Savings!A58="","",Agent06_Savings!D58)</f>
        <v/>
      </c>
      <c r="F1051" s="42" t="str">
        <f>IF(Agent06_Savings!A58="","",Agent06_Savings!E58)</f>
        <v/>
      </c>
      <c r="G1051" s="42" t="str">
        <f>IF(Agent06_Savings!A58="","",Agent06_Savings!F58)</f>
        <v/>
      </c>
      <c r="H1051" s="40" t="str">
        <f>IF(Agent06_Savings!A58="","",Agent06_Savings!I58)</f>
        <v/>
      </c>
      <c r="I1051" s="40" t="str">
        <f>IF(Agent06_Savings!A58="","",Agent06_Savings!J58)</f>
        <v/>
      </c>
      <c r="J1051" s="40" t="str">
        <f>IF(Agent06_Savings!A58="","",Agent06_Savings!K58)</f>
        <v/>
      </c>
      <c r="K1051" s="40" t="str">
        <f>IFERROR(IF(Agent06_Savings!A58="","",YEAR(Agent06_Savings!D58)),"")</f>
        <v/>
      </c>
    </row>
    <row r="1052" spans="1:11" ht="18" customHeight="1" x14ac:dyDescent="0.25">
      <c r="A1052" s="40" t="str">
        <f>IF(Agent06_Savings!A59="","",Agent06_Savings!A59)</f>
        <v/>
      </c>
      <c r="B1052" s="40" t="str">
        <f ca="1">IF(Agent06_Savings!A59="","","SV"&amp;TEXT(1052-3,"0000")&amp;"-"&amp;TEXT(TODAY(),"YYYYMMDD"))</f>
        <v/>
      </c>
      <c r="C1052" s="40" t="str">
        <f>IF(Agent06_Savings!A59="","",Agent06_Savings!B59)</f>
        <v/>
      </c>
      <c r="D1052" s="40" t="str">
        <f>IF(Agent06_Savings!A59="","",Agent06_Savings!G59)</f>
        <v/>
      </c>
      <c r="E1052" s="41" t="str">
        <f>IF(Agent06_Savings!A59="","",Agent06_Savings!D59)</f>
        <v/>
      </c>
      <c r="F1052" s="42" t="str">
        <f>IF(Agent06_Savings!A59="","",Agent06_Savings!E59)</f>
        <v/>
      </c>
      <c r="G1052" s="42" t="str">
        <f>IF(Agent06_Savings!A59="","",Agent06_Savings!F59)</f>
        <v/>
      </c>
      <c r="H1052" s="40" t="str">
        <f>IF(Agent06_Savings!A59="","",Agent06_Savings!I59)</f>
        <v/>
      </c>
      <c r="I1052" s="40" t="str">
        <f>IF(Agent06_Savings!A59="","",Agent06_Savings!J59)</f>
        <v/>
      </c>
      <c r="J1052" s="40" t="str">
        <f>IF(Agent06_Savings!A59="","",Agent06_Savings!K59)</f>
        <v/>
      </c>
      <c r="K1052" s="40" t="str">
        <f>IFERROR(IF(Agent06_Savings!A59="","",YEAR(Agent06_Savings!D59)),"")</f>
        <v/>
      </c>
    </row>
    <row r="1053" spans="1:11" ht="18" customHeight="1" x14ac:dyDescent="0.25">
      <c r="A1053" s="40" t="str">
        <f>IF(Agent06_Savings!A60="","",Agent06_Savings!A60)</f>
        <v/>
      </c>
      <c r="B1053" s="40" t="str">
        <f ca="1">IF(Agent06_Savings!A60="","","SV"&amp;TEXT(1053-3,"0000")&amp;"-"&amp;TEXT(TODAY(),"YYYYMMDD"))</f>
        <v/>
      </c>
      <c r="C1053" s="40" t="str">
        <f>IF(Agent06_Savings!A60="","",Agent06_Savings!B60)</f>
        <v/>
      </c>
      <c r="D1053" s="40" t="str">
        <f>IF(Agent06_Savings!A60="","",Agent06_Savings!G60)</f>
        <v/>
      </c>
      <c r="E1053" s="41" t="str">
        <f>IF(Agent06_Savings!A60="","",Agent06_Savings!D60)</f>
        <v/>
      </c>
      <c r="F1053" s="42" t="str">
        <f>IF(Agent06_Savings!A60="","",Agent06_Savings!E60)</f>
        <v/>
      </c>
      <c r="G1053" s="42" t="str">
        <f>IF(Agent06_Savings!A60="","",Agent06_Savings!F60)</f>
        <v/>
      </c>
      <c r="H1053" s="40" t="str">
        <f>IF(Agent06_Savings!A60="","",Agent06_Savings!I60)</f>
        <v/>
      </c>
      <c r="I1053" s="40" t="str">
        <f>IF(Agent06_Savings!A60="","",Agent06_Savings!J60)</f>
        <v/>
      </c>
      <c r="J1053" s="40" t="str">
        <f>IF(Agent06_Savings!A60="","",Agent06_Savings!K60)</f>
        <v/>
      </c>
      <c r="K1053" s="40" t="str">
        <f>IFERROR(IF(Agent06_Savings!A60="","",YEAR(Agent06_Savings!D60)),"")</f>
        <v/>
      </c>
    </row>
    <row r="1054" spans="1:11" ht="18" customHeight="1" x14ac:dyDescent="0.25">
      <c r="A1054" s="40" t="str">
        <f>IF(Agent06_Savings!A61="","",Agent06_Savings!A61)</f>
        <v/>
      </c>
      <c r="B1054" s="40" t="str">
        <f ca="1">IF(Agent06_Savings!A61="","","SV"&amp;TEXT(1054-3,"0000")&amp;"-"&amp;TEXT(TODAY(),"YYYYMMDD"))</f>
        <v/>
      </c>
      <c r="C1054" s="40" t="str">
        <f>IF(Agent06_Savings!A61="","",Agent06_Savings!B61)</f>
        <v/>
      </c>
      <c r="D1054" s="40" t="str">
        <f>IF(Agent06_Savings!A61="","",Agent06_Savings!G61)</f>
        <v/>
      </c>
      <c r="E1054" s="41" t="str">
        <f>IF(Agent06_Savings!A61="","",Agent06_Savings!D61)</f>
        <v/>
      </c>
      <c r="F1054" s="42" t="str">
        <f>IF(Agent06_Savings!A61="","",Agent06_Savings!E61)</f>
        <v/>
      </c>
      <c r="G1054" s="42" t="str">
        <f>IF(Agent06_Savings!A61="","",Agent06_Savings!F61)</f>
        <v/>
      </c>
      <c r="H1054" s="40" t="str">
        <f>IF(Agent06_Savings!A61="","",Agent06_Savings!I61)</f>
        <v/>
      </c>
      <c r="I1054" s="40" t="str">
        <f>IF(Agent06_Savings!A61="","",Agent06_Savings!J61)</f>
        <v/>
      </c>
      <c r="J1054" s="40" t="str">
        <f>IF(Agent06_Savings!A61="","",Agent06_Savings!K61)</f>
        <v/>
      </c>
      <c r="K1054" s="40" t="str">
        <f>IFERROR(IF(Agent06_Savings!A61="","",YEAR(Agent06_Savings!D61)),"")</f>
        <v/>
      </c>
    </row>
    <row r="1055" spans="1:11" ht="18" customHeight="1" x14ac:dyDescent="0.25">
      <c r="A1055" s="40" t="str">
        <f>IF(Agent06_Savings!A62="","",Agent06_Savings!A62)</f>
        <v/>
      </c>
      <c r="B1055" s="40" t="str">
        <f ca="1">IF(Agent06_Savings!A62="","","SV"&amp;TEXT(1055-3,"0000")&amp;"-"&amp;TEXT(TODAY(),"YYYYMMDD"))</f>
        <v/>
      </c>
      <c r="C1055" s="40" t="str">
        <f>IF(Agent06_Savings!A62="","",Agent06_Savings!B62)</f>
        <v/>
      </c>
      <c r="D1055" s="40" t="str">
        <f>IF(Agent06_Savings!A62="","",Agent06_Savings!G62)</f>
        <v/>
      </c>
      <c r="E1055" s="41" t="str">
        <f>IF(Agent06_Savings!A62="","",Agent06_Savings!D62)</f>
        <v/>
      </c>
      <c r="F1055" s="42" t="str">
        <f>IF(Agent06_Savings!A62="","",Agent06_Savings!E62)</f>
        <v/>
      </c>
      <c r="G1055" s="42" t="str">
        <f>IF(Agent06_Savings!A62="","",Agent06_Savings!F62)</f>
        <v/>
      </c>
      <c r="H1055" s="40" t="str">
        <f>IF(Agent06_Savings!A62="","",Agent06_Savings!I62)</f>
        <v/>
      </c>
      <c r="I1055" s="40" t="str">
        <f>IF(Agent06_Savings!A62="","",Agent06_Savings!J62)</f>
        <v/>
      </c>
      <c r="J1055" s="40" t="str">
        <f>IF(Agent06_Savings!A62="","",Agent06_Savings!K62)</f>
        <v/>
      </c>
      <c r="K1055" s="40" t="str">
        <f>IFERROR(IF(Agent06_Savings!A62="","",YEAR(Agent06_Savings!D62)),"")</f>
        <v/>
      </c>
    </row>
    <row r="1056" spans="1:11" ht="18" customHeight="1" x14ac:dyDescent="0.25">
      <c r="A1056" s="40" t="str">
        <f>IF(Agent06_Savings!A63="","",Agent06_Savings!A63)</f>
        <v/>
      </c>
      <c r="B1056" s="40" t="str">
        <f ca="1">IF(Agent06_Savings!A63="","","SV"&amp;TEXT(1056-3,"0000")&amp;"-"&amp;TEXT(TODAY(),"YYYYMMDD"))</f>
        <v/>
      </c>
      <c r="C1056" s="40" t="str">
        <f>IF(Agent06_Savings!A63="","",Agent06_Savings!B63)</f>
        <v/>
      </c>
      <c r="D1056" s="40" t="str">
        <f>IF(Agent06_Savings!A63="","",Agent06_Savings!G63)</f>
        <v/>
      </c>
      <c r="E1056" s="41" t="str">
        <f>IF(Agent06_Savings!A63="","",Agent06_Savings!D63)</f>
        <v/>
      </c>
      <c r="F1056" s="42" t="str">
        <f>IF(Agent06_Savings!A63="","",Agent06_Savings!E63)</f>
        <v/>
      </c>
      <c r="G1056" s="42" t="str">
        <f>IF(Agent06_Savings!A63="","",Agent06_Savings!F63)</f>
        <v/>
      </c>
      <c r="H1056" s="40" t="str">
        <f>IF(Agent06_Savings!A63="","",Agent06_Savings!I63)</f>
        <v/>
      </c>
      <c r="I1056" s="40" t="str">
        <f>IF(Agent06_Savings!A63="","",Agent06_Savings!J63)</f>
        <v/>
      </c>
      <c r="J1056" s="40" t="str">
        <f>IF(Agent06_Savings!A63="","",Agent06_Savings!K63)</f>
        <v/>
      </c>
      <c r="K1056" s="40" t="str">
        <f>IFERROR(IF(Agent06_Savings!A63="","",YEAR(Agent06_Savings!D63)),"")</f>
        <v/>
      </c>
    </row>
    <row r="1057" spans="1:11" ht="18" customHeight="1" x14ac:dyDescent="0.25">
      <c r="A1057" s="40" t="str">
        <f>IF(Agent06_Savings!A64="","",Agent06_Savings!A64)</f>
        <v/>
      </c>
      <c r="B1057" s="40" t="str">
        <f ca="1">IF(Agent06_Savings!A64="","","SV"&amp;TEXT(1057-3,"0000")&amp;"-"&amp;TEXT(TODAY(),"YYYYMMDD"))</f>
        <v/>
      </c>
      <c r="C1057" s="40" t="str">
        <f>IF(Agent06_Savings!A64="","",Agent06_Savings!B64)</f>
        <v/>
      </c>
      <c r="D1057" s="40" t="str">
        <f>IF(Agent06_Savings!A64="","",Agent06_Savings!G64)</f>
        <v/>
      </c>
      <c r="E1057" s="41" t="str">
        <f>IF(Agent06_Savings!A64="","",Agent06_Savings!D64)</f>
        <v/>
      </c>
      <c r="F1057" s="42" t="str">
        <f>IF(Agent06_Savings!A64="","",Agent06_Savings!E64)</f>
        <v/>
      </c>
      <c r="G1057" s="42" t="str">
        <f>IF(Agent06_Savings!A64="","",Agent06_Savings!F64)</f>
        <v/>
      </c>
      <c r="H1057" s="40" t="str">
        <f>IF(Agent06_Savings!A64="","",Agent06_Savings!I64)</f>
        <v/>
      </c>
      <c r="I1057" s="40" t="str">
        <f>IF(Agent06_Savings!A64="","",Agent06_Savings!J64)</f>
        <v/>
      </c>
      <c r="J1057" s="40" t="str">
        <f>IF(Agent06_Savings!A64="","",Agent06_Savings!K64)</f>
        <v/>
      </c>
      <c r="K1057" s="40" t="str">
        <f>IFERROR(IF(Agent06_Savings!A64="","",YEAR(Agent06_Savings!D64)),"")</f>
        <v/>
      </c>
    </row>
    <row r="1058" spans="1:11" ht="18" customHeight="1" x14ac:dyDescent="0.25">
      <c r="A1058" s="40" t="str">
        <f>IF(Agent06_Savings!A65="","",Agent06_Savings!A65)</f>
        <v/>
      </c>
      <c r="B1058" s="40" t="str">
        <f ca="1">IF(Agent06_Savings!A65="","","SV"&amp;TEXT(1058-3,"0000")&amp;"-"&amp;TEXT(TODAY(),"YYYYMMDD"))</f>
        <v/>
      </c>
      <c r="C1058" s="40" t="str">
        <f>IF(Agent06_Savings!A65="","",Agent06_Savings!B65)</f>
        <v/>
      </c>
      <c r="D1058" s="40" t="str">
        <f>IF(Agent06_Savings!A65="","",Agent06_Savings!G65)</f>
        <v/>
      </c>
      <c r="E1058" s="41" t="str">
        <f>IF(Agent06_Savings!A65="","",Agent06_Savings!D65)</f>
        <v/>
      </c>
      <c r="F1058" s="42" t="str">
        <f>IF(Agent06_Savings!A65="","",Agent06_Savings!E65)</f>
        <v/>
      </c>
      <c r="G1058" s="42" t="str">
        <f>IF(Agent06_Savings!A65="","",Agent06_Savings!F65)</f>
        <v/>
      </c>
      <c r="H1058" s="40" t="str">
        <f>IF(Agent06_Savings!A65="","",Agent06_Savings!I65)</f>
        <v/>
      </c>
      <c r="I1058" s="40" t="str">
        <f>IF(Agent06_Savings!A65="","",Agent06_Savings!J65)</f>
        <v/>
      </c>
      <c r="J1058" s="40" t="str">
        <f>IF(Agent06_Savings!A65="","",Agent06_Savings!K65)</f>
        <v/>
      </c>
      <c r="K1058" s="40" t="str">
        <f>IFERROR(IF(Agent06_Savings!A65="","",YEAR(Agent06_Savings!D65)),"")</f>
        <v/>
      </c>
    </row>
    <row r="1059" spans="1:11" ht="18" customHeight="1" x14ac:dyDescent="0.25">
      <c r="A1059" s="40" t="str">
        <f>IF(Agent06_Savings!A66="","",Agent06_Savings!A66)</f>
        <v/>
      </c>
      <c r="B1059" s="40" t="str">
        <f ca="1">IF(Agent06_Savings!A66="","","SV"&amp;TEXT(1059-3,"0000")&amp;"-"&amp;TEXT(TODAY(),"YYYYMMDD"))</f>
        <v/>
      </c>
      <c r="C1059" s="40" t="str">
        <f>IF(Agent06_Savings!A66="","",Agent06_Savings!B66)</f>
        <v/>
      </c>
      <c r="D1059" s="40" t="str">
        <f>IF(Agent06_Savings!A66="","",Agent06_Savings!G66)</f>
        <v/>
      </c>
      <c r="E1059" s="41" t="str">
        <f>IF(Agent06_Savings!A66="","",Agent06_Savings!D66)</f>
        <v/>
      </c>
      <c r="F1059" s="42" t="str">
        <f>IF(Agent06_Savings!A66="","",Agent06_Savings!E66)</f>
        <v/>
      </c>
      <c r="G1059" s="42" t="str">
        <f>IF(Agent06_Savings!A66="","",Agent06_Savings!F66)</f>
        <v/>
      </c>
      <c r="H1059" s="40" t="str">
        <f>IF(Agent06_Savings!A66="","",Agent06_Savings!I66)</f>
        <v/>
      </c>
      <c r="I1059" s="40" t="str">
        <f>IF(Agent06_Savings!A66="","",Agent06_Savings!J66)</f>
        <v/>
      </c>
      <c r="J1059" s="40" t="str">
        <f>IF(Agent06_Savings!A66="","",Agent06_Savings!K66)</f>
        <v/>
      </c>
      <c r="K1059" s="40" t="str">
        <f>IFERROR(IF(Agent06_Savings!A66="","",YEAR(Agent06_Savings!D66)),"")</f>
        <v/>
      </c>
    </row>
    <row r="1060" spans="1:11" ht="18" customHeight="1" x14ac:dyDescent="0.25">
      <c r="A1060" s="40" t="str">
        <f>IF(Agent06_Savings!A67="","",Agent06_Savings!A67)</f>
        <v/>
      </c>
      <c r="B1060" s="40" t="str">
        <f ca="1">IF(Agent06_Savings!A67="","","SV"&amp;TEXT(1060-3,"0000")&amp;"-"&amp;TEXT(TODAY(),"YYYYMMDD"))</f>
        <v/>
      </c>
      <c r="C1060" s="40" t="str">
        <f>IF(Agent06_Savings!A67="","",Agent06_Savings!B67)</f>
        <v/>
      </c>
      <c r="D1060" s="40" t="str">
        <f>IF(Agent06_Savings!A67="","",Agent06_Savings!G67)</f>
        <v/>
      </c>
      <c r="E1060" s="41" t="str">
        <f>IF(Agent06_Savings!A67="","",Agent06_Savings!D67)</f>
        <v/>
      </c>
      <c r="F1060" s="42" t="str">
        <f>IF(Agent06_Savings!A67="","",Agent06_Savings!E67)</f>
        <v/>
      </c>
      <c r="G1060" s="42" t="str">
        <f>IF(Agent06_Savings!A67="","",Agent06_Savings!F67)</f>
        <v/>
      </c>
      <c r="H1060" s="40" t="str">
        <f>IF(Agent06_Savings!A67="","",Agent06_Savings!I67)</f>
        <v/>
      </c>
      <c r="I1060" s="40" t="str">
        <f>IF(Agent06_Savings!A67="","",Agent06_Savings!J67)</f>
        <v/>
      </c>
      <c r="J1060" s="40" t="str">
        <f>IF(Agent06_Savings!A67="","",Agent06_Savings!K67)</f>
        <v/>
      </c>
      <c r="K1060" s="40" t="str">
        <f>IFERROR(IF(Agent06_Savings!A67="","",YEAR(Agent06_Savings!D67)),"")</f>
        <v/>
      </c>
    </row>
    <row r="1061" spans="1:11" ht="18" customHeight="1" x14ac:dyDescent="0.25">
      <c r="A1061" s="40" t="str">
        <f>IF(Agent06_Savings!A68="","",Agent06_Savings!A68)</f>
        <v/>
      </c>
      <c r="B1061" s="40" t="str">
        <f ca="1">IF(Agent06_Savings!A68="","","SV"&amp;TEXT(1061-3,"0000")&amp;"-"&amp;TEXT(TODAY(),"YYYYMMDD"))</f>
        <v/>
      </c>
      <c r="C1061" s="40" t="str">
        <f>IF(Agent06_Savings!A68="","",Agent06_Savings!B68)</f>
        <v/>
      </c>
      <c r="D1061" s="40" t="str">
        <f>IF(Agent06_Savings!A68="","",Agent06_Savings!G68)</f>
        <v/>
      </c>
      <c r="E1061" s="41" t="str">
        <f>IF(Agent06_Savings!A68="","",Agent06_Savings!D68)</f>
        <v/>
      </c>
      <c r="F1061" s="42" t="str">
        <f>IF(Agent06_Savings!A68="","",Agent06_Savings!E68)</f>
        <v/>
      </c>
      <c r="G1061" s="42" t="str">
        <f>IF(Agent06_Savings!A68="","",Agent06_Savings!F68)</f>
        <v/>
      </c>
      <c r="H1061" s="40" t="str">
        <f>IF(Agent06_Savings!A68="","",Agent06_Savings!I68)</f>
        <v/>
      </c>
      <c r="I1061" s="40" t="str">
        <f>IF(Agent06_Savings!A68="","",Agent06_Savings!J68)</f>
        <v/>
      </c>
      <c r="J1061" s="40" t="str">
        <f>IF(Agent06_Savings!A68="","",Agent06_Savings!K68)</f>
        <v/>
      </c>
      <c r="K1061" s="40" t="str">
        <f>IFERROR(IF(Agent06_Savings!A68="","",YEAR(Agent06_Savings!D68)),"")</f>
        <v/>
      </c>
    </row>
    <row r="1062" spans="1:11" ht="18" customHeight="1" x14ac:dyDescent="0.25">
      <c r="A1062" s="40" t="str">
        <f>IF(Agent06_Savings!A69="","",Agent06_Savings!A69)</f>
        <v/>
      </c>
      <c r="B1062" s="40" t="str">
        <f ca="1">IF(Agent06_Savings!A69="","","SV"&amp;TEXT(1062-3,"0000")&amp;"-"&amp;TEXT(TODAY(),"YYYYMMDD"))</f>
        <v/>
      </c>
      <c r="C1062" s="40" t="str">
        <f>IF(Agent06_Savings!A69="","",Agent06_Savings!B69)</f>
        <v/>
      </c>
      <c r="D1062" s="40" t="str">
        <f>IF(Agent06_Savings!A69="","",Agent06_Savings!G69)</f>
        <v/>
      </c>
      <c r="E1062" s="41" t="str">
        <f>IF(Agent06_Savings!A69="","",Agent06_Savings!D69)</f>
        <v/>
      </c>
      <c r="F1062" s="42" t="str">
        <f>IF(Agent06_Savings!A69="","",Agent06_Savings!E69)</f>
        <v/>
      </c>
      <c r="G1062" s="42" t="str">
        <f>IF(Agent06_Savings!A69="","",Agent06_Savings!F69)</f>
        <v/>
      </c>
      <c r="H1062" s="40" t="str">
        <f>IF(Agent06_Savings!A69="","",Agent06_Savings!I69)</f>
        <v/>
      </c>
      <c r="I1062" s="40" t="str">
        <f>IF(Agent06_Savings!A69="","",Agent06_Savings!J69)</f>
        <v/>
      </c>
      <c r="J1062" s="40" t="str">
        <f>IF(Agent06_Savings!A69="","",Agent06_Savings!K69)</f>
        <v/>
      </c>
      <c r="K1062" s="40" t="str">
        <f>IFERROR(IF(Agent06_Savings!A69="","",YEAR(Agent06_Savings!D69)),"")</f>
        <v/>
      </c>
    </row>
    <row r="1063" spans="1:11" ht="18" customHeight="1" x14ac:dyDescent="0.25">
      <c r="A1063" s="40" t="str">
        <f>IF(Agent06_Savings!A70="","",Agent06_Savings!A70)</f>
        <v/>
      </c>
      <c r="B1063" s="40" t="str">
        <f ca="1">IF(Agent06_Savings!A70="","","SV"&amp;TEXT(1063-3,"0000")&amp;"-"&amp;TEXT(TODAY(),"YYYYMMDD"))</f>
        <v/>
      </c>
      <c r="C1063" s="40" t="str">
        <f>IF(Agent06_Savings!A70="","",Agent06_Savings!B70)</f>
        <v/>
      </c>
      <c r="D1063" s="40" t="str">
        <f>IF(Agent06_Savings!A70="","",Agent06_Savings!G70)</f>
        <v/>
      </c>
      <c r="E1063" s="41" t="str">
        <f>IF(Agent06_Savings!A70="","",Agent06_Savings!D70)</f>
        <v/>
      </c>
      <c r="F1063" s="42" t="str">
        <f>IF(Agent06_Savings!A70="","",Agent06_Savings!E70)</f>
        <v/>
      </c>
      <c r="G1063" s="42" t="str">
        <f>IF(Agent06_Savings!A70="","",Agent06_Savings!F70)</f>
        <v/>
      </c>
      <c r="H1063" s="40" t="str">
        <f>IF(Agent06_Savings!A70="","",Agent06_Savings!I70)</f>
        <v/>
      </c>
      <c r="I1063" s="40" t="str">
        <f>IF(Agent06_Savings!A70="","",Agent06_Savings!J70)</f>
        <v/>
      </c>
      <c r="J1063" s="40" t="str">
        <f>IF(Agent06_Savings!A70="","",Agent06_Savings!K70)</f>
        <v/>
      </c>
      <c r="K1063" s="40" t="str">
        <f>IFERROR(IF(Agent06_Savings!A70="","",YEAR(Agent06_Savings!D70)),"")</f>
        <v/>
      </c>
    </row>
    <row r="1064" spans="1:11" ht="18" customHeight="1" x14ac:dyDescent="0.25">
      <c r="A1064" s="40" t="str">
        <f>IF(Agent06_Savings!A71="","",Agent06_Savings!A71)</f>
        <v/>
      </c>
      <c r="B1064" s="40" t="str">
        <f ca="1">IF(Agent06_Savings!A71="","","SV"&amp;TEXT(1064-3,"0000")&amp;"-"&amp;TEXT(TODAY(),"YYYYMMDD"))</f>
        <v/>
      </c>
      <c r="C1064" s="40" t="str">
        <f>IF(Agent06_Savings!A71="","",Agent06_Savings!B71)</f>
        <v/>
      </c>
      <c r="D1064" s="40" t="str">
        <f>IF(Agent06_Savings!A71="","",Agent06_Savings!G71)</f>
        <v/>
      </c>
      <c r="E1064" s="41" t="str">
        <f>IF(Agent06_Savings!A71="","",Agent06_Savings!D71)</f>
        <v/>
      </c>
      <c r="F1064" s="42" t="str">
        <f>IF(Agent06_Savings!A71="","",Agent06_Savings!E71)</f>
        <v/>
      </c>
      <c r="G1064" s="42" t="str">
        <f>IF(Agent06_Savings!A71="","",Agent06_Savings!F71)</f>
        <v/>
      </c>
      <c r="H1064" s="40" t="str">
        <f>IF(Agent06_Savings!A71="","",Agent06_Savings!I71)</f>
        <v/>
      </c>
      <c r="I1064" s="40" t="str">
        <f>IF(Agent06_Savings!A71="","",Agent06_Savings!J71)</f>
        <v/>
      </c>
      <c r="J1064" s="40" t="str">
        <f>IF(Agent06_Savings!A71="","",Agent06_Savings!K71)</f>
        <v/>
      </c>
      <c r="K1064" s="40" t="str">
        <f>IFERROR(IF(Agent06_Savings!A71="","",YEAR(Agent06_Savings!D71)),"")</f>
        <v/>
      </c>
    </row>
    <row r="1065" spans="1:11" ht="18" customHeight="1" x14ac:dyDescent="0.25">
      <c r="A1065" s="40" t="str">
        <f>IF(Agent06_Savings!A72="","",Agent06_Savings!A72)</f>
        <v/>
      </c>
      <c r="B1065" s="40" t="str">
        <f ca="1">IF(Agent06_Savings!A72="","","SV"&amp;TEXT(1065-3,"0000")&amp;"-"&amp;TEXT(TODAY(),"YYYYMMDD"))</f>
        <v/>
      </c>
      <c r="C1065" s="40" t="str">
        <f>IF(Agent06_Savings!A72="","",Agent06_Savings!B72)</f>
        <v/>
      </c>
      <c r="D1065" s="40" t="str">
        <f>IF(Agent06_Savings!A72="","",Agent06_Savings!G72)</f>
        <v/>
      </c>
      <c r="E1065" s="41" t="str">
        <f>IF(Agent06_Savings!A72="","",Agent06_Savings!D72)</f>
        <v/>
      </c>
      <c r="F1065" s="42" t="str">
        <f>IF(Agent06_Savings!A72="","",Agent06_Savings!E72)</f>
        <v/>
      </c>
      <c r="G1065" s="42" t="str">
        <f>IF(Agent06_Savings!A72="","",Agent06_Savings!F72)</f>
        <v/>
      </c>
      <c r="H1065" s="40" t="str">
        <f>IF(Agent06_Savings!A72="","",Agent06_Savings!I72)</f>
        <v/>
      </c>
      <c r="I1065" s="40" t="str">
        <f>IF(Agent06_Savings!A72="","",Agent06_Savings!J72)</f>
        <v/>
      </c>
      <c r="J1065" s="40" t="str">
        <f>IF(Agent06_Savings!A72="","",Agent06_Savings!K72)</f>
        <v/>
      </c>
      <c r="K1065" s="40" t="str">
        <f>IFERROR(IF(Agent06_Savings!A72="","",YEAR(Agent06_Savings!D72)),"")</f>
        <v/>
      </c>
    </row>
    <row r="1066" spans="1:11" ht="18" customHeight="1" x14ac:dyDescent="0.25">
      <c r="A1066" s="40" t="str">
        <f>IF(Agent06_Savings!A73="","",Agent06_Savings!A73)</f>
        <v/>
      </c>
      <c r="B1066" s="40" t="str">
        <f ca="1">IF(Agent06_Savings!A73="","","SV"&amp;TEXT(1066-3,"0000")&amp;"-"&amp;TEXT(TODAY(),"YYYYMMDD"))</f>
        <v/>
      </c>
      <c r="C1066" s="40" t="str">
        <f>IF(Agent06_Savings!A73="","",Agent06_Savings!B73)</f>
        <v/>
      </c>
      <c r="D1066" s="40" t="str">
        <f>IF(Agent06_Savings!A73="","",Agent06_Savings!G73)</f>
        <v/>
      </c>
      <c r="E1066" s="41" t="str">
        <f>IF(Agent06_Savings!A73="","",Agent06_Savings!D73)</f>
        <v/>
      </c>
      <c r="F1066" s="42" t="str">
        <f>IF(Agent06_Savings!A73="","",Agent06_Savings!E73)</f>
        <v/>
      </c>
      <c r="G1066" s="42" t="str">
        <f>IF(Agent06_Savings!A73="","",Agent06_Savings!F73)</f>
        <v/>
      </c>
      <c r="H1066" s="40" t="str">
        <f>IF(Agent06_Savings!A73="","",Agent06_Savings!I73)</f>
        <v/>
      </c>
      <c r="I1066" s="40" t="str">
        <f>IF(Agent06_Savings!A73="","",Agent06_Savings!J73)</f>
        <v/>
      </c>
      <c r="J1066" s="40" t="str">
        <f>IF(Agent06_Savings!A73="","",Agent06_Savings!K73)</f>
        <v/>
      </c>
      <c r="K1066" s="40" t="str">
        <f>IFERROR(IF(Agent06_Savings!A73="","",YEAR(Agent06_Savings!D73)),"")</f>
        <v/>
      </c>
    </row>
    <row r="1067" spans="1:11" ht="18" customHeight="1" x14ac:dyDescent="0.25">
      <c r="A1067" s="40" t="str">
        <f>IF(Agent06_Savings!A74="","",Agent06_Savings!A74)</f>
        <v/>
      </c>
      <c r="B1067" s="40" t="str">
        <f ca="1">IF(Agent06_Savings!A74="","","SV"&amp;TEXT(1067-3,"0000")&amp;"-"&amp;TEXT(TODAY(),"YYYYMMDD"))</f>
        <v/>
      </c>
      <c r="C1067" s="40" t="str">
        <f>IF(Agent06_Savings!A74="","",Agent06_Savings!B74)</f>
        <v/>
      </c>
      <c r="D1067" s="40" t="str">
        <f>IF(Agent06_Savings!A74="","",Agent06_Savings!G74)</f>
        <v/>
      </c>
      <c r="E1067" s="41" t="str">
        <f>IF(Agent06_Savings!A74="","",Agent06_Savings!D74)</f>
        <v/>
      </c>
      <c r="F1067" s="42" t="str">
        <f>IF(Agent06_Savings!A74="","",Agent06_Savings!E74)</f>
        <v/>
      </c>
      <c r="G1067" s="42" t="str">
        <f>IF(Agent06_Savings!A74="","",Agent06_Savings!F74)</f>
        <v/>
      </c>
      <c r="H1067" s="40" t="str">
        <f>IF(Agent06_Savings!A74="","",Agent06_Savings!I74)</f>
        <v/>
      </c>
      <c r="I1067" s="40" t="str">
        <f>IF(Agent06_Savings!A74="","",Agent06_Savings!J74)</f>
        <v/>
      </c>
      <c r="J1067" s="40" t="str">
        <f>IF(Agent06_Savings!A74="","",Agent06_Savings!K74)</f>
        <v/>
      </c>
      <c r="K1067" s="40" t="str">
        <f>IFERROR(IF(Agent06_Savings!A74="","",YEAR(Agent06_Savings!D74)),"")</f>
        <v/>
      </c>
    </row>
    <row r="1068" spans="1:11" ht="18" customHeight="1" x14ac:dyDescent="0.25">
      <c r="A1068" s="40" t="str">
        <f>IF(Agent06_Savings!A75="","",Agent06_Savings!A75)</f>
        <v/>
      </c>
      <c r="B1068" s="40" t="str">
        <f ca="1">IF(Agent06_Savings!A75="","","SV"&amp;TEXT(1068-3,"0000")&amp;"-"&amp;TEXT(TODAY(),"YYYYMMDD"))</f>
        <v/>
      </c>
      <c r="C1068" s="40" t="str">
        <f>IF(Agent06_Savings!A75="","",Agent06_Savings!B75)</f>
        <v/>
      </c>
      <c r="D1068" s="40" t="str">
        <f>IF(Agent06_Savings!A75="","",Agent06_Savings!G75)</f>
        <v/>
      </c>
      <c r="E1068" s="41" t="str">
        <f>IF(Agent06_Savings!A75="","",Agent06_Savings!D75)</f>
        <v/>
      </c>
      <c r="F1068" s="42" t="str">
        <f>IF(Agent06_Savings!A75="","",Agent06_Savings!E75)</f>
        <v/>
      </c>
      <c r="G1068" s="42" t="str">
        <f>IF(Agent06_Savings!A75="","",Agent06_Savings!F75)</f>
        <v/>
      </c>
      <c r="H1068" s="40" t="str">
        <f>IF(Agent06_Savings!A75="","",Agent06_Savings!I75)</f>
        <v/>
      </c>
      <c r="I1068" s="40" t="str">
        <f>IF(Agent06_Savings!A75="","",Agent06_Savings!J75)</f>
        <v/>
      </c>
      <c r="J1068" s="40" t="str">
        <f>IF(Agent06_Savings!A75="","",Agent06_Savings!K75)</f>
        <v/>
      </c>
      <c r="K1068" s="40" t="str">
        <f>IFERROR(IF(Agent06_Savings!A75="","",YEAR(Agent06_Savings!D75)),"")</f>
        <v/>
      </c>
    </row>
    <row r="1069" spans="1:11" ht="18" customHeight="1" x14ac:dyDescent="0.25">
      <c r="A1069" s="40" t="str">
        <f>IF(Agent06_Savings!A76="","",Agent06_Savings!A76)</f>
        <v/>
      </c>
      <c r="B1069" s="40" t="str">
        <f ca="1">IF(Agent06_Savings!A76="","","SV"&amp;TEXT(1069-3,"0000")&amp;"-"&amp;TEXT(TODAY(),"YYYYMMDD"))</f>
        <v/>
      </c>
      <c r="C1069" s="40" t="str">
        <f>IF(Agent06_Savings!A76="","",Agent06_Savings!B76)</f>
        <v/>
      </c>
      <c r="D1069" s="40" t="str">
        <f>IF(Agent06_Savings!A76="","",Agent06_Savings!G76)</f>
        <v/>
      </c>
      <c r="E1069" s="41" t="str">
        <f>IF(Agent06_Savings!A76="","",Agent06_Savings!D76)</f>
        <v/>
      </c>
      <c r="F1069" s="42" t="str">
        <f>IF(Agent06_Savings!A76="","",Agent06_Savings!E76)</f>
        <v/>
      </c>
      <c r="G1069" s="42" t="str">
        <f>IF(Agent06_Savings!A76="","",Agent06_Savings!F76)</f>
        <v/>
      </c>
      <c r="H1069" s="40" t="str">
        <f>IF(Agent06_Savings!A76="","",Agent06_Savings!I76)</f>
        <v/>
      </c>
      <c r="I1069" s="40" t="str">
        <f>IF(Agent06_Savings!A76="","",Agent06_Savings!J76)</f>
        <v/>
      </c>
      <c r="J1069" s="40" t="str">
        <f>IF(Agent06_Savings!A76="","",Agent06_Savings!K76)</f>
        <v/>
      </c>
      <c r="K1069" s="40" t="str">
        <f>IFERROR(IF(Agent06_Savings!A76="","",YEAR(Agent06_Savings!D76)),"")</f>
        <v/>
      </c>
    </row>
    <row r="1070" spans="1:11" ht="18" customHeight="1" x14ac:dyDescent="0.25">
      <c r="A1070" s="40" t="str">
        <f>IF(Agent06_Savings!A77="","",Agent06_Savings!A77)</f>
        <v/>
      </c>
      <c r="B1070" s="40" t="str">
        <f ca="1">IF(Agent06_Savings!A77="","","SV"&amp;TEXT(1070-3,"0000")&amp;"-"&amp;TEXT(TODAY(),"YYYYMMDD"))</f>
        <v/>
      </c>
      <c r="C1070" s="40" t="str">
        <f>IF(Agent06_Savings!A77="","",Agent06_Savings!B77)</f>
        <v/>
      </c>
      <c r="D1070" s="40" t="str">
        <f>IF(Agent06_Savings!A77="","",Agent06_Savings!G77)</f>
        <v/>
      </c>
      <c r="E1070" s="41" t="str">
        <f>IF(Agent06_Savings!A77="","",Agent06_Savings!D77)</f>
        <v/>
      </c>
      <c r="F1070" s="42" t="str">
        <f>IF(Agent06_Savings!A77="","",Agent06_Savings!E77)</f>
        <v/>
      </c>
      <c r="G1070" s="42" t="str">
        <f>IF(Agent06_Savings!A77="","",Agent06_Savings!F77)</f>
        <v/>
      </c>
      <c r="H1070" s="40" t="str">
        <f>IF(Agent06_Savings!A77="","",Agent06_Savings!I77)</f>
        <v/>
      </c>
      <c r="I1070" s="40" t="str">
        <f>IF(Agent06_Savings!A77="","",Agent06_Savings!J77)</f>
        <v/>
      </c>
      <c r="J1070" s="40" t="str">
        <f>IF(Agent06_Savings!A77="","",Agent06_Savings!K77)</f>
        <v/>
      </c>
      <c r="K1070" s="40" t="str">
        <f>IFERROR(IF(Agent06_Savings!A77="","",YEAR(Agent06_Savings!D77)),"")</f>
        <v/>
      </c>
    </row>
    <row r="1071" spans="1:11" ht="18" customHeight="1" x14ac:dyDescent="0.25">
      <c r="A1071" s="40" t="str">
        <f>IF(Agent06_Savings!A78="","",Agent06_Savings!A78)</f>
        <v/>
      </c>
      <c r="B1071" s="40" t="str">
        <f ca="1">IF(Agent06_Savings!A78="","","SV"&amp;TEXT(1071-3,"0000")&amp;"-"&amp;TEXT(TODAY(),"YYYYMMDD"))</f>
        <v/>
      </c>
      <c r="C1071" s="40" t="str">
        <f>IF(Agent06_Savings!A78="","",Agent06_Savings!B78)</f>
        <v/>
      </c>
      <c r="D1071" s="40" t="str">
        <f>IF(Agent06_Savings!A78="","",Agent06_Savings!G78)</f>
        <v/>
      </c>
      <c r="E1071" s="41" t="str">
        <f>IF(Agent06_Savings!A78="","",Agent06_Savings!D78)</f>
        <v/>
      </c>
      <c r="F1071" s="42" t="str">
        <f>IF(Agent06_Savings!A78="","",Agent06_Savings!E78)</f>
        <v/>
      </c>
      <c r="G1071" s="42" t="str">
        <f>IF(Agent06_Savings!A78="","",Agent06_Savings!F78)</f>
        <v/>
      </c>
      <c r="H1071" s="40" t="str">
        <f>IF(Agent06_Savings!A78="","",Agent06_Savings!I78)</f>
        <v/>
      </c>
      <c r="I1071" s="40" t="str">
        <f>IF(Agent06_Savings!A78="","",Agent06_Savings!J78)</f>
        <v/>
      </c>
      <c r="J1071" s="40" t="str">
        <f>IF(Agent06_Savings!A78="","",Agent06_Savings!K78)</f>
        <v/>
      </c>
      <c r="K1071" s="40" t="str">
        <f>IFERROR(IF(Agent06_Savings!A78="","",YEAR(Agent06_Savings!D78)),"")</f>
        <v/>
      </c>
    </row>
    <row r="1072" spans="1:11" ht="18" customHeight="1" x14ac:dyDescent="0.25">
      <c r="A1072" s="40" t="str">
        <f>IF(Agent06_Savings!A79="","",Agent06_Savings!A79)</f>
        <v/>
      </c>
      <c r="B1072" s="40" t="str">
        <f ca="1">IF(Agent06_Savings!A79="","","SV"&amp;TEXT(1072-3,"0000")&amp;"-"&amp;TEXT(TODAY(),"YYYYMMDD"))</f>
        <v/>
      </c>
      <c r="C1072" s="40" t="str">
        <f>IF(Agent06_Savings!A79="","",Agent06_Savings!B79)</f>
        <v/>
      </c>
      <c r="D1072" s="40" t="str">
        <f>IF(Agent06_Savings!A79="","",Agent06_Savings!G79)</f>
        <v/>
      </c>
      <c r="E1072" s="41" t="str">
        <f>IF(Agent06_Savings!A79="","",Agent06_Savings!D79)</f>
        <v/>
      </c>
      <c r="F1072" s="42" t="str">
        <f>IF(Agent06_Savings!A79="","",Agent06_Savings!E79)</f>
        <v/>
      </c>
      <c r="G1072" s="42" t="str">
        <f>IF(Agent06_Savings!A79="","",Agent06_Savings!F79)</f>
        <v/>
      </c>
      <c r="H1072" s="40" t="str">
        <f>IF(Agent06_Savings!A79="","",Agent06_Savings!I79)</f>
        <v/>
      </c>
      <c r="I1072" s="40" t="str">
        <f>IF(Agent06_Savings!A79="","",Agent06_Savings!J79)</f>
        <v/>
      </c>
      <c r="J1072" s="40" t="str">
        <f>IF(Agent06_Savings!A79="","",Agent06_Savings!K79)</f>
        <v/>
      </c>
      <c r="K1072" s="40" t="str">
        <f>IFERROR(IF(Agent06_Savings!A79="","",YEAR(Agent06_Savings!D79)),"")</f>
        <v/>
      </c>
    </row>
    <row r="1073" spans="1:11" ht="18" customHeight="1" x14ac:dyDescent="0.25">
      <c r="A1073" s="40" t="str">
        <f>IF(Agent06_Savings!A80="","",Agent06_Savings!A80)</f>
        <v/>
      </c>
      <c r="B1073" s="40" t="str">
        <f ca="1">IF(Agent06_Savings!A80="","","SV"&amp;TEXT(1073-3,"0000")&amp;"-"&amp;TEXT(TODAY(),"YYYYMMDD"))</f>
        <v/>
      </c>
      <c r="C1073" s="40" t="str">
        <f>IF(Agent06_Savings!A80="","",Agent06_Savings!B80)</f>
        <v/>
      </c>
      <c r="D1073" s="40" t="str">
        <f>IF(Agent06_Savings!A80="","",Agent06_Savings!G80)</f>
        <v/>
      </c>
      <c r="E1073" s="41" t="str">
        <f>IF(Agent06_Savings!A80="","",Agent06_Savings!D80)</f>
        <v/>
      </c>
      <c r="F1073" s="42" t="str">
        <f>IF(Agent06_Savings!A80="","",Agent06_Savings!E80)</f>
        <v/>
      </c>
      <c r="G1073" s="42" t="str">
        <f>IF(Agent06_Savings!A80="","",Agent06_Savings!F80)</f>
        <v/>
      </c>
      <c r="H1073" s="40" t="str">
        <f>IF(Agent06_Savings!A80="","",Agent06_Savings!I80)</f>
        <v/>
      </c>
      <c r="I1073" s="40" t="str">
        <f>IF(Agent06_Savings!A80="","",Agent06_Savings!J80)</f>
        <v/>
      </c>
      <c r="J1073" s="40" t="str">
        <f>IF(Agent06_Savings!A80="","",Agent06_Savings!K80)</f>
        <v/>
      </c>
      <c r="K1073" s="40" t="str">
        <f>IFERROR(IF(Agent06_Savings!A80="","",YEAR(Agent06_Savings!D80)),"")</f>
        <v/>
      </c>
    </row>
    <row r="1074" spans="1:11" ht="18" customHeight="1" x14ac:dyDescent="0.25">
      <c r="A1074" s="40" t="str">
        <f>IF(Agent06_Savings!A81="","",Agent06_Savings!A81)</f>
        <v/>
      </c>
      <c r="B1074" s="40" t="str">
        <f ca="1">IF(Agent06_Savings!A81="","","SV"&amp;TEXT(1074-3,"0000")&amp;"-"&amp;TEXT(TODAY(),"YYYYMMDD"))</f>
        <v/>
      </c>
      <c r="C1074" s="40" t="str">
        <f>IF(Agent06_Savings!A81="","",Agent06_Savings!B81)</f>
        <v/>
      </c>
      <c r="D1074" s="40" t="str">
        <f>IF(Agent06_Savings!A81="","",Agent06_Savings!G81)</f>
        <v/>
      </c>
      <c r="E1074" s="41" t="str">
        <f>IF(Agent06_Savings!A81="","",Agent06_Savings!D81)</f>
        <v/>
      </c>
      <c r="F1074" s="42" t="str">
        <f>IF(Agent06_Savings!A81="","",Agent06_Savings!E81)</f>
        <v/>
      </c>
      <c r="G1074" s="42" t="str">
        <f>IF(Agent06_Savings!A81="","",Agent06_Savings!F81)</f>
        <v/>
      </c>
      <c r="H1074" s="40" t="str">
        <f>IF(Agent06_Savings!A81="","",Agent06_Savings!I81)</f>
        <v/>
      </c>
      <c r="I1074" s="40" t="str">
        <f>IF(Agent06_Savings!A81="","",Agent06_Savings!J81)</f>
        <v/>
      </c>
      <c r="J1074" s="40" t="str">
        <f>IF(Agent06_Savings!A81="","",Agent06_Savings!K81)</f>
        <v/>
      </c>
      <c r="K1074" s="40" t="str">
        <f>IFERROR(IF(Agent06_Savings!A81="","",YEAR(Agent06_Savings!D81)),"")</f>
        <v/>
      </c>
    </row>
    <row r="1075" spans="1:11" ht="18" customHeight="1" x14ac:dyDescent="0.25">
      <c r="A1075" s="40" t="str">
        <f>IF(Agent06_Savings!A82="","",Agent06_Savings!A82)</f>
        <v/>
      </c>
      <c r="B1075" s="40" t="str">
        <f ca="1">IF(Agent06_Savings!A82="","","SV"&amp;TEXT(1075-3,"0000")&amp;"-"&amp;TEXT(TODAY(),"YYYYMMDD"))</f>
        <v/>
      </c>
      <c r="C1075" s="40" t="str">
        <f>IF(Agent06_Savings!A82="","",Agent06_Savings!B82)</f>
        <v/>
      </c>
      <c r="D1075" s="40" t="str">
        <f>IF(Agent06_Savings!A82="","",Agent06_Savings!G82)</f>
        <v/>
      </c>
      <c r="E1075" s="41" t="str">
        <f>IF(Agent06_Savings!A82="","",Agent06_Savings!D82)</f>
        <v/>
      </c>
      <c r="F1075" s="42" t="str">
        <f>IF(Agent06_Savings!A82="","",Agent06_Savings!E82)</f>
        <v/>
      </c>
      <c r="G1075" s="42" t="str">
        <f>IF(Agent06_Savings!A82="","",Agent06_Savings!F82)</f>
        <v/>
      </c>
      <c r="H1075" s="40" t="str">
        <f>IF(Agent06_Savings!A82="","",Agent06_Savings!I82)</f>
        <v/>
      </c>
      <c r="I1075" s="40" t="str">
        <f>IF(Agent06_Savings!A82="","",Agent06_Savings!J82)</f>
        <v/>
      </c>
      <c r="J1075" s="40" t="str">
        <f>IF(Agent06_Savings!A82="","",Agent06_Savings!K82)</f>
        <v/>
      </c>
      <c r="K1075" s="40" t="str">
        <f>IFERROR(IF(Agent06_Savings!A82="","",YEAR(Agent06_Savings!D82)),"")</f>
        <v/>
      </c>
    </row>
    <row r="1076" spans="1:11" ht="18" customHeight="1" x14ac:dyDescent="0.25">
      <c r="A1076" s="40" t="str">
        <f>IF(Agent06_Savings!A83="","",Agent06_Savings!A83)</f>
        <v/>
      </c>
      <c r="B1076" s="40" t="str">
        <f ca="1">IF(Agent06_Savings!A83="","","SV"&amp;TEXT(1076-3,"0000")&amp;"-"&amp;TEXT(TODAY(),"YYYYMMDD"))</f>
        <v/>
      </c>
      <c r="C1076" s="40" t="str">
        <f>IF(Agent06_Savings!A83="","",Agent06_Savings!B83)</f>
        <v/>
      </c>
      <c r="D1076" s="40" t="str">
        <f>IF(Agent06_Savings!A83="","",Agent06_Savings!G83)</f>
        <v/>
      </c>
      <c r="E1076" s="41" t="str">
        <f>IF(Agent06_Savings!A83="","",Agent06_Savings!D83)</f>
        <v/>
      </c>
      <c r="F1076" s="42" t="str">
        <f>IF(Agent06_Savings!A83="","",Agent06_Savings!E83)</f>
        <v/>
      </c>
      <c r="G1076" s="42" t="str">
        <f>IF(Agent06_Savings!A83="","",Agent06_Savings!F83)</f>
        <v/>
      </c>
      <c r="H1076" s="40" t="str">
        <f>IF(Agent06_Savings!A83="","",Agent06_Savings!I83)</f>
        <v/>
      </c>
      <c r="I1076" s="40" t="str">
        <f>IF(Agent06_Savings!A83="","",Agent06_Savings!J83)</f>
        <v/>
      </c>
      <c r="J1076" s="40" t="str">
        <f>IF(Agent06_Savings!A83="","",Agent06_Savings!K83)</f>
        <v/>
      </c>
      <c r="K1076" s="40" t="str">
        <f>IFERROR(IF(Agent06_Savings!A83="","",YEAR(Agent06_Savings!D83)),"")</f>
        <v/>
      </c>
    </row>
    <row r="1077" spans="1:11" ht="18" customHeight="1" x14ac:dyDescent="0.25">
      <c r="A1077" s="40" t="str">
        <f>IF(Agent06_Savings!A84="","",Agent06_Savings!A84)</f>
        <v/>
      </c>
      <c r="B1077" s="40" t="str">
        <f ca="1">IF(Agent06_Savings!A84="","","SV"&amp;TEXT(1077-3,"0000")&amp;"-"&amp;TEXT(TODAY(),"YYYYMMDD"))</f>
        <v/>
      </c>
      <c r="C1077" s="40" t="str">
        <f>IF(Agent06_Savings!A84="","",Agent06_Savings!B84)</f>
        <v/>
      </c>
      <c r="D1077" s="40" t="str">
        <f>IF(Agent06_Savings!A84="","",Agent06_Savings!G84)</f>
        <v/>
      </c>
      <c r="E1077" s="41" t="str">
        <f>IF(Agent06_Savings!A84="","",Agent06_Savings!D84)</f>
        <v/>
      </c>
      <c r="F1077" s="42" t="str">
        <f>IF(Agent06_Savings!A84="","",Agent06_Savings!E84)</f>
        <v/>
      </c>
      <c r="G1077" s="42" t="str">
        <f>IF(Agent06_Savings!A84="","",Agent06_Savings!F84)</f>
        <v/>
      </c>
      <c r="H1077" s="40" t="str">
        <f>IF(Agent06_Savings!A84="","",Agent06_Savings!I84)</f>
        <v/>
      </c>
      <c r="I1077" s="40" t="str">
        <f>IF(Agent06_Savings!A84="","",Agent06_Savings!J84)</f>
        <v/>
      </c>
      <c r="J1077" s="40" t="str">
        <f>IF(Agent06_Savings!A84="","",Agent06_Savings!K84)</f>
        <v/>
      </c>
      <c r="K1077" s="40" t="str">
        <f>IFERROR(IF(Agent06_Savings!A84="","",YEAR(Agent06_Savings!D84)),"")</f>
        <v/>
      </c>
    </row>
    <row r="1078" spans="1:11" ht="18" customHeight="1" x14ac:dyDescent="0.25">
      <c r="A1078" s="40" t="str">
        <f>IF(Agent06_Savings!A85="","",Agent06_Savings!A85)</f>
        <v/>
      </c>
      <c r="B1078" s="40" t="str">
        <f ca="1">IF(Agent06_Savings!A85="","","SV"&amp;TEXT(1078-3,"0000")&amp;"-"&amp;TEXT(TODAY(),"YYYYMMDD"))</f>
        <v/>
      </c>
      <c r="C1078" s="40" t="str">
        <f>IF(Agent06_Savings!A85="","",Agent06_Savings!B85)</f>
        <v/>
      </c>
      <c r="D1078" s="40" t="str">
        <f>IF(Agent06_Savings!A85="","",Agent06_Savings!G85)</f>
        <v/>
      </c>
      <c r="E1078" s="41" t="str">
        <f>IF(Agent06_Savings!A85="","",Agent06_Savings!D85)</f>
        <v/>
      </c>
      <c r="F1078" s="42" t="str">
        <f>IF(Agent06_Savings!A85="","",Agent06_Savings!E85)</f>
        <v/>
      </c>
      <c r="G1078" s="42" t="str">
        <f>IF(Agent06_Savings!A85="","",Agent06_Savings!F85)</f>
        <v/>
      </c>
      <c r="H1078" s="40" t="str">
        <f>IF(Agent06_Savings!A85="","",Agent06_Savings!I85)</f>
        <v/>
      </c>
      <c r="I1078" s="40" t="str">
        <f>IF(Agent06_Savings!A85="","",Agent06_Savings!J85)</f>
        <v/>
      </c>
      <c r="J1078" s="40" t="str">
        <f>IF(Agent06_Savings!A85="","",Agent06_Savings!K85)</f>
        <v/>
      </c>
      <c r="K1078" s="40" t="str">
        <f>IFERROR(IF(Agent06_Savings!A85="","",YEAR(Agent06_Savings!D85)),"")</f>
        <v/>
      </c>
    </row>
    <row r="1079" spans="1:11" ht="18" customHeight="1" x14ac:dyDescent="0.25">
      <c r="A1079" s="40" t="str">
        <f>IF(Agent06_Savings!A86="","",Agent06_Savings!A86)</f>
        <v/>
      </c>
      <c r="B1079" s="40" t="str">
        <f ca="1">IF(Agent06_Savings!A86="","","SV"&amp;TEXT(1079-3,"0000")&amp;"-"&amp;TEXT(TODAY(),"YYYYMMDD"))</f>
        <v/>
      </c>
      <c r="C1079" s="40" t="str">
        <f>IF(Agent06_Savings!A86="","",Agent06_Savings!B86)</f>
        <v/>
      </c>
      <c r="D1079" s="40" t="str">
        <f>IF(Agent06_Savings!A86="","",Agent06_Savings!G86)</f>
        <v/>
      </c>
      <c r="E1079" s="41" t="str">
        <f>IF(Agent06_Savings!A86="","",Agent06_Savings!D86)</f>
        <v/>
      </c>
      <c r="F1079" s="42" t="str">
        <f>IF(Agent06_Savings!A86="","",Agent06_Savings!E86)</f>
        <v/>
      </c>
      <c r="G1079" s="42" t="str">
        <f>IF(Agent06_Savings!A86="","",Agent06_Savings!F86)</f>
        <v/>
      </c>
      <c r="H1079" s="40" t="str">
        <f>IF(Agent06_Savings!A86="","",Agent06_Savings!I86)</f>
        <v/>
      </c>
      <c r="I1079" s="40" t="str">
        <f>IF(Agent06_Savings!A86="","",Agent06_Savings!J86)</f>
        <v/>
      </c>
      <c r="J1079" s="40" t="str">
        <f>IF(Agent06_Savings!A86="","",Agent06_Savings!K86)</f>
        <v/>
      </c>
      <c r="K1079" s="40" t="str">
        <f>IFERROR(IF(Agent06_Savings!A86="","",YEAR(Agent06_Savings!D86)),"")</f>
        <v/>
      </c>
    </row>
    <row r="1080" spans="1:11" ht="18" customHeight="1" x14ac:dyDescent="0.25">
      <c r="A1080" s="40" t="str">
        <f>IF(Agent06_Savings!A87="","",Agent06_Savings!A87)</f>
        <v/>
      </c>
      <c r="B1080" s="40" t="str">
        <f ca="1">IF(Agent06_Savings!A87="","","SV"&amp;TEXT(1080-3,"0000")&amp;"-"&amp;TEXT(TODAY(),"YYYYMMDD"))</f>
        <v/>
      </c>
      <c r="C1080" s="40" t="str">
        <f>IF(Agent06_Savings!A87="","",Agent06_Savings!B87)</f>
        <v/>
      </c>
      <c r="D1080" s="40" t="str">
        <f>IF(Agent06_Savings!A87="","",Agent06_Savings!G87)</f>
        <v/>
      </c>
      <c r="E1080" s="41" t="str">
        <f>IF(Agent06_Savings!A87="","",Agent06_Savings!D87)</f>
        <v/>
      </c>
      <c r="F1080" s="42" t="str">
        <f>IF(Agent06_Savings!A87="","",Agent06_Savings!E87)</f>
        <v/>
      </c>
      <c r="G1080" s="42" t="str">
        <f>IF(Agent06_Savings!A87="","",Agent06_Savings!F87)</f>
        <v/>
      </c>
      <c r="H1080" s="40" t="str">
        <f>IF(Agent06_Savings!A87="","",Agent06_Savings!I87)</f>
        <v/>
      </c>
      <c r="I1080" s="40" t="str">
        <f>IF(Agent06_Savings!A87="","",Agent06_Savings!J87)</f>
        <v/>
      </c>
      <c r="J1080" s="40" t="str">
        <f>IF(Agent06_Savings!A87="","",Agent06_Savings!K87)</f>
        <v/>
      </c>
      <c r="K1080" s="40" t="str">
        <f>IFERROR(IF(Agent06_Savings!A87="","",YEAR(Agent06_Savings!D87)),"")</f>
        <v/>
      </c>
    </row>
    <row r="1081" spans="1:11" ht="18" customHeight="1" x14ac:dyDescent="0.25">
      <c r="A1081" s="40" t="str">
        <f>IF(Agent06_Savings!A88="","",Agent06_Savings!A88)</f>
        <v/>
      </c>
      <c r="B1081" s="40" t="str">
        <f ca="1">IF(Agent06_Savings!A88="","","SV"&amp;TEXT(1081-3,"0000")&amp;"-"&amp;TEXT(TODAY(),"YYYYMMDD"))</f>
        <v/>
      </c>
      <c r="C1081" s="40" t="str">
        <f>IF(Agent06_Savings!A88="","",Agent06_Savings!B88)</f>
        <v/>
      </c>
      <c r="D1081" s="40" t="str">
        <f>IF(Agent06_Savings!A88="","",Agent06_Savings!G88)</f>
        <v/>
      </c>
      <c r="E1081" s="41" t="str">
        <f>IF(Agent06_Savings!A88="","",Agent06_Savings!D88)</f>
        <v/>
      </c>
      <c r="F1081" s="42" t="str">
        <f>IF(Agent06_Savings!A88="","",Agent06_Savings!E88)</f>
        <v/>
      </c>
      <c r="G1081" s="42" t="str">
        <f>IF(Agent06_Savings!A88="","",Agent06_Savings!F88)</f>
        <v/>
      </c>
      <c r="H1081" s="40" t="str">
        <f>IF(Agent06_Savings!A88="","",Agent06_Savings!I88)</f>
        <v/>
      </c>
      <c r="I1081" s="40" t="str">
        <f>IF(Agent06_Savings!A88="","",Agent06_Savings!J88)</f>
        <v/>
      </c>
      <c r="J1081" s="40" t="str">
        <f>IF(Agent06_Savings!A88="","",Agent06_Savings!K88)</f>
        <v/>
      </c>
      <c r="K1081" s="40" t="str">
        <f>IFERROR(IF(Agent06_Savings!A88="","",YEAR(Agent06_Savings!D88)),"")</f>
        <v/>
      </c>
    </row>
    <row r="1082" spans="1:11" ht="18" customHeight="1" x14ac:dyDescent="0.25">
      <c r="A1082" s="40" t="str">
        <f>IF(Agent06_Savings!A89="","",Agent06_Savings!A89)</f>
        <v/>
      </c>
      <c r="B1082" s="40" t="str">
        <f ca="1">IF(Agent06_Savings!A89="","","SV"&amp;TEXT(1082-3,"0000")&amp;"-"&amp;TEXT(TODAY(),"YYYYMMDD"))</f>
        <v/>
      </c>
      <c r="C1082" s="40" t="str">
        <f>IF(Agent06_Savings!A89="","",Agent06_Savings!B89)</f>
        <v/>
      </c>
      <c r="D1082" s="40" t="str">
        <f>IF(Agent06_Savings!A89="","",Agent06_Savings!G89)</f>
        <v/>
      </c>
      <c r="E1082" s="41" t="str">
        <f>IF(Agent06_Savings!A89="","",Agent06_Savings!D89)</f>
        <v/>
      </c>
      <c r="F1082" s="42" t="str">
        <f>IF(Agent06_Savings!A89="","",Agent06_Savings!E89)</f>
        <v/>
      </c>
      <c r="G1082" s="42" t="str">
        <f>IF(Agent06_Savings!A89="","",Agent06_Savings!F89)</f>
        <v/>
      </c>
      <c r="H1082" s="40" t="str">
        <f>IF(Agent06_Savings!A89="","",Agent06_Savings!I89)</f>
        <v/>
      </c>
      <c r="I1082" s="40" t="str">
        <f>IF(Agent06_Savings!A89="","",Agent06_Savings!J89)</f>
        <v/>
      </c>
      <c r="J1082" s="40" t="str">
        <f>IF(Agent06_Savings!A89="","",Agent06_Savings!K89)</f>
        <v/>
      </c>
      <c r="K1082" s="40" t="str">
        <f>IFERROR(IF(Agent06_Savings!A89="","",YEAR(Agent06_Savings!D89)),"")</f>
        <v/>
      </c>
    </row>
    <row r="1083" spans="1:11" ht="18" customHeight="1" x14ac:dyDescent="0.25">
      <c r="A1083" s="40" t="str">
        <f>IF(Agent06_Savings!A90="","",Agent06_Savings!A90)</f>
        <v/>
      </c>
      <c r="B1083" s="40" t="str">
        <f ca="1">IF(Agent06_Savings!A90="","","SV"&amp;TEXT(1083-3,"0000")&amp;"-"&amp;TEXT(TODAY(),"YYYYMMDD"))</f>
        <v/>
      </c>
      <c r="C1083" s="40" t="str">
        <f>IF(Agent06_Savings!A90="","",Agent06_Savings!B90)</f>
        <v/>
      </c>
      <c r="D1083" s="40" t="str">
        <f>IF(Agent06_Savings!A90="","",Agent06_Savings!G90)</f>
        <v/>
      </c>
      <c r="E1083" s="41" t="str">
        <f>IF(Agent06_Savings!A90="","",Agent06_Savings!D90)</f>
        <v/>
      </c>
      <c r="F1083" s="42" t="str">
        <f>IF(Agent06_Savings!A90="","",Agent06_Savings!E90)</f>
        <v/>
      </c>
      <c r="G1083" s="42" t="str">
        <f>IF(Agent06_Savings!A90="","",Agent06_Savings!F90)</f>
        <v/>
      </c>
      <c r="H1083" s="40" t="str">
        <f>IF(Agent06_Savings!A90="","",Agent06_Savings!I90)</f>
        <v/>
      </c>
      <c r="I1083" s="40" t="str">
        <f>IF(Agent06_Savings!A90="","",Agent06_Savings!J90)</f>
        <v/>
      </c>
      <c r="J1083" s="40" t="str">
        <f>IF(Agent06_Savings!A90="","",Agent06_Savings!K90)</f>
        <v/>
      </c>
      <c r="K1083" s="40" t="str">
        <f>IFERROR(IF(Agent06_Savings!A90="","",YEAR(Agent06_Savings!D90)),"")</f>
        <v/>
      </c>
    </row>
    <row r="1084" spans="1:11" ht="18" customHeight="1" x14ac:dyDescent="0.25">
      <c r="A1084" s="40" t="str">
        <f>IF(Agent06_Savings!A91="","",Agent06_Savings!A91)</f>
        <v/>
      </c>
      <c r="B1084" s="40" t="str">
        <f ca="1">IF(Agent06_Savings!A91="","","SV"&amp;TEXT(1084-3,"0000")&amp;"-"&amp;TEXT(TODAY(),"YYYYMMDD"))</f>
        <v/>
      </c>
      <c r="C1084" s="40" t="str">
        <f>IF(Agent06_Savings!A91="","",Agent06_Savings!B91)</f>
        <v/>
      </c>
      <c r="D1084" s="40" t="str">
        <f>IF(Agent06_Savings!A91="","",Agent06_Savings!G91)</f>
        <v/>
      </c>
      <c r="E1084" s="41" t="str">
        <f>IF(Agent06_Savings!A91="","",Agent06_Savings!D91)</f>
        <v/>
      </c>
      <c r="F1084" s="42" t="str">
        <f>IF(Agent06_Savings!A91="","",Agent06_Savings!E91)</f>
        <v/>
      </c>
      <c r="G1084" s="42" t="str">
        <f>IF(Agent06_Savings!A91="","",Agent06_Savings!F91)</f>
        <v/>
      </c>
      <c r="H1084" s="40" t="str">
        <f>IF(Agent06_Savings!A91="","",Agent06_Savings!I91)</f>
        <v/>
      </c>
      <c r="I1084" s="40" t="str">
        <f>IF(Agent06_Savings!A91="","",Agent06_Savings!J91)</f>
        <v/>
      </c>
      <c r="J1084" s="40" t="str">
        <f>IF(Agent06_Savings!A91="","",Agent06_Savings!K91)</f>
        <v/>
      </c>
      <c r="K1084" s="40" t="str">
        <f>IFERROR(IF(Agent06_Savings!A91="","",YEAR(Agent06_Savings!D91)),"")</f>
        <v/>
      </c>
    </row>
    <row r="1085" spans="1:11" ht="18" customHeight="1" x14ac:dyDescent="0.25">
      <c r="A1085" s="40" t="str">
        <f>IF(Agent06_Savings!A92="","",Agent06_Savings!A92)</f>
        <v/>
      </c>
      <c r="B1085" s="40" t="str">
        <f ca="1">IF(Agent06_Savings!A92="","","SV"&amp;TEXT(1085-3,"0000")&amp;"-"&amp;TEXT(TODAY(),"YYYYMMDD"))</f>
        <v/>
      </c>
      <c r="C1085" s="40" t="str">
        <f>IF(Agent06_Savings!A92="","",Agent06_Savings!B92)</f>
        <v/>
      </c>
      <c r="D1085" s="40" t="str">
        <f>IF(Agent06_Savings!A92="","",Agent06_Savings!G92)</f>
        <v/>
      </c>
      <c r="E1085" s="41" t="str">
        <f>IF(Agent06_Savings!A92="","",Agent06_Savings!D92)</f>
        <v/>
      </c>
      <c r="F1085" s="42" t="str">
        <f>IF(Agent06_Savings!A92="","",Agent06_Savings!E92)</f>
        <v/>
      </c>
      <c r="G1085" s="42" t="str">
        <f>IF(Agent06_Savings!A92="","",Agent06_Savings!F92)</f>
        <v/>
      </c>
      <c r="H1085" s="40" t="str">
        <f>IF(Agent06_Savings!A92="","",Agent06_Savings!I92)</f>
        <v/>
      </c>
      <c r="I1085" s="40" t="str">
        <f>IF(Agent06_Savings!A92="","",Agent06_Savings!J92)</f>
        <v/>
      </c>
      <c r="J1085" s="40" t="str">
        <f>IF(Agent06_Savings!A92="","",Agent06_Savings!K92)</f>
        <v/>
      </c>
      <c r="K1085" s="40" t="str">
        <f>IFERROR(IF(Agent06_Savings!A92="","",YEAR(Agent06_Savings!D92)),"")</f>
        <v/>
      </c>
    </row>
    <row r="1086" spans="1:11" ht="18" customHeight="1" x14ac:dyDescent="0.25">
      <c r="A1086" s="40" t="str">
        <f>IF(Agent06_Savings!A93="","",Agent06_Savings!A93)</f>
        <v/>
      </c>
      <c r="B1086" s="40" t="str">
        <f ca="1">IF(Agent06_Savings!A93="","","SV"&amp;TEXT(1086-3,"0000")&amp;"-"&amp;TEXT(TODAY(),"YYYYMMDD"))</f>
        <v/>
      </c>
      <c r="C1086" s="40" t="str">
        <f>IF(Agent06_Savings!A93="","",Agent06_Savings!B93)</f>
        <v/>
      </c>
      <c r="D1086" s="40" t="str">
        <f>IF(Agent06_Savings!A93="","",Agent06_Savings!G93)</f>
        <v/>
      </c>
      <c r="E1086" s="41" t="str">
        <f>IF(Agent06_Savings!A93="","",Agent06_Savings!D93)</f>
        <v/>
      </c>
      <c r="F1086" s="42" t="str">
        <f>IF(Agent06_Savings!A93="","",Agent06_Savings!E93)</f>
        <v/>
      </c>
      <c r="G1086" s="42" t="str">
        <f>IF(Agent06_Savings!A93="","",Agent06_Savings!F93)</f>
        <v/>
      </c>
      <c r="H1086" s="40" t="str">
        <f>IF(Agent06_Savings!A93="","",Agent06_Savings!I93)</f>
        <v/>
      </c>
      <c r="I1086" s="40" t="str">
        <f>IF(Agent06_Savings!A93="","",Agent06_Savings!J93)</f>
        <v/>
      </c>
      <c r="J1086" s="40" t="str">
        <f>IF(Agent06_Savings!A93="","",Agent06_Savings!K93)</f>
        <v/>
      </c>
      <c r="K1086" s="40" t="str">
        <f>IFERROR(IF(Agent06_Savings!A93="","",YEAR(Agent06_Savings!D93)),"")</f>
        <v/>
      </c>
    </row>
    <row r="1087" spans="1:11" ht="18" customHeight="1" x14ac:dyDescent="0.25">
      <c r="A1087" s="40" t="str">
        <f>IF(Agent06_Savings!A94="","",Agent06_Savings!A94)</f>
        <v/>
      </c>
      <c r="B1087" s="40" t="str">
        <f ca="1">IF(Agent06_Savings!A94="","","SV"&amp;TEXT(1087-3,"0000")&amp;"-"&amp;TEXT(TODAY(),"YYYYMMDD"))</f>
        <v/>
      </c>
      <c r="C1087" s="40" t="str">
        <f>IF(Agent06_Savings!A94="","",Agent06_Savings!B94)</f>
        <v/>
      </c>
      <c r="D1087" s="40" t="str">
        <f>IF(Agent06_Savings!A94="","",Agent06_Savings!G94)</f>
        <v/>
      </c>
      <c r="E1087" s="41" t="str">
        <f>IF(Agent06_Savings!A94="","",Agent06_Savings!D94)</f>
        <v/>
      </c>
      <c r="F1087" s="42" t="str">
        <f>IF(Agent06_Savings!A94="","",Agent06_Savings!E94)</f>
        <v/>
      </c>
      <c r="G1087" s="42" t="str">
        <f>IF(Agent06_Savings!A94="","",Agent06_Savings!F94)</f>
        <v/>
      </c>
      <c r="H1087" s="40" t="str">
        <f>IF(Agent06_Savings!A94="","",Agent06_Savings!I94)</f>
        <v/>
      </c>
      <c r="I1087" s="40" t="str">
        <f>IF(Agent06_Savings!A94="","",Agent06_Savings!J94)</f>
        <v/>
      </c>
      <c r="J1087" s="40" t="str">
        <f>IF(Agent06_Savings!A94="","",Agent06_Savings!K94)</f>
        <v/>
      </c>
      <c r="K1087" s="40" t="str">
        <f>IFERROR(IF(Agent06_Savings!A94="","",YEAR(Agent06_Savings!D94)),"")</f>
        <v/>
      </c>
    </row>
    <row r="1088" spans="1:11" ht="18" customHeight="1" x14ac:dyDescent="0.25">
      <c r="A1088" s="40" t="str">
        <f>IF(Agent06_Savings!A95="","",Agent06_Savings!A95)</f>
        <v/>
      </c>
      <c r="B1088" s="40" t="str">
        <f ca="1">IF(Agent06_Savings!A95="","","SV"&amp;TEXT(1088-3,"0000")&amp;"-"&amp;TEXT(TODAY(),"YYYYMMDD"))</f>
        <v/>
      </c>
      <c r="C1088" s="40" t="str">
        <f>IF(Agent06_Savings!A95="","",Agent06_Savings!B95)</f>
        <v/>
      </c>
      <c r="D1088" s="40" t="str">
        <f>IF(Agent06_Savings!A95="","",Agent06_Savings!G95)</f>
        <v/>
      </c>
      <c r="E1088" s="41" t="str">
        <f>IF(Agent06_Savings!A95="","",Agent06_Savings!D95)</f>
        <v/>
      </c>
      <c r="F1088" s="42" t="str">
        <f>IF(Agent06_Savings!A95="","",Agent06_Savings!E95)</f>
        <v/>
      </c>
      <c r="G1088" s="42" t="str">
        <f>IF(Agent06_Savings!A95="","",Agent06_Savings!F95)</f>
        <v/>
      </c>
      <c r="H1088" s="40" t="str">
        <f>IF(Agent06_Savings!A95="","",Agent06_Savings!I95)</f>
        <v/>
      </c>
      <c r="I1088" s="40" t="str">
        <f>IF(Agent06_Savings!A95="","",Agent06_Savings!J95)</f>
        <v/>
      </c>
      <c r="J1088" s="40" t="str">
        <f>IF(Agent06_Savings!A95="","",Agent06_Savings!K95)</f>
        <v/>
      </c>
      <c r="K1088" s="40" t="str">
        <f>IFERROR(IF(Agent06_Savings!A95="","",YEAR(Agent06_Savings!D95)),"")</f>
        <v/>
      </c>
    </row>
    <row r="1089" spans="1:11" ht="18" customHeight="1" x14ac:dyDescent="0.25">
      <c r="A1089" s="40" t="str">
        <f>IF(Agent06_Savings!A96="","",Agent06_Savings!A96)</f>
        <v/>
      </c>
      <c r="B1089" s="40" t="str">
        <f ca="1">IF(Agent06_Savings!A96="","","SV"&amp;TEXT(1089-3,"0000")&amp;"-"&amp;TEXT(TODAY(),"YYYYMMDD"))</f>
        <v/>
      </c>
      <c r="C1089" s="40" t="str">
        <f>IF(Agent06_Savings!A96="","",Agent06_Savings!B96)</f>
        <v/>
      </c>
      <c r="D1089" s="40" t="str">
        <f>IF(Agent06_Savings!A96="","",Agent06_Savings!G96)</f>
        <v/>
      </c>
      <c r="E1089" s="41" t="str">
        <f>IF(Agent06_Savings!A96="","",Agent06_Savings!D96)</f>
        <v/>
      </c>
      <c r="F1089" s="42" t="str">
        <f>IF(Agent06_Savings!A96="","",Agent06_Savings!E96)</f>
        <v/>
      </c>
      <c r="G1089" s="42" t="str">
        <f>IF(Agent06_Savings!A96="","",Agent06_Savings!F96)</f>
        <v/>
      </c>
      <c r="H1089" s="40" t="str">
        <f>IF(Agent06_Savings!A96="","",Agent06_Savings!I96)</f>
        <v/>
      </c>
      <c r="I1089" s="40" t="str">
        <f>IF(Agent06_Savings!A96="","",Agent06_Savings!J96)</f>
        <v/>
      </c>
      <c r="J1089" s="40" t="str">
        <f>IF(Agent06_Savings!A96="","",Agent06_Savings!K96)</f>
        <v/>
      </c>
      <c r="K1089" s="40" t="str">
        <f>IFERROR(IF(Agent06_Savings!A96="","",YEAR(Agent06_Savings!D96)),"")</f>
        <v/>
      </c>
    </row>
    <row r="1090" spans="1:11" ht="18" customHeight="1" x14ac:dyDescent="0.25">
      <c r="A1090" s="40" t="str">
        <f>IF(Agent06_Savings!A97="","",Agent06_Savings!A97)</f>
        <v/>
      </c>
      <c r="B1090" s="40" t="str">
        <f ca="1">IF(Agent06_Savings!A97="","","SV"&amp;TEXT(1090-3,"0000")&amp;"-"&amp;TEXT(TODAY(),"YYYYMMDD"))</f>
        <v/>
      </c>
      <c r="C1090" s="40" t="str">
        <f>IF(Agent06_Savings!A97="","",Agent06_Savings!B97)</f>
        <v/>
      </c>
      <c r="D1090" s="40" t="str">
        <f>IF(Agent06_Savings!A97="","",Agent06_Savings!G97)</f>
        <v/>
      </c>
      <c r="E1090" s="41" t="str">
        <f>IF(Agent06_Savings!A97="","",Agent06_Savings!D97)</f>
        <v/>
      </c>
      <c r="F1090" s="42" t="str">
        <f>IF(Agent06_Savings!A97="","",Agent06_Savings!E97)</f>
        <v/>
      </c>
      <c r="G1090" s="42" t="str">
        <f>IF(Agent06_Savings!A97="","",Agent06_Savings!F97)</f>
        <v/>
      </c>
      <c r="H1090" s="40" t="str">
        <f>IF(Agent06_Savings!A97="","",Agent06_Savings!I97)</f>
        <v/>
      </c>
      <c r="I1090" s="40" t="str">
        <f>IF(Agent06_Savings!A97="","",Agent06_Savings!J97)</f>
        <v/>
      </c>
      <c r="J1090" s="40" t="str">
        <f>IF(Agent06_Savings!A97="","",Agent06_Savings!K97)</f>
        <v/>
      </c>
      <c r="K1090" s="40" t="str">
        <f>IFERROR(IF(Agent06_Savings!A97="","",YEAR(Agent06_Savings!D97)),"")</f>
        <v/>
      </c>
    </row>
    <row r="1091" spans="1:11" ht="18" customHeight="1" x14ac:dyDescent="0.25">
      <c r="A1091" s="40" t="str">
        <f>IF(Agent06_Savings!A98="","",Agent06_Savings!A98)</f>
        <v/>
      </c>
      <c r="B1091" s="40" t="str">
        <f ca="1">IF(Agent06_Savings!A98="","","SV"&amp;TEXT(1091-3,"0000")&amp;"-"&amp;TEXT(TODAY(),"YYYYMMDD"))</f>
        <v/>
      </c>
      <c r="C1091" s="40" t="str">
        <f>IF(Agent06_Savings!A98="","",Agent06_Savings!B98)</f>
        <v/>
      </c>
      <c r="D1091" s="40" t="str">
        <f>IF(Agent06_Savings!A98="","",Agent06_Savings!G98)</f>
        <v/>
      </c>
      <c r="E1091" s="41" t="str">
        <f>IF(Agent06_Savings!A98="","",Agent06_Savings!D98)</f>
        <v/>
      </c>
      <c r="F1091" s="42" t="str">
        <f>IF(Agent06_Savings!A98="","",Agent06_Savings!E98)</f>
        <v/>
      </c>
      <c r="G1091" s="42" t="str">
        <f>IF(Agent06_Savings!A98="","",Agent06_Savings!F98)</f>
        <v/>
      </c>
      <c r="H1091" s="40" t="str">
        <f>IF(Agent06_Savings!A98="","",Agent06_Savings!I98)</f>
        <v/>
      </c>
      <c r="I1091" s="40" t="str">
        <f>IF(Agent06_Savings!A98="","",Agent06_Savings!J98)</f>
        <v/>
      </c>
      <c r="J1091" s="40" t="str">
        <f>IF(Agent06_Savings!A98="","",Agent06_Savings!K98)</f>
        <v/>
      </c>
      <c r="K1091" s="40" t="str">
        <f>IFERROR(IF(Agent06_Savings!A98="","",YEAR(Agent06_Savings!D98)),"")</f>
        <v/>
      </c>
    </row>
    <row r="1092" spans="1:11" ht="18" customHeight="1" x14ac:dyDescent="0.25">
      <c r="A1092" s="40" t="str">
        <f>IF(Agent06_Savings!A99="","",Agent06_Savings!A99)</f>
        <v/>
      </c>
      <c r="B1092" s="40" t="str">
        <f ca="1">IF(Agent06_Savings!A99="","","SV"&amp;TEXT(1092-3,"0000")&amp;"-"&amp;TEXT(TODAY(),"YYYYMMDD"))</f>
        <v/>
      </c>
      <c r="C1092" s="40" t="str">
        <f>IF(Agent06_Savings!A99="","",Agent06_Savings!B99)</f>
        <v/>
      </c>
      <c r="D1092" s="40" t="str">
        <f>IF(Agent06_Savings!A99="","",Agent06_Savings!G99)</f>
        <v/>
      </c>
      <c r="E1092" s="41" t="str">
        <f>IF(Agent06_Savings!A99="","",Agent06_Savings!D99)</f>
        <v/>
      </c>
      <c r="F1092" s="42" t="str">
        <f>IF(Agent06_Savings!A99="","",Agent06_Savings!E99)</f>
        <v/>
      </c>
      <c r="G1092" s="42" t="str">
        <f>IF(Agent06_Savings!A99="","",Agent06_Savings!F99)</f>
        <v/>
      </c>
      <c r="H1092" s="40" t="str">
        <f>IF(Agent06_Savings!A99="","",Agent06_Savings!I99)</f>
        <v/>
      </c>
      <c r="I1092" s="40" t="str">
        <f>IF(Agent06_Savings!A99="","",Agent06_Savings!J99)</f>
        <v/>
      </c>
      <c r="J1092" s="40" t="str">
        <f>IF(Agent06_Savings!A99="","",Agent06_Savings!K99)</f>
        <v/>
      </c>
      <c r="K1092" s="40" t="str">
        <f>IFERROR(IF(Agent06_Savings!A99="","",YEAR(Agent06_Savings!D99)),"")</f>
        <v/>
      </c>
    </row>
    <row r="1093" spans="1:11" ht="18" customHeight="1" x14ac:dyDescent="0.25">
      <c r="A1093" s="40" t="str">
        <f>IF(Agent06_Savings!A100="","",Agent06_Savings!A100)</f>
        <v/>
      </c>
      <c r="B1093" s="40" t="str">
        <f ca="1">IF(Agent06_Savings!A100="","","SV"&amp;TEXT(1093-3,"0000")&amp;"-"&amp;TEXT(TODAY(),"YYYYMMDD"))</f>
        <v/>
      </c>
      <c r="C1093" s="40" t="str">
        <f>IF(Agent06_Savings!A100="","",Agent06_Savings!B100)</f>
        <v/>
      </c>
      <c r="D1093" s="40" t="str">
        <f>IF(Agent06_Savings!A100="","",Agent06_Savings!G100)</f>
        <v/>
      </c>
      <c r="E1093" s="41" t="str">
        <f>IF(Agent06_Savings!A100="","",Agent06_Savings!D100)</f>
        <v/>
      </c>
      <c r="F1093" s="42" t="str">
        <f>IF(Agent06_Savings!A100="","",Agent06_Savings!E100)</f>
        <v/>
      </c>
      <c r="G1093" s="42" t="str">
        <f>IF(Agent06_Savings!A100="","",Agent06_Savings!F100)</f>
        <v/>
      </c>
      <c r="H1093" s="40" t="str">
        <f>IF(Agent06_Savings!A100="","",Agent06_Savings!I100)</f>
        <v/>
      </c>
      <c r="I1093" s="40" t="str">
        <f>IF(Agent06_Savings!A100="","",Agent06_Savings!J100)</f>
        <v/>
      </c>
      <c r="J1093" s="40" t="str">
        <f>IF(Agent06_Savings!A100="","",Agent06_Savings!K100)</f>
        <v/>
      </c>
      <c r="K1093" s="40" t="str">
        <f>IFERROR(IF(Agent06_Savings!A100="","",YEAR(Agent06_Savings!D100)),"")</f>
        <v/>
      </c>
    </row>
    <row r="1094" spans="1:11" ht="18" customHeight="1" x14ac:dyDescent="0.25">
      <c r="A1094" s="40" t="str">
        <f>IF(Agent06_Savings!A101="","",Agent06_Savings!A101)</f>
        <v/>
      </c>
      <c r="B1094" s="40" t="str">
        <f ca="1">IF(Agent06_Savings!A101="","","SV"&amp;TEXT(1094-3,"0000")&amp;"-"&amp;TEXT(TODAY(),"YYYYMMDD"))</f>
        <v/>
      </c>
      <c r="C1094" s="40" t="str">
        <f>IF(Agent06_Savings!A101="","",Agent06_Savings!B101)</f>
        <v/>
      </c>
      <c r="D1094" s="40" t="str">
        <f>IF(Agent06_Savings!A101="","",Agent06_Savings!G101)</f>
        <v/>
      </c>
      <c r="E1094" s="41" t="str">
        <f>IF(Agent06_Savings!A101="","",Agent06_Savings!D101)</f>
        <v/>
      </c>
      <c r="F1094" s="42" t="str">
        <f>IF(Agent06_Savings!A101="","",Agent06_Savings!E101)</f>
        <v/>
      </c>
      <c r="G1094" s="42" t="str">
        <f>IF(Agent06_Savings!A101="","",Agent06_Savings!F101)</f>
        <v/>
      </c>
      <c r="H1094" s="40" t="str">
        <f>IF(Agent06_Savings!A101="","",Agent06_Savings!I101)</f>
        <v/>
      </c>
      <c r="I1094" s="40" t="str">
        <f>IF(Agent06_Savings!A101="","",Agent06_Savings!J101)</f>
        <v/>
      </c>
      <c r="J1094" s="40" t="str">
        <f>IF(Agent06_Savings!A101="","",Agent06_Savings!K101)</f>
        <v/>
      </c>
      <c r="K1094" s="40" t="str">
        <f>IFERROR(IF(Agent06_Savings!A101="","",YEAR(Agent06_Savings!D101)),"")</f>
        <v/>
      </c>
    </row>
    <row r="1095" spans="1:11" ht="18" customHeight="1" x14ac:dyDescent="0.25">
      <c r="A1095" s="40" t="str">
        <f>IF(Agent06_Savings!A102="","",Agent06_Savings!A102)</f>
        <v/>
      </c>
      <c r="B1095" s="40" t="str">
        <f ca="1">IF(Agent06_Savings!A102="","","SV"&amp;TEXT(1095-3,"0000")&amp;"-"&amp;TEXT(TODAY(),"YYYYMMDD"))</f>
        <v/>
      </c>
      <c r="C1095" s="40" t="str">
        <f>IF(Agent06_Savings!A102="","",Agent06_Savings!B102)</f>
        <v/>
      </c>
      <c r="D1095" s="40" t="str">
        <f>IF(Agent06_Savings!A102="","",Agent06_Savings!G102)</f>
        <v/>
      </c>
      <c r="E1095" s="41" t="str">
        <f>IF(Agent06_Savings!A102="","",Agent06_Savings!D102)</f>
        <v/>
      </c>
      <c r="F1095" s="42" t="str">
        <f>IF(Agent06_Savings!A102="","",Agent06_Savings!E102)</f>
        <v/>
      </c>
      <c r="G1095" s="42" t="str">
        <f>IF(Agent06_Savings!A102="","",Agent06_Savings!F102)</f>
        <v/>
      </c>
      <c r="H1095" s="40" t="str">
        <f>IF(Agent06_Savings!A102="","",Agent06_Savings!I102)</f>
        <v/>
      </c>
      <c r="I1095" s="40" t="str">
        <f>IF(Agent06_Savings!A102="","",Agent06_Savings!J102)</f>
        <v/>
      </c>
      <c r="J1095" s="40" t="str">
        <f>IF(Agent06_Savings!A102="","",Agent06_Savings!K102)</f>
        <v/>
      </c>
      <c r="K1095" s="40" t="str">
        <f>IFERROR(IF(Agent06_Savings!A102="","",YEAR(Agent06_Savings!D102)),"")</f>
        <v/>
      </c>
    </row>
    <row r="1096" spans="1:11" ht="18" customHeight="1" x14ac:dyDescent="0.25">
      <c r="A1096" s="40" t="str">
        <f>IF(Agent06_Savings!A103="","",Agent06_Savings!A103)</f>
        <v/>
      </c>
      <c r="B1096" s="40" t="str">
        <f ca="1">IF(Agent06_Savings!A103="","","SV"&amp;TEXT(1096-3,"0000")&amp;"-"&amp;TEXT(TODAY(),"YYYYMMDD"))</f>
        <v/>
      </c>
      <c r="C1096" s="40" t="str">
        <f>IF(Agent06_Savings!A103="","",Agent06_Savings!B103)</f>
        <v/>
      </c>
      <c r="D1096" s="40" t="str">
        <f>IF(Agent06_Savings!A103="","",Agent06_Savings!G103)</f>
        <v/>
      </c>
      <c r="E1096" s="41" t="str">
        <f>IF(Agent06_Savings!A103="","",Agent06_Savings!D103)</f>
        <v/>
      </c>
      <c r="F1096" s="42" t="str">
        <f>IF(Agent06_Savings!A103="","",Agent06_Savings!E103)</f>
        <v/>
      </c>
      <c r="G1096" s="42" t="str">
        <f>IF(Agent06_Savings!A103="","",Agent06_Savings!F103)</f>
        <v/>
      </c>
      <c r="H1096" s="40" t="str">
        <f>IF(Agent06_Savings!A103="","",Agent06_Savings!I103)</f>
        <v/>
      </c>
      <c r="I1096" s="40" t="str">
        <f>IF(Agent06_Savings!A103="","",Agent06_Savings!J103)</f>
        <v/>
      </c>
      <c r="J1096" s="40" t="str">
        <f>IF(Agent06_Savings!A103="","",Agent06_Savings!K103)</f>
        <v/>
      </c>
      <c r="K1096" s="40" t="str">
        <f>IFERROR(IF(Agent06_Savings!A103="","",YEAR(Agent06_Savings!D103)),"")</f>
        <v/>
      </c>
    </row>
    <row r="1097" spans="1:11" ht="18" customHeight="1" x14ac:dyDescent="0.25">
      <c r="A1097" s="40" t="str">
        <f>IF(Agent06_Savings!A104="","",Agent06_Savings!A104)</f>
        <v/>
      </c>
      <c r="B1097" s="40" t="str">
        <f ca="1">IF(Agent06_Savings!A104="","","SV"&amp;TEXT(1097-3,"0000")&amp;"-"&amp;TEXT(TODAY(),"YYYYMMDD"))</f>
        <v/>
      </c>
      <c r="C1097" s="40" t="str">
        <f>IF(Agent06_Savings!A104="","",Agent06_Savings!B104)</f>
        <v/>
      </c>
      <c r="D1097" s="40" t="str">
        <f>IF(Agent06_Savings!A104="","",Agent06_Savings!G104)</f>
        <v/>
      </c>
      <c r="E1097" s="41" t="str">
        <f>IF(Agent06_Savings!A104="","",Agent06_Savings!D104)</f>
        <v/>
      </c>
      <c r="F1097" s="42" t="str">
        <f>IF(Agent06_Savings!A104="","",Agent06_Savings!E104)</f>
        <v/>
      </c>
      <c r="G1097" s="42" t="str">
        <f>IF(Agent06_Savings!A104="","",Agent06_Savings!F104)</f>
        <v/>
      </c>
      <c r="H1097" s="40" t="str">
        <f>IF(Agent06_Savings!A104="","",Agent06_Savings!I104)</f>
        <v/>
      </c>
      <c r="I1097" s="40" t="str">
        <f>IF(Agent06_Savings!A104="","",Agent06_Savings!J104)</f>
        <v/>
      </c>
      <c r="J1097" s="40" t="str">
        <f>IF(Agent06_Savings!A104="","",Agent06_Savings!K104)</f>
        <v/>
      </c>
      <c r="K1097" s="40" t="str">
        <f>IFERROR(IF(Agent06_Savings!A104="","",YEAR(Agent06_Savings!D104)),"")</f>
        <v/>
      </c>
    </row>
    <row r="1098" spans="1:11" ht="18" customHeight="1" x14ac:dyDescent="0.25">
      <c r="A1098" s="40" t="str">
        <f>IF(Agent06_Savings!A105="","",Agent06_Savings!A105)</f>
        <v/>
      </c>
      <c r="B1098" s="40" t="str">
        <f ca="1">IF(Agent06_Savings!A105="","","SV"&amp;TEXT(1098-3,"0000")&amp;"-"&amp;TEXT(TODAY(),"YYYYMMDD"))</f>
        <v/>
      </c>
      <c r="C1098" s="40" t="str">
        <f>IF(Agent06_Savings!A105="","",Agent06_Savings!B105)</f>
        <v/>
      </c>
      <c r="D1098" s="40" t="str">
        <f>IF(Agent06_Savings!A105="","",Agent06_Savings!G105)</f>
        <v/>
      </c>
      <c r="E1098" s="41" t="str">
        <f>IF(Agent06_Savings!A105="","",Agent06_Savings!D105)</f>
        <v/>
      </c>
      <c r="F1098" s="42" t="str">
        <f>IF(Agent06_Savings!A105="","",Agent06_Savings!E105)</f>
        <v/>
      </c>
      <c r="G1098" s="42" t="str">
        <f>IF(Agent06_Savings!A105="","",Agent06_Savings!F105)</f>
        <v/>
      </c>
      <c r="H1098" s="40" t="str">
        <f>IF(Agent06_Savings!A105="","",Agent06_Savings!I105)</f>
        <v/>
      </c>
      <c r="I1098" s="40" t="str">
        <f>IF(Agent06_Savings!A105="","",Agent06_Savings!J105)</f>
        <v/>
      </c>
      <c r="J1098" s="40" t="str">
        <f>IF(Agent06_Savings!A105="","",Agent06_Savings!K105)</f>
        <v/>
      </c>
      <c r="K1098" s="40" t="str">
        <f>IFERROR(IF(Agent06_Savings!A105="","",YEAR(Agent06_Savings!D105)),"")</f>
        <v/>
      </c>
    </row>
    <row r="1099" spans="1:11" ht="18" customHeight="1" x14ac:dyDescent="0.25">
      <c r="A1099" s="40" t="str">
        <f>IF(Agent06_Savings!A106="","",Agent06_Savings!A106)</f>
        <v/>
      </c>
      <c r="B1099" s="40" t="str">
        <f ca="1">IF(Agent06_Savings!A106="","","SV"&amp;TEXT(1099-3,"0000")&amp;"-"&amp;TEXT(TODAY(),"YYYYMMDD"))</f>
        <v/>
      </c>
      <c r="C1099" s="40" t="str">
        <f>IF(Agent06_Savings!A106="","",Agent06_Savings!B106)</f>
        <v/>
      </c>
      <c r="D1099" s="40" t="str">
        <f>IF(Agent06_Savings!A106="","",Agent06_Savings!G106)</f>
        <v/>
      </c>
      <c r="E1099" s="41" t="str">
        <f>IF(Agent06_Savings!A106="","",Agent06_Savings!D106)</f>
        <v/>
      </c>
      <c r="F1099" s="42" t="str">
        <f>IF(Agent06_Savings!A106="","",Agent06_Savings!E106)</f>
        <v/>
      </c>
      <c r="G1099" s="42" t="str">
        <f>IF(Agent06_Savings!A106="","",Agent06_Savings!F106)</f>
        <v/>
      </c>
      <c r="H1099" s="40" t="str">
        <f>IF(Agent06_Savings!A106="","",Agent06_Savings!I106)</f>
        <v/>
      </c>
      <c r="I1099" s="40" t="str">
        <f>IF(Agent06_Savings!A106="","",Agent06_Savings!J106)</f>
        <v/>
      </c>
      <c r="J1099" s="40" t="str">
        <f>IF(Agent06_Savings!A106="","",Agent06_Savings!K106)</f>
        <v/>
      </c>
      <c r="K1099" s="40" t="str">
        <f>IFERROR(IF(Agent06_Savings!A106="","",YEAR(Agent06_Savings!D106)),"")</f>
        <v/>
      </c>
    </row>
    <row r="1100" spans="1:11" ht="18" customHeight="1" x14ac:dyDescent="0.25">
      <c r="A1100" s="40" t="str">
        <f>IF(Agent06_Savings!A107="","",Agent06_Savings!A107)</f>
        <v/>
      </c>
      <c r="B1100" s="40" t="str">
        <f ca="1">IF(Agent06_Savings!A107="","","SV"&amp;TEXT(1100-3,"0000")&amp;"-"&amp;TEXT(TODAY(),"YYYYMMDD"))</f>
        <v/>
      </c>
      <c r="C1100" s="40" t="str">
        <f>IF(Agent06_Savings!A107="","",Agent06_Savings!B107)</f>
        <v/>
      </c>
      <c r="D1100" s="40" t="str">
        <f>IF(Agent06_Savings!A107="","",Agent06_Savings!G107)</f>
        <v/>
      </c>
      <c r="E1100" s="41" t="str">
        <f>IF(Agent06_Savings!A107="","",Agent06_Savings!D107)</f>
        <v/>
      </c>
      <c r="F1100" s="42" t="str">
        <f>IF(Agent06_Savings!A107="","",Agent06_Savings!E107)</f>
        <v/>
      </c>
      <c r="G1100" s="42" t="str">
        <f>IF(Agent06_Savings!A107="","",Agent06_Savings!F107)</f>
        <v/>
      </c>
      <c r="H1100" s="40" t="str">
        <f>IF(Agent06_Savings!A107="","",Agent06_Savings!I107)</f>
        <v/>
      </c>
      <c r="I1100" s="40" t="str">
        <f>IF(Agent06_Savings!A107="","",Agent06_Savings!J107)</f>
        <v/>
      </c>
      <c r="J1100" s="40" t="str">
        <f>IF(Agent06_Savings!A107="","",Agent06_Savings!K107)</f>
        <v/>
      </c>
      <c r="K1100" s="40" t="str">
        <f>IFERROR(IF(Agent06_Savings!A107="","",YEAR(Agent06_Savings!D107)),"")</f>
        <v/>
      </c>
    </row>
    <row r="1101" spans="1:11" ht="18" customHeight="1" x14ac:dyDescent="0.25">
      <c r="A1101" s="40" t="str">
        <f>IF(Agent06_Savings!A108="","",Agent06_Savings!A108)</f>
        <v/>
      </c>
      <c r="B1101" s="40" t="str">
        <f ca="1">IF(Agent06_Savings!A108="","","SV"&amp;TEXT(1101-3,"0000")&amp;"-"&amp;TEXT(TODAY(),"YYYYMMDD"))</f>
        <v/>
      </c>
      <c r="C1101" s="40" t="str">
        <f>IF(Agent06_Savings!A108="","",Agent06_Savings!B108)</f>
        <v/>
      </c>
      <c r="D1101" s="40" t="str">
        <f>IF(Agent06_Savings!A108="","",Agent06_Savings!G108)</f>
        <v/>
      </c>
      <c r="E1101" s="41" t="str">
        <f>IF(Agent06_Savings!A108="","",Agent06_Savings!D108)</f>
        <v/>
      </c>
      <c r="F1101" s="42" t="str">
        <f>IF(Agent06_Savings!A108="","",Agent06_Savings!E108)</f>
        <v/>
      </c>
      <c r="G1101" s="42" t="str">
        <f>IF(Agent06_Savings!A108="","",Agent06_Savings!F108)</f>
        <v/>
      </c>
      <c r="H1101" s="40" t="str">
        <f>IF(Agent06_Savings!A108="","",Agent06_Savings!I108)</f>
        <v/>
      </c>
      <c r="I1101" s="40" t="str">
        <f>IF(Agent06_Savings!A108="","",Agent06_Savings!J108)</f>
        <v/>
      </c>
      <c r="J1101" s="40" t="str">
        <f>IF(Agent06_Savings!A108="","",Agent06_Savings!K108)</f>
        <v/>
      </c>
      <c r="K1101" s="40" t="str">
        <f>IFERROR(IF(Agent06_Savings!A108="","",YEAR(Agent06_Savings!D108)),"")</f>
        <v/>
      </c>
    </row>
    <row r="1102" spans="1:11" ht="18" customHeight="1" x14ac:dyDescent="0.25">
      <c r="A1102" s="40" t="str">
        <f>IF(Agent06_Savings!A109="","",Agent06_Savings!A109)</f>
        <v/>
      </c>
      <c r="B1102" s="40" t="str">
        <f ca="1">IF(Agent06_Savings!A109="","","SV"&amp;TEXT(1102-3,"0000")&amp;"-"&amp;TEXT(TODAY(),"YYYYMMDD"))</f>
        <v/>
      </c>
      <c r="C1102" s="40" t="str">
        <f>IF(Agent06_Savings!A109="","",Agent06_Savings!B109)</f>
        <v/>
      </c>
      <c r="D1102" s="40" t="str">
        <f>IF(Agent06_Savings!A109="","",Agent06_Savings!G109)</f>
        <v/>
      </c>
      <c r="E1102" s="41" t="str">
        <f>IF(Agent06_Savings!A109="","",Agent06_Savings!D109)</f>
        <v/>
      </c>
      <c r="F1102" s="42" t="str">
        <f>IF(Agent06_Savings!A109="","",Agent06_Savings!E109)</f>
        <v/>
      </c>
      <c r="G1102" s="42" t="str">
        <f>IF(Agent06_Savings!A109="","",Agent06_Savings!F109)</f>
        <v/>
      </c>
      <c r="H1102" s="40" t="str">
        <f>IF(Agent06_Savings!A109="","",Agent06_Savings!I109)</f>
        <v/>
      </c>
      <c r="I1102" s="40" t="str">
        <f>IF(Agent06_Savings!A109="","",Agent06_Savings!J109)</f>
        <v/>
      </c>
      <c r="J1102" s="40" t="str">
        <f>IF(Agent06_Savings!A109="","",Agent06_Savings!K109)</f>
        <v/>
      </c>
      <c r="K1102" s="40" t="str">
        <f>IFERROR(IF(Agent06_Savings!A109="","",YEAR(Agent06_Savings!D109)),"")</f>
        <v/>
      </c>
    </row>
    <row r="1103" spans="1:11" ht="18" customHeight="1" x14ac:dyDescent="0.25">
      <c r="A1103" s="40" t="str">
        <f>IF(Agent06_Savings!A110="","",Agent06_Savings!A110)</f>
        <v/>
      </c>
      <c r="B1103" s="40" t="str">
        <f ca="1">IF(Agent06_Savings!A110="","","SV"&amp;TEXT(1103-3,"0000")&amp;"-"&amp;TEXT(TODAY(),"YYYYMMDD"))</f>
        <v/>
      </c>
      <c r="C1103" s="40" t="str">
        <f>IF(Agent06_Savings!A110="","",Agent06_Savings!B110)</f>
        <v/>
      </c>
      <c r="D1103" s="40" t="str">
        <f>IF(Agent06_Savings!A110="","",Agent06_Savings!G110)</f>
        <v/>
      </c>
      <c r="E1103" s="41" t="str">
        <f>IF(Agent06_Savings!A110="","",Agent06_Savings!D110)</f>
        <v/>
      </c>
      <c r="F1103" s="42" t="str">
        <f>IF(Agent06_Savings!A110="","",Agent06_Savings!E110)</f>
        <v/>
      </c>
      <c r="G1103" s="42" t="str">
        <f>IF(Agent06_Savings!A110="","",Agent06_Savings!F110)</f>
        <v/>
      </c>
      <c r="H1103" s="40" t="str">
        <f>IF(Agent06_Savings!A110="","",Agent06_Savings!I110)</f>
        <v/>
      </c>
      <c r="I1103" s="40" t="str">
        <f>IF(Agent06_Savings!A110="","",Agent06_Savings!J110)</f>
        <v/>
      </c>
      <c r="J1103" s="40" t="str">
        <f>IF(Agent06_Savings!A110="","",Agent06_Savings!K110)</f>
        <v/>
      </c>
      <c r="K1103" s="40" t="str">
        <f>IFERROR(IF(Agent06_Savings!A110="","",YEAR(Agent06_Savings!D110)),"")</f>
        <v/>
      </c>
    </row>
    <row r="1104" spans="1:11" ht="18" customHeight="1" x14ac:dyDescent="0.25">
      <c r="A1104" s="40" t="str">
        <f>IF(Agent06_Savings!A111="","",Agent06_Savings!A111)</f>
        <v/>
      </c>
      <c r="B1104" s="40" t="str">
        <f ca="1">IF(Agent06_Savings!A111="","","SV"&amp;TEXT(1104-3,"0000")&amp;"-"&amp;TEXT(TODAY(),"YYYYMMDD"))</f>
        <v/>
      </c>
      <c r="C1104" s="40" t="str">
        <f>IF(Agent06_Savings!A111="","",Agent06_Savings!B111)</f>
        <v/>
      </c>
      <c r="D1104" s="40" t="str">
        <f>IF(Agent06_Savings!A111="","",Agent06_Savings!G111)</f>
        <v/>
      </c>
      <c r="E1104" s="41" t="str">
        <f>IF(Agent06_Savings!A111="","",Agent06_Savings!D111)</f>
        <v/>
      </c>
      <c r="F1104" s="42" t="str">
        <f>IF(Agent06_Savings!A111="","",Agent06_Savings!E111)</f>
        <v/>
      </c>
      <c r="G1104" s="42" t="str">
        <f>IF(Agent06_Savings!A111="","",Agent06_Savings!F111)</f>
        <v/>
      </c>
      <c r="H1104" s="40" t="str">
        <f>IF(Agent06_Savings!A111="","",Agent06_Savings!I111)</f>
        <v/>
      </c>
      <c r="I1104" s="40" t="str">
        <f>IF(Agent06_Savings!A111="","",Agent06_Savings!J111)</f>
        <v/>
      </c>
      <c r="J1104" s="40" t="str">
        <f>IF(Agent06_Savings!A111="","",Agent06_Savings!K111)</f>
        <v/>
      </c>
      <c r="K1104" s="40" t="str">
        <f>IFERROR(IF(Agent06_Savings!A111="","",YEAR(Agent06_Savings!D111)),"")</f>
        <v/>
      </c>
    </row>
    <row r="1105" spans="1:11" ht="18" customHeight="1" x14ac:dyDescent="0.25">
      <c r="A1105" s="40" t="str">
        <f>IF(Agent06_Savings!A112="","",Agent06_Savings!A112)</f>
        <v/>
      </c>
      <c r="B1105" s="40" t="str">
        <f ca="1">IF(Agent06_Savings!A112="","","SV"&amp;TEXT(1105-3,"0000")&amp;"-"&amp;TEXT(TODAY(),"YYYYMMDD"))</f>
        <v/>
      </c>
      <c r="C1105" s="40" t="str">
        <f>IF(Agent06_Savings!A112="","",Agent06_Savings!B112)</f>
        <v/>
      </c>
      <c r="D1105" s="40" t="str">
        <f>IF(Agent06_Savings!A112="","",Agent06_Savings!G112)</f>
        <v/>
      </c>
      <c r="E1105" s="41" t="str">
        <f>IF(Agent06_Savings!A112="","",Agent06_Savings!D112)</f>
        <v/>
      </c>
      <c r="F1105" s="42" t="str">
        <f>IF(Agent06_Savings!A112="","",Agent06_Savings!E112)</f>
        <v/>
      </c>
      <c r="G1105" s="42" t="str">
        <f>IF(Agent06_Savings!A112="","",Agent06_Savings!F112)</f>
        <v/>
      </c>
      <c r="H1105" s="40" t="str">
        <f>IF(Agent06_Savings!A112="","",Agent06_Savings!I112)</f>
        <v/>
      </c>
      <c r="I1105" s="40" t="str">
        <f>IF(Agent06_Savings!A112="","",Agent06_Savings!J112)</f>
        <v/>
      </c>
      <c r="J1105" s="40" t="str">
        <f>IF(Agent06_Savings!A112="","",Agent06_Savings!K112)</f>
        <v/>
      </c>
      <c r="K1105" s="40" t="str">
        <f>IFERROR(IF(Agent06_Savings!A112="","",YEAR(Agent06_Savings!D112)),"")</f>
        <v/>
      </c>
    </row>
    <row r="1106" spans="1:11" ht="18" customHeight="1" x14ac:dyDescent="0.25">
      <c r="A1106" s="40" t="str">
        <f>IF(Agent06_Savings!A113="","",Agent06_Savings!A113)</f>
        <v/>
      </c>
      <c r="B1106" s="40" t="str">
        <f ca="1">IF(Agent06_Savings!A113="","","SV"&amp;TEXT(1106-3,"0000")&amp;"-"&amp;TEXT(TODAY(),"YYYYMMDD"))</f>
        <v/>
      </c>
      <c r="C1106" s="40" t="str">
        <f>IF(Agent06_Savings!A113="","",Agent06_Savings!B113)</f>
        <v/>
      </c>
      <c r="D1106" s="40" t="str">
        <f>IF(Agent06_Savings!A113="","",Agent06_Savings!G113)</f>
        <v/>
      </c>
      <c r="E1106" s="41" t="str">
        <f>IF(Agent06_Savings!A113="","",Agent06_Savings!D113)</f>
        <v/>
      </c>
      <c r="F1106" s="42" t="str">
        <f>IF(Agent06_Savings!A113="","",Agent06_Savings!E113)</f>
        <v/>
      </c>
      <c r="G1106" s="42" t="str">
        <f>IF(Agent06_Savings!A113="","",Agent06_Savings!F113)</f>
        <v/>
      </c>
      <c r="H1106" s="40" t="str">
        <f>IF(Agent06_Savings!A113="","",Agent06_Savings!I113)</f>
        <v/>
      </c>
      <c r="I1106" s="40" t="str">
        <f>IF(Agent06_Savings!A113="","",Agent06_Savings!J113)</f>
        <v/>
      </c>
      <c r="J1106" s="40" t="str">
        <f>IF(Agent06_Savings!A113="","",Agent06_Savings!K113)</f>
        <v/>
      </c>
      <c r="K1106" s="40" t="str">
        <f>IFERROR(IF(Agent06_Savings!A113="","",YEAR(Agent06_Savings!D113)),"")</f>
        <v/>
      </c>
    </row>
    <row r="1107" spans="1:11" ht="18" customHeight="1" x14ac:dyDescent="0.25">
      <c r="A1107" s="40" t="str">
        <f>IF(Agent06_Savings!A114="","",Agent06_Savings!A114)</f>
        <v/>
      </c>
      <c r="B1107" s="40" t="str">
        <f ca="1">IF(Agent06_Savings!A114="","","SV"&amp;TEXT(1107-3,"0000")&amp;"-"&amp;TEXT(TODAY(),"YYYYMMDD"))</f>
        <v/>
      </c>
      <c r="C1107" s="40" t="str">
        <f>IF(Agent06_Savings!A114="","",Agent06_Savings!B114)</f>
        <v/>
      </c>
      <c r="D1107" s="40" t="str">
        <f>IF(Agent06_Savings!A114="","",Agent06_Savings!G114)</f>
        <v/>
      </c>
      <c r="E1107" s="41" t="str">
        <f>IF(Agent06_Savings!A114="","",Agent06_Savings!D114)</f>
        <v/>
      </c>
      <c r="F1107" s="42" t="str">
        <f>IF(Agent06_Savings!A114="","",Agent06_Savings!E114)</f>
        <v/>
      </c>
      <c r="G1107" s="42" t="str">
        <f>IF(Agent06_Savings!A114="","",Agent06_Savings!F114)</f>
        <v/>
      </c>
      <c r="H1107" s="40" t="str">
        <f>IF(Agent06_Savings!A114="","",Agent06_Savings!I114)</f>
        <v/>
      </c>
      <c r="I1107" s="40" t="str">
        <f>IF(Agent06_Savings!A114="","",Agent06_Savings!J114)</f>
        <v/>
      </c>
      <c r="J1107" s="40" t="str">
        <f>IF(Agent06_Savings!A114="","",Agent06_Savings!K114)</f>
        <v/>
      </c>
      <c r="K1107" s="40" t="str">
        <f>IFERROR(IF(Agent06_Savings!A114="","",YEAR(Agent06_Savings!D114)),"")</f>
        <v/>
      </c>
    </row>
    <row r="1108" spans="1:11" ht="18" customHeight="1" x14ac:dyDescent="0.25">
      <c r="A1108" s="40" t="str">
        <f>IF(Agent06_Savings!A115="","",Agent06_Savings!A115)</f>
        <v/>
      </c>
      <c r="B1108" s="40" t="str">
        <f ca="1">IF(Agent06_Savings!A115="","","SV"&amp;TEXT(1108-3,"0000")&amp;"-"&amp;TEXT(TODAY(),"YYYYMMDD"))</f>
        <v/>
      </c>
      <c r="C1108" s="40" t="str">
        <f>IF(Agent06_Savings!A115="","",Agent06_Savings!B115)</f>
        <v/>
      </c>
      <c r="D1108" s="40" t="str">
        <f>IF(Agent06_Savings!A115="","",Agent06_Savings!G115)</f>
        <v/>
      </c>
      <c r="E1108" s="41" t="str">
        <f>IF(Agent06_Savings!A115="","",Agent06_Savings!D115)</f>
        <v/>
      </c>
      <c r="F1108" s="42" t="str">
        <f>IF(Agent06_Savings!A115="","",Agent06_Savings!E115)</f>
        <v/>
      </c>
      <c r="G1108" s="42" t="str">
        <f>IF(Agent06_Savings!A115="","",Agent06_Savings!F115)</f>
        <v/>
      </c>
      <c r="H1108" s="40" t="str">
        <f>IF(Agent06_Savings!A115="","",Agent06_Savings!I115)</f>
        <v/>
      </c>
      <c r="I1108" s="40" t="str">
        <f>IF(Agent06_Savings!A115="","",Agent06_Savings!J115)</f>
        <v/>
      </c>
      <c r="J1108" s="40" t="str">
        <f>IF(Agent06_Savings!A115="","",Agent06_Savings!K115)</f>
        <v/>
      </c>
      <c r="K1108" s="40" t="str">
        <f>IFERROR(IF(Agent06_Savings!A115="","",YEAR(Agent06_Savings!D115)),"")</f>
        <v/>
      </c>
    </row>
    <row r="1109" spans="1:11" ht="18" customHeight="1" x14ac:dyDescent="0.25">
      <c r="A1109" s="40" t="str">
        <f>IF(Agent06_Savings!A116="","",Agent06_Savings!A116)</f>
        <v/>
      </c>
      <c r="B1109" s="40" t="str">
        <f ca="1">IF(Agent06_Savings!A116="","","SV"&amp;TEXT(1109-3,"0000")&amp;"-"&amp;TEXT(TODAY(),"YYYYMMDD"))</f>
        <v/>
      </c>
      <c r="C1109" s="40" t="str">
        <f>IF(Agent06_Savings!A116="","",Agent06_Savings!B116)</f>
        <v/>
      </c>
      <c r="D1109" s="40" t="str">
        <f>IF(Agent06_Savings!A116="","",Agent06_Savings!G116)</f>
        <v/>
      </c>
      <c r="E1109" s="41" t="str">
        <f>IF(Agent06_Savings!A116="","",Agent06_Savings!D116)</f>
        <v/>
      </c>
      <c r="F1109" s="42" t="str">
        <f>IF(Agent06_Savings!A116="","",Agent06_Savings!E116)</f>
        <v/>
      </c>
      <c r="G1109" s="42" t="str">
        <f>IF(Agent06_Savings!A116="","",Agent06_Savings!F116)</f>
        <v/>
      </c>
      <c r="H1109" s="40" t="str">
        <f>IF(Agent06_Savings!A116="","",Agent06_Savings!I116)</f>
        <v/>
      </c>
      <c r="I1109" s="40" t="str">
        <f>IF(Agent06_Savings!A116="","",Agent06_Savings!J116)</f>
        <v/>
      </c>
      <c r="J1109" s="40" t="str">
        <f>IF(Agent06_Savings!A116="","",Agent06_Savings!K116)</f>
        <v/>
      </c>
      <c r="K1109" s="40" t="str">
        <f>IFERROR(IF(Agent06_Savings!A116="","",YEAR(Agent06_Savings!D116)),"")</f>
        <v/>
      </c>
    </row>
    <row r="1110" spans="1:11" ht="18" customHeight="1" x14ac:dyDescent="0.25">
      <c r="A1110" s="40" t="str">
        <f>IF(Agent06_Savings!A117="","",Agent06_Savings!A117)</f>
        <v/>
      </c>
      <c r="B1110" s="40" t="str">
        <f ca="1">IF(Agent06_Savings!A117="","","SV"&amp;TEXT(1110-3,"0000")&amp;"-"&amp;TEXT(TODAY(),"YYYYMMDD"))</f>
        <v/>
      </c>
      <c r="C1110" s="40" t="str">
        <f>IF(Agent06_Savings!A117="","",Agent06_Savings!B117)</f>
        <v/>
      </c>
      <c r="D1110" s="40" t="str">
        <f>IF(Agent06_Savings!A117="","",Agent06_Savings!G117)</f>
        <v/>
      </c>
      <c r="E1110" s="41" t="str">
        <f>IF(Agent06_Savings!A117="","",Agent06_Savings!D117)</f>
        <v/>
      </c>
      <c r="F1110" s="42" t="str">
        <f>IF(Agent06_Savings!A117="","",Agent06_Savings!E117)</f>
        <v/>
      </c>
      <c r="G1110" s="42" t="str">
        <f>IF(Agent06_Savings!A117="","",Agent06_Savings!F117)</f>
        <v/>
      </c>
      <c r="H1110" s="40" t="str">
        <f>IF(Agent06_Savings!A117="","",Agent06_Savings!I117)</f>
        <v/>
      </c>
      <c r="I1110" s="40" t="str">
        <f>IF(Agent06_Savings!A117="","",Agent06_Savings!J117)</f>
        <v/>
      </c>
      <c r="J1110" s="40" t="str">
        <f>IF(Agent06_Savings!A117="","",Agent06_Savings!K117)</f>
        <v/>
      </c>
      <c r="K1110" s="40" t="str">
        <f>IFERROR(IF(Agent06_Savings!A117="","",YEAR(Agent06_Savings!D117)),"")</f>
        <v/>
      </c>
    </row>
    <row r="1111" spans="1:11" ht="18" customHeight="1" x14ac:dyDescent="0.25">
      <c r="A1111" s="40" t="str">
        <f>IF(Agent06_Savings!A118="","",Agent06_Savings!A118)</f>
        <v/>
      </c>
      <c r="B1111" s="40" t="str">
        <f ca="1">IF(Agent06_Savings!A118="","","SV"&amp;TEXT(1111-3,"0000")&amp;"-"&amp;TEXT(TODAY(),"YYYYMMDD"))</f>
        <v/>
      </c>
      <c r="C1111" s="40" t="str">
        <f>IF(Agent06_Savings!A118="","",Agent06_Savings!B118)</f>
        <v/>
      </c>
      <c r="D1111" s="40" t="str">
        <f>IF(Agent06_Savings!A118="","",Agent06_Savings!G118)</f>
        <v/>
      </c>
      <c r="E1111" s="41" t="str">
        <f>IF(Agent06_Savings!A118="","",Agent06_Savings!D118)</f>
        <v/>
      </c>
      <c r="F1111" s="42" t="str">
        <f>IF(Agent06_Savings!A118="","",Agent06_Savings!E118)</f>
        <v/>
      </c>
      <c r="G1111" s="42" t="str">
        <f>IF(Agent06_Savings!A118="","",Agent06_Savings!F118)</f>
        <v/>
      </c>
      <c r="H1111" s="40" t="str">
        <f>IF(Agent06_Savings!A118="","",Agent06_Savings!I118)</f>
        <v/>
      </c>
      <c r="I1111" s="40" t="str">
        <f>IF(Agent06_Savings!A118="","",Agent06_Savings!J118)</f>
        <v/>
      </c>
      <c r="J1111" s="40" t="str">
        <f>IF(Agent06_Savings!A118="","",Agent06_Savings!K118)</f>
        <v/>
      </c>
      <c r="K1111" s="40" t="str">
        <f>IFERROR(IF(Agent06_Savings!A118="","",YEAR(Agent06_Savings!D118)),"")</f>
        <v/>
      </c>
    </row>
    <row r="1112" spans="1:11" ht="18" customHeight="1" x14ac:dyDescent="0.25">
      <c r="A1112" s="40" t="str">
        <f>IF(Agent06_Savings!A119="","",Agent06_Savings!A119)</f>
        <v/>
      </c>
      <c r="B1112" s="40" t="str">
        <f ca="1">IF(Agent06_Savings!A119="","","SV"&amp;TEXT(1112-3,"0000")&amp;"-"&amp;TEXT(TODAY(),"YYYYMMDD"))</f>
        <v/>
      </c>
      <c r="C1112" s="40" t="str">
        <f>IF(Agent06_Savings!A119="","",Agent06_Savings!B119)</f>
        <v/>
      </c>
      <c r="D1112" s="40" t="str">
        <f>IF(Agent06_Savings!A119="","",Agent06_Savings!G119)</f>
        <v/>
      </c>
      <c r="E1112" s="41" t="str">
        <f>IF(Agent06_Savings!A119="","",Agent06_Savings!D119)</f>
        <v/>
      </c>
      <c r="F1112" s="42" t="str">
        <f>IF(Agent06_Savings!A119="","",Agent06_Savings!E119)</f>
        <v/>
      </c>
      <c r="G1112" s="42" t="str">
        <f>IF(Agent06_Savings!A119="","",Agent06_Savings!F119)</f>
        <v/>
      </c>
      <c r="H1112" s="40" t="str">
        <f>IF(Agent06_Savings!A119="","",Agent06_Savings!I119)</f>
        <v/>
      </c>
      <c r="I1112" s="40" t="str">
        <f>IF(Agent06_Savings!A119="","",Agent06_Savings!J119)</f>
        <v/>
      </c>
      <c r="J1112" s="40" t="str">
        <f>IF(Agent06_Savings!A119="","",Agent06_Savings!K119)</f>
        <v/>
      </c>
      <c r="K1112" s="40" t="str">
        <f>IFERROR(IF(Agent06_Savings!A119="","",YEAR(Agent06_Savings!D119)),"")</f>
        <v/>
      </c>
    </row>
    <row r="1113" spans="1:11" ht="18" customHeight="1" x14ac:dyDescent="0.25">
      <c r="A1113" s="40" t="str">
        <f>IF(Agent06_Savings!A120="","",Agent06_Savings!A120)</f>
        <v/>
      </c>
      <c r="B1113" s="40" t="str">
        <f ca="1">IF(Agent06_Savings!A120="","","SV"&amp;TEXT(1113-3,"0000")&amp;"-"&amp;TEXT(TODAY(),"YYYYMMDD"))</f>
        <v/>
      </c>
      <c r="C1113" s="40" t="str">
        <f>IF(Agent06_Savings!A120="","",Agent06_Savings!B120)</f>
        <v/>
      </c>
      <c r="D1113" s="40" t="str">
        <f>IF(Agent06_Savings!A120="","",Agent06_Savings!G120)</f>
        <v/>
      </c>
      <c r="E1113" s="41" t="str">
        <f>IF(Agent06_Savings!A120="","",Agent06_Savings!D120)</f>
        <v/>
      </c>
      <c r="F1113" s="42" t="str">
        <f>IF(Agent06_Savings!A120="","",Agent06_Savings!E120)</f>
        <v/>
      </c>
      <c r="G1113" s="42" t="str">
        <f>IF(Agent06_Savings!A120="","",Agent06_Savings!F120)</f>
        <v/>
      </c>
      <c r="H1113" s="40" t="str">
        <f>IF(Agent06_Savings!A120="","",Agent06_Savings!I120)</f>
        <v/>
      </c>
      <c r="I1113" s="40" t="str">
        <f>IF(Agent06_Savings!A120="","",Agent06_Savings!J120)</f>
        <v/>
      </c>
      <c r="J1113" s="40" t="str">
        <f>IF(Agent06_Savings!A120="","",Agent06_Savings!K120)</f>
        <v/>
      </c>
      <c r="K1113" s="40" t="str">
        <f>IFERROR(IF(Agent06_Savings!A120="","",YEAR(Agent06_Savings!D120)),"")</f>
        <v/>
      </c>
    </row>
    <row r="1114" spans="1:11" ht="18" customHeight="1" x14ac:dyDescent="0.25">
      <c r="A1114" s="40" t="str">
        <f>IF(Agent06_Savings!A121="","",Agent06_Savings!A121)</f>
        <v/>
      </c>
      <c r="B1114" s="40" t="str">
        <f ca="1">IF(Agent06_Savings!A121="","","SV"&amp;TEXT(1114-3,"0000")&amp;"-"&amp;TEXT(TODAY(),"YYYYMMDD"))</f>
        <v/>
      </c>
      <c r="C1114" s="40" t="str">
        <f>IF(Agent06_Savings!A121="","",Agent06_Savings!B121)</f>
        <v/>
      </c>
      <c r="D1114" s="40" t="str">
        <f>IF(Agent06_Savings!A121="","",Agent06_Savings!G121)</f>
        <v/>
      </c>
      <c r="E1114" s="41" t="str">
        <f>IF(Agent06_Savings!A121="","",Agent06_Savings!D121)</f>
        <v/>
      </c>
      <c r="F1114" s="42" t="str">
        <f>IF(Agent06_Savings!A121="","",Agent06_Savings!E121)</f>
        <v/>
      </c>
      <c r="G1114" s="42" t="str">
        <f>IF(Agent06_Savings!A121="","",Agent06_Savings!F121)</f>
        <v/>
      </c>
      <c r="H1114" s="40" t="str">
        <f>IF(Agent06_Savings!A121="","",Agent06_Savings!I121)</f>
        <v/>
      </c>
      <c r="I1114" s="40" t="str">
        <f>IF(Agent06_Savings!A121="","",Agent06_Savings!J121)</f>
        <v/>
      </c>
      <c r="J1114" s="40" t="str">
        <f>IF(Agent06_Savings!A121="","",Agent06_Savings!K121)</f>
        <v/>
      </c>
      <c r="K1114" s="40" t="str">
        <f>IFERROR(IF(Agent06_Savings!A121="","",YEAR(Agent06_Savings!D121)),"")</f>
        <v/>
      </c>
    </row>
    <row r="1115" spans="1:11" ht="18" customHeight="1" x14ac:dyDescent="0.25">
      <c r="A1115" s="40" t="str">
        <f>IF(Agent06_Savings!A122="","",Agent06_Savings!A122)</f>
        <v/>
      </c>
      <c r="B1115" s="40" t="str">
        <f ca="1">IF(Agent06_Savings!A122="","","SV"&amp;TEXT(1115-3,"0000")&amp;"-"&amp;TEXT(TODAY(),"YYYYMMDD"))</f>
        <v/>
      </c>
      <c r="C1115" s="40" t="str">
        <f>IF(Agent06_Savings!A122="","",Agent06_Savings!B122)</f>
        <v/>
      </c>
      <c r="D1115" s="40" t="str">
        <f>IF(Agent06_Savings!A122="","",Agent06_Savings!G122)</f>
        <v/>
      </c>
      <c r="E1115" s="41" t="str">
        <f>IF(Agent06_Savings!A122="","",Agent06_Savings!D122)</f>
        <v/>
      </c>
      <c r="F1115" s="42" t="str">
        <f>IF(Agent06_Savings!A122="","",Agent06_Savings!E122)</f>
        <v/>
      </c>
      <c r="G1115" s="42" t="str">
        <f>IF(Agent06_Savings!A122="","",Agent06_Savings!F122)</f>
        <v/>
      </c>
      <c r="H1115" s="40" t="str">
        <f>IF(Agent06_Savings!A122="","",Agent06_Savings!I122)</f>
        <v/>
      </c>
      <c r="I1115" s="40" t="str">
        <f>IF(Agent06_Savings!A122="","",Agent06_Savings!J122)</f>
        <v/>
      </c>
      <c r="J1115" s="40" t="str">
        <f>IF(Agent06_Savings!A122="","",Agent06_Savings!K122)</f>
        <v/>
      </c>
      <c r="K1115" s="40" t="str">
        <f>IFERROR(IF(Agent06_Savings!A122="","",YEAR(Agent06_Savings!D122)),"")</f>
        <v/>
      </c>
    </row>
    <row r="1116" spans="1:11" ht="18" customHeight="1" x14ac:dyDescent="0.25">
      <c r="A1116" s="40" t="str">
        <f>IF(Agent06_Savings!A123="","",Agent06_Savings!A123)</f>
        <v/>
      </c>
      <c r="B1116" s="40" t="str">
        <f ca="1">IF(Agent06_Savings!A123="","","SV"&amp;TEXT(1116-3,"0000")&amp;"-"&amp;TEXT(TODAY(),"YYYYMMDD"))</f>
        <v/>
      </c>
      <c r="C1116" s="40" t="str">
        <f>IF(Agent06_Savings!A123="","",Agent06_Savings!B123)</f>
        <v/>
      </c>
      <c r="D1116" s="40" t="str">
        <f>IF(Agent06_Savings!A123="","",Agent06_Savings!G123)</f>
        <v/>
      </c>
      <c r="E1116" s="41" t="str">
        <f>IF(Agent06_Savings!A123="","",Agent06_Savings!D123)</f>
        <v/>
      </c>
      <c r="F1116" s="42" t="str">
        <f>IF(Agent06_Savings!A123="","",Agent06_Savings!E123)</f>
        <v/>
      </c>
      <c r="G1116" s="42" t="str">
        <f>IF(Agent06_Savings!A123="","",Agent06_Savings!F123)</f>
        <v/>
      </c>
      <c r="H1116" s="40" t="str">
        <f>IF(Agent06_Savings!A123="","",Agent06_Savings!I123)</f>
        <v/>
      </c>
      <c r="I1116" s="40" t="str">
        <f>IF(Agent06_Savings!A123="","",Agent06_Savings!J123)</f>
        <v/>
      </c>
      <c r="J1116" s="40" t="str">
        <f>IF(Agent06_Savings!A123="","",Agent06_Savings!K123)</f>
        <v/>
      </c>
      <c r="K1116" s="40" t="str">
        <f>IFERROR(IF(Agent06_Savings!A123="","",YEAR(Agent06_Savings!D123)),"")</f>
        <v/>
      </c>
    </row>
    <row r="1117" spans="1:11" ht="18" customHeight="1" x14ac:dyDescent="0.25">
      <c r="A1117" s="40" t="str">
        <f>IF(Agent06_Savings!A124="","",Agent06_Savings!A124)</f>
        <v/>
      </c>
      <c r="B1117" s="40" t="str">
        <f ca="1">IF(Agent06_Savings!A124="","","SV"&amp;TEXT(1117-3,"0000")&amp;"-"&amp;TEXT(TODAY(),"YYYYMMDD"))</f>
        <v/>
      </c>
      <c r="C1117" s="40" t="str">
        <f>IF(Agent06_Savings!A124="","",Agent06_Savings!B124)</f>
        <v/>
      </c>
      <c r="D1117" s="40" t="str">
        <f>IF(Agent06_Savings!A124="","",Agent06_Savings!G124)</f>
        <v/>
      </c>
      <c r="E1117" s="41" t="str">
        <f>IF(Agent06_Savings!A124="","",Agent06_Savings!D124)</f>
        <v/>
      </c>
      <c r="F1117" s="42" t="str">
        <f>IF(Agent06_Savings!A124="","",Agent06_Savings!E124)</f>
        <v/>
      </c>
      <c r="G1117" s="42" t="str">
        <f>IF(Agent06_Savings!A124="","",Agent06_Savings!F124)</f>
        <v/>
      </c>
      <c r="H1117" s="40" t="str">
        <f>IF(Agent06_Savings!A124="","",Agent06_Savings!I124)</f>
        <v/>
      </c>
      <c r="I1117" s="40" t="str">
        <f>IF(Agent06_Savings!A124="","",Agent06_Savings!J124)</f>
        <v/>
      </c>
      <c r="J1117" s="40" t="str">
        <f>IF(Agent06_Savings!A124="","",Agent06_Savings!K124)</f>
        <v/>
      </c>
      <c r="K1117" s="40" t="str">
        <f>IFERROR(IF(Agent06_Savings!A124="","",YEAR(Agent06_Savings!D124)),"")</f>
        <v/>
      </c>
    </row>
    <row r="1118" spans="1:11" ht="18" customHeight="1" x14ac:dyDescent="0.25">
      <c r="A1118" s="40" t="str">
        <f>IF(Agent06_Savings!A125="","",Agent06_Savings!A125)</f>
        <v/>
      </c>
      <c r="B1118" s="40" t="str">
        <f ca="1">IF(Agent06_Savings!A125="","","SV"&amp;TEXT(1118-3,"0000")&amp;"-"&amp;TEXT(TODAY(),"YYYYMMDD"))</f>
        <v/>
      </c>
      <c r="C1118" s="40" t="str">
        <f>IF(Agent06_Savings!A125="","",Agent06_Savings!B125)</f>
        <v/>
      </c>
      <c r="D1118" s="40" t="str">
        <f>IF(Agent06_Savings!A125="","",Agent06_Savings!G125)</f>
        <v/>
      </c>
      <c r="E1118" s="41" t="str">
        <f>IF(Agent06_Savings!A125="","",Agent06_Savings!D125)</f>
        <v/>
      </c>
      <c r="F1118" s="42" t="str">
        <f>IF(Agent06_Savings!A125="","",Agent06_Savings!E125)</f>
        <v/>
      </c>
      <c r="G1118" s="42" t="str">
        <f>IF(Agent06_Savings!A125="","",Agent06_Savings!F125)</f>
        <v/>
      </c>
      <c r="H1118" s="40" t="str">
        <f>IF(Agent06_Savings!A125="","",Agent06_Savings!I125)</f>
        <v/>
      </c>
      <c r="I1118" s="40" t="str">
        <f>IF(Agent06_Savings!A125="","",Agent06_Savings!J125)</f>
        <v/>
      </c>
      <c r="J1118" s="40" t="str">
        <f>IF(Agent06_Savings!A125="","",Agent06_Savings!K125)</f>
        <v/>
      </c>
      <c r="K1118" s="40" t="str">
        <f>IFERROR(IF(Agent06_Savings!A125="","",YEAR(Agent06_Savings!D125)),"")</f>
        <v/>
      </c>
    </row>
    <row r="1119" spans="1:11" ht="18" customHeight="1" x14ac:dyDescent="0.25">
      <c r="A1119" s="40" t="str">
        <f>IF(Agent06_Savings!A126="","",Agent06_Savings!A126)</f>
        <v/>
      </c>
      <c r="B1119" s="40" t="str">
        <f ca="1">IF(Agent06_Savings!A126="","","SV"&amp;TEXT(1119-3,"0000")&amp;"-"&amp;TEXT(TODAY(),"YYYYMMDD"))</f>
        <v/>
      </c>
      <c r="C1119" s="40" t="str">
        <f>IF(Agent06_Savings!A126="","",Agent06_Savings!B126)</f>
        <v/>
      </c>
      <c r="D1119" s="40" t="str">
        <f>IF(Agent06_Savings!A126="","",Agent06_Savings!G126)</f>
        <v/>
      </c>
      <c r="E1119" s="41" t="str">
        <f>IF(Agent06_Savings!A126="","",Agent06_Savings!D126)</f>
        <v/>
      </c>
      <c r="F1119" s="42" t="str">
        <f>IF(Agent06_Savings!A126="","",Agent06_Savings!E126)</f>
        <v/>
      </c>
      <c r="G1119" s="42" t="str">
        <f>IF(Agent06_Savings!A126="","",Agent06_Savings!F126)</f>
        <v/>
      </c>
      <c r="H1119" s="40" t="str">
        <f>IF(Agent06_Savings!A126="","",Agent06_Savings!I126)</f>
        <v/>
      </c>
      <c r="I1119" s="40" t="str">
        <f>IF(Agent06_Savings!A126="","",Agent06_Savings!J126)</f>
        <v/>
      </c>
      <c r="J1119" s="40" t="str">
        <f>IF(Agent06_Savings!A126="","",Agent06_Savings!K126)</f>
        <v/>
      </c>
      <c r="K1119" s="40" t="str">
        <f>IFERROR(IF(Agent06_Savings!A126="","",YEAR(Agent06_Savings!D126)),"")</f>
        <v/>
      </c>
    </row>
    <row r="1120" spans="1:11" ht="18" customHeight="1" x14ac:dyDescent="0.25">
      <c r="A1120" s="40" t="str">
        <f>IF(Agent06_Savings!A127="","",Agent06_Savings!A127)</f>
        <v/>
      </c>
      <c r="B1120" s="40" t="str">
        <f ca="1">IF(Agent06_Savings!A127="","","SV"&amp;TEXT(1120-3,"0000")&amp;"-"&amp;TEXT(TODAY(),"YYYYMMDD"))</f>
        <v/>
      </c>
      <c r="C1120" s="40" t="str">
        <f>IF(Agent06_Savings!A127="","",Agent06_Savings!B127)</f>
        <v/>
      </c>
      <c r="D1120" s="40" t="str">
        <f>IF(Agent06_Savings!A127="","",Agent06_Savings!G127)</f>
        <v/>
      </c>
      <c r="E1120" s="41" t="str">
        <f>IF(Agent06_Savings!A127="","",Agent06_Savings!D127)</f>
        <v/>
      </c>
      <c r="F1120" s="42" t="str">
        <f>IF(Agent06_Savings!A127="","",Agent06_Savings!E127)</f>
        <v/>
      </c>
      <c r="G1120" s="42" t="str">
        <f>IF(Agent06_Savings!A127="","",Agent06_Savings!F127)</f>
        <v/>
      </c>
      <c r="H1120" s="40" t="str">
        <f>IF(Agent06_Savings!A127="","",Agent06_Savings!I127)</f>
        <v/>
      </c>
      <c r="I1120" s="40" t="str">
        <f>IF(Agent06_Savings!A127="","",Agent06_Savings!J127)</f>
        <v/>
      </c>
      <c r="J1120" s="40" t="str">
        <f>IF(Agent06_Savings!A127="","",Agent06_Savings!K127)</f>
        <v/>
      </c>
      <c r="K1120" s="40" t="str">
        <f>IFERROR(IF(Agent06_Savings!A127="","",YEAR(Agent06_Savings!D127)),"")</f>
        <v/>
      </c>
    </row>
    <row r="1121" spans="1:11" ht="18" customHeight="1" x14ac:dyDescent="0.25">
      <c r="A1121" s="40" t="str">
        <f>IF(Agent06_Savings!A128="","",Agent06_Savings!A128)</f>
        <v/>
      </c>
      <c r="B1121" s="40" t="str">
        <f ca="1">IF(Agent06_Savings!A128="","","SV"&amp;TEXT(1121-3,"0000")&amp;"-"&amp;TEXT(TODAY(),"YYYYMMDD"))</f>
        <v/>
      </c>
      <c r="C1121" s="40" t="str">
        <f>IF(Agent06_Savings!A128="","",Agent06_Savings!B128)</f>
        <v/>
      </c>
      <c r="D1121" s="40" t="str">
        <f>IF(Agent06_Savings!A128="","",Agent06_Savings!G128)</f>
        <v/>
      </c>
      <c r="E1121" s="41" t="str">
        <f>IF(Agent06_Savings!A128="","",Agent06_Savings!D128)</f>
        <v/>
      </c>
      <c r="F1121" s="42" t="str">
        <f>IF(Agent06_Savings!A128="","",Agent06_Savings!E128)</f>
        <v/>
      </c>
      <c r="G1121" s="42" t="str">
        <f>IF(Agent06_Savings!A128="","",Agent06_Savings!F128)</f>
        <v/>
      </c>
      <c r="H1121" s="40" t="str">
        <f>IF(Agent06_Savings!A128="","",Agent06_Savings!I128)</f>
        <v/>
      </c>
      <c r="I1121" s="40" t="str">
        <f>IF(Agent06_Savings!A128="","",Agent06_Savings!J128)</f>
        <v/>
      </c>
      <c r="J1121" s="40" t="str">
        <f>IF(Agent06_Savings!A128="","",Agent06_Savings!K128)</f>
        <v/>
      </c>
      <c r="K1121" s="40" t="str">
        <f>IFERROR(IF(Agent06_Savings!A128="","",YEAR(Agent06_Savings!D128)),"")</f>
        <v/>
      </c>
    </row>
    <row r="1122" spans="1:11" ht="18" customHeight="1" x14ac:dyDescent="0.25">
      <c r="A1122" s="40" t="str">
        <f>IF(Agent06_Savings!A129="","",Agent06_Savings!A129)</f>
        <v/>
      </c>
      <c r="B1122" s="40" t="str">
        <f ca="1">IF(Agent06_Savings!A129="","","SV"&amp;TEXT(1122-3,"0000")&amp;"-"&amp;TEXT(TODAY(),"YYYYMMDD"))</f>
        <v/>
      </c>
      <c r="C1122" s="40" t="str">
        <f>IF(Agent06_Savings!A129="","",Agent06_Savings!B129)</f>
        <v/>
      </c>
      <c r="D1122" s="40" t="str">
        <f>IF(Agent06_Savings!A129="","",Agent06_Savings!G129)</f>
        <v/>
      </c>
      <c r="E1122" s="41" t="str">
        <f>IF(Agent06_Savings!A129="","",Agent06_Savings!D129)</f>
        <v/>
      </c>
      <c r="F1122" s="42" t="str">
        <f>IF(Agent06_Savings!A129="","",Agent06_Savings!E129)</f>
        <v/>
      </c>
      <c r="G1122" s="42" t="str">
        <f>IF(Agent06_Savings!A129="","",Agent06_Savings!F129)</f>
        <v/>
      </c>
      <c r="H1122" s="40" t="str">
        <f>IF(Agent06_Savings!A129="","",Agent06_Savings!I129)</f>
        <v/>
      </c>
      <c r="I1122" s="40" t="str">
        <f>IF(Agent06_Savings!A129="","",Agent06_Savings!J129)</f>
        <v/>
      </c>
      <c r="J1122" s="40" t="str">
        <f>IF(Agent06_Savings!A129="","",Agent06_Savings!K129)</f>
        <v/>
      </c>
      <c r="K1122" s="40" t="str">
        <f>IFERROR(IF(Agent06_Savings!A129="","",YEAR(Agent06_Savings!D129)),"")</f>
        <v/>
      </c>
    </row>
    <row r="1123" spans="1:11" ht="18" customHeight="1" x14ac:dyDescent="0.25">
      <c r="A1123" s="40" t="str">
        <f>IF(Agent06_Savings!A130="","",Agent06_Savings!A130)</f>
        <v/>
      </c>
      <c r="B1123" s="40" t="str">
        <f ca="1">IF(Agent06_Savings!A130="","","SV"&amp;TEXT(1123-3,"0000")&amp;"-"&amp;TEXT(TODAY(),"YYYYMMDD"))</f>
        <v/>
      </c>
      <c r="C1123" s="40" t="str">
        <f>IF(Agent06_Savings!A130="","",Agent06_Savings!B130)</f>
        <v/>
      </c>
      <c r="D1123" s="40" t="str">
        <f>IF(Agent06_Savings!A130="","",Agent06_Savings!G130)</f>
        <v/>
      </c>
      <c r="E1123" s="41" t="str">
        <f>IF(Agent06_Savings!A130="","",Agent06_Savings!D130)</f>
        <v/>
      </c>
      <c r="F1123" s="42" t="str">
        <f>IF(Agent06_Savings!A130="","",Agent06_Savings!E130)</f>
        <v/>
      </c>
      <c r="G1123" s="42" t="str">
        <f>IF(Agent06_Savings!A130="","",Agent06_Savings!F130)</f>
        <v/>
      </c>
      <c r="H1123" s="40" t="str">
        <f>IF(Agent06_Savings!A130="","",Agent06_Savings!I130)</f>
        <v/>
      </c>
      <c r="I1123" s="40" t="str">
        <f>IF(Agent06_Savings!A130="","",Agent06_Savings!J130)</f>
        <v/>
      </c>
      <c r="J1123" s="40" t="str">
        <f>IF(Agent06_Savings!A130="","",Agent06_Savings!K130)</f>
        <v/>
      </c>
      <c r="K1123" s="40" t="str">
        <f>IFERROR(IF(Agent06_Savings!A130="","",YEAR(Agent06_Savings!D130)),"")</f>
        <v/>
      </c>
    </row>
    <row r="1124" spans="1:11" ht="18" customHeight="1" x14ac:dyDescent="0.25">
      <c r="A1124" s="40" t="str">
        <f>IF(Agent06_Savings!A131="","",Agent06_Savings!A131)</f>
        <v/>
      </c>
      <c r="B1124" s="40" t="str">
        <f ca="1">IF(Agent06_Savings!A131="","","SV"&amp;TEXT(1124-3,"0000")&amp;"-"&amp;TEXT(TODAY(),"YYYYMMDD"))</f>
        <v/>
      </c>
      <c r="C1124" s="40" t="str">
        <f>IF(Agent06_Savings!A131="","",Agent06_Savings!B131)</f>
        <v/>
      </c>
      <c r="D1124" s="40" t="str">
        <f>IF(Agent06_Savings!A131="","",Agent06_Savings!G131)</f>
        <v/>
      </c>
      <c r="E1124" s="41" t="str">
        <f>IF(Agent06_Savings!A131="","",Agent06_Savings!D131)</f>
        <v/>
      </c>
      <c r="F1124" s="42" t="str">
        <f>IF(Agent06_Savings!A131="","",Agent06_Savings!E131)</f>
        <v/>
      </c>
      <c r="G1124" s="42" t="str">
        <f>IF(Agent06_Savings!A131="","",Agent06_Savings!F131)</f>
        <v/>
      </c>
      <c r="H1124" s="40" t="str">
        <f>IF(Agent06_Savings!A131="","",Agent06_Savings!I131)</f>
        <v/>
      </c>
      <c r="I1124" s="40" t="str">
        <f>IF(Agent06_Savings!A131="","",Agent06_Savings!J131)</f>
        <v/>
      </c>
      <c r="J1124" s="40" t="str">
        <f>IF(Agent06_Savings!A131="","",Agent06_Savings!K131)</f>
        <v/>
      </c>
      <c r="K1124" s="40" t="str">
        <f>IFERROR(IF(Agent06_Savings!A131="","",YEAR(Agent06_Savings!D131)),"")</f>
        <v/>
      </c>
    </row>
    <row r="1125" spans="1:11" ht="18" customHeight="1" x14ac:dyDescent="0.25">
      <c r="A1125" s="40" t="str">
        <f>IF(Agent06_Savings!A132="","",Agent06_Savings!A132)</f>
        <v/>
      </c>
      <c r="B1125" s="40" t="str">
        <f ca="1">IF(Agent06_Savings!A132="","","SV"&amp;TEXT(1125-3,"0000")&amp;"-"&amp;TEXT(TODAY(),"YYYYMMDD"))</f>
        <v/>
      </c>
      <c r="C1125" s="40" t="str">
        <f>IF(Agent06_Savings!A132="","",Agent06_Savings!B132)</f>
        <v/>
      </c>
      <c r="D1125" s="40" t="str">
        <f>IF(Agent06_Savings!A132="","",Agent06_Savings!G132)</f>
        <v/>
      </c>
      <c r="E1125" s="41" t="str">
        <f>IF(Agent06_Savings!A132="","",Agent06_Savings!D132)</f>
        <v/>
      </c>
      <c r="F1125" s="42" t="str">
        <f>IF(Agent06_Savings!A132="","",Agent06_Savings!E132)</f>
        <v/>
      </c>
      <c r="G1125" s="42" t="str">
        <f>IF(Agent06_Savings!A132="","",Agent06_Savings!F132)</f>
        <v/>
      </c>
      <c r="H1125" s="40" t="str">
        <f>IF(Agent06_Savings!A132="","",Agent06_Savings!I132)</f>
        <v/>
      </c>
      <c r="I1125" s="40" t="str">
        <f>IF(Agent06_Savings!A132="","",Agent06_Savings!J132)</f>
        <v/>
      </c>
      <c r="J1125" s="40" t="str">
        <f>IF(Agent06_Savings!A132="","",Agent06_Savings!K132)</f>
        <v/>
      </c>
      <c r="K1125" s="40" t="str">
        <f>IFERROR(IF(Agent06_Savings!A132="","",YEAR(Agent06_Savings!D132)),"")</f>
        <v/>
      </c>
    </row>
    <row r="1126" spans="1:11" ht="18" customHeight="1" x14ac:dyDescent="0.25">
      <c r="A1126" s="40" t="str">
        <f>IF(Agent06_Savings!A133="","",Agent06_Savings!A133)</f>
        <v/>
      </c>
      <c r="B1126" s="40" t="str">
        <f ca="1">IF(Agent06_Savings!A133="","","SV"&amp;TEXT(1126-3,"0000")&amp;"-"&amp;TEXT(TODAY(),"YYYYMMDD"))</f>
        <v/>
      </c>
      <c r="C1126" s="40" t="str">
        <f>IF(Agent06_Savings!A133="","",Agent06_Savings!B133)</f>
        <v/>
      </c>
      <c r="D1126" s="40" t="str">
        <f>IF(Agent06_Savings!A133="","",Agent06_Savings!G133)</f>
        <v/>
      </c>
      <c r="E1126" s="41" t="str">
        <f>IF(Agent06_Savings!A133="","",Agent06_Savings!D133)</f>
        <v/>
      </c>
      <c r="F1126" s="42" t="str">
        <f>IF(Agent06_Savings!A133="","",Agent06_Savings!E133)</f>
        <v/>
      </c>
      <c r="G1126" s="42" t="str">
        <f>IF(Agent06_Savings!A133="","",Agent06_Savings!F133)</f>
        <v/>
      </c>
      <c r="H1126" s="40" t="str">
        <f>IF(Agent06_Savings!A133="","",Agent06_Savings!I133)</f>
        <v/>
      </c>
      <c r="I1126" s="40" t="str">
        <f>IF(Agent06_Savings!A133="","",Agent06_Savings!J133)</f>
        <v/>
      </c>
      <c r="J1126" s="40" t="str">
        <f>IF(Agent06_Savings!A133="","",Agent06_Savings!K133)</f>
        <v/>
      </c>
      <c r="K1126" s="40" t="str">
        <f>IFERROR(IF(Agent06_Savings!A133="","",YEAR(Agent06_Savings!D133)),"")</f>
        <v/>
      </c>
    </row>
    <row r="1127" spans="1:11" ht="18" customHeight="1" x14ac:dyDescent="0.25">
      <c r="A1127" s="40" t="str">
        <f>IF(Agent06_Savings!A134="","",Agent06_Savings!A134)</f>
        <v/>
      </c>
      <c r="B1127" s="40" t="str">
        <f ca="1">IF(Agent06_Savings!A134="","","SV"&amp;TEXT(1127-3,"0000")&amp;"-"&amp;TEXT(TODAY(),"YYYYMMDD"))</f>
        <v/>
      </c>
      <c r="C1127" s="40" t="str">
        <f>IF(Agent06_Savings!A134="","",Agent06_Savings!B134)</f>
        <v/>
      </c>
      <c r="D1127" s="40" t="str">
        <f>IF(Agent06_Savings!A134="","",Agent06_Savings!G134)</f>
        <v/>
      </c>
      <c r="E1127" s="41" t="str">
        <f>IF(Agent06_Savings!A134="","",Agent06_Savings!D134)</f>
        <v/>
      </c>
      <c r="F1127" s="42" t="str">
        <f>IF(Agent06_Savings!A134="","",Agent06_Savings!E134)</f>
        <v/>
      </c>
      <c r="G1127" s="42" t="str">
        <f>IF(Agent06_Savings!A134="","",Agent06_Savings!F134)</f>
        <v/>
      </c>
      <c r="H1127" s="40" t="str">
        <f>IF(Agent06_Savings!A134="","",Agent06_Savings!I134)</f>
        <v/>
      </c>
      <c r="I1127" s="40" t="str">
        <f>IF(Agent06_Savings!A134="","",Agent06_Savings!J134)</f>
        <v/>
      </c>
      <c r="J1127" s="40" t="str">
        <f>IF(Agent06_Savings!A134="","",Agent06_Savings!K134)</f>
        <v/>
      </c>
      <c r="K1127" s="40" t="str">
        <f>IFERROR(IF(Agent06_Savings!A134="","",YEAR(Agent06_Savings!D134)),"")</f>
        <v/>
      </c>
    </row>
    <row r="1128" spans="1:11" ht="18" customHeight="1" x14ac:dyDescent="0.25">
      <c r="A1128" s="40" t="str">
        <f>IF(Agent06_Savings!A135="","",Agent06_Savings!A135)</f>
        <v/>
      </c>
      <c r="B1128" s="40" t="str">
        <f ca="1">IF(Agent06_Savings!A135="","","SV"&amp;TEXT(1128-3,"0000")&amp;"-"&amp;TEXT(TODAY(),"YYYYMMDD"))</f>
        <v/>
      </c>
      <c r="C1128" s="40" t="str">
        <f>IF(Agent06_Savings!A135="","",Agent06_Savings!B135)</f>
        <v/>
      </c>
      <c r="D1128" s="40" t="str">
        <f>IF(Agent06_Savings!A135="","",Agent06_Savings!G135)</f>
        <v/>
      </c>
      <c r="E1128" s="41" t="str">
        <f>IF(Agent06_Savings!A135="","",Agent06_Savings!D135)</f>
        <v/>
      </c>
      <c r="F1128" s="42" t="str">
        <f>IF(Agent06_Savings!A135="","",Agent06_Savings!E135)</f>
        <v/>
      </c>
      <c r="G1128" s="42" t="str">
        <f>IF(Agent06_Savings!A135="","",Agent06_Savings!F135)</f>
        <v/>
      </c>
      <c r="H1128" s="40" t="str">
        <f>IF(Agent06_Savings!A135="","",Agent06_Savings!I135)</f>
        <v/>
      </c>
      <c r="I1128" s="40" t="str">
        <f>IF(Agent06_Savings!A135="","",Agent06_Savings!J135)</f>
        <v/>
      </c>
      <c r="J1128" s="40" t="str">
        <f>IF(Agent06_Savings!A135="","",Agent06_Savings!K135)</f>
        <v/>
      </c>
      <c r="K1128" s="40" t="str">
        <f>IFERROR(IF(Agent06_Savings!A135="","",YEAR(Agent06_Savings!D135)),"")</f>
        <v/>
      </c>
    </row>
    <row r="1129" spans="1:11" ht="18" customHeight="1" x14ac:dyDescent="0.25">
      <c r="A1129" s="40" t="str">
        <f>IF(Agent06_Savings!A136="","",Agent06_Savings!A136)</f>
        <v/>
      </c>
      <c r="B1129" s="40" t="str">
        <f ca="1">IF(Agent06_Savings!A136="","","SV"&amp;TEXT(1129-3,"0000")&amp;"-"&amp;TEXT(TODAY(),"YYYYMMDD"))</f>
        <v/>
      </c>
      <c r="C1129" s="40" t="str">
        <f>IF(Agent06_Savings!A136="","",Agent06_Savings!B136)</f>
        <v/>
      </c>
      <c r="D1129" s="40" t="str">
        <f>IF(Agent06_Savings!A136="","",Agent06_Savings!G136)</f>
        <v/>
      </c>
      <c r="E1129" s="41" t="str">
        <f>IF(Agent06_Savings!A136="","",Agent06_Savings!D136)</f>
        <v/>
      </c>
      <c r="F1129" s="42" t="str">
        <f>IF(Agent06_Savings!A136="","",Agent06_Savings!E136)</f>
        <v/>
      </c>
      <c r="G1129" s="42" t="str">
        <f>IF(Agent06_Savings!A136="","",Agent06_Savings!F136)</f>
        <v/>
      </c>
      <c r="H1129" s="40" t="str">
        <f>IF(Agent06_Savings!A136="","",Agent06_Savings!I136)</f>
        <v/>
      </c>
      <c r="I1129" s="40" t="str">
        <f>IF(Agent06_Savings!A136="","",Agent06_Savings!J136)</f>
        <v/>
      </c>
      <c r="J1129" s="40" t="str">
        <f>IF(Agent06_Savings!A136="","",Agent06_Savings!K136)</f>
        <v/>
      </c>
      <c r="K1129" s="40" t="str">
        <f>IFERROR(IF(Agent06_Savings!A136="","",YEAR(Agent06_Savings!D136)),"")</f>
        <v/>
      </c>
    </row>
    <row r="1130" spans="1:11" ht="18" customHeight="1" x14ac:dyDescent="0.25">
      <c r="A1130" s="40" t="str">
        <f>IF(Agent06_Savings!A137="","",Agent06_Savings!A137)</f>
        <v/>
      </c>
      <c r="B1130" s="40" t="str">
        <f ca="1">IF(Agent06_Savings!A137="","","SV"&amp;TEXT(1130-3,"0000")&amp;"-"&amp;TEXT(TODAY(),"YYYYMMDD"))</f>
        <v/>
      </c>
      <c r="C1130" s="40" t="str">
        <f>IF(Agent06_Savings!A137="","",Agent06_Savings!B137)</f>
        <v/>
      </c>
      <c r="D1130" s="40" t="str">
        <f>IF(Agent06_Savings!A137="","",Agent06_Savings!G137)</f>
        <v/>
      </c>
      <c r="E1130" s="41" t="str">
        <f>IF(Agent06_Savings!A137="","",Agent06_Savings!D137)</f>
        <v/>
      </c>
      <c r="F1130" s="42" t="str">
        <f>IF(Agent06_Savings!A137="","",Agent06_Savings!E137)</f>
        <v/>
      </c>
      <c r="G1130" s="42" t="str">
        <f>IF(Agent06_Savings!A137="","",Agent06_Savings!F137)</f>
        <v/>
      </c>
      <c r="H1130" s="40" t="str">
        <f>IF(Agent06_Savings!A137="","",Agent06_Savings!I137)</f>
        <v/>
      </c>
      <c r="I1130" s="40" t="str">
        <f>IF(Agent06_Savings!A137="","",Agent06_Savings!J137)</f>
        <v/>
      </c>
      <c r="J1130" s="40" t="str">
        <f>IF(Agent06_Savings!A137="","",Agent06_Savings!K137)</f>
        <v/>
      </c>
      <c r="K1130" s="40" t="str">
        <f>IFERROR(IF(Agent06_Savings!A137="","",YEAR(Agent06_Savings!D137)),"")</f>
        <v/>
      </c>
    </row>
    <row r="1131" spans="1:11" ht="18" customHeight="1" x14ac:dyDescent="0.25">
      <c r="A1131" s="40" t="str">
        <f>IF(Agent06_Savings!A138="","",Agent06_Savings!A138)</f>
        <v/>
      </c>
      <c r="B1131" s="40" t="str">
        <f ca="1">IF(Agent06_Savings!A138="","","SV"&amp;TEXT(1131-3,"0000")&amp;"-"&amp;TEXT(TODAY(),"YYYYMMDD"))</f>
        <v/>
      </c>
      <c r="C1131" s="40" t="str">
        <f>IF(Agent06_Savings!A138="","",Agent06_Savings!B138)</f>
        <v/>
      </c>
      <c r="D1131" s="40" t="str">
        <f>IF(Agent06_Savings!A138="","",Agent06_Savings!G138)</f>
        <v/>
      </c>
      <c r="E1131" s="41" t="str">
        <f>IF(Agent06_Savings!A138="","",Agent06_Savings!D138)</f>
        <v/>
      </c>
      <c r="F1131" s="42" t="str">
        <f>IF(Agent06_Savings!A138="","",Agent06_Savings!E138)</f>
        <v/>
      </c>
      <c r="G1131" s="42" t="str">
        <f>IF(Agent06_Savings!A138="","",Agent06_Savings!F138)</f>
        <v/>
      </c>
      <c r="H1131" s="40" t="str">
        <f>IF(Agent06_Savings!A138="","",Agent06_Savings!I138)</f>
        <v/>
      </c>
      <c r="I1131" s="40" t="str">
        <f>IF(Agent06_Savings!A138="","",Agent06_Savings!J138)</f>
        <v/>
      </c>
      <c r="J1131" s="40" t="str">
        <f>IF(Agent06_Savings!A138="","",Agent06_Savings!K138)</f>
        <v/>
      </c>
      <c r="K1131" s="40" t="str">
        <f>IFERROR(IF(Agent06_Savings!A138="","",YEAR(Agent06_Savings!D138)),"")</f>
        <v/>
      </c>
    </row>
    <row r="1132" spans="1:11" ht="18" customHeight="1" x14ac:dyDescent="0.25">
      <c r="A1132" s="40" t="str">
        <f>IF(Agent06_Savings!A139="","",Agent06_Savings!A139)</f>
        <v/>
      </c>
      <c r="B1132" s="40" t="str">
        <f ca="1">IF(Agent06_Savings!A139="","","SV"&amp;TEXT(1132-3,"0000")&amp;"-"&amp;TEXT(TODAY(),"YYYYMMDD"))</f>
        <v/>
      </c>
      <c r="C1132" s="40" t="str">
        <f>IF(Agent06_Savings!A139="","",Agent06_Savings!B139)</f>
        <v/>
      </c>
      <c r="D1132" s="40" t="str">
        <f>IF(Agent06_Savings!A139="","",Agent06_Savings!G139)</f>
        <v/>
      </c>
      <c r="E1132" s="41" t="str">
        <f>IF(Agent06_Savings!A139="","",Agent06_Savings!D139)</f>
        <v/>
      </c>
      <c r="F1132" s="42" t="str">
        <f>IF(Agent06_Savings!A139="","",Agent06_Savings!E139)</f>
        <v/>
      </c>
      <c r="G1132" s="42" t="str">
        <f>IF(Agent06_Savings!A139="","",Agent06_Savings!F139)</f>
        <v/>
      </c>
      <c r="H1132" s="40" t="str">
        <f>IF(Agent06_Savings!A139="","",Agent06_Savings!I139)</f>
        <v/>
      </c>
      <c r="I1132" s="40" t="str">
        <f>IF(Agent06_Savings!A139="","",Agent06_Savings!J139)</f>
        <v/>
      </c>
      <c r="J1132" s="40" t="str">
        <f>IF(Agent06_Savings!A139="","",Agent06_Savings!K139)</f>
        <v/>
      </c>
      <c r="K1132" s="40" t="str">
        <f>IFERROR(IF(Agent06_Savings!A139="","",YEAR(Agent06_Savings!D139)),"")</f>
        <v/>
      </c>
    </row>
    <row r="1133" spans="1:11" ht="18" customHeight="1" x14ac:dyDescent="0.25">
      <c r="A1133" s="40" t="str">
        <f>IF(Agent06_Savings!A140="","",Agent06_Savings!A140)</f>
        <v/>
      </c>
      <c r="B1133" s="40" t="str">
        <f ca="1">IF(Agent06_Savings!A140="","","SV"&amp;TEXT(1133-3,"0000")&amp;"-"&amp;TEXT(TODAY(),"YYYYMMDD"))</f>
        <v/>
      </c>
      <c r="C1133" s="40" t="str">
        <f>IF(Agent06_Savings!A140="","",Agent06_Savings!B140)</f>
        <v/>
      </c>
      <c r="D1133" s="40" t="str">
        <f>IF(Agent06_Savings!A140="","",Agent06_Savings!G140)</f>
        <v/>
      </c>
      <c r="E1133" s="41" t="str">
        <f>IF(Agent06_Savings!A140="","",Agent06_Savings!D140)</f>
        <v/>
      </c>
      <c r="F1133" s="42" t="str">
        <f>IF(Agent06_Savings!A140="","",Agent06_Savings!E140)</f>
        <v/>
      </c>
      <c r="G1133" s="42" t="str">
        <f>IF(Agent06_Savings!A140="","",Agent06_Savings!F140)</f>
        <v/>
      </c>
      <c r="H1133" s="40" t="str">
        <f>IF(Agent06_Savings!A140="","",Agent06_Savings!I140)</f>
        <v/>
      </c>
      <c r="I1133" s="40" t="str">
        <f>IF(Agent06_Savings!A140="","",Agent06_Savings!J140)</f>
        <v/>
      </c>
      <c r="J1133" s="40" t="str">
        <f>IF(Agent06_Savings!A140="","",Agent06_Savings!K140)</f>
        <v/>
      </c>
      <c r="K1133" s="40" t="str">
        <f>IFERROR(IF(Agent06_Savings!A140="","",YEAR(Agent06_Savings!D140)),"")</f>
        <v/>
      </c>
    </row>
    <row r="1134" spans="1:11" ht="18" customHeight="1" x14ac:dyDescent="0.25">
      <c r="A1134" s="40" t="str">
        <f>IF(Agent06_Savings!A141="","",Agent06_Savings!A141)</f>
        <v/>
      </c>
      <c r="B1134" s="40" t="str">
        <f ca="1">IF(Agent06_Savings!A141="","","SV"&amp;TEXT(1134-3,"0000")&amp;"-"&amp;TEXT(TODAY(),"YYYYMMDD"))</f>
        <v/>
      </c>
      <c r="C1134" s="40" t="str">
        <f>IF(Agent06_Savings!A141="","",Agent06_Savings!B141)</f>
        <v/>
      </c>
      <c r="D1134" s="40" t="str">
        <f>IF(Agent06_Savings!A141="","",Agent06_Savings!G141)</f>
        <v/>
      </c>
      <c r="E1134" s="41" t="str">
        <f>IF(Agent06_Savings!A141="","",Agent06_Savings!D141)</f>
        <v/>
      </c>
      <c r="F1134" s="42" t="str">
        <f>IF(Agent06_Savings!A141="","",Agent06_Savings!E141)</f>
        <v/>
      </c>
      <c r="G1134" s="42" t="str">
        <f>IF(Agent06_Savings!A141="","",Agent06_Savings!F141)</f>
        <v/>
      </c>
      <c r="H1134" s="40" t="str">
        <f>IF(Agent06_Savings!A141="","",Agent06_Savings!I141)</f>
        <v/>
      </c>
      <c r="I1134" s="40" t="str">
        <f>IF(Agent06_Savings!A141="","",Agent06_Savings!J141)</f>
        <v/>
      </c>
      <c r="J1134" s="40" t="str">
        <f>IF(Agent06_Savings!A141="","",Agent06_Savings!K141)</f>
        <v/>
      </c>
      <c r="K1134" s="40" t="str">
        <f>IFERROR(IF(Agent06_Savings!A141="","",YEAR(Agent06_Savings!D141)),"")</f>
        <v/>
      </c>
    </row>
    <row r="1135" spans="1:11" ht="18" customHeight="1" x14ac:dyDescent="0.25">
      <c r="A1135" s="40" t="str">
        <f>IF(Agent06_Savings!A142="","",Agent06_Savings!A142)</f>
        <v/>
      </c>
      <c r="B1135" s="40" t="str">
        <f ca="1">IF(Agent06_Savings!A142="","","SV"&amp;TEXT(1135-3,"0000")&amp;"-"&amp;TEXT(TODAY(),"YYYYMMDD"))</f>
        <v/>
      </c>
      <c r="C1135" s="40" t="str">
        <f>IF(Agent06_Savings!A142="","",Agent06_Savings!B142)</f>
        <v/>
      </c>
      <c r="D1135" s="40" t="str">
        <f>IF(Agent06_Savings!A142="","",Agent06_Savings!G142)</f>
        <v/>
      </c>
      <c r="E1135" s="41" t="str">
        <f>IF(Agent06_Savings!A142="","",Agent06_Savings!D142)</f>
        <v/>
      </c>
      <c r="F1135" s="42" t="str">
        <f>IF(Agent06_Savings!A142="","",Agent06_Savings!E142)</f>
        <v/>
      </c>
      <c r="G1135" s="42" t="str">
        <f>IF(Agent06_Savings!A142="","",Agent06_Savings!F142)</f>
        <v/>
      </c>
      <c r="H1135" s="40" t="str">
        <f>IF(Agent06_Savings!A142="","",Agent06_Savings!I142)</f>
        <v/>
      </c>
      <c r="I1135" s="40" t="str">
        <f>IF(Agent06_Savings!A142="","",Agent06_Savings!J142)</f>
        <v/>
      </c>
      <c r="J1135" s="40" t="str">
        <f>IF(Agent06_Savings!A142="","",Agent06_Savings!K142)</f>
        <v/>
      </c>
      <c r="K1135" s="40" t="str">
        <f>IFERROR(IF(Agent06_Savings!A142="","",YEAR(Agent06_Savings!D142)),"")</f>
        <v/>
      </c>
    </row>
    <row r="1136" spans="1:11" ht="18" customHeight="1" x14ac:dyDescent="0.25">
      <c r="A1136" s="40" t="str">
        <f>IF(Agent06_Savings!A143="","",Agent06_Savings!A143)</f>
        <v/>
      </c>
      <c r="B1136" s="40" t="str">
        <f ca="1">IF(Agent06_Savings!A143="","","SV"&amp;TEXT(1136-3,"0000")&amp;"-"&amp;TEXT(TODAY(),"YYYYMMDD"))</f>
        <v/>
      </c>
      <c r="C1136" s="40" t="str">
        <f>IF(Agent06_Savings!A143="","",Agent06_Savings!B143)</f>
        <v/>
      </c>
      <c r="D1136" s="40" t="str">
        <f>IF(Agent06_Savings!A143="","",Agent06_Savings!G143)</f>
        <v/>
      </c>
      <c r="E1136" s="41" t="str">
        <f>IF(Agent06_Savings!A143="","",Agent06_Savings!D143)</f>
        <v/>
      </c>
      <c r="F1136" s="42" t="str">
        <f>IF(Agent06_Savings!A143="","",Agent06_Savings!E143)</f>
        <v/>
      </c>
      <c r="G1136" s="42" t="str">
        <f>IF(Agent06_Savings!A143="","",Agent06_Savings!F143)</f>
        <v/>
      </c>
      <c r="H1136" s="40" t="str">
        <f>IF(Agent06_Savings!A143="","",Agent06_Savings!I143)</f>
        <v/>
      </c>
      <c r="I1136" s="40" t="str">
        <f>IF(Agent06_Savings!A143="","",Agent06_Savings!J143)</f>
        <v/>
      </c>
      <c r="J1136" s="40" t="str">
        <f>IF(Agent06_Savings!A143="","",Agent06_Savings!K143)</f>
        <v/>
      </c>
      <c r="K1136" s="40" t="str">
        <f>IFERROR(IF(Agent06_Savings!A143="","",YEAR(Agent06_Savings!D143)),"")</f>
        <v/>
      </c>
    </row>
    <row r="1137" spans="1:11" ht="18" customHeight="1" x14ac:dyDescent="0.25">
      <c r="A1137" s="40" t="str">
        <f>IF(Agent06_Savings!A144="","",Agent06_Savings!A144)</f>
        <v/>
      </c>
      <c r="B1137" s="40" t="str">
        <f ca="1">IF(Agent06_Savings!A144="","","SV"&amp;TEXT(1137-3,"0000")&amp;"-"&amp;TEXT(TODAY(),"YYYYMMDD"))</f>
        <v/>
      </c>
      <c r="C1137" s="40" t="str">
        <f>IF(Agent06_Savings!A144="","",Agent06_Savings!B144)</f>
        <v/>
      </c>
      <c r="D1137" s="40" t="str">
        <f>IF(Agent06_Savings!A144="","",Agent06_Savings!G144)</f>
        <v/>
      </c>
      <c r="E1137" s="41" t="str">
        <f>IF(Agent06_Savings!A144="","",Agent06_Savings!D144)</f>
        <v/>
      </c>
      <c r="F1137" s="42" t="str">
        <f>IF(Agent06_Savings!A144="","",Agent06_Savings!E144)</f>
        <v/>
      </c>
      <c r="G1137" s="42" t="str">
        <f>IF(Agent06_Savings!A144="","",Agent06_Savings!F144)</f>
        <v/>
      </c>
      <c r="H1137" s="40" t="str">
        <f>IF(Agent06_Savings!A144="","",Agent06_Savings!I144)</f>
        <v/>
      </c>
      <c r="I1137" s="40" t="str">
        <f>IF(Agent06_Savings!A144="","",Agent06_Savings!J144)</f>
        <v/>
      </c>
      <c r="J1137" s="40" t="str">
        <f>IF(Agent06_Savings!A144="","",Agent06_Savings!K144)</f>
        <v/>
      </c>
      <c r="K1137" s="40" t="str">
        <f>IFERROR(IF(Agent06_Savings!A144="","",YEAR(Agent06_Savings!D144)),"")</f>
        <v/>
      </c>
    </row>
    <row r="1138" spans="1:11" ht="18" customHeight="1" x14ac:dyDescent="0.25">
      <c r="A1138" s="40" t="str">
        <f>IF(Agent06_Savings!A145="","",Agent06_Savings!A145)</f>
        <v/>
      </c>
      <c r="B1138" s="40" t="str">
        <f ca="1">IF(Agent06_Savings!A145="","","SV"&amp;TEXT(1138-3,"0000")&amp;"-"&amp;TEXT(TODAY(),"YYYYMMDD"))</f>
        <v/>
      </c>
      <c r="C1138" s="40" t="str">
        <f>IF(Agent06_Savings!A145="","",Agent06_Savings!B145)</f>
        <v/>
      </c>
      <c r="D1138" s="40" t="str">
        <f>IF(Agent06_Savings!A145="","",Agent06_Savings!G145)</f>
        <v/>
      </c>
      <c r="E1138" s="41" t="str">
        <f>IF(Agent06_Savings!A145="","",Agent06_Savings!D145)</f>
        <v/>
      </c>
      <c r="F1138" s="42" t="str">
        <f>IF(Agent06_Savings!A145="","",Agent06_Savings!E145)</f>
        <v/>
      </c>
      <c r="G1138" s="42" t="str">
        <f>IF(Agent06_Savings!A145="","",Agent06_Savings!F145)</f>
        <v/>
      </c>
      <c r="H1138" s="40" t="str">
        <f>IF(Agent06_Savings!A145="","",Agent06_Savings!I145)</f>
        <v/>
      </c>
      <c r="I1138" s="40" t="str">
        <f>IF(Agent06_Savings!A145="","",Agent06_Savings!J145)</f>
        <v/>
      </c>
      <c r="J1138" s="40" t="str">
        <f>IF(Agent06_Savings!A145="","",Agent06_Savings!K145)</f>
        <v/>
      </c>
      <c r="K1138" s="40" t="str">
        <f>IFERROR(IF(Agent06_Savings!A145="","",YEAR(Agent06_Savings!D145)),"")</f>
        <v/>
      </c>
    </row>
    <row r="1139" spans="1:11" ht="18" customHeight="1" x14ac:dyDescent="0.25">
      <c r="A1139" s="40" t="str">
        <f>IF(Agent06_Savings!A146="","",Agent06_Savings!A146)</f>
        <v/>
      </c>
      <c r="B1139" s="40" t="str">
        <f ca="1">IF(Agent06_Savings!A146="","","SV"&amp;TEXT(1139-3,"0000")&amp;"-"&amp;TEXT(TODAY(),"YYYYMMDD"))</f>
        <v/>
      </c>
      <c r="C1139" s="40" t="str">
        <f>IF(Agent06_Savings!A146="","",Agent06_Savings!B146)</f>
        <v/>
      </c>
      <c r="D1139" s="40" t="str">
        <f>IF(Agent06_Savings!A146="","",Agent06_Savings!G146)</f>
        <v/>
      </c>
      <c r="E1139" s="41" t="str">
        <f>IF(Agent06_Savings!A146="","",Agent06_Savings!D146)</f>
        <v/>
      </c>
      <c r="F1139" s="42" t="str">
        <f>IF(Agent06_Savings!A146="","",Agent06_Savings!E146)</f>
        <v/>
      </c>
      <c r="G1139" s="42" t="str">
        <f>IF(Agent06_Savings!A146="","",Agent06_Savings!F146)</f>
        <v/>
      </c>
      <c r="H1139" s="40" t="str">
        <f>IF(Agent06_Savings!A146="","",Agent06_Savings!I146)</f>
        <v/>
      </c>
      <c r="I1139" s="40" t="str">
        <f>IF(Agent06_Savings!A146="","",Agent06_Savings!J146)</f>
        <v/>
      </c>
      <c r="J1139" s="40" t="str">
        <f>IF(Agent06_Savings!A146="","",Agent06_Savings!K146)</f>
        <v/>
      </c>
      <c r="K1139" s="40" t="str">
        <f>IFERROR(IF(Agent06_Savings!A146="","",YEAR(Agent06_Savings!D146)),"")</f>
        <v/>
      </c>
    </row>
    <row r="1140" spans="1:11" ht="18" customHeight="1" x14ac:dyDescent="0.25">
      <c r="A1140" s="40" t="str">
        <f>IF(Agent06_Savings!A147="","",Agent06_Savings!A147)</f>
        <v/>
      </c>
      <c r="B1140" s="40" t="str">
        <f ca="1">IF(Agent06_Savings!A147="","","SV"&amp;TEXT(1140-3,"0000")&amp;"-"&amp;TEXT(TODAY(),"YYYYMMDD"))</f>
        <v/>
      </c>
      <c r="C1140" s="40" t="str">
        <f>IF(Agent06_Savings!A147="","",Agent06_Savings!B147)</f>
        <v/>
      </c>
      <c r="D1140" s="40" t="str">
        <f>IF(Agent06_Savings!A147="","",Agent06_Savings!G147)</f>
        <v/>
      </c>
      <c r="E1140" s="41" t="str">
        <f>IF(Agent06_Savings!A147="","",Agent06_Savings!D147)</f>
        <v/>
      </c>
      <c r="F1140" s="42" t="str">
        <f>IF(Agent06_Savings!A147="","",Agent06_Savings!E147)</f>
        <v/>
      </c>
      <c r="G1140" s="42" t="str">
        <f>IF(Agent06_Savings!A147="","",Agent06_Savings!F147)</f>
        <v/>
      </c>
      <c r="H1140" s="40" t="str">
        <f>IF(Agent06_Savings!A147="","",Agent06_Savings!I147)</f>
        <v/>
      </c>
      <c r="I1140" s="40" t="str">
        <f>IF(Agent06_Savings!A147="","",Agent06_Savings!J147)</f>
        <v/>
      </c>
      <c r="J1140" s="40" t="str">
        <f>IF(Agent06_Savings!A147="","",Agent06_Savings!K147)</f>
        <v/>
      </c>
      <c r="K1140" s="40" t="str">
        <f>IFERROR(IF(Agent06_Savings!A147="","",YEAR(Agent06_Savings!D147)),"")</f>
        <v/>
      </c>
    </row>
    <row r="1141" spans="1:11" ht="18" customHeight="1" x14ac:dyDescent="0.25">
      <c r="A1141" s="40" t="str">
        <f>IF(Agent06_Savings!A148="","",Agent06_Savings!A148)</f>
        <v/>
      </c>
      <c r="B1141" s="40" t="str">
        <f ca="1">IF(Agent06_Savings!A148="","","SV"&amp;TEXT(1141-3,"0000")&amp;"-"&amp;TEXT(TODAY(),"YYYYMMDD"))</f>
        <v/>
      </c>
      <c r="C1141" s="40" t="str">
        <f>IF(Agent06_Savings!A148="","",Agent06_Savings!B148)</f>
        <v/>
      </c>
      <c r="D1141" s="40" t="str">
        <f>IF(Agent06_Savings!A148="","",Agent06_Savings!G148)</f>
        <v/>
      </c>
      <c r="E1141" s="41" t="str">
        <f>IF(Agent06_Savings!A148="","",Agent06_Savings!D148)</f>
        <v/>
      </c>
      <c r="F1141" s="42" t="str">
        <f>IF(Agent06_Savings!A148="","",Agent06_Savings!E148)</f>
        <v/>
      </c>
      <c r="G1141" s="42" t="str">
        <f>IF(Agent06_Savings!A148="","",Agent06_Savings!F148)</f>
        <v/>
      </c>
      <c r="H1141" s="40" t="str">
        <f>IF(Agent06_Savings!A148="","",Agent06_Savings!I148)</f>
        <v/>
      </c>
      <c r="I1141" s="40" t="str">
        <f>IF(Agent06_Savings!A148="","",Agent06_Savings!J148)</f>
        <v/>
      </c>
      <c r="J1141" s="40" t="str">
        <f>IF(Agent06_Savings!A148="","",Agent06_Savings!K148)</f>
        <v/>
      </c>
      <c r="K1141" s="40" t="str">
        <f>IFERROR(IF(Agent06_Savings!A148="","",YEAR(Agent06_Savings!D148)),"")</f>
        <v/>
      </c>
    </row>
    <row r="1142" spans="1:11" ht="18" customHeight="1" x14ac:dyDescent="0.25">
      <c r="A1142" s="40" t="str">
        <f>IF(Agent06_Savings!A149="","",Agent06_Savings!A149)</f>
        <v/>
      </c>
      <c r="B1142" s="40" t="str">
        <f ca="1">IF(Agent06_Savings!A149="","","SV"&amp;TEXT(1142-3,"0000")&amp;"-"&amp;TEXT(TODAY(),"YYYYMMDD"))</f>
        <v/>
      </c>
      <c r="C1142" s="40" t="str">
        <f>IF(Agent06_Savings!A149="","",Agent06_Savings!B149)</f>
        <v/>
      </c>
      <c r="D1142" s="40" t="str">
        <f>IF(Agent06_Savings!A149="","",Agent06_Savings!G149)</f>
        <v/>
      </c>
      <c r="E1142" s="41" t="str">
        <f>IF(Agent06_Savings!A149="","",Agent06_Savings!D149)</f>
        <v/>
      </c>
      <c r="F1142" s="42" t="str">
        <f>IF(Agent06_Savings!A149="","",Agent06_Savings!E149)</f>
        <v/>
      </c>
      <c r="G1142" s="42" t="str">
        <f>IF(Agent06_Savings!A149="","",Agent06_Savings!F149)</f>
        <v/>
      </c>
      <c r="H1142" s="40" t="str">
        <f>IF(Agent06_Savings!A149="","",Agent06_Savings!I149)</f>
        <v/>
      </c>
      <c r="I1142" s="40" t="str">
        <f>IF(Agent06_Savings!A149="","",Agent06_Savings!J149)</f>
        <v/>
      </c>
      <c r="J1142" s="40" t="str">
        <f>IF(Agent06_Savings!A149="","",Agent06_Savings!K149)</f>
        <v/>
      </c>
      <c r="K1142" s="40" t="str">
        <f>IFERROR(IF(Agent06_Savings!A149="","",YEAR(Agent06_Savings!D149)),"")</f>
        <v/>
      </c>
    </row>
    <row r="1143" spans="1:11" ht="18" customHeight="1" x14ac:dyDescent="0.25">
      <c r="A1143" s="40" t="str">
        <f>IF(Agent06_Savings!A150="","",Agent06_Savings!A150)</f>
        <v/>
      </c>
      <c r="B1143" s="40" t="str">
        <f ca="1">IF(Agent06_Savings!A150="","","SV"&amp;TEXT(1143-3,"0000")&amp;"-"&amp;TEXT(TODAY(),"YYYYMMDD"))</f>
        <v/>
      </c>
      <c r="C1143" s="40" t="str">
        <f>IF(Agent06_Savings!A150="","",Agent06_Savings!B150)</f>
        <v/>
      </c>
      <c r="D1143" s="40" t="str">
        <f>IF(Agent06_Savings!A150="","",Agent06_Savings!G150)</f>
        <v/>
      </c>
      <c r="E1143" s="41" t="str">
        <f>IF(Agent06_Savings!A150="","",Agent06_Savings!D150)</f>
        <v/>
      </c>
      <c r="F1143" s="42" t="str">
        <f>IF(Agent06_Savings!A150="","",Agent06_Savings!E150)</f>
        <v/>
      </c>
      <c r="G1143" s="42" t="str">
        <f>IF(Agent06_Savings!A150="","",Agent06_Savings!F150)</f>
        <v/>
      </c>
      <c r="H1143" s="40" t="str">
        <f>IF(Agent06_Savings!A150="","",Agent06_Savings!I150)</f>
        <v/>
      </c>
      <c r="I1143" s="40" t="str">
        <f>IF(Agent06_Savings!A150="","",Agent06_Savings!J150)</f>
        <v/>
      </c>
      <c r="J1143" s="40" t="str">
        <f>IF(Agent06_Savings!A150="","",Agent06_Savings!K150)</f>
        <v/>
      </c>
      <c r="K1143" s="40" t="str">
        <f>IFERROR(IF(Agent06_Savings!A150="","",YEAR(Agent06_Savings!D150)),"")</f>
        <v/>
      </c>
    </row>
    <row r="1144" spans="1:11" ht="18" customHeight="1" x14ac:dyDescent="0.25">
      <c r="A1144" s="40" t="str">
        <f>IF(Agent06_Savings!A151="","",Agent06_Savings!A151)</f>
        <v/>
      </c>
      <c r="B1144" s="40" t="str">
        <f ca="1">IF(Agent06_Savings!A151="","","SV"&amp;TEXT(1144-3,"0000")&amp;"-"&amp;TEXT(TODAY(),"YYYYMMDD"))</f>
        <v/>
      </c>
      <c r="C1144" s="40" t="str">
        <f>IF(Agent06_Savings!A151="","",Agent06_Savings!B151)</f>
        <v/>
      </c>
      <c r="D1144" s="40" t="str">
        <f>IF(Agent06_Savings!A151="","",Agent06_Savings!G151)</f>
        <v/>
      </c>
      <c r="E1144" s="41" t="str">
        <f>IF(Agent06_Savings!A151="","",Agent06_Savings!D151)</f>
        <v/>
      </c>
      <c r="F1144" s="42" t="str">
        <f>IF(Agent06_Savings!A151="","",Agent06_Savings!E151)</f>
        <v/>
      </c>
      <c r="G1144" s="42" t="str">
        <f>IF(Agent06_Savings!A151="","",Agent06_Savings!F151)</f>
        <v/>
      </c>
      <c r="H1144" s="40" t="str">
        <f>IF(Agent06_Savings!A151="","",Agent06_Savings!I151)</f>
        <v/>
      </c>
      <c r="I1144" s="40" t="str">
        <f>IF(Agent06_Savings!A151="","",Agent06_Savings!J151)</f>
        <v/>
      </c>
      <c r="J1144" s="40" t="str">
        <f>IF(Agent06_Savings!A151="","",Agent06_Savings!K151)</f>
        <v/>
      </c>
      <c r="K1144" s="40" t="str">
        <f>IFERROR(IF(Agent06_Savings!A151="","",YEAR(Agent06_Savings!D151)),"")</f>
        <v/>
      </c>
    </row>
    <row r="1145" spans="1:11" ht="18" customHeight="1" x14ac:dyDescent="0.25">
      <c r="A1145" s="40" t="str">
        <f>IF(Agent06_Savings!A152="","",Agent06_Savings!A152)</f>
        <v/>
      </c>
      <c r="B1145" s="40" t="str">
        <f ca="1">IF(Agent06_Savings!A152="","","SV"&amp;TEXT(1145-3,"0000")&amp;"-"&amp;TEXT(TODAY(),"YYYYMMDD"))</f>
        <v/>
      </c>
      <c r="C1145" s="40" t="str">
        <f>IF(Agent06_Savings!A152="","",Agent06_Savings!B152)</f>
        <v/>
      </c>
      <c r="D1145" s="40" t="str">
        <f>IF(Agent06_Savings!A152="","",Agent06_Savings!G152)</f>
        <v/>
      </c>
      <c r="E1145" s="41" t="str">
        <f>IF(Agent06_Savings!A152="","",Agent06_Savings!D152)</f>
        <v/>
      </c>
      <c r="F1145" s="42" t="str">
        <f>IF(Agent06_Savings!A152="","",Agent06_Savings!E152)</f>
        <v/>
      </c>
      <c r="G1145" s="42" t="str">
        <f>IF(Agent06_Savings!A152="","",Agent06_Savings!F152)</f>
        <v/>
      </c>
      <c r="H1145" s="40" t="str">
        <f>IF(Agent06_Savings!A152="","",Agent06_Savings!I152)</f>
        <v/>
      </c>
      <c r="I1145" s="40" t="str">
        <f>IF(Agent06_Savings!A152="","",Agent06_Savings!J152)</f>
        <v/>
      </c>
      <c r="J1145" s="40" t="str">
        <f>IF(Agent06_Savings!A152="","",Agent06_Savings!K152)</f>
        <v/>
      </c>
      <c r="K1145" s="40" t="str">
        <f>IFERROR(IF(Agent06_Savings!A152="","",YEAR(Agent06_Savings!D152)),"")</f>
        <v/>
      </c>
    </row>
    <row r="1146" spans="1:11" ht="18" customHeight="1" x14ac:dyDescent="0.25">
      <c r="A1146" s="40" t="str">
        <f>IF(Agent06_Savings!A153="","",Agent06_Savings!A153)</f>
        <v/>
      </c>
      <c r="B1146" s="40" t="str">
        <f ca="1">IF(Agent06_Savings!A153="","","SV"&amp;TEXT(1146-3,"0000")&amp;"-"&amp;TEXT(TODAY(),"YYYYMMDD"))</f>
        <v/>
      </c>
      <c r="C1146" s="40" t="str">
        <f>IF(Agent06_Savings!A153="","",Agent06_Savings!B153)</f>
        <v/>
      </c>
      <c r="D1146" s="40" t="str">
        <f>IF(Agent06_Savings!A153="","",Agent06_Savings!G153)</f>
        <v/>
      </c>
      <c r="E1146" s="41" t="str">
        <f>IF(Agent06_Savings!A153="","",Agent06_Savings!D153)</f>
        <v/>
      </c>
      <c r="F1146" s="42" t="str">
        <f>IF(Agent06_Savings!A153="","",Agent06_Savings!E153)</f>
        <v/>
      </c>
      <c r="G1146" s="42" t="str">
        <f>IF(Agent06_Savings!A153="","",Agent06_Savings!F153)</f>
        <v/>
      </c>
      <c r="H1146" s="40" t="str">
        <f>IF(Agent06_Savings!A153="","",Agent06_Savings!I153)</f>
        <v/>
      </c>
      <c r="I1146" s="40" t="str">
        <f>IF(Agent06_Savings!A153="","",Agent06_Savings!J153)</f>
        <v/>
      </c>
      <c r="J1146" s="40" t="str">
        <f>IF(Agent06_Savings!A153="","",Agent06_Savings!K153)</f>
        <v/>
      </c>
      <c r="K1146" s="40" t="str">
        <f>IFERROR(IF(Agent06_Savings!A153="","",YEAR(Agent06_Savings!D153)),"")</f>
        <v/>
      </c>
    </row>
    <row r="1147" spans="1:11" ht="18" customHeight="1" x14ac:dyDescent="0.25">
      <c r="A1147" s="40" t="str">
        <f>IF(Agent06_Savings!A154="","",Agent06_Savings!A154)</f>
        <v/>
      </c>
      <c r="B1147" s="40" t="str">
        <f ca="1">IF(Agent06_Savings!A154="","","SV"&amp;TEXT(1147-3,"0000")&amp;"-"&amp;TEXT(TODAY(),"YYYYMMDD"))</f>
        <v/>
      </c>
      <c r="C1147" s="40" t="str">
        <f>IF(Agent06_Savings!A154="","",Agent06_Savings!B154)</f>
        <v/>
      </c>
      <c r="D1147" s="40" t="str">
        <f>IF(Agent06_Savings!A154="","",Agent06_Savings!G154)</f>
        <v/>
      </c>
      <c r="E1147" s="41" t="str">
        <f>IF(Agent06_Savings!A154="","",Agent06_Savings!D154)</f>
        <v/>
      </c>
      <c r="F1147" s="42" t="str">
        <f>IF(Agent06_Savings!A154="","",Agent06_Savings!E154)</f>
        <v/>
      </c>
      <c r="G1147" s="42" t="str">
        <f>IF(Agent06_Savings!A154="","",Agent06_Savings!F154)</f>
        <v/>
      </c>
      <c r="H1147" s="40" t="str">
        <f>IF(Agent06_Savings!A154="","",Agent06_Savings!I154)</f>
        <v/>
      </c>
      <c r="I1147" s="40" t="str">
        <f>IF(Agent06_Savings!A154="","",Agent06_Savings!J154)</f>
        <v/>
      </c>
      <c r="J1147" s="40" t="str">
        <f>IF(Agent06_Savings!A154="","",Agent06_Savings!K154)</f>
        <v/>
      </c>
      <c r="K1147" s="40" t="str">
        <f>IFERROR(IF(Agent06_Savings!A154="","",YEAR(Agent06_Savings!D154)),"")</f>
        <v/>
      </c>
    </row>
    <row r="1148" spans="1:11" ht="18" customHeight="1" x14ac:dyDescent="0.25">
      <c r="A1148" s="40" t="str">
        <f>IF(Agent06_Savings!A155="","",Agent06_Savings!A155)</f>
        <v/>
      </c>
      <c r="B1148" s="40" t="str">
        <f ca="1">IF(Agent06_Savings!A155="","","SV"&amp;TEXT(1148-3,"0000")&amp;"-"&amp;TEXT(TODAY(),"YYYYMMDD"))</f>
        <v/>
      </c>
      <c r="C1148" s="40" t="str">
        <f>IF(Agent06_Savings!A155="","",Agent06_Savings!B155)</f>
        <v/>
      </c>
      <c r="D1148" s="40" t="str">
        <f>IF(Agent06_Savings!A155="","",Agent06_Savings!G155)</f>
        <v/>
      </c>
      <c r="E1148" s="41" t="str">
        <f>IF(Agent06_Savings!A155="","",Agent06_Savings!D155)</f>
        <v/>
      </c>
      <c r="F1148" s="42" t="str">
        <f>IF(Agent06_Savings!A155="","",Agent06_Savings!E155)</f>
        <v/>
      </c>
      <c r="G1148" s="42" t="str">
        <f>IF(Agent06_Savings!A155="","",Agent06_Savings!F155)</f>
        <v/>
      </c>
      <c r="H1148" s="40" t="str">
        <f>IF(Agent06_Savings!A155="","",Agent06_Savings!I155)</f>
        <v/>
      </c>
      <c r="I1148" s="40" t="str">
        <f>IF(Agent06_Savings!A155="","",Agent06_Savings!J155)</f>
        <v/>
      </c>
      <c r="J1148" s="40" t="str">
        <f>IF(Agent06_Savings!A155="","",Agent06_Savings!K155)</f>
        <v/>
      </c>
      <c r="K1148" s="40" t="str">
        <f>IFERROR(IF(Agent06_Savings!A155="","",YEAR(Agent06_Savings!D155)),"")</f>
        <v/>
      </c>
    </row>
    <row r="1149" spans="1:11" ht="18" customHeight="1" x14ac:dyDescent="0.25">
      <c r="A1149" s="40" t="str">
        <f>IF(Agent06_Savings!A156="","",Agent06_Savings!A156)</f>
        <v/>
      </c>
      <c r="B1149" s="40" t="str">
        <f ca="1">IF(Agent06_Savings!A156="","","SV"&amp;TEXT(1149-3,"0000")&amp;"-"&amp;TEXT(TODAY(),"YYYYMMDD"))</f>
        <v/>
      </c>
      <c r="C1149" s="40" t="str">
        <f>IF(Agent06_Savings!A156="","",Agent06_Savings!B156)</f>
        <v/>
      </c>
      <c r="D1149" s="40" t="str">
        <f>IF(Agent06_Savings!A156="","",Agent06_Savings!G156)</f>
        <v/>
      </c>
      <c r="E1149" s="41" t="str">
        <f>IF(Agent06_Savings!A156="","",Agent06_Savings!D156)</f>
        <v/>
      </c>
      <c r="F1149" s="42" t="str">
        <f>IF(Agent06_Savings!A156="","",Agent06_Savings!E156)</f>
        <v/>
      </c>
      <c r="G1149" s="42" t="str">
        <f>IF(Agent06_Savings!A156="","",Agent06_Savings!F156)</f>
        <v/>
      </c>
      <c r="H1149" s="40" t="str">
        <f>IF(Agent06_Savings!A156="","",Agent06_Savings!I156)</f>
        <v/>
      </c>
      <c r="I1149" s="40" t="str">
        <f>IF(Agent06_Savings!A156="","",Agent06_Savings!J156)</f>
        <v/>
      </c>
      <c r="J1149" s="40" t="str">
        <f>IF(Agent06_Savings!A156="","",Agent06_Savings!K156)</f>
        <v/>
      </c>
      <c r="K1149" s="40" t="str">
        <f>IFERROR(IF(Agent06_Savings!A156="","",YEAR(Agent06_Savings!D156)),"")</f>
        <v/>
      </c>
    </row>
    <row r="1150" spans="1:11" ht="18" customHeight="1" x14ac:dyDescent="0.25">
      <c r="A1150" s="40" t="str">
        <f>IF(Agent06_Savings!A157="","",Agent06_Savings!A157)</f>
        <v/>
      </c>
      <c r="B1150" s="40" t="str">
        <f ca="1">IF(Agent06_Savings!A157="","","SV"&amp;TEXT(1150-3,"0000")&amp;"-"&amp;TEXT(TODAY(),"YYYYMMDD"))</f>
        <v/>
      </c>
      <c r="C1150" s="40" t="str">
        <f>IF(Agent06_Savings!A157="","",Agent06_Savings!B157)</f>
        <v/>
      </c>
      <c r="D1150" s="40" t="str">
        <f>IF(Agent06_Savings!A157="","",Agent06_Savings!G157)</f>
        <v/>
      </c>
      <c r="E1150" s="41" t="str">
        <f>IF(Agent06_Savings!A157="","",Agent06_Savings!D157)</f>
        <v/>
      </c>
      <c r="F1150" s="42" t="str">
        <f>IF(Agent06_Savings!A157="","",Agent06_Savings!E157)</f>
        <v/>
      </c>
      <c r="G1150" s="42" t="str">
        <f>IF(Agent06_Savings!A157="","",Agent06_Savings!F157)</f>
        <v/>
      </c>
      <c r="H1150" s="40" t="str">
        <f>IF(Agent06_Savings!A157="","",Agent06_Savings!I157)</f>
        <v/>
      </c>
      <c r="I1150" s="40" t="str">
        <f>IF(Agent06_Savings!A157="","",Agent06_Savings!J157)</f>
        <v/>
      </c>
      <c r="J1150" s="40" t="str">
        <f>IF(Agent06_Savings!A157="","",Agent06_Savings!K157)</f>
        <v/>
      </c>
      <c r="K1150" s="40" t="str">
        <f>IFERROR(IF(Agent06_Savings!A157="","",YEAR(Agent06_Savings!D157)),"")</f>
        <v/>
      </c>
    </row>
    <row r="1151" spans="1:11" ht="18" customHeight="1" x14ac:dyDescent="0.25">
      <c r="A1151" s="40" t="str">
        <f>IF(Agent06_Savings!A158="","",Agent06_Savings!A158)</f>
        <v/>
      </c>
      <c r="B1151" s="40" t="str">
        <f ca="1">IF(Agent06_Savings!A158="","","SV"&amp;TEXT(1151-3,"0000")&amp;"-"&amp;TEXT(TODAY(),"YYYYMMDD"))</f>
        <v/>
      </c>
      <c r="C1151" s="40" t="str">
        <f>IF(Agent06_Savings!A158="","",Agent06_Savings!B158)</f>
        <v/>
      </c>
      <c r="D1151" s="40" t="str">
        <f>IF(Agent06_Savings!A158="","",Agent06_Savings!G158)</f>
        <v/>
      </c>
      <c r="E1151" s="41" t="str">
        <f>IF(Agent06_Savings!A158="","",Agent06_Savings!D158)</f>
        <v/>
      </c>
      <c r="F1151" s="42" t="str">
        <f>IF(Agent06_Savings!A158="","",Agent06_Savings!E158)</f>
        <v/>
      </c>
      <c r="G1151" s="42" t="str">
        <f>IF(Agent06_Savings!A158="","",Agent06_Savings!F158)</f>
        <v/>
      </c>
      <c r="H1151" s="40" t="str">
        <f>IF(Agent06_Savings!A158="","",Agent06_Savings!I158)</f>
        <v/>
      </c>
      <c r="I1151" s="40" t="str">
        <f>IF(Agent06_Savings!A158="","",Agent06_Savings!J158)</f>
        <v/>
      </c>
      <c r="J1151" s="40" t="str">
        <f>IF(Agent06_Savings!A158="","",Agent06_Savings!K158)</f>
        <v/>
      </c>
      <c r="K1151" s="40" t="str">
        <f>IFERROR(IF(Agent06_Savings!A158="","",YEAR(Agent06_Savings!D158)),"")</f>
        <v/>
      </c>
    </row>
    <row r="1152" spans="1:11" ht="18" customHeight="1" x14ac:dyDescent="0.25">
      <c r="A1152" s="40" t="str">
        <f>IF(Agent06_Savings!A159="","",Agent06_Savings!A159)</f>
        <v/>
      </c>
      <c r="B1152" s="40" t="str">
        <f ca="1">IF(Agent06_Savings!A159="","","SV"&amp;TEXT(1152-3,"0000")&amp;"-"&amp;TEXT(TODAY(),"YYYYMMDD"))</f>
        <v/>
      </c>
      <c r="C1152" s="40" t="str">
        <f>IF(Agent06_Savings!A159="","",Agent06_Savings!B159)</f>
        <v/>
      </c>
      <c r="D1152" s="40" t="str">
        <f>IF(Agent06_Savings!A159="","",Agent06_Savings!G159)</f>
        <v/>
      </c>
      <c r="E1152" s="41" t="str">
        <f>IF(Agent06_Savings!A159="","",Agent06_Savings!D159)</f>
        <v/>
      </c>
      <c r="F1152" s="42" t="str">
        <f>IF(Agent06_Savings!A159="","",Agent06_Savings!E159)</f>
        <v/>
      </c>
      <c r="G1152" s="42" t="str">
        <f>IF(Agent06_Savings!A159="","",Agent06_Savings!F159)</f>
        <v/>
      </c>
      <c r="H1152" s="40" t="str">
        <f>IF(Agent06_Savings!A159="","",Agent06_Savings!I159)</f>
        <v/>
      </c>
      <c r="I1152" s="40" t="str">
        <f>IF(Agent06_Savings!A159="","",Agent06_Savings!J159)</f>
        <v/>
      </c>
      <c r="J1152" s="40" t="str">
        <f>IF(Agent06_Savings!A159="","",Agent06_Savings!K159)</f>
        <v/>
      </c>
      <c r="K1152" s="40" t="str">
        <f>IFERROR(IF(Agent06_Savings!A159="","",YEAR(Agent06_Savings!D159)),"")</f>
        <v/>
      </c>
    </row>
    <row r="1153" spans="1:11" ht="18" customHeight="1" x14ac:dyDescent="0.25">
      <c r="A1153" s="40" t="str">
        <f>IF(Agent06_Savings!A160="","",Agent06_Savings!A160)</f>
        <v/>
      </c>
      <c r="B1153" s="40" t="str">
        <f ca="1">IF(Agent06_Savings!A160="","","SV"&amp;TEXT(1153-3,"0000")&amp;"-"&amp;TEXT(TODAY(),"YYYYMMDD"))</f>
        <v/>
      </c>
      <c r="C1153" s="40" t="str">
        <f>IF(Agent06_Savings!A160="","",Agent06_Savings!B160)</f>
        <v/>
      </c>
      <c r="D1153" s="40" t="str">
        <f>IF(Agent06_Savings!A160="","",Agent06_Savings!G160)</f>
        <v/>
      </c>
      <c r="E1153" s="41" t="str">
        <f>IF(Agent06_Savings!A160="","",Agent06_Savings!D160)</f>
        <v/>
      </c>
      <c r="F1153" s="42" t="str">
        <f>IF(Agent06_Savings!A160="","",Agent06_Savings!E160)</f>
        <v/>
      </c>
      <c r="G1153" s="42" t="str">
        <f>IF(Agent06_Savings!A160="","",Agent06_Savings!F160)</f>
        <v/>
      </c>
      <c r="H1153" s="40" t="str">
        <f>IF(Agent06_Savings!A160="","",Agent06_Savings!I160)</f>
        <v/>
      </c>
      <c r="I1153" s="40" t="str">
        <f>IF(Agent06_Savings!A160="","",Agent06_Savings!J160)</f>
        <v/>
      </c>
      <c r="J1153" s="40" t="str">
        <f>IF(Agent06_Savings!A160="","",Agent06_Savings!K160)</f>
        <v/>
      </c>
      <c r="K1153" s="40" t="str">
        <f>IFERROR(IF(Agent06_Savings!A160="","",YEAR(Agent06_Savings!D160)),"")</f>
        <v/>
      </c>
    </row>
    <row r="1154" spans="1:11" ht="18" customHeight="1" x14ac:dyDescent="0.25">
      <c r="A1154" s="40" t="str">
        <f>IF(Agent06_Savings!A161="","",Agent06_Savings!A161)</f>
        <v/>
      </c>
      <c r="B1154" s="40" t="str">
        <f ca="1">IF(Agent06_Savings!A161="","","SV"&amp;TEXT(1154-3,"0000")&amp;"-"&amp;TEXT(TODAY(),"YYYYMMDD"))</f>
        <v/>
      </c>
      <c r="C1154" s="40" t="str">
        <f>IF(Agent06_Savings!A161="","",Agent06_Savings!B161)</f>
        <v/>
      </c>
      <c r="D1154" s="40" t="str">
        <f>IF(Agent06_Savings!A161="","",Agent06_Savings!G161)</f>
        <v/>
      </c>
      <c r="E1154" s="41" t="str">
        <f>IF(Agent06_Savings!A161="","",Agent06_Savings!D161)</f>
        <v/>
      </c>
      <c r="F1154" s="42" t="str">
        <f>IF(Agent06_Savings!A161="","",Agent06_Savings!E161)</f>
        <v/>
      </c>
      <c r="G1154" s="42" t="str">
        <f>IF(Agent06_Savings!A161="","",Agent06_Savings!F161)</f>
        <v/>
      </c>
      <c r="H1154" s="40" t="str">
        <f>IF(Agent06_Savings!A161="","",Agent06_Savings!I161)</f>
        <v/>
      </c>
      <c r="I1154" s="40" t="str">
        <f>IF(Agent06_Savings!A161="","",Agent06_Savings!J161)</f>
        <v/>
      </c>
      <c r="J1154" s="40" t="str">
        <f>IF(Agent06_Savings!A161="","",Agent06_Savings!K161)</f>
        <v/>
      </c>
      <c r="K1154" s="40" t="str">
        <f>IFERROR(IF(Agent06_Savings!A161="","",YEAR(Agent06_Savings!D161)),"")</f>
        <v/>
      </c>
    </row>
    <row r="1155" spans="1:11" ht="18" customHeight="1" x14ac:dyDescent="0.25">
      <c r="A1155" s="40" t="str">
        <f>IF(Agent06_Savings!A162="","",Agent06_Savings!A162)</f>
        <v/>
      </c>
      <c r="B1155" s="40" t="str">
        <f ca="1">IF(Agent06_Savings!A162="","","SV"&amp;TEXT(1155-3,"0000")&amp;"-"&amp;TEXT(TODAY(),"YYYYMMDD"))</f>
        <v/>
      </c>
      <c r="C1155" s="40" t="str">
        <f>IF(Agent06_Savings!A162="","",Agent06_Savings!B162)</f>
        <v/>
      </c>
      <c r="D1155" s="40" t="str">
        <f>IF(Agent06_Savings!A162="","",Agent06_Savings!G162)</f>
        <v/>
      </c>
      <c r="E1155" s="41" t="str">
        <f>IF(Agent06_Savings!A162="","",Agent06_Savings!D162)</f>
        <v/>
      </c>
      <c r="F1155" s="42" t="str">
        <f>IF(Agent06_Savings!A162="","",Agent06_Savings!E162)</f>
        <v/>
      </c>
      <c r="G1155" s="42" t="str">
        <f>IF(Agent06_Savings!A162="","",Agent06_Savings!F162)</f>
        <v/>
      </c>
      <c r="H1155" s="40" t="str">
        <f>IF(Agent06_Savings!A162="","",Agent06_Savings!I162)</f>
        <v/>
      </c>
      <c r="I1155" s="40" t="str">
        <f>IF(Agent06_Savings!A162="","",Agent06_Savings!J162)</f>
        <v/>
      </c>
      <c r="J1155" s="40" t="str">
        <f>IF(Agent06_Savings!A162="","",Agent06_Savings!K162)</f>
        <v/>
      </c>
      <c r="K1155" s="40" t="str">
        <f>IFERROR(IF(Agent06_Savings!A162="","",YEAR(Agent06_Savings!D162)),"")</f>
        <v/>
      </c>
    </row>
    <row r="1156" spans="1:11" ht="18" customHeight="1" x14ac:dyDescent="0.25">
      <c r="A1156" s="40" t="str">
        <f>IF(Agent06_Savings!A163="","",Agent06_Savings!A163)</f>
        <v/>
      </c>
      <c r="B1156" s="40" t="str">
        <f ca="1">IF(Agent06_Savings!A163="","","SV"&amp;TEXT(1156-3,"0000")&amp;"-"&amp;TEXT(TODAY(),"YYYYMMDD"))</f>
        <v/>
      </c>
      <c r="C1156" s="40" t="str">
        <f>IF(Agent06_Savings!A163="","",Agent06_Savings!B163)</f>
        <v/>
      </c>
      <c r="D1156" s="40" t="str">
        <f>IF(Agent06_Savings!A163="","",Agent06_Savings!G163)</f>
        <v/>
      </c>
      <c r="E1156" s="41" t="str">
        <f>IF(Agent06_Savings!A163="","",Agent06_Savings!D163)</f>
        <v/>
      </c>
      <c r="F1156" s="42" t="str">
        <f>IF(Agent06_Savings!A163="","",Agent06_Savings!E163)</f>
        <v/>
      </c>
      <c r="G1156" s="42" t="str">
        <f>IF(Agent06_Savings!A163="","",Agent06_Savings!F163)</f>
        <v/>
      </c>
      <c r="H1156" s="40" t="str">
        <f>IF(Agent06_Savings!A163="","",Agent06_Savings!I163)</f>
        <v/>
      </c>
      <c r="I1156" s="40" t="str">
        <f>IF(Agent06_Savings!A163="","",Agent06_Savings!J163)</f>
        <v/>
      </c>
      <c r="J1156" s="40" t="str">
        <f>IF(Agent06_Savings!A163="","",Agent06_Savings!K163)</f>
        <v/>
      </c>
      <c r="K1156" s="40" t="str">
        <f>IFERROR(IF(Agent06_Savings!A163="","",YEAR(Agent06_Savings!D163)),"")</f>
        <v/>
      </c>
    </row>
    <row r="1157" spans="1:11" ht="18" customHeight="1" x14ac:dyDescent="0.25">
      <c r="A1157" s="40" t="str">
        <f>IF(Agent06_Savings!A164="","",Agent06_Savings!A164)</f>
        <v/>
      </c>
      <c r="B1157" s="40" t="str">
        <f ca="1">IF(Agent06_Savings!A164="","","SV"&amp;TEXT(1157-3,"0000")&amp;"-"&amp;TEXT(TODAY(),"YYYYMMDD"))</f>
        <v/>
      </c>
      <c r="C1157" s="40" t="str">
        <f>IF(Agent06_Savings!A164="","",Agent06_Savings!B164)</f>
        <v/>
      </c>
      <c r="D1157" s="40" t="str">
        <f>IF(Agent06_Savings!A164="","",Agent06_Savings!G164)</f>
        <v/>
      </c>
      <c r="E1157" s="41" t="str">
        <f>IF(Agent06_Savings!A164="","",Agent06_Savings!D164)</f>
        <v/>
      </c>
      <c r="F1157" s="42" t="str">
        <f>IF(Agent06_Savings!A164="","",Agent06_Savings!E164)</f>
        <v/>
      </c>
      <c r="G1157" s="42" t="str">
        <f>IF(Agent06_Savings!A164="","",Agent06_Savings!F164)</f>
        <v/>
      </c>
      <c r="H1157" s="40" t="str">
        <f>IF(Agent06_Savings!A164="","",Agent06_Savings!I164)</f>
        <v/>
      </c>
      <c r="I1157" s="40" t="str">
        <f>IF(Agent06_Savings!A164="","",Agent06_Savings!J164)</f>
        <v/>
      </c>
      <c r="J1157" s="40" t="str">
        <f>IF(Agent06_Savings!A164="","",Agent06_Savings!K164)</f>
        <v/>
      </c>
      <c r="K1157" s="40" t="str">
        <f>IFERROR(IF(Agent06_Savings!A164="","",YEAR(Agent06_Savings!D164)),"")</f>
        <v/>
      </c>
    </row>
    <row r="1158" spans="1:11" ht="18" customHeight="1" x14ac:dyDescent="0.25">
      <c r="A1158" s="40" t="str">
        <f>IF(Agent06_Savings!A165="","",Agent06_Savings!A165)</f>
        <v/>
      </c>
      <c r="B1158" s="40" t="str">
        <f ca="1">IF(Agent06_Savings!A165="","","SV"&amp;TEXT(1158-3,"0000")&amp;"-"&amp;TEXT(TODAY(),"YYYYMMDD"))</f>
        <v/>
      </c>
      <c r="C1158" s="40" t="str">
        <f>IF(Agent06_Savings!A165="","",Agent06_Savings!B165)</f>
        <v/>
      </c>
      <c r="D1158" s="40" t="str">
        <f>IF(Agent06_Savings!A165="","",Agent06_Savings!G165)</f>
        <v/>
      </c>
      <c r="E1158" s="41" t="str">
        <f>IF(Agent06_Savings!A165="","",Agent06_Savings!D165)</f>
        <v/>
      </c>
      <c r="F1158" s="42" t="str">
        <f>IF(Agent06_Savings!A165="","",Agent06_Savings!E165)</f>
        <v/>
      </c>
      <c r="G1158" s="42" t="str">
        <f>IF(Agent06_Savings!A165="","",Agent06_Savings!F165)</f>
        <v/>
      </c>
      <c r="H1158" s="40" t="str">
        <f>IF(Agent06_Savings!A165="","",Agent06_Savings!I165)</f>
        <v/>
      </c>
      <c r="I1158" s="40" t="str">
        <f>IF(Agent06_Savings!A165="","",Agent06_Savings!J165)</f>
        <v/>
      </c>
      <c r="J1158" s="40" t="str">
        <f>IF(Agent06_Savings!A165="","",Agent06_Savings!K165)</f>
        <v/>
      </c>
      <c r="K1158" s="40" t="str">
        <f>IFERROR(IF(Agent06_Savings!A165="","",YEAR(Agent06_Savings!D165)),"")</f>
        <v/>
      </c>
    </row>
    <row r="1159" spans="1:11" ht="18" customHeight="1" x14ac:dyDescent="0.25">
      <c r="A1159" s="40" t="str">
        <f>IF(Agent06_Savings!A166="","",Agent06_Savings!A166)</f>
        <v/>
      </c>
      <c r="B1159" s="40" t="str">
        <f ca="1">IF(Agent06_Savings!A166="","","SV"&amp;TEXT(1159-3,"0000")&amp;"-"&amp;TEXT(TODAY(),"YYYYMMDD"))</f>
        <v/>
      </c>
      <c r="C1159" s="40" t="str">
        <f>IF(Agent06_Savings!A166="","",Agent06_Savings!B166)</f>
        <v/>
      </c>
      <c r="D1159" s="40" t="str">
        <f>IF(Agent06_Savings!A166="","",Agent06_Savings!G166)</f>
        <v/>
      </c>
      <c r="E1159" s="41" t="str">
        <f>IF(Agent06_Savings!A166="","",Agent06_Savings!D166)</f>
        <v/>
      </c>
      <c r="F1159" s="42" t="str">
        <f>IF(Agent06_Savings!A166="","",Agent06_Savings!E166)</f>
        <v/>
      </c>
      <c r="G1159" s="42" t="str">
        <f>IF(Agent06_Savings!A166="","",Agent06_Savings!F166)</f>
        <v/>
      </c>
      <c r="H1159" s="40" t="str">
        <f>IF(Agent06_Savings!A166="","",Agent06_Savings!I166)</f>
        <v/>
      </c>
      <c r="I1159" s="40" t="str">
        <f>IF(Agent06_Savings!A166="","",Agent06_Savings!J166)</f>
        <v/>
      </c>
      <c r="J1159" s="40" t="str">
        <f>IF(Agent06_Savings!A166="","",Agent06_Savings!K166)</f>
        <v/>
      </c>
      <c r="K1159" s="40" t="str">
        <f>IFERROR(IF(Agent06_Savings!A166="","",YEAR(Agent06_Savings!D166)),"")</f>
        <v/>
      </c>
    </row>
    <row r="1160" spans="1:11" ht="18" customHeight="1" x14ac:dyDescent="0.25">
      <c r="A1160" s="40" t="str">
        <f>IF(Agent06_Savings!A167="","",Agent06_Savings!A167)</f>
        <v/>
      </c>
      <c r="B1160" s="40" t="str">
        <f ca="1">IF(Agent06_Savings!A167="","","SV"&amp;TEXT(1160-3,"0000")&amp;"-"&amp;TEXT(TODAY(),"YYYYMMDD"))</f>
        <v/>
      </c>
      <c r="C1160" s="40" t="str">
        <f>IF(Agent06_Savings!A167="","",Agent06_Savings!B167)</f>
        <v/>
      </c>
      <c r="D1160" s="40" t="str">
        <f>IF(Agent06_Savings!A167="","",Agent06_Savings!G167)</f>
        <v/>
      </c>
      <c r="E1160" s="41" t="str">
        <f>IF(Agent06_Savings!A167="","",Agent06_Savings!D167)</f>
        <v/>
      </c>
      <c r="F1160" s="42" t="str">
        <f>IF(Agent06_Savings!A167="","",Agent06_Savings!E167)</f>
        <v/>
      </c>
      <c r="G1160" s="42" t="str">
        <f>IF(Agent06_Savings!A167="","",Agent06_Savings!F167)</f>
        <v/>
      </c>
      <c r="H1160" s="40" t="str">
        <f>IF(Agent06_Savings!A167="","",Agent06_Savings!I167)</f>
        <v/>
      </c>
      <c r="I1160" s="40" t="str">
        <f>IF(Agent06_Savings!A167="","",Agent06_Savings!J167)</f>
        <v/>
      </c>
      <c r="J1160" s="40" t="str">
        <f>IF(Agent06_Savings!A167="","",Agent06_Savings!K167)</f>
        <v/>
      </c>
      <c r="K1160" s="40" t="str">
        <f>IFERROR(IF(Agent06_Savings!A167="","",YEAR(Agent06_Savings!D167)),"")</f>
        <v/>
      </c>
    </row>
    <row r="1161" spans="1:11" ht="18" customHeight="1" x14ac:dyDescent="0.25">
      <c r="A1161" s="40" t="str">
        <f>IF(Agent06_Savings!A168="","",Agent06_Savings!A168)</f>
        <v/>
      </c>
      <c r="B1161" s="40" t="str">
        <f ca="1">IF(Agent06_Savings!A168="","","SV"&amp;TEXT(1161-3,"0000")&amp;"-"&amp;TEXT(TODAY(),"YYYYMMDD"))</f>
        <v/>
      </c>
      <c r="C1161" s="40" t="str">
        <f>IF(Agent06_Savings!A168="","",Agent06_Savings!B168)</f>
        <v/>
      </c>
      <c r="D1161" s="40" t="str">
        <f>IF(Agent06_Savings!A168="","",Agent06_Savings!G168)</f>
        <v/>
      </c>
      <c r="E1161" s="41" t="str">
        <f>IF(Agent06_Savings!A168="","",Agent06_Savings!D168)</f>
        <v/>
      </c>
      <c r="F1161" s="42" t="str">
        <f>IF(Agent06_Savings!A168="","",Agent06_Savings!E168)</f>
        <v/>
      </c>
      <c r="G1161" s="42" t="str">
        <f>IF(Agent06_Savings!A168="","",Agent06_Savings!F168)</f>
        <v/>
      </c>
      <c r="H1161" s="40" t="str">
        <f>IF(Agent06_Savings!A168="","",Agent06_Savings!I168)</f>
        <v/>
      </c>
      <c r="I1161" s="40" t="str">
        <f>IF(Agent06_Savings!A168="","",Agent06_Savings!J168)</f>
        <v/>
      </c>
      <c r="J1161" s="40" t="str">
        <f>IF(Agent06_Savings!A168="","",Agent06_Savings!K168)</f>
        <v/>
      </c>
      <c r="K1161" s="40" t="str">
        <f>IFERROR(IF(Agent06_Savings!A168="","",YEAR(Agent06_Savings!D168)),"")</f>
        <v/>
      </c>
    </row>
    <row r="1162" spans="1:11" ht="18" customHeight="1" x14ac:dyDescent="0.25">
      <c r="A1162" s="40" t="str">
        <f>IF(Agent06_Savings!A169="","",Agent06_Savings!A169)</f>
        <v/>
      </c>
      <c r="B1162" s="40" t="str">
        <f ca="1">IF(Agent06_Savings!A169="","","SV"&amp;TEXT(1162-3,"0000")&amp;"-"&amp;TEXT(TODAY(),"YYYYMMDD"))</f>
        <v/>
      </c>
      <c r="C1162" s="40" t="str">
        <f>IF(Agent06_Savings!A169="","",Agent06_Savings!B169)</f>
        <v/>
      </c>
      <c r="D1162" s="40" t="str">
        <f>IF(Agent06_Savings!A169="","",Agent06_Savings!G169)</f>
        <v/>
      </c>
      <c r="E1162" s="41" t="str">
        <f>IF(Agent06_Savings!A169="","",Agent06_Savings!D169)</f>
        <v/>
      </c>
      <c r="F1162" s="42" t="str">
        <f>IF(Agent06_Savings!A169="","",Agent06_Savings!E169)</f>
        <v/>
      </c>
      <c r="G1162" s="42" t="str">
        <f>IF(Agent06_Savings!A169="","",Agent06_Savings!F169)</f>
        <v/>
      </c>
      <c r="H1162" s="40" t="str">
        <f>IF(Agent06_Savings!A169="","",Agent06_Savings!I169)</f>
        <v/>
      </c>
      <c r="I1162" s="40" t="str">
        <f>IF(Agent06_Savings!A169="","",Agent06_Savings!J169)</f>
        <v/>
      </c>
      <c r="J1162" s="40" t="str">
        <f>IF(Agent06_Savings!A169="","",Agent06_Savings!K169)</f>
        <v/>
      </c>
      <c r="K1162" s="40" t="str">
        <f>IFERROR(IF(Agent06_Savings!A169="","",YEAR(Agent06_Savings!D169)),"")</f>
        <v/>
      </c>
    </row>
    <row r="1163" spans="1:11" ht="18" customHeight="1" x14ac:dyDescent="0.25">
      <c r="A1163" s="40" t="str">
        <f>IF(Agent06_Savings!A170="","",Agent06_Savings!A170)</f>
        <v/>
      </c>
      <c r="B1163" s="40" t="str">
        <f ca="1">IF(Agent06_Savings!A170="","","SV"&amp;TEXT(1163-3,"0000")&amp;"-"&amp;TEXT(TODAY(),"YYYYMMDD"))</f>
        <v/>
      </c>
      <c r="C1163" s="40" t="str">
        <f>IF(Agent06_Savings!A170="","",Agent06_Savings!B170)</f>
        <v/>
      </c>
      <c r="D1163" s="40" t="str">
        <f>IF(Agent06_Savings!A170="","",Agent06_Savings!G170)</f>
        <v/>
      </c>
      <c r="E1163" s="41" t="str">
        <f>IF(Agent06_Savings!A170="","",Agent06_Savings!D170)</f>
        <v/>
      </c>
      <c r="F1163" s="42" t="str">
        <f>IF(Agent06_Savings!A170="","",Agent06_Savings!E170)</f>
        <v/>
      </c>
      <c r="G1163" s="42" t="str">
        <f>IF(Agent06_Savings!A170="","",Agent06_Savings!F170)</f>
        <v/>
      </c>
      <c r="H1163" s="40" t="str">
        <f>IF(Agent06_Savings!A170="","",Agent06_Savings!I170)</f>
        <v/>
      </c>
      <c r="I1163" s="40" t="str">
        <f>IF(Agent06_Savings!A170="","",Agent06_Savings!J170)</f>
        <v/>
      </c>
      <c r="J1163" s="40" t="str">
        <f>IF(Agent06_Savings!A170="","",Agent06_Savings!K170)</f>
        <v/>
      </c>
      <c r="K1163" s="40" t="str">
        <f>IFERROR(IF(Agent06_Savings!A170="","",YEAR(Agent06_Savings!D170)),"")</f>
        <v/>
      </c>
    </row>
    <row r="1164" spans="1:11" ht="18" customHeight="1" x14ac:dyDescent="0.25">
      <c r="A1164" s="40" t="str">
        <f>IF(Agent06_Savings!A171="","",Agent06_Savings!A171)</f>
        <v/>
      </c>
      <c r="B1164" s="40" t="str">
        <f ca="1">IF(Agent06_Savings!A171="","","SV"&amp;TEXT(1164-3,"0000")&amp;"-"&amp;TEXT(TODAY(),"YYYYMMDD"))</f>
        <v/>
      </c>
      <c r="C1164" s="40" t="str">
        <f>IF(Agent06_Savings!A171="","",Agent06_Savings!B171)</f>
        <v/>
      </c>
      <c r="D1164" s="40" t="str">
        <f>IF(Agent06_Savings!A171="","",Agent06_Savings!G171)</f>
        <v/>
      </c>
      <c r="E1164" s="41" t="str">
        <f>IF(Agent06_Savings!A171="","",Agent06_Savings!D171)</f>
        <v/>
      </c>
      <c r="F1164" s="42" t="str">
        <f>IF(Agent06_Savings!A171="","",Agent06_Savings!E171)</f>
        <v/>
      </c>
      <c r="G1164" s="42" t="str">
        <f>IF(Agent06_Savings!A171="","",Agent06_Savings!F171)</f>
        <v/>
      </c>
      <c r="H1164" s="40" t="str">
        <f>IF(Agent06_Savings!A171="","",Agent06_Savings!I171)</f>
        <v/>
      </c>
      <c r="I1164" s="40" t="str">
        <f>IF(Agent06_Savings!A171="","",Agent06_Savings!J171)</f>
        <v/>
      </c>
      <c r="J1164" s="40" t="str">
        <f>IF(Agent06_Savings!A171="","",Agent06_Savings!K171)</f>
        <v/>
      </c>
      <c r="K1164" s="40" t="str">
        <f>IFERROR(IF(Agent06_Savings!A171="","",YEAR(Agent06_Savings!D171)),"")</f>
        <v/>
      </c>
    </row>
    <row r="1165" spans="1:11" ht="18" customHeight="1" x14ac:dyDescent="0.25">
      <c r="A1165" s="40" t="str">
        <f>IF(Agent06_Savings!A172="","",Agent06_Savings!A172)</f>
        <v/>
      </c>
      <c r="B1165" s="40" t="str">
        <f ca="1">IF(Agent06_Savings!A172="","","SV"&amp;TEXT(1165-3,"0000")&amp;"-"&amp;TEXT(TODAY(),"YYYYMMDD"))</f>
        <v/>
      </c>
      <c r="C1165" s="40" t="str">
        <f>IF(Agent06_Savings!A172="","",Agent06_Savings!B172)</f>
        <v/>
      </c>
      <c r="D1165" s="40" t="str">
        <f>IF(Agent06_Savings!A172="","",Agent06_Savings!G172)</f>
        <v/>
      </c>
      <c r="E1165" s="41" t="str">
        <f>IF(Agent06_Savings!A172="","",Agent06_Savings!D172)</f>
        <v/>
      </c>
      <c r="F1165" s="42" t="str">
        <f>IF(Agent06_Savings!A172="","",Agent06_Savings!E172)</f>
        <v/>
      </c>
      <c r="G1165" s="42" t="str">
        <f>IF(Agent06_Savings!A172="","",Agent06_Savings!F172)</f>
        <v/>
      </c>
      <c r="H1165" s="40" t="str">
        <f>IF(Agent06_Savings!A172="","",Agent06_Savings!I172)</f>
        <v/>
      </c>
      <c r="I1165" s="40" t="str">
        <f>IF(Agent06_Savings!A172="","",Agent06_Savings!J172)</f>
        <v/>
      </c>
      <c r="J1165" s="40" t="str">
        <f>IF(Agent06_Savings!A172="","",Agent06_Savings!K172)</f>
        <v/>
      </c>
      <c r="K1165" s="40" t="str">
        <f>IFERROR(IF(Agent06_Savings!A172="","",YEAR(Agent06_Savings!D172)),"")</f>
        <v/>
      </c>
    </row>
    <row r="1166" spans="1:11" ht="18" customHeight="1" x14ac:dyDescent="0.25">
      <c r="A1166" s="40" t="str">
        <f>IF(Agent06_Savings!A173="","",Agent06_Savings!A173)</f>
        <v/>
      </c>
      <c r="B1166" s="40" t="str">
        <f ca="1">IF(Agent06_Savings!A173="","","SV"&amp;TEXT(1166-3,"0000")&amp;"-"&amp;TEXT(TODAY(),"YYYYMMDD"))</f>
        <v/>
      </c>
      <c r="C1166" s="40" t="str">
        <f>IF(Agent06_Savings!A173="","",Agent06_Savings!B173)</f>
        <v/>
      </c>
      <c r="D1166" s="40" t="str">
        <f>IF(Agent06_Savings!A173="","",Agent06_Savings!G173)</f>
        <v/>
      </c>
      <c r="E1166" s="41" t="str">
        <f>IF(Agent06_Savings!A173="","",Agent06_Savings!D173)</f>
        <v/>
      </c>
      <c r="F1166" s="42" t="str">
        <f>IF(Agent06_Savings!A173="","",Agent06_Savings!E173)</f>
        <v/>
      </c>
      <c r="G1166" s="42" t="str">
        <f>IF(Agent06_Savings!A173="","",Agent06_Savings!F173)</f>
        <v/>
      </c>
      <c r="H1166" s="40" t="str">
        <f>IF(Agent06_Savings!A173="","",Agent06_Savings!I173)</f>
        <v/>
      </c>
      <c r="I1166" s="40" t="str">
        <f>IF(Agent06_Savings!A173="","",Agent06_Savings!J173)</f>
        <v/>
      </c>
      <c r="J1166" s="40" t="str">
        <f>IF(Agent06_Savings!A173="","",Agent06_Savings!K173)</f>
        <v/>
      </c>
      <c r="K1166" s="40" t="str">
        <f>IFERROR(IF(Agent06_Savings!A173="","",YEAR(Agent06_Savings!D173)),"")</f>
        <v/>
      </c>
    </row>
    <row r="1167" spans="1:11" ht="18" customHeight="1" x14ac:dyDescent="0.25">
      <c r="A1167" s="40" t="str">
        <f>IF(Agent06_Savings!A174="","",Agent06_Savings!A174)</f>
        <v/>
      </c>
      <c r="B1167" s="40" t="str">
        <f ca="1">IF(Agent06_Savings!A174="","","SV"&amp;TEXT(1167-3,"0000")&amp;"-"&amp;TEXT(TODAY(),"YYYYMMDD"))</f>
        <v/>
      </c>
      <c r="C1167" s="40" t="str">
        <f>IF(Agent06_Savings!A174="","",Agent06_Savings!B174)</f>
        <v/>
      </c>
      <c r="D1167" s="40" t="str">
        <f>IF(Agent06_Savings!A174="","",Agent06_Savings!G174)</f>
        <v/>
      </c>
      <c r="E1167" s="41" t="str">
        <f>IF(Agent06_Savings!A174="","",Agent06_Savings!D174)</f>
        <v/>
      </c>
      <c r="F1167" s="42" t="str">
        <f>IF(Agent06_Savings!A174="","",Agent06_Savings!E174)</f>
        <v/>
      </c>
      <c r="G1167" s="42" t="str">
        <f>IF(Agent06_Savings!A174="","",Agent06_Savings!F174)</f>
        <v/>
      </c>
      <c r="H1167" s="40" t="str">
        <f>IF(Agent06_Savings!A174="","",Agent06_Savings!I174)</f>
        <v/>
      </c>
      <c r="I1167" s="40" t="str">
        <f>IF(Agent06_Savings!A174="","",Agent06_Savings!J174)</f>
        <v/>
      </c>
      <c r="J1167" s="40" t="str">
        <f>IF(Agent06_Savings!A174="","",Agent06_Savings!K174)</f>
        <v/>
      </c>
      <c r="K1167" s="40" t="str">
        <f>IFERROR(IF(Agent06_Savings!A174="","",YEAR(Agent06_Savings!D174)),"")</f>
        <v/>
      </c>
    </row>
    <row r="1168" spans="1:11" ht="18" customHeight="1" x14ac:dyDescent="0.25">
      <c r="A1168" s="40" t="str">
        <f>IF(Agent06_Savings!A175="","",Agent06_Savings!A175)</f>
        <v/>
      </c>
      <c r="B1168" s="40" t="str">
        <f ca="1">IF(Agent06_Savings!A175="","","SV"&amp;TEXT(1168-3,"0000")&amp;"-"&amp;TEXT(TODAY(),"YYYYMMDD"))</f>
        <v/>
      </c>
      <c r="C1168" s="40" t="str">
        <f>IF(Agent06_Savings!A175="","",Agent06_Savings!B175)</f>
        <v/>
      </c>
      <c r="D1168" s="40" t="str">
        <f>IF(Agent06_Savings!A175="","",Agent06_Savings!G175)</f>
        <v/>
      </c>
      <c r="E1168" s="41" t="str">
        <f>IF(Agent06_Savings!A175="","",Agent06_Savings!D175)</f>
        <v/>
      </c>
      <c r="F1168" s="42" t="str">
        <f>IF(Agent06_Savings!A175="","",Agent06_Savings!E175)</f>
        <v/>
      </c>
      <c r="G1168" s="42" t="str">
        <f>IF(Agent06_Savings!A175="","",Agent06_Savings!F175)</f>
        <v/>
      </c>
      <c r="H1168" s="40" t="str">
        <f>IF(Agent06_Savings!A175="","",Agent06_Savings!I175)</f>
        <v/>
      </c>
      <c r="I1168" s="40" t="str">
        <f>IF(Agent06_Savings!A175="","",Agent06_Savings!J175)</f>
        <v/>
      </c>
      <c r="J1168" s="40" t="str">
        <f>IF(Agent06_Savings!A175="","",Agent06_Savings!K175)</f>
        <v/>
      </c>
      <c r="K1168" s="40" t="str">
        <f>IFERROR(IF(Agent06_Savings!A175="","",YEAR(Agent06_Savings!D175)),"")</f>
        <v/>
      </c>
    </row>
    <row r="1169" spans="1:11" ht="18" customHeight="1" x14ac:dyDescent="0.25">
      <c r="A1169" s="40" t="str">
        <f>IF(Agent06_Savings!A176="","",Agent06_Savings!A176)</f>
        <v/>
      </c>
      <c r="B1169" s="40" t="str">
        <f ca="1">IF(Agent06_Savings!A176="","","SV"&amp;TEXT(1169-3,"0000")&amp;"-"&amp;TEXT(TODAY(),"YYYYMMDD"))</f>
        <v/>
      </c>
      <c r="C1169" s="40" t="str">
        <f>IF(Agent06_Savings!A176="","",Agent06_Savings!B176)</f>
        <v/>
      </c>
      <c r="D1169" s="40" t="str">
        <f>IF(Agent06_Savings!A176="","",Agent06_Savings!G176)</f>
        <v/>
      </c>
      <c r="E1169" s="41" t="str">
        <f>IF(Agent06_Savings!A176="","",Agent06_Savings!D176)</f>
        <v/>
      </c>
      <c r="F1169" s="42" t="str">
        <f>IF(Agent06_Savings!A176="","",Agent06_Savings!E176)</f>
        <v/>
      </c>
      <c r="G1169" s="42" t="str">
        <f>IF(Agent06_Savings!A176="","",Agent06_Savings!F176)</f>
        <v/>
      </c>
      <c r="H1169" s="40" t="str">
        <f>IF(Agent06_Savings!A176="","",Agent06_Savings!I176)</f>
        <v/>
      </c>
      <c r="I1169" s="40" t="str">
        <f>IF(Agent06_Savings!A176="","",Agent06_Savings!J176)</f>
        <v/>
      </c>
      <c r="J1169" s="40" t="str">
        <f>IF(Agent06_Savings!A176="","",Agent06_Savings!K176)</f>
        <v/>
      </c>
      <c r="K1169" s="40" t="str">
        <f>IFERROR(IF(Agent06_Savings!A176="","",YEAR(Agent06_Savings!D176)),"")</f>
        <v/>
      </c>
    </row>
    <row r="1170" spans="1:11" ht="18" customHeight="1" x14ac:dyDescent="0.25">
      <c r="A1170" s="40" t="str">
        <f>IF(Agent06_Savings!A177="","",Agent06_Savings!A177)</f>
        <v/>
      </c>
      <c r="B1170" s="40" t="str">
        <f ca="1">IF(Agent06_Savings!A177="","","SV"&amp;TEXT(1170-3,"0000")&amp;"-"&amp;TEXT(TODAY(),"YYYYMMDD"))</f>
        <v/>
      </c>
      <c r="C1170" s="40" t="str">
        <f>IF(Agent06_Savings!A177="","",Agent06_Savings!B177)</f>
        <v/>
      </c>
      <c r="D1170" s="40" t="str">
        <f>IF(Agent06_Savings!A177="","",Agent06_Savings!G177)</f>
        <v/>
      </c>
      <c r="E1170" s="41" t="str">
        <f>IF(Agent06_Savings!A177="","",Agent06_Savings!D177)</f>
        <v/>
      </c>
      <c r="F1170" s="42" t="str">
        <f>IF(Agent06_Savings!A177="","",Agent06_Savings!E177)</f>
        <v/>
      </c>
      <c r="G1170" s="42" t="str">
        <f>IF(Agent06_Savings!A177="","",Agent06_Savings!F177)</f>
        <v/>
      </c>
      <c r="H1170" s="40" t="str">
        <f>IF(Agent06_Savings!A177="","",Agent06_Savings!I177)</f>
        <v/>
      </c>
      <c r="I1170" s="40" t="str">
        <f>IF(Agent06_Savings!A177="","",Agent06_Savings!J177)</f>
        <v/>
      </c>
      <c r="J1170" s="40" t="str">
        <f>IF(Agent06_Savings!A177="","",Agent06_Savings!K177)</f>
        <v/>
      </c>
      <c r="K1170" s="40" t="str">
        <f>IFERROR(IF(Agent06_Savings!A177="","",YEAR(Agent06_Savings!D177)),"")</f>
        <v/>
      </c>
    </row>
    <row r="1171" spans="1:11" ht="18" customHeight="1" x14ac:dyDescent="0.25">
      <c r="A1171" s="40" t="str">
        <f>IF(Agent06_Savings!A178="","",Agent06_Savings!A178)</f>
        <v/>
      </c>
      <c r="B1171" s="40" t="str">
        <f ca="1">IF(Agent06_Savings!A178="","","SV"&amp;TEXT(1171-3,"0000")&amp;"-"&amp;TEXT(TODAY(),"YYYYMMDD"))</f>
        <v/>
      </c>
      <c r="C1171" s="40" t="str">
        <f>IF(Agent06_Savings!A178="","",Agent06_Savings!B178)</f>
        <v/>
      </c>
      <c r="D1171" s="40" t="str">
        <f>IF(Agent06_Savings!A178="","",Agent06_Savings!G178)</f>
        <v/>
      </c>
      <c r="E1171" s="41" t="str">
        <f>IF(Agent06_Savings!A178="","",Agent06_Savings!D178)</f>
        <v/>
      </c>
      <c r="F1171" s="42" t="str">
        <f>IF(Agent06_Savings!A178="","",Agent06_Savings!E178)</f>
        <v/>
      </c>
      <c r="G1171" s="42" t="str">
        <f>IF(Agent06_Savings!A178="","",Agent06_Savings!F178)</f>
        <v/>
      </c>
      <c r="H1171" s="40" t="str">
        <f>IF(Agent06_Savings!A178="","",Agent06_Savings!I178)</f>
        <v/>
      </c>
      <c r="I1171" s="40" t="str">
        <f>IF(Agent06_Savings!A178="","",Agent06_Savings!J178)</f>
        <v/>
      </c>
      <c r="J1171" s="40" t="str">
        <f>IF(Agent06_Savings!A178="","",Agent06_Savings!K178)</f>
        <v/>
      </c>
      <c r="K1171" s="40" t="str">
        <f>IFERROR(IF(Agent06_Savings!A178="","",YEAR(Agent06_Savings!D178)),"")</f>
        <v/>
      </c>
    </row>
    <row r="1172" spans="1:11" ht="18" customHeight="1" x14ac:dyDescent="0.25">
      <c r="A1172" s="40" t="str">
        <f>IF(Agent06_Savings!A179="","",Agent06_Savings!A179)</f>
        <v/>
      </c>
      <c r="B1172" s="40" t="str">
        <f ca="1">IF(Agent06_Savings!A179="","","SV"&amp;TEXT(1172-3,"0000")&amp;"-"&amp;TEXT(TODAY(),"YYYYMMDD"))</f>
        <v/>
      </c>
      <c r="C1172" s="40" t="str">
        <f>IF(Agent06_Savings!A179="","",Agent06_Savings!B179)</f>
        <v/>
      </c>
      <c r="D1172" s="40" t="str">
        <f>IF(Agent06_Savings!A179="","",Agent06_Savings!G179)</f>
        <v/>
      </c>
      <c r="E1172" s="41" t="str">
        <f>IF(Agent06_Savings!A179="","",Agent06_Savings!D179)</f>
        <v/>
      </c>
      <c r="F1172" s="42" t="str">
        <f>IF(Agent06_Savings!A179="","",Agent06_Savings!E179)</f>
        <v/>
      </c>
      <c r="G1172" s="42" t="str">
        <f>IF(Agent06_Savings!A179="","",Agent06_Savings!F179)</f>
        <v/>
      </c>
      <c r="H1172" s="40" t="str">
        <f>IF(Agent06_Savings!A179="","",Agent06_Savings!I179)</f>
        <v/>
      </c>
      <c r="I1172" s="40" t="str">
        <f>IF(Agent06_Savings!A179="","",Agent06_Savings!J179)</f>
        <v/>
      </c>
      <c r="J1172" s="40" t="str">
        <f>IF(Agent06_Savings!A179="","",Agent06_Savings!K179)</f>
        <v/>
      </c>
      <c r="K1172" s="40" t="str">
        <f>IFERROR(IF(Agent06_Savings!A179="","",YEAR(Agent06_Savings!D179)),"")</f>
        <v/>
      </c>
    </row>
    <row r="1173" spans="1:11" ht="18" customHeight="1" x14ac:dyDescent="0.25">
      <c r="A1173" s="40" t="str">
        <f>IF(Agent06_Savings!A180="","",Agent06_Savings!A180)</f>
        <v/>
      </c>
      <c r="B1173" s="40" t="str">
        <f ca="1">IF(Agent06_Savings!A180="","","SV"&amp;TEXT(1173-3,"0000")&amp;"-"&amp;TEXT(TODAY(),"YYYYMMDD"))</f>
        <v/>
      </c>
      <c r="C1173" s="40" t="str">
        <f>IF(Agent06_Savings!A180="","",Agent06_Savings!B180)</f>
        <v/>
      </c>
      <c r="D1173" s="40" t="str">
        <f>IF(Agent06_Savings!A180="","",Agent06_Savings!G180)</f>
        <v/>
      </c>
      <c r="E1173" s="41" t="str">
        <f>IF(Agent06_Savings!A180="","",Agent06_Savings!D180)</f>
        <v/>
      </c>
      <c r="F1173" s="42" t="str">
        <f>IF(Agent06_Savings!A180="","",Agent06_Savings!E180)</f>
        <v/>
      </c>
      <c r="G1173" s="42" t="str">
        <f>IF(Agent06_Savings!A180="","",Agent06_Savings!F180)</f>
        <v/>
      </c>
      <c r="H1173" s="40" t="str">
        <f>IF(Agent06_Savings!A180="","",Agent06_Savings!I180)</f>
        <v/>
      </c>
      <c r="I1173" s="40" t="str">
        <f>IF(Agent06_Savings!A180="","",Agent06_Savings!J180)</f>
        <v/>
      </c>
      <c r="J1173" s="40" t="str">
        <f>IF(Agent06_Savings!A180="","",Agent06_Savings!K180)</f>
        <v/>
      </c>
      <c r="K1173" s="40" t="str">
        <f>IFERROR(IF(Agent06_Savings!A180="","",YEAR(Agent06_Savings!D180)),"")</f>
        <v/>
      </c>
    </row>
    <row r="1174" spans="1:11" ht="18" customHeight="1" x14ac:dyDescent="0.25">
      <c r="A1174" s="40" t="str">
        <f>IF(Agent06_Savings!A181="","",Agent06_Savings!A181)</f>
        <v/>
      </c>
      <c r="B1174" s="40" t="str">
        <f ca="1">IF(Agent06_Savings!A181="","","SV"&amp;TEXT(1174-3,"0000")&amp;"-"&amp;TEXT(TODAY(),"YYYYMMDD"))</f>
        <v/>
      </c>
      <c r="C1174" s="40" t="str">
        <f>IF(Agent06_Savings!A181="","",Agent06_Savings!B181)</f>
        <v/>
      </c>
      <c r="D1174" s="40" t="str">
        <f>IF(Agent06_Savings!A181="","",Agent06_Savings!G181)</f>
        <v/>
      </c>
      <c r="E1174" s="41" t="str">
        <f>IF(Agent06_Savings!A181="","",Agent06_Savings!D181)</f>
        <v/>
      </c>
      <c r="F1174" s="42" t="str">
        <f>IF(Agent06_Savings!A181="","",Agent06_Savings!E181)</f>
        <v/>
      </c>
      <c r="G1174" s="42" t="str">
        <f>IF(Agent06_Savings!A181="","",Agent06_Savings!F181)</f>
        <v/>
      </c>
      <c r="H1174" s="40" t="str">
        <f>IF(Agent06_Savings!A181="","",Agent06_Savings!I181)</f>
        <v/>
      </c>
      <c r="I1174" s="40" t="str">
        <f>IF(Agent06_Savings!A181="","",Agent06_Savings!J181)</f>
        <v/>
      </c>
      <c r="J1174" s="40" t="str">
        <f>IF(Agent06_Savings!A181="","",Agent06_Savings!K181)</f>
        <v/>
      </c>
      <c r="K1174" s="40" t="str">
        <f>IFERROR(IF(Agent06_Savings!A181="","",YEAR(Agent06_Savings!D181)),"")</f>
        <v/>
      </c>
    </row>
    <row r="1175" spans="1:11" ht="18" customHeight="1" x14ac:dyDescent="0.25">
      <c r="A1175" s="40" t="str">
        <f>IF(Agent06_Savings!A182="","",Agent06_Savings!A182)</f>
        <v/>
      </c>
      <c r="B1175" s="40" t="str">
        <f ca="1">IF(Agent06_Savings!A182="","","SV"&amp;TEXT(1175-3,"0000")&amp;"-"&amp;TEXT(TODAY(),"YYYYMMDD"))</f>
        <v/>
      </c>
      <c r="C1175" s="40" t="str">
        <f>IF(Agent06_Savings!A182="","",Agent06_Savings!B182)</f>
        <v/>
      </c>
      <c r="D1175" s="40" t="str">
        <f>IF(Agent06_Savings!A182="","",Agent06_Savings!G182)</f>
        <v/>
      </c>
      <c r="E1175" s="41" t="str">
        <f>IF(Agent06_Savings!A182="","",Agent06_Savings!D182)</f>
        <v/>
      </c>
      <c r="F1175" s="42" t="str">
        <f>IF(Agent06_Savings!A182="","",Agent06_Savings!E182)</f>
        <v/>
      </c>
      <c r="G1175" s="42" t="str">
        <f>IF(Agent06_Savings!A182="","",Agent06_Savings!F182)</f>
        <v/>
      </c>
      <c r="H1175" s="40" t="str">
        <f>IF(Agent06_Savings!A182="","",Agent06_Savings!I182)</f>
        <v/>
      </c>
      <c r="I1175" s="40" t="str">
        <f>IF(Agent06_Savings!A182="","",Agent06_Savings!J182)</f>
        <v/>
      </c>
      <c r="J1175" s="40" t="str">
        <f>IF(Agent06_Savings!A182="","",Agent06_Savings!K182)</f>
        <v/>
      </c>
      <c r="K1175" s="40" t="str">
        <f>IFERROR(IF(Agent06_Savings!A182="","",YEAR(Agent06_Savings!D182)),"")</f>
        <v/>
      </c>
    </row>
    <row r="1176" spans="1:11" ht="18" customHeight="1" x14ac:dyDescent="0.25">
      <c r="A1176" s="40" t="str">
        <f>IF(Agent06_Savings!A183="","",Agent06_Savings!A183)</f>
        <v/>
      </c>
      <c r="B1176" s="40" t="str">
        <f ca="1">IF(Agent06_Savings!A183="","","SV"&amp;TEXT(1176-3,"0000")&amp;"-"&amp;TEXT(TODAY(),"YYYYMMDD"))</f>
        <v/>
      </c>
      <c r="C1176" s="40" t="str">
        <f>IF(Agent06_Savings!A183="","",Agent06_Savings!B183)</f>
        <v/>
      </c>
      <c r="D1176" s="40" t="str">
        <f>IF(Agent06_Savings!A183="","",Agent06_Savings!G183)</f>
        <v/>
      </c>
      <c r="E1176" s="41" t="str">
        <f>IF(Agent06_Savings!A183="","",Agent06_Savings!D183)</f>
        <v/>
      </c>
      <c r="F1176" s="42" t="str">
        <f>IF(Agent06_Savings!A183="","",Agent06_Savings!E183)</f>
        <v/>
      </c>
      <c r="G1176" s="42" t="str">
        <f>IF(Agent06_Savings!A183="","",Agent06_Savings!F183)</f>
        <v/>
      </c>
      <c r="H1176" s="40" t="str">
        <f>IF(Agent06_Savings!A183="","",Agent06_Savings!I183)</f>
        <v/>
      </c>
      <c r="I1176" s="40" t="str">
        <f>IF(Agent06_Savings!A183="","",Agent06_Savings!J183)</f>
        <v/>
      </c>
      <c r="J1176" s="40" t="str">
        <f>IF(Agent06_Savings!A183="","",Agent06_Savings!K183)</f>
        <v/>
      </c>
      <c r="K1176" s="40" t="str">
        <f>IFERROR(IF(Agent06_Savings!A183="","",YEAR(Agent06_Savings!D183)),"")</f>
        <v/>
      </c>
    </row>
    <row r="1177" spans="1:11" ht="18" customHeight="1" x14ac:dyDescent="0.25">
      <c r="A1177" s="40" t="str">
        <f>IF(Agent06_Savings!A184="","",Agent06_Savings!A184)</f>
        <v/>
      </c>
      <c r="B1177" s="40" t="str">
        <f ca="1">IF(Agent06_Savings!A184="","","SV"&amp;TEXT(1177-3,"0000")&amp;"-"&amp;TEXT(TODAY(),"YYYYMMDD"))</f>
        <v/>
      </c>
      <c r="C1177" s="40" t="str">
        <f>IF(Agent06_Savings!A184="","",Agent06_Savings!B184)</f>
        <v/>
      </c>
      <c r="D1177" s="40" t="str">
        <f>IF(Agent06_Savings!A184="","",Agent06_Savings!G184)</f>
        <v/>
      </c>
      <c r="E1177" s="41" t="str">
        <f>IF(Agent06_Savings!A184="","",Agent06_Savings!D184)</f>
        <v/>
      </c>
      <c r="F1177" s="42" t="str">
        <f>IF(Agent06_Savings!A184="","",Agent06_Savings!E184)</f>
        <v/>
      </c>
      <c r="G1177" s="42" t="str">
        <f>IF(Agent06_Savings!A184="","",Agent06_Savings!F184)</f>
        <v/>
      </c>
      <c r="H1177" s="40" t="str">
        <f>IF(Agent06_Savings!A184="","",Agent06_Savings!I184)</f>
        <v/>
      </c>
      <c r="I1177" s="40" t="str">
        <f>IF(Agent06_Savings!A184="","",Agent06_Savings!J184)</f>
        <v/>
      </c>
      <c r="J1177" s="40" t="str">
        <f>IF(Agent06_Savings!A184="","",Agent06_Savings!K184)</f>
        <v/>
      </c>
      <c r="K1177" s="40" t="str">
        <f>IFERROR(IF(Agent06_Savings!A184="","",YEAR(Agent06_Savings!D184)),"")</f>
        <v/>
      </c>
    </row>
    <row r="1178" spans="1:11" ht="18" customHeight="1" x14ac:dyDescent="0.25">
      <c r="A1178" s="40" t="str">
        <f>IF(Agent06_Savings!A185="","",Agent06_Savings!A185)</f>
        <v/>
      </c>
      <c r="B1178" s="40" t="str">
        <f ca="1">IF(Agent06_Savings!A185="","","SV"&amp;TEXT(1178-3,"0000")&amp;"-"&amp;TEXT(TODAY(),"YYYYMMDD"))</f>
        <v/>
      </c>
      <c r="C1178" s="40" t="str">
        <f>IF(Agent06_Savings!A185="","",Agent06_Savings!B185)</f>
        <v/>
      </c>
      <c r="D1178" s="40" t="str">
        <f>IF(Agent06_Savings!A185="","",Agent06_Savings!G185)</f>
        <v/>
      </c>
      <c r="E1178" s="41" t="str">
        <f>IF(Agent06_Savings!A185="","",Agent06_Savings!D185)</f>
        <v/>
      </c>
      <c r="F1178" s="42" t="str">
        <f>IF(Agent06_Savings!A185="","",Agent06_Savings!E185)</f>
        <v/>
      </c>
      <c r="G1178" s="42" t="str">
        <f>IF(Agent06_Savings!A185="","",Agent06_Savings!F185)</f>
        <v/>
      </c>
      <c r="H1178" s="40" t="str">
        <f>IF(Agent06_Savings!A185="","",Agent06_Savings!I185)</f>
        <v/>
      </c>
      <c r="I1178" s="40" t="str">
        <f>IF(Agent06_Savings!A185="","",Agent06_Savings!J185)</f>
        <v/>
      </c>
      <c r="J1178" s="40" t="str">
        <f>IF(Agent06_Savings!A185="","",Agent06_Savings!K185)</f>
        <v/>
      </c>
      <c r="K1178" s="40" t="str">
        <f>IFERROR(IF(Agent06_Savings!A185="","",YEAR(Agent06_Savings!D185)),"")</f>
        <v/>
      </c>
    </row>
    <row r="1179" spans="1:11" ht="18" customHeight="1" x14ac:dyDescent="0.25">
      <c r="A1179" s="40" t="str">
        <f>IF(Agent06_Savings!A186="","",Agent06_Savings!A186)</f>
        <v/>
      </c>
      <c r="B1179" s="40" t="str">
        <f ca="1">IF(Agent06_Savings!A186="","","SV"&amp;TEXT(1179-3,"0000")&amp;"-"&amp;TEXT(TODAY(),"YYYYMMDD"))</f>
        <v/>
      </c>
      <c r="C1179" s="40" t="str">
        <f>IF(Agent06_Savings!A186="","",Agent06_Savings!B186)</f>
        <v/>
      </c>
      <c r="D1179" s="40" t="str">
        <f>IF(Agent06_Savings!A186="","",Agent06_Savings!G186)</f>
        <v/>
      </c>
      <c r="E1179" s="41" t="str">
        <f>IF(Agent06_Savings!A186="","",Agent06_Savings!D186)</f>
        <v/>
      </c>
      <c r="F1179" s="42" t="str">
        <f>IF(Agent06_Savings!A186="","",Agent06_Savings!E186)</f>
        <v/>
      </c>
      <c r="G1179" s="42" t="str">
        <f>IF(Agent06_Savings!A186="","",Agent06_Savings!F186)</f>
        <v/>
      </c>
      <c r="H1179" s="40" t="str">
        <f>IF(Agent06_Savings!A186="","",Agent06_Savings!I186)</f>
        <v/>
      </c>
      <c r="I1179" s="40" t="str">
        <f>IF(Agent06_Savings!A186="","",Agent06_Savings!J186)</f>
        <v/>
      </c>
      <c r="J1179" s="40" t="str">
        <f>IF(Agent06_Savings!A186="","",Agent06_Savings!K186)</f>
        <v/>
      </c>
      <c r="K1179" s="40" t="str">
        <f>IFERROR(IF(Agent06_Savings!A186="","",YEAR(Agent06_Savings!D186)),"")</f>
        <v/>
      </c>
    </row>
    <row r="1180" spans="1:11" ht="18" customHeight="1" x14ac:dyDescent="0.25">
      <c r="A1180" s="40" t="str">
        <f>IF(Agent06_Savings!A187="","",Agent06_Savings!A187)</f>
        <v/>
      </c>
      <c r="B1180" s="40" t="str">
        <f ca="1">IF(Agent06_Savings!A187="","","SV"&amp;TEXT(1180-3,"0000")&amp;"-"&amp;TEXT(TODAY(),"YYYYMMDD"))</f>
        <v/>
      </c>
      <c r="C1180" s="40" t="str">
        <f>IF(Agent06_Savings!A187="","",Agent06_Savings!B187)</f>
        <v/>
      </c>
      <c r="D1180" s="40" t="str">
        <f>IF(Agent06_Savings!A187="","",Agent06_Savings!G187)</f>
        <v/>
      </c>
      <c r="E1180" s="41" t="str">
        <f>IF(Agent06_Savings!A187="","",Agent06_Savings!D187)</f>
        <v/>
      </c>
      <c r="F1180" s="42" t="str">
        <f>IF(Agent06_Savings!A187="","",Agent06_Savings!E187)</f>
        <v/>
      </c>
      <c r="G1180" s="42" t="str">
        <f>IF(Agent06_Savings!A187="","",Agent06_Savings!F187)</f>
        <v/>
      </c>
      <c r="H1180" s="40" t="str">
        <f>IF(Agent06_Savings!A187="","",Agent06_Savings!I187)</f>
        <v/>
      </c>
      <c r="I1180" s="40" t="str">
        <f>IF(Agent06_Savings!A187="","",Agent06_Savings!J187)</f>
        <v/>
      </c>
      <c r="J1180" s="40" t="str">
        <f>IF(Agent06_Savings!A187="","",Agent06_Savings!K187)</f>
        <v/>
      </c>
      <c r="K1180" s="40" t="str">
        <f>IFERROR(IF(Agent06_Savings!A187="","",YEAR(Agent06_Savings!D187)),"")</f>
        <v/>
      </c>
    </row>
    <row r="1181" spans="1:11" ht="18" customHeight="1" x14ac:dyDescent="0.25">
      <c r="A1181" s="40" t="str">
        <f>IF(Agent06_Savings!A188="","",Agent06_Savings!A188)</f>
        <v/>
      </c>
      <c r="B1181" s="40" t="str">
        <f ca="1">IF(Agent06_Savings!A188="","","SV"&amp;TEXT(1181-3,"0000")&amp;"-"&amp;TEXT(TODAY(),"YYYYMMDD"))</f>
        <v/>
      </c>
      <c r="C1181" s="40" t="str">
        <f>IF(Agent06_Savings!A188="","",Agent06_Savings!B188)</f>
        <v/>
      </c>
      <c r="D1181" s="40" t="str">
        <f>IF(Agent06_Savings!A188="","",Agent06_Savings!G188)</f>
        <v/>
      </c>
      <c r="E1181" s="41" t="str">
        <f>IF(Agent06_Savings!A188="","",Agent06_Savings!D188)</f>
        <v/>
      </c>
      <c r="F1181" s="42" t="str">
        <f>IF(Agent06_Savings!A188="","",Agent06_Savings!E188)</f>
        <v/>
      </c>
      <c r="G1181" s="42" t="str">
        <f>IF(Agent06_Savings!A188="","",Agent06_Savings!F188)</f>
        <v/>
      </c>
      <c r="H1181" s="40" t="str">
        <f>IF(Agent06_Savings!A188="","",Agent06_Savings!I188)</f>
        <v/>
      </c>
      <c r="I1181" s="40" t="str">
        <f>IF(Agent06_Savings!A188="","",Agent06_Savings!J188)</f>
        <v/>
      </c>
      <c r="J1181" s="40" t="str">
        <f>IF(Agent06_Savings!A188="","",Agent06_Savings!K188)</f>
        <v/>
      </c>
      <c r="K1181" s="40" t="str">
        <f>IFERROR(IF(Agent06_Savings!A188="","",YEAR(Agent06_Savings!D188)),"")</f>
        <v/>
      </c>
    </row>
    <row r="1182" spans="1:11" ht="18" customHeight="1" x14ac:dyDescent="0.25">
      <c r="A1182" s="40" t="str">
        <f>IF(Agent06_Savings!A189="","",Agent06_Savings!A189)</f>
        <v/>
      </c>
      <c r="B1182" s="40" t="str">
        <f ca="1">IF(Agent06_Savings!A189="","","SV"&amp;TEXT(1182-3,"0000")&amp;"-"&amp;TEXT(TODAY(),"YYYYMMDD"))</f>
        <v/>
      </c>
      <c r="C1182" s="40" t="str">
        <f>IF(Agent06_Savings!A189="","",Agent06_Savings!B189)</f>
        <v/>
      </c>
      <c r="D1182" s="40" t="str">
        <f>IF(Agent06_Savings!A189="","",Agent06_Savings!G189)</f>
        <v/>
      </c>
      <c r="E1182" s="41" t="str">
        <f>IF(Agent06_Savings!A189="","",Agent06_Savings!D189)</f>
        <v/>
      </c>
      <c r="F1182" s="42" t="str">
        <f>IF(Agent06_Savings!A189="","",Agent06_Savings!E189)</f>
        <v/>
      </c>
      <c r="G1182" s="42" t="str">
        <f>IF(Agent06_Savings!A189="","",Agent06_Savings!F189)</f>
        <v/>
      </c>
      <c r="H1182" s="40" t="str">
        <f>IF(Agent06_Savings!A189="","",Agent06_Savings!I189)</f>
        <v/>
      </c>
      <c r="I1182" s="40" t="str">
        <f>IF(Agent06_Savings!A189="","",Agent06_Savings!J189)</f>
        <v/>
      </c>
      <c r="J1182" s="40" t="str">
        <f>IF(Agent06_Savings!A189="","",Agent06_Savings!K189)</f>
        <v/>
      </c>
      <c r="K1182" s="40" t="str">
        <f>IFERROR(IF(Agent06_Savings!A189="","",YEAR(Agent06_Savings!D189)),"")</f>
        <v/>
      </c>
    </row>
    <row r="1183" spans="1:11" ht="18" customHeight="1" x14ac:dyDescent="0.25">
      <c r="A1183" s="40" t="str">
        <f>IF(Agent06_Savings!A190="","",Agent06_Savings!A190)</f>
        <v/>
      </c>
      <c r="B1183" s="40" t="str">
        <f ca="1">IF(Agent06_Savings!A190="","","SV"&amp;TEXT(1183-3,"0000")&amp;"-"&amp;TEXT(TODAY(),"YYYYMMDD"))</f>
        <v/>
      </c>
      <c r="C1183" s="40" t="str">
        <f>IF(Agent06_Savings!A190="","",Agent06_Savings!B190)</f>
        <v/>
      </c>
      <c r="D1183" s="40" t="str">
        <f>IF(Agent06_Savings!A190="","",Agent06_Savings!G190)</f>
        <v/>
      </c>
      <c r="E1183" s="41" t="str">
        <f>IF(Agent06_Savings!A190="","",Agent06_Savings!D190)</f>
        <v/>
      </c>
      <c r="F1183" s="42" t="str">
        <f>IF(Agent06_Savings!A190="","",Agent06_Savings!E190)</f>
        <v/>
      </c>
      <c r="G1183" s="42" t="str">
        <f>IF(Agent06_Savings!A190="","",Agent06_Savings!F190)</f>
        <v/>
      </c>
      <c r="H1183" s="40" t="str">
        <f>IF(Agent06_Savings!A190="","",Agent06_Savings!I190)</f>
        <v/>
      </c>
      <c r="I1183" s="40" t="str">
        <f>IF(Agent06_Savings!A190="","",Agent06_Savings!J190)</f>
        <v/>
      </c>
      <c r="J1183" s="40" t="str">
        <f>IF(Agent06_Savings!A190="","",Agent06_Savings!K190)</f>
        <v/>
      </c>
      <c r="K1183" s="40" t="str">
        <f>IFERROR(IF(Agent06_Savings!A190="","",YEAR(Agent06_Savings!D190)),"")</f>
        <v/>
      </c>
    </row>
    <row r="1184" spans="1:11" ht="18" customHeight="1" x14ac:dyDescent="0.25">
      <c r="A1184" s="40" t="str">
        <f>IF(Agent06_Savings!A191="","",Agent06_Savings!A191)</f>
        <v/>
      </c>
      <c r="B1184" s="40" t="str">
        <f ca="1">IF(Agent06_Savings!A191="","","SV"&amp;TEXT(1184-3,"0000")&amp;"-"&amp;TEXT(TODAY(),"YYYYMMDD"))</f>
        <v/>
      </c>
      <c r="C1184" s="40" t="str">
        <f>IF(Agent06_Savings!A191="","",Agent06_Savings!B191)</f>
        <v/>
      </c>
      <c r="D1184" s="40" t="str">
        <f>IF(Agent06_Savings!A191="","",Agent06_Savings!G191)</f>
        <v/>
      </c>
      <c r="E1184" s="41" t="str">
        <f>IF(Agent06_Savings!A191="","",Agent06_Savings!D191)</f>
        <v/>
      </c>
      <c r="F1184" s="42" t="str">
        <f>IF(Agent06_Savings!A191="","",Agent06_Savings!E191)</f>
        <v/>
      </c>
      <c r="G1184" s="42" t="str">
        <f>IF(Agent06_Savings!A191="","",Agent06_Savings!F191)</f>
        <v/>
      </c>
      <c r="H1184" s="40" t="str">
        <f>IF(Agent06_Savings!A191="","",Agent06_Savings!I191)</f>
        <v/>
      </c>
      <c r="I1184" s="40" t="str">
        <f>IF(Agent06_Savings!A191="","",Agent06_Savings!J191)</f>
        <v/>
      </c>
      <c r="J1184" s="40" t="str">
        <f>IF(Agent06_Savings!A191="","",Agent06_Savings!K191)</f>
        <v/>
      </c>
      <c r="K1184" s="40" t="str">
        <f>IFERROR(IF(Agent06_Savings!A191="","",YEAR(Agent06_Savings!D191)),"")</f>
        <v/>
      </c>
    </row>
    <row r="1185" spans="1:11" ht="18" customHeight="1" x14ac:dyDescent="0.25">
      <c r="A1185" s="40" t="str">
        <f>IF(Agent06_Savings!A192="","",Agent06_Savings!A192)</f>
        <v/>
      </c>
      <c r="B1185" s="40" t="str">
        <f ca="1">IF(Agent06_Savings!A192="","","SV"&amp;TEXT(1185-3,"0000")&amp;"-"&amp;TEXT(TODAY(),"YYYYMMDD"))</f>
        <v/>
      </c>
      <c r="C1185" s="40" t="str">
        <f>IF(Agent06_Savings!A192="","",Agent06_Savings!B192)</f>
        <v/>
      </c>
      <c r="D1185" s="40" t="str">
        <f>IF(Agent06_Savings!A192="","",Agent06_Savings!G192)</f>
        <v/>
      </c>
      <c r="E1185" s="41" t="str">
        <f>IF(Agent06_Savings!A192="","",Agent06_Savings!D192)</f>
        <v/>
      </c>
      <c r="F1185" s="42" t="str">
        <f>IF(Agent06_Savings!A192="","",Agent06_Savings!E192)</f>
        <v/>
      </c>
      <c r="G1185" s="42" t="str">
        <f>IF(Agent06_Savings!A192="","",Agent06_Savings!F192)</f>
        <v/>
      </c>
      <c r="H1185" s="40" t="str">
        <f>IF(Agent06_Savings!A192="","",Agent06_Savings!I192)</f>
        <v/>
      </c>
      <c r="I1185" s="40" t="str">
        <f>IF(Agent06_Savings!A192="","",Agent06_Savings!J192)</f>
        <v/>
      </c>
      <c r="J1185" s="40" t="str">
        <f>IF(Agent06_Savings!A192="","",Agent06_Savings!K192)</f>
        <v/>
      </c>
      <c r="K1185" s="40" t="str">
        <f>IFERROR(IF(Agent06_Savings!A192="","",YEAR(Agent06_Savings!D192)),"")</f>
        <v/>
      </c>
    </row>
    <row r="1186" spans="1:11" ht="18" customHeight="1" x14ac:dyDescent="0.25">
      <c r="A1186" s="40" t="str">
        <f>IF(Agent06_Savings!A193="","",Agent06_Savings!A193)</f>
        <v/>
      </c>
      <c r="B1186" s="40" t="str">
        <f ca="1">IF(Agent06_Savings!A193="","","SV"&amp;TEXT(1186-3,"0000")&amp;"-"&amp;TEXT(TODAY(),"YYYYMMDD"))</f>
        <v/>
      </c>
      <c r="C1186" s="40" t="str">
        <f>IF(Agent06_Savings!A193="","",Agent06_Savings!B193)</f>
        <v/>
      </c>
      <c r="D1186" s="40" t="str">
        <f>IF(Agent06_Savings!A193="","",Agent06_Savings!G193)</f>
        <v/>
      </c>
      <c r="E1186" s="41" t="str">
        <f>IF(Agent06_Savings!A193="","",Agent06_Savings!D193)</f>
        <v/>
      </c>
      <c r="F1186" s="42" t="str">
        <f>IF(Agent06_Savings!A193="","",Agent06_Savings!E193)</f>
        <v/>
      </c>
      <c r="G1186" s="42" t="str">
        <f>IF(Agent06_Savings!A193="","",Agent06_Savings!F193)</f>
        <v/>
      </c>
      <c r="H1186" s="40" t="str">
        <f>IF(Agent06_Savings!A193="","",Agent06_Savings!I193)</f>
        <v/>
      </c>
      <c r="I1186" s="40" t="str">
        <f>IF(Agent06_Savings!A193="","",Agent06_Savings!J193)</f>
        <v/>
      </c>
      <c r="J1186" s="40" t="str">
        <f>IF(Agent06_Savings!A193="","",Agent06_Savings!K193)</f>
        <v/>
      </c>
      <c r="K1186" s="40" t="str">
        <f>IFERROR(IF(Agent06_Savings!A193="","",YEAR(Agent06_Savings!D193)),"")</f>
        <v/>
      </c>
    </row>
    <row r="1187" spans="1:11" ht="18" customHeight="1" x14ac:dyDescent="0.25">
      <c r="A1187" s="40" t="str">
        <f>IF(Agent06_Savings!A194="","",Agent06_Savings!A194)</f>
        <v/>
      </c>
      <c r="B1187" s="40" t="str">
        <f ca="1">IF(Agent06_Savings!A194="","","SV"&amp;TEXT(1187-3,"0000")&amp;"-"&amp;TEXT(TODAY(),"YYYYMMDD"))</f>
        <v/>
      </c>
      <c r="C1187" s="40" t="str">
        <f>IF(Agent06_Savings!A194="","",Agent06_Savings!B194)</f>
        <v/>
      </c>
      <c r="D1187" s="40" t="str">
        <f>IF(Agent06_Savings!A194="","",Agent06_Savings!G194)</f>
        <v/>
      </c>
      <c r="E1187" s="41" t="str">
        <f>IF(Agent06_Savings!A194="","",Agent06_Savings!D194)</f>
        <v/>
      </c>
      <c r="F1187" s="42" t="str">
        <f>IF(Agent06_Savings!A194="","",Agent06_Savings!E194)</f>
        <v/>
      </c>
      <c r="G1187" s="42" t="str">
        <f>IF(Agent06_Savings!A194="","",Agent06_Savings!F194)</f>
        <v/>
      </c>
      <c r="H1187" s="40" t="str">
        <f>IF(Agent06_Savings!A194="","",Agent06_Savings!I194)</f>
        <v/>
      </c>
      <c r="I1187" s="40" t="str">
        <f>IF(Agent06_Savings!A194="","",Agent06_Savings!J194)</f>
        <v/>
      </c>
      <c r="J1187" s="40" t="str">
        <f>IF(Agent06_Savings!A194="","",Agent06_Savings!K194)</f>
        <v/>
      </c>
      <c r="K1187" s="40" t="str">
        <f>IFERROR(IF(Agent06_Savings!A194="","",YEAR(Agent06_Savings!D194)),"")</f>
        <v/>
      </c>
    </row>
    <row r="1188" spans="1:11" ht="18" customHeight="1" x14ac:dyDescent="0.25">
      <c r="A1188" s="40" t="str">
        <f>IF(Agent06_Savings!A195="","",Agent06_Savings!A195)</f>
        <v/>
      </c>
      <c r="B1188" s="40" t="str">
        <f ca="1">IF(Agent06_Savings!A195="","","SV"&amp;TEXT(1188-3,"0000")&amp;"-"&amp;TEXT(TODAY(),"YYYYMMDD"))</f>
        <v/>
      </c>
      <c r="C1188" s="40" t="str">
        <f>IF(Agent06_Savings!A195="","",Agent06_Savings!B195)</f>
        <v/>
      </c>
      <c r="D1188" s="40" t="str">
        <f>IF(Agent06_Savings!A195="","",Agent06_Savings!G195)</f>
        <v/>
      </c>
      <c r="E1188" s="41" t="str">
        <f>IF(Agent06_Savings!A195="","",Agent06_Savings!D195)</f>
        <v/>
      </c>
      <c r="F1188" s="42" t="str">
        <f>IF(Agent06_Savings!A195="","",Agent06_Savings!E195)</f>
        <v/>
      </c>
      <c r="G1188" s="42" t="str">
        <f>IF(Agent06_Savings!A195="","",Agent06_Savings!F195)</f>
        <v/>
      </c>
      <c r="H1188" s="40" t="str">
        <f>IF(Agent06_Savings!A195="","",Agent06_Savings!I195)</f>
        <v/>
      </c>
      <c r="I1188" s="40" t="str">
        <f>IF(Agent06_Savings!A195="","",Agent06_Savings!J195)</f>
        <v/>
      </c>
      <c r="J1188" s="40" t="str">
        <f>IF(Agent06_Savings!A195="","",Agent06_Savings!K195)</f>
        <v/>
      </c>
      <c r="K1188" s="40" t="str">
        <f>IFERROR(IF(Agent06_Savings!A195="","",YEAR(Agent06_Savings!D195)),"")</f>
        <v/>
      </c>
    </row>
    <row r="1189" spans="1:11" ht="18" customHeight="1" x14ac:dyDescent="0.25">
      <c r="A1189" s="40" t="str">
        <f>IF(Agent06_Savings!A196="","",Agent06_Savings!A196)</f>
        <v/>
      </c>
      <c r="B1189" s="40" t="str">
        <f ca="1">IF(Agent06_Savings!A196="","","SV"&amp;TEXT(1189-3,"0000")&amp;"-"&amp;TEXT(TODAY(),"YYYYMMDD"))</f>
        <v/>
      </c>
      <c r="C1189" s="40" t="str">
        <f>IF(Agent06_Savings!A196="","",Agent06_Savings!B196)</f>
        <v/>
      </c>
      <c r="D1189" s="40" t="str">
        <f>IF(Agent06_Savings!A196="","",Agent06_Savings!G196)</f>
        <v/>
      </c>
      <c r="E1189" s="41" t="str">
        <f>IF(Agent06_Savings!A196="","",Agent06_Savings!D196)</f>
        <v/>
      </c>
      <c r="F1189" s="42" t="str">
        <f>IF(Agent06_Savings!A196="","",Agent06_Savings!E196)</f>
        <v/>
      </c>
      <c r="G1189" s="42" t="str">
        <f>IF(Agent06_Savings!A196="","",Agent06_Savings!F196)</f>
        <v/>
      </c>
      <c r="H1189" s="40" t="str">
        <f>IF(Agent06_Savings!A196="","",Agent06_Savings!I196)</f>
        <v/>
      </c>
      <c r="I1189" s="40" t="str">
        <f>IF(Agent06_Savings!A196="","",Agent06_Savings!J196)</f>
        <v/>
      </c>
      <c r="J1189" s="40" t="str">
        <f>IF(Agent06_Savings!A196="","",Agent06_Savings!K196)</f>
        <v/>
      </c>
      <c r="K1189" s="40" t="str">
        <f>IFERROR(IF(Agent06_Savings!A196="","",YEAR(Agent06_Savings!D196)),"")</f>
        <v/>
      </c>
    </row>
    <row r="1190" spans="1:11" ht="18" customHeight="1" x14ac:dyDescent="0.25">
      <c r="A1190" s="40" t="str">
        <f>IF(Agent06_Savings!A197="","",Agent06_Savings!A197)</f>
        <v/>
      </c>
      <c r="B1190" s="40" t="str">
        <f ca="1">IF(Agent06_Savings!A197="","","SV"&amp;TEXT(1190-3,"0000")&amp;"-"&amp;TEXT(TODAY(),"YYYYMMDD"))</f>
        <v/>
      </c>
      <c r="C1190" s="40" t="str">
        <f>IF(Agent06_Savings!A197="","",Agent06_Savings!B197)</f>
        <v/>
      </c>
      <c r="D1190" s="40" t="str">
        <f>IF(Agent06_Savings!A197="","",Agent06_Savings!G197)</f>
        <v/>
      </c>
      <c r="E1190" s="41" t="str">
        <f>IF(Agent06_Savings!A197="","",Agent06_Savings!D197)</f>
        <v/>
      </c>
      <c r="F1190" s="42" t="str">
        <f>IF(Agent06_Savings!A197="","",Agent06_Savings!E197)</f>
        <v/>
      </c>
      <c r="G1190" s="42" t="str">
        <f>IF(Agent06_Savings!A197="","",Agent06_Savings!F197)</f>
        <v/>
      </c>
      <c r="H1190" s="40" t="str">
        <f>IF(Agent06_Savings!A197="","",Agent06_Savings!I197)</f>
        <v/>
      </c>
      <c r="I1190" s="40" t="str">
        <f>IF(Agent06_Savings!A197="","",Agent06_Savings!J197)</f>
        <v/>
      </c>
      <c r="J1190" s="40" t="str">
        <f>IF(Agent06_Savings!A197="","",Agent06_Savings!K197)</f>
        <v/>
      </c>
      <c r="K1190" s="40" t="str">
        <f>IFERROR(IF(Agent06_Savings!A197="","",YEAR(Agent06_Savings!D197)),"")</f>
        <v/>
      </c>
    </row>
    <row r="1191" spans="1:11" ht="18" customHeight="1" x14ac:dyDescent="0.25">
      <c r="A1191" s="40" t="str">
        <f>IF(Agent06_Savings!A198="","",Agent06_Savings!A198)</f>
        <v/>
      </c>
      <c r="B1191" s="40" t="str">
        <f ca="1">IF(Agent06_Savings!A198="","","SV"&amp;TEXT(1191-3,"0000")&amp;"-"&amp;TEXT(TODAY(),"YYYYMMDD"))</f>
        <v/>
      </c>
      <c r="C1191" s="40" t="str">
        <f>IF(Agent06_Savings!A198="","",Agent06_Savings!B198)</f>
        <v/>
      </c>
      <c r="D1191" s="40" t="str">
        <f>IF(Agent06_Savings!A198="","",Agent06_Savings!G198)</f>
        <v/>
      </c>
      <c r="E1191" s="41" t="str">
        <f>IF(Agent06_Savings!A198="","",Agent06_Savings!D198)</f>
        <v/>
      </c>
      <c r="F1191" s="42" t="str">
        <f>IF(Agent06_Savings!A198="","",Agent06_Savings!E198)</f>
        <v/>
      </c>
      <c r="G1191" s="42" t="str">
        <f>IF(Agent06_Savings!A198="","",Agent06_Savings!F198)</f>
        <v/>
      </c>
      <c r="H1191" s="40" t="str">
        <f>IF(Agent06_Savings!A198="","",Agent06_Savings!I198)</f>
        <v/>
      </c>
      <c r="I1191" s="40" t="str">
        <f>IF(Agent06_Savings!A198="","",Agent06_Savings!J198)</f>
        <v/>
      </c>
      <c r="J1191" s="40" t="str">
        <f>IF(Agent06_Savings!A198="","",Agent06_Savings!K198)</f>
        <v/>
      </c>
      <c r="K1191" s="40" t="str">
        <f>IFERROR(IF(Agent06_Savings!A198="","",YEAR(Agent06_Savings!D198)),"")</f>
        <v/>
      </c>
    </row>
    <row r="1192" spans="1:11" ht="18" customHeight="1" x14ac:dyDescent="0.25">
      <c r="A1192" s="40" t="str">
        <f>IF(Agent06_Savings!A199="","",Agent06_Savings!A199)</f>
        <v/>
      </c>
      <c r="B1192" s="40" t="str">
        <f ca="1">IF(Agent06_Savings!A199="","","SV"&amp;TEXT(1192-3,"0000")&amp;"-"&amp;TEXT(TODAY(),"YYYYMMDD"))</f>
        <v/>
      </c>
      <c r="C1192" s="40" t="str">
        <f>IF(Agent06_Savings!A199="","",Agent06_Savings!B199)</f>
        <v/>
      </c>
      <c r="D1192" s="40" t="str">
        <f>IF(Agent06_Savings!A199="","",Agent06_Savings!G199)</f>
        <v/>
      </c>
      <c r="E1192" s="41" t="str">
        <f>IF(Agent06_Savings!A199="","",Agent06_Savings!D199)</f>
        <v/>
      </c>
      <c r="F1192" s="42" t="str">
        <f>IF(Agent06_Savings!A199="","",Agent06_Savings!E199)</f>
        <v/>
      </c>
      <c r="G1192" s="42" t="str">
        <f>IF(Agent06_Savings!A199="","",Agent06_Savings!F199)</f>
        <v/>
      </c>
      <c r="H1192" s="40" t="str">
        <f>IF(Agent06_Savings!A199="","",Agent06_Savings!I199)</f>
        <v/>
      </c>
      <c r="I1192" s="40" t="str">
        <f>IF(Agent06_Savings!A199="","",Agent06_Savings!J199)</f>
        <v/>
      </c>
      <c r="J1192" s="40" t="str">
        <f>IF(Agent06_Savings!A199="","",Agent06_Savings!K199)</f>
        <v/>
      </c>
      <c r="K1192" s="40" t="str">
        <f>IFERROR(IF(Agent06_Savings!A199="","",YEAR(Agent06_Savings!D199)),"")</f>
        <v/>
      </c>
    </row>
    <row r="1193" spans="1:11" ht="18" customHeight="1" x14ac:dyDescent="0.25">
      <c r="A1193" s="40" t="str">
        <f>IF(Agent06_Savings!A200="","",Agent06_Savings!A200)</f>
        <v/>
      </c>
      <c r="B1193" s="40" t="str">
        <f ca="1">IF(Agent06_Savings!A200="","","SV"&amp;TEXT(1193-3,"0000")&amp;"-"&amp;TEXT(TODAY(),"YYYYMMDD"))</f>
        <v/>
      </c>
      <c r="C1193" s="40" t="str">
        <f>IF(Agent06_Savings!A200="","",Agent06_Savings!B200)</f>
        <v/>
      </c>
      <c r="D1193" s="40" t="str">
        <f>IF(Agent06_Savings!A200="","",Agent06_Savings!G200)</f>
        <v/>
      </c>
      <c r="E1193" s="41" t="str">
        <f>IF(Agent06_Savings!A200="","",Agent06_Savings!D200)</f>
        <v/>
      </c>
      <c r="F1193" s="42" t="str">
        <f>IF(Agent06_Savings!A200="","",Agent06_Savings!E200)</f>
        <v/>
      </c>
      <c r="G1193" s="42" t="str">
        <f>IF(Agent06_Savings!A200="","",Agent06_Savings!F200)</f>
        <v/>
      </c>
      <c r="H1193" s="40" t="str">
        <f>IF(Agent06_Savings!A200="","",Agent06_Savings!I200)</f>
        <v/>
      </c>
      <c r="I1193" s="40" t="str">
        <f>IF(Agent06_Savings!A200="","",Agent06_Savings!J200)</f>
        <v/>
      </c>
      <c r="J1193" s="40" t="str">
        <f>IF(Agent06_Savings!A200="","",Agent06_Savings!K200)</f>
        <v/>
      </c>
      <c r="K1193" s="40" t="str">
        <f>IFERROR(IF(Agent06_Savings!A200="","",YEAR(Agent06_Savings!D200)),"")</f>
        <v/>
      </c>
    </row>
    <row r="1194" spans="1:11" ht="18" customHeight="1" x14ac:dyDescent="0.25">
      <c r="A1194" s="40" t="str">
        <f>IF(Agent06_Savings!A201="","",Agent06_Savings!A201)</f>
        <v/>
      </c>
      <c r="B1194" s="40" t="str">
        <f ca="1">IF(Agent06_Savings!A201="","","SV"&amp;TEXT(1194-3,"0000")&amp;"-"&amp;TEXT(TODAY(),"YYYYMMDD"))</f>
        <v/>
      </c>
      <c r="C1194" s="40" t="str">
        <f>IF(Agent06_Savings!A201="","",Agent06_Savings!B201)</f>
        <v/>
      </c>
      <c r="D1194" s="40" t="str">
        <f>IF(Agent06_Savings!A201="","",Agent06_Savings!G201)</f>
        <v/>
      </c>
      <c r="E1194" s="41" t="str">
        <f>IF(Agent06_Savings!A201="","",Agent06_Savings!D201)</f>
        <v/>
      </c>
      <c r="F1194" s="42" t="str">
        <f>IF(Agent06_Savings!A201="","",Agent06_Savings!E201)</f>
        <v/>
      </c>
      <c r="G1194" s="42" t="str">
        <f>IF(Agent06_Savings!A201="","",Agent06_Savings!F201)</f>
        <v/>
      </c>
      <c r="H1194" s="40" t="str">
        <f>IF(Agent06_Savings!A201="","",Agent06_Savings!I201)</f>
        <v/>
      </c>
      <c r="I1194" s="40" t="str">
        <f>IF(Agent06_Savings!A201="","",Agent06_Savings!J201)</f>
        <v/>
      </c>
      <c r="J1194" s="40" t="str">
        <f>IF(Agent06_Savings!A201="","",Agent06_Savings!K201)</f>
        <v/>
      </c>
      <c r="K1194" s="40" t="str">
        <f>IFERROR(IF(Agent06_Savings!A201="","",YEAR(Agent06_Savings!D201)),"")</f>
        <v/>
      </c>
    </row>
    <row r="1195" spans="1:11" ht="18" customHeight="1" x14ac:dyDescent="0.25">
      <c r="A1195" s="40" t="str">
        <f>IF(Agent06_Savings!A202="","",Agent06_Savings!A202)</f>
        <v/>
      </c>
      <c r="B1195" s="40" t="str">
        <f ca="1">IF(Agent06_Savings!A202="","","SV"&amp;TEXT(1195-3,"0000")&amp;"-"&amp;TEXT(TODAY(),"YYYYMMDD"))</f>
        <v/>
      </c>
      <c r="C1195" s="40" t="str">
        <f>IF(Agent06_Savings!A202="","",Agent06_Savings!B202)</f>
        <v/>
      </c>
      <c r="D1195" s="40" t="str">
        <f>IF(Agent06_Savings!A202="","",Agent06_Savings!G202)</f>
        <v/>
      </c>
      <c r="E1195" s="41" t="str">
        <f>IF(Agent06_Savings!A202="","",Agent06_Savings!D202)</f>
        <v/>
      </c>
      <c r="F1195" s="42" t="str">
        <f>IF(Agent06_Savings!A202="","",Agent06_Savings!E202)</f>
        <v/>
      </c>
      <c r="G1195" s="42" t="str">
        <f>IF(Agent06_Savings!A202="","",Agent06_Savings!F202)</f>
        <v/>
      </c>
      <c r="H1195" s="40" t="str">
        <f>IF(Agent06_Savings!A202="","",Agent06_Savings!I202)</f>
        <v/>
      </c>
      <c r="I1195" s="40" t="str">
        <f>IF(Agent06_Savings!A202="","",Agent06_Savings!J202)</f>
        <v/>
      </c>
      <c r="J1195" s="40" t="str">
        <f>IF(Agent06_Savings!A202="","",Agent06_Savings!K202)</f>
        <v/>
      </c>
      <c r="K1195" s="40" t="str">
        <f>IFERROR(IF(Agent06_Savings!A202="","",YEAR(Agent06_Savings!D202)),"")</f>
        <v/>
      </c>
    </row>
    <row r="1196" spans="1:11" ht="18" customHeight="1" x14ac:dyDescent="0.25">
      <c r="A1196" s="40" t="str">
        <f>IF(Agent06_Savings!A203="","",Agent06_Savings!A203)</f>
        <v/>
      </c>
      <c r="B1196" s="40" t="str">
        <f ca="1">IF(Agent06_Savings!A203="","","SV"&amp;TEXT(1196-3,"0000")&amp;"-"&amp;TEXT(TODAY(),"YYYYMMDD"))</f>
        <v/>
      </c>
      <c r="C1196" s="40" t="str">
        <f>IF(Agent06_Savings!A203="","",Agent06_Savings!B203)</f>
        <v/>
      </c>
      <c r="D1196" s="40" t="str">
        <f>IF(Agent06_Savings!A203="","",Agent06_Savings!G203)</f>
        <v/>
      </c>
      <c r="E1196" s="41" t="str">
        <f>IF(Agent06_Savings!A203="","",Agent06_Savings!D203)</f>
        <v/>
      </c>
      <c r="F1196" s="42" t="str">
        <f>IF(Agent06_Savings!A203="","",Agent06_Savings!E203)</f>
        <v/>
      </c>
      <c r="G1196" s="42" t="str">
        <f>IF(Agent06_Savings!A203="","",Agent06_Savings!F203)</f>
        <v/>
      </c>
      <c r="H1196" s="40" t="str">
        <f>IF(Agent06_Savings!A203="","",Agent06_Savings!I203)</f>
        <v/>
      </c>
      <c r="I1196" s="40" t="str">
        <f>IF(Agent06_Savings!A203="","",Agent06_Savings!J203)</f>
        <v/>
      </c>
      <c r="J1196" s="40" t="str">
        <f>IF(Agent06_Savings!A203="","",Agent06_Savings!K203)</f>
        <v/>
      </c>
      <c r="K1196" s="40" t="str">
        <f>IFERROR(IF(Agent06_Savings!A203="","",YEAR(Agent06_Savings!D203)),"")</f>
        <v/>
      </c>
    </row>
    <row r="1197" spans="1:11" ht="18" customHeight="1" x14ac:dyDescent="0.25">
      <c r="A1197" s="40" t="str">
        <f>IF(Agent06_Savings!A204="","",Agent06_Savings!A204)</f>
        <v/>
      </c>
      <c r="B1197" s="40" t="str">
        <f ca="1">IF(Agent06_Savings!A204="","","SV"&amp;TEXT(1197-3,"0000")&amp;"-"&amp;TEXT(TODAY(),"YYYYMMDD"))</f>
        <v/>
      </c>
      <c r="C1197" s="40" t="str">
        <f>IF(Agent06_Savings!A204="","",Agent06_Savings!B204)</f>
        <v/>
      </c>
      <c r="D1197" s="40" t="str">
        <f>IF(Agent06_Savings!A204="","",Agent06_Savings!G204)</f>
        <v/>
      </c>
      <c r="E1197" s="41" t="str">
        <f>IF(Agent06_Savings!A204="","",Agent06_Savings!D204)</f>
        <v/>
      </c>
      <c r="F1197" s="42" t="str">
        <f>IF(Agent06_Savings!A204="","",Agent06_Savings!E204)</f>
        <v/>
      </c>
      <c r="G1197" s="42" t="str">
        <f>IF(Agent06_Savings!A204="","",Agent06_Savings!F204)</f>
        <v/>
      </c>
      <c r="H1197" s="40" t="str">
        <f>IF(Agent06_Savings!A204="","",Agent06_Savings!I204)</f>
        <v/>
      </c>
      <c r="I1197" s="40" t="str">
        <f>IF(Agent06_Savings!A204="","",Agent06_Savings!J204)</f>
        <v/>
      </c>
      <c r="J1197" s="40" t="str">
        <f>IF(Agent06_Savings!A204="","",Agent06_Savings!K204)</f>
        <v/>
      </c>
      <c r="K1197" s="40" t="str">
        <f>IFERROR(IF(Agent06_Savings!A204="","",YEAR(Agent06_Savings!D204)),"")</f>
        <v/>
      </c>
    </row>
    <row r="1198" spans="1:11" ht="18" customHeight="1" x14ac:dyDescent="0.25">
      <c r="A1198" s="40" t="str">
        <f>IF(Agent06_Savings!A205="","",Agent06_Savings!A205)</f>
        <v/>
      </c>
      <c r="B1198" s="40" t="str">
        <f ca="1">IF(Agent06_Savings!A205="","","SV"&amp;TEXT(1198-3,"0000")&amp;"-"&amp;TEXT(TODAY(),"YYYYMMDD"))</f>
        <v/>
      </c>
      <c r="C1198" s="40" t="str">
        <f>IF(Agent06_Savings!A205="","",Agent06_Savings!B205)</f>
        <v/>
      </c>
      <c r="D1198" s="40" t="str">
        <f>IF(Agent06_Savings!A205="","",Agent06_Savings!G205)</f>
        <v/>
      </c>
      <c r="E1198" s="41" t="str">
        <f>IF(Agent06_Savings!A205="","",Agent06_Savings!D205)</f>
        <v/>
      </c>
      <c r="F1198" s="42" t="str">
        <f>IF(Agent06_Savings!A205="","",Agent06_Savings!E205)</f>
        <v/>
      </c>
      <c r="G1198" s="42" t="str">
        <f>IF(Agent06_Savings!A205="","",Agent06_Savings!F205)</f>
        <v/>
      </c>
      <c r="H1198" s="40" t="str">
        <f>IF(Agent06_Savings!A205="","",Agent06_Savings!I205)</f>
        <v/>
      </c>
      <c r="I1198" s="40" t="str">
        <f>IF(Agent06_Savings!A205="","",Agent06_Savings!J205)</f>
        <v/>
      </c>
      <c r="J1198" s="40" t="str">
        <f>IF(Agent06_Savings!A205="","",Agent06_Savings!K205)</f>
        <v/>
      </c>
      <c r="K1198" s="40" t="str">
        <f>IFERROR(IF(Agent06_Savings!A205="","",YEAR(Agent06_Savings!D205)),"")</f>
        <v/>
      </c>
    </row>
    <row r="1199" spans="1:11" ht="18" customHeight="1" x14ac:dyDescent="0.25">
      <c r="A1199" s="40" t="str">
        <f>IF(Agent06_Savings!A206="","",Agent06_Savings!A206)</f>
        <v/>
      </c>
      <c r="B1199" s="40" t="str">
        <f ca="1">IF(Agent06_Savings!A206="","","SV"&amp;TEXT(1199-3,"0000")&amp;"-"&amp;TEXT(TODAY(),"YYYYMMDD"))</f>
        <v/>
      </c>
      <c r="C1199" s="40" t="str">
        <f>IF(Agent06_Savings!A206="","",Agent06_Savings!B206)</f>
        <v/>
      </c>
      <c r="D1199" s="40" t="str">
        <f>IF(Agent06_Savings!A206="","",Agent06_Savings!G206)</f>
        <v/>
      </c>
      <c r="E1199" s="41" t="str">
        <f>IF(Agent06_Savings!A206="","",Agent06_Savings!D206)</f>
        <v/>
      </c>
      <c r="F1199" s="42" t="str">
        <f>IF(Agent06_Savings!A206="","",Agent06_Savings!E206)</f>
        <v/>
      </c>
      <c r="G1199" s="42" t="str">
        <f>IF(Agent06_Savings!A206="","",Agent06_Savings!F206)</f>
        <v/>
      </c>
      <c r="H1199" s="40" t="str">
        <f>IF(Agent06_Savings!A206="","",Agent06_Savings!I206)</f>
        <v/>
      </c>
      <c r="I1199" s="40" t="str">
        <f>IF(Agent06_Savings!A206="","",Agent06_Savings!J206)</f>
        <v/>
      </c>
      <c r="J1199" s="40" t="str">
        <f>IF(Agent06_Savings!A206="","",Agent06_Savings!K206)</f>
        <v/>
      </c>
      <c r="K1199" s="40" t="str">
        <f>IFERROR(IF(Agent06_Savings!A206="","",YEAR(Agent06_Savings!D206)),"")</f>
        <v/>
      </c>
    </row>
    <row r="1200" spans="1:11" ht="18" customHeight="1" x14ac:dyDescent="0.25">
      <c r="A1200" s="40" t="str">
        <f>IF(Agent06_Savings!A207="","",Agent06_Savings!A207)</f>
        <v/>
      </c>
      <c r="B1200" s="40" t="str">
        <f ca="1">IF(Agent06_Savings!A207="","","SV"&amp;TEXT(1200-3,"0000")&amp;"-"&amp;TEXT(TODAY(),"YYYYMMDD"))</f>
        <v/>
      </c>
      <c r="C1200" s="40" t="str">
        <f>IF(Agent06_Savings!A207="","",Agent06_Savings!B207)</f>
        <v/>
      </c>
      <c r="D1200" s="40" t="str">
        <f>IF(Agent06_Savings!A207="","",Agent06_Savings!G207)</f>
        <v/>
      </c>
      <c r="E1200" s="41" t="str">
        <f>IF(Agent06_Savings!A207="","",Agent06_Savings!D207)</f>
        <v/>
      </c>
      <c r="F1200" s="42" t="str">
        <f>IF(Agent06_Savings!A207="","",Agent06_Savings!E207)</f>
        <v/>
      </c>
      <c r="G1200" s="42" t="str">
        <f>IF(Agent06_Savings!A207="","",Agent06_Savings!F207)</f>
        <v/>
      </c>
      <c r="H1200" s="40" t="str">
        <f>IF(Agent06_Savings!A207="","",Agent06_Savings!I207)</f>
        <v/>
      </c>
      <c r="I1200" s="40" t="str">
        <f>IF(Agent06_Savings!A207="","",Agent06_Savings!J207)</f>
        <v/>
      </c>
      <c r="J1200" s="40" t="str">
        <f>IF(Agent06_Savings!A207="","",Agent06_Savings!K207)</f>
        <v/>
      </c>
      <c r="K1200" s="40" t="str">
        <f>IFERROR(IF(Agent06_Savings!A207="","",YEAR(Agent06_Savings!D207)),"")</f>
        <v/>
      </c>
    </row>
    <row r="1201" spans="1:11" ht="18" customHeight="1" x14ac:dyDescent="0.25">
      <c r="A1201" s="40" t="str">
        <f>IF(Agent06_Savings!A208="","",Agent06_Savings!A208)</f>
        <v/>
      </c>
      <c r="B1201" s="40" t="str">
        <f ca="1">IF(Agent06_Savings!A208="","","SV"&amp;TEXT(1201-3,"0000")&amp;"-"&amp;TEXT(TODAY(),"YYYYMMDD"))</f>
        <v/>
      </c>
      <c r="C1201" s="40" t="str">
        <f>IF(Agent06_Savings!A208="","",Agent06_Savings!B208)</f>
        <v/>
      </c>
      <c r="D1201" s="40" t="str">
        <f>IF(Agent06_Savings!A208="","",Agent06_Savings!G208)</f>
        <v/>
      </c>
      <c r="E1201" s="41" t="str">
        <f>IF(Agent06_Savings!A208="","",Agent06_Savings!D208)</f>
        <v/>
      </c>
      <c r="F1201" s="42" t="str">
        <f>IF(Agent06_Savings!A208="","",Agent06_Savings!E208)</f>
        <v/>
      </c>
      <c r="G1201" s="42" t="str">
        <f>IF(Agent06_Savings!A208="","",Agent06_Savings!F208)</f>
        <v/>
      </c>
      <c r="H1201" s="40" t="str">
        <f>IF(Agent06_Savings!A208="","",Agent06_Savings!I208)</f>
        <v/>
      </c>
      <c r="I1201" s="40" t="str">
        <f>IF(Agent06_Savings!A208="","",Agent06_Savings!J208)</f>
        <v/>
      </c>
      <c r="J1201" s="40" t="str">
        <f>IF(Agent06_Savings!A208="","",Agent06_Savings!K208)</f>
        <v/>
      </c>
      <c r="K1201" s="40" t="str">
        <f>IFERROR(IF(Agent06_Savings!A208="","",YEAR(Agent06_Savings!D208)),"")</f>
        <v/>
      </c>
    </row>
    <row r="1202" spans="1:11" ht="18" customHeight="1" x14ac:dyDescent="0.25">
      <c r="A1202" s="40" t="str">
        <f>IF(Agent06_Savings!A209="","",Agent06_Savings!A209)</f>
        <v/>
      </c>
      <c r="B1202" s="40" t="str">
        <f ca="1">IF(Agent06_Savings!A209="","","SV"&amp;TEXT(1202-3,"0000")&amp;"-"&amp;TEXT(TODAY(),"YYYYMMDD"))</f>
        <v/>
      </c>
      <c r="C1202" s="40" t="str">
        <f>IF(Agent06_Savings!A209="","",Agent06_Savings!B209)</f>
        <v/>
      </c>
      <c r="D1202" s="40" t="str">
        <f>IF(Agent06_Savings!A209="","",Agent06_Savings!G209)</f>
        <v/>
      </c>
      <c r="E1202" s="41" t="str">
        <f>IF(Agent06_Savings!A209="","",Agent06_Savings!D209)</f>
        <v/>
      </c>
      <c r="F1202" s="42" t="str">
        <f>IF(Agent06_Savings!A209="","",Agent06_Savings!E209)</f>
        <v/>
      </c>
      <c r="G1202" s="42" t="str">
        <f>IF(Agent06_Savings!A209="","",Agent06_Savings!F209)</f>
        <v/>
      </c>
      <c r="H1202" s="40" t="str">
        <f>IF(Agent06_Savings!A209="","",Agent06_Savings!I209)</f>
        <v/>
      </c>
      <c r="I1202" s="40" t="str">
        <f>IF(Agent06_Savings!A209="","",Agent06_Savings!J209)</f>
        <v/>
      </c>
      <c r="J1202" s="40" t="str">
        <f>IF(Agent06_Savings!A209="","",Agent06_Savings!K209)</f>
        <v/>
      </c>
      <c r="K1202" s="40" t="str">
        <f>IFERROR(IF(Agent06_Savings!A209="","",YEAR(Agent06_Savings!D209)),"")</f>
        <v/>
      </c>
    </row>
    <row r="1203" spans="1:11" ht="18" customHeight="1" x14ac:dyDescent="0.25">
      <c r="A1203" s="40" t="str">
        <f>IF(Agent06_Savings!A210="","",Agent06_Savings!A210)</f>
        <v/>
      </c>
      <c r="B1203" s="40" t="str">
        <f ca="1">IF(Agent06_Savings!A210="","","SV"&amp;TEXT(1203-3,"0000")&amp;"-"&amp;TEXT(TODAY(),"YYYYMMDD"))</f>
        <v/>
      </c>
      <c r="C1203" s="40" t="str">
        <f>IF(Agent06_Savings!A210="","",Agent06_Savings!B210)</f>
        <v/>
      </c>
      <c r="D1203" s="40" t="str">
        <f>IF(Agent06_Savings!A210="","",Agent06_Savings!G210)</f>
        <v/>
      </c>
      <c r="E1203" s="41" t="str">
        <f>IF(Agent06_Savings!A210="","",Agent06_Savings!D210)</f>
        <v/>
      </c>
      <c r="F1203" s="42" t="str">
        <f>IF(Agent06_Savings!A210="","",Agent06_Savings!E210)</f>
        <v/>
      </c>
      <c r="G1203" s="42" t="str">
        <f>IF(Agent06_Savings!A210="","",Agent06_Savings!F210)</f>
        <v/>
      </c>
      <c r="H1203" s="40" t="str">
        <f>IF(Agent06_Savings!A210="","",Agent06_Savings!I210)</f>
        <v/>
      </c>
      <c r="I1203" s="40" t="str">
        <f>IF(Agent06_Savings!A210="","",Agent06_Savings!J210)</f>
        <v/>
      </c>
      <c r="J1203" s="40" t="str">
        <f>IF(Agent06_Savings!A210="","",Agent06_Savings!K210)</f>
        <v/>
      </c>
      <c r="K1203" s="40" t="str">
        <f>IFERROR(IF(Agent06_Savings!A210="","",YEAR(Agent06_Savings!D210)),"")</f>
        <v/>
      </c>
    </row>
    <row r="1204" spans="1:11" ht="18" customHeight="1" x14ac:dyDescent="0.25">
      <c r="A1204" s="40" t="str">
        <f>IF(Agent07_Savings!A11="","",Agent07_Savings!A11)</f>
        <v/>
      </c>
      <c r="B1204" s="40" t="str">
        <f ca="1">IF(Agent07_Savings!A11="","","SV"&amp;TEXT(1204-3,"0000")&amp;"-"&amp;TEXT(TODAY(),"YYYYMMDD"))</f>
        <v/>
      </c>
      <c r="C1204" s="40" t="str">
        <f>IF(Agent07_Savings!A11="","",Agent07_Savings!B11)</f>
        <v/>
      </c>
      <c r="D1204" s="40" t="str">
        <f>IF(Agent07_Savings!A11="","",Agent07_Savings!G11)</f>
        <v/>
      </c>
      <c r="E1204" s="41" t="str">
        <f>IF(Agent07_Savings!A11="","",Agent07_Savings!D11)</f>
        <v/>
      </c>
      <c r="F1204" s="42" t="str">
        <f>IF(Agent07_Savings!A11="","",Agent07_Savings!E11)</f>
        <v/>
      </c>
      <c r="G1204" s="42" t="str">
        <f>IF(Agent07_Savings!A11="","",Agent07_Savings!F11)</f>
        <v/>
      </c>
      <c r="H1204" s="40" t="str">
        <f>IF(Agent07_Savings!A11="","",Agent07_Savings!I11)</f>
        <v/>
      </c>
      <c r="I1204" s="40" t="str">
        <f>IF(Agent07_Savings!A11="","",Agent07_Savings!J11)</f>
        <v/>
      </c>
      <c r="J1204" s="40" t="str">
        <f>IF(Agent07_Savings!A11="","",Agent07_Savings!K11)</f>
        <v/>
      </c>
      <c r="K1204" s="40" t="str">
        <f>IFERROR(IF(Agent07_Savings!A11="","",YEAR(Agent07_Savings!D11)),"")</f>
        <v/>
      </c>
    </row>
    <row r="1205" spans="1:11" ht="18" customHeight="1" x14ac:dyDescent="0.25">
      <c r="A1205" s="40" t="str">
        <f>IF(Agent07_Savings!A12="","",Agent07_Savings!A12)</f>
        <v/>
      </c>
      <c r="B1205" s="40" t="str">
        <f ca="1">IF(Agent07_Savings!A12="","","SV"&amp;TEXT(1205-3,"0000")&amp;"-"&amp;TEXT(TODAY(),"YYYYMMDD"))</f>
        <v/>
      </c>
      <c r="C1205" s="40" t="str">
        <f>IF(Agent07_Savings!A12="","",Agent07_Savings!B12)</f>
        <v/>
      </c>
      <c r="D1205" s="40" t="str">
        <f>IF(Agent07_Savings!A12="","",Agent07_Savings!G12)</f>
        <v/>
      </c>
      <c r="E1205" s="41" t="str">
        <f>IF(Agent07_Savings!A12="","",Agent07_Savings!D12)</f>
        <v/>
      </c>
      <c r="F1205" s="42" t="str">
        <f>IF(Agent07_Savings!A12="","",Agent07_Savings!E12)</f>
        <v/>
      </c>
      <c r="G1205" s="42" t="str">
        <f>IF(Agent07_Savings!A12="","",Agent07_Savings!F12)</f>
        <v/>
      </c>
      <c r="H1205" s="40" t="str">
        <f>IF(Agent07_Savings!A12="","",Agent07_Savings!I12)</f>
        <v/>
      </c>
      <c r="I1205" s="40" t="str">
        <f>IF(Agent07_Savings!A12="","",Agent07_Savings!J12)</f>
        <v/>
      </c>
      <c r="J1205" s="40" t="str">
        <f>IF(Agent07_Savings!A12="","",Agent07_Savings!K12)</f>
        <v/>
      </c>
      <c r="K1205" s="40" t="str">
        <f>IFERROR(IF(Agent07_Savings!A12="","",YEAR(Agent07_Savings!D12)),"")</f>
        <v/>
      </c>
    </row>
    <row r="1206" spans="1:11" ht="18" customHeight="1" x14ac:dyDescent="0.25">
      <c r="A1206" s="40" t="str">
        <f>IF(Agent07_Savings!A13="","",Agent07_Savings!A13)</f>
        <v/>
      </c>
      <c r="B1206" s="40" t="str">
        <f ca="1">IF(Agent07_Savings!A13="","","SV"&amp;TEXT(1206-3,"0000")&amp;"-"&amp;TEXT(TODAY(),"YYYYMMDD"))</f>
        <v/>
      </c>
      <c r="C1206" s="40" t="str">
        <f>IF(Agent07_Savings!A13="","",Agent07_Savings!B13)</f>
        <v/>
      </c>
      <c r="D1206" s="40" t="str">
        <f>IF(Agent07_Savings!A13="","",Agent07_Savings!G13)</f>
        <v/>
      </c>
      <c r="E1206" s="41" t="str">
        <f>IF(Agent07_Savings!A13="","",Agent07_Savings!D13)</f>
        <v/>
      </c>
      <c r="F1206" s="42" t="str">
        <f>IF(Agent07_Savings!A13="","",Agent07_Savings!E13)</f>
        <v/>
      </c>
      <c r="G1206" s="42" t="str">
        <f>IF(Agent07_Savings!A13="","",Agent07_Savings!F13)</f>
        <v/>
      </c>
      <c r="H1206" s="40" t="str">
        <f>IF(Agent07_Savings!A13="","",Agent07_Savings!I13)</f>
        <v/>
      </c>
      <c r="I1206" s="40" t="str">
        <f>IF(Agent07_Savings!A13="","",Agent07_Savings!J13)</f>
        <v/>
      </c>
      <c r="J1206" s="40" t="str">
        <f>IF(Agent07_Savings!A13="","",Agent07_Savings!K13)</f>
        <v/>
      </c>
      <c r="K1206" s="40" t="str">
        <f>IFERROR(IF(Agent07_Savings!A13="","",YEAR(Agent07_Savings!D13)),"")</f>
        <v/>
      </c>
    </row>
    <row r="1207" spans="1:11" ht="18" customHeight="1" x14ac:dyDescent="0.25">
      <c r="A1207" s="40" t="str">
        <f>IF(Agent07_Savings!A14="","",Agent07_Savings!A14)</f>
        <v/>
      </c>
      <c r="B1207" s="40" t="str">
        <f ca="1">IF(Agent07_Savings!A14="","","SV"&amp;TEXT(1207-3,"0000")&amp;"-"&amp;TEXT(TODAY(),"YYYYMMDD"))</f>
        <v/>
      </c>
      <c r="C1207" s="40" t="str">
        <f>IF(Agent07_Savings!A14="","",Agent07_Savings!B14)</f>
        <v/>
      </c>
      <c r="D1207" s="40" t="str">
        <f>IF(Agent07_Savings!A14="","",Agent07_Savings!G14)</f>
        <v/>
      </c>
      <c r="E1207" s="41" t="str">
        <f>IF(Agent07_Savings!A14="","",Agent07_Savings!D14)</f>
        <v/>
      </c>
      <c r="F1207" s="42" t="str">
        <f>IF(Agent07_Savings!A14="","",Agent07_Savings!E14)</f>
        <v/>
      </c>
      <c r="G1207" s="42" t="str">
        <f>IF(Agent07_Savings!A14="","",Agent07_Savings!F14)</f>
        <v/>
      </c>
      <c r="H1207" s="40" t="str">
        <f>IF(Agent07_Savings!A14="","",Agent07_Savings!I14)</f>
        <v/>
      </c>
      <c r="I1207" s="40" t="str">
        <f>IF(Agent07_Savings!A14="","",Agent07_Savings!J14)</f>
        <v/>
      </c>
      <c r="J1207" s="40" t="str">
        <f>IF(Agent07_Savings!A14="","",Agent07_Savings!K14)</f>
        <v/>
      </c>
      <c r="K1207" s="40" t="str">
        <f>IFERROR(IF(Agent07_Savings!A14="","",YEAR(Agent07_Savings!D14)),"")</f>
        <v/>
      </c>
    </row>
    <row r="1208" spans="1:11" ht="18" customHeight="1" x14ac:dyDescent="0.25">
      <c r="A1208" s="40" t="str">
        <f>IF(Agent07_Savings!A15="","",Agent07_Savings!A15)</f>
        <v/>
      </c>
      <c r="B1208" s="40" t="str">
        <f ca="1">IF(Agent07_Savings!A15="","","SV"&amp;TEXT(1208-3,"0000")&amp;"-"&amp;TEXT(TODAY(),"YYYYMMDD"))</f>
        <v/>
      </c>
      <c r="C1208" s="40" t="str">
        <f>IF(Agent07_Savings!A15="","",Agent07_Savings!B15)</f>
        <v/>
      </c>
      <c r="D1208" s="40" t="str">
        <f>IF(Agent07_Savings!A15="","",Agent07_Savings!G15)</f>
        <v/>
      </c>
      <c r="E1208" s="41" t="str">
        <f>IF(Agent07_Savings!A15="","",Agent07_Savings!D15)</f>
        <v/>
      </c>
      <c r="F1208" s="42" t="str">
        <f>IF(Agent07_Savings!A15="","",Agent07_Savings!E15)</f>
        <v/>
      </c>
      <c r="G1208" s="42" t="str">
        <f>IF(Agent07_Savings!A15="","",Agent07_Savings!F15)</f>
        <v/>
      </c>
      <c r="H1208" s="40" t="str">
        <f>IF(Agent07_Savings!A15="","",Agent07_Savings!I15)</f>
        <v/>
      </c>
      <c r="I1208" s="40" t="str">
        <f>IF(Agent07_Savings!A15="","",Agent07_Savings!J15)</f>
        <v/>
      </c>
      <c r="J1208" s="40" t="str">
        <f>IF(Agent07_Savings!A15="","",Agent07_Savings!K15)</f>
        <v/>
      </c>
      <c r="K1208" s="40" t="str">
        <f>IFERROR(IF(Agent07_Savings!A15="","",YEAR(Agent07_Savings!D15)),"")</f>
        <v/>
      </c>
    </row>
    <row r="1209" spans="1:11" ht="18" customHeight="1" x14ac:dyDescent="0.25">
      <c r="A1209" s="40" t="str">
        <f>IF(Agent07_Savings!A16="","",Agent07_Savings!A16)</f>
        <v/>
      </c>
      <c r="B1209" s="40" t="str">
        <f ca="1">IF(Agent07_Savings!A16="","","SV"&amp;TEXT(1209-3,"0000")&amp;"-"&amp;TEXT(TODAY(),"YYYYMMDD"))</f>
        <v/>
      </c>
      <c r="C1209" s="40" t="str">
        <f>IF(Agent07_Savings!A16="","",Agent07_Savings!B16)</f>
        <v/>
      </c>
      <c r="D1209" s="40" t="str">
        <f>IF(Agent07_Savings!A16="","",Agent07_Savings!G16)</f>
        <v/>
      </c>
      <c r="E1209" s="41" t="str">
        <f>IF(Agent07_Savings!A16="","",Agent07_Savings!D16)</f>
        <v/>
      </c>
      <c r="F1209" s="42" t="str">
        <f>IF(Agent07_Savings!A16="","",Agent07_Savings!E16)</f>
        <v/>
      </c>
      <c r="G1209" s="42" t="str">
        <f>IF(Agent07_Savings!A16="","",Agent07_Savings!F16)</f>
        <v/>
      </c>
      <c r="H1209" s="40" t="str">
        <f>IF(Agent07_Savings!A16="","",Agent07_Savings!I16)</f>
        <v/>
      </c>
      <c r="I1209" s="40" t="str">
        <f>IF(Agent07_Savings!A16="","",Agent07_Savings!J16)</f>
        <v/>
      </c>
      <c r="J1209" s="40" t="str">
        <f>IF(Agent07_Savings!A16="","",Agent07_Savings!K16)</f>
        <v/>
      </c>
      <c r="K1209" s="40" t="str">
        <f>IFERROR(IF(Agent07_Savings!A16="","",YEAR(Agent07_Savings!D16)),"")</f>
        <v/>
      </c>
    </row>
    <row r="1210" spans="1:11" ht="18" customHeight="1" x14ac:dyDescent="0.25">
      <c r="A1210" s="40" t="str">
        <f>IF(Agent07_Savings!A17="","",Agent07_Savings!A17)</f>
        <v/>
      </c>
      <c r="B1210" s="40" t="str">
        <f ca="1">IF(Agent07_Savings!A17="","","SV"&amp;TEXT(1210-3,"0000")&amp;"-"&amp;TEXT(TODAY(),"YYYYMMDD"))</f>
        <v/>
      </c>
      <c r="C1210" s="40" t="str">
        <f>IF(Agent07_Savings!A17="","",Agent07_Savings!B17)</f>
        <v/>
      </c>
      <c r="D1210" s="40" t="str">
        <f>IF(Agent07_Savings!A17="","",Agent07_Savings!G17)</f>
        <v/>
      </c>
      <c r="E1210" s="41" t="str">
        <f>IF(Agent07_Savings!A17="","",Agent07_Savings!D17)</f>
        <v/>
      </c>
      <c r="F1210" s="42" t="str">
        <f>IF(Agent07_Savings!A17="","",Agent07_Savings!E17)</f>
        <v/>
      </c>
      <c r="G1210" s="42" t="str">
        <f>IF(Agent07_Savings!A17="","",Agent07_Savings!F17)</f>
        <v/>
      </c>
      <c r="H1210" s="40" t="str">
        <f>IF(Agent07_Savings!A17="","",Agent07_Savings!I17)</f>
        <v/>
      </c>
      <c r="I1210" s="40" t="str">
        <f>IF(Agent07_Savings!A17="","",Agent07_Savings!J17)</f>
        <v/>
      </c>
      <c r="J1210" s="40" t="str">
        <f>IF(Agent07_Savings!A17="","",Agent07_Savings!K17)</f>
        <v/>
      </c>
      <c r="K1210" s="40" t="str">
        <f>IFERROR(IF(Agent07_Savings!A17="","",YEAR(Agent07_Savings!D17)),"")</f>
        <v/>
      </c>
    </row>
    <row r="1211" spans="1:11" ht="18" customHeight="1" x14ac:dyDescent="0.25">
      <c r="A1211" s="40" t="str">
        <f>IF(Agent07_Savings!A18="","",Agent07_Savings!A18)</f>
        <v/>
      </c>
      <c r="B1211" s="40" t="str">
        <f ca="1">IF(Agent07_Savings!A18="","","SV"&amp;TEXT(1211-3,"0000")&amp;"-"&amp;TEXT(TODAY(),"YYYYMMDD"))</f>
        <v/>
      </c>
      <c r="C1211" s="40" t="str">
        <f>IF(Agent07_Savings!A18="","",Agent07_Savings!B18)</f>
        <v/>
      </c>
      <c r="D1211" s="40" t="str">
        <f>IF(Agent07_Savings!A18="","",Agent07_Savings!G18)</f>
        <v/>
      </c>
      <c r="E1211" s="41" t="str">
        <f>IF(Agent07_Savings!A18="","",Agent07_Savings!D18)</f>
        <v/>
      </c>
      <c r="F1211" s="42" t="str">
        <f>IF(Agent07_Savings!A18="","",Agent07_Savings!E18)</f>
        <v/>
      </c>
      <c r="G1211" s="42" t="str">
        <f>IF(Agent07_Savings!A18="","",Agent07_Savings!F18)</f>
        <v/>
      </c>
      <c r="H1211" s="40" t="str">
        <f>IF(Agent07_Savings!A18="","",Agent07_Savings!I18)</f>
        <v/>
      </c>
      <c r="I1211" s="40" t="str">
        <f>IF(Agent07_Savings!A18="","",Agent07_Savings!J18)</f>
        <v/>
      </c>
      <c r="J1211" s="40" t="str">
        <f>IF(Agent07_Savings!A18="","",Agent07_Savings!K18)</f>
        <v/>
      </c>
      <c r="K1211" s="40" t="str">
        <f>IFERROR(IF(Agent07_Savings!A18="","",YEAR(Agent07_Savings!D18)),"")</f>
        <v/>
      </c>
    </row>
    <row r="1212" spans="1:11" ht="18" customHeight="1" x14ac:dyDescent="0.25">
      <c r="A1212" s="40" t="str">
        <f>IF(Agent07_Savings!A19="","",Agent07_Savings!A19)</f>
        <v/>
      </c>
      <c r="B1212" s="40" t="str">
        <f ca="1">IF(Agent07_Savings!A19="","","SV"&amp;TEXT(1212-3,"0000")&amp;"-"&amp;TEXT(TODAY(),"YYYYMMDD"))</f>
        <v/>
      </c>
      <c r="C1212" s="40" t="str">
        <f>IF(Agent07_Savings!A19="","",Agent07_Savings!B19)</f>
        <v/>
      </c>
      <c r="D1212" s="40" t="str">
        <f>IF(Agent07_Savings!A19="","",Agent07_Savings!G19)</f>
        <v/>
      </c>
      <c r="E1212" s="41" t="str">
        <f>IF(Agent07_Savings!A19="","",Agent07_Savings!D19)</f>
        <v/>
      </c>
      <c r="F1212" s="42" t="str">
        <f>IF(Agent07_Savings!A19="","",Agent07_Savings!E19)</f>
        <v/>
      </c>
      <c r="G1212" s="42" t="str">
        <f>IF(Agent07_Savings!A19="","",Agent07_Savings!F19)</f>
        <v/>
      </c>
      <c r="H1212" s="40" t="str">
        <f>IF(Agent07_Savings!A19="","",Agent07_Savings!I19)</f>
        <v/>
      </c>
      <c r="I1212" s="40" t="str">
        <f>IF(Agent07_Savings!A19="","",Agent07_Savings!J19)</f>
        <v/>
      </c>
      <c r="J1212" s="40" t="str">
        <f>IF(Agent07_Savings!A19="","",Agent07_Savings!K19)</f>
        <v/>
      </c>
      <c r="K1212" s="40" t="str">
        <f>IFERROR(IF(Agent07_Savings!A19="","",YEAR(Agent07_Savings!D19)),"")</f>
        <v/>
      </c>
    </row>
    <row r="1213" spans="1:11" ht="18" customHeight="1" x14ac:dyDescent="0.25">
      <c r="A1213" s="40" t="str">
        <f>IF(Agent07_Savings!A20="","",Agent07_Savings!A20)</f>
        <v/>
      </c>
      <c r="B1213" s="40" t="str">
        <f ca="1">IF(Agent07_Savings!A20="","","SV"&amp;TEXT(1213-3,"0000")&amp;"-"&amp;TEXT(TODAY(),"YYYYMMDD"))</f>
        <v/>
      </c>
      <c r="C1213" s="40" t="str">
        <f>IF(Agent07_Savings!A20="","",Agent07_Savings!B20)</f>
        <v/>
      </c>
      <c r="D1213" s="40" t="str">
        <f>IF(Agent07_Savings!A20="","",Agent07_Savings!G20)</f>
        <v/>
      </c>
      <c r="E1213" s="41" t="str">
        <f>IF(Agent07_Savings!A20="","",Agent07_Savings!D20)</f>
        <v/>
      </c>
      <c r="F1213" s="42" t="str">
        <f>IF(Agent07_Savings!A20="","",Agent07_Savings!E20)</f>
        <v/>
      </c>
      <c r="G1213" s="42" t="str">
        <f>IF(Agent07_Savings!A20="","",Agent07_Savings!F20)</f>
        <v/>
      </c>
      <c r="H1213" s="40" t="str">
        <f>IF(Agent07_Savings!A20="","",Agent07_Savings!I20)</f>
        <v/>
      </c>
      <c r="I1213" s="40" t="str">
        <f>IF(Agent07_Savings!A20="","",Agent07_Savings!J20)</f>
        <v/>
      </c>
      <c r="J1213" s="40" t="str">
        <f>IF(Agent07_Savings!A20="","",Agent07_Savings!K20)</f>
        <v/>
      </c>
      <c r="K1213" s="40" t="str">
        <f>IFERROR(IF(Agent07_Savings!A20="","",YEAR(Agent07_Savings!D20)),"")</f>
        <v/>
      </c>
    </row>
    <row r="1214" spans="1:11" ht="18" customHeight="1" x14ac:dyDescent="0.25">
      <c r="A1214" s="40" t="str">
        <f>IF(Agent07_Savings!A21="","",Agent07_Savings!A21)</f>
        <v/>
      </c>
      <c r="B1214" s="40" t="str">
        <f ca="1">IF(Agent07_Savings!A21="","","SV"&amp;TEXT(1214-3,"0000")&amp;"-"&amp;TEXT(TODAY(),"YYYYMMDD"))</f>
        <v/>
      </c>
      <c r="C1214" s="40" t="str">
        <f>IF(Agent07_Savings!A21="","",Agent07_Savings!B21)</f>
        <v/>
      </c>
      <c r="D1214" s="40" t="str">
        <f>IF(Agent07_Savings!A21="","",Agent07_Savings!G21)</f>
        <v/>
      </c>
      <c r="E1214" s="41" t="str">
        <f>IF(Agent07_Savings!A21="","",Agent07_Savings!D21)</f>
        <v/>
      </c>
      <c r="F1214" s="42" t="str">
        <f>IF(Agent07_Savings!A21="","",Agent07_Savings!E21)</f>
        <v/>
      </c>
      <c r="G1214" s="42" t="str">
        <f>IF(Agent07_Savings!A21="","",Agent07_Savings!F21)</f>
        <v/>
      </c>
      <c r="H1214" s="40" t="str">
        <f>IF(Agent07_Savings!A21="","",Agent07_Savings!I21)</f>
        <v/>
      </c>
      <c r="I1214" s="40" t="str">
        <f>IF(Agent07_Savings!A21="","",Agent07_Savings!J21)</f>
        <v/>
      </c>
      <c r="J1214" s="40" t="str">
        <f>IF(Agent07_Savings!A21="","",Agent07_Savings!K21)</f>
        <v/>
      </c>
      <c r="K1214" s="40" t="str">
        <f>IFERROR(IF(Agent07_Savings!A21="","",YEAR(Agent07_Savings!D21)),"")</f>
        <v/>
      </c>
    </row>
    <row r="1215" spans="1:11" ht="18" customHeight="1" x14ac:dyDescent="0.25">
      <c r="A1215" s="40" t="str">
        <f>IF(Agent07_Savings!A22="","",Agent07_Savings!A22)</f>
        <v/>
      </c>
      <c r="B1215" s="40" t="str">
        <f ca="1">IF(Agent07_Savings!A22="","","SV"&amp;TEXT(1215-3,"0000")&amp;"-"&amp;TEXT(TODAY(),"YYYYMMDD"))</f>
        <v/>
      </c>
      <c r="C1215" s="40" t="str">
        <f>IF(Agent07_Savings!A22="","",Agent07_Savings!B22)</f>
        <v/>
      </c>
      <c r="D1215" s="40" t="str">
        <f>IF(Agent07_Savings!A22="","",Agent07_Savings!G22)</f>
        <v/>
      </c>
      <c r="E1215" s="41" t="str">
        <f>IF(Agent07_Savings!A22="","",Agent07_Savings!D22)</f>
        <v/>
      </c>
      <c r="F1215" s="42" t="str">
        <f>IF(Agent07_Savings!A22="","",Agent07_Savings!E22)</f>
        <v/>
      </c>
      <c r="G1215" s="42" t="str">
        <f>IF(Agent07_Savings!A22="","",Agent07_Savings!F22)</f>
        <v/>
      </c>
      <c r="H1215" s="40" t="str">
        <f>IF(Agent07_Savings!A22="","",Agent07_Savings!I22)</f>
        <v/>
      </c>
      <c r="I1215" s="40" t="str">
        <f>IF(Agent07_Savings!A22="","",Agent07_Savings!J22)</f>
        <v/>
      </c>
      <c r="J1215" s="40" t="str">
        <f>IF(Agent07_Savings!A22="","",Agent07_Savings!K22)</f>
        <v/>
      </c>
      <c r="K1215" s="40" t="str">
        <f>IFERROR(IF(Agent07_Savings!A22="","",YEAR(Agent07_Savings!D22)),"")</f>
        <v/>
      </c>
    </row>
    <row r="1216" spans="1:11" ht="18" customHeight="1" x14ac:dyDescent="0.25">
      <c r="A1216" s="40" t="str">
        <f>IF(Agent07_Savings!A23="","",Agent07_Savings!A23)</f>
        <v/>
      </c>
      <c r="B1216" s="40" t="str">
        <f ca="1">IF(Agent07_Savings!A23="","","SV"&amp;TEXT(1216-3,"0000")&amp;"-"&amp;TEXT(TODAY(),"YYYYMMDD"))</f>
        <v/>
      </c>
      <c r="C1216" s="40" t="str">
        <f>IF(Agent07_Savings!A23="","",Agent07_Savings!B23)</f>
        <v/>
      </c>
      <c r="D1216" s="40" t="str">
        <f>IF(Agent07_Savings!A23="","",Agent07_Savings!G23)</f>
        <v/>
      </c>
      <c r="E1216" s="41" t="str">
        <f>IF(Agent07_Savings!A23="","",Agent07_Savings!D23)</f>
        <v/>
      </c>
      <c r="F1216" s="42" t="str">
        <f>IF(Agent07_Savings!A23="","",Agent07_Savings!E23)</f>
        <v/>
      </c>
      <c r="G1216" s="42" t="str">
        <f>IF(Agent07_Savings!A23="","",Agent07_Savings!F23)</f>
        <v/>
      </c>
      <c r="H1216" s="40" t="str">
        <f>IF(Agent07_Savings!A23="","",Agent07_Savings!I23)</f>
        <v/>
      </c>
      <c r="I1216" s="40" t="str">
        <f>IF(Agent07_Savings!A23="","",Agent07_Savings!J23)</f>
        <v/>
      </c>
      <c r="J1216" s="40" t="str">
        <f>IF(Agent07_Savings!A23="","",Agent07_Savings!K23)</f>
        <v/>
      </c>
      <c r="K1216" s="40" t="str">
        <f>IFERROR(IF(Agent07_Savings!A23="","",YEAR(Agent07_Savings!D23)),"")</f>
        <v/>
      </c>
    </row>
    <row r="1217" spans="1:11" ht="18" customHeight="1" x14ac:dyDescent="0.25">
      <c r="A1217" s="40" t="str">
        <f>IF(Agent07_Savings!A24="","",Agent07_Savings!A24)</f>
        <v/>
      </c>
      <c r="B1217" s="40" t="str">
        <f ca="1">IF(Agent07_Savings!A24="","","SV"&amp;TEXT(1217-3,"0000")&amp;"-"&amp;TEXT(TODAY(),"YYYYMMDD"))</f>
        <v/>
      </c>
      <c r="C1217" s="40" t="str">
        <f>IF(Agent07_Savings!A24="","",Agent07_Savings!B24)</f>
        <v/>
      </c>
      <c r="D1217" s="40" t="str">
        <f>IF(Agent07_Savings!A24="","",Agent07_Savings!G24)</f>
        <v/>
      </c>
      <c r="E1217" s="41" t="str">
        <f>IF(Agent07_Savings!A24="","",Agent07_Savings!D24)</f>
        <v/>
      </c>
      <c r="F1217" s="42" t="str">
        <f>IF(Agent07_Savings!A24="","",Agent07_Savings!E24)</f>
        <v/>
      </c>
      <c r="G1217" s="42" t="str">
        <f>IF(Agent07_Savings!A24="","",Agent07_Savings!F24)</f>
        <v/>
      </c>
      <c r="H1217" s="40" t="str">
        <f>IF(Agent07_Savings!A24="","",Agent07_Savings!I24)</f>
        <v/>
      </c>
      <c r="I1217" s="40" t="str">
        <f>IF(Agent07_Savings!A24="","",Agent07_Savings!J24)</f>
        <v/>
      </c>
      <c r="J1217" s="40" t="str">
        <f>IF(Agent07_Savings!A24="","",Agent07_Savings!K24)</f>
        <v/>
      </c>
      <c r="K1217" s="40" t="str">
        <f>IFERROR(IF(Agent07_Savings!A24="","",YEAR(Agent07_Savings!D24)),"")</f>
        <v/>
      </c>
    </row>
    <row r="1218" spans="1:11" ht="18" customHeight="1" x14ac:dyDescent="0.25">
      <c r="A1218" s="40" t="str">
        <f>IF(Agent07_Savings!A25="","",Agent07_Savings!A25)</f>
        <v/>
      </c>
      <c r="B1218" s="40" t="str">
        <f ca="1">IF(Agent07_Savings!A25="","","SV"&amp;TEXT(1218-3,"0000")&amp;"-"&amp;TEXT(TODAY(),"YYYYMMDD"))</f>
        <v/>
      </c>
      <c r="C1218" s="40" t="str">
        <f>IF(Agent07_Savings!A25="","",Agent07_Savings!B25)</f>
        <v/>
      </c>
      <c r="D1218" s="40" t="str">
        <f>IF(Agent07_Savings!A25="","",Agent07_Savings!G25)</f>
        <v/>
      </c>
      <c r="E1218" s="41" t="str">
        <f>IF(Agent07_Savings!A25="","",Agent07_Savings!D25)</f>
        <v/>
      </c>
      <c r="F1218" s="42" t="str">
        <f>IF(Agent07_Savings!A25="","",Agent07_Savings!E25)</f>
        <v/>
      </c>
      <c r="G1218" s="42" t="str">
        <f>IF(Agent07_Savings!A25="","",Agent07_Savings!F25)</f>
        <v/>
      </c>
      <c r="H1218" s="40" t="str">
        <f>IF(Agent07_Savings!A25="","",Agent07_Savings!I25)</f>
        <v/>
      </c>
      <c r="I1218" s="40" t="str">
        <f>IF(Agent07_Savings!A25="","",Agent07_Savings!J25)</f>
        <v/>
      </c>
      <c r="J1218" s="40" t="str">
        <f>IF(Agent07_Savings!A25="","",Agent07_Savings!K25)</f>
        <v/>
      </c>
      <c r="K1218" s="40" t="str">
        <f>IFERROR(IF(Agent07_Savings!A25="","",YEAR(Agent07_Savings!D25)),"")</f>
        <v/>
      </c>
    </row>
    <row r="1219" spans="1:11" ht="18" customHeight="1" x14ac:dyDescent="0.25">
      <c r="A1219" s="40" t="str">
        <f>IF(Agent07_Savings!A26="","",Agent07_Savings!A26)</f>
        <v/>
      </c>
      <c r="B1219" s="40" t="str">
        <f ca="1">IF(Agent07_Savings!A26="","","SV"&amp;TEXT(1219-3,"0000")&amp;"-"&amp;TEXT(TODAY(),"YYYYMMDD"))</f>
        <v/>
      </c>
      <c r="C1219" s="40" t="str">
        <f>IF(Agent07_Savings!A26="","",Agent07_Savings!B26)</f>
        <v/>
      </c>
      <c r="D1219" s="40" t="str">
        <f>IF(Agent07_Savings!A26="","",Agent07_Savings!G26)</f>
        <v/>
      </c>
      <c r="E1219" s="41" t="str">
        <f>IF(Agent07_Savings!A26="","",Agent07_Savings!D26)</f>
        <v/>
      </c>
      <c r="F1219" s="42" t="str">
        <f>IF(Agent07_Savings!A26="","",Agent07_Savings!E26)</f>
        <v/>
      </c>
      <c r="G1219" s="42" t="str">
        <f>IF(Agent07_Savings!A26="","",Agent07_Savings!F26)</f>
        <v/>
      </c>
      <c r="H1219" s="40" t="str">
        <f>IF(Agent07_Savings!A26="","",Agent07_Savings!I26)</f>
        <v/>
      </c>
      <c r="I1219" s="40" t="str">
        <f>IF(Agent07_Savings!A26="","",Agent07_Savings!J26)</f>
        <v/>
      </c>
      <c r="J1219" s="40" t="str">
        <f>IF(Agent07_Savings!A26="","",Agent07_Savings!K26)</f>
        <v/>
      </c>
      <c r="K1219" s="40" t="str">
        <f>IFERROR(IF(Agent07_Savings!A26="","",YEAR(Agent07_Savings!D26)),"")</f>
        <v/>
      </c>
    </row>
    <row r="1220" spans="1:11" ht="18" customHeight="1" x14ac:dyDescent="0.25">
      <c r="A1220" s="40" t="str">
        <f>IF(Agent07_Savings!A27="","",Agent07_Savings!A27)</f>
        <v/>
      </c>
      <c r="B1220" s="40" t="str">
        <f ca="1">IF(Agent07_Savings!A27="","","SV"&amp;TEXT(1220-3,"0000")&amp;"-"&amp;TEXT(TODAY(),"YYYYMMDD"))</f>
        <v/>
      </c>
      <c r="C1220" s="40" t="str">
        <f>IF(Agent07_Savings!A27="","",Agent07_Savings!B27)</f>
        <v/>
      </c>
      <c r="D1220" s="40" t="str">
        <f>IF(Agent07_Savings!A27="","",Agent07_Savings!G27)</f>
        <v/>
      </c>
      <c r="E1220" s="41" t="str">
        <f>IF(Agent07_Savings!A27="","",Agent07_Savings!D27)</f>
        <v/>
      </c>
      <c r="F1220" s="42" t="str">
        <f>IF(Agent07_Savings!A27="","",Agent07_Savings!E27)</f>
        <v/>
      </c>
      <c r="G1220" s="42" t="str">
        <f>IF(Agent07_Savings!A27="","",Agent07_Savings!F27)</f>
        <v/>
      </c>
      <c r="H1220" s="40" t="str">
        <f>IF(Agent07_Savings!A27="","",Agent07_Savings!I27)</f>
        <v/>
      </c>
      <c r="I1220" s="40" t="str">
        <f>IF(Agent07_Savings!A27="","",Agent07_Savings!J27)</f>
        <v/>
      </c>
      <c r="J1220" s="40" t="str">
        <f>IF(Agent07_Savings!A27="","",Agent07_Savings!K27)</f>
        <v/>
      </c>
      <c r="K1220" s="40" t="str">
        <f>IFERROR(IF(Agent07_Savings!A27="","",YEAR(Agent07_Savings!D27)),"")</f>
        <v/>
      </c>
    </row>
    <row r="1221" spans="1:11" ht="18" customHeight="1" x14ac:dyDescent="0.25">
      <c r="A1221" s="40" t="str">
        <f>IF(Agent07_Savings!A28="","",Agent07_Savings!A28)</f>
        <v/>
      </c>
      <c r="B1221" s="40" t="str">
        <f ca="1">IF(Agent07_Savings!A28="","","SV"&amp;TEXT(1221-3,"0000")&amp;"-"&amp;TEXT(TODAY(),"YYYYMMDD"))</f>
        <v/>
      </c>
      <c r="C1221" s="40" t="str">
        <f>IF(Agent07_Savings!A28="","",Agent07_Savings!B28)</f>
        <v/>
      </c>
      <c r="D1221" s="40" t="str">
        <f>IF(Agent07_Savings!A28="","",Agent07_Savings!G28)</f>
        <v/>
      </c>
      <c r="E1221" s="41" t="str">
        <f>IF(Agent07_Savings!A28="","",Agent07_Savings!D28)</f>
        <v/>
      </c>
      <c r="F1221" s="42" t="str">
        <f>IF(Agent07_Savings!A28="","",Agent07_Savings!E28)</f>
        <v/>
      </c>
      <c r="G1221" s="42" t="str">
        <f>IF(Agent07_Savings!A28="","",Agent07_Savings!F28)</f>
        <v/>
      </c>
      <c r="H1221" s="40" t="str">
        <f>IF(Agent07_Savings!A28="","",Agent07_Savings!I28)</f>
        <v/>
      </c>
      <c r="I1221" s="40" t="str">
        <f>IF(Agent07_Savings!A28="","",Agent07_Savings!J28)</f>
        <v/>
      </c>
      <c r="J1221" s="40" t="str">
        <f>IF(Agent07_Savings!A28="","",Agent07_Savings!K28)</f>
        <v/>
      </c>
      <c r="K1221" s="40" t="str">
        <f>IFERROR(IF(Agent07_Savings!A28="","",YEAR(Agent07_Savings!D28)),"")</f>
        <v/>
      </c>
    </row>
    <row r="1222" spans="1:11" ht="18" customHeight="1" x14ac:dyDescent="0.25">
      <c r="A1222" s="40" t="str">
        <f>IF(Agent07_Savings!A29="","",Agent07_Savings!A29)</f>
        <v/>
      </c>
      <c r="B1222" s="40" t="str">
        <f ca="1">IF(Agent07_Savings!A29="","","SV"&amp;TEXT(1222-3,"0000")&amp;"-"&amp;TEXT(TODAY(),"YYYYMMDD"))</f>
        <v/>
      </c>
      <c r="C1222" s="40" t="str">
        <f>IF(Agent07_Savings!A29="","",Agent07_Savings!B29)</f>
        <v/>
      </c>
      <c r="D1222" s="40" t="str">
        <f>IF(Agent07_Savings!A29="","",Agent07_Savings!G29)</f>
        <v/>
      </c>
      <c r="E1222" s="41" t="str">
        <f>IF(Agent07_Savings!A29="","",Agent07_Savings!D29)</f>
        <v/>
      </c>
      <c r="F1222" s="42" t="str">
        <f>IF(Agent07_Savings!A29="","",Agent07_Savings!E29)</f>
        <v/>
      </c>
      <c r="G1222" s="42" t="str">
        <f>IF(Agent07_Savings!A29="","",Agent07_Savings!F29)</f>
        <v/>
      </c>
      <c r="H1222" s="40" t="str">
        <f>IF(Agent07_Savings!A29="","",Agent07_Savings!I29)</f>
        <v/>
      </c>
      <c r="I1222" s="40" t="str">
        <f>IF(Agent07_Savings!A29="","",Agent07_Savings!J29)</f>
        <v/>
      </c>
      <c r="J1222" s="40" t="str">
        <f>IF(Agent07_Savings!A29="","",Agent07_Savings!K29)</f>
        <v/>
      </c>
      <c r="K1222" s="40" t="str">
        <f>IFERROR(IF(Agent07_Savings!A29="","",YEAR(Agent07_Savings!D29)),"")</f>
        <v/>
      </c>
    </row>
    <row r="1223" spans="1:11" ht="18" customHeight="1" x14ac:dyDescent="0.25">
      <c r="A1223" s="40" t="str">
        <f>IF(Agent07_Savings!A30="","",Agent07_Savings!A30)</f>
        <v/>
      </c>
      <c r="B1223" s="40" t="str">
        <f ca="1">IF(Agent07_Savings!A30="","","SV"&amp;TEXT(1223-3,"0000")&amp;"-"&amp;TEXT(TODAY(),"YYYYMMDD"))</f>
        <v/>
      </c>
      <c r="C1223" s="40" t="str">
        <f>IF(Agent07_Savings!A30="","",Agent07_Savings!B30)</f>
        <v/>
      </c>
      <c r="D1223" s="40" t="str">
        <f>IF(Agent07_Savings!A30="","",Agent07_Savings!G30)</f>
        <v/>
      </c>
      <c r="E1223" s="41" t="str">
        <f>IF(Agent07_Savings!A30="","",Agent07_Savings!D30)</f>
        <v/>
      </c>
      <c r="F1223" s="42" t="str">
        <f>IF(Agent07_Savings!A30="","",Agent07_Savings!E30)</f>
        <v/>
      </c>
      <c r="G1223" s="42" t="str">
        <f>IF(Agent07_Savings!A30="","",Agent07_Savings!F30)</f>
        <v/>
      </c>
      <c r="H1223" s="40" t="str">
        <f>IF(Agent07_Savings!A30="","",Agent07_Savings!I30)</f>
        <v/>
      </c>
      <c r="I1223" s="40" t="str">
        <f>IF(Agent07_Savings!A30="","",Agent07_Savings!J30)</f>
        <v/>
      </c>
      <c r="J1223" s="40" t="str">
        <f>IF(Agent07_Savings!A30="","",Agent07_Savings!K30)</f>
        <v/>
      </c>
      <c r="K1223" s="40" t="str">
        <f>IFERROR(IF(Agent07_Savings!A30="","",YEAR(Agent07_Savings!D30)),"")</f>
        <v/>
      </c>
    </row>
    <row r="1224" spans="1:11" ht="18" customHeight="1" x14ac:dyDescent="0.25">
      <c r="A1224" s="40" t="str">
        <f>IF(Agent07_Savings!A31="","",Agent07_Savings!A31)</f>
        <v/>
      </c>
      <c r="B1224" s="40" t="str">
        <f ca="1">IF(Agent07_Savings!A31="","","SV"&amp;TEXT(1224-3,"0000")&amp;"-"&amp;TEXT(TODAY(),"YYYYMMDD"))</f>
        <v/>
      </c>
      <c r="C1224" s="40" t="str">
        <f>IF(Agent07_Savings!A31="","",Agent07_Savings!B31)</f>
        <v/>
      </c>
      <c r="D1224" s="40" t="str">
        <f>IF(Agent07_Savings!A31="","",Agent07_Savings!G31)</f>
        <v/>
      </c>
      <c r="E1224" s="41" t="str">
        <f>IF(Agent07_Savings!A31="","",Agent07_Savings!D31)</f>
        <v/>
      </c>
      <c r="F1224" s="42" t="str">
        <f>IF(Agent07_Savings!A31="","",Agent07_Savings!E31)</f>
        <v/>
      </c>
      <c r="G1224" s="42" t="str">
        <f>IF(Agent07_Savings!A31="","",Agent07_Savings!F31)</f>
        <v/>
      </c>
      <c r="H1224" s="40" t="str">
        <f>IF(Agent07_Savings!A31="","",Agent07_Savings!I31)</f>
        <v/>
      </c>
      <c r="I1224" s="40" t="str">
        <f>IF(Agent07_Savings!A31="","",Agent07_Savings!J31)</f>
        <v/>
      </c>
      <c r="J1224" s="40" t="str">
        <f>IF(Agent07_Savings!A31="","",Agent07_Savings!K31)</f>
        <v/>
      </c>
      <c r="K1224" s="40" t="str">
        <f>IFERROR(IF(Agent07_Savings!A31="","",YEAR(Agent07_Savings!D31)),"")</f>
        <v/>
      </c>
    </row>
    <row r="1225" spans="1:11" ht="18" customHeight="1" x14ac:dyDescent="0.25">
      <c r="A1225" s="40" t="str">
        <f>IF(Agent07_Savings!A32="","",Agent07_Savings!A32)</f>
        <v/>
      </c>
      <c r="B1225" s="40" t="str">
        <f ca="1">IF(Agent07_Savings!A32="","","SV"&amp;TEXT(1225-3,"0000")&amp;"-"&amp;TEXT(TODAY(),"YYYYMMDD"))</f>
        <v/>
      </c>
      <c r="C1225" s="40" t="str">
        <f>IF(Agent07_Savings!A32="","",Agent07_Savings!B32)</f>
        <v/>
      </c>
      <c r="D1225" s="40" t="str">
        <f>IF(Agent07_Savings!A32="","",Agent07_Savings!G32)</f>
        <v/>
      </c>
      <c r="E1225" s="41" t="str">
        <f>IF(Agent07_Savings!A32="","",Agent07_Savings!D32)</f>
        <v/>
      </c>
      <c r="F1225" s="42" t="str">
        <f>IF(Agent07_Savings!A32="","",Agent07_Savings!E32)</f>
        <v/>
      </c>
      <c r="G1225" s="42" t="str">
        <f>IF(Agent07_Savings!A32="","",Agent07_Savings!F32)</f>
        <v/>
      </c>
      <c r="H1225" s="40" t="str">
        <f>IF(Agent07_Savings!A32="","",Agent07_Savings!I32)</f>
        <v/>
      </c>
      <c r="I1225" s="40" t="str">
        <f>IF(Agent07_Savings!A32="","",Agent07_Savings!J32)</f>
        <v/>
      </c>
      <c r="J1225" s="40" t="str">
        <f>IF(Agent07_Savings!A32="","",Agent07_Savings!K32)</f>
        <v/>
      </c>
      <c r="K1225" s="40" t="str">
        <f>IFERROR(IF(Agent07_Savings!A32="","",YEAR(Agent07_Savings!D32)),"")</f>
        <v/>
      </c>
    </row>
    <row r="1226" spans="1:11" ht="18" customHeight="1" x14ac:dyDescent="0.25">
      <c r="A1226" s="40" t="str">
        <f>IF(Agent07_Savings!A33="","",Agent07_Savings!A33)</f>
        <v/>
      </c>
      <c r="B1226" s="40" t="str">
        <f ca="1">IF(Agent07_Savings!A33="","","SV"&amp;TEXT(1226-3,"0000")&amp;"-"&amp;TEXT(TODAY(),"YYYYMMDD"))</f>
        <v/>
      </c>
      <c r="C1226" s="40" t="str">
        <f>IF(Agent07_Savings!A33="","",Agent07_Savings!B33)</f>
        <v/>
      </c>
      <c r="D1226" s="40" t="str">
        <f>IF(Agent07_Savings!A33="","",Agent07_Savings!G33)</f>
        <v/>
      </c>
      <c r="E1226" s="41" t="str">
        <f>IF(Agent07_Savings!A33="","",Agent07_Savings!D33)</f>
        <v/>
      </c>
      <c r="F1226" s="42" t="str">
        <f>IF(Agent07_Savings!A33="","",Agent07_Savings!E33)</f>
        <v/>
      </c>
      <c r="G1226" s="42" t="str">
        <f>IF(Agent07_Savings!A33="","",Agent07_Savings!F33)</f>
        <v/>
      </c>
      <c r="H1226" s="40" t="str">
        <f>IF(Agent07_Savings!A33="","",Agent07_Savings!I33)</f>
        <v/>
      </c>
      <c r="I1226" s="40" t="str">
        <f>IF(Agent07_Savings!A33="","",Agent07_Savings!J33)</f>
        <v/>
      </c>
      <c r="J1226" s="40" t="str">
        <f>IF(Agent07_Savings!A33="","",Agent07_Savings!K33)</f>
        <v/>
      </c>
      <c r="K1226" s="40" t="str">
        <f>IFERROR(IF(Agent07_Savings!A33="","",YEAR(Agent07_Savings!D33)),"")</f>
        <v/>
      </c>
    </row>
    <row r="1227" spans="1:11" ht="18" customHeight="1" x14ac:dyDescent="0.25">
      <c r="A1227" s="40" t="str">
        <f>IF(Agent07_Savings!A34="","",Agent07_Savings!A34)</f>
        <v/>
      </c>
      <c r="B1227" s="40" t="str">
        <f ca="1">IF(Agent07_Savings!A34="","","SV"&amp;TEXT(1227-3,"0000")&amp;"-"&amp;TEXT(TODAY(),"YYYYMMDD"))</f>
        <v/>
      </c>
      <c r="C1227" s="40" t="str">
        <f>IF(Agent07_Savings!A34="","",Agent07_Savings!B34)</f>
        <v/>
      </c>
      <c r="D1227" s="40" t="str">
        <f>IF(Agent07_Savings!A34="","",Agent07_Savings!G34)</f>
        <v/>
      </c>
      <c r="E1227" s="41" t="str">
        <f>IF(Agent07_Savings!A34="","",Agent07_Savings!D34)</f>
        <v/>
      </c>
      <c r="F1227" s="42" t="str">
        <f>IF(Agent07_Savings!A34="","",Agent07_Savings!E34)</f>
        <v/>
      </c>
      <c r="G1227" s="42" t="str">
        <f>IF(Agent07_Savings!A34="","",Agent07_Savings!F34)</f>
        <v/>
      </c>
      <c r="H1227" s="40" t="str">
        <f>IF(Agent07_Savings!A34="","",Agent07_Savings!I34)</f>
        <v/>
      </c>
      <c r="I1227" s="40" t="str">
        <f>IF(Agent07_Savings!A34="","",Agent07_Savings!J34)</f>
        <v/>
      </c>
      <c r="J1227" s="40" t="str">
        <f>IF(Agent07_Savings!A34="","",Agent07_Savings!K34)</f>
        <v/>
      </c>
      <c r="K1227" s="40" t="str">
        <f>IFERROR(IF(Agent07_Savings!A34="","",YEAR(Agent07_Savings!D34)),"")</f>
        <v/>
      </c>
    </row>
    <row r="1228" spans="1:11" ht="18" customHeight="1" x14ac:dyDescent="0.25">
      <c r="A1228" s="40" t="str">
        <f>IF(Agent07_Savings!A35="","",Agent07_Savings!A35)</f>
        <v/>
      </c>
      <c r="B1228" s="40" t="str">
        <f ca="1">IF(Agent07_Savings!A35="","","SV"&amp;TEXT(1228-3,"0000")&amp;"-"&amp;TEXT(TODAY(),"YYYYMMDD"))</f>
        <v/>
      </c>
      <c r="C1228" s="40" t="str">
        <f>IF(Agent07_Savings!A35="","",Agent07_Savings!B35)</f>
        <v/>
      </c>
      <c r="D1228" s="40" t="str">
        <f>IF(Agent07_Savings!A35="","",Agent07_Savings!G35)</f>
        <v/>
      </c>
      <c r="E1228" s="41" t="str">
        <f>IF(Agent07_Savings!A35="","",Agent07_Savings!D35)</f>
        <v/>
      </c>
      <c r="F1228" s="42" t="str">
        <f>IF(Agent07_Savings!A35="","",Agent07_Savings!E35)</f>
        <v/>
      </c>
      <c r="G1228" s="42" t="str">
        <f>IF(Agent07_Savings!A35="","",Agent07_Savings!F35)</f>
        <v/>
      </c>
      <c r="H1228" s="40" t="str">
        <f>IF(Agent07_Savings!A35="","",Agent07_Savings!I35)</f>
        <v/>
      </c>
      <c r="I1228" s="40" t="str">
        <f>IF(Agent07_Savings!A35="","",Agent07_Savings!J35)</f>
        <v/>
      </c>
      <c r="J1228" s="40" t="str">
        <f>IF(Agent07_Savings!A35="","",Agent07_Savings!K35)</f>
        <v/>
      </c>
      <c r="K1228" s="40" t="str">
        <f>IFERROR(IF(Agent07_Savings!A35="","",YEAR(Agent07_Savings!D35)),"")</f>
        <v/>
      </c>
    </row>
    <row r="1229" spans="1:11" ht="18" customHeight="1" x14ac:dyDescent="0.25">
      <c r="A1229" s="40" t="str">
        <f>IF(Agent07_Savings!A36="","",Agent07_Savings!A36)</f>
        <v/>
      </c>
      <c r="B1229" s="40" t="str">
        <f ca="1">IF(Agent07_Savings!A36="","","SV"&amp;TEXT(1229-3,"0000")&amp;"-"&amp;TEXT(TODAY(),"YYYYMMDD"))</f>
        <v/>
      </c>
      <c r="C1229" s="40" t="str">
        <f>IF(Agent07_Savings!A36="","",Agent07_Savings!B36)</f>
        <v/>
      </c>
      <c r="D1229" s="40" t="str">
        <f>IF(Agent07_Savings!A36="","",Agent07_Savings!G36)</f>
        <v/>
      </c>
      <c r="E1229" s="41" t="str">
        <f>IF(Agent07_Savings!A36="","",Agent07_Savings!D36)</f>
        <v/>
      </c>
      <c r="F1229" s="42" t="str">
        <f>IF(Agent07_Savings!A36="","",Agent07_Savings!E36)</f>
        <v/>
      </c>
      <c r="G1229" s="42" t="str">
        <f>IF(Agent07_Savings!A36="","",Agent07_Savings!F36)</f>
        <v/>
      </c>
      <c r="H1229" s="40" t="str">
        <f>IF(Agent07_Savings!A36="","",Agent07_Savings!I36)</f>
        <v/>
      </c>
      <c r="I1229" s="40" t="str">
        <f>IF(Agent07_Savings!A36="","",Agent07_Savings!J36)</f>
        <v/>
      </c>
      <c r="J1229" s="40" t="str">
        <f>IF(Agent07_Savings!A36="","",Agent07_Savings!K36)</f>
        <v/>
      </c>
      <c r="K1229" s="40" t="str">
        <f>IFERROR(IF(Agent07_Savings!A36="","",YEAR(Agent07_Savings!D36)),"")</f>
        <v/>
      </c>
    </row>
    <row r="1230" spans="1:11" ht="18" customHeight="1" x14ac:dyDescent="0.25">
      <c r="A1230" s="40" t="str">
        <f>IF(Agent07_Savings!A37="","",Agent07_Savings!A37)</f>
        <v/>
      </c>
      <c r="B1230" s="40" t="str">
        <f ca="1">IF(Agent07_Savings!A37="","","SV"&amp;TEXT(1230-3,"0000")&amp;"-"&amp;TEXT(TODAY(),"YYYYMMDD"))</f>
        <v/>
      </c>
      <c r="C1230" s="40" t="str">
        <f>IF(Agent07_Savings!A37="","",Agent07_Savings!B37)</f>
        <v/>
      </c>
      <c r="D1230" s="40" t="str">
        <f>IF(Agent07_Savings!A37="","",Agent07_Savings!G37)</f>
        <v/>
      </c>
      <c r="E1230" s="41" t="str">
        <f>IF(Agent07_Savings!A37="","",Agent07_Savings!D37)</f>
        <v/>
      </c>
      <c r="F1230" s="42" t="str">
        <f>IF(Agent07_Savings!A37="","",Agent07_Savings!E37)</f>
        <v/>
      </c>
      <c r="G1230" s="42" t="str">
        <f>IF(Agent07_Savings!A37="","",Agent07_Savings!F37)</f>
        <v/>
      </c>
      <c r="H1230" s="40" t="str">
        <f>IF(Agent07_Savings!A37="","",Agent07_Savings!I37)</f>
        <v/>
      </c>
      <c r="I1230" s="40" t="str">
        <f>IF(Agent07_Savings!A37="","",Agent07_Savings!J37)</f>
        <v/>
      </c>
      <c r="J1230" s="40" t="str">
        <f>IF(Agent07_Savings!A37="","",Agent07_Savings!K37)</f>
        <v/>
      </c>
      <c r="K1230" s="40" t="str">
        <f>IFERROR(IF(Agent07_Savings!A37="","",YEAR(Agent07_Savings!D37)),"")</f>
        <v/>
      </c>
    </row>
    <row r="1231" spans="1:11" ht="18" customHeight="1" x14ac:dyDescent="0.25">
      <c r="A1231" s="40" t="str">
        <f>IF(Agent07_Savings!A38="","",Agent07_Savings!A38)</f>
        <v/>
      </c>
      <c r="B1231" s="40" t="str">
        <f ca="1">IF(Agent07_Savings!A38="","","SV"&amp;TEXT(1231-3,"0000")&amp;"-"&amp;TEXT(TODAY(),"YYYYMMDD"))</f>
        <v/>
      </c>
      <c r="C1231" s="40" t="str">
        <f>IF(Agent07_Savings!A38="","",Agent07_Savings!B38)</f>
        <v/>
      </c>
      <c r="D1231" s="40" t="str">
        <f>IF(Agent07_Savings!A38="","",Agent07_Savings!G38)</f>
        <v/>
      </c>
      <c r="E1231" s="41" t="str">
        <f>IF(Agent07_Savings!A38="","",Agent07_Savings!D38)</f>
        <v/>
      </c>
      <c r="F1231" s="42" t="str">
        <f>IF(Agent07_Savings!A38="","",Agent07_Savings!E38)</f>
        <v/>
      </c>
      <c r="G1231" s="42" t="str">
        <f>IF(Agent07_Savings!A38="","",Agent07_Savings!F38)</f>
        <v/>
      </c>
      <c r="H1231" s="40" t="str">
        <f>IF(Agent07_Savings!A38="","",Agent07_Savings!I38)</f>
        <v/>
      </c>
      <c r="I1231" s="40" t="str">
        <f>IF(Agent07_Savings!A38="","",Agent07_Savings!J38)</f>
        <v/>
      </c>
      <c r="J1231" s="40" t="str">
        <f>IF(Agent07_Savings!A38="","",Agent07_Savings!K38)</f>
        <v/>
      </c>
      <c r="K1231" s="40" t="str">
        <f>IFERROR(IF(Agent07_Savings!A38="","",YEAR(Agent07_Savings!D38)),"")</f>
        <v/>
      </c>
    </row>
    <row r="1232" spans="1:11" ht="18" customHeight="1" x14ac:dyDescent="0.25">
      <c r="A1232" s="40" t="str">
        <f>IF(Agent07_Savings!A39="","",Agent07_Savings!A39)</f>
        <v/>
      </c>
      <c r="B1232" s="40" t="str">
        <f ca="1">IF(Agent07_Savings!A39="","","SV"&amp;TEXT(1232-3,"0000")&amp;"-"&amp;TEXT(TODAY(),"YYYYMMDD"))</f>
        <v/>
      </c>
      <c r="C1232" s="40" t="str">
        <f>IF(Agent07_Savings!A39="","",Agent07_Savings!B39)</f>
        <v/>
      </c>
      <c r="D1232" s="40" t="str">
        <f>IF(Agent07_Savings!A39="","",Agent07_Savings!G39)</f>
        <v/>
      </c>
      <c r="E1232" s="41" t="str">
        <f>IF(Agent07_Savings!A39="","",Agent07_Savings!D39)</f>
        <v/>
      </c>
      <c r="F1232" s="42" t="str">
        <f>IF(Agent07_Savings!A39="","",Agent07_Savings!E39)</f>
        <v/>
      </c>
      <c r="G1232" s="42" t="str">
        <f>IF(Agent07_Savings!A39="","",Agent07_Savings!F39)</f>
        <v/>
      </c>
      <c r="H1232" s="40" t="str">
        <f>IF(Agent07_Savings!A39="","",Agent07_Savings!I39)</f>
        <v/>
      </c>
      <c r="I1232" s="40" t="str">
        <f>IF(Agent07_Savings!A39="","",Agent07_Savings!J39)</f>
        <v/>
      </c>
      <c r="J1232" s="40" t="str">
        <f>IF(Agent07_Savings!A39="","",Agent07_Savings!K39)</f>
        <v/>
      </c>
      <c r="K1232" s="40" t="str">
        <f>IFERROR(IF(Agent07_Savings!A39="","",YEAR(Agent07_Savings!D39)),"")</f>
        <v/>
      </c>
    </row>
    <row r="1233" spans="1:11" ht="18" customHeight="1" x14ac:dyDescent="0.25">
      <c r="A1233" s="40" t="str">
        <f>IF(Agent07_Savings!A40="","",Agent07_Savings!A40)</f>
        <v/>
      </c>
      <c r="B1233" s="40" t="str">
        <f ca="1">IF(Agent07_Savings!A40="","","SV"&amp;TEXT(1233-3,"0000")&amp;"-"&amp;TEXT(TODAY(),"YYYYMMDD"))</f>
        <v/>
      </c>
      <c r="C1233" s="40" t="str">
        <f>IF(Agent07_Savings!A40="","",Agent07_Savings!B40)</f>
        <v/>
      </c>
      <c r="D1233" s="40" t="str">
        <f>IF(Agent07_Savings!A40="","",Agent07_Savings!G40)</f>
        <v/>
      </c>
      <c r="E1233" s="41" t="str">
        <f>IF(Agent07_Savings!A40="","",Agent07_Savings!D40)</f>
        <v/>
      </c>
      <c r="F1233" s="42" t="str">
        <f>IF(Agent07_Savings!A40="","",Agent07_Savings!E40)</f>
        <v/>
      </c>
      <c r="G1233" s="42" t="str">
        <f>IF(Agent07_Savings!A40="","",Agent07_Savings!F40)</f>
        <v/>
      </c>
      <c r="H1233" s="40" t="str">
        <f>IF(Agent07_Savings!A40="","",Agent07_Savings!I40)</f>
        <v/>
      </c>
      <c r="I1233" s="40" t="str">
        <f>IF(Agent07_Savings!A40="","",Agent07_Savings!J40)</f>
        <v/>
      </c>
      <c r="J1233" s="40" t="str">
        <f>IF(Agent07_Savings!A40="","",Agent07_Savings!K40)</f>
        <v/>
      </c>
      <c r="K1233" s="40" t="str">
        <f>IFERROR(IF(Agent07_Savings!A40="","",YEAR(Agent07_Savings!D40)),"")</f>
        <v/>
      </c>
    </row>
    <row r="1234" spans="1:11" ht="18" customHeight="1" x14ac:dyDescent="0.25">
      <c r="A1234" s="40" t="str">
        <f>IF(Agent07_Savings!A41="","",Agent07_Savings!A41)</f>
        <v/>
      </c>
      <c r="B1234" s="40" t="str">
        <f ca="1">IF(Agent07_Savings!A41="","","SV"&amp;TEXT(1234-3,"0000")&amp;"-"&amp;TEXT(TODAY(),"YYYYMMDD"))</f>
        <v/>
      </c>
      <c r="C1234" s="40" t="str">
        <f>IF(Agent07_Savings!A41="","",Agent07_Savings!B41)</f>
        <v/>
      </c>
      <c r="D1234" s="40" t="str">
        <f>IF(Agent07_Savings!A41="","",Agent07_Savings!G41)</f>
        <v/>
      </c>
      <c r="E1234" s="41" t="str">
        <f>IF(Agent07_Savings!A41="","",Agent07_Savings!D41)</f>
        <v/>
      </c>
      <c r="F1234" s="42" t="str">
        <f>IF(Agent07_Savings!A41="","",Agent07_Savings!E41)</f>
        <v/>
      </c>
      <c r="G1234" s="42" t="str">
        <f>IF(Agent07_Savings!A41="","",Agent07_Savings!F41)</f>
        <v/>
      </c>
      <c r="H1234" s="40" t="str">
        <f>IF(Agent07_Savings!A41="","",Agent07_Savings!I41)</f>
        <v/>
      </c>
      <c r="I1234" s="40" t="str">
        <f>IF(Agent07_Savings!A41="","",Agent07_Savings!J41)</f>
        <v/>
      </c>
      <c r="J1234" s="40" t="str">
        <f>IF(Agent07_Savings!A41="","",Agent07_Savings!K41)</f>
        <v/>
      </c>
      <c r="K1234" s="40" t="str">
        <f>IFERROR(IF(Agent07_Savings!A41="","",YEAR(Agent07_Savings!D41)),"")</f>
        <v/>
      </c>
    </row>
    <row r="1235" spans="1:11" ht="18" customHeight="1" x14ac:dyDescent="0.25">
      <c r="A1235" s="40" t="str">
        <f>IF(Agent07_Savings!A42="","",Agent07_Savings!A42)</f>
        <v/>
      </c>
      <c r="B1235" s="40" t="str">
        <f ca="1">IF(Agent07_Savings!A42="","","SV"&amp;TEXT(1235-3,"0000")&amp;"-"&amp;TEXT(TODAY(),"YYYYMMDD"))</f>
        <v/>
      </c>
      <c r="C1235" s="40" t="str">
        <f>IF(Agent07_Savings!A42="","",Agent07_Savings!B42)</f>
        <v/>
      </c>
      <c r="D1235" s="40" t="str">
        <f>IF(Agent07_Savings!A42="","",Agent07_Savings!G42)</f>
        <v/>
      </c>
      <c r="E1235" s="41" t="str">
        <f>IF(Agent07_Savings!A42="","",Agent07_Savings!D42)</f>
        <v/>
      </c>
      <c r="F1235" s="42" t="str">
        <f>IF(Agent07_Savings!A42="","",Agent07_Savings!E42)</f>
        <v/>
      </c>
      <c r="G1235" s="42" t="str">
        <f>IF(Agent07_Savings!A42="","",Agent07_Savings!F42)</f>
        <v/>
      </c>
      <c r="H1235" s="40" t="str">
        <f>IF(Agent07_Savings!A42="","",Agent07_Savings!I42)</f>
        <v/>
      </c>
      <c r="I1235" s="40" t="str">
        <f>IF(Agent07_Savings!A42="","",Agent07_Savings!J42)</f>
        <v/>
      </c>
      <c r="J1235" s="40" t="str">
        <f>IF(Agent07_Savings!A42="","",Agent07_Savings!K42)</f>
        <v/>
      </c>
      <c r="K1235" s="40" t="str">
        <f>IFERROR(IF(Agent07_Savings!A42="","",YEAR(Agent07_Savings!D42)),"")</f>
        <v/>
      </c>
    </row>
    <row r="1236" spans="1:11" ht="18" customHeight="1" x14ac:dyDescent="0.25">
      <c r="A1236" s="40" t="str">
        <f>IF(Agent07_Savings!A43="","",Agent07_Savings!A43)</f>
        <v/>
      </c>
      <c r="B1236" s="40" t="str">
        <f ca="1">IF(Agent07_Savings!A43="","","SV"&amp;TEXT(1236-3,"0000")&amp;"-"&amp;TEXT(TODAY(),"YYYYMMDD"))</f>
        <v/>
      </c>
      <c r="C1236" s="40" t="str">
        <f>IF(Agent07_Savings!A43="","",Agent07_Savings!B43)</f>
        <v/>
      </c>
      <c r="D1236" s="40" t="str">
        <f>IF(Agent07_Savings!A43="","",Agent07_Savings!G43)</f>
        <v/>
      </c>
      <c r="E1236" s="41" t="str">
        <f>IF(Agent07_Savings!A43="","",Agent07_Savings!D43)</f>
        <v/>
      </c>
      <c r="F1236" s="42" t="str">
        <f>IF(Agent07_Savings!A43="","",Agent07_Savings!E43)</f>
        <v/>
      </c>
      <c r="G1236" s="42" t="str">
        <f>IF(Agent07_Savings!A43="","",Agent07_Savings!F43)</f>
        <v/>
      </c>
      <c r="H1236" s="40" t="str">
        <f>IF(Agent07_Savings!A43="","",Agent07_Savings!I43)</f>
        <v/>
      </c>
      <c r="I1236" s="40" t="str">
        <f>IF(Agent07_Savings!A43="","",Agent07_Savings!J43)</f>
        <v/>
      </c>
      <c r="J1236" s="40" t="str">
        <f>IF(Agent07_Savings!A43="","",Agent07_Savings!K43)</f>
        <v/>
      </c>
      <c r="K1236" s="40" t="str">
        <f>IFERROR(IF(Agent07_Savings!A43="","",YEAR(Agent07_Savings!D43)),"")</f>
        <v/>
      </c>
    </row>
    <row r="1237" spans="1:11" ht="18" customHeight="1" x14ac:dyDescent="0.25">
      <c r="A1237" s="40" t="str">
        <f>IF(Agent07_Savings!A44="","",Agent07_Savings!A44)</f>
        <v/>
      </c>
      <c r="B1237" s="40" t="str">
        <f ca="1">IF(Agent07_Savings!A44="","","SV"&amp;TEXT(1237-3,"0000")&amp;"-"&amp;TEXT(TODAY(),"YYYYMMDD"))</f>
        <v/>
      </c>
      <c r="C1237" s="40" t="str">
        <f>IF(Agent07_Savings!A44="","",Agent07_Savings!B44)</f>
        <v/>
      </c>
      <c r="D1237" s="40" t="str">
        <f>IF(Agent07_Savings!A44="","",Agent07_Savings!G44)</f>
        <v/>
      </c>
      <c r="E1237" s="41" t="str">
        <f>IF(Agent07_Savings!A44="","",Agent07_Savings!D44)</f>
        <v/>
      </c>
      <c r="F1237" s="42" t="str">
        <f>IF(Agent07_Savings!A44="","",Agent07_Savings!E44)</f>
        <v/>
      </c>
      <c r="G1237" s="42" t="str">
        <f>IF(Agent07_Savings!A44="","",Agent07_Savings!F44)</f>
        <v/>
      </c>
      <c r="H1237" s="40" t="str">
        <f>IF(Agent07_Savings!A44="","",Agent07_Savings!I44)</f>
        <v/>
      </c>
      <c r="I1237" s="40" t="str">
        <f>IF(Agent07_Savings!A44="","",Agent07_Savings!J44)</f>
        <v/>
      </c>
      <c r="J1237" s="40" t="str">
        <f>IF(Agent07_Savings!A44="","",Agent07_Savings!K44)</f>
        <v/>
      </c>
      <c r="K1237" s="40" t="str">
        <f>IFERROR(IF(Agent07_Savings!A44="","",YEAR(Agent07_Savings!D44)),"")</f>
        <v/>
      </c>
    </row>
    <row r="1238" spans="1:11" ht="18" customHeight="1" x14ac:dyDescent="0.25">
      <c r="A1238" s="40" t="str">
        <f>IF(Agent07_Savings!A45="","",Agent07_Savings!A45)</f>
        <v/>
      </c>
      <c r="B1238" s="40" t="str">
        <f ca="1">IF(Agent07_Savings!A45="","","SV"&amp;TEXT(1238-3,"0000")&amp;"-"&amp;TEXT(TODAY(),"YYYYMMDD"))</f>
        <v/>
      </c>
      <c r="C1238" s="40" t="str">
        <f>IF(Agent07_Savings!A45="","",Agent07_Savings!B45)</f>
        <v/>
      </c>
      <c r="D1238" s="40" t="str">
        <f>IF(Agent07_Savings!A45="","",Agent07_Savings!G45)</f>
        <v/>
      </c>
      <c r="E1238" s="41" t="str">
        <f>IF(Agent07_Savings!A45="","",Agent07_Savings!D45)</f>
        <v/>
      </c>
      <c r="F1238" s="42" t="str">
        <f>IF(Agent07_Savings!A45="","",Agent07_Savings!E45)</f>
        <v/>
      </c>
      <c r="G1238" s="42" t="str">
        <f>IF(Agent07_Savings!A45="","",Agent07_Savings!F45)</f>
        <v/>
      </c>
      <c r="H1238" s="40" t="str">
        <f>IF(Agent07_Savings!A45="","",Agent07_Savings!I45)</f>
        <v/>
      </c>
      <c r="I1238" s="40" t="str">
        <f>IF(Agent07_Savings!A45="","",Agent07_Savings!J45)</f>
        <v/>
      </c>
      <c r="J1238" s="40" t="str">
        <f>IF(Agent07_Savings!A45="","",Agent07_Savings!K45)</f>
        <v/>
      </c>
      <c r="K1238" s="40" t="str">
        <f>IFERROR(IF(Agent07_Savings!A45="","",YEAR(Agent07_Savings!D45)),"")</f>
        <v/>
      </c>
    </row>
    <row r="1239" spans="1:11" ht="18" customHeight="1" x14ac:dyDescent="0.25">
      <c r="A1239" s="40" t="str">
        <f>IF(Agent07_Savings!A46="","",Agent07_Savings!A46)</f>
        <v/>
      </c>
      <c r="B1239" s="40" t="str">
        <f ca="1">IF(Agent07_Savings!A46="","","SV"&amp;TEXT(1239-3,"0000")&amp;"-"&amp;TEXT(TODAY(),"YYYYMMDD"))</f>
        <v/>
      </c>
      <c r="C1239" s="40" t="str">
        <f>IF(Agent07_Savings!A46="","",Agent07_Savings!B46)</f>
        <v/>
      </c>
      <c r="D1239" s="40" t="str">
        <f>IF(Agent07_Savings!A46="","",Agent07_Savings!G46)</f>
        <v/>
      </c>
      <c r="E1239" s="41" t="str">
        <f>IF(Agent07_Savings!A46="","",Agent07_Savings!D46)</f>
        <v/>
      </c>
      <c r="F1239" s="42" t="str">
        <f>IF(Agent07_Savings!A46="","",Agent07_Savings!E46)</f>
        <v/>
      </c>
      <c r="G1239" s="42" t="str">
        <f>IF(Agent07_Savings!A46="","",Agent07_Savings!F46)</f>
        <v/>
      </c>
      <c r="H1239" s="40" t="str">
        <f>IF(Agent07_Savings!A46="","",Agent07_Savings!I46)</f>
        <v/>
      </c>
      <c r="I1239" s="40" t="str">
        <f>IF(Agent07_Savings!A46="","",Agent07_Savings!J46)</f>
        <v/>
      </c>
      <c r="J1239" s="40" t="str">
        <f>IF(Agent07_Savings!A46="","",Agent07_Savings!K46)</f>
        <v/>
      </c>
      <c r="K1239" s="40" t="str">
        <f>IFERROR(IF(Agent07_Savings!A46="","",YEAR(Agent07_Savings!D46)),"")</f>
        <v/>
      </c>
    </row>
    <row r="1240" spans="1:11" ht="18" customHeight="1" x14ac:dyDescent="0.25">
      <c r="A1240" s="40" t="str">
        <f>IF(Agent07_Savings!A47="","",Agent07_Savings!A47)</f>
        <v/>
      </c>
      <c r="B1240" s="40" t="str">
        <f ca="1">IF(Agent07_Savings!A47="","","SV"&amp;TEXT(1240-3,"0000")&amp;"-"&amp;TEXT(TODAY(),"YYYYMMDD"))</f>
        <v/>
      </c>
      <c r="C1240" s="40" t="str">
        <f>IF(Agent07_Savings!A47="","",Agent07_Savings!B47)</f>
        <v/>
      </c>
      <c r="D1240" s="40" t="str">
        <f>IF(Agent07_Savings!A47="","",Agent07_Savings!G47)</f>
        <v/>
      </c>
      <c r="E1240" s="41" t="str">
        <f>IF(Agent07_Savings!A47="","",Agent07_Savings!D47)</f>
        <v/>
      </c>
      <c r="F1240" s="42" t="str">
        <f>IF(Agent07_Savings!A47="","",Agent07_Savings!E47)</f>
        <v/>
      </c>
      <c r="G1240" s="42" t="str">
        <f>IF(Agent07_Savings!A47="","",Agent07_Savings!F47)</f>
        <v/>
      </c>
      <c r="H1240" s="40" t="str">
        <f>IF(Agent07_Savings!A47="","",Agent07_Savings!I47)</f>
        <v/>
      </c>
      <c r="I1240" s="40" t="str">
        <f>IF(Agent07_Savings!A47="","",Agent07_Savings!J47)</f>
        <v/>
      </c>
      <c r="J1240" s="40" t="str">
        <f>IF(Agent07_Savings!A47="","",Agent07_Savings!K47)</f>
        <v/>
      </c>
      <c r="K1240" s="40" t="str">
        <f>IFERROR(IF(Agent07_Savings!A47="","",YEAR(Agent07_Savings!D47)),"")</f>
        <v/>
      </c>
    </row>
    <row r="1241" spans="1:11" ht="18" customHeight="1" x14ac:dyDescent="0.25">
      <c r="A1241" s="40" t="str">
        <f>IF(Agent07_Savings!A48="","",Agent07_Savings!A48)</f>
        <v/>
      </c>
      <c r="B1241" s="40" t="str">
        <f ca="1">IF(Agent07_Savings!A48="","","SV"&amp;TEXT(1241-3,"0000")&amp;"-"&amp;TEXT(TODAY(),"YYYYMMDD"))</f>
        <v/>
      </c>
      <c r="C1241" s="40" t="str">
        <f>IF(Agent07_Savings!A48="","",Agent07_Savings!B48)</f>
        <v/>
      </c>
      <c r="D1241" s="40" t="str">
        <f>IF(Agent07_Savings!A48="","",Agent07_Savings!G48)</f>
        <v/>
      </c>
      <c r="E1241" s="41" t="str">
        <f>IF(Agent07_Savings!A48="","",Agent07_Savings!D48)</f>
        <v/>
      </c>
      <c r="F1241" s="42" t="str">
        <f>IF(Agent07_Savings!A48="","",Agent07_Savings!E48)</f>
        <v/>
      </c>
      <c r="G1241" s="42" t="str">
        <f>IF(Agent07_Savings!A48="","",Agent07_Savings!F48)</f>
        <v/>
      </c>
      <c r="H1241" s="40" t="str">
        <f>IF(Agent07_Savings!A48="","",Agent07_Savings!I48)</f>
        <v/>
      </c>
      <c r="I1241" s="40" t="str">
        <f>IF(Agent07_Savings!A48="","",Agent07_Savings!J48)</f>
        <v/>
      </c>
      <c r="J1241" s="40" t="str">
        <f>IF(Agent07_Savings!A48="","",Agent07_Savings!K48)</f>
        <v/>
      </c>
      <c r="K1241" s="40" t="str">
        <f>IFERROR(IF(Agent07_Savings!A48="","",YEAR(Agent07_Savings!D48)),"")</f>
        <v/>
      </c>
    </row>
    <row r="1242" spans="1:11" ht="18" customHeight="1" x14ac:dyDescent="0.25">
      <c r="A1242" s="40" t="str">
        <f>IF(Agent07_Savings!A49="","",Agent07_Savings!A49)</f>
        <v/>
      </c>
      <c r="B1242" s="40" t="str">
        <f ca="1">IF(Agent07_Savings!A49="","","SV"&amp;TEXT(1242-3,"0000")&amp;"-"&amp;TEXT(TODAY(),"YYYYMMDD"))</f>
        <v/>
      </c>
      <c r="C1242" s="40" t="str">
        <f>IF(Agent07_Savings!A49="","",Agent07_Savings!B49)</f>
        <v/>
      </c>
      <c r="D1242" s="40" t="str">
        <f>IF(Agent07_Savings!A49="","",Agent07_Savings!G49)</f>
        <v/>
      </c>
      <c r="E1242" s="41" t="str">
        <f>IF(Agent07_Savings!A49="","",Agent07_Savings!D49)</f>
        <v/>
      </c>
      <c r="F1242" s="42" t="str">
        <f>IF(Agent07_Savings!A49="","",Agent07_Savings!E49)</f>
        <v/>
      </c>
      <c r="G1242" s="42" t="str">
        <f>IF(Agent07_Savings!A49="","",Agent07_Savings!F49)</f>
        <v/>
      </c>
      <c r="H1242" s="40" t="str">
        <f>IF(Agent07_Savings!A49="","",Agent07_Savings!I49)</f>
        <v/>
      </c>
      <c r="I1242" s="40" t="str">
        <f>IF(Agent07_Savings!A49="","",Agent07_Savings!J49)</f>
        <v/>
      </c>
      <c r="J1242" s="40" t="str">
        <f>IF(Agent07_Savings!A49="","",Agent07_Savings!K49)</f>
        <v/>
      </c>
      <c r="K1242" s="40" t="str">
        <f>IFERROR(IF(Agent07_Savings!A49="","",YEAR(Agent07_Savings!D49)),"")</f>
        <v/>
      </c>
    </row>
    <row r="1243" spans="1:11" ht="18" customHeight="1" x14ac:dyDescent="0.25">
      <c r="A1243" s="40" t="str">
        <f>IF(Agent07_Savings!A50="","",Agent07_Savings!A50)</f>
        <v/>
      </c>
      <c r="B1243" s="40" t="str">
        <f ca="1">IF(Agent07_Savings!A50="","","SV"&amp;TEXT(1243-3,"0000")&amp;"-"&amp;TEXT(TODAY(),"YYYYMMDD"))</f>
        <v/>
      </c>
      <c r="C1243" s="40" t="str">
        <f>IF(Agent07_Savings!A50="","",Agent07_Savings!B50)</f>
        <v/>
      </c>
      <c r="D1243" s="40" t="str">
        <f>IF(Agent07_Savings!A50="","",Agent07_Savings!G50)</f>
        <v/>
      </c>
      <c r="E1243" s="41" t="str">
        <f>IF(Agent07_Savings!A50="","",Agent07_Savings!D50)</f>
        <v/>
      </c>
      <c r="F1243" s="42" t="str">
        <f>IF(Agent07_Savings!A50="","",Agent07_Savings!E50)</f>
        <v/>
      </c>
      <c r="G1243" s="42" t="str">
        <f>IF(Agent07_Savings!A50="","",Agent07_Savings!F50)</f>
        <v/>
      </c>
      <c r="H1243" s="40" t="str">
        <f>IF(Agent07_Savings!A50="","",Agent07_Savings!I50)</f>
        <v/>
      </c>
      <c r="I1243" s="40" t="str">
        <f>IF(Agent07_Savings!A50="","",Agent07_Savings!J50)</f>
        <v/>
      </c>
      <c r="J1243" s="40" t="str">
        <f>IF(Agent07_Savings!A50="","",Agent07_Savings!K50)</f>
        <v/>
      </c>
      <c r="K1243" s="40" t="str">
        <f>IFERROR(IF(Agent07_Savings!A50="","",YEAR(Agent07_Savings!D50)),"")</f>
        <v/>
      </c>
    </row>
    <row r="1244" spans="1:11" ht="18" customHeight="1" x14ac:dyDescent="0.25">
      <c r="A1244" s="40" t="str">
        <f>IF(Agent07_Savings!A51="","",Agent07_Savings!A51)</f>
        <v/>
      </c>
      <c r="B1244" s="40" t="str">
        <f ca="1">IF(Agent07_Savings!A51="","","SV"&amp;TEXT(1244-3,"0000")&amp;"-"&amp;TEXT(TODAY(),"YYYYMMDD"))</f>
        <v/>
      </c>
      <c r="C1244" s="40" t="str">
        <f>IF(Agent07_Savings!A51="","",Agent07_Savings!B51)</f>
        <v/>
      </c>
      <c r="D1244" s="40" t="str">
        <f>IF(Agent07_Savings!A51="","",Agent07_Savings!G51)</f>
        <v/>
      </c>
      <c r="E1244" s="41" t="str">
        <f>IF(Agent07_Savings!A51="","",Agent07_Savings!D51)</f>
        <v/>
      </c>
      <c r="F1244" s="42" t="str">
        <f>IF(Agent07_Savings!A51="","",Agent07_Savings!E51)</f>
        <v/>
      </c>
      <c r="G1244" s="42" t="str">
        <f>IF(Agent07_Savings!A51="","",Agent07_Savings!F51)</f>
        <v/>
      </c>
      <c r="H1244" s="40" t="str">
        <f>IF(Agent07_Savings!A51="","",Agent07_Savings!I51)</f>
        <v/>
      </c>
      <c r="I1244" s="40" t="str">
        <f>IF(Agent07_Savings!A51="","",Agent07_Savings!J51)</f>
        <v/>
      </c>
      <c r="J1244" s="40" t="str">
        <f>IF(Agent07_Savings!A51="","",Agent07_Savings!K51)</f>
        <v/>
      </c>
      <c r="K1244" s="40" t="str">
        <f>IFERROR(IF(Agent07_Savings!A51="","",YEAR(Agent07_Savings!D51)),"")</f>
        <v/>
      </c>
    </row>
    <row r="1245" spans="1:11" ht="18" customHeight="1" x14ac:dyDescent="0.25">
      <c r="A1245" s="40" t="str">
        <f>IF(Agent07_Savings!A52="","",Agent07_Savings!A52)</f>
        <v/>
      </c>
      <c r="B1245" s="40" t="str">
        <f ca="1">IF(Agent07_Savings!A52="","","SV"&amp;TEXT(1245-3,"0000")&amp;"-"&amp;TEXT(TODAY(),"YYYYMMDD"))</f>
        <v/>
      </c>
      <c r="C1245" s="40" t="str">
        <f>IF(Agent07_Savings!A52="","",Agent07_Savings!B52)</f>
        <v/>
      </c>
      <c r="D1245" s="40" t="str">
        <f>IF(Agent07_Savings!A52="","",Agent07_Savings!G52)</f>
        <v/>
      </c>
      <c r="E1245" s="41" t="str">
        <f>IF(Agent07_Savings!A52="","",Agent07_Savings!D52)</f>
        <v/>
      </c>
      <c r="F1245" s="42" t="str">
        <f>IF(Agent07_Savings!A52="","",Agent07_Savings!E52)</f>
        <v/>
      </c>
      <c r="G1245" s="42" t="str">
        <f>IF(Agent07_Savings!A52="","",Agent07_Savings!F52)</f>
        <v/>
      </c>
      <c r="H1245" s="40" t="str">
        <f>IF(Agent07_Savings!A52="","",Agent07_Savings!I52)</f>
        <v/>
      </c>
      <c r="I1245" s="40" t="str">
        <f>IF(Agent07_Savings!A52="","",Agent07_Savings!J52)</f>
        <v/>
      </c>
      <c r="J1245" s="40" t="str">
        <f>IF(Agent07_Savings!A52="","",Agent07_Savings!K52)</f>
        <v/>
      </c>
      <c r="K1245" s="40" t="str">
        <f>IFERROR(IF(Agent07_Savings!A52="","",YEAR(Agent07_Savings!D52)),"")</f>
        <v/>
      </c>
    </row>
    <row r="1246" spans="1:11" ht="18" customHeight="1" x14ac:dyDescent="0.25">
      <c r="A1246" s="40" t="str">
        <f>IF(Agent07_Savings!A53="","",Agent07_Savings!A53)</f>
        <v/>
      </c>
      <c r="B1246" s="40" t="str">
        <f ca="1">IF(Agent07_Savings!A53="","","SV"&amp;TEXT(1246-3,"0000")&amp;"-"&amp;TEXT(TODAY(),"YYYYMMDD"))</f>
        <v/>
      </c>
      <c r="C1246" s="40" t="str">
        <f>IF(Agent07_Savings!A53="","",Agent07_Savings!B53)</f>
        <v/>
      </c>
      <c r="D1246" s="40" t="str">
        <f>IF(Agent07_Savings!A53="","",Agent07_Savings!G53)</f>
        <v/>
      </c>
      <c r="E1246" s="41" t="str">
        <f>IF(Agent07_Savings!A53="","",Agent07_Savings!D53)</f>
        <v/>
      </c>
      <c r="F1246" s="42" t="str">
        <f>IF(Agent07_Savings!A53="","",Agent07_Savings!E53)</f>
        <v/>
      </c>
      <c r="G1246" s="42" t="str">
        <f>IF(Agent07_Savings!A53="","",Agent07_Savings!F53)</f>
        <v/>
      </c>
      <c r="H1246" s="40" t="str">
        <f>IF(Agent07_Savings!A53="","",Agent07_Savings!I53)</f>
        <v/>
      </c>
      <c r="I1246" s="40" t="str">
        <f>IF(Agent07_Savings!A53="","",Agent07_Savings!J53)</f>
        <v/>
      </c>
      <c r="J1246" s="40" t="str">
        <f>IF(Agent07_Savings!A53="","",Agent07_Savings!K53)</f>
        <v/>
      </c>
      <c r="K1246" s="40" t="str">
        <f>IFERROR(IF(Agent07_Savings!A53="","",YEAR(Agent07_Savings!D53)),"")</f>
        <v/>
      </c>
    </row>
    <row r="1247" spans="1:11" ht="18" customHeight="1" x14ac:dyDescent="0.25">
      <c r="A1247" s="40" t="str">
        <f>IF(Agent07_Savings!A54="","",Agent07_Savings!A54)</f>
        <v/>
      </c>
      <c r="B1247" s="40" t="str">
        <f ca="1">IF(Agent07_Savings!A54="","","SV"&amp;TEXT(1247-3,"0000")&amp;"-"&amp;TEXT(TODAY(),"YYYYMMDD"))</f>
        <v/>
      </c>
      <c r="C1247" s="40" t="str">
        <f>IF(Agent07_Savings!A54="","",Agent07_Savings!B54)</f>
        <v/>
      </c>
      <c r="D1247" s="40" t="str">
        <f>IF(Agent07_Savings!A54="","",Agent07_Savings!G54)</f>
        <v/>
      </c>
      <c r="E1247" s="41" t="str">
        <f>IF(Agent07_Savings!A54="","",Agent07_Savings!D54)</f>
        <v/>
      </c>
      <c r="F1247" s="42" t="str">
        <f>IF(Agent07_Savings!A54="","",Agent07_Savings!E54)</f>
        <v/>
      </c>
      <c r="G1247" s="42" t="str">
        <f>IF(Agent07_Savings!A54="","",Agent07_Savings!F54)</f>
        <v/>
      </c>
      <c r="H1247" s="40" t="str">
        <f>IF(Agent07_Savings!A54="","",Agent07_Savings!I54)</f>
        <v/>
      </c>
      <c r="I1247" s="40" t="str">
        <f>IF(Agent07_Savings!A54="","",Agent07_Savings!J54)</f>
        <v/>
      </c>
      <c r="J1247" s="40" t="str">
        <f>IF(Agent07_Savings!A54="","",Agent07_Savings!K54)</f>
        <v/>
      </c>
      <c r="K1247" s="40" t="str">
        <f>IFERROR(IF(Agent07_Savings!A54="","",YEAR(Agent07_Savings!D54)),"")</f>
        <v/>
      </c>
    </row>
    <row r="1248" spans="1:11" ht="18" customHeight="1" x14ac:dyDescent="0.25">
      <c r="A1248" s="40" t="str">
        <f>IF(Agent07_Savings!A55="","",Agent07_Savings!A55)</f>
        <v/>
      </c>
      <c r="B1248" s="40" t="str">
        <f ca="1">IF(Agent07_Savings!A55="","","SV"&amp;TEXT(1248-3,"0000")&amp;"-"&amp;TEXT(TODAY(),"YYYYMMDD"))</f>
        <v/>
      </c>
      <c r="C1248" s="40" t="str">
        <f>IF(Agent07_Savings!A55="","",Agent07_Savings!B55)</f>
        <v/>
      </c>
      <c r="D1248" s="40" t="str">
        <f>IF(Agent07_Savings!A55="","",Agent07_Savings!G55)</f>
        <v/>
      </c>
      <c r="E1248" s="41" t="str">
        <f>IF(Agent07_Savings!A55="","",Agent07_Savings!D55)</f>
        <v/>
      </c>
      <c r="F1248" s="42" t="str">
        <f>IF(Agent07_Savings!A55="","",Agent07_Savings!E55)</f>
        <v/>
      </c>
      <c r="G1248" s="42" t="str">
        <f>IF(Agent07_Savings!A55="","",Agent07_Savings!F55)</f>
        <v/>
      </c>
      <c r="H1248" s="40" t="str">
        <f>IF(Agent07_Savings!A55="","",Agent07_Savings!I55)</f>
        <v/>
      </c>
      <c r="I1248" s="40" t="str">
        <f>IF(Agent07_Savings!A55="","",Agent07_Savings!J55)</f>
        <v/>
      </c>
      <c r="J1248" s="40" t="str">
        <f>IF(Agent07_Savings!A55="","",Agent07_Savings!K55)</f>
        <v/>
      </c>
      <c r="K1248" s="40" t="str">
        <f>IFERROR(IF(Agent07_Savings!A55="","",YEAR(Agent07_Savings!D55)),"")</f>
        <v/>
      </c>
    </row>
    <row r="1249" spans="1:11" ht="18" customHeight="1" x14ac:dyDescent="0.25">
      <c r="A1249" s="40" t="str">
        <f>IF(Agent07_Savings!A56="","",Agent07_Savings!A56)</f>
        <v/>
      </c>
      <c r="B1249" s="40" t="str">
        <f ca="1">IF(Agent07_Savings!A56="","","SV"&amp;TEXT(1249-3,"0000")&amp;"-"&amp;TEXT(TODAY(),"YYYYMMDD"))</f>
        <v/>
      </c>
      <c r="C1249" s="40" t="str">
        <f>IF(Agent07_Savings!A56="","",Agent07_Savings!B56)</f>
        <v/>
      </c>
      <c r="D1249" s="40" t="str">
        <f>IF(Agent07_Savings!A56="","",Agent07_Savings!G56)</f>
        <v/>
      </c>
      <c r="E1249" s="41" t="str">
        <f>IF(Agent07_Savings!A56="","",Agent07_Savings!D56)</f>
        <v/>
      </c>
      <c r="F1249" s="42" t="str">
        <f>IF(Agent07_Savings!A56="","",Agent07_Savings!E56)</f>
        <v/>
      </c>
      <c r="G1249" s="42" t="str">
        <f>IF(Agent07_Savings!A56="","",Agent07_Savings!F56)</f>
        <v/>
      </c>
      <c r="H1249" s="40" t="str">
        <f>IF(Agent07_Savings!A56="","",Agent07_Savings!I56)</f>
        <v/>
      </c>
      <c r="I1249" s="40" t="str">
        <f>IF(Agent07_Savings!A56="","",Agent07_Savings!J56)</f>
        <v/>
      </c>
      <c r="J1249" s="40" t="str">
        <f>IF(Agent07_Savings!A56="","",Agent07_Savings!K56)</f>
        <v/>
      </c>
      <c r="K1249" s="40" t="str">
        <f>IFERROR(IF(Agent07_Savings!A56="","",YEAR(Agent07_Savings!D56)),"")</f>
        <v/>
      </c>
    </row>
    <row r="1250" spans="1:11" ht="18" customHeight="1" x14ac:dyDescent="0.25">
      <c r="A1250" s="40" t="str">
        <f>IF(Agent07_Savings!A57="","",Agent07_Savings!A57)</f>
        <v/>
      </c>
      <c r="B1250" s="40" t="str">
        <f ca="1">IF(Agent07_Savings!A57="","","SV"&amp;TEXT(1250-3,"0000")&amp;"-"&amp;TEXT(TODAY(),"YYYYMMDD"))</f>
        <v/>
      </c>
      <c r="C1250" s="40" t="str">
        <f>IF(Agent07_Savings!A57="","",Agent07_Savings!B57)</f>
        <v/>
      </c>
      <c r="D1250" s="40" t="str">
        <f>IF(Agent07_Savings!A57="","",Agent07_Savings!G57)</f>
        <v/>
      </c>
      <c r="E1250" s="41" t="str">
        <f>IF(Agent07_Savings!A57="","",Agent07_Savings!D57)</f>
        <v/>
      </c>
      <c r="F1250" s="42" t="str">
        <f>IF(Agent07_Savings!A57="","",Agent07_Savings!E57)</f>
        <v/>
      </c>
      <c r="G1250" s="42" t="str">
        <f>IF(Agent07_Savings!A57="","",Agent07_Savings!F57)</f>
        <v/>
      </c>
      <c r="H1250" s="40" t="str">
        <f>IF(Agent07_Savings!A57="","",Agent07_Savings!I57)</f>
        <v/>
      </c>
      <c r="I1250" s="40" t="str">
        <f>IF(Agent07_Savings!A57="","",Agent07_Savings!J57)</f>
        <v/>
      </c>
      <c r="J1250" s="40" t="str">
        <f>IF(Agent07_Savings!A57="","",Agent07_Savings!K57)</f>
        <v/>
      </c>
      <c r="K1250" s="40" t="str">
        <f>IFERROR(IF(Agent07_Savings!A57="","",YEAR(Agent07_Savings!D57)),"")</f>
        <v/>
      </c>
    </row>
    <row r="1251" spans="1:11" ht="18" customHeight="1" x14ac:dyDescent="0.25">
      <c r="A1251" s="40" t="str">
        <f>IF(Agent07_Savings!A58="","",Agent07_Savings!A58)</f>
        <v/>
      </c>
      <c r="B1251" s="40" t="str">
        <f ca="1">IF(Agent07_Savings!A58="","","SV"&amp;TEXT(1251-3,"0000")&amp;"-"&amp;TEXT(TODAY(),"YYYYMMDD"))</f>
        <v/>
      </c>
      <c r="C1251" s="40" t="str">
        <f>IF(Agent07_Savings!A58="","",Agent07_Savings!B58)</f>
        <v/>
      </c>
      <c r="D1251" s="40" t="str">
        <f>IF(Agent07_Savings!A58="","",Agent07_Savings!G58)</f>
        <v/>
      </c>
      <c r="E1251" s="41" t="str">
        <f>IF(Agent07_Savings!A58="","",Agent07_Savings!D58)</f>
        <v/>
      </c>
      <c r="F1251" s="42" t="str">
        <f>IF(Agent07_Savings!A58="","",Agent07_Savings!E58)</f>
        <v/>
      </c>
      <c r="G1251" s="42" t="str">
        <f>IF(Agent07_Savings!A58="","",Agent07_Savings!F58)</f>
        <v/>
      </c>
      <c r="H1251" s="40" t="str">
        <f>IF(Agent07_Savings!A58="","",Agent07_Savings!I58)</f>
        <v/>
      </c>
      <c r="I1251" s="40" t="str">
        <f>IF(Agent07_Savings!A58="","",Agent07_Savings!J58)</f>
        <v/>
      </c>
      <c r="J1251" s="40" t="str">
        <f>IF(Agent07_Savings!A58="","",Agent07_Savings!K58)</f>
        <v/>
      </c>
      <c r="K1251" s="40" t="str">
        <f>IFERROR(IF(Agent07_Savings!A58="","",YEAR(Agent07_Savings!D58)),"")</f>
        <v/>
      </c>
    </row>
    <row r="1252" spans="1:11" ht="18" customHeight="1" x14ac:dyDescent="0.25">
      <c r="A1252" s="40" t="str">
        <f>IF(Agent07_Savings!A59="","",Agent07_Savings!A59)</f>
        <v/>
      </c>
      <c r="B1252" s="40" t="str">
        <f ca="1">IF(Agent07_Savings!A59="","","SV"&amp;TEXT(1252-3,"0000")&amp;"-"&amp;TEXT(TODAY(),"YYYYMMDD"))</f>
        <v/>
      </c>
      <c r="C1252" s="40" t="str">
        <f>IF(Agent07_Savings!A59="","",Agent07_Savings!B59)</f>
        <v/>
      </c>
      <c r="D1252" s="40" t="str">
        <f>IF(Agent07_Savings!A59="","",Agent07_Savings!G59)</f>
        <v/>
      </c>
      <c r="E1252" s="41" t="str">
        <f>IF(Agent07_Savings!A59="","",Agent07_Savings!D59)</f>
        <v/>
      </c>
      <c r="F1252" s="42" t="str">
        <f>IF(Agent07_Savings!A59="","",Agent07_Savings!E59)</f>
        <v/>
      </c>
      <c r="G1252" s="42" t="str">
        <f>IF(Agent07_Savings!A59="","",Agent07_Savings!F59)</f>
        <v/>
      </c>
      <c r="H1252" s="40" t="str">
        <f>IF(Agent07_Savings!A59="","",Agent07_Savings!I59)</f>
        <v/>
      </c>
      <c r="I1252" s="40" t="str">
        <f>IF(Agent07_Savings!A59="","",Agent07_Savings!J59)</f>
        <v/>
      </c>
      <c r="J1252" s="40" t="str">
        <f>IF(Agent07_Savings!A59="","",Agent07_Savings!K59)</f>
        <v/>
      </c>
      <c r="K1252" s="40" t="str">
        <f>IFERROR(IF(Agent07_Savings!A59="","",YEAR(Agent07_Savings!D59)),"")</f>
        <v/>
      </c>
    </row>
    <row r="1253" spans="1:11" ht="18" customHeight="1" x14ac:dyDescent="0.25">
      <c r="A1253" s="40" t="str">
        <f>IF(Agent07_Savings!A60="","",Agent07_Savings!A60)</f>
        <v/>
      </c>
      <c r="B1253" s="40" t="str">
        <f ca="1">IF(Agent07_Savings!A60="","","SV"&amp;TEXT(1253-3,"0000")&amp;"-"&amp;TEXT(TODAY(),"YYYYMMDD"))</f>
        <v/>
      </c>
      <c r="C1253" s="40" t="str">
        <f>IF(Agent07_Savings!A60="","",Agent07_Savings!B60)</f>
        <v/>
      </c>
      <c r="D1253" s="40" t="str">
        <f>IF(Agent07_Savings!A60="","",Agent07_Savings!G60)</f>
        <v/>
      </c>
      <c r="E1253" s="41" t="str">
        <f>IF(Agent07_Savings!A60="","",Agent07_Savings!D60)</f>
        <v/>
      </c>
      <c r="F1253" s="42" t="str">
        <f>IF(Agent07_Savings!A60="","",Agent07_Savings!E60)</f>
        <v/>
      </c>
      <c r="G1253" s="42" t="str">
        <f>IF(Agent07_Savings!A60="","",Agent07_Savings!F60)</f>
        <v/>
      </c>
      <c r="H1253" s="40" t="str">
        <f>IF(Agent07_Savings!A60="","",Agent07_Savings!I60)</f>
        <v/>
      </c>
      <c r="I1253" s="40" t="str">
        <f>IF(Agent07_Savings!A60="","",Agent07_Savings!J60)</f>
        <v/>
      </c>
      <c r="J1253" s="40" t="str">
        <f>IF(Agent07_Savings!A60="","",Agent07_Savings!K60)</f>
        <v/>
      </c>
      <c r="K1253" s="40" t="str">
        <f>IFERROR(IF(Agent07_Savings!A60="","",YEAR(Agent07_Savings!D60)),"")</f>
        <v/>
      </c>
    </row>
    <row r="1254" spans="1:11" ht="18" customHeight="1" x14ac:dyDescent="0.25">
      <c r="A1254" s="40" t="str">
        <f>IF(Agent07_Savings!A61="","",Agent07_Savings!A61)</f>
        <v/>
      </c>
      <c r="B1254" s="40" t="str">
        <f ca="1">IF(Agent07_Savings!A61="","","SV"&amp;TEXT(1254-3,"0000")&amp;"-"&amp;TEXT(TODAY(),"YYYYMMDD"))</f>
        <v/>
      </c>
      <c r="C1254" s="40" t="str">
        <f>IF(Agent07_Savings!A61="","",Agent07_Savings!B61)</f>
        <v/>
      </c>
      <c r="D1254" s="40" t="str">
        <f>IF(Agent07_Savings!A61="","",Agent07_Savings!G61)</f>
        <v/>
      </c>
      <c r="E1254" s="41" t="str">
        <f>IF(Agent07_Savings!A61="","",Agent07_Savings!D61)</f>
        <v/>
      </c>
      <c r="F1254" s="42" t="str">
        <f>IF(Agent07_Savings!A61="","",Agent07_Savings!E61)</f>
        <v/>
      </c>
      <c r="G1254" s="42" t="str">
        <f>IF(Agent07_Savings!A61="","",Agent07_Savings!F61)</f>
        <v/>
      </c>
      <c r="H1254" s="40" t="str">
        <f>IF(Agent07_Savings!A61="","",Agent07_Savings!I61)</f>
        <v/>
      </c>
      <c r="I1254" s="40" t="str">
        <f>IF(Agent07_Savings!A61="","",Agent07_Savings!J61)</f>
        <v/>
      </c>
      <c r="J1254" s="40" t="str">
        <f>IF(Agent07_Savings!A61="","",Agent07_Savings!K61)</f>
        <v/>
      </c>
      <c r="K1254" s="40" t="str">
        <f>IFERROR(IF(Agent07_Savings!A61="","",YEAR(Agent07_Savings!D61)),"")</f>
        <v/>
      </c>
    </row>
    <row r="1255" spans="1:11" ht="18" customHeight="1" x14ac:dyDescent="0.25">
      <c r="A1255" s="40" t="str">
        <f>IF(Agent07_Savings!A62="","",Agent07_Savings!A62)</f>
        <v/>
      </c>
      <c r="B1255" s="40" t="str">
        <f ca="1">IF(Agent07_Savings!A62="","","SV"&amp;TEXT(1255-3,"0000")&amp;"-"&amp;TEXT(TODAY(),"YYYYMMDD"))</f>
        <v/>
      </c>
      <c r="C1255" s="40" t="str">
        <f>IF(Agent07_Savings!A62="","",Agent07_Savings!B62)</f>
        <v/>
      </c>
      <c r="D1255" s="40" t="str">
        <f>IF(Agent07_Savings!A62="","",Agent07_Savings!G62)</f>
        <v/>
      </c>
      <c r="E1255" s="41" t="str">
        <f>IF(Agent07_Savings!A62="","",Agent07_Savings!D62)</f>
        <v/>
      </c>
      <c r="F1255" s="42" t="str">
        <f>IF(Agent07_Savings!A62="","",Agent07_Savings!E62)</f>
        <v/>
      </c>
      <c r="G1255" s="42" t="str">
        <f>IF(Agent07_Savings!A62="","",Agent07_Savings!F62)</f>
        <v/>
      </c>
      <c r="H1255" s="40" t="str">
        <f>IF(Agent07_Savings!A62="","",Agent07_Savings!I62)</f>
        <v/>
      </c>
      <c r="I1255" s="40" t="str">
        <f>IF(Agent07_Savings!A62="","",Agent07_Savings!J62)</f>
        <v/>
      </c>
      <c r="J1255" s="40" t="str">
        <f>IF(Agent07_Savings!A62="","",Agent07_Savings!K62)</f>
        <v/>
      </c>
      <c r="K1255" s="40" t="str">
        <f>IFERROR(IF(Agent07_Savings!A62="","",YEAR(Agent07_Savings!D62)),"")</f>
        <v/>
      </c>
    </row>
    <row r="1256" spans="1:11" ht="18" customHeight="1" x14ac:dyDescent="0.25">
      <c r="A1256" s="40" t="str">
        <f>IF(Agent07_Savings!A63="","",Agent07_Savings!A63)</f>
        <v/>
      </c>
      <c r="B1256" s="40" t="str">
        <f ca="1">IF(Agent07_Savings!A63="","","SV"&amp;TEXT(1256-3,"0000")&amp;"-"&amp;TEXT(TODAY(),"YYYYMMDD"))</f>
        <v/>
      </c>
      <c r="C1256" s="40" t="str">
        <f>IF(Agent07_Savings!A63="","",Agent07_Savings!B63)</f>
        <v/>
      </c>
      <c r="D1256" s="40" t="str">
        <f>IF(Agent07_Savings!A63="","",Agent07_Savings!G63)</f>
        <v/>
      </c>
      <c r="E1256" s="41" t="str">
        <f>IF(Agent07_Savings!A63="","",Agent07_Savings!D63)</f>
        <v/>
      </c>
      <c r="F1256" s="42" t="str">
        <f>IF(Agent07_Savings!A63="","",Agent07_Savings!E63)</f>
        <v/>
      </c>
      <c r="G1256" s="42" t="str">
        <f>IF(Agent07_Savings!A63="","",Agent07_Savings!F63)</f>
        <v/>
      </c>
      <c r="H1256" s="40" t="str">
        <f>IF(Agent07_Savings!A63="","",Agent07_Savings!I63)</f>
        <v/>
      </c>
      <c r="I1256" s="40" t="str">
        <f>IF(Agent07_Savings!A63="","",Agent07_Savings!J63)</f>
        <v/>
      </c>
      <c r="J1256" s="40" t="str">
        <f>IF(Agent07_Savings!A63="","",Agent07_Savings!K63)</f>
        <v/>
      </c>
      <c r="K1256" s="40" t="str">
        <f>IFERROR(IF(Agent07_Savings!A63="","",YEAR(Agent07_Savings!D63)),"")</f>
        <v/>
      </c>
    </row>
    <row r="1257" spans="1:11" ht="18" customHeight="1" x14ac:dyDescent="0.25">
      <c r="A1257" s="40" t="str">
        <f>IF(Agent07_Savings!A64="","",Agent07_Savings!A64)</f>
        <v/>
      </c>
      <c r="B1257" s="40" t="str">
        <f ca="1">IF(Agent07_Savings!A64="","","SV"&amp;TEXT(1257-3,"0000")&amp;"-"&amp;TEXT(TODAY(),"YYYYMMDD"))</f>
        <v/>
      </c>
      <c r="C1257" s="40" t="str">
        <f>IF(Agent07_Savings!A64="","",Agent07_Savings!B64)</f>
        <v/>
      </c>
      <c r="D1257" s="40" t="str">
        <f>IF(Agent07_Savings!A64="","",Agent07_Savings!G64)</f>
        <v/>
      </c>
      <c r="E1257" s="41" t="str">
        <f>IF(Agent07_Savings!A64="","",Agent07_Savings!D64)</f>
        <v/>
      </c>
      <c r="F1257" s="42" t="str">
        <f>IF(Agent07_Savings!A64="","",Agent07_Savings!E64)</f>
        <v/>
      </c>
      <c r="G1257" s="42" t="str">
        <f>IF(Agent07_Savings!A64="","",Agent07_Savings!F64)</f>
        <v/>
      </c>
      <c r="H1257" s="40" t="str">
        <f>IF(Agent07_Savings!A64="","",Agent07_Savings!I64)</f>
        <v/>
      </c>
      <c r="I1257" s="40" t="str">
        <f>IF(Agent07_Savings!A64="","",Agent07_Savings!J64)</f>
        <v/>
      </c>
      <c r="J1257" s="40" t="str">
        <f>IF(Agent07_Savings!A64="","",Agent07_Savings!K64)</f>
        <v/>
      </c>
      <c r="K1257" s="40" t="str">
        <f>IFERROR(IF(Agent07_Savings!A64="","",YEAR(Agent07_Savings!D64)),"")</f>
        <v/>
      </c>
    </row>
    <row r="1258" spans="1:11" ht="18" customHeight="1" x14ac:dyDescent="0.25">
      <c r="A1258" s="40" t="str">
        <f>IF(Agent07_Savings!A65="","",Agent07_Savings!A65)</f>
        <v/>
      </c>
      <c r="B1258" s="40" t="str">
        <f ca="1">IF(Agent07_Savings!A65="","","SV"&amp;TEXT(1258-3,"0000")&amp;"-"&amp;TEXT(TODAY(),"YYYYMMDD"))</f>
        <v/>
      </c>
      <c r="C1258" s="40" t="str">
        <f>IF(Agent07_Savings!A65="","",Agent07_Savings!B65)</f>
        <v/>
      </c>
      <c r="D1258" s="40" t="str">
        <f>IF(Agent07_Savings!A65="","",Agent07_Savings!G65)</f>
        <v/>
      </c>
      <c r="E1258" s="41" t="str">
        <f>IF(Agent07_Savings!A65="","",Agent07_Savings!D65)</f>
        <v/>
      </c>
      <c r="F1258" s="42" t="str">
        <f>IF(Agent07_Savings!A65="","",Agent07_Savings!E65)</f>
        <v/>
      </c>
      <c r="G1258" s="42" t="str">
        <f>IF(Agent07_Savings!A65="","",Agent07_Savings!F65)</f>
        <v/>
      </c>
      <c r="H1258" s="40" t="str">
        <f>IF(Agent07_Savings!A65="","",Agent07_Savings!I65)</f>
        <v/>
      </c>
      <c r="I1258" s="40" t="str">
        <f>IF(Agent07_Savings!A65="","",Agent07_Savings!J65)</f>
        <v/>
      </c>
      <c r="J1258" s="40" t="str">
        <f>IF(Agent07_Savings!A65="","",Agent07_Savings!K65)</f>
        <v/>
      </c>
      <c r="K1258" s="40" t="str">
        <f>IFERROR(IF(Agent07_Savings!A65="","",YEAR(Agent07_Savings!D65)),"")</f>
        <v/>
      </c>
    </row>
    <row r="1259" spans="1:11" ht="18" customHeight="1" x14ac:dyDescent="0.25">
      <c r="A1259" s="40" t="str">
        <f>IF(Agent07_Savings!A66="","",Agent07_Savings!A66)</f>
        <v/>
      </c>
      <c r="B1259" s="40" t="str">
        <f ca="1">IF(Agent07_Savings!A66="","","SV"&amp;TEXT(1259-3,"0000")&amp;"-"&amp;TEXT(TODAY(),"YYYYMMDD"))</f>
        <v/>
      </c>
      <c r="C1259" s="40" t="str">
        <f>IF(Agent07_Savings!A66="","",Agent07_Savings!B66)</f>
        <v/>
      </c>
      <c r="D1259" s="40" t="str">
        <f>IF(Agent07_Savings!A66="","",Agent07_Savings!G66)</f>
        <v/>
      </c>
      <c r="E1259" s="41" t="str">
        <f>IF(Agent07_Savings!A66="","",Agent07_Savings!D66)</f>
        <v/>
      </c>
      <c r="F1259" s="42" t="str">
        <f>IF(Agent07_Savings!A66="","",Agent07_Savings!E66)</f>
        <v/>
      </c>
      <c r="G1259" s="42" t="str">
        <f>IF(Agent07_Savings!A66="","",Agent07_Savings!F66)</f>
        <v/>
      </c>
      <c r="H1259" s="40" t="str">
        <f>IF(Agent07_Savings!A66="","",Agent07_Savings!I66)</f>
        <v/>
      </c>
      <c r="I1259" s="40" t="str">
        <f>IF(Agent07_Savings!A66="","",Agent07_Savings!J66)</f>
        <v/>
      </c>
      <c r="J1259" s="40" t="str">
        <f>IF(Agent07_Savings!A66="","",Agent07_Savings!K66)</f>
        <v/>
      </c>
      <c r="K1259" s="40" t="str">
        <f>IFERROR(IF(Agent07_Savings!A66="","",YEAR(Agent07_Savings!D66)),"")</f>
        <v/>
      </c>
    </row>
    <row r="1260" spans="1:11" ht="18" customHeight="1" x14ac:dyDescent="0.25">
      <c r="A1260" s="40" t="str">
        <f>IF(Agent07_Savings!A67="","",Agent07_Savings!A67)</f>
        <v/>
      </c>
      <c r="B1260" s="40" t="str">
        <f ca="1">IF(Agent07_Savings!A67="","","SV"&amp;TEXT(1260-3,"0000")&amp;"-"&amp;TEXT(TODAY(),"YYYYMMDD"))</f>
        <v/>
      </c>
      <c r="C1260" s="40" t="str">
        <f>IF(Agent07_Savings!A67="","",Agent07_Savings!B67)</f>
        <v/>
      </c>
      <c r="D1260" s="40" t="str">
        <f>IF(Agent07_Savings!A67="","",Agent07_Savings!G67)</f>
        <v/>
      </c>
      <c r="E1260" s="41" t="str">
        <f>IF(Agent07_Savings!A67="","",Agent07_Savings!D67)</f>
        <v/>
      </c>
      <c r="F1260" s="42" t="str">
        <f>IF(Agent07_Savings!A67="","",Agent07_Savings!E67)</f>
        <v/>
      </c>
      <c r="G1260" s="42" t="str">
        <f>IF(Agent07_Savings!A67="","",Agent07_Savings!F67)</f>
        <v/>
      </c>
      <c r="H1260" s="40" t="str">
        <f>IF(Agent07_Savings!A67="","",Agent07_Savings!I67)</f>
        <v/>
      </c>
      <c r="I1260" s="40" t="str">
        <f>IF(Agent07_Savings!A67="","",Agent07_Savings!J67)</f>
        <v/>
      </c>
      <c r="J1260" s="40" t="str">
        <f>IF(Agent07_Savings!A67="","",Agent07_Savings!K67)</f>
        <v/>
      </c>
      <c r="K1260" s="40" t="str">
        <f>IFERROR(IF(Agent07_Savings!A67="","",YEAR(Agent07_Savings!D67)),"")</f>
        <v/>
      </c>
    </row>
    <row r="1261" spans="1:11" ht="18" customHeight="1" x14ac:dyDescent="0.25">
      <c r="A1261" s="40" t="str">
        <f>IF(Agent07_Savings!A68="","",Agent07_Savings!A68)</f>
        <v/>
      </c>
      <c r="B1261" s="40" t="str">
        <f ca="1">IF(Agent07_Savings!A68="","","SV"&amp;TEXT(1261-3,"0000")&amp;"-"&amp;TEXT(TODAY(),"YYYYMMDD"))</f>
        <v/>
      </c>
      <c r="C1261" s="40" t="str">
        <f>IF(Agent07_Savings!A68="","",Agent07_Savings!B68)</f>
        <v/>
      </c>
      <c r="D1261" s="40" t="str">
        <f>IF(Agent07_Savings!A68="","",Agent07_Savings!G68)</f>
        <v/>
      </c>
      <c r="E1261" s="41" t="str">
        <f>IF(Agent07_Savings!A68="","",Agent07_Savings!D68)</f>
        <v/>
      </c>
      <c r="F1261" s="42" t="str">
        <f>IF(Agent07_Savings!A68="","",Agent07_Savings!E68)</f>
        <v/>
      </c>
      <c r="G1261" s="42" t="str">
        <f>IF(Agent07_Savings!A68="","",Agent07_Savings!F68)</f>
        <v/>
      </c>
      <c r="H1261" s="40" t="str">
        <f>IF(Agent07_Savings!A68="","",Agent07_Savings!I68)</f>
        <v/>
      </c>
      <c r="I1261" s="40" t="str">
        <f>IF(Agent07_Savings!A68="","",Agent07_Savings!J68)</f>
        <v/>
      </c>
      <c r="J1261" s="40" t="str">
        <f>IF(Agent07_Savings!A68="","",Agent07_Savings!K68)</f>
        <v/>
      </c>
      <c r="K1261" s="40" t="str">
        <f>IFERROR(IF(Agent07_Savings!A68="","",YEAR(Agent07_Savings!D68)),"")</f>
        <v/>
      </c>
    </row>
    <row r="1262" spans="1:11" ht="18" customHeight="1" x14ac:dyDescent="0.25">
      <c r="A1262" s="40" t="str">
        <f>IF(Agent07_Savings!A69="","",Agent07_Savings!A69)</f>
        <v/>
      </c>
      <c r="B1262" s="40" t="str">
        <f ca="1">IF(Agent07_Savings!A69="","","SV"&amp;TEXT(1262-3,"0000")&amp;"-"&amp;TEXT(TODAY(),"YYYYMMDD"))</f>
        <v/>
      </c>
      <c r="C1262" s="40" t="str">
        <f>IF(Agent07_Savings!A69="","",Agent07_Savings!B69)</f>
        <v/>
      </c>
      <c r="D1262" s="40" t="str">
        <f>IF(Agent07_Savings!A69="","",Agent07_Savings!G69)</f>
        <v/>
      </c>
      <c r="E1262" s="41" t="str">
        <f>IF(Agent07_Savings!A69="","",Agent07_Savings!D69)</f>
        <v/>
      </c>
      <c r="F1262" s="42" t="str">
        <f>IF(Agent07_Savings!A69="","",Agent07_Savings!E69)</f>
        <v/>
      </c>
      <c r="G1262" s="42" t="str">
        <f>IF(Agent07_Savings!A69="","",Agent07_Savings!F69)</f>
        <v/>
      </c>
      <c r="H1262" s="40" t="str">
        <f>IF(Agent07_Savings!A69="","",Agent07_Savings!I69)</f>
        <v/>
      </c>
      <c r="I1262" s="40" t="str">
        <f>IF(Agent07_Savings!A69="","",Agent07_Savings!J69)</f>
        <v/>
      </c>
      <c r="J1262" s="40" t="str">
        <f>IF(Agent07_Savings!A69="","",Agent07_Savings!K69)</f>
        <v/>
      </c>
      <c r="K1262" s="40" t="str">
        <f>IFERROR(IF(Agent07_Savings!A69="","",YEAR(Agent07_Savings!D69)),"")</f>
        <v/>
      </c>
    </row>
    <row r="1263" spans="1:11" ht="18" customHeight="1" x14ac:dyDescent="0.25">
      <c r="A1263" s="40" t="str">
        <f>IF(Agent07_Savings!A70="","",Agent07_Savings!A70)</f>
        <v/>
      </c>
      <c r="B1263" s="40" t="str">
        <f ca="1">IF(Agent07_Savings!A70="","","SV"&amp;TEXT(1263-3,"0000")&amp;"-"&amp;TEXT(TODAY(),"YYYYMMDD"))</f>
        <v/>
      </c>
      <c r="C1263" s="40" t="str">
        <f>IF(Agent07_Savings!A70="","",Agent07_Savings!B70)</f>
        <v/>
      </c>
      <c r="D1263" s="40" t="str">
        <f>IF(Agent07_Savings!A70="","",Agent07_Savings!G70)</f>
        <v/>
      </c>
      <c r="E1263" s="41" t="str">
        <f>IF(Agent07_Savings!A70="","",Agent07_Savings!D70)</f>
        <v/>
      </c>
      <c r="F1263" s="42" t="str">
        <f>IF(Agent07_Savings!A70="","",Agent07_Savings!E70)</f>
        <v/>
      </c>
      <c r="G1263" s="42" t="str">
        <f>IF(Agent07_Savings!A70="","",Agent07_Savings!F70)</f>
        <v/>
      </c>
      <c r="H1263" s="40" t="str">
        <f>IF(Agent07_Savings!A70="","",Agent07_Savings!I70)</f>
        <v/>
      </c>
      <c r="I1263" s="40" t="str">
        <f>IF(Agent07_Savings!A70="","",Agent07_Savings!J70)</f>
        <v/>
      </c>
      <c r="J1263" s="40" t="str">
        <f>IF(Agent07_Savings!A70="","",Agent07_Savings!K70)</f>
        <v/>
      </c>
      <c r="K1263" s="40" t="str">
        <f>IFERROR(IF(Agent07_Savings!A70="","",YEAR(Agent07_Savings!D70)),"")</f>
        <v/>
      </c>
    </row>
    <row r="1264" spans="1:11" ht="18" customHeight="1" x14ac:dyDescent="0.25">
      <c r="A1264" s="40" t="str">
        <f>IF(Agent07_Savings!A71="","",Agent07_Savings!A71)</f>
        <v/>
      </c>
      <c r="B1264" s="40" t="str">
        <f ca="1">IF(Agent07_Savings!A71="","","SV"&amp;TEXT(1264-3,"0000")&amp;"-"&amp;TEXT(TODAY(),"YYYYMMDD"))</f>
        <v/>
      </c>
      <c r="C1264" s="40" t="str">
        <f>IF(Agent07_Savings!A71="","",Agent07_Savings!B71)</f>
        <v/>
      </c>
      <c r="D1264" s="40" t="str">
        <f>IF(Agent07_Savings!A71="","",Agent07_Savings!G71)</f>
        <v/>
      </c>
      <c r="E1264" s="41" t="str">
        <f>IF(Agent07_Savings!A71="","",Agent07_Savings!D71)</f>
        <v/>
      </c>
      <c r="F1264" s="42" t="str">
        <f>IF(Agent07_Savings!A71="","",Agent07_Savings!E71)</f>
        <v/>
      </c>
      <c r="G1264" s="42" t="str">
        <f>IF(Agent07_Savings!A71="","",Agent07_Savings!F71)</f>
        <v/>
      </c>
      <c r="H1264" s="40" t="str">
        <f>IF(Agent07_Savings!A71="","",Agent07_Savings!I71)</f>
        <v/>
      </c>
      <c r="I1264" s="40" t="str">
        <f>IF(Agent07_Savings!A71="","",Agent07_Savings!J71)</f>
        <v/>
      </c>
      <c r="J1264" s="40" t="str">
        <f>IF(Agent07_Savings!A71="","",Agent07_Savings!K71)</f>
        <v/>
      </c>
      <c r="K1264" s="40" t="str">
        <f>IFERROR(IF(Agent07_Savings!A71="","",YEAR(Agent07_Savings!D71)),"")</f>
        <v/>
      </c>
    </row>
    <row r="1265" spans="1:11" ht="18" customHeight="1" x14ac:dyDescent="0.25">
      <c r="A1265" s="40" t="str">
        <f>IF(Agent07_Savings!A72="","",Agent07_Savings!A72)</f>
        <v/>
      </c>
      <c r="B1265" s="40" t="str">
        <f ca="1">IF(Agent07_Savings!A72="","","SV"&amp;TEXT(1265-3,"0000")&amp;"-"&amp;TEXT(TODAY(),"YYYYMMDD"))</f>
        <v/>
      </c>
      <c r="C1265" s="40" t="str">
        <f>IF(Agent07_Savings!A72="","",Agent07_Savings!B72)</f>
        <v/>
      </c>
      <c r="D1265" s="40" t="str">
        <f>IF(Agent07_Savings!A72="","",Agent07_Savings!G72)</f>
        <v/>
      </c>
      <c r="E1265" s="41" t="str">
        <f>IF(Agent07_Savings!A72="","",Agent07_Savings!D72)</f>
        <v/>
      </c>
      <c r="F1265" s="42" t="str">
        <f>IF(Agent07_Savings!A72="","",Agent07_Savings!E72)</f>
        <v/>
      </c>
      <c r="G1265" s="42" t="str">
        <f>IF(Agent07_Savings!A72="","",Agent07_Savings!F72)</f>
        <v/>
      </c>
      <c r="H1265" s="40" t="str">
        <f>IF(Agent07_Savings!A72="","",Agent07_Savings!I72)</f>
        <v/>
      </c>
      <c r="I1265" s="40" t="str">
        <f>IF(Agent07_Savings!A72="","",Agent07_Savings!J72)</f>
        <v/>
      </c>
      <c r="J1265" s="40" t="str">
        <f>IF(Agent07_Savings!A72="","",Agent07_Savings!K72)</f>
        <v/>
      </c>
      <c r="K1265" s="40" t="str">
        <f>IFERROR(IF(Agent07_Savings!A72="","",YEAR(Agent07_Savings!D72)),"")</f>
        <v/>
      </c>
    </row>
    <row r="1266" spans="1:11" ht="18" customHeight="1" x14ac:dyDescent="0.25">
      <c r="A1266" s="40" t="str">
        <f>IF(Agent07_Savings!A73="","",Agent07_Savings!A73)</f>
        <v/>
      </c>
      <c r="B1266" s="40" t="str">
        <f ca="1">IF(Agent07_Savings!A73="","","SV"&amp;TEXT(1266-3,"0000")&amp;"-"&amp;TEXT(TODAY(),"YYYYMMDD"))</f>
        <v/>
      </c>
      <c r="C1266" s="40" t="str">
        <f>IF(Agent07_Savings!A73="","",Agent07_Savings!B73)</f>
        <v/>
      </c>
      <c r="D1266" s="40" t="str">
        <f>IF(Agent07_Savings!A73="","",Agent07_Savings!G73)</f>
        <v/>
      </c>
      <c r="E1266" s="41" t="str">
        <f>IF(Agent07_Savings!A73="","",Agent07_Savings!D73)</f>
        <v/>
      </c>
      <c r="F1266" s="42" t="str">
        <f>IF(Agent07_Savings!A73="","",Agent07_Savings!E73)</f>
        <v/>
      </c>
      <c r="G1266" s="42" t="str">
        <f>IF(Agent07_Savings!A73="","",Agent07_Savings!F73)</f>
        <v/>
      </c>
      <c r="H1266" s="40" t="str">
        <f>IF(Agent07_Savings!A73="","",Agent07_Savings!I73)</f>
        <v/>
      </c>
      <c r="I1266" s="40" t="str">
        <f>IF(Agent07_Savings!A73="","",Agent07_Savings!J73)</f>
        <v/>
      </c>
      <c r="J1266" s="40" t="str">
        <f>IF(Agent07_Savings!A73="","",Agent07_Savings!K73)</f>
        <v/>
      </c>
      <c r="K1266" s="40" t="str">
        <f>IFERROR(IF(Agent07_Savings!A73="","",YEAR(Agent07_Savings!D73)),"")</f>
        <v/>
      </c>
    </row>
    <row r="1267" spans="1:11" ht="18" customHeight="1" x14ac:dyDescent="0.25">
      <c r="A1267" s="40" t="str">
        <f>IF(Agent07_Savings!A74="","",Agent07_Savings!A74)</f>
        <v/>
      </c>
      <c r="B1267" s="40" t="str">
        <f ca="1">IF(Agent07_Savings!A74="","","SV"&amp;TEXT(1267-3,"0000")&amp;"-"&amp;TEXT(TODAY(),"YYYYMMDD"))</f>
        <v/>
      </c>
      <c r="C1267" s="40" t="str">
        <f>IF(Agent07_Savings!A74="","",Agent07_Savings!B74)</f>
        <v/>
      </c>
      <c r="D1267" s="40" t="str">
        <f>IF(Agent07_Savings!A74="","",Agent07_Savings!G74)</f>
        <v/>
      </c>
      <c r="E1267" s="41" t="str">
        <f>IF(Agent07_Savings!A74="","",Agent07_Savings!D74)</f>
        <v/>
      </c>
      <c r="F1267" s="42" t="str">
        <f>IF(Agent07_Savings!A74="","",Agent07_Savings!E74)</f>
        <v/>
      </c>
      <c r="G1267" s="42" t="str">
        <f>IF(Agent07_Savings!A74="","",Agent07_Savings!F74)</f>
        <v/>
      </c>
      <c r="H1267" s="40" t="str">
        <f>IF(Agent07_Savings!A74="","",Agent07_Savings!I74)</f>
        <v/>
      </c>
      <c r="I1267" s="40" t="str">
        <f>IF(Agent07_Savings!A74="","",Agent07_Savings!J74)</f>
        <v/>
      </c>
      <c r="J1267" s="40" t="str">
        <f>IF(Agent07_Savings!A74="","",Agent07_Savings!K74)</f>
        <v/>
      </c>
      <c r="K1267" s="40" t="str">
        <f>IFERROR(IF(Agent07_Savings!A74="","",YEAR(Agent07_Savings!D74)),"")</f>
        <v/>
      </c>
    </row>
    <row r="1268" spans="1:11" ht="18" customHeight="1" x14ac:dyDescent="0.25">
      <c r="A1268" s="40" t="str">
        <f>IF(Agent07_Savings!A75="","",Agent07_Savings!A75)</f>
        <v/>
      </c>
      <c r="B1268" s="40" t="str">
        <f ca="1">IF(Agent07_Savings!A75="","","SV"&amp;TEXT(1268-3,"0000")&amp;"-"&amp;TEXT(TODAY(),"YYYYMMDD"))</f>
        <v/>
      </c>
      <c r="C1268" s="40" t="str">
        <f>IF(Agent07_Savings!A75="","",Agent07_Savings!B75)</f>
        <v/>
      </c>
      <c r="D1268" s="40" t="str">
        <f>IF(Agent07_Savings!A75="","",Agent07_Savings!G75)</f>
        <v/>
      </c>
      <c r="E1268" s="41" t="str">
        <f>IF(Agent07_Savings!A75="","",Agent07_Savings!D75)</f>
        <v/>
      </c>
      <c r="F1268" s="42" t="str">
        <f>IF(Agent07_Savings!A75="","",Agent07_Savings!E75)</f>
        <v/>
      </c>
      <c r="G1268" s="42" t="str">
        <f>IF(Agent07_Savings!A75="","",Agent07_Savings!F75)</f>
        <v/>
      </c>
      <c r="H1268" s="40" t="str">
        <f>IF(Agent07_Savings!A75="","",Agent07_Savings!I75)</f>
        <v/>
      </c>
      <c r="I1268" s="40" t="str">
        <f>IF(Agent07_Savings!A75="","",Agent07_Savings!J75)</f>
        <v/>
      </c>
      <c r="J1268" s="40" t="str">
        <f>IF(Agent07_Savings!A75="","",Agent07_Savings!K75)</f>
        <v/>
      </c>
      <c r="K1268" s="40" t="str">
        <f>IFERROR(IF(Agent07_Savings!A75="","",YEAR(Agent07_Savings!D75)),"")</f>
        <v/>
      </c>
    </row>
    <row r="1269" spans="1:11" ht="18" customHeight="1" x14ac:dyDescent="0.25">
      <c r="A1269" s="40" t="str">
        <f>IF(Agent07_Savings!A76="","",Agent07_Savings!A76)</f>
        <v/>
      </c>
      <c r="B1269" s="40" t="str">
        <f ca="1">IF(Agent07_Savings!A76="","","SV"&amp;TEXT(1269-3,"0000")&amp;"-"&amp;TEXT(TODAY(),"YYYYMMDD"))</f>
        <v/>
      </c>
      <c r="C1269" s="40" t="str">
        <f>IF(Agent07_Savings!A76="","",Agent07_Savings!B76)</f>
        <v/>
      </c>
      <c r="D1269" s="40" t="str">
        <f>IF(Agent07_Savings!A76="","",Agent07_Savings!G76)</f>
        <v/>
      </c>
      <c r="E1269" s="41" t="str">
        <f>IF(Agent07_Savings!A76="","",Agent07_Savings!D76)</f>
        <v/>
      </c>
      <c r="F1269" s="42" t="str">
        <f>IF(Agent07_Savings!A76="","",Agent07_Savings!E76)</f>
        <v/>
      </c>
      <c r="G1269" s="42" t="str">
        <f>IF(Agent07_Savings!A76="","",Agent07_Savings!F76)</f>
        <v/>
      </c>
      <c r="H1269" s="40" t="str">
        <f>IF(Agent07_Savings!A76="","",Agent07_Savings!I76)</f>
        <v/>
      </c>
      <c r="I1269" s="40" t="str">
        <f>IF(Agent07_Savings!A76="","",Agent07_Savings!J76)</f>
        <v/>
      </c>
      <c r="J1269" s="40" t="str">
        <f>IF(Agent07_Savings!A76="","",Agent07_Savings!K76)</f>
        <v/>
      </c>
      <c r="K1269" s="40" t="str">
        <f>IFERROR(IF(Agent07_Savings!A76="","",YEAR(Agent07_Savings!D76)),"")</f>
        <v/>
      </c>
    </row>
    <row r="1270" spans="1:11" ht="18" customHeight="1" x14ac:dyDescent="0.25">
      <c r="A1270" s="40" t="str">
        <f>IF(Agent07_Savings!A77="","",Agent07_Savings!A77)</f>
        <v/>
      </c>
      <c r="B1270" s="40" t="str">
        <f ca="1">IF(Agent07_Savings!A77="","","SV"&amp;TEXT(1270-3,"0000")&amp;"-"&amp;TEXT(TODAY(),"YYYYMMDD"))</f>
        <v/>
      </c>
      <c r="C1270" s="40" t="str">
        <f>IF(Agent07_Savings!A77="","",Agent07_Savings!B77)</f>
        <v/>
      </c>
      <c r="D1270" s="40" t="str">
        <f>IF(Agent07_Savings!A77="","",Agent07_Savings!G77)</f>
        <v/>
      </c>
      <c r="E1270" s="41" t="str">
        <f>IF(Agent07_Savings!A77="","",Agent07_Savings!D77)</f>
        <v/>
      </c>
      <c r="F1270" s="42" t="str">
        <f>IF(Agent07_Savings!A77="","",Agent07_Savings!E77)</f>
        <v/>
      </c>
      <c r="G1270" s="42" t="str">
        <f>IF(Agent07_Savings!A77="","",Agent07_Savings!F77)</f>
        <v/>
      </c>
      <c r="H1270" s="40" t="str">
        <f>IF(Agent07_Savings!A77="","",Agent07_Savings!I77)</f>
        <v/>
      </c>
      <c r="I1270" s="40" t="str">
        <f>IF(Agent07_Savings!A77="","",Agent07_Savings!J77)</f>
        <v/>
      </c>
      <c r="J1270" s="40" t="str">
        <f>IF(Agent07_Savings!A77="","",Agent07_Savings!K77)</f>
        <v/>
      </c>
      <c r="K1270" s="40" t="str">
        <f>IFERROR(IF(Agent07_Savings!A77="","",YEAR(Agent07_Savings!D77)),"")</f>
        <v/>
      </c>
    </row>
    <row r="1271" spans="1:11" ht="18" customHeight="1" x14ac:dyDescent="0.25">
      <c r="A1271" s="40" t="str">
        <f>IF(Agent07_Savings!A78="","",Agent07_Savings!A78)</f>
        <v/>
      </c>
      <c r="B1271" s="40" t="str">
        <f ca="1">IF(Agent07_Savings!A78="","","SV"&amp;TEXT(1271-3,"0000")&amp;"-"&amp;TEXT(TODAY(),"YYYYMMDD"))</f>
        <v/>
      </c>
      <c r="C1271" s="40" t="str">
        <f>IF(Agent07_Savings!A78="","",Agent07_Savings!B78)</f>
        <v/>
      </c>
      <c r="D1271" s="40" t="str">
        <f>IF(Agent07_Savings!A78="","",Agent07_Savings!G78)</f>
        <v/>
      </c>
      <c r="E1271" s="41" t="str">
        <f>IF(Agent07_Savings!A78="","",Agent07_Savings!D78)</f>
        <v/>
      </c>
      <c r="F1271" s="42" t="str">
        <f>IF(Agent07_Savings!A78="","",Agent07_Savings!E78)</f>
        <v/>
      </c>
      <c r="G1271" s="42" t="str">
        <f>IF(Agent07_Savings!A78="","",Agent07_Savings!F78)</f>
        <v/>
      </c>
      <c r="H1271" s="40" t="str">
        <f>IF(Agent07_Savings!A78="","",Agent07_Savings!I78)</f>
        <v/>
      </c>
      <c r="I1271" s="40" t="str">
        <f>IF(Agent07_Savings!A78="","",Agent07_Savings!J78)</f>
        <v/>
      </c>
      <c r="J1271" s="40" t="str">
        <f>IF(Agent07_Savings!A78="","",Agent07_Savings!K78)</f>
        <v/>
      </c>
      <c r="K1271" s="40" t="str">
        <f>IFERROR(IF(Agent07_Savings!A78="","",YEAR(Agent07_Savings!D78)),"")</f>
        <v/>
      </c>
    </row>
    <row r="1272" spans="1:11" ht="18" customHeight="1" x14ac:dyDescent="0.25">
      <c r="A1272" s="40" t="str">
        <f>IF(Agent07_Savings!A79="","",Agent07_Savings!A79)</f>
        <v/>
      </c>
      <c r="B1272" s="40" t="str">
        <f ca="1">IF(Agent07_Savings!A79="","","SV"&amp;TEXT(1272-3,"0000")&amp;"-"&amp;TEXT(TODAY(),"YYYYMMDD"))</f>
        <v/>
      </c>
      <c r="C1272" s="40" t="str">
        <f>IF(Agent07_Savings!A79="","",Agent07_Savings!B79)</f>
        <v/>
      </c>
      <c r="D1272" s="40" t="str">
        <f>IF(Agent07_Savings!A79="","",Agent07_Savings!G79)</f>
        <v/>
      </c>
      <c r="E1272" s="41" t="str">
        <f>IF(Agent07_Savings!A79="","",Agent07_Savings!D79)</f>
        <v/>
      </c>
      <c r="F1272" s="42" t="str">
        <f>IF(Agent07_Savings!A79="","",Agent07_Savings!E79)</f>
        <v/>
      </c>
      <c r="G1272" s="42" t="str">
        <f>IF(Agent07_Savings!A79="","",Agent07_Savings!F79)</f>
        <v/>
      </c>
      <c r="H1272" s="40" t="str">
        <f>IF(Agent07_Savings!A79="","",Agent07_Savings!I79)</f>
        <v/>
      </c>
      <c r="I1272" s="40" t="str">
        <f>IF(Agent07_Savings!A79="","",Agent07_Savings!J79)</f>
        <v/>
      </c>
      <c r="J1272" s="40" t="str">
        <f>IF(Agent07_Savings!A79="","",Agent07_Savings!K79)</f>
        <v/>
      </c>
      <c r="K1272" s="40" t="str">
        <f>IFERROR(IF(Agent07_Savings!A79="","",YEAR(Agent07_Savings!D79)),"")</f>
        <v/>
      </c>
    </row>
    <row r="1273" spans="1:11" ht="18" customHeight="1" x14ac:dyDescent="0.25">
      <c r="A1273" s="40" t="str">
        <f>IF(Agent07_Savings!A80="","",Agent07_Savings!A80)</f>
        <v/>
      </c>
      <c r="B1273" s="40" t="str">
        <f ca="1">IF(Agent07_Savings!A80="","","SV"&amp;TEXT(1273-3,"0000")&amp;"-"&amp;TEXT(TODAY(),"YYYYMMDD"))</f>
        <v/>
      </c>
      <c r="C1273" s="40" t="str">
        <f>IF(Agent07_Savings!A80="","",Agent07_Savings!B80)</f>
        <v/>
      </c>
      <c r="D1273" s="40" t="str">
        <f>IF(Agent07_Savings!A80="","",Agent07_Savings!G80)</f>
        <v/>
      </c>
      <c r="E1273" s="41" t="str">
        <f>IF(Agent07_Savings!A80="","",Agent07_Savings!D80)</f>
        <v/>
      </c>
      <c r="F1273" s="42" t="str">
        <f>IF(Agent07_Savings!A80="","",Agent07_Savings!E80)</f>
        <v/>
      </c>
      <c r="G1273" s="42" t="str">
        <f>IF(Agent07_Savings!A80="","",Agent07_Savings!F80)</f>
        <v/>
      </c>
      <c r="H1273" s="40" t="str">
        <f>IF(Agent07_Savings!A80="","",Agent07_Savings!I80)</f>
        <v/>
      </c>
      <c r="I1273" s="40" t="str">
        <f>IF(Agent07_Savings!A80="","",Agent07_Savings!J80)</f>
        <v/>
      </c>
      <c r="J1273" s="40" t="str">
        <f>IF(Agent07_Savings!A80="","",Agent07_Savings!K80)</f>
        <v/>
      </c>
      <c r="K1273" s="40" t="str">
        <f>IFERROR(IF(Agent07_Savings!A80="","",YEAR(Agent07_Savings!D80)),"")</f>
        <v/>
      </c>
    </row>
    <row r="1274" spans="1:11" ht="18" customHeight="1" x14ac:dyDescent="0.25">
      <c r="A1274" s="40" t="str">
        <f>IF(Agent07_Savings!A81="","",Agent07_Savings!A81)</f>
        <v/>
      </c>
      <c r="B1274" s="40" t="str">
        <f ca="1">IF(Agent07_Savings!A81="","","SV"&amp;TEXT(1274-3,"0000")&amp;"-"&amp;TEXT(TODAY(),"YYYYMMDD"))</f>
        <v/>
      </c>
      <c r="C1274" s="40" t="str">
        <f>IF(Agent07_Savings!A81="","",Agent07_Savings!B81)</f>
        <v/>
      </c>
      <c r="D1274" s="40" t="str">
        <f>IF(Agent07_Savings!A81="","",Agent07_Savings!G81)</f>
        <v/>
      </c>
      <c r="E1274" s="41" t="str">
        <f>IF(Agent07_Savings!A81="","",Agent07_Savings!D81)</f>
        <v/>
      </c>
      <c r="F1274" s="42" t="str">
        <f>IF(Agent07_Savings!A81="","",Agent07_Savings!E81)</f>
        <v/>
      </c>
      <c r="G1274" s="42" t="str">
        <f>IF(Agent07_Savings!A81="","",Agent07_Savings!F81)</f>
        <v/>
      </c>
      <c r="H1274" s="40" t="str">
        <f>IF(Agent07_Savings!A81="","",Agent07_Savings!I81)</f>
        <v/>
      </c>
      <c r="I1274" s="40" t="str">
        <f>IF(Agent07_Savings!A81="","",Agent07_Savings!J81)</f>
        <v/>
      </c>
      <c r="J1274" s="40" t="str">
        <f>IF(Agent07_Savings!A81="","",Agent07_Savings!K81)</f>
        <v/>
      </c>
      <c r="K1274" s="40" t="str">
        <f>IFERROR(IF(Agent07_Savings!A81="","",YEAR(Agent07_Savings!D81)),"")</f>
        <v/>
      </c>
    </row>
    <row r="1275" spans="1:11" ht="18" customHeight="1" x14ac:dyDescent="0.25">
      <c r="A1275" s="40" t="str">
        <f>IF(Agent07_Savings!A82="","",Agent07_Savings!A82)</f>
        <v/>
      </c>
      <c r="B1275" s="40" t="str">
        <f ca="1">IF(Agent07_Savings!A82="","","SV"&amp;TEXT(1275-3,"0000")&amp;"-"&amp;TEXT(TODAY(),"YYYYMMDD"))</f>
        <v/>
      </c>
      <c r="C1275" s="40" t="str">
        <f>IF(Agent07_Savings!A82="","",Agent07_Savings!B82)</f>
        <v/>
      </c>
      <c r="D1275" s="40" t="str">
        <f>IF(Agent07_Savings!A82="","",Agent07_Savings!G82)</f>
        <v/>
      </c>
      <c r="E1275" s="41" t="str">
        <f>IF(Agent07_Savings!A82="","",Agent07_Savings!D82)</f>
        <v/>
      </c>
      <c r="F1275" s="42" t="str">
        <f>IF(Agent07_Savings!A82="","",Agent07_Savings!E82)</f>
        <v/>
      </c>
      <c r="G1275" s="42" t="str">
        <f>IF(Agent07_Savings!A82="","",Agent07_Savings!F82)</f>
        <v/>
      </c>
      <c r="H1275" s="40" t="str">
        <f>IF(Agent07_Savings!A82="","",Agent07_Savings!I82)</f>
        <v/>
      </c>
      <c r="I1275" s="40" t="str">
        <f>IF(Agent07_Savings!A82="","",Agent07_Savings!J82)</f>
        <v/>
      </c>
      <c r="J1275" s="40" t="str">
        <f>IF(Agent07_Savings!A82="","",Agent07_Savings!K82)</f>
        <v/>
      </c>
      <c r="K1275" s="40" t="str">
        <f>IFERROR(IF(Agent07_Savings!A82="","",YEAR(Agent07_Savings!D82)),"")</f>
        <v/>
      </c>
    </row>
    <row r="1276" spans="1:11" ht="18" customHeight="1" x14ac:dyDescent="0.25">
      <c r="A1276" s="40" t="str">
        <f>IF(Agent07_Savings!A83="","",Agent07_Savings!A83)</f>
        <v/>
      </c>
      <c r="B1276" s="40" t="str">
        <f ca="1">IF(Agent07_Savings!A83="","","SV"&amp;TEXT(1276-3,"0000")&amp;"-"&amp;TEXT(TODAY(),"YYYYMMDD"))</f>
        <v/>
      </c>
      <c r="C1276" s="40" t="str">
        <f>IF(Agent07_Savings!A83="","",Agent07_Savings!B83)</f>
        <v/>
      </c>
      <c r="D1276" s="40" t="str">
        <f>IF(Agent07_Savings!A83="","",Agent07_Savings!G83)</f>
        <v/>
      </c>
      <c r="E1276" s="41" t="str">
        <f>IF(Agent07_Savings!A83="","",Agent07_Savings!D83)</f>
        <v/>
      </c>
      <c r="F1276" s="42" t="str">
        <f>IF(Agent07_Savings!A83="","",Agent07_Savings!E83)</f>
        <v/>
      </c>
      <c r="G1276" s="42" t="str">
        <f>IF(Agent07_Savings!A83="","",Agent07_Savings!F83)</f>
        <v/>
      </c>
      <c r="H1276" s="40" t="str">
        <f>IF(Agent07_Savings!A83="","",Agent07_Savings!I83)</f>
        <v/>
      </c>
      <c r="I1276" s="40" t="str">
        <f>IF(Agent07_Savings!A83="","",Agent07_Savings!J83)</f>
        <v/>
      </c>
      <c r="J1276" s="40" t="str">
        <f>IF(Agent07_Savings!A83="","",Agent07_Savings!K83)</f>
        <v/>
      </c>
      <c r="K1276" s="40" t="str">
        <f>IFERROR(IF(Agent07_Savings!A83="","",YEAR(Agent07_Savings!D83)),"")</f>
        <v/>
      </c>
    </row>
    <row r="1277" spans="1:11" ht="18" customHeight="1" x14ac:dyDescent="0.25">
      <c r="A1277" s="40" t="str">
        <f>IF(Agent07_Savings!A84="","",Agent07_Savings!A84)</f>
        <v/>
      </c>
      <c r="B1277" s="40" t="str">
        <f ca="1">IF(Agent07_Savings!A84="","","SV"&amp;TEXT(1277-3,"0000")&amp;"-"&amp;TEXT(TODAY(),"YYYYMMDD"))</f>
        <v/>
      </c>
      <c r="C1277" s="40" t="str">
        <f>IF(Agent07_Savings!A84="","",Agent07_Savings!B84)</f>
        <v/>
      </c>
      <c r="D1277" s="40" t="str">
        <f>IF(Agent07_Savings!A84="","",Agent07_Savings!G84)</f>
        <v/>
      </c>
      <c r="E1277" s="41" t="str">
        <f>IF(Agent07_Savings!A84="","",Agent07_Savings!D84)</f>
        <v/>
      </c>
      <c r="F1277" s="42" t="str">
        <f>IF(Agent07_Savings!A84="","",Agent07_Savings!E84)</f>
        <v/>
      </c>
      <c r="G1277" s="42" t="str">
        <f>IF(Agent07_Savings!A84="","",Agent07_Savings!F84)</f>
        <v/>
      </c>
      <c r="H1277" s="40" t="str">
        <f>IF(Agent07_Savings!A84="","",Agent07_Savings!I84)</f>
        <v/>
      </c>
      <c r="I1277" s="40" t="str">
        <f>IF(Agent07_Savings!A84="","",Agent07_Savings!J84)</f>
        <v/>
      </c>
      <c r="J1277" s="40" t="str">
        <f>IF(Agent07_Savings!A84="","",Agent07_Savings!K84)</f>
        <v/>
      </c>
      <c r="K1277" s="40" t="str">
        <f>IFERROR(IF(Agent07_Savings!A84="","",YEAR(Agent07_Savings!D84)),"")</f>
        <v/>
      </c>
    </row>
    <row r="1278" spans="1:11" ht="18" customHeight="1" x14ac:dyDescent="0.25">
      <c r="A1278" s="40" t="str">
        <f>IF(Agent07_Savings!A85="","",Agent07_Savings!A85)</f>
        <v/>
      </c>
      <c r="B1278" s="40" t="str">
        <f ca="1">IF(Agent07_Savings!A85="","","SV"&amp;TEXT(1278-3,"0000")&amp;"-"&amp;TEXT(TODAY(),"YYYYMMDD"))</f>
        <v/>
      </c>
      <c r="C1278" s="40" t="str">
        <f>IF(Agent07_Savings!A85="","",Agent07_Savings!B85)</f>
        <v/>
      </c>
      <c r="D1278" s="40" t="str">
        <f>IF(Agent07_Savings!A85="","",Agent07_Savings!G85)</f>
        <v/>
      </c>
      <c r="E1278" s="41" t="str">
        <f>IF(Agent07_Savings!A85="","",Agent07_Savings!D85)</f>
        <v/>
      </c>
      <c r="F1278" s="42" t="str">
        <f>IF(Agent07_Savings!A85="","",Agent07_Savings!E85)</f>
        <v/>
      </c>
      <c r="G1278" s="42" t="str">
        <f>IF(Agent07_Savings!A85="","",Agent07_Savings!F85)</f>
        <v/>
      </c>
      <c r="H1278" s="40" t="str">
        <f>IF(Agent07_Savings!A85="","",Agent07_Savings!I85)</f>
        <v/>
      </c>
      <c r="I1278" s="40" t="str">
        <f>IF(Agent07_Savings!A85="","",Agent07_Savings!J85)</f>
        <v/>
      </c>
      <c r="J1278" s="40" t="str">
        <f>IF(Agent07_Savings!A85="","",Agent07_Savings!K85)</f>
        <v/>
      </c>
      <c r="K1278" s="40" t="str">
        <f>IFERROR(IF(Agent07_Savings!A85="","",YEAR(Agent07_Savings!D85)),"")</f>
        <v/>
      </c>
    </row>
    <row r="1279" spans="1:11" ht="18" customHeight="1" x14ac:dyDescent="0.25">
      <c r="A1279" s="40" t="str">
        <f>IF(Agent07_Savings!A86="","",Agent07_Savings!A86)</f>
        <v/>
      </c>
      <c r="B1279" s="40" t="str">
        <f ca="1">IF(Agent07_Savings!A86="","","SV"&amp;TEXT(1279-3,"0000")&amp;"-"&amp;TEXT(TODAY(),"YYYYMMDD"))</f>
        <v/>
      </c>
      <c r="C1279" s="40" t="str">
        <f>IF(Agent07_Savings!A86="","",Agent07_Savings!B86)</f>
        <v/>
      </c>
      <c r="D1279" s="40" t="str">
        <f>IF(Agent07_Savings!A86="","",Agent07_Savings!G86)</f>
        <v/>
      </c>
      <c r="E1279" s="41" t="str">
        <f>IF(Agent07_Savings!A86="","",Agent07_Savings!D86)</f>
        <v/>
      </c>
      <c r="F1279" s="42" t="str">
        <f>IF(Agent07_Savings!A86="","",Agent07_Savings!E86)</f>
        <v/>
      </c>
      <c r="G1279" s="42" t="str">
        <f>IF(Agent07_Savings!A86="","",Agent07_Savings!F86)</f>
        <v/>
      </c>
      <c r="H1279" s="40" t="str">
        <f>IF(Agent07_Savings!A86="","",Agent07_Savings!I86)</f>
        <v/>
      </c>
      <c r="I1279" s="40" t="str">
        <f>IF(Agent07_Savings!A86="","",Agent07_Savings!J86)</f>
        <v/>
      </c>
      <c r="J1279" s="40" t="str">
        <f>IF(Agent07_Savings!A86="","",Agent07_Savings!K86)</f>
        <v/>
      </c>
      <c r="K1279" s="40" t="str">
        <f>IFERROR(IF(Agent07_Savings!A86="","",YEAR(Agent07_Savings!D86)),"")</f>
        <v/>
      </c>
    </row>
    <row r="1280" spans="1:11" ht="18" customHeight="1" x14ac:dyDescent="0.25">
      <c r="A1280" s="40" t="str">
        <f>IF(Agent07_Savings!A87="","",Agent07_Savings!A87)</f>
        <v/>
      </c>
      <c r="B1280" s="40" t="str">
        <f ca="1">IF(Agent07_Savings!A87="","","SV"&amp;TEXT(1280-3,"0000")&amp;"-"&amp;TEXT(TODAY(),"YYYYMMDD"))</f>
        <v/>
      </c>
      <c r="C1280" s="40" t="str">
        <f>IF(Agent07_Savings!A87="","",Agent07_Savings!B87)</f>
        <v/>
      </c>
      <c r="D1280" s="40" t="str">
        <f>IF(Agent07_Savings!A87="","",Agent07_Savings!G87)</f>
        <v/>
      </c>
      <c r="E1280" s="41" t="str">
        <f>IF(Agent07_Savings!A87="","",Agent07_Savings!D87)</f>
        <v/>
      </c>
      <c r="F1280" s="42" t="str">
        <f>IF(Agent07_Savings!A87="","",Agent07_Savings!E87)</f>
        <v/>
      </c>
      <c r="G1280" s="42" t="str">
        <f>IF(Agent07_Savings!A87="","",Agent07_Savings!F87)</f>
        <v/>
      </c>
      <c r="H1280" s="40" t="str">
        <f>IF(Agent07_Savings!A87="","",Agent07_Savings!I87)</f>
        <v/>
      </c>
      <c r="I1280" s="40" t="str">
        <f>IF(Agent07_Savings!A87="","",Agent07_Savings!J87)</f>
        <v/>
      </c>
      <c r="J1280" s="40" t="str">
        <f>IF(Agent07_Savings!A87="","",Agent07_Savings!K87)</f>
        <v/>
      </c>
      <c r="K1280" s="40" t="str">
        <f>IFERROR(IF(Agent07_Savings!A87="","",YEAR(Agent07_Savings!D87)),"")</f>
        <v/>
      </c>
    </row>
    <row r="1281" spans="1:11" ht="18" customHeight="1" x14ac:dyDescent="0.25">
      <c r="A1281" s="40" t="str">
        <f>IF(Agent07_Savings!A88="","",Agent07_Savings!A88)</f>
        <v/>
      </c>
      <c r="B1281" s="40" t="str">
        <f ca="1">IF(Agent07_Savings!A88="","","SV"&amp;TEXT(1281-3,"0000")&amp;"-"&amp;TEXT(TODAY(),"YYYYMMDD"))</f>
        <v/>
      </c>
      <c r="C1281" s="40" t="str">
        <f>IF(Agent07_Savings!A88="","",Agent07_Savings!B88)</f>
        <v/>
      </c>
      <c r="D1281" s="40" t="str">
        <f>IF(Agent07_Savings!A88="","",Agent07_Savings!G88)</f>
        <v/>
      </c>
      <c r="E1281" s="41" t="str">
        <f>IF(Agent07_Savings!A88="","",Agent07_Savings!D88)</f>
        <v/>
      </c>
      <c r="F1281" s="42" t="str">
        <f>IF(Agent07_Savings!A88="","",Agent07_Savings!E88)</f>
        <v/>
      </c>
      <c r="G1281" s="42" t="str">
        <f>IF(Agent07_Savings!A88="","",Agent07_Savings!F88)</f>
        <v/>
      </c>
      <c r="H1281" s="40" t="str">
        <f>IF(Agent07_Savings!A88="","",Agent07_Savings!I88)</f>
        <v/>
      </c>
      <c r="I1281" s="40" t="str">
        <f>IF(Agent07_Savings!A88="","",Agent07_Savings!J88)</f>
        <v/>
      </c>
      <c r="J1281" s="40" t="str">
        <f>IF(Agent07_Savings!A88="","",Agent07_Savings!K88)</f>
        <v/>
      </c>
      <c r="K1281" s="40" t="str">
        <f>IFERROR(IF(Agent07_Savings!A88="","",YEAR(Agent07_Savings!D88)),"")</f>
        <v/>
      </c>
    </row>
    <row r="1282" spans="1:11" ht="18" customHeight="1" x14ac:dyDescent="0.25">
      <c r="A1282" s="40" t="str">
        <f>IF(Agent07_Savings!A89="","",Agent07_Savings!A89)</f>
        <v/>
      </c>
      <c r="B1282" s="40" t="str">
        <f ca="1">IF(Agent07_Savings!A89="","","SV"&amp;TEXT(1282-3,"0000")&amp;"-"&amp;TEXT(TODAY(),"YYYYMMDD"))</f>
        <v/>
      </c>
      <c r="C1282" s="40" t="str">
        <f>IF(Agent07_Savings!A89="","",Agent07_Savings!B89)</f>
        <v/>
      </c>
      <c r="D1282" s="40" t="str">
        <f>IF(Agent07_Savings!A89="","",Agent07_Savings!G89)</f>
        <v/>
      </c>
      <c r="E1282" s="41" t="str">
        <f>IF(Agent07_Savings!A89="","",Agent07_Savings!D89)</f>
        <v/>
      </c>
      <c r="F1282" s="42" t="str">
        <f>IF(Agent07_Savings!A89="","",Agent07_Savings!E89)</f>
        <v/>
      </c>
      <c r="G1282" s="42" t="str">
        <f>IF(Agent07_Savings!A89="","",Agent07_Savings!F89)</f>
        <v/>
      </c>
      <c r="H1282" s="40" t="str">
        <f>IF(Agent07_Savings!A89="","",Agent07_Savings!I89)</f>
        <v/>
      </c>
      <c r="I1282" s="40" t="str">
        <f>IF(Agent07_Savings!A89="","",Agent07_Savings!J89)</f>
        <v/>
      </c>
      <c r="J1282" s="40" t="str">
        <f>IF(Agent07_Savings!A89="","",Agent07_Savings!K89)</f>
        <v/>
      </c>
      <c r="K1282" s="40" t="str">
        <f>IFERROR(IF(Agent07_Savings!A89="","",YEAR(Agent07_Savings!D89)),"")</f>
        <v/>
      </c>
    </row>
    <row r="1283" spans="1:11" ht="18" customHeight="1" x14ac:dyDescent="0.25">
      <c r="A1283" s="40" t="str">
        <f>IF(Agent07_Savings!A90="","",Agent07_Savings!A90)</f>
        <v/>
      </c>
      <c r="B1283" s="40" t="str">
        <f ca="1">IF(Agent07_Savings!A90="","","SV"&amp;TEXT(1283-3,"0000")&amp;"-"&amp;TEXT(TODAY(),"YYYYMMDD"))</f>
        <v/>
      </c>
      <c r="C1283" s="40" t="str">
        <f>IF(Agent07_Savings!A90="","",Agent07_Savings!B90)</f>
        <v/>
      </c>
      <c r="D1283" s="40" t="str">
        <f>IF(Agent07_Savings!A90="","",Agent07_Savings!G90)</f>
        <v/>
      </c>
      <c r="E1283" s="41" t="str">
        <f>IF(Agent07_Savings!A90="","",Agent07_Savings!D90)</f>
        <v/>
      </c>
      <c r="F1283" s="42" t="str">
        <f>IF(Agent07_Savings!A90="","",Agent07_Savings!E90)</f>
        <v/>
      </c>
      <c r="G1283" s="42" t="str">
        <f>IF(Agent07_Savings!A90="","",Agent07_Savings!F90)</f>
        <v/>
      </c>
      <c r="H1283" s="40" t="str">
        <f>IF(Agent07_Savings!A90="","",Agent07_Savings!I90)</f>
        <v/>
      </c>
      <c r="I1283" s="40" t="str">
        <f>IF(Agent07_Savings!A90="","",Agent07_Savings!J90)</f>
        <v/>
      </c>
      <c r="J1283" s="40" t="str">
        <f>IF(Agent07_Savings!A90="","",Agent07_Savings!K90)</f>
        <v/>
      </c>
      <c r="K1283" s="40" t="str">
        <f>IFERROR(IF(Agent07_Savings!A90="","",YEAR(Agent07_Savings!D90)),"")</f>
        <v/>
      </c>
    </row>
    <row r="1284" spans="1:11" ht="18" customHeight="1" x14ac:dyDescent="0.25">
      <c r="A1284" s="40" t="str">
        <f>IF(Agent07_Savings!A91="","",Agent07_Savings!A91)</f>
        <v/>
      </c>
      <c r="B1284" s="40" t="str">
        <f ca="1">IF(Agent07_Savings!A91="","","SV"&amp;TEXT(1284-3,"0000")&amp;"-"&amp;TEXT(TODAY(),"YYYYMMDD"))</f>
        <v/>
      </c>
      <c r="C1284" s="40" t="str">
        <f>IF(Agent07_Savings!A91="","",Agent07_Savings!B91)</f>
        <v/>
      </c>
      <c r="D1284" s="40" t="str">
        <f>IF(Agent07_Savings!A91="","",Agent07_Savings!G91)</f>
        <v/>
      </c>
      <c r="E1284" s="41" t="str">
        <f>IF(Agent07_Savings!A91="","",Agent07_Savings!D91)</f>
        <v/>
      </c>
      <c r="F1284" s="42" t="str">
        <f>IF(Agent07_Savings!A91="","",Agent07_Savings!E91)</f>
        <v/>
      </c>
      <c r="G1284" s="42" t="str">
        <f>IF(Agent07_Savings!A91="","",Agent07_Savings!F91)</f>
        <v/>
      </c>
      <c r="H1284" s="40" t="str">
        <f>IF(Agent07_Savings!A91="","",Agent07_Savings!I91)</f>
        <v/>
      </c>
      <c r="I1284" s="40" t="str">
        <f>IF(Agent07_Savings!A91="","",Agent07_Savings!J91)</f>
        <v/>
      </c>
      <c r="J1284" s="40" t="str">
        <f>IF(Agent07_Savings!A91="","",Agent07_Savings!K91)</f>
        <v/>
      </c>
      <c r="K1284" s="40" t="str">
        <f>IFERROR(IF(Agent07_Savings!A91="","",YEAR(Agent07_Savings!D91)),"")</f>
        <v/>
      </c>
    </row>
    <row r="1285" spans="1:11" ht="18" customHeight="1" x14ac:dyDescent="0.25">
      <c r="A1285" s="40" t="str">
        <f>IF(Agent07_Savings!A92="","",Agent07_Savings!A92)</f>
        <v/>
      </c>
      <c r="B1285" s="40" t="str">
        <f ca="1">IF(Agent07_Savings!A92="","","SV"&amp;TEXT(1285-3,"0000")&amp;"-"&amp;TEXT(TODAY(),"YYYYMMDD"))</f>
        <v/>
      </c>
      <c r="C1285" s="40" t="str">
        <f>IF(Agent07_Savings!A92="","",Agent07_Savings!B92)</f>
        <v/>
      </c>
      <c r="D1285" s="40" t="str">
        <f>IF(Agent07_Savings!A92="","",Agent07_Savings!G92)</f>
        <v/>
      </c>
      <c r="E1285" s="41" t="str">
        <f>IF(Agent07_Savings!A92="","",Agent07_Savings!D92)</f>
        <v/>
      </c>
      <c r="F1285" s="42" t="str">
        <f>IF(Agent07_Savings!A92="","",Agent07_Savings!E92)</f>
        <v/>
      </c>
      <c r="G1285" s="42" t="str">
        <f>IF(Agent07_Savings!A92="","",Agent07_Savings!F92)</f>
        <v/>
      </c>
      <c r="H1285" s="40" t="str">
        <f>IF(Agent07_Savings!A92="","",Agent07_Savings!I92)</f>
        <v/>
      </c>
      <c r="I1285" s="40" t="str">
        <f>IF(Agent07_Savings!A92="","",Agent07_Savings!J92)</f>
        <v/>
      </c>
      <c r="J1285" s="40" t="str">
        <f>IF(Agent07_Savings!A92="","",Agent07_Savings!K92)</f>
        <v/>
      </c>
      <c r="K1285" s="40" t="str">
        <f>IFERROR(IF(Agent07_Savings!A92="","",YEAR(Agent07_Savings!D92)),"")</f>
        <v/>
      </c>
    </row>
    <row r="1286" spans="1:11" ht="18" customHeight="1" x14ac:dyDescent="0.25">
      <c r="A1286" s="40" t="str">
        <f>IF(Agent07_Savings!A93="","",Agent07_Savings!A93)</f>
        <v/>
      </c>
      <c r="B1286" s="40" t="str">
        <f ca="1">IF(Agent07_Savings!A93="","","SV"&amp;TEXT(1286-3,"0000")&amp;"-"&amp;TEXT(TODAY(),"YYYYMMDD"))</f>
        <v/>
      </c>
      <c r="C1286" s="40" t="str">
        <f>IF(Agent07_Savings!A93="","",Agent07_Savings!B93)</f>
        <v/>
      </c>
      <c r="D1286" s="40" t="str">
        <f>IF(Agent07_Savings!A93="","",Agent07_Savings!G93)</f>
        <v/>
      </c>
      <c r="E1286" s="41" t="str">
        <f>IF(Agent07_Savings!A93="","",Agent07_Savings!D93)</f>
        <v/>
      </c>
      <c r="F1286" s="42" t="str">
        <f>IF(Agent07_Savings!A93="","",Agent07_Savings!E93)</f>
        <v/>
      </c>
      <c r="G1286" s="42" t="str">
        <f>IF(Agent07_Savings!A93="","",Agent07_Savings!F93)</f>
        <v/>
      </c>
      <c r="H1286" s="40" t="str">
        <f>IF(Agent07_Savings!A93="","",Agent07_Savings!I93)</f>
        <v/>
      </c>
      <c r="I1286" s="40" t="str">
        <f>IF(Agent07_Savings!A93="","",Agent07_Savings!J93)</f>
        <v/>
      </c>
      <c r="J1286" s="40" t="str">
        <f>IF(Agent07_Savings!A93="","",Agent07_Savings!K93)</f>
        <v/>
      </c>
      <c r="K1286" s="40" t="str">
        <f>IFERROR(IF(Agent07_Savings!A93="","",YEAR(Agent07_Savings!D93)),"")</f>
        <v/>
      </c>
    </row>
    <row r="1287" spans="1:11" ht="18" customHeight="1" x14ac:dyDescent="0.25">
      <c r="A1287" s="40" t="str">
        <f>IF(Agent07_Savings!A94="","",Agent07_Savings!A94)</f>
        <v/>
      </c>
      <c r="B1287" s="40" t="str">
        <f ca="1">IF(Agent07_Savings!A94="","","SV"&amp;TEXT(1287-3,"0000")&amp;"-"&amp;TEXT(TODAY(),"YYYYMMDD"))</f>
        <v/>
      </c>
      <c r="C1287" s="40" t="str">
        <f>IF(Agent07_Savings!A94="","",Agent07_Savings!B94)</f>
        <v/>
      </c>
      <c r="D1287" s="40" t="str">
        <f>IF(Agent07_Savings!A94="","",Agent07_Savings!G94)</f>
        <v/>
      </c>
      <c r="E1287" s="41" t="str">
        <f>IF(Agent07_Savings!A94="","",Agent07_Savings!D94)</f>
        <v/>
      </c>
      <c r="F1287" s="42" t="str">
        <f>IF(Agent07_Savings!A94="","",Agent07_Savings!E94)</f>
        <v/>
      </c>
      <c r="G1287" s="42" t="str">
        <f>IF(Agent07_Savings!A94="","",Agent07_Savings!F94)</f>
        <v/>
      </c>
      <c r="H1287" s="40" t="str">
        <f>IF(Agent07_Savings!A94="","",Agent07_Savings!I94)</f>
        <v/>
      </c>
      <c r="I1287" s="40" t="str">
        <f>IF(Agent07_Savings!A94="","",Agent07_Savings!J94)</f>
        <v/>
      </c>
      <c r="J1287" s="40" t="str">
        <f>IF(Agent07_Savings!A94="","",Agent07_Savings!K94)</f>
        <v/>
      </c>
      <c r="K1287" s="40" t="str">
        <f>IFERROR(IF(Agent07_Savings!A94="","",YEAR(Agent07_Savings!D94)),"")</f>
        <v/>
      </c>
    </row>
    <row r="1288" spans="1:11" ht="18" customHeight="1" x14ac:dyDescent="0.25">
      <c r="A1288" s="40" t="str">
        <f>IF(Agent07_Savings!A95="","",Agent07_Savings!A95)</f>
        <v/>
      </c>
      <c r="B1288" s="40" t="str">
        <f ca="1">IF(Agent07_Savings!A95="","","SV"&amp;TEXT(1288-3,"0000")&amp;"-"&amp;TEXT(TODAY(),"YYYYMMDD"))</f>
        <v/>
      </c>
      <c r="C1288" s="40" t="str">
        <f>IF(Agent07_Savings!A95="","",Agent07_Savings!B95)</f>
        <v/>
      </c>
      <c r="D1288" s="40" t="str">
        <f>IF(Agent07_Savings!A95="","",Agent07_Savings!G95)</f>
        <v/>
      </c>
      <c r="E1288" s="41" t="str">
        <f>IF(Agent07_Savings!A95="","",Agent07_Savings!D95)</f>
        <v/>
      </c>
      <c r="F1288" s="42" t="str">
        <f>IF(Agent07_Savings!A95="","",Agent07_Savings!E95)</f>
        <v/>
      </c>
      <c r="G1288" s="42" t="str">
        <f>IF(Agent07_Savings!A95="","",Agent07_Savings!F95)</f>
        <v/>
      </c>
      <c r="H1288" s="40" t="str">
        <f>IF(Agent07_Savings!A95="","",Agent07_Savings!I95)</f>
        <v/>
      </c>
      <c r="I1288" s="40" t="str">
        <f>IF(Agent07_Savings!A95="","",Agent07_Savings!J95)</f>
        <v/>
      </c>
      <c r="J1288" s="40" t="str">
        <f>IF(Agent07_Savings!A95="","",Agent07_Savings!K95)</f>
        <v/>
      </c>
      <c r="K1288" s="40" t="str">
        <f>IFERROR(IF(Agent07_Savings!A95="","",YEAR(Agent07_Savings!D95)),"")</f>
        <v/>
      </c>
    </row>
    <row r="1289" spans="1:11" ht="18" customHeight="1" x14ac:dyDescent="0.25">
      <c r="A1289" s="40" t="str">
        <f>IF(Agent07_Savings!A96="","",Agent07_Savings!A96)</f>
        <v/>
      </c>
      <c r="B1289" s="40" t="str">
        <f ca="1">IF(Agent07_Savings!A96="","","SV"&amp;TEXT(1289-3,"0000")&amp;"-"&amp;TEXT(TODAY(),"YYYYMMDD"))</f>
        <v/>
      </c>
      <c r="C1289" s="40" t="str">
        <f>IF(Agent07_Savings!A96="","",Agent07_Savings!B96)</f>
        <v/>
      </c>
      <c r="D1289" s="40" t="str">
        <f>IF(Agent07_Savings!A96="","",Agent07_Savings!G96)</f>
        <v/>
      </c>
      <c r="E1289" s="41" t="str">
        <f>IF(Agent07_Savings!A96="","",Agent07_Savings!D96)</f>
        <v/>
      </c>
      <c r="F1289" s="42" t="str">
        <f>IF(Agent07_Savings!A96="","",Agent07_Savings!E96)</f>
        <v/>
      </c>
      <c r="G1289" s="42" t="str">
        <f>IF(Agent07_Savings!A96="","",Agent07_Savings!F96)</f>
        <v/>
      </c>
      <c r="H1289" s="40" t="str">
        <f>IF(Agent07_Savings!A96="","",Agent07_Savings!I96)</f>
        <v/>
      </c>
      <c r="I1289" s="40" t="str">
        <f>IF(Agent07_Savings!A96="","",Agent07_Savings!J96)</f>
        <v/>
      </c>
      <c r="J1289" s="40" t="str">
        <f>IF(Agent07_Savings!A96="","",Agent07_Savings!K96)</f>
        <v/>
      </c>
      <c r="K1289" s="40" t="str">
        <f>IFERROR(IF(Agent07_Savings!A96="","",YEAR(Agent07_Savings!D96)),"")</f>
        <v/>
      </c>
    </row>
    <row r="1290" spans="1:11" ht="18" customHeight="1" x14ac:dyDescent="0.25">
      <c r="A1290" s="40" t="str">
        <f>IF(Agent07_Savings!A97="","",Agent07_Savings!A97)</f>
        <v/>
      </c>
      <c r="B1290" s="40" t="str">
        <f ca="1">IF(Agent07_Savings!A97="","","SV"&amp;TEXT(1290-3,"0000")&amp;"-"&amp;TEXT(TODAY(),"YYYYMMDD"))</f>
        <v/>
      </c>
      <c r="C1290" s="40" t="str">
        <f>IF(Agent07_Savings!A97="","",Agent07_Savings!B97)</f>
        <v/>
      </c>
      <c r="D1290" s="40" t="str">
        <f>IF(Agent07_Savings!A97="","",Agent07_Savings!G97)</f>
        <v/>
      </c>
      <c r="E1290" s="41" t="str">
        <f>IF(Agent07_Savings!A97="","",Agent07_Savings!D97)</f>
        <v/>
      </c>
      <c r="F1290" s="42" t="str">
        <f>IF(Agent07_Savings!A97="","",Agent07_Savings!E97)</f>
        <v/>
      </c>
      <c r="G1290" s="42" t="str">
        <f>IF(Agent07_Savings!A97="","",Agent07_Savings!F97)</f>
        <v/>
      </c>
      <c r="H1290" s="40" t="str">
        <f>IF(Agent07_Savings!A97="","",Agent07_Savings!I97)</f>
        <v/>
      </c>
      <c r="I1290" s="40" t="str">
        <f>IF(Agent07_Savings!A97="","",Agent07_Savings!J97)</f>
        <v/>
      </c>
      <c r="J1290" s="40" t="str">
        <f>IF(Agent07_Savings!A97="","",Agent07_Savings!K97)</f>
        <v/>
      </c>
      <c r="K1290" s="40" t="str">
        <f>IFERROR(IF(Agent07_Savings!A97="","",YEAR(Agent07_Savings!D97)),"")</f>
        <v/>
      </c>
    </row>
    <row r="1291" spans="1:11" ht="18" customHeight="1" x14ac:dyDescent="0.25">
      <c r="A1291" s="40" t="str">
        <f>IF(Agent07_Savings!A98="","",Agent07_Savings!A98)</f>
        <v/>
      </c>
      <c r="B1291" s="40" t="str">
        <f ca="1">IF(Agent07_Savings!A98="","","SV"&amp;TEXT(1291-3,"0000")&amp;"-"&amp;TEXT(TODAY(),"YYYYMMDD"))</f>
        <v/>
      </c>
      <c r="C1291" s="40" t="str">
        <f>IF(Agent07_Savings!A98="","",Agent07_Savings!B98)</f>
        <v/>
      </c>
      <c r="D1291" s="40" t="str">
        <f>IF(Agent07_Savings!A98="","",Agent07_Savings!G98)</f>
        <v/>
      </c>
      <c r="E1291" s="41" t="str">
        <f>IF(Agent07_Savings!A98="","",Agent07_Savings!D98)</f>
        <v/>
      </c>
      <c r="F1291" s="42" t="str">
        <f>IF(Agent07_Savings!A98="","",Agent07_Savings!E98)</f>
        <v/>
      </c>
      <c r="G1291" s="42" t="str">
        <f>IF(Agent07_Savings!A98="","",Agent07_Savings!F98)</f>
        <v/>
      </c>
      <c r="H1291" s="40" t="str">
        <f>IF(Agent07_Savings!A98="","",Agent07_Savings!I98)</f>
        <v/>
      </c>
      <c r="I1291" s="40" t="str">
        <f>IF(Agent07_Savings!A98="","",Agent07_Savings!J98)</f>
        <v/>
      </c>
      <c r="J1291" s="40" t="str">
        <f>IF(Agent07_Savings!A98="","",Agent07_Savings!K98)</f>
        <v/>
      </c>
      <c r="K1291" s="40" t="str">
        <f>IFERROR(IF(Agent07_Savings!A98="","",YEAR(Agent07_Savings!D98)),"")</f>
        <v/>
      </c>
    </row>
    <row r="1292" spans="1:11" ht="18" customHeight="1" x14ac:dyDescent="0.25">
      <c r="A1292" s="40" t="str">
        <f>IF(Agent07_Savings!A99="","",Agent07_Savings!A99)</f>
        <v/>
      </c>
      <c r="B1292" s="40" t="str">
        <f ca="1">IF(Agent07_Savings!A99="","","SV"&amp;TEXT(1292-3,"0000")&amp;"-"&amp;TEXT(TODAY(),"YYYYMMDD"))</f>
        <v/>
      </c>
      <c r="C1292" s="40" t="str">
        <f>IF(Agent07_Savings!A99="","",Agent07_Savings!B99)</f>
        <v/>
      </c>
      <c r="D1292" s="40" t="str">
        <f>IF(Agent07_Savings!A99="","",Agent07_Savings!G99)</f>
        <v/>
      </c>
      <c r="E1292" s="41" t="str">
        <f>IF(Agent07_Savings!A99="","",Agent07_Savings!D99)</f>
        <v/>
      </c>
      <c r="F1292" s="42" t="str">
        <f>IF(Agent07_Savings!A99="","",Agent07_Savings!E99)</f>
        <v/>
      </c>
      <c r="G1292" s="42" t="str">
        <f>IF(Agent07_Savings!A99="","",Agent07_Savings!F99)</f>
        <v/>
      </c>
      <c r="H1292" s="40" t="str">
        <f>IF(Agent07_Savings!A99="","",Agent07_Savings!I99)</f>
        <v/>
      </c>
      <c r="I1292" s="40" t="str">
        <f>IF(Agent07_Savings!A99="","",Agent07_Savings!J99)</f>
        <v/>
      </c>
      <c r="J1292" s="40" t="str">
        <f>IF(Agent07_Savings!A99="","",Agent07_Savings!K99)</f>
        <v/>
      </c>
      <c r="K1292" s="40" t="str">
        <f>IFERROR(IF(Agent07_Savings!A99="","",YEAR(Agent07_Savings!D99)),"")</f>
        <v/>
      </c>
    </row>
    <row r="1293" spans="1:11" ht="18" customHeight="1" x14ac:dyDescent="0.25">
      <c r="A1293" s="40" t="str">
        <f>IF(Agent07_Savings!A100="","",Agent07_Savings!A100)</f>
        <v/>
      </c>
      <c r="B1293" s="40" t="str">
        <f ca="1">IF(Agent07_Savings!A100="","","SV"&amp;TEXT(1293-3,"0000")&amp;"-"&amp;TEXT(TODAY(),"YYYYMMDD"))</f>
        <v/>
      </c>
      <c r="C1293" s="40" t="str">
        <f>IF(Agent07_Savings!A100="","",Agent07_Savings!B100)</f>
        <v/>
      </c>
      <c r="D1293" s="40" t="str">
        <f>IF(Agent07_Savings!A100="","",Agent07_Savings!G100)</f>
        <v/>
      </c>
      <c r="E1293" s="41" t="str">
        <f>IF(Agent07_Savings!A100="","",Agent07_Savings!D100)</f>
        <v/>
      </c>
      <c r="F1293" s="42" t="str">
        <f>IF(Agent07_Savings!A100="","",Agent07_Savings!E100)</f>
        <v/>
      </c>
      <c r="G1293" s="42" t="str">
        <f>IF(Agent07_Savings!A100="","",Agent07_Savings!F100)</f>
        <v/>
      </c>
      <c r="H1293" s="40" t="str">
        <f>IF(Agent07_Savings!A100="","",Agent07_Savings!I100)</f>
        <v/>
      </c>
      <c r="I1293" s="40" t="str">
        <f>IF(Agent07_Savings!A100="","",Agent07_Savings!J100)</f>
        <v/>
      </c>
      <c r="J1293" s="40" t="str">
        <f>IF(Agent07_Savings!A100="","",Agent07_Savings!K100)</f>
        <v/>
      </c>
      <c r="K1293" s="40" t="str">
        <f>IFERROR(IF(Agent07_Savings!A100="","",YEAR(Agent07_Savings!D100)),"")</f>
        <v/>
      </c>
    </row>
    <row r="1294" spans="1:11" ht="18" customHeight="1" x14ac:dyDescent="0.25">
      <c r="A1294" s="40" t="str">
        <f>IF(Agent07_Savings!A101="","",Agent07_Savings!A101)</f>
        <v/>
      </c>
      <c r="B1294" s="40" t="str">
        <f ca="1">IF(Agent07_Savings!A101="","","SV"&amp;TEXT(1294-3,"0000")&amp;"-"&amp;TEXT(TODAY(),"YYYYMMDD"))</f>
        <v/>
      </c>
      <c r="C1294" s="40" t="str">
        <f>IF(Agent07_Savings!A101="","",Agent07_Savings!B101)</f>
        <v/>
      </c>
      <c r="D1294" s="40" t="str">
        <f>IF(Agent07_Savings!A101="","",Agent07_Savings!G101)</f>
        <v/>
      </c>
      <c r="E1294" s="41" t="str">
        <f>IF(Agent07_Savings!A101="","",Agent07_Savings!D101)</f>
        <v/>
      </c>
      <c r="F1294" s="42" t="str">
        <f>IF(Agent07_Savings!A101="","",Agent07_Savings!E101)</f>
        <v/>
      </c>
      <c r="G1294" s="42" t="str">
        <f>IF(Agent07_Savings!A101="","",Agent07_Savings!F101)</f>
        <v/>
      </c>
      <c r="H1294" s="40" t="str">
        <f>IF(Agent07_Savings!A101="","",Agent07_Savings!I101)</f>
        <v/>
      </c>
      <c r="I1294" s="40" t="str">
        <f>IF(Agent07_Savings!A101="","",Agent07_Savings!J101)</f>
        <v/>
      </c>
      <c r="J1294" s="40" t="str">
        <f>IF(Agent07_Savings!A101="","",Agent07_Savings!K101)</f>
        <v/>
      </c>
      <c r="K1294" s="40" t="str">
        <f>IFERROR(IF(Agent07_Savings!A101="","",YEAR(Agent07_Savings!D101)),"")</f>
        <v/>
      </c>
    </row>
    <row r="1295" spans="1:11" ht="18" customHeight="1" x14ac:dyDescent="0.25">
      <c r="A1295" s="40" t="str">
        <f>IF(Agent07_Savings!A102="","",Agent07_Savings!A102)</f>
        <v/>
      </c>
      <c r="B1295" s="40" t="str">
        <f ca="1">IF(Agent07_Savings!A102="","","SV"&amp;TEXT(1295-3,"0000")&amp;"-"&amp;TEXT(TODAY(),"YYYYMMDD"))</f>
        <v/>
      </c>
      <c r="C1295" s="40" t="str">
        <f>IF(Agent07_Savings!A102="","",Agent07_Savings!B102)</f>
        <v/>
      </c>
      <c r="D1295" s="40" t="str">
        <f>IF(Agent07_Savings!A102="","",Agent07_Savings!G102)</f>
        <v/>
      </c>
      <c r="E1295" s="41" t="str">
        <f>IF(Agent07_Savings!A102="","",Agent07_Savings!D102)</f>
        <v/>
      </c>
      <c r="F1295" s="42" t="str">
        <f>IF(Agent07_Savings!A102="","",Agent07_Savings!E102)</f>
        <v/>
      </c>
      <c r="G1295" s="42" t="str">
        <f>IF(Agent07_Savings!A102="","",Agent07_Savings!F102)</f>
        <v/>
      </c>
      <c r="H1295" s="40" t="str">
        <f>IF(Agent07_Savings!A102="","",Agent07_Savings!I102)</f>
        <v/>
      </c>
      <c r="I1295" s="40" t="str">
        <f>IF(Agent07_Savings!A102="","",Agent07_Savings!J102)</f>
        <v/>
      </c>
      <c r="J1295" s="40" t="str">
        <f>IF(Agent07_Savings!A102="","",Agent07_Savings!K102)</f>
        <v/>
      </c>
      <c r="K1295" s="40" t="str">
        <f>IFERROR(IF(Agent07_Savings!A102="","",YEAR(Agent07_Savings!D102)),"")</f>
        <v/>
      </c>
    </row>
    <row r="1296" spans="1:11" ht="18" customHeight="1" x14ac:dyDescent="0.25">
      <c r="A1296" s="40" t="str">
        <f>IF(Agent07_Savings!A103="","",Agent07_Savings!A103)</f>
        <v/>
      </c>
      <c r="B1296" s="40" t="str">
        <f ca="1">IF(Agent07_Savings!A103="","","SV"&amp;TEXT(1296-3,"0000")&amp;"-"&amp;TEXT(TODAY(),"YYYYMMDD"))</f>
        <v/>
      </c>
      <c r="C1296" s="40" t="str">
        <f>IF(Agent07_Savings!A103="","",Agent07_Savings!B103)</f>
        <v/>
      </c>
      <c r="D1296" s="40" t="str">
        <f>IF(Agent07_Savings!A103="","",Agent07_Savings!G103)</f>
        <v/>
      </c>
      <c r="E1296" s="41" t="str">
        <f>IF(Agent07_Savings!A103="","",Agent07_Savings!D103)</f>
        <v/>
      </c>
      <c r="F1296" s="42" t="str">
        <f>IF(Agent07_Savings!A103="","",Agent07_Savings!E103)</f>
        <v/>
      </c>
      <c r="G1296" s="42" t="str">
        <f>IF(Agent07_Savings!A103="","",Agent07_Savings!F103)</f>
        <v/>
      </c>
      <c r="H1296" s="40" t="str">
        <f>IF(Agent07_Savings!A103="","",Agent07_Savings!I103)</f>
        <v/>
      </c>
      <c r="I1296" s="40" t="str">
        <f>IF(Agent07_Savings!A103="","",Agent07_Savings!J103)</f>
        <v/>
      </c>
      <c r="J1296" s="40" t="str">
        <f>IF(Agent07_Savings!A103="","",Agent07_Savings!K103)</f>
        <v/>
      </c>
      <c r="K1296" s="40" t="str">
        <f>IFERROR(IF(Agent07_Savings!A103="","",YEAR(Agent07_Savings!D103)),"")</f>
        <v/>
      </c>
    </row>
    <row r="1297" spans="1:11" ht="18" customHeight="1" x14ac:dyDescent="0.25">
      <c r="A1297" s="40" t="str">
        <f>IF(Agent07_Savings!A104="","",Agent07_Savings!A104)</f>
        <v/>
      </c>
      <c r="B1297" s="40" t="str">
        <f ca="1">IF(Agent07_Savings!A104="","","SV"&amp;TEXT(1297-3,"0000")&amp;"-"&amp;TEXT(TODAY(),"YYYYMMDD"))</f>
        <v/>
      </c>
      <c r="C1297" s="40" t="str">
        <f>IF(Agent07_Savings!A104="","",Agent07_Savings!B104)</f>
        <v/>
      </c>
      <c r="D1297" s="40" t="str">
        <f>IF(Agent07_Savings!A104="","",Agent07_Savings!G104)</f>
        <v/>
      </c>
      <c r="E1297" s="41" t="str">
        <f>IF(Agent07_Savings!A104="","",Agent07_Savings!D104)</f>
        <v/>
      </c>
      <c r="F1297" s="42" t="str">
        <f>IF(Agent07_Savings!A104="","",Agent07_Savings!E104)</f>
        <v/>
      </c>
      <c r="G1297" s="42" t="str">
        <f>IF(Agent07_Savings!A104="","",Agent07_Savings!F104)</f>
        <v/>
      </c>
      <c r="H1297" s="40" t="str">
        <f>IF(Agent07_Savings!A104="","",Agent07_Savings!I104)</f>
        <v/>
      </c>
      <c r="I1297" s="40" t="str">
        <f>IF(Agent07_Savings!A104="","",Agent07_Savings!J104)</f>
        <v/>
      </c>
      <c r="J1297" s="40" t="str">
        <f>IF(Agent07_Savings!A104="","",Agent07_Savings!K104)</f>
        <v/>
      </c>
      <c r="K1297" s="40" t="str">
        <f>IFERROR(IF(Agent07_Savings!A104="","",YEAR(Agent07_Savings!D104)),"")</f>
        <v/>
      </c>
    </row>
    <row r="1298" spans="1:11" ht="18" customHeight="1" x14ac:dyDescent="0.25">
      <c r="A1298" s="40" t="str">
        <f>IF(Agent07_Savings!A105="","",Agent07_Savings!A105)</f>
        <v/>
      </c>
      <c r="B1298" s="40" t="str">
        <f ca="1">IF(Agent07_Savings!A105="","","SV"&amp;TEXT(1298-3,"0000")&amp;"-"&amp;TEXT(TODAY(),"YYYYMMDD"))</f>
        <v/>
      </c>
      <c r="C1298" s="40" t="str">
        <f>IF(Agent07_Savings!A105="","",Agent07_Savings!B105)</f>
        <v/>
      </c>
      <c r="D1298" s="40" t="str">
        <f>IF(Agent07_Savings!A105="","",Agent07_Savings!G105)</f>
        <v/>
      </c>
      <c r="E1298" s="41" t="str">
        <f>IF(Agent07_Savings!A105="","",Agent07_Savings!D105)</f>
        <v/>
      </c>
      <c r="F1298" s="42" t="str">
        <f>IF(Agent07_Savings!A105="","",Agent07_Savings!E105)</f>
        <v/>
      </c>
      <c r="G1298" s="42" t="str">
        <f>IF(Agent07_Savings!A105="","",Agent07_Savings!F105)</f>
        <v/>
      </c>
      <c r="H1298" s="40" t="str">
        <f>IF(Agent07_Savings!A105="","",Agent07_Savings!I105)</f>
        <v/>
      </c>
      <c r="I1298" s="40" t="str">
        <f>IF(Agent07_Savings!A105="","",Agent07_Savings!J105)</f>
        <v/>
      </c>
      <c r="J1298" s="40" t="str">
        <f>IF(Agent07_Savings!A105="","",Agent07_Savings!K105)</f>
        <v/>
      </c>
      <c r="K1298" s="40" t="str">
        <f>IFERROR(IF(Agent07_Savings!A105="","",YEAR(Agent07_Savings!D105)),"")</f>
        <v/>
      </c>
    </row>
    <row r="1299" spans="1:11" ht="18" customHeight="1" x14ac:dyDescent="0.25">
      <c r="A1299" s="40" t="str">
        <f>IF(Agent07_Savings!A106="","",Agent07_Savings!A106)</f>
        <v/>
      </c>
      <c r="B1299" s="40" t="str">
        <f ca="1">IF(Agent07_Savings!A106="","","SV"&amp;TEXT(1299-3,"0000")&amp;"-"&amp;TEXT(TODAY(),"YYYYMMDD"))</f>
        <v/>
      </c>
      <c r="C1299" s="40" t="str">
        <f>IF(Agent07_Savings!A106="","",Agent07_Savings!B106)</f>
        <v/>
      </c>
      <c r="D1299" s="40" t="str">
        <f>IF(Agent07_Savings!A106="","",Agent07_Savings!G106)</f>
        <v/>
      </c>
      <c r="E1299" s="41" t="str">
        <f>IF(Agent07_Savings!A106="","",Agent07_Savings!D106)</f>
        <v/>
      </c>
      <c r="F1299" s="42" t="str">
        <f>IF(Agent07_Savings!A106="","",Agent07_Savings!E106)</f>
        <v/>
      </c>
      <c r="G1299" s="42" t="str">
        <f>IF(Agent07_Savings!A106="","",Agent07_Savings!F106)</f>
        <v/>
      </c>
      <c r="H1299" s="40" t="str">
        <f>IF(Agent07_Savings!A106="","",Agent07_Savings!I106)</f>
        <v/>
      </c>
      <c r="I1299" s="40" t="str">
        <f>IF(Agent07_Savings!A106="","",Agent07_Savings!J106)</f>
        <v/>
      </c>
      <c r="J1299" s="40" t="str">
        <f>IF(Agent07_Savings!A106="","",Agent07_Savings!K106)</f>
        <v/>
      </c>
      <c r="K1299" s="40" t="str">
        <f>IFERROR(IF(Agent07_Savings!A106="","",YEAR(Agent07_Savings!D106)),"")</f>
        <v/>
      </c>
    </row>
    <row r="1300" spans="1:11" ht="18" customHeight="1" x14ac:dyDescent="0.25">
      <c r="A1300" s="40" t="str">
        <f>IF(Agent07_Savings!A107="","",Agent07_Savings!A107)</f>
        <v/>
      </c>
      <c r="B1300" s="40" t="str">
        <f ca="1">IF(Agent07_Savings!A107="","","SV"&amp;TEXT(1300-3,"0000")&amp;"-"&amp;TEXT(TODAY(),"YYYYMMDD"))</f>
        <v/>
      </c>
      <c r="C1300" s="40" t="str">
        <f>IF(Agent07_Savings!A107="","",Agent07_Savings!B107)</f>
        <v/>
      </c>
      <c r="D1300" s="40" t="str">
        <f>IF(Agent07_Savings!A107="","",Agent07_Savings!G107)</f>
        <v/>
      </c>
      <c r="E1300" s="41" t="str">
        <f>IF(Agent07_Savings!A107="","",Agent07_Savings!D107)</f>
        <v/>
      </c>
      <c r="F1300" s="42" t="str">
        <f>IF(Agent07_Savings!A107="","",Agent07_Savings!E107)</f>
        <v/>
      </c>
      <c r="G1300" s="42" t="str">
        <f>IF(Agent07_Savings!A107="","",Agent07_Savings!F107)</f>
        <v/>
      </c>
      <c r="H1300" s="40" t="str">
        <f>IF(Agent07_Savings!A107="","",Agent07_Savings!I107)</f>
        <v/>
      </c>
      <c r="I1300" s="40" t="str">
        <f>IF(Agent07_Savings!A107="","",Agent07_Savings!J107)</f>
        <v/>
      </c>
      <c r="J1300" s="40" t="str">
        <f>IF(Agent07_Savings!A107="","",Agent07_Savings!K107)</f>
        <v/>
      </c>
      <c r="K1300" s="40" t="str">
        <f>IFERROR(IF(Agent07_Savings!A107="","",YEAR(Agent07_Savings!D107)),"")</f>
        <v/>
      </c>
    </row>
    <row r="1301" spans="1:11" ht="18" customHeight="1" x14ac:dyDescent="0.25">
      <c r="A1301" s="40" t="str">
        <f>IF(Agent07_Savings!A108="","",Agent07_Savings!A108)</f>
        <v/>
      </c>
      <c r="B1301" s="40" t="str">
        <f ca="1">IF(Agent07_Savings!A108="","","SV"&amp;TEXT(1301-3,"0000")&amp;"-"&amp;TEXT(TODAY(),"YYYYMMDD"))</f>
        <v/>
      </c>
      <c r="C1301" s="40" t="str">
        <f>IF(Agent07_Savings!A108="","",Agent07_Savings!B108)</f>
        <v/>
      </c>
      <c r="D1301" s="40" t="str">
        <f>IF(Agent07_Savings!A108="","",Agent07_Savings!G108)</f>
        <v/>
      </c>
      <c r="E1301" s="41" t="str">
        <f>IF(Agent07_Savings!A108="","",Agent07_Savings!D108)</f>
        <v/>
      </c>
      <c r="F1301" s="42" t="str">
        <f>IF(Agent07_Savings!A108="","",Agent07_Savings!E108)</f>
        <v/>
      </c>
      <c r="G1301" s="42" t="str">
        <f>IF(Agent07_Savings!A108="","",Agent07_Savings!F108)</f>
        <v/>
      </c>
      <c r="H1301" s="40" t="str">
        <f>IF(Agent07_Savings!A108="","",Agent07_Savings!I108)</f>
        <v/>
      </c>
      <c r="I1301" s="40" t="str">
        <f>IF(Agent07_Savings!A108="","",Agent07_Savings!J108)</f>
        <v/>
      </c>
      <c r="J1301" s="40" t="str">
        <f>IF(Agent07_Savings!A108="","",Agent07_Savings!K108)</f>
        <v/>
      </c>
      <c r="K1301" s="40" t="str">
        <f>IFERROR(IF(Agent07_Savings!A108="","",YEAR(Agent07_Savings!D108)),"")</f>
        <v/>
      </c>
    </row>
    <row r="1302" spans="1:11" ht="18" customHeight="1" x14ac:dyDescent="0.25">
      <c r="A1302" s="40" t="str">
        <f>IF(Agent07_Savings!A109="","",Agent07_Savings!A109)</f>
        <v/>
      </c>
      <c r="B1302" s="40" t="str">
        <f ca="1">IF(Agent07_Savings!A109="","","SV"&amp;TEXT(1302-3,"0000")&amp;"-"&amp;TEXT(TODAY(),"YYYYMMDD"))</f>
        <v/>
      </c>
      <c r="C1302" s="40" t="str">
        <f>IF(Agent07_Savings!A109="","",Agent07_Savings!B109)</f>
        <v/>
      </c>
      <c r="D1302" s="40" t="str">
        <f>IF(Agent07_Savings!A109="","",Agent07_Savings!G109)</f>
        <v/>
      </c>
      <c r="E1302" s="41" t="str">
        <f>IF(Agent07_Savings!A109="","",Agent07_Savings!D109)</f>
        <v/>
      </c>
      <c r="F1302" s="42" t="str">
        <f>IF(Agent07_Savings!A109="","",Agent07_Savings!E109)</f>
        <v/>
      </c>
      <c r="G1302" s="42" t="str">
        <f>IF(Agent07_Savings!A109="","",Agent07_Savings!F109)</f>
        <v/>
      </c>
      <c r="H1302" s="40" t="str">
        <f>IF(Agent07_Savings!A109="","",Agent07_Savings!I109)</f>
        <v/>
      </c>
      <c r="I1302" s="40" t="str">
        <f>IF(Agent07_Savings!A109="","",Agent07_Savings!J109)</f>
        <v/>
      </c>
      <c r="J1302" s="40" t="str">
        <f>IF(Agent07_Savings!A109="","",Agent07_Savings!K109)</f>
        <v/>
      </c>
      <c r="K1302" s="40" t="str">
        <f>IFERROR(IF(Agent07_Savings!A109="","",YEAR(Agent07_Savings!D109)),"")</f>
        <v/>
      </c>
    </row>
    <row r="1303" spans="1:11" ht="18" customHeight="1" x14ac:dyDescent="0.25">
      <c r="A1303" s="40" t="str">
        <f>IF(Agent07_Savings!A110="","",Agent07_Savings!A110)</f>
        <v/>
      </c>
      <c r="B1303" s="40" t="str">
        <f ca="1">IF(Agent07_Savings!A110="","","SV"&amp;TEXT(1303-3,"0000")&amp;"-"&amp;TEXT(TODAY(),"YYYYMMDD"))</f>
        <v/>
      </c>
      <c r="C1303" s="40" t="str">
        <f>IF(Agent07_Savings!A110="","",Agent07_Savings!B110)</f>
        <v/>
      </c>
      <c r="D1303" s="40" t="str">
        <f>IF(Agent07_Savings!A110="","",Agent07_Savings!G110)</f>
        <v/>
      </c>
      <c r="E1303" s="41" t="str">
        <f>IF(Agent07_Savings!A110="","",Agent07_Savings!D110)</f>
        <v/>
      </c>
      <c r="F1303" s="42" t="str">
        <f>IF(Agent07_Savings!A110="","",Agent07_Savings!E110)</f>
        <v/>
      </c>
      <c r="G1303" s="42" t="str">
        <f>IF(Agent07_Savings!A110="","",Agent07_Savings!F110)</f>
        <v/>
      </c>
      <c r="H1303" s="40" t="str">
        <f>IF(Agent07_Savings!A110="","",Agent07_Savings!I110)</f>
        <v/>
      </c>
      <c r="I1303" s="40" t="str">
        <f>IF(Agent07_Savings!A110="","",Agent07_Savings!J110)</f>
        <v/>
      </c>
      <c r="J1303" s="40" t="str">
        <f>IF(Agent07_Savings!A110="","",Agent07_Savings!K110)</f>
        <v/>
      </c>
      <c r="K1303" s="40" t="str">
        <f>IFERROR(IF(Agent07_Savings!A110="","",YEAR(Agent07_Savings!D110)),"")</f>
        <v/>
      </c>
    </row>
    <row r="1304" spans="1:11" ht="18" customHeight="1" x14ac:dyDescent="0.25">
      <c r="A1304" s="40" t="str">
        <f>IF(Agent07_Savings!A111="","",Agent07_Savings!A111)</f>
        <v/>
      </c>
      <c r="B1304" s="40" t="str">
        <f ca="1">IF(Agent07_Savings!A111="","","SV"&amp;TEXT(1304-3,"0000")&amp;"-"&amp;TEXT(TODAY(),"YYYYMMDD"))</f>
        <v/>
      </c>
      <c r="C1304" s="40" t="str">
        <f>IF(Agent07_Savings!A111="","",Agent07_Savings!B111)</f>
        <v/>
      </c>
      <c r="D1304" s="40" t="str">
        <f>IF(Agent07_Savings!A111="","",Agent07_Savings!G111)</f>
        <v/>
      </c>
      <c r="E1304" s="41" t="str">
        <f>IF(Agent07_Savings!A111="","",Agent07_Savings!D111)</f>
        <v/>
      </c>
      <c r="F1304" s="42" t="str">
        <f>IF(Agent07_Savings!A111="","",Agent07_Savings!E111)</f>
        <v/>
      </c>
      <c r="G1304" s="42" t="str">
        <f>IF(Agent07_Savings!A111="","",Agent07_Savings!F111)</f>
        <v/>
      </c>
      <c r="H1304" s="40" t="str">
        <f>IF(Agent07_Savings!A111="","",Agent07_Savings!I111)</f>
        <v/>
      </c>
      <c r="I1304" s="40" t="str">
        <f>IF(Agent07_Savings!A111="","",Agent07_Savings!J111)</f>
        <v/>
      </c>
      <c r="J1304" s="40" t="str">
        <f>IF(Agent07_Savings!A111="","",Agent07_Savings!K111)</f>
        <v/>
      </c>
      <c r="K1304" s="40" t="str">
        <f>IFERROR(IF(Agent07_Savings!A111="","",YEAR(Agent07_Savings!D111)),"")</f>
        <v/>
      </c>
    </row>
    <row r="1305" spans="1:11" ht="18" customHeight="1" x14ac:dyDescent="0.25">
      <c r="A1305" s="40" t="str">
        <f>IF(Agent07_Savings!A112="","",Agent07_Savings!A112)</f>
        <v/>
      </c>
      <c r="B1305" s="40" t="str">
        <f ca="1">IF(Agent07_Savings!A112="","","SV"&amp;TEXT(1305-3,"0000")&amp;"-"&amp;TEXT(TODAY(),"YYYYMMDD"))</f>
        <v/>
      </c>
      <c r="C1305" s="40" t="str">
        <f>IF(Agent07_Savings!A112="","",Agent07_Savings!B112)</f>
        <v/>
      </c>
      <c r="D1305" s="40" t="str">
        <f>IF(Agent07_Savings!A112="","",Agent07_Savings!G112)</f>
        <v/>
      </c>
      <c r="E1305" s="41" t="str">
        <f>IF(Agent07_Savings!A112="","",Agent07_Savings!D112)</f>
        <v/>
      </c>
      <c r="F1305" s="42" t="str">
        <f>IF(Agent07_Savings!A112="","",Agent07_Savings!E112)</f>
        <v/>
      </c>
      <c r="G1305" s="42" t="str">
        <f>IF(Agent07_Savings!A112="","",Agent07_Savings!F112)</f>
        <v/>
      </c>
      <c r="H1305" s="40" t="str">
        <f>IF(Agent07_Savings!A112="","",Agent07_Savings!I112)</f>
        <v/>
      </c>
      <c r="I1305" s="40" t="str">
        <f>IF(Agent07_Savings!A112="","",Agent07_Savings!J112)</f>
        <v/>
      </c>
      <c r="J1305" s="40" t="str">
        <f>IF(Agent07_Savings!A112="","",Agent07_Savings!K112)</f>
        <v/>
      </c>
      <c r="K1305" s="40" t="str">
        <f>IFERROR(IF(Agent07_Savings!A112="","",YEAR(Agent07_Savings!D112)),"")</f>
        <v/>
      </c>
    </row>
    <row r="1306" spans="1:11" ht="18" customHeight="1" x14ac:dyDescent="0.25">
      <c r="A1306" s="40" t="str">
        <f>IF(Agent07_Savings!A113="","",Agent07_Savings!A113)</f>
        <v/>
      </c>
      <c r="B1306" s="40" t="str">
        <f ca="1">IF(Agent07_Savings!A113="","","SV"&amp;TEXT(1306-3,"0000")&amp;"-"&amp;TEXT(TODAY(),"YYYYMMDD"))</f>
        <v/>
      </c>
      <c r="C1306" s="40" t="str">
        <f>IF(Agent07_Savings!A113="","",Agent07_Savings!B113)</f>
        <v/>
      </c>
      <c r="D1306" s="40" t="str">
        <f>IF(Agent07_Savings!A113="","",Agent07_Savings!G113)</f>
        <v/>
      </c>
      <c r="E1306" s="41" t="str">
        <f>IF(Agent07_Savings!A113="","",Agent07_Savings!D113)</f>
        <v/>
      </c>
      <c r="F1306" s="42" t="str">
        <f>IF(Agent07_Savings!A113="","",Agent07_Savings!E113)</f>
        <v/>
      </c>
      <c r="G1306" s="42" t="str">
        <f>IF(Agent07_Savings!A113="","",Agent07_Savings!F113)</f>
        <v/>
      </c>
      <c r="H1306" s="40" t="str">
        <f>IF(Agent07_Savings!A113="","",Agent07_Savings!I113)</f>
        <v/>
      </c>
      <c r="I1306" s="40" t="str">
        <f>IF(Agent07_Savings!A113="","",Agent07_Savings!J113)</f>
        <v/>
      </c>
      <c r="J1306" s="40" t="str">
        <f>IF(Agent07_Savings!A113="","",Agent07_Savings!K113)</f>
        <v/>
      </c>
      <c r="K1306" s="40" t="str">
        <f>IFERROR(IF(Agent07_Savings!A113="","",YEAR(Agent07_Savings!D113)),"")</f>
        <v/>
      </c>
    </row>
    <row r="1307" spans="1:11" ht="18" customHeight="1" x14ac:dyDescent="0.25">
      <c r="A1307" s="40" t="str">
        <f>IF(Agent07_Savings!A114="","",Agent07_Savings!A114)</f>
        <v/>
      </c>
      <c r="B1307" s="40" t="str">
        <f ca="1">IF(Agent07_Savings!A114="","","SV"&amp;TEXT(1307-3,"0000")&amp;"-"&amp;TEXT(TODAY(),"YYYYMMDD"))</f>
        <v/>
      </c>
      <c r="C1307" s="40" t="str">
        <f>IF(Agent07_Savings!A114="","",Agent07_Savings!B114)</f>
        <v/>
      </c>
      <c r="D1307" s="40" t="str">
        <f>IF(Agent07_Savings!A114="","",Agent07_Savings!G114)</f>
        <v/>
      </c>
      <c r="E1307" s="41" t="str">
        <f>IF(Agent07_Savings!A114="","",Agent07_Savings!D114)</f>
        <v/>
      </c>
      <c r="F1307" s="42" t="str">
        <f>IF(Agent07_Savings!A114="","",Agent07_Savings!E114)</f>
        <v/>
      </c>
      <c r="G1307" s="42" t="str">
        <f>IF(Agent07_Savings!A114="","",Agent07_Savings!F114)</f>
        <v/>
      </c>
      <c r="H1307" s="40" t="str">
        <f>IF(Agent07_Savings!A114="","",Agent07_Savings!I114)</f>
        <v/>
      </c>
      <c r="I1307" s="40" t="str">
        <f>IF(Agent07_Savings!A114="","",Agent07_Savings!J114)</f>
        <v/>
      </c>
      <c r="J1307" s="40" t="str">
        <f>IF(Agent07_Savings!A114="","",Agent07_Savings!K114)</f>
        <v/>
      </c>
      <c r="K1307" s="40" t="str">
        <f>IFERROR(IF(Agent07_Savings!A114="","",YEAR(Agent07_Savings!D114)),"")</f>
        <v/>
      </c>
    </row>
    <row r="1308" spans="1:11" ht="18" customHeight="1" x14ac:dyDescent="0.25">
      <c r="A1308" s="40" t="str">
        <f>IF(Agent07_Savings!A115="","",Agent07_Savings!A115)</f>
        <v/>
      </c>
      <c r="B1308" s="40" t="str">
        <f ca="1">IF(Agent07_Savings!A115="","","SV"&amp;TEXT(1308-3,"0000")&amp;"-"&amp;TEXT(TODAY(),"YYYYMMDD"))</f>
        <v/>
      </c>
      <c r="C1308" s="40" t="str">
        <f>IF(Agent07_Savings!A115="","",Agent07_Savings!B115)</f>
        <v/>
      </c>
      <c r="D1308" s="40" t="str">
        <f>IF(Agent07_Savings!A115="","",Agent07_Savings!G115)</f>
        <v/>
      </c>
      <c r="E1308" s="41" t="str">
        <f>IF(Agent07_Savings!A115="","",Agent07_Savings!D115)</f>
        <v/>
      </c>
      <c r="F1308" s="42" t="str">
        <f>IF(Agent07_Savings!A115="","",Agent07_Savings!E115)</f>
        <v/>
      </c>
      <c r="G1308" s="42" t="str">
        <f>IF(Agent07_Savings!A115="","",Agent07_Savings!F115)</f>
        <v/>
      </c>
      <c r="H1308" s="40" t="str">
        <f>IF(Agent07_Savings!A115="","",Agent07_Savings!I115)</f>
        <v/>
      </c>
      <c r="I1308" s="40" t="str">
        <f>IF(Agent07_Savings!A115="","",Agent07_Savings!J115)</f>
        <v/>
      </c>
      <c r="J1308" s="40" t="str">
        <f>IF(Agent07_Savings!A115="","",Agent07_Savings!K115)</f>
        <v/>
      </c>
      <c r="K1308" s="40" t="str">
        <f>IFERROR(IF(Agent07_Savings!A115="","",YEAR(Agent07_Savings!D115)),"")</f>
        <v/>
      </c>
    </row>
    <row r="1309" spans="1:11" ht="18" customHeight="1" x14ac:dyDescent="0.25">
      <c r="A1309" s="40" t="str">
        <f>IF(Agent07_Savings!A116="","",Agent07_Savings!A116)</f>
        <v/>
      </c>
      <c r="B1309" s="40" t="str">
        <f ca="1">IF(Agent07_Savings!A116="","","SV"&amp;TEXT(1309-3,"0000")&amp;"-"&amp;TEXT(TODAY(),"YYYYMMDD"))</f>
        <v/>
      </c>
      <c r="C1309" s="40" t="str">
        <f>IF(Agent07_Savings!A116="","",Agent07_Savings!B116)</f>
        <v/>
      </c>
      <c r="D1309" s="40" t="str">
        <f>IF(Agent07_Savings!A116="","",Agent07_Savings!G116)</f>
        <v/>
      </c>
      <c r="E1309" s="41" t="str">
        <f>IF(Agent07_Savings!A116="","",Agent07_Savings!D116)</f>
        <v/>
      </c>
      <c r="F1309" s="42" t="str">
        <f>IF(Agent07_Savings!A116="","",Agent07_Savings!E116)</f>
        <v/>
      </c>
      <c r="G1309" s="42" t="str">
        <f>IF(Agent07_Savings!A116="","",Agent07_Savings!F116)</f>
        <v/>
      </c>
      <c r="H1309" s="40" t="str">
        <f>IF(Agent07_Savings!A116="","",Agent07_Savings!I116)</f>
        <v/>
      </c>
      <c r="I1309" s="40" t="str">
        <f>IF(Agent07_Savings!A116="","",Agent07_Savings!J116)</f>
        <v/>
      </c>
      <c r="J1309" s="40" t="str">
        <f>IF(Agent07_Savings!A116="","",Agent07_Savings!K116)</f>
        <v/>
      </c>
      <c r="K1309" s="40" t="str">
        <f>IFERROR(IF(Agent07_Savings!A116="","",YEAR(Agent07_Savings!D116)),"")</f>
        <v/>
      </c>
    </row>
    <row r="1310" spans="1:11" ht="18" customHeight="1" x14ac:dyDescent="0.25">
      <c r="A1310" s="40" t="str">
        <f>IF(Agent07_Savings!A117="","",Agent07_Savings!A117)</f>
        <v/>
      </c>
      <c r="B1310" s="40" t="str">
        <f ca="1">IF(Agent07_Savings!A117="","","SV"&amp;TEXT(1310-3,"0000")&amp;"-"&amp;TEXT(TODAY(),"YYYYMMDD"))</f>
        <v/>
      </c>
      <c r="C1310" s="40" t="str">
        <f>IF(Agent07_Savings!A117="","",Agent07_Savings!B117)</f>
        <v/>
      </c>
      <c r="D1310" s="40" t="str">
        <f>IF(Agent07_Savings!A117="","",Agent07_Savings!G117)</f>
        <v/>
      </c>
      <c r="E1310" s="41" t="str">
        <f>IF(Agent07_Savings!A117="","",Agent07_Savings!D117)</f>
        <v/>
      </c>
      <c r="F1310" s="42" t="str">
        <f>IF(Agent07_Savings!A117="","",Agent07_Savings!E117)</f>
        <v/>
      </c>
      <c r="G1310" s="42" t="str">
        <f>IF(Agent07_Savings!A117="","",Agent07_Savings!F117)</f>
        <v/>
      </c>
      <c r="H1310" s="40" t="str">
        <f>IF(Agent07_Savings!A117="","",Agent07_Savings!I117)</f>
        <v/>
      </c>
      <c r="I1310" s="40" t="str">
        <f>IF(Agent07_Savings!A117="","",Agent07_Savings!J117)</f>
        <v/>
      </c>
      <c r="J1310" s="40" t="str">
        <f>IF(Agent07_Savings!A117="","",Agent07_Savings!K117)</f>
        <v/>
      </c>
      <c r="K1310" s="40" t="str">
        <f>IFERROR(IF(Agent07_Savings!A117="","",YEAR(Agent07_Savings!D117)),"")</f>
        <v/>
      </c>
    </row>
    <row r="1311" spans="1:11" ht="18" customHeight="1" x14ac:dyDescent="0.25">
      <c r="A1311" s="40" t="str">
        <f>IF(Agent07_Savings!A118="","",Agent07_Savings!A118)</f>
        <v/>
      </c>
      <c r="B1311" s="40" t="str">
        <f ca="1">IF(Agent07_Savings!A118="","","SV"&amp;TEXT(1311-3,"0000")&amp;"-"&amp;TEXT(TODAY(),"YYYYMMDD"))</f>
        <v/>
      </c>
      <c r="C1311" s="40" t="str">
        <f>IF(Agent07_Savings!A118="","",Agent07_Savings!B118)</f>
        <v/>
      </c>
      <c r="D1311" s="40" t="str">
        <f>IF(Agent07_Savings!A118="","",Agent07_Savings!G118)</f>
        <v/>
      </c>
      <c r="E1311" s="41" t="str">
        <f>IF(Agent07_Savings!A118="","",Agent07_Savings!D118)</f>
        <v/>
      </c>
      <c r="F1311" s="42" t="str">
        <f>IF(Agent07_Savings!A118="","",Agent07_Savings!E118)</f>
        <v/>
      </c>
      <c r="G1311" s="42" t="str">
        <f>IF(Agent07_Savings!A118="","",Agent07_Savings!F118)</f>
        <v/>
      </c>
      <c r="H1311" s="40" t="str">
        <f>IF(Agent07_Savings!A118="","",Agent07_Savings!I118)</f>
        <v/>
      </c>
      <c r="I1311" s="40" t="str">
        <f>IF(Agent07_Savings!A118="","",Agent07_Savings!J118)</f>
        <v/>
      </c>
      <c r="J1311" s="40" t="str">
        <f>IF(Agent07_Savings!A118="","",Agent07_Savings!K118)</f>
        <v/>
      </c>
      <c r="K1311" s="40" t="str">
        <f>IFERROR(IF(Agent07_Savings!A118="","",YEAR(Agent07_Savings!D118)),"")</f>
        <v/>
      </c>
    </row>
    <row r="1312" spans="1:11" ht="18" customHeight="1" x14ac:dyDescent="0.25">
      <c r="A1312" s="40" t="str">
        <f>IF(Agent07_Savings!A119="","",Agent07_Savings!A119)</f>
        <v/>
      </c>
      <c r="B1312" s="40" t="str">
        <f ca="1">IF(Agent07_Savings!A119="","","SV"&amp;TEXT(1312-3,"0000")&amp;"-"&amp;TEXT(TODAY(),"YYYYMMDD"))</f>
        <v/>
      </c>
      <c r="C1312" s="40" t="str">
        <f>IF(Agent07_Savings!A119="","",Agent07_Savings!B119)</f>
        <v/>
      </c>
      <c r="D1312" s="40" t="str">
        <f>IF(Agent07_Savings!A119="","",Agent07_Savings!G119)</f>
        <v/>
      </c>
      <c r="E1312" s="41" t="str">
        <f>IF(Agent07_Savings!A119="","",Agent07_Savings!D119)</f>
        <v/>
      </c>
      <c r="F1312" s="42" t="str">
        <f>IF(Agent07_Savings!A119="","",Agent07_Savings!E119)</f>
        <v/>
      </c>
      <c r="G1312" s="42" t="str">
        <f>IF(Agent07_Savings!A119="","",Agent07_Savings!F119)</f>
        <v/>
      </c>
      <c r="H1312" s="40" t="str">
        <f>IF(Agent07_Savings!A119="","",Agent07_Savings!I119)</f>
        <v/>
      </c>
      <c r="I1312" s="40" t="str">
        <f>IF(Agent07_Savings!A119="","",Agent07_Savings!J119)</f>
        <v/>
      </c>
      <c r="J1312" s="40" t="str">
        <f>IF(Agent07_Savings!A119="","",Agent07_Savings!K119)</f>
        <v/>
      </c>
      <c r="K1312" s="40" t="str">
        <f>IFERROR(IF(Agent07_Savings!A119="","",YEAR(Agent07_Savings!D119)),"")</f>
        <v/>
      </c>
    </row>
    <row r="1313" spans="1:11" ht="18" customHeight="1" x14ac:dyDescent="0.25">
      <c r="A1313" s="40" t="str">
        <f>IF(Agent07_Savings!A120="","",Agent07_Savings!A120)</f>
        <v/>
      </c>
      <c r="B1313" s="40" t="str">
        <f ca="1">IF(Agent07_Savings!A120="","","SV"&amp;TEXT(1313-3,"0000")&amp;"-"&amp;TEXT(TODAY(),"YYYYMMDD"))</f>
        <v/>
      </c>
      <c r="C1313" s="40" t="str">
        <f>IF(Agent07_Savings!A120="","",Agent07_Savings!B120)</f>
        <v/>
      </c>
      <c r="D1313" s="40" t="str">
        <f>IF(Agent07_Savings!A120="","",Agent07_Savings!G120)</f>
        <v/>
      </c>
      <c r="E1313" s="41" t="str">
        <f>IF(Agent07_Savings!A120="","",Agent07_Savings!D120)</f>
        <v/>
      </c>
      <c r="F1313" s="42" t="str">
        <f>IF(Agent07_Savings!A120="","",Agent07_Savings!E120)</f>
        <v/>
      </c>
      <c r="G1313" s="42" t="str">
        <f>IF(Agent07_Savings!A120="","",Agent07_Savings!F120)</f>
        <v/>
      </c>
      <c r="H1313" s="40" t="str">
        <f>IF(Agent07_Savings!A120="","",Agent07_Savings!I120)</f>
        <v/>
      </c>
      <c r="I1313" s="40" t="str">
        <f>IF(Agent07_Savings!A120="","",Agent07_Savings!J120)</f>
        <v/>
      </c>
      <c r="J1313" s="40" t="str">
        <f>IF(Agent07_Savings!A120="","",Agent07_Savings!K120)</f>
        <v/>
      </c>
      <c r="K1313" s="40" t="str">
        <f>IFERROR(IF(Agent07_Savings!A120="","",YEAR(Agent07_Savings!D120)),"")</f>
        <v/>
      </c>
    </row>
    <row r="1314" spans="1:11" ht="18" customHeight="1" x14ac:dyDescent="0.25">
      <c r="A1314" s="40" t="str">
        <f>IF(Agent07_Savings!A121="","",Agent07_Savings!A121)</f>
        <v/>
      </c>
      <c r="B1314" s="40" t="str">
        <f ca="1">IF(Agent07_Savings!A121="","","SV"&amp;TEXT(1314-3,"0000")&amp;"-"&amp;TEXT(TODAY(),"YYYYMMDD"))</f>
        <v/>
      </c>
      <c r="C1314" s="40" t="str">
        <f>IF(Agent07_Savings!A121="","",Agent07_Savings!B121)</f>
        <v/>
      </c>
      <c r="D1314" s="40" t="str">
        <f>IF(Agent07_Savings!A121="","",Agent07_Savings!G121)</f>
        <v/>
      </c>
      <c r="E1314" s="41" t="str">
        <f>IF(Agent07_Savings!A121="","",Agent07_Savings!D121)</f>
        <v/>
      </c>
      <c r="F1314" s="42" t="str">
        <f>IF(Agent07_Savings!A121="","",Agent07_Savings!E121)</f>
        <v/>
      </c>
      <c r="G1314" s="42" t="str">
        <f>IF(Agent07_Savings!A121="","",Agent07_Savings!F121)</f>
        <v/>
      </c>
      <c r="H1314" s="40" t="str">
        <f>IF(Agent07_Savings!A121="","",Agent07_Savings!I121)</f>
        <v/>
      </c>
      <c r="I1314" s="40" t="str">
        <f>IF(Agent07_Savings!A121="","",Agent07_Savings!J121)</f>
        <v/>
      </c>
      <c r="J1314" s="40" t="str">
        <f>IF(Agent07_Savings!A121="","",Agent07_Savings!K121)</f>
        <v/>
      </c>
      <c r="K1314" s="40" t="str">
        <f>IFERROR(IF(Agent07_Savings!A121="","",YEAR(Agent07_Savings!D121)),"")</f>
        <v/>
      </c>
    </row>
    <row r="1315" spans="1:11" ht="18" customHeight="1" x14ac:dyDescent="0.25">
      <c r="A1315" s="40" t="str">
        <f>IF(Agent07_Savings!A122="","",Agent07_Savings!A122)</f>
        <v/>
      </c>
      <c r="B1315" s="40" t="str">
        <f ca="1">IF(Agent07_Savings!A122="","","SV"&amp;TEXT(1315-3,"0000")&amp;"-"&amp;TEXT(TODAY(),"YYYYMMDD"))</f>
        <v/>
      </c>
      <c r="C1315" s="40" t="str">
        <f>IF(Agent07_Savings!A122="","",Agent07_Savings!B122)</f>
        <v/>
      </c>
      <c r="D1315" s="40" t="str">
        <f>IF(Agent07_Savings!A122="","",Agent07_Savings!G122)</f>
        <v/>
      </c>
      <c r="E1315" s="41" t="str">
        <f>IF(Agent07_Savings!A122="","",Agent07_Savings!D122)</f>
        <v/>
      </c>
      <c r="F1315" s="42" t="str">
        <f>IF(Agent07_Savings!A122="","",Agent07_Savings!E122)</f>
        <v/>
      </c>
      <c r="G1315" s="42" t="str">
        <f>IF(Agent07_Savings!A122="","",Agent07_Savings!F122)</f>
        <v/>
      </c>
      <c r="H1315" s="40" t="str">
        <f>IF(Agent07_Savings!A122="","",Agent07_Savings!I122)</f>
        <v/>
      </c>
      <c r="I1315" s="40" t="str">
        <f>IF(Agent07_Savings!A122="","",Agent07_Savings!J122)</f>
        <v/>
      </c>
      <c r="J1315" s="40" t="str">
        <f>IF(Agent07_Savings!A122="","",Agent07_Savings!K122)</f>
        <v/>
      </c>
      <c r="K1315" s="40" t="str">
        <f>IFERROR(IF(Agent07_Savings!A122="","",YEAR(Agent07_Savings!D122)),"")</f>
        <v/>
      </c>
    </row>
    <row r="1316" spans="1:11" ht="18" customHeight="1" x14ac:dyDescent="0.25">
      <c r="A1316" s="40" t="str">
        <f>IF(Agent07_Savings!A123="","",Agent07_Savings!A123)</f>
        <v/>
      </c>
      <c r="B1316" s="40" t="str">
        <f ca="1">IF(Agent07_Savings!A123="","","SV"&amp;TEXT(1316-3,"0000")&amp;"-"&amp;TEXT(TODAY(),"YYYYMMDD"))</f>
        <v/>
      </c>
      <c r="C1316" s="40" t="str">
        <f>IF(Agent07_Savings!A123="","",Agent07_Savings!B123)</f>
        <v/>
      </c>
      <c r="D1316" s="40" t="str">
        <f>IF(Agent07_Savings!A123="","",Agent07_Savings!G123)</f>
        <v/>
      </c>
      <c r="E1316" s="41" t="str">
        <f>IF(Agent07_Savings!A123="","",Agent07_Savings!D123)</f>
        <v/>
      </c>
      <c r="F1316" s="42" t="str">
        <f>IF(Agent07_Savings!A123="","",Agent07_Savings!E123)</f>
        <v/>
      </c>
      <c r="G1316" s="42" t="str">
        <f>IF(Agent07_Savings!A123="","",Agent07_Savings!F123)</f>
        <v/>
      </c>
      <c r="H1316" s="40" t="str">
        <f>IF(Agent07_Savings!A123="","",Agent07_Savings!I123)</f>
        <v/>
      </c>
      <c r="I1316" s="40" t="str">
        <f>IF(Agent07_Savings!A123="","",Agent07_Savings!J123)</f>
        <v/>
      </c>
      <c r="J1316" s="40" t="str">
        <f>IF(Agent07_Savings!A123="","",Agent07_Savings!K123)</f>
        <v/>
      </c>
      <c r="K1316" s="40" t="str">
        <f>IFERROR(IF(Agent07_Savings!A123="","",YEAR(Agent07_Savings!D123)),"")</f>
        <v/>
      </c>
    </row>
    <row r="1317" spans="1:11" ht="18" customHeight="1" x14ac:dyDescent="0.25">
      <c r="A1317" s="40" t="str">
        <f>IF(Agent07_Savings!A124="","",Agent07_Savings!A124)</f>
        <v/>
      </c>
      <c r="B1317" s="40" t="str">
        <f ca="1">IF(Agent07_Savings!A124="","","SV"&amp;TEXT(1317-3,"0000")&amp;"-"&amp;TEXT(TODAY(),"YYYYMMDD"))</f>
        <v/>
      </c>
      <c r="C1317" s="40" t="str">
        <f>IF(Agent07_Savings!A124="","",Agent07_Savings!B124)</f>
        <v/>
      </c>
      <c r="D1317" s="40" t="str">
        <f>IF(Agent07_Savings!A124="","",Agent07_Savings!G124)</f>
        <v/>
      </c>
      <c r="E1317" s="41" t="str">
        <f>IF(Agent07_Savings!A124="","",Agent07_Savings!D124)</f>
        <v/>
      </c>
      <c r="F1317" s="42" t="str">
        <f>IF(Agent07_Savings!A124="","",Agent07_Savings!E124)</f>
        <v/>
      </c>
      <c r="G1317" s="42" t="str">
        <f>IF(Agent07_Savings!A124="","",Agent07_Savings!F124)</f>
        <v/>
      </c>
      <c r="H1317" s="40" t="str">
        <f>IF(Agent07_Savings!A124="","",Agent07_Savings!I124)</f>
        <v/>
      </c>
      <c r="I1317" s="40" t="str">
        <f>IF(Agent07_Savings!A124="","",Agent07_Savings!J124)</f>
        <v/>
      </c>
      <c r="J1317" s="40" t="str">
        <f>IF(Agent07_Savings!A124="","",Agent07_Savings!K124)</f>
        <v/>
      </c>
      <c r="K1317" s="40" t="str">
        <f>IFERROR(IF(Agent07_Savings!A124="","",YEAR(Agent07_Savings!D124)),"")</f>
        <v/>
      </c>
    </row>
    <row r="1318" spans="1:11" ht="18" customHeight="1" x14ac:dyDescent="0.25">
      <c r="A1318" s="40" t="str">
        <f>IF(Agent07_Savings!A125="","",Agent07_Savings!A125)</f>
        <v/>
      </c>
      <c r="B1318" s="40" t="str">
        <f ca="1">IF(Agent07_Savings!A125="","","SV"&amp;TEXT(1318-3,"0000")&amp;"-"&amp;TEXT(TODAY(),"YYYYMMDD"))</f>
        <v/>
      </c>
      <c r="C1318" s="40" t="str">
        <f>IF(Agent07_Savings!A125="","",Agent07_Savings!B125)</f>
        <v/>
      </c>
      <c r="D1318" s="40" t="str">
        <f>IF(Agent07_Savings!A125="","",Agent07_Savings!G125)</f>
        <v/>
      </c>
      <c r="E1318" s="41" t="str">
        <f>IF(Agent07_Savings!A125="","",Agent07_Savings!D125)</f>
        <v/>
      </c>
      <c r="F1318" s="42" t="str">
        <f>IF(Agent07_Savings!A125="","",Agent07_Savings!E125)</f>
        <v/>
      </c>
      <c r="G1318" s="42" t="str">
        <f>IF(Agent07_Savings!A125="","",Agent07_Savings!F125)</f>
        <v/>
      </c>
      <c r="H1318" s="40" t="str">
        <f>IF(Agent07_Savings!A125="","",Agent07_Savings!I125)</f>
        <v/>
      </c>
      <c r="I1318" s="40" t="str">
        <f>IF(Agent07_Savings!A125="","",Agent07_Savings!J125)</f>
        <v/>
      </c>
      <c r="J1318" s="40" t="str">
        <f>IF(Agent07_Savings!A125="","",Agent07_Savings!K125)</f>
        <v/>
      </c>
      <c r="K1318" s="40" t="str">
        <f>IFERROR(IF(Agent07_Savings!A125="","",YEAR(Agent07_Savings!D125)),"")</f>
        <v/>
      </c>
    </row>
    <row r="1319" spans="1:11" ht="18" customHeight="1" x14ac:dyDescent="0.25">
      <c r="A1319" s="40" t="str">
        <f>IF(Agent07_Savings!A126="","",Agent07_Savings!A126)</f>
        <v/>
      </c>
      <c r="B1319" s="40" t="str">
        <f ca="1">IF(Agent07_Savings!A126="","","SV"&amp;TEXT(1319-3,"0000")&amp;"-"&amp;TEXT(TODAY(),"YYYYMMDD"))</f>
        <v/>
      </c>
      <c r="C1319" s="40" t="str">
        <f>IF(Agent07_Savings!A126="","",Agent07_Savings!B126)</f>
        <v/>
      </c>
      <c r="D1319" s="40" t="str">
        <f>IF(Agent07_Savings!A126="","",Agent07_Savings!G126)</f>
        <v/>
      </c>
      <c r="E1319" s="41" t="str">
        <f>IF(Agent07_Savings!A126="","",Agent07_Savings!D126)</f>
        <v/>
      </c>
      <c r="F1319" s="42" t="str">
        <f>IF(Agent07_Savings!A126="","",Agent07_Savings!E126)</f>
        <v/>
      </c>
      <c r="G1319" s="42" t="str">
        <f>IF(Agent07_Savings!A126="","",Agent07_Savings!F126)</f>
        <v/>
      </c>
      <c r="H1319" s="40" t="str">
        <f>IF(Agent07_Savings!A126="","",Agent07_Savings!I126)</f>
        <v/>
      </c>
      <c r="I1319" s="40" t="str">
        <f>IF(Agent07_Savings!A126="","",Agent07_Savings!J126)</f>
        <v/>
      </c>
      <c r="J1319" s="40" t="str">
        <f>IF(Agent07_Savings!A126="","",Agent07_Savings!K126)</f>
        <v/>
      </c>
      <c r="K1319" s="40" t="str">
        <f>IFERROR(IF(Agent07_Savings!A126="","",YEAR(Agent07_Savings!D126)),"")</f>
        <v/>
      </c>
    </row>
    <row r="1320" spans="1:11" ht="18" customHeight="1" x14ac:dyDescent="0.25">
      <c r="A1320" s="40" t="str">
        <f>IF(Agent07_Savings!A127="","",Agent07_Savings!A127)</f>
        <v/>
      </c>
      <c r="B1320" s="40" t="str">
        <f ca="1">IF(Agent07_Savings!A127="","","SV"&amp;TEXT(1320-3,"0000")&amp;"-"&amp;TEXT(TODAY(),"YYYYMMDD"))</f>
        <v/>
      </c>
      <c r="C1320" s="40" t="str">
        <f>IF(Agent07_Savings!A127="","",Agent07_Savings!B127)</f>
        <v/>
      </c>
      <c r="D1320" s="40" t="str">
        <f>IF(Agent07_Savings!A127="","",Agent07_Savings!G127)</f>
        <v/>
      </c>
      <c r="E1320" s="41" t="str">
        <f>IF(Agent07_Savings!A127="","",Agent07_Savings!D127)</f>
        <v/>
      </c>
      <c r="F1320" s="42" t="str">
        <f>IF(Agent07_Savings!A127="","",Agent07_Savings!E127)</f>
        <v/>
      </c>
      <c r="G1320" s="42" t="str">
        <f>IF(Agent07_Savings!A127="","",Agent07_Savings!F127)</f>
        <v/>
      </c>
      <c r="H1320" s="40" t="str">
        <f>IF(Agent07_Savings!A127="","",Agent07_Savings!I127)</f>
        <v/>
      </c>
      <c r="I1320" s="40" t="str">
        <f>IF(Agent07_Savings!A127="","",Agent07_Savings!J127)</f>
        <v/>
      </c>
      <c r="J1320" s="40" t="str">
        <f>IF(Agent07_Savings!A127="","",Agent07_Savings!K127)</f>
        <v/>
      </c>
      <c r="K1320" s="40" t="str">
        <f>IFERROR(IF(Agent07_Savings!A127="","",YEAR(Agent07_Savings!D127)),"")</f>
        <v/>
      </c>
    </row>
    <row r="1321" spans="1:11" ht="18" customHeight="1" x14ac:dyDescent="0.25">
      <c r="A1321" s="40" t="str">
        <f>IF(Agent07_Savings!A128="","",Agent07_Savings!A128)</f>
        <v/>
      </c>
      <c r="B1321" s="40" t="str">
        <f ca="1">IF(Agent07_Savings!A128="","","SV"&amp;TEXT(1321-3,"0000")&amp;"-"&amp;TEXT(TODAY(),"YYYYMMDD"))</f>
        <v/>
      </c>
      <c r="C1321" s="40" t="str">
        <f>IF(Agent07_Savings!A128="","",Agent07_Savings!B128)</f>
        <v/>
      </c>
      <c r="D1321" s="40" t="str">
        <f>IF(Agent07_Savings!A128="","",Agent07_Savings!G128)</f>
        <v/>
      </c>
      <c r="E1321" s="41" t="str">
        <f>IF(Agent07_Savings!A128="","",Agent07_Savings!D128)</f>
        <v/>
      </c>
      <c r="F1321" s="42" t="str">
        <f>IF(Agent07_Savings!A128="","",Agent07_Savings!E128)</f>
        <v/>
      </c>
      <c r="G1321" s="42" t="str">
        <f>IF(Agent07_Savings!A128="","",Agent07_Savings!F128)</f>
        <v/>
      </c>
      <c r="H1321" s="40" t="str">
        <f>IF(Agent07_Savings!A128="","",Agent07_Savings!I128)</f>
        <v/>
      </c>
      <c r="I1321" s="40" t="str">
        <f>IF(Agent07_Savings!A128="","",Agent07_Savings!J128)</f>
        <v/>
      </c>
      <c r="J1321" s="40" t="str">
        <f>IF(Agent07_Savings!A128="","",Agent07_Savings!K128)</f>
        <v/>
      </c>
      <c r="K1321" s="40" t="str">
        <f>IFERROR(IF(Agent07_Savings!A128="","",YEAR(Agent07_Savings!D128)),"")</f>
        <v/>
      </c>
    </row>
    <row r="1322" spans="1:11" ht="18" customHeight="1" x14ac:dyDescent="0.25">
      <c r="A1322" s="40" t="str">
        <f>IF(Agent07_Savings!A129="","",Agent07_Savings!A129)</f>
        <v/>
      </c>
      <c r="B1322" s="40" t="str">
        <f ca="1">IF(Agent07_Savings!A129="","","SV"&amp;TEXT(1322-3,"0000")&amp;"-"&amp;TEXT(TODAY(),"YYYYMMDD"))</f>
        <v/>
      </c>
      <c r="C1322" s="40" t="str">
        <f>IF(Agent07_Savings!A129="","",Agent07_Savings!B129)</f>
        <v/>
      </c>
      <c r="D1322" s="40" t="str">
        <f>IF(Agent07_Savings!A129="","",Agent07_Savings!G129)</f>
        <v/>
      </c>
      <c r="E1322" s="41" t="str">
        <f>IF(Agent07_Savings!A129="","",Agent07_Savings!D129)</f>
        <v/>
      </c>
      <c r="F1322" s="42" t="str">
        <f>IF(Agent07_Savings!A129="","",Agent07_Savings!E129)</f>
        <v/>
      </c>
      <c r="G1322" s="42" t="str">
        <f>IF(Agent07_Savings!A129="","",Agent07_Savings!F129)</f>
        <v/>
      </c>
      <c r="H1322" s="40" t="str">
        <f>IF(Agent07_Savings!A129="","",Agent07_Savings!I129)</f>
        <v/>
      </c>
      <c r="I1322" s="40" t="str">
        <f>IF(Agent07_Savings!A129="","",Agent07_Savings!J129)</f>
        <v/>
      </c>
      <c r="J1322" s="40" t="str">
        <f>IF(Agent07_Savings!A129="","",Agent07_Savings!K129)</f>
        <v/>
      </c>
      <c r="K1322" s="40" t="str">
        <f>IFERROR(IF(Agent07_Savings!A129="","",YEAR(Agent07_Savings!D129)),"")</f>
        <v/>
      </c>
    </row>
    <row r="1323" spans="1:11" ht="18" customHeight="1" x14ac:dyDescent="0.25">
      <c r="A1323" s="40" t="str">
        <f>IF(Agent07_Savings!A130="","",Agent07_Savings!A130)</f>
        <v/>
      </c>
      <c r="B1323" s="40" t="str">
        <f ca="1">IF(Agent07_Savings!A130="","","SV"&amp;TEXT(1323-3,"0000")&amp;"-"&amp;TEXT(TODAY(),"YYYYMMDD"))</f>
        <v/>
      </c>
      <c r="C1323" s="40" t="str">
        <f>IF(Agent07_Savings!A130="","",Agent07_Savings!B130)</f>
        <v/>
      </c>
      <c r="D1323" s="40" t="str">
        <f>IF(Agent07_Savings!A130="","",Agent07_Savings!G130)</f>
        <v/>
      </c>
      <c r="E1323" s="41" t="str">
        <f>IF(Agent07_Savings!A130="","",Agent07_Savings!D130)</f>
        <v/>
      </c>
      <c r="F1323" s="42" t="str">
        <f>IF(Agent07_Savings!A130="","",Agent07_Savings!E130)</f>
        <v/>
      </c>
      <c r="G1323" s="42" t="str">
        <f>IF(Agent07_Savings!A130="","",Agent07_Savings!F130)</f>
        <v/>
      </c>
      <c r="H1323" s="40" t="str">
        <f>IF(Agent07_Savings!A130="","",Agent07_Savings!I130)</f>
        <v/>
      </c>
      <c r="I1323" s="40" t="str">
        <f>IF(Agent07_Savings!A130="","",Agent07_Savings!J130)</f>
        <v/>
      </c>
      <c r="J1323" s="40" t="str">
        <f>IF(Agent07_Savings!A130="","",Agent07_Savings!K130)</f>
        <v/>
      </c>
      <c r="K1323" s="40" t="str">
        <f>IFERROR(IF(Agent07_Savings!A130="","",YEAR(Agent07_Savings!D130)),"")</f>
        <v/>
      </c>
    </row>
    <row r="1324" spans="1:11" ht="18" customHeight="1" x14ac:dyDescent="0.25">
      <c r="A1324" s="40" t="str">
        <f>IF(Agent07_Savings!A131="","",Agent07_Savings!A131)</f>
        <v/>
      </c>
      <c r="B1324" s="40" t="str">
        <f ca="1">IF(Agent07_Savings!A131="","","SV"&amp;TEXT(1324-3,"0000")&amp;"-"&amp;TEXT(TODAY(),"YYYYMMDD"))</f>
        <v/>
      </c>
      <c r="C1324" s="40" t="str">
        <f>IF(Agent07_Savings!A131="","",Agent07_Savings!B131)</f>
        <v/>
      </c>
      <c r="D1324" s="40" t="str">
        <f>IF(Agent07_Savings!A131="","",Agent07_Savings!G131)</f>
        <v/>
      </c>
      <c r="E1324" s="41" t="str">
        <f>IF(Agent07_Savings!A131="","",Agent07_Savings!D131)</f>
        <v/>
      </c>
      <c r="F1324" s="42" t="str">
        <f>IF(Agent07_Savings!A131="","",Agent07_Savings!E131)</f>
        <v/>
      </c>
      <c r="G1324" s="42" t="str">
        <f>IF(Agent07_Savings!A131="","",Agent07_Savings!F131)</f>
        <v/>
      </c>
      <c r="H1324" s="40" t="str">
        <f>IF(Agent07_Savings!A131="","",Agent07_Savings!I131)</f>
        <v/>
      </c>
      <c r="I1324" s="40" t="str">
        <f>IF(Agent07_Savings!A131="","",Agent07_Savings!J131)</f>
        <v/>
      </c>
      <c r="J1324" s="40" t="str">
        <f>IF(Agent07_Savings!A131="","",Agent07_Savings!K131)</f>
        <v/>
      </c>
      <c r="K1324" s="40" t="str">
        <f>IFERROR(IF(Agent07_Savings!A131="","",YEAR(Agent07_Savings!D131)),"")</f>
        <v/>
      </c>
    </row>
    <row r="1325" spans="1:11" ht="18" customHeight="1" x14ac:dyDescent="0.25">
      <c r="A1325" s="40" t="str">
        <f>IF(Agent07_Savings!A132="","",Agent07_Savings!A132)</f>
        <v/>
      </c>
      <c r="B1325" s="40" t="str">
        <f ca="1">IF(Agent07_Savings!A132="","","SV"&amp;TEXT(1325-3,"0000")&amp;"-"&amp;TEXT(TODAY(),"YYYYMMDD"))</f>
        <v/>
      </c>
      <c r="C1325" s="40" t="str">
        <f>IF(Agent07_Savings!A132="","",Agent07_Savings!B132)</f>
        <v/>
      </c>
      <c r="D1325" s="40" t="str">
        <f>IF(Agent07_Savings!A132="","",Agent07_Savings!G132)</f>
        <v/>
      </c>
      <c r="E1325" s="41" t="str">
        <f>IF(Agent07_Savings!A132="","",Agent07_Savings!D132)</f>
        <v/>
      </c>
      <c r="F1325" s="42" t="str">
        <f>IF(Agent07_Savings!A132="","",Agent07_Savings!E132)</f>
        <v/>
      </c>
      <c r="G1325" s="42" t="str">
        <f>IF(Agent07_Savings!A132="","",Agent07_Savings!F132)</f>
        <v/>
      </c>
      <c r="H1325" s="40" t="str">
        <f>IF(Agent07_Savings!A132="","",Agent07_Savings!I132)</f>
        <v/>
      </c>
      <c r="I1325" s="40" t="str">
        <f>IF(Agent07_Savings!A132="","",Agent07_Savings!J132)</f>
        <v/>
      </c>
      <c r="J1325" s="40" t="str">
        <f>IF(Agent07_Savings!A132="","",Agent07_Savings!K132)</f>
        <v/>
      </c>
      <c r="K1325" s="40" t="str">
        <f>IFERROR(IF(Agent07_Savings!A132="","",YEAR(Agent07_Savings!D132)),"")</f>
        <v/>
      </c>
    </row>
    <row r="1326" spans="1:11" ht="18" customHeight="1" x14ac:dyDescent="0.25">
      <c r="A1326" s="40" t="str">
        <f>IF(Agent07_Savings!A133="","",Agent07_Savings!A133)</f>
        <v/>
      </c>
      <c r="B1326" s="40" t="str">
        <f ca="1">IF(Agent07_Savings!A133="","","SV"&amp;TEXT(1326-3,"0000")&amp;"-"&amp;TEXT(TODAY(),"YYYYMMDD"))</f>
        <v/>
      </c>
      <c r="C1326" s="40" t="str">
        <f>IF(Agent07_Savings!A133="","",Agent07_Savings!B133)</f>
        <v/>
      </c>
      <c r="D1326" s="40" t="str">
        <f>IF(Agent07_Savings!A133="","",Agent07_Savings!G133)</f>
        <v/>
      </c>
      <c r="E1326" s="41" t="str">
        <f>IF(Agent07_Savings!A133="","",Agent07_Savings!D133)</f>
        <v/>
      </c>
      <c r="F1326" s="42" t="str">
        <f>IF(Agent07_Savings!A133="","",Agent07_Savings!E133)</f>
        <v/>
      </c>
      <c r="G1326" s="42" t="str">
        <f>IF(Agent07_Savings!A133="","",Agent07_Savings!F133)</f>
        <v/>
      </c>
      <c r="H1326" s="40" t="str">
        <f>IF(Agent07_Savings!A133="","",Agent07_Savings!I133)</f>
        <v/>
      </c>
      <c r="I1326" s="40" t="str">
        <f>IF(Agent07_Savings!A133="","",Agent07_Savings!J133)</f>
        <v/>
      </c>
      <c r="J1326" s="40" t="str">
        <f>IF(Agent07_Savings!A133="","",Agent07_Savings!K133)</f>
        <v/>
      </c>
      <c r="K1326" s="40" t="str">
        <f>IFERROR(IF(Agent07_Savings!A133="","",YEAR(Agent07_Savings!D133)),"")</f>
        <v/>
      </c>
    </row>
    <row r="1327" spans="1:11" ht="18" customHeight="1" x14ac:dyDescent="0.25">
      <c r="A1327" s="40" t="str">
        <f>IF(Agent07_Savings!A134="","",Agent07_Savings!A134)</f>
        <v/>
      </c>
      <c r="B1327" s="40" t="str">
        <f ca="1">IF(Agent07_Savings!A134="","","SV"&amp;TEXT(1327-3,"0000")&amp;"-"&amp;TEXT(TODAY(),"YYYYMMDD"))</f>
        <v/>
      </c>
      <c r="C1327" s="40" t="str">
        <f>IF(Agent07_Savings!A134="","",Agent07_Savings!B134)</f>
        <v/>
      </c>
      <c r="D1327" s="40" t="str">
        <f>IF(Agent07_Savings!A134="","",Agent07_Savings!G134)</f>
        <v/>
      </c>
      <c r="E1327" s="41" t="str">
        <f>IF(Agent07_Savings!A134="","",Agent07_Savings!D134)</f>
        <v/>
      </c>
      <c r="F1327" s="42" t="str">
        <f>IF(Agent07_Savings!A134="","",Agent07_Savings!E134)</f>
        <v/>
      </c>
      <c r="G1327" s="42" t="str">
        <f>IF(Agent07_Savings!A134="","",Agent07_Savings!F134)</f>
        <v/>
      </c>
      <c r="H1327" s="40" t="str">
        <f>IF(Agent07_Savings!A134="","",Agent07_Savings!I134)</f>
        <v/>
      </c>
      <c r="I1327" s="40" t="str">
        <f>IF(Agent07_Savings!A134="","",Agent07_Savings!J134)</f>
        <v/>
      </c>
      <c r="J1327" s="40" t="str">
        <f>IF(Agent07_Savings!A134="","",Agent07_Savings!K134)</f>
        <v/>
      </c>
      <c r="K1327" s="40" t="str">
        <f>IFERROR(IF(Agent07_Savings!A134="","",YEAR(Agent07_Savings!D134)),"")</f>
        <v/>
      </c>
    </row>
    <row r="1328" spans="1:11" ht="18" customHeight="1" x14ac:dyDescent="0.25">
      <c r="A1328" s="40" t="str">
        <f>IF(Agent07_Savings!A135="","",Agent07_Savings!A135)</f>
        <v/>
      </c>
      <c r="B1328" s="40" t="str">
        <f ca="1">IF(Agent07_Savings!A135="","","SV"&amp;TEXT(1328-3,"0000")&amp;"-"&amp;TEXT(TODAY(),"YYYYMMDD"))</f>
        <v/>
      </c>
      <c r="C1328" s="40" t="str">
        <f>IF(Agent07_Savings!A135="","",Agent07_Savings!B135)</f>
        <v/>
      </c>
      <c r="D1328" s="40" t="str">
        <f>IF(Agent07_Savings!A135="","",Agent07_Savings!G135)</f>
        <v/>
      </c>
      <c r="E1328" s="41" t="str">
        <f>IF(Agent07_Savings!A135="","",Agent07_Savings!D135)</f>
        <v/>
      </c>
      <c r="F1328" s="42" t="str">
        <f>IF(Agent07_Savings!A135="","",Agent07_Savings!E135)</f>
        <v/>
      </c>
      <c r="G1328" s="42" t="str">
        <f>IF(Agent07_Savings!A135="","",Agent07_Savings!F135)</f>
        <v/>
      </c>
      <c r="H1328" s="40" t="str">
        <f>IF(Agent07_Savings!A135="","",Agent07_Savings!I135)</f>
        <v/>
      </c>
      <c r="I1328" s="40" t="str">
        <f>IF(Agent07_Savings!A135="","",Agent07_Savings!J135)</f>
        <v/>
      </c>
      <c r="J1328" s="40" t="str">
        <f>IF(Agent07_Savings!A135="","",Agent07_Savings!K135)</f>
        <v/>
      </c>
      <c r="K1328" s="40" t="str">
        <f>IFERROR(IF(Agent07_Savings!A135="","",YEAR(Agent07_Savings!D135)),"")</f>
        <v/>
      </c>
    </row>
    <row r="1329" spans="1:11" ht="18" customHeight="1" x14ac:dyDescent="0.25">
      <c r="A1329" s="40" t="str">
        <f>IF(Agent07_Savings!A136="","",Agent07_Savings!A136)</f>
        <v/>
      </c>
      <c r="B1329" s="40" t="str">
        <f ca="1">IF(Agent07_Savings!A136="","","SV"&amp;TEXT(1329-3,"0000")&amp;"-"&amp;TEXT(TODAY(),"YYYYMMDD"))</f>
        <v/>
      </c>
      <c r="C1329" s="40" t="str">
        <f>IF(Agent07_Savings!A136="","",Agent07_Savings!B136)</f>
        <v/>
      </c>
      <c r="D1329" s="40" t="str">
        <f>IF(Agent07_Savings!A136="","",Agent07_Savings!G136)</f>
        <v/>
      </c>
      <c r="E1329" s="41" t="str">
        <f>IF(Agent07_Savings!A136="","",Agent07_Savings!D136)</f>
        <v/>
      </c>
      <c r="F1329" s="42" t="str">
        <f>IF(Agent07_Savings!A136="","",Agent07_Savings!E136)</f>
        <v/>
      </c>
      <c r="G1329" s="42" t="str">
        <f>IF(Agent07_Savings!A136="","",Agent07_Savings!F136)</f>
        <v/>
      </c>
      <c r="H1329" s="40" t="str">
        <f>IF(Agent07_Savings!A136="","",Agent07_Savings!I136)</f>
        <v/>
      </c>
      <c r="I1329" s="40" t="str">
        <f>IF(Agent07_Savings!A136="","",Agent07_Savings!J136)</f>
        <v/>
      </c>
      <c r="J1329" s="40" t="str">
        <f>IF(Agent07_Savings!A136="","",Agent07_Savings!K136)</f>
        <v/>
      </c>
      <c r="K1329" s="40" t="str">
        <f>IFERROR(IF(Agent07_Savings!A136="","",YEAR(Agent07_Savings!D136)),"")</f>
        <v/>
      </c>
    </row>
    <row r="1330" spans="1:11" ht="18" customHeight="1" x14ac:dyDescent="0.25">
      <c r="A1330" s="40" t="str">
        <f>IF(Agent07_Savings!A137="","",Agent07_Savings!A137)</f>
        <v/>
      </c>
      <c r="B1330" s="40" t="str">
        <f ca="1">IF(Agent07_Savings!A137="","","SV"&amp;TEXT(1330-3,"0000")&amp;"-"&amp;TEXT(TODAY(),"YYYYMMDD"))</f>
        <v/>
      </c>
      <c r="C1330" s="40" t="str">
        <f>IF(Agent07_Savings!A137="","",Agent07_Savings!B137)</f>
        <v/>
      </c>
      <c r="D1330" s="40" t="str">
        <f>IF(Agent07_Savings!A137="","",Agent07_Savings!G137)</f>
        <v/>
      </c>
      <c r="E1330" s="41" t="str">
        <f>IF(Agent07_Savings!A137="","",Agent07_Savings!D137)</f>
        <v/>
      </c>
      <c r="F1330" s="42" t="str">
        <f>IF(Agent07_Savings!A137="","",Agent07_Savings!E137)</f>
        <v/>
      </c>
      <c r="G1330" s="42" t="str">
        <f>IF(Agent07_Savings!A137="","",Agent07_Savings!F137)</f>
        <v/>
      </c>
      <c r="H1330" s="40" t="str">
        <f>IF(Agent07_Savings!A137="","",Agent07_Savings!I137)</f>
        <v/>
      </c>
      <c r="I1330" s="40" t="str">
        <f>IF(Agent07_Savings!A137="","",Agent07_Savings!J137)</f>
        <v/>
      </c>
      <c r="J1330" s="40" t="str">
        <f>IF(Agent07_Savings!A137="","",Agent07_Savings!K137)</f>
        <v/>
      </c>
      <c r="K1330" s="40" t="str">
        <f>IFERROR(IF(Agent07_Savings!A137="","",YEAR(Agent07_Savings!D137)),"")</f>
        <v/>
      </c>
    </row>
    <row r="1331" spans="1:11" ht="18" customHeight="1" x14ac:dyDescent="0.25">
      <c r="A1331" s="40" t="str">
        <f>IF(Agent07_Savings!A138="","",Agent07_Savings!A138)</f>
        <v/>
      </c>
      <c r="B1331" s="40" t="str">
        <f ca="1">IF(Agent07_Savings!A138="","","SV"&amp;TEXT(1331-3,"0000")&amp;"-"&amp;TEXT(TODAY(),"YYYYMMDD"))</f>
        <v/>
      </c>
      <c r="C1331" s="40" t="str">
        <f>IF(Agent07_Savings!A138="","",Agent07_Savings!B138)</f>
        <v/>
      </c>
      <c r="D1331" s="40" t="str">
        <f>IF(Agent07_Savings!A138="","",Agent07_Savings!G138)</f>
        <v/>
      </c>
      <c r="E1331" s="41" t="str">
        <f>IF(Agent07_Savings!A138="","",Agent07_Savings!D138)</f>
        <v/>
      </c>
      <c r="F1331" s="42" t="str">
        <f>IF(Agent07_Savings!A138="","",Agent07_Savings!E138)</f>
        <v/>
      </c>
      <c r="G1331" s="42" t="str">
        <f>IF(Agent07_Savings!A138="","",Agent07_Savings!F138)</f>
        <v/>
      </c>
      <c r="H1331" s="40" t="str">
        <f>IF(Agent07_Savings!A138="","",Agent07_Savings!I138)</f>
        <v/>
      </c>
      <c r="I1331" s="40" t="str">
        <f>IF(Agent07_Savings!A138="","",Agent07_Savings!J138)</f>
        <v/>
      </c>
      <c r="J1331" s="40" t="str">
        <f>IF(Agent07_Savings!A138="","",Agent07_Savings!K138)</f>
        <v/>
      </c>
      <c r="K1331" s="40" t="str">
        <f>IFERROR(IF(Agent07_Savings!A138="","",YEAR(Agent07_Savings!D138)),"")</f>
        <v/>
      </c>
    </row>
    <row r="1332" spans="1:11" ht="18" customHeight="1" x14ac:dyDescent="0.25">
      <c r="A1332" s="40" t="str">
        <f>IF(Agent07_Savings!A139="","",Agent07_Savings!A139)</f>
        <v/>
      </c>
      <c r="B1332" s="40" t="str">
        <f ca="1">IF(Agent07_Savings!A139="","","SV"&amp;TEXT(1332-3,"0000")&amp;"-"&amp;TEXT(TODAY(),"YYYYMMDD"))</f>
        <v/>
      </c>
      <c r="C1332" s="40" t="str">
        <f>IF(Agent07_Savings!A139="","",Agent07_Savings!B139)</f>
        <v/>
      </c>
      <c r="D1332" s="40" t="str">
        <f>IF(Agent07_Savings!A139="","",Agent07_Savings!G139)</f>
        <v/>
      </c>
      <c r="E1332" s="41" t="str">
        <f>IF(Agent07_Savings!A139="","",Agent07_Savings!D139)</f>
        <v/>
      </c>
      <c r="F1332" s="42" t="str">
        <f>IF(Agent07_Savings!A139="","",Agent07_Savings!E139)</f>
        <v/>
      </c>
      <c r="G1332" s="42" t="str">
        <f>IF(Agent07_Savings!A139="","",Agent07_Savings!F139)</f>
        <v/>
      </c>
      <c r="H1332" s="40" t="str">
        <f>IF(Agent07_Savings!A139="","",Agent07_Savings!I139)</f>
        <v/>
      </c>
      <c r="I1332" s="40" t="str">
        <f>IF(Agent07_Savings!A139="","",Agent07_Savings!J139)</f>
        <v/>
      </c>
      <c r="J1332" s="40" t="str">
        <f>IF(Agent07_Savings!A139="","",Agent07_Savings!K139)</f>
        <v/>
      </c>
      <c r="K1332" s="40" t="str">
        <f>IFERROR(IF(Agent07_Savings!A139="","",YEAR(Agent07_Savings!D139)),"")</f>
        <v/>
      </c>
    </row>
    <row r="1333" spans="1:11" ht="18" customHeight="1" x14ac:dyDescent="0.25">
      <c r="A1333" s="40" t="str">
        <f>IF(Agent07_Savings!A140="","",Agent07_Savings!A140)</f>
        <v/>
      </c>
      <c r="B1333" s="40" t="str">
        <f ca="1">IF(Agent07_Savings!A140="","","SV"&amp;TEXT(1333-3,"0000")&amp;"-"&amp;TEXT(TODAY(),"YYYYMMDD"))</f>
        <v/>
      </c>
      <c r="C1333" s="40" t="str">
        <f>IF(Agent07_Savings!A140="","",Agent07_Savings!B140)</f>
        <v/>
      </c>
      <c r="D1333" s="40" t="str">
        <f>IF(Agent07_Savings!A140="","",Agent07_Savings!G140)</f>
        <v/>
      </c>
      <c r="E1333" s="41" t="str">
        <f>IF(Agent07_Savings!A140="","",Agent07_Savings!D140)</f>
        <v/>
      </c>
      <c r="F1333" s="42" t="str">
        <f>IF(Agent07_Savings!A140="","",Agent07_Savings!E140)</f>
        <v/>
      </c>
      <c r="G1333" s="42" t="str">
        <f>IF(Agent07_Savings!A140="","",Agent07_Savings!F140)</f>
        <v/>
      </c>
      <c r="H1333" s="40" t="str">
        <f>IF(Agent07_Savings!A140="","",Agent07_Savings!I140)</f>
        <v/>
      </c>
      <c r="I1333" s="40" t="str">
        <f>IF(Agent07_Savings!A140="","",Agent07_Savings!J140)</f>
        <v/>
      </c>
      <c r="J1333" s="40" t="str">
        <f>IF(Agent07_Savings!A140="","",Agent07_Savings!K140)</f>
        <v/>
      </c>
      <c r="K1333" s="40" t="str">
        <f>IFERROR(IF(Agent07_Savings!A140="","",YEAR(Agent07_Savings!D140)),"")</f>
        <v/>
      </c>
    </row>
    <row r="1334" spans="1:11" ht="18" customHeight="1" x14ac:dyDescent="0.25">
      <c r="A1334" s="40" t="str">
        <f>IF(Agent07_Savings!A141="","",Agent07_Savings!A141)</f>
        <v/>
      </c>
      <c r="B1334" s="40" t="str">
        <f ca="1">IF(Agent07_Savings!A141="","","SV"&amp;TEXT(1334-3,"0000")&amp;"-"&amp;TEXT(TODAY(),"YYYYMMDD"))</f>
        <v/>
      </c>
      <c r="C1334" s="40" t="str">
        <f>IF(Agent07_Savings!A141="","",Agent07_Savings!B141)</f>
        <v/>
      </c>
      <c r="D1334" s="40" t="str">
        <f>IF(Agent07_Savings!A141="","",Agent07_Savings!G141)</f>
        <v/>
      </c>
      <c r="E1334" s="41" t="str">
        <f>IF(Agent07_Savings!A141="","",Agent07_Savings!D141)</f>
        <v/>
      </c>
      <c r="F1334" s="42" t="str">
        <f>IF(Agent07_Savings!A141="","",Agent07_Savings!E141)</f>
        <v/>
      </c>
      <c r="G1334" s="42" t="str">
        <f>IF(Agent07_Savings!A141="","",Agent07_Savings!F141)</f>
        <v/>
      </c>
      <c r="H1334" s="40" t="str">
        <f>IF(Agent07_Savings!A141="","",Agent07_Savings!I141)</f>
        <v/>
      </c>
      <c r="I1334" s="40" t="str">
        <f>IF(Agent07_Savings!A141="","",Agent07_Savings!J141)</f>
        <v/>
      </c>
      <c r="J1334" s="40" t="str">
        <f>IF(Agent07_Savings!A141="","",Agent07_Savings!K141)</f>
        <v/>
      </c>
      <c r="K1334" s="40" t="str">
        <f>IFERROR(IF(Agent07_Savings!A141="","",YEAR(Agent07_Savings!D141)),"")</f>
        <v/>
      </c>
    </row>
    <row r="1335" spans="1:11" ht="18" customHeight="1" x14ac:dyDescent="0.25">
      <c r="A1335" s="40" t="str">
        <f>IF(Agent07_Savings!A142="","",Agent07_Savings!A142)</f>
        <v/>
      </c>
      <c r="B1335" s="40" t="str">
        <f ca="1">IF(Agent07_Savings!A142="","","SV"&amp;TEXT(1335-3,"0000")&amp;"-"&amp;TEXT(TODAY(),"YYYYMMDD"))</f>
        <v/>
      </c>
      <c r="C1335" s="40" t="str">
        <f>IF(Agent07_Savings!A142="","",Agent07_Savings!B142)</f>
        <v/>
      </c>
      <c r="D1335" s="40" t="str">
        <f>IF(Agent07_Savings!A142="","",Agent07_Savings!G142)</f>
        <v/>
      </c>
      <c r="E1335" s="41" t="str">
        <f>IF(Agent07_Savings!A142="","",Agent07_Savings!D142)</f>
        <v/>
      </c>
      <c r="F1335" s="42" t="str">
        <f>IF(Agent07_Savings!A142="","",Agent07_Savings!E142)</f>
        <v/>
      </c>
      <c r="G1335" s="42" t="str">
        <f>IF(Agent07_Savings!A142="","",Agent07_Savings!F142)</f>
        <v/>
      </c>
      <c r="H1335" s="40" t="str">
        <f>IF(Agent07_Savings!A142="","",Agent07_Savings!I142)</f>
        <v/>
      </c>
      <c r="I1335" s="40" t="str">
        <f>IF(Agent07_Savings!A142="","",Agent07_Savings!J142)</f>
        <v/>
      </c>
      <c r="J1335" s="40" t="str">
        <f>IF(Agent07_Savings!A142="","",Agent07_Savings!K142)</f>
        <v/>
      </c>
      <c r="K1335" s="40" t="str">
        <f>IFERROR(IF(Agent07_Savings!A142="","",YEAR(Agent07_Savings!D142)),"")</f>
        <v/>
      </c>
    </row>
    <row r="1336" spans="1:11" ht="18" customHeight="1" x14ac:dyDescent="0.25">
      <c r="A1336" s="40" t="str">
        <f>IF(Agent07_Savings!A143="","",Agent07_Savings!A143)</f>
        <v/>
      </c>
      <c r="B1336" s="40" t="str">
        <f ca="1">IF(Agent07_Savings!A143="","","SV"&amp;TEXT(1336-3,"0000")&amp;"-"&amp;TEXT(TODAY(),"YYYYMMDD"))</f>
        <v/>
      </c>
      <c r="C1336" s="40" t="str">
        <f>IF(Agent07_Savings!A143="","",Agent07_Savings!B143)</f>
        <v/>
      </c>
      <c r="D1336" s="40" t="str">
        <f>IF(Agent07_Savings!A143="","",Agent07_Savings!G143)</f>
        <v/>
      </c>
      <c r="E1336" s="41" t="str">
        <f>IF(Agent07_Savings!A143="","",Agent07_Savings!D143)</f>
        <v/>
      </c>
      <c r="F1336" s="42" t="str">
        <f>IF(Agent07_Savings!A143="","",Agent07_Savings!E143)</f>
        <v/>
      </c>
      <c r="G1336" s="42" t="str">
        <f>IF(Agent07_Savings!A143="","",Agent07_Savings!F143)</f>
        <v/>
      </c>
      <c r="H1336" s="40" t="str">
        <f>IF(Agent07_Savings!A143="","",Agent07_Savings!I143)</f>
        <v/>
      </c>
      <c r="I1336" s="40" t="str">
        <f>IF(Agent07_Savings!A143="","",Agent07_Savings!J143)</f>
        <v/>
      </c>
      <c r="J1336" s="40" t="str">
        <f>IF(Agent07_Savings!A143="","",Agent07_Savings!K143)</f>
        <v/>
      </c>
      <c r="K1336" s="40" t="str">
        <f>IFERROR(IF(Agent07_Savings!A143="","",YEAR(Agent07_Savings!D143)),"")</f>
        <v/>
      </c>
    </row>
    <row r="1337" spans="1:11" ht="18" customHeight="1" x14ac:dyDescent="0.25">
      <c r="A1337" s="40" t="str">
        <f>IF(Agent07_Savings!A144="","",Agent07_Savings!A144)</f>
        <v/>
      </c>
      <c r="B1337" s="40" t="str">
        <f ca="1">IF(Agent07_Savings!A144="","","SV"&amp;TEXT(1337-3,"0000")&amp;"-"&amp;TEXT(TODAY(),"YYYYMMDD"))</f>
        <v/>
      </c>
      <c r="C1337" s="40" t="str">
        <f>IF(Agent07_Savings!A144="","",Agent07_Savings!B144)</f>
        <v/>
      </c>
      <c r="D1337" s="40" t="str">
        <f>IF(Agent07_Savings!A144="","",Agent07_Savings!G144)</f>
        <v/>
      </c>
      <c r="E1337" s="41" t="str">
        <f>IF(Agent07_Savings!A144="","",Agent07_Savings!D144)</f>
        <v/>
      </c>
      <c r="F1337" s="42" t="str">
        <f>IF(Agent07_Savings!A144="","",Agent07_Savings!E144)</f>
        <v/>
      </c>
      <c r="G1337" s="42" t="str">
        <f>IF(Agent07_Savings!A144="","",Agent07_Savings!F144)</f>
        <v/>
      </c>
      <c r="H1337" s="40" t="str">
        <f>IF(Agent07_Savings!A144="","",Agent07_Savings!I144)</f>
        <v/>
      </c>
      <c r="I1337" s="40" t="str">
        <f>IF(Agent07_Savings!A144="","",Agent07_Savings!J144)</f>
        <v/>
      </c>
      <c r="J1337" s="40" t="str">
        <f>IF(Agent07_Savings!A144="","",Agent07_Savings!K144)</f>
        <v/>
      </c>
      <c r="K1337" s="40" t="str">
        <f>IFERROR(IF(Agent07_Savings!A144="","",YEAR(Agent07_Savings!D144)),"")</f>
        <v/>
      </c>
    </row>
    <row r="1338" spans="1:11" ht="18" customHeight="1" x14ac:dyDescent="0.25">
      <c r="A1338" s="40" t="str">
        <f>IF(Agent07_Savings!A145="","",Agent07_Savings!A145)</f>
        <v/>
      </c>
      <c r="B1338" s="40" t="str">
        <f ca="1">IF(Agent07_Savings!A145="","","SV"&amp;TEXT(1338-3,"0000")&amp;"-"&amp;TEXT(TODAY(),"YYYYMMDD"))</f>
        <v/>
      </c>
      <c r="C1338" s="40" t="str">
        <f>IF(Agent07_Savings!A145="","",Agent07_Savings!B145)</f>
        <v/>
      </c>
      <c r="D1338" s="40" t="str">
        <f>IF(Agent07_Savings!A145="","",Agent07_Savings!G145)</f>
        <v/>
      </c>
      <c r="E1338" s="41" t="str">
        <f>IF(Agent07_Savings!A145="","",Agent07_Savings!D145)</f>
        <v/>
      </c>
      <c r="F1338" s="42" t="str">
        <f>IF(Agent07_Savings!A145="","",Agent07_Savings!E145)</f>
        <v/>
      </c>
      <c r="G1338" s="42" t="str">
        <f>IF(Agent07_Savings!A145="","",Agent07_Savings!F145)</f>
        <v/>
      </c>
      <c r="H1338" s="40" t="str">
        <f>IF(Agent07_Savings!A145="","",Agent07_Savings!I145)</f>
        <v/>
      </c>
      <c r="I1338" s="40" t="str">
        <f>IF(Agent07_Savings!A145="","",Agent07_Savings!J145)</f>
        <v/>
      </c>
      <c r="J1338" s="40" t="str">
        <f>IF(Agent07_Savings!A145="","",Agent07_Savings!K145)</f>
        <v/>
      </c>
      <c r="K1338" s="40" t="str">
        <f>IFERROR(IF(Agent07_Savings!A145="","",YEAR(Agent07_Savings!D145)),"")</f>
        <v/>
      </c>
    </row>
    <row r="1339" spans="1:11" ht="18" customHeight="1" x14ac:dyDescent="0.25">
      <c r="A1339" s="40" t="str">
        <f>IF(Agent07_Savings!A146="","",Agent07_Savings!A146)</f>
        <v/>
      </c>
      <c r="B1339" s="40" t="str">
        <f ca="1">IF(Agent07_Savings!A146="","","SV"&amp;TEXT(1339-3,"0000")&amp;"-"&amp;TEXT(TODAY(),"YYYYMMDD"))</f>
        <v/>
      </c>
      <c r="C1339" s="40" t="str">
        <f>IF(Agent07_Savings!A146="","",Agent07_Savings!B146)</f>
        <v/>
      </c>
      <c r="D1339" s="40" t="str">
        <f>IF(Agent07_Savings!A146="","",Agent07_Savings!G146)</f>
        <v/>
      </c>
      <c r="E1339" s="41" t="str">
        <f>IF(Agent07_Savings!A146="","",Agent07_Savings!D146)</f>
        <v/>
      </c>
      <c r="F1339" s="42" t="str">
        <f>IF(Agent07_Savings!A146="","",Agent07_Savings!E146)</f>
        <v/>
      </c>
      <c r="G1339" s="42" t="str">
        <f>IF(Agent07_Savings!A146="","",Agent07_Savings!F146)</f>
        <v/>
      </c>
      <c r="H1339" s="40" t="str">
        <f>IF(Agent07_Savings!A146="","",Agent07_Savings!I146)</f>
        <v/>
      </c>
      <c r="I1339" s="40" t="str">
        <f>IF(Agent07_Savings!A146="","",Agent07_Savings!J146)</f>
        <v/>
      </c>
      <c r="J1339" s="40" t="str">
        <f>IF(Agent07_Savings!A146="","",Agent07_Savings!K146)</f>
        <v/>
      </c>
      <c r="K1339" s="40" t="str">
        <f>IFERROR(IF(Agent07_Savings!A146="","",YEAR(Agent07_Savings!D146)),"")</f>
        <v/>
      </c>
    </row>
    <row r="1340" spans="1:11" ht="18" customHeight="1" x14ac:dyDescent="0.25">
      <c r="A1340" s="40" t="str">
        <f>IF(Agent07_Savings!A147="","",Agent07_Savings!A147)</f>
        <v/>
      </c>
      <c r="B1340" s="40" t="str">
        <f ca="1">IF(Agent07_Savings!A147="","","SV"&amp;TEXT(1340-3,"0000")&amp;"-"&amp;TEXT(TODAY(),"YYYYMMDD"))</f>
        <v/>
      </c>
      <c r="C1340" s="40" t="str">
        <f>IF(Agent07_Savings!A147="","",Agent07_Savings!B147)</f>
        <v/>
      </c>
      <c r="D1340" s="40" t="str">
        <f>IF(Agent07_Savings!A147="","",Agent07_Savings!G147)</f>
        <v/>
      </c>
      <c r="E1340" s="41" t="str">
        <f>IF(Agent07_Savings!A147="","",Agent07_Savings!D147)</f>
        <v/>
      </c>
      <c r="F1340" s="42" t="str">
        <f>IF(Agent07_Savings!A147="","",Agent07_Savings!E147)</f>
        <v/>
      </c>
      <c r="G1340" s="42" t="str">
        <f>IF(Agent07_Savings!A147="","",Agent07_Savings!F147)</f>
        <v/>
      </c>
      <c r="H1340" s="40" t="str">
        <f>IF(Agent07_Savings!A147="","",Agent07_Savings!I147)</f>
        <v/>
      </c>
      <c r="I1340" s="40" t="str">
        <f>IF(Agent07_Savings!A147="","",Agent07_Savings!J147)</f>
        <v/>
      </c>
      <c r="J1340" s="40" t="str">
        <f>IF(Agent07_Savings!A147="","",Agent07_Savings!K147)</f>
        <v/>
      </c>
      <c r="K1340" s="40" t="str">
        <f>IFERROR(IF(Agent07_Savings!A147="","",YEAR(Agent07_Savings!D147)),"")</f>
        <v/>
      </c>
    </row>
    <row r="1341" spans="1:11" ht="18" customHeight="1" x14ac:dyDescent="0.25">
      <c r="A1341" s="40" t="str">
        <f>IF(Agent07_Savings!A148="","",Agent07_Savings!A148)</f>
        <v/>
      </c>
      <c r="B1341" s="40" t="str">
        <f ca="1">IF(Agent07_Savings!A148="","","SV"&amp;TEXT(1341-3,"0000")&amp;"-"&amp;TEXT(TODAY(),"YYYYMMDD"))</f>
        <v/>
      </c>
      <c r="C1341" s="40" t="str">
        <f>IF(Agent07_Savings!A148="","",Agent07_Savings!B148)</f>
        <v/>
      </c>
      <c r="D1341" s="40" t="str">
        <f>IF(Agent07_Savings!A148="","",Agent07_Savings!G148)</f>
        <v/>
      </c>
      <c r="E1341" s="41" t="str">
        <f>IF(Agent07_Savings!A148="","",Agent07_Savings!D148)</f>
        <v/>
      </c>
      <c r="F1341" s="42" t="str">
        <f>IF(Agent07_Savings!A148="","",Agent07_Savings!E148)</f>
        <v/>
      </c>
      <c r="G1341" s="42" t="str">
        <f>IF(Agent07_Savings!A148="","",Agent07_Savings!F148)</f>
        <v/>
      </c>
      <c r="H1341" s="40" t="str">
        <f>IF(Agent07_Savings!A148="","",Agent07_Savings!I148)</f>
        <v/>
      </c>
      <c r="I1341" s="40" t="str">
        <f>IF(Agent07_Savings!A148="","",Agent07_Savings!J148)</f>
        <v/>
      </c>
      <c r="J1341" s="40" t="str">
        <f>IF(Agent07_Savings!A148="","",Agent07_Savings!K148)</f>
        <v/>
      </c>
      <c r="K1341" s="40" t="str">
        <f>IFERROR(IF(Agent07_Savings!A148="","",YEAR(Agent07_Savings!D148)),"")</f>
        <v/>
      </c>
    </row>
    <row r="1342" spans="1:11" ht="18" customHeight="1" x14ac:dyDescent="0.25">
      <c r="A1342" s="40" t="str">
        <f>IF(Agent07_Savings!A149="","",Agent07_Savings!A149)</f>
        <v/>
      </c>
      <c r="B1342" s="40" t="str">
        <f ca="1">IF(Agent07_Savings!A149="","","SV"&amp;TEXT(1342-3,"0000")&amp;"-"&amp;TEXT(TODAY(),"YYYYMMDD"))</f>
        <v/>
      </c>
      <c r="C1342" s="40" t="str">
        <f>IF(Agent07_Savings!A149="","",Agent07_Savings!B149)</f>
        <v/>
      </c>
      <c r="D1342" s="40" t="str">
        <f>IF(Agent07_Savings!A149="","",Agent07_Savings!G149)</f>
        <v/>
      </c>
      <c r="E1342" s="41" t="str">
        <f>IF(Agent07_Savings!A149="","",Agent07_Savings!D149)</f>
        <v/>
      </c>
      <c r="F1342" s="42" t="str">
        <f>IF(Agent07_Savings!A149="","",Agent07_Savings!E149)</f>
        <v/>
      </c>
      <c r="G1342" s="42" t="str">
        <f>IF(Agent07_Savings!A149="","",Agent07_Savings!F149)</f>
        <v/>
      </c>
      <c r="H1342" s="40" t="str">
        <f>IF(Agent07_Savings!A149="","",Agent07_Savings!I149)</f>
        <v/>
      </c>
      <c r="I1342" s="40" t="str">
        <f>IF(Agent07_Savings!A149="","",Agent07_Savings!J149)</f>
        <v/>
      </c>
      <c r="J1342" s="40" t="str">
        <f>IF(Agent07_Savings!A149="","",Agent07_Savings!K149)</f>
        <v/>
      </c>
      <c r="K1342" s="40" t="str">
        <f>IFERROR(IF(Agent07_Savings!A149="","",YEAR(Agent07_Savings!D149)),"")</f>
        <v/>
      </c>
    </row>
    <row r="1343" spans="1:11" ht="18" customHeight="1" x14ac:dyDescent="0.25">
      <c r="A1343" s="40" t="str">
        <f>IF(Agent07_Savings!A150="","",Agent07_Savings!A150)</f>
        <v/>
      </c>
      <c r="B1343" s="40" t="str">
        <f ca="1">IF(Agent07_Savings!A150="","","SV"&amp;TEXT(1343-3,"0000")&amp;"-"&amp;TEXT(TODAY(),"YYYYMMDD"))</f>
        <v/>
      </c>
      <c r="C1343" s="40" t="str">
        <f>IF(Agent07_Savings!A150="","",Agent07_Savings!B150)</f>
        <v/>
      </c>
      <c r="D1343" s="40" t="str">
        <f>IF(Agent07_Savings!A150="","",Agent07_Savings!G150)</f>
        <v/>
      </c>
      <c r="E1343" s="41" t="str">
        <f>IF(Agent07_Savings!A150="","",Agent07_Savings!D150)</f>
        <v/>
      </c>
      <c r="F1343" s="42" t="str">
        <f>IF(Agent07_Savings!A150="","",Agent07_Savings!E150)</f>
        <v/>
      </c>
      <c r="G1343" s="42" t="str">
        <f>IF(Agent07_Savings!A150="","",Agent07_Savings!F150)</f>
        <v/>
      </c>
      <c r="H1343" s="40" t="str">
        <f>IF(Agent07_Savings!A150="","",Agent07_Savings!I150)</f>
        <v/>
      </c>
      <c r="I1343" s="40" t="str">
        <f>IF(Agent07_Savings!A150="","",Agent07_Savings!J150)</f>
        <v/>
      </c>
      <c r="J1343" s="40" t="str">
        <f>IF(Agent07_Savings!A150="","",Agent07_Savings!K150)</f>
        <v/>
      </c>
      <c r="K1343" s="40" t="str">
        <f>IFERROR(IF(Agent07_Savings!A150="","",YEAR(Agent07_Savings!D150)),"")</f>
        <v/>
      </c>
    </row>
    <row r="1344" spans="1:11" ht="18" customHeight="1" x14ac:dyDescent="0.25">
      <c r="A1344" s="40" t="str">
        <f>IF(Agent07_Savings!A151="","",Agent07_Savings!A151)</f>
        <v/>
      </c>
      <c r="B1344" s="40" t="str">
        <f ca="1">IF(Agent07_Savings!A151="","","SV"&amp;TEXT(1344-3,"0000")&amp;"-"&amp;TEXT(TODAY(),"YYYYMMDD"))</f>
        <v/>
      </c>
      <c r="C1344" s="40" t="str">
        <f>IF(Agent07_Savings!A151="","",Agent07_Savings!B151)</f>
        <v/>
      </c>
      <c r="D1344" s="40" t="str">
        <f>IF(Agent07_Savings!A151="","",Agent07_Savings!G151)</f>
        <v/>
      </c>
      <c r="E1344" s="41" t="str">
        <f>IF(Agent07_Savings!A151="","",Agent07_Savings!D151)</f>
        <v/>
      </c>
      <c r="F1344" s="42" t="str">
        <f>IF(Agent07_Savings!A151="","",Agent07_Savings!E151)</f>
        <v/>
      </c>
      <c r="G1344" s="42" t="str">
        <f>IF(Agent07_Savings!A151="","",Agent07_Savings!F151)</f>
        <v/>
      </c>
      <c r="H1344" s="40" t="str">
        <f>IF(Agent07_Savings!A151="","",Agent07_Savings!I151)</f>
        <v/>
      </c>
      <c r="I1344" s="40" t="str">
        <f>IF(Agent07_Savings!A151="","",Agent07_Savings!J151)</f>
        <v/>
      </c>
      <c r="J1344" s="40" t="str">
        <f>IF(Agent07_Savings!A151="","",Agent07_Savings!K151)</f>
        <v/>
      </c>
      <c r="K1344" s="40" t="str">
        <f>IFERROR(IF(Agent07_Savings!A151="","",YEAR(Agent07_Savings!D151)),"")</f>
        <v/>
      </c>
    </row>
    <row r="1345" spans="1:11" ht="18" customHeight="1" x14ac:dyDescent="0.25">
      <c r="A1345" s="40" t="str">
        <f>IF(Agent07_Savings!A152="","",Agent07_Savings!A152)</f>
        <v/>
      </c>
      <c r="B1345" s="40" t="str">
        <f ca="1">IF(Agent07_Savings!A152="","","SV"&amp;TEXT(1345-3,"0000")&amp;"-"&amp;TEXT(TODAY(),"YYYYMMDD"))</f>
        <v/>
      </c>
      <c r="C1345" s="40" t="str">
        <f>IF(Agent07_Savings!A152="","",Agent07_Savings!B152)</f>
        <v/>
      </c>
      <c r="D1345" s="40" t="str">
        <f>IF(Agent07_Savings!A152="","",Agent07_Savings!G152)</f>
        <v/>
      </c>
      <c r="E1345" s="41" t="str">
        <f>IF(Agent07_Savings!A152="","",Agent07_Savings!D152)</f>
        <v/>
      </c>
      <c r="F1345" s="42" t="str">
        <f>IF(Agent07_Savings!A152="","",Agent07_Savings!E152)</f>
        <v/>
      </c>
      <c r="G1345" s="42" t="str">
        <f>IF(Agent07_Savings!A152="","",Agent07_Savings!F152)</f>
        <v/>
      </c>
      <c r="H1345" s="40" t="str">
        <f>IF(Agent07_Savings!A152="","",Agent07_Savings!I152)</f>
        <v/>
      </c>
      <c r="I1345" s="40" t="str">
        <f>IF(Agent07_Savings!A152="","",Agent07_Savings!J152)</f>
        <v/>
      </c>
      <c r="J1345" s="40" t="str">
        <f>IF(Agent07_Savings!A152="","",Agent07_Savings!K152)</f>
        <v/>
      </c>
      <c r="K1345" s="40" t="str">
        <f>IFERROR(IF(Agent07_Savings!A152="","",YEAR(Agent07_Savings!D152)),"")</f>
        <v/>
      </c>
    </row>
    <row r="1346" spans="1:11" ht="18" customHeight="1" x14ac:dyDescent="0.25">
      <c r="A1346" s="40" t="str">
        <f>IF(Agent07_Savings!A153="","",Agent07_Savings!A153)</f>
        <v/>
      </c>
      <c r="B1346" s="40" t="str">
        <f ca="1">IF(Agent07_Savings!A153="","","SV"&amp;TEXT(1346-3,"0000")&amp;"-"&amp;TEXT(TODAY(),"YYYYMMDD"))</f>
        <v/>
      </c>
      <c r="C1346" s="40" t="str">
        <f>IF(Agent07_Savings!A153="","",Agent07_Savings!B153)</f>
        <v/>
      </c>
      <c r="D1346" s="40" t="str">
        <f>IF(Agent07_Savings!A153="","",Agent07_Savings!G153)</f>
        <v/>
      </c>
      <c r="E1346" s="41" t="str">
        <f>IF(Agent07_Savings!A153="","",Agent07_Savings!D153)</f>
        <v/>
      </c>
      <c r="F1346" s="42" t="str">
        <f>IF(Agent07_Savings!A153="","",Agent07_Savings!E153)</f>
        <v/>
      </c>
      <c r="G1346" s="42" t="str">
        <f>IF(Agent07_Savings!A153="","",Agent07_Savings!F153)</f>
        <v/>
      </c>
      <c r="H1346" s="40" t="str">
        <f>IF(Agent07_Savings!A153="","",Agent07_Savings!I153)</f>
        <v/>
      </c>
      <c r="I1346" s="40" t="str">
        <f>IF(Agent07_Savings!A153="","",Agent07_Savings!J153)</f>
        <v/>
      </c>
      <c r="J1346" s="40" t="str">
        <f>IF(Agent07_Savings!A153="","",Agent07_Savings!K153)</f>
        <v/>
      </c>
      <c r="K1346" s="40" t="str">
        <f>IFERROR(IF(Agent07_Savings!A153="","",YEAR(Agent07_Savings!D153)),"")</f>
        <v/>
      </c>
    </row>
    <row r="1347" spans="1:11" ht="18" customHeight="1" x14ac:dyDescent="0.25">
      <c r="A1347" s="40" t="str">
        <f>IF(Agent07_Savings!A154="","",Agent07_Savings!A154)</f>
        <v/>
      </c>
      <c r="B1347" s="40" t="str">
        <f ca="1">IF(Agent07_Savings!A154="","","SV"&amp;TEXT(1347-3,"0000")&amp;"-"&amp;TEXT(TODAY(),"YYYYMMDD"))</f>
        <v/>
      </c>
      <c r="C1347" s="40" t="str">
        <f>IF(Agent07_Savings!A154="","",Agent07_Savings!B154)</f>
        <v/>
      </c>
      <c r="D1347" s="40" t="str">
        <f>IF(Agent07_Savings!A154="","",Agent07_Savings!G154)</f>
        <v/>
      </c>
      <c r="E1347" s="41" t="str">
        <f>IF(Agent07_Savings!A154="","",Agent07_Savings!D154)</f>
        <v/>
      </c>
      <c r="F1347" s="42" t="str">
        <f>IF(Agent07_Savings!A154="","",Agent07_Savings!E154)</f>
        <v/>
      </c>
      <c r="G1347" s="42" t="str">
        <f>IF(Agent07_Savings!A154="","",Agent07_Savings!F154)</f>
        <v/>
      </c>
      <c r="H1347" s="40" t="str">
        <f>IF(Agent07_Savings!A154="","",Agent07_Savings!I154)</f>
        <v/>
      </c>
      <c r="I1347" s="40" t="str">
        <f>IF(Agent07_Savings!A154="","",Agent07_Savings!J154)</f>
        <v/>
      </c>
      <c r="J1347" s="40" t="str">
        <f>IF(Agent07_Savings!A154="","",Agent07_Savings!K154)</f>
        <v/>
      </c>
      <c r="K1347" s="40" t="str">
        <f>IFERROR(IF(Agent07_Savings!A154="","",YEAR(Agent07_Savings!D154)),"")</f>
        <v/>
      </c>
    </row>
    <row r="1348" spans="1:11" ht="18" customHeight="1" x14ac:dyDescent="0.25">
      <c r="A1348" s="40" t="str">
        <f>IF(Agent07_Savings!A155="","",Agent07_Savings!A155)</f>
        <v/>
      </c>
      <c r="B1348" s="40" t="str">
        <f ca="1">IF(Agent07_Savings!A155="","","SV"&amp;TEXT(1348-3,"0000")&amp;"-"&amp;TEXT(TODAY(),"YYYYMMDD"))</f>
        <v/>
      </c>
      <c r="C1348" s="40" t="str">
        <f>IF(Agent07_Savings!A155="","",Agent07_Savings!B155)</f>
        <v/>
      </c>
      <c r="D1348" s="40" t="str">
        <f>IF(Agent07_Savings!A155="","",Agent07_Savings!G155)</f>
        <v/>
      </c>
      <c r="E1348" s="41" t="str">
        <f>IF(Agent07_Savings!A155="","",Agent07_Savings!D155)</f>
        <v/>
      </c>
      <c r="F1348" s="42" t="str">
        <f>IF(Agent07_Savings!A155="","",Agent07_Savings!E155)</f>
        <v/>
      </c>
      <c r="G1348" s="42" t="str">
        <f>IF(Agent07_Savings!A155="","",Agent07_Savings!F155)</f>
        <v/>
      </c>
      <c r="H1348" s="40" t="str">
        <f>IF(Agent07_Savings!A155="","",Agent07_Savings!I155)</f>
        <v/>
      </c>
      <c r="I1348" s="40" t="str">
        <f>IF(Agent07_Savings!A155="","",Agent07_Savings!J155)</f>
        <v/>
      </c>
      <c r="J1348" s="40" t="str">
        <f>IF(Agent07_Savings!A155="","",Agent07_Savings!K155)</f>
        <v/>
      </c>
      <c r="K1348" s="40" t="str">
        <f>IFERROR(IF(Agent07_Savings!A155="","",YEAR(Agent07_Savings!D155)),"")</f>
        <v/>
      </c>
    </row>
    <row r="1349" spans="1:11" ht="18" customHeight="1" x14ac:dyDescent="0.25">
      <c r="A1349" s="40" t="str">
        <f>IF(Agent07_Savings!A156="","",Agent07_Savings!A156)</f>
        <v/>
      </c>
      <c r="B1349" s="40" t="str">
        <f ca="1">IF(Agent07_Savings!A156="","","SV"&amp;TEXT(1349-3,"0000")&amp;"-"&amp;TEXT(TODAY(),"YYYYMMDD"))</f>
        <v/>
      </c>
      <c r="C1349" s="40" t="str">
        <f>IF(Agent07_Savings!A156="","",Agent07_Savings!B156)</f>
        <v/>
      </c>
      <c r="D1349" s="40" t="str">
        <f>IF(Agent07_Savings!A156="","",Agent07_Savings!G156)</f>
        <v/>
      </c>
      <c r="E1349" s="41" t="str">
        <f>IF(Agent07_Savings!A156="","",Agent07_Savings!D156)</f>
        <v/>
      </c>
      <c r="F1349" s="42" t="str">
        <f>IF(Agent07_Savings!A156="","",Agent07_Savings!E156)</f>
        <v/>
      </c>
      <c r="G1349" s="42" t="str">
        <f>IF(Agent07_Savings!A156="","",Agent07_Savings!F156)</f>
        <v/>
      </c>
      <c r="H1349" s="40" t="str">
        <f>IF(Agent07_Savings!A156="","",Agent07_Savings!I156)</f>
        <v/>
      </c>
      <c r="I1349" s="40" t="str">
        <f>IF(Agent07_Savings!A156="","",Agent07_Savings!J156)</f>
        <v/>
      </c>
      <c r="J1349" s="40" t="str">
        <f>IF(Agent07_Savings!A156="","",Agent07_Savings!K156)</f>
        <v/>
      </c>
      <c r="K1349" s="40" t="str">
        <f>IFERROR(IF(Agent07_Savings!A156="","",YEAR(Agent07_Savings!D156)),"")</f>
        <v/>
      </c>
    </row>
    <row r="1350" spans="1:11" ht="18" customHeight="1" x14ac:dyDescent="0.25">
      <c r="A1350" s="40" t="str">
        <f>IF(Agent07_Savings!A157="","",Agent07_Savings!A157)</f>
        <v/>
      </c>
      <c r="B1350" s="40" t="str">
        <f ca="1">IF(Agent07_Savings!A157="","","SV"&amp;TEXT(1350-3,"0000")&amp;"-"&amp;TEXT(TODAY(),"YYYYMMDD"))</f>
        <v/>
      </c>
      <c r="C1350" s="40" t="str">
        <f>IF(Agent07_Savings!A157="","",Agent07_Savings!B157)</f>
        <v/>
      </c>
      <c r="D1350" s="40" t="str">
        <f>IF(Agent07_Savings!A157="","",Agent07_Savings!G157)</f>
        <v/>
      </c>
      <c r="E1350" s="41" t="str">
        <f>IF(Agent07_Savings!A157="","",Agent07_Savings!D157)</f>
        <v/>
      </c>
      <c r="F1350" s="42" t="str">
        <f>IF(Agent07_Savings!A157="","",Agent07_Savings!E157)</f>
        <v/>
      </c>
      <c r="G1350" s="42" t="str">
        <f>IF(Agent07_Savings!A157="","",Agent07_Savings!F157)</f>
        <v/>
      </c>
      <c r="H1350" s="40" t="str">
        <f>IF(Agent07_Savings!A157="","",Agent07_Savings!I157)</f>
        <v/>
      </c>
      <c r="I1350" s="40" t="str">
        <f>IF(Agent07_Savings!A157="","",Agent07_Savings!J157)</f>
        <v/>
      </c>
      <c r="J1350" s="40" t="str">
        <f>IF(Agent07_Savings!A157="","",Agent07_Savings!K157)</f>
        <v/>
      </c>
      <c r="K1350" s="40" t="str">
        <f>IFERROR(IF(Agent07_Savings!A157="","",YEAR(Agent07_Savings!D157)),"")</f>
        <v/>
      </c>
    </row>
    <row r="1351" spans="1:11" ht="18" customHeight="1" x14ac:dyDescent="0.25">
      <c r="A1351" s="40" t="str">
        <f>IF(Agent07_Savings!A158="","",Agent07_Savings!A158)</f>
        <v/>
      </c>
      <c r="B1351" s="40" t="str">
        <f ca="1">IF(Agent07_Savings!A158="","","SV"&amp;TEXT(1351-3,"0000")&amp;"-"&amp;TEXT(TODAY(),"YYYYMMDD"))</f>
        <v/>
      </c>
      <c r="C1351" s="40" t="str">
        <f>IF(Agent07_Savings!A158="","",Agent07_Savings!B158)</f>
        <v/>
      </c>
      <c r="D1351" s="40" t="str">
        <f>IF(Agent07_Savings!A158="","",Agent07_Savings!G158)</f>
        <v/>
      </c>
      <c r="E1351" s="41" t="str">
        <f>IF(Agent07_Savings!A158="","",Agent07_Savings!D158)</f>
        <v/>
      </c>
      <c r="F1351" s="42" t="str">
        <f>IF(Agent07_Savings!A158="","",Agent07_Savings!E158)</f>
        <v/>
      </c>
      <c r="G1351" s="42" t="str">
        <f>IF(Agent07_Savings!A158="","",Agent07_Savings!F158)</f>
        <v/>
      </c>
      <c r="H1351" s="40" t="str">
        <f>IF(Agent07_Savings!A158="","",Agent07_Savings!I158)</f>
        <v/>
      </c>
      <c r="I1351" s="40" t="str">
        <f>IF(Agent07_Savings!A158="","",Agent07_Savings!J158)</f>
        <v/>
      </c>
      <c r="J1351" s="40" t="str">
        <f>IF(Agent07_Savings!A158="","",Agent07_Savings!K158)</f>
        <v/>
      </c>
      <c r="K1351" s="40" t="str">
        <f>IFERROR(IF(Agent07_Savings!A158="","",YEAR(Agent07_Savings!D158)),"")</f>
        <v/>
      </c>
    </row>
    <row r="1352" spans="1:11" ht="18" customHeight="1" x14ac:dyDescent="0.25">
      <c r="A1352" s="40" t="str">
        <f>IF(Agent07_Savings!A159="","",Agent07_Savings!A159)</f>
        <v/>
      </c>
      <c r="B1352" s="40" t="str">
        <f ca="1">IF(Agent07_Savings!A159="","","SV"&amp;TEXT(1352-3,"0000")&amp;"-"&amp;TEXT(TODAY(),"YYYYMMDD"))</f>
        <v/>
      </c>
      <c r="C1352" s="40" t="str">
        <f>IF(Agent07_Savings!A159="","",Agent07_Savings!B159)</f>
        <v/>
      </c>
      <c r="D1352" s="40" t="str">
        <f>IF(Agent07_Savings!A159="","",Agent07_Savings!G159)</f>
        <v/>
      </c>
      <c r="E1352" s="41" t="str">
        <f>IF(Agent07_Savings!A159="","",Agent07_Savings!D159)</f>
        <v/>
      </c>
      <c r="F1352" s="42" t="str">
        <f>IF(Agent07_Savings!A159="","",Agent07_Savings!E159)</f>
        <v/>
      </c>
      <c r="G1352" s="42" t="str">
        <f>IF(Agent07_Savings!A159="","",Agent07_Savings!F159)</f>
        <v/>
      </c>
      <c r="H1352" s="40" t="str">
        <f>IF(Agent07_Savings!A159="","",Agent07_Savings!I159)</f>
        <v/>
      </c>
      <c r="I1352" s="40" t="str">
        <f>IF(Agent07_Savings!A159="","",Agent07_Savings!J159)</f>
        <v/>
      </c>
      <c r="J1352" s="40" t="str">
        <f>IF(Agent07_Savings!A159="","",Agent07_Savings!K159)</f>
        <v/>
      </c>
      <c r="K1352" s="40" t="str">
        <f>IFERROR(IF(Agent07_Savings!A159="","",YEAR(Agent07_Savings!D159)),"")</f>
        <v/>
      </c>
    </row>
    <row r="1353" spans="1:11" ht="18" customHeight="1" x14ac:dyDescent="0.25">
      <c r="A1353" s="40" t="str">
        <f>IF(Agent07_Savings!A160="","",Agent07_Savings!A160)</f>
        <v/>
      </c>
      <c r="B1353" s="40" t="str">
        <f ca="1">IF(Agent07_Savings!A160="","","SV"&amp;TEXT(1353-3,"0000")&amp;"-"&amp;TEXT(TODAY(),"YYYYMMDD"))</f>
        <v/>
      </c>
      <c r="C1353" s="40" t="str">
        <f>IF(Agent07_Savings!A160="","",Agent07_Savings!B160)</f>
        <v/>
      </c>
      <c r="D1353" s="40" t="str">
        <f>IF(Agent07_Savings!A160="","",Agent07_Savings!G160)</f>
        <v/>
      </c>
      <c r="E1353" s="41" t="str">
        <f>IF(Agent07_Savings!A160="","",Agent07_Savings!D160)</f>
        <v/>
      </c>
      <c r="F1353" s="42" t="str">
        <f>IF(Agent07_Savings!A160="","",Agent07_Savings!E160)</f>
        <v/>
      </c>
      <c r="G1353" s="42" t="str">
        <f>IF(Agent07_Savings!A160="","",Agent07_Savings!F160)</f>
        <v/>
      </c>
      <c r="H1353" s="40" t="str">
        <f>IF(Agent07_Savings!A160="","",Agent07_Savings!I160)</f>
        <v/>
      </c>
      <c r="I1353" s="40" t="str">
        <f>IF(Agent07_Savings!A160="","",Agent07_Savings!J160)</f>
        <v/>
      </c>
      <c r="J1353" s="40" t="str">
        <f>IF(Agent07_Savings!A160="","",Agent07_Savings!K160)</f>
        <v/>
      </c>
      <c r="K1353" s="40" t="str">
        <f>IFERROR(IF(Agent07_Savings!A160="","",YEAR(Agent07_Savings!D160)),"")</f>
        <v/>
      </c>
    </row>
    <row r="1354" spans="1:11" ht="18" customHeight="1" x14ac:dyDescent="0.25">
      <c r="A1354" s="40" t="str">
        <f>IF(Agent07_Savings!A161="","",Agent07_Savings!A161)</f>
        <v/>
      </c>
      <c r="B1354" s="40" t="str">
        <f ca="1">IF(Agent07_Savings!A161="","","SV"&amp;TEXT(1354-3,"0000")&amp;"-"&amp;TEXT(TODAY(),"YYYYMMDD"))</f>
        <v/>
      </c>
      <c r="C1354" s="40" t="str">
        <f>IF(Agent07_Savings!A161="","",Agent07_Savings!B161)</f>
        <v/>
      </c>
      <c r="D1354" s="40" t="str">
        <f>IF(Agent07_Savings!A161="","",Agent07_Savings!G161)</f>
        <v/>
      </c>
      <c r="E1354" s="41" t="str">
        <f>IF(Agent07_Savings!A161="","",Agent07_Savings!D161)</f>
        <v/>
      </c>
      <c r="F1354" s="42" t="str">
        <f>IF(Agent07_Savings!A161="","",Agent07_Savings!E161)</f>
        <v/>
      </c>
      <c r="G1354" s="42" t="str">
        <f>IF(Agent07_Savings!A161="","",Agent07_Savings!F161)</f>
        <v/>
      </c>
      <c r="H1354" s="40" t="str">
        <f>IF(Agent07_Savings!A161="","",Agent07_Savings!I161)</f>
        <v/>
      </c>
      <c r="I1354" s="40" t="str">
        <f>IF(Agent07_Savings!A161="","",Agent07_Savings!J161)</f>
        <v/>
      </c>
      <c r="J1354" s="40" t="str">
        <f>IF(Agent07_Savings!A161="","",Agent07_Savings!K161)</f>
        <v/>
      </c>
      <c r="K1354" s="40" t="str">
        <f>IFERROR(IF(Agent07_Savings!A161="","",YEAR(Agent07_Savings!D161)),"")</f>
        <v/>
      </c>
    </row>
    <row r="1355" spans="1:11" ht="18" customHeight="1" x14ac:dyDescent="0.25">
      <c r="A1355" s="40" t="str">
        <f>IF(Agent07_Savings!A162="","",Agent07_Savings!A162)</f>
        <v/>
      </c>
      <c r="B1355" s="40" t="str">
        <f ca="1">IF(Agent07_Savings!A162="","","SV"&amp;TEXT(1355-3,"0000")&amp;"-"&amp;TEXT(TODAY(),"YYYYMMDD"))</f>
        <v/>
      </c>
      <c r="C1355" s="40" t="str">
        <f>IF(Agent07_Savings!A162="","",Agent07_Savings!B162)</f>
        <v/>
      </c>
      <c r="D1355" s="40" t="str">
        <f>IF(Agent07_Savings!A162="","",Agent07_Savings!G162)</f>
        <v/>
      </c>
      <c r="E1355" s="41" t="str">
        <f>IF(Agent07_Savings!A162="","",Agent07_Savings!D162)</f>
        <v/>
      </c>
      <c r="F1355" s="42" t="str">
        <f>IF(Agent07_Savings!A162="","",Agent07_Savings!E162)</f>
        <v/>
      </c>
      <c r="G1355" s="42" t="str">
        <f>IF(Agent07_Savings!A162="","",Agent07_Savings!F162)</f>
        <v/>
      </c>
      <c r="H1355" s="40" t="str">
        <f>IF(Agent07_Savings!A162="","",Agent07_Savings!I162)</f>
        <v/>
      </c>
      <c r="I1355" s="40" t="str">
        <f>IF(Agent07_Savings!A162="","",Agent07_Savings!J162)</f>
        <v/>
      </c>
      <c r="J1355" s="40" t="str">
        <f>IF(Agent07_Savings!A162="","",Agent07_Savings!K162)</f>
        <v/>
      </c>
      <c r="K1355" s="40" t="str">
        <f>IFERROR(IF(Agent07_Savings!A162="","",YEAR(Agent07_Savings!D162)),"")</f>
        <v/>
      </c>
    </row>
    <row r="1356" spans="1:11" ht="18" customHeight="1" x14ac:dyDescent="0.25">
      <c r="A1356" s="40" t="str">
        <f>IF(Agent07_Savings!A163="","",Agent07_Savings!A163)</f>
        <v/>
      </c>
      <c r="B1356" s="40" t="str">
        <f ca="1">IF(Agent07_Savings!A163="","","SV"&amp;TEXT(1356-3,"0000")&amp;"-"&amp;TEXT(TODAY(),"YYYYMMDD"))</f>
        <v/>
      </c>
      <c r="C1356" s="40" t="str">
        <f>IF(Agent07_Savings!A163="","",Agent07_Savings!B163)</f>
        <v/>
      </c>
      <c r="D1356" s="40" t="str">
        <f>IF(Agent07_Savings!A163="","",Agent07_Savings!G163)</f>
        <v/>
      </c>
      <c r="E1356" s="41" t="str">
        <f>IF(Agent07_Savings!A163="","",Agent07_Savings!D163)</f>
        <v/>
      </c>
      <c r="F1356" s="42" t="str">
        <f>IF(Agent07_Savings!A163="","",Agent07_Savings!E163)</f>
        <v/>
      </c>
      <c r="G1356" s="42" t="str">
        <f>IF(Agent07_Savings!A163="","",Agent07_Savings!F163)</f>
        <v/>
      </c>
      <c r="H1356" s="40" t="str">
        <f>IF(Agent07_Savings!A163="","",Agent07_Savings!I163)</f>
        <v/>
      </c>
      <c r="I1356" s="40" t="str">
        <f>IF(Agent07_Savings!A163="","",Agent07_Savings!J163)</f>
        <v/>
      </c>
      <c r="J1356" s="40" t="str">
        <f>IF(Agent07_Savings!A163="","",Agent07_Savings!K163)</f>
        <v/>
      </c>
      <c r="K1356" s="40" t="str">
        <f>IFERROR(IF(Agent07_Savings!A163="","",YEAR(Agent07_Savings!D163)),"")</f>
        <v/>
      </c>
    </row>
    <row r="1357" spans="1:11" ht="18" customHeight="1" x14ac:dyDescent="0.25">
      <c r="A1357" s="40" t="str">
        <f>IF(Agent07_Savings!A164="","",Agent07_Savings!A164)</f>
        <v/>
      </c>
      <c r="B1357" s="40" t="str">
        <f ca="1">IF(Agent07_Savings!A164="","","SV"&amp;TEXT(1357-3,"0000")&amp;"-"&amp;TEXT(TODAY(),"YYYYMMDD"))</f>
        <v/>
      </c>
      <c r="C1357" s="40" t="str">
        <f>IF(Agent07_Savings!A164="","",Agent07_Savings!B164)</f>
        <v/>
      </c>
      <c r="D1357" s="40" t="str">
        <f>IF(Agent07_Savings!A164="","",Agent07_Savings!G164)</f>
        <v/>
      </c>
      <c r="E1357" s="41" t="str">
        <f>IF(Agent07_Savings!A164="","",Agent07_Savings!D164)</f>
        <v/>
      </c>
      <c r="F1357" s="42" t="str">
        <f>IF(Agent07_Savings!A164="","",Agent07_Savings!E164)</f>
        <v/>
      </c>
      <c r="G1357" s="42" t="str">
        <f>IF(Agent07_Savings!A164="","",Agent07_Savings!F164)</f>
        <v/>
      </c>
      <c r="H1357" s="40" t="str">
        <f>IF(Agent07_Savings!A164="","",Agent07_Savings!I164)</f>
        <v/>
      </c>
      <c r="I1357" s="40" t="str">
        <f>IF(Agent07_Savings!A164="","",Agent07_Savings!J164)</f>
        <v/>
      </c>
      <c r="J1357" s="40" t="str">
        <f>IF(Agent07_Savings!A164="","",Agent07_Savings!K164)</f>
        <v/>
      </c>
      <c r="K1357" s="40" t="str">
        <f>IFERROR(IF(Agent07_Savings!A164="","",YEAR(Agent07_Savings!D164)),"")</f>
        <v/>
      </c>
    </row>
    <row r="1358" spans="1:11" ht="18" customHeight="1" x14ac:dyDescent="0.25">
      <c r="A1358" s="40" t="str">
        <f>IF(Agent07_Savings!A165="","",Agent07_Savings!A165)</f>
        <v/>
      </c>
      <c r="B1358" s="40" t="str">
        <f ca="1">IF(Agent07_Savings!A165="","","SV"&amp;TEXT(1358-3,"0000")&amp;"-"&amp;TEXT(TODAY(),"YYYYMMDD"))</f>
        <v/>
      </c>
      <c r="C1358" s="40" t="str">
        <f>IF(Agent07_Savings!A165="","",Agent07_Savings!B165)</f>
        <v/>
      </c>
      <c r="D1358" s="40" t="str">
        <f>IF(Agent07_Savings!A165="","",Agent07_Savings!G165)</f>
        <v/>
      </c>
      <c r="E1358" s="41" t="str">
        <f>IF(Agent07_Savings!A165="","",Agent07_Savings!D165)</f>
        <v/>
      </c>
      <c r="F1358" s="42" t="str">
        <f>IF(Agent07_Savings!A165="","",Agent07_Savings!E165)</f>
        <v/>
      </c>
      <c r="G1358" s="42" t="str">
        <f>IF(Agent07_Savings!A165="","",Agent07_Savings!F165)</f>
        <v/>
      </c>
      <c r="H1358" s="40" t="str">
        <f>IF(Agent07_Savings!A165="","",Agent07_Savings!I165)</f>
        <v/>
      </c>
      <c r="I1358" s="40" t="str">
        <f>IF(Agent07_Savings!A165="","",Agent07_Savings!J165)</f>
        <v/>
      </c>
      <c r="J1358" s="40" t="str">
        <f>IF(Agent07_Savings!A165="","",Agent07_Savings!K165)</f>
        <v/>
      </c>
      <c r="K1358" s="40" t="str">
        <f>IFERROR(IF(Agent07_Savings!A165="","",YEAR(Agent07_Savings!D165)),"")</f>
        <v/>
      </c>
    </row>
    <row r="1359" spans="1:11" ht="18" customHeight="1" x14ac:dyDescent="0.25">
      <c r="A1359" s="40" t="str">
        <f>IF(Agent07_Savings!A166="","",Agent07_Savings!A166)</f>
        <v/>
      </c>
      <c r="B1359" s="40" t="str">
        <f ca="1">IF(Agent07_Savings!A166="","","SV"&amp;TEXT(1359-3,"0000")&amp;"-"&amp;TEXT(TODAY(),"YYYYMMDD"))</f>
        <v/>
      </c>
      <c r="C1359" s="40" t="str">
        <f>IF(Agent07_Savings!A166="","",Agent07_Savings!B166)</f>
        <v/>
      </c>
      <c r="D1359" s="40" t="str">
        <f>IF(Agent07_Savings!A166="","",Agent07_Savings!G166)</f>
        <v/>
      </c>
      <c r="E1359" s="41" t="str">
        <f>IF(Agent07_Savings!A166="","",Agent07_Savings!D166)</f>
        <v/>
      </c>
      <c r="F1359" s="42" t="str">
        <f>IF(Agent07_Savings!A166="","",Agent07_Savings!E166)</f>
        <v/>
      </c>
      <c r="G1359" s="42" t="str">
        <f>IF(Agent07_Savings!A166="","",Agent07_Savings!F166)</f>
        <v/>
      </c>
      <c r="H1359" s="40" t="str">
        <f>IF(Agent07_Savings!A166="","",Agent07_Savings!I166)</f>
        <v/>
      </c>
      <c r="I1359" s="40" t="str">
        <f>IF(Agent07_Savings!A166="","",Agent07_Savings!J166)</f>
        <v/>
      </c>
      <c r="J1359" s="40" t="str">
        <f>IF(Agent07_Savings!A166="","",Agent07_Savings!K166)</f>
        <v/>
      </c>
      <c r="K1359" s="40" t="str">
        <f>IFERROR(IF(Agent07_Savings!A166="","",YEAR(Agent07_Savings!D166)),"")</f>
        <v/>
      </c>
    </row>
    <row r="1360" spans="1:11" ht="18" customHeight="1" x14ac:dyDescent="0.25">
      <c r="A1360" s="40" t="str">
        <f>IF(Agent07_Savings!A167="","",Agent07_Savings!A167)</f>
        <v/>
      </c>
      <c r="B1360" s="40" t="str">
        <f ca="1">IF(Agent07_Savings!A167="","","SV"&amp;TEXT(1360-3,"0000")&amp;"-"&amp;TEXT(TODAY(),"YYYYMMDD"))</f>
        <v/>
      </c>
      <c r="C1360" s="40" t="str">
        <f>IF(Agent07_Savings!A167="","",Agent07_Savings!B167)</f>
        <v/>
      </c>
      <c r="D1360" s="40" t="str">
        <f>IF(Agent07_Savings!A167="","",Agent07_Savings!G167)</f>
        <v/>
      </c>
      <c r="E1360" s="41" t="str">
        <f>IF(Agent07_Savings!A167="","",Agent07_Savings!D167)</f>
        <v/>
      </c>
      <c r="F1360" s="42" t="str">
        <f>IF(Agent07_Savings!A167="","",Agent07_Savings!E167)</f>
        <v/>
      </c>
      <c r="G1360" s="42" t="str">
        <f>IF(Agent07_Savings!A167="","",Agent07_Savings!F167)</f>
        <v/>
      </c>
      <c r="H1360" s="40" t="str">
        <f>IF(Agent07_Savings!A167="","",Agent07_Savings!I167)</f>
        <v/>
      </c>
      <c r="I1360" s="40" t="str">
        <f>IF(Agent07_Savings!A167="","",Agent07_Savings!J167)</f>
        <v/>
      </c>
      <c r="J1360" s="40" t="str">
        <f>IF(Agent07_Savings!A167="","",Agent07_Savings!K167)</f>
        <v/>
      </c>
      <c r="K1360" s="40" t="str">
        <f>IFERROR(IF(Agent07_Savings!A167="","",YEAR(Agent07_Savings!D167)),"")</f>
        <v/>
      </c>
    </row>
    <row r="1361" spans="1:11" ht="18" customHeight="1" x14ac:dyDescent="0.25">
      <c r="A1361" s="40" t="str">
        <f>IF(Agent07_Savings!A168="","",Agent07_Savings!A168)</f>
        <v/>
      </c>
      <c r="B1361" s="40" t="str">
        <f ca="1">IF(Agent07_Savings!A168="","","SV"&amp;TEXT(1361-3,"0000")&amp;"-"&amp;TEXT(TODAY(),"YYYYMMDD"))</f>
        <v/>
      </c>
      <c r="C1361" s="40" t="str">
        <f>IF(Agent07_Savings!A168="","",Agent07_Savings!B168)</f>
        <v/>
      </c>
      <c r="D1361" s="40" t="str">
        <f>IF(Agent07_Savings!A168="","",Agent07_Savings!G168)</f>
        <v/>
      </c>
      <c r="E1361" s="41" t="str">
        <f>IF(Agent07_Savings!A168="","",Agent07_Savings!D168)</f>
        <v/>
      </c>
      <c r="F1361" s="42" t="str">
        <f>IF(Agent07_Savings!A168="","",Agent07_Savings!E168)</f>
        <v/>
      </c>
      <c r="G1361" s="42" t="str">
        <f>IF(Agent07_Savings!A168="","",Agent07_Savings!F168)</f>
        <v/>
      </c>
      <c r="H1361" s="40" t="str">
        <f>IF(Agent07_Savings!A168="","",Agent07_Savings!I168)</f>
        <v/>
      </c>
      <c r="I1361" s="40" t="str">
        <f>IF(Agent07_Savings!A168="","",Agent07_Savings!J168)</f>
        <v/>
      </c>
      <c r="J1361" s="40" t="str">
        <f>IF(Agent07_Savings!A168="","",Agent07_Savings!K168)</f>
        <v/>
      </c>
      <c r="K1361" s="40" t="str">
        <f>IFERROR(IF(Agent07_Savings!A168="","",YEAR(Agent07_Savings!D168)),"")</f>
        <v/>
      </c>
    </row>
    <row r="1362" spans="1:11" ht="18" customHeight="1" x14ac:dyDescent="0.25">
      <c r="A1362" s="40" t="str">
        <f>IF(Agent07_Savings!A169="","",Agent07_Savings!A169)</f>
        <v/>
      </c>
      <c r="B1362" s="40" t="str">
        <f ca="1">IF(Agent07_Savings!A169="","","SV"&amp;TEXT(1362-3,"0000")&amp;"-"&amp;TEXT(TODAY(),"YYYYMMDD"))</f>
        <v/>
      </c>
      <c r="C1362" s="40" t="str">
        <f>IF(Agent07_Savings!A169="","",Agent07_Savings!B169)</f>
        <v/>
      </c>
      <c r="D1362" s="40" t="str">
        <f>IF(Agent07_Savings!A169="","",Agent07_Savings!G169)</f>
        <v/>
      </c>
      <c r="E1362" s="41" t="str">
        <f>IF(Agent07_Savings!A169="","",Agent07_Savings!D169)</f>
        <v/>
      </c>
      <c r="F1362" s="42" t="str">
        <f>IF(Agent07_Savings!A169="","",Agent07_Savings!E169)</f>
        <v/>
      </c>
      <c r="G1362" s="42" t="str">
        <f>IF(Agent07_Savings!A169="","",Agent07_Savings!F169)</f>
        <v/>
      </c>
      <c r="H1362" s="40" t="str">
        <f>IF(Agent07_Savings!A169="","",Agent07_Savings!I169)</f>
        <v/>
      </c>
      <c r="I1362" s="40" t="str">
        <f>IF(Agent07_Savings!A169="","",Agent07_Savings!J169)</f>
        <v/>
      </c>
      <c r="J1362" s="40" t="str">
        <f>IF(Agent07_Savings!A169="","",Agent07_Savings!K169)</f>
        <v/>
      </c>
      <c r="K1362" s="40" t="str">
        <f>IFERROR(IF(Agent07_Savings!A169="","",YEAR(Agent07_Savings!D169)),"")</f>
        <v/>
      </c>
    </row>
    <row r="1363" spans="1:11" ht="18" customHeight="1" x14ac:dyDescent="0.25">
      <c r="A1363" s="40" t="str">
        <f>IF(Agent07_Savings!A170="","",Agent07_Savings!A170)</f>
        <v/>
      </c>
      <c r="B1363" s="40" t="str">
        <f ca="1">IF(Agent07_Savings!A170="","","SV"&amp;TEXT(1363-3,"0000")&amp;"-"&amp;TEXT(TODAY(),"YYYYMMDD"))</f>
        <v/>
      </c>
      <c r="C1363" s="40" t="str">
        <f>IF(Agent07_Savings!A170="","",Agent07_Savings!B170)</f>
        <v/>
      </c>
      <c r="D1363" s="40" t="str">
        <f>IF(Agent07_Savings!A170="","",Agent07_Savings!G170)</f>
        <v/>
      </c>
      <c r="E1363" s="41" t="str">
        <f>IF(Agent07_Savings!A170="","",Agent07_Savings!D170)</f>
        <v/>
      </c>
      <c r="F1363" s="42" t="str">
        <f>IF(Agent07_Savings!A170="","",Agent07_Savings!E170)</f>
        <v/>
      </c>
      <c r="G1363" s="42" t="str">
        <f>IF(Agent07_Savings!A170="","",Agent07_Savings!F170)</f>
        <v/>
      </c>
      <c r="H1363" s="40" t="str">
        <f>IF(Agent07_Savings!A170="","",Agent07_Savings!I170)</f>
        <v/>
      </c>
      <c r="I1363" s="40" t="str">
        <f>IF(Agent07_Savings!A170="","",Agent07_Savings!J170)</f>
        <v/>
      </c>
      <c r="J1363" s="40" t="str">
        <f>IF(Agent07_Savings!A170="","",Agent07_Savings!K170)</f>
        <v/>
      </c>
      <c r="K1363" s="40" t="str">
        <f>IFERROR(IF(Agent07_Savings!A170="","",YEAR(Agent07_Savings!D170)),"")</f>
        <v/>
      </c>
    </row>
    <row r="1364" spans="1:11" ht="18" customHeight="1" x14ac:dyDescent="0.25">
      <c r="A1364" s="40" t="str">
        <f>IF(Agent07_Savings!A171="","",Agent07_Savings!A171)</f>
        <v/>
      </c>
      <c r="B1364" s="40" t="str">
        <f ca="1">IF(Agent07_Savings!A171="","","SV"&amp;TEXT(1364-3,"0000")&amp;"-"&amp;TEXT(TODAY(),"YYYYMMDD"))</f>
        <v/>
      </c>
      <c r="C1364" s="40" t="str">
        <f>IF(Agent07_Savings!A171="","",Agent07_Savings!B171)</f>
        <v/>
      </c>
      <c r="D1364" s="40" t="str">
        <f>IF(Agent07_Savings!A171="","",Agent07_Savings!G171)</f>
        <v/>
      </c>
      <c r="E1364" s="41" t="str">
        <f>IF(Agent07_Savings!A171="","",Agent07_Savings!D171)</f>
        <v/>
      </c>
      <c r="F1364" s="42" t="str">
        <f>IF(Agent07_Savings!A171="","",Agent07_Savings!E171)</f>
        <v/>
      </c>
      <c r="G1364" s="42" t="str">
        <f>IF(Agent07_Savings!A171="","",Agent07_Savings!F171)</f>
        <v/>
      </c>
      <c r="H1364" s="40" t="str">
        <f>IF(Agent07_Savings!A171="","",Agent07_Savings!I171)</f>
        <v/>
      </c>
      <c r="I1364" s="40" t="str">
        <f>IF(Agent07_Savings!A171="","",Agent07_Savings!J171)</f>
        <v/>
      </c>
      <c r="J1364" s="40" t="str">
        <f>IF(Agent07_Savings!A171="","",Agent07_Savings!K171)</f>
        <v/>
      </c>
      <c r="K1364" s="40" t="str">
        <f>IFERROR(IF(Agent07_Savings!A171="","",YEAR(Agent07_Savings!D171)),"")</f>
        <v/>
      </c>
    </row>
    <row r="1365" spans="1:11" ht="18" customHeight="1" x14ac:dyDescent="0.25">
      <c r="A1365" s="40" t="str">
        <f>IF(Agent07_Savings!A172="","",Agent07_Savings!A172)</f>
        <v/>
      </c>
      <c r="B1365" s="40" t="str">
        <f ca="1">IF(Agent07_Savings!A172="","","SV"&amp;TEXT(1365-3,"0000")&amp;"-"&amp;TEXT(TODAY(),"YYYYMMDD"))</f>
        <v/>
      </c>
      <c r="C1365" s="40" t="str">
        <f>IF(Agent07_Savings!A172="","",Agent07_Savings!B172)</f>
        <v/>
      </c>
      <c r="D1365" s="40" t="str">
        <f>IF(Agent07_Savings!A172="","",Agent07_Savings!G172)</f>
        <v/>
      </c>
      <c r="E1365" s="41" t="str">
        <f>IF(Agent07_Savings!A172="","",Agent07_Savings!D172)</f>
        <v/>
      </c>
      <c r="F1365" s="42" t="str">
        <f>IF(Agent07_Savings!A172="","",Agent07_Savings!E172)</f>
        <v/>
      </c>
      <c r="G1365" s="42" t="str">
        <f>IF(Agent07_Savings!A172="","",Agent07_Savings!F172)</f>
        <v/>
      </c>
      <c r="H1365" s="40" t="str">
        <f>IF(Agent07_Savings!A172="","",Agent07_Savings!I172)</f>
        <v/>
      </c>
      <c r="I1365" s="40" t="str">
        <f>IF(Agent07_Savings!A172="","",Agent07_Savings!J172)</f>
        <v/>
      </c>
      <c r="J1365" s="40" t="str">
        <f>IF(Agent07_Savings!A172="","",Agent07_Savings!K172)</f>
        <v/>
      </c>
      <c r="K1365" s="40" t="str">
        <f>IFERROR(IF(Agent07_Savings!A172="","",YEAR(Agent07_Savings!D172)),"")</f>
        <v/>
      </c>
    </row>
    <row r="1366" spans="1:11" ht="18" customHeight="1" x14ac:dyDescent="0.25">
      <c r="A1366" s="40" t="str">
        <f>IF(Agent07_Savings!A173="","",Agent07_Savings!A173)</f>
        <v/>
      </c>
      <c r="B1366" s="40" t="str">
        <f ca="1">IF(Agent07_Savings!A173="","","SV"&amp;TEXT(1366-3,"0000")&amp;"-"&amp;TEXT(TODAY(),"YYYYMMDD"))</f>
        <v/>
      </c>
      <c r="C1366" s="40" t="str">
        <f>IF(Agent07_Savings!A173="","",Agent07_Savings!B173)</f>
        <v/>
      </c>
      <c r="D1366" s="40" t="str">
        <f>IF(Agent07_Savings!A173="","",Agent07_Savings!G173)</f>
        <v/>
      </c>
      <c r="E1366" s="41" t="str">
        <f>IF(Agent07_Savings!A173="","",Agent07_Savings!D173)</f>
        <v/>
      </c>
      <c r="F1366" s="42" t="str">
        <f>IF(Agent07_Savings!A173="","",Agent07_Savings!E173)</f>
        <v/>
      </c>
      <c r="G1366" s="42" t="str">
        <f>IF(Agent07_Savings!A173="","",Agent07_Savings!F173)</f>
        <v/>
      </c>
      <c r="H1366" s="40" t="str">
        <f>IF(Agent07_Savings!A173="","",Agent07_Savings!I173)</f>
        <v/>
      </c>
      <c r="I1366" s="40" t="str">
        <f>IF(Agent07_Savings!A173="","",Agent07_Savings!J173)</f>
        <v/>
      </c>
      <c r="J1366" s="40" t="str">
        <f>IF(Agent07_Savings!A173="","",Agent07_Savings!K173)</f>
        <v/>
      </c>
      <c r="K1366" s="40" t="str">
        <f>IFERROR(IF(Agent07_Savings!A173="","",YEAR(Agent07_Savings!D173)),"")</f>
        <v/>
      </c>
    </row>
    <row r="1367" spans="1:11" ht="18" customHeight="1" x14ac:dyDescent="0.25">
      <c r="A1367" s="40" t="str">
        <f>IF(Agent07_Savings!A174="","",Agent07_Savings!A174)</f>
        <v/>
      </c>
      <c r="B1367" s="40" t="str">
        <f ca="1">IF(Agent07_Savings!A174="","","SV"&amp;TEXT(1367-3,"0000")&amp;"-"&amp;TEXT(TODAY(),"YYYYMMDD"))</f>
        <v/>
      </c>
      <c r="C1367" s="40" t="str">
        <f>IF(Agent07_Savings!A174="","",Agent07_Savings!B174)</f>
        <v/>
      </c>
      <c r="D1367" s="40" t="str">
        <f>IF(Agent07_Savings!A174="","",Agent07_Savings!G174)</f>
        <v/>
      </c>
      <c r="E1367" s="41" t="str">
        <f>IF(Agent07_Savings!A174="","",Agent07_Savings!D174)</f>
        <v/>
      </c>
      <c r="F1367" s="42" t="str">
        <f>IF(Agent07_Savings!A174="","",Agent07_Savings!E174)</f>
        <v/>
      </c>
      <c r="G1367" s="42" t="str">
        <f>IF(Agent07_Savings!A174="","",Agent07_Savings!F174)</f>
        <v/>
      </c>
      <c r="H1367" s="40" t="str">
        <f>IF(Agent07_Savings!A174="","",Agent07_Savings!I174)</f>
        <v/>
      </c>
      <c r="I1367" s="40" t="str">
        <f>IF(Agent07_Savings!A174="","",Agent07_Savings!J174)</f>
        <v/>
      </c>
      <c r="J1367" s="40" t="str">
        <f>IF(Agent07_Savings!A174="","",Agent07_Savings!K174)</f>
        <v/>
      </c>
      <c r="K1367" s="40" t="str">
        <f>IFERROR(IF(Agent07_Savings!A174="","",YEAR(Agent07_Savings!D174)),"")</f>
        <v/>
      </c>
    </row>
    <row r="1368" spans="1:11" ht="18" customHeight="1" x14ac:dyDescent="0.25">
      <c r="A1368" s="40" t="str">
        <f>IF(Agent07_Savings!A175="","",Agent07_Savings!A175)</f>
        <v/>
      </c>
      <c r="B1368" s="40" t="str">
        <f ca="1">IF(Agent07_Savings!A175="","","SV"&amp;TEXT(1368-3,"0000")&amp;"-"&amp;TEXT(TODAY(),"YYYYMMDD"))</f>
        <v/>
      </c>
      <c r="C1368" s="40" t="str">
        <f>IF(Agent07_Savings!A175="","",Agent07_Savings!B175)</f>
        <v/>
      </c>
      <c r="D1368" s="40" t="str">
        <f>IF(Agent07_Savings!A175="","",Agent07_Savings!G175)</f>
        <v/>
      </c>
      <c r="E1368" s="41" t="str">
        <f>IF(Agent07_Savings!A175="","",Agent07_Savings!D175)</f>
        <v/>
      </c>
      <c r="F1368" s="42" t="str">
        <f>IF(Agent07_Savings!A175="","",Agent07_Savings!E175)</f>
        <v/>
      </c>
      <c r="G1368" s="42" t="str">
        <f>IF(Agent07_Savings!A175="","",Agent07_Savings!F175)</f>
        <v/>
      </c>
      <c r="H1368" s="40" t="str">
        <f>IF(Agent07_Savings!A175="","",Agent07_Savings!I175)</f>
        <v/>
      </c>
      <c r="I1368" s="40" t="str">
        <f>IF(Agent07_Savings!A175="","",Agent07_Savings!J175)</f>
        <v/>
      </c>
      <c r="J1368" s="40" t="str">
        <f>IF(Agent07_Savings!A175="","",Agent07_Savings!K175)</f>
        <v/>
      </c>
      <c r="K1368" s="40" t="str">
        <f>IFERROR(IF(Agent07_Savings!A175="","",YEAR(Agent07_Savings!D175)),"")</f>
        <v/>
      </c>
    </row>
    <row r="1369" spans="1:11" ht="18" customHeight="1" x14ac:dyDescent="0.25">
      <c r="A1369" s="40" t="str">
        <f>IF(Agent07_Savings!A176="","",Agent07_Savings!A176)</f>
        <v/>
      </c>
      <c r="B1369" s="40" t="str">
        <f ca="1">IF(Agent07_Savings!A176="","","SV"&amp;TEXT(1369-3,"0000")&amp;"-"&amp;TEXT(TODAY(),"YYYYMMDD"))</f>
        <v/>
      </c>
      <c r="C1369" s="40" t="str">
        <f>IF(Agent07_Savings!A176="","",Agent07_Savings!B176)</f>
        <v/>
      </c>
      <c r="D1369" s="40" t="str">
        <f>IF(Agent07_Savings!A176="","",Agent07_Savings!G176)</f>
        <v/>
      </c>
      <c r="E1369" s="41" t="str">
        <f>IF(Agent07_Savings!A176="","",Agent07_Savings!D176)</f>
        <v/>
      </c>
      <c r="F1369" s="42" t="str">
        <f>IF(Agent07_Savings!A176="","",Agent07_Savings!E176)</f>
        <v/>
      </c>
      <c r="G1369" s="42" t="str">
        <f>IF(Agent07_Savings!A176="","",Agent07_Savings!F176)</f>
        <v/>
      </c>
      <c r="H1369" s="40" t="str">
        <f>IF(Agent07_Savings!A176="","",Agent07_Savings!I176)</f>
        <v/>
      </c>
      <c r="I1369" s="40" t="str">
        <f>IF(Agent07_Savings!A176="","",Agent07_Savings!J176)</f>
        <v/>
      </c>
      <c r="J1369" s="40" t="str">
        <f>IF(Agent07_Savings!A176="","",Agent07_Savings!K176)</f>
        <v/>
      </c>
      <c r="K1369" s="40" t="str">
        <f>IFERROR(IF(Agent07_Savings!A176="","",YEAR(Agent07_Savings!D176)),"")</f>
        <v/>
      </c>
    </row>
    <row r="1370" spans="1:11" ht="18" customHeight="1" x14ac:dyDescent="0.25">
      <c r="A1370" s="40" t="str">
        <f>IF(Agent07_Savings!A177="","",Agent07_Savings!A177)</f>
        <v/>
      </c>
      <c r="B1370" s="40" t="str">
        <f ca="1">IF(Agent07_Savings!A177="","","SV"&amp;TEXT(1370-3,"0000")&amp;"-"&amp;TEXT(TODAY(),"YYYYMMDD"))</f>
        <v/>
      </c>
      <c r="C1370" s="40" t="str">
        <f>IF(Agent07_Savings!A177="","",Agent07_Savings!B177)</f>
        <v/>
      </c>
      <c r="D1370" s="40" t="str">
        <f>IF(Agent07_Savings!A177="","",Agent07_Savings!G177)</f>
        <v/>
      </c>
      <c r="E1370" s="41" t="str">
        <f>IF(Agent07_Savings!A177="","",Agent07_Savings!D177)</f>
        <v/>
      </c>
      <c r="F1370" s="42" t="str">
        <f>IF(Agent07_Savings!A177="","",Agent07_Savings!E177)</f>
        <v/>
      </c>
      <c r="G1370" s="42" t="str">
        <f>IF(Agent07_Savings!A177="","",Agent07_Savings!F177)</f>
        <v/>
      </c>
      <c r="H1370" s="40" t="str">
        <f>IF(Agent07_Savings!A177="","",Agent07_Savings!I177)</f>
        <v/>
      </c>
      <c r="I1370" s="40" t="str">
        <f>IF(Agent07_Savings!A177="","",Agent07_Savings!J177)</f>
        <v/>
      </c>
      <c r="J1370" s="40" t="str">
        <f>IF(Agent07_Savings!A177="","",Agent07_Savings!K177)</f>
        <v/>
      </c>
      <c r="K1370" s="40" t="str">
        <f>IFERROR(IF(Agent07_Savings!A177="","",YEAR(Agent07_Savings!D177)),"")</f>
        <v/>
      </c>
    </row>
    <row r="1371" spans="1:11" ht="18" customHeight="1" x14ac:dyDescent="0.25">
      <c r="A1371" s="40" t="str">
        <f>IF(Agent07_Savings!A178="","",Agent07_Savings!A178)</f>
        <v/>
      </c>
      <c r="B1371" s="40" t="str">
        <f ca="1">IF(Agent07_Savings!A178="","","SV"&amp;TEXT(1371-3,"0000")&amp;"-"&amp;TEXT(TODAY(),"YYYYMMDD"))</f>
        <v/>
      </c>
      <c r="C1371" s="40" t="str">
        <f>IF(Agent07_Savings!A178="","",Agent07_Savings!B178)</f>
        <v/>
      </c>
      <c r="D1371" s="40" t="str">
        <f>IF(Agent07_Savings!A178="","",Agent07_Savings!G178)</f>
        <v/>
      </c>
      <c r="E1371" s="41" t="str">
        <f>IF(Agent07_Savings!A178="","",Agent07_Savings!D178)</f>
        <v/>
      </c>
      <c r="F1371" s="42" t="str">
        <f>IF(Agent07_Savings!A178="","",Agent07_Savings!E178)</f>
        <v/>
      </c>
      <c r="G1371" s="42" t="str">
        <f>IF(Agent07_Savings!A178="","",Agent07_Savings!F178)</f>
        <v/>
      </c>
      <c r="H1371" s="40" t="str">
        <f>IF(Agent07_Savings!A178="","",Agent07_Savings!I178)</f>
        <v/>
      </c>
      <c r="I1371" s="40" t="str">
        <f>IF(Agent07_Savings!A178="","",Agent07_Savings!J178)</f>
        <v/>
      </c>
      <c r="J1371" s="40" t="str">
        <f>IF(Agent07_Savings!A178="","",Agent07_Savings!K178)</f>
        <v/>
      </c>
      <c r="K1371" s="40" t="str">
        <f>IFERROR(IF(Agent07_Savings!A178="","",YEAR(Agent07_Savings!D178)),"")</f>
        <v/>
      </c>
    </row>
    <row r="1372" spans="1:11" ht="18" customHeight="1" x14ac:dyDescent="0.25">
      <c r="A1372" s="40" t="str">
        <f>IF(Agent07_Savings!A179="","",Agent07_Savings!A179)</f>
        <v/>
      </c>
      <c r="B1372" s="40" t="str">
        <f ca="1">IF(Agent07_Savings!A179="","","SV"&amp;TEXT(1372-3,"0000")&amp;"-"&amp;TEXT(TODAY(),"YYYYMMDD"))</f>
        <v/>
      </c>
      <c r="C1372" s="40" t="str">
        <f>IF(Agent07_Savings!A179="","",Agent07_Savings!B179)</f>
        <v/>
      </c>
      <c r="D1372" s="40" t="str">
        <f>IF(Agent07_Savings!A179="","",Agent07_Savings!G179)</f>
        <v/>
      </c>
      <c r="E1372" s="41" t="str">
        <f>IF(Agent07_Savings!A179="","",Agent07_Savings!D179)</f>
        <v/>
      </c>
      <c r="F1372" s="42" t="str">
        <f>IF(Agent07_Savings!A179="","",Agent07_Savings!E179)</f>
        <v/>
      </c>
      <c r="G1372" s="42" t="str">
        <f>IF(Agent07_Savings!A179="","",Agent07_Savings!F179)</f>
        <v/>
      </c>
      <c r="H1372" s="40" t="str">
        <f>IF(Agent07_Savings!A179="","",Agent07_Savings!I179)</f>
        <v/>
      </c>
      <c r="I1372" s="40" t="str">
        <f>IF(Agent07_Savings!A179="","",Agent07_Savings!J179)</f>
        <v/>
      </c>
      <c r="J1372" s="40" t="str">
        <f>IF(Agent07_Savings!A179="","",Agent07_Savings!K179)</f>
        <v/>
      </c>
      <c r="K1372" s="40" t="str">
        <f>IFERROR(IF(Agent07_Savings!A179="","",YEAR(Agent07_Savings!D179)),"")</f>
        <v/>
      </c>
    </row>
    <row r="1373" spans="1:11" ht="18" customHeight="1" x14ac:dyDescent="0.25">
      <c r="A1373" s="40" t="str">
        <f>IF(Agent07_Savings!A180="","",Agent07_Savings!A180)</f>
        <v/>
      </c>
      <c r="B1373" s="40" t="str">
        <f ca="1">IF(Agent07_Savings!A180="","","SV"&amp;TEXT(1373-3,"0000")&amp;"-"&amp;TEXT(TODAY(),"YYYYMMDD"))</f>
        <v/>
      </c>
      <c r="C1373" s="40" t="str">
        <f>IF(Agent07_Savings!A180="","",Agent07_Savings!B180)</f>
        <v/>
      </c>
      <c r="D1373" s="40" t="str">
        <f>IF(Agent07_Savings!A180="","",Agent07_Savings!G180)</f>
        <v/>
      </c>
      <c r="E1373" s="41" t="str">
        <f>IF(Agent07_Savings!A180="","",Agent07_Savings!D180)</f>
        <v/>
      </c>
      <c r="F1373" s="42" t="str">
        <f>IF(Agent07_Savings!A180="","",Agent07_Savings!E180)</f>
        <v/>
      </c>
      <c r="G1373" s="42" t="str">
        <f>IF(Agent07_Savings!A180="","",Agent07_Savings!F180)</f>
        <v/>
      </c>
      <c r="H1373" s="40" t="str">
        <f>IF(Agent07_Savings!A180="","",Agent07_Savings!I180)</f>
        <v/>
      </c>
      <c r="I1373" s="40" t="str">
        <f>IF(Agent07_Savings!A180="","",Agent07_Savings!J180)</f>
        <v/>
      </c>
      <c r="J1373" s="40" t="str">
        <f>IF(Agent07_Savings!A180="","",Agent07_Savings!K180)</f>
        <v/>
      </c>
      <c r="K1373" s="40" t="str">
        <f>IFERROR(IF(Agent07_Savings!A180="","",YEAR(Agent07_Savings!D180)),"")</f>
        <v/>
      </c>
    </row>
    <row r="1374" spans="1:11" ht="18" customHeight="1" x14ac:dyDescent="0.25">
      <c r="A1374" s="40" t="str">
        <f>IF(Agent07_Savings!A181="","",Agent07_Savings!A181)</f>
        <v/>
      </c>
      <c r="B1374" s="40" t="str">
        <f ca="1">IF(Agent07_Savings!A181="","","SV"&amp;TEXT(1374-3,"0000")&amp;"-"&amp;TEXT(TODAY(),"YYYYMMDD"))</f>
        <v/>
      </c>
      <c r="C1374" s="40" t="str">
        <f>IF(Agent07_Savings!A181="","",Agent07_Savings!B181)</f>
        <v/>
      </c>
      <c r="D1374" s="40" t="str">
        <f>IF(Agent07_Savings!A181="","",Agent07_Savings!G181)</f>
        <v/>
      </c>
      <c r="E1374" s="41" t="str">
        <f>IF(Agent07_Savings!A181="","",Agent07_Savings!D181)</f>
        <v/>
      </c>
      <c r="F1374" s="42" t="str">
        <f>IF(Agent07_Savings!A181="","",Agent07_Savings!E181)</f>
        <v/>
      </c>
      <c r="G1374" s="42" t="str">
        <f>IF(Agent07_Savings!A181="","",Agent07_Savings!F181)</f>
        <v/>
      </c>
      <c r="H1374" s="40" t="str">
        <f>IF(Agent07_Savings!A181="","",Agent07_Savings!I181)</f>
        <v/>
      </c>
      <c r="I1374" s="40" t="str">
        <f>IF(Agent07_Savings!A181="","",Agent07_Savings!J181)</f>
        <v/>
      </c>
      <c r="J1374" s="40" t="str">
        <f>IF(Agent07_Savings!A181="","",Agent07_Savings!K181)</f>
        <v/>
      </c>
      <c r="K1374" s="40" t="str">
        <f>IFERROR(IF(Agent07_Savings!A181="","",YEAR(Agent07_Savings!D181)),"")</f>
        <v/>
      </c>
    </row>
    <row r="1375" spans="1:11" ht="18" customHeight="1" x14ac:dyDescent="0.25">
      <c r="A1375" s="40" t="str">
        <f>IF(Agent07_Savings!A182="","",Agent07_Savings!A182)</f>
        <v/>
      </c>
      <c r="B1375" s="40" t="str">
        <f ca="1">IF(Agent07_Savings!A182="","","SV"&amp;TEXT(1375-3,"0000")&amp;"-"&amp;TEXT(TODAY(),"YYYYMMDD"))</f>
        <v/>
      </c>
      <c r="C1375" s="40" t="str">
        <f>IF(Agent07_Savings!A182="","",Agent07_Savings!B182)</f>
        <v/>
      </c>
      <c r="D1375" s="40" t="str">
        <f>IF(Agent07_Savings!A182="","",Agent07_Savings!G182)</f>
        <v/>
      </c>
      <c r="E1375" s="41" t="str">
        <f>IF(Agent07_Savings!A182="","",Agent07_Savings!D182)</f>
        <v/>
      </c>
      <c r="F1375" s="42" t="str">
        <f>IF(Agent07_Savings!A182="","",Agent07_Savings!E182)</f>
        <v/>
      </c>
      <c r="G1375" s="42" t="str">
        <f>IF(Agent07_Savings!A182="","",Agent07_Savings!F182)</f>
        <v/>
      </c>
      <c r="H1375" s="40" t="str">
        <f>IF(Agent07_Savings!A182="","",Agent07_Savings!I182)</f>
        <v/>
      </c>
      <c r="I1375" s="40" t="str">
        <f>IF(Agent07_Savings!A182="","",Agent07_Savings!J182)</f>
        <v/>
      </c>
      <c r="J1375" s="40" t="str">
        <f>IF(Agent07_Savings!A182="","",Agent07_Savings!K182)</f>
        <v/>
      </c>
      <c r="K1375" s="40" t="str">
        <f>IFERROR(IF(Agent07_Savings!A182="","",YEAR(Agent07_Savings!D182)),"")</f>
        <v/>
      </c>
    </row>
    <row r="1376" spans="1:11" ht="18" customHeight="1" x14ac:dyDescent="0.25">
      <c r="A1376" s="40" t="str">
        <f>IF(Agent07_Savings!A183="","",Agent07_Savings!A183)</f>
        <v/>
      </c>
      <c r="B1376" s="40" t="str">
        <f ca="1">IF(Agent07_Savings!A183="","","SV"&amp;TEXT(1376-3,"0000")&amp;"-"&amp;TEXT(TODAY(),"YYYYMMDD"))</f>
        <v/>
      </c>
      <c r="C1376" s="40" t="str">
        <f>IF(Agent07_Savings!A183="","",Agent07_Savings!B183)</f>
        <v/>
      </c>
      <c r="D1376" s="40" t="str">
        <f>IF(Agent07_Savings!A183="","",Agent07_Savings!G183)</f>
        <v/>
      </c>
      <c r="E1376" s="41" t="str">
        <f>IF(Agent07_Savings!A183="","",Agent07_Savings!D183)</f>
        <v/>
      </c>
      <c r="F1376" s="42" t="str">
        <f>IF(Agent07_Savings!A183="","",Agent07_Savings!E183)</f>
        <v/>
      </c>
      <c r="G1376" s="42" t="str">
        <f>IF(Agent07_Savings!A183="","",Agent07_Savings!F183)</f>
        <v/>
      </c>
      <c r="H1376" s="40" t="str">
        <f>IF(Agent07_Savings!A183="","",Agent07_Savings!I183)</f>
        <v/>
      </c>
      <c r="I1376" s="40" t="str">
        <f>IF(Agent07_Savings!A183="","",Agent07_Savings!J183)</f>
        <v/>
      </c>
      <c r="J1376" s="40" t="str">
        <f>IF(Agent07_Savings!A183="","",Agent07_Savings!K183)</f>
        <v/>
      </c>
      <c r="K1376" s="40" t="str">
        <f>IFERROR(IF(Agent07_Savings!A183="","",YEAR(Agent07_Savings!D183)),"")</f>
        <v/>
      </c>
    </row>
    <row r="1377" spans="1:11" ht="18" customHeight="1" x14ac:dyDescent="0.25">
      <c r="A1377" s="40" t="str">
        <f>IF(Agent07_Savings!A184="","",Agent07_Savings!A184)</f>
        <v/>
      </c>
      <c r="B1377" s="40" t="str">
        <f ca="1">IF(Agent07_Savings!A184="","","SV"&amp;TEXT(1377-3,"0000")&amp;"-"&amp;TEXT(TODAY(),"YYYYMMDD"))</f>
        <v/>
      </c>
      <c r="C1377" s="40" t="str">
        <f>IF(Agent07_Savings!A184="","",Agent07_Savings!B184)</f>
        <v/>
      </c>
      <c r="D1377" s="40" t="str">
        <f>IF(Agent07_Savings!A184="","",Agent07_Savings!G184)</f>
        <v/>
      </c>
      <c r="E1377" s="41" t="str">
        <f>IF(Agent07_Savings!A184="","",Agent07_Savings!D184)</f>
        <v/>
      </c>
      <c r="F1377" s="42" t="str">
        <f>IF(Agent07_Savings!A184="","",Agent07_Savings!E184)</f>
        <v/>
      </c>
      <c r="G1377" s="42" t="str">
        <f>IF(Agent07_Savings!A184="","",Agent07_Savings!F184)</f>
        <v/>
      </c>
      <c r="H1377" s="40" t="str">
        <f>IF(Agent07_Savings!A184="","",Agent07_Savings!I184)</f>
        <v/>
      </c>
      <c r="I1377" s="40" t="str">
        <f>IF(Agent07_Savings!A184="","",Agent07_Savings!J184)</f>
        <v/>
      </c>
      <c r="J1377" s="40" t="str">
        <f>IF(Agent07_Savings!A184="","",Agent07_Savings!K184)</f>
        <v/>
      </c>
      <c r="K1377" s="40" t="str">
        <f>IFERROR(IF(Agent07_Savings!A184="","",YEAR(Agent07_Savings!D184)),"")</f>
        <v/>
      </c>
    </row>
    <row r="1378" spans="1:11" ht="18" customHeight="1" x14ac:dyDescent="0.25">
      <c r="A1378" s="40" t="str">
        <f>IF(Agent07_Savings!A185="","",Agent07_Savings!A185)</f>
        <v/>
      </c>
      <c r="B1378" s="40" t="str">
        <f ca="1">IF(Agent07_Savings!A185="","","SV"&amp;TEXT(1378-3,"0000")&amp;"-"&amp;TEXT(TODAY(),"YYYYMMDD"))</f>
        <v/>
      </c>
      <c r="C1378" s="40" t="str">
        <f>IF(Agent07_Savings!A185="","",Agent07_Savings!B185)</f>
        <v/>
      </c>
      <c r="D1378" s="40" t="str">
        <f>IF(Agent07_Savings!A185="","",Agent07_Savings!G185)</f>
        <v/>
      </c>
      <c r="E1378" s="41" t="str">
        <f>IF(Agent07_Savings!A185="","",Agent07_Savings!D185)</f>
        <v/>
      </c>
      <c r="F1378" s="42" t="str">
        <f>IF(Agent07_Savings!A185="","",Agent07_Savings!E185)</f>
        <v/>
      </c>
      <c r="G1378" s="42" t="str">
        <f>IF(Agent07_Savings!A185="","",Agent07_Savings!F185)</f>
        <v/>
      </c>
      <c r="H1378" s="40" t="str">
        <f>IF(Agent07_Savings!A185="","",Agent07_Savings!I185)</f>
        <v/>
      </c>
      <c r="I1378" s="40" t="str">
        <f>IF(Agent07_Savings!A185="","",Agent07_Savings!J185)</f>
        <v/>
      </c>
      <c r="J1378" s="40" t="str">
        <f>IF(Agent07_Savings!A185="","",Agent07_Savings!K185)</f>
        <v/>
      </c>
      <c r="K1378" s="40" t="str">
        <f>IFERROR(IF(Agent07_Savings!A185="","",YEAR(Agent07_Savings!D185)),"")</f>
        <v/>
      </c>
    </row>
    <row r="1379" spans="1:11" ht="18" customHeight="1" x14ac:dyDescent="0.25">
      <c r="A1379" s="40" t="str">
        <f>IF(Agent07_Savings!A186="","",Agent07_Savings!A186)</f>
        <v/>
      </c>
      <c r="B1379" s="40" t="str">
        <f ca="1">IF(Agent07_Savings!A186="","","SV"&amp;TEXT(1379-3,"0000")&amp;"-"&amp;TEXT(TODAY(),"YYYYMMDD"))</f>
        <v/>
      </c>
      <c r="C1379" s="40" t="str">
        <f>IF(Agent07_Savings!A186="","",Agent07_Savings!B186)</f>
        <v/>
      </c>
      <c r="D1379" s="40" t="str">
        <f>IF(Agent07_Savings!A186="","",Agent07_Savings!G186)</f>
        <v/>
      </c>
      <c r="E1379" s="41" t="str">
        <f>IF(Agent07_Savings!A186="","",Agent07_Savings!D186)</f>
        <v/>
      </c>
      <c r="F1379" s="42" t="str">
        <f>IF(Agent07_Savings!A186="","",Agent07_Savings!E186)</f>
        <v/>
      </c>
      <c r="G1379" s="42" t="str">
        <f>IF(Agent07_Savings!A186="","",Agent07_Savings!F186)</f>
        <v/>
      </c>
      <c r="H1379" s="40" t="str">
        <f>IF(Agent07_Savings!A186="","",Agent07_Savings!I186)</f>
        <v/>
      </c>
      <c r="I1379" s="40" t="str">
        <f>IF(Agent07_Savings!A186="","",Agent07_Savings!J186)</f>
        <v/>
      </c>
      <c r="J1379" s="40" t="str">
        <f>IF(Agent07_Savings!A186="","",Agent07_Savings!K186)</f>
        <v/>
      </c>
      <c r="K1379" s="40" t="str">
        <f>IFERROR(IF(Agent07_Savings!A186="","",YEAR(Agent07_Savings!D186)),"")</f>
        <v/>
      </c>
    </row>
    <row r="1380" spans="1:11" ht="18" customHeight="1" x14ac:dyDescent="0.25">
      <c r="A1380" s="40" t="str">
        <f>IF(Agent07_Savings!A187="","",Agent07_Savings!A187)</f>
        <v/>
      </c>
      <c r="B1380" s="40" t="str">
        <f ca="1">IF(Agent07_Savings!A187="","","SV"&amp;TEXT(1380-3,"0000")&amp;"-"&amp;TEXT(TODAY(),"YYYYMMDD"))</f>
        <v/>
      </c>
      <c r="C1380" s="40" t="str">
        <f>IF(Agent07_Savings!A187="","",Agent07_Savings!B187)</f>
        <v/>
      </c>
      <c r="D1380" s="40" t="str">
        <f>IF(Agent07_Savings!A187="","",Agent07_Savings!G187)</f>
        <v/>
      </c>
      <c r="E1380" s="41" t="str">
        <f>IF(Agent07_Savings!A187="","",Agent07_Savings!D187)</f>
        <v/>
      </c>
      <c r="F1380" s="42" t="str">
        <f>IF(Agent07_Savings!A187="","",Agent07_Savings!E187)</f>
        <v/>
      </c>
      <c r="G1380" s="42" t="str">
        <f>IF(Agent07_Savings!A187="","",Agent07_Savings!F187)</f>
        <v/>
      </c>
      <c r="H1380" s="40" t="str">
        <f>IF(Agent07_Savings!A187="","",Agent07_Savings!I187)</f>
        <v/>
      </c>
      <c r="I1380" s="40" t="str">
        <f>IF(Agent07_Savings!A187="","",Agent07_Savings!J187)</f>
        <v/>
      </c>
      <c r="J1380" s="40" t="str">
        <f>IF(Agent07_Savings!A187="","",Agent07_Savings!K187)</f>
        <v/>
      </c>
      <c r="K1380" s="40" t="str">
        <f>IFERROR(IF(Agent07_Savings!A187="","",YEAR(Agent07_Savings!D187)),"")</f>
        <v/>
      </c>
    </row>
    <row r="1381" spans="1:11" ht="18" customHeight="1" x14ac:dyDescent="0.25">
      <c r="A1381" s="40" t="str">
        <f>IF(Agent07_Savings!A188="","",Agent07_Savings!A188)</f>
        <v/>
      </c>
      <c r="B1381" s="40" t="str">
        <f ca="1">IF(Agent07_Savings!A188="","","SV"&amp;TEXT(1381-3,"0000")&amp;"-"&amp;TEXT(TODAY(),"YYYYMMDD"))</f>
        <v/>
      </c>
      <c r="C1381" s="40" t="str">
        <f>IF(Agent07_Savings!A188="","",Agent07_Savings!B188)</f>
        <v/>
      </c>
      <c r="D1381" s="40" t="str">
        <f>IF(Agent07_Savings!A188="","",Agent07_Savings!G188)</f>
        <v/>
      </c>
      <c r="E1381" s="41" t="str">
        <f>IF(Agent07_Savings!A188="","",Agent07_Savings!D188)</f>
        <v/>
      </c>
      <c r="F1381" s="42" t="str">
        <f>IF(Agent07_Savings!A188="","",Agent07_Savings!E188)</f>
        <v/>
      </c>
      <c r="G1381" s="42" t="str">
        <f>IF(Agent07_Savings!A188="","",Agent07_Savings!F188)</f>
        <v/>
      </c>
      <c r="H1381" s="40" t="str">
        <f>IF(Agent07_Savings!A188="","",Agent07_Savings!I188)</f>
        <v/>
      </c>
      <c r="I1381" s="40" t="str">
        <f>IF(Agent07_Savings!A188="","",Agent07_Savings!J188)</f>
        <v/>
      </c>
      <c r="J1381" s="40" t="str">
        <f>IF(Agent07_Savings!A188="","",Agent07_Savings!K188)</f>
        <v/>
      </c>
      <c r="K1381" s="40" t="str">
        <f>IFERROR(IF(Agent07_Savings!A188="","",YEAR(Agent07_Savings!D188)),"")</f>
        <v/>
      </c>
    </row>
    <row r="1382" spans="1:11" ht="18" customHeight="1" x14ac:dyDescent="0.25">
      <c r="A1382" s="40" t="str">
        <f>IF(Agent07_Savings!A189="","",Agent07_Savings!A189)</f>
        <v/>
      </c>
      <c r="B1382" s="40" t="str">
        <f ca="1">IF(Agent07_Savings!A189="","","SV"&amp;TEXT(1382-3,"0000")&amp;"-"&amp;TEXT(TODAY(),"YYYYMMDD"))</f>
        <v/>
      </c>
      <c r="C1382" s="40" t="str">
        <f>IF(Agent07_Savings!A189="","",Agent07_Savings!B189)</f>
        <v/>
      </c>
      <c r="D1382" s="40" t="str">
        <f>IF(Agent07_Savings!A189="","",Agent07_Savings!G189)</f>
        <v/>
      </c>
      <c r="E1382" s="41" t="str">
        <f>IF(Agent07_Savings!A189="","",Agent07_Savings!D189)</f>
        <v/>
      </c>
      <c r="F1382" s="42" t="str">
        <f>IF(Agent07_Savings!A189="","",Agent07_Savings!E189)</f>
        <v/>
      </c>
      <c r="G1382" s="42" t="str">
        <f>IF(Agent07_Savings!A189="","",Agent07_Savings!F189)</f>
        <v/>
      </c>
      <c r="H1382" s="40" t="str">
        <f>IF(Agent07_Savings!A189="","",Agent07_Savings!I189)</f>
        <v/>
      </c>
      <c r="I1382" s="40" t="str">
        <f>IF(Agent07_Savings!A189="","",Agent07_Savings!J189)</f>
        <v/>
      </c>
      <c r="J1382" s="40" t="str">
        <f>IF(Agent07_Savings!A189="","",Agent07_Savings!K189)</f>
        <v/>
      </c>
      <c r="K1382" s="40" t="str">
        <f>IFERROR(IF(Agent07_Savings!A189="","",YEAR(Agent07_Savings!D189)),"")</f>
        <v/>
      </c>
    </row>
    <row r="1383" spans="1:11" ht="18" customHeight="1" x14ac:dyDescent="0.25">
      <c r="A1383" s="40" t="str">
        <f>IF(Agent07_Savings!A190="","",Agent07_Savings!A190)</f>
        <v/>
      </c>
      <c r="B1383" s="40" t="str">
        <f ca="1">IF(Agent07_Savings!A190="","","SV"&amp;TEXT(1383-3,"0000")&amp;"-"&amp;TEXT(TODAY(),"YYYYMMDD"))</f>
        <v/>
      </c>
      <c r="C1383" s="40" t="str">
        <f>IF(Agent07_Savings!A190="","",Agent07_Savings!B190)</f>
        <v/>
      </c>
      <c r="D1383" s="40" t="str">
        <f>IF(Agent07_Savings!A190="","",Agent07_Savings!G190)</f>
        <v/>
      </c>
      <c r="E1383" s="41" t="str">
        <f>IF(Agent07_Savings!A190="","",Agent07_Savings!D190)</f>
        <v/>
      </c>
      <c r="F1383" s="42" t="str">
        <f>IF(Agent07_Savings!A190="","",Agent07_Savings!E190)</f>
        <v/>
      </c>
      <c r="G1383" s="42" t="str">
        <f>IF(Agent07_Savings!A190="","",Agent07_Savings!F190)</f>
        <v/>
      </c>
      <c r="H1383" s="40" t="str">
        <f>IF(Agent07_Savings!A190="","",Agent07_Savings!I190)</f>
        <v/>
      </c>
      <c r="I1383" s="40" t="str">
        <f>IF(Agent07_Savings!A190="","",Agent07_Savings!J190)</f>
        <v/>
      </c>
      <c r="J1383" s="40" t="str">
        <f>IF(Agent07_Savings!A190="","",Agent07_Savings!K190)</f>
        <v/>
      </c>
      <c r="K1383" s="40" t="str">
        <f>IFERROR(IF(Agent07_Savings!A190="","",YEAR(Agent07_Savings!D190)),"")</f>
        <v/>
      </c>
    </row>
    <row r="1384" spans="1:11" ht="18" customHeight="1" x14ac:dyDescent="0.25">
      <c r="A1384" s="40" t="str">
        <f>IF(Agent07_Savings!A191="","",Agent07_Savings!A191)</f>
        <v/>
      </c>
      <c r="B1384" s="40" t="str">
        <f ca="1">IF(Agent07_Savings!A191="","","SV"&amp;TEXT(1384-3,"0000")&amp;"-"&amp;TEXT(TODAY(),"YYYYMMDD"))</f>
        <v/>
      </c>
      <c r="C1384" s="40" t="str">
        <f>IF(Agent07_Savings!A191="","",Agent07_Savings!B191)</f>
        <v/>
      </c>
      <c r="D1384" s="40" t="str">
        <f>IF(Agent07_Savings!A191="","",Agent07_Savings!G191)</f>
        <v/>
      </c>
      <c r="E1384" s="41" t="str">
        <f>IF(Agent07_Savings!A191="","",Agent07_Savings!D191)</f>
        <v/>
      </c>
      <c r="F1384" s="42" t="str">
        <f>IF(Agent07_Savings!A191="","",Agent07_Savings!E191)</f>
        <v/>
      </c>
      <c r="G1384" s="42" t="str">
        <f>IF(Agent07_Savings!A191="","",Agent07_Savings!F191)</f>
        <v/>
      </c>
      <c r="H1384" s="40" t="str">
        <f>IF(Agent07_Savings!A191="","",Agent07_Savings!I191)</f>
        <v/>
      </c>
      <c r="I1384" s="40" t="str">
        <f>IF(Agent07_Savings!A191="","",Agent07_Savings!J191)</f>
        <v/>
      </c>
      <c r="J1384" s="40" t="str">
        <f>IF(Agent07_Savings!A191="","",Agent07_Savings!K191)</f>
        <v/>
      </c>
      <c r="K1384" s="40" t="str">
        <f>IFERROR(IF(Agent07_Savings!A191="","",YEAR(Agent07_Savings!D191)),"")</f>
        <v/>
      </c>
    </row>
    <row r="1385" spans="1:11" ht="18" customHeight="1" x14ac:dyDescent="0.25">
      <c r="A1385" s="40" t="str">
        <f>IF(Agent07_Savings!A192="","",Agent07_Savings!A192)</f>
        <v/>
      </c>
      <c r="B1385" s="40" t="str">
        <f ca="1">IF(Agent07_Savings!A192="","","SV"&amp;TEXT(1385-3,"0000")&amp;"-"&amp;TEXT(TODAY(),"YYYYMMDD"))</f>
        <v/>
      </c>
      <c r="C1385" s="40" t="str">
        <f>IF(Agent07_Savings!A192="","",Agent07_Savings!B192)</f>
        <v/>
      </c>
      <c r="D1385" s="40" t="str">
        <f>IF(Agent07_Savings!A192="","",Agent07_Savings!G192)</f>
        <v/>
      </c>
      <c r="E1385" s="41" t="str">
        <f>IF(Agent07_Savings!A192="","",Agent07_Savings!D192)</f>
        <v/>
      </c>
      <c r="F1385" s="42" t="str">
        <f>IF(Agent07_Savings!A192="","",Agent07_Savings!E192)</f>
        <v/>
      </c>
      <c r="G1385" s="42" t="str">
        <f>IF(Agent07_Savings!A192="","",Agent07_Savings!F192)</f>
        <v/>
      </c>
      <c r="H1385" s="40" t="str">
        <f>IF(Agent07_Savings!A192="","",Agent07_Savings!I192)</f>
        <v/>
      </c>
      <c r="I1385" s="40" t="str">
        <f>IF(Agent07_Savings!A192="","",Agent07_Savings!J192)</f>
        <v/>
      </c>
      <c r="J1385" s="40" t="str">
        <f>IF(Agent07_Savings!A192="","",Agent07_Savings!K192)</f>
        <v/>
      </c>
      <c r="K1385" s="40" t="str">
        <f>IFERROR(IF(Agent07_Savings!A192="","",YEAR(Agent07_Savings!D192)),"")</f>
        <v/>
      </c>
    </row>
    <row r="1386" spans="1:11" ht="18" customHeight="1" x14ac:dyDescent="0.25">
      <c r="A1386" s="40" t="str">
        <f>IF(Agent07_Savings!A193="","",Agent07_Savings!A193)</f>
        <v/>
      </c>
      <c r="B1386" s="40" t="str">
        <f ca="1">IF(Agent07_Savings!A193="","","SV"&amp;TEXT(1386-3,"0000")&amp;"-"&amp;TEXT(TODAY(),"YYYYMMDD"))</f>
        <v/>
      </c>
      <c r="C1386" s="40" t="str">
        <f>IF(Agent07_Savings!A193="","",Agent07_Savings!B193)</f>
        <v/>
      </c>
      <c r="D1386" s="40" t="str">
        <f>IF(Agent07_Savings!A193="","",Agent07_Savings!G193)</f>
        <v/>
      </c>
      <c r="E1386" s="41" t="str">
        <f>IF(Agent07_Savings!A193="","",Agent07_Savings!D193)</f>
        <v/>
      </c>
      <c r="F1386" s="42" t="str">
        <f>IF(Agent07_Savings!A193="","",Agent07_Savings!E193)</f>
        <v/>
      </c>
      <c r="G1386" s="42" t="str">
        <f>IF(Agent07_Savings!A193="","",Agent07_Savings!F193)</f>
        <v/>
      </c>
      <c r="H1386" s="40" t="str">
        <f>IF(Agent07_Savings!A193="","",Agent07_Savings!I193)</f>
        <v/>
      </c>
      <c r="I1386" s="40" t="str">
        <f>IF(Agent07_Savings!A193="","",Agent07_Savings!J193)</f>
        <v/>
      </c>
      <c r="J1386" s="40" t="str">
        <f>IF(Agent07_Savings!A193="","",Agent07_Savings!K193)</f>
        <v/>
      </c>
      <c r="K1386" s="40" t="str">
        <f>IFERROR(IF(Agent07_Savings!A193="","",YEAR(Agent07_Savings!D193)),"")</f>
        <v/>
      </c>
    </row>
    <row r="1387" spans="1:11" ht="18" customHeight="1" x14ac:dyDescent="0.25">
      <c r="A1387" s="40" t="str">
        <f>IF(Agent07_Savings!A194="","",Agent07_Savings!A194)</f>
        <v/>
      </c>
      <c r="B1387" s="40" t="str">
        <f ca="1">IF(Agent07_Savings!A194="","","SV"&amp;TEXT(1387-3,"0000")&amp;"-"&amp;TEXT(TODAY(),"YYYYMMDD"))</f>
        <v/>
      </c>
      <c r="C1387" s="40" t="str">
        <f>IF(Agent07_Savings!A194="","",Agent07_Savings!B194)</f>
        <v/>
      </c>
      <c r="D1387" s="40" t="str">
        <f>IF(Agent07_Savings!A194="","",Agent07_Savings!G194)</f>
        <v/>
      </c>
      <c r="E1387" s="41" t="str">
        <f>IF(Agent07_Savings!A194="","",Agent07_Savings!D194)</f>
        <v/>
      </c>
      <c r="F1387" s="42" t="str">
        <f>IF(Agent07_Savings!A194="","",Agent07_Savings!E194)</f>
        <v/>
      </c>
      <c r="G1387" s="42" t="str">
        <f>IF(Agent07_Savings!A194="","",Agent07_Savings!F194)</f>
        <v/>
      </c>
      <c r="H1387" s="40" t="str">
        <f>IF(Agent07_Savings!A194="","",Agent07_Savings!I194)</f>
        <v/>
      </c>
      <c r="I1387" s="40" t="str">
        <f>IF(Agent07_Savings!A194="","",Agent07_Savings!J194)</f>
        <v/>
      </c>
      <c r="J1387" s="40" t="str">
        <f>IF(Agent07_Savings!A194="","",Agent07_Savings!K194)</f>
        <v/>
      </c>
      <c r="K1387" s="40" t="str">
        <f>IFERROR(IF(Agent07_Savings!A194="","",YEAR(Agent07_Savings!D194)),"")</f>
        <v/>
      </c>
    </row>
    <row r="1388" spans="1:11" ht="18" customHeight="1" x14ac:dyDescent="0.25">
      <c r="A1388" s="40" t="str">
        <f>IF(Agent07_Savings!A195="","",Agent07_Savings!A195)</f>
        <v/>
      </c>
      <c r="B1388" s="40" t="str">
        <f ca="1">IF(Agent07_Savings!A195="","","SV"&amp;TEXT(1388-3,"0000")&amp;"-"&amp;TEXT(TODAY(),"YYYYMMDD"))</f>
        <v/>
      </c>
      <c r="C1388" s="40" t="str">
        <f>IF(Agent07_Savings!A195="","",Agent07_Savings!B195)</f>
        <v/>
      </c>
      <c r="D1388" s="40" t="str">
        <f>IF(Agent07_Savings!A195="","",Agent07_Savings!G195)</f>
        <v/>
      </c>
      <c r="E1388" s="41" t="str">
        <f>IF(Agent07_Savings!A195="","",Agent07_Savings!D195)</f>
        <v/>
      </c>
      <c r="F1388" s="42" t="str">
        <f>IF(Agent07_Savings!A195="","",Agent07_Savings!E195)</f>
        <v/>
      </c>
      <c r="G1388" s="42" t="str">
        <f>IF(Agent07_Savings!A195="","",Agent07_Savings!F195)</f>
        <v/>
      </c>
      <c r="H1388" s="40" t="str">
        <f>IF(Agent07_Savings!A195="","",Agent07_Savings!I195)</f>
        <v/>
      </c>
      <c r="I1388" s="40" t="str">
        <f>IF(Agent07_Savings!A195="","",Agent07_Savings!J195)</f>
        <v/>
      </c>
      <c r="J1388" s="40" t="str">
        <f>IF(Agent07_Savings!A195="","",Agent07_Savings!K195)</f>
        <v/>
      </c>
      <c r="K1388" s="40" t="str">
        <f>IFERROR(IF(Agent07_Savings!A195="","",YEAR(Agent07_Savings!D195)),"")</f>
        <v/>
      </c>
    </row>
    <row r="1389" spans="1:11" ht="18" customHeight="1" x14ac:dyDescent="0.25">
      <c r="A1389" s="40" t="str">
        <f>IF(Agent07_Savings!A196="","",Agent07_Savings!A196)</f>
        <v/>
      </c>
      <c r="B1389" s="40" t="str">
        <f ca="1">IF(Agent07_Savings!A196="","","SV"&amp;TEXT(1389-3,"0000")&amp;"-"&amp;TEXT(TODAY(),"YYYYMMDD"))</f>
        <v/>
      </c>
      <c r="C1389" s="40" t="str">
        <f>IF(Agent07_Savings!A196="","",Agent07_Savings!B196)</f>
        <v/>
      </c>
      <c r="D1389" s="40" t="str">
        <f>IF(Agent07_Savings!A196="","",Agent07_Savings!G196)</f>
        <v/>
      </c>
      <c r="E1389" s="41" t="str">
        <f>IF(Agent07_Savings!A196="","",Agent07_Savings!D196)</f>
        <v/>
      </c>
      <c r="F1389" s="42" t="str">
        <f>IF(Agent07_Savings!A196="","",Agent07_Savings!E196)</f>
        <v/>
      </c>
      <c r="G1389" s="42" t="str">
        <f>IF(Agent07_Savings!A196="","",Agent07_Savings!F196)</f>
        <v/>
      </c>
      <c r="H1389" s="40" t="str">
        <f>IF(Agent07_Savings!A196="","",Agent07_Savings!I196)</f>
        <v/>
      </c>
      <c r="I1389" s="40" t="str">
        <f>IF(Agent07_Savings!A196="","",Agent07_Savings!J196)</f>
        <v/>
      </c>
      <c r="J1389" s="40" t="str">
        <f>IF(Agent07_Savings!A196="","",Agent07_Savings!K196)</f>
        <v/>
      </c>
      <c r="K1389" s="40" t="str">
        <f>IFERROR(IF(Agent07_Savings!A196="","",YEAR(Agent07_Savings!D196)),"")</f>
        <v/>
      </c>
    </row>
    <row r="1390" spans="1:11" ht="18" customHeight="1" x14ac:dyDescent="0.25">
      <c r="A1390" s="40" t="str">
        <f>IF(Agent07_Savings!A197="","",Agent07_Savings!A197)</f>
        <v/>
      </c>
      <c r="B1390" s="40" t="str">
        <f ca="1">IF(Agent07_Savings!A197="","","SV"&amp;TEXT(1390-3,"0000")&amp;"-"&amp;TEXT(TODAY(),"YYYYMMDD"))</f>
        <v/>
      </c>
      <c r="C1390" s="40" t="str">
        <f>IF(Agent07_Savings!A197="","",Agent07_Savings!B197)</f>
        <v/>
      </c>
      <c r="D1390" s="40" t="str">
        <f>IF(Agent07_Savings!A197="","",Agent07_Savings!G197)</f>
        <v/>
      </c>
      <c r="E1390" s="41" t="str">
        <f>IF(Agent07_Savings!A197="","",Agent07_Savings!D197)</f>
        <v/>
      </c>
      <c r="F1390" s="42" t="str">
        <f>IF(Agent07_Savings!A197="","",Agent07_Savings!E197)</f>
        <v/>
      </c>
      <c r="G1390" s="42" t="str">
        <f>IF(Agent07_Savings!A197="","",Agent07_Savings!F197)</f>
        <v/>
      </c>
      <c r="H1390" s="40" t="str">
        <f>IF(Agent07_Savings!A197="","",Agent07_Savings!I197)</f>
        <v/>
      </c>
      <c r="I1390" s="40" t="str">
        <f>IF(Agent07_Savings!A197="","",Agent07_Savings!J197)</f>
        <v/>
      </c>
      <c r="J1390" s="40" t="str">
        <f>IF(Agent07_Savings!A197="","",Agent07_Savings!K197)</f>
        <v/>
      </c>
      <c r="K1390" s="40" t="str">
        <f>IFERROR(IF(Agent07_Savings!A197="","",YEAR(Agent07_Savings!D197)),"")</f>
        <v/>
      </c>
    </row>
    <row r="1391" spans="1:11" ht="18" customHeight="1" x14ac:dyDescent="0.25">
      <c r="A1391" s="40" t="str">
        <f>IF(Agent07_Savings!A198="","",Agent07_Savings!A198)</f>
        <v/>
      </c>
      <c r="B1391" s="40" t="str">
        <f ca="1">IF(Agent07_Savings!A198="","","SV"&amp;TEXT(1391-3,"0000")&amp;"-"&amp;TEXT(TODAY(),"YYYYMMDD"))</f>
        <v/>
      </c>
      <c r="C1391" s="40" t="str">
        <f>IF(Agent07_Savings!A198="","",Agent07_Savings!B198)</f>
        <v/>
      </c>
      <c r="D1391" s="40" t="str">
        <f>IF(Agent07_Savings!A198="","",Agent07_Savings!G198)</f>
        <v/>
      </c>
      <c r="E1391" s="41" t="str">
        <f>IF(Agent07_Savings!A198="","",Agent07_Savings!D198)</f>
        <v/>
      </c>
      <c r="F1391" s="42" t="str">
        <f>IF(Agent07_Savings!A198="","",Agent07_Savings!E198)</f>
        <v/>
      </c>
      <c r="G1391" s="42" t="str">
        <f>IF(Agent07_Savings!A198="","",Agent07_Savings!F198)</f>
        <v/>
      </c>
      <c r="H1391" s="40" t="str">
        <f>IF(Agent07_Savings!A198="","",Agent07_Savings!I198)</f>
        <v/>
      </c>
      <c r="I1391" s="40" t="str">
        <f>IF(Agent07_Savings!A198="","",Agent07_Savings!J198)</f>
        <v/>
      </c>
      <c r="J1391" s="40" t="str">
        <f>IF(Agent07_Savings!A198="","",Agent07_Savings!K198)</f>
        <v/>
      </c>
      <c r="K1391" s="40" t="str">
        <f>IFERROR(IF(Agent07_Savings!A198="","",YEAR(Agent07_Savings!D198)),"")</f>
        <v/>
      </c>
    </row>
    <row r="1392" spans="1:11" ht="18" customHeight="1" x14ac:dyDescent="0.25">
      <c r="A1392" s="40" t="str">
        <f>IF(Agent07_Savings!A199="","",Agent07_Savings!A199)</f>
        <v/>
      </c>
      <c r="B1392" s="40" t="str">
        <f ca="1">IF(Agent07_Savings!A199="","","SV"&amp;TEXT(1392-3,"0000")&amp;"-"&amp;TEXT(TODAY(),"YYYYMMDD"))</f>
        <v/>
      </c>
      <c r="C1392" s="40" t="str">
        <f>IF(Agent07_Savings!A199="","",Agent07_Savings!B199)</f>
        <v/>
      </c>
      <c r="D1392" s="40" t="str">
        <f>IF(Agent07_Savings!A199="","",Agent07_Savings!G199)</f>
        <v/>
      </c>
      <c r="E1392" s="41" t="str">
        <f>IF(Agent07_Savings!A199="","",Agent07_Savings!D199)</f>
        <v/>
      </c>
      <c r="F1392" s="42" t="str">
        <f>IF(Agent07_Savings!A199="","",Agent07_Savings!E199)</f>
        <v/>
      </c>
      <c r="G1392" s="42" t="str">
        <f>IF(Agent07_Savings!A199="","",Agent07_Savings!F199)</f>
        <v/>
      </c>
      <c r="H1392" s="40" t="str">
        <f>IF(Agent07_Savings!A199="","",Agent07_Savings!I199)</f>
        <v/>
      </c>
      <c r="I1392" s="40" t="str">
        <f>IF(Agent07_Savings!A199="","",Agent07_Savings!J199)</f>
        <v/>
      </c>
      <c r="J1392" s="40" t="str">
        <f>IF(Agent07_Savings!A199="","",Agent07_Savings!K199)</f>
        <v/>
      </c>
      <c r="K1392" s="40" t="str">
        <f>IFERROR(IF(Agent07_Savings!A199="","",YEAR(Agent07_Savings!D199)),"")</f>
        <v/>
      </c>
    </row>
    <row r="1393" spans="1:11" ht="18" customHeight="1" x14ac:dyDescent="0.25">
      <c r="A1393" s="40" t="str">
        <f>IF(Agent07_Savings!A200="","",Agent07_Savings!A200)</f>
        <v/>
      </c>
      <c r="B1393" s="40" t="str">
        <f ca="1">IF(Agent07_Savings!A200="","","SV"&amp;TEXT(1393-3,"0000")&amp;"-"&amp;TEXT(TODAY(),"YYYYMMDD"))</f>
        <v/>
      </c>
      <c r="C1393" s="40" t="str">
        <f>IF(Agent07_Savings!A200="","",Agent07_Savings!B200)</f>
        <v/>
      </c>
      <c r="D1393" s="40" t="str">
        <f>IF(Agent07_Savings!A200="","",Agent07_Savings!G200)</f>
        <v/>
      </c>
      <c r="E1393" s="41" t="str">
        <f>IF(Agent07_Savings!A200="","",Agent07_Savings!D200)</f>
        <v/>
      </c>
      <c r="F1393" s="42" t="str">
        <f>IF(Agent07_Savings!A200="","",Agent07_Savings!E200)</f>
        <v/>
      </c>
      <c r="G1393" s="42" t="str">
        <f>IF(Agent07_Savings!A200="","",Agent07_Savings!F200)</f>
        <v/>
      </c>
      <c r="H1393" s="40" t="str">
        <f>IF(Agent07_Savings!A200="","",Agent07_Savings!I200)</f>
        <v/>
      </c>
      <c r="I1393" s="40" t="str">
        <f>IF(Agent07_Savings!A200="","",Agent07_Savings!J200)</f>
        <v/>
      </c>
      <c r="J1393" s="40" t="str">
        <f>IF(Agent07_Savings!A200="","",Agent07_Savings!K200)</f>
        <v/>
      </c>
      <c r="K1393" s="40" t="str">
        <f>IFERROR(IF(Agent07_Savings!A200="","",YEAR(Agent07_Savings!D200)),"")</f>
        <v/>
      </c>
    </row>
    <row r="1394" spans="1:11" ht="18" customHeight="1" x14ac:dyDescent="0.25">
      <c r="A1394" s="40" t="str">
        <f>IF(Agent07_Savings!A201="","",Agent07_Savings!A201)</f>
        <v/>
      </c>
      <c r="B1394" s="40" t="str">
        <f ca="1">IF(Agent07_Savings!A201="","","SV"&amp;TEXT(1394-3,"0000")&amp;"-"&amp;TEXT(TODAY(),"YYYYMMDD"))</f>
        <v/>
      </c>
      <c r="C1394" s="40" t="str">
        <f>IF(Agent07_Savings!A201="","",Agent07_Savings!B201)</f>
        <v/>
      </c>
      <c r="D1394" s="40" t="str">
        <f>IF(Agent07_Savings!A201="","",Agent07_Savings!G201)</f>
        <v/>
      </c>
      <c r="E1394" s="41" t="str">
        <f>IF(Agent07_Savings!A201="","",Agent07_Savings!D201)</f>
        <v/>
      </c>
      <c r="F1394" s="42" t="str">
        <f>IF(Agent07_Savings!A201="","",Agent07_Savings!E201)</f>
        <v/>
      </c>
      <c r="G1394" s="42" t="str">
        <f>IF(Agent07_Savings!A201="","",Agent07_Savings!F201)</f>
        <v/>
      </c>
      <c r="H1394" s="40" t="str">
        <f>IF(Agent07_Savings!A201="","",Agent07_Savings!I201)</f>
        <v/>
      </c>
      <c r="I1394" s="40" t="str">
        <f>IF(Agent07_Savings!A201="","",Agent07_Savings!J201)</f>
        <v/>
      </c>
      <c r="J1394" s="40" t="str">
        <f>IF(Agent07_Savings!A201="","",Agent07_Savings!K201)</f>
        <v/>
      </c>
      <c r="K1394" s="40" t="str">
        <f>IFERROR(IF(Agent07_Savings!A201="","",YEAR(Agent07_Savings!D201)),"")</f>
        <v/>
      </c>
    </row>
    <row r="1395" spans="1:11" ht="18" customHeight="1" x14ac:dyDescent="0.25">
      <c r="A1395" s="40" t="str">
        <f>IF(Agent07_Savings!A202="","",Agent07_Savings!A202)</f>
        <v/>
      </c>
      <c r="B1395" s="40" t="str">
        <f ca="1">IF(Agent07_Savings!A202="","","SV"&amp;TEXT(1395-3,"0000")&amp;"-"&amp;TEXT(TODAY(),"YYYYMMDD"))</f>
        <v/>
      </c>
      <c r="C1395" s="40" t="str">
        <f>IF(Agent07_Savings!A202="","",Agent07_Savings!B202)</f>
        <v/>
      </c>
      <c r="D1395" s="40" t="str">
        <f>IF(Agent07_Savings!A202="","",Agent07_Savings!G202)</f>
        <v/>
      </c>
      <c r="E1395" s="41" t="str">
        <f>IF(Agent07_Savings!A202="","",Agent07_Savings!D202)</f>
        <v/>
      </c>
      <c r="F1395" s="42" t="str">
        <f>IF(Agent07_Savings!A202="","",Agent07_Savings!E202)</f>
        <v/>
      </c>
      <c r="G1395" s="42" t="str">
        <f>IF(Agent07_Savings!A202="","",Agent07_Savings!F202)</f>
        <v/>
      </c>
      <c r="H1395" s="40" t="str">
        <f>IF(Agent07_Savings!A202="","",Agent07_Savings!I202)</f>
        <v/>
      </c>
      <c r="I1395" s="40" t="str">
        <f>IF(Agent07_Savings!A202="","",Agent07_Savings!J202)</f>
        <v/>
      </c>
      <c r="J1395" s="40" t="str">
        <f>IF(Agent07_Savings!A202="","",Agent07_Savings!K202)</f>
        <v/>
      </c>
      <c r="K1395" s="40" t="str">
        <f>IFERROR(IF(Agent07_Savings!A202="","",YEAR(Agent07_Savings!D202)),"")</f>
        <v/>
      </c>
    </row>
    <row r="1396" spans="1:11" ht="18" customHeight="1" x14ac:dyDescent="0.25">
      <c r="A1396" s="40" t="str">
        <f>IF(Agent07_Savings!A203="","",Agent07_Savings!A203)</f>
        <v/>
      </c>
      <c r="B1396" s="40" t="str">
        <f ca="1">IF(Agent07_Savings!A203="","","SV"&amp;TEXT(1396-3,"0000")&amp;"-"&amp;TEXT(TODAY(),"YYYYMMDD"))</f>
        <v/>
      </c>
      <c r="C1396" s="40" t="str">
        <f>IF(Agent07_Savings!A203="","",Agent07_Savings!B203)</f>
        <v/>
      </c>
      <c r="D1396" s="40" t="str">
        <f>IF(Agent07_Savings!A203="","",Agent07_Savings!G203)</f>
        <v/>
      </c>
      <c r="E1396" s="41" t="str">
        <f>IF(Agent07_Savings!A203="","",Agent07_Savings!D203)</f>
        <v/>
      </c>
      <c r="F1396" s="42" t="str">
        <f>IF(Agent07_Savings!A203="","",Agent07_Savings!E203)</f>
        <v/>
      </c>
      <c r="G1396" s="42" t="str">
        <f>IF(Agent07_Savings!A203="","",Agent07_Savings!F203)</f>
        <v/>
      </c>
      <c r="H1396" s="40" t="str">
        <f>IF(Agent07_Savings!A203="","",Agent07_Savings!I203)</f>
        <v/>
      </c>
      <c r="I1396" s="40" t="str">
        <f>IF(Agent07_Savings!A203="","",Agent07_Savings!J203)</f>
        <v/>
      </c>
      <c r="J1396" s="40" t="str">
        <f>IF(Agent07_Savings!A203="","",Agent07_Savings!K203)</f>
        <v/>
      </c>
      <c r="K1396" s="40" t="str">
        <f>IFERROR(IF(Agent07_Savings!A203="","",YEAR(Agent07_Savings!D203)),"")</f>
        <v/>
      </c>
    </row>
    <row r="1397" spans="1:11" ht="18" customHeight="1" x14ac:dyDescent="0.25">
      <c r="A1397" s="40" t="str">
        <f>IF(Agent07_Savings!A204="","",Agent07_Savings!A204)</f>
        <v/>
      </c>
      <c r="B1397" s="40" t="str">
        <f ca="1">IF(Agent07_Savings!A204="","","SV"&amp;TEXT(1397-3,"0000")&amp;"-"&amp;TEXT(TODAY(),"YYYYMMDD"))</f>
        <v/>
      </c>
      <c r="C1397" s="40" t="str">
        <f>IF(Agent07_Savings!A204="","",Agent07_Savings!B204)</f>
        <v/>
      </c>
      <c r="D1397" s="40" t="str">
        <f>IF(Agent07_Savings!A204="","",Agent07_Savings!G204)</f>
        <v/>
      </c>
      <c r="E1397" s="41" t="str">
        <f>IF(Agent07_Savings!A204="","",Agent07_Savings!D204)</f>
        <v/>
      </c>
      <c r="F1397" s="42" t="str">
        <f>IF(Agent07_Savings!A204="","",Agent07_Savings!E204)</f>
        <v/>
      </c>
      <c r="G1397" s="42" t="str">
        <f>IF(Agent07_Savings!A204="","",Agent07_Savings!F204)</f>
        <v/>
      </c>
      <c r="H1397" s="40" t="str">
        <f>IF(Agent07_Savings!A204="","",Agent07_Savings!I204)</f>
        <v/>
      </c>
      <c r="I1397" s="40" t="str">
        <f>IF(Agent07_Savings!A204="","",Agent07_Savings!J204)</f>
        <v/>
      </c>
      <c r="J1397" s="40" t="str">
        <f>IF(Agent07_Savings!A204="","",Agent07_Savings!K204)</f>
        <v/>
      </c>
      <c r="K1397" s="40" t="str">
        <f>IFERROR(IF(Agent07_Savings!A204="","",YEAR(Agent07_Savings!D204)),"")</f>
        <v/>
      </c>
    </row>
    <row r="1398" spans="1:11" ht="18" customHeight="1" x14ac:dyDescent="0.25">
      <c r="A1398" s="40" t="str">
        <f>IF(Agent07_Savings!A205="","",Agent07_Savings!A205)</f>
        <v/>
      </c>
      <c r="B1398" s="40" t="str">
        <f ca="1">IF(Agent07_Savings!A205="","","SV"&amp;TEXT(1398-3,"0000")&amp;"-"&amp;TEXT(TODAY(),"YYYYMMDD"))</f>
        <v/>
      </c>
      <c r="C1398" s="40" t="str">
        <f>IF(Agent07_Savings!A205="","",Agent07_Savings!B205)</f>
        <v/>
      </c>
      <c r="D1398" s="40" t="str">
        <f>IF(Agent07_Savings!A205="","",Agent07_Savings!G205)</f>
        <v/>
      </c>
      <c r="E1398" s="41" t="str">
        <f>IF(Agent07_Savings!A205="","",Agent07_Savings!D205)</f>
        <v/>
      </c>
      <c r="F1398" s="42" t="str">
        <f>IF(Agent07_Savings!A205="","",Agent07_Savings!E205)</f>
        <v/>
      </c>
      <c r="G1398" s="42" t="str">
        <f>IF(Agent07_Savings!A205="","",Agent07_Savings!F205)</f>
        <v/>
      </c>
      <c r="H1398" s="40" t="str">
        <f>IF(Agent07_Savings!A205="","",Agent07_Savings!I205)</f>
        <v/>
      </c>
      <c r="I1398" s="40" t="str">
        <f>IF(Agent07_Savings!A205="","",Agent07_Savings!J205)</f>
        <v/>
      </c>
      <c r="J1398" s="40" t="str">
        <f>IF(Agent07_Savings!A205="","",Agent07_Savings!K205)</f>
        <v/>
      </c>
      <c r="K1398" s="40" t="str">
        <f>IFERROR(IF(Agent07_Savings!A205="","",YEAR(Agent07_Savings!D205)),"")</f>
        <v/>
      </c>
    </row>
    <row r="1399" spans="1:11" ht="18" customHeight="1" x14ac:dyDescent="0.25">
      <c r="A1399" s="40" t="str">
        <f>IF(Agent07_Savings!A206="","",Agent07_Savings!A206)</f>
        <v/>
      </c>
      <c r="B1399" s="40" t="str">
        <f ca="1">IF(Agent07_Savings!A206="","","SV"&amp;TEXT(1399-3,"0000")&amp;"-"&amp;TEXT(TODAY(),"YYYYMMDD"))</f>
        <v/>
      </c>
      <c r="C1399" s="40" t="str">
        <f>IF(Agent07_Savings!A206="","",Agent07_Savings!B206)</f>
        <v/>
      </c>
      <c r="D1399" s="40" t="str">
        <f>IF(Agent07_Savings!A206="","",Agent07_Savings!G206)</f>
        <v/>
      </c>
      <c r="E1399" s="41" t="str">
        <f>IF(Agent07_Savings!A206="","",Agent07_Savings!D206)</f>
        <v/>
      </c>
      <c r="F1399" s="42" t="str">
        <f>IF(Agent07_Savings!A206="","",Agent07_Savings!E206)</f>
        <v/>
      </c>
      <c r="G1399" s="42" t="str">
        <f>IF(Agent07_Savings!A206="","",Agent07_Savings!F206)</f>
        <v/>
      </c>
      <c r="H1399" s="40" t="str">
        <f>IF(Agent07_Savings!A206="","",Agent07_Savings!I206)</f>
        <v/>
      </c>
      <c r="I1399" s="40" t="str">
        <f>IF(Agent07_Savings!A206="","",Agent07_Savings!J206)</f>
        <v/>
      </c>
      <c r="J1399" s="40" t="str">
        <f>IF(Agent07_Savings!A206="","",Agent07_Savings!K206)</f>
        <v/>
      </c>
      <c r="K1399" s="40" t="str">
        <f>IFERROR(IF(Agent07_Savings!A206="","",YEAR(Agent07_Savings!D206)),"")</f>
        <v/>
      </c>
    </row>
    <row r="1400" spans="1:11" ht="18" customHeight="1" x14ac:dyDescent="0.25">
      <c r="A1400" s="40" t="str">
        <f>IF(Agent07_Savings!A207="","",Agent07_Savings!A207)</f>
        <v/>
      </c>
      <c r="B1400" s="40" t="str">
        <f ca="1">IF(Agent07_Savings!A207="","","SV"&amp;TEXT(1400-3,"0000")&amp;"-"&amp;TEXT(TODAY(),"YYYYMMDD"))</f>
        <v/>
      </c>
      <c r="C1400" s="40" t="str">
        <f>IF(Agent07_Savings!A207="","",Agent07_Savings!B207)</f>
        <v/>
      </c>
      <c r="D1400" s="40" t="str">
        <f>IF(Agent07_Savings!A207="","",Agent07_Savings!G207)</f>
        <v/>
      </c>
      <c r="E1400" s="41" t="str">
        <f>IF(Agent07_Savings!A207="","",Agent07_Savings!D207)</f>
        <v/>
      </c>
      <c r="F1400" s="42" t="str">
        <f>IF(Agent07_Savings!A207="","",Agent07_Savings!E207)</f>
        <v/>
      </c>
      <c r="G1400" s="42" t="str">
        <f>IF(Agent07_Savings!A207="","",Agent07_Savings!F207)</f>
        <v/>
      </c>
      <c r="H1400" s="40" t="str">
        <f>IF(Agent07_Savings!A207="","",Agent07_Savings!I207)</f>
        <v/>
      </c>
      <c r="I1400" s="40" t="str">
        <f>IF(Agent07_Savings!A207="","",Agent07_Savings!J207)</f>
        <v/>
      </c>
      <c r="J1400" s="40" t="str">
        <f>IF(Agent07_Savings!A207="","",Agent07_Savings!K207)</f>
        <v/>
      </c>
      <c r="K1400" s="40" t="str">
        <f>IFERROR(IF(Agent07_Savings!A207="","",YEAR(Agent07_Savings!D207)),"")</f>
        <v/>
      </c>
    </row>
    <row r="1401" spans="1:11" ht="18" customHeight="1" x14ac:dyDescent="0.25">
      <c r="A1401" s="40" t="str">
        <f>IF(Agent07_Savings!A208="","",Agent07_Savings!A208)</f>
        <v/>
      </c>
      <c r="B1401" s="40" t="str">
        <f ca="1">IF(Agent07_Savings!A208="","","SV"&amp;TEXT(1401-3,"0000")&amp;"-"&amp;TEXT(TODAY(),"YYYYMMDD"))</f>
        <v/>
      </c>
      <c r="C1401" s="40" t="str">
        <f>IF(Agent07_Savings!A208="","",Agent07_Savings!B208)</f>
        <v/>
      </c>
      <c r="D1401" s="40" t="str">
        <f>IF(Agent07_Savings!A208="","",Agent07_Savings!G208)</f>
        <v/>
      </c>
      <c r="E1401" s="41" t="str">
        <f>IF(Agent07_Savings!A208="","",Agent07_Savings!D208)</f>
        <v/>
      </c>
      <c r="F1401" s="42" t="str">
        <f>IF(Agent07_Savings!A208="","",Agent07_Savings!E208)</f>
        <v/>
      </c>
      <c r="G1401" s="42" t="str">
        <f>IF(Agent07_Savings!A208="","",Agent07_Savings!F208)</f>
        <v/>
      </c>
      <c r="H1401" s="40" t="str">
        <f>IF(Agent07_Savings!A208="","",Agent07_Savings!I208)</f>
        <v/>
      </c>
      <c r="I1401" s="40" t="str">
        <f>IF(Agent07_Savings!A208="","",Agent07_Savings!J208)</f>
        <v/>
      </c>
      <c r="J1401" s="40" t="str">
        <f>IF(Agent07_Savings!A208="","",Agent07_Savings!K208)</f>
        <v/>
      </c>
      <c r="K1401" s="40" t="str">
        <f>IFERROR(IF(Agent07_Savings!A208="","",YEAR(Agent07_Savings!D208)),"")</f>
        <v/>
      </c>
    </row>
    <row r="1402" spans="1:11" ht="18" customHeight="1" x14ac:dyDescent="0.25">
      <c r="A1402" s="40" t="str">
        <f>IF(Agent07_Savings!A209="","",Agent07_Savings!A209)</f>
        <v/>
      </c>
      <c r="B1402" s="40" t="str">
        <f ca="1">IF(Agent07_Savings!A209="","","SV"&amp;TEXT(1402-3,"0000")&amp;"-"&amp;TEXT(TODAY(),"YYYYMMDD"))</f>
        <v/>
      </c>
      <c r="C1402" s="40" t="str">
        <f>IF(Agent07_Savings!A209="","",Agent07_Savings!B209)</f>
        <v/>
      </c>
      <c r="D1402" s="40" t="str">
        <f>IF(Agent07_Savings!A209="","",Agent07_Savings!G209)</f>
        <v/>
      </c>
      <c r="E1402" s="41" t="str">
        <f>IF(Agent07_Savings!A209="","",Agent07_Savings!D209)</f>
        <v/>
      </c>
      <c r="F1402" s="42" t="str">
        <f>IF(Agent07_Savings!A209="","",Agent07_Savings!E209)</f>
        <v/>
      </c>
      <c r="G1402" s="42" t="str">
        <f>IF(Agent07_Savings!A209="","",Agent07_Savings!F209)</f>
        <v/>
      </c>
      <c r="H1402" s="40" t="str">
        <f>IF(Agent07_Savings!A209="","",Agent07_Savings!I209)</f>
        <v/>
      </c>
      <c r="I1402" s="40" t="str">
        <f>IF(Agent07_Savings!A209="","",Agent07_Savings!J209)</f>
        <v/>
      </c>
      <c r="J1402" s="40" t="str">
        <f>IF(Agent07_Savings!A209="","",Agent07_Savings!K209)</f>
        <v/>
      </c>
      <c r="K1402" s="40" t="str">
        <f>IFERROR(IF(Agent07_Savings!A209="","",YEAR(Agent07_Savings!D209)),"")</f>
        <v/>
      </c>
    </row>
    <row r="1403" spans="1:11" ht="18" customHeight="1" x14ac:dyDescent="0.25">
      <c r="A1403" s="40" t="str">
        <f>IF(Agent07_Savings!A210="","",Agent07_Savings!A210)</f>
        <v/>
      </c>
      <c r="B1403" s="40" t="str">
        <f ca="1">IF(Agent07_Savings!A210="","","SV"&amp;TEXT(1403-3,"0000")&amp;"-"&amp;TEXT(TODAY(),"YYYYMMDD"))</f>
        <v/>
      </c>
      <c r="C1403" s="40" t="str">
        <f>IF(Agent07_Savings!A210="","",Agent07_Savings!B210)</f>
        <v/>
      </c>
      <c r="D1403" s="40" t="str">
        <f>IF(Agent07_Savings!A210="","",Agent07_Savings!G210)</f>
        <v/>
      </c>
      <c r="E1403" s="41" t="str">
        <f>IF(Agent07_Savings!A210="","",Agent07_Savings!D210)</f>
        <v/>
      </c>
      <c r="F1403" s="42" t="str">
        <f>IF(Agent07_Savings!A210="","",Agent07_Savings!E210)</f>
        <v/>
      </c>
      <c r="G1403" s="42" t="str">
        <f>IF(Agent07_Savings!A210="","",Agent07_Savings!F210)</f>
        <v/>
      </c>
      <c r="H1403" s="40" t="str">
        <f>IF(Agent07_Savings!A210="","",Agent07_Savings!I210)</f>
        <v/>
      </c>
      <c r="I1403" s="40" t="str">
        <f>IF(Agent07_Savings!A210="","",Agent07_Savings!J210)</f>
        <v/>
      </c>
      <c r="J1403" s="40" t="str">
        <f>IF(Agent07_Savings!A210="","",Agent07_Savings!K210)</f>
        <v/>
      </c>
      <c r="K1403" s="40" t="str">
        <f>IFERROR(IF(Agent07_Savings!A210="","",YEAR(Agent07_Savings!D210)),"")</f>
        <v/>
      </c>
    </row>
    <row r="1404" spans="1:11" ht="18" customHeight="1" x14ac:dyDescent="0.25">
      <c r="A1404" s="40" t="str">
        <f>IF(Agent08_Savings!A11="","",Agent08_Savings!A11)</f>
        <v/>
      </c>
      <c r="B1404" s="40" t="str">
        <f ca="1">IF(Agent08_Savings!A11="","","SV"&amp;TEXT(1404-3,"0000")&amp;"-"&amp;TEXT(TODAY(),"YYYYMMDD"))</f>
        <v/>
      </c>
      <c r="C1404" s="40" t="str">
        <f>IF(Agent08_Savings!A11="","",Agent08_Savings!B11)</f>
        <v/>
      </c>
      <c r="D1404" s="40" t="str">
        <f>IF(Agent08_Savings!A11="","",Agent08_Savings!G11)</f>
        <v/>
      </c>
      <c r="E1404" s="41" t="str">
        <f>IF(Agent08_Savings!A11="","",Agent08_Savings!D11)</f>
        <v/>
      </c>
      <c r="F1404" s="42" t="str">
        <f>IF(Agent08_Savings!A11="","",Agent08_Savings!E11)</f>
        <v/>
      </c>
      <c r="G1404" s="42" t="str">
        <f>IF(Agent08_Savings!A11="","",Agent08_Savings!F11)</f>
        <v/>
      </c>
      <c r="H1404" s="40" t="str">
        <f>IF(Agent08_Savings!A11="","",Agent08_Savings!I11)</f>
        <v/>
      </c>
      <c r="I1404" s="40" t="str">
        <f>IF(Agent08_Savings!A11="","",Agent08_Savings!J11)</f>
        <v/>
      </c>
      <c r="J1404" s="40" t="str">
        <f>IF(Agent08_Savings!A11="","",Agent08_Savings!K11)</f>
        <v/>
      </c>
      <c r="K1404" s="40" t="str">
        <f>IFERROR(IF(Agent08_Savings!A11="","",YEAR(Agent08_Savings!D11)),"")</f>
        <v/>
      </c>
    </row>
    <row r="1405" spans="1:11" ht="18" customHeight="1" x14ac:dyDescent="0.25">
      <c r="A1405" s="40" t="str">
        <f>IF(Agent08_Savings!A12="","",Agent08_Savings!A12)</f>
        <v/>
      </c>
      <c r="B1405" s="40" t="str">
        <f ca="1">IF(Agent08_Savings!A12="","","SV"&amp;TEXT(1405-3,"0000")&amp;"-"&amp;TEXT(TODAY(),"YYYYMMDD"))</f>
        <v/>
      </c>
      <c r="C1405" s="40" t="str">
        <f>IF(Agent08_Savings!A12="","",Agent08_Savings!B12)</f>
        <v/>
      </c>
      <c r="D1405" s="40" t="str">
        <f>IF(Agent08_Savings!A12="","",Agent08_Savings!G12)</f>
        <v/>
      </c>
      <c r="E1405" s="41" t="str">
        <f>IF(Agent08_Savings!A12="","",Agent08_Savings!D12)</f>
        <v/>
      </c>
      <c r="F1405" s="42" t="str">
        <f>IF(Agent08_Savings!A12="","",Agent08_Savings!E12)</f>
        <v/>
      </c>
      <c r="G1405" s="42" t="str">
        <f>IF(Agent08_Savings!A12="","",Agent08_Savings!F12)</f>
        <v/>
      </c>
      <c r="H1405" s="40" t="str">
        <f>IF(Agent08_Savings!A12="","",Agent08_Savings!I12)</f>
        <v/>
      </c>
      <c r="I1405" s="40" t="str">
        <f>IF(Agent08_Savings!A12="","",Agent08_Savings!J12)</f>
        <v/>
      </c>
      <c r="J1405" s="40" t="str">
        <f>IF(Agent08_Savings!A12="","",Agent08_Savings!K12)</f>
        <v/>
      </c>
      <c r="K1405" s="40" t="str">
        <f>IFERROR(IF(Agent08_Savings!A12="","",YEAR(Agent08_Savings!D12)),"")</f>
        <v/>
      </c>
    </row>
    <row r="1406" spans="1:11" ht="18" customHeight="1" x14ac:dyDescent="0.25">
      <c r="A1406" s="40" t="str">
        <f>IF(Agent08_Savings!A13="","",Agent08_Savings!A13)</f>
        <v/>
      </c>
      <c r="B1406" s="40" t="str">
        <f ca="1">IF(Agent08_Savings!A13="","","SV"&amp;TEXT(1406-3,"0000")&amp;"-"&amp;TEXT(TODAY(),"YYYYMMDD"))</f>
        <v/>
      </c>
      <c r="C1406" s="40" t="str">
        <f>IF(Agent08_Savings!A13="","",Agent08_Savings!B13)</f>
        <v/>
      </c>
      <c r="D1406" s="40" t="str">
        <f>IF(Agent08_Savings!A13="","",Agent08_Savings!G13)</f>
        <v/>
      </c>
      <c r="E1406" s="41" t="str">
        <f>IF(Agent08_Savings!A13="","",Agent08_Savings!D13)</f>
        <v/>
      </c>
      <c r="F1406" s="42" t="str">
        <f>IF(Agent08_Savings!A13="","",Agent08_Savings!E13)</f>
        <v/>
      </c>
      <c r="G1406" s="42" t="str">
        <f>IF(Agent08_Savings!A13="","",Agent08_Savings!F13)</f>
        <v/>
      </c>
      <c r="H1406" s="40" t="str">
        <f>IF(Agent08_Savings!A13="","",Agent08_Savings!I13)</f>
        <v/>
      </c>
      <c r="I1406" s="40" t="str">
        <f>IF(Agent08_Savings!A13="","",Agent08_Savings!J13)</f>
        <v/>
      </c>
      <c r="J1406" s="40" t="str">
        <f>IF(Agent08_Savings!A13="","",Agent08_Savings!K13)</f>
        <v/>
      </c>
      <c r="K1406" s="40" t="str">
        <f>IFERROR(IF(Agent08_Savings!A13="","",YEAR(Agent08_Savings!D13)),"")</f>
        <v/>
      </c>
    </row>
    <row r="1407" spans="1:11" ht="18" customHeight="1" x14ac:dyDescent="0.25">
      <c r="A1407" s="40" t="str">
        <f>IF(Agent08_Savings!A14="","",Agent08_Savings!A14)</f>
        <v/>
      </c>
      <c r="B1407" s="40" t="str">
        <f ca="1">IF(Agent08_Savings!A14="","","SV"&amp;TEXT(1407-3,"0000")&amp;"-"&amp;TEXT(TODAY(),"YYYYMMDD"))</f>
        <v/>
      </c>
      <c r="C1407" s="40" t="str">
        <f>IF(Agent08_Savings!A14="","",Agent08_Savings!B14)</f>
        <v/>
      </c>
      <c r="D1407" s="40" t="str">
        <f>IF(Agent08_Savings!A14="","",Agent08_Savings!G14)</f>
        <v/>
      </c>
      <c r="E1407" s="41" t="str">
        <f>IF(Agent08_Savings!A14="","",Agent08_Savings!D14)</f>
        <v/>
      </c>
      <c r="F1407" s="42" t="str">
        <f>IF(Agent08_Savings!A14="","",Agent08_Savings!E14)</f>
        <v/>
      </c>
      <c r="G1407" s="42" t="str">
        <f>IF(Agent08_Savings!A14="","",Agent08_Savings!F14)</f>
        <v/>
      </c>
      <c r="H1407" s="40" t="str">
        <f>IF(Agent08_Savings!A14="","",Agent08_Savings!I14)</f>
        <v/>
      </c>
      <c r="I1407" s="40" t="str">
        <f>IF(Agent08_Savings!A14="","",Agent08_Savings!J14)</f>
        <v/>
      </c>
      <c r="J1407" s="40" t="str">
        <f>IF(Agent08_Savings!A14="","",Agent08_Savings!K14)</f>
        <v/>
      </c>
      <c r="K1407" s="40" t="str">
        <f>IFERROR(IF(Agent08_Savings!A14="","",YEAR(Agent08_Savings!D14)),"")</f>
        <v/>
      </c>
    </row>
    <row r="1408" spans="1:11" ht="18" customHeight="1" x14ac:dyDescent="0.25">
      <c r="A1408" s="40" t="str">
        <f>IF(Agent08_Savings!A15="","",Agent08_Savings!A15)</f>
        <v/>
      </c>
      <c r="B1408" s="40" t="str">
        <f ca="1">IF(Agent08_Savings!A15="","","SV"&amp;TEXT(1408-3,"0000")&amp;"-"&amp;TEXT(TODAY(),"YYYYMMDD"))</f>
        <v/>
      </c>
      <c r="C1408" s="40" t="str">
        <f>IF(Agent08_Savings!A15="","",Agent08_Savings!B15)</f>
        <v/>
      </c>
      <c r="D1408" s="40" t="str">
        <f>IF(Agent08_Savings!A15="","",Agent08_Savings!G15)</f>
        <v/>
      </c>
      <c r="E1408" s="41" t="str">
        <f>IF(Agent08_Savings!A15="","",Agent08_Savings!D15)</f>
        <v/>
      </c>
      <c r="F1408" s="42" t="str">
        <f>IF(Agent08_Savings!A15="","",Agent08_Savings!E15)</f>
        <v/>
      </c>
      <c r="G1408" s="42" t="str">
        <f>IF(Agent08_Savings!A15="","",Agent08_Savings!F15)</f>
        <v/>
      </c>
      <c r="H1408" s="40" t="str">
        <f>IF(Agent08_Savings!A15="","",Agent08_Savings!I15)</f>
        <v/>
      </c>
      <c r="I1408" s="40" t="str">
        <f>IF(Agent08_Savings!A15="","",Agent08_Savings!J15)</f>
        <v/>
      </c>
      <c r="J1408" s="40" t="str">
        <f>IF(Agent08_Savings!A15="","",Agent08_Savings!K15)</f>
        <v/>
      </c>
      <c r="K1408" s="40" t="str">
        <f>IFERROR(IF(Agent08_Savings!A15="","",YEAR(Agent08_Savings!D15)),"")</f>
        <v/>
      </c>
    </row>
    <row r="1409" spans="1:11" ht="18" customHeight="1" x14ac:dyDescent="0.25">
      <c r="A1409" s="40" t="str">
        <f>IF(Agent08_Savings!A16="","",Agent08_Savings!A16)</f>
        <v/>
      </c>
      <c r="B1409" s="40" t="str">
        <f ca="1">IF(Agent08_Savings!A16="","","SV"&amp;TEXT(1409-3,"0000")&amp;"-"&amp;TEXT(TODAY(),"YYYYMMDD"))</f>
        <v/>
      </c>
      <c r="C1409" s="40" t="str">
        <f>IF(Agent08_Savings!A16="","",Agent08_Savings!B16)</f>
        <v/>
      </c>
      <c r="D1409" s="40" t="str">
        <f>IF(Agent08_Savings!A16="","",Agent08_Savings!G16)</f>
        <v/>
      </c>
      <c r="E1409" s="41" t="str">
        <f>IF(Agent08_Savings!A16="","",Agent08_Savings!D16)</f>
        <v/>
      </c>
      <c r="F1409" s="42" t="str">
        <f>IF(Agent08_Savings!A16="","",Agent08_Savings!E16)</f>
        <v/>
      </c>
      <c r="G1409" s="42" t="str">
        <f>IF(Agent08_Savings!A16="","",Agent08_Savings!F16)</f>
        <v/>
      </c>
      <c r="H1409" s="40" t="str">
        <f>IF(Agent08_Savings!A16="","",Agent08_Savings!I16)</f>
        <v/>
      </c>
      <c r="I1409" s="40" t="str">
        <f>IF(Agent08_Savings!A16="","",Agent08_Savings!J16)</f>
        <v/>
      </c>
      <c r="J1409" s="40" t="str">
        <f>IF(Agent08_Savings!A16="","",Agent08_Savings!K16)</f>
        <v/>
      </c>
      <c r="K1409" s="40" t="str">
        <f>IFERROR(IF(Agent08_Savings!A16="","",YEAR(Agent08_Savings!D16)),"")</f>
        <v/>
      </c>
    </row>
    <row r="1410" spans="1:11" ht="18" customHeight="1" x14ac:dyDescent="0.25">
      <c r="A1410" s="40" t="str">
        <f>IF(Agent08_Savings!A17="","",Agent08_Savings!A17)</f>
        <v/>
      </c>
      <c r="B1410" s="40" t="str">
        <f ca="1">IF(Agent08_Savings!A17="","","SV"&amp;TEXT(1410-3,"0000")&amp;"-"&amp;TEXT(TODAY(),"YYYYMMDD"))</f>
        <v/>
      </c>
      <c r="C1410" s="40" t="str">
        <f>IF(Agent08_Savings!A17="","",Agent08_Savings!B17)</f>
        <v/>
      </c>
      <c r="D1410" s="40" t="str">
        <f>IF(Agent08_Savings!A17="","",Agent08_Savings!G17)</f>
        <v/>
      </c>
      <c r="E1410" s="41" t="str">
        <f>IF(Agent08_Savings!A17="","",Agent08_Savings!D17)</f>
        <v/>
      </c>
      <c r="F1410" s="42" t="str">
        <f>IF(Agent08_Savings!A17="","",Agent08_Savings!E17)</f>
        <v/>
      </c>
      <c r="G1410" s="42" t="str">
        <f>IF(Agent08_Savings!A17="","",Agent08_Savings!F17)</f>
        <v/>
      </c>
      <c r="H1410" s="40" t="str">
        <f>IF(Agent08_Savings!A17="","",Agent08_Savings!I17)</f>
        <v/>
      </c>
      <c r="I1410" s="40" t="str">
        <f>IF(Agent08_Savings!A17="","",Agent08_Savings!J17)</f>
        <v/>
      </c>
      <c r="J1410" s="40" t="str">
        <f>IF(Agent08_Savings!A17="","",Agent08_Savings!K17)</f>
        <v/>
      </c>
      <c r="K1410" s="40" t="str">
        <f>IFERROR(IF(Agent08_Savings!A17="","",YEAR(Agent08_Savings!D17)),"")</f>
        <v/>
      </c>
    </row>
    <row r="1411" spans="1:11" ht="18" customHeight="1" x14ac:dyDescent="0.25">
      <c r="A1411" s="40" t="str">
        <f>IF(Agent08_Savings!A18="","",Agent08_Savings!A18)</f>
        <v/>
      </c>
      <c r="B1411" s="40" t="str">
        <f ca="1">IF(Agent08_Savings!A18="","","SV"&amp;TEXT(1411-3,"0000")&amp;"-"&amp;TEXT(TODAY(),"YYYYMMDD"))</f>
        <v/>
      </c>
      <c r="C1411" s="40" t="str">
        <f>IF(Agent08_Savings!A18="","",Agent08_Savings!B18)</f>
        <v/>
      </c>
      <c r="D1411" s="40" t="str">
        <f>IF(Agent08_Savings!A18="","",Agent08_Savings!G18)</f>
        <v/>
      </c>
      <c r="E1411" s="41" t="str">
        <f>IF(Agent08_Savings!A18="","",Agent08_Savings!D18)</f>
        <v/>
      </c>
      <c r="F1411" s="42" t="str">
        <f>IF(Agent08_Savings!A18="","",Agent08_Savings!E18)</f>
        <v/>
      </c>
      <c r="G1411" s="42" t="str">
        <f>IF(Agent08_Savings!A18="","",Agent08_Savings!F18)</f>
        <v/>
      </c>
      <c r="H1411" s="40" t="str">
        <f>IF(Agent08_Savings!A18="","",Agent08_Savings!I18)</f>
        <v/>
      </c>
      <c r="I1411" s="40" t="str">
        <f>IF(Agent08_Savings!A18="","",Agent08_Savings!J18)</f>
        <v/>
      </c>
      <c r="J1411" s="40" t="str">
        <f>IF(Agent08_Savings!A18="","",Agent08_Savings!K18)</f>
        <v/>
      </c>
      <c r="K1411" s="40" t="str">
        <f>IFERROR(IF(Agent08_Savings!A18="","",YEAR(Agent08_Savings!D18)),"")</f>
        <v/>
      </c>
    </row>
    <row r="1412" spans="1:11" ht="18" customHeight="1" x14ac:dyDescent="0.25">
      <c r="A1412" s="40" t="str">
        <f>IF(Agent08_Savings!A19="","",Agent08_Savings!A19)</f>
        <v/>
      </c>
      <c r="B1412" s="40" t="str">
        <f ca="1">IF(Agent08_Savings!A19="","","SV"&amp;TEXT(1412-3,"0000")&amp;"-"&amp;TEXT(TODAY(),"YYYYMMDD"))</f>
        <v/>
      </c>
      <c r="C1412" s="40" t="str">
        <f>IF(Agent08_Savings!A19="","",Agent08_Savings!B19)</f>
        <v/>
      </c>
      <c r="D1412" s="40" t="str">
        <f>IF(Agent08_Savings!A19="","",Agent08_Savings!G19)</f>
        <v/>
      </c>
      <c r="E1412" s="41" t="str">
        <f>IF(Agent08_Savings!A19="","",Agent08_Savings!D19)</f>
        <v/>
      </c>
      <c r="F1412" s="42" t="str">
        <f>IF(Agent08_Savings!A19="","",Agent08_Savings!E19)</f>
        <v/>
      </c>
      <c r="G1412" s="42" t="str">
        <f>IF(Agent08_Savings!A19="","",Agent08_Savings!F19)</f>
        <v/>
      </c>
      <c r="H1412" s="40" t="str">
        <f>IF(Agent08_Savings!A19="","",Agent08_Savings!I19)</f>
        <v/>
      </c>
      <c r="I1412" s="40" t="str">
        <f>IF(Agent08_Savings!A19="","",Agent08_Savings!J19)</f>
        <v/>
      </c>
      <c r="J1412" s="40" t="str">
        <f>IF(Agent08_Savings!A19="","",Agent08_Savings!K19)</f>
        <v/>
      </c>
      <c r="K1412" s="40" t="str">
        <f>IFERROR(IF(Agent08_Savings!A19="","",YEAR(Agent08_Savings!D19)),"")</f>
        <v/>
      </c>
    </row>
    <row r="1413" spans="1:11" ht="18" customHeight="1" x14ac:dyDescent="0.25">
      <c r="A1413" s="40" t="str">
        <f>IF(Agent08_Savings!A20="","",Agent08_Savings!A20)</f>
        <v/>
      </c>
      <c r="B1413" s="40" t="str">
        <f ca="1">IF(Agent08_Savings!A20="","","SV"&amp;TEXT(1413-3,"0000")&amp;"-"&amp;TEXT(TODAY(),"YYYYMMDD"))</f>
        <v/>
      </c>
      <c r="C1413" s="40" t="str">
        <f>IF(Agent08_Savings!A20="","",Agent08_Savings!B20)</f>
        <v/>
      </c>
      <c r="D1413" s="40" t="str">
        <f>IF(Agent08_Savings!A20="","",Agent08_Savings!G20)</f>
        <v/>
      </c>
      <c r="E1413" s="41" t="str">
        <f>IF(Agent08_Savings!A20="","",Agent08_Savings!D20)</f>
        <v/>
      </c>
      <c r="F1413" s="42" t="str">
        <f>IF(Agent08_Savings!A20="","",Agent08_Savings!E20)</f>
        <v/>
      </c>
      <c r="G1413" s="42" t="str">
        <f>IF(Agent08_Savings!A20="","",Agent08_Savings!F20)</f>
        <v/>
      </c>
      <c r="H1413" s="40" t="str">
        <f>IF(Agent08_Savings!A20="","",Agent08_Savings!I20)</f>
        <v/>
      </c>
      <c r="I1413" s="40" t="str">
        <f>IF(Agent08_Savings!A20="","",Agent08_Savings!J20)</f>
        <v/>
      </c>
      <c r="J1413" s="40" t="str">
        <f>IF(Agent08_Savings!A20="","",Agent08_Savings!K20)</f>
        <v/>
      </c>
      <c r="K1413" s="40" t="str">
        <f>IFERROR(IF(Agent08_Savings!A20="","",YEAR(Agent08_Savings!D20)),"")</f>
        <v/>
      </c>
    </row>
    <row r="1414" spans="1:11" ht="18" customHeight="1" x14ac:dyDescent="0.25">
      <c r="A1414" s="40" t="str">
        <f>IF(Agent08_Savings!A21="","",Agent08_Savings!A21)</f>
        <v/>
      </c>
      <c r="B1414" s="40" t="str">
        <f ca="1">IF(Agent08_Savings!A21="","","SV"&amp;TEXT(1414-3,"0000")&amp;"-"&amp;TEXT(TODAY(),"YYYYMMDD"))</f>
        <v/>
      </c>
      <c r="C1414" s="40" t="str">
        <f>IF(Agent08_Savings!A21="","",Agent08_Savings!B21)</f>
        <v/>
      </c>
      <c r="D1414" s="40" t="str">
        <f>IF(Agent08_Savings!A21="","",Agent08_Savings!G21)</f>
        <v/>
      </c>
      <c r="E1414" s="41" t="str">
        <f>IF(Agent08_Savings!A21="","",Agent08_Savings!D21)</f>
        <v/>
      </c>
      <c r="F1414" s="42" t="str">
        <f>IF(Agent08_Savings!A21="","",Agent08_Savings!E21)</f>
        <v/>
      </c>
      <c r="G1414" s="42" t="str">
        <f>IF(Agent08_Savings!A21="","",Agent08_Savings!F21)</f>
        <v/>
      </c>
      <c r="H1414" s="40" t="str">
        <f>IF(Agent08_Savings!A21="","",Agent08_Savings!I21)</f>
        <v/>
      </c>
      <c r="I1414" s="40" t="str">
        <f>IF(Agent08_Savings!A21="","",Agent08_Savings!J21)</f>
        <v/>
      </c>
      <c r="J1414" s="40" t="str">
        <f>IF(Agent08_Savings!A21="","",Agent08_Savings!K21)</f>
        <v/>
      </c>
      <c r="K1414" s="40" t="str">
        <f>IFERROR(IF(Agent08_Savings!A21="","",YEAR(Agent08_Savings!D21)),"")</f>
        <v/>
      </c>
    </row>
    <row r="1415" spans="1:11" ht="18" customHeight="1" x14ac:dyDescent="0.25">
      <c r="A1415" s="40" t="str">
        <f>IF(Agent08_Savings!A22="","",Agent08_Savings!A22)</f>
        <v/>
      </c>
      <c r="B1415" s="40" t="str">
        <f ca="1">IF(Agent08_Savings!A22="","","SV"&amp;TEXT(1415-3,"0000")&amp;"-"&amp;TEXT(TODAY(),"YYYYMMDD"))</f>
        <v/>
      </c>
      <c r="C1415" s="40" t="str">
        <f>IF(Agent08_Savings!A22="","",Agent08_Savings!B22)</f>
        <v/>
      </c>
      <c r="D1415" s="40" t="str">
        <f>IF(Agent08_Savings!A22="","",Agent08_Savings!G22)</f>
        <v/>
      </c>
      <c r="E1415" s="41" t="str">
        <f>IF(Agent08_Savings!A22="","",Agent08_Savings!D22)</f>
        <v/>
      </c>
      <c r="F1415" s="42" t="str">
        <f>IF(Agent08_Savings!A22="","",Agent08_Savings!E22)</f>
        <v/>
      </c>
      <c r="G1415" s="42" t="str">
        <f>IF(Agent08_Savings!A22="","",Agent08_Savings!F22)</f>
        <v/>
      </c>
      <c r="H1415" s="40" t="str">
        <f>IF(Agent08_Savings!A22="","",Agent08_Savings!I22)</f>
        <v/>
      </c>
      <c r="I1415" s="40" t="str">
        <f>IF(Agent08_Savings!A22="","",Agent08_Savings!J22)</f>
        <v/>
      </c>
      <c r="J1415" s="40" t="str">
        <f>IF(Agent08_Savings!A22="","",Agent08_Savings!K22)</f>
        <v/>
      </c>
      <c r="K1415" s="40" t="str">
        <f>IFERROR(IF(Agent08_Savings!A22="","",YEAR(Agent08_Savings!D22)),"")</f>
        <v/>
      </c>
    </row>
    <row r="1416" spans="1:11" ht="18" customHeight="1" x14ac:dyDescent="0.25">
      <c r="A1416" s="40" t="str">
        <f>IF(Agent08_Savings!A23="","",Agent08_Savings!A23)</f>
        <v/>
      </c>
      <c r="B1416" s="40" t="str">
        <f ca="1">IF(Agent08_Savings!A23="","","SV"&amp;TEXT(1416-3,"0000")&amp;"-"&amp;TEXT(TODAY(),"YYYYMMDD"))</f>
        <v/>
      </c>
      <c r="C1416" s="40" t="str">
        <f>IF(Agent08_Savings!A23="","",Agent08_Savings!B23)</f>
        <v/>
      </c>
      <c r="D1416" s="40" t="str">
        <f>IF(Agent08_Savings!A23="","",Agent08_Savings!G23)</f>
        <v/>
      </c>
      <c r="E1416" s="41" t="str">
        <f>IF(Agent08_Savings!A23="","",Agent08_Savings!D23)</f>
        <v/>
      </c>
      <c r="F1416" s="42" t="str">
        <f>IF(Agent08_Savings!A23="","",Agent08_Savings!E23)</f>
        <v/>
      </c>
      <c r="G1416" s="42" t="str">
        <f>IF(Agent08_Savings!A23="","",Agent08_Savings!F23)</f>
        <v/>
      </c>
      <c r="H1416" s="40" t="str">
        <f>IF(Agent08_Savings!A23="","",Agent08_Savings!I23)</f>
        <v/>
      </c>
      <c r="I1416" s="40" t="str">
        <f>IF(Agent08_Savings!A23="","",Agent08_Savings!J23)</f>
        <v/>
      </c>
      <c r="J1416" s="40" t="str">
        <f>IF(Agent08_Savings!A23="","",Agent08_Savings!K23)</f>
        <v/>
      </c>
      <c r="K1416" s="40" t="str">
        <f>IFERROR(IF(Agent08_Savings!A23="","",YEAR(Agent08_Savings!D23)),"")</f>
        <v/>
      </c>
    </row>
    <row r="1417" spans="1:11" ht="18" customHeight="1" x14ac:dyDescent="0.25">
      <c r="A1417" s="40" t="str">
        <f>IF(Agent08_Savings!A24="","",Agent08_Savings!A24)</f>
        <v/>
      </c>
      <c r="B1417" s="40" t="str">
        <f ca="1">IF(Agent08_Savings!A24="","","SV"&amp;TEXT(1417-3,"0000")&amp;"-"&amp;TEXT(TODAY(),"YYYYMMDD"))</f>
        <v/>
      </c>
      <c r="C1417" s="40" t="str">
        <f>IF(Agent08_Savings!A24="","",Agent08_Savings!B24)</f>
        <v/>
      </c>
      <c r="D1417" s="40" t="str">
        <f>IF(Agent08_Savings!A24="","",Agent08_Savings!G24)</f>
        <v/>
      </c>
      <c r="E1417" s="41" t="str">
        <f>IF(Agent08_Savings!A24="","",Agent08_Savings!D24)</f>
        <v/>
      </c>
      <c r="F1417" s="42" t="str">
        <f>IF(Agent08_Savings!A24="","",Agent08_Savings!E24)</f>
        <v/>
      </c>
      <c r="G1417" s="42" t="str">
        <f>IF(Agent08_Savings!A24="","",Agent08_Savings!F24)</f>
        <v/>
      </c>
      <c r="H1417" s="40" t="str">
        <f>IF(Agent08_Savings!A24="","",Agent08_Savings!I24)</f>
        <v/>
      </c>
      <c r="I1417" s="40" t="str">
        <f>IF(Agent08_Savings!A24="","",Agent08_Savings!J24)</f>
        <v/>
      </c>
      <c r="J1417" s="40" t="str">
        <f>IF(Agent08_Savings!A24="","",Agent08_Savings!K24)</f>
        <v/>
      </c>
      <c r="K1417" s="40" t="str">
        <f>IFERROR(IF(Agent08_Savings!A24="","",YEAR(Agent08_Savings!D24)),"")</f>
        <v/>
      </c>
    </row>
    <row r="1418" spans="1:11" ht="18" customHeight="1" x14ac:dyDescent="0.25">
      <c r="A1418" s="40" t="str">
        <f>IF(Agent08_Savings!A25="","",Agent08_Savings!A25)</f>
        <v/>
      </c>
      <c r="B1418" s="40" t="str">
        <f ca="1">IF(Agent08_Savings!A25="","","SV"&amp;TEXT(1418-3,"0000")&amp;"-"&amp;TEXT(TODAY(),"YYYYMMDD"))</f>
        <v/>
      </c>
      <c r="C1418" s="40" t="str">
        <f>IF(Agent08_Savings!A25="","",Agent08_Savings!B25)</f>
        <v/>
      </c>
      <c r="D1418" s="40" t="str">
        <f>IF(Agent08_Savings!A25="","",Agent08_Savings!G25)</f>
        <v/>
      </c>
      <c r="E1418" s="41" t="str">
        <f>IF(Agent08_Savings!A25="","",Agent08_Savings!D25)</f>
        <v/>
      </c>
      <c r="F1418" s="42" t="str">
        <f>IF(Agent08_Savings!A25="","",Agent08_Savings!E25)</f>
        <v/>
      </c>
      <c r="G1418" s="42" t="str">
        <f>IF(Agent08_Savings!A25="","",Agent08_Savings!F25)</f>
        <v/>
      </c>
      <c r="H1418" s="40" t="str">
        <f>IF(Agent08_Savings!A25="","",Agent08_Savings!I25)</f>
        <v/>
      </c>
      <c r="I1418" s="40" t="str">
        <f>IF(Agent08_Savings!A25="","",Agent08_Savings!J25)</f>
        <v/>
      </c>
      <c r="J1418" s="40" t="str">
        <f>IF(Agent08_Savings!A25="","",Agent08_Savings!K25)</f>
        <v/>
      </c>
      <c r="K1418" s="40" t="str">
        <f>IFERROR(IF(Agent08_Savings!A25="","",YEAR(Agent08_Savings!D25)),"")</f>
        <v/>
      </c>
    </row>
    <row r="1419" spans="1:11" ht="18" customHeight="1" x14ac:dyDescent="0.25">
      <c r="A1419" s="40" t="str">
        <f>IF(Agent08_Savings!A26="","",Agent08_Savings!A26)</f>
        <v/>
      </c>
      <c r="B1419" s="40" t="str">
        <f ca="1">IF(Agent08_Savings!A26="","","SV"&amp;TEXT(1419-3,"0000")&amp;"-"&amp;TEXT(TODAY(),"YYYYMMDD"))</f>
        <v/>
      </c>
      <c r="C1419" s="40" t="str">
        <f>IF(Agent08_Savings!A26="","",Agent08_Savings!B26)</f>
        <v/>
      </c>
      <c r="D1419" s="40" t="str">
        <f>IF(Agent08_Savings!A26="","",Agent08_Savings!G26)</f>
        <v/>
      </c>
      <c r="E1419" s="41" t="str">
        <f>IF(Agent08_Savings!A26="","",Agent08_Savings!D26)</f>
        <v/>
      </c>
      <c r="F1419" s="42" t="str">
        <f>IF(Agent08_Savings!A26="","",Agent08_Savings!E26)</f>
        <v/>
      </c>
      <c r="G1419" s="42" t="str">
        <f>IF(Agent08_Savings!A26="","",Agent08_Savings!F26)</f>
        <v/>
      </c>
      <c r="H1419" s="40" t="str">
        <f>IF(Agent08_Savings!A26="","",Agent08_Savings!I26)</f>
        <v/>
      </c>
      <c r="I1419" s="40" t="str">
        <f>IF(Agent08_Savings!A26="","",Agent08_Savings!J26)</f>
        <v/>
      </c>
      <c r="J1419" s="40" t="str">
        <f>IF(Agent08_Savings!A26="","",Agent08_Savings!K26)</f>
        <v/>
      </c>
      <c r="K1419" s="40" t="str">
        <f>IFERROR(IF(Agent08_Savings!A26="","",YEAR(Agent08_Savings!D26)),"")</f>
        <v/>
      </c>
    </row>
    <row r="1420" spans="1:11" ht="18" customHeight="1" x14ac:dyDescent="0.25">
      <c r="A1420" s="40" t="str">
        <f>IF(Agent08_Savings!A27="","",Agent08_Savings!A27)</f>
        <v/>
      </c>
      <c r="B1420" s="40" t="str">
        <f ca="1">IF(Agent08_Savings!A27="","","SV"&amp;TEXT(1420-3,"0000")&amp;"-"&amp;TEXT(TODAY(),"YYYYMMDD"))</f>
        <v/>
      </c>
      <c r="C1420" s="40" t="str">
        <f>IF(Agent08_Savings!A27="","",Agent08_Savings!B27)</f>
        <v/>
      </c>
      <c r="D1420" s="40" t="str">
        <f>IF(Agent08_Savings!A27="","",Agent08_Savings!G27)</f>
        <v/>
      </c>
      <c r="E1420" s="41" t="str">
        <f>IF(Agent08_Savings!A27="","",Agent08_Savings!D27)</f>
        <v/>
      </c>
      <c r="F1420" s="42" t="str">
        <f>IF(Agent08_Savings!A27="","",Agent08_Savings!E27)</f>
        <v/>
      </c>
      <c r="G1420" s="42" t="str">
        <f>IF(Agent08_Savings!A27="","",Agent08_Savings!F27)</f>
        <v/>
      </c>
      <c r="H1420" s="40" t="str">
        <f>IF(Agent08_Savings!A27="","",Agent08_Savings!I27)</f>
        <v/>
      </c>
      <c r="I1420" s="40" t="str">
        <f>IF(Agent08_Savings!A27="","",Agent08_Savings!J27)</f>
        <v/>
      </c>
      <c r="J1420" s="40" t="str">
        <f>IF(Agent08_Savings!A27="","",Agent08_Savings!K27)</f>
        <v/>
      </c>
      <c r="K1420" s="40" t="str">
        <f>IFERROR(IF(Agent08_Savings!A27="","",YEAR(Agent08_Savings!D27)),"")</f>
        <v/>
      </c>
    </row>
    <row r="1421" spans="1:11" ht="18" customHeight="1" x14ac:dyDescent="0.25">
      <c r="A1421" s="40" t="str">
        <f>IF(Agent08_Savings!A28="","",Agent08_Savings!A28)</f>
        <v/>
      </c>
      <c r="B1421" s="40" t="str">
        <f ca="1">IF(Agent08_Savings!A28="","","SV"&amp;TEXT(1421-3,"0000")&amp;"-"&amp;TEXT(TODAY(),"YYYYMMDD"))</f>
        <v/>
      </c>
      <c r="C1421" s="40" t="str">
        <f>IF(Agent08_Savings!A28="","",Agent08_Savings!B28)</f>
        <v/>
      </c>
      <c r="D1421" s="40" t="str">
        <f>IF(Agent08_Savings!A28="","",Agent08_Savings!G28)</f>
        <v/>
      </c>
      <c r="E1421" s="41" t="str">
        <f>IF(Agent08_Savings!A28="","",Agent08_Savings!D28)</f>
        <v/>
      </c>
      <c r="F1421" s="42" t="str">
        <f>IF(Agent08_Savings!A28="","",Agent08_Savings!E28)</f>
        <v/>
      </c>
      <c r="G1421" s="42" t="str">
        <f>IF(Agent08_Savings!A28="","",Agent08_Savings!F28)</f>
        <v/>
      </c>
      <c r="H1421" s="40" t="str">
        <f>IF(Agent08_Savings!A28="","",Agent08_Savings!I28)</f>
        <v/>
      </c>
      <c r="I1421" s="40" t="str">
        <f>IF(Agent08_Savings!A28="","",Agent08_Savings!J28)</f>
        <v/>
      </c>
      <c r="J1421" s="40" t="str">
        <f>IF(Agent08_Savings!A28="","",Agent08_Savings!K28)</f>
        <v/>
      </c>
      <c r="K1421" s="40" t="str">
        <f>IFERROR(IF(Agent08_Savings!A28="","",YEAR(Agent08_Savings!D28)),"")</f>
        <v/>
      </c>
    </row>
    <row r="1422" spans="1:11" ht="18" customHeight="1" x14ac:dyDescent="0.25">
      <c r="A1422" s="40" t="str">
        <f>IF(Agent08_Savings!A29="","",Agent08_Savings!A29)</f>
        <v/>
      </c>
      <c r="B1422" s="40" t="str">
        <f ca="1">IF(Agent08_Savings!A29="","","SV"&amp;TEXT(1422-3,"0000")&amp;"-"&amp;TEXT(TODAY(),"YYYYMMDD"))</f>
        <v/>
      </c>
      <c r="C1422" s="40" t="str">
        <f>IF(Agent08_Savings!A29="","",Agent08_Savings!B29)</f>
        <v/>
      </c>
      <c r="D1422" s="40" t="str">
        <f>IF(Agent08_Savings!A29="","",Agent08_Savings!G29)</f>
        <v/>
      </c>
      <c r="E1422" s="41" t="str">
        <f>IF(Agent08_Savings!A29="","",Agent08_Savings!D29)</f>
        <v/>
      </c>
      <c r="F1422" s="42" t="str">
        <f>IF(Agent08_Savings!A29="","",Agent08_Savings!E29)</f>
        <v/>
      </c>
      <c r="G1422" s="42" t="str">
        <f>IF(Agent08_Savings!A29="","",Agent08_Savings!F29)</f>
        <v/>
      </c>
      <c r="H1422" s="40" t="str">
        <f>IF(Agent08_Savings!A29="","",Agent08_Savings!I29)</f>
        <v/>
      </c>
      <c r="I1422" s="40" t="str">
        <f>IF(Agent08_Savings!A29="","",Agent08_Savings!J29)</f>
        <v/>
      </c>
      <c r="J1422" s="40" t="str">
        <f>IF(Agent08_Savings!A29="","",Agent08_Savings!K29)</f>
        <v/>
      </c>
      <c r="K1422" s="40" t="str">
        <f>IFERROR(IF(Agent08_Savings!A29="","",YEAR(Agent08_Savings!D29)),"")</f>
        <v/>
      </c>
    </row>
    <row r="1423" spans="1:11" ht="18" customHeight="1" x14ac:dyDescent="0.25">
      <c r="A1423" s="40" t="str">
        <f>IF(Agent08_Savings!A30="","",Agent08_Savings!A30)</f>
        <v/>
      </c>
      <c r="B1423" s="40" t="str">
        <f ca="1">IF(Agent08_Savings!A30="","","SV"&amp;TEXT(1423-3,"0000")&amp;"-"&amp;TEXT(TODAY(),"YYYYMMDD"))</f>
        <v/>
      </c>
      <c r="C1423" s="40" t="str">
        <f>IF(Agent08_Savings!A30="","",Agent08_Savings!B30)</f>
        <v/>
      </c>
      <c r="D1423" s="40" t="str">
        <f>IF(Agent08_Savings!A30="","",Agent08_Savings!G30)</f>
        <v/>
      </c>
      <c r="E1423" s="41" t="str">
        <f>IF(Agent08_Savings!A30="","",Agent08_Savings!D30)</f>
        <v/>
      </c>
      <c r="F1423" s="42" t="str">
        <f>IF(Agent08_Savings!A30="","",Agent08_Savings!E30)</f>
        <v/>
      </c>
      <c r="G1423" s="42" t="str">
        <f>IF(Agent08_Savings!A30="","",Agent08_Savings!F30)</f>
        <v/>
      </c>
      <c r="H1423" s="40" t="str">
        <f>IF(Agent08_Savings!A30="","",Agent08_Savings!I30)</f>
        <v/>
      </c>
      <c r="I1423" s="40" t="str">
        <f>IF(Agent08_Savings!A30="","",Agent08_Savings!J30)</f>
        <v/>
      </c>
      <c r="J1423" s="40" t="str">
        <f>IF(Agent08_Savings!A30="","",Agent08_Savings!K30)</f>
        <v/>
      </c>
      <c r="K1423" s="40" t="str">
        <f>IFERROR(IF(Agent08_Savings!A30="","",YEAR(Agent08_Savings!D30)),"")</f>
        <v/>
      </c>
    </row>
    <row r="1424" spans="1:11" ht="18" customHeight="1" x14ac:dyDescent="0.25">
      <c r="A1424" s="40" t="str">
        <f>IF(Agent08_Savings!A31="","",Agent08_Savings!A31)</f>
        <v/>
      </c>
      <c r="B1424" s="40" t="str">
        <f ca="1">IF(Agent08_Savings!A31="","","SV"&amp;TEXT(1424-3,"0000")&amp;"-"&amp;TEXT(TODAY(),"YYYYMMDD"))</f>
        <v/>
      </c>
      <c r="C1424" s="40" t="str">
        <f>IF(Agent08_Savings!A31="","",Agent08_Savings!B31)</f>
        <v/>
      </c>
      <c r="D1424" s="40" t="str">
        <f>IF(Agent08_Savings!A31="","",Agent08_Savings!G31)</f>
        <v/>
      </c>
      <c r="E1424" s="41" t="str">
        <f>IF(Agent08_Savings!A31="","",Agent08_Savings!D31)</f>
        <v/>
      </c>
      <c r="F1424" s="42" t="str">
        <f>IF(Agent08_Savings!A31="","",Agent08_Savings!E31)</f>
        <v/>
      </c>
      <c r="G1424" s="42" t="str">
        <f>IF(Agent08_Savings!A31="","",Agent08_Savings!F31)</f>
        <v/>
      </c>
      <c r="H1424" s="40" t="str">
        <f>IF(Agent08_Savings!A31="","",Agent08_Savings!I31)</f>
        <v/>
      </c>
      <c r="I1424" s="40" t="str">
        <f>IF(Agent08_Savings!A31="","",Agent08_Savings!J31)</f>
        <v/>
      </c>
      <c r="J1424" s="40" t="str">
        <f>IF(Agent08_Savings!A31="","",Agent08_Savings!K31)</f>
        <v/>
      </c>
      <c r="K1424" s="40" t="str">
        <f>IFERROR(IF(Agent08_Savings!A31="","",YEAR(Agent08_Savings!D31)),"")</f>
        <v/>
      </c>
    </row>
    <row r="1425" spans="1:11" ht="18" customHeight="1" x14ac:dyDescent="0.25">
      <c r="A1425" s="40" t="str">
        <f>IF(Agent08_Savings!A32="","",Agent08_Savings!A32)</f>
        <v/>
      </c>
      <c r="B1425" s="40" t="str">
        <f ca="1">IF(Agent08_Savings!A32="","","SV"&amp;TEXT(1425-3,"0000")&amp;"-"&amp;TEXT(TODAY(),"YYYYMMDD"))</f>
        <v/>
      </c>
      <c r="C1425" s="40" t="str">
        <f>IF(Agent08_Savings!A32="","",Agent08_Savings!B32)</f>
        <v/>
      </c>
      <c r="D1425" s="40" t="str">
        <f>IF(Agent08_Savings!A32="","",Agent08_Savings!G32)</f>
        <v/>
      </c>
      <c r="E1425" s="41" t="str">
        <f>IF(Agent08_Savings!A32="","",Agent08_Savings!D32)</f>
        <v/>
      </c>
      <c r="F1425" s="42" t="str">
        <f>IF(Agent08_Savings!A32="","",Agent08_Savings!E32)</f>
        <v/>
      </c>
      <c r="G1425" s="42" t="str">
        <f>IF(Agent08_Savings!A32="","",Agent08_Savings!F32)</f>
        <v/>
      </c>
      <c r="H1425" s="40" t="str">
        <f>IF(Agent08_Savings!A32="","",Agent08_Savings!I32)</f>
        <v/>
      </c>
      <c r="I1425" s="40" t="str">
        <f>IF(Agent08_Savings!A32="","",Agent08_Savings!J32)</f>
        <v/>
      </c>
      <c r="J1425" s="40" t="str">
        <f>IF(Agent08_Savings!A32="","",Agent08_Savings!K32)</f>
        <v/>
      </c>
      <c r="K1425" s="40" t="str">
        <f>IFERROR(IF(Agent08_Savings!A32="","",YEAR(Agent08_Savings!D32)),"")</f>
        <v/>
      </c>
    </row>
    <row r="1426" spans="1:11" ht="18" customHeight="1" x14ac:dyDescent="0.25">
      <c r="A1426" s="40" t="str">
        <f>IF(Agent08_Savings!A33="","",Agent08_Savings!A33)</f>
        <v/>
      </c>
      <c r="B1426" s="40" t="str">
        <f ca="1">IF(Agent08_Savings!A33="","","SV"&amp;TEXT(1426-3,"0000")&amp;"-"&amp;TEXT(TODAY(),"YYYYMMDD"))</f>
        <v/>
      </c>
      <c r="C1426" s="40" t="str">
        <f>IF(Agent08_Savings!A33="","",Agent08_Savings!B33)</f>
        <v/>
      </c>
      <c r="D1426" s="40" t="str">
        <f>IF(Agent08_Savings!A33="","",Agent08_Savings!G33)</f>
        <v/>
      </c>
      <c r="E1426" s="41" t="str">
        <f>IF(Agent08_Savings!A33="","",Agent08_Savings!D33)</f>
        <v/>
      </c>
      <c r="F1426" s="42" t="str">
        <f>IF(Agent08_Savings!A33="","",Agent08_Savings!E33)</f>
        <v/>
      </c>
      <c r="G1426" s="42" t="str">
        <f>IF(Agent08_Savings!A33="","",Agent08_Savings!F33)</f>
        <v/>
      </c>
      <c r="H1426" s="40" t="str">
        <f>IF(Agent08_Savings!A33="","",Agent08_Savings!I33)</f>
        <v/>
      </c>
      <c r="I1426" s="40" t="str">
        <f>IF(Agent08_Savings!A33="","",Agent08_Savings!J33)</f>
        <v/>
      </c>
      <c r="J1426" s="40" t="str">
        <f>IF(Agent08_Savings!A33="","",Agent08_Savings!K33)</f>
        <v/>
      </c>
      <c r="K1426" s="40" t="str">
        <f>IFERROR(IF(Agent08_Savings!A33="","",YEAR(Agent08_Savings!D33)),"")</f>
        <v/>
      </c>
    </row>
    <row r="1427" spans="1:11" ht="18" customHeight="1" x14ac:dyDescent="0.25">
      <c r="A1427" s="40" t="str">
        <f>IF(Agent08_Savings!A34="","",Agent08_Savings!A34)</f>
        <v/>
      </c>
      <c r="B1427" s="40" t="str">
        <f ca="1">IF(Agent08_Savings!A34="","","SV"&amp;TEXT(1427-3,"0000")&amp;"-"&amp;TEXT(TODAY(),"YYYYMMDD"))</f>
        <v/>
      </c>
      <c r="C1427" s="40" t="str">
        <f>IF(Agent08_Savings!A34="","",Agent08_Savings!B34)</f>
        <v/>
      </c>
      <c r="D1427" s="40" t="str">
        <f>IF(Agent08_Savings!A34="","",Agent08_Savings!G34)</f>
        <v/>
      </c>
      <c r="E1427" s="41" t="str">
        <f>IF(Agent08_Savings!A34="","",Agent08_Savings!D34)</f>
        <v/>
      </c>
      <c r="F1427" s="42" t="str">
        <f>IF(Agent08_Savings!A34="","",Agent08_Savings!E34)</f>
        <v/>
      </c>
      <c r="G1427" s="42" t="str">
        <f>IF(Agent08_Savings!A34="","",Agent08_Savings!F34)</f>
        <v/>
      </c>
      <c r="H1427" s="40" t="str">
        <f>IF(Agent08_Savings!A34="","",Agent08_Savings!I34)</f>
        <v/>
      </c>
      <c r="I1427" s="40" t="str">
        <f>IF(Agent08_Savings!A34="","",Agent08_Savings!J34)</f>
        <v/>
      </c>
      <c r="J1427" s="40" t="str">
        <f>IF(Agent08_Savings!A34="","",Agent08_Savings!K34)</f>
        <v/>
      </c>
      <c r="K1427" s="40" t="str">
        <f>IFERROR(IF(Agent08_Savings!A34="","",YEAR(Agent08_Savings!D34)),"")</f>
        <v/>
      </c>
    </row>
    <row r="1428" spans="1:11" ht="18" customHeight="1" x14ac:dyDescent="0.25">
      <c r="A1428" s="40" t="str">
        <f>IF(Agent08_Savings!A35="","",Agent08_Savings!A35)</f>
        <v/>
      </c>
      <c r="B1428" s="40" t="str">
        <f ca="1">IF(Agent08_Savings!A35="","","SV"&amp;TEXT(1428-3,"0000")&amp;"-"&amp;TEXT(TODAY(),"YYYYMMDD"))</f>
        <v/>
      </c>
      <c r="C1428" s="40" t="str">
        <f>IF(Agent08_Savings!A35="","",Agent08_Savings!B35)</f>
        <v/>
      </c>
      <c r="D1428" s="40" t="str">
        <f>IF(Agent08_Savings!A35="","",Agent08_Savings!G35)</f>
        <v/>
      </c>
      <c r="E1428" s="41" t="str">
        <f>IF(Agent08_Savings!A35="","",Agent08_Savings!D35)</f>
        <v/>
      </c>
      <c r="F1428" s="42" t="str">
        <f>IF(Agent08_Savings!A35="","",Agent08_Savings!E35)</f>
        <v/>
      </c>
      <c r="G1428" s="42" t="str">
        <f>IF(Agent08_Savings!A35="","",Agent08_Savings!F35)</f>
        <v/>
      </c>
      <c r="H1428" s="40" t="str">
        <f>IF(Agent08_Savings!A35="","",Agent08_Savings!I35)</f>
        <v/>
      </c>
      <c r="I1428" s="40" t="str">
        <f>IF(Agent08_Savings!A35="","",Agent08_Savings!J35)</f>
        <v/>
      </c>
      <c r="J1428" s="40" t="str">
        <f>IF(Agent08_Savings!A35="","",Agent08_Savings!K35)</f>
        <v/>
      </c>
      <c r="K1428" s="40" t="str">
        <f>IFERROR(IF(Agent08_Savings!A35="","",YEAR(Agent08_Savings!D35)),"")</f>
        <v/>
      </c>
    </row>
    <row r="1429" spans="1:11" ht="18" customHeight="1" x14ac:dyDescent="0.25">
      <c r="A1429" s="40" t="str">
        <f>IF(Agent08_Savings!A36="","",Agent08_Savings!A36)</f>
        <v/>
      </c>
      <c r="B1429" s="40" t="str">
        <f ca="1">IF(Agent08_Savings!A36="","","SV"&amp;TEXT(1429-3,"0000")&amp;"-"&amp;TEXT(TODAY(),"YYYYMMDD"))</f>
        <v/>
      </c>
      <c r="C1429" s="40" t="str">
        <f>IF(Agent08_Savings!A36="","",Agent08_Savings!B36)</f>
        <v/>
      </c>
      <c r="D1429" s="40" t="str">
        <f>IF(Agent08_Savings!A36="","",Agent08_Savings!G36)</f>
        <v/>
      </c>
      <c r="E1429" s="41" t="str">
        <f>IF(Agent08_Savings!A36="","",Agent08_Savings!D36)</f>
        <v/>
      </c>
      <c r="F1429" s="42" t="str">
        <f>IF(Agent08_Savings!A36="","",Agent08_Savings!E36)</f>
        <v/>
      </c>
      <c r="G1429" s="42" t="str">
        <f>IF(Agent08_Savings!A36="","",Agent08_Savings!F36)</f>
        <v/>
      </c>
      <c r="H1429" s="40" t="str">
        <f>IF(Agent08_Savings!A36="","",Agent08_Savings!I36)</f>
        <v/>
      </c>
      <c r="I1429" s="40" t="str">
        <f>IF(Agent08_Savings!A36="","",Agent08_Savings!J36)</f>
        <v/>
      </c>
      <c r="J1429" s="40" t="str">
        <f>IF(Agent08_Savings!A36="","",Agent08_Savings!K36)</f>
        <v/>
      </c>
      <c r="K1429" s="40" t="str">
        <f>IFERROR(IF(Agent08_Savings!A36="","",YEAR(Agent08_Savings!D36)),"")</f>
        <v/>
      </c>
    </row>
    <row r="1430" spans="1:11" ht="18" customHeight="1" x14ac:dyDescent="0.25">
      <c r="A1430" s="40" t="str">
        <f>IF(Agent08_Savings!A37="","",Agent08_Savings!A37)</f>
        <v/>
      </c>
      <c r="B1430" s="40" t="str">
        <f ca="1">IF(Agent08_Savings!A37="","","SV"&amp;TEXT(1430-3,"0000")&amp;"-"&amp;TEXT(TODAY(),"YYYYMMDD"))</f>
        <v/>
      </c>
      <c r="C1430" s="40" t="str">
        <f>IF(Agent08_Savings!A37="","",Agent08_Savings!B37)</f>
        <v/>
      </c>
      <c r="D1430" s="40" t="str">
        <f>IF(Agent08_Savings!A37="","",Agent08_Savings!G37)</f>
        <v/>
      </c>
      <c r="E1430" s="41" t="str">
        <f>IF(Agent08_Savings!A37="","",Agent08_Savings!D37)</f>
        <v/>
      </c>
      <c r="F1430" s="42" t="str">
        <f>IF(Agent08_Savings!A37="","",Agent08_Savings!E37)</f>
        <v/>
      </c>
      <c r="G1430" s="42" t="str">
        <f>IF(Agent08_Savings!A37="","",Agent08_Savings!F37)</f>
        <v/>
      </c>
      <c r="H1430" s="40" t="str">
        <f>IF(Agent08_Savings!A37="","",Agent08_Savings!I37)</f>
        <v/>
      </c>
      <c r="I1430" s="40" t="str">
        <f>IF(Agent08_Savings!A37="","",Agent08_Savings!J37)</f>
        <v/>
      </c>
      <c r="J1430" s="40" t="str">
        <f>IF(Agent08_Savings!A37="","",Agent08_Savings!K37)</f>
        <v/>
      </c>
      <c r="K1430" s="40" t="str">
        <f>IFERROR(IF(Agent08_Savings!A37="","",YEAR(Agent08_Savings!D37)),"")</f>
        <v/>
      </c>
    </row>
    <row r="1431" spans="1:11" ht="18" customHeight="1" x14ac:dyDescent="0.25">
      <c r="A1431" s="40" t="str">
        <f>IF(Agent08_Savings!A38="","",Agent08_Savings!A38)</f>
        <v/>
      </c>
      <c r="B1431" s="40" t="str">
        <f ca="1">IF(Agent08_Savings!A38="","","SV"&amp;TEXT(1431-3,"0000")&amp;"-"&amp;TEXT(TODAY(),"YYYYMMDD"))</f>
        <v/>
      </c>
      <c r="C1431" s="40" t="str">
        <f>IF(Agent08_Savings!A38="","",Agent08_Savings!B38)</f>
        <v/>
      </c>
      <c r="D1431" s="40" t="str">
        <f>IF(Agent08_Savings!A38="","",Agent08_Savings!G38)</f>
        <v/>
      </c>
      <c r="E1431" s="41" t="str">
        <f>IF(Agent08_Savings!A38="","",Agent08_Savings!D38)</f>
        <v/>
      </c>
      <c r="F1431" s="42" t="str">
        <f>IF(Agent08_Savings!A38="","",Agent08_Savings!E38)</f>
        <v/>
      </c>
      <c r="G1431" s="42" t="str">
        <f>IF(Agent08_Savings!A38="","",Agent08_Savings!F38)</f>
        <v/>
      </c>
      <c r="H1431" s="40" t="str">
        <f>IF(Agent08_Savings!A38="","",Agent08_Savings!I38)</f>
        <v/>
      </c>
      <c r="I1431" s="40" t="str">
        <f>IF(Agent08_Savings!A38="","",Agent08_Savings!J38)</f>
        <v/>
      </c>
      <c r="J1431" s="40" t="str">
        <f>IF(Agent08_Savings!A38="","",Agent08_Savings!K38)</f>
        <v/>
      </c>
      <c r="K1431" s="40" t="str">
        <f>IFERROR(IF(Agent08_Savings!A38="","",YEAR(Agent08_Savings!D38)),"")</f>
        <v/>
      </c>
    </row>
    <row r="1432" spans="1:11" ht="18" customHeight="1" x14ac:dyDescent="0.25">
      <c r="A1432" s="40" t="str">
        <f>IF(Agent08_Savings!A39="","",Agent08_Savings!A39)</f>
        <v/>
      </c>
      <c r="B1432" s="40" t="str">
        <f ca="1">IF(Agent08_Savings!A39="","","SV"&amp;TEXT(1432-3,"0000")&amp;"-"&amp;TEXT(TODAY(),"YYYYMMDD"))</f>
        <v/>
      </c>
      <c r="C1432" s="40" t="str">
        <f>IF(Agent08_Savings!A39="","",Agent08_Savings!B39)</f>
        <v/>
      </c>
      <c r="D1432" s="40" t="str">
        <f>IF(Agent08_Savings!A39="","",Agent08_Savings!G39)</f>
        <v/>
      </c>
      <c r="E1432" s="41" t="str">
        <f>IF(Agent08_Savings!A39="","",Agent08_Savings!D39)</f>
        <v/>
      </c>
      <c r="F1432" s="42" t="str">
        <f>IF(Agent08_Savings!A39="","",Agent08_Savings!E39)</f>
        <v/>
      </c>
      <c r="G1432" s="42" t="str">
        <f>IF(Agent08_Savings!A39="","",Agent08_Savings!F39)</f>
        <v/>
      </c>
      <c r="H1432" s="40" t="str">
        <f>IF(Agent08_Savings!A39="","",Agent08_Savings!I39)</f>
        <v/>
      </c>
      <c r="I1432" s="40" t="str">
        <f>IF(Agent08_Savings!A39="","",Agent08_Savings!J39)</f>
        <v/>
      </c>
      <c r="J1432" s="40" t="str">
        <f>IF(Agent08_Savings!A39="","",Agent08_Savings!K39)</f>
        <v/>
      </c>
      <c r="K1432" s="40" t="str">
        <f>IFERROR(IF(Agent08_Savings!A39="","",YEAR(Agent08_Savings!D39)),"")</f>
        <v/>
      </c>
    </row>
    <row r="1433" spans="1:11" ht="18" customHeight="1" x14ac:dyDescent="0.25">
      <c r="A1433" s="40" t="str">
        <f>IF(Agent08_Savings!A40="","",Agent08_Savings!A40)</f>
        <v/>
      </c>
      <c r="B1433" s="40" t="str">
        <f ca="1">IF(Agent08_Savings!A40="","","SV"&amp;TEXT(1433-3,"0000")&amp;"-"&amp;TEXT(TODAY(),"YYYYMMDD"))</f>
        <v/>
      </c>
      <c r="C1433" s="40" t="str">
        <f>IF(Agent08_Savings!A40="","",Agent08_Savings!B40)</f>
        <v/>
      </c>
      <c r="D1433" s="40" t="str">
        <f>IF(Agent08_Savings!A40="","",Agent08_Savings!G40)</f>
        <v/>
      </c>
      <c r="E1433" s="41" t="str">
        <f>IF(Agent08_Savings!A40="","",Agent08_Savings!D40)</f>
        <v/>
      </c>
      <c r="F1433" s="42" t="str">
        <f>IF(Agent08_Savings!A40="","",Agent08_Savings!E40)</f>
        <v/>
      </c>
      <c r="G1433" s="42" t="str">
        <f>IF(Agent08_Savings!A40="","",Agent08_Savings!F40)</f>
        <v/>
      </c>
      <c r="H1433" s="40" t="str">
        <f>IF(Agent08_Savings!A40="","",Agent08_Savings!I40)</f>
        <v/>
      </c>
      <c r="I1433" s="40" t="str">
        <f>IF(Agent08_Savings!A40="","",Agent08_Savings!J40)</f>
        <v/>
      </c>
      <c r="J1433" s="40" t="str">
        <f>IF(Agent08_Savings!A40="","",Agent08_Savings!K40)</f>
        <v/>
      </c>
      <c r="K1433" s="40" t="str">
        <f>IFERROR(IF(Agent08_Savings!A40="","",YEAR(Agent08_Savings!D40)),"")</f>
        <v/>
      </c>
    </row>
    <row r="1434" spans="1:11" ht="18" customHeight="1" x14ac:dyDescent="0.25">
      <c r="A1434" s="40" t="str">
        <f>IF(Agent08_Savings!A41="","",Agent08_Savings!A41)</f>
        <v/>
      </c>
      <c r="B1434" s="40" t="str">
        <f ca="1">IF(Agent08_Savings!A41="","","SV"&amp;TEXT(1434-3,"0000")&amp;"-"&amp;TEXT(TODAY(),"YYYYMMDD"))</f>
        <v/>
      </c>
      <c r="C1434" s="40" t="str">
        <f>IF(Agent08_Savings!A41="","",Agent08_Savings!B41)</f>
        <v/>
      </c>
      <c r="D1434" s="40" t="str">
        <f>IF(Agent08_Savings!A41="","",Agent08_Savings!G41)</f>
        <v/>
      </c>
      <c r="E1434" s="41" t="str">
        <f>IF(Agent08_Savings!A41="","",Agent08_Savings!D41)</f>
        <v/>
      </c>
      <c r="F1434" s="42" t="str">
        <f>IF(Agent08_Savings!A41="","",Agent08_Savings!E41)</f>
        <v/>
      </c>
      <c r="G1434" s="42" t="str">
        <f>IF(Agent08_Savings!A41="","",Agent08_Savings!F41)</f>
        <v/>
      </c>
      <c r="H1434" s="40" t="str">
        <f>IF(Agent08_Savings!A41="","",Agent08_Savings!I41)</f>
        <v/>
      </c>
      <c r="I1434" s="40" t="str">
        <f>IF(Agent08_Savings!A41="","",Agent08_Savings!J41)</f>
        <v/>
      </c>
      <c r="J1434" s="40" t="str">
        <f>IF(Agent08_Savings!A41="","",Agent08_Savings!K41)</f>
        <v/>
      </c>
      <c r="K1434" s="40" t="str">
        <f>IFERROR(IF(Agent08_Savings!A41="","",YEAR(Agent08_Savings!D41)),"")</f>
        <v/>
      </c>
    </row>
    <row r="1435" spans="1:11" ht="18" customHeight="1" x14ac:dyDescent="0.25">
      <c r="A1435" s="40" t="str">
        <f>IF(Agent08_Savings!A42="","",Agent08_Savings!A42)</f>
        <v/>
      </c>
      <c r="B1435" s="40" t="str">
        <f ca="1">IF(Agent08_Savings!A42="","","SV"&amp;TEXT(1435-3,"0000")&amp;"-"&amp;TEXT(TODAY(),"YYYYMMDD"))</f>
        <v/>
      </c>
      <c r="C1435" s="40" t="str">
        <f>IF(Agent08_Savings!A42="","",Agent08_Savings!B42)</f>
        <v/>
      </c>
      <c r="D1435" s="40" t="str">
        <f>IF(Agent08_Savings!A42="","",Agent08_Savings!G42)</f>
        <v/>
      </c>
      <c r="E1435" s="41" t="str">
        <f>IF(Agent08_Savings!A42="","",Agent08_Savings!D42)</f>
        <v/>
      </c>
      <c r="F1435" s="42" t="str">
        <f>IF(Agent08_Savings!A42="","",Agent08_Savings!E42)</f>
        <v/>
      </c>
      <c r="G1435" s="42" t="str">
        <f>IF(Agent08_Savings!A42="","",Agent08_Savings!F42)</f>
        <v/>
      </c>
      <c r="H1435" s="40" t="str">
        <f>IF(Agent08_Savings!A42="","",Agent08_Savings!I42)</f>
        <v/>
      </c>
      <c r="I1435" s="40" t="str">
        <f>IF(Agent08_Savings!A42="","",Agent08_Savings!J42)</f>
        <v/>
      </c>
      <c r="J1435" s="40" t="str">
        <f>IF(Agent08_Savings!A42="","",Agent08_Savings!K42)</f>
        <v/>
      </c>
      <c r="K1435" s="40" t="str">
        <f>IFERROR(IF(Agent08_Savings!A42="","",YEAR(Agent08_Savings!D42)),"")</f>
        <v/>
      </c>
    </row>
    <row r="1436" spans="1:11" ht="18" customHeight="1" x14ac:dyDescent="0.25">
      <c r="A1436" s="40" t="str">
        <f>IF(Agent08_Savings!A43="","",Agent08_Savings!A43)</f>
        <v/>
      </c>
      <c r="B1436" s="40" t="str">
        <f ca="1">IF(Agent08_Savings!A43="","","SV"&amp;TEXT(1436-3,"0000")&amp;"-"&amp;TEXT(TODAY(),"YYYYMMDD"))</f>
        <v/>
      </c>
      <c r="C1436" s="40" t="str">
        <f>IF(Agent08_Savings!A43="","",Agent08_Savings!B43)</f>
        <v/>
      </c>
      <c r="D1436" s="40" t="str">
        <f>IF(Agent08_Savings!A43="","",Agent08_Savings!G43)</f>
        <v/>
      </c>
      <c r="E1436" s="41" t="str">
        <f>IF(Agent08_Savings!A43="","",Agent08_Savings!D43)</f>
        <v/>
      </c>
      <c r="F1436" s="42" t="str">
        <f>IF(Agent08_Savings!A43="","",Agent08_Savings!E43)</f>
        <v/>
      </c>
      <c r="G1436" s="42" t="str">
        <f>IF(Agent08_Savings!A43="","",Agent08_Savings!F43)</f>
        <v/>
      </c>
      <c r="H1436" s="40" t="str">
        <f>IF(Agent08_Savings!A43="","",Agent08_Savings!I43)</f>
        <v/>
      </c>
      <c r="I1436" s="40" t="str">
        <f>IF(Agent08_Savings!A43="","",Agent08_Savings!J43)</f>
        <v/>
      </c>
      <c r="J1436" s="40" t="str">
        <f>IF(Agent08_Savings!A43="","",Agent08_Savings!K43)</f>
        <v/>
      </c>
      <c r="K1436" s="40" t="str">
        <f>IFERROR(IF(Agent08_Savings!A43="","",YEAR(Agent08_Savings!D43)),"")</f>
        <v/>
      </c>
    </row>
    <row r="1437" spans="1:11" ht="18" customHeight="1" x14ac:dyDescent="0.25">
      <c r="A1437" s="40" t="str">
        <f>IF(Agent08_Savings!A44="","",Agent08_Savings!A44)</f>
        <v/>
      </c>
      <c r="B1437" s="40" t="str">
        <f ca="1">IF(Agent08_Savings!A44="","","SV"&amp;TEXT(1437-3,"0000")&amp;"-"&amp;TEXT(TODAY(),"YYYYMMDD"))</f>
        <v/>
      </c>
      <c r="C1437" s="40" t="str">
        <f>IF(Agent08_Savings!A44="","",Agent08_Savings!B44)</f>
        <v/>
      </c>
      <c r="D1437" s="40" t="str">
        <f>IF(Agent08_Savings!A44="","",Agent08_Savings!G44)</f>
        <v/>
      </c>
      <c r="E1437" s="41" t="str">
        <f>IF(Agent08_Savings!A44="","",Agent08_Savings!D44)</f>
        <v/>
      </c>
      <c r="F1437" s="42" t="str">
        <f>IF(Agent08_Savings!A44="","",Agent08_Savings!E44)</f>
        <v/>
      </c>
      <c r="G1437" s="42" t="str">
        <f>IF(Agent08_Savings!A44="","",Agent08_Savings!F44)</f>
        <v/>
      </c>
      <c r="H1437" s="40" t="str">
        <f>IF(Agent08_Savings!A44="","",Agent08_Savings!I44)</f>
        <v/>
      </c>
      <c r="I1437" s="40" t="str">
        <f>IF(Agent08_Savings!A44="","",Agent08_Savings!J44)</f>
        <v/>
      </c>
      <c r="J1437" s="40" t="str">
        <f>IF(Agent08_Savings!A44="","",Agent08_Savings!K44)</f>
        <v/>
      </c>
      <c r="K1437" s="40" t="str">
        <f>IFERROR(IF(Agent08_Savings!A44="","",YEAR(Agent08_Savings!D44)),"")</f>
        <v/>
      </c>
    </row>
    <row r="1438" spans="1:11" ht="18" customHeight="1" x14ac:dyDescent="0.25">
      <c r="A1438" s="40" t="str">
        <f>IF(Agent08_Savings!A45="","",Agent08_Savings!A45)</f>
        <v/>
      </c>
      <c r="B1438" s="40" t="str">
        <f ca="1">IF(Agent08_Savings!A45="","","SV"&amp;TEXT(1438-3,"0000")&amp;"-"&amp;TEXT(TODAY(),"YYYYMMDD"))</f>
        <v/>
      </c>
      <c r="C1438" s="40" t="str">
        <f>IF(Agent08_Savings!A45="","",Agent08_Savings!B45)</f>
        <v/>
      </c>
      <c r="D1438" s="40" t="str">
        <f>IF(Agent08_Savings!A45="","",Agent08_Savings!G45)</f>
        <v/>
      </c>
      <c r="E1438" s="41" t="str">
        <f>IF(Agent08_Savings!A45="","",Agent08_Savings!D45)</f>
        <v/>
      </c>
      <c r="F1438" s="42" t="str">
        <f>IF(Agent08_Savings!A45="","",Agent08_Savings!E45)</f>
        <v/>
      </c>
      <c r="G1438" s="42" t="str">
        <f>IF(Agent08_Savings!A45="","",Agent08_Savings!F45)</f>
        <v/>
      </c>
      <c r="H1438" s="40" t="str">
        <f>IF(Agent08_Savings!A45="","",Agent08_Savings!I45)</f>
        <v/>
      </c>
      <c r="I1438" s="40" t="str">
        <f>IF(Agent08_Savings!A45="","",Agent08_Savings!J45)</f>
        <v/>
      </c>
      <c r="J1438" s="40" t="str">
        <f>IF(Agent08_Savings!A45="","",Agent08_Savings!K45)</f>
        <v/>
      </c>
      <c r="K1438" s="40" t="str">
        <f>IFERROR(IF(Agent08_Savings!A45="","",YEAR(Agent08_Savings!D45)),"")</f>
        <v/>
      </c>
    </row>
    <row r="1439" spans="1:11" ht="18" customHeight="1" x14ac:dyDescent="0.25">
      <c r="A1439" s="40" t="str">
        <f>IF(Agent08_Savings!A46="","",Agent08_Savings!A46)</f>
        <v/>
      </c>
      <c r="B1439" s="40" t="str">
        <f ca="1">IF(Agent08_Savings!A46="","","SV"&amp;TEXT(1439-3,"0000")&amp;"-"&amp;TEXT(TODAY(),"YYYYMMDD"))</f>
        <v/>
      </c>
      <c r="C1439" s="40" t="str">
        <f>IF(Agent08_Savings!A46="","",Agent08_Savings!B46)</f>
        <v/>
      </c>
      <c r="D1439" s="40" t="str">
        <f>IF(Agent08_Savings!A46="","",Agent08_Savings!G46)</f>
        <v/>
      </c>
      <c r="E1439" s="41" t="str">
        <f>IF(Agent08_Savings!A46="","",Agent08_Savings!D46)</f>
        <v/>
      </c>
      <c r="F1439" s="42" t="str">
        <f>IF(Agent08_Savings!A46="","",Agent08_Savings!E46)</f>
        <v/>
      </c>
      <c r="G1439" s="42" t="str">
        <f>IF(Agent08_Savings!A46="","",Agent08_Savings!F46)</f>
        <v/>
      </c>
      <c r="H1439" s="40" t="str">
        <f>IF(Agent08_Savings!A46="","",Agent08_Savings!I46)</f>
        <v/>
      </c>
      <c r="I1439" s="40" t="str">
        <f>IF(Agent08_Savings!A46="","",Agent08_Savings!J46)</f>
        <v/>
      </c>
      <c r="J1439" s="40" t="str">
        <f>IF(Agent08_Savings!A46="","",Agent08_Savings!K46)</f>
        <v/>
      </c>
      <c r="K1439" s="40" t="str">
        <f>IFERROR(IF(Agent08_Savings!A46="","",YEAR(Agent08_Savings!D46)),"")</f>
        <v/>
      </c>
    </row>
    <row r="1440" spans="1:11" ht="18" customHeight="1" x14ac:dyDescent="0.25">
      <c r="A1440" s="40" t="str">
        <f>IF(Agent08_Savings!A47="","",Agent08_Savings!A47)</f>
        <v/>
      </c>
      <c r="B1440" s="40" t="str">
        <f ca="1">IF(Agent08_Savings!A47="","","SV"&amp;TEXT(1440-3,"0000")&amp;"-"&amp;TEXT(TODAY(),"YYYYMMDD"))</f>
        <v/>
      </c>
      <c r="C1440" s="40" t="str">
        <f>IF(Agent08_Savings!A47="","",Agent08_Savings!B47)</f>
        <v/>
      </c>
      <c r="D1440" s="40" t="str">
        <f>IF(Agent08_Savings!A47="","",Agent08_Savings!G47)</f>
        <v/>
      </c>
      <c r="E1440" s="41" t="str">
        <f>IF(Agent08_Savings!A47="","",Agent08_Savings!D47)</f>
        <v/>
      </c>
      <c r="F1440" s="42" t="str">
        <f>IF(Agent08_Savings!A47="","",Agent08_Savings!E47)</f>
        <v/>
      </c>
      <c r="G1440" s="42" t="str">
        <f>IF(Agent08_Savings!A47="","",Agent08_Savings!F47)</f>
        <v/>
      </c>
      <c r="H1440" s="40" t="str">
        <f>IF(Agent08_Savings!A47="","",Agent08_Savings!I47)</f>
        <v/>
      </c>
      <c r="I1440" s="40" t="str">
        <f>IF(Agent08_Savings!A47="","",Agent08_Savings!J47)</f>
        <v/>
      </c>
      <c r="J1440" s="40" t="str">
        <f>IF(Agent08_Savings!A47="","",Agent08_Savings!K47)</f>
        <v/>
      </c>
      <c r="K1440" s="40" t="str">
        <f>IFERROR(IF(Agent08_Savings!A47="","",YEAR(Agent08_Savings!D47)),"")</f>
        <v/>
      </c>
    </row>
    <row r="1441" spans="1:11" ht="18" customHeight="1" x14ac:dyDescent="0.25">
      <c r="A1441" s="40" t="str">
        <f>IF(Agent08_Savings!A48="","",Agent08_Savings!A48)</f>
        <v/>
      </c>
      <c r="B1441" s="40" t="str">
        <f ca="1">IF(Agent08_Savings!A48="","","SV"&amp;TEXT(1441-3,"0000")&amp;"-"&amp;TEXT(TODAY(),"YYYYMMDD"))</f>
        <v/>
      </c>
      <c r="C1441" s="40" t="str">
        <f>IF(Agent08_Savings!A48="","",Agent08_Savings!B48)</f>
        <v/>
      </c>
      <c r="D1441" s="40" t="str">
        <f>IF(Agent08_Savings!A48="","",Agent08_Savings!G48)</f>
        <v/>
      </c>
      <c r="E1441" s="41" t="str">
        <f>IF(Agent08_Savings!A48="","",Agent08_Savings!D48)</f>
        <v/>
      </c>
      <c r="F1441" s="42" t="str">
        <f>IF(Agent08_Savings!A48="","",Agent08_Savings!E48)</f>
        <v/>
      </c>
      <c r="G1441" s="42" t="str">
        <f>IF(Agent08_Savings!A48="","",Agent08_Savings!F48)</f>
        <v/>
      </c>
      <c r="H1441" s="40" t="str">
        <f>IF(Agent08_Savings!A48="","",Agent08_Savings!I48)</f>
        <v/>
      </c>
      <c r="I1441" s="40" t="str">
        <f>IF(Agent08_Savings!A48="","",Agent08_Savings!J48)</f>
        <v/>
      </c>
      <c r="J1441" s="40" t="str">
        <f>IF(Agent08_Savings!A48="","",Agent08_Savings!K48)</f>
        <v/>
      </c>
      <c r="K1441" s="40" t="str">
        <f>IFERROR(IF(Agent08_Savings!A48="","",YEAR(Agent08_Savings!D48)),"")</f>
        <v/>
      </c>
    </row>
    <row r="1442" spans="1:11" ht="18" customHeight="1" x14ac:dyDescent="0.25">
      <c r="A1442" s="40" t="str">
        <f>IF(Agent08_Savings!A49="","",Agent08_Savings!A49)</f>
        <v/>
      </c>
      <c r="B1442" s="40" t="str">
        <f ca="1">IF(Agent08_Savings!A49="","","SV"&amp;TEXT(1442-3,"0000")&amp;"-"&amp;TEXT(TODAY(),"YYYYMMDD"))</f>
        <v/>
      </c>
      <c r="C1442" s="40" t="str">
        <f>IF(Agent08_Savings!A49="","",Agent08_Savings!B49)</f>
        <v/>
      </c>
      <c r="D1442" s="40" t="str">
        <f>IF(Agent08_Savings!A49="","",Agent08_Savings!G49)</f>
        <v/>
      </c>
      <c r="E1442" s="41" t="str">
        <f>IF(Agent08_Savings!A49="","",Agent08_Savings!D49)</f>
        <v/>
      </c>
      <c r="F1442" s="42" t="str">
        <f>IF(Agent08_Savings!A49="","",Agent08_Savings!E49)</f>
        <v/>
      </c>
      <c r="G1442" s="42" t="str">
        <f>IF(Agent08_Savings!A49="","",Agent08_Savings!F49)</f>
        <v/>
      </c>
      <c r="H1442" s="40" t="str">
        <f>IF(Agent08_Savings!A49="","",Agent08_Savings!I49)</f>
        <v/>
      </c>
      <c r="I1442" s="40" t="str">
        <f>IF(Agent08_Savings!A49="","",Agent08_Savings!J49)</f>
        <v/>
      </c>
      <c r="J1442" s="40" t="str">
        <f>IF(Agent08_Savings!A49="","",Agent08_Savings!K49)</f>
        <v/>
      </c>
      <c r="K1442" s="40" t="str">
        <f>IFERROR(IF(Agent08_Savings!A49="","",YEAR(Agent08_Savings!D49)),"")</f>
        <v/>
      </c>
    </row>
    <row r="1443" spans="1:11" ht="18" customHeight="1" x14ac:dyDescent="0.25">
      <c r="A1443" s="40" t="str">
        <f>IF(Agent08_Savings!A50="","",Agent08_Savings!A50)</f>
        <v/>
      </c>
      <c r="B1443" s="40" t="str">
        <f ca="1">IF(Agent08_Savings!A50="","","SV"&amp;TEXT(1443-3,"0000")&amp;"-"&amp;TEXT(TODAY(),"YYYYMMDD"))</f>
        <v/>
      </c>
      <c r="C1443" s="40" t="str">
        <f>IF(Agent08_Savings!A50="","",Agent08_Savings!B50)</f>
        <v/>
      </c>
      <c r="D1443" s="40" t="str">
        <f>IF(Agent08_Savings!A50="","",Agent08_Savings!G50)</f>
        <v/>
      </c>
      <c r="E1443" s="41" t="str">
        <f>IF(Agent08_Savings!A50="","",Agent08_Savings!D50)</f>
        <v/>
      </c>
      <c r="F1443" s="42" t="str">
        <f>IF(Agent08_Savings!A50="","",Agent08_Savings!E50)</f>
        <v/>
      </c>
      <c r="G1443" s="42" t="str">
        <f>IF(Agent08_Savings!A50="","",Agent08_Savings!F50)</f>
        <v/>
      </c>
      <c r="H1443" s="40" t="str">
        <f>IF(Agent08_Savings!A50="","",Agent08_Savings!I50)</f>
        <v/>
      </c>
      <c r="I1443" s="40" t="str">
        <f>IF(Agent08_Savings!A50="","",Agent08_Savings!J50)</f>
        <v/>
      </c>
      <c r="J1443" s="40" t="str">
        <f>IF(Agent08_Savings!A50="","",Agent08_Savings!K50)</f>
        <v/>
      </c>
      <c r="K1443" s="40" t="str">
        <f>IFERROR(IF(Agent08_Savings!A50="","",YEAR(Agent08_Savings!D50)),"")</f>
        <v/>
      </c>
    </row>
    <row r="1444" spans="1:11" ht="18" customHeight="1" x14ac:dyDescent="0.25">
      <c r="A1444" s="40" t="str">
        <f>IF(Agent08_Savings!A51="","",Agent08_Savings!A51)</f>
        <v/>
      </c>
      <c r="B1444" s="40" t="str">
        <f ca="1">IF(Agent08_Savings!A51="","","SV"&amp;TEXT(1444-3,"0000")&amp;"-"&amp;TEXT(TODAY(),"YYYYMMDD"))</f>
        <v/>
      </c>
      <c r="C1444" s="40" t="str">
        <f>IF(Agent08_Savings!A51="","",Agent08_Savings!B51)</f>
        <v/>
      </c>
      <c r="D1444" s="40" t="str">
        <f>IF(Agent08_Savings!A51="","",Agent08_Savings!G51)</f>
        <v/>
      </c>
      <c r="E1444" s="41" t="str">
        <f>IF(Agent08_Savings!A51="","",Agent08_Savings!D51)</f>
        <v/>
      </c>
      <c r="F1444" s="42" t="str">
        <f>IF(Agent08_Savings!A51="","",Agent08_Savings!E51)</f>
        <v/>
      </c>
      <c r="G1444" s="42" t="str">
        <f>IF(Agent08_Savings!A51="","",Agent08_Savings!F51)</f>
        <v/>
      </c>
      <c r="H1444" s="40" t="str">
        <f>IF(Agent08_Savings!A51="","",Agent08_Savings!I51)</f>
        <v/>
      </c>
      <c r="I1444" s="40" t="str">
        <f>IF(Agent08_Savings!A51="","",Agent08_Savings!J51)</f>
        <v/>
      </c>
      <c r="J1444" s="40" t="str">
        <f>IF(Agent08_Savings!A51="","",Agent08_Savings!K51)</f>
        <v/>
      </c>
      <c r="K1444" s="40" t="str">
        <f>IFERROR(IF(Agent08_Savings!A51="","",YEAR(Agent08_Savings!D51)),"")</f>
        <v/>
      </c>
    </row>
    <row r="1445" spans="1:11" ht="18" customHeight="1" x14ac:dyDescent="0.25">
      <c r="A1445" s="40" t="str">
        <f>IF(Agent08_Savings!A52="","",Agent08_Savings!A52)</f>
        <v/>
      </c>
      <c r="B1445" s="40" t="str">
        <f ca="1">IF(Agent08_Savings!A52="","","SV"&amp;TEXT(1445-3,"0000")&amp;"-"&amp;TEXT(TODAY(),"YYYYMMDD"))</f>
        <v/>
      </c>
      <c r="C1445" s="40" t="str">
        <f>IF(Agent08_Savings!A52="","",Agent08_Savings!B52)</f>
        <v/>
      </c>
      <c r="D1445" s="40" t="str">
        <f>IF(Agent08_Savings!A52="","",Agent08_Savings!G52)</f>
        <v/>
      </c>
      <c r="E1445" s="41" t="str">
        <f>IF(Agent08_Savings!A52="","",Agent08_Savings!D52)</f>
        <v/>
      </c>
      <c r="F1445" s="42" t="str">
        <f>IF(Agent08_Savings!A52="","",Agent08_Savings!E52)</f>
        <v/>
      </c>
      <c r="G1445" s="42" t="str">
        <f>IF(Agent08_Savings!A52="","",Agent08_Savings!F52)</f>
        <v/>
      </c>
      <c r="H1445" s="40" t="str">
        <f>IF(Agent08_Savings!A52="","",Agent08_Savings!I52)</f>
        <v/>
      </c>
      <c r="I1445" s="40" t="str">
        <f>IF(Agent08_Savings!A52="","",Agent08_Savings!J52)</f>
        <v/>
      </c>
      <c r="J1445" s="40" t="str">
        <f>IF(Agent08_Savings!A52="","",Agent08_Savings!K52)</f>
        <v/>
      </c>
      <c r="K1445" s="40" t="str">
        <f>IFERROR(IF(Agent08_Savings!A52="","",YEAR(Agent08_Savings!D52)),"")</f>
        <v/>
      </c>
    </row>
    <row r="1446" spans="1:11" ht="18" customHeight="1" x14ac:dyDescent="0.25">
      <c r="A1446" s="40" t="str">
        <f>IF(Agent08_Savings!A53="","",Agent08_Savings!A53)</f>
        <v/>
      </c>
      <c r="B1446" s="40" t="str">
        <f ca="1">IF(Agent08_Savings!A53="","","SV"&amp;TEXT(1446-3,"0000")&amp;"-"&amp;TEXT(TODAY(),"YYYYMMDD"))</f>
        <v/>
      </c>
      <c r="C1446" s="40" t="str">
        <f>IF(Agent08_Savings!A53="","",Agent08_Savings!B53)</f>
        <v/>
      </c>
      <c r="D1446" s="40" t="str">
        <f>IF(Agent08_Savings!A53="","",Agent08_Savings!G53)</f>
        <v/>
      </c>
      <c r="E1446" s="41" t="str">
        <f>IF(Agent08_Savings!A53="","",Agent08_Savings!D53)</f>
        <v/>
      </c>
      <c r="F1446" s="42" t="str">
        <f>IF(Agent08_Savings!A53="","",Agent08_Savings!E53)</f>
        <v/>
      </c>
      <c r="G1446" s="42" t="str">
        <f>IF(Agent08_Savings!A53="","",Agent08_Savings!F53)</f>
        <v/>
      </c>
      <c r="H1446" s="40" t="str">
        <f>IF(Agent08_Savings!A53="","",Agent08_Savings!I53)</f>
        <v/>
      </c>
      <c r="I1446" s="40" t="str">
        <f>IF(Agent08_Savings!A53="","",Agent08_Savings!J53)</f>
        <v/>
      </c>
      <c r="J1446" s="40" t="str">
        <f>IF(Agent08_Savings!A53="","",Agent08_Savings!K53)</f>
        <v/>
      </c>
      <c r="K1446" s="40" t="str">
        <f>IFERROR(IF(Agent08_Savings!A53="","",YEAR(Agent08_Savings!D53)),"")</f>
        <v/>
      </c>
    </row>
    <row r="1447" spans="1:11" ht="18" customHeight="1" x14ac:dyDescent="0.25">
      <c r="A1447" s="40" t="str">
        <f>IF(Agent08_Savings!A54="","",Agent08_Savings!A54)</f>
        <v/>
      </c>
      <c r="B1447" s="40" t="str">
        <f ca="1">IF(Agent08_Savings!A54="","","SV"&amp;TEXT(1447-3,"0000")&amp;"-"&amp;TEXT(TODAY(),"YYYYMMDD"))</f>
        <v/>
      </c>
      <c r="C1447" s="40" t="str">
        <f>IF(Agent08_Savings!A54="","",Agent08_Savings!B54)</f>
        <v/>
      </c>
      <c r="D1447" s="40" t="str">
        <f>IF(Agent08_Savings!A54="","",Agent08_Savings!G54)</f>
        <v/>
      </c>
      <c r="E1447" s="41" t="str">
        <f>IF(Agent08_Savings!A54="","",Agent08_Savings!D54)</f>
        <v/>
      </c>
      <c r="F1447" s="42" t="str">
        <f>IF(Agent08_Savings!A54="","",Agent08_Savings!E54)</f>
        <v/>
      </c>
      <c r="G1447" s="42" t="str">
        <f>IF(Agent08_Savings!A54="","",Agent08_Savings!F54)</f>
        <v/>
      </c>
      <c r="H1447" s="40" t="str">
        <f>IF(Agent08_Savings!A54="","",Agent08_Savings!I54)</f>
        <v/>
      </c>
      <c r="I1447" s="40" t="str">
        <f>IF(Agent08_Savings!A54="","",Agent08_Savings!J54)</f>
        <v/>
      </c>
      <c r="J1447" s="40" t="str">
        <f>IF(Agent08_Savings!A54="","",Agent08_Savings!K54)</f>
        <v/>
      </c>
      <c r="K1447" s="40" t="str">
        <f>IFERROR(IF(Agent08_Savings!A54="","",YEAR(Agent08_Savings!D54)),"")</f>
        <v/>
      </c>
    </row>
    <row r="1448" spans="1:11" ht="18" customHeight="1" x14ac:dyDescent="0.25">
      <c r="A1448" s="40" t="str">
        <f>IF(Agent08_Savings!A55="","",Agent08_Savings!A55)</f>
        <v/>
      </c>
      <c r="B1448" s="40" t="str">
        <f ca="1">IF(Agent08_Savings!A55="","","SV"&amp;TEXT(1448-3,"0000")&amp;"-"&amp;TEXT(TODAY(),"YYYYMMDD"))</f>
        <v/>
      </c>
      <c r="C1448" s="40" t="str">
        <f>IF(Agent08_Savings!A55="","",Agent08_Savings!B55)</f>
        <v/>
      </c>
      <c r="D1448" s="40" t="str">
        <f>IF(Agent08_Savings!A55="","",Agent08_Savings!G55)</f>
        <v/>
      </c>
      <c r="E1448" s="41" t="str">
        <f>IF(Agent08_Savings!A55="","",Agent08_Savings!D55)</f>
        <v/>
      </c>
      <c r="F1448" s="42" t="str">
        <f>IF(Agent08_Savings!A55="","",Agent08_Savings!E55)</f>
        <v/>
      </c>
      <c r="G1448" s="42" t="str">
        <f>IF(Agent08_Savings!A55="","",Agent08_Savings!F55)</f>
        <v/>
      </c>
      <c r="H1448" s="40" t="str">
        <f>IF(Agent08_Savings!A55="","",Agent08_Savings!I55)</f>
        <v/>
      </c>
      <c r="I1448" s="40" t="str">
        <f>IF(Agent08_Savings!A55="","",Agent08_Savings!J55)</f>
        <v/>
      </c>
      <c r="J1448" s="40" t="str">
        <f>IF(Agent08_Savings!A55="","",Agent08_Savings!K55)</f>
        <v/>
      </c>
      <c r="K1448" s="40" t="str">
        <f>IFERROR(IF(Agent08_Savings!A55="","",YEAR(Agent08_Savings!D55)),"")</f>
        <v/>
      </c>
    </row>
    <row r="1449" spans="1:11" ht="18" customHeight="1" x14ac:dyDescent="0.25">
      <c r="A1449" s="40" t="str">
        <f>IF(Agent08_Savings!A56="","",Agent08_Savings!A56)</f>
        <v/>
      </c>
      <c r="B1449" s="40" t="str">
        <f ca="1">IF(Agent08_Savings!A56="","","SV"&amp;TEXT(1449-3,"0000")&amp;"-"&amp;TEXT(TODAY(),"YYYYMMDD"))</f>
        <v/>
      </c>
      <c r="C1449" s="40" t="str">
        <f>IF(Agent08_Savings!A56="","",Agent08_Savings!B56)</f>
        <v/>
      </c>
      <c r="D1449" s="40" t="str">
        <f>IF(Agent08_Savings!A56="","",Agent08_Savings!G56)</f>
        <v/>
      </c>
      <c r="E1449" s="41" t="str">
        <f>IF(Agent08_Savings!A56="","",Agent08_Savings!D56)</f>
        <v/>
      </c>
      <c r="F1449" s="42" t="str">
        <f>IF(Agent08_Savings!A56="","",Agent08_Savings!E56)</f>
        <v/>
      </c>
      <c r="G1449" s="42" t="str">
        <f>IF(Agent08_Savings!A56="","",Agent08_Savings!F56)</f>
        <v/>
      </c>
      <c r="H1449" s="40" t="str">
        <f>IF(Agent08_Savings!A56="","",Agent08_Savings!I56)</f>
        <v/>
      </c>
      <c r="I1449" s="40" t="str">
        <f>IF(Agent08_Savings!A56="","",Agent08_Savings!J56)</f>
        <v/>
      </c>
      <c r="J1449" s="40" t="str">
        <f>IF(Agent08_Savings!A56="","",Agent08_Savings!K56)</f>
        <v/>
      </c>
      <c r="K1449" s="40" t="str">
        <f>IFERROR(IF(Agent08_Savings!A56="","",YEAR(Agent08_Savings!D56)),"")</f>
        <v/>
      </c>
    </row>
    <row r="1450" spans="1:11" ht="18" customHeight="1" x14ac:dyDescent="0.25">
      <c r="A1450" s="40" t="str">
        <f>IF(Agent08_Savings!A57="","",Agent08_Savings!A57)</f>
        <v/>
      </c>
      <c r="B1450" s="40" t="str">
        <f ca="1">IF(Agent08_Savings!A57="","","SV"&amp;TEXT(1450-3,"0000")&amp;"-"&amp;TEXT(TODAY(),"YYYYMMDD"))</f>
        <v/>
      </c>
      <c r="C1450" s="40" t="str">
        <f>IF(Agent08_Savings!A57="","",Agent08_Savings!B57)</f>
        <v/>
      </c>
      <c r="D1450" s="40" t="str">
        <f>IF(Agent08_Savings!A57="","",Agent08_Savings!G57)</f>
        <v/>
      </c>
      <c r="E1450" s="41" t="str">
        <f>IF(Agent08_Savings!A57="","",Agent08_Savings!D57)</f>
        <v/>
      </c>
      <c r="F1450" s="42" t="str">
        <f>IF(Agent08_Savings!A57="","",Agent08_Savings!E57)</f>
        <v/>
      </c>
      <c r="G1450" s="42" t="str">
        <f>IF(Agent08_Savings!A57="","",Agent08_Savings!F57)</f>
        <v/>
      </c>
      <c r="H1450" s="40" t="str">
        <f>IF(Agent08_Savings!A57="","",Agent08_Savings!I57)</f>
        <v/>
      </c>
      <c r="I1450" s="40" t="str">
        <f>IF(Agent08_Savings!A57="","",Agent08_Savings!J57)</f>
        <v/>
      </c>
      <c r="J1450" s="40" t="str">
        <f>IF(Agent08_Savings!A57="","",Agent08_Savings!K57)</f>
        <v/>
      </c>
      <c r="K1450" s="40" t="str">
        <f>IFERROR(IF(Agent08_Savings!A57="","",YEAR(Agent08_Savings!D57)),"")</f>
        <v/>
      </c>
    </row>
    <row r="1451" spans="1:11" ht="18" customHeight="1" x14ac:dyDescent="0.25">
      <c r="A1451" s="40" t="str">
        <f>IF(Agent08_Savings!A58="","",Agent08_Savings!A58)</f>
        <v/>
      </c>
      <c r="B1451" s="40" t="str">
        <f ca="1">IF(Agent08_Savings!A58="","","SV"&amp;TEXT(1451-3,"0000")&amp;"-"&amp;TEXT(TODAY(),"YYYYMMDD"))</f>
        <v/>
      </c>
      <c r="C1451" s="40" t="str">
        <f>IF(Agent08_Savings!A58="","",Agent08_Savings!B58)</f>
        <v/>
      </c>
      <c r="D1451" s="40" t="str">
        <f>IF(Agent08_Savings!A58="","",Agent08_Savings!G58)</f>
        <v/>
      </c>
      <c r="E1451" s="41" t="str">
        <f>IF(Agent08_Savings!A58="","",Agent08_Savings!D58)</f>
        <v/>
      </c>
      <c r="F1451" s="42" t="str">
        <f>IF(Agent08_Savings!A58="","",Agent08_Savings!E58)</f>
        <v/>
      </c>
      <c r="G1451" s="42" t="str">
        <f>IF(Agent08_Savings!A58="","",Agent08_Savings!F58)</f>
        <v/>
      </c>
      <c r="H1451" s="40" t="str">
        <f>IF(Agent08_Savings!A58="","",Agent08_Savings!I58)</f>
        <v/>
      </c>
      <c r="I1451" s="40" t="str">
        <f>IF(Agent08_Savings!A58="","",Agent08_Savings!J58)</f>
        <v/>
      </c>
      <c r="J1451" s="40" t="str">
        <f>IF(Agent08_Savings!A58="","",Agent08_Savings!K58)</f>
        <v/>
      </c>
      <c r="K1451" s="40" t="str">
        <f>IFERROR(IF(Agent08_Savings!A58="","",YEAR(Agent08_Savings!D58)),"")</f>
        <v/>
      </c>
    </row>
    <row r="1452" spans="1:11" ht="18" customHeight="1" x14ac:dyDescent="0.25">
      <c r="A1452" s="40" t="str">
        <f>IF(Agent08_Savings!A59="","",Agent08_Savings!A59)</f>
        <v/>
      </c>
      <c r="B1452" s="40" t="str">
        <f ca="1">IF(Agent08_Savings!A59="","","SV"&amp;TEXT(1452-3,"0000")&amp;"-"&amp;TEXT(TODAY(),"YYYYMMDD"))</f>
        <v/>
      </c>
      <c r="C1452" s="40" t="str">
        <f>IF(Agent08_Savings!A59="","",Agent08_Savings!B59)</f>
        <v/>
      </c>
      <c r="D1452" s="40" t="str">
        <f>IF(Agent08_Savings!A59="","",Agent08_Savings!G59)</f>
        <v/>
      </c>
      <c r="E1452" s="41" t="str">
        <f>IF(Agent08_Savings!A59="","",Agent08_Savings!D59)</f>
        <v/>
      </c>
      <c r="F1452" s="42" t="str">
        <f>IF(Agent08_Savings!A59="","",Agent08_Savings!E59)</f>
        <v/>
      </c>
      <c r="G1452" s="42" t="str">
        <f>IF(Agent08_Savings!A59="","",Agent08_Savings!F59)</f>
        <v/>
      </c>
      <c r="H1452" s="40" t="str">
        <f>IF(Agent08_Savings!A59="","",Agent08_Savings!I59)</f>
        <v/>
      </c>
      <c r="I1452" s="40" t="str">
        <f>IF(Agent08_Savings!A59="","",Agent08_Savings!J59)</f>
        <v/>
      </c>
      <c r="J1452" s="40" t="str">
        <f>IF(Agent08_Savings!A59="","",Agent08_Savings!K59)</f>
        <v/>
      </c>
      <c r="K1452" s="40" t="str">
        <f>IFERROR(IF(Agent08_Savings!A59="","",YEAR(Agent08_Savings!D59)),"")</f>
        <v/>
      </c>
    </row>
    <row r="1453" spans="1:11" ht="18" customHeight="1" x14ac:dyDescent="0.25">
      <c r="A1453" s="40" t="str">
        <f>IF(Agent08_Savings!A60="","",Agent08_Savings!A60)</f>
        <v/>
      </c>
      <c r="B1453" s="40" t="str">
        <f ca="1">IF(Agent08_Savings!A60="","","SV"&amp;TEXT(1453-3,"0000")&amp;"-"&amp;TEXT(TODAY(),"YYYYMMDD"))</f>
        <v/>
      </c>
      <c r="C1453" s="40" t="str">
        <f>IF(Agent08_Savings!A60="","",Agent08_Savings!B60)</f>
        <v/>
      </c>
      <c r="D1453" s="40" t="str">
        <f>IF(Agent08_Savings!A60="","",Agent08_Savings!G60)</f>
        <v/>
      </c>
      <c r="E1453" s="41" t="str">
        <f>IF(Agent08_Savings!A60="","",Agent08_Savings!D60)</f>
        <v/>
      </c>
      <c r="F1453" s="42" t="str">
        <f>IF(Agent08_Savings!A60="","",Agent08_Savings!E60)</f>
        <v/>
      </c>
      <c r="G1453" s="42" t="str">
        <f>IF(Agent08_Savings!A60="","",Agent08_Savings!F60)</f>
        <v/>
      </c>
      <c r="H1453" s="40" t="str">
        <f>IF(Agent08_Savings!A60="","",Agent08_Savings!I60)</f>
        <v/>
      </c>
      <c r="I1453" s="40" t="str">
        <f>IF(Agent08_Savings!A60="","",Agent08_Savings!J60)</f>
        <v/>
      </c>
      <c r="J1453" s="40" t="str">
        <f>IF(Agent08_Savings!A60="","",Agent08_Savings!K60)</f>
        <v/>
      </c>
      <c r="K1453" s="40" t="str">
        <f>IFERROR(IF(Agent08_Savings!A60="","",YEAR(Agent08_Savings!D60)),"")</f>
        <v/>
      </c>
    </row>
    <row r="1454" spans="1:11" ht="18" customHeight="1" x14ac:dyDescent="0.25">
      <c r="A1454" s="40" t="str">
        <f>IF(Agent08_Savings!A61="","",Agent08_Savings!A61)</f>
        <v/>
      </c>
      <c r="B1454" s="40" t="str">
        <f ca="1">IF(Agent08_Savings!A61="","","SV"&amp;TEXT(1454-3,"0000")&amp;"-"&amp;TEXT(TODAY(),"YYYYMMDD"))</f>
        <v/>
      </c>
      <c r="C1454" s="40" t="str">
        <f>IF(Agent08_Savings!A61="","",Agent08_Savings!B61)</f>
        <v/>
      </c>
      <c r="D1454" s="40" t="str">
        <f>IF(Agent08_Savings!A61="","",Agent08_Savings!G61)</f>
        <v/>
      </c>
      <c r="E1454" s="41" t="str">
        <f>IF(Agent08_Savings!A61="","",Agent08_Savings!D61)</f>
        <v/>
      </c>
      <c r="F1454" s="42" t="str">
        <f>IF(Agent08_Savings!A61="","",Agent08_Savings!E61)</f>
        <v/>
      </c>
      <c r="G1454" s="42" t="str">
        <f>IF(Agent08_Savings!A61="","",Agent08_Savings!F61)</f>
        <v/>
      </c>
      <c r="H1454" s="40" t="str">
        <f>IF(Agent08_Savings!A61="","",Agent08_Savings!I61)</f>
        <v/>
      </c>
      <c r="I1454" s="40" t="str">
        <f>IF(Agent08_Savings!A61="","",Agent08_Savings!J61)</f>
        <v/>
      </c>
      <c r="J1454" s="40" t="str">
        <f>IF(Agent08_Savings!A61="","",Agent08_Savings!K61)</f>
        <v/>
      </c>
      <c r="K1454" s="40" t="str">
        <f>IFERROR(IF(Agent08_Savings!A61="","",YEAR(Agent08_Savings!D61)),"")</f>
        <v/>
      </c>
    </row>
    <row r="1455" spans="1:11" ht="18" customHeight="1" x14ac:dyDescent="0.25">
      <c r="A1455" s="40" t="str">
        <f>IF(Agent08_Savings!A62="","",Agent08_Savings!A62)</f>
        <v/>
      </c>
      <c r="B1455" s="40" t="str">
        <f ca="1">IF(Agent08_Savings!A62="","","SV"&amp;TEXT(1455-3,"0000")&amp;"-"&amp;TEXT(TODAY(),"YYYYMMDD"))</f>
        <v/>
      </c>
      <c r="C1455" s="40" t="str">
        <f>IF(Agent08_Savings!A62="","",Agent08_Savings!B62)</f>
        <v/>
      </c>
      <c r="D1455" s="40" t="str">
        <f>IF(Agent08_Savings!A62="","",Agent08_Savings!G62)</f>
        <v/>
      </c>
      <c r="E1455" s="41" t="str">
        <f>IF(Agent08_Savings!A62="","",Agent08_Savings!D62)</f>
        <v/>
      </c>
      <c r="F1455" s="42" t="str">
        <f>IF(Agent08_Savings!A62="","",Agent08_Savings!E62)</f>
        <v/>
      </c>
      <c r="G1455" s="42" t="str">
        <f>IF(Agent08_Savings!A62="","",Agent08_Savings!F62)</f>
        <v/>
      </c>
      <c r="H1455" s="40" t="str">
        <f>IF(Agent08_Savings!A62="","",Agent08_Savings!I62)</f>
        <v/>
      </c>
      <c r="I1455" s="40" t="str">
        <f>IF(Agent08_Savings!A62="","",Agent08_Savings!J62)</f>
        <v/>
      </c>
      <c r="J1455" s="40" t="str">
        <f>IF(Agent08_Savings!A62="","",Agent08_Savings!K62)</f>
        <v/>
      </c>
      <c r="K1455" s="40" t="str">
        <f>IFERROR(IF(Agent08_Savings!A62="","",YEAR(Agent08_Savings!D62)),"")</f>
        <v/>
      </c>
    </row>
    <row r="1456" spans="1:11" ht="18" customHeight="1" x14ac:dyDescent="0.25">
      <c r="A1456" s="40" t="str">
        <f>IF(Agent08_Savings!A63="","",Agent08_Savings!A63)</f>
        <v/>
      </c>
      <c r="B1456" s="40" t="str">
        <f ca="1">IF(Agent08_Savings!A63="","","SV"&amp;TEXT(1456-3,"0000")&amp;"-"&amp;TEXT(TODAY(),"YYYYMMDD"))</f>
        <v/>
      </c>
      <c r="C1456" s="40" t="str">
        <f>IF(Agent08_Savings!A63="","",Agent08_Savings!B63)</f>
        <v/>
      </c>
      <c r="D1456" s="40" t="str">
        <f>IF(Agent08_Savings!A63="","",Agent08_Savings!G63)</f>
        <v/>
      </c>
      <c r="E1456" s="41" t="str">
        <f>IF(Agent08_Savings!A63="","",Agent08_Savings!D63)</f>
        <v/>
      </c>
      <c r="F1456" s="42" t="str">
        <f>IF(Agent08_Savings!A63="","",Agent08_Savings!E63)</f>
        <v/>
      </c>
      <c r="G1456" s="42" t="str">
        <f>IF(Agent08_Savings!A63="","",Agent08_Savings!F63)</f>
        <v/>
      </c>
      <c r="H1456" s="40" t="str">
        <f>IF(Agent08_Savings!A63="","",Agent08_Savings!I63)</f>
        <v/>
      </c>
      <c r="I1456" s="40" t="str">
        <f>IF(Agent08_Savings!A63="","",Agent08_Savings!J63)</f>
        <v/>
      </c>
      <c r="J1456" s="40" t="str">
        <f>IF(Agent08_Savings!A63="","",Agent08_Savings!K63)</f>
        <v/>
      </c>
      <c r="K1456" s="40" t="str">
        <f>IFERROR(IF(Agent08_Savings!A63="","",YEAR(Agent08_Savings!D63)),"")</f>
        <v/>
      </c>
    </row>
    <row r="1457" spans="1:11" ht="18" customHeight="1" x14ac:dyDescent="0.25">
      <c r="A1457" s="40" t="str">
        <f>IF(Agent08_Savings!A64="","",Agent08_Savings!A64)</f>
        <v/>
      </c>
      <c r="B1457" s="40" t="str">
        <f ca="1">IF(Agent08_Savings!A64="","","SV"&amp;TEXT(1457-3,"0000")&amp;"-"&amp;TEXT(TODAY(),"YYYYMMDD"))</f>
        <v/>
      </c>
      <c r="C1457" s="40" t="str">
        <f>IF(Agent08_Savings!A64="","",Agent08_Savings!B64)</f>
        <v/>
      </c>
      <c r="D1457" s="40" t="str">
        <f>IF(Agent08_Savings!A64="","",Agent08_Savings!G64)</f>
        <v/>
      </c>
      <c r="E1457" s="41" t="str">
        <f>IF(Agent08_Savings!A64="","",Agent08_Savings!D64)</f>
        <v/>
      </c>
      <c r="F1457" s="42" t="str">
        <f>IF(Agent08_Savings!A64="","",Agent08_Savings!E64)</f>
        <v/>
      </c>
      <c r="G1457" s="42" t="str">
        <f>IF(Agent08_Savings!A64="","",Agent08_Savings!F64)</f>
        <v/>
      </c>
      <c r="H1457" s="40" t="str">
        <f>IF(Agent08_Savings!A64="","",Agent08_Savings!I64)</f>
        <v/>
      </c>
      <c r="I1457" s="40" t="str">
        <f>IF(Agent08_Savings!A64="","",Agent08_Savings!J64)</f>
        <v/>
      </c>
      <c r="J1457" s="40" t="str">
        <f>IF(Agent08_Savings!A64="","",Agent08_Savings!K64)</f>
        <v/>
      </c>
      <c r="K1457" s="40" t="str">
        <f>IFERROR(IF(Agent08_Savings!A64="","",YEAR(Agent08_Savings!D64)),"")</f>
        <v/>
      </c>
    </row>
    <row r="1458" spans="1:11" ht="18" customHeight="1" x14ac:dyDescent="0.25">
      <c r="A1458" s="40" t="str">
        <f>IF(Agent08_Savings!A65="","",Agent08_Savings!A65)</f>
        <v/>
      </c>
      <c r="B1458" s="40" t="str">
        <f ca="1">IF(Agent08_Savings!A65="","","SV"&amp;TEXT(1458-3,"0000")&amp;"-"&amp;TEXT(TODAY(),"YYYYMMDD"))</f>
        <v/>
      </c>
      <c r="C1458" s="40" t="str">
        <f>IF(Agent08_Savings!A65="","",Agent08_Savings!B65)</f>
        <v/>
      </c>
      <c r="D1458" s="40" t="str">
        <f>IF(Agent08_Savings!A65="","",Agent08_Savings!G65)</f>
        <v/>
      </c>
      <c r="E1458" s="41" t="str">
        <f>IF(Agent08_Savings!A65="","",Agent08_Savings!D65)</f>
        <v/>
      </c>
      <c r="F1458" s="42" t="str">
        <f>IF(Agent08_Savings!A65="","",Agent08_Savings!E65)</f>
        <v/>
      </c>
      <c r="G1458" s="42" t="str">
        <f>IF(Agent08_Savings!A65="","",Agent08_Savings!F65)</f>
        <v/>
      </c>
      <c r="H1458" s="40" t="str">
        <f>IF(Agent08_Savings!A65="","",Agent08_Savings!I65)</f>
        <v/>
      </c>
      <c r="I1458" s="40" t="str">
        <f>IF(Agent08_Savings!A65="","",Agent08_Savings!J65)</f>
        <v/>
      </c>
      <c r="J1458" s="40" t="str">
        <f>IF(Agent08_Savings!A65="","",Agent08_Savings!K65)</f>
        <v/>
      </c>
      <c r="K1458" s="40" t="str">
        <f>IFERROR(IF(Agent08_Savings!A65="","",YEAR(Agent08_Savings!D65)),"")</f>
        <v/>
      </c>
    </row>
    <row r="1459" spans="1:11" ht="18" customHeight="1" x14ac:dyDescent="0.25">
      <c r="A1459" s="40" t="str">
        <f>IF(Agent08_Savings!A66="","",Agent08_Savings!A66)</f>
        <v/>
      </c>
      <c r="B1459" s="40" t="str">
        <f ca="1">IF(Agent08_Savings!A66="","","SV"&amp;TEXT(1459-3,"0000")&amp;"-"&amp;TEXT(TODAY(),"YYYYMMDD"))</f>
        <v/>
      </c>
      <c r="C1459" s="40" t="str">
        <f>IF(Agent08_Savings!A66="","",Agent08_Savings!B66)</f>
        <v/>
      </c>
      <c r="D1459" s="40" t="str">
        <f>IF(Agent08_Savings!A66="","",Agent08_Savings!G66)</f>
        <v/>
      </c>
      <c r="E1459" s="41" t="str">
        <f>IF(Agent08_Savings!A66="","",Agent08_Savings!D66)</f>
        <v/>
      </c>
      <c r="F1459" s="42" t="str">
        <f>IF(Agent08_Savings!A66="","",Agent08_Savings!E66)</f>
        <v/>
      </c>
      <c r="G1459" s="42" t="str">
        <f>IF(Agent08_Savings!A66="","",Agent08_Savings!F66)</f>
        <v/>
      </c>
      <c r="H1459" s="40" t="str">
        <f>IF(Agent08_Savings!A66="","",Agent08_Savings!I66)</f>
        <v/>
      </c>
      <c r="I1459" s="40" t="str">
        <f>IF(Agent08_Savings!A66="","",Agent08_Savings!J66)</f>
        <v/>
      </c>
      <c r="J1459" s="40" t="str">
        <f>IF(Agent08_Savings!A66="","",Agent08_Savings!K66)</f>
        <v/>
      </c>
      <c r="K1459" s="40" t="str">
        <f>IFERROR(IF(Agent08_Savings!A66="","",YEAR(Agent08_Savings!D66)),"")</f>
        <v/>
      </c>
    </row>
    <row r="1460" spans="1:11" ht="18" customHeight="1" x14ac:dyDescent="0.25">
      <c r="A1460" s="40" t="str">
        <f>IF(Agent08_Savings!A67="","",Agent08_Savings!A67)</f>
        <v/>
      </c>
      <c r="B1460" s="40" t="str">
        <f ca="1">IF(Agent08_Savings!A67="","","SV"&amp;TEXT(1460-3,"0000")&amp;"-"&amp;TEXT(TODAY(),"YYYYMMDD"))</f>
        <v/>
      </c>
      <c r="C1460" s="40" t="str">
        <f>IF(Agent08_Savings!A67="","",Agent08_Savings!B67)</f>
        <v/>
      </c>
      <c r="D1460" s="40" t="str">
        <f>IF(Agent08_Savings!A67="","",Agent08_Savings!G67)</f>
        <v/>
      </c>
      <c r="E1460" s="41" t="str">
        <f>IF(Agent08_Savings!A67="","",Agent08_Savings!D67)</f>
        <v/>
      </c>
      <c r="F1460" s="42" t="str">
        <f>IF(Agent08_Savings!A67="","",Agent08_Savings!E67)</f>
        <v/>
      </c>
      <c r="G1460" s="42" t="str">
        <f>IF(Agent08_Savings!A67="","",Agent08_Savings!F67)</f>
        <v/>
      </c>
      <c r="H1460" s="40" t="str">
        <f>IF(Agent08_Savings!A67="","",Agent08_Savings!I67)</f>
        <v/>
      </c>
      <c r="I1460" s="40" t="str">
        <f>IF(Agent08_Savings!A67="","",Agent08_Savings!J67)</f>
        <v/>
      </c>
      <c r="J1460" s="40" t="str">
        <f>IF(Agent08_Savings!A67="","",Agent08_Savings!K67)</f>
        <v/>
      </c>
      <c r="K1460" s="40" t="str">
        <f>IFERROR(IF(Agent08_Savings!A67="","",YEAR(Agent08_Savings!D67)),"")</f>
        <v/>
      </c>
    </row>
    <row r="1461" spans="1:11" ht="18" customHeight="1" x14ac:dyDescent="0.25">
      <c r="A1461" s="40" t="str">
        <f>IF(Agent08_Savings!A68="","",Agent08_Savings!A68)</f>
        <v/>
      </c>
      <c r="B1461" s="40" t="str">
        <f ca="1">IF(Agent08_Savings!A68="","","SV"&amp;TEXT(1461-3,"0000")&amp;"-"&amp;TEXT(TODAY(),"YYYYMMDD"))</f>
        <v/>
      </c>
      <c r="C1461" s="40" t="str">
        <f>IF(Agent08_Savings!A68="","",Agent08_Savings!B68)</f>
        <v/>
      </c>
      <c r="D1461" s="40" t="str">
        <f>IF(Agent08_Savings!A68="","",Agent08_Savings!G68)</f>
        <v/>
      </c>
      <c r="E1461" s="41" t="str">
        <f>IF(Agent08_Savings!A68="","",Agent08_Savings!D68)</f>
        <v/>
      </c>
      <c r="F1461" s="42" t="str">
        <f>IF(Agent08_Savings!A68="","",Agent08_Savings!E68)</f>
        <v/>
      </c>
      <c r="G1461" s="42" t="str">
        <f>IF(Agent08_Savings!A68="","",Agent08_Savings!F68)</f>
        <v/>
      </c>
      <c r="H1461" s="40" t="str">
        <f>IF(Agent08_Savings!A68="","",Agent08_Savings!I68)</f>
        <v/>
      </c>
      <c r="I1461" s="40" t="str">
        <f>IF(Agent08_Savings!A68="","",Agent08_Savings!J68)</f>
        <v/>
      </c>
      <c r="J1461" s="40" t="str">
        <f>IF(Agent08_Savings!A68="","",Agent08_Savings!K68)</f>
        <v/>
      </c>
      <c r="K1461" s="40" t="str">
        <f>IFERROR(IF(Agent08_Savings!A68="","",YEAR(Agent08_Savings!D68)),"")</f>
        <v/>
      </c>
    </row>
    <row r="1462" spans="1:11" ht="18" customHeight="1" x14ac:dyDescent="0.25">
      <c r="A1462" s="40" t="str">
        <f>IF(Agent08_Savings!A69="","",Agent08_Savings!A69)</f>
        <v/>
      </c>
      <c r="B1462" s="40" t="str">
        <f ca="1">IF(Agent08_Savings!A69="","","SV"&amp;TEXT(1462-3,"0000")&amp;"-"&amp;TEXT(TODAY(),"YYYYMMDD"))</f>
        <v/>
      </c>
      <c r="C1462" s="40" t="str">
        <f>IF(Agent08_Savings!A69="","",Agent08_Savings!B69)</f>
        <v/>
      </c>
      <c r="D1462" s="40" t="str">
        <f>IF(Agent08_Savings!A69="","",Agent08_Savings!G69)</f>
        <v/>
      </c>
      <c r="E1462" s="41" t="str">
        <f>IF(Agent08_Savings!A69="","",Agent08_Savings!D69)</f>
        <v/>
      </c>
      <c r="F1462" s="42" t="str">
        <f>IF(Agent08_Savings!A69="","",Agent08_Savings!E69)</f>
        <v/>
      </c>
      <c r="G1462" s="42" t="str">
        <f>IF(Agent08_Savings!A69="","",Agent08_Savings!F69)</f>
        <v/>
      </c>
      <c r="H1462" s="40" t="str">
        <f>IF(Agent08_Savings!A69="","",Agent08_Savings!I69)</f>
        <v/>
      </c>
      <c r="I1462" s="40" t="str">
        <f>IF(Agent08_Savings!A69="","",Agent08_Savings!J69)</f>
        <v/>
      </c>
      <c r="J1462" s="40" t="str">
        <f>IF(Agent08_Savings!A69="","",Agent08_Savings!K69)</f>
        <v/>
      </c>
      <c r="K1462" s="40" t="str">
        <f>IFERROR(IF(Agent08_Savings!A69="","",YEAR(Agent08_Savings!D69)),"")</f>
        <v/>
      </c>
    </row>
    <row r="1463" spans="1:11" ht="18" customHeight="1" x14ac:dyDescent="0.25">
      <c r="A1463" s="40" t="str">
        <f>IF(Agent08_Savings!A70="","",Agent08_Savings!A70)</f>
        <v/>
      </c>
      <c r="B1463" s="40" t="str">
        <f ca="1">IF(Agent08_Savings!A70="","","SV"&amp;TEXT(1463-3,"0000")&amp;"-"&amp;TEXT(TODAY(),"YYYYMMDD"))</f>
        <v/>
      </c>
      <c r="C1463" s="40" t="str">
        <f>IF(Agent08_Savings!A70="","",Agent08_Savings!B70)</f>
        <v/>
      </c>
      <c r="D1463" s="40" t="str">
        <f>IF(Agent08_Savings!A70="","",Agent08_Savings!G70)</f>
        <v/>
      </c>
      <c r="E1463" s="41" t="str">
        <f>IF(Agent08_Savings!A70="","",Agent08_Savings!D70)</f>
        <v/>
      </c>
      <c r="F1463" s="42" t="str">
        <f>IF(Agent08_Savings!A70="","",Agent08_Savings!E70)</f>
        <v/>
      </c>
      <c r="G1463" s="42" t="str">
        <f>IF(Agent08_Savings!A70="","",Agent08_Savings!F70)</f>
        <v/>
      </c>
      <c r="H1463" s="40" t="str">
        <f>IF(Agent08_Savings!A70="","",Agent08_Savings!I70)</f>
        <v/>
      </c>
      <c r="I1463" s="40" t="str">
        <f>IF(Agent08_Savings!A70="","",Agent08_Savings!J70)</f>
        <v/>
      </c>
      <c r="J1463" s="40" t="str">
        <f>IF(Agent08_Savings!A70="","",Agent08_Savings!K70)</f>
        <v/>
      </c>
      <c r="K1463" s="40" t="str">
        <f>IFERROR(IF(Agent08_Savings!A70="","",YEAR(Agent08_Savings!D70)),"")</f>
        <v/>
      </c>
    </row>
    <row r="1464" spans="1:11" ht="18" customHeight="1" x14ac:dyDescent="0.25">
      <c r="A1464" s="40" t="str">
        <f>IF(Agent08_Savings!A71="","",Agent08_Savings!A71)</f>
        <v/>
      </c>
      <c r="B1464" s="40" t="str">
        <f ca="1">IF(Agent08_Savings!A71="","","SV"&amp;TEXT(1464-3,"0000")&amp;"-"&amp;TEXT(TODAY(),"YYYYMMDD"))</f>
        <v/>
      </c>
      <c r="C1464" s="40" t="str">
        <f>IF(Agent08_Savings!A71="","",Agent08_Savings!B71)</f>
        <v/>
      </c>
      <c r="D1464" s="40" t="str">
        <f>IF(Agent08_Savings!A71="","",Agent08_Savings!G71)</f>
        <v/>
      </c>
      <c r="E1464" s="41" t="str">
        <f>IF(Agent08_Savings!A71="","",Agent08_Savings!D71)</f>
        <v/>
      </c>
      <c r="F1464" s="42" t="str">
        <f>IF(Agent08_Savings!A71="","",Agent08_Savings!E71)</f>
        <v/>
      </c>
      <c r="G1464" s="42" t="str">
        <f>IF(Agent08_Savings!A71="","",Agent08_Savings!F71)</f>
        <v/>
      </c>
      <c r="H1464" s="40" t="str">
        <f>IF(Agent08_Savings!A71="","",Agent08_Savings!I71)</f>
        <v/>
      </c>
      <c r="I1464" s="40" t="str">
        <f>IF(Agent08_Savings!A71="","",Agent08_Savings!J71)</f>
        <v/>
      </c>
      <c r="J1464" s="40" t="str">
        <f>IF(Agent08_Savings!A71="","",Agent08_Savings!K71)</f>
        <v/>
      </c>
      <c r="K1464" s="40" t="str">
        <f>IFERROR(IF(Agent08_Savings!A71="","",YEAR(Agent08_Savings!D71)),"")</f>
        <v/>
      </c>
    </row>
    <row r="1465" spans="1:11" ht="18" customHeight="1" x14ac:dyDescent="0.25">
      <c r="A1465" s="40" t="str">
        <f>IF(Agent08_Savings!A72="","",Agent08_Savings!A72)</f>
        <v/>
      </c>
      <c r="B1465" s="40" t="str">
        <f ca="1">IF(Agent08_Savings!A72="","","SV"&amp;TEXT(1465-3,"0000")&amp;"-"&amp;TEXT(TODAY(),"YYYYMMDD"))</f>
        <v/>
      </c>
      <c r="C1465" s="40" t="str">
        <f>IF(Agent08_Savings!A72="","",Agent08_Savings!B72)</f>
        <v/>
      </c>
      <c r="D1465" s="40" t="str">
        <f>IF(Agent08_Savings!A72="","",Agent08_Savings!G72)</f>
        <v/>
      </c>
      <c r="E1465" s="41" t="str">
        <f>IF(Agent08_Savings!A72="","",Agent08_Savings!D72)</f>
        <v/>
      </c>
      <c r="F1465" s="42" t="str">
        <f>IF(Agent08_Savings!A72="","",Agent08_Savings!E72)</f>
        <v/>
      </c>
      <c r="G1465" s="42" t="str">
        <f>IF(Agent08_Savings!A72="","",Agent08_Savings!F72)</f>
        <v/>
      </c>
      <c r="H1465" s="40" t="str">
        <f>IF(Agent08_Savings!A72="","",Agent08_Savings!I72)</f>
        <v/>
      </c>
      <c r="I1465" s="40" t="str">
        <f>IF(Agent08_Savings!A72="","",Agent08_Savings!J72)</f>
        <v/>
      </c>
      <c r="J1465" s="40" t="str">
        <f>IF(Agent08_Savings!A72="","",Agent08_Savings!K72)</f>
        <v/>
      </c>
      <c r="K1465" s="40" t="str">
        <f>IFERROR(IF(Agent08_Savings!A72="","",YEAR(Agent08_Savings!D72)),"")</f>
        <v/>
      </c>
    </row>
    <row r="1466" spans="1:11" ht="18" customHeight="1" x14ac:dyDescent="0.25">
      <c r="A1466" s="40" t="str">
        <f>IF(Agent08_Savings!A73="","",Agent08_Savings!A73)</f>
        <v/>
      </c>
      <c r="B1466" s="40" t="str">
        <f ca="1">IF(Agent08_Savings!A73="","","SV"&amp;TEXT(1466-3,"0000")&amp;"-"&amp;TEXT(TODAY(),"YYYYMMDD"))</f>
        <v/>
      </c>
      <c r="C1466" s="40" t="str">
        <f>IF(Agent08_Savings!A73="","",Agent08_Savings!B73)</f>
        <v/>
      </c>
      <c r="D1466" s="40" t="str">
        <f>IF(Agent08_Savings!A73="","",Agent08_Savings!G73)</f>
        <v/>
      </c>
      <c r="E1466" s="41" t="str">
        <f>IF(Agent08_Savings!A73="","",Agent08_Savings!D73)</f>
        <v/>
      </c>
      <c r="F1466" s="42" t="str">
        <f>IF(Agent08_Savings!A73="","",Agent08_Savings!E73)</f>
        <v/>
      </c>
      <c r="G1466" s="42" t="str">
        <f>IF(Agent08_Savings!A73="","",Agent08_Savings!F73)</f>
        <v/>
      </c>
      <c r="H1466" s="40" t="str">
        <f>IF(Agent08_Savings!A73="","",Agent08_Savings!I73)</f>
        <v/>
      </c>
      <c r="I1466" s="40" t="str">
        <f>IF(Agent08_Savings!A73="","",Agent08_Savings!J73)</f>
        <v/>
      </c>
      <c r="J1466" s="40" t="str">
        <f>IF(Agent08_Savings!A73="","",Agent08_Savings!K73)</f>
        <v/>
      </c>
      <c r="K1466" s="40" t="str">
        <f>IFERROR(IF(Agent08_Savings!A73="","",YEAR(Agent08_Savings!D73)),"")</f>
        <v/>
      </c>
    </row>
    <row r="1467" spans="1:11" ht="18" customHeight="1" x14ac:dyDescent="0.25">
      <c r="A1467" s="40" t="str">
        <f>IF(Agent08_Savings!A74="","",Agent08_Savings!A74)</f>
        <v/>
      </c>
      <c r="B1467" s="40" t="str">
        <f ca="1">IF(Agent08_Savings!A74="","","SV"&amp;TEXT(1467-3,"0000")&amp;"-"&amp;TEXT(TODAY(),"YYYYMMDD"))</f>
        <v/>
      </c>
      <c r="C1467" s="40" t="str">
        <f>IF(Agent08_Savings!A74="","",Agent08_Savings!B74)</f>
        <v/>
      </c>
      <c r="D1467" s="40" t="str">
        <f>IF(Agent08_Savings!A74="","",Agent08_Savings!G74)</f>
        <v/>
      </c>
      <c r="E1467" s="41" t="str">
        <f>IF(Agent08_Savings!A74="","",Agent08_Savings!D74)</f>
        <v/>
      </c>
      <c r="F1467" s="42" t="str">
        <f>IF(Agent08_Savings!A74="","",Agent08_Savings!E74)</f>
        <v/>
      </c>
      <c r="G1467" s="42" t="str">
        <f>IF(Agent08_Savings!A74="","",Agent08_Savings!F74)</f>
        <v/>
      </c>
      <c r="H1467" s="40" t="str">
        <f>IF(Agent08_Savings!A74="","",Agent08_Savings!I74)</f>
        <v/>
      </c>
      <c r="I1467" s="40" t="str">
        <f>IF(Agent08_Savings!A74="","",Agent08_Savings!J74)</f>
        <v/>
      </c>
      <c r="J1467" s="40" t="str">
        <f>IF(Agent08_Savings!A74="","",Agent08_Savings!K74)</f>
        <v/>
      </c>
      <c r="K1467" s="40" t="str">
        <f>IFERROR(IF(Agent08_Savings!A74="","",YEAR(Agent08_Savings!D74)),"")</f>
        <v/>
      </c>
    </row>
    <row r="1468" spans="1:11" ht="18" customHeight="1" x14ac:dyDescent="0.25">
      <c r="A1468" s="40" t="str">
        <f>IF(Agent08_Savings!A75="","",Agent08_Savings!A75)</f>
        <v/>
      </c>
      <c r="B1468" s="40" t="str">
        <f ca="1">IF(Agent08_Savings!A75="","","SV"&amp;TEXT(1468-3,"0000")&amp;"-"&amp;TEXT(TODAY(),"YYYYMMDD"))</f>
        <v/>
      </c>
      <c r="C1468" s="40" t="str">
        <f>IF(Agent08_Savings!A75="","",Agent08_Savings!B75)</f>
        <v/>
      </c>
      <c r="D1468" s="40" t="str">
        <f>IF(Agent08_Savings!A75="","",Agent08_Savings!G75)</f>
        <v/>
      </c>
      <c r="E1468" s="41" t="str">
        <f>IF(Agent08_Savings!A75="","",Agent08_Savings!D75)</f>
        <v/>
      </c>
      <c r="F1468" s="42" t="str">
        <f>IF(Agent08_Savings!A75="","",Agent08_Savings!E75)</f>
        <v/>
      </c>
      <c r="G1468" s="42" t="str">
        <f>IF(Agent08_Savings!A75="","",Agent08_Savings!F75)</f>
        <v/>
      </c>
      <c r="H1468" s="40" t="str">
        <f>IF(Agent08_Savings!A75="","",Agent08_Savings!I75)</f>
        <v/>
      </c>
      <c r="I1468" s="40" t="str">
        <f>IF(Agent08_Savings!A75="","",Agent08_Savings!J75)</f>
        <v/>
      </c>
      <c r="J1468" s="40" t="str">
        <f>IF(Agent08_Savings!A75="","",Agent08_Savings!K75)</f>
        <v/>
      </c>
      <c r="K1468" s="40" t="str">
        <f>IFERROR(IF(Agent08_Savings!A75="","",YEAR(Agent08_Savings!D75)),"")</f>
        <v/>
      </c>
    </row>
    <row r="1469" spans="1:11" ht="18" customHeight="1" x14ac:dyDescent="0.25">
      <c r="A1469" s="40" t="str">
        <f>IF(Agent08_Savings!A76="","",Agent08_Savings!A76)</f>
        <v/>
      </c>
      <c r="B1469" s="40" t="str">
        <f ca="1">IF(Agent08_Savings!A76="","","SV"&amp;TEXT(1469-3,"0000")&amp;"-"&amp;TEXT(TODAY(),"YYYYMMDD"))</f>
        <v/>
      </c>
      <c r="C1469" s="40" t="str">
        <f>IF(Agent08_Savings!A76="","",Agent08_Savings!B76)</f>
        <v/>
      </c>
      <c r="D1469" s="40" t="str">
        <f>IF(Agent08_Savings!A76="","",Agent08_Savings!G76)</f>
        <v/>
      </c>
      <c r="E1469" s="41" t="str">
        <f>IF(Agent08_Savings!A76="","",Agent08_Savings!D76)</f>
        <v/>
      </c>
      <c r="F1469" s="42" t="str">
        <f>IF(Agent08_Savings!A76="","",Agent08_Savings!E76)</f>
        <v/>
      </c>
      <c r="G1469" s="42" t="str">
        <f>IF(Agent08_Savings!A76="","",Agent08_Savings!F76)</f>
        <v/>
      </c>
      <c r="H1469" s="40" t="str">
        <f>IF(Agent08_Savings!A76="","",Agent08_Savings!I76)</f>
        <v/>
      </c>
      <c r="I1469" s="40" t="str">
        <f>IF(Agent08_Savings!A76="","",Agent08_Savings!J76)</f>
        <v/>
      </c>
      <c r="J1469" s="40" t="str">
        <f>IF(Agent08_Savings!A76="","",Agent08_Savings!K76)</f>
        <v/>
      </c>
      <c r="K1469" s="40" t="str">
        <f>IFERROR(IF(Agent08_Savings!A76="","",YEAR(Agent08_Savings!D76)),"")</f>
        <v/>
      </c>
    </row>
    <row r="1470" spans="1:11" ht="18" customHeight="1" x14ac:dyDescent="0.25">
      <c r="A1470" s="40" t="str">
        <f>IF(Agent08_Savings!A77="","",Agent08_Savings!A77)</f>
        <v/>
      </c>
      <c r="B1470" s="40" t="str">
        <f ca="1">IF(Agent08_Savings!A77="","","SV"&amp;TEXT(1470-3,"0000")&amp;"-"&amp;TEXT(TODAY(),"YYYYMMDD"))</f>
        <v/>
      </c>
      <c r="C1470" s="40" t="str">
        <f>IF(Agent08_Savings!A77="","",Agent08_Savings!B77)</f>
        <v/>
      </c>
      <c r="D1470" s="40" t="str">
        <f>IF(Agent08_Savings!A77="","",Agent08_Savings!G77)</f>
        <v/>
      </c>
      <c r="E1470" s="41" t="str">
        <f>IF(Agent08_Savings!A77="","",Agent08_Savings!D77)</f>
        <v/>
      </c>
      <c r="F1470" s="42" t="str">
        <f>IF(Agent08_Savings!A77="","",Agent08_Savings!E77)</f>
        <v/>
      </c>
      <c r="G1470" s="42" t="str">
        <f>IF(Agent08_Savings!A77="","",Agent08_Savings!F77)</f>
        <v/>
      </c>
      <c r="H1470" s="40" t="str">
        <f>IF(Agent08_Savings!A77="","",Agent08_Savings!I77)</f>
        <v/>
      </c>
      <c r="I1470" s="40" t="str">
        <f>IF(Agent08_Savings!A77="","",Agent08_Savings!J77)</f>
        <v/>
      </c>
      <c r="J1470" s="40" t="str">
        <f>IF(Agent08_Savings!A77="","",Agent08_Savings!K77)</f>
        <v/>
      </c>
      <c r="K1470" s="40" t="str">
        <f>IFERROR(IF(Agent08_Savings!A77="","",YEAR(Agent08_Savings!D77)),"")</f>
        <v/>
      </c>
    </row>
    <row r="1471" spans="1:11" ht="18" customHeight="1" x14ac:dyDescent="0.25">
      <c r="A1471" s="40" t="str">
        <f>IF(Agent08_Savings!A78="","",Agent08_Savings!A78)</f>
        <v/>
      </c>
      <c r="B1471" s="40" t="str">
        <f ca="1">IF(Agent08_Savings!A78="","","SV"&amp;TEXT(1471-3,"0000")&amp;"-"&amp;TEXT(TODAY(),"YYYYMMDD"))</f>
        <v/>
      </c>
      <c r="C1471" s="40" t="str">
        <f>IF(Agent08_Savings!A78="","",Agent08_Savings!B78)</f>
        <v/>
      </c>
      <c r="D1471" s="40" t="str">
        <f>IF(Agent08_Savings!A78="","",Agent08_Savings!G78)</f>
        <v/>
      </c>
      <c r="E1471" s="41" t="str">
        <f>IF(Agent08_Savings!A78="","",Agent08_Savings!D78)</f>
        <v/>
      </c>
      <c r="F1471" s="42" t="str">
        <f>IF(Agent08_Savings!A78="","",Agent08_Savings!E78)</f>
        <v/>
      </c>
      <c r="G1471" s="42" t="str">
        <f>IF(Agent08_Savings!A78="","",Agent08_Savings!F78)</f>
        <v/>
      </c>
      <c r="H1471" s="40" t="str">
        <f>IF(Agent08_Savings!A78="","",Agent08_Savings!I78)</f>
        <v/>
      </c>
      <c r="I1471" s="40" t="str">
        <f>IF(Agent08_Savings!A78="","",Agent08_Savings!J78)</f>
        <v/>
      </c>
      <c r="J1471" s="40" t="str">
        <f>IF(Agent08_Savings!A78="","",Agent08_Savings!K78)</f>
        <v/>
      </c>
      <c r="K1471" s="40" t="str">
        <f>IFERROR(IF(Agent08_Savings!A78="","",YEAR(Agent08_Savings!D78)),"")</f>
        <v/>
      </c>
    </row>
    <row r="1472" spans="1:11" ht="18" customHeight="1" x14ac:dyDescent="0.25">
      <c r="A1472" s="40" t="str">
        <f>IF(Agent08_Savings!A79="","",Agent08_Savings!A79)</f>
        <v/>
      </c>
      <c r="B1472" s="40" t="str">
        <f ca="1">IF(Agent08_Savings!A79="","","SV"&amp;TEXT(1472-3,"0000")&amp;"-"&amp;TEXT(TODAY(),"YYYYMMDD"))</f>
        <v/>
      </c>
      <c r="C1472" s="40" t="str">
        <f>IF(Agent08_Savings!A79="","",Agent08_Savings!B79)</f>
        <v/>
      </c>
      <c r="D1472" s="40" t="str">
        <f>IF(Agent08_Savings!A79="","",Agent08_Savings!G79)</f>
        <v/>
      </c>
      <c r="E1472" s="41" t="str">
        <f>IF(Agent08_Savings!A79="","",Agent08_Savings!D79)</f>
        <v/>
      </c>
      <c r="F1472" s="42" t="str">
        <f>IF(Agent08_Savings!A79="","",Agent08_Savings!E79)</f>
        <v/>
      </c>
      <c r="G1472" s="42" t="str">
        <f>IF(Agent08_Savings!A79="","",Agent08_Savings!F79)</f>
        <v/>
      </c>
      <c r="H1472" s="40" t="str">
        <f>IF(Agent08_Savings!A79="","",Agent08_Savings!I79)</f>
        <v/>
      </c>
      <c r="I1472" s="40" t="str">
        <f>IF(Agent08_Savings!A79="","",Agent08_Savings!J79)</f>
        <v/>
      </c>
      <c r="J1472" s="40" t="str">
        <f>IF(Agent08_Savings!A79="","",Agent08_Savings!K79)</f>
        <v/>
      </c>
      <c r="K1472" s="40" t="str">
        <f>IFERROR(IF(Agent08_Savings!A79="","",YEAR(Agent08_Savings!D79)),"")</f>
        <v/>
      </c>
    </row>
    <row r="1473" spans="1:11" ht="18" customHeight="1" x14ac:dyDescent="0.25">
      <c r="A1473" s="40" t="str">
        <f>IF(Agent08_Savings!A80="","",Agent08_Savings!A80)</f>
        <v/>
      </c>
      <c r="B1473" s="40" t="str">
        <f ca="1">IF(Agent08_Savings!A80="","","SV"&amp;TEXT(1473-3,"0000")&amp;"-"&amp;TEXT(TODAY(),"YYYYMMDD"))</f>
        <v/>
      </c>
      <c r="C1473" s="40" t="str">
        <f>IF(Agent08_Savings!A80="","",Agent08_Savings!B80)</f>
        <v/>
      </c>
      <c r="D1473" s="40" t="str">
        <f>IF(Agent08_Savings!A80="","",Agent08_Savings!G80)</f>
        <v/>
      </c>
      <c r="E1473" s="41" t="str">
        <f>IF(Agent08_Savings!A80="","",Agent08_Savings!D80)</f>
        <v/>
      </c>
      <c r="F1473" s="42" t="str">
        <f>IF(Agent08_Savings!A80="","",Agent08_Savings!E80)</f>
        <v/>
      </c>
      <c r="G1473" s="42" t="str">
        <f>IF(Agent08_Savings!A80="","",Agent08_Savings!F80)</f>
        <v/>
      </c>
      <c r="H1473" s="40" t="str">
        <f>IF(Agent08_Savings!A80="","",Agent08_Savings!I80)</f>
        <v/>
      </c>
      <c r="I1473" s="40" t="str">
        <f>IF(Agent08_Savings!A80="","",Agent08_Savings!J80)</f>
        <v/>
      </c>
      <c r="J1473" s="40" t="str">
        <f>IF(Agent08_Savings!A80="","",Agent08_Savings!K80)</f>
        <v/>
      </c>
      <c r="K1473" s="40" t="str">
        <f>IFERROR(IF(Agent08_Savings!A80="","",YEAR(Agent08_Savings!D80)),"")</f>
        <v/>
      </c>
    </row>
    <row r="1474" spans="1:11" ht="18" customHeight="1" x14ac:dyDescent="0.25">
      <c r="A1474" s="40" t="str">
        <f>IF(Agent08_Savings!A81="","",Agent08_Savings!A81)</f>
        <v/>
      </c>
      <c r="B1474" s="40" t="str">
        <f ca="1">IF(Agent08_Savings!A81="","","SV"&amp;TEXT(1474-3,"0000")&amp;"-"&amp;TEXT(TODAY(),"YYYYMMDD"))</f>
        <v/>
      </c>
      <c r="C1474" s="40" t="str">
        <f>IF(Agent08_Savings!A81="","",Agent08_Savings!B81)</f>
        <v/>
      </c>
      <c r="D1474" s="40" t="str">
        <f>IF(Agent08_Savings!A81="","",Agent08_Savings!G81)</f>
        <v/>
      </c>
      <c r="E1474" s="41" t="str">
        <f>IF(Agent08_Savings!A81="","",Agent08_Savings!D81)</f>
        <v/>
      </c>
      <c r="F1474" s="42" t="str">
        <f>IF(Agent08_Savings!A81="","",Agent08_Savings!E81)</f>
        <v/>
      </c>
      <c r="G1474" s="42" t="str">
        <f>IF(Agent08_Savings!A81="","",Agent08_Savings!F81)</f>
        <v/>
      </c>
      <c r="H1474" s="40" t="str">
        <f>IF(Agent08_Savings!A81="","",Agent08_Savings!I81)</f>
        <v/>
      </c>
      <c r="I1474" s="40" t="str">
        <f>IF(Agent08_Savings!A81="","",Agent08_Savings!J81)</f>
        <v/>
      </c>
      <c r="J1474" s="40" t="str">
        <f>IF(Agent08_Savings!A81="","",Agent08_Savings!K81)</f>
        <v/>
      </c>
      <c r="K1474" s="40" t="str">
        <f>IFERROR(IF(Agent08_Savings!A81="","",YEAR(Agent08_Savings!D81)),"")</f>
        <v/>
      </c>
    </row>
    <row r="1475" spans="1:11" ht="18" customHeight="1" x14ac:dyDescent="0.25">
      <c r="A1475" s="40" t="str">
        <f>IF(Agent08_Savings!A82="","",Agent08_Savings!A82)</f>
        <v/>
      </c>
      <c r="B1475" s="40" t="str">
        <f ca="1">IF(Agent08_Savings!A82="","","SV"&amp;TEXT(1475-3,"0000")&amp;"-"&amp;TEXT(TODAY(),"YYYYMMDD"))</f>
        <v/>
      </c>
      <c r="C1475" s="40" t="str">
        <f>IF(Agent08_Savings!A82="","",Agent08_Savings!B82)</f>
        <v/>
      </c>
      <c r="D1475" s="40" t="str">
        <f>IF(Agent08_Savings!A82="","",Agent08_Savings!G82)</f>
        <v/>
      </c>
      <c r="E1475" s="41" t="str">
        <f>IF(Agent08_Savings!A82="","",Agent08_Savings!D82)</f>
        <v/>
      </c>
      <c r="F1475" s="42" t="str">
        <f>IF(Agent08_Savings!A82="","",Agent08_Savings!E82)</f>
        <v/>
      </c>
      <c r="G1475" s="42" t="str">
        <f>IF(Agent08_Savings!A82="","",Agent08_Savings!F82)</f>
        <v/>
      </c>
      <c r="H1475" s="40" t="str">
        <f>IF(Agent08_Savings!A82="","",Agent08_Savings!I82)</f>
        <v/>
      </c>
      <c r="I1475" s="40" t="str">
        <f>IF(Agent08_Savings!A82="","",Agent08_Savings!J82)</f>
        <v/>
      </c>
      <c r="J1475" s="40" t="str">
        <f>IF(Agent08_Savings!A82="","",Agent08_Savings!K82)</f>
        <v/>
      </c>
      <c r="K1475" s="40" t="str">
        <f>IFERROR(IF(Agent08_Savings!A82="","",YEAR(Agent08_Savings!D82)),"")</f>
        <v/>
      </c>
    </row>
    <row r="1476" spans="1:11" ht="18" customHeight="1" x14ac:dyDescent="0.25">
      <c r="A1476" s="40" t="str">
        <f>IF(Agent08_Savings!A83="","",Agent08_Savings!A83)</f>
        <v/>
      </c>
      <c r="B1476" s="40" t="str">
        <f ca="1">IF(Agent08_Savings!A83="","","SV"&amp;TEXT(1476-3,"0000")&amp;"-"&amp;TEXT(TODAY(),"YYYYMMDD"))</f>
        <v/>
      </c>
      <c r="C1476" s="40" t="str">
        <f>IF(Agent08_Savings!A83="","",Agent08_Savings!B83)</f>
        <v/>
      </c>
      <c r="D1476" s="40" t="str">
        <f>IF(Agent08_Savings!A83="","",Agent08_Savings!G83)</f>
        <v/>
      </c>
      <c r="E1476" s="41" t="str">
        <f>IF(Agent08_Savings!A83="","",Agent08_Savings!D83)</f>
        <v/>
      </c>
      <c r="F1476" s="42" t="str">
        <f>IF(Agent08_Savings!A83="","",Agent08_Savings!E83)</f>
        <v/>
      </c>
      <c r="G1476" s="42" t="str">
        <f>IF(Agent08_Savings!A83="","",Agent08_Savings!F83)</f>
        <v/>
      </c>
      <c r="H1476" s="40" t="str">
        <f>IF(Agent08_Savings!A83="","",Agent08_Savings!I83)</f>
        <v/>
      </c>
      <c r="I1476" s="40" t="str">
        <f>IF(Agent08_Savings!A83="","",Agent08_Savings!J83)</f>
        <v/>
      </c>
      <c r="J1476" s="40" t="str">
        <f>IF(Agent08_Savings!A83="","",Agent08_Savings!K83)</f>
        <v/>
      </c>
      <c r="K1476" s="40" t="str">
        <f>IFERROR(IF(Agent08_Savings!A83="","",YEAR(Agent08_Savings!D83)),"")</f>
        <v/>
      </c>
    </row>
    <row r="1477" spans="1:11" ht="18" customHeight="1" x14ac:dyDescent="0.25">
      <c r="A1477" s="40" t="str">
        <f>IF(Agent08_Savings!A84="","",Agent08_Savings!A84)</f>
        <v/>
      </c>
      <c r="B1477" s="40" t="str">
        <f ca="1">IF(Agent08_Savings!A84="","","SV"&amp;TEXT(1477-3,"0000")&amp;"-"&amp;TEXT(TODAY(),"YYYYMMDD"))</f>
        <v/>
      </c>
      <c r="C1477" s="40" t="str">
        <f>IF(Agent08_Savings!A84="","",Agent08_Savings!B84)</f>
        <v/>
      </c>
      <c r="D1477" s="40" t="str">
        <f>IF(Agent08_Savings!A84="","",Agent08_Savings!G84)</f>
        <v/>
      </c>
      <c r="E1477" s="41" t="str">
        <f>IF(Agent08_Savings!A84="","",Agent08_Savings!D84)</f>
        <v/>
      </c>
      <c r="F1477" s="42" t="str">
        <f>IF(Agent08_Savings!A84="","",Agent08_Savings!E84)</f>
        <v/>
      </c>
      <c r="G1477" s="42" t="str">
        <f>IF(Agent08_Savings!A84="","",Agent08_Savings!F84)</f>
        <v/>
      </c>
      <c r="H1477" s="40" t="str">
        <f>IF(Agent08_Savings!A84="","",Agent08_Savings!I84)</f>
        <v/>
      </c>
      <c r="I1477" s="40" t="str">
        <f>IF(Agent08_Savings!A84="","",Agent08_Savings!J84)</f>
        <v/>
      </c>
      <c r="J1477" s="40" t="str">
        <f>IF(Agent08_Savings!A84="","",Agent08_Savings!K84)</f>
        <v/>
      </c>
      <c r="K1477" s="40" t="str">
        <f>IFERROR(IF(Agent08_Savings!A84="","",YEAR(Agent08_Savings!D84)),"")</f>
        <v/>
      </c>
    </row>
    <row r="1478" spans="1:11" ht="18" customHeight="1" x14ac:dyDescent="0.25">
      <c r="A1478" s="40" t="str">
        <f>IF(Agent08_Savings!A85="","",Agent08_Savings!A85)</f>
        <v/>
      </c>
      <c r="B1478" s="40" t="str">
        <f ca="1">IF(Agent08_Savings!A85="","","SV"&amp;TEXT(1478-3,"0000")&amp;"-"&amp;TEXT(TODAY(),"YYYYMMDD"))</f>
        <v/>
      </c>
      <c r="C1478" s="40" t="str">
        <f>IF(Agent08_Savings!A85="","",Agent08_Savings!B85)</f>
        <v/>
      </c>
      <c r="D1478" s="40" t="str">
        <f>IF(Agent08_Savings!A85="","",Agent08_Savings!G85)</f>
        <v/>
      </c>
      <c r="E1478" s="41" t="str">
        <f>IF(Agent08_Savings!A85="","",Agent08_Savings!D85)</f>
        <v/>
      </c>
      <c r="F1478" s="42" t="str">
        <f>IF(Agent08_Savings!A85="","",Agent08_Savings!E85)</f>
        <v/>
      </c>
      <c r="G1478" s="42" t="str">
        <f>IF(Agent08_Savings!A85="","",Agent08_Savings!F85)</f>
        <v/>
      </c>
      <c r="H1478" s="40" t="str">
        <f>IF(Agent08_Savings!A85="","",Agent08_Savings!I85)</f>
        <v/>
      </c>
      <c r="I1478" s="40" t="str">
        <f>IF(Agent08_Savings!A85="","",Agent08_Savings!J85)</f>
        <v/>
      </c>
      <c r="J1478" s="40" t="str">
        <f>IF(Agent08_Savings!A85="","",Agent08_Savings!K85)</f>
        <v/>
      </c>
      <c r="K1478" s="40" t="str">
        <f>IFERROR(IF(Agent08_Savings!A85="","",YEAR(Agent08_Savings!D85)),"")</f>
        <v/>
      </c>
    </row>
    <row r="1479" spans="1:11" ht="18" customHeight="1" x14ac:dyDescent="0.25">
      <c r="A1479" s="40" t="str">
        <f>IF(Agent08_Savings!A86="","",Agent08_Savings!A86)</f>
        <v/>
      </c>
      <c r="B1479" s="40" t="str">
        <f ca="1">IF(Agent08_Savings!A86="","","SV"&amp;TEXT(1479-3,"0000")&amp;"-"&amp;TEXT(TODAY(),"YYYYMMDD"))</f>
        <v/>
      </c>
      <c r="C1479" s="40" t="str">
        <f>IF(Agent08_Savings!A86="","",Agent08_Savings!B86)</f>
        <v/>
      </c>
      <c r="D1479" s="40" t="str">
        <f>IF(Agent08_Savings!A86="","",Agent08_Savings!G86)</f>
        <v/>
      </c>
      <c r="E1479" s="41" t="str">
        <f>IF(Agent08_Savings!A86="","",Agent08_Savings!D86)</f>
        <v/>
      </c>
      <c r="F1479" s="42" t="str">
        <f>IF(Agent08_Savings!A86="","",Agent08_Savings!E86)</f>
        <v/>
      </c>
      <c r="G1479" s="42" t="str">
        <f>IF(Agent08_Savings!A86="","",Agent08_Savings!F86)</f>
        <v/>
      </c>
      <c r="H1479" s="40" t="str">
        <f>IF(Agent08_Savings!A86="","",Agent08_Savings!I86)</f>
        <v/>
      </c>
      <c r="I1479" s="40" t="str">
        <f>IF(Agent08_Savings!A86="","",Agent08_Savings!J86)</f>
        <v/>
      </c>
      <c r="J1479" s="40" t="str">
        <f>IF(Agent08_Savings!A86="","",Agent08_Savings!K86)</f>
        <v/>
      </c>
      <c r="K1479" s="40" t="str">
        <f>IFERROR(IF(Agent08_Savings!A86="","",YEAR(Agent08_Savings!D86)),"")</f>
        <v/>
      </c>
    </row>
    <row r="1480" spans="1:11" ht="18" customHeight="1" x14ac:dyDescent="0.25">
      <c r="A1480" s="40" t="str">
        <f>IF(Agent08_Savings!A87="","",Agent08_Savings!A87)</f>
        <v/>
      </c>
      <c r="B1480" s="40" t="str">
        <f ca="1">IF(Agent08_Savings!A87="","","SV"&amp;TEXT(1480-3,"0000")&amp;"-"&amp;TEXT(TODAY(),"YYYYMMDD"))</f>
        <v/>
      </c>
      <c r="C1480" s="40" t="str">
        <f>IF(Agent08_Savings!A87="","",Agent08_Savings!B87)</f>
        <v/>
      </c>
      <c r="D1480" s="40" t="str">
        <f>IF(Agent08_Savings!A87="","",Agent08_Savings!G87)</f>
        <v/>
      </c>
      <c r="E1480" s="41" t="str">
        <f>IF(Agent08_Savings!A87="","",Agent08_Savings!D87)</f>
        <v/>
      </c>
      <c r="F1480" s="42" t="str">
        <f>IF(Agent08_Savings!A87="","",Agent08_Savings!E87)</f>
        <v/>
      </c>
      <c r="G1480" s="42" t="str">
        <f>IF(Agent08_Savings!A87="","",Agent08_Savings!F87)</f>
        <v/>
      </c>
      <c r="H1480" s="40" t="str">
        <f>IF(Agent08_Savings!A87="","",Agent08_Savings!I87)</f>
        <v/>
      </c>
      <c r="I1480" s="40" t="str">
        <f>IF(Agent08_Savings!A87="","",Agent08_Savings!J87)</f>
        <v/>
      </c>
      <c r="J1480" s="40" t="str">
        <f>IF(Agent08_Savings!A87="","",Agent08_Savings!K87)</f>
        <v/>
      </c>
      <c r="K1480" s="40" t="str">
        <f>IFERROR(IF(Agent08_Savings!A87="","",YEAR(Agent08_Savings!D87)),"")</f>
        <v/>
      </c>
    </row>
    <row r="1481" spans="1:11" ht="18" customHeight="1" x14ac:dyDescent="0.25">
      <c r="A1481" s="40" t="str">
        <f>IF(Agent08_Savings!A88="","",Agent08_Savings!A88)</f>
        <v/>
      </c>
      <c r="B1481" s="40" t="str">
        <f ca="1">IF(Agent08_Savings!A88="","","SV"&amp;TEXT(1481-3,"0000")&amp;"-"&amp;TEXT(TODAY(),"YYYYMMDD"))</f>
        <v/>
      </c>
      <c r="C1481" s="40" t="str">
        <f>IF(Agent08_Savings!A88="","",Agent08_Savings!B88)</f>
        <v/>
      </c>
      <c r="D1481" s="40" t="str">
        <f>IF(Agent08_Savings!A88="","",Agent08_Savings!G88)</f>
        <v/>
      </c>
      <c r="E1481" s="41" t="str">
        <f>IF(Agent08_Savings!A88="","",Agent08_Savings!D88)</f>
        <v/>
      </c>
      <c r="F1481" s="42" t="str">
        <f>IF(Agent08_Savings!A88="","",Agent08_Savings!E88)</f>
        <v/>
      </c>
      <c r="G1481" s="42" t="str">
        <f>IF(Agent08_Savings!A88="","",Agent08_Savings!F88)</f>
        <v/>
      </c>
      <c r="H1481" s="40" t="str">
        <f>IF(Agent08_Savings!A88="","",Agent08_Savings!I88)</f>
        <v/>
      </c>
      <c r="I1481" s="40" t="str">
        <f>IF(Agent08_Savings!A88="","",Agent08_Savings!J88)</f>
        <v/>
      </c>
      <c r="J1481" s="40" t="str">
        <f>IF(Agent08_Savings!A88="","",Agent08_Savings!K88)</f>
        <v/>
      </c>
      <c r="K1481" s="40" t="str">
        <f>IFERROR(IF(Agent08_Savings!A88="","",YEAR(Agent08_Savings!D88)),"")</f>
        <v/>
      </c>
    </row>
    <row r="1482" spans="1:11" ht="18" customHeight="1" x14ac:dyDescent="0.25">
      <c r="A1482" s="40" t="str">
        <f>IF(Agent08_Savings!A89="","",Agent08_Savings!A89)</f>
        <v/>
      </c>
      <c r="B1482" s="40" t="str">
        <f ca="1">IF(Agent08_Savings!A89="","","SV"&amp;TEXT(1482-3,"0000")&amp;"-"&amp;TEXT(TODAY(),"YYYYMMDD"))</f>
        <v/>
      </c>
      <c r="C1482" s="40" t="str">
        <f>IF(Agent08_Savings!A89="","",Agent08_Savings!B89)</f>
        <v/>
      </c>
      <c r="D1482" s="40" t="str">
        <f>IF(Agent08_Savings!A89="","",Agent08_Savings!G89)</f>
        <v/>
      </c>
      <c r="E1482" s="41" t="str">
        <f>IF(Agent08_Savings!A89="","",Agent08_Savings!D89)</f>
        <v/>
      </c>
      <c r="F1482" s="42" t="str">
        <f>IF(Agent08_Savings!A89="","",Agent08_Savings!E89)</f>
        <v/>
      </c>
      <c r="G1482" s="42" t="str">
        <f>IF(Agent08_Savings!A89="","",Agent08_Savings!F89)</f>
        <v/>
      </c>
      <c r="H1482" s="40" t="str">
        <f>IF(Agent08_Savings!A89="","",Agent08_Savings!I89)</f>
        <v/>
      </c>
      <c r="I1482" s="40" t="str">
        <f>IF(Agent08_Savings!A89="","",Agent08_Savings!J89)</f>
        <v/>
      </c>
      <c r="J1482" s="40" t="str">
        <f>IF(Agent08_Savings!A89="","",Agent08_Savings!K89)</f>
        <v/>
      </c>
      <c r="K1482" s="40" t="str">
        <f>IFERROR(IF(Agent08_Savings!A89="","",YEAR(Agent08_Savings!D89)),"")</f>
        <v/>
      </c>
    </row>
    <row r="1483" spans="1:11" ht="18" customHeight="1" x14ac:dyDescent="0.25">
      <c r="A1483" s="40" t="str">
        <f>IF(Agent08_Savings!A90="","",Agent08_Savings!A90)</f>
        <v/>
      </c>
      <c r="B1483" s="40" t="str">
        <f ca="1">IF(Agent08_Savings!A90="","","SV"&amp;TEXT(1483-3,"0000")&amp;"-"&amp;TEXT(TODAY(),"YYYYMMDD"))</f>
        <v/>
      </c>
      <c r="C1483" s="40" t="str">
        <f>IF(Agent08_Savings!A90="","",Agent08_Savings!B90)</f>
        <v/>
      </c>
      <c r="D1483" s="40" t="str">
        <f>IF(Agent08_Savings!A90="","",Agent08_Savings!G90)</f>
        <v/>
      </c>
      <c r="E1483" s="41" t="str">
        <f>IF(Agent08_Savings!A90="","",Agent08_Savings!D90)</f>
        <v/>
      </c>
      <c r="F1483" s="42" t="str">
        <f>IF(Agent08_Savings!A90="","",Agent08_Savings!E90)</f>
        <v/>
      </c>
      <c r="G1483" s="42" t="str">
        <f>IF(Agent08_Savings!A90="","",Agent08_Savings!F90)</f>
        <v/>
      </c>
      <c r="H1483" s="40" t="str">
        <f>IF(Agent08_Savings!A90="","",Agent08_Savings!I90)</f>
        <v/>
      </c>
      <c r="I1483" s="40" t="str">
        <f>IF(Agent08_Savings!A90="","",Agent08_Savings!J90)</f>
        <v/>
      </c>
      <c r="J1483" s="40" t="str">
        <f>IF(Agent08_Savings!A90="","",Agent08_Savings!K90)</f>
        <v/>
      </c>
      <c r="K1483" s="40" t="str">
        <f>IFERROR(IF(Agent08_Savings!A90="","",YEAR(Agent08_Savings!D90)),"")</f>
        <v/>
      </c>
    </row>
    <row r="1484" spans="1:11" ht="18" customHeight="1" x14ac:dyDescent="0.25">
      <c r="A1484" s="40" t="str">
        <f>IF(Agent08_Savings!A91="","",Agent08_Savings!A91)</f>
        <v/>
      </c>
      <c r="B1484" s="40" t="str">
        <f ca="1">IF(Agent08_Savings!A91="","","SV"&amp;TEXT(1484-3,"0000")&amp;"-"&amp;TEXT(TODAY(),"YYYYMMDD"))</f>
        <v/>
      </c>
      <c r="C1484" s="40" t="str">
        <f>IF(Agent08_Savings!A91="","",Agent08_Savings!B91)</f>
        <v/>
      </c>
      <c r="D1484" s="40" t="str">
        <f>IF(Agent08_Savings!A91="","",Agent08_Savings!G91)</f>
        <v/>
      </c>
      <c r="E1484" s="41" t="str">
        <f>IF(Agent08_Savings!A91="","",Agent08_Savings!D91)</f>
        <v/>
      </c>
      <c r="F1484" s="42" t="str">
        <f>IF(Agent08_Savings!A91="","",Agent08_Savings!E91)</f>
        <v/>
      </c>
      <c r="G1484" s="42" t="str">
        <f>IF(Agent08_Savings!A91="","",Agent08_Savings!F91)</f>
        <v/>
      </c>
      <c r="H1484" s="40" t="str">
        <f>IF(Agent08_Savings!A91="","",Agent08_Savings!I91)</f>
        <v/>
      </c>
      <c r="I1484" s="40" t="str">
        <f>IF(Agent08_Savings!A91="","",Agent08_Savings!J91)</f>
        <v/>
      </c>
      <c r="J1484" s="40" t="str">
        <f>IF(Agent08_Savings!A91="","",Agent08_Savings!K91)</f>
        <v/>
      </c>
      <c r="K1484" s="40" t="str">
        <f>IFERROR(IF(Agent08_Savings!A91="","",YEAR(Agent08_Savings!D91)),"")</f>
        <v/>
      </c>
    </row>
    <row r="1485" spans="1:11" ht="18" customHeight="1" x14ac:dyDescent="0.25">
      <c r="A1485" s="40" t="str">
        <f>IF(Agent08_Savings!A92="","",Agent08_Savings!A92)</f>
        <v/>
      </c>
      <c r="B1485" s="40" t="str">
        <f ca="1">IF(Agent08_Savings!A92="","","SV"&amp;TEXT(1485-3,"0000")&amp;"-"&amp;TEXT(TODAY(),"YYYYMMDD"))</f>
        <v/>
      </c>
      <c r="C1485" s="40" t="str">
        <f>IF(Agent08_Savings!A92="","",Agent08_Savings!B92)</f>
        <v/>
      </c>
      <c r="D1485" s="40" t="str">
        <f>IF(Agent08_Savings!A92="","",Agent08_Savings!G92)</f>
        <v/>
      </c>
      <c r="E1485" s="41" t="str">
        <f>IF(Agent08_Savings!A92="","",Agent08_Savings!D92)</f>
        <v/>
      </c>
      <c r="F1485" s="42" t="str">
        <f>IF(Agent08_Savings!A92="","",Agent08_Savings!E92)</f>
        <v/>
      </c>
      <c r="G1485" s="42" t="str">
        <f>IF(Agent08_Savings!A92="","",Agent08_Savings!F92)</f>
        <v/>
      </c>
      <c r="H1485" s="40" t="str">
        <f>IF(Agent08_Savings!A92="","",Agent08_Savings!I92)</f>
        <v/>
      </c>
      <c r="I1485" s="40" t="str">
        <f>IF(Agent08_Savings!A92="","",Agent08_Savings!J92)</f>
        <v/>
      </c>
      <c r="J1485" s="40" t="str">
        <f>IF(Agent08_Savings!A92="","",Agent08_Savings!K92)</f>
        <v/>
      </c>
      <c r="K1485" s="40" t="str">
        <f>IFERROR(IF(Agent08_Savings!A92="","",YEAR(Agent08_Savings!D92)),"")</f>
        <v/>
      </c>
    </row>
    <row r="1486" spans="1:11" ht="18" customHeight="1" x14ac:dyDescent="0.25">
      <c r="A1486" s="40" t="str">
        <f>IF(Agent08_Savings!A93="","",Agent08_Savings!A93)</f>
        <v/>
      </c>
      <c r="B1486" s="40" t="str">
        <f ca="1">IF(Agent08_Savings!A93="","","SV"&amp;TEXT(1486-3,"0000")&amp;"-"&amp;TEXT(TODAY(),"YYYYMMDD"))</f>
        <v/>
      </c>
      <c r="C1486" s="40" t="str">
        <f>IF(Agent08_Savings!A93="","",Agent08_Savings!B93)</f>
        <v/>
      </c>
      <c r="D1486" s="40" t="str">
        <f>IF(Agent08_Savings!A93="","",Agent08_Savings!G93)</f>
        <v/>
      </c>
      <c r="E1486" s="41" t="str">
        <f>IF(Agent08_Savings!A93="","",Agent08_Savings!D93)</f>
        <v/>
      </c>
      <c r="F1486" s="42" t="str">
        <f>IF(Agent08_Savings!A93="","",Agent08_Savings!E93)</f>
        <v/>
      </c>
      <c r="G1486" s="42" t="str">
        <f>IF(Agent08_Savings!A93="","",Agent08_Savings!F93)</f>
        <v/>
      </c>
      <c r="H1486" s="40" t="str">
        <f>IF(Agent08_Savings!A93="","",Agent08_Savings!I93)</f>
        <v/>
      </c>
      <c r="I1486" s="40" t="str">
        <f>IF(Agent08_Savings!A93="","",Agent08_Savings!J93)</f>
        <v/>
      </c>
      <c r="J1486" s="40" t="str">
        <f>IF(Agent08_Savings!A93="","",Agent08_Savings!K93)</f>
        <v/>
      </c>
      <c r="K1486" s="40" t="str">
        <f>IFERROR(IF(Agent08_Savings!A93="","",YEAR(Agent08_Savings!D93)),"")</f>
        <v/>
      </c>
    </row>
    <row r="1487" spans="1:11" ht="18" customHeight="1" x14ac:dyDescent="0.25">
      <c r="A1487" s="40" t="str">
        <f>IF(Agent08_Savings!A94="","",Agent08_Savings!A94)</f>
        <v/>
      </c>
      <c r="B1487" s="40" t="str">
        <f ca="1">IF(Agent08_Savings!A94="","","SV"&amp;TEXT(1487-3,"0000")&amp;"-"&amp;TEXT(TODAY(),"YYYYMMDD"))</f>
        <v/>
      </c>
      <c r="C1487" s="40" t="str">
        <f>IF(Agent08_Savings!A94="","",Agent08_Savings!B94)</f>
        <v/>
      </c>
      <c r="D1487" s="40" t="str">
        <f>IF(Agent08_Savings!A94="","",Agent08_Savings!G94)</f>
        <v/>
      </c>
      <c r="E1487" s="41" t="str">
        <f>IF(Agent08_Savings!A94="","",Agent08_Savings!D94)</f>
        <v/>
      </c>
      <c r="F1487" s="42" t="str">
        <f>IF(Agent08_Savings!A94="","",Agent08_Savings!E94)</f>
        <v/>
      </c>
      <c r="G1487" s="42" t="str">
        <f>IF(Agent08_Savings!A94="","",Agent08_Savings!F94)</f>
        <v/>
      </c>
      <c r="H1487" s="40" t="str">
        <f>IF(Agent08_Savings!A94="","",Agent08_Savings!I94)</f>
        <v/>
      </c>
      <c r="I1487" s="40" t="str">
        <f>IF(Agent08_Savings!A94="","",Agent08_Savings!J94)</f>
        <v/>
      </c>
      <c r="J1487" s="40" t="str">
        <f>IF(Agent08_Savings!A94="","",Agent08_Savings!K94)</f>
        <v/>
      </c>
      <c r="K1487" s="40" t="str">
        <f>IFERROR(IF(Agent08_Savings!A94="","",YEAR(Agent08_Savings!D94)),"")</f>
        <v/>
      </c>
    </row>
    <row r="1488" spans="1:11" ht="18" customHeight="1" x14ac:dyDescent="0.25">
      <c r="A1488" s="40" t="str">
        <f>IF(Agent08_Savings!A95="","",Agent08_Savings!A95)</f>
        <v/>
      </c>
      <c r="B1488" s="40" t="str">
        <f ca="1">IF(Agent08_Savings!A95="","","SV"&amp;TEXT(1488-3,"0000")&amp;"-"&amp;TEXT(TODAY(),"YYYYMMDD"))</f>
        <v/>
      </c>
      <c r="C1488" s="40" t="str">
        <f>IF(Agent08_Savings!A95="","",Agent08_Savings!B95)</f>
        <v/>
      </c>
      <c r="D1488" s="40" t="str">
        <f>IF(Agent08_Savings!A95="","",Agent08_Savings!G95)</f>
        <v/>
      </c>
      <c r="E1488" s="41" t="str">
        <f>IF(Agent08_Savings!A95="","",Agent08_Savings!D95)</f>
        <v/>
      </c>
      <c r="F1488" s="42" t="str">
        <f>IF(Agent08_Savings!A95="","",Agent08_Savings!E95)</f>
        <v/>
      </c>
      <c r="G1488" s="42" t="str">
        <f>IF(Agent08_Savings!A95="","",Agent08_Savings!F95)</f>
        <v/>
      </c>
      <c r="H1488" s="40" t="str">
        <f>IF(Agent08_Savings!A95="","",Agent08_Savings!I95)</f>
        <v/>
      </c>
      <c r="I1488" s="40" t="str">
        <f>IF(Agent08_Savings!A95="","",Agent08_Savings!J95)</f>
        <v/>
      </c>
      <c r="J1488" s="40" t="str">
        <f>IF(Agent08_Savings!A95="","",Agent08_Savings!K95)</f>
        <v/>
      </c>
      <c r="K1488" s="40" t="str">
        <f>IFERROR(IF(Agent08_Savings!A95="","",YEAR(Agent08_Savings!D95)),"")</f>
        <v/>
      </c>
    </row>
    <row r="1489" spans="1:11" ht="18" customHeight="1" x14ac:dyDescent="0.25">
      <c r="A1489" s="40" t="str">
        <f>IF(Agent08_Savings!A96="","",Agent08_Savings!A96)</f>
        <v/>
      </c>
      <c r="B1489" s="40" t="str">
        <f ca="1">IF(Agent08_Savings!A96="","","SV"&amp;TEXT(1489-3,"0000")&amp;"-"&amp;TEXT(TODAY(),"YYYYMMDD"))</f>
        <v/>
      </c>
      <c r="C1489" s="40" t="str">
        <f>IF(Agent08_Savings!A96="","",Agent08_Savings!B96)</f>
        <v/>
      </c>
      <c r="D1489" s="40" t="str">
        <f>IF(Agent08_Savings!A96="","",Agent08_Savings!G96)</f>
        <v/>
      </c>
      <c r="E1489" s="41" t="str">
        <f>IF(Agent08_Savings!A96="","",Agent08_Savings!D96)</f>
        <v/>
      </c>
      <c r="F1489" s="42" t="str">
        <f>IF(Agent08_Savings!A96="","",Agent08_Savings!E96)</f>
        <v/>
      </c>
      <c r="G1489" s="42" t="str">
        <f>IF(Agent08_Savings!A96="","",Agent08_Savings!F96)</f>
        <v/>
      </c>
      <c r="H1489" s="40" t="str">
        <f>IF(Agent08_Savings!A96="","",Agent08_Savings!I96)</f>
        <v/>
      </c>
      <c r="I1489" s="40" t="str">
        <f>IF(Agent08_Savings!A96="","",Agent08_Savings!J96)</f>
        <v/>
      </c>
      <c r="J1489" s="40" t="str">
        <f>IF(Agent08_Savings!A96="","",Agent08_Savings!K96)</f>
        <v/>
      </c>
      <c r="K1489" s="40" t="str">
        <f>IFERROR(IF(Agent08_Savings!A96="","",YEAR(Agent08_Savings!D96)),"")</f>
        <v/>
      </c>
    </row>
    <row r="1490" spans="1:11" ht="18" customHeight="1" x14ac:dyDescent="0.25">
      <c r="A1490" s="40" t="str">
        <f>IF(Agent08_Savings!A97="","",Agent08_Savings!A97)</f>
        <v/>
      </c>
      <c r="B1490" s="40" t="str">
        <f ca="1">IF(Agent08_Savings!A97="","","SV"&amp;TEXT(1490-3,"0000")&amp;"-"&amp;TEXT(TODAY(),"YYYYMMDD"))</f>
        <v/>
      </c>
      <c r="C1490" s="40" t="str">
        <f>IF(Agent08_Savings!A97="","",Agent08_Savings!B97)</f>
        <v/>
      </c>
      <c r="D1490" s="40" t="str">
        <f>IF(Agent08_Savings!A97="","",Agent08_Savings!G97)</f>
        <v/>
      </c>
      <c r="E1490" s="41" t="str">
        <f>IF(Agent08_Savings!A97="","",Agent08_Savings!D97)</f>
        <v/>
      </c>
      <c r="F1490" s="42" t="str">
        <f>IF(Agent08_Savings!A97="","",Agent08_Savings!E97)</f>
        <v/>
      </c>
      <c r="G1490" s="42" t="str">
        <f>IF(Agent08_Savings!A97="","",Agent08_Savings!F97)</f>
        <v/>
      </c>
      <c r="H1490" s="40" t="str">
        <f>IF(Agent08_Savings!A97="","",Agent08_Savings!I97)</f>
        <v/>
      </c>
      <c r="I1490" s="40" t="str">
        <f>IF(Agent08_Savings!A97="","",Agent08_Savings!J97)</f>
        <v/>
      </c>
      <c r="J1490" s="40" t="str">
        <f>IF(Agent08_Savings!A97="","",Agent08_Savings!K97)</f>
        <v/>
      </c>
      <c r="K1490" s="40" t="str">
        <f>IFERROR(IF(Agent08_Savings!A97="","",YEAR(Agent08_Savings!D97)),"")</f>
        <v/>
      </c>
    </row>
    <row r="1491" spans="1:11" ht="18" customHeight="1" x14ac:dyDescent="0.25">
      <c r="A1491" s="40" t="str">
        <f>IF(Agent08_Savings!A98="","",Agent08_Savings!A98)</f>
        <v/>
      </c>
      <c r="B1491" s="40" t="str">
        <f ca="1">IF(Agent08_Savings!A98="","","SV"&amp;TEXT(1491-3,"0000")&amp;"-"&amp;TEXT(TODAY(),"YYYYMMDD"))</f>
        <v/>
      </c>
      <c r="C1491" s="40" t="str">
        <f>IF(Agent08_Savings!A98="","",Agent08_Savings!B98)</f>
        <v/>
      </c>
      <c r="D1491" s="40" t="str">
        <f>IF(Agent08_Savings!A98="","",Agent08_Savings!G98)</f>
        <v/>
      </c>
      <c r="E1491" s="41" t="str">
        <f>IF(Agent08_Savings!A98="","",Agent08_Savings!D98)</f>
        <v/>
      </c>
      <c r="F1491" s="42" t="str">
        <f>IF(Agent08_Savings!A98="","",Agent08_Savings!E98)</f>
        <v/>
      </c>
      <c r="G1491" s="42" t="str">
        <f>IF(Agent08_Savings!A98="","",Agent08_Savings!F98)</f>
        <v/>
      </c>
      <c r="H1491" s="40" t="str">
        <f>IF(Agent08_Savings!A98="","",Agent08_Savings!I98)</f>
        <v/>
      </c>
      <c r="I1491" s="40" t="str">
        <f>IF(Agent08_Savings!A98="","",Agent08_Savings!J98)</f>
        <v/>
      </c>
      <c r="J1491" s="40" t="str">
        <f>IF(Agent08_Savings!A98="","",Agent08_Savings!K98)</f>
        <v/>
      </c>
      <c r="K1491" s="40" t="str">
        <f>IFERROR(IF(Agent08_Savings!A98="","",YEAR(Agent08_Savings!D98)),"")</f>
        <v/>
      </c>
    </row>
    <row r="1492" spans="1:11" ht="18" customHeight="1" x14ac:dyDescent="0.25">
      <c r="A1492" s="40" t="str">
        <f>IF(Agent08_Savings!A99="","",Agent08_Savings!A99)</f>
        <v/>
      </c>
      <c r="B1492" s="40" t="str">
        <f ca="1">IF(Agent08_Savings!A99="","","SV"&amp;TEXT(1492-3,"0000")&amp;"-"&amp;TEXT(TODAY(),"YYYYMMDD"))</f>
        <v/>
      </c>
      <c r="C1492" s="40" t="str">
        <f>IF(Agent08_Savings!A99="","",Agent08_Savings!B99)</f>
        <v/>
      </c>
      <c r="D1492" s="40" t="str">
        <f>IF(Agent08_Savings!A99="","",Agent08_Savings!G99)</f>
        <v/>
      </c>
      <c r="E1492" s="41" t="str">
        <f>IF(Agent08_Savings!A99="","",Agent08_Savings!D99)</f>
        <v/>
      </c>
      <c r="F1492" s="42" t="str">
        <f>IF(Agent08_Savings!A99="","",Agent08_Savings!E99)</f>
        <v/>
      </c>
      <c r="G1492" s="42" t="str">
        <f>IF(Agent08_Savings!A99="","",Agent08_Savings!F99)</f>
        <v/>
      </c>
      <c r="H1492" s="40" t="str">
        <f>IF(Agent08_Savings!A99="","",Agent08_Savings!I99)</f>
        <v/>
      </c>
      <c r="I1492" s="40" t="str">
        <f>IF(Agent08_Savings!A99="","",Agent08_Savings!J99)</f>
        <v/>
      </c>
      <c r="J1492" s="40" t="str">
        <f>IF(Agent08_Savings!A99="","",Agent08_Savings!K99)</f>
        <v/>
      </c>
      <c r="K1492" s="40" t="str">
        <f>IFERROR(IF(Agent08_Savings!A99="","",YEAR(Agent08_Savings!D99)),"")</f>
        <v/>
      </c>
    </row>
    <row r="1493" spans="1:11" ht="18" customHeight="1" x14ac:dyDescent="0.25">
      <c r="A1493" s="40" t="str">
        <f>IF(Agent08_Savings!A100="","",Agent08_Savings!A100)</f>
        <v/>
      </c>
      <c r="B1493" s="40" t="str">
        <f ca="1">IF(Agent08_Savings!A100="","","SV"&amp;TEXT(1493-3,"0000")&amp;"-"&amp;TEXT(TODAY(),"YYYYMMDD"))</f>
        <v/>
      </c>
      <c r="C1493" s="40" t="str">
        <f>IF(Agent08_Savings!A100="","",Agent08_Savings!B100)</f>
        <v/>
      </c>
      <c r="D1493" s="40" t="str">
        <f>IF(Agent08_Savings!A100="","",Agent08_Savings!G100)</f>
        <v/>
      </c>
      <c r="E1493" s="41" t="str">
        <f>IF(Agent08_Savings!A100="","",Agent08_Savings!D100)</f>
        <v/>
      </c>
      <c r="F1493" s="42" t="str">
        <f>IF(Agent08_Savings!A100="","",Agent08_Savings!E100)</f>
        <v/>
      </c>
      <c r="G1493" s="42" t="str">
        <f>IF(Agent08_Savings!A100="","",Agent08_Savings!F100)</f>
        <v/>
      </c>
      <c r="H1493" s="40" t="str">
        <f>IF(Agent08_Savings!A100="","",Agent08_Savings!I100)</f>
        <v/>
      </c>
      <c r="I1493" s="40" t="str">
        <f>IF(Agent08_Savings!A100="","",Agent08_Savings!J100)</f>
        <v/>
      </c>
      <c r="J1493" s="40" t="str">
        <f>IF(Agent08_Savings!A100="","",Agent08_Savings!K100)</f>
        <v/>
      </c>
      <c r="K1493" s="40" t="str">
        <f>IFERROR(IF(Agent08_Savings!A100="","",YEAR(Agent08_Savings!D100)),"")</f>
        <v/>
      </c>
    </row>
    <row r="1494" spans="1:11" ht="18" customHeight="1" x14ac:dyDescent="0.25">
      <c r="A1494" s="40" t="str">
        <f>IF(Agent08_Savings!A101="","",Agent08_Savings!A101)</f>
        <v/>
      </c>
      <c r="B1494" s="40" t="str">
        <f ca="1">IF(Agent08_Savings!A101="","","SV"&amp;TEXT(1494-3,"0000")&amp;"-"&amp;TEXT(TODAY(),"YYYYMMDD"))</f>
        <v/>
      </c>
      <c r="C1494" s="40" t="str">
        <f>IF(Agent08_Savings!A101="","",Agent08_Savings!B101)</f>
        <v/>
      </c>
      <c r="D1494" s="40" t="str">
        <f>IF(Agent08_Savings!A101="","",Agent08_Savings!G101)</f>
        <v/>
      </c>
      <c r="E1494" s="41" t="str">
        <f>IF(Agent08_Savings!A101="","",Agent08_Savings!D101)</f>
        <v/>
      </c>
      <c r="F1494" s="42" t="str">
        <f>IF(Agent08_Savings!A101="","",Agent08_Savings!E101)</f>
        <v/>
      </c>
      <c r="G1494" s="42" t="str">
        <f>IF(Agent08_Savings!A101="","",Agent08_Savings!F101)</f>
        <v/>
      </c>
      <c r="H1494" s="40" t="str">
        <f>IF(Agent08_Savings!A101="","",Agent08_Savings!I101)</f>
        <v/>
      </c>
      <c r="I1494" s="40" t="str">
        <f>IF(Agent08_Savings!A101="","",Agent08_Savings!J101)</f>
        <v/>
      </c>
      <c r="J1494" s="40" t="str">
        <f>IF(Agent08_Savings!A101="","",Agent08_Savings!K101)</f>
        <v/>
      </c>
      <c r="K1494" s="40" t="str">
        <f>IFERROR(IF(Agent08_Savings!A101="","",YEAR(Agent08_Savings!D101)),"")</f>
        <v/>
      </c>
    </row>
    <row r="1495" spans="1:11" ht="18" customHeight="1" x14ac:dyDescent="0.25">
      <c r="A1495" s="40" t="str">
        <f>IF(Agent08_Savings!A102="","",Agent08_Savings!A102)</f>
        <v/>
      </c>
      <c r="B1495" s="40" t="str">
        <f ca="1">IF(Agent08_Savings!A102="","","SV"&amp;TEXT(1495-3,"0000")&amp;"-"&amp;TEXT(TODAY(),"YYYYMMDD"))</f>
        <v/>
      </c>
      <c r="C1495" s="40" t="str">
        <f>IF(Agent08_Savings!A102="","",Agent08_Savings!B102)</f>
        <v/>
      </c>
      <c r="D1495" s="40" t="str">
        <f>IF(Agent08_Savings!A102="","",Agent08_Savings!G102)</f>
        <v/>
      </c>
      <c r="E1495" s="41" t="str">
        <f>IF(Agent08_Savings!A102="","",Agent08_Savings!D102)</f>
        <v/>
      </c>
      <c r="F1495" s="42" t="str">
        <f>IF(Agent08_Savings!A102="","",Agent08_Savings!E102)</f>
        <v/>
      </c>
      <c r="G1495" s="42" t="str">
        <f>IF(Agent08_Savings!A102="","",Agent08_Savings!F102)</f>
        <v/>
      </c>
      <c r="H1495" s="40" t="str">
        <f>IF(Agent08_Savings!A102="","",Agent08_Savings!I102)</f>
        <v/>
      </c>
      <c r="I1495" s="40" t="str">
        <f>IF(Agent08_Savings!A102="","",Agent08_Savings!J102)</f>
        <v/>
      </c>
      <c r="J1495" s="40" t="str">
        <f>IF(Agent08_Savings!A102="","",Agent08_Savings!K102)</f>
        <v/>
      </c>
      <c r="K1495" s="40" t="str">
        <f>IFERROR(IF(Agent08_Savings!A102="","",YEAR(Agent08_Savings!D102)),"")</f>
        <v/>
      </c>
    </row>
    <row r="1496" spans="1:11" ht="18" customHeight="1" x14ac:dyDescent="0.25">
      <c r="A1496" s="40" t="str">
        <f>IF(Agent08_Savings!A103="","",Agent08_Savings!A103)</f>
        <v/>
      </c>
      <c r="B1496" s="40" t="str">
        <f ca="1">IF(Agent08_Savings!A103="","","SV"&amp;TEXT(1496-3,"0000")&amp;"-"&amp;TEXT(TODAY(),"YYYYMMDD"))</f>
        <v/>
      </c>
      <c r="C1496" s="40" t="str">
        <f>IF(Agent08_Savings!A103="","",Agent08_Savings!B103)</f>
        <v/>
      </c>
      <c r="D1496" s="40" t="str">
        <f>IF(Agent08_Savings!A103="","",Agent08_Savings!G103)</f>
        <v/>
      </c>
      <c r="E1496" s="41" t="str">
        <f>IF(Agent08_Savings!A103="","",Agent08_Savings!D103)</f>
        <v/>
      </c>
      <c r="F1496" s="42" t="str">
        <f>IF(Agent08_Savings!A103="","",Agent08_Savings!E103)</f>
        <v/>
      </c>
      <c r="G1496" s="42" t="str">
        <f>IF(Agent08_Savings!A103="","",Agent08_Savings!F103)</f>
        <v/>
      </c>
      <c r="H1496" s="40" t="str">
        <f>IF(Agent08_Savings!A103="","",Agent08_Savings!I103)</f>
        <v/>
      </c>
      <c r="I1496" s="40" t="str">
        <f>IF(Agent08_Savings!A103="","",Agent08_Savings!J103)</f>
        <v/>
      </c>
      <c r="J1496" s="40" t="str">
        <f>IF(Agent08_Savings!A103="","",Agent08_Savings!K103)</f>
        <v/>
      </c>
      <c r="K1496" s="40" t="str">
        <f>IFERROR(IF(Agent08_Savings!A103="","",YEAR(Agent08_Savings!D103)),"")</f>
        <v/>
      </c>
    </row>
    <row r="1497" spans="1:11" ht="18" customHeight="1" x14ac:dyDescent="0.25">
      <c r="A1497" s="40" t="str">
        <f>IF(Agent08_Savings!A104="","",Agent08_Savings!A104)</f>
        <v/>
      </c>
      <c r="B1497" s="40" t="str">
        <f ca="1">IF(Agent08_Savings!A104="","","SV"&amp;TEXT(1497-3,"0000")&amp;"-"&amp;TEXT(TODAY(),"YYYYMMDD"))</f>
        <v/>
      </c>
      <c r="C1497" s="40" t="str">
        <f>IF(Agent08_Savings!A104="","",Agent08_Savings!B104)</f>
        <v/>
      </c>
      <c r="D1497" s="40" t="str">
        <f>IF(Agent08_Savings!A104="","",Agent08_Savings!G104)</f>
        <v/>
      </c>
      <c r="E1497" s="41" t="str">
        <f>IF(Agent08_Savings!A104="","",Agent08_Savings!D104)</f>
        <v/>
      </c>
      <c r="F1497" s="42" t="str">
        <f>IF(Agent08_Savings!A104="","",Agent08_Savings!E104)</f>
        <v/>
      </c>
      <c r="G1497" s="42" t="str">
        <f>IF(Agent08_Savings!A104="","",Agent08_Savings!F104)</f>
        <v/>
      </c>
      <c r="H1497" s="40" t="str">
        <f>IF(Agent08_Savings!A104="","",Agent08_Savings!I104)</f>
        <v/>
      </c>
      <c r="I1497" s="40" t="str">
        <f>IF(Agent08_Savings!A104="","",Agent08_Savings!J104)</f>
        <v/>
      </c>
      <c r="J1497" s="40" t="str">
        <f>IF(Agent08_Savings!A104="","",Agent08_Savings!K104)</f>
        <v/>
      </c>
      <c r="K1497" s="40" t="str">
        <f>IFERROR(IF(Agent08_Savings!A104="","",YEAR(Agent08_Savings!D104)),"")</f>
        <v/>
      </c>
    </row>
    <row r="1498" spans="1:11" ht="18" customHeight="1" x14ac:dyDescent="0.25">
      <c r="A1498" s="40" t="str">
        <f>IF(Agent08_Savings!A105="","",Agent08_Savings!A105)</f>
        <v/>
      </c>
      <c r="B1498" s="40" t="str">
        <f ca="1">IF(Agent08_Savings!A105="","","SV"&amp;TEXT(1498-3,"0000")&amp;"-"&amp;TEXT(TODAY(),"YYYYMMDD"))</f>
        <v/>
      </c>
      <c r="C1498" s="40" t="str">
        <f>IF(Agent08_Savings!A105="","",Agent08_Savings!B105)</f>
        <v/>
      </c>
      <c r="D1498" s="40" t="str">
        <f>IF(Agent08_Savings!A105="","",Agent08_Savings!G105)</f>
        <v/>
      </c>
      <c r="E1498" s="41" t="str">
        <f>IF(Agent08_Savings!A105="","",Agent08_Savings!D105)</f>
        <v/>
      </c>
      <c r="F1498" s="42" t="str">
        <f>IF(Agent08_Savings!A105="","",Agent08_Savings!E105)</f>
        <v/>
      </c>
      <c r="G1498" s="42" t="str">
        <f>IF(Agent08_Savings!A105="","",Agent08_Savings!F105)</f>
        <v/>
      </c>
      <c r="H1498" s="40" t="str">
        <f>IF(Agent08_Savings!A105="","",Agent08_Savings!I105)</f>
        <v/>
      </c>
      <c r="I1498" s="40" t="str">
        <f>IF(Agent08_Savings!A105="","",Agent08_Savings!J105)</f>
        <v/>
      </c>
      <c r="J1498" s="40" t="str">
        <f>IF(Agent08_Savings!A105="","",Agent08_Savings!K105)</f>
        <v/>
      </c>
      <c r="K1498" s="40" t="str">
        <f>IFERROR(IF(Agent08_Savings!A105="","",YEAR(Agent08_Savings!D105)),"")</f>
        <v/>
      </c>
    </row>
    <row r="1499" spans="1:11" ht="18" customHeight="1" x14ac:dyDescent="0.25">
      <c r="A1499" s="40" t="str">
        <f>IF(Agent08_Savings!A106="","",Agent08_Savings!A106)</f>
        <v/>
      </c>
      <c r="B1499" s="40" t="str">
        <f ca="1">IF(Agent08_Savings!A106="","","SV"&amp;TEXT(1499-3,"0000")&amp;"-"&amp;TEXT(TODAY(),"YYYYMMDD"))</f>
        <v/>
      </c>
      <c r="C1499" s="40" t="str">
        <f>IF(Agent08_Savings!A106="","",Agent08_Savings!B106)</f>
        <v/>
      </c>
      <c r="D1499" s="40" t="str">
        <f>IF(Agent08_Savings!A106="","",Agent08_Savings!G106)</f>
        <v/>
      </c>
      <c r="E1499" s="41" t="str">
        <f>IF(Agent08_Savings!A106="","",Agent08_Savings!D106)</f>
        <v/>
      </c>
      <c r="F1499" s="42" t="str">
        <f>IF(Agent08_Savings!A106="","",Agent08_Savings!E106)</f>
        <v/>
      </c>
      <c r="G1499" s="42" t="str">
        <f>IF(Agent08_Savings!A106="","",Agent08_Savings!F106)</f>
        <v/>
      </c>
      <c r="H1499" s="40" t="str">
        <f>IF(Agent08_Savings!A106="","",Agent08_Savings!I106)</f>
        <v/>
      </c>
      <c r="I1499" s="40" t="str">
        <f>IF(Agent08_Savings!A106="","",Agent08_Savings!J106)</f>
        <v/>
      </c>
      <c r="J1499" s="40" t="str">
        <f>IF(Agent08_Savings!A106="","",Agent08_Savings!K106)</f>
        <v/>
      </c>
      <c r="K1499" s="40" t="str">
        <f>IFERROR(IF(Agent08_Savings!A106="","",YEAR(Agent08_Savings!D106)),"")</f>
        <v/>
      </c>
    </row>
    <row r="1500" spans="1:11" ht="18" customHeight="1" x14ac:dyDescent="0.25">
      <c r="A1500" s="40" t="str">
        <f>IF(Agent08_Savings!A107="","",Agent08_Savings!A107)</f>
        <v/>
      </c>
      <c r="B1500" s="40" t="str">
        <f ca="1">IF(Agent08_Savings!A107="","","SV"&amp;TEXT(1500-3,"0000")&amp;"-"&amp;TEXT(TODAY(),"YYYYMMDD"))</f>
        <v/>
      </c>
      <c r="C1500" s="40" t="str">
        <f>IF(Agent08_Savings!A107="","",Agent08_Savings!B107)</f>
        <v/>
      </c>
      <c r="D1500" s="40" t="str">
        <f>IF(Agent08_Savings!A107="","",Agent08_Savings!G107)</f>
        <v/>
      </c>
      <c r="E1500" s="41" t="str">
        <f>IF(Agent08_Savings!A107="","",Agent08_Savings!D107)</f>
        <v/>
      </c>
      <c r="F1500" s="42" t="str">
        <f>IF(Agent08_Savings!A107="","",Agent08_Savings!E107)</f>
        <v/>
      </c>
      <c r="G1500" s="42" t="str">
        <f>IF(Agent08_Savings!A107="","",Agent08_Savings!F107)</f>
        <v/>
      </c>
      <c r="H1500" s="40" t="str">
        <f>IF(Agent08_Savings!A107="","",Agent08_Savings!I107)</f>
        <v/>
      </c>
      <c r="I1500" s="40" t="str">
        <f>IF(Agent08_Savings!A107="","",Agent08_Savings!J107)</f>
        <v/>
      </c>
      <c r="J1500" s="40" t="str">
        <f>IF(Agent08_Savings!A107="","",Agent08_Savings!K107)</f>
        <v/>
      </c>
      <c r="K1500" s="40" t="str">
        <f>IFERROR(IF(Agent08_Savings!A107="","",YEAR(Agent08_Savings!D107)),"")</f>
        <v/>
      </c>
    </row>
    <row r="1501" spans="1:11" ht="18" customHeight="1" x14ac:dyDescent="0.25">
      <c r="A1501" s="40" t="str">
        <f>IF(Agent08_Savings!A108="","",Agent08_Savings!A108)</f>
        <v/>
      </c>
      <c r="B1501" s="40" t="str">
        <f ca="1">IF(Agent08_Savings!A108="","","SV"&amp;TEXT(1501-3,"0000")&amp;"-"&amp;TEXT(TODAY(),"YYYYMMDD"))</f>
        <v/>
      </c>
      <c r="C1501" s="40" t="str">
        <f>IF(Agent08_Savings!A108="","",Agent08_Savings!B108)</f>
        <v/>
      </c>
      <c r="D1501" s="40" t="str">
        <f>IF(Agent08_Savings!A108="","",Agent08_Savings!G108)</f>
        <v/>
      </c>
      <c r="E1501" s="41" t="str">
        <f>IF(Agent08_Savings!A108="","",Agent08_Savings!D108)</f>
        <v/>
      </c>
      <c r="F1501" s="42" t="str">
        <f>IF(Agent08_Savings!A108="","",Agent08_Savings!E108)</f>
        <v/>
      </c>
      <c r="G1501" s="42" t="str">
        <f>IF(Agent08_Savings!A108="","",Agent08_Savings!F108)</f>
        <v/>
      </c>
      <c r="H1501" s="40" t="str">
        <f>IF(Agent08_Savings!A108="","",Agent08_Savings!I108)</f>
        <v/>
      </c>
      <c r="I1501" s="40" t="str">
        <f>IF(Agent08_Savings!A108="","",Agent08_Savings!J108)</f>
        <v/>
      </c>
      <c r="J1501" s="40" t="str">
        <f>IF(Agent08_Savings!A108="","",Agent08_Savings!K108)</f>
        <v/>
      </c>
      <c r="K1501" s="40" t="str">
        <f>IFERROR(IF(Agent08_Savings!A108="","",YEAR(Agent08_Savings!D108)),"")</f>
        <v/>
      </c>
    </row>
    <row r="1502" spans="1:11" ht="18" customHeight="1" x14ac:dyDescent="0.25">
      <c r="A1502" s="40" t="str">
        <f>IF(Agent08_Savings!A109="","",Agent08_Savings!A109)</f>
        <v/>
      </c>
      <c r="B1502" s="40" t="str">
        <f ca="1">IF(Agent08_Savings!A109="","","SV"&amp;TEXT(1502-3,"0000")&amp;"-"&amp;TEXT(TODAY(),"YYYYMMDD"))</f>
        <v/>
      </c>
      <c r="C1502" s="40" t="str">
        <f>IF(Agent08_Savings!A109="","",Agent08_Savings!B109)</f>
        <v/>
      </c>
      <c r="D1502" s="40" t="str">
        <f>IF(Agent08_Savings!A109="","",Agent08_Savings!G109)</f>
        <v/>
      </c>
      <c r="E1502" s="41" t="str">
        <f>IF(Agent08_Savings!A109="","",Agent08_Savings!D109)</f>
        <v/>
      </c>
      <c r="F1502" s="42" t="str">
        <f>IF(Agent08_Savings!A109="","",Agent08_Savings!E109)</f>
        <v/>
      </c>
      <c r="G1502" s="42" t="str">
        <f>IF(Agent08_Savings!A109="","",Agent08_Savings!F109)</f>
        <v/>
      </c>
      <c r="H1502" s="40" t="str">
        <f>IF(Agent08_Savings!A109="","",Agent08_Savings!I109)</f>
        <v/>
      </c>
      <c r="I1502" s="40" t="str">
        <f>IF(Agent08_Savings!A109="","",Agent08_Savings!J109)</f>
        <v/>
      </c>
      <c r="J1502" s="40" t="str">
        <f>IF(Agent08_Savings!A109="","",Agent08_Savings!K109)</f>
        <v/>
      </c>
      <c r="K1502" s="40" t="str">
        <f>IFERROR(IF(Agent08_Savings!A109="","",YEAR(Agent08_Savings!D109)),"")</f>
        <v/>
      </c>
    </row>
    <row r="1503" spans="1:11" ht="18" customHeight="1" x14ac:dyDescent="0.25">
      <c r="A1503" s="40" t="str">
        <f>IF(Agent08_Savings!A110="","",Agent08_Savings!A110)</f>
        <v/>
      </c>
      <c r="B1503" s="40" t="str">
        <f ca="1">IF(Agent08_Savings!A110="","","SV"&amp;TEXT(1503-3,"0000")&amp;"-"&amp;TEXT(TODAY(),"YYYYMMDD"))</f>
        <v/>
      </c>
      <c r="C1503" s="40" t="str">
        <f>IF(Agent08_Savings!A110="","",Agent08_Savings!B110)</f>
        <v/>
      </c>
      <c r="D1503" s="40" t="str">
        <f>IF(Agent08_Savings!A110="","",Agent08_Savings!G110)</f>
        <v/>
      </c>
      <c r="E1503" s="41" t="str">
        <f>IF(Agent08_Savings!A110="","",Agent08_Savings!D110)</f>
        <v/>
      </c>
      <c r="F1503" s="42" t="str">
        <f>IF(Agent08_Savings!A110="","",Agent08_Savings!E110)</f>
        <v/>
      </c>
      <c r="G1503" s="42" t="str">
        <f>IF(Agent08_Savings!A110="","",Agent08_Savings!F110)</f>
        <v/>
      </c>
      <c r="H1503" s="40" t="str">
        <f>IF(Agent08_Savings!A110="","",Agent08_Savings!I110)</f>
        <v/>
      </c>
      <c r="I1503" s="40" t="str">
        <f>IF(Agent08_Savings!A110="","",Agent08_Savings!J110)</f>
        <v/>
      </c>
      <c r="J1503" s="40" t="str">
        <f>IF(Agent08_Savings!A110="","",Agent08_Savings!K110)</f>
        <v/>
      </c>
      <c r="K1503" s="40" t="str">
        <f>IFERROR(IF(Agent08_Savings!A110="","",YEAR(Agent08_Savings!D110)),"")</f>
        <v/>
      </c>
    </row>
    <row r="1504" spans="1:11" ht="18" customHeight="1" x14ac:dyDescent="0.25">
      <c r="A1504" s="40" t="str">
        <f>IF(Agent08_Savings!A111="","",Agent08_Savings!A111)</f>
        <v/>
      </c>
      <c r="B1504" s="40" t="str">
        <f ca="1">IF(Agent08_Savings!A111="","","SV"&amp;TEXT(1504-3,"0000")&amp;"-"&amp;TEXT(TODAY(),"YYYYMMDD"))</f>
        <v/>
      </c>
      <c r="C1504" s="40" t="str">
        <f>IF(Agent08_Savings!A111="","",Agent08_Savings!B111)</f>
        <v/>
      </c>
      <c r="D1504" s="40" t="str">
        <f>IF(Agent08_Savings!A111="","",Agent08_Savings!G111)</f>
        <v/>
      </c>
      <c r="E1504" s="41" t="str">
        <f>IF(Agent08_Savings!A111="","",Agent08_Savings!D111)</f>
        <v/>
      </c>
      <c r="F1504" s="42" t="str">
        <f>IF(Agent08_Savings!A111="","",Agent08_Savings!E111)</f>
        <v/>
      </c>
      <c r="G1504" s="42" t="str">
        <f>IF(Agent08_Savings!A111="","",Agent08_Savings!F111)</f>
        <v/>
      </c>
      <c r="H1504" s="40" t="str">
        <f>IF(Agent08_Savings!A111="","",Agent08_Savings!I111)</f>
        <v/>
      </c>
      <c r="I1504" s="40" t="str">
        <f>IF(Agent08_Savings!A111="","",Agent08_Savings!J111)</f>
        <v/>
      </c>
      <c r="J1504" s="40" t="str">
        <f>IF(Agent08_Savings!A111="","",Agent08_Savings!K111)</f>
        <v/>
      </c>
      <c r="K1504" s="40" t="str">
        <f>IFERROR(IF(Agent08_Savings!A111="","",YEAR(Agent08_Savings!D111)),"")</f>
        <v/>
      </c>
    </row>
    <row r="1505" spans="1:11" ht="18" customHeight="1" x14ac:dyDescent="0.25">
      <c r="A1505" s="40" t="str">
        <f>IF(Agent08_Savings!A112="","",Agent08_Savings!A112)</f>
        <v/>
      </c>
      <c r="B1505" s="40" t="str">
        <f ca="1">IF(Agent08_Savings!A112="","","SV"&amp;TEXT(1505-3,"0000")&amp;"-"&amp;TEXT(TODAY(),"YYYYMMDD"))</f>
        <v/>
      </c>
      <c r="C1505" s="40" t="str">
        <f>IF(Agent08_Savings!A112="","",Agent08_Savings!B112)</f>
        <v/>
      </c>
      <c r="D1505" s="40" t="str">
        <f>IF(Agent08_Savings!A112="","",Agent08_Savings!G112)</f>
        <v/>
      </c>
      <c r="E1505" s="41" t="str">
        <f>IF(Agent08_Savings!A112="","",Agent08_Savings!D112)</f>
        <v/>
      </c>
      <c r="F1505" s="42" t="str">
        <f>IF(Agent08_Savings!A112="","",Agent08_Savings!E112)</f>
        <v/>
      </c>
      <c r="G1505" s="42" t="str">
        <f>IF(Agent08_Savings!A112="","",Agent08_Savings!F112)</f>
        <v/>
      </c>
      <c r="H1505" s="40" t="str">
        <f>IF(Agent08_Savings!A112="","",Agent08_Savings!I112)</f>
        <v/>
      </c>
      <c r="I1505" s="40" t="str">
        <f>IF(Agent08_Savings!A112="","",Agent08_Savings!J112)</f>
        <v/>
      </c>
      <c r="J1505" s="40" t="str">
        <f>IF(Agent08_Savings!A112="","",Agent08_Savings!K112)</f>
        <v/>
      </c>
      <c r="K1505" s="40" t="str">
        <f>IFERROR(IF(Agent08_Savings!A112="","",YEAR(Agent08_Savings!D112)),"")</f>
        <v/>
      </c>
    </row>
    <row r="1506" spans="1:11" ht="18" customHeight="1" x14ac:dyDescent="0.25">
      <c r="A1506" s="40" t="str">
        <f>IF(Agent08_Savings!A113="","",Agent08_Savings!A113)</f>
        <v/>
      </c>
      <c r="B1506" s="40" t="str">
        <f ca="1">IF(Agent08_Savings!A113="","","SV"&amp;TEXT(1506-3,"0000")&amp;"-"&amp;TEXT(TODAY(),"YYYYMMDD"))</f>
        <v/>
      </c>
      <c r="C1506" s="40" t="str">
        <f>IF(Agent08_Savings!A113="","",Agent08_Savings!B113)</f>
        <v/>
      </c>
      <c r="D1506" s="40" t="str">
        <f>IF(Agent08_Savings!A113="","",Agent08_Savings!G113)</f>
        <v/>
      </c>
      <c r="E1506" s="41" t="str">
        <f>IF(Agent08_Savings!A113="","",Agent08_Savings!D113)</f>
        <v/>
      </c>
      <c r="F1506" s="42" t="str">
        <f>IF(Agent08_Savings!A113="","",Agent08_Savings!E113)</f>
        <v/>
      </c>
      <c r="G1506" s="42" t="str">
        <f>IF(Agent08_Savings!A113="","",Agent08_Savings!F113)</f>
        <v/>
      </c>
      <c r="H1506" s="40" t="str">
        <f>IF(Agent08_Savings!A113="","",Agent08_Savings!I113)</f>
        <v/>
      </c>
      <c r="I1506" s="40" t="str">
        <f>IF(Agent08_Savings!A113="","",Agent08_Savings!J113)</f>
        <v/>
      </c>
      <c r="J1506" s="40" t="str">
        <f>IF(Agent08_Savings!A113="","",Agent08_Savings!K113)</f>
        <v/>
      </c>
      <c r="K1506" s="40" t="str">
        <f>IFERROR(IF(Agent08_Savings!A113="","",YEAR(Agent08_Savings!D113)),"")</f>
        <v/>
      </c>
    </row>
    <row r="1507" spans="1:11" ht="18" customHeight="1" x14ac:dyDescent="0.25">
      <c r="A1507" s="40" t="str">
        <f>IF(Agent08_Savings!A114="","",Agent08_Savings!A114)</f>
        <v/>
      </c>
      <c r="B1507" s="40" t="str">
        <f ca="1">IF(Agent08_Savings!A114="","","SV"&amp;TEXT(1507-3,"0000")&amp;"-"&amp;TEXT(TODAY(),"YYYYMMDD"))</f>
        <v/>
      </c>
      <c r="C1507" s="40" t="str">
        <f>IF(Agent08_Savings!A114="","",Agent08_Savings!B114)</f>
        <v/>
      </c>
      <c r="D1507" s="40" t="str">
        <f>IF(Agent08_Savings!A114="","",Agent08_Savings!G114)</f>
        <v/>
      </c>
      <c r="E1507" s="41" t="str">
        <f>IF(Agent08_Savings!A114="","",Agent08_Savings!D114)</f>
        <v/>
      </c>
      <c r="F1507" s="42" t="str">
        <f>IF(Agent08_Savings!A114="","",Agent08_Savings!E114)</f>
        <v/>
      </c>
      <c r="G1507" s="42" t="str">
        <f>IF(Agent08_Savings!A114="","",Agent08_Savings!F114)</f>
        <v/>
      </c>
      <c r="H1507" s="40" t="str">
        <f>IF(Agent08_Savings!A114="","",Agent08_Savings!I114)</f>
        <v/>
      </c>
      <c r="I1507" s="40" t="str">
        <f>IF(Agent08_Savings!A114="","",Agent08_Savings!J114)</f>
        <v/>
      </c>
      <c r="J1507" s="40" t="str">
        <f>IF(Agent08_Savings!A114="","",Agent08_Savings!K114)</f>
        <v/>
      </c>
      <c r="K1507" s="40" t="str">
        <f>IFERROR(IF(Agent08_Savings!A114="","",YEAR(Agent08_Savings!D114)),"")</f>
        <v/>
      </c>
    </row>
    <row r="1508" spans="1:11" ht="18" customHeight="1" x14ac:dyDescent="0.25">
      <c r="A1508" s="40" t="str">
        <f>IF(Agent08_Savings!A115="","",Agent08_Savings!A115)</f>
        <v/>
      </c>
      <c r="B1508" s="40" t="str">
        <f ca="1">IF(Agent08_Savings!A115="","","SV"&amp;TEXT(1508-3,"0000")&amp;"-"&amp;TEXT(TODAY(),"YYYYMMDD"))</f>
        <v/>
      </c>
      <c r="C1508" s="40" t="str">
        <f>IF(Agent08_Savings!A115="","",Agent08_Savings!B115)</f>
        <v/>
      </c>
      <c r="D1508" s="40" t="str">
        <f>IF(Agent08_Savings!A115="","",Agent08_Savings!G115)</f>
        <v/>
      </c>
      <c r="E1508" s="41" t="str">
        <f>IF(Agent08_Savings!A115="","",Agent08_Savings!D115)</f>
        <v/>
      </c>
      <c r="F1508" s="42" t="str">
        <f>IF(Agent08_Savings!A115="","",Agent08_Savings!E115)</f>
        <v/>
      </c>
      <c r="G1508" s="42" t="str">
        <f>IF(Agent08_Savings!A115="","",Agent08_Savings!F115)</f>
        <v/>
      </c>
      <c r="H1508" s="40" t="str">
        <f>IF(Agent08_Savings!A115="","",Agent08_Savings!I115)</f>
        <v/>
      </c>
      <c r="I1508" s="40" t="str">
        <f>IF(Agent08_Savings!A115="","",Agent08_Savings!J115)</f>
        <v/>
      </c>
      <c r="J1508" s="40" t="str">
        <f>IF(Agent08_Savings!A115="","",Agent08_Savings!K115)</f>
        <v/>
      </c>
      <c r="K1508" s="40" t="str">
        <f>IFERROR(IF(Agent08_Savings!A115="","",YEAR(Agent08_Savings!D115)),"")</f>
        <v/>
      </c>
    </row>
    <row r="1509" spans="1:11" ht="18" customHeight="1" x14ac:dyDescent="0.25">
      <c r="A1509" s="40" t="str">
        <f>IF(Agent08_Savings!A116="","",Agent08_Savings!A116)</f>
        <v/>
      </c>
      <c r="B1509" s="40" t="str">
        <f ca="1">IF(Agent08_Savings!A116="","","SV"&amp;TEXT(1509-3,"0000")&amp;"-"&amp;TEXT(TODAY(),"YYYYMMDD"))</f>
        <v/>
      </c>
      <c r="C1509" s="40" t="str">
        <f>IF(Agent08_Savings!A116="","",Agent08_Savings!B116)</f>
        <v/>
      </c>
      <c r="D1509" s="40" t="str">
        <f>IF(Agent08_Savings!A116="","",Agent08_Savings!G116)</f>
        <v/>
      </c>
      <c r="E1509" s="41" t="str">
        <f>IF(Agent08_Savings!A116="","",Agent08_Savings!D116)</f>
        <v/>
      </c>
      <c r="F1509" s="42" t="str">
        <f>IF(Agent08_Savings!A116="","",Agent08_Savings!E116)</f>
        <v/>
      </c>
      <c r="G1509" s="42" t="str">
        <f>IF(Agent08_Savings!A116="","",Agent08_Savings!F116)</f>
        <v/>
      </c>
      <c r="H1509" s="40" t="str">
        <f>IF(Agent08_Savings!A116="","",Agent08_Savings!I116)</f>
        <v/>
      </c>
      <c r="I1509" s="40" t="str">
        <f>IF(Agent08_Savings!A116="","",Agent08_Savings!J116)</f>
        <v/>
      </c>
      <c r="J1509" s="40" t="str">
        <f>IF(Agent08_Savings!A116="","",Agent08_Savings!K116)</f>
        <v/>
      </c>
      <c r="K1509" s="40" t="str">
        <f>IFERROR(IF(Agent08_Savings!A116="","",YEAR(Agent08_Savings!D116)),"")</f>
        <v/>
      </c>
    </row>
    <row r="1510" spans="1:11" ht="18" customHeight="1" x14ac:dyDescent="0.25">
      <c r="A1510" s="40" t="str">
        <f>IF(Agent08_Savings!A117="","",Agent08_Savings!A117)</f>
        <v/>
      </c>
      <c r="B1510" s="40" t="str">
        <f ca="1">IF(Agent08_Savings!A117="","","SV"&amp;TEXT(1510-3,"0000")&amp;"-"&amp;TEXT(TODAY(),"YYYYMMDD"))</f>
        <v/>
      </c>
      <c r="C1510" s="40" t="str">
        <f>IF(Agent08_Savings!A117="","",Agent08_Savings!B117)</f>
        <v/>
      </c>
      <c r="D1510" s="40" t="str">
        <f>IF(Agent08_Savings!A117="","",Agent08_Savings!G117)</f>
        <v/>
      </c>
      <c r="E1510" s="41" t="str">
        <f>IF(Agent08_Savings!A117="","",Agent08_Savings!D117)</f>
        <v/>
      </c>
      <c r="F1510" s="42" t="str">
        <f>IF(Agent08_Savings!A117="","",Agent08_Savings!E117)</f>
        <v/>
      </c>
      <c r="G1510" s="42" t="str">
        <f>IF(Agent08_Savings!A117="","",Agent08_Savings!F117)</f>
        <v/>
      </c>
      <c r="H1510" s="40" t="str">
        <f>IF(Agent08_Savings!A117="","",Agent08_Savings!I117)</f>
        <v/>
      </c>
      <c r="I1510" s="40" t="str">
        <f>IF(Agent08_Savings!A117="","",Agent08_Savings!J117)</f>
        <v/>
      </c>
      <c r="J1510" s="40" t="str">
        <f>IF(Agent08_Savings!A117="","",Agent08_Savings!K117)</f>
        <v/>
      </c>
      <c r="K1510" s="40" t="str">
        <f>IFERROR(IF(Agent08_Savings!A117="","",YEAR(Agent08_Savings!D117)),"")</f>
        <v/>
      </c>
    </row>
    <row r="1511" spans="1:11" ht="18" customHeight="1" x14ac:dyDescent="0.25">
      <c r="A1511" s="40" t="str">
        <f>IF(Agent08_Savings!A118="","",Agent08_Savings!A118)</f>
        <v/>
      </c>
      <c r="B1511" s="40" t="str">
        <f ca="1">IF(Agent08_Savings!A118="","","SV"&amp;TEXT(1511-3,"0000")&amp;"-"&amp;TEXT(TODAY(),"YYYYMMDD"))</f>
        <v/>
      </c>
      <c r="C1511" s="40" t="str">
        <f>IF(Agent08_Savings!A118="","",Agent08_Savings!B118)</f>
        <v/>
      </c>
      <c r="D1511" s="40" t="str">
        <f>IF(Agent08_Savings!A118="","",Agent08_Savings!G118)</f>
        <v/>
      </c>
      <c r="E1511" s="41" t="str">
        <f>IF(Agent08_Savings!A118="","",Agent08_Savings!D118)</f>
        <v/>
      </c>
      <c r="F1511" s="42" t="str">
        <f>IF(Agent08_Savings!A118="","",Agent08_Savings!E118)</f>
        <v/>
      </c>
      <c r="G1511" s="42" t="str">
        <f>IF(Agent08_Savings!A118="","",Agent08_Savings!F118)</f>
        <v/>
      </c>
      <c r="H1511" s="40" t="str">
        <f>IF(Agent08_Savings!A118="","",Agent08_Savings!I118)</f>
        <v/>
      </c>
      <c r="I1511" s="40" t="str">
        <f>IF(Agent08_Savings!A118="","",Agent08_Savings!J118)</f>
        <v/>
      </c>
      <c r="J1511" s="40" t="str">
        <f>IF(Agent08_Savings!A118="","",Agent08_Savings!K118)</f>
        <v/>
      </c>
      <c r="K1511" s="40" t="str">
        <f>IFERROR(IF(Agent08_Savings!A118="","",YEAR(Agent08_Savings!D118)),"")</f>
        <v/>
      </c>
    </row>
    <row r="1512" spans="1:11" ht="18" customHeight="1" x14ac:dyDescent="0.25">
      <c r="A1512" s="40" t="str">
        <f>IF(Agent08_Savings!A119="","",Agent08_Savings!A119)</f>
        <v/>
      </c>
      <c r="B1512" s="40" t="str">
        <f ca="1">IF(Agent08_Savings!A119="","","SV"&amp;TEXT(1512-3,"0000")&amp;"-"&amp;TEXT(TODAY(),"YYYYMMDD"))</f>
        <v/>
      </c>
      <c r="C1512" s="40" t="str">
        <f>IF(Agent08_Savings!A119="","",Agent08_Savings!B119)</f>
        <v/>
      </c>
      <c r="D1512" s="40" t="str">
        <f>IF(Agent08_Savings!A119="","",Agent08_Savings!G119)</f>
        <v/>
      </c>
      <c r="E1512" s="41" t="str">
        <f>IF(Agent08_Savings!A119="","",Agent08_Savings!D119)</f>
        <v/>
      </c>
      <c r="F1512" s="42" t="str">
        <f>IF(Agent08_Savings!A119="","",Agent08_Savings!E119)</f>
        <v/>
      </c>
      <c r="G1512" s="42" t="str">
        <f>IF(Agent08_Savings!A119="","",Agent08_Savings!F119)</f>
        <v/>
      </c>
      <c r="H1512" s="40" t="str">
        <f>IF(Agent08_Savings!A119="","",Agent08_Savings!I119)</f>
        <v/>
      </c>
      <c r="I1512" s="40" t="str">
        <f>IF(Agent08_Savings!A119="","",Agent08_Savings!J119)</f>
        <v/>
      </c>
      <c r="J1512" s="40" t="str">
        <f>IF(Agent08_Savings!A119="","",Agent08_Savings!K119)</f>
        <v/>
      </c>
      <c r="K1512" s="40" t="str">
        <f>IFERROR(IF(Agent08_Savings!A119="","",YEAR(Agent08_Savings!D119)),"")</f>
        <v/>
      </c>
    </row>
    <row r="1513" spans="1:11" ht="18" customHeight="1" x14ac:dyDescent="0.25">
      <c r="A1513" s="40" t="str">
        <f>IF(Agent08_Savings!A120="","",Agent08_Savings!A120)</f>
        <v/>
      </c>
      <c r="B1513" s="40" t="str">
        <f ca="1">IF(Agent08_Savings!A120="","","SV"&amp;TEXT(1513-3,"0000")&amp;"-"&amp;TEXT(TODAY(),"YYYYMMDD"))</f>
        <v/>
      </c>
      <c r="C1513" s="40" t="str">
        <f>IF(Agent08_Savings!A120="","",Agent08_Savings!B120)</f>
        <v/>
      </c>
      <c r="D1513" s="40" t="str">
        <f>IF(Agent08_Savings!A120="","",Agent08_Savings!G120)</f>
        <v/>
      </c>
      <c r="E1513" s="41" t="str">
        <f>IF(Agent08_Savings!A120="","",Agent08_Savings!D120)</f>
        <v/>
      </c>
      <c r="F1513" s="42" t="str">
        <f>IF(Agent08_Savings!A120="","",Agent08_Savings!E120)</f>
        <v/>
      </c>
      <c r="G1513" s="42" t="str">
        <f>IF(Agent08_Savings!A120="","",Agent08_Savings!F120)</f>
        <v/>
      </c>
      <c r="H1513" s="40" t="str">
        <f>IF(Agent08_Savings!A120="","",Agent08_Savings!I120)</f>
        <v/>
      </c>
      <c r="I1513" s="40" t="str">
        <f>IF(Agent08_Savings!A120="","",Agent08_Savings!J120)</f>
        <v/>
      </c>
      <c r="J1513" s="40" t="str">
        <f>IF(Agent08_Savings!A120="","",Agent08_Savings!K120)</f>
        <v/>
      </c>
      <c r="K1513" s="40" t="str">
        <f>IFERROR(IF(Agent08_Savings!A120="","",YEAR(Agent08_Savings!D120)),"")</f>
        <v/>
      </c>
    </row>
    <row r="1514" spans="1:11" ht="18" customHeight="1" x14ac:dyDescent="0.25">
      <c r="A1514" s="40" t="str">
        <f>IF(Agent08_Savings!A121="","",Agent08_Savings!A121)</f>
        <v/>
      </c>
      <c r="B1514" s="40" t="str">
        <f ca="1">IF(Agent08_Savings!A121="","","SV"&amp;TEXT(1514-3,"0000")&amp;"-"&amp;TEXT(TODAY(),"YYYYMMDD"))</f>
        <v/>
      </c>
      <c r="C1514" s="40" t="str">
        <f>IF(Agent08_Savings!A121="","",Agent08_Savings!B121)</f>
        <v/>
      </c>
      <c r="D1514" s="40" t="str">
        <f>IF(Agent08_Savings!A121="","",Agent08_Savings!G121)</f>
        <v/>
      </c>
      <c r="E1514" s="41" t="str">
        <f>IF(Agent08_Savings!A121="","",Agent08_Savings!D121)</f>
        <v/>
      </c>
      <c r="F1514" s="42" t="str">
        <f>IF(Agent08_Savings!A121="","",Agent08_Savings!E121)</f>
        <v/>
      </c>
      <c r="G1514" s="42" t="str">
        <f>IF(Agent08_Savings!A121="","",Agent08_Savings!F121)</f>
        <v/>
      </c>
      <c r="H1514" s="40" t="str">
        <f>IF(Agent08_Savings!A121="","",Agent08_Savings!I121)</f>
        <v/>
      </c>
      <c r="I1514" s="40" t="str">
        <f>IF(Agent08_Savings!A121="","",Agent08_Savings!J121)</f>
        <v/>
      </c>
      <c r="J1514" s="40" t="str">
        <f>IF(Agent08_Savings!A121="","",Agent08_Savings!K121)</f>
        <v/>
      </c>
      <c r="K1514" s="40" t="str">
        <f>IFERROR(IF(Agent08_Savings!A121="","",YEAR(Agent08_Savings!D121)),"")</f>
        <v/>
      </c>
    </row>
    <row r="1515" spans="1:11" ht="18" customHeight="1" x14ac:dyDescent="0.25">
      <c r="A1515" s="40" t="str">
        <f>IF(Agent08_Savings!A122="","",Agent08_Savings!A122)</f>
        <v/>
      </c>
      <c r="B1515" s="40" t="str">
        <f ca="1">IF(Agent08_Savings!A122="","","SV"&amp;TEXT(1515-3,"0000")&amp;"-"&amp;TEXT(TODAY(),"YYYYMMDD"))</f>
        <v/>
      </c>
      <c r="C1515" s="40" t="str">
        <f>IF(Agent08_Savings!A122="","",Agent08_Savings!B122)</f>
        <v/>
      </c>
      <c r="D1515" s="40" t="str">
        <f>IF(Agent08_Savings!A122="","",Agent08_Savings!G122)</f>
        <v/>
      </c>
      <c r="E1515" s="41" t="str">
        <f>IF(Agent08_Savings!A122="","",Agent08_Savings!D122)</f>
        <v/>
      </c>
      <c r="F1515" s="42" t="str">
        <f>IF(Agent08_Savings!A122="","",Agent08_Savings!E122)</f>
        <v/>
      </c>
      <c r="G1515" s="42" t="str">
        <f>IF(Agent08_Savings!A122="","",Agent08_Savings!F122)</f>
        <v/>
      </c>
      <c r="H1515" s="40" t="str">
        <f>IF(Agent08_Savings!A122="","",Agent08_Savings!I122)</f>
        <v/>
      </c>
      <c r="I1515" s="40" t="str">
        <f>IF(Agent08_Savings!A122="","",Agent08_Savings!J122)</f>
        <v/>
      </c>
      <c r="J1515" s="40" t="str">
        <f>IF(Agent08_Savings!A122="","",Agent08_Savings!K122)</f>
        <v/>
      </c>
      <c r="K1515" s="40" t="str">
        <f>IFERROR(IF(Agent08_Savings!A122="","",YEAR(Agent08_Savings!D122)),"")</f>
        <v/>
      </c>
    </row>
    <row r="1516" spans="1:11" ht="18" customHeight="1" x14ac:dyDescent="0.25">
      <c r="A1516" s="40" t="str">
        <f>IF(Agent08_Savings!A123="","",Agent08_Savings!A123)</f>
        <v/>
      </c>
      <c r="B1516" s="40" t="str">
        <f ca="1">IF(Agent08_Savings!A123="","","SV"&amp;TEXT(1516-3,"0000")&amp;"-"&amp;TEXT(TODAY(),"YYYYMMDD"))</f>
        <v/>
      </c>
      <c r="C1516" s="40" t="str">
        <f>IF(Agent08_Savings!A123="","",Agent08_Savings!B123)</f>
        <v/>
      </c>
      <c r="D1516" s="40" t="str">
        <f>IF(Agent08_Savings!A123="","",Agent08_Savings!G123)</f>
        <v/>
      </c>
      <c r="E1516" s="41" t="str">
        <f>IF(Agent08_Savings!A123="","",Agent08_Savings!D123)</f>
        <v/>
      </c>
      <c r="F1516" s="42" t="str">
        <f>IF(Agent08_Savings!A123="","",Agent08_Savings!E123)</f>
        <v/>
      </c>
      <c r="G1516" s="42" t="str">
        <f>IF(Agent08_Savings!A123="","",Agent08_Savings!F123)</f>
        <v/>
      </c>
      <c r="H1516" s="40" t="str">
        <f>IF(Agent08_Savings!A123="","",Agent08_Savings!I123)</f>
        <v/>
      </c>
      <c r="I1516" s="40" t="str">
        <f>IF(Agent08_Savings!A123="","",Agent08_Savings!J123)</f>
        <v/>
      </c>
      <c r="J1516" s="40" t="str">
        <f>IF(Agent08_Savings!A123="","",Agent08_Savings!K123)</f>
        <v/>
      </c>
      <c r="K1516" s="40" t="str">
        <f>IFERROR(IF(Agent08_Savings!A123="","",YEAR(Agent08_Savings!D123)),"")</f>
        <v/>
      </c>
    </row>
    <row r="1517" spans="1:11" ht="18" customHeight="1" x14ac:dyDescent="0.25">
      <c r="A1517" s="40" t="str">
        <f>IF(Agent08_Savings!A124="","",Agent08_Savings!A124)</f>
        <v/>
      </c>
      <c r="B1517" s="40" t="str">
        <f ca="1">IF(Agent08_Savings!A124="","","SV"&amp;TEXT(1517-3,"0000")&amp;"-"&amp;TEXT(TODAY(),"YYYYMMDD"))</f>
        <v/>
      </c>
      <c r="C1517" s="40" t="str">
        <f>IF(Agent08_Savings!A124="","",Agent08_Savings!B124)</f>
        <v/>
      </c>
      <c r="D1517" s="40" t="str">
        <f>IF(Agent08_Savings!A124="","",Agent08_Savings!G124)</f>
        <v/>
      </c>
      <c r="E1517" s="41" t="str">
        <f>IF(Agent08_Savings!A124="","",Agent08_Savings!D124)</f>
        <v/>
      </c>
      <c r="F1517" s="42" t="str">
        <f>IF(Agent08_Savings!A124="","",Agent08_Savings!E124)</f>
        <v/>
      </c>
      <c r="G1517" s="42" t="str">
        <f>IF(Agent08_Savings!A124="","",Agent08_Savings!F124)</f>
        <v/>
      </c>
      <c r="H1517" s="40" t="str">
        <f>IF(Agent08_Savings!A124="","",Agent08_Savings!I124)</f>
        <v/>
      </c>
      <c r="I1517" s="40" t="str">
        <f>IF(Agent08_Savings!A124="","",Agent08_Savings!J124)</f>
        <v/>
      </c>
      <c r="J1517" s="40" t="str">
        <f>IF(Agent08_Savings!A124="","",Agent08_Savings!K124)</f>
        <v/>
      </c>
      <c r="K1517" s="40" t="str">
        <f>IFERROR(IF(Agent08_Savings!A124="","",YEAR(Agent08_Savings!D124)),"")</f>
        <v/>
      </c>
    </row>
    <row r="1518" spans="1:11" ht="18" customHeight="1" x14ac:dyDescent="0.25">
      <c r="A1518" s="40" t="str">
        <f>IF(Agent08_Savings!A125="","",Agent08_Savings!A125)</f>
        <v/>
      </c>
      <c r="B1518" s="40" t="str">
        <f ca="1">IF(Agent08_Savings!A125="","","SV"&amp;TEXT(1518-3,"0000")&amp;"-"&amp;TEXT(TODAY(),"YYYYMMDD"))</f>
        <v/>
      </c>
      <c r="C1518" s="40" t="str">
        <f>IF(Agent08_Savings!A125="","",Agent08_Savings!B125)</f>
        <v/>
      </c>
      <c r="D1518" s="40" t="str">
        <f>IF(Agent08_Savings!A125="","",Agent08_Savings!G125)</f>
        <v/>
      </c>
      <c r="E1518" s="41" t="str">
        <f>IF(Agent08_Savings!A125="","",Agent08_Savings!D125)</f>
        <v/>
      </c>
      <c r="F1518" s="42" t="str">
        <f>IF(Agent08_Savings!A125="","",Agent08_Savings!E125)</f>
        <v/>
      </c>
      <c r="G1518" s="42" t="str">
        <f>IF(Agent08_Savings!A125="","",Agent08_Savings!F125)</f>
        <v/>
      </c>
      <c r="H1518" s="40" t="str">
        <f>IF(Agent08_Savings!A125="","",Agent08_Savings!I125)</f>
        <v/>
      </c>
      <c r="I1518" s="40" t="str">
        <f>IF(Agent08_Savings!A125="","",Agent08_Savings!J125)</f>
        <v/>
      </c>
      <c r="J1518" s="40" t="str">
        <f>IF(Agent08_Savings!A125="","",Agent08_Savings!K125)</f>
        <v/>
      </c>
      <c r="K1518" s="40" t="str">
        <f>IFERROR(IF(Agent08_Savings!A125="","",YEAR(Agent08_Savings!D125)),"")</f>
        <v/>
      </c>
    </row>
    <row r="1519" spans="1:11" ht="18" customHeight="1" x14ac:dyDescent="0.25">
      <c r="A1519" s="40" t="str">
        <f>IF(Agent08_Savings!A126="","",Agent08_Savings!A126)</f>
        <v/>
      </c>
      <c r="B1519" s="40" t="str">
        <f ca="1">IF(Agent08_Savings!A126="","","SV"&amp;TEXT(1519-3,"0000")&amp;"-"&amp;TEXT(TODAY(),"YYYYMMDD"))</f>
        <v/>
      </c>
      <c r="C1519" s="40" t="str">
        <f>IF(Agent08_Savings!A126="","",Agent08_Savings!B126)</f>
        <v/>
      </c>
      <c r="D1519" s="40" t="str">
        <f>IF(Agent08_Savings!A126="","",Agent08_Savings!G126)</f>
        <v/>
      </c>
      <c r="E1519" s="41" t="str">
        <f>IF(Agent08_Savings!A126="","",Agent08_Savings!D126)</f>
        <v/>
      </c>
      <c r="F1519" s="42" t="str">
        <f>IF(Agent08_Savings!A126="","",Agent08_Savings!E126)</f>
        <v/>
      </c>
      <c r="G1519" s="42" t="str">
        <f>IF(Agent08_Savings!A126="","",Agent08_Savings!F126)</f>
        <v/>
      </c>
      <c r="H1519" s="40" t="str">
        <f>IF(Agent08_Savings!A126="","",Agent08_Savings!I126)</f>
        <v/>
      </c>
      <c r="I1519" s="40" t="str">
        <f>IF(Agent08_Savings!A126="","",Agent08_Savings!J126)</f>
        <v/>
      </c>
      <c r="J1519" s="40" t="str">
        <f>IF(Agent08_Savings!A126="","",Agent08_Savings!K126)</f>
        <v/>
      </c>
      <c r="K1519" s="40" t="str">
        <f>IFERROR(IF(Agent08_Savings!A126="","",YEAR(Agent08_Savings!D126)),"")</f>
        <v/>
      </c>
    </row>
    <row r="1520" spans="1:11" ht="18" customHeight="1" x14ac:dyDescent="0.25">
      <c r="A1520" s="40" t="str">
        <f>IF(Agent08_Savings!A127="","",Agent08_Savings!A127)</f>
        <v/>
      </c>
      <c r="B1520" s="40" t="str">
        <f ca="1">IF(Agent08_Savings!A127="","","SV"&amp;TEXT(1520-3,"0000")&amp;"-"&amp;TEXT(TODAY(),"YYYYMMDD"))</f>
        <v/>
      </c>
      <c r="C1520" s="40" t="str">
        <f>IF(Agent08_Savings!A127="","",Agent08_Savings!B127)</f>
        <v/>
      </c>
      <c r="D1520" s="40" t="str">
        <f>IF(Agent08_Savings!A127="","",Agent08_Savings!G127)</f>
        <v/>
      </c>
      <c r="E1520" s="41" t="str">
        <f>IF(Agent08_Savings!A127="","",Agent08_Savings!D127)</f>
        <v/>
      </c>
      <c r="F1520" s="42" t="str">
        <f>IF(Agent08_Savings!A127="","",Agent08_Savings!E127)</f>
        <v/>
      </c>
      <c r="G1520" s="42" t="str">
        <f>IF(Agent08_Savings!A127="","",Agent08_Savings!F127)</f>
        <v/>
      </c>
      <c r="H1520" s="40" t="str">
        <f>IF(Agent08_Savings!A127="","",Agent08_Savings!I127)</f>
        <v/>
      </c>
      <c r="I1520" s="40" t="str">
        <f>IF(Agent08_Savings!A127="","",Agent08_Savings!J127)</f>
        <v/>
      </c>
      <c r="J1520" s="40" t="str">
        <f>IF(Agent08_Savings!A127="","",Agent08_Savings!K127)</f>
        <v/>
      </c>
      <c r="K1520" s="40" t="str">
        <f>IFERROR(IF(Agent08_Savings!A127="","",YEAR(Agent08_Savings!D127)),"")</f>
        <v/>
      </c>
    </row>
    <row r="1521" spans="1:11" ht="18" customHeight="1" x14ac:dyDescent="0.25">
      <c r="A1521" s="40" t="str">
        <f>IF(Agent08_Savings!A128="","",Agent08_Savings!A128)</f>
        <v/>
      </c>
      <c r="B1521" s="40" t="str">
        <f ca="1">IF(Agent08_Savings!A128="","","SV"&amp;TEXT(1521-3,"0000")&amp;"-"&amp;TEXT(TODAY(),"YYYYMMDD"))</f>
        <v/>
      </c>
      <c r="C1521" s="40" t="str">
        <f>IF(Agent08_Savings!A128="","",Agent08_Savings!B128)</f>
        <v/>
      </c>
      <c r="D1521" s="40" t="str">
        <f>IF(Agent08_Savings!A128="","",Agent08_Savings!G128)</f>
        <v/>
      </c>
      <c r="E1521" s="41" t="str">
        <f>IF(Agent08_Savings!A128="","",Agent08_Savings!D128)</f>
        <v/>
      </c>
      <c r="F1521" s="42" t="str">
        <f>IF(Agent08_Savings!A128="","",Agent08_Savings!E128)</f>
        <v/>
      </c>
      <c r="G1521" s="42" t="str">
        <f>IF(Agent08_Savings!A128="","",Agent08_Savings!F128)</f>
        <v/>
      </c>
      <c r="H1521" s="40" t="str">
        <f>IF(Agent08_Savings!A128="","",Agent08_Savings!I128)</f>
        <v/>
      </c>
      <c r="I1521" s="40" t="str">
        <f>IF(Agent08_Savings!A128="","",Agent08_Savings!J128)</f>
        <v/>
      </c>
      <c r="J1521" s="40" t="str">
        <f>IF(Agent08_Savings!A128="","",Agent08_Savings!K128)</f>
        <v/>
      </c>
      <c r="K1521" s="40" t="str">
        <f>IFERROR(IF(Agent08_Savings!A128="","",YEAR(Agent08_Savings!D128)),"")</f>
        <v/>
      </c>
    </row>
    <row r="1522" spans="1:11" ht="18" customHeight="1" x14ac:dyDescent="0.25">
      <c r="A1522" s="40" t="str">
        <f>IF(Agent08_Savings!A129="","",Agent08_Savings!A129)</f>
        <v/>
      </c>
      <c r="B1522" s="40" t="str">
        <f ca="1">IF(Agent08_Savings!A129="","","SV"&amp;TEXT(1522-3,"0000")&amp;"-"&amp;TEXT(TODAY(),"YYYYMMDD"))</f>
        <v/>
      </c>
      <c r="C1522" s="40" t="str">
        <f>IF(Agent08_Savings!A129="","",Agent08_Savings!B129)</f>
        <v/>
      </c>
      <c r="D1522" s="40" t="str">
        <f>IF(Agent08_Savings!A129="","",Agent08_Savings!G129)</f>
        <v/>
      </c>
      <c r="E1522" s="41" t="str">
        <f>IF(Agent08_Savings!A129="","",Agent08_Savings!D129)</f>
        <v/>
      </c>
      <c r="F1522" s="42" t="str">
        <f>IF(Agent08_Savings!A129="","",Agent08_Savings!E129)</f>
        <v/>
      </c>
      <c r="G1522" s="42" t="str">
        <f>IF(Agent08_Savings!A129="","",Agent08_Savings!F129)</f>
        <v/>
      </c>
      <c r="H1522" s="40" t="str">
        <f>IF(Agent08_Savings!A129="","",Agent08_Savings!I129)</f>
        <v/>
      </c>
      <c r="I1522" s="40" t="str">
        <f>IF(Agent08_Savings!A129="","",Agent08_Savings!J129)</f>
        <v/>
      </c>
      <c r="J1522" s="40" t="str">
        <f>IF(Agent08_Savings!A129="","",Agent08_Savings!K129)</f>
        <v/>
      </c>
      <c r="K1522" s="40" t="str">
        <f>IFERROR(IF(Agent08_Savings!A129="","",YEAR(Agent08_Savings!D129)),"")</f>
        <v/>
      </c>
    </row>
    <row r="1523" spans="1:11" ht="18" customHeight="1" x14ac:dyDescent="0.25">
      <c r="A1523" s="40" t="str">
        <f>IF(Agent08_Savings!A130="","",Agent08_Savings!A130)</f>
        <v/>
      </c>
      <c r="B1523" s="40" t="str">
        <f ca="1">IF(Agent08_Savings!A130="","","SV"&amp;TEXT(1523-3,"0000")&amp;"-"&amp;TEXT(TODAY(),"YYYYMMDD"))</f>
        <v/>
      </c>
      <c r="C1523" s="40" t="str">
        <f>IF(Agent08_Savings!A130="","",Agent08_Savings!B130)</f>
        <v/>
      </c>
      <c r="D1523" s="40" t="str">
        <f>IF(Agent08_Savings!A130="","",Agent08_Savings!G130)</f>
        <v/>
      </c>
      <c r="E1523" s="41" t="str">
        <f>IF(Agent08_Savings!A130="","",Agent08_Savings!D130)</f>
        <v/>
      </c>
      <c r="F1523" s="42" t="str">
        <f>IF(Agent08_Savings!A130="","",Agent08_Savings!E130)</f>
        <v/>
      </c>
      <c r="G1523" s="42" t="str">
        <f>IF(Agent08_Savings!A130="","",Agent08_Savings!F130)</f>
        <v/>
      </c>
      <c r="H1523" s="40" t="str">
        <f>IF(Agent08_Savings!A130="","",Agent08_Savings!I130)</f>
        <v/>
      </c>
      <c r="I1523" s="40" t="str">
        <f>IF(Agent08_Savings!A130="","",Agent08_Savings!J130)</f>
        <v/>
      </c>
      <c r="J1523" s="40" t="str">
        <f>IF(Agent08_Savings!A130="","",Agent08_Savings!K130)</f>
        <v/>
      </c>
      <c r="K1523" s="40" t="str">
        <f>IFERROR(IF(Agent08_Savings!A130="","",YEAR(Agent08_Savings!D130)),"")</f>
        <v/>
      </c>
    </row>
    <row r="1524" spans="1:11" ht="18" customHeight="1" x14ac:dyDescent="0.25">
      <c r="A1524" s="40" t="str">
        <f>IF(Agent08_Savings!A131="","",Agent08_Savings!A131)</f>
        <v/>
      </c>
      <c r="B1524" s="40" t="str">
        <f ca="1">IF(Agent08_Savings!A131="","","SV"&amp;TEXT(1524-3,"0000")&amp;"-"&amp;TEXT(TODAY(),"YYYYMMDD"))</f>
        <v/>
      </c>
      <c r="C1524" s="40" t="str">
        <f>IF(Agent08_Savings!A131="","",Agent08_Savings!B131)</f>
        <v/>
      </c>
      <c r="D1524" s="40" t="str">
        <f>IF(Agent08_Savings!A131="","",Agent08_Savings!G131)</f>
        <v/>
      </c>
      <c r="E1524" s="41" t="str">
        <f>IF(Agent08_Savings!A131="","",Agent08_Savings!D131)</f>
        <v/>
      </c>
      <c r="F1524" s="42" t="str">
        <f>IF(Agent08_Savings!A131="","",Agent08_Savings!E131)</f>
        <v/>
      </c>
      <c r="G1524" s="42" t="str">
        <f>IF(Agent08_Savings!A131="","",Agent08_Savings!F131)</f>
        <v/>
      </c>
      <c r="H1524" s="40" t="str">
        <f>IF(Agent08_Savings!A131="","",Agent08_Savings!I131)</f>
        <v/>
      </c>
      <c r="I1524" s="40" t="str">
        <f>IF(Agent08_Savings!A131="","",Agent08_Savings!J131)</f>
        <v/>
      </c>
      <c r="J1524" s="40" t="str">
        <f>IF(Agent08_Savings!A131="","",Agent08_Savings!K131)</f>
        <v/>
      </c>
      <c r="K1524" s="40" t="str">
        <f>IFERROR(IF(Agent08_Savings!A131="","",YEAR(Agent08_Savings!D131)),"")</f>
        <v/>
      </c>
    </row>
    <row r="1525" spans="1:11" ht="18" customHeight="1" x14ac:dyDescent="0.25">
      <c r="A1525" s="40" t="str">
        <f>IF(Agent08_Savings!A132="","",Agent08_Savings!A132)</f>
        <v/>
      </c>
      <c r="B1525" s="40" t="str">
        <f ca="1">IF(Agent08_Savings!A132="","","SV"&amp;TEXT(1525-3,"0000")&amp;"-"&amp;TEXT(TODAY(),"YYYYMMDD"))</f>
        <v/>
      </c>
      <c r="C1525" s="40" t="str">
        <f>IF(Agent08_Savings!A132="","",Agent08_Savings!B132)</f>
        <v/>
      </c>
      <c r="D1525" s="40" t="str">
        <f>IF(Agent08_Savings!A132="","",Agent08_Savings!G132)</f>
        <v/>
      </c>
      <c r="E1525" s="41" t="str">
        <f>IF(Agent08_Savings!A132="","",Agent08_Savings!D132)</f>
        <v/>
      </c>
      <c r="F1525" s="42" t="str">
        <f>IF(Agent08_Savings!A132="","",Agent08_Savings!E132)</f>
        <v/>
      </c>
      <c r="G1525" s="42" t="str">
        <f>IF(Agent08_Savings!A132="","",Agent08_Savings!F132)</f>
        <v/>
      </c>
      <c r="H1525" s="40" t="str">
        <f>IF(Agent08_Savings!A132="","",Agent08_Savings!I132)</f>
        <v/>
      </c>
      <c r="I1525" s="40" t="str">
        <f>IF(Agent08_Savings!A132="","",Agent08_Savings!J132)</f>
        <v/>
      </c>
      <c r="J1525" s="40" t="str">
        <f>IF(Agent08_Savings!A132="","",Agent08_Savings!K132)</f>
        <v/>
      </c>
      <c r="K1525" s="40" t="str">
        <f>IFERROR(IF(Agent08_Savings!A132="","",YEAR(Agent08_Savings!D132)),"")</f>
        <v/>
      </c>
    </row>
    <row r="1526" spans="1:11" ht="18" customHeight="1" x14ac:dyDescent="0.25">
      <c r="A1526" s="40" t="str">
        <f>IF(Agent08_Savings!A133="","",Agent08_Savings!A133)</f>
        <v/>
      </c>
      <c r="B1526" s="40" t="str">
        <f ca="1">IF(Agent08_Savings!A133="","","SV"&amp;TEXT(1526-3,"0000")&amp;"-"&amp;TEXT(TODAY(),"YYYYMMDD"))</f>
        <v/>
      </c>
      <c r="C1526" s="40" t="str">
        <f>IF(Agent08_Savings!A133="","",Agent08_Savings!B133)</f>
        <v/>
      </c>
      <c r="D1526" s="40" t="str">
        <f>IF(Agent08_Savings!A133="","",Agent08_Savings!G133)</f>
        <v/>
      </c>
      <c r="E1526" s="41" t="str">
        <f>IF(Agent08_Savings!A133="","",Agent08_Savings!D133)</f>
        <v/>
      </c>
      <c r="F1526" s="42" t="str">
        <f>IF(Agent08_Savings!A133="","",Agent08_Savings!E133)</f>
        <v/>
      </c>
      <c r="G1526" s="42" t="str">
        <f>IF(Agent08_Savings!A133="","",Agent08_Savings!F133)</f>
        <v/>
      </c>
      <c r="H1526" s="40" t="str">
        <f>IF(Agent08_Savings!A133="","",Agent08_Savings!I133)</f>
        <v/>
      </c>
      <c r="I1526" s="40" t="str">
        <f>IF(Agent08_Savings!A133="","",Agent08_Savings!J133)</f>
        <v/>
      </c>
      <c r="J1526" s="40" t="str">
        <f>IF(Agent08_Savings!A133="","",Agent08_Savings!K133)</f>
        <v/>
      </c>
      <c r="K1526" s="40" t="str">
        <f>IFERROR(IF(Agent08_Savings!A133="","",YEAR(Agent08_Savings!D133)),"")</f>
        <v/>
      </c>
    </row>
    <row r="1527" spans="1:11" ht="18" customHeight="1" x14ac:dyDescent="0.25">
      <c r="A1527" s="40" t="str">
        <f>IF(Agent08_Savings!A134="","",Agent08_Savings!A134)</f>
        <v/>
      </c>
      <c r="B1527" s="40" t="str">
        <f ca="1">IF(Agent08_Savings!A134="","","SV"&amp;TEXT(1527-3,"0000")&amp;"-"&amp;TEXT(TODAY(),"YYYYMMDD"))</f>
        <v/>
      </c>
      <c r="C1527" s="40" t="str">
        <f>IF(Agent08_Savings!A134="","",Agent08_Savings!B134)</f>
        <v/>
      </c>
      <c r="D1527" s="40" t="str">
        <f>IF(Agent08_Savings!A134="","",Agent08_Savings!G134)</f>
        <v/>
      </c>
      <c r="E1527" s="41" t="str">
        <f>IF(Agent08_Savings!A134="","",Agent08_Savings!D134)</f>
        <v/>
      </c>
      <c r="F1527" s="42" t="str">
        <f>IF(Agent08_Savings!A134="","",Agent08_Savings!E134)</f>
        <v/>
      </c>
      <c r="G1527" s="42" t="str">
        <f>IF(Agent08_Savings!A134="","",Agent08_Savings!F134)</f>
        <v/>
      </c>
      <c r="H1527" s="40" t="str">
        <f>IF(Agent08_Savings!A134="","",Agent08_Savings!I134)</f>
        <v/>
      </c>
      <c r="I1527" s="40" t="str">
        <f>IF(Agent08_Savings!A134="","",Agent08_Savings!J134)</f>
        <v/>
      </c>
      <c r="J1527" s="40" t="str">
        <f>IF(Agent08_Savings!A134="","",Agent08_Savings!K134)</f>
        <v/>
      </c>
      <c r="K1527" s="40" t="str">
        <f>IFERROR(IF(Agent08_Savings!A134="","",YEAR(Agent08_Savings!D134)),"")</f>
        <v/>
      </c>
    </row>
    <row r="1528" spans="1:11" ht="18" customHeight="1" x14ac:dyDescent="0.25">
      <c r="A1528" s="40" t="str">
        <f>IF(Agent08_Savings!A135="","",Agent08_Savings!A135)</f>
        <v/>
      </c>
      <c r="B1528" s="40" t="str">
        <f ca="1">IF(Agent08_Savings!A135="","","SV"&amp;TEXT(1528-3,"0000")&amp;"-"&amp;TEXT(TODAY(),"YYYYMMDD"))</f>
        <v/>
      </c>
      <c r="C1528" s="40" t="str">
        <f>IF(Agent08_Savings!A135="","",Agent08_Savings!B135)</f>
        <v/>
      </c>
      <c r="D1528" s="40" t="str">
        <f>IF(Agent08_Savings!A135="","",Agent08_Savings!G135)</f>
        <v/>
      </c>
      <c r="E1528" s="41" t="str">
        <f>IF(Agent08_Savings!A135="","",Agent08_Savings!D135)</f>
        <v/>
      </c>
      <c r="F1528" s="42" t="str">
        <f>IF(Agent08_Savings!A135="","",Agent08_Savings!E135)</f>
        <v/>
      </c>
      <c r="G1528" s="42" t="str">
        <f>IF(Agent08_Savings!A135="","",Agent08_Savings!F135)</f>
        <v/>
      </c>
      <c r="H1528" s="40" t="str">
        <f>IF(Agent08_Savings!A135="","",Agent08_Savings!I135)</f>
        <v/>
      </c>
      <c r="I1528" s="40" t="str">
        <f>IF(Agent08_Savings!A135="","",Agent08_Savings!J135)</f>
        <v/>
      </c>
      <c r="J1528" s="40" t="str">
        <f>IF(Agent08_Savings!A135="","",Agent08_Savings!K135)</f>
        <v/>
      </c>
      <c r="K1528" s="40" t="str">
        <f>IFERROR(IF(Agent08_Savings!A135="","",YEAR(Agent08_Savings!D135)),"")</f>
        <v/>
      </c>
    </row>
    <row r="1529" spans="1:11" ht="18" customHeight="1" x14ac:dyDescent="0.25">
      <c r="A1529" s="40" t="str">
        <f>IF(Agent08_Savings!A136="","",Agent08_Savings!A136)</f>
        <v/>
      </c>
      <c r="B1529" s="40" t="str">
        <f ca="1">IF(Agent08_Savings!A136="","","SV"&amp;TEXT(1529-3,"0000")&amp;"-"&amp;TEXT(TODAY(),"YYYYMMDD"))</f>
        <v/>
      </c>
      <c r="C1529" s="40" t="str">
        <f>IF(Agent08_Savings!A136="","",Agent08_Savings!B136)</f>
        <v/>
      </c>
      <c r="D1529" s="40" t="str">
        <f>IF(Agent08_Savings!A136="","",Agent08_Savings!G136)</f>
        <v/>
      </c>
      <c r="E1529" s="41" t="str">
        <f>IF(Agent08_Savings!A136="","",Agent08_Savings!D136)</f>
        <v/>
      </c>
      <c r="F1529" s="42" t="str">
        <f>IF(Agent08_Savings!A136="","",Agent08_Savings!E136)</f>
        <v/>
      </c>
      <c r="G1529" s="42" t="str">
        <f>IF(Agent08_Savings!A136="","",Agent08_Savings!F136)</f>
        <v/>
      </c>
      <c r="H1529" s="40" t="str">
        <f>IF(Agent08_Savings!A136="","",Agent08_Savings!I136)</f>
        <v/>
      </c>
      <c r="I1529" s="40" t="str">
        <f>IF(Agent08_Savings!A136="","",Agent08_Savings!J136)</f>
        <v/>
      </c>
      <c r="J1529" s="40" t="str">
        <f>IF(Agent08_Savings!A136="","",Agent08_Savings!K136)</f>
        <v/>
      </c>
      <c r="K1529" s="40" t="str">
        <f>IFERROR(IF(Agent08_Savings!A136="","",YEAR(Agent08_Savings!D136)),"")</f>
        <v/>
      </c>
    </row>
    <row r="1530" spans="1:11" ht="18" customHeight="1" x14ac:dyDescent="0.25">
      <c r="A1530" s="40" t="str">
        <f>IF(Agent08_Savings!A137="","",Agent08_Savings!A137)</f>
        <v/>
      </c>
      <c r="B1530" s="40" t="str">
        <f ca="1">IF(Agent08_Savings!A137="","","SV"&amp;TEXT(1530-3,"0000")&amp;"-"&amp;TEXT(TODAY(),"YYYYMMDD"))</f>
        <v/>
      </c>
      <c r="C1530" s="40" t="str">
        <f>IF(Agent08_Savings!A137="","",Agent08_Savings!B137)</f>
        <v/>
      </c>
      <c r="D1530" s="40" t="str">
        <f>IF(Agent08_Savings!A137="","",Agent08_Savings!G137)</f>
        <v/>
      </c>
      <c r="E1530" s="41" t="str">
        <f>IF(Agent08_Savings!A137="","",Agent08_Savings!D137)</f>
        <v/>
      </c>
      <c r="F1530" s="42" t="str">
        <f>IF(Agent08_Savings!A137="","",Agent08_Savings!E137)</f>
        <v/>
      </c>
      <c r="G1530" s="42" t="str">
        <f>IF(Agent08_Savings!A137="","",Agent08_Savings!F137)</f>
        <v/>
      </c>
      <c r="H1530" s="40" t="str">
        <f>IF(Agent08_Savings!A137="","",Agent08_Savings!I137)</f>
        <v/>
      </c>
      <c r="I1530" s="40" t="str">
        <f>IF(Agent08_Savings!A137="","",Agent08_Savings!J137)</f>
        <v/>
      </c>
      <c r="J1530" s="40" t="str">
        <f>IF(Agent08_Savings!A137="","",Agent08_Savings!K137)</f>
        <v/>
      </c>
      <c r="K1530" s="40" t="str">
        <f>IFERROR(IF(Agent08_Savings!A137="","",YEAR(Agent08_Savings!D137)),"")</f>
        <v/>
      </c>
    </row>
    <row r="1531" spans="1:11" ht="18" customHeight="1" x14ac:dyDescent="0.25">
      <c r="A1531" s="40" t="str">
        <f>IF(Agent08_Savings!A138="","",Agent08_Savings!A138)</f>
        <v/>
      </c>
      <c r="B1531" s="40" t="str">
        <f ca="1">IF(Agent08_Savings!A138="","","SV"&amp;TEXT(1531-3,"0000")&amp;"-"&amp;TEXT(TODAY(),"YYYYMMDD"))</f>
        <v/>
      </c>
      <c r="C1531" s="40" t="str">
        <f>IF(Agent08_Savings!A138="","",Agent08_Savings!B138)</f>
        <v/>
      </c>
      <c r="D1531" s="40" t="str">
        <f>IF(Agent08_Savings!A138="","",Agent08_Savings!G138)</f>
        <v/>
      </c>
      <c r="E1531" s="41" t="str">
        <f>IF(Agent08_Savings!A138="","",Agent08_Savings!D138)</f>
        <v/>
      </c>
      <c r="F1531" s="42" t="str">
        <f>IF(Agent08_Savings!A138="","",Agent08_Savings!E138)</f>
        <v/>
      </c>
      <c r="G1531" s="42" t="str">
        <f>IF(Agent08_Savings!A138="","",Agent08_Savings!F138)</f>
        <v/>
      </c>
      <c r="H1531" s="40" t="str">
        <f>IF(Agent08_Savings!A138="","",Agent08_Savings!I138)</f>
        <v/>
      </c>
      <c r="I1531" s="40" t="str">
        <f>IF(Agent08_Savings!A138="","",Agent08_Savings!J138)</f>
        <v/>
      </c>
      <c r="J1531" s="40" t="str">
        <f>IF(Agent08_Savings!A138="","",Agent08_Savings!K138)</f>
        <v/>
      </c>
      <c r="K1531" s="40" t="str">
        <f>IFERROR(IF(Agent08_Savings!A138="","",YEAR(Agent08_Savings!D138)),"")</f>
        <v/>
      </c>
    </row>
    <row r="1532" spans="1:11" ht="18" customHeight="1" x14ac:dyDescent="0.25">
      <c r="A1532" s="40" t="str">
        <f>IF(Agent08_Savings!A139="","",Agent08_Savings!A139)</f>
        <v/>
      </c>
      <c r="B1532" s="40" t="str">
        <f ca="1">IF(Agent08_Savings!A139="","","SV"&amp;TEXT(1532-3,"0000")&amp;"-"&amp;TEXT(TODAY(),"YYYYMMDD"))</f>
        <v/>
      </c>
      <c r="C1532" s="40" t="str">
        <f>IF(Agent08_Savings!A139="","",Agent08_Savings!B139)</f>
        <v/>
      </c>
      <c r="D1532" s="40" t="str">
        <f>IF(Agent08_Savings!A139="","",Agent08_Savings!G139)</f>
        <v/>
      </c>
      <c r="E1532" s="41" t="str">
        <f>IF(Agent08_Savings!A139="","",Agent08_Savings!D139)</f>
        <v/>
      </c>
      <c r="F1532" s="42" t="str">
        <f>IF(Agent08_Savings!A139="","",Agent08_Savings!E139)</f>
        <v/>
      </c>
      <c r="G1532" s="42" t="str">
        <f>IF(Agent08_Savings!A139="","",Agent08_Savings!F139)</f>
        <v/>
      </c>
      <c r="H1532" s="40" t="str">
        <f>IF(Agent08_Savings!A139="","",Agent08_Savings!I139)</f>
        <v/>
      </c>
      <c r="I1532" s="40" t="str">
        <f>IF(Agent08_Savings!A139="","",Agent08_Savings!J139)</f>
        <v/>
      </c>
      <c r="J1532" s="40" t="str">
        <f>IF(Agent08_Savings!A139="","",Agent08_Savings!K139)</f>
        <v/>
      </c>
      <c r="K1532" s="40" t="str">
        <f>IFERROR(IF(Agent08_Savings!A139="","",YEAR(Agent08_Savings!D139)),"")</f>
        <v/>
      </c>
    </row>
    <row r="1533" spans="1:11" ht="18" customHeight="1" x14ac:dyDescent="0.25">
      <c r="A1533" s="40" t="str">
        <f>IF(Agent08_Savings!A140="","",Agent08_Savings!A140)</f>
        <v/>
      </c>
      <c r="B1533" s="40" t="str">
        <f ca="1">IF(Agent08_Savings!A140="","","SV"&amp;TEXT(1533-3,"0000")&amp;"-"&amp;TEXT(TODAY(),"YYYYMMDD"))</f>
        <v/>
      </c>
      <c r="C1533" s="40" t="str">
        <f>IF(Agent08_Savings!A140="","",Agent08_Savings!B140)</f>
        <v/>
      </c>
      <c r="D1533" s="40" t="str">
        <f>IF(Agent08_Savings!A140="","",Agent08_Savings!G140)</f>
        <v/>
      </c>
      <c r="E1533" s="41" t="str">
        <f>IF(Agent08_Savings!A140="","",Agent08_Savings!D140)</f>
        <v/>
      </c>
      <c r="F1533" s="42" t="str">
        <f>IF(Agent08_Savings!A140="","",Agent08_Savings!E140)</f>
        <v/>
      </c>
      <c r="G1533" s="42" t="str">
        <f>IF(Agent08_Savings!A140="","",Agent08_Savings!F140)</f>
        <v/>
      </c>
      <c r="H1533" s="40" t="str">
        <f>IF(Agent08_Savings!A140="","",Agent08_Savings!I140)</f>
        <v/>
      </c>
      <c r="I1533" s="40" t="str">
        <f>IF(Agent08_Savings!A140="","",Agent08_Savings!J140)</f>
        <v/>
      </c>
      <c r="J1533" s="40" t="str">
        <f>IF(Agent08_Savings!A140="","",Agent08_Savings!K140)</f>
        <v/>
      </c>
      <c r="K1533" s="40" t="str">
        <f>IFERROR(IF(Agent08_Savings!A140="","",YEAR(Agent08_Savings!D140)),"")</f>
        <v/>
      </c>
    </row>
    <row r="1534" spans="1:11" ht="18" customHeight="1" x14ac:dyDescent="0.25">
      <c r="A1534" s="40" t="str">
        <f>IF(Agent08_Savings!A141="","",Agent08_Savings!A141)</f>
        <v/>
      </c>
      <c r="B1534" s="40" t="str">
        <f ca="1">IF(Agent08_Savings!A141="","","SV"&amp;TEXT(1534-3,"0000")&amp;"-"&amp;TEXT(TODAY(),"YYYYMMDD"))</f>
        <v/>
      </c>
      <c r="C1534" s="40" t="str">
        <f>IF(Agent08_Savings!A141="","",Agent08_Savings!B141)</f>
        <v/>
      </c>
      <c r="D1534" s="40" t="str">
        <f>IF(Agent08_Savings!A141="","",Agent08_Savings!G141)</f>
        <v/>
      </c>
      <c r="E1534" s="41" t="str">
        <f>IF(Agent08_Savings!A141="","",Agent08_Savings!D141)</f>
        <v/>
      </c>
      <c r="F1534" s="42" t="str">
        <f>IF(Agent08_Savings!A141="","",Agent08_Savings!E141)</f>
        <v/>
      </c>
      <c r="G1534" s="42" t="str">
        <f>IF(Agent08_Savings!A141="","",Agent08_Savings!F141)</f>
        <v/>
      </c>
      <c r="H1534" s="40" t="str">
        <f>IF(Agent08_Savings!A141="","",Agent08_Savings!I141)</f>
        <v/>
      </c>
      <c r="I1534" s="40" t="str">
        <f>IF(Agent08_Savings!A141="","",Agent08_Savings!J141)</f>
        <v/>
      </c>
      <c r="J1534" s="40" t="str">
        <f>IF(Agent08_Savings!A141="","",Agent08_Savings!K141)</f>
        <v/>
      </c>
      <c r="K1534" s="40" t="str">
        <f>IFERROR(IF(Agent08_Savings!A141="","",YEAR(Agent08_Savings!D141)),"")</f>
        <v/>
      </c>
    </row>
    <row r="1535" spans="1:11" ht="18" customHeight="1" x14ac:dyDescent="0.25">
      <c r="A1535" s="40" t="str">
        <f>IF(Agent08_Savings!A142="","",Agent08_Savings!A142)</f>
        <v/>
      </c>
      <c r="B1535" s="40" t="str">
        <f ca="1">IF(Agent08_Savings!A142="","","SV"&amp;TEXT(1535-3,"0000")&amp;"-"&amp;TEXT(TODAY(),"YYYYMMDD"))</f>
        <v/>
      </c>
      <c r="C1535" s="40" t="str">
        <f>IF(Agent08_Savings!A142="","",Agent08_Savings!B142)</f>
        <v/>
      </c>
      <c r="D1535" s="40" t="str">
        <f>IF(Agent08_Savings!A142="","",Agent08_Savings!G142)</f>
        <v/>
      </c>
      <c r="E1535" s="41" t="str">
        <f>IF(Agent08_Savings!A142="","",Agent08_Savings!D142)</f>
        <v/>
      </c>
      <c r="F1535" s="42" t="str">
        <f>IF(Agent08_Savings!A142="","",Agent08_Savings!E142)</f>
        <v/>
      </c>
      <c r="G1535" s="42" t="str">
        <f>IF(Agent08_Savings!A142="","",Agent08_Savings!F142)</f>
        <v/>
      </c>
      <c r="H1535" s="40" t="str">
        <f>IF(Agent08_Savings!A142="","",Agent08_Savings!I142)</f>
        <v/>
      </c>
      <c r="I1535" s="40" t="str">
        <f>IF(Agent08_Savings!A142="","",Agent08_Savings!J142)</f>
        <v/>
      </c>
      <c r="J1535" s="40" t="str">
        <f>IF(Agent08_Savings!A142="","",Agent08_Savings!K142)</f>
        <v/>
      </c>
      <c r="K1535" s="40" t="str">
        <f>IFERROR(IF(Agent08_Savings!A142="","",YEAR(Agent08_Savings!D142)),"")</f>
        <v/>
      </c>
    </row>
    <row r="1536" spans="1:11" ht="18" customHeight="1" x14ac:dyDescent="0.25">
      <c r="A1536" s="40" t="str">
        <f>IF(Agent08_Savings!A143="","",Agent08_Savings!A143)</f>
        <v/>
      </c>
      <c r="B1536" s="40" t="str">
        <f ca="1">IF(Agent08_Savings!A143="","","SV"&amp;TEXT(1536-3,"0000")&amp;"-"&amp;TEXT(TODAY(),"YYYYMMDD"))</f>
        <v/>
      </c>
      <c r="C1536" s="40" t="str">
        <f>IF(Agent08_Savings!A143="","",Agent08_Savings!B143)</f>
        <v/>
      </c>
      <c r="D1536" s="40" t="str">
        <f>IF(Agent08_Savings!A143="","",Agent08_Savings!G143)</f>
        <v/>
      </c>
      <c r="E1536" s="41" t="str">
        <f>IF(Agent08_Savings!A143="","",Agent08_Savings!D143)</f>
        <v/>
      </c>
      <c r="F1536" s="42" t="str">
        <f>IF(Agent08_Savings!A143="","",Agent08_Savings!E143)</f>
        <v/>
      </c>
      <c r="G1536" s="42" t="str">
        <f>IF(Agent08_Savings!A143="","",Agent08_Savings!F143)</f>
        <v/>
      </c>
      <c r="H1536" s="40" t="str">
        <f>IF(Agent08_Savings!A143="","",Agent08_Savings!I143)</f>
        <v/>
      </c>
      <c r="I1536" s="40" t="str">
        <f>IF(Agent08_Savings!A143="","",Agent08_Savings!J143)</f>
        <v/>
      </c>
      <c r="J1536" s="40" t="str">
        <f>IF(Agent08_Savings!A143="","",Agent08_Savings!K143)</f>
        <v/>
      </c>
      <c r="K1536" s="40" t="str">
        <f>IFERROR(IF(Agent08_Savings!A143="","",YEAR(Agent08_Savings!D143)),"")</f>
        <v/>
      </c>
    </row>
    <row r="1537" spans="1:11" ht="18" customHeight="1" x14ac:dyDescent="0.25">
      <c r="A1537" s="40" t="str">
        <f>IF(Agent08_Savings!A144="","",Agent08_Savings!A144)</f>
        <v/>
      </c>
      <c r="B1537" s="40" t="str">
        <f ca="1">IF(Agent08_Savings!A144="","","SV"&amp;TEXT(1537-3,"0000")&amp;"-"&amp;TEXT(TODAY(),"YYYYMMDD"))</f>
        <v/>
      </c>
      <c r="C1537" s="40" t="str">
        <f>IF(Agent08_Savings!A144="","",Agent08_Savings!B144)</f>
        <v/>
      </c>
      <c r="D1537" s="40" t="str">
        <f>IF(Agent08_Savings!A144="","",Agent08_Savings!G144)</f>
        <v/>
      </c>
      <c r="E1537" s="41" t="str">
        <f>IF(Agent08_Savings!A144="","",Agent08_Savings!D144)</f>
        <v/>
      </c>
      <c r="F1537" s="42" t="str">
        <f>IF(Agent08_Savings!A144="","",Agent08_Savings!E144)</f>
        <v/>
      </c>
      <c r="G1537" s="42" t="str">
        <f>IF(Agent08_Savings!A144="","",Agent08_Savings!F144)</f>
        <v/>
      </c>
      <c r="H1537" s="40" t="str">
        <f>IF(Agent08_Savings!A144="","",Agent08_Savings!I144)</f>
        <v/>
      </c>
      <c r="I1537" s="40" t="str">
        <f>IF(Agent08_Savings!A144="","",Agent08_Savings!J144)</f>
        <v/>
      </c>
      <c r="J1537" s="40" t="str">
        <f>IF(Agent08_Savings!A144="","",Agent08_Savings!K144)</f>
        <v/>
      </c>
      <c r="K1537" s="40" t="str">
        <f>IFERROR(IF(Agent08_Savings!A144="","",YEAR(Agent08_Savings!D144)),"")</f>
        <v/>
      </c>
    </row>
    <row r="1538" spans="1:11" ht="18" customHeight="1" x14ac:dyDescent="0.25">
      <c r="A1538" s="40" t="str">
        <f>IF(Agent08_Savings!A145="","",Agent08_Savings!A145)</f>
        <v/>
      </c>
      <c r="B1538" s="40" t="str">
        <f ca="1">IF(Agent08_Savings!A145="","","SV"&amp;TEXT(1538-3,"0000")&amp;"-"&amp;TEXT(TODAY(),"YYYYMMDD"))</f>
        <v/>
      </c>
      <c r="C1538" s="40" t="str">
        <f>IF(Agent08_Savings!A145="","",Agent08_Savings!B145)</f>
        <v/>
      </c>
      <c r="D1538" s="40" t="str">
        <f>IF(Agent08_Savings!A145="","",Agent08_Savings!G145)</f>
        <v/>
      </c>
      <c r="E1538" s="41" t="str">
        <f>IF(Agent08_Savings!A145="","",Agent08_Savings!D145)</f>
        <v/>
      </c>
      <c r="F1538" s="42" t="str">
        <f>IF(Agent08_Savings!A145="","",Agent08_Savings!E145)</f>
        <v/>
      </c>
      <c r="G1538" s="42" t="str">
        <f>IF(Agent08_Savings!A145="","",Agent08_Savings!F145)</f>
        <v/>
      </c>
      <c r="H1538" s="40" t="str">
        <f>IF(Agent08_Savings!A145="","",Agent08_Savings!I145)</f>
        <v/>
      </c>
      <c r="I1538" s="40" t="str">
        <f>IF(Agent08_Savings!A145="","",Agent08_Savings!J145)</f>
        <v/>
      </c>
      <c r="J1538" s="40" t="str">
        <f>IF(Agent08_Savings!A145="","",Agent08_Savings!K145)</f>
        <v/>
      </c>
      <c r="K1538" s="40" t="str">
        <f>IFERROR(IF(Agent08_Savings!A145="","",YEAR(Agent08_Savings!D145)),"")</f>
        <v/>
      </c>
    </row>
    <row r="1539" spans="1:11" ht="18" customHeight="1" x14ac:dyDescent="0.25">
      <c r="A1539" s="40" t="str">
        <f>IF(Agent08_Savings!A146="","",Agent08_Savings!A146)</f>
        <v/>
      </c>
      <c r="B1539" s="40" t="str">
        <f ca="1">IF(Agent08_Savings!A146="","","SV"&amp;TEXT(1539-3,"0000")&amp;"-"&amp;TEXT(TODAY(),"YYYYMMDD"))</f>
        <v/>
      </c>
      <c r="C1539" s="40" t="str">
        <f>IF(Agent08_Savings!A146="","",Agent08_Savings!B146)</f>
        <v/>
      </c>
      <c r="D1539" s="40" t="str">
        <f>IF(Agent08_Savings!A146="","",Agent08_Savings!G146)</f>
        <v/>
      </c>
      <c r="E1539" s="41" t="str">
        <f>IF(Agent08_Savings!A146="","",Agent08_Savings!D146)</f>
        <v/>
      </c>
      <c r="F1539" s="42" t="str">
        <f>IF(Agent08_Savings!A146="","",Agent08_Savings!E146)</f>
        <v/>
      </c>
      <c r="G1539" s="42" t="str">
        <f>IF(Agent08_Savings!A146="","",Agent08_Savings!F146)</f>
        <v/>
      </c>
      <c r="H1539" s="40" t="str">
        <f>IF(Agent08_Savings!A146="","",Agent08_Savings!I146)</f>
        <v/>
      </c>
      <c r="I1539" s="40" t="str">
        <f>IF(Agent08_Savings!A146="","",Agent08_Savings!J146)</f>
        <v/>
      </c>
      <c r="J1539" s="40" t="str">
        <f>IF(Agent08_Savings!A146="","",Agent08_Savings!K146)</f>
        <v/>
      </c>
      <c r="K1539" s="40" t="str">
        <f>IFERROR(IF(Agent08_Savings!A146="","",YEAR(Agent08_Savings!D146)),"")</f>
        <v/>
      </c>
    </row>
    <row r="1540" spans="1:11" ht="18" customHeight="1" x14ac:dyDescent="0.25">
      <c r="A1540" s="40" t="str">
        <f>IF(Agent08_Savings!A147="","",Agent08_Savings!A147)</f>
        <v/>
      </c>
      <c r="B1540" s="40" t="str">
        <f ca="1">IF(Agent08_Savings!A147="","","SV"&amp;TEXT(1540-3,"0000")&amp;"-"&amp;TEXT(TODAY(),"YYYYMMDD"))</f>
        <v/>
      </c>
      <c r="C1540" s="40" t="str">
        <f>IF(Agent08_Savings!A147="","",Agent08_Savings!B147)</f>
        <v/>
      </c>
      <c r="D1540" s="40" t="str">
        <f>IF(Agent08_Savings!A147="","",Agent08_Savings!G147)</f>
        <v/>
      </c>
      <c r="E1540" s="41" t="str">
        <f>IF(Agent08_Savings!A147="","",Agent08_Savings!D147)</f>
        <v/>
      </c>
      <c r="F1540" s="42" t="str">
        <f>IF(Agent08_Savings!A147="","",Agent08_Savings!E147)</f>
        <v/>
      </c>
      <c r="G1540" s="42" t="str">
        <f>IF(Agent08_Savings!A147="","",Agent08_Savings!F147)</f>
        <v/>
      </c>
      <c r="H1540" s="40" t="str">
        <f>IF(Agent08_Savings!A147="","",Agent08_Savings!I147)</f>
        <v/>
      </c>
      <c r="I1540" s="40" t="str">
        <f>IF(Agent08_Savings!A147="","",Agent08_Savings!J147)</f>
        <v/>
      </c>
      <c r="J1540" s="40" t="str">
        <f>IF(Agent08_Savings!A147="","",Agent08_Savings!K147)</f>
        <v/>
      </c>
      <c r="K1540" s="40" t="str">
        <f>IFERROR(IF(Agent08_Savings!A147="","",YEAR(Agent08_Savings!D147)),"")</f>
        <v/>
      </c>
    </row>
    <row r="1541" spans="1:11" ht="18" customHeight="1" x14ac:dyDescent="0.25">
      <c r="A1541" s="40" t="str">
        <f>IF(Agent08_Savings!A148="","",Agent08_Savings!A148)</f>
        <v/>
      </c>
      <c r="B1541" s="40" t="str">
        <f ca="1">IF(Agent08_Savings!A148="","","SV"&amp;TEXT(1541-3,"0000")&amp;"-"&amp;TEXT(TODAY(),"YYYYMMDD"))</f>
        <v/>
      </c>
      <c r="C1541" s="40" t="str">
        <f>IF(Agent08_Savings!A148="","",Agent08_Savings!B148)</f>
        <v/>
      </c>
      <c r="D1541" s="40" t="str">
        <f>IF(Agent08_Savings!A148="","",Agent08_Savings!G148)</f>
        <v/>
      </c>
      <c r="E1541" s="41" t="str">
        <f>IF(Agent08_Savings!A148="","",Agent08_Savings!D148)</f>
        <v/>
      </c>
      <c r="F1541" s="42" t="str">
        <f>IF(Agent08_Savings!A148="","",Agent08_Savings!E148)</f>
        <v/>
      </c>
      <c r="G1541" s="42" t="str">
        <f>IF(Agent08_Savings!A148="","",Agent08_Savings!F148)</f>
        <v/>
      </c>
      <c r="H1541" s="40" t="str">
        <f>IF(Agent08_Savings!A148="","",Agent08_Savings!I148)</f>
        <v/>
      </c>
      <c r="I1541" s="40" t="str">
        <f>IF(Agent08_Savings!A148="","",Agent08_Savings!J148)</f>
        <v/>
      </c>
      <c r="J1541" s="40" t="str">
        <f>IF(Agent08_Savings!A148="","",Agent08_Savings!K148)</f>
        <v/>
      </c>
      <c r="K1541" s="40" t="str">
        <f>IFERROR(IF(Agent08_Savings!A148="","",YEAR(Agent08_Savings!D148)),"")</f>
        <v/>
      </c>
    </row>
    <row r="1542" spans="1:11" ht="18" customHeight="1" x14ac:dyDescent="0.25">
      <c r="A1542" s="40" t="str">
        <f>IF(Agent08_Savings!A149="","",Agent08_Savings!A149)</f>
        <v/>
      </c>
      <c r="B1542" s="40" t="str">
        <f ca="1">IF(Agent08_Savings!A149="","","SV"&amp;TEXT(1542-3,"0000")&amp;"-"&amp;TEXT(TODAY(),"YYYYMMDD"))</f>
        <v/>
      </c>
      <c r="C1542" s="40" t="str">
        <f>IF(Agent08_Savings!A149="","",Agent08_Savings!B149)</f>
        <v/>
      </c>
      <c r="D1542" s="40" t="str">
        <f>IF(Agent08_Savings!A149="","",Agent08_Savings!G149)</f>
        <v/>
      </c>
      <c r="E1542" s="41" t="str">
        <f>IF(Agent08_Savings!A149="","",Agent08_Savings!D149)</f>
        <v/>
      </c>
      <c r="F1542" s="42" t="str">
        <f>IF(Agent08_Savings!A149="","",Agent08_Savings!E149)</f>
        <v/>
      </c>
      <c r="G1542" s="42" t="str">
        <f>IF(Agent08_Savings!A149="","",Agent08_Savings!F149)</f>
        <v/>
      </c>
      <c r="H1542" s="40" t="str">
        <f>IF(Agent08_Savings!A149="","",Agent08_Savings!I149)</f>
        <v/>
      </c>
      <c r="I1542" s="40" t="str">
        <f>IF(Agent08_Savings!A149="","",Agent08_Savings!J149)</f>
        <v/>
      </c>
      <c r="J1542" s="40" t="str">
        <f>IF(Agent08_Savings!A149="","",Agent08_Savings!K149)</f>
        <v/>
      </c>
      <c r="K1542" s="40" t="str">
        <f>IFERROR(IF(Agent08_Savings!A149="","",YEAR(Agent08_Savings!D149)),"")</f>
        <v/>
      </c>
    </row>
    <row r="1543" spans="1:11" ht="18" customHeight="1" x14ac:dyDescent="0.25">
      <c r="A1543" s="40" t="str">
        <f>IF(Agent08_Savings!A150="","",Agent08_Savings!A150)</f>
        <v/>
      </c>
      <c r="B1543" s="40" t="str">
        <f ca="1">IF(Agent08_Savings!A150="","","SV"&amp;TEXT(1543-3,"0000")&amp;"-"&amp;TEXT(TODAY(),"YYYYMMDD"))</f>
        <v/>
      </c>
      <c r="C1543" s="40" t="str">
        <f>IF(Agent08_Savings!A150="","",Agent08_Savings!B150)</f>
        <v/>
      </c>
      <c r="D1543" s="40" t="str">
        <f>IF(Agent08_Savings!A150="","",Agent08_Savings!G150)</f>
        <v/>
      </c>
      <c r="E1543" s="41" t="str">
        <f>IF(Agent08_Savings!A150="","",Agent08_Savings!D150)</f>
        <v/>
      </c>
      <c r="F1543" s="42" t="str">
        <f>IF(Agent08_Savings!A150="","",Agent08_Savings!E150)</f>
        <v/>
      </c>
      <c r="G1543" s="42" t="str">
        <f>IF(Agent08_Savings!A150="","",Agent08_Savings!F150)</f>
        <v/>
      </c>
      <c r="H1543" s="40" t="str">
        <f>IF(Agent08_Savings!A150="","",Agent08_Savings!I150)</f>
        <v/>
      </c>
      <c r="I1543" s="40" t="str">
        <f>IF(Agent08_Savings!A150="","",Agent08_Savings!J150)</f>
        <v/>
      </c>
      <c r="J1543" s="40" t="str">
        <f>IF(Agent08_Savings!A150="","",Agent08_Savings!K150)</f>
        <v/>
      </c>
      <c r="K1543" s="40" t="str">
        <f>IFERROR(IF(Agent08_Savings!A150="","",YEAR(Agent08_Savings!D150)),"")</f>
        <v/>
      </c>
    </row>
    <row r="1544" spans="1:11" ht="18" customHeight="1" x14ac:dyDescent="0.25">
      <c r="A1544" s="40" t="str">
        <f>IF(Agent08_Savings!A151="","",Agent08_Savings!A151)</f>
        <v/>
      </c>
      <c r="B1544" s="40" t="str">
        <f ca="1">IF(Agent08_Savings!A151="","","SV"&amp;TEXT(1544-3,"0000")&amp;"-"&amp;TEXT(TODAY(),"YYYYMMDD"))</f>
        <v/>
      </c>
      <c r="C1544" s="40" t="str">
        <f>IF(Agent08_Savings!A151="","",Agent08_Savings!B151)</f>
        <v/>
      </c>
      <c r="D1544" s="40" t="str">
        <f>IF(Agent08_Savings!A151="","",Agent08_Savings!G151)</f>
        <v/>
      </c>
      <c r="E1544" s="41" t="str">
        <f>IF(Agent08_Savings!A151="","",Agent08_Savings!D151)</f>
        <v/>
      </c>
      <c r="F1544" s="42" t="str">
        <f>IF(Agent08_Savings!A151="","",Agent08_Savings!E151)</f>
        <v/>
      </c>
      <c r="G1544" s="42" t="str">
        <f>IF(Agent08_Savings!A151="","",Agent08_Savings!F151)</f>
        <v/>
      </c>
      <c r="H1544" s="40" t="str">
        <f>IF(Agent08_Savings!A151="","",Agent08_Savings!I151)</f>
        <v/>
      </c>
      <c r="I1544" s="40" t="str">
        <f>IF(Agent08_Savings!A151="","",Agent08_Savings!J151)</f>
        <v/>
      </c>
      <c r="J1544" s="40" t="str">
        <f>IF(Agent08_Savings!A151="","",Agent08_Savings!K151)</f>
        <v/>
      </c>
      <c r="K1544" s="40" t="str">
        <f>IFERROR(IF(Agent08_Savings!A151="","",YEAR(Agent08_Savings!D151)),"")</f>
        <v/>
      </c>
    </row>
    <row r="1545" spans="1:11" ht="18" customHeight="1" x14ac:dyDescent="0.25">
      <c r="A1545" s="40" t="str">
        <f>IF(Agent08_Savings!A152="","",Agent08_Savings!A152)</f>
        <v/>
      </c>
      <c r="B1545" s="40" t="str">
        <f ca="1">IF(Agent08_Savings!A152="","","SV"&amp;TEXT(1545-3,"0000")&amp;"-"&amp;TEXT(TODAY(),"YYYYMMDD"))</f>
        <v/>
      </c>
      <c r="C1545" s="40" t="str">
        <f>IF(Agent08_Savings!A152="","",Agent08_Savings!B152)</f>
        <v/>
      </c>
      <c r="D1545" s="40" t="str">
        <f>IF(Agent08_Savings!A152="","",Agent08_Savings!G152)</f>
        <v/>
      </c>
      <c r="E1545" s="41" t="str">
        <f>IF(Agent08_Savings!A152="","",Agent08_Savings!D152)</f>
        <v/>
      </c>
      <c r="F1545" s="42" t="str">
        <f>IF(Agent08_Savings!A152="","",Agent08_Savings!E152)</f>
        <v/>
      </c>
      <c r="G1545" s="42" t="str">
        <f>IF(Agent08_Savings!A152="","",Agent08_Savings!F152)</f>
        <v/>
      </c>
      <c r="H1545" s="40" t="str">
        <f>IF(Agent08_Savings!A152="","",Agent08_Savings!I152)</f>
        <v/>
      </c>
      <c r="I1545" s="40" t="str">
        <f>IF(Agent08_Savings!A152="","",Agent08_Savings!J152)</f>
        <v/>
      </c>
      <c r="J1545" s="40" t="str">
        <f>IF(Agent08_Savings!A152="","",Agent08_Savings!K152)</f>
        <v/>
      </c>
      <c r="K1545" s="40" t="str">
        <f>IFERROR(IF(Agent08_Savings!A152="","",YEAR(Agent08_Savings!D152)),"")</f>
        <v/>
      </c>
    </row>
    <row r="1546" spans="1:11" ht="18" customHeight="1" x14ac:dyDescent="0.25">
      <c r="A1546" s="40" t="str">
        <f>IF(Agent08_Savings!A153="","",Agent08_Savings!A153)</f>
        <v/>
      </c>
      <c r="B1546" s="40" t="str">
        <f ca="1">IF(Agent08_Savings!A153="","","SV"&amp;TEXT(1546-3,"0000")&amp;"-"&amp;TEXT(TODAY(),"YYYYMMDD"))</f>
        <v/>
      </c>
      <c r="C1546" s="40" t="str">
        <f>IF(Agent08_Savings!A153="","",Agent08_Savings!B153)</f>
        <v/>
      </c>
      <c r="D1546" s="40" t="str">
        <f>IF(Agent08_Savings!A153="","",Agent08_Savings!G153)</f>
        <v/>
      </c>
      <c r="E1546" s="41" t="str">
        <f>IF(Agent08_Savings!A153="","",Agent08_Savings!D153)</f>
        <v/>
      </c>
      <c r="F1546" s="42" t="str">
        <f>IF(Agent08_Savings!A153="","",Agent08_Savings!E153)</f>
        <v/>
      </c>
      <c r="G1546" s="42" t="str">
        <f>IF(Agent08_Savings!A153="","",Agent08_Savings!F153)</f>
        <v/>
      </c>
      <c r="H1546" s="40" t="str">
        <f>IF(Agent08_Savings!A153="","",Agent08_Savings!I153)</f>
        <v/>
      </c>
      <c r="I1546" s="40" t="str">
        <f>IF(Agent08_Savings!A153="","",Agent08_Savings!J153)</f>
        <v/>
      </c>
      <c r="J1546" s="40" t="str">
        <f>IF(Agent08_Savings!A153="","",Agent08_Savings!K153)</f>
        <v/>
      </c>
      <c r="K1546" s="40" t="str">
        <f>IFERROR(IF(Agent08_Savings!A153="","",YEAR(Agent08_Savings!D153)),"")</f>
        <v/>
      </c>
    </row>
    <row r="1547" spans="1:11" ht="18" customHeight="1" x14ac:dyDescent="0.25">
      <c r="A1547" s="40" t="str">
        <f>IF(Agent08_Savings!A154="","",Agent08_Savings!A154)</f>
        <v/>
      </c>
      <c r="B1547" s="40" t="str">
        <f ca="1">IF(Agent08_Savings!A154="","","SV"&amp;TEXT(1547-3,"0000")&amp;"-"&amp;TEXT(TODAY(),"YYYYMMDD"))</f>
        <v/>
      </c>
      <c r="C1547" s="40" t="str">
        <f>IF(Agent08_Savings!A154="","",Agent08_Savings!B154)</f>
        <v/>
      </c>
      <c r="D1547" s="40" t="str">
        <f>IF(Agent08_Savings!A154="","",Agent08_Savings!G154)</f>
        <v/>
      </c>
      <c r="E1547" s="41" t="str">
        <f>IF(Agent08_Savings!A154="","",Agent08_Savings!D154)</f>
        <v/>
      </c>
      <c r="F1547" s="42" t="str">
        <f>IF(Agent08_Savings!A154="","",Agent08_Savings!E154)</f>
        <v/>
      </c>
      <c r="G1547" s="42" t="str">
        <f>IF(Agent08_Savings!A154="","",Agent08_Savings!F154)</f>
        <v/>
      </c>
      <c r="H1547" s="40" t="str">
        <f>IF(Agent08_Savings!A154="","",Agent08_Savings!I154)</f>
        <v/>
      </c>
      <c r="I1547" s="40" t="str">
        <f>IF(Agent08_Savings!A154="","",Agent08_Savings!J154)</f>
        <v/>
      </c>
      <c r="J1547" s="40" t="str">
        <f>IF(Agent08_Savings!A154="","",Agent08_Savings!K154)</f>
        <v/>
      </c>
      <c r="K1547" s="40" t="str">
        <f>IFERROR(IF(Agent08_Savings!A154="","",YEAR(Agent08_Savings!D154)),"")</f>
        <v/>
      </c>
    </row>
    <row r="1548" spans="1:11" ht="18" customHeight="1" x14ac:dyDescent="0.25">
      <c r="A1548" s="40" t="str">
        <f>IF(Agent08_Savings!A155="","",Agent08_Savings!A155)</f>
        <v/>
      </c>
      <c r="B1548" s="40" t="str">
        <f ca="1">IF(Agent08_Savings!A155="","","SV"&amp;TEXT(1548-3,"0000")&amp;"-"&amp;TEXT(TODAY(),"YYYYMMDD"))</f>
        <v/>
      </c>
      <c r="C1548" s="40" t="str">
        <f>IF(Agent08_Savings!A155="","",Agent08_Savings!B155)</f>
        <v/>
      </c>
      <c r="D1548" s="40" t="str">
        <f>IF(Agent08_Savings!A155="","",Agent08_Savings!G155)</f>
        <v/>
      </c>
      <c r="E1548" s="41" t="str">
        <f>IF(Agent08_Savings!A155="","",Agent08_Savings!D155)</f>
        <v/>
      </c>
      <c r="F1548" s="42" t="str">
        <f>IF(Agent08_Savings!A155="","",Agent08_Savings!E155)</f>
        <v/>
      </c>
      <c r="G1548" s="42" t="str">
        <f>IF(Agent08_Savings!A155="","",Agent08_Savings!F155)</f>
        <v/>
      </c>
      <c r="H1548" s="40" t="str">
        <f>IF(Agent08_Savings!A155="","",Agent08_Savings!I155)</f>
        <v/>
      </c>
      <c r="I1548" s="40" t="str">
        <f>IF(Agent08_Savings!A155="","",Agent08_Savings!J155)</f>
        <v/>
      </c>
      <c r="J1548" s="40" t="str">
        <f>IF(Agent08_Savings!A155="","",Agent08_Savings!K155)</f>
        <v/>
      </c>
      <c r="K1548" s="40" t="str">
        <f>IFERROR(IF(Agent08_Savings!A155="","",YEAR(Agent08_Savings!D155)),"")</f>
        <v/>
      </c>
    </row>
    <row r="1549" spans="1:11" ht="18" customHeight="1" x14ac:dyDescent="0.25">
      <c r="A1549" s="40" t="str">
        <f>IF(Agent08_Savings!A156="","",Agent08_Savings!A156)</f>
        <v/>
      </c>
      <c r="B1549" s="40" t="str">
        <f ca="1">IF(Agent08_Savings!A156="","","SV"&amp;TEXT(1549-3,"0000")&amp;"-"&amp;TEXT(TODAY(),"YYYYMMDD"))</f>
        <v/>
      </c>
      <c r="C1549" s="40" t="str">
        <f>IF(Agent08_Savings!A156="","",Agent08_Savings!B156)</f>
        <v/>
      </c>
      <c r="D1549" s="40" t="str">
        <f>IF(Agent08_Savings!A156="","",Agent08_Savings!G156)</f>
        <v/>
      </c>
      <c r="E1549" s="41" t="str">
        <f>IF(Agent08_Savings!A156="","",Agent08_Savings!D156)</f>
        <v/>
      </c>
      <c r="F1549" s="42" t="str">
        <f>IF(Agent08_Savings!A156="","",Agent08_Savings!E156)</f>
        <v/>
      </c>
      <c r="G1549" s="42" t="str">
        <f>IF(Agent08_Savings!A156="","",Agent08_Savings!F156)</f>
        <v/>
      </c>
      <c r="H1549" s="40" t="str">
        <f>IF(Agent08_Savings!A156="","",Agent08_Savings!I156)</f>
        <v/>
      </c>
      <c r="I1549" s="40" t="str">
        <f>IF(Agent08_Savings!A156="","",Agent08_Savings!J156)</f>
        <v/>
      </c>
      <c r="J1549" s="40" t="str">
        <f>IF(Agent08_Savings!A156="","",Agent08_Savings!K156)</f>
        <v/>
      </c>
      <c r="K1549" s="40" t="str">
        <f>IFERROR(IF(Agent08_Savings!A156="","",YEAR(Agent08_Savings!D156)),"")</f>
        <v/>
      </c>
    </row>
    <row r="1550" spans="1:11" ht="18" customHeight="1" x14ac:dyDescent="0.25">
      <c r="A1550" s="40" t="str">
        <f>IF(Agent08_Savings!A157="","",Agent08_Savings!A157)</f>
        <v/>
      </c>
      <c r="B1550" s="40" t="str">
        <f ca="1">IF(Agent08_Savings!A157="","","SV"&amp;TEXT(1550-3,"0000")&amp;"-"&amp;TEXT(TODAY(),"YYYYMMDD"))</f>
        <v/>
      </c>
      <c r="C1550" s="40" t="str">
        <f>IF(Agent08_Savings!A157="","",Agent08_Savings!B157)</f>
        <v/>
      </c>
      <c r="D1550" s="40" t="str">
        <f>IF(Agent08_Savings!A157="","",Agent08_Savings!G157)</f>
        <v/>
      </c>
      <c r="E1550" s="41" t="str">
        <f>IF(Agent08_Savings!A157="","",Agent08_Savings!D157)</f>
        <v/>
      </c>
      <c r="F1550" s="42" t="str">
        <f>IF(Agent08_Savings!A157="","",Agent08_Savings!E157)</f>
        <v/>
      </c>
      <c r="G1550" s="42" t="str">
        <f>IF(Agent08_Savings!A157="","",Agent08_Savings!F157)</f>
        <v/>
      </c>
      <c r="H1550" s="40" t="str">
        <f>IF(Agent08_Savings!A157="","",Agent08_Savings!I157)</f>
        <v/>
      </c>
      <c r="I1550" s="40" t="str">
        <f>IF(Agent08_Savings!A157="","",Agent08_Savings!J157)</f>
        <v/>
      </c>
      <c r="J1550" s="40" t="str">
        <f>IF(Agent08_Savings!A157="","",Agent08_Savings!K157)</f>
        <v/>
      </c>
      <c r="K1550" s="40" t="str">
        <f>IFERROR(IF(Agent08_Savings!A157="","",YEAR(Agent08_Savings!D157)),"")</f>
        <v/>
      </c>
    </row>
    <row r="1551" spans="1:11" ht="18" customHeight="1" x14ac:dyDescent="0.25">
      <c r="A1551" s="40" t="str">
        <f>IF(Agent08_Savings!A158="","",Agent08_Savings!A158)</f>
        <v/>
      </c>
      <c r="B1551" s="40" t="str">
        <f ca="1">IF(Agent08_Savings!A158="","","SV"&amp;TEXT(1551-3,"0000")&amp;"-"&amp;TEXT(TODAY(),"YYYYMMDD"))</f>
        <v/>
      </c>
      <c r="C1551" s="40" t="str">
        <f>IF(Agent08_Savings!A158="","",Agent08_Savings!B158)</f>
        <v/>
      </c>
      <c r="D1551" s="40" t="str">
        <f>IF(Agent08_Savings!A158="","",Agent08_Savings!G158)</f>
        <v/>
      </c>
      <c r="E1551" s="41" t="str">
        <f>IF(Agent08_Savings!A158="","",Agent08_Savings!D158)</f>
        <v/>
      </c>
      <c r="F1551" s="42" t="str">
        <f>IF(Agent08_Savings!A158="","",Agent08_Savings!E158)</f>
        <v/>
      </c>
      <c r="G1551" s="42" t="str">
        <f>IF(Agent08_Savings!A158="","",Agent08_Savings!F158)</f>
        <v/>
      </c>
      <c r="H1551" s="40" t="str">
        <f>IF(Agent08_Savings!A158="","",Agent08_Savings!I158)</f>
        <v/>
      </c>
      <c r="I1551" s="40" t="str">
        <f>IF(Agent08_Savings!A158="","",Agent08_Savings!J158)</f>
        <v/>
      </c>
      <c r="J1551" s="40" t="str">
        <f>IF(Agent08_Savings!A158="","",Agent08_Savings!K158)</f>
        <v/>
      </c>
      <c r="K1551" s="40" t="str">
        <f>IFERROR(IF(Agent08_Savings!A158="","",YEAR(Agent08_Savings!D158)),"")</f>
        <v/>
      </c>
    </row>
    <row r="1552" spans="1:11" ht="18" customHeight="1" x14ac:dyDescent="0.25">
      <c r="A1552" s="40" t="str">
        <f>IF(Agent08_Savings!A159="","",Agent08_Savings!A159)</f>
        <v/>
      </c>
      <c r="B1552" s="40" t="str">
        <f ca="1">IF(Agent08_Savings!A159="","","SV"&amp;TEXT(1552-3,"0000")&amp;"-"&amp;TEXT(TODAY(),"YYYYMMDD"))</f>
        <v/>
      </c>
      <c r="C1552" s="40" t="str">
        <f>IF(Agent08_Savings!A159="","",Agent08_Savings!B159)</f>
        <v/>
      </c>
      <c r="D1552" s="40" t="str">
        <f>IF(Agent08_Savings!A159="","",Agent08_Savings!G159)</f>
        <v/>
      </c>
      <c r="E1552" s="41" t="str">
        <f>IF(Agent08_Savings!A159="","",Agent08_Savings!D159)</f>
        <v/>
      </c>
      <c r="F1552" s="42" t="str">
        <f>IF(Agent08_Savings!A159="","",Agent08_Savings!E159)</f>
        <v/>
      </c>
      <c r="G1552" s="42" t="str">
        <f>IF(Agent08_Savings!A159="","",Agent08_Savings!F159)</f>
        <v/>
      </c>
      <c r="H1552" s="40" t="str">
        <f>IF(Agent08_Savings!A159="","",Agent08_Savings!I159)</f>
        <v/>
      </c>
      <c r="I1552" s="40" t="str">
        <f>IF(Agent08_Savings!A159="","",Agent08_Savings!J159)</f>
        <v/>
      </c>
      <c r="J1552" s="40" t="str">
        <f>IF(Agent08_Savings!A159="","",Agent08_Savings!K159)</f>
        <v/>
      </c>
      <c r="K1552" s="40" t="str">
        <f>IFERROR(IF(Agent08_Savings!A159="","",YEAR(Agent08_Savings!D159)),"")</f>
        <v/>
      </c>
    </row>
    <row r="1553" spans="1:11" ht="18" customHeight="1" x14ac:dyDescent="0.25">
      <c r="A1553" s="40" t="str">
        <f>IF(Agent08_Savings!A160="","",Agent08_Savings!A160)</f>
        <v/>
      </c>
      <c r="B1553" s="40" t="str">
        <f ca="1">IF(Agent08_Savings!A160="","","SV"&amp;TEXT(1553-3,"0000")&amp;"-"&amp;TEXT(TODAY(),"YYYYMMDD"))</f>
        <v/>
      </c>
      <c r="C1553" s="40" t="str">
        <f>IF(Agent08_Savings!A160="","",Agent08_Savings!B160)</f>
        <v/>
      </c>
      <c r="D1553" s="40" t="str">
        <f>IF(Agent08_Savings!A160="","",Agent08_Savings!G160)</f>
        <v/>
      </c>
      <c r="E1553" s="41" t="str">
        <f>IF(Agent08_Savings!A160="","",Agent08_Savings!D160)</f>
        <v/>
      </c>
      <c r="F1553" s="42" t="str">
        <f>IF(Agent08_Savings!A160="","",Agent08_Savings!E160)</f>
        <v/>
      </c>
      <c r="G1553" s="42" t="str">
        <f>IF(Agent08_Savings!A160="","",Agent08_Savings!F160)</f>
        <v/>
      </c>
      <c r="H1553" s="40" t="str">
        <f>IF(Agent08_Savings!A160="","",Agent08_Savings!I160)</f>
        <v/>
      </c>
      <c r="I1553" s="40" t="str">
        <f>IF(Agent08_Savings!A160="","",Agent08_Savings!J160)</f>
        <v/>
      </c>
      <c r="J1553" s="40" t="str">
        <f>IF(Agent08_Savings!A160="","",Agent08_Savings!K160)</f>
        <v/>
      </c>
      <c r="K1553" s="40" t="str">
        <f>IFERROR(IF(Agent08_Savings!A160="","",YEAR(Agent08_Savings!D160)),"")</f>
        <v/>
      </c>
    </row>
    <row r="1554" spans="1:11" ht="18" customHeight="1" x14ac:dyDescent="0.25">
      <c r="A1554" s="40" t="str">
        <f>IF(Agent08_Savings!A161="","",Agent08_Savings!A161)</f>
        <v/>
      </c>
      <c r="B1554" s="40" t="str">
        <f ca="1">IF(Agent08_Savings!A161="","","SV"&amp;TEXT(1554-3,"0000")&amp;"-"&amp;TEXT(TODAY(),"YYYYMMDD"))</f>
        <v/>
      </c>
      <c r="C1554" s="40" t="str">
        <f>IF(Agent08_Savings!A161="","",Agent08_Savings!B161)</f>
        <v/>
      </c>
      <c r="D1554" s="40" t="str">
        <f>IF(Agent08_Savings!A161="","",Agent08_Savings!G161)</f>
        <v/>
      </c>
      <c r="E1554" s="41" t="str">
        <f>IF(Agent08_Savings!A161="","",Agent08_Savings!D161)</f>
        <v/>
      </c>
      <c r="F1554" s="42" t="str">
        <f>IF(Agent08_Savings!A161="","",Agent08_Savings!E161)</f>
        <v/>
      </c>
      <c r="G1554" s="42" t="str">
        <f>IF(Agent08_Savings!A161="","",Agent08_Savings!F161)</f>
        <v/>
      </c>
      <c r="H1554" s="40" t="str">
        <f>IF(Agent08_Savings!A161="","",Agent08_Savings!I161)</f>
        <v/>
      </c>
      <c r="I1554" s="40" t="str">
        <f>IF(Agent08_Savings!A161="","",Agent08_Savings!J161)</f>
        <v/>
      </c>
      <c r="J1554" s="40" t="str">
        <f>IF(Agent08_Savings!A161="","",Agent08_Savings!K161)</f>
        <v/>
      </c>
      <c r="K1554" s="40" t="str">
        <f>IFERROR(IF(Agent08_Savings!A161="","",YEAR(Agent08_Savings!D161)),"")</f>
        <v/>
      </c>
    </row>
    <row r="1555" spans="1:11" ht="18" customHeight="1" x14ac:dyDescent="0.25">
      <c r="A1555" s="40" t="str">
        <f>IF(Agent08_Savings!A162="","",Agent08_Savings!A162)</f>
        <v/>
      </c>
      <c r="B1555" s="40" t="str">
        <f ca="1">IF(Agent08_Savings!A162="","","SV"&amp;TEXT(1555-3,"0000")&amp;"-"&amp;TEXT(TODAY(),"YYYYMMDD"))</f>
        <v/>
      </c>
      <c r="C1555" s="40" t="str">
        <f>IF(Agent08_Savings!A162="","",Agent08_Savings!B162)</f>
        <v/>
      </c>
      <c r="D1555" s="40" t="str">
        <f>IF(Agent08_Savings!A162="","",Agent08_Savings!G162)</f>
        <v/>
      </c>
      <c r="E1555" s="41" t="str">
        <f>IF(Agent08_Savings!A162="","",Agent08_Savings!D162)</f>
        <v/>
      </c>
      <c r="F1555" s="42" t="str">
        <f>IF(Agent08_Savings!A162="","",Agent08_Savings!E162)</f>
        <v/>
      </c>
      <c r="G1555" s="42" t="str">
        <f>IF(Agent08_Savings!A162="","",Agent08_Savings!F162)</f>
        <v/>
      </c>
      <c r="H1555" s="40" t="str">
        <f>IF(Agent08_Savings!A162="","",Agent08_Savings!I162)</f>
        <v/>
      </c>
      <c r="I1555" s="40" t="str">
        <f>IF(Agent08_Savings!A162="","",Agent08_Savings!J162)</f>
        <v/>
      </c>
      <c r="J1555" s="40" t="str">
        <f>IF(Agent08_Savings!A162="","",Agent08_Savings!K162)</f>
        <v/>
      </c>
      <c r="K1555" s="40" t="str">
        <f>IFERROR(IF(Agent08_Savings!A162="","",YEAR(Agent08_Savings!D162)),"")</f>
        <v/>
      </c>
    </row>
    <row r="1556" spans="1:11" ht="18" customHeight="1" x14ac:dyDescent="0.25">
      <c r="A1556" s="40" t="str">
        <f>IF(Agent08_Savings!A163="","",Agent08_Savings!A163)</f>
        <v/>
      </c>
      <c r="B1556" s="40" t="str">
        <f ca="1">IF(Agent08_Savings!A163="","","SV"&amp;TEXT(1556-3,"0000")&amp;"-"&amp;TEXT(TODAY(),"YYYYMMDD"))</f>
        <v/>
      </c>
      <c r="C1556" s="40" t="str">
        <f>IF(Agent08_Savings!A163="","",Agent08_Savings!B163)</f>
        <v/>
      </c>
      <c r="D1556" s="40" t="str">
        <f>IF(Agent08_Savings!A163="","",Agent08_Savings!G163)</f>
        <v/>
      </c>
      <c r="E1556" s="41" t="str">
        <f>IF(Agent08_Savings!A163="","",Agent08_Savings!D163)</f>
        <v/>
      </c>
      <c r="F1556" s="42" t="str">
        <f>IF(Agent08_Savings!A163="","",Agent08_Savings!E163)</f>
        <v/>
      </c>
      <c r="G1556" s="42" t="str">
        <f>IF(Agent08_Savings!A163="","",Agent08_Savings!F163)</f>
        <v/>
      </c>
      <c r="H1556" s="40" t="str">
        <f>IF(Agent08_Savings!A163="","",Agent08_Savings!I163)</f>
        <v/>
      </c>
      <c r="I1556" s="40" t="str">
        <f>IF(Agent08_Savings!A163="","",Agent08_Savings!J163)</f>
        <v/>
      </c>
      <c r="J1556" s="40" t="str">
        <f>IF(Agent08_Savings!A163="","",Agent08_Savings!K163)</f>
        <v/>
      </c>
      <c r="K1556" s="40" t="str">
        <f>IFERROR(IF(Agent08_Savings!A163="","",YEAR(Agent08_Savings!D163)),"")</f>
        <v/>
      </c>
    </row>
    <row r="1557" spans="1:11" ht="18" customHeight="1" x14ac:dyDescent="0.25">
      <c r="A1557" s="40" t="str">
        <f>IF(Agent08_Savings!A164="","",Agent08_Savings!A164)</f>
        <v/>
      </c>
      <c r="B1557" s="40" t="str">
        <f ca="1">IF(Agent08_Savings!A164="","","SV"&amp;TEXT(1557-3,"0000")&amp;"-"&amp;TEXT(TODAY(),"YYYYMMDD"))</f>
        <v/>
      </c>
      <c r="C1557" s="40" t="str">
        <f>IF(Agent08_Savings!A164="","",Agent08_Savings!B164)</f>
        <v/>
      </c>
      <c r="D1557" s="40" t="str">
        <f>IF(Agent08_Savings!A164="","",Agent08_Savings!G164)</f>
        <v/>
      </c>
      <c r="E1557" s="41" t="str">
        <f>IF(Agent08_Savings!A164="","",Agent08_Savings!D164)</f>
        <v/>
      </c>
      <c r="F1557" s="42" t="str">
        <f>IF(Agent08_Savings!A164="","",Agent08_Savings!E164)</f>
        <v/>
      </c>
      <c r="G1557" s="42" t="str">
        <f>IF(Agent08_Savings!A164="","",Agent08_Savings!F164)</f>
        <v/>
      </c>
      <c r="H1557" s="40" t="str">
        <f>IF(Agent08_Savings!A164="","",Agent08_Savings!I164)</f>
        <v/>
      </c>
      <c r="I1557" s="40" t="str">
        <f>IF(Agent08_Savings!A164="","",Agent08_Savings!J164)</f>
        <v/>
      </c>
      <c r="J1557" s="40" t="str">
        <f>IF(Agent08_Savings!A164="","",Agent08_Savings!K164)</f>
        <v/>
      </c>
      <c r="K1557" s="40" t="str">
        <f>IFERROR(IF(Agent08_Savings!A164="","",YEAR(Agent08_Savings!D164)),"")</f>
        <v/>
      </c>
    </row>
    <row r="1558" spans="1:11" ht="18" customHeight="1" x14ac:dyDescent="0.25">
      <c r="A1558" s="40" t="str">
        <f>IF(Agent08_Savings!A165="","",Agent08_Savings!A165)</f>
        <v/>
      </c>
      <c r="B1558" s="40" t="str">
        <f ca="1">IF(Agent08_Savings!A165="","","SV"&amp;TEXT(1558-3,"0000")&amp;"-"&amp;TEXT(TODAY(),"YYYYMMDD"))</f>
        <v/>
      </c>
      <c r="C1558" s="40" t="str">
        <f>IF(Agent08_Savings!A165="","",Agent08_Savings!B165)</f>
        <v/>
      </c>
      <c r="D1558" s="40" t="str">
        <f>IF(Agent08_Savings!A165="","",Agent08_Savings!G165)</f>
        <v/>
      </c>
      <c r="E1558" s="41" t="str">
        <f>IF(Agent08_Savings!A165="","",Agent08_Savings!D165)</f>
        <v/>
      </c>
      <c r="F1558" s="42" t="str">
        <f>IF(Agent08_Savings!A165="","",Agent08_Savings!E165)</f>
        <v/>
      </c>
      <c r="G1558" s="42" t="str">
        <f>IF(Agent08_Savings!A165="","",Agent08_Savings!F165)</f>
        <v/>
      </c>
      <c r="H1558" s="40" t="str">
        <f>IF(Agent08_Savings!A165="","",Agent08_Savings!I165)</f>
        <v/>
      </c>
      <c r="I1558" s="40" t="str">
        <f>IF(Agent08_Savings!A165="","",Agent08_Savings!J165)</f>
        <v/>
      </c>
      <c r="J1558" s="40" t="str">
        <f>IF(Agent08_Savings!A165="","",Agent08_Savings!K165)</f>
        <v/>
      </c>
      <c r="K1558" s="40" t="str">
        <f>IFERROR(IF(Agent08_Savings!A165="","",YEAR(Agent08_Savings!D165)),"")</f>
        <v/>
      </c>
    </row>
    <row r="1559" spans="1:11" ht="18" customHeight="1" x14ac:dyDescent="0.25">
      <c r="A1559" s="40" t="str">
        <f>IF(Agent08_Savings!A166="","",Agent08_Savings!A166)</f>
        <v/>
      </c>
      <c r="B1559" s="40" t="str">
        <f ca="1">IF(Agent08_Savings!A166="","","SV"&amp;TEXT(1559-3,"0000")&amp;"-"&amp;TEXT(TODAY(),"YYYYMMDD"))</f>
        <v/>
      </c>
      <c r="C1559" s="40" t="str">
        <f>IF(Agent08_Savings!A166="","",Agent08_Savings!B166)</f>
        <v/>
      </c>
      <c r="D1559" s="40" t="str">
        <f>IF(Agent08_Savings!A166="","",Agent08_Savings!G166)</f>
        <v/>
      </c>
      <c r="E1559" s="41" t="str">
        <f>IF(Agent08_Savings!A166="","",Agent08_Savings!D166)</f>
        <v/>
      </c>
      <c r="F1559" s="42" t="str">
        <f>IF(Agent08_Savings!A166="","",Agent08_Savings!E166)</f>
        <v/>
      </c>
      <c r="G1559" s="42" t="str">
        <f>IF(Agent08_Savings!A166="","",Agent08_Savings!F166)</f>
        <v/>
      </c>
      <c r="H1559" s="40" t="str">
        <f>IF(Agent08_Savings!A166="","",Agent08_Savings!I166)</f>
        <v/>
      </c>
      <c r="I1559" s="40" t="str">
        <f>IF(Agent08_Savings!A166="","",Agent08_Savings!J166)</f>
        <v/>
      </c>
      <c r="J1559" s="40" t="str">
        <f>IF(Agent08_Savings!A166="","",Agent08_Savings!K166)</f>
        <v/>
      </c>
      <c r="K1559" s="40" t="str">
        <f>IFERROR(IF(Agent08_Savings!A166="","",YEAR(Agent08_Savings!D166)),"")</f>
        <v/>
      </c>
    </row>
    <row r="1560" spans="1:11" ht="18" customHeight="1" x14ac:dyDescent="0.25">
      <c r="A1560" s="40" t="str">
        <f>IF(Agent08_Savings!A167="","",Agent08_Savings!A167)</f>
        <v/>
      </c>
      <c r="B1560" s="40" t="str">
        <f ca="1">IF(Agent08_Savings!A167="","","SV"&amp;TEXT(1560-3,"0000")&amp;"-"&amp;TEXT(TODAY(),"YYYYMMDD"))</f>
        <v/>
      </c>
      <c r="C1560" s="40" t="str">
        <f>IF(Agent08_Savings!A167="","",Agent08_Savings!B167)</f>
        <v/>
      </c>
      <c r="D1560" s="40" t="str">
        <f>IF(Agent08_Savings!A167="","",Agent08_Savings!G167)</f>
        <v/>
      </c>
      <c r="E1560" s="41" t="str">
        <f>IF(Agent08_Savings!A167="","",Agent08_Savings!D167)</f>
        <v/>
      </c>
      <c r="F1560" s="42" t="str">
        <f>IF(Agent08_Savings!A167="","",Agent08_Savings!E167)</f>
        <v/>
      </c>
      <c r="G1560" s="42" t="str">
        <f>IF(Agent08_Savings!A167="","",Agent08_Savings!F167)</f>
        <v/>
      </c>
      <c r="H1560" s="40" t="str">
        <f>IF(Agent08_Savings!A167="","",Agent08_Savings!I167)</f>
        <v/>
      </c>
      <c r="I1560" s="40" t="str">
        <f>IF(Agent08_Savings!A167="","",Agent08_Savings!J167)</f>
        <v/>
      </c>
      <c r="J1560" s="40" t="str">
        <f>IF(Agent08_Savings!A167="","",Agent08_Savings!K167)</f>
        <v/>
      </c>
      <c r="K1560" s="40" t="str">
        <f>IFERROR(IF(Agent08_Savings!A167="","",YEAR(Agent08_Savings!D167)),"")</f>
        <v/>
      </c>
    </row>
    <row r="1561" spans="1:11" ht="18" customHeight="1" x14ac:dyDescent="0.25">
      <c r="A1561" s="40" t="str">
        <f>IF(Agent08_Savings!A168="","",Agent08_Savings!A168)</f>
        <v/>
      </c>
      <c r="B1561" s="40" t="str">
        <f ca="1">IF(Agent08_Savings!A168="","","SV"&amp;TEXT(1561-3,"0000")&amp;"-"&amp;TEXT(TODAY(),"YYYYMMDD"))</f>
        <v/>
      </c>
      <c r="C1561" s="40" t="str">
        <f>IF(Agent08_Savings!A168="","",Agent08_Savings!B168)</f>
        <v/>
      </c>
      <c r="D1561" s="40" t="str">
        <f>IF(Agent08_Savings!A168="","",Agent08_Savings!G168)</f>
        <v/>
      </c>
      <c r="E1561" s="41" t="str">
        <f>IF(Agent08_Savings!A168="","",Agent08_Savings!D168)</f>
        <v/>
      </c>
      <c r="F1561" s="42" t="str">
        <f>IF(Agent08_Savings!A168="","",Agent08_Savings!E168)</f>
        <v/>
      </c>
      <c r="G1561" s="42" t="str">
        <f>IF(Agent08_Savings!A168="","",Agent08_Savings!F168)</f>
        <v/>
      </c>
      <c r="H1561" s="40" t="str">
        <f>IF(Agent08_Savings!A168="","",Agent08_Savings!I168)</f>
        <v/>
      </c>
      <c r="I1561" s="40" t="str">
        <f>IF(Agent08_Savings!A168="","",Agent08_Savings!J168)</f>
        <v/>
      </c>
      <c r="J1561" s="40" t="str">
        <f>IF(Agent08_Savings!A168="","",Agent08_Savings!K168)</f>
        <v/>
      </c>
      <c r="K1561" s="40" t="str">
        <f>IFERROR(IF(Agent08_Savings!A168="","",YEAR(Agent08_Savings!D168)),"")</f>
        <v/>
      </c>
    </row>
    <row r="1562" spans="1:11" ht="18" customHeight="1" x14ac:dyDescent="0.25">
      <c r="A1562" s="40" t="str">
        <f>IF(Agent08_Savings!A169="","",Agent08_Savings!A169)</f>
        <v/>
      </c>
      <c r="B1562" s="40" t="str">
        <f ca="1">IF(Agent08_Savings!A169="","","SV"&amp;TEXT(1562-3,"0000")&amp;"-"&amp;TEXT(TODAY(),"YYYYMMDD"))</f>
        <v/>
      </c>
      <c r="C1562" s="40" t="str">
        <f>IF(Agent08_Savings!A169="","",Agent08_Savings!B169)</f>
        <v/>
      </c>
      <c r="D1562" s="40" t="str">
        <f>IF(Agent08_Savings!A169="","",Agent08_Savings!G169)</f>
        <v/>
      </c>
      <c r="E1562" s="41" t="str">
        <f>IF(Agent08_Savings!A169="","",Agent08_Savings!D169)</f>
        <v/>
      </c>
      <c r="F1562" s="42" t="str">
        <f>IF(Agent08_Savings!A169="","",Agent08_Savings!E169)</f>
        <v/>
      </c>
      <c r="G1562" s="42" t="str">
        <f>IF(Agent08_Savings!A169="","",Agent08_Savings!F169)</f>
        <v/>
      </c>
      <c r="H1562" s="40" t="str">
        <f>IF(Agent08_Savings!A169="","",Agent08_Savings!I169)</f>
        <v/>
      </c>
      <c r="I1562" s="40" t="str">
        <f>IF(Agent08_Savings!A169="","",Agent08_Savings!J169)</f>
        <v/>
      </c>
      <c r="J1562" s="40" t="str">
        <f>IF(Agent08_Savings!A169="","",Agent08_Savings!K169)</f>
        <v/>
      </c>
      <c r="K1562" s="40" t="str">
        <f>IFERROR(IF(Agent08_Savings!A169="","",YEAR(Agent08_Savings!D169)),"")</f>
        <v/>
      </c>
    </row>
    <row r="1563" spans="1:11" ht="18" customHeight="1" x14ac:dyDescent="0.25">
      <c r="A1563" s="40" t="str">
        <f>IF(Agent08_Savings!A170="","",Agent08_Savings!A170)</f>
        <v/>
      </c>
      <c r="B1563" s="40" t="str">
        <f ca="1">IF(Agent08_Savings!A170="","","SV"&amp;TEXT(1563-3,"0000")&amp;"-"&amp;TEXT(TODAY(),"YYYYMMDD"))</f>
        <v/>
      </c>
      <c r="C1563" s="40" t="str">
        <f>IF(Agent08_Savings!A170="","",Agent08_Savings!B170)</f>
        <v/>
      </c>
      <c r="D1563" s="40" t="str">
        <f>IF(Agent08_Savings!A170="","",Agent08_Savings!G170)</f>
        <v/>
      </c>
      <c r="E1563" s="41" t="str">
        <f>IF(Agent08_Savings!A170="","",Agent08_Savings!D170)</f>
        <v/>
      </c>
      <c r="F1563" s="42" t="str">
        <f>IF(Agent08_Savings!A170="","",Agent08_Savings!E170)</f>
        <v/>
      </c>
      <c r="G1563" s="42" t="str">
        <f>IF(Agent08_Savings!A170="","",Agent08_Savings!F170)</f>
        <v/>
      </c>
      <c r="H1563" s="40" t="str">
        <f>IF(Agent08_Savings!A170="","",Agent08_Savings!I170)</f>
        <v/>
      </c>
      <c r="I1563" s="40" t="str">
        <f>IF(Agent08_Savings!A170="","",Agent08_Savings!J170)</f>
        <v/>
      </c>
      <c r="J1563" s="40" t="str">
        <f>IF(Agent08_Savings!A170="","",Agent08_Savings!K170)</f>
        <v/>
      </c>
      <c r="K1563" s="40" t="str">
        <f>IFERROR(IF(Agent08_Savings!A170="","",YEAR(Agent08_Savings!D170)),"")</f>
        <v/>
      </c>
    </row>
    <row r="1564" spans="1:11" ht="18" customHeight="1" x14ac:dyDescent="0.25">
      <c r="A1564" s="40" t="str">
        <f>IF(Agent08_Savings!A171="","",Agent08_Savings!A171)</f>
        <v/>
      </c>
      <c r="B1564" s="40" t="str">
        <f ca="1">IF(Agent08_Savings!A171="","","SV"&amp;TEXT(1564-3,"0000")&amp;"-"&amp;TEXT(TODAY(),"YYYYMMDD"))</f>
        <v/>
      </c>
      <c r="C1564" s="40" t="str">
        <f>IF(Agent08_Savings!A171="","",Agent08_Savings!B171)</f>
        <v/>
      </c>
      <c r="D1564" s="40" t="str">
        <f>IF(Agent08_Savings!A171="","",Agent08_Savings!G171)</f>
        <v/>
      </c>
      <c r="E1564" s="41" t="str">
        <f>IF(Agent08_Savings!A171="","",Agent08_Savings!D171)</f>
        <v/>
      </c>
      <c r="F1564" s="42" t="str">
        <f>IF(Agent08_Savings!A171="","",Agent08_Savings!E171)</f>
        <v/>
      </c>
      <c r="G1564" s="42" t="str">
        <f>IF(Agent08_Savings!A171="","",Agent08_Savings!F171)</f>
        <v/>
      </c>
      <c r="H1564" s="40" t="str">
        <f>IF(Agent08_Savings!A171="","",Agent08_Savings!I171)</f>
        <v/>
      </c>
      <c r="I1564" s="40" t="str">
        <f>IF(Agent08_Savings!A171="","",Agent08_Savings!J171)</f>
        <v/>
      </c>
      <c r="J1564" s="40" t="str">
        <f>IF(Agent08_Savings!A171="","",Agent08_Savings!K171)</f>
        <v/>
      </c>
      <c r="K1564" s="40" t="str">
        <f>IFERROR(IF(Agent08_Savings!A171="","",YEAR(Agent08_Savings!D171)),"")</f>
        <v/>
      </c>
    </row>
    <row r="1565" spans="1:11" ht="18" customHeight="1" x14ac:dyDescent="0.25">
      <c r="A1565" s="40" t="str">
        <f>IF(Agent08_Savings!A172="","",Agent08_Savings!A172)</f>
        <v/>
      </c>
      <c r="B1565" s="40" t="str">
        <f ca="1">IF(Agent08_Savings!A172="","","SV"&amp;TEXT(1565-3,"0000")&amp;"-"&amp;TEXT(TODAY(),"YYYYMMDD"))</f>
        <v/>
      </c>
      <c r="C1565" s="40" t="str">
        <f>IF(Agent08_Savings!A172="","",Agent08_Savings!B172)</f>
        <v/>
      </c>
      <c r="D1565" s="40" t="str">
        <f>IF(Agent08_Savings!A172="","",Agent08_Savings!G172)</f>
        <v/>
      </c>
      <c r="E1565" s="41" t="str">
        <f>IF(Agent08_Savings!A172="","",Agent08_Savings!D172)</f>
        <v/>
      </c>
      <c r="F1565" s="42" t="str">
        <f>IF(Agent08_Savings!A172="","",Agent08_Savings!E172)</f>
        <v/>
      </c>
      <c r="G1565" s="42" t="str">
        <f>IF(Agent08_Savings!A172="","",Agent08_Savings!F172)</f>
        <v/>
      </c>
      <c r="H1565" s="40" t="str">
        <f>IF(Agent08_Savings!A172="","",Agent08_Savings!I172)</f>
        <v/>
      </c>
      <c r="I1565" s="40" t="str">
        <f>IF(Agent08_Savings!A172="","",Agent08_Savings!J172)</f>
        <v/>
      </c>
      <c r="J1565" s="40" t="str">
        <f>IF(Agent08_Savings!A172="","",Agent08_Savings!K172)</f>
        <v/>
      </c>
      <c r="K1565" s="40" t="str">
        <f>IFERROR(IF(Agent08_Savings!A172="","",YEAR(Agent08_Savings!D172)),"")</f>
        <v/>
      </c>
    </row>
    <row r="1566" spans="1:11" ht="18" customHeight="1" x14ac:dyDescent="0.25">
      <c r="A1566" s="40" t="str">
        <f>IF(Agent08_Savings!A173="","",Agent08_Savings!A173)</f>
        <v/>
      </c>
      <c r="B1566" s="40" t="str">
        <f ca="1">IF(Agent08_Savings!A173="","","SV"&amp;TEXT(1566-3,"0000")&amp;"-"&amp;TEXT(TODAY(),"YYYYMMDD"))</f>
        <v/>
      </c>
      <c r="C1566" s="40" t="str">
        <f>IF(Agent08_Savings!A173="","",Agent08_Savings!B173)</f>
        <v/>
      </c>
      <c r="D1566" s="40" t="str">
        <f>IF(Agent08_Savings!A173="","",Agent08_Savings!G173)</f>
        <v/>
      </c>
      <c r="E1566" s="41" t="str">
        <f>IF(Agent08_Savings!A173="","",Agent08_Savings!D173)</f>
        <v/>
      </c>
      <c r="F1566" s="42" t="str">
        <f>IF(Agent08_Savings!A173="","",Agent08_Savings!E173)</f>
        <v/>
      </c>
      <c r="G1566" s="42" t="str">
        <f>IF(Agent08_Savings!A173="","",Agent08_Savings!F173)</f>
        <v/>
      </c>
      <c r="H1566" s="40" t="str">
        <f>IF(Agent08_Savings!A173="","",Agent08_Savings!I173)</f>
        <v/>
      </c>
      <c r="I1566" s="40" t="str">
        <f>IF(Agent08_Savings!A173="","",Agent08_Savings!J173)</f>
        <v/>
      </c>
      <c r="J1566" s="40" t="str">
        <f>IF(Agent08_Savings!A173="","",Agent08_Savings!K173)</f>
        <v/>
      </c>
      <c r="K1566" s="40" t="str">
        <f>IFERROR(IF(Agent08_Savings!A173="","",YEAR(Agent08_Savings!D173)),"")</f>
        <v/>
      </c>
    </row>
    <row r="1567" spans="1:11" ht="18" customHeight="1" x14ac:dyDescent="0.25">
      <c r="A1567" s="40" t="str">
        <f>IF(Agent08_Savings!A174="","",Agent08_Savings!A174)</f>
        <v/>
      </c>
      <c r="B1567" s="40" t="str">
        <f ca="1">IF(Agent08_Savings!A174="","","SV"&amp;TEXT(1567-3,"0000")&amp;"-"&amp;TEXT(TODAY(),"YYYYMMDD"))</f>
        <v/>
      </c>
      <c r="C1567" s="40" t="str">
        <f>IF(Agent08_Savings!A174="","",Agent08_Savings!B174)</f>
        <v/>
      </c>
      <c r="D1567" s="40" t="str">
        <f>IF(Agent08_Savings!A174="","",Agent08_Savings!G174)</f>
        <v/>
      </c>
      <c r="E1567" s="41" t="str">
        <f>IF(Agent08_Savings!A174="","",Agent08_Savings!D174)</f>
        <v/>
      </c>
      <c r="F1567" s="42" t="str">
        <f>IF(Agent08_Savings!A174="","",Agent08_Savings!E174)</f>
        <v/>
      </c>
      <c r="G1567" s="42" t="str">
        <f>IF(Agent08_Savings!A174="","",Agent08_Savings!F174)</f>
        <v/>
      </c>
      <c r="H1567" s="40" t="str">
        <f>IF(Agent08_Savings!A174="","",Agent08_Savings!I174)</f>
        <v/>
      </c>
      <c r="I1567" s="40" t="str">
        <f>IF(Agent08_Savings!A174="","",Agent08_Savings!J174)</f>
        <v/>
      </c>
      <c r="J1567" s="40" t="str">
        <f>IF(Agent08_Savings!A174="","",Agent08_Savings!K174)</f>
        <v/>
      </c>
      <c r="K1567" s="40" t="str">
        <f>IFERROR(IF(Agent08_Savings!A174="","",YEAR(Agent08_Savings!D174)),"")</f>
        <v/>
      </c>
    </row>
    <row r="1568" spans="1:11" ht="18" customHeight="1" x14ac:dyDescent="0.25">
      <c r="A1568" s="40" t="str">
        <f>IF(Agent08_Savings!A175="","",Agent08_Savings!A175)</f>
        <v/>
      </c>
      <c r="B1568" s="40" t="str">
        <f ca="1">IF(Agent08_Savings!A175="","","SV"&amp;TEXT(1568-3,"0000")&amp;"-"&amp;TEXT(TODAY(),"YYYYMMDD"))</f>
        <v/>
      </c>
      <c r="C1568" s="40" t="str">
        <f>IF(Agent08_Savings!A175="","",Agent08_Savings!B175)</f>
        <v/>
      </c>
      <c r="D1568" s="40" t="str">
        <f>IF(Agent08_Savings!A175="","",Agent08_Savings!G175)</f>
        <v/>
      </c>
      <c r="E1568" s="41" t="str">
        <f>IF(Agent08_Savings!A175="","",Agent08_Savings!D175)</f>
        <v/>
      </c>
      <c r="F1568" s="42" t="str">
        <f>IF(Agent08_Savings!A175="","",Agent08_Savings!E175)</f>
        <v/>
      </c>
      <c r="G1568" s="42" t="str">
        <f>IF(Agent08_Savings!A175="","",Agent08_Savings!F175)</f>
        <v/>
      </c>
      <c r="H1568" s="40" t="str">
        <f>IF(Agent08_Savings!A175="","",Agent08_Savings!I175)</f>
        <v/>
      </c>
      <c r="I1568" s="40" t="str">
        <f>IF(Agent08_Savings!A175="","",Agent08_Savings!J175)</f>
        <v/>
      </c>
      <c r="J1568" s="40" t="str">
        <f>IF(Agent08_Savings!A175="","",Agent08_Savings!K175)</f>
        <v/>
      </c>
      <c r="K1568" s="40" t="str">
        <f>IFERROR(IF(Agent08_Savings!A175="","",YEAR(Agent08_Savings!D175)),"")</f>
        <v/>
      </c>
    </row>
    <row r="1569" spans="1:11" ht="18" customHeight="1" x14ac:dyDescent="0.25">
      <c r="A1569" s="40" t="str">
        <f>IF(Agent08_Savings!A176="","",Agent08_Savings!A176)</f>
        <v/>
      </c>
      <c r="B1569" s="40" t="str">
        <f ca="1">IF(Agent08_Savings!A176="","","SV"&amp;TEXT(1569-3,"0000")&amp;"-"&amp;TEXT(TODAY(),"YYYYMMDD"))</f>
        <v/>
      </c>
      <c r="C1569" s="40" t="str">
        <f>IF(Agent08_Savings!A176="","",Agent08_Savings!B176)</f>
        <v/>
      </c>
      <c r="D1569" s="40" t="str">
        <f>IF(Agent08_Savings!A176="","",Agent08_Savings!G176)</f>
        <v/>
      </c>
      <c r="E1569" s="41" t="str">
        <f>IF(Agent08_Savings!A176="","",Agent08_Savings!D176)</f>
        <v/>
      </c>
      <c r="F1569" s="42" t="str">
        <f>IF(Agent08_Savings!A176="","",Agent08_Savings!E176)</f>
        <v/>
      </c>
      <c r="G1569" s="42" t="str">
        <f>IF(Agent08_Savings!A176="","",Agent08_Savings!F176)</f>
        <v/>
      </c>
      <c r="H1569" s="40" t="str">
        <f>IF(Agent08_Savings!A176="","",Agent08_Savings!I176)</f>
        <v/>
      </c>
      <c r="I1569" s="40" t="str">
        <f>IF(Agent08_Savings!A176="","",Agent08_Savings!J176)</f>
        <v/>
      </c>
      <c r="J1569" s="40" t="str">
        <f>IF(Agent08_Savings!A176="","",Agent08_Savings!K176)</f>
        <v/>
      </c>
      <c r="K1569" s="40" t="str">
        <f>IFERROR(IF(Agent08_Savings!A176="","",YEAR(Agent08_Savings!D176)),"")</f>
        <v/>
      </c>
    </row>
    <row r="1570" spans="1:11" ht="18" customHeight="1" x14ac:dyDescent="0.25">
      <c r="A1570" s="40" t="str">
        <f>IF(Agent08_Savings!A177="","",Agent08_Savings!A177)</f>
        <v/>
      </c>
      <c r="B1570" s="40" t="str">
        <f ca="1">IF(Agent08_Savings!A177="","","SV"&amp;TEXT(1570-3,"0000")&amp;"-"&amp;TEXT(TODAY(),"YYYYMMDD"))</f>
        <v/>
      </c>
      <c r="C1570" s="40" t="str">
        <f>IF(Agent08_Savings!A177="","",Agent08_Savings!B177)</f>
        <v/>
      </c>
      <c r="D1570" s="40" t="str">
        <f>IF(Agent08_Savings!A177="","",Agent08_Savings!G177)</f>
        <v/>
      </c>
      <c r="E1570" s="41" t="str">
        <f>IF(Agent08_Savings!A177="","",Agent08_Savings!D177)</f>
        <v/>
      </c>
      <c r="F1570" s="42" t="str">
        <f>IF(Agent08_Savings!A177="","",Agent08_Savings!E177)</f>
        <v/>
      </c>
      <c r="G1570" s="42" t="str">
        <f>IF(Agent08_Savings!A177="","",Agent08_Savings!F177)</f>
        <v/>
      </c>
      <c r="H1570" s="40" t="str">
        <f>IF(Agent08_Savings!A177="","",Agent08_Savings!I177)</f>
        <v/>
      </c>
      <c r="I1570" s="40" t="str">
        <f>IF(Agent08_Savings!A177="","",Agent08_Savings!J177)</f>
        <v/>
      </c>
      <c r="J1570" s="40" t="str">
        <f>IF(Agent08_Savings!A177="","",Agent08_Savings!K177)</f>
        <v/>
      </c>
      <c r="K1570" s="40" t="str">
        <f>IFERROR(IF(Agent08_Savings!A177="","",YEAR(Agent08_Savings!D177)),"")</f>
        <v/>
      </c>
    </row>
    <row r="1571" spans="1:11" ht="18" customHeight="1" x14ac:dyDescent="0.25">
      <c r="A1571" s="40" t="str">
        <f>IF(Agent08_Savings!A178="","",Agent08_Savings!A178)</f>
        <v/>
      </c>
      <c r="B1571" s="40" t="str">
        <f ca="1">IF(Agent08_Savings!A178="","","SV"&amp;TEXT(1571-3,"0000")&amp;"-"&amp;TEXT(TODAY(),"YYYYMMDD"))</f>
        <v/>
      </c>
      <c r="C1571" s="40" t="str">
        <f>IF(Agent08_Savings!A178="","",Agent08_Savings!B178)</f>
        <v/>
      </c>
      <c r="D1571" s="40" t="str">
        <f>IF(Agent08_Savings!A178="","",Agent08_Savings!G178)</f>
        <v/>
      </c>
      <c r="E1571" s="41" t="str">
        <f>IF(Agent08_Savings!A178="","",Agent08_Savings!D178)</f>
        <v/>
      </c>
      <c r="F1571" s="42" t="str">
        <f>IF(Agent08_Savings!A178="","",Agent08_Savings!E178)</f>
        <v/>
      </c>
      <c r="G1571" s="42" t="str">
        <f>IF(Agent08_Savings!A178="","",Agent08_Savings!F178)</f>
        <v/>
      </c>
      <c r="H1571" s="40" t="str">
        <f>IF(Agent08_Savings!A178="","",Agent08_Savings!I178)</f>
        <v/>
      </c>
      <c r="I1571" s="40" t="str">
        <f>IF(Agent08_Savings!A178="","",Agent08_Savings!J178)</f>
        <v/>
      </c>
      <c r="J1571" s="40" t="str">
        <f>IF(Agent08_Savings!A178="","",Agent08_Savings!K178)</f>
        <v/>
      </c>
      <c r="K1571" s="40" t="str">
        <f>IFERROR(IF(Agent08_Savings!A178="","",YEAR(Agent08_Savings!D178)),"")</f>
        <v/>
      </c>
    </row>
    <row r="1572" spans="1:11" ht="18" customHeight="1" x14ac:dyDescent="0.25">
      <c r="A1572" s="40" t="str">
        <f>IF(Agent08_Savings!A179="","",Agent08_Savings!A179)</f>
        <v/>
      </c>
      <c r="B1572" s="40" t="str">
        <f ca="1">IF(Agent08_Savings!A179="","","SV"&amp;TEXT(1572-3,"0000")&amp;"-"&amp;TEXT(TODAY(),"YYYYMMDD"))</f>
        <v/>
      </c>
      <c r="C1572" s="40" t="str">
        <f>IF(Agent08_Savings!A179="","",Agent08_Savings!B179)</f>
        <v/>
      </c>
      <c r="D1572" s="40" t="str">
        <f>IF(Agent08_Savings!A179="","",Agent08_Savings!G179)</f>
        <v/>
      </c>
      <c r="E1572" s="41" t="str">
        <f>IF(Agent08_Savings!A179="","",Agent08_Savings!D179)</f>
        <v/>
      </c>
      <c r="F1572" s="42" t="str">
        <f>IF(Agent08_Savings!A179="","",Agent08_Savings!E179)</f>
        <v/>
      </c>
      <c r="G1572" s="42" t="str">
        <f>IF(Agent08_Savings!A179="","",Agent08_Savings!F179)</f>
        <v/>
      </c>
      <c r="H1572" s="40" t="str">
        <f>IF(Agent08_Savings!A179="","",Agent08_Savings!I179)</f>
        <v/>
      </c>
      <c r="I1572" s="40" t="str">
        <f>IF(Agent08_Savings!A179="","",Agent08_Savings!J179)</f>
        <v/>
      </c>
      <c r="J1572" s="40" t="str">
        <f>IF(Agent08_Savings!A179="","",Agent08_Savings!K179)</f>
        <v/>
      </c>
      <c r="K1572" s="40" t="str">
        <f>IFERROR(IF(Agent08_Savings!A179="","",YEAR(Agent08_Savings!D179)),"")</f>
        <v/>
      </c>
    </row>
    <row r="1573" spans="1:11" ht="18" customHeight="1" x14ac:dyDescent="0.25">
      <c r="A1573" s="40" t="str">
        <f>IF(Agent08_Savings!A180="","",Agent08_Savings!A180)</f>
        <v/>
      </c>
      <c r="B1573" s="40" t="str">
        <f ca="1">IF(Agent08_Savings!A180="","","SV"&amp;TEXT(1573-3,"0000")&amp;"-"&amp;TEXT(TODAY(),"YYYYMMDD"))</f>
        <v/>
      </c>
      <c r="C1573" s="40" t="str">
        <f>IF(Agent08_Savings!A180="","",Agent08_Savings!B180)</f>
        <v/>
      </c>
      <c r="D1573" s="40" t="str">
        <f>IF(Agent08_Savings!A180="","",Agent08_Savings!G180)</f>
        <v/>
      </c>
      <c r="E1573" s="41" t="str">
        <f>IF(Agent08_Savings!A180="","",Agent08_Savings!D180)</f>
        <v/>
      </c>
      <c r="F1573" s="42" t="str">
        <f>IF(Agent08_Savings!A180="","",Agent08_Savings!E180)</f>
        <v/>
      </c>
      <c r="G1573" s="42" t="str">
        <f>IF(Agent08_Savings!A180="","",Agent08_Savings!F180)</f>
        <v/>
      </c>
      <c r="H1573" s="40" t="str">
        <f>IF(Agent08_Savings!A180="","",Agent08_Savings!I180)</f>
        <v/>
      </c>
      <c r="I1573" s="40" t="str">
        <f>IF(Agent08_Savings!A180="","",Agent08_Savings!J180)</f>
        <v/>
      </c>
      <c r="J1573" s="40" t="str">
        <f>IF(Agent08_Savings!A180="","",Agent08_Savings!K180)</f>
        <v/>
      </c>
      <c r="K1573" s="40" t="str">
        <f>IFERROR(IF(Agent08_Savings!A180="","",YEAR(Agent08_Savings!D180)),"")</f>
        <v/>
      </c>
    </row>
    <row r="1574" spans="1:11" ht="18" customHeight="1" x14ac:dyDescent="0.25">
      <c r="A1574" s="40" t="str">
        <f>IF(Agent08_Savings!A181="","",Agent08_Savings!A181)</f>
        <v/>
      </c>
      <c r="B1574" s="40" t="str">
        <f ca="1">IF(Agent08_Savings!A181="","","SV"&amp;TEXT(1574-3,"0000")&amp;"-"&amp;TEXT(TODAY(),"YYYYMMDD"))</f>
        <v/>
      </c>
      <c r="C1574" s="40" t="str">
        <f>IF(Agent08_Savings!A181="","",Agent08_Savings!B181)</f>
        <v/>
      </c>
      <c r="D1574" s="40" t="str">
        <f>IF(Agent08_Savings!A181="","",Agent08_Savings!G181)</f>
        <v/>
      </c>
      <c r="E1574" s="41" t="str">
        <f>IF(Agent08_Savings!A181="","",Agent08_Savings!D181)</f>
        <v/>
      </c>
      <c r="F1574" s="42" t="str">
        <f>IF(Agent08_Savings!A181="","",Agent08_Savings!E181)</f>
        <v/>
      </c>
      <c r="G1574" s="42" t="str">
        <f>IF(Agent08_Savings!A181="","",Agent08_Savings!F181)</f>
        <v/>
      </c>
      <c r="H1574" s="40" t="str">
        <f>IF(Agent08_Savings!A181="","",Agent08_Savings!I181)</f>
        <v/>
      </c>
      <c r="I1574" s="40" t="str">
        <f>IF(Agent08_Savings!A181="","",Agent08_Savings!J181)</f>
        <v/>
      </c>
      <c r="J1574" s="40" t="str">
        <f>IF(Agent08_Savings!A181="","",Agent08_Savings!K181)</f>
        <v/>
      </c>
      <c r="K1574" s="40" t="str">
        <f>IFERROR(IF(Agent08_Savings!A181="","",YEAR(Agent08_Savings!D181)),"")</f>
        <v/>
      </c>
    </row>
    <row r="1575" spans="1:11" ht="18" customHeight="1" x14ac:dyDescent="0.25">
      <c r="A1575" s="40" t="str">
        <f>IF(Agent08_Savings!A182="","",Agent08_Savings!A182)</f>
        <v/>
      </c>
      <c r="B1575" s="40" t="str">
        <f ca="1">IF(Agent08_Savings!A182="","","SV"&amp;TEXT(1575-3,"0000")&amp;"-"&amp;TEXT(TODAY(),"YYYYMMDD"))</f>
        <v/>
      </c>
      <c r="C1575" s="40" t="str">
        <f>IF(Agent08_Savings!A182="","",Agent08_Savings!B182)</f>
        <v/>
      </c>
      <c r="D1575" s="40" t="str">
        <f>IF(Agent08_Savings!A182="","",Agent08_Savings!G182)</f>
        <v/>
      </c>
      <c r="E1575" s="41" t="str">
        <f>IF(Agent08_Savings!A182="","",Agent08_Savings!D182)</f>
        <v/>
      </c>
      <c r="F1575" s="42" t="str">
        <f>IF(Agent08_Savings!A182="","",Agent08_Savings!E182)</f>
        <v/>
      </c>
      <c r="G1575" s="42" t="str">
        <f>IF(Agent08_Savings!A182="","",Agent08_Savings!F182)</f>
        <v/>
      </c>
      <c r="H1575" s="40" t="str">
        <f>IF(Agent08_Savings!A182="","",Agent08_Savings!I182)</f>
        <v/>
      </c>
      <c r="I1575" s="40" t="str">
        <f>IF(Agent08_Savings!A182="","",Agent08_Savings!J182)</f>
        <v/>
      </c>
      <c r="J1575" s="40" t="str">
        <f>IF(Agent08_Savings!A182="","",Agent08_Savings!K182)</f>
        <v/>
      </c>
      <c r="K1575" s="40" t="str">
        <f>IFERROR(IF(Agent08_Savings!A182="","",YEAR(Agent08_Savings!D182)),"")</f>
        <v/>
      </c>
    </row>
    <row r="1576" spans="1:11" ht="18" customHeight="1" x14ac:dyDescent="0.25">
      <c r="A1576" s="40" t="str">
        <f>IF(Agent08_Savings!A183="","",Agent08_Savings!A183)</f>
        <v/>
      </c>
      <c r="B1576" s="40" t="str">
        <f ca="1">IF(Agent08_Savings!A183="","","SV"&amp;TEXT(1576-3,"0000")&amp;"-"&amp;TEXT(TODAY(),"YYYYMMDD"))</f>
        <v/>
      </c>
      <c r="C1576" s="40" t="str">
        <f>IF(Agent08_Savings!A183="","",Agent08_Savings!B183)</f>
        <v/>
      </c>
      <c r="D1576" s="40" t="str">
        <f>IF(Agent08_Savings!A183="","",Agent08_Savings!G183)</f>
        <v/>
      </c>
      <c r="E1576" s="41" t="str">
        <f>IF(Agent08_Savings!A183="","",Agent08_Savings!D183)</f>
        <v/>
      </c>
      <c r="F1576" s="42" t="str">
        <f>IF(Agent08_Savings!A183="","",Agent08_Savings!E183)</f>
        <v/>
      </c>
      <c r="G1576" s="42" t="str">
        <f>IF(Agent08_Savings!A183="","",Agent08_Savings!F183)</f>
        <v/>
      </c>
      <c r="H1576" s="40" t="str">
        <f>IF(Agent08_Savings!A183="","",Agent08_Savings!I183)</f>
        <v/>
      </c>
      <c r="I1576" s="40" t="str">
        <f>IF(Agent08_Savings!A183="","",Agent08_Savings!J183)</f>
        <v/>
      </c>
      <c r="J1576" s="40" t="str">
        <f>IF(Agent08_Savings!A183="","",Agent08_Savings!K183)</f>
        <v/>
      </c>
      <c r="K1576" s="40" t="str">
        <f>IFERROR(IF(Agent08_Savings!A183="","",YEAR(Agent08_Savings!D183)),"")</f>
        <v/>
      </c>
    </row>
    <row r="1577" spans="1:11" ht="18" customHeight="1" x14ac:dyDescent="0.25">
      <c r="A1577" s="40" t="str">
        <f>IF(Agent08_Savings!A184="","",Agent08_Savings!A184)</f>
        <v/>
      </c>
      <c r="B1577" s="40" t="str">
        <f ca="1">IF(Agent08_Savings!A184="","","SV"&amp;TEXT(1577-3,"0000")&amp;"-"&amp;TEXT(TODAY(),"YYYYMMDD"))</f>
        <v/>
      </c>
      <c r="C1577" s="40" t="str">
        <f>IF(Agent08_Savings!A184="","",Agent08_Savings!B184)</f>
        <v/>
      </c>
      <c r="D1577" s="40" t="str">
        <f>IF(Agent08_Savings!A184="","",Agent08_Savings!G184)</f>
        <v/>
      </c>
      <c r="E1577" s="41" t="str">
        <f>IF(Agent08_Savings!A184="","",Agent08_Savings!D184)</f>
        <v/>
      </c>
      <c r="F1577" s="42" t="str">
        <f>IF(Agent08_Savings!A184="","",Agent08_Savings!E184)</f>
        <v/>
      </c>
      <c r="G1577" s="42" t="str">
        <f>IF(Agent08_Savings!A184="","",Agent08_Savings!F184)</f>
        <v/>
      </c>
      <c r="H1577" s="40" t="str">
        <f>IF(Agent08_Savings!A184="","",Agent08_Savings!I184)</f>
        <v/>
      </c>
      <c r="I1577" s="40" t="str">
        <f>IF(Agent08_Savings!A184="","",Agent08_Savings!J184)</f>
        <v/>
      </c>
      <c r="J1577" s="40" t="str">
        <f>IF(Agent08_Savings!A184="","",Agent08_Savings!K184)</f>
        <v/>
      </c>
      <c r="K1577" s="40" t="str">
        <f>IFERROR(IF(Agent08_Savings!A184="","",YEAR(Agent08_Savings!D184)),"")</f>
        <v/>
      </c>
    </row>
    <row r="1578" spans="1:11" ht="18" customHeight="1" x14ac:dyDescent="0.25">
      <c r="A1578" s="40" t="str">
        <f>IF(Agent08_Savings!A185="","",Agent08_Savings!A185)</f>
        <v/>
      </c>
      <c r="B1578" s="40" t="str">
        <f ca="1">IF(Agent08_Savings!A185="","","SV"&amp;TEXT(1578-3,"0000")&amp;"-"&amp;TEXT(TODAY(),"YYYYMMDD"))</f>
        <v/>
      </c>
      <c r="C1578" s="40" t="str">
        <f>IF(Agent08_Savings!A185="","",Agent08_Savings!B185)</f>
        <v/>
      </c>
      <c r="D1578" s="40" t="str">
        <f>IF(Agent08_Savings!A185="","",Agent08_Savings!G185)</f>
        <v/>
      </c>
      <c r="E1578" s="41" t="str">
        <f>IF(Agent08_Savings!A185="","",Agent08_Savings!D185)</f>
        <v/>
      </c>
      <c r="F1578" s="42" t="str">
        <f>IF(Agent08_Savings!A185="","",Agent08_Savings!E185)</f>
        <v/>
      </c>
      <c r="G1578" s="42" t="str">
        <f>IF(Agent08_Savings!A185="","",Agent08_Savings!F185)</f>
        <v/>
      </c>
      <c r="H1578" s="40" t="str">
        <f>IF(Agent08_Savings!A185="","",Agent08_Savings!I185)</f>
        <v/>
      </c>
      <c r="I1578" s="40" t="str">
        <f>IF(Agent08_Savings!A185="","",Agent08_Savings!J185)</f>
        <v/>
      </c>
      <c r="J1578" s="40" t="str">
        <f>IF(Agent08_Savings!A185="","",Agent08_Savings!K185)</f>
        <v/>
      </c>
      <c r="K1578" s="40" t="str">
        <f>IFERROR(IF(Agent08_Savings!A185="","",YEAR(Agent08_Savings!D185)),"")</f>
        <v/>
      </c>
    </row>
    <row r="1579" spans="1:11" ht="18" customHeight="1" x14ac:dyDescent="0.25">
      <c r="A1579" s="40" t="str">
        <f>IF(Agent08_Savings!A186="","",Agent08_Savings!A186)</f>
        <v/>
      </c>
      <c r="B1579" s="40" t="str">
        <f ca="1">IF(Agent08_Savings!A186="","","SV"&amp;TEXT(1579-3,"0000")&amp;"-"&amp;TEXT(TODAY(),"YYYYMMDD"))</f>
        <v/>
      </c>
      <c r="C1579" s="40" t="str">
        <f>IF(Agent08_Savings!A186="","",Agent08_Savings!B186)</f>
        <v/>
      </c>
      <c r="D1579" s="40" t="str">
        <f>IF(Agent08_Savings!A186="","",Agent08_Savings!G186)</f>
        <v/>
      </c>
      <c r="E1579" s="41" t="str">
        <f>IF(Agent08_Savings!A186="","",Agent08_Savings!D186)</f>
        <v/>
      </c>
      <c r="F1579" s="42" t="str">
        <f>IF(Agent08_Savings!A186="","",Agent08_Savings!E186)</f>
        <v/>
      </c>
      <c r="G1579" s="42" t="str">
        <f>IF(Agent08_Savings!A186="","",Agent08_Savings!F186)</f>
        <v/>
      </c>
      <c r="H1579" s="40" t="str">
        <f>IF(Agent08_Savings!A186="","",Agent08_Savings!I186)</f>
        <v/>
      </c>
      <c r="I1579" s="40" t="str">
        <f>IF(Agent08_Savings!A186="","",Agent08_Savings!J186)</f>
        <v/>
      </c>
      <c r="J1579" s="40" t="str">
        <f>IF(Agent08_Savings!A186="","",Agent08_Savings!K186)</f>
        <v/>
      </c>
      <c r="K1579" s="40" t="str">
        <f>IFERROR(IF(Agent08_Savings!A186="","",YEAR(Agent08_Savings!D186)),"")</f>
        <v/>
      </c>
    </row>
    <row r="1580" spans="1:11" ht="18" customHeight="1" x14ac:dyDescent="0.25">
      <c r="A1580" s="40" t="str">
        <f>IF(Agent08_Savings!A187="","",Agent08_Savings!A187)</f>
        <v/>
      </c>
      <c r="B1580" s="40" t="str">
        <f ca="1">IF(Agent08_Savings!A187="","","SV"&amp;TEXT(1580-3,"0000")&amp;"-"&amp;TEXT(TODAY(),"YYYYMMDD"))</f>
        <v/>
      </c>
      <c r="C1580" s="40" t="str">
        <f>IF(Agent08_Savings!A187="","",Agent08_Savings!B187)</f>
        <v/>
      </c>
      <c r="D1580" s="40" t="str">
        <f>IF(Agent08_Savings!A187="","",Agent08_Savings!G187)</f>
        <v/>
      </c>
      <c r="E1580" s="41" t="str">
        <f>IF(Agent08_Savings!A187="","",Agent08_Savings!D187)</f>
        <v/>
      </c>
      <c r="F1580" s="42" t="str">
        <f>IF(Agent08_Savings!A187="","",Agent08_Savings!E187)</f>
        <v/>
      </c>
      <c r="G1580" s="42" t="str">
        <f>IF(Agent08_Savings!A187="","",Agent08_Savings!F187)</f>
        <v/>
      </c>
      <c r="H1580" s="40" t="str">
        <f>IF(Agent08_Savings!A187="","",Agent08_Savings!I187)</f>
        <v/>
      </c>
      <c r="I1580" s="40" t="str">
        <f>IF(Agent08_Savings!A187="","",Agent08_Savings!J187)</f>
        <v/>
      </c>
      <c r="J1580" s="40" t="str">
        <f>IF(Agent08_Savings!A187="","",Agent08_Savings!K187)</f>
        <v/>
      </c>
      <c r="K1580" s="40" t="str">
        <f>IFERROR(IF(Agent08_Savings!A187="","",YEAR(Agent08_Savings!D187)),"")</f>
        <v/>
      </c>
    </row>
    <row r="1581" spans="1:11" ht="18" customHeight="1" x14ac:dyDescent="0.25">
      <c r="A1581" s="40" t="str">
        <f>IF(Agent08_Savings!A188="","",Agent08_Savings!A188)</f>
        <v/>
      </c>
      <c r="B1581" s="40" t="str">
        <f ca="1">IF(Agent08_Savings!A188="","","SV"&amp;TEXT(1581-3,"0000")&amp;"-"&amp;TEXT(TODAY(),"YYYYMMDD"))</f>
        <v/>
      </c>
      <c r="C1581" s="40" t="str">
        <f>IF(Agent08_Savings!A188="","",Agent08_Savings!B188)</f>
        <v/>
      </c>
      <c r="D1581" s="40" t="str">
        <f>IF(Agent08_Savings!A188="","",Agent08_Savings!G188)</f>
        <v/>
      </c>
      <c r="E1581" s="41" t="str">
        <f>IF(Agent08_Savings!A188="","",Agent08_Savings!D188)</f>
        <v/>
      </c>
      <c r="F1581" s="42" t="str">
        <f>IF(Agent08_Savings!A188="","",Agent08_Savings!E188)</f>
        <v/>
      </c>
      <c r="G1581" s="42" t="str">
        <f>IF(Agent08_Savings!A188="","",Agent08_Savings!F188)</f>
        <v/>
      </c>
      <c r="H1581" s="40" t="str">
        <f>IF(Agent08_Savings!A188="","",Agent08_Savings!I188)</f>
        <v/>
      </c>
      <c r="I1581" s="40" t="str">
        <f>IF(Agent08_Savings!A188="","",Agent08_Savings!J188)</f>
        <v/>
      </c>
      <c r="J1581" s="40" t="str">
        <f>IF(Agent08_Savings!A188="","",Agent08_Savings!K188)</f>
        <v/>
      </c>
      <c r="K1581" s="40" t="str">
        <f>IFERROR(IF(Agent08_Savings!A188="","",YEAR(Agent08_Savings!D188)),"")</f>
        <v/>
      </c>
    </row>
    <row r="1582" spans="1:11" ht="18" customHeight="1" x14ac:dyDescent="0.25">
      <c r="A1582" s="40" t="str">
        <f>IF(Agent08_Savings!A189="","",Agent08_Savings!A189)</f>
        <v/>
      </c>
      <c r="B1582" s="40" t="str">
        <f ca="1">IF(Agent08_Savings!A189="","","SV"&amp;TEXT(1582-3,"0000")&amp;"-"&amp;TEXT(TODAY(),"YYYYMMDD"))</f>
        <v/>
      </c>
      <c r="C1582" s="40" t="str">
        <f>IF(Agent08_Savings!A189="","",Agent08_Savings!B189)</f>
        <v/>
      </c>
      <c r="D1582" s="40" t="str">
        <f>IF(Agent08_Savings!A189="","",Agent08_Savings!G189)</f>
        <v/>
      </c>
      <c r="E1582" s="41" t="str">
        <f>IF(Agent08_Savings!A189="","",Agent08_Savings!D189)</f>
        <v/>
      </c>
      <c r="F1582" s="42" t="str">
        <f>IF(Agent08_Savings!A189="","",Agent08_Savings!E189)</f>
        <v/>
      </c>
      <c r="G1582" s="42" t="str">
        <f>IF(Agent08_Savings!A189="","",Agent08_Savings!F189)</f>
        <v/>
      </c>
      <c r="H1582" s="40" t="str">
        <f>IF(Agent08_Savings!A189="","",Agent08_Savings!I189)</f>
        <v/>
      </c>
      <c r="I1582" s="40" t="str">
        <f>IF(Agent08_Savings!A189="","",Agent08_Savings!J189)</f>
        <v/>
      </c>
      <c r="J1582" s="40" t="str">
        <f>IF(Agent08_Savings!A189="","",Agent08_Savings!K189)</f>
        <v/>
      </c>
      <c r="K1582" s="40" t="str">
        <f>IFERROR(IF(Agent08_Savings!A189="","",YEAR(Agent08_Savings!D189)),"")</f>
        <v/>
      </c>
    </row>
    <row r="1583" spans="1:11" ht="18" customHeight="1" x14ac:dyDescent="0.25">
      <c r="A1583" s="40" t="str">
        <f>IF(Agent08_Savings!A190="","",Agent08_Savings!A190)</f>
        <v/>
      </c>
      <c r="B1583" s="40" t="str">
        <f ca="1">IF(Agent08_Savings!A190="","","SV"&amp;TEXT(1583-3,"0000")&amp;"-"&amp;TEXT(TODAY(),"YYYYMMDD"))</f>
        <v/>
      </c>
      <c r="C1583" s="40" t="str">
        <f>IF(Agent08_Savings!A190="","",Agent08_Savings!B190)</f>
        <v/>
      </c>
      <c r="D1583" s="40" t="str">
        <f>IF(Agent08_Savings!A190="","",Agent08_Savings!G190)</f>
        <v/>
      </c>
      <c r="E1583" s="41" t="str">
        <f>IF(Agent08_Savings!A190="","",Agent08_Savings!D190)</f>
        <v/>
      </c>
      <c r="F1583" s="42" t="str">
        <f>IF(Agent08_Savings!A190="","",Agent08_Savings!E190)</f>
        <v/>
      </c>
      <c r="G1583" s="42" t="str">
        <f>IF(Agent08_Savings!A190="","",Agent08_Savings!F190)</f>
        <v/>
      </c>
      <c r="H1583" s="40" t="str">
        <f>IF(Agent08_Savings!A190="","",Agent08_Savings!I190)</f>
        <v/>
      </c>
      <c r="I1583" s="40" t="str">
        <f>IF(Agent08_Savings!A190="","",Agent08_Savings!J190)</f>
        <v/>
      </c>
      <c r="J1583" s="40" t="str">
        <f>IF(Agent08_Savings!A190="","",Agent08_Savings!K190)</f>
        <v/>
      </c>
      <c r="K1583" s="40" t="str">
        <f>IFERROR(IF(Agent08_Savings!A190="","",YEAR(Agent08_Savings!D190)),"")</f>
        <v/>
      </c>
    </row>
    <row r="1584" spans="1:11" ht="18" customHeight="1" x14ac:dyDescent="0.25">
      <c r="A1584" s="40" t="str">
        <f>IF(Agent08_Savings!A191="","",Agent08_Savings!A191)</f>
        <v/>
      </c>
      <c r="B1584" s="40" t="str">
        <f ca="1">IF(Agent08_Savings!A191="","","SV"&amp;TEXT(1584-3,"0000")&amp;"-"&amp;TEXT(TODAY(),"YYYYMMDD"))</f>
        <v/>
      </c>
      <c r="C1584" s="40" t="str">
        <f>IF(Agent08_Savings!A191="","",Agent08_Savings!B191)</f>
        <v/>
      </c>
      <c r="D1584" s="40" t="str">
        <f>IF(Agent08_Savings!A191="","",Agent08_Savings!G191)</f>
        <v/>
      </c>
      <c r="E1584" s="41" t="str">
        <f>IF(Agent08_Savings!A191="","",Agent08_Savings!D191)</f>
        <v/>
      </c>
      <c r="F1584" s="42" t="str">
        <f>IF(Agent08_Savings!A191="","",Agent08_Savings!E191)</f>
        <v/>
      </c>
      <c r="G1584" s="42" t="str">
        <f>IF(Agent08_Savings!A191="","",Agent08_Savings!F191)</f>
        <v/>
      </c>
      <c r="H1584" s="40" t="str">
        <f>IF(Agent08_Savings!A191="","",Agent08_Savings!I191)</f>
        <v/>
      </c>
      <c r="I1584" s="40" t="str">
        <f>IF(Agent08_Savings!A191="","",Agent08_Savings!J191)</f>
        <v/>
      </c>
      <c r="J1584" s="40" t="str">
        <f>IF(Agent08_Savings!A191="","",Agent08_Savings!K191)</f>
        <v/>
      </c>
      <c r="K1584" s="40" t="str">
        <f>IFERROR(IF(Agent08_Savings!A191="","",YEAR(Agent08_Savings!D191)),"")</f>
        <v/>
      </c>
    </row>
    <row r="1585" spans="1:11" ht="18" customHeight="1" x14ac:dyDescent="0.25">
      <c r="A1585" s="40" t="str">
        <f>IF(Agent08_Savings!A192="","",Agent08_Savings!A192)</f>
        <v/>
      </c>
      <c r="B1585" s="40" t="str">
        <f ca="1">IF(Agent08_Savings!A192="","","SV"&amp;TEXT(1585-3,"0000")&amp;"-"&amp;TEXT(TODAY(),"YYYYMMDD"))</f>
        <v/>
      </c>
      <c r="C1585" s="40" t="str">
        <f>IF(Agent08_Savings!A192="","",Agent08_Savings!B192)</f>
        <v/>
      </c>
      <c r="D1585" s="40" t="str">
        <f>IF(Agent08_Savings!A192="","",Agent08_Savings!G192)</f>
        <v/>
      </c>
      <c r="E1585" s="41" t="str">
        <f>IF(Agent08_Savings!A192="","",Agent08_Savings!D192)</f>
        <v/>
      </c>
      <c r="F1585" s="42" t="str">
        <f>IF(Agent08_Savings!A192="","",Agent08_Savings!E192)</f>
        <v/>
      </c>
      <c r="G1585" s="42" t="str">
        <f>IF(Agent08_Savings!A192="","",Agent08_Savings!F192)</f>
        <v/>
      </c>
      <c r="H1585" s="40" t="str">
        <f>IF(Agent08_Savings!A192="","",Agent08_Savings!I192)</f>
        <v/>
      </c>
      <c r="I1585" s="40" t="str">
        <f>IF(Agent08_Savings!A192="","",Agent08_Savings!J192)</f>
        <v/>
      </c>
      <c r="J1585" s="40" t="str">
        <f>IF(Agent08_Savings!A192="","",Agent08_Savings!K192)</f>
        <v/>
      </c>
      <c r="K1585" s="40" t="str">
        <f>IFERROR(IF(Agent08_Savings!A192="","",YEAR(Agent08_Savings!D192)),"")</f>
        <v/>
      </c>
    </row>
    <row r="1586" spans="1:11" ht="18" customHeight="1" x14ac:dyDescent="0.25">
      <c r="A1586" s="40" t="str">
        <f>IF(Agent08_Savings!A193="","",Agent08_Savings!A193)</f>
        <v/>
      </c>
      <c r="B1586" s="40" t="str">
        <f ca="1">IF(Agent08_Savings!A193="","","SV"&amp;TEXT(1586-3,"0000")&amp;"-"&amp;TEXT(TODAY(),"YYYYMMDD"))</f>
        <v/>
      </c>
      <c r="C1586" s="40" t="str">
        <f>IF(Agent08_Savings!A193="","",Agent08_Savings!B193)</f>
        <v/>
      </c>
      <c r="D1586" s="40" t="str">
        <f>IF(Agent08_Savings!A193="","",Agent08_Savings!G193)</f>
        <v/>
      </c>
      <c r="E1586" s="41" t="str">
        <f>IF(Agent08_Savings!A193="","",Agent08_Savings!D193)</f>
        <v/>
      </c>
      <c r="F1586" s="42" t="str">
        <f>IF(Agent08_Savings!A193="","",Agent08_Savings!E193)</f>
        <v/>
      </c>
      <c r="G1586" s="42" t="str">
        <f>IF(Agent08_Savings!A193="","",Agent08_Savings!F193)</f>
        <v/>
      </c>
      <c r="H1586" s="40" t="str">
        <f>IF(Agent08_Savings!A193="","",Agent08_Savings!I193)</f>
        <v/>
      </c>
      <c r="I1586" s="40" t="str">
        <f>IF(Agent08_Savings!A193="","",Agent08_Savings!J193)</f>
        <v/>
      </c>
      <c r="J1586" s="40" t="str">
        <f>IF(Agent08_Savings!A193="","",Agent08_Savings!K193)</f>
        <v/>
      </c>
      <c r="K1586" s="40" t="str">
        <f>IFERROR(IF(Agent08_Savings!A193="","",YEAR(Agent08_Savings!D193)),"")</f>
        <v/>
      </c>
    </row>
    <row r="1587" spans="1:11" ht="18" customHeight="1" x14ac:dyDescent="0.25">
      <c r="A1587" s="40" t="str">
        <f>IF(Agent08_Savings!A194="","",Agent08_Savings!A194)</f>
        <v/>
      </c>
      <c r="B1587" s="40" t="str">
        <f ca="1">IF(Agent08_Savings!A194="","","SV"&amp;TEXT(1587-3,"0000")&amp;"-"&amp;TEXT(TODAY(),"YYYYMMDD"))</f>
        <v/>
      </c>
      <c r="C1587" s="40" t="str">
        <f>IF(Agent08_Savings!A194="","",Agent08_Savings!B194)</f>
        <v/>
      </c>
      <c r="D1587" s="40" t="str">
        <f>IF(Agent08_Savings!A194="","",Agent08_Savings!G194)</f>
        <v/>
      </c>
      <c r="E1587" s="41" t="str">
        <f>IF(Agent08_Savings!A194="","",Agent08_Savings!D194)</f>
        <v/>
      </c>
      <c r="F1587" s="42" t="str">
        <f>IF(Agent08_Savings!A194="","",Agent08_Savings!E194)</f>
        <v/>
      </c>
      <c r="G1587" s="42" t="str">
        <f>IF(Agent08_Savings!A194="","",Agent08_Savings!F194)</f>
        <v/>
      </c>
      <c r="H1587" s="40" t="str">
        <f>IF(Agent08_Savings!A194="","",Agent08_Savings!I194)</f>
        <v/>
      </c>
      <c r="I1587" s="40" t="str">
        <f>IF(Agent08_Savings!A194="","",Agent08_Savings!J194)</f>
        <v/>
      </c>
      <c r="J1587" s="40" t="str">
        <f>IF(Agent08_Savings!A194="","",Agent08_Savings!K194)</f>
        <v/>
      </c>
      <c r="K1587" s="40" t="str">
        <f>IFERROR(IF(Agent08_Savings!A194="","",YEAR(Agent08_Savings!D194)),"")</f>
        <v/>
      </c>
    </row>
    <row r="1588" spans="1:11" ht="18" customHeight="1" x14ac:dyDescent="0.25">
      <c r="A1588" s="40" t="str">
        <f>IF(Agent08_Savings!A195="","",Agent08_Savings!A195)</f>
        <v/>
      </c>
      <c r="B1588" s="40" t="str">
        <f ca="1">IF(Agent08_Savings!A195="","","SV"&amp;TEXT(1588-3,"0000")&amp;"-"&amp;TEXT(TODAY(),"YYYYMMDD"))</f>
        <v/>
      </c>
      <c r="C1588" s="40" t="str">
        <f>IF(Agent08_Savings!A195="","",Agent08_Savings!B195)</f>
        <v/>
      </c>
      <c r="D1588" s="40" t="str">
        <f>IF(Agent08_Savings!A195="","",Agent08_Savings!G195)</f>
        <v/>
      </c>
      <c r="E1588" s="41" t="str">
        <f>IF(Agent08_Savings!A195="","",Agent08_Savings!D195)</f>
        <v/>
      </c>
      <c r="F1588" s="42" t="str">
        <f>IF(Agent08_Savings!A195="","",Agent08_Savings!E195)</f>
        <v/>
      </c>
      <c r="G1588" s="42" t="str">
        <f>IF(Agent08_Savings!A195="","",Agent08_Savings!F195)</f>
        <v/>
      </c>
      <c r="H1588" s="40" t="str">
        <f>IF(Agent08_Savings!A195="","",Agent08_Savings!I195)</f>
        <v/>
      </c>
      <c r="I1588" s="40" t="str">
        <f>IF(Agent08_Savings!A195="","",Agent08_Savings!J195)</f>
        <v/>
      </c>
      <c r="J1588" s="40" t="str">
        <f>IF(Agent08_Savings!A195="","",Agent08_Savings!K195)</f>
        <v/>
      </c>
      <c r="K1588" s="40" t="str">
        <f>IFERROR(IF(Agent08_Savings!A195="","",YEAR(Agent08_Savings!D195)),"")</f>
        <v/>
      </c>
    </row>
    <row r="1589" spans="1:11" ht="18" customHeight="1" x14ac:dyDescent="0.25">
      <c r="A1589" s="40" t="str">
        <f>IF(Agent08_Savings!A196="","",Agent08_Savings!A196)</f>
        <v/>
      </c>
      <c r="B1589" s="40" t="str">
        <f ca="1">IF(Agent08_Savings!A196="","","SV"&amp;TEXT(1589-3,"0000")&amp;"-"&amp;TEXT(TODAY(),"YYYYMMDD"))</f>
        <v/>
      </c>
      <c r="C1589" s="40" t="str">
        <f>IF(Agent08_Savings!A196="","",Agent08_Savings!B196)</f>
        <v/>
      </c>
      <c r="D1589" s="40" t="str">
        <f>IF(Agent08_Savings!A196="","",Agent08_Savings!G196)</f>
        <v/>
      </c>
      <c r="E1589" s="41" t="str">
        <f>IF(Agent08_Savings!A196="","",Agent08_Savings!D196)</f>
        <v/>
      </c>
      <c r="F1589" s="42" t="str">
        <f>IF(Agent08_Savings!A196="","",Agent08_Savings!E196)</f>
        <v/>
      </c>
      <c r="G1589" s="42" t="str">
        <f>IF(Agent08_Savings!A196="","",Agent08_Savings!F196)</f>
        <v/>
      </c>
      <c r="H1589" s="40" t="str">
        <f>IF(Agent08_Savings!A196="","",Agent08_Savings!I196)</f>
        <v/>
      </c>
      <c r="I1589" s="40" t="str">
        <f>IF(Agent08_Savings!A196="","",Agent08_Savings!J196)</f>
        <v/>
      </c>
      <c r="J1589" s="40" t="str">
        <f>IF(Agent08_Savings!A196="","",Agent08_Savings!K196)</f>
        <v/>
      </c>
      <c r="K1589" s="40" t="str">
        <f>IFERROR(IF(Agent08_Savings!A196="","",YEAR(Agent08_Savings!D196)),"")</f>
        <v/>
      </c>
    </row>
    <row r="1590" spans="1:11" ht="18" customHeight="1" x14ac:dyDescent="0.25">
      <c r="A1590" s="40" t="str">
        <f>IF(Agent08_Savings!A197="","",Agent08_Savings!A197)</f>
        <v/>
      </c>
      <c r="B1590" s="40" t="str">
        <f ca="1">IF(Agent08_Savings!A197="","","SV"&amp;TEXT(1590-3,"0000")&amp;"-"&amp;TEXT(TODAY(),"YYYYMMDD"))</f>
        <v/>
      </c>
      <c r="C1590" s="40" t="str">
        <f>IF(Agent08_Savings!A197="","",Agent08_Savings!B197)</f>
        <v/>
      </c>
      <c r="D1590" s="40" t="str">
        <f>IF(Agent08_Savings!A197="","",Agent08_Savings!G197)</f>
        <v/>
      </c>
      <c r="E1590" s="41" t="str">
        <f>IF(Agent08_Savings!A197="","",Agent08_Savings!D197)</f>
        <v/>
      </c>
      <c r="F1590" s="42" t="str">
        <f>IF(Agent08_Savings!A197="","",Agent08_Savings!E197)</f>
        <v/>
      </c>
      <c r="G1590" s="42" t="str">
        <f>IF(Agent08_Savings!A197="","",Agent08_Savings!F197)</f>
        <v/>
      </c>
      <c r="H1590" s="40" t="str">
        <f>IF(Agent08_Savings!A197="","",Agent08_Savings!I197)</f>
        <v/>
      </c>
      <c r="I1590" s="40" t="str">
        <f>IF(Agent08_Savings!A197="","",Agent08_Savings!J197)</f>
        <v/>
      </c>
      <c r="J1590" s="40" t="str">
        <f>IF(Agent08_Savings!A197="","",Agent08_Savings!K197)</f>
        <v/>
      </c>
      <c r="K1590" s="40" t="str">
        <f>IFERROR(IF(Agent08_Savings!A197="","",YEAR(Agent08_Savings!D197)),"")</f>
        <v/>
      </c>
    </row>
    <row r="1591" spans="1:11" ht="18" customHeight="1" x14ac:dyDescent="0.25">
      <c r="A1591" s="40" t="str">
        <f>IF(Agent08_Savings!A198="","",Agent08_Savings!A198)</f>
        <v/>
      </c>
      <c r="B1591" s="40" t="str">
        <f ca="1">IF(Agent08_Savings!A198="","","SV"&amp;TEXT(1591-3,"0000")&amp;"-"&amp;TEXT(TODAY(),"YYYYMMDD"))</f>
        <v/>
      </c>
      <c r="C1591" s="40" t="str">
        <f>IF(Agent08_Savings!A198="","",Agent08_Savings!B198)</f>
        <v/>
      </c>
      <c r="D1591" s="40" t="str">
        <f>IF(Agent08_Savings!A198="","",Agent08_Savings!G198)</f>
        <v/>
      </c>
      <c r="E1591" s="41" t="str">
        <f>IF(Agent08_Savings!A198="","",Agent08_Savings!D198)</f>
        <v/>
      </c>
      <c r="F1591" s="42" t="str">
        <f>IF(Agent08_Savings!A198="","",Agent08_Savings!E198)</f>
        <v/>
      </c>
      <c r="G1591" s="42" t="str">
        <f>IF(Agent08_Savings!A198="","",Agent08_Savings!F198)</f>
        <v/>
      </c>
      <c r="H1591" s="40" t="str">
        <f>IF(Agent08_Savings!A198="","",Agent08_Savings!I198)</f>
        <v/>
      </c>
      <c r="I1591" s="40" t="str">
        <f>IF(Agent08_Savings!A198="","",Agent08_Savings!J198)</f>
        <v/>
      </c>
      <c r="J1591" s="40" t="str">
        <f>IF(Agent08_Savings!A198="","",Agent08_Savings!K198)</f>
        <v/>
      </c>
      <c r="K1591" s="40" t="str">
        <f>IFERROR(IF(Agent08_Savings!A198="","",YEAR(Agent08_Savings!D198)),"")</f>
        <v/>
      </c>
    </row>
    <row r="1592" spans="1:11" ht="18" customHeight="1" x14ac:dyDescent="0.25">
      <c r="A1592" s="40" t="str">
        <f>IF(Agent08_Savings!A199="","",Agent08_Savings!A199)</f>
        <v/>
      </c>
      <c r="B1592" s="40" t="str">
        <f ca="1">IF(Agent08_Savings!A199="","","SV"&amp;TEXT(1592-3,"0000")&amp;"-"&amp;TEXT(TODAY(),"YYYYMMDD"))</f>
        <v/>
      </c>
      <c r="C1592" s="40" t="str">
        <f>IF(Agent08_Savings!A199="","",Agent08_Savings!B199)</f>
        <v/>
      </c>
      <c r="D1592" s="40" t="str">
        <f>IF(Agent08_Savings!A199="","",Agent08_Savings!G199)</f>
        <v/>
      </c>
      <c r="E1592" s="41" t="str">
        <f>IF(Agent08_Savings!A199="","",Agent08_Savings!D199)</f>
        <v/>
      </c>
      <c r="F1592" s="42" t="str">
        <f>IF(Agent08_Savings!A199="","",Agent08_Savings!E199)</f>
        <v/>
      </c>
      <c r="G1592" s="42" t="str">
        <f>IF(Agent08_Savings!A199="","",Agent08_Savings!F199)</f>
        <v/>
      </c>
      <c r="H1592" s="40" t="str">
        <f>IF(Agent08_Savings!A199="","",Agent08_Savings!I199)</f>
        <v/>
      </c>
      <c r="I1592" s="40" t="str">
        <f>IF(Agent08_Savings!A199="","",Agent08_Savings!J199)</f>
        <v/>
      </c>
      <c r="J1592" s="40" t="str">
        <f>IF(Agent08_Savings!A199="","",Agent08_Savings!K199)</f>
        <v/>
      </c>
      <c r="K1592" s="40" t="str">
        <f>IFERROR(IF(Agent08_Savings!A199="","",YEAR(Agent08_Savings!D199)),"")</f>
        <v/>
      </c>
    </row>
    <row r="1593" spans="1:11" ht="18" customHeight="1" x14ac:dyDescent="0.25">
      <c r="A1593" s="40" t="str">
        <f>IF(Agent08_Savings!A200="","",Agent08_Savings!A200)</f>
        <v/>
      </c>
      <c r="B1593" s="40" t="str">
        <f ca="1">IF(Agent08_Savings!A200="","","SV"&amp;TEXT(1593-3,"0000")&amp;"-"&amp;TEXT(TODAY(),"YYYYMMDD"))</f>
        <v/>
      </c>
      <c r="C1593" s="40" t="str">
        <f>IF(Agent08_Savings!A200="","",Agent08_Savings!B200)</f>
        <v/>
      </c>
      <c r="D1593" s="40" t="str">
        <f>IF(Agent08_Savings!A200="","",Agent08_Savings!G200)</f>
        <v/>
      </c>
      <c r="E1593" s="41" t="str">
        <f>IF(Agent08_Savings!A200="","",Agent08_Savings!D200)</f>
        <v/>
      </c>
      <c r="F1593" s="42" t="str">
        <f>IF(Agent08_Savings!A200="","",Agent08_Savings!E200)</f>
        <v/>
      </c>
      <c r="G1593" s="42" t="str">
        <f>IF(Agent08_Savings!A200="","",Agent08_Savings!F200)</f>
        <v/>
      </c>
      <c r="H1593" s="40" t="str">
        <f>IF(Agent08_Savings!A200="","",Agent08_Savings!I200)</f>
        <v/>
      </c>
      <c r="I1593" s="40" t="str">
        <f>IF(Agent08_Savings!A200="","",Agent08_Savings!J200)</f>
        <v/>
      </c>
      <c r="J1593" s="40" t="str">
        <f>IF(Agent08_Savings!A200="","",Agent08_Savings!K200)</f>
        <v/>
      </c>
      <c r="K1593" s="40" t="str">
        <f>IFERROR(IF(Agent08_Savings!A200="","",YEAR(Agent08_Savings!D200)),"")</f>
        <v/>
      </c>
    </row>
    <row r="1594" spans="1:11" ht="18" customHeight="1" x14ac:dyDescent="0.25">
      <c r="A1594" s="40" t="str">
        <f>IF(Agent08_Savings!A201="","",Agent08_Savings!A201)</f>
        <v/>
      </c>
      <c r="B1594" s="40" t="str">
        <f ca="1">IF(Agent08_Savings!A201="","","SV"&amp;TEXT(1594-3,"0000")&amp;"-"&amp;TEXT(TODAY(),"YYYYMMDD"))</f>
        <v/>
      </c>
      <c r="C1594" s="40" t="str">
        <f>IF(Agent08_Savings!A201="","",Agent08_Savings!B201)</f>
        <v/>
      </c>
      <c r="D1594" s="40" t="str">
        <f>IF(Agent08_Savings!A201="","",Agent08_Savings!G201)</f>
        <v/>
      </c>
      <c r="E1594" s="41" t="str">
        <f>IF(Agent08_Savings!A201="","",Agent08_Savings!D201)</f>
        <v/>
      </c>
      <c r="F1594" s="42" t="str">
        <f>IF(Agent08_Savings!A201="","",Agent08_Savings!E201)</f>
        <v/>
      </c>
      <c r="G1594" s="42" t="str">
        <f>IF(Agent08_Savings!A201="","",Agent08_Savings!F201)</f>
        <v/>
      </c>
      <c r="H1594" s="40" t="str">
        <f>IF(Agent08_Savings!A201="","",Agent08_Savings!I201)</f>
        <v/>
      </c>
      <c r="I1594" s="40" t="str">
        <f>IF(Agent08_Savings!A201="","",Agent08_Savings!J201)</f>
        <v/>
      </c>
      <c r="J1594" s="40" t="str">
        <f>IF(Agent08_Savings!A201="","",Agent08_Savings!K201)</f>
        <v/>
      </c>
      <c r="K1594" s="40" t="str">
        <f>IFERROR(IF(Agent08_Savings!A201="","",YEAR(Agent08_Savings!D201)),"")</f>
        <v/>
      </c>
    </row>
    <row r="1595" spans="1:11" ht="18" customHeight="1" x14ac:dyDescent="0.25">
      <c r="A1595" s="40" t="str">
        <f>IF(Agent08_Savings!A202="","",Agent08_Savings!A202)</f>
        <v/>
      </c>
      <c r="B1595" s="40" t="str">
        <f ca="1">IF(Agent08_Savings!A202="","","SV"&amp;TEXT(1595-3,"0000")&amp;"-"&amp;TEXT(TODAY(),"YYYYMMDD"))</f>
        <v/>
      </c>
      <c r="C1595" s="40" t="str">
        <f>IF(Agent08_Savings!A202="","",Agent08_Savings!B202)</f>
        <v/>
      </c>
      <c r="D1595" s="40" t="str">
        <f>IF(Agent08_Savings!A202="","",Agent08_Savings!G202)</f>
        <v/>
      </c>
      <c r="E1595" s="41" t="str">
        <f>IF(Agent08_Savings!A202="","",Agent08_Savings!D202)</f>
        <v/>
      </c>
      <c r="F1595" s="42" t="str">
        <f>IF(Agent08_Savings!A202="","",Agent08_Savings!E202)</f>
        <v/>
      </c>
      <c r="G1595" s="42" t="str">
        <f>IF(Agent08_Savings!A202="","",Agent08_Savings!F202)</f>
        <v/>
      </c>
      <c r="H1595" s="40" t="str">
        <f>IF(Agent08_Savings!A202="","",Agent08_Savings!I202)</f>
        <v/>
      </c>
      <c r="I1595" s="40" t="str">
        <f>IF(Agent08_Savings!A202="","",Agent08_Savings!J202)</f>
        <v/>
      </c>
      <c r="J1595" s="40" t="str">
        <f>IF(Agent08_Savings!A202="","",Agent08_Savings!K202)</f>
        <v/>
      </c>
      <c r="K1595" s="40" t="str">
        <f>IFERROR(IF(Agent08_Savings!A202="","",YEAR(Agent08_Savings!D202)),"")</f>
        <v/>
      </c>
    </row>
    <row r="1596" spans="1:11" ht="18" customHeight="1" x14ac:dyDescent="0.25">
      <c r="A1596" s="40" t="str">
        <f>IF(Agent08_Savings!A203="","",Agent08_Savings!A203)</f>
        <v/>
      </c>
      <c r="B1596" s="40" t="str">
        <f ca="1">IF(Agent08_Savings!A203="","","SV"&amp;TEXT(1596-3,"0000")&amp;"-"&amp;TEXT(TODAY(),"YYYYMMDD"))</f>
        <v/>
      </c>
      <c r="C1596" s="40" t="str">
        <f>IF(Agent08_Savings!A203="","",Agent08_Savings!B203)</f>
        <v/>
      </c>
      <c r="D1596" s="40" t="str">
        <f>IF(Agent08_Savings!A203="","",Agent08_Savings!G203)</f>
        <v/>
      </c>
      <c r="E1596" s="41" t="str">
        <f>IF(Agent08_Savings!A203="","",Agent08_Savings!D203)</f>
        <v/>
      </c>
      <c r="F1596" s="42" t="str">
        <f>IF(Agent08_Savings!A203="","",Agent08_Savings!E203)</f>
        <v/>
      </c>
      <c r="G1596" s="42" t="str">
        <f>IF(Agent08_Savings!A203="","",Agent08_Savings!F203)</f>
        <v/>
      </c>
      <c r="H1596" s="40" t="str">
        <f>IF(Agent08_Savings!A203="","",Agent08_Savings!I203)</f>
        <v/>
      </c>
      <c r="I1596" s="40" t="str">
        <f>IF(Agent08_Savings!A203="","",Agent08_Savings!J203)</f>
        <v/>
      </c>
      <c r="J1596" s="40" t="str">
        <f>IF(Agent08_Savings!A203="","",Agent08_Savings!K203)</f>
        <v/>
      </c>
      <c r="K1596" s="40" t="str">
        <f>IFERROR(IF(Agent08_Savings!A203="","",YEAR(Agent08_Savings!D203)),"")</f>
        <v/>
      </c>
    </row>
    <row r="1597" spans="1:11" ht="18" customHeight="1" x14ac:dyDescent="0.25">
      <c r="A1597" s="40" t="str">
        <f>IF(Agent08_Savings!A204="","",Agent08_Savings!A204)</f>
        <v/>
      </c>
      <c r="B1597" s="40" t="str">
        <f ca="1">IF(Agent08_Savings!A204="","","SV"&amp;TEXT(1597-3,"0000")&amp;"-"&amp;TEXT(TODAY(),"YYYYMMDD"))</f>
        <v/>
      </c>
      <c r="C1597" s="40" t="str">
        <f>IF(Agent08_Savings!A204="","",Agent08_Savings!B204)</f>
        <v/>
      </c>
      <c r="D1597" s="40" t="str">
        <f>IF(Agent08_Savings!A204="","",Agent08_Savings!G204)</f>
        <v/>
      </c>
      <c r="E1597" s="41" t="str">
        <f>IF(Agent08_Savings!A204="","",Agent08_Savings!D204)</f>
        <v/>
      </c>
      <c r="F1597" s="42" t="str">
        <f>IF(Agent08_Savings!A204="","",Agent08_Savings!E204)</f>
        <v/>
      </c>
      <c r="G1597" s="42" t="str">
        <f>IF(Agent08_Savings!A204="","",Agent08_Savings!F204)</f>
        <v/>
      </c>
      <c r="H1597" s="40" t="str">
        <f>IF(Agent08_Savings!A204="","",Agent08_Savings!I204)</f>
        <v/>
      </c>
      <c r="I1597" s="40" t="str">
        <f>IF(Agent08_Savings!A204="","",Agent08_Savings!J204)</f>
        <v/>
      </c>
      <c r="J1597" s="40" t="str">
        <f>IF(Agent08_Savings!A204="","",Agent08_Savings!K204)</f>
        <v/>
      </c>
      <c r="K1597" s="40" t="str">
        <f>IFERROR(IF(Agent08_Savings!A204="","",YEAR(Agent08_Savings!D204)),"")</f>
        <v/>
      </c>
    </row>
    <row r="1598" spans="1:11" ht="18" customHeight="1" x14ac:dyDescent="0.25">
      <c r="A1598" s="40" t="str">
        <f>IF(Agent08_Savings!A205="","",Agent08_Savings!A205)</f>
        <v/>
      </c>
      <c r="B1598" s="40" t="str">
        <f ca="1">IF(Agent08_Savings!A205="","","SV"&amp;TEXT(1598-3,"0000")&amp;"-"&amp;TEXT(TODAY(),"YYYYMMDD"))</f>
        <v/>
      </c>
      <c r="C1598" s="40" t="str">
        <f>IF(Agent08_Savings!A205="","",Agent08_Savings!B205)</f>
        <v/>
      </c>
      <c r="D1598" s="40" t="str">
        <f>IF(Agent08_Savings!A205="","",Agent08_Savings!G205)</f>
        <v/>
      </c>
      <c r="E1598" s="41" t="str">
        <f>IF(Agent08_Savings!A205="","",Agent08_Savings!D205)</f>
        <v/>
      </c>
      <c r="F1598" s="42" t="str">
        <f>IF(Agent08_Savings!A205="","",Agent08_Savings!E205)</f>
        <v/>
      </c>
      <c r="G1598" s="42" t="str">
        <f>IF(Agent08_Savings!A205="","",Agent08_Savings!F205)</f>
        <v/>
      </c>
      <c r="H1598" s="40" t="str">
        <f>IF(Agent08_Savings!A205="","",Agent08_Savings!I205)</f>
        <v/>
      </c>
      <c r="I1598" s="40" t="str">
        <f>IF(Agent08_Savings!A205="","",Agent08_Savings!J205)</f>
        <v/>
      </c>
      <c r="J1598" s="40" t="str">
        <f>IF(Agent08_Savings!A205="","",Agent08_Savings!K205)</f>
        <v/>
      </c>
      <c r="K1598" s="40" t="str">
        <f>IFERROR(IF(Agent08_Savings!A205="","",YEAR(Agent08_Savings!D205)),"")</f>
        <v/>
      </c>
    </row>
    <row r="1599" spans="1:11" ht="18" customHeight="1" x14ac:dyDescent="0.25">
      <c r="A1599" s="40" t="str">
        <f>IF(Agent08_Savings!A206="","",Agent08_Savings!A206)</f>
        <v/>
      </c>
      <c r="B1599" s="40" t="str">
        <f ca="1">IF(Agent08_Savings!A206="","","SV"&amp;TEXT(1599-3,"0000")&amp;"-"&amp;TEXT(TODAY(),"YYYYMMDD"))</f>
        <v/>
      </c>
      <c r="C1599" s="40" t="str">
        <f>IF(Agent08_Savings!A206="","",Agent08_Savings!B206)</f>
        <v/>
      </c>
      <c r="D1599" s="40" t="str">
        <f>IF(Agent08_Savings!A206="","",Agent08_Savings!G206)</f>
        <v/>
      </c>
      <c r="E1599" s="41" t="str">
        <f>IF(Agent08_Savings!A206="","",Agent08_Savings!D206)</f>
        <v/>
      </c>
      <c r="F1599" s="42" t="str">
        <f>IF(Agent08_Savings!A206="","",Agent08_Savings!E206)</f>
        <v/>
      </c>
      <c r="G1599" s="42" t="str">
        <f>IF(Agent08_Savings!A206="","",Agent08_Savings!F206)</f>
        <v/>
      </c>
      <c r="H1599" s="40" t="str">
        <f>IF(Agent08_Savings!A206="","",Agent08_Savings!I206)</f>
        <v/>
      </c>
      <c r="I1599" s="40" t="str">
        <f>IF(Agent08_Savings!A206="","",Agent08_Savings!J206)</f>
        <v/>
      </c>
      <c r="J1599" s="40" t="str">
        <f>IF(Agent08_Savings!A206="","",Agent08_Savings!K206)</f>
        <v/>
      </c>
      <c r="K1599" s="40" t="str">
        <f>IFERROR(IF(Agent08_Savings!A206="","",YEAR(Agent08_Savings!D206)),"")</f>
        <v/>
      </c>
    </row>
    <row r="1600" spans="1:11" ht="18" customHeight="1" x14ac:dyDescent="0.25">
      <c r="A1600" s="40" t="str">
        <f>IF(Agent08_Savings!A207="","",Agent08_Savings!A207)</f>
        <v/>
      </c>
      <c r="B1600" s="40" t="str">
        <f ca="1">IF(Agent08_Savings!A207="","","SV"&amp;TEXT(1600-3,"0000")&amp;"-"&amp;TEXT(TODAY(),"YYYYMMDD"))</f>
        <v/>
      </c>
      <c r="C1600" s="40" t="str">
        <f>IF(Agent08_Savings!A207="","",Agent08_Savings!B207)</f>
        <v/>
      </c>
      <c r="D1600" s="40" t="str">
        <f>IF(Agent08_Savings!A207="","",Agent08_Savings!G207)</f>
        <v/>
      </c>
      <c r="E1600" s="41" t="str">
        <f>IF(Agent08_Savings!A207="","",Agent08_Savings!D207)</f>
        <v/>
      </c>
      <c r="F1600" s="42" t="str">
        <f>IF(Agent08_Savings!A207="","",Agent08_Savings!E207)</f>
        <v/>
      </c>
      <c r="G1600" s="42" t="str">
        <f>IF(Agent08_Savings!A207="","",Agent08_Savings!F207)</f>
        <v/>
      </c>
      <c r="H1600" s="40" t="str">
        <f>IF(Agent08_Savings!A207="","",Agent08_Savings!I207)</f>
        <v/>
      </c>
      <c r="I1600" s="40" t="str">
        <f>IF(Agent08_Savings!A207="","",Agent08_Savings!J207)</f>
        <v/>
      </c>
      <c r="J1600" s="40" t="str">
        <f>IF(Agent08_Savings!A207="","",Agent08_Savings!K207)</f>
        <v/>
      </c>
      <c r="K1600" s="40" t="str">
        <f>IFERROR(IF(Agent08_Savings!A207="","",YEAR(Agent08_Savings!D207)),"")</f>
        <v/>
      </c>
    </row>
    <row r="1601" spans="1:11" ht="18" customHeight="1" x14ac:dyDescent="0.25">
      <c r="A1601" s="40" t="str">
        <f>IF(Agent08_Savings!A208="","",Agent08_Savings!A208)</f>
        <v/>
      </c>
      <c r="B1601" s="40" t="str">
        <f ca="1">IF(Agent08_Savings!A208="","","SV"&amp;TEXT(1601-3,"0000")&amp;"-"&amp;TEXT(TODAY(),"YYYYMMDD"))</f>
        <v/>
      </c>
      <c r="C1601" s="40" t="str">
        <f>IF(Agent08_Savings!A208="","",Agent08_Savings!B208)</f>
        <v/>
      </c>
      <c r="D1601" s="40" t="str">
        <f>IF(Agent08_Savings!A208="","",Agent08_Savings!G208)</f>
        <v/>
      </c>
      <c r="E1601" s="41" t="str">
        <f>IF(Agent08_Savings!A208="","",Agent08_Savings!D208)</f>
        <v/>
      </c>
      <c r="F1601" s="42" t="str">
        <f>IF(Agent08_Savings!A208="","",Agent08_Savings!E208)</f>
        <v/>
      </c>
      <c r="G1601" s="42" t="str">
        <f>IF(Agent08_Savings!A208="","",Agent08_Savings!F208)</f>
        <v/>
      </c>
      <c r="H1601" s="40" t="str">
        <f>IF(Agent08_Savings!A208="","",Agent08_Savings!I208)</f>
        <v/>
      </c>
      <c r="I1601" s="40" t="str">
        <f>IF(Agent08_Savings!A208="","",Agent08_Savings!J208)</f>
        <v/>
      </c>
      <c r="J1601" s="40" t="str">
        <f>IF(Agent08_Savings!A208="","",Agent08_Savings!K208)</f>
        <v/>
      </c>
      <c r="K1601" s="40" t="str">
        <f>IFERROR(IF(Agent08_Savings!A208="","",YEAR(Agent08_Savings!D208)),"")</f>
        <v/>
      </c>
    </row>
    <row r="1602" spans="1:11" ht="18" customHeight="1" x14ac:dyDescent="0.25">
      <c r="A1602" s="40" t="str">
        <f>IF(Agent08_Savings!A209="","",Agent08_Savings!A209)</f>
        <v/>
      </c>
      <c r="B1602" s="40" t="str">
        <f ca="1">IF(Agent08_Savings!A209="","","SV"&amp;TEXT(1602-3,"0000")&amp;"-"&amp;TEXT(TODAY(),"YYYYMMDD"))</f>
        <v/>
      </c>
      <c r="C1602" s="40" t="str">
        <f>IF(Agent08_Savings!A209="","",Agent08_Savings!B209)</f>
        <v/>
      </c>
      <c r="D1602" s="40" t="str">
        <f>IF(Agent08_Savings!A209="","",Agent08_Savings!G209)</f>
        <v/>
      </c>
      <c r="E1602" s="41" t="str">
        <f>IF(Agent08_Savings!A209="","",Agent08_Savings!D209)</f>
        <v/>
      </c>
      <c r="F1602" s="42" t="str">
        <f>IF(Agent08_Savings!A209="","",Agent08_Savings!E209)</f>
        <v/>
      </c>
      <c r="G1602" s="42" t="str">
        <f>IF(Agent08_Savings!A209="","",Agent08_Savings!F209)</f>
        <v/>
      </c>
      <c r="H1602" s="40" t="str">
        <f>IF(Agent08_Savings!A209="","",Agent08_Savings!I209)</f>
        <v/>
      </c>
      <c r="I1602" s="40" t="str">
        <f>IF(Agent08_Savings!A209="","",Agent08_Savings!J209)</f>
        <v/>
      </c>
      <c r="J1602" s="40" t="str">
        <f>IF(Agent08_Savings!A209="","",Agent08_Savings!K209)</f>
        <v/>
      </c>
      <c r="K1602" s="40" t="str">
        <f>IFERROR(IF(Agent08_Savings!A209="","",YEAR(Agent08_Savings!D209)),"")</f>
        <v/>
      </c>
    </row>
    <row r="1603" spans="1:11" ht="18" customHeight="1" x14ac:dyDescent="0.25">
      <c r="A1603" s="40" t="str">
        <f>IF(Agent08_Savings!A210="","",Agent08_Savings!A210)</f>
        <v/>
      </c>
      <c r="B1603" s="40" t="str">
        <f ca="1">IF(Agent08_Savings!A210="","","SV"&amp;TEXT(1603-3,"0000")&amp;"-"&amp;TEXT(TODAY(),"YYYYMMDD"))</f>
        <v/>
      </c>
      <c r="C1603" s="40" t="str">
        <f>IF(Agent08_Savings!A210="","",Agent08_Savings!B210)</f>
        <v/>
      </c>
      <c r="D1603" s="40" t="str">
        <f>IF(Agent08_Savings!A210="","",Agent08_Savings!G210)</f>
        <v/>
      </c>
      <c r="E1603" s="41" t="str">
        <f>IF(Agent08_Savings!A210="","",Agent08_Savings!D210)</f>
        <v/>
      </c>
      <c r="F1603" s="42" t="str">
        <f>IF(Agent08_Savings!A210="","",Agent08_Savings!E210)</f>
        <v/>
      </c>
      <c r="G1603" s="42" t="str">
        <f>IF(Agent08_Savings!A210="","",Agent08_Savings!F210)</f>
        <v/>
      </c>
      <c r="H1603" s="40" t="str">
        <f>IF(Agent08_Savings!A210="","",Agent08_Savings!I210)</f>
        <v/>
      </c>
      <c r="I1603" s="40" t="str">
        <f>IF(Agent08_Savings!A210="","",Agent08_Savings!J210)</f>
        <v/>
      </c>
      <c r="J1603" s="40" t="str">
        <f>IF(Agent08_Savings!A210="","",Agent08_Savings!K210)</f>
        <v/>
      </c>
      <c r="K1603" s="40" t="str">
        <f>IFERROR(IF(Agent08_Savings!A210="","",YEAR(Agent08_Savings!D210)),"")</f>
        <v/>
      </c>
    </row>
    <row r="1604" spans="1:11" ht="18" customHeight="1" x14ac:dyDescent="0.25">
      <c r="A1604" s="40" t="str">
        <f>IF(Agent09_Savings!A11="","",Agent09_Savings!A11)</f>
        <v/>
      </c>
      <c r="B1604" s="40" t="str">
        <f ca="1">IF(Agent09_Savings!A11="","","SV"&amp;TEXT(1604-3,"0000")&amp;"-"&amp;TEXT(TODAY(),"YYYYMMDD"))</f>
        <v/>
      </c>
      <c r="C1604" s="40" t="str">
        <f>IF(Agent09_Savings!A11="","",Agent09_Savings!B11)</f>
        <v/>
      </c>
      <c r="D1604" s="40" t="str">
        <f>IF(Agent09_Savings!A11="","",Agent09_Savings!G11)</f>
        <v/>
      </c>
      <c r="E1604" s="41" t="str">
        <f>IF(Agent09_Savings!A11="","",Agent09_Savings!D11)</f>
        <v/>
      </c>
      <c r="F1604" s="42" t="str">
        <f>IF(Agent09_Savings!A11="","",Agent09_Savings!E11)</f>
        <v/>
      </c>
      <c r="G1604" s="42" t="str">
        <f>IF(Agent09_Savings!A11="","",Agent09_Savings!F11)</f>
        <v/>
      </c>
      <c r="H1604" s="40" t="str">
        <f>IF(Agent09_Savings!A11="","",Agent09_Savings!I11)</f>
        <v/>
      </c>
      <c r="I1604" s="40" t="str">
        <f>IF(Agent09_Savings!A11="","",Agent09_Savings!J11)</f>
        <v/>
      </c>
      <c r="J1604" s="40" t="str">
        <f>IF(Agent09_Savings!A11="","",Agent09_Savings!K11)</f>
        <v/>
      </c>
      <c r="K1604" s="40" t="str">
        <f>IFERROR(IF(Agent09_Savings!A11="","",YEAR(Agent09_Savings!D11)),"")</f>
        <v/>
      </c>
    </row>
    <row r="1605" spans="1:11" ht="18" customHeight="1" x14ac:dyDescent="0.25">
      <c r="A1605" s="40" t="str">
        <f>IF(Agent09_Savings!A12="","",Agent09_Savings!A12)</f>
        <v/>
      </c>
      <c r="B1605" s="40" t="str">
        <f ca="1">IF(Agent09_Savings!A12="","","SV"&amp;TEXT(1605-3,"0000")&amp;"-"&amp;TEXT(TODAY(),"YYYYMMDD"))</f>
        <v/>
      </c>
      <c r="C1605" s="40" t="str">
        <f>IF(Agent09_Savings!A12="","",Agent09_Savings!B12)</f>
        <v/>
      </c>
      <c r="D1605" s="40" t="str">
        <f>IF(Agent09_Savings!A12="","",Agent09_Savings!G12)</f>
        <v/>
      </c>
      <c r="E1605" s="41" t="str">
        <f>IF(Agent09_Savings!A12="","",Agent09_Savings!D12)</f>
        <v/>
      </c>
      <c r="F1605" s="42" t="str">
        <f>IF(Agent09_Savings!A12="","",Agent09_Savings!E12)</f>
        <v/>
      </c>
      <c r="G1605" s="42" t="str">
        <f>IF(Agent09_Savings!A12="","",Agent09_Savings!F12)</f>
        <v/>
      </c>
      <c r="H1605" s="40" t="str">
        <f>IF(Agent09_Savings!A12="","",Agent09_Savings!I12)</f>
        <v/>
      </c>
      <c r="I1605" s="40" t="str">
        <f>IF(Agent09_Savings!A12="","",Agent09_Savings!J12)</f>
        <v/>
      </c>
      <c r="J1605" s="40" t="str">
        <f>IF(Agent09_Savings!A12="","",Agent09_Savings!K12)</f>
        <v/>
      </c>
      <c r="K1605" s="40" t="str">
        <f>IFERROR(IF(Agent09_Savings!A12="","",YEAR(Agent09_Savings!D12)),"")</f>
        <v/>
      </c>
    </row>
    <row r="1606" spans="1:11" ht="18" customHeight="1" x14ac:dyDescent="0.25">
      <c r="A1606" s="40" t="str">
        <f>IF(Agent09_Savings!A13="","",Agent09_Savings!A13)</f>
        <v/>
      </c>
      <c r="B1606" s="40" t="str">
        <f ca="1">IF(Agent09_Savings!A13="","","SV"&amp;TEXT(1606-3,"0000")&amp;"-"&amp;TEXT(TODAY(),"YYYYMMDD"))</f>
        <v/>
      </c>
      <c r="C1606" s="40" t="str">
        <f>IF(Agent09_Savings!A13="","",Agent09_Savings!B13)</f>
        <v/>
      </c>
      <c r="D1606" s="40" t="str">
        <f>IF(Agent09_Savings!A13="","",Agent09_Savings!G13)</f>
        <v/>
      </c>
      <c r="E1606" s="41" t="str">
        <f>IF(Agent09_Savings!A13="","",Agent09_Savings!D13)</f>
        <v/>
      </c>
      <c r="F1606" s="42" t="str">
        <f>IF(Agent09_Savings!A13="","",Agent09_Savings!E13)</f>
        <v/>
      </c>
      <c r="G1606" s="42" t="str">
        <f>IF(Agent09_Savings!A13="","",Agent09_Savings!F13)</f>
        <v/>
      </c>
      <c r="H1606" s="40" t="str">
        <f>IF(Agent09_Savings!A13="","",Agent09_Savings!I13)</f>
        <v/>
      </c>
      <c r="I1606" s="40" t="str">
        <f>IF(Agent09_Savings!A13="","",Agent09_Savings!J13)</f>
        <v/>
      </c>
      <c r="J1606" s="40" t="str">
        <f>IF(Agent09_Savings!A13="","",Agent09_Savings!K13)</f>
        <v/>
      </c>
      <c r="K1606" s="40" t="str">
        <f>IFERROR(IF(Agent09_Savings!A13="","",YEAR(Agent09_Savings!D13)),"")</f>
        <v/>
      </c>
    </row>
    <row r="1607" spans="1:11" ht="18" customHeight="1" x14ac:dyDescent="0.25">
      <c r="A1607" s="40" t="str">
        <f>IF(Agent09_Savings!A14="","",Agent09_Savings!A14)</f>
        <v/>
      </c>
      <c r="B1607" s="40" t="str">
        <f ca="1">IF(Agent09_Savings!A14="","","SV"&amp;TEXT(1607-3,"0000")&amp;"-"&amp;TEXT(TODAY(),"YYYYMMDD"))</f>
        <v/>
      </c>
      <c r="C1607" s="40" t="str">
        <f>IF(Agent09_Savings!A14="","",Agent09_Savings!B14)</f>
        <v/>
      </c>
      <c r="D1607" s="40" t="str">
        <f>IF(Agent09_Savings!A14="","",Agent09_Savings!G14)</f>
        <v/>
      </c>
      <c r="E1607" s="41" t="str">
        <f>IF(Agent09_Savings!A14="","",Agent09_Savings!D14)</f>
        <v/>
      </c>
      <c r="F1607" s="42" t="str">
        <f>IF(Agent09_Savings!A14="","",Agent09_Savings!E14)</f>
        <v/>
      </c>
      <c r="G1607" s="42" t="str">
        <f>IF(Agent09_Savings!A14="","",Agent09_Savings!F14)</f>
        <v/>
      </c>
      <c r="H1607" s="40" t="str">
        <f>IF(Agent09_Savings!A14="","",Agent09_Savings!I14)</f>
        <v/>
      </c>
      <c r="I1607" s="40" t="str">
        <f>IF(Agent09_Savings!A14="","",Agent09_Savings!J14)</f>
        <v/>
      </c>
      <c r="J1607" s="40" t="str">
        <f>IF(Agent09_Savings!A14="","",Agent09_Savings!K14)</f>
        <v/>
      </c>
      <c r="K1607" s="40" t="str">
        <f>IFERROR(IF(Agent09_Savings!A14="","",YEAR(Agent09_Savings!D14)),"")</f>
        <v/>
      </c>
    </row>
    <row r="1608" spans="1:11" ht="18" customHeight="1" x14ac:dyDescent="0.25">
      <c r="A1608" s="40" t="str">
        <f>IF(Agent09_Savings!A15="","",Agent09_Savings!A15)</f>
        <v/>
      </c>
      <c r="B1608" s="40" t="str">
        <f ca="1">IF(Agent09_Savings!A15="","","SV"&amp;TEXT(1608-3,"0000")&amp;"-"&amp;TEXT(TODAY(),"YYYYMMDD"))</f>
        <v/>
      </c>
      <c r="C1608" s="40" t="str">
        <f>IF(Agent09_Savings!A15="","",Agent09_Savings!B15)</f>
        <v/>
      </c>
      <c r="D1608" s="40" t="str">
        <f>IF(Agent09_Savings!A15="","",Agent09_Savings!G15)</f>
        <v/>
      </c>
      <c r="E1608" s="41" t="str">
        <f>IF(Agent09_Savings!A15="","",Agent09_Savings!D15)</f>
        <v/>
      </c>
      <c r="F1608" s="42" t="str">
        <f>IF(Agent09_Savings!A15="","",Agent09_Savings!E15)</f>
        <v/>
      </c>
      <c r="G1608" s="42" t="str">
        <f>IF(Agent09_Savings!A15="","",Agent09_Savings!F15)</f>
        <v/>
      </c>
      <c r="H1608" s="40" t="str">
        <f>IF(Agent09_Savings!A15="","",Agent09_Savings!I15)</f>
        <v/>
      </c>
      <c r="I1608" s="40" t="str">
        <f>IF(Agent09_Savings!A15="","",Agent09_Savings!J15)</f>
        <v/>
      </c>
      <c r="J1608" s="40" t="str">
        <f>IF(Agent09_Savings!A15="","",Agent09_Savings!K15)</f>
        <v/>
      </c>
      <c r="K1608" s="40" t="str">
        <f>IFERROR(IF(Agent09_Savings!A15="","",YEAR(Agent09_Savings!D15)),"")</f>
        <v/>
      </c>
    </row>
    <row r="1609" spans="1:11" ht="18" customHeight="1" x14ac:dyDescent="0.25">
      <c r="A1609" s="40" t="str">
        <f>IF(Agent09_Savings!A16="","",Agent09_Savings!A16)</f>
        <v/>
      </c>
      <c r="B1609" s="40" t="str">
        <f ca="1">IF(Agent09_Savings!A16="","","SV"&amp;TEXT(1609-3,"0000")&amp;"-"&amp;TEXT(TODAY(),"YYYYMMDD"))</f>
        <v/>
      </c>
      <c r="C1609" s="40" t="str">
        <f>IF(Agent09_Savings!A16="","",Agent09_Savings!B16)</f>
        <v/>
      </c>
      <c r="D1609" s="40" t="str">
        <f>IF(Agent09_Savings!A16="","",Agent09_Savings!G16)</f>
        <v/>
      </c>
      <c r="E1609" s="41" t="str">
        <f>IF(Agent09_Savings!A16="","",Agent09_Savings!D16)</f>
        <v/>
      </c>
      <c r="F1609" s="42" t="str">
        <f>IF(Agent09_Savings!A16="","",Agent09_Savings!E16)</f>
        <v/>
      </c>
      <c r="G1609" s="42" t="str">
        <f>IF(Agent09_Savings!A16="","",Agent09_Savings!F16)</f>
        <v/>
      </c>
      <c r="H1609" s="40" t="str">
        <f>IF(Agent09_Savings!A16="","",Agent09_Savings!I16)</f>
        <v/>
      </c>
      <c r="I1609" s="40" t="str">
        <f>IF(Agent09_Savings!A16="","",Agent09_Savings!J16)</f>
        <v/>
      </c>
      <c r="J1609" s="40" t="str">
        <f>IF(Agent09_Savings!A16="","",Agent09_Savings!K16)</f>
        <v/>
      </c>
      <c r="K1609" s="40" t="str">
        <f>IFERROR(IF(Agent09_Savings!A16="","",YEAR(Agent09_Savings!D16)),"")</f>
        <v/>
      </c>
    </row>
    <row r="1610" spans="1:11" ht="18" customHeight="1" x14ac:dyDescent="0.25">
      <c r="A1610" s="40" t="str">
        <f>IF(Agent09_Savings!A17="","",Agent09_Savings!A17)</f>
        <v/>
      </c>
      <c r="B1610" s="40" t="str">
        <f ca="1">IF(Agent09_Savings!A17="","","SV"&amp;TEXT(1610-3,"0000")&amp;"-"&amp;TEXT(TODAY(),"YYYYMMDD"))</f>
        <v/>
      </c>
      <c r="C1610" s="40" t="str">
        <f>IF(Agent09_Savings!A17="","",Agent09_Savings!B17)</f>
        <v/>
      </c>
      <c r="D1610" s="40" t="str">
        <f>IF(Agent09_Savings!A17="","",Agent09_Savings!G17)</f>
        <v/>
      </c>
      <c r="E1610" s="41" t="str">
        <f>IF(Agent09_Savings!A17="","",Agent09_Savings!D17)</f>
        <v/>
      </c>
      <c r="F1610" s="42" t="str">
        <f>IF(Agent09_Savings!A17="","",Agent09_Savings!E17)</f>
        <v/>
      </c>
      <c r="G1610" s="42" t="str">
        <f>IF(Agent09_Savings!A17="","",Agent09_Savings!F17)</f>
        <v/>
      </c>
      <c r="H1610" s="40" t="str">
        <f>IF(Agent09_Savings!A17="","",Agent09_Savings!I17)</f>
        <v/>
      </c>
      <c r="I1610" s="40" t="str">
        <f>IF(Agent09_Savings!A17="","",Agent09_Savings!J17)</f>
        <v/>
      </c>
      <c r="J1610" s="40" t="str">
        <f>IF(Agent09_Savings!A17="","",Agent09_Savings!K17)</f>
        <v/>
      </c>
      <c r="K1610" s="40" t="str">
        <f>IFERROR(IF(Agent09_Savings!A17="","",YEAR(Agent09_Savings!D17)),"")</f>
        <v/>
      </c>
    </row>
    <row r="1611" spans="1:11" ht="18" customHeight="1" x14ac:dyDescent="0.25">
      <c r="A1611" s="40" t="str">
        <f>IF(Agent09_Savings!A18="","",Agent09_Savings!A18)</f>
        <v/>
      </c>
      <c r="B1611" s="40" t="str">
        <f ca="1">IF(Agent09_Savings!A18="","","SV"&amp;TEXT(1611-3,"0000")&amp;"-"&amp;TEXT(TODAY(),"YYYYMMDD"))</f>
        <v/>
      </c>
      <c r="C1611" s="40" t="str">
        <f>IF(Agent09_Savings!A18="","",Agent09_Savings!B18)</f>
        <v/>
      </c>
      <c r="D1611" s="40" t="str">
        <f>IF(Agent09_Savings!A18="","",Agent09_Savings!G18)</f>
        <v/>
      </c>
      <c r="E1611" s="41" t="str">
        <f>IF(Agent09_Savings!A18="","",Agent09_Savings!D18)</f>
        <v/>
      </c>
      <c r="F1611" s="42" t="str">
        <f>IF(Agent09_Savings!A18="","",Agent09_Savings!E18)</f>
        <v/>
      </c>
      <c r="G1611" s="42" t="str">
        <f>IF(Agent09_Savings!A18="","",Agent09_Savings!F18)</f>
        <v/>
      </c>
      <c r="H1611" s="40" t="str">
        <f>IF(Agent09_Savings!A18="","",Agent09_Savings!I18)</f>
        <v/>
      </c>
      <c r="I1611" s="40" t="str">
        <f>IF(Agent09_Savings!A18="","",Agent09_Savings!J18)</f>
        <v/>
      </c>
      <c r="J1611" s="40" t="str">
        <f>IF(Agent09_Savings!A18="","",Agent09_Savings!K18)</f>
        <v/>
      </c>
      <c r="K1611" s="40" t="str">
        <f>IFERROR(IF(Agent09_Savings!A18="","",YEAR(Agent09_Savings!D18)),"")</f>
        <v/>
      </c>
    </row>
    <row r="1612" spans="1:11" ht="18" customHeight="1" x14ac:dyDescent="0.25">
      <c r="A1612" s="40" t="str">
        <f>IF(Agent09_Savings!A19="","",Agent09_Savings!A19)</f>
        <v/>
      </c>
      <c r="B1612" s="40" t="str">
        <f ca="1">IF(Agent09_Savings!A19="","","SV"&amp;TEXT(1612-3,"0000")&amp;"-"&amp;TEXT(TODAY(),"YYYYMMDD"))</f>
        <v/>
      </c>
      <c r="C1612" s="40" t="str">
        <f>IF(Agent09_Savings!A19="","",Agent09_Savings!B19)</f>
        <v/>
      </c>
      <c r="D1612" s="40" t="str">
        <f>IF(Agent09_Savings!A19="","",Agent09_Savings!G19)</f>
        <v/>
      </c>
      <c r="E1612" s="41" t="str">
        <f>IF(Agent09_Savings!A19="","",Agent09_Savings!D19)</f>
        <v/>
      </c>
      <c r="F1612" s="42" t="str">
        <f>IF(Agent09_Savings!A19="","",Agent09_Savings!E19)</f>
        <v/>
      </c>
      <c r="G1612" s="42" t="str">
        <f>IF(Agent09_Savings!A19="","",Agent09_Savings!F19)</f>
        <v/>
      </c>
      <c r="H1612" s="40" t="str">
        <f>IF(Agent09_Savings!A19="","",Agent09_Savings!I19)</f>
        <v/>
      </c>
      <c r="I1612" s="40" t="str">
        <f>IF(Agent09_Savings!A19="","",Agent09_Savings!J19)</f>
        <v/>
      </c>
      <c r="J1612" s="40" t="str">
        <f>IF(Agent09_Savings!A19="","",Agent09_Savings!K19)</f>
        <v/>
      </c>
      <c r="K1612" s="40" t="str">
        <f>IFERROR(IF(Agent09_Savings!A19="","",YEAR(Agent09_Savings!D19)),"")</f>
        <v/>
      </c>
    </row>
    <row r="1613" spans="1:11" ht="18" customHeight="1" x14ac:dyDescent="0.25">
      <c r="A1613" s="40" t="str">
        <f>IF(Agent09_Savings!A20="","",Agent09_Savings!A20)</f>
        <v/>
      </c>
      <c r="B1613" s="40" t="str">
        <f ca="1">IF(Agent09_Savings!A20="","","SV"&amp;TEXT(1613-3,"0000")&amp;"-"&amp;TEXT(TODAY(),"YYYYMMDD"))</f>
        <v/>
      </c>
      <c r="C1613" s="40" t="str">
        <f>IF(Agent09_Savings!A20="","",Agent09_Savings!B20)</f>
        <v/>
      </c>
      <c r="D1613" s="40" t="str">
        <f>IF(Agent09_Savings!A20="","",Agent09_Savings!G20)</f>
        <v/>
      </c>
      <c r="E1613" s="41" t="str">
        <f>IF(Agent09_Savings!A20="","",Agent09_Savings!D20)</f>
        <v/>
      </c>
      <c r="F1613" s="42" t="str">
        <f>IF(Agent09_Savings!A20="","",Agent09_Savings!E20)</f>
        <v/>
      </c>
      <c r="G1613" s="42" t="str">
        <f>IF(Agent09_Savings!A20="","",Agent09_Savings!F20)</f>
        <v/>
      </c>
      <c r="H1613" s="40" t="str">
        <f>IF(Agent09_Savings!A20="","",Agent09_Savings!I20)</f>
        <v/>
      </c>
      <c r="I1613" s="40" t="str">
        <f>IF(Agent09_Savings!A20="","",Agent09_Savings!J20)</f>
        <v/>
      </c>
      <c r="J1613" s="40" t="str">
        <f>IF(Agent09_Savings!A20="","",Agent09_Savings!K20)</f>
        <v/>
      </c>
      <c r="K1613" s="40" t="str">
        <f>IFERROR(IF(Agent09_Savings!A20="","",YEAR(Agent09_Savings!D20)),"")</f>
        <v/>
      </c>
    </row>
    <row r="1614" spans="1:11" ht="18" customHeight="1" x14ac:dyDescent="0.25">
      <c r="A1614" s="40" t="str">
        <f>IF(Agent09_Savings!A21="","",Agent09_Savings!A21)</f>
        <v/>
      </c>
      <c r="B1614" s="40" t="str">
        <f ca="1">IF(Agent09_Savings!A21="","","SV"&amp;TEXT(1614-3,"0000")&amp;"-"&amp;TEXT(TODAY(),"YYYYMMDD"))</f>
        <v/>
      </c>
      <c r="C1614" s="40" t="str">
        <f>IF(Agent09_Savings!A21="","",Agent09_Savings!B21)</f>
        <v/>
      </c>
      <c r="D1614" s="40" t="str">
        <f>IF(Agent09_Savings!A21="","",Agent09_Savings!G21)</f>
        <v/>
      </c>
      <c r="E1614" s="41" t="str">
        <f>IF(Agent09_Savings!A21="","",Agent09_Savings!D21)</f>
        <v/>
      </c>
      <c r="F1614" s="42" t="str">
        <f>IF(Agent09_Savings!A21="","",Agent09_Savings!E21)</f>
        <v/>
      </c>
      <c r="G1614" s="42" t="str">
        <f>IF(Agent09_Savings!A21="","",Agent09_Savings!F21)</f>
        <v/>
      </c>
      <c r="H1614" s="40" t="str">
        <f>IF(Agent09_Savings!A21="","",Agent09_Savings!I21)</f>
        <v/>
      </c>
      <c r="I1614" s="40" t="str">
        <f>IF(Agent09_Savings!A21="","",Agent09_Savings!J21)</f>
        <v/>
      </c>
      <c r="J1614" s="40" t="str">
        <f>IF(Agent09_Savings!A21="","",Agent09_Savings!K21)</f>
        <v/>
      </c>
      <c r="K1614" s="40" t="str">
        <f>IFERROR(IF(Agent09_Savings!A21="","",YEAR(Agent09_Savings!D21)),"")</f>
        <v/>
      </c>
    </row>
    <row r="1615" spans="1:11" ht="18" customHeight="1" x14ac:dyDescent="0.25">
      <c r="A1615" s="40" t="str">
        <f>IF(Agent09_Savings!A22="","",Agent09_Savings!A22)</f>
        <v/>
      </c>
      <c r="B1615" s="40" t="str">
        <f ca="1">IF(Agent09_Savings!A22="","","SV"&amp;TEXT(1615-3,"0000")&amp;"-"&amp;TEXT(TODAY(),"YYYYMMDD"))</f>
        <v/>
      </c>
      <c r="C1615" s="40" t="str">
        <f>IF(Agent09_Savings!A22="","",Agent09_Savings!B22)</f>
        <v/>
      </c>
      <c r="D1615" s="40" t="str">
        <f>IF(Agent09_Savings!A22="","",Agent09_Savings!G22)</f>
        <v/>
      </c>
      <c r="E1615" s="41" t="str">
        <f>IF(Agent09_Savings!A22="","",Agent09_Savings!D22)</f>
        <v/>
      </c>
      <c r="F1615" s="42" t="str">
        <f>IF(Agent09_Savings!A22="","",Agent09_Savings!E22)</f>
        <v/>
      </c>
      <c r="G1615" s="42" t="str">
        <f>IF(Agent09_Savings!A22="","",Agent09_Savings!F22)</f>
        <v/>
      </c>
      <c r="H1615" s="40" t="str">
        <f>IF(Agent09_Savings!A22="","",Agent09_Savings!I22)</f>
        <v/>
      </c>
      <c r="I1615" s="40" t="str">
        <f>IF(Agent09_Savings!A22="","",Agent09_Savings!J22)</f>
        <v/>
      </c>
      <c r="J1615" s="40" t="str">
        <f>IF(Agent09_Savings!A22="","",Agent09_Savings!K22)</f>
        <v/>
      </c>
      <c r="K1615" s="40" t="str">
        <f>IFERROR(IF(Agent09_Savings!A22="","",YEAR(Agent09_Savings!D22)),"")</f>
        <v/>
      </c>
    </row>
    <row r="1616" spans="1:11" ht="18" customHeight="1" x14ac:dyDescent="0.25">
      <c r="A1616" s="40" t="str">
        <f>IF(Agent09_Savings!A23="","",Agent09_Savings!A23)</f>
        <v/>
      </c>
      <c r="B1616" s="40" t="str">
        <f ca="1">IF(Agent09_Savings!A23="","","SV"&amp;TEXT(1616-3,"0000")&amp;"-"&amp;TEXT(TODAY(),"YYYYMMDD"))</f>
        <v/>
      </c>
      <c r="C1616" s="40" t="str">
        <f>IF(Agent09_Savings!A23="","",Agent09_Savings!B23)</f>
        <v/>
      </c>
      <c r="D1616" s="40" t="str">
        <f>IF(Agent09_Savings!A23="","",Agent09_Savings!G23)</f>
        <v/>
      </c>
      <c r="E1616" s="41" t="str">
        <f>IF(Agent09_Savings!A23="","",Agent09_Savings!D23)</f>
        <v/>
      </c>
      <c r="F1616" s="42" t="str">
        <f>IF(Agent09_Savings!A23="","",Agent09_Savings!E23)</f>
        <v/>
      </c>
      <c r="G1616" s="42" t="str">
        <f>IF(Agent09_Savings!A23="","",Agent09_Savings!F23)</f>
        <v/>
      </c>
      <c r="H1616" s="40" t="str">
        <f>IF(Agent09_Savings!A23="","",Agent09_Savings!I23)</f>
        <v/>
      </c>
      <c r="I1616" s="40" t="str">
        <f>IF(Agent09_Savings!A23="","",Agent09_Savings!J23)</f>
        <v/>
      </c>
      <c r="J1616" s="40" t="str">
        <f>IF(Agent09_Savings!A23="","",Agent09_Savings!K23)</f>
        <v/>
      </c>
      <c r="K1616" s="40" t="str">
        <f>IFERROR(IF(Agent09_Savings!A23="","",YEAR(Agent09_Savings!D23)),"")</f>
        <v/>
      </c>
    </row>
    <row r="1617" spans="1:11" ht="18" customHeight="1" x14ac:dyDescent="0.25">
      <c r="A1617" s="40" t="str">
        <f>IF(Agent09_Savings!A24="","",Agent09_Savings!A24)</f>
        <v/>
      </c>
      <c r="B1617" s="40" t="str">
        <f ca="1">IF(Agent09_Savings!A24="","","SV"&amp;TEXT(1617-3,"0000")&amp;"-"&amp;TEXT(TODAY(),"YYYYMMDD"))</f>
        <v/>
      </c>
      <c r="C1617" s="40" t="str">
        <f>IF(Agent09_Savings!A24="","",Agent09_Savings!B24)</f>
        <v/>
      </c>
      <c r="D1617" s="40" t="str">
        <f>IF(Agent09_Savings!A24="","",Agent09_Savings!G24)</f>
        <v/>
      </c>
      <c r="E1617" s="41" t="str">
        <f>IF(Agent09_Savings!A24="","",Agent09_Savings!D24)</f>
        <v/>
      </c>
      <c r="F1617" s="42" t="str">
        <f>IF(Agent09_Savings!A24="","",Agent09_Savings!E24)</f>
        <v/>
      </c>
      <c r="G1617" s="42" t="str">
        <f>IF(Agent09_Savings!A24="","",Agent09_Savings!F24)</f>
        <v/>
      </c>
      <c r="H1617" s="40" t="str">
        <f>IF(Agent09_Savings!A24="","",Agent09_Savings!I24)</f>
        <v/>
      </c>
      <c r="I1617" s="40" t="str">
        <f>IF(Agent09_Savings!A24="","",Agent09_Savings!J24)</f>
        <v/>
      </c>
      <c r="J1617" s="40" t="str">
        <f>IF(Agent09_Savings!A24="","",Agent09_Savings!K24)</f>
        <v/>
      </c>
      <c r="K1617" s="40" t="str">
        <f>IFERROR(IF(Agent09_Savings!A24="","",YEAR(Agent09_Savings!D24)),"")</f>
        <v/>
      </c>
    </row>
    <row r="1618" spans="1:11" ht="18" customHeight="1" x14ac:dyDescent="0.25">
      <c r="A1618" s="40" t="str">
        <f>IF(Agent09_Savings!A25="","",Agent09_Savings!A25)</f>
        <v/>
      </c>
      <c r="B1618" s="40" t="str">
        <f ca="1">IF(Agent09_Savings!A25="","","SV"&amp;TEXT(1618-3,"0000")&amp;"-"&amp;TEXT(TODAY(),"YYYYMMDD"))</f>
        <v/>
      </c>
      <c r="C1618" s="40" t="str">
        <f>IF(Agent09_Savings!A25="","",Agent09_Savings!B25)</f>
        <v/>
      </c>
      <c r="D1618" s="40" t="str">
        <f>IF(Agent09_Savings!A25="","",Agent09_Savings!G25)</f>
        <v/>
      </c>
      <c r="E1618" s="41" t="str">
        <f>IF(Agent09_Savings!A25="","",Agent09_Savings!D25)</f>
        <v/>
      </c>
      <c r="F1618" s="42" t="str">
        <f>IF(Agent09_Savings!A25="","",Agent09_Savings!E25)</f>
        <v/>
      </c>
      <c r="G1618" s="42" t="str">
        <f>IF(Agent09_Savings!A25="","",Agent09_Savings!F25)</f>
        <v/>
      </c>
      <c r="H1618" s="40" t="str">
        <f>IF(Agent09_Savings!A25="","",Agent09_Savings!I25)</f>
        <v/>
      </c>
      <c r="I1618" s="40" t="str">
        <f>IF(Agent09_Savings!A25="","",Agent09_Savings!J25)</f>
        <v/>
      </c>
      <c r="J1618" s="40" t="str">
        <f>IF(Agent09_Savings!A25="","",Agent09_Savings!K25)</f>
        <v/>
      </c>
      <c r="K1618" s="40" t="str">
        <f>IFERROR(IF(Agent09_Savings!A25="","",YEAR(Agent09_Savings!D25)),"")</f>
        <v/>
      </c>
    </row>
    <row r="1619" spans="1:11" ht="18" customHeight="1" x14ac:dyDescent="0.25">
      <c r="A1619" s="40" t="str">
        <f>IF(Agent09_Savings!A26="","",Agent09_Savings!A26)</f>
        <v/>
      </c>
      <c r="B1619" s="40" t="str">
        <f ca="1">IF(Agent09_Savings!A26="","","SV"&amp;TEXT(1619-3,"0000")&amp;"-"&amp;TEXT(TODAY(),"YYYYMMDD"))</f>
        <v/>
      </c>
      <c r="C1619" s="40" t="str">
        <f>IF(Agent09_Savings!A26="","",Agent09_Savings!B26)</f>
        <v/>
      </c>
      <c r="D1619" s="40" t="str">
        <f>IF(Agent09_Savings!A26="","",Agent09_Savings!G26)</f>
        <v/>
      </c>
      <c r="E1619" s="41" t="str">
        <f>IF(Agent09_Savings!A26="","",Agent09_Savings!D26)</f>
        <v/>
      </c>
      <c r="F1619" s="42" t="str">
        <f>IF(Agent09_Savings!A26="","",Agent09_Savings!E26)</f>
        <v/>
      </c>
      <c r="G1619" s="42" t="str">
        <f>IF(Agent09_Savings!A26="","",Agent09_Savings!F26)</f>
        <v/>
      </c>
      <c r="H1619" s="40" t="str">
        <f>IF(Agent09_Savings!A26="","",Agent09_Savings!I26)</f>
        <v/>
      </c>
      <c r="I1619" s="40" t="str">
        <f>IF(Agent09_Savings!A26="","",Agent09_Savings!J26)</f>
        <v/>
      </c>
      <c r="J1619" s="40" t="str">
        <f>IF(Agent09_Savings!A26="","",Agent09_Savings!K26)</f>
        <v/>
      </c>
      <c r="K1619" s="40" t="str">
        <f>IFERROR(IF(Agent09_Savings!A26="","",YEAR(Agent09_Savings!D26)),"")</f>
        <v/>
      </c>
    </row>
    <row r="1620" spans="1:11" ht="18" customHeight="1" x14ac:dyDescent="0.25">
      <c r="A1620" s="40" t="str">
        <f>IF(Agent09_Savings!A27="","",Agent09_Savings!A27)</f>
        <v/>
      </c>
      <c r="B1620" s="40" t="str">
        <f ca="1">IF(Agent09_Savings!A27="","","SV"&amp;TEXT(1620-3,"0000")&amp;"-"&amp;TEXT(TODAY(),"YYYYMMDD"))</f>
        <v/>
      </c>
      <c r="C1620" s="40" t="str">
        <f>IF(Agent09_Savings!A27="","",Agent09_Savings!B27)</f>
        <v/>
      </c>
      <c r="D1620" s="40" t="str">
        <f>IF(Agent09_Savings!A27="","",Agent09_Savings!G27)</f>
        <v/>
      </c>
      <c r="E1620" s="41" t="str">
        <f>IF(Agent09_Savings!A27="","",Agent09_Savings!D27)</f>
        <v/>
      </c>
      <c r="F1620" s="42" t="str">
        <f>IF(Agent09_Savings!A27="","",Agent09_Savings!E27)</f>
        <v/>
      </c>
      <c r="G1620" s="42" t="str">
        <f>IF(Agent09_Savings!A27="","",Agent09_Savings!F27)</f>
        <v/>
      </c>
      <c r="H1620" s="40" t="str">
        <f>IF(Agent09_Savings!A27="","",Agent09_Savings!I27)</f>
        <v/>
      </c>
      <c r="I1620" s="40" t="str">
        <f>IF(Agent09_Savings!A27="","",Agent09_Savings!J27)</f>
        <v/>
      </c>
      <c r="J1620" s="40" t="str">
        <f>IF(Agent09_Savings!A27="","",Agent09_Savings!K27)</f>
        <v/>
      </c>
      <c r="K1620" s="40" t="str">
        <f>IFERROR(IF(Agent09_Savings!A27="","",YEAR(Agent09_Savings!D27)),"")</f>
        <v/>
      </c>
    </row>
    <row r="1621" spans="1:11" ht="18" customHeight="1" x14ac:dyDescent="0.25">
      <c r="A1621" s="40" t="str">
        <f>IF(Agent09_Savings!A28="","",Agent09_Savings!A28)</f>
        <v/>
      </c>
      <c r="B1621" s="40" t="str">
        <f ca="1">IF(Agent09_Savings!A28="","","SV"&amp;TEXT(1621-3,"0000")&amp;"-"&amp;TEXT(TODAY(),"YYYYMMDD"))</f>
        <v/>
      </c>
      <c r="C1621" s="40" t="str">
        <f>IF(Agent09_Savings!A28="","",Agent09_Savings!B28)</f>
        <v/>
      </c>
      <c r="D1621" s="40" t="str">
        <f>IF(Agent09_Savings!A28="","",Agent09_Savings!G28)</f>
        <v/>
      </c>
      <c r="E1621" s="41" t="str">
        <f>IF(Agent09_Savings!A28="","",Agent09_Savings!D28)</f>
        <v/>
      </c>
      <c r="F1621" s="42" t="str">
        <f>IF(Agent09_Savings!A28="","",Agent09_Savings!E28)</f>
        <v/>
      </c>
      <c r="G1621" s="42" t="str">
        <f>IF(Agent09_Savings!A28="","",Agent09_Savings!F28)</f>
        <v/>
      </c>
      <c r="H1621" s="40" t="str">
        <f>IF(Agent09_Savings!A28="","",Agent09_Savings!I28)</f>
        <v/>
      </c>
      <c r="I1621" s="40" t="str">
        <f>IF(Agent09_Savings!A28="","",Agent09_Savings!J28)</f>
        <v/>
      </c>
      <c r="J1621" s="40" t="str">
        <f>IF(Agent09_Savings!A28="","",Agent09_Savings!K28)</f>
        <v/>
      </c>
      <c r="K1621" s="40" t="str">
        <f>IFERROR(IF(Agent09_Savings!A28="","",YEAR(Agent09_Savings!D28)),"")</f>
        <v/>
      </c>
    </row>
    <row r="1622" spans="1:11" ht="18" customHeight="1" x14ac:dyDescent="0.25">
      <c r="A1622" s="40" t="str">
        <f>IF(Agent09_Savings!A29="","",Agent09_Savings!A29)</f>
        <v/>
      </c>
      <c r="B1622" s="40" t="str">
        <f ca="1">IF(Agent09_Savings!A29="","","SV"&amp;TEXT(1622-3,"0000")&amp;"-"&amp;TEXT(TODAY(),"YYYYMMDD"))</f>
        <v/>
      </c>
      <c r="C1622" s="40" t="str">
        <f>IF(Agent09_Savings!A29="","",Agent09_Savings!B29)</f>
        <v/>
      </c>
      <c r="D1622" s="40" t="str">
        <f>IF(Agent09_Savings!A29="","",Agent09_Savings!G29)</f>
        <v/>
      </c>
      <c r="E1622" s="41" t="str">
        <f>IF(Agent09_Savings!A29="","",Agent09_Savings!D29)</f>
        <v/>
      </c>
      <c r="F1622" s="42" t="str">
        <f>IF(Agent09_Savings!A29="","",Agent09_Savings!E29)</f>
        <v/>
      </c>
      <c r="G1622" s="42" t="str">
        <f>IF(Agent09_Savings!A29="","",Agent09_Savings!F29)</f>
        <v/>
      </c>
      <c r="H1622" s="40" t="str">
        <f>IF(Agent09_Savings!A29="","",Agent09_Savings!I29)</f>
        <v/>
      </c>
      <c r="I1622" s="40" t="str">
        <f>IF(Agent09_Savings!A29="","",Agent09_Savings!J29)</f>
        <v/>
      </c>
      <c r="J1622" s="40" t="str">
        <f>IF(Agent09_Savings!A29="","",Agent09_Savings!K29)</f>
        <v/>
      </c>
      <c r="K1622" s="40" t="str">
        <f>IFERROR(IF(Agent09_Savings!A29="","",YEAR(Agent09_Savings!D29)),"")</f>
        <v/>
      </c>
    </row>
    <row r="1623" spans="1:11" ht="18" customHeight="1" x14ac:dyDescent="0.25">
      <c r="A1623" s="40" t="str">
        <f>IF(Agent09_Savings!A30="","",Agent09_Savings!A30)</f>
        <v/>
      </c>
      <c r="B1623" s="40" t="str">
        <f ca="1">IF(Agent09_Savings!A30="","","SV"&amp;TEXT(1623-3,"0000")&amp;"-"&amp;TEXT(TODAY(),"YYYYMMDD"))</f>
        <v/>
      </c>
      <c r="C1623" s="40" t="str">
        <f>IF(Agent09_Savings!A30="","",Agent09_Savings!B30)</f>
        <v/>
      </c>
      <c r="D1623" s="40" t="str">
        <f>IF(Agent09_Savings!A30="","",Agent09_Savings!G30)</f>
        <v/>
      </c>
      <c r="E1623" s="41" t="str">
        <f>IF(Agent09_Savings!A30="","",Agent09_Savings!D30)</f>
        <v/>
      </c>
      <c r="F1623" s="42" t="str">
        <f>IF(Agent09_Savings!A30="","",Agent09_Savings!E30)</f>
        <v/>
      </c>
      <c r="G1623" s="42" t="str">
        <f>IF(Agent09_Savings!A30="","",Agent09_Savings!F30)</f>
        <v/>
      </c>
      <c r="H1623" s="40" t="str">
        <f>IF(Agent09_Savings!A30="","",Agent09_Savings!I30)</f>
        <v/>
      </c>
      <c r="I1623" s="40" t="str">
        <f>IF(Agent09_Savings!A30="","",Agent09_Savings!J30)</f>
        <v/>
      </c>
      <c r="J1623" s="40" t="str">
        <f>IF(Agent09_Savings!A30="","",Agent09_Savings!K30)</f>
        <v/>
      </c>
      <c r="K1623" s="40" t="str">
        <f>IFERROR(IF(Agent09_Savings!A30="","",YEAR(Agent09_Savings!D30)),"")</f>
        <v/>
      </c>
    </row>
    <row r="1624" spans="1:11" ht="18" customHeight="1" x14ac:dyDescent="0.25">
      <c r="A1624" s="40" t="str">
        <f>IF(Agent09_Savings!A31="","",Agent09_Savings!A31)</f>
        <v/>
      </c>
      <c r="B1624" s="40" t="str">
        <f ca="1">IF(Agent09_Savings!A31="","","SV"&amp;TEXT(1624-3,"0000")&amp;"-"&amp;TEXT(TODAY(),"YYYYMMDD"))</f>
        <v/>
      </c>
      <c r="C1624" s="40" t="str">
        <f>IF(Agent09_Savings!A31="","",Agent09_Savings!B31)</f>
        <v/>
      </c>
      <c r="D1624" s="40" t="str">
        <f>IF(Agent09_Savings!A31="","",Agent09_Savings!G31)</f>
        <v/>
      </c>
      <c r="E1624" s="41" t="str">
        <f>IF(Agent09_Savings!A31="","",Agent09_Savings!D31)</f>
        <v/>
      </c>
      <c r="F1624" s="42" t="str">
        <f>IF(Agent09_Savings!A31="","",Agent09_Savings!E31)</f>
        <v/>
      </c>
      <c r="G1624" s="42" t="str">
        <f>IF(Agent09_Savings!A31="","",Agent09_Savings!F31)</f>
        <v/>
      </c>
      <c r="H1624" s="40" t="str">
        <f>IF(Agent09_Savings!A31="","",Agent09_Savings!I31)</f>
        <v/>
      </c>
      <c r="I1624" s="40" t="str">
        <f>IF(Agent09_Savings!A31="","",Agent09_Savings!J31)</f>
        <v/>
      </c>
      <c r="J1624" s="40" t="str">
        <f>IF(Agent09_Savings!A31="","",Agent09_Savings!K31)</f>
        <v/>
      </c>
      <c r="K1624" s="40" t="str">
        <f>IFERROR(IF(Agent09_Savings!A31="","",YEAR(Agent09_Savings!D31)),"")</f>
        <v/>
      </c>
    </row>
    <row r="1625" spans="1:11" ht="18" customHeight="1" x14ac:dyDescent="0.25">
      <c r="A1625" s="40" t="str">
        <f>IF(Agent09_Savings!A32="","",Agent09_Savings!A32)</f>
        <v/>
      </c>
      <c r="B1625" s="40" t="str">
        <f ca="1">IF(Agent09_Savings!A32="","","SV"&amp;TEXT(1625-3,"0000")&amp;"-"&amp;TEXT(TODAY(),"YYYYMMDD"))</f>
        <v/>
      </c>
      <c r="C1625" s="40" t="str">
        <f>IF(Agent09_Savings!A32="","",Agent09_Savings!B32)</f>
        <v/>
      </c>
      <c r="D1625" s="40" t="str">
        <f>IF(Agent09_Savings!A32="","",Agent09_Savings!G32)</f>
        <v/>
      </c>
      <c r="E1625" s="41" t="str">
        <f>IF(Agent09_Savings!A32="","",Agent09_Savings!D32)</f>
        <v/>
      </c>
      <c r="F1625" s="42" t="str">
        <f>IF(Agent09_Savings!A32="","",Agent09_Savings!E32)</f>
        <v/>
      </c>
      <c r="G1625" s="42" t="str">
        <f>IF(Agent09_Savings!A32="","",Agent09_Savings!F32)</f>
        <v/>
      </c>
      <c r="H1625" s="40" t="str">
        <f>IF(Agent09_Savings!A32="","",Agent09_Savings!I32)</f>
        <v/>
      </c>
      <c r="I1625" s="40" t="str">
        <f>IF(Agent09_Savings!A32="","",Agent09_Savings!J32)</f>
        <v/>
      </c>
      <c r="J1625" s="40" t="str">
        <f>IF(Agent09_Savings!A32="","",Agent09_Savings!K32)</f>
        <v/>
      </c>
      <c r="K1625" s="40" t="str">
        <f>IFERROR(IF(Agent09_Savings!A32="","",YEAR(Agent09_Savings!D32)),"")</f>
        <v/>
      </c>
    </row>
    <row r="1626" spans="1:11" ht="18" customHeight="1" x14ac:dyDescent="0.25">
      <c r="A1626" s="40" t="str">
        <f>IF(Agent09_Savings!A33="","",Agent09_Savings!A33)</f>
        <v/>
      </c>
      <c r="B1626" s="40" t="str">
        <f ca="1">IF(Agent09_Savings!A33="","","SV"&amp;TEXT(1626-3,"0000")&amp;"-"&amp;TEXT(TODAY(),"YYYYMMDD"))</f>
        <v/>
      </c>
      <c r="C1626" s="40" t="str">
        <f>IF(Agent09_Savings!A33="","",Agent09_Savings!B33)</f>
        <v/>
      </c>
      <c r="D1626" s="40" t="str">
        <f>IF(Agent09_Savings!A33="","",Agent09_Savings!G33)</f>
        <v/>
      </c>
      <c r="E1626" s="41" t="str">
        <f>IF(Agent09_Savings!A33="","",Agent09_Savings!D33)</f>
        <v/>
      </c>
      <c r="F1626" s="42" t="str">
        <f>IF(Agent09_Savings!A33="","",Agent09_Savings!E33)</f>
        <v/>
      </c>
      <c r="G1626" s="42" t="str">
        <f>IF(Agent09_Savings!A33="","",Agent09_Savings!F33)</f>
        <v/>
      </c>
      <c r="H1626" s="40" t="str">
        <f>IF(Agent09_Savings!A33="","",Agent09_Savings!I33)</f>
        <v/>
      </c>
      <c r="I1626" s="40" t="str">
        <f>IF(Agent09_Savings!A33="","",Agent09_Savings!J33)</f>
        <v/>
      </c>
      <c r="J1626" s="40" t="str">
        <f>IF(Agent09_Savings!A33="","",Agent09_Savings!K33)</f>
        <v/>
      </c>
      <c r="K1626" s="40" t="str">
        <f>IFERROR(IF(Agent09_Savings!A33="","",YEAR(Agent09_Savings!D33)),"")</f>
        <v/>
      </c>
    </row>
    <row r="1627" spans="1:11" ht="18" customHeight="1" x14ac:dyDescent="0.25">
      <c r="A1627" s="40" t="str">
        <f>IF(Agent09_Savings!A34="","",Agent09_Savings!A34)</f>
        <v/>
      </c>
      <c r="B1627" s="40" t="str">
        <f ca="1">IF(Agent09_Savings!A34="","","SV"&amp;TEXT(1627-3,"0000")&amp;"-"&amp;TEXT(TODAY(),"YYYYMMDD"))</f>
        <v/>
      </c>
      <c r="C1627" s="40" t="str">
        <f>IF(Agent09_Savings!A34="","",Agent09_Savings!B34)</f>
        <v/>
      </c>
      <c r="D1627" s="40" t="str">
        <f>IF(Agent09_Savings!A34="","",Agent09_Savings!G34)</f>
        <v/>
      </c>
      <c r="E1627" s="41" t="str">
        <f>IF(Agent09_Savings!A34="","",Agent09_Savings!D34)</f>
        <v/>
      </c>
      <c r="F1627" s="42" t="str">
        <f>IF(Agent09_Savings!A34="","",Agent09_Savings!E34)</f>
        <v/>
      </c>
      <c r="G1627" s="42" t="str">
        <f>IF(Agent09_Savings!A34="","",Agent09_Savings!F34)</f>
        <v/>
      </c>
      <c r="H1627" s="40" t="str">
        <f>IF(Agent09_Savings!A34="","",Agent09_Savings!I34)</f>
        <v/>
      </c>
      <c r="I1627" s="40" t="str">
        <f>IF(Agent09_Savings!A34="","",Agent09_Savings!J34)</f>
        <v/>
      </c>
      <c r="J1627" s="40" t="str">
        <f>IF(Agent09_Savings!A34="","",Agent09_Savings!K34)</f>
        <v/>
      </c>
      <c r="K1627" s="40" t="str">
        <f>IFERROR(IF(Agent09_Savings!A34="","",YEAR(Agent09_Savings!D34)),"")</f>
        <v/>
      </c>
    </row>
    <row r="1628" spans="1:11" ht="18" customHeight="1" x14ac:dyDescent="0.25">
      <c r="A1628" s="40" t="str">
        <f>IF(Agent09_Savings!A35="","",Agent09_Savings!A35)</f>
        <v/>
      </c>
      <c r="B1628" s="40" t="str">
        <f ca="1">IF(Agent09_Savings!A35="","","SV"&amp;TEXT(1628-3,"0000")&amp;"-"&amp;TEXT(TODAY(),"YYYYMMDD"))</f>
        <v/>
      </c>
      <c r="C1628" s="40" t="str">
        <f>IF(Agent09_Savings!A35="","",Agent09_Savings!B35)</f>
        <v/>
      </c>
      <c r="D1628" s="40" t="str">
        <f>IF(Agent09_Savings!A35="","",Agent09_Savings!G35)</f>
        <v/>
      </c>
      <c r="E1628" s="41" t="str">
        <f>IF(Agent09_Savings!A35="","",Agent09_Savings!D35)</f>
        <v/>
      </c>
      <c r="F1628" s="42" t="str">
        <f>IF(Agent09_Savings!A35="","",Agent09_Savings!E35)</f>
        <v/>
      </c>
      <c r="G1628" s="42" t="str">
        <f>IF(Agent09_Savings!A35="","",Agent09_Savings!F35)</f>
        <v/>
      </c>
      <c r="H1628" s="40" t="str">
        <f>IF(Agent09_Savings!A35="","",Agent09_Savings!I35)</f>
        <v/>
      </c>
      <c r="I1628" s="40" t="str">
        <f>IF(Agent09_Savings!A35="","",Agent09_Savings!J35)</f>
        <v/>
      </c>
      <c r="J1628" s="40" t="str">
        <f>IF(Agent09_Savings!A35="","",Agent09_Savings!K35)</f>
        <v/>
      </c>
      <c r="K1628" s="40" t="str">
        <f>IFERROR(IF(Agent09_Savings!A35="","",YEAR(Agent09_Savings!D35)),"")</f>
        <v/>
      </c>
    </row>
    <row r="1629" spans="1:11" ht="18" customHeight="1" x14ac:dyDescent="0.25">
      <c r="A1629" s="40" t="str">
        <f>IF(Agent09_Savings!A36="","",Agent09_Savings!A36)</f>
        <v/>
      </c>
      <c r="B1629" s="40" t="str">
        <f ca="1">IF(Agent09_Savings!A36="","","SV"&amp;TEXT(1629-3,"0000")&amp;"-"&amp;TEXT(TODAY(),"YYYYMMDD"))</f>
        <v/>
      </c>
      <c r="C1629" s="40" t="str">
        <f>IF(Agent09_Savings!A36="","",Agent09_Savings!B36)</f>
        <v/>
      </c>
      <c r="D1629" s="40" t="str">
        <f>IF(Agent09_Savings!A36="","",Agent09_Savings!G36)</f>
        <v/>
      </c>
      <c r="E1629" s="41" t="str">
        <f>IF(Agent09_Savings!A36="","",Agent09_Savings!D36)</f>
        <v/>
      </c>
      <c r="F1629" s="42" t="str">
        <f>IF(Agent09_Savings!A36="","",Agent09_Savings!E36)</f>
        <v/>
      </c>
      <c r="G1629" s="42" t="str">
        <f>IF(Agent09_Savings!A36="","",Agent09_Savings!F36)</f>
        <v/>
      </c>
      <c r="H1629" s="40" t="str">
        <f>IF(Agent09_Savings!A36="","",Agent09_Savings!I36)</f>
        <v/>
      </c>
      <c r="I1629" s="40" t="str">
        <f>IF(Agent09_Savings!A36="","",Agent09_Savings!J36)</f>
        <v/>
      </c>
      <c r="J1629" s="40" t="str">
        <f>IF(Agent09_Savings!A36="","",Agent09_Savings!K36)</f>
        <v/>
      </c>
      <c r="K1629" s="40" t="str">
        <f>IFERROR(IF(Agent09_Savings!A36="","",YEAR(Agent09_Savings!D36)),"")</f>
        <v/>
      </c>
    </row>
    <row r="1630" spans="1:11" ht="18" customHeight="1" x14ac:dyDescent="0.25">
      <c r="A1630" s="40" t="str">
        <f>IF(Agent09_Savings!A37="","",Agent09_Savings!A37)</f>
        <v/>
      </c>
      <c r="B1630" s="40" t="str">
        <f ca="1">IF(Agent09_Savings!A37="","","SV"&amp;TEXT(1630-3,"0000")&amp;"-"&amp;TEXT(TODAY(),"YYYYMMDD"))</f>
        <v/>
      </c>
      <c r="C1630" s="40" t="str">
        <f>IF(Agent09_Savings!A37="","",Agent09_Savings!B37)</f>
        <v/>
      </c>
      <c r="D1630" s="40" t="str">
        <f>IF(Agent09_Savings!A37="","",Agent09_Savings!G37)</f>
        <v/>
      </c>
      <c r="E1630" s="41" t="str">
        <f>IF(Agent09_Savings!A37="","",Agent09_Savings!D37)</f>
        <v/>
      </c>
      <c r="F1630" s="42" t="str">
        <f>IF(Agent09_Savings!A37="","",Agent09_Savings!E37)</f>
        <v/>
      </c>
      <c r="G1630" s="42" t="str">
        <f>IF(Agent09_Savings!A37="","",Agent09_Savings!F37)</f>
        <v/>
      </c>
      <c r="H1630" s="40" t="str">
        <f>IF(Agent09_Savings!A37="","",Agent09_Savings!I37)</f>
        <v/>
      </c>
      <c r="I1630" s="40" t="str">
        <f>IF(Agent09_Savings!A37="","",Agent09_Savings!J37)</f>
        <v/>
      </c>
      <c r="J1630" s="40" t="str">
        <f>IF(Agent09_Savings!A37="","",Agent09_Savings!K37)</f>
        <v/>
      </c>
      <c r="K1630" s="40" t="str">
        <f>IFERROR(IF(Agent09_Savings!A37="","",YEAR(Agent09_Savings!D37)),"")</f>
        <v/>
      </c>
    </row>
    <row r="1631" spans="1:11" ht="18" customHeight="1" x14ac:dyDescent="0.25">
      <c r="A1631" s="40" t="str">
        <f>IF(Agent09_Savings!A38="","",Agent09_Savings!A38)</f>
        <v/>
      </c>
      <c r="B1631" s="40" t="str">
        <f ca="1">IF(Agent09_Savings!A38="","","SV"&amp;TEXT(1631-3,"0000")&amp;"-"&amp;TEXT(TODAY(),"YYYYMMDD"))</f>
        <v/>
      </c>
      <c r="C1631" s="40" t="str">
        <f>IF(Agent09_Savings!A38="","",Agent09_Savings!B38)</f>
        <v/>
      </c>
      <c r="D1631" s="40" t="str">
        <f>IF(Agent09_Savings!A38="","",Agent09_Savings!G38)</f>
        <v/>
      </c>
      <c r="E1631" s="41" t="str">
        <f>IF(Agent09_Savings!A38="","",Agent09_Savings!D38)</f>
        <v/>
      </c>
      <c r="F1631" s="42" t="str">
        <f>IF(Agent09_Savings!A38="","",Agent09_Savings!E38)</f>
        <v/>
      </c>
      <c r="G1631" s="42" t="str">
        <f>IF(Agent09_Savings!A38="","",Agent09_Savings!F38)</f>
        <v/>
      </c>
      <c r="H1631" s="40" t="str">
        <f>IF(Agent09_Savings!A38="","",Agent09_Savings!I38)</f>
        <v/>
      </c>
      <c r="I1631" s="40" t="str">
        <f>IF(Agent09_Savings!A38="","",Agent09_Savings!J38)</f>
        <v/>
      </c>
      <c r="J1631" s="40" t="str">
        <f>IF(Agent09_Savings!A38="","",Agent09_Savings!K38)</f>
        <v/>
      </c>
      <c r="K1631" s="40" t="str">
        <f>IFERROR(IF(Agent09_Savings!A38="","",YEAR(Agent09_Savings!D38)),"")</f>
        <v/>
      </c>
    </row>
    <row r="1632" spans="1:11" ht="18" customHeight="1" x14ac:dyDescent="0.25">
      <c r="A1632" s="40" t="str">
        <f>IF(Agent09_Savings!A39="","",Agent09_Savings!A39)</f>
        <v/>
      </c>
      <c r="B1632" s="40" t="str">
        <f ca="1">IF(Agent09_Savings!A39="","","SV"&amp;TEXT(1632-3,"0000")&amp;"-"&amp;TEXT(TODAY(),"YYYYMMDD"))</f>
        <v/>
      </c>
      <c r="C1632" s="40" t="str">
        <f>IF(Agent09_Savings!A39="","",Agent09_Savings!B39)</f>
        <v/>
      </c>
      <c r="D1632" s="40" t="str">
        <f>IF(Agent09_Savings!A39="","",Agent09_Savings!G39)</f>
        <v/>
      </c>
      <c r="E1632" s="41" t="str">
        <f>IF(Agent09_Savings!A39="","",Agent09_Savings!D39)</f>
        <v/>
      </c>
      <c r="F1632" s="42" t="str">
        <f>IF(Agent09_Savings!A39="","",Agent09_Savings!E39)</f>
        <v/>
      </c>
      <c r="G1632" s="42" t="str">
        <f>IF(Agent09_Savings!A39="","",Agent09_Savings!F39)</f>
        <v/>
      </c>
      <c r="H1632" s="40" t="str">
        <f>IF(Agent09_Savings!A39="","",Agent09_Savings!I39)</f>
        <v/>
      </c>
      <c r="I1632" s="40" t="str">
        <f>IF(Agent09_Savings!A39="","",Agent09_Savings!J39)</f>
        <v/>
      </c>
      <c r="J1632" s="40" t="str">
        <f>IF(Agent09_Savings!A39="","",Agent09_Savings!K39)</f>
        <v/>
      </c>
      <c r="K1632" s="40" t="str">
        <f>IFERROR(IF(Agent09_Savings!A39="","",YEAR(Agent09_Savings!D39)),"")</f>
        <v/>
      </c>
    </row>
    <row r="1633" spans="1:11" ht="18" customHeight="1" x14ac:dyDescent="0.25">
      <c r="A1633" s="40" t="str">
        <f>IF(Agent09_Savings!A40="","",Agent09_Savings!A40)</f>
        <v/>
      </c>
      <c r="B1633" s="40" t="str">
        <f ca="1">IF(Agent09_Savings!A40="","","SV"&amp;TEXT(1633-3,"0000")&amp;"-"&amp;TEXT(TODAY(),"YYYYMMDD"))</f>
        <v/>
      </c>
      <c r="C1633" s="40" t="str">
        <f>IF(Agent09_Savings!A40="","",Agent09_Savings!B40)</f>
        <v/>
      </c>
      <c r="D1633" s="40" t="str">
        <f>IF(Agent09_Savings!A40="","",Agent09_Savings!G40)</f>
        <v/>
      </c>
      <c r="E1633" s="41" t="str">
        <f>IF(Agent09_Savings!A40="","",Agent09_Savings!D40)</f>
        <v/>
      </c>
      <c r="F1633" s="42" t="str">
        <f>IF(Agent09_Savings!A40="","",Agent09_Savings!E40)</f>
        <v/>
      </c>
      <c r="G1633" s="42" t="str">
        <f>IF(Agent09_Savings!A40="","",Agent09_Savings!F40)</f>
        <v/>
      </c>
      <c r="H1633" s="40" t="str">
        <f>IF(Agent09_Savings!A40="","",Agent09_Savings!I40)</f>
        <v/>
      </c>
      <c r="I1633" s="40" t="str">
        <f>IF(Agent09_Savings!A40="","",Agent09_Savings!J40)</f>
        <v/>
      </c>
      <c r="J1633" s="40" t="str">
        <f>IF(Agent09_Savings!A40="","",Agent09_Savings!K40)</f>
        <v/>
      </c>
      <c r="K1633" s="40" t="str">
        <f>IFERROR(IF(Agent09_Savings!A40="","",YEAR(Agent09_Savings!D40)),"")</f>
        <v/>
      </c>
    </row>
    <row r="1634" spans="1:11" ht="18" customHeight="1" x14ac:dyDescent="0.25">
      <c r="A1634" s="40" t="str">
        <f>IF(Agent09_Savings!A41="","",Agent09_Savings!A41)</f>
        <v/>
      </c>
      <c r="B1634" s="40" t="str">
        <f ca="1">IF(Agent09_Savings!A41="","","SV"&amp;TEXT(1634-3,"0000")&amp;"-"&amp;TEXT(TODAY(),"YYYYMMDD"))</f>
        <v/>
      </c>
      <c r="C1634" s="40" t="str">
        <f>IF(Agent09_Savings!A41="","",Agent09_Savings!B41)</f>
        <v/>
      </c>
      <c r="D1634" s="40" t="str">
        <f>IF(Agent09_Savings!A41="","",Agent09_Savings!G41)</f>
        <v/>
      </c>
      <c r="E1634" s="41" t="str">
        <f>IF(Agent09_Savings!A41="","",Agent09_Savings!D41)</f>
        <v/>
      </c>
      <c r="F1634" s="42" t="str">
        <f>IF(Agent09_Savings!A41="","",Agent09_Savings!E41)</f>
        <v/>
      </c>
      <c r="G1634" s="42" t="str">
        <f>IF(Agent09_Savings!A41="","",Agent09_Savings!F41)</f>
        <v/>
      </c>
      <c r="H1634" s="40" t="str">
        <f>IF(Agent09_Savings!A41="","",Agent09_Savings!I41)</f>
        <v/>
      </c>
      <c r="I1634" s="40" t="str">
        <f>IF(Agent09_Savings!A41="","",Agent09_Savings!J41)</f>
        <v/>
      </c>
      <c r="J1634" s="40" t="str">
        <f>IF(Agent09_Savings!A41="","",Agent09_Savings!K41)</f>
        <v/>
      </c>
      <c r="K1634" s="40" t="str">
        <f>IFERROR(IF(Agent09_Savings!A41="","",YEAR(Agent09_Savings!D41)),"")</f>
        <v/>
      </c>
    </row>
    <row r="1635" spans="1:11" ht="18" customHeight="1" x14ac:dyDescent="0.25">
      <c r="A1635" s="40" t="str">
        <f>IF(Agent09_Savings!A42="","",Agent09_Savings!A42)</f>
        <v/>
      </c>
      <c r="B1635" s="40" t="str">
        <f ca="1">IF(Agent09_Savings!A42="","","SV"&amp;TEXT(1635-3,"0000")&amp;"-"&amp;TEXT(TODAY(),"YYYYMMDD"))</f>
        <v/>
      </c>
      <c r="C1635" s="40" t="str">
        <f>IF(Agent09_Savings!A42="","",Agent09_Savings!B42)</f>
        <v/>
      </c>
      <c r="D1635" s="40" t="str">
        <f>IF(Agent09_Savings!A42="","",Agent09_Savings!G42)</f>
        <v/>
      </c>
      <c r="E1635" s="41" t="str">
        <f>IF(Agent09_Savings!A42="","",Agent09_Savings!D42)</f>
        <v/>
      </c>
      <c r="F1635" s="42" t="str">
        <f>IF(Agent09_Savings!A42="","",Agent09_Savings!E42)</f>
        <v/>
      </c>
      <c r="G1635" s="42" t="str">
        <f>IF(Agent09_Savings!A42="","",Agent09_Savings!F42)</f>
        <v/>
      </c>
      <c r="H1635" s="40" t="str">
        <f>IF(Agent09_Savings!A42="","",Agent09_Savings!I42)</f>
        <v/>
      </c>
      <c r="I1635" s="40" t="str">
        <f>IF(Agent09_Savings!A42="","",Agent09_Savings!J42)</f>
        <v/>
      </c>
      <c r="J1635" s="40" t="str">
        <f>IF(Agent09_Savings!A42="","",Agent09_Savings!K42)</f>
        <v/>
      </c>
      <c r="K1635" s="40" t="str">
        <f>IFERROR(IF(Agent09_Savings!A42="","",YEAR(Agent09_Savings!D42)),"")</f>
        <v/>
      </c>
    </row>
    <row r="1636" spans="1:11" ht="18" customHeight="1" x14ac:dyDescent="0.25">
      <c r="A1636" s="40" t="str">
        <f>IF(Agent09_Savings!A43="","",Agent09_Savings!A43)</f>
        <v/>
      </c>
      <c r="B1636" s="40" t="str">
        <f ca="1">IF(Agent09_Savings!A43="","","SV"&amp;TEXT(1636-3,"0000")&amp;"-"&amp;TEXT(TODAY(),"YYYYMMDD"))</f>
        <v/>
      </c>
      <c r="C1636" s="40" t="str">
        <f>IF(Agent09_Savings!A43="","",Agent09_Savings!B43)</f>
        <v/>
      </c>
      <c r="D1636" s="40" t="str">
        <f>IF(Agent09_Savings!A43="","",Agent09_Savings!G43)</f>
        <v/>
      </c>
      <c r="E1636" s="41" t="str">
        <f>IF(Agent09_Savings!A43="","",Agent09_Savings!D43)</f>
        <v/>
      </c>
      <c r="F1636" s="42" t="str">
        <f>IF(Agent09_Savings!A43="","",Agent09_Savings!E43)</f>
        <v/>
      </c>
      <c r="G1636" s="42" t="str">
        <f>IF(Agent09_Savings!A43="","",Agent09_Savings!F43)</f>
        <v/>
      </c>
      <c r="H1636" s="40" t="str">
        <f>IF(Agent09_Savings!A43="","",Agent09_Savings!I43)</f>
        <v/>
      </c>
      <c r="I1636" s="40" t="str">
        <f>IF(Agent09_Savings!A43="","",Agent09_Savings!J43)</f>
        <v/>
      </c>
      <c r="J1636" s="40" t="str">
        <f>IF(Agent09_Savings!A43="","",Agent09_Savings!K43)</f>
        <v/>
      </c>
      <c r="K1636" s="40" t="str">
        <f>IFERROR(IF(Agent09_Savings!A43="","",YEAR(Agent09_Savings!D43)),"")</f>
        <v/>
      </c>
    </row>
    <row r="1637" spans="1:11" ht="18" customHeight="1" x14ac:dyDescent="0.25">
      <c r="A1637" s="40" t="str">
        <f>IF(Agent09_Savings!A44="","",Agent09_Savings!A44)</f>
        <v/>
      </c>
      <c r="B1637" s="40" t="str">
        <f ca="1">IF(Agent09_Savings!A44="","","SV"&amp;TEXT(1637-3,"0000")&amp;"-"&amp;TEXT(TODAY(),"YYYYMMDD"))</f>
        <v/>
      </c>
      <c r="C1637" s="40" t="str">
        <f>IF(Agent09_Savings!A44="","",Agent09_Savings!B44)</f>
        <v/>
      </c>
      <c r="D1637" s="40" t="str">
        <f>IF(Agent09_Savings!A44="","",Agent09_Savings!G44)</f>
        <v/>
      </c>
      <c r="E1637" s="41" t="str">
        <f>IF(Agent09_Savings!A44="","",Agent09_Savings!D44)</f>
        <v/>
      </c>
      <c r="F1637" s="42" t="str">
        <f>IF(Agent09_Savings!A44="","",Agent09_Savings!E44)</f>
        <v/>
      </c>
      <c r="G1637" s="42" t="str">
        <f>IF(Agent09_Savings!A44="","",Agent09_Savings!F44)</f>
        <v/>
      </c>
      <c r="H1637" s="40" t="str">
        <f>IF(Agent09_Savings!A44="","",Agent09_Savings!I44)</f>
        <v/>
      </c>
      <c r="I1637" s="40" t="str">
        <f>IF(Agent09_Savings!A44="","",Agent09_Savings!J44)</f>
        <v/>
      </c>
      <c r="J1637" s="40" t="str">
        <f>IF(Agent09_Savings!A44="","",Agent09_Savings!K44)</f>
        <v/>
      </c>
      <c r="K1637" s="40" t="str">
        <f>IFERROR(IF(Agent09_Savings!A44="","",YEAR(Agent09_Savings!D44)),"")</f>
        <v/>
      </c>
    </row>
    <row r="1638" spans="1:11" ht="18" customHeight="1" x14ac:dyDescent="0.25">
      <c r="A1638" s="40" t="str">
        <f>IF(Agent09_Savings!A45="","",Agent09_Savings!A45)</f>
        <v/>
      </c>
      <c r="B1638" s="40" t="str">
        <f ca="1">IF(Agent09_Savings!A45="","","SV"&amp;TEXT(1638-3,"0000")&amp;"-"&amp;TEXT(TODAY(),"YYYYMMDD"))</f>
        <v/>
      </c>
      <c r="C1638" s="40" t="str">
        <f>IF(Agent09_Savings!A45="","",Agent09_Savings!B45)</f>
        <v/>
      </c>
      <c r="D1638" s="40" t="str">
        <f>IF(Agent09_Savings!A45="","",Agent09_Savings!G45)</f>
        <v/>
      </c>
      <c r="E1638" s="41" t="str">
        <f>IF(Agent09_Savings!A45="","",Agent09_Savings!D45)</f>
        <v/>
      </c>
      <c r="F1638" s="42" t="str">
        <f>IF(Agent09_Savings!A45="","",Agent09_Savings!E45)</f>
        <v/>
      </c>
      <c r="G1638" s="42" t="str">
        <f>IF(Agent09_Savings!A45="","",Agent09_Savings!F45)</f>
        <v/>
      </c>
      <c r="H1638" s="40" t="str">
        <f>IF(Agent09_Savings!A45="","",Agent09_Savings!I45)</f>
        <v/>
      </c>
      <c r="I1638" s="40" t="str">
        <f>IF(Agent09_Savings!A45="","",Agent09_Savings!J45)</f>
        <v/>
      </c>
      <c r="J1638" s="40" t="str">
        <f>IF(Agent09_Savings!A45="","",Agent09_Savings!K45)</f>
        <v/>
      </c>
      <c r="K1638" s="40" t="str">
        <f>IFERROR(IF(Agent09_Savings!A45="","",YEAR(Agent09_Savings!D45)),"")</f>
        <v/>
      </c>
    </row>
    <row r="1639" spans="1:11" ht="18" customHeight="1" x14ac:dyDescent="0.25">
      <c r="A1639" s="40" t="str">
        <f>IF(Agent09_Savings!A46="","",Agent09_Savings!A46)</f>
        <v/>
      </c>
      <c r="B1639" s="40" t="str">
        <f ca="1">IF(Agent09_Savings!A46="","","SV"&amp;TEXT(1639-3,"0000")&amp;"-"&amp;TEXT(TODAY(),"YYYYMMDD"))</f>
        <v/>
      </c>
      <c r="C1639" s="40" t="str">
        <f>IF(Agent09_Savings!A46="","",Agent09_Savings!B46)</f>
        <v/>
      </c>
      <c r="D1639" s="40" t="str">
        <f>IF(Agent09_Savings!A46="","",Agent09_Savings!G46)</f>
        <v/>
      </c>
      <c r="E1639" s="41" t="str">
        <f>IF(Agent09_Savings!A46="","",Agent09_Savings!D46)</f>
        <v/>
      </c>
      <c r="F1639" s="42" t="str">
        <f>IF(Agent09_Savings!A46="","",Agent09_Savings!E46)</f>
        <v/>
      </c>
      <c r="G1639" s="42" t="str">
        <f>IF(Agent09_Savings!A46="","",Agent09_Savings!F46)</f>
        <v/>
      </c>
      <c r="H1639" s="40" t="str">
        <f>IF(Agent09_Savings!A46="","",Agent09_Savings!I46)</f>
        <v/>
      </c>
      <c r="I1639" s="40" t="str">
        <f>IF(Agent09_Savings!A46="","",Agent09_Savings!J46)</f>
        <v/>
      </c>
      <c r="J1639" s="40" t="str">
        <f>IF(Agent09_Savings!A46="","",Agent09_Savings!K46)</f>
        <v/>
      </c>
      <c r="K1639" s="40" t="str">
        <f>IFERROR(IF(Agent09_Savings!A46="","",YEAR(Agent09_Savings!D46)),"")</f>
        <v/>
      </c>
    </row>
    <row r="1640" spans="1:11" ht="18" customHeight="1" x14ac:dyDescent="0.25">
      <c r="A1640" s="40" t="str">
        <f>IF(Agent09_Savings!A47="","",Agent09_Savings!A47)</f>
        <v/>
      </c>
      <c r="B1640" s="40" t="str">
        <f ca="1">IF(Agent09_Savings!A47="","","SV"&amp;TEXT(1640-3,"0000")&amp;"-"&amp;TEXT(TODAY(),"YYYYMMDD"))</f>
        <v/>
      </c>
      <c r="C1640" s="40" t="str">
        <f>IF(Agent09_Savings!A47="","",Agent09_Savings!B47)</f>
        <v/>
      </c>
      <c r="D1640" s="40" t="str">
        <f>IF(Agent09_Savings!A47="","",Agent09_Savings!G47)</f>
        <v/>
      </c>
      <c r="E1640" s="41" t="str">
        <f>IF(Agent09_Savings!A47="","",Agent09_Savings!D47)</f>
        <v/>
      </c>
      <c r="F1640" s="42" t="str">
        <f>IF(Agent09_Savings!A47="","",Agent09_Savings!E47)</f>
        <v/>
      </c>
      <c r="G1640" s="42" t="str">
        <f>IF(Agent09_Savings!A47="","",Agent09_Savings!F47)</f>
        <v/>
      </c>
      <c r="H1640" s="40" t="str">
        <f>IF(Agent09_Savings!A47="","",Agent09_Savings!I47)</f>
        <v/>
      </c>
      <c r="I1640" s="40" t="str">
        <f>IF(Agent09_Savings!A47="","",Agent09_Savings!J47)</f>
        <v/>
      </c>
      <c r="J1640" s="40" t="str">
        <f>IF(Agent09_Savings!A47="","",Agent09_Savings!K47)</f>
        <v/>
      </c>
      <c r="K1640" s="40" t="str">
        <f>IFERROR(IF(Agent09_Savings!A47="","",YEAR(Agent09_Savings!D47)),"")</f>
        <v/>
      </c>
    </row>
    <row r="1641" spans="1:11" ht="18" customHeight="1" x14ac:dyDescent="0.25">
      <c r="A1641" s="40" t="str">
        <f>IF(Agent09_Savings!A48="","",Agent09_Savings!A48)</f>
        <v/>
      </c>
      <c r="B1641" s="40" t="str">
        <f ca="1">IF(Agent09_Savings!A48="","","SV"&amp;TEXT(1641-3,"0000")&amp;"-"&amp;TEXT(TODAY(),"YYYYMMDD"))</f>
        <v/>
      </c>
      <c r="C1641" s="40" t="str">
        <f>IF(Agent09_Savings!A48="","",Agent09_Savings!B48)</f>
        <v/>
      </c>
      <c r="D1641" s="40" t="str">
        <f>IF(Agent09_Savings!A48="","",Agent09_Savings!G48)</f>
        <v/>
      </c>
      <c r="E1641" s="41" t="str">
        <f>IF(Agent09_Savings!A48="","",Agent09_Savings!D48)</f>
        <v/>
      </c>
      <c r="F1641" s="42" t="str">
        <f>IF(Agent09_Savings!A48="","",Agent09_Savings!E48)</f>
        <v/>
      </c>
      <c r="G1641" s="42" t="str">
        <f>IF(Agent09_Savings!A48="","",Agent09_Savings!F48)</f>
        <v/>
      </c>
      <c r="H1641" s="40" t="str">
        <f>IF(Agent09_Savings!A48="","",Agent09_Savings!I48)</f>
        <v/>
      </c>
      <c r="I1641" s="40" t="str">
        <f>IF(Agent09_Savings!A48="","",Agent09_Savings!J48)</f>
        <v/>
      </c>
      <c r="J1641" s="40" t="str">
        <f>IF(Agent09_Savings!A48="","",Agent09_Savings!K48)</f>
        <v/>
      </c>
      <c r="K1641" s="40" t="str">
        <f>IFERROR(IF(Agent09_Savings!A48="","",YEAR(Agent09_Savings!D48)),"")</f>
        <v/>
      </c>
    </row>
    <row r="1642" spans="1:11" ht="18" customHeight="1" x14ac:dyDescent="0.25">
      <c r="A1642" s="40" t="str">
        <f>IF(Agent09_Savings!A49="","",Agent09_Savings!A49)</f>
        <v/>
      </c>
      <c r="B1642" s="40" t="str">
        <f ca="1">IF(Agent09_Savings!A49="","","SV"&amp;TEXT(1642-3,"0000")&amp;"-"&amp;TEXT(TODAY(),"YYYYMMDD"))</f>
        <v/>
      </c>
      <c r="C1642" s="40" t="str">
        <f>IF(Agent09_Savings!A49="","",Agent09_Savings!B49)</f>
        <v/>
      </c>
      <c r="D1642" s="40" t="str">
        <f>IF(Agent09_Savings!A49="","",Agent09_Savings!G49)</f>
        <v/>
      </c>
      <c r="E1642" s="41" t="str">
        <f>IF(Agent09_Savings!A49="","",Agent09_Savings!D49)</f>
        <v/>
      </c>
      <c r="F1642" s="42" t="str">
        <f>IF(Agent09_Savings!A49="","",Agent09_Savings!E49)</f>
        <v/>
      </c>
      <c r="G1642" s="42" t="str">
        <f>IF(Agent09_Savings!A49="","",Agent09_Savings!F49)</f>
        <v/>
      </c>
      <c r="H1642" s="40" t="str">
        <f>IF(Agent09_Savings!A49="","",Agent09_Savings!I49)</f>
        <v/>
      </c>
      <c r="I1642" s="40" t="str">
        <f>IF(Agent09_Savings!A49="","",Agent09_Savings!J49)</f>
        <v/>
      </c>
      <c r="J1642" s="40" t="str">
        <f>IF(Agent09_Savings!A49="","",Agent09_Savings!K49)</f>
        <v/>
      </c>
      <c r="K1642" s="40" t="str">
        <f>IFERROR(IF(Agent09_Savings!A49="","",YEAR(Agent09_Savings!D49)),"")</f>
        <v/>
      </c>
    </row>
    <row r="1643" spans="1:11" ht="18" customHeight="1" x14ac:dyDescent="0.25">
      <c r="A1643" s="40" t="str">
        <f>IF(Agent09_Savings!A50="","",Agent09_Savings!A50)</f>
        <v/>
      </c>
      <c r="B1643" s="40" t="str">
        <f ca="1">IF(Agent09_Savings!A50="","","SV"&amp;TEXT(1643-3,"0000")&amp;"-"&amp;TEXT(TODAY(),"YYYYMMDD"))</f>
        <v/>
      </c>
      <c r="C1643" s="40" t="str">
        <f>IF(Agent09_Savings!A50="","",Agent09_Savings!B50)</f>
        <v/>
      </c>
      <c r="D1643" s="40" t="str">
        <f>IF(Agent09_Savings!A50="","",Agent09_Savings!G50)</f>
        <v/>
      </c>
      <c r="E1643" s="41" t="str">
        <f>IF(Agent09_Savings!A50="","",Agent09_Savings!D50)</f>
        <v/>
      </c>
      <c r="F1643" s="42" t="str">
        <f>IF(Agent09_Savings!A50="","",Agent09_Savings!E50)</f>
        <v/>
      </c>
      <c r="G1643" s="42" t="str">
        <f>IF(Agent09_Savings!A50="","",Agent09_Savings!F50)</f>
        <v/>
      </c>
      <c r="H1643" s="40" t="str">
        <f>IF(Agent09_Savings!A50="","",Agent09_Savings!I50)</f>
        <v/>
      </c>
      <c r="I1643" s="40" t="str">
        <f>IF(Agent09_Savings!A50="","",Agent09_Savings!J50)</f>
        <v/>
      </c>
      <c r="J1643" s="40" t="str">
        <f>IF(Agent09_Savings!A50="","",Agent09_Savings!K50)</f>
        <v/>
      </c>
      <c r="K1643" s="40" t="str">
        <f>IFERROR(IF(Agent09_Savings!A50="","",YEAR(Agent09_Savings!D50)),"")</f>
        <v/>
      </c>
    </row>
    <row r="1644" spans="1:11" ht="18" customHeight="1" x14ac:dyDescent="0.25">
      <c r="A1644" s="40" t="str">
        <f>IF(Agent09_Savings!A51="","",Agent09_Savings!A51)</f>
        <v/>
      </c>
      <c r="B1644" s="40" t="str">
        <f ca="1">IF(Agent09_Savings!A51="","","SV"&amp;TEXT(1644-3,"0000")&amp;"-"&amp;TEXT(TODAY(),"YYYYMMDD"))</f>
        <v/>
      </c>
      <c r="C1644" s="40" t="str">
        <f>IF(Agent09_Savings!A51="","",Agent09_Savings!B51)</f>
        <v/>
      </c>
      <c r="D1644" s="40" t="str">
        <f>IF(Agent09_Savings!A51="","",Agent09_Savings!G51)</f>
        <v/>
      </c>
      <c r="E1644" s="41" t="str">
        <f>IF(Agent09_Savings!A51="","",Agent09_Savings!D51)</f>
        <v/>
      </c>
      <c r="F1644" s="42" t="str">
        <f>IF(Agent09_Savings!A51="","",Agent09_Savings!E51)</f>
        <v/>
      </c>
      <c r="G1644" s="42" t="str">
        <f>IF(Agent09_Savings!A51="","",Agent09_Savings!F51)</f>
        <v/>
      </c>
      <c r="H1644" s="40" t="str">
        <f>IF(Agent09_Savings!A51="","",Agent09_Savings!I51)</f>
        <v/>
      </c>
      <c r="I1644" s="40" t="str">
        <f>IF(Agent09_Savings!A51="","",Agent09_Savings!J51)</f>
        <v/>
      </c>
      <c r="J1644" s="40" t="str">
        <f>IF(Agent09_Savings!A51="","",Agent09_Savings!K51)</f>
        <v/>
      </c>
      <c r="K1644" s="40" t="str">
        <f>IFERROR(IF(Agent09_Savings!A51="","",YEAR(Agent09_Savings!D51)),"")</f>
        <v/>
      </c>
    </row>
    <row r="1645" spans="1:11" ht="18" customHeight="1" x14ac:dyDescent="0.25">
      <c r="A1645" s="40" t="str">
        <f>IF(Agent09_Savings!A52="","",Agent09_Savings!A52)</f>
        <v/>
      </c>
      <c r="B1645" s="40" t="str">
        <f ca="1">IF(Agent09_Savings!A52="","","SV"&amp;TEXT(1645-3,"0000")&amp;"-"&amp;TEXT(TODAY(),"YYYYMMDD"))</f>
        <v/>
      </c>
      <c r="C1645" s="40" t="str">
        <f>IF(Agent09_Savings!A52="","",Agent09_Savings!B52)</f>
        <v/>
      </c>
      <c r="D1645" s="40" t="str">
        <f>IF(Agent09_Savings!A52="","",Agent09_Savings!G52)</f>
        <v/>
      </c>
      <c r="E1645" s="41" t="str">
        <f>IF(Agent09_Savings!A52="","",Agent09_Savings!D52)</f>
        <v/>
      </c>
      <c r="F1645" s="42" t="str">
        <f>IF(Agent09_Savings!A52="","",Agent09_Savings!E52)</f>
        <v/>
      </c>
      <c r="G1645" s="42" t="str">
        <f>IF(Agent09_Savings!A52="","",Agent09_Savings!F52)</f>
        <v/>
      </c>
      <c r="H1645" s="40" t="str">
        <f>IF(Agent09_Savings!A52="","",Agent09_Savings!I52)</f>
        <v/>
      </c>
      <c r="I1645" s="40" t="str">
        <f>IF(Agent09_Savings!A52="","",Agent09_Savings!J52)</f>
        <v/>
      </c>
      <c r="J1645" s="40" t="str">
        <f>IF(Agent09_Savings!A52="","",Agent09_Savings!K52)</f>
        <v/>
      </c>
      <c r="K1645" s="40" t="str">
        <f>IFERROR(IF(Agent09_Savings!A52="","",YEAR(Agent09_Savings!D52)),"")</f>
        <v/>
      </c>
    </row>
    <row r="1646" spans="1:11" ht="18" customHeight="1" x14ac:dyDescent="0.25">
      <c r="A1646" s="40" t="str">
        <f>IF(Agent09_Savings!A53="","",Agent09_Savings!A53)</f>
        <v/>
      </c>
      <c r="B1646" s="40" t="str">
        <f ca="1">IF(Agent09_Savings!A53="","","SV"&amp;TEXT(1646-3,"0000")&amp;"-"&amp;TEXT(TODAY(),"YYYYMMDD"))</f>
        <v/>
      </c>
      <c r="C1646" s="40" t="str">
        <f>IF(Agent09_Savings!A53="","",Agent09_Savings!B53)</f>
        <v/>
      </c>
      <c r="D1646" s="40" t="str">
        <f>IF(Agent09_Savings!A53="","",Agent09_Savings!G53)</f>
        <v/>
      </c>
      <c r="E1646" s="41" t="str">
        <f>IF(Agent09_Savings!A53="","",Agent09_Savings!D53)</f>
        <v/>
      </c>
      <c r="F1646" s="42" t="str">
        <f>IF(Agent09_Savings!A53="","",Agent09_Savings!E53)</f>
        <v/>
      </c>
      <c r="G1646" s="42" t="str">
        <f>IF(Agent09_Savings!A53="","",Agent09_Savings!F53)</f>
        <v/>
      </c>
      <c r="H1646" s="40" t="str">
        <f>IF(Agent09_Savings!A53="","",Agent09_Savings!I53)</f>
        <v/>
      </c>
      <c r="I1646" s="40" t="str">
        <f>IF(Agent09_Savings!A53="","",Agent09_Savings!J53)</f>
        <v/>
      </c>
      <c r="J1646" s="40" t="str">
        <f>IF(Agent09_Savings!A53="","",Agent09_Savings!K53)</f>
        <v/>
      </c>
      <c r="K1646" s="40" t="str">
        <f>IFERROR(IF(Agent09_Savings!A53="","",YEAR(Agent09_Savings!D53)),"")</f>
        <v/>
      </c>
    </row>
    <row r="1647" spans="1:11" ht="18" customHeight="1" x14ac:dyDescent="0.25">
      <c r="A1647" s="40" t="str">
        <f>IF(Agent09_Savings!A54="","",Agent09_Savings!A54)</f>
        <v/>
      </c>
      <c r="B1647" s="40" t="str">
        <f ca="1">IF(Agent09_Savings!A54="","","SV"&amp;TEXT(1647-3,"0000")&amp;"-"&amp;TEXT(TODAY(),"YYYYMMDD"))</f>
        <v/>
      </c>
      <c r="C1647" s="40" t="str">
        <f>IF(Agent09_Savings!A54="","",Agent09_Savings!B54)</f>
        <v/>
      </c>
      <c r="D1647" s="40" t="str">
        <f>IF(Agent09_Savings!A54="","",Agent09_Savings!G54)</f>
        <v/>
      </c>
      <c r="E1647" s="41" t="str">
        <f>IF(Agent09_Savings!A54="","",Agent09_Savings!D54)</f>
        <v/>
      </c>
      <c r="F1647" s="42" t="str">
        <f>IF(Agent09_Savings!A54="","",Agent09_Savings!E54)</f>
        <v/>
      </c>
      <c r="G1647" s="42" t="str">
        <f>IF(Agent09_Savings!A54="","",Agent09_Savings!F54)</f>
        <v/>
      </c>
      <c r="H1647" s="40" t="str">
        <f>IF(Agent09_Savings!A54="","",Agent09_Savings!I54)</f>
        <v/>
      </c>
      <c r="I1647" s="40" t="str">
        <f>IF(Agent09_Savings!A54="","",Agent09_Savings!J54)</f>
        <v/>
      </c>
      <c r="J1647" s="40" t="str">
        <f>IF(Agent09_Savings!A54="","",Agent09_Savings!K54)</f>
        <v/>
      </c>
      <c r="K1647" s="40" t="str">
        <f>IFERROR(IF(Agent09_Savings!A54="","",YEAR(Agent09_Savings!D54)),"")</f>
        <v/>
      </c>
    </row>
    <row r="1648" spans="1:11" ht="18" customHeight="1" x14ac:dyDescent="0.25">
      <c r="A1648" s="40" t="str">
        <f>IF(Agent09_Savings!A55="","",Agent09_Savings!A55)</f>
        <v/>
      </c>
      <c r="B1648" s="40" t="str">
        <f ca="1">IF(Agent09_Savings!A55="","","SV"&amp;TEXT(1648-3,"0000")&amp;"-"&amp;TEXT(TODAY(),"YYYYMMDD"))</f>
        <v/>
      </c>
      <c r="C1648" s="40" t="str">
        <f>IF(Agent09_Savings!A55="","",Agent09_Savings!B55)</f>
        <v/>
      </c>
      <c r="D1648" s="40" t="str">
        <f>IF(Agent09_Savings!A55="","",Agent09_Savings!G55)</f>
        <v/>
      </c>
      <c r="E1648" s="41" t="str">
        <f>IF(Agent09_Savings!A55="","",Agent09_Savings!D55)</f>
        <v/>
      </c>
      <c r="F1648" s="42" t="str">
        <f>IF(Agent09_Savings!A55="","",Agent09_Savings!E55)</f>
        <v/>
      </c>
      <c r="G1648" s="42" t="str">
        <f>IF(Agent09_Savings!A55="","",Agent09_Savings!F55)</f>
        <v/>
      </c>
      <c r="H1648" s="40" t="str">
        <f>IF(Agent09_Savings!A55="","",Agent09_Savings!I55)</f>
        <v/>
      </c>
      <c r="I1648" s="40" t="str">
        <f>IF(Agent09_Savings!A55="","",Agent09_Savings!J55)</f>
        <v/>
      </c>
      <c r="J1648" s="40" t="str">
        <f>IF(Agent09_Savings!A55="","",Agent09_Savings!K55)</f>
        <v/>
      </c>
      <c r="K1648" s="40" t="str">
        <f>IFERROR(IF(Agent09_Savings!A55="","",YEAR(Agent09_Savings!D55)),"")</f>
        <v/>
      </c>
    </row>
    <row r="1649" spans="1:11" ht="18" customHeight="1" x14ac:dyDescent="0.25">
      <c r="A1649" s="40" t="str">
        <f>IF(Agent09_Savings!A56="","",Agent09_Savings!A56)</f>
        <v/>
      </c>
      <c r="B1649" s="40" t="str">
        <f ca="1">IF(Agent09_Savings!A56="","","SV"&amp;TEXT(1649-3,"0000")&amp;"-"&amp;TEXT(TODAY(),"YYYYMMDD"))</f>
        <v/>
      </c>
      <c r="C1649" s="40" t="str">
        <f>IF(Agent09_Savings!A56="","",Agent09_Savings!B56)</f>
        <v/>
      </c>
      <c r="D1649" s="40" t="str">
        <f>IF(Agent09_Savings!A56="","",Agent09_Savings!G56)</f>
        <v/>
      </c>
      <c r="E1649" s="41" t="str">
        <f>IF(Agent09_Savings!A56="","",Agent09_Savings!D56)</f>
        <v/>
      </c>
      <c r="F1649" s="42" t="str">
        <f>IF(Agent09_Savings!A56="","",Agent09_Savings!E56)</f>
        <v/>
      </c>
      <c r="G1649" s="42" t="str">
        <f>IF(Agent09_Savings!A56="","",Agent09_Savings!F56)</f>
        <v/>
      </c>
      <c r="H1649" s="40" t="str">
        <f>IF(Agent09_Savings!A56="","",Agent09_Savings!I56)</f>
        <v/>
      </c>
      <c r="I1649" s="40" t="str">
        <f>IF(Agent09_Savings!A56="","",Agent09_Savings!J56)</f>
        <v/>
      </c>
      <c r="J1649" s="40" t="str">
        <f>IF(Agent09_Savings!A56="","",Agent09_Savings!K56)</f>
        <v/>
      </c>
      <c r="K1649" s="40" t="str">
        <f>IFERROR(IF(Agent09_Savings!A56="","",YEAR(Agent09_Savings!D56)),"")</f>
        <v/>
      </c>
    </row>
    <row r="1650" spans="1:11" ht="18" customHeight="1" x14ac:dyDescent="0.25">
      <c r="A1650" s="40" t="str">
        <f>IF(Agent09_Savings!A57="","",Agent09_Savings!A57)</f>
        <v/>
      </c>
      <c r="B1650" s="40" t="str">
        <f ca="1">IF(Agent09_Savings!A57="","","SV"&amp;TEXT(1650-3,"0000")&amp;"-"&amp;TEXT(TODAY(),"YYYYMMDD"))</f>
        <v/>
      </c>
      <c r="C1650" s="40" t="str">
        <f>IF(Agent09_Savings!A57="","",Agent09_Savings!B57)</f>
        <v/>
      </c>
      <c r="D1650" s="40" t="str">
        <f>IF(Agent09_Savings!A57="","",Agent09_Savings!G57)</f>
        <v/>
      </c>
      <c r="E1650" s="41" t="str">
        <f>IF(Agent09_Savings!A57="","",Agent09_Savings!D57)</f>
        <v/>
      </c>
      <c r="F1650" s="42" t="str">
        <f>IF(Agent09_Savings!A57="","",Agent09_Savings!E57)</f>
        <v/>
      </c>
      <c r="G1650" s="42" t="str">
        <f>IF(Agent09_Savings!A57="","",Agent09_Savings!F57)</f>
        <v/>
      </c>
      <c r="H1650" s="40" t="str">
        <f>IF(Agent09_Savings!A57="","",Agent09_Savings!I57)</f>
        <v/>
      </c>
      <c r="I1650" s="40" t="str">
        <f>IF(Agent09_Savings!A57="","",Agent09_Savings!J57)</f>
        <v/>
      </c>
      <c r="J1650" s="40" t="str">
        <f>IF(Agent09_Savings!A57="","",Agent09_Savings!K57)</f>
        <v/>
      </c>
      <c r="K1650" s="40" t="str">
        <f>IFERROR(IF(Agent09_Savings!A57="","",YEAR(Agent09_Savings!D57)),"")</f>
        <v/>
      </c>
    </row>
    <row r="1651" spans="1:11" ht="18" customHeight="1" x14ac:dyDescent="0.25">
      <c r="A1651" s="40" t="str">
        <f>IF(Agent09_Savings!A58="","",Agent09_Savings!A58)</f>
        <v/>
      </c>
      <c r="B1651" s="40" t="str">
        <f ca="1">IF(Agent09_Savings!A58="","","SV"&amp;TEXT(1651-3,"0000")&amp;"-"&amp;TEXT(TODAY(),"YYYYMMDD"))</f>
        <v/>
      </c>
      <c r="C1651" s="40" t="str">
        <f>IF(Agent09_Savings!A58="","",Agent09_Savings!B58)</f>
        <v/>
      </c>
      <c r="D1651" s="40" t="str">
        <f>IF(Agent09_Savings!A58="","",Agent09_Savings!G58)</f>
        <v/>
      </c>
      <c r="E1651" s="41" t="str">
        <f>IF(Agent09_Savings!A58="","",Agent09_Savings!D58)</f>
        <v/>
      </c>
      <c r="F1651" s="42" t="str">
        <f>IF(Agent09_Savings!A58="","",Agent09_Savings!E58)</f>
        <v/>
      </c>
      <c r="G1651" s="42" t="str">
        <f>IF(Agent09_Savings!A58="","",Agent09_Savings!F58)</f>
        <v/>
      </c>
      <c r="H1651" s="40" t="str">
        <f>IF(Agent09_Savings!A58="","",Agent09_Savings!I58)</f>
        <v/>
      </c>
      <c r="I1651" s="40" t="str">
        <f>IF(Agent09_Savings!A58="","",Agent09_Savings!J58)</f>
        <v/>
      </c>
      <c r="J1651" s="40" t="str">
        <f>IF(Agent09_Savings!A58="","",Agent09_Savings!K58)</f>
        <v/>
      </c>
      <c r="K1651" s="40" t="str">
        <f>IFERROR(IF(Agent09_Savings!A58="","",YEAR(Agent09_Savings!D58)),"")</f>
        <v/>
      </c>
    </row>
    <row r="1652" spans="1:11" ht="18" customHeight="1" x14ac:dyDescent="0.25">
      <c r="A1652" s="40" t="str">
        <f>IF(Agent09_Savings!A59="","",Agent09_Savings!A59)</f>
        <v/>
      </c>
      <c r="B1652" s="40" t="str">
        <f ca="1">IF(Agent09_Savings!A59="","","SV"&amp;TEXT(1652-3,"0000")&amp;"-"&amp;TEXT(TODAY(),"YYYYMMDD"))</f>
        <v/>
      </c>
      <c r="C1652" s="40" t="str">
        <f>IF(Agent09_Savings!A59="","",Agent09_Savings!B59)</f>
        <v/>
      </c>
      <c r="D1652" s="40" t="str">
        <f>IF(Agent09_Savings!A59="","",Agent09_Savings!G59)</f>
        <v/>
      </c>
      <c r="E1652" s="41" t="str">
        <f>IF(Agent09_Savings!A59="","",Agent09_Savings!D59)</f>
        <v/>
      </c>
      <c r="F1652" s="42" t="str">
        <f>IF(Agent09_Savings!A59="","",Agent09_Savings!E59)</f>
        <v/>
      </c>
      <c r="G1652" s="42" t="str">
        <f>IF(Agent09_Savings!A59="","",Agent09_Savings!F59)</f>
        <v/>
      </c>
      <c r="H1652" s="40" t="str">
        <f>IF(Agent09_Savings!A59="","",Agent09_Savings!I59)</f>
        <v/>
      </c>
      <c r="I1652" s="40" t="str">
        <f>IF(Agent09_Savings!A59="","",Agent09_Savings!J59)</f>
        <v/>
      </c>
      <c r="J1652" s="40" t="str">
        <f>IF(Agent09_Savings!A59="","",Agent09_Savings!K59)</f>
        <v/>
      </c>
      <c r="K1652" s="40" t="str">
        <f>IFERROR(IF(Agent09_Savings!A59="","",YEAR(Agent09_Savings!D59)),"")</f>
        <v/>
      </c>
    </row>
    <row r="1653" spans="1:11" ht="18" customHeight="1" x14ac:dyDescent="0.25">
      <c r="A1653" s="40" t="str">
        <f>IF(Agent09_Savings!A60="","",Agent09_Savings!A60)</f>
        <v/>
      </c>
      <c r="B1653" s="40" t="str">
        <f ca="1">IF(Agent09_Savings!A60="","","SV"&amp;TEXT(1653-3,"0000")&amp;"-"&amp;TEXT(TODAY(),"YYYYMMDD"))</f>
        <v/>
      </c>
      <c r="C1653" s="40" t="str">
        <f>IF(Agent09_Savings!A60="","",Agent09_Savings!B60)</f>
        <v/>
      </c>
      <c r="D1653" s="40" t="str">
        <f>IF(Agent09_Savings!A60="","",Agent09_Savings!G60)</f>
        <v/>
      </c>
      <c r="E1653" s="41" t="str">
        <f>IF(Agent09_Savings!A60="","",Agent09_Savings!D60)</f>
        <v/>
      </c>
      <c r="F1653" s="42" t="str">
        <f>IF(Agent09_Savings!A60="","",Agent09_Savings!E60)</f>
        <v/>
      </c>
      <c r="G1653" s="42" t="str">
        <f>IF(Agent09_Savings!A60="","",Agent09_Savings!F60)</f>
        <v/>
      </c>
      <c r="H1653" s="40" t="str">
        <f>IF(Agent09_Savings!A60="","",Agent09_Savings!I60)</f>
        <v/>
      </c>
      <c r="I1653" s="40" t="str">
        <f>IF(Agent09_Savings!A60="","",Agent09_Savings!J60)</f>
        <v/>
      </c>
      <c r="J1653" s="40" t="str">
        <f>IF(Agent09_Savings!A60="","",Agent09_Savings!K60)</f>
        <v/>
      </c>
      <c r="K1653" s="40" t="str">
        <f>IFERROR(IF(Agent09_Savings!A60="","",YEAR(Agent09_Savings!D60)),"")</f>
        <v/>
      </c>
    </row>
    <row r="1654" spans="1:11" ht="18" customHeight="1" x14ac:dyDescent="0.25">
      <c r="A1654" s="40" t="str">
        <f>IF(Agent09_Savings!A61="","",Agent09_Savings!A61)</f>
        <v/>
      </c>
      <c r="B1654" s="40" t="str">
        <f ca="1">IF(Agent09_Savings!A61="","","SV"&amp;TEXT(1654-3,"0000")&amp;"-"&amp;TEXT(TODAY(),"YYYYMMDD"))</f>
        <v/>
      </c>
      <c r="C1654" s="40" t="str">
        <f>IF(Agent09_Savings!A61="","",Agent09_Savings!B61)</f>
        <v/>
      </c>
      <c r="D1654" s="40" t="str">
        <f>IF(Agent09_Savings!A61="","",Agent09_Savings!G61)</f>
        <v/>
      </c>
      <c r="E1654" s="41" t="str">
        <f>IF(Agent09_Savings!A61="","",Agent09_Savings!D61)</f>
        <v/>
      </c>
      <c r="F1654" s="42" t="str">
        <f>IF(Agent09_Savings!A61="","",Agent09_Savings!E61)</f>
        <v/>
      </c>
      <c r="G1654" s="42" t="str">
        <f>IF(Agent09_Savings!A61="","",Agent09_Savings!F61)</f>
        <v/>
      </c>
      <c r="H1654" s="40" t="str">
        <f>IF(Agent09_Savings!A61="","",Agent09_Savings!I61)</f>
        <v/>
      </c>
      <c r="I1654" s="40" t="str">
        <f>IF(Agent09_Savings!A61="","",Agent09_Savings!J61)</f>
        <v/>
      </c>
      <c r="J1654" s="40" t="str">
        <f>IF(Agent09_Savings!A61="","",Agent09_Savings!K61)</f>
        <v/>
      </c>
      <c r="K1654" s="40" t="str">
        <f>IFERROR(IF(Agent09_Savings!A61="","",YEAR(Agent09_Savings!D61)),"")</f>
        <v/>
      </c>
    </row>
    <row r="1655" spans="1:11" ht="18" customHeight="1" x14ac:dyDescent="0.25">
      <c r="A1655" s="40" t="str">
        <f>IF(Agent09_Savings!A62="","",Agent09_Savings!A62)</f>
        <v/>
      </c>
      <c r="B1655" s="40" t="str">
        <f ca="1">IF(Agent09_Savings!A62="","","SV"&amp;TEXT(1655-3,"0000")&amp;"-"&amp;TEXT(TODAY(),"YYYYMMDD"))</f>
        <v/>
      </c>
      <c r="C1655" s="40" t="str">
        <f>IF(Agent09_Savings!A62="","",Agent09_Savings!B62)</f>
        <v/>
      </c>
      <c r="D1655" s="40" t="str">
        <f>IF(Agent09_Savings!A62="","",Agent09_Savings!G62)</f>
        <v/>
      </c>
      <c r="E1655" s="41" t="str">
        <f>IF(Agent09_Savings!A62="","",Agent09_Savings!D62)</f>
        <v/>
      </c>
      <c r="F1655" s="42" t="str">
        <f>IF(Agent09_Savings!A62="","",Agent09_Savings!E62)</f>
        <v/>
      </c>
      <c r="G1655" s="42" t="str">
        <f>IF(Agent09_Savings!A62="","",Agent09_Savings!F62)</f>
        <v/>
      </c>
      <c r="H1655" s="40" t="str">
        <f>IF(Agent09_Savings!A62="","",Agent09_Savings!I62)</f>
        <v/>
      </c>
      <c r="I1655" s="40" t="str">
        <f>IF(Agent09_Savings!A62="","",Agent09_Savings!J62)</f>
        <v/>
      </c>
      <c r="J1655" s="40" t="str">
        <f>IF(Agent09_Savings!A62="","",Agent09_Savings!K62)</f>
        <v/>
      </c>
      <c r="K1655" s="40" t="str">
        <f>IFERROR(IF(Agent09_Savings!A62="","",YEAR(Agent09_Savings!D62)),"")</f>
        <v/>
      </c>
    </row>
    <row r="1656" spans="1:11" ht="18" customHeight="1" x14ac:dyDescent="0.25">
      <c r="A1656" s="40" t="str">
        <f>IF(Agent09_Savings!A63="","",Agent09_Savings!A63)</f>
        <v/>
      </c>
      <c r="B1656" s="40" t="str">
        <f ca="1">IF(Agent09_Savings!A63="","","SV"&amp;TEXT(1656-3,"0000")&amp;"-"&amp;TEXT(TODAY(),"YYYYMMDD"))</f>
        <v/>
      </c>
      <c r="C1656" s="40" t="str">
        <f>IF(Agent09_Savings!A63="","",Agent09_Savings!B63)</f>
        <v/>
      </c>
      <c r="D1656" s="40" t="str">
        <f>IF(Agent09_Savings!A63="","",Agent09_Savings!G63)</f>
        <v/>
      </c>
      <c r="E1656" s="41" t="str">
        <f>IF(Agent09_Savings!A63="","",Agent09_Savings!D63)</f>
        <v/>
      </c>
      <c r="F1656" s="42" t="str">
        <f>IF(Agent09_Savings!A63="","",Agent09_Savings!E63)</f>
        <v/>
      </c>
      <c r="G1656" s="42" t="str">
        <f>IF(Agent09_Savings!A63="","",Agent09_Savings!F63)</f>
        <v/>
      </c>
      <c r="H1656" s="40" t="str">
        <f>IF(Agent09_Savings!A63="","",Agent09_Savings!I63)</f>
        <v/>
      </c>
      <c r="I1656" s="40" t="str">
        <f>IF(Agent09_Savings!A63="","",Agent09_Savings!J63)</f>
        <v/>
      </c>
      <c r="J1656" s="40" t="str">
        <f>IF(Agent09_Savings!A63="","",Agent09_Savings!K63)</f>
        <v/>
      </c>
      <c r="K1656" s="40" t="str">
        <f>IFERROR(IF(Agent09_Savings!A63="","",YEAR(Agent09_Savings!D63)),"")</f>
        <v/>
      </c>
    </row>
    <row r="1657" spans="1:11" ht="18" customHeight="1" x14ac:dyDescent="0.25">
      <c r="A1657" s="40" t="str">
        <f>IF(Agent09_Savings!A64="","",Agent09_Savings!A64)</f>
        <v/>
      </c>
      <c r="B1657" s="40" t="str">
        <f ca="1">IF(Agent09_Savings!A64="","","SV"&amp;TEXT(1657-3,"0000")&amp;"-"&amp;TEXT(TODAY(),"YYYYMMDD"))</f>
        <v/>
      </c>
      <c r="C1657" s="40" t="str">
        <f>IF(Agent09_Savings!A64="","",Agent09_Savings!B64)</f>
        <v/>
      </c>
      <c r="D1657" s="40" t="str">
        <f>IF(Agent09_Savings!A64="","",Agent09_Savings!G64)</f>
        <v/>
      </c>
      <c r="E1657" s="41" t="str">
        <f>IF(Agent09_Savings!A64="","",Agent09_Savings!D64)</f>
        <v/>
      </c>
      <c r="F1657" s="42" t="str">
        <f>IF(Agent09_Savings!A64="","",Agent09_Savings!E64)</f>
        <v/>
      </c>
      <c r="G1657" s="42" t="str">
        <f>IF(Agent09_Savings!A64="","",Agent09_Savings!F64)</f>
        <v/>
      </c>
      <c r="H1657" s="40" t="str">
        <f>IF(Agent09_Savings!A64="","",Agent09_Savings!I64)</f>
        <v/>
      </c>
      <c r="I1657" s="40" t="str">
        <f>IF(Agent09_Savings!A64="","",Agent09_Savings!J64)</f>
        <v/>
      </c>
      <c r="J1657" s="40" t="str">
        <f>IF(Agent09_Savings!A64="","",Agent09_Savings!K64)</f>
        <v/>
      </c>
      <c r="K1657" s="40" t="str">
        <f>IFERROR(IF(Agent09_Savings!A64="","",YEAR(Agent09_Savings!D64)),"")</f>
        <v/>
      </c>
    </row>
    <row r="1658" spans="1:11" ht="18" customHeight="1" x14ac:dyDescent="0.25">
      <c r="A1658" s="40" t="str">
        <f>IF(Agent09_Savings!A65="","",Agent09_Savings!A65)</f>
        <v/>
      </c>
      <c r="B1658" s="40" t="str">
        <f ca="1">IF(Agent09_Savings!A65="","","SV"&amp;TEXT(1658-3,"0000")&amp;"-"&amp;TEXT(TODAY(),"YYYYMMDD"))</f>
        <v/>
      </c>
      <c r="C1658" s="40" t="str">
        <f>IF(Agent09_Savings!A65="","",Agent09_Savings!B65)</f>
        <v/>
      </c>
      <c r="D1658" s="40" t="str">
        <f>IF(Agent09_Savings!A65="","",Agent09_Savings!G65)</f>
        <v/>
      </c>
      <c r="E1658" s="41" t="str">
        <f>IF(Agent09_Savings!A65="","",Agent09_Savings!D65)</f>
        <v/>
      </c>
      <c r="F1658" s="42" t="str">
        <f>IF(Agent09_Savings!A65="","",Agent09_Savings!E65)</f>
        <v/>
      </c>
      <c r="G1658" s="42" t="str">
        <f>IF(Agent09_Savings!A65="","",Agent09_Savings!F65)</f>
        <v/>
      </c>
      <c r="H1658" s="40" t="str">
        <f>IF(Agent09_Savings!A65="","",Agent09_Savings!I65)</f>
        <v/>
      </c>
      <c r="I1658" s="40" t="str">
        <f>IF(Agent09_Savings!A65="","",Agent09_Savings!J65)</f>
        <v/>
      </c>
      <c r="J1658" s="40" t="str">
        <f>IF(Agent09_Savings!A65="","",Agent09_Savings!K65)</f>
        <v/>
      </c>
      <c r="K1658" s="40" t="str">
        <f>IFERROR(IF(Agent09_Savings!A65="","",YEAR(Agent09_Savings!D65)),"")</f>
        <v/>
      </c>
    </row>
    <row r="1659" spans="1:11" ht="18" customHeight="1" x14ac:dyDescent="0.25">
      <c r="A1659" s="40" t="str">
        <f>IF(Agent09_Savings!A66="","",Agent09_Savings!A66)</f>
        <v/>
      </c>
      <c r="B1659" s="40" t="str">
        <f ca="1">IF(Agent09_Savings!A66="","","SV"&amp;TEXT(1659-3,"0000")&amp;"-"&amp;TEXT(TODAY(),"YYYYMMDD"))</f>
        <v/>
      </c>
      <c r="C1659" s="40" t="str">
        <f>IF(Agent09_Savings!A66="","",Agent09_Savings!B66)</f>
        <v/>
      </c>
      <c r="D1659" s="40" t="str">
        <f>IF(Agent09_Savings!A66="","",Agent09_Savings!G66)</f>
        <v/>
      </c>
      <c r="E1659" s="41" t="str">
        <f>IF(Agent09_Savings!A66="","",Agent09_Savings!D66)</f>
        <v/>
      </c>
      <c r="F1659" s="42" t="str">
        <f>IF(Agent09_Savings!A66="","",Agent09_Savings!E66)</f>
        <v/>
      </c>
      <c r="G1659" s="42" t="str">
        <f>IF(Agent09_Savings!A66="","",Agent09_Savings!F66)</f>
        <v/>
      </c>
      <c r="H1659" s="40" t="str">
        <f>IF(Agent09_Savings!A66="","",Agent09_Savings!I66)</f>
        <v/>
      </c>
      <c r="I1659" s="40" t="str">
        <f>IF(Agent09_Savings!A66="","",Agent09_Savings!J66)</f>
        <v/>
      </c>
      <c r="J1659" s="40" t="str">
        <f>IF(Agent09_Savings!A66="","",Agent09_Savings!K66)</f>
        <v/>
      </c>
      <c r="K1659" s="40" t="str">
        <f>IFERROR(IF(Agent09_Savings!A66="","",YEAR(Agent09_Savings!D66)),"")</f>
        <v/>
      </c>
    </row>
    <row r="1660" spans="1:11" ht="18" customHeight="1" x14ac:dyDescent="0.25">
      <c r="A1660" s="40" t="str">
        <f>IF(Agent09_Savings!A67="","",Agent09_Savings!A67)</f>
        <v/>
      </c>
      <c r="B1660" s="40" t="str">
        <f ca="1">IF(Agent09_Savings!A67="","","SV"&amp;TEXT(1660-3,"0000")&amp;"-"&amp;TEXT(TODAY(),"YYYYMMDD"))</f>
        <v/>
      </c>
      <c r="C1660" s="40" t="str">
        <f>IF(Agent09_Savings!A67="","",Agent09_Savings!B67)</f>
        <v/>
      </c>
      <c r="D1660" s="40" t="str">
        <f>IF(Agent09_Savings!A67="","",Agent09_Savings!G67)</f>
        <v/>
      </c>
      <c r="E1660" s="41" t="str">
        <f>IF(Agent09_Savings!A67="","",Agent09_Savings!D67)</f>
        <v/>
      </c>
      <c r="F1660" s="42" t="str">
        <f>IF(Agent09_Savings!A67="","",Agent09_Savings!E67)</f>
        <v/>
      </c>
      <c r="G1660" s="42" t="str">
        <f>IF(Agent09_Savings!A67="","",Agent09_Savings!F67)</f>
        <v/>
      </c>
      <c r="H1660" s="40" t="str">
        <f>IF(Agent09_Savings!A67="","",Agent09_Savings!I67)</f>
        <v/>
      </c>
      <c r="I1660" s="40" t="str">
        <f>IF(Agent09_Savings!A67="","",Agent09_Savings!J67)</f>
        <v/>
      </c>
      <c r="J1660" s="40" t="str">
        <f>IF(Agent09_Savings!A67="","",Agent09_Savings!K67)</f>
        <v/>
      </c>
      <c r="K1660" s="40" t="str">
        <f>IFERROR(IF(Agent09_Savings!A67="","",YEAR(Agent09_Savings!D67)),"")</f>
        <v/>
      </c>
    </row>
    <row r="1661" spans="1:11" ht="18" customHeight="1" x14ac:dyDescent="0.25">
      <c r="A1661" s="40" t="str">
        <f>IF(Agent09_Savings!A68="","",Agent09_Savings!A68)</f>
        <v/>
      </c>
      <c r="B1661" s="40" t="str">
        <f ca="1">IF(Agent09_Savings!A68="","","SV"&amp;TEXT(1661-3,"0000")&amp;"-"&amp;TEXT(TODAY(),"YYYYMMDD"))</f>
        <v/>
      </c>
      <c r="C1661" s="40" t="str">
        <f>IF(Agent09_Savings!A68="","",Agent09_Savings!B68)</f>
        <v/>
      </c>
      <c r="D1661" s="40" t="str">
        <f>IF(Agent09_Savings!A68="","",Agent09_Savings!G68)</f>
        <v/>
      </c>
      <c r="E1661" s="41" t="str">
        <f>IF(Agent09_Savings!A68="","",Agent09_Savings!D68)</f>
        <v/>
      </c>
      <c r="F1661" s="42" t="str">
        <f>IF(Agent09_Savings!A68="","",Agent09_Savings!E68)</f>
        <v/>
      </c>
      <c r="G1661" s="42" t="str">
        <f>IF(Agent09_Savings!A68="","",Agent09_Savings!F68)</f>
        <v/>
      </c>
      <c r="H1661" s="40" t="str">
        <f>IF(Agent09_Savings!A68="","",Agent09_Savings!I68)</f>
        <v/>
      </c>
      <c r="I1661" s="40" t="str">
        <f>IF(Agent09_Savings!A68="","",Agent09_Savings!J68)</f>
        <v/>
      </c>
      <c r="J1661" s="40" t="str">
        <f>IF(Agent09_Savings!A68="","",Agent09_Savings!K68)</f>
        <v/>
      </c>
      <c r="K1661" s="40" t="str">
        <f>IFERROR(IF(Agent09_Savings!A68="","",YEAR(Agent09_Savings!D68)),"")</f>
        <v/>
      </c>
    </row>
    <row r="1662" spans="1:11" ht="18" customHeight="1" x14ac:dyDescent="0.25">
      <c r="A1662" s="40" t="str">
        <f>IF(Agent09_Savings!A69="","",Agent09_Savings!A69)</f>
        <v/>
      </c>
      <c r="B1662" s="40" t="str">
        <f ca="1">IF(Agent09_Savings!A69="","","SV"&amp;TEXT(1662-3,"0000")&amp;"-"&amp;TEXT(TODAY(),"YYYYMMDD"))</f>
        <v/>
      </c>
      <c r="C1662" s="40" t="str">
        <f>IF(Agent09_Savings!A69="","",Agent09_Savings!B69)</f>
        <v/>
      </c>
      <c r="D1662" s="40" t="str">
        <f>IF(Agent09_Savings!A69="","",Agent09_Savings!G69)</f>
        <v/>
      </c>
      <c r="E1662" s="41" t="str">
        <f>IF(Agent09_Savings!A69="","",Agent09_Savings!D69)</f>
        <v/>
      </c>
      <c r="F1662" s="42" t="str">
        <f>IF(Agent09_Savings!A69="","",Agent09_Savings!E69)</f>
        <v/>
      </c>
      <c r="G1662" s="42" t="str">
        <f>IF(Agent09_Savings!A69="","",Agent09_Savings!F69)</f>
        <v/>
      </c>
      <c r="H1662" s="40" t="str">
        <f>IF(Agent09_Savings!A69="","",Agent09_Savings!I69)</f>
        <v/>
      </c>
      <c r="I1662" s="40" t="str">
        <f>IF(Agent09_Savings!A69="","",Agent09_Savings!J69)</f>
        <v/>
      </c>
      <c r="J1662" s="40" t="str">
        <f>IF(Agent09_Savings!A69="","",Agent09_Savings!K69)</f>
        <v/>
      </c>
      <c r="K1662" s="40" t="str">
        <f>IFERROR(IF(Agent09_Savings!A69="","",YEAR(Agent09_Savings!D69)),"")</f>
        <v/>
      </c>
    </row>
    <row r="1663" spans="1:11" ht="18" customHeight="1" x14ac:dyDescent="0.25">
      <c r="A1663" s="40" t="str">
        <f>IF(Agent09_Savings!A70="","",Agent09_Savings!A70)</f>
        <v/>
      </c>
      <c r="B1663" s="40" t="str">
        <f ca="1">IF(Agent09_Savings!A70="","","SV"&amp;TEXT(1663-3,"0000")&amp;"-"&amp;TEXT(TODAY(),"YYYYMMDD"))</f>
        <v/>
      </c>
      <c r="C1663" s="40" t="str">
        <f>IF(Agent09_Savings!A70="","",Agent09_Savings!B70)</f>
        <v/>
      </c>
      <c r="D1663" s="40" t="str">
        <f>IF(Agent09_Savings!A70="","",Agent09_Savings!G70)</f>
        <v/>
      </c>
      <c r="E1663" s="41" t="str">
        <f>IF(Agent09_Savings!A70="","",Agent09_Savings!D70)</f>
        <v/>
      </c>
      <c r="F1663" s="42" t="str">
        <f>IF(Agent09_Savings!A70="","",Agent09_Savings!E70)</f>
        <v/>
      </c>
      <c r="G1663" s="42" t="str">
        <f>IF(Agent09_Savings!A70="","",Agent09_Savings!F70)</f>
        <v/>
      </c>
      <c r="H1663" s="40" t="str">
        <f>IF(Agent09_Savings!A70="","",Agent09_Savings!I70)</f>
        <v/>
      </c>
      <c r="I1663" s="40" t="str">
        <f>IF(Agent09_Savings!A70="","",Agent09_Savings!J70)</f>
        <v/>
      </c>
      <c r="J1663" s="40" t="str">
        <f>IF(Agent09_Savings!A70="","",Agent09_Savings!K70)</f>
        <v/>
      </c>
      <c r="K1663" s="40" t="str">
        <f>IFERROR(IF(Agent09_Savings!A70="","",YEAR(Agent09_Savings!D70)),"")</f>
        <v/>
      </c>
    </row>
    <row r="1664" spans="1:11" ht="18" customHeight="1" x14ac:dyDescent="0.25">
      <c r="A1664" s="40" t="str">
        <f>IF(Agent09_Savings!A71="","",Agent09_Savings!A71)</f>
        <v/>
      </c>
      <c r="B1664" s="40" t="str">
        <f ca="1">IF(Agent09_Savings!A71="","","SV"&amp;TEXT(1664-3,"0000")&amp;"-"&amp;TEXT(TODAY(),"YYYYMMDD"))</f>
        <v/>
      </c>
      <c r="C1664" s="40" t="str">
        <f>IF(Agent09_Savings!A71="","",Agent09_Savings!B71)</f>
        <v/>
      </c>
      <c r="D1664" s="40" t="str">
        <f>IF(Agent09_Savings!A71="","",Agent09_Savings!G71)</f>
        <v/>
      </c>
      <c r="E1664" s="41" t="str">
        <f>IF(Agent09_Savings!A71="","",Agent09_Savings!D71)</f>
        <v/>
      </c>
      <c r="F1664" s="42" t="str">
        <f>IF(Agent09_Savings!A71="","",Agent09_Savings!E71)</f>
        <v/>
      </c>
      <c r="G1664" s="42" t="str">
        <f>IF(Agent09_Savings!A71="","",Agent09_Savings!F71)</f>
        <v/>
      </c>
      <c r="H1664" s="40" t="str">
        <f>IF(Agent09_Savings!A71="","",Agent09_Savings!I71)</f>
        <v/>
      </c>
      <c r="I1664" s="40" t="str">
        <f>IF(Agent09_Savings!A71="","",Agent09_Savings!J71)</f>
        <v/>
      </c>
      <c r="J1664" s="40" t="str">
        <f>IF(Agent09_Savings!A71="","",Agent09_Savings!K71)</f>
        <v/>
      </c>
      <c r="K1664" s="40" t="str">
        <f>IFERROR(IF(Agent09_Savings!A71="","",YEAR(Agent09_Savings!D71)),"")</f>
        <v/>
      </c>
    </row>
    <row r="1665" spans="1:11" ht="18" customHeight="1" x14ac:dyDescent="0.25">
      <c r="A1665" s="40" t="str">
        <f>IF(Agent09_Savings!A72="","",Agent09_Savings!A72)</f>
        <v/>
      </c>
      <c r="B1665" s="40" t="str">
        <f ca="1">IF(Agent09_Savings!A72="","","SV"&amp;TEXT(1665-3,"0000")&amp;"-"&amp;TEXT(TODAY(),"YYYYMMDD"))</f>
        <v/>
      </c>
      <c r="C1665" s="40" t="str">
        <f>IF(Agent09_Savings!A72="","",Agent09_Savings!B72)</f>
        <v/>
      </c>
      <c r="D1665" s="40" t="str">
        <f>IF(Agent09_Savings!A72="","",Agent09_Savings!G72)</f>
        <v/>
      </c>
      <c r="E1665" s="41" t="str">
        <f>IF(Agent09_Savings!A72="","",Agent09_Savings!D72)</f>
        <v/>
      </c>
      <c r="F1665" s="42" t="str">
        <f>IF(Agent09_Savings!A72="","",Agent09_Savings!E72)</f>
        <v/>
      </c>
      <c r="G1665" s="42" t="str">
        <f>IF(Agent09_Savings!A72="","",Agent09_Savings!F72)</f>
        <v/>
      </c>
      <c r="H1665" s="40" t="str">
        <f>IF(Agent09_Savings!A72="","",Agent09_Savings!I72)</f>
        <v/>
      </c>
      <c r="I1665" s="40" t="str">
        <f>IF(Agent09_Savings!A72="","",Agent09_Savings!J72)</f>
        <v/>
      </c>
      <c r="J1665" s="40" t="str">
        <f>IF(Agent09_Savings!A72="","",Agent09_Savings!K72)</f>
        <v/>
      </c>
      <c r="K1665" s="40" t="str">
        <f>IFERROR(IF(Agent09_Savings!A72="","",YEAR(Agent09_Savings!D72)),"")</f>
        <v/>
      </c>
    </row>
    <row r="1666" spans="1:11" ht="18" customHeight="1" x14ac:dyDescent="0.25">
      <c r="A1666" s="40" t="str">
        <f>IF(Agent09_Savings!A73="","",Agent09_Savings!A73)</f>
        <v/>
      </c>
      <c r="B1666" s="40" t="str">
        <f ca="1">IF(Agent09_Savings!A73="","","SV"&amp;TEXT(1666-3,"0000")&amp;"-"&amp;TEXT(TODAY(),"YYYYMMDD"))</f>
        <v/>
      </c>
      <c r="C1666" s="40" t="str">
        <f>IF(Agent09_Savings!A73="","",Agent09_Savings!B73)</f>
        <v/>
      </c>
      <c r="D1666" s="40" t="str">
        <f>IF(Agent09_Savings!A73="","",Agent09_Savings!G73)</f>
        <v/>
      </c>
      <c r="E1666" s="41" t="str">
        <f>IF(Agent09_Savings!A73="","",Agent09_Savings!D73)</f>
        <v/>
      </c>
      <c r="F1666" s="42" t="str">
        <f>IF(Agent09_Savings!A73="","",Agent09_Savings!E73)</f>
        <v/>
      </c>
      <c r="G1666" s="42" t="str">
        <f>IF(Agent09_Savings!A73="","",Agent09_Savings!F73)</f>
        <v/>
      </c>
      <c r="H1666" s="40" t="str">
        <f>IF(Agent09_Savings!A73="","",Agent09_Savings!I73)</f>
        <v/>
      </c>
      <c r="I1666" s="40" t="str">
        <f>IF(Agent09_Savings!A73="","",Agent09_Savings!J73)</f>
        <v/>
      </c>
      <c r="J1666" s="40" t="str">
        <f>IF(Agent09_Savings!A73="","",Agent09_Savings!K73)</f>
        <v/>
      </c>
      <c r="K1666" s="40" t="str">
        <f>IFERROR(IF(Agent09_Savings!A73="","",YEAR(Agent09_Savings!D73)),"")</f>
        <v/>
      </c>
    </row>
    <row r="1667" spans="1:11" ht="18" customHeight="1" x14ac:dyDescent="0.25">
      <c r="A1667" s="40" t="str">
        <f>IF(Agent09_Savings!A74="","",Agent09_Savings!A74)</f>
        <v/>
      </c>
      <c r="B1667" s="40" t="str">
        <f ca="1">IF(Agent09_Savings!A74="","","SV"&amp;TEXT(1667-3,"0000")&amp;"-"&amp;TEXT(TODAY(),"YYYYMMDD"))</f>
        <v/>
      </c>
      <c r="C1667" s="40" t="str">
        <f>IF(Agent09_Savings!A74="","",Agent09_Savings!B74)</f>
        <v/>
      </c>
      <c r="D1667" s="40" t="str">
        <f>IF(Agent09_Savings!A74="","",Agent09_Savings!G74)</f>
        <v/>
      </c>
      <c r="E1667" s="41" t="str">
        <f>IF(Agent09_Savings!A74="","",Agent09_Savings!D74)</f>
        <v/>
      </c>
      <c r="F1667" s="42" t="str">
        <f>IF(Agent09_Savings!A74="","",Agent09_Savings!E74)</f>
        <v/>
      </c>
      <c r="G1667" s="42" t="str">
        <f>IF(Agent09_Savings!A74="","",Agent09_Savings!F74)</f>
        <v/>
      </c>
      <c r="H1667" s="40" t="str">
        <f>IF(Agent09_Savings!A74="","",Agent09_Savings!I74)</f>
        <v/>
      </c>
      <c r="I1667" s="40" t="str">
        <f>IF(Agent09_Savings!A74="","",Agent09_Savings!J74)</f>
        <v/>
      </c>
      <c r="J1667" s="40" t="str">
        <f>IF(Agent09_Savings!A74="","",Agent09_Savings!K74)</f>
        <v/>
      </c>
      <c r="K1667" s="40" t="str">
        <f>IFERROR(IF(Agent09_Savings!A74="","",YEAR(Agent09_Savings!D74)),"")</f>
        <v/>
      </c>
    </row>
    <row r="1668" spans="1:11" ht="18" customHeight="1" x14ac:dyDescent="0.25">
      <c r="A1668" s="40" t="str">
        <f>IF(Agent09_Savings!A75="","",Agent09_Savings!A75)</f>
        <v/>
      </c>
      <c r="B1668" s="40" t="str">
        <f ca="1">IF(Agent09_Savings!A75="","","SV"&amp;TEXT(1668-3,"0000")&amp;"-"&amp;TEXT(TODAY(),"YYYYMMDD"))</f>
        <v/>
      </c>
      <c r="C1668" s="40" t="str">
        <f>IF(Agent09_Savings!A75="","",Agent09_Savings!B75)</f>
        <v/>
      </c>
      <c r="D1668" s="40" t="str">
        <f>IF(Agent09_Savings!A75="","",Agent09_Savings!G75)</f>
        <v/>
      </c>
      <c r="E1668" s="41" t="str">
        <f>IF(Agent09_Savings!A75="","",Agent09_Savings!D75)</f>
        <v/>
      </c>
      <c r="F1668" s="42" t="str">
        <f>IF(Agent09_Savings!A75="","",Agent09_Savings!E75)</f>
        <v/>
      </c>
      <c r="G1668" s="42" t="str">
        <f>IF(Agent09_Savings!A75="","",Agent09_Savings!F75)</f>
        <v/>
      </c>
      <c r="H1668" s="40" t="str">
        <f>IF(Agent09_Savings!A75="","",Agent09_Savings!I75)</f>
        <v/>
      </c>
      <c r="I1668" s="40" t="str">
        <f>IF(Agent09_Savings!A75="","",Agent09_Savings!J75)</f>
        <v/>
      </c>
      <c r="J1668" s="40" t="str">
        <f>IF(Agent09_Savings!A75="","",Agent09_Savings!K75)</f>
        <v/>
      </c>
      <c r="K1668" s="40" t="str">
        <f>IFERROR(IF(Agent09_Savings!A75="","",YEAR(Agent09_Savings!D75)),"")</f>
        <v/>
      </c>
    </row>
    <row r="1669" spans="1:11" ht="18" customHeight="1" x14ac:dyDescent="0.25">
      <c r="A1669" s="40" t="str">
        <f>IF(Agent09_Savings!A76="","",Agent09_Savings!A76)</f>
        <v/>
      </c>
      <c r="B1669" s="40" t="str">
        <f ca="1">IF(Agent09_Savings!A76="","","SV"&amp;TEXT(1669-3,"0000")&amp;"-"&amp;TEXT(TODAY(),"YYYYMMDD"))</f>
        <v/>
      </c>
      <c r="C1669" s="40" t="str">
        <f>IF(Agent09_Savings!A76="","",Agent09_Savings!B76)</f>
        <v/>
      </c>
      <c r="D1669" s="40" t="str">
        <f>IF(Agent09_Savings!A76="","",Agent09_Savings!G76)</f>
        <v/>
      </c>
      <c r="E1669" s="41" t="str">
        <f>IF(Agent09_Savings!A76="","",Agent09_Savings!D76)</f>
        <v/>
      </c>
      <c r="F1669" s="42" t="str">
        <f>IF(Agent09_Savings!A76="","",Agent09_Savings!E76)</f>
        <v/>
      </c>
      <c r="G1669" s="42" t="str">
        <f>IF(Agent09_Savings!A76="","",Agent09_Savings!F76)</f>
        <v/>
      </c>
      <c r="H1669" s="40" t="str">
        <f>IF(Agent09_Savings!A76="","",Agent09_Savings!I76)</f>
        <v/>
      </c>
      <c r="I1669" s="40" t="str">
        <f>IF(Agent09_Savings!A76="","",Agent09_Savings!J76)</f>
        <v/>
      </c>
      <c r="J1669" s="40" t="str">
        <f>IF(Agent09_Savings!A76="","",Agent09_Savings!K76)</f>
        <v/>
      </c>
      <c r="K1669" s="40" t="str">
        <f>IFERROR(IF(Agent09_Savings!A76="","",YEAR(Agent09_Savings!D76)),"")</f>
        <v/>
      </c>
    </row>
    <row r="1670" spans="1:11" ht="18" customHeight="1" x14ac:dyDescent="0.25">
      <c r="A1670" s="40" t="str">
        <f>IF(Agent09_Savings!A77="","",Agent09_Savings!A77)</f>
        <v/>
      </c>
      <c r="B1670" s="40" t="str">
        <f ca="1">IF(Agent09_Savings!A77="","","SV"&amp;TEXT(1670-3,"0000")&amp;"-"&amp;TEXT(TODAY(),"YYYYMMDD"))</f>
        <v/>
      </c>
      <c r="C1670" s="40" t="str">
        <f>IF(Agent09_Savings!A77="","",Agent09_Savings!B77)</f>
        <v/>
      </c>
      <c r="D1670" s="40" t="str">
        <f>IF(Agent09_Savings!A77="","",Agent09_Savings!G77)</f>
        <v/>
      </c>
      <c r="E1670" s="41" t="str">
        <f>IF(Agent09_Savings!A77="","",Agent09_Savings!D77)</f>
        <v/>
      </c>
      <c r="F1670" s="42" t="str">
        <f>IF(Agent09_Savings!A77="","",Agent09_Savings!E77)</f>
        <v/>
      </c>
      <c r="G1670" s="42" t="str">
        <f>IF(Agent09_Savings!A77="","",Agent09_Savings!F77)</f>
        <v/>
      </c>
      <c r="H1670" s="40" t="str">
        <f>IF(Agent09_Savings!A77="","",Agent09_Savings!I77)</f>
        <v/>
      </c>
      <c r="I1670" s="40" t="str">
        <f>IF(Agent09_Savings!A77="","",Agent09_Savings!J77)</f>
        <v/>
      </c>
      <c r="J1670" s="40" t="str">
        <f>IF(Agent09_Savings!A77="","",Agent09_Savings!K77)</f>
        <v/>
      </c>
      <c r="K1670" s="40" t="str">
        <f>IFERROR(IF(Agent09_Savings!A77="","",YEAR(Agent09_Savings!D77)),"")</f>
        <v/>
      </c>
    </row>
    <row r="1671" spans="1:11" ht="18" customHeight="1" x14ac:dyDescent="0.25">
      <c r="A1671" s="40" t="str">
        <f>IF(Agent09_Savings!A78="","",Agent09_Savings!A78)</f>
        <v/>
      </c>
      <c r="B1671" s="40" t="str">
        <f ca="1">IF(Agent09_Savings!A78="","","SV"&amp;TEXT(1671-3,"0000")&amp;"-"&amp;TEXT(TODAY(),"YYYYMMDD"))</f>
        <v/>
      </c>
      <c r="C1671" s="40" t="str">
        <f>IF(Agent09_Savings!A78="","",Agent09_Savings!B78)</f>
        <v/>
      </c>
      <c r="D1671" s="40" t="str">
        <f>IF(Agent09_Savings!A78="","",Agent09_Savings!G78)</f>
        <v/>
      </c>
      <c r="E1671" s="41" t="str">
        <f>IF(Agent09_Savings!A78="","",Agent09_Savings!D78)</f>
        <v/>
      </c>
      <c r="F1671" s="42" t="str">
        <f>IF(Agent09_Savings!A78="","",Agent09_Savings!E78)</f>
        <v/>
      </c>
      <c r="G1671" s="42" t="str">
        <f>IF(Agent09_Savings!A78="","",Agent09_Savings!F78)</f>
        <v/>
      </c>
      <c r="H1671" s="40" t="str">
        <f>IF(Agent09_Savings!A78="","",Agent09_Savings!I78)</f>
        <v/>
      </c>
      <c r="I1671" s="40" t="str">
        <f>IF(Agent09_Savings!A78="","",Agent09_Savings!J78)</f>
        <v/>
      </c>
      <c r="J1671" s="40" t="str">
        <f>IF(Agent09_Savings!A78="","",Agent09_Savings!K78)</f>
        <v/>
      </c>
      <c r="K1671" s="40" t="str">
        <f>IFERROR(IF(Agent09_Savings!A78="","",YEAR(Agent09_Savings!D78)),"")</f>
        <v/>
      </c>
    </row>
    <row r="1672" spans="1:11" ht="18" customHeight="1" x14ac:dyDescent="0.25">
      <c r="A1672" s="40" t="str">
        <f>IF(Agent09_Savings!A79="","",Agent09_Savings!A79)</f>
        <v/>
      </c>
      <c r="B1672" s="40" t="str">
        <f ca="1">IF(Agent09_Savings!A79="","","SV"&amp;TEXT(1672-3,"0000")&amp;"-"&amp;TEXT(TODAY(),"YYYYMMDD"))</f>
        <v/>
      </c>
      <c r="C1672" s="40" t="str">
        <f>IF(Agent09_Savings!A79="","",Agent09_Savings!B79)</f>
        <v/>
      </c>
      <c r="D1672" s="40" t="str">
        <f>IF(Agent09_Savings!A79="","",Agent09_Savings!G79)</f>
        <v/>
      </c>
      <c r="E1672" s="41" t="str">
        <f>IF(Agent09_Savings!A79="","",Agent09_Savings!D79)</f>
        <v/>
      </c>
      <c r="F1672" s="42" t="str">
        <f>IF(Agent09_Savings!A79="","",Agent09_Savings!E79)</f>
        <v/>
      </c>
      <c r="G1672" s="42" t="str">
        <f>IF(Agent09_Savings!A79="","",Agent09_Savings!F79)</f>
        <v/>
      </c>
      <c r="H1672" s="40" t="str">
        <f>IF(Agent09_Savings!A79="","",Agent09_Savings!I79)</f>
        <v/>
      </c>
      <c r="I1672" s="40" t="str">
        <f>IF(Agent09_Savings!A79="","",Agent09_Savings!J79)</f>
        <v/>
      </c>
      <c r="J1672" s="40" t="str">
        <f>IF(Agent09_Savings!A79="","",Agent09_Savings!K79)</f>
        <v/>
      </c>
      <c r="K1672" s="40" t="str">
        <f>IFERROR(IF(Agent09_Savings!A79="","",YEAR(Agent09_Savings!D79)),"")</f>
        <v/>
      </c>
    </row>
    <row r="1673" spans="1:11" ht="18" customHeight="1" x14ac:dyDescent="0.25">
      <c r="A1673" s="40" t="str">
        <f>IF(Agent09_Savings!A80="","",Agent09_Savings!A80)</f>
        <v/>
      </c>
      <c r="B1673" s="40" t="str">
        <f ca="1">IF(Agent09_Savings!A80="","","SV"&amp;TEXT(1673-3,"0000")&amp;"-"&amp;TEXT(TODAY(),"YYYYMMDD"))</f>
        <v/>
      </c>
      <c r="C1673" s="40" t="str">
        <f>IF(Agent09_Savings!A80="","",Agent09_Savings!B80)</f>
        <v/>
      </c>
      <c r="D1673" s="40" t="str">
        <f>IF(Agent09_Savings!A80="","",Agent09_Savings!G80)</f>
        <v/>
      </c>
      <c r="E1673" s="41" t="str">
        <f>IF(Agent09_Savings!A80="","",Agent09_Savings!D80)</f>
        <v/>
      </c>
      <c r="F1673" s="42" t="str">
        <f>IF(Agent09_Savings!A80="","",Agent09_Savings!E80)</f>
        <v/>
      </c>
      <c r="G1673" s="42" t="str">
        <f>IF(Agent09_Savings!A80="","",Agent09_Savings!F80)</f>
        <v/>
      </c>
      <c r="H1673" s="40" t="str">
        <f>IF(Agent09_Savings!A80="","",Agent09_Savings!I80)</f>
        <v/>
      </c>
      <c r="I1673" s="40" t="str">
        <f>IF(Agent09_Savings!A80="","",Agent09_Savings!J80)</f>
        <v/>
      </c>
      <c r="J1673" s="40" t="str">
        <f>IF(Agent09_Savings!A80="","",Agent09_Savings!K80)</f>
        <v/>
      </c>
      <c r="K1673" s="40" t="str">
        <f>IFERROR(IF(Agent09_Savings!A80="","",YEAR(Agent09_Savings!D80)),"")</f>
        <v/>
      </c>
    </row>
    <row r="1674" spans="1:11" ht="18" customHeight="1" x14ac:dyDescent="0.25">
      <c r="A1674" s="40" t="str">
        <f>IF(Agent09_Savings!A81="","",Agent09_Savings!A81)</f>
        <v/>
      </c>
      <c r="B1674" s="40" t="str">
        <f ca="1">IF(Agent09_Savings!A81="","","SV"&amp;TEXT(1674-3,"0000")&amp;"-"&amp;TEXT(TODAY(),"YYYYMMDD"))</f>
        <v/>
      </c>
      <c r="C1674" s="40" t="str">
        <f>IF(Agent09_Savings!A81="","",Agent09_Savings!B81)</f>
        <v/>
      </c>
      <c r="D1674" s="40" t="str">
        <f>IF(Agent09_Savings!A81="","",Agent09_Savings!G81)</f>
        <v/>
      </c>
      <c r="E1674" s="41" t="str">
        <f>IF(Agent09_Savings!A81="","",Agent09_Savings!D81)</f>
        <v/>
      </c>
      <c r="F1674" s="42" t="str">
        <f>IF(Agent09_Savings!A81="","",Agent09_Savings!E81)</f>
        <v/>
      </c>
      <c r="G1674" s="42" t="str">
        <f>IF(Agent09_Savings!A81="","",Agent09_Savings!F81)</f>
        <v/>
      </c>
      <c r="H1674" s="40" t="str">
        <f>IF(Agent09_Savings!A81="","",Agent09_Savings!I81)</f>
        <v/>
      </c>
      <c r="I1674" s="40" t="str">
        <f>IF(Agent09_Savings!A81="","",Agent09_Savings!J81)</f>
        <v/>
      </c>
      <c r="J1674" s="40" t="str">
        <f>IF(Agent09_Savings!A81="","",Agent09_Savings!K81)</f>
        <v/>
      </c>
      <c r="K1674" s="40" t="str">
        <f>IFERROR(IF(Agent09_Savings!A81="","",YEAR(Agent09_Savings!D81)),"")</f>
        <v/>
      </c>
    </row>
    <row r="1675" spans="1:11" ht="18" customHeight="1" x14ac:dyDescent="0.25">
      <c r="A1675" s="40" t="str">
        <f>IF(Agent09_Savings!A82="","",Agent09_Savings!A82)</f>
        <v/>
      </c>
      <c r="B1675" s="40" t="str">
        <f ca="1">IF(Agent09_Savings!A82="","","SV"&amp;TEXT(1675-3,"0000")&amp;"-"&amp;TEXT(TODAY(),"YYYYMMDD"))</f>
        <v/>
      </c>
      <c r="C1675" s="40" t="str">
        <f>IF(Agent09_Savings!A82="","",Agent09_Savings!B82)</f>
        <v/>
      </c>
      <c r="D1675" s="40" t="str">
        <f>IF(Agent09_Savings!A82="","",Agent09_Savings!G82)</f>
        <v/>
      </c>
      <c r="E1675" s="41" t="str">
        <f>IF(Agent09_Savings!A82="","",Agent09_Savings!D82)</f>
        <v/>
      </c>
      <c r="F1675" s="42" t="str">
        <f>IF(Agent09_Savings!A82="","",Agent09_Savings!E82)</f>
        <v/>
      </c>
      <c r="G1675" s="42" t="str">
        <f>IF(Agent09_Savings!A82="","",Agent09_Savings!F82)</f>
        <v/>
      </c>
      <c r="H1675" s="40" t="str">
        <f>IF(Agent09_Savings!A82="","",Agent09_Savings!I82)</f>
        <v/>
      </c>
      <c r="I1675" s="40" t="str">
        <f>IF(Agent09_Savings!A82="","",Agent09_Savings!J82)</f>
        <v/>
      </c>
      <c r="J1675" s="40" t="str">
        <f>IF(Agent09_Savings!A82="","",Agent09_Savings!K82)</f>
        <v/>
      </c>
      <c r="K1675" s="40" t="str">
        <f>IFERROR(IF(Agent09_Savings!A82="","",YEAR(Agent09_Savings!D82)),"")</f>
        <v/>
      </c>
    </row>
    <row r="1676" spans="1:11" ht="18" customHeight="1" x14ac:dyDescent="0.25">
      <c r="A1676" s="40" t="str">
        <f>IF(Agent09_Savings!A83="","",Agent09_Savings!A83)</f>
        <v/>
      </c>
      <c r="B1676" s="40" t="str">
        <f ca="1">IF(Agent09_Savings!A83="","","SV"&amp;TEXT(1676-3,"0000")&amp;"-"&amp;TEXT(TODAY(),"YYYYMMDD"))</f>
        <v/>
      </c>
      <c r="C1676" s="40" t="str">
        <f>IF(Agent09_Savings!A83="","",Agent09_Savings!B83)</f>
        <v/>
      </c>
      <c r="D1676" s="40" t="str">
        <f>IF(Agent09_Savings!A83="","",Agent09_Savings!G83)</f>
        <v/>
      </c>
      <c r="E1676" s="41" t="str">
        <f>IF(Agent09_Savings!A83="","",Agent09_Savings!D83)</f>
        <v/>
      </c>
      <c r="F1676" s="42" t="str">
        <f>IF(Agent09_Savings!A83="","",Agent09_Savings!E83)</f>
        <v/>
      </c>
      <c r="G1676" s="42" t="str">
        <f>IF(Agent09_Savings!A83="","",Agent09_Savings!F83)</f>
        <v/>
      </c>
      <c r="H1676" s="40" t="str">
        <f>IF(Agent09_Savings!A83="","",Agent09_Savings!I83)</f>
        <v/>
      </c>
      <c r="I1676" s="40" t="str">
        <f>IF(Agent09_Savings!A83="","",Agent09_Savings!J83)</f>
        <v/>
      </c>
      <c r="J1676" s="40" t="str">
        <f>IF(Agent09_Savings!A83="","",Agent09_Savings!K83)</f>
        <v/>
      </c>
      <c r="K1676" s="40" t="str">
        <f>IFERROR(IF(Agent09_Savings!A83="","",YEAR(Agent09_Savings!D83)),"")</f>
        <v/>
      </c>
    </row>
    <row r="1677" spans="1:11" ht="18" customHeight="1" x14ac:dyDescent="0.25">
      <c r="A1677" s="40" t="str">
        <f>IF(Agent09_Savings!A84="","",Agent09_Savings!A84)</f>
        <v/>
      </c>
      <c r="B1677" s="40" t="str">
        <f ca="1">IF(Agent09_Savings!A84="","","SV"&amp;TEXT(1677-3,"0000")&amp;"-"&amp;TEXT(TODAY(),"YYYYMMDD"))</f>
        <v/>
      </c>
      <c r="C1677" s="40" t="str">
        <f>IF(Agent09_Savings!A84="","",Agent09_Savings!B84)</f>
        <v/>
      </c>
      <c r="D1677" s="40" t="str">
        <f>IF(Agent09_Savings!A84="","",Agent09_Savings!G84)</f>
        <v/>
      </c>
      <c r="E1677" s="41" t="str">
        <f>IF(Agent09_Savings!A84="","",Agent09_Savings!D84)</f>
        <v/>
      </c>
      <c r="F1677" s="42" t="str">
        <f>IF(Agent09_Savings!A84="","",Agent09_Savings!E84)</f>
        <v/>
      </c>
      <c r="G1677" s="42" t="str">
        <f>IF(Agent09_Savings!A84="","",Agent09_Savings!F84)</f>
        <v/>
      </c>
      <c r="H1677" s="40" t="str">
        <f>IF(Agent09_Savings!A84="","",Agent09_Savings!I84)</f>
        <v/>
      </c>
      <c r="I1677" s="40" t="str">
        <f>IF(Agent09_Savings!A84="","",Agent09_Savings!J84)</f>
        <v/>
      </c>
      <c r="J1677" s="40" t="str">
        <f>IF(Agent09_Savings!A84="","",Agent09_Savings!K84)</f>
        <v/>
      </c>
      <c r="K1677" s="40" t="str">
        <f>IFERROR(IF(Agent09_Savings!A84="","",YEAR(Agent09_Savings!D84)),"")</f>
        <v/>
      </c>
    </row>
    <row r="1678" spans="1:11" ht="18" customHeight="1" x14ac:dyDescent="0.25">
      <c r="A1678" s="40" t="str">
        <f>IF(Agent09_Savings!A85="","",Agent09_Savings!A85)</f>
        <v/>
      </c>
      <c r="B1678" s="40" t="str">
        <f ca="1">IF(Agent09_Savings!A85="","","SV"&amp;TEXT(1678-3,"0000")&amp;"-"&amp;TEXT(TODAY(),"YYYYMMDD"))</f>
        <v/>
      </c>
      <c r="C1678" s="40" t="str">
        <f>IF(Agent09_Savings!A85="","",Agent09_Savings!B85)</f>
        <v/>
      </c>
      <c r="D1678" s="40" t="str">
        <f>IF(Agent09_Savings!A85="","",Agent09_Savings!G85)</f>
        <v/>
      </c>
      <c r="E1678" s="41" t="str">
        <f>IF(Agent09_Savings!A85="","",Agent09_Savings!D85)</f>
        <v/>
      </c>
      <c r="F1678" s="42" t="str">
        <f>IF(Agent09_Savings!A85="","",Agent09_Savings!E85)</f>
        <v/>
      </c>
      <c r="G1678" s="42" t="str">
        <f>IF(Agent09_Savings!A85="","",Agent09_Savings!F85)</f>
        <v/>
      </c>
      <c r="H1678" s="40" t="str">
        <f>IF(Agent09_Savings!A85="","",Agent09_Savings!I85)</f>
        <v/>
      </c>
      <c r="I1678" s="40" t="str">
        <f>IF(Agent09_Savings!A85="","",Agent09_Savings!J85)</f>
        <v/>
      </c>
      <c r="J1678" s="40" t="str">
        <f>IF(Agent09_Savings!A85="","",Agent09_Savings!K85)</f>
        <v/>
      </c>
      <c r="K1678" s="40" t="str">
        <f>IFERROR(IF(Agent09_Savings!A85="","",YEAR(Agent09_Savings!D85)),"")</f>
        <v/>
      </c>
    </row>
    <row r="1679" spans="1:11" ht="18" customHeight="1" x14ac:dyDescent="0.25">
      <c r="A1679" s="40" t="str">
        <f>IF(Agent09_Savings!A86="","",Agent09_Savings!A86)</f>
        <v/>
      </c>
      <c r="B1679" s="40" t="str">
        <f ca="1">IF(Agent09_Savings!A86="","","SV"&amp;TEXT(1679-3,"0000")&amp;"-"&amp;TEXT(TODAY(),"YYYYMMDD"))</f>
        <v/>
      </c>
      <c r="C1679" s="40" t="str">
        <f>IF(Agent09_Savings!A86="","",Agent09_Savings!B86)</f>
        <v/>
      </c>
      <c r="D1679" s="40" t="str">
        <f>IF(Agent09_Savings!A86="","",Agent09_Savings!G86)</f>
        <v/>
      </c>
      <c r="E1679" s="41" t="str">
        <f>IF(Agent09_Savings!A86="","",Agent09_Savings!D86)</f>
        <v/>
      </c>
      <c r="F1679" s="42" t="str">
        <f>IF(Agent09_Savings!A86="","",Agent09_Savings!E86)</f>
        <v/>
      </c>
      <c r="G1679" s="42" t="str">
        <f>IF(Agent09_Savings!A86="","",Agent09_Savings!F86)</f>
        <v/>
      </c>
      <c r="H1679" s="40" t="str">
        <f>IF(Agent09_Savings!A86="","",Agent09_Savings!I86)</f>
        <v/>
      </c>
      <c r="I1679" s="40" t="str">
        <f>IF(Agent09_Savings!A86="","",Agent09_Savings!J86)</f>
        <v/>
      </c>
      <c r="J1679" s="40" t="str">
        <f>IF(Agent09_Savings!A86="","",Agent09_Savings!K86)</f>
        <v/>
      </c>
      <c r="K1679" s="40" t="str">
        <f>IFERROR(IF(Agent09_Savings!A86="","",YEAR(Agent09_Savings!D86)),"")</f>
        <v/>
      </c>
    </row>
    <row r="1680" spans="1:11" ht="18" customHeight="1" x14ac:dyDescent="0.25">
      <c r="A1680" s="40" t="str">
        <f>IF(Agent09_Savings!A87="","",Agent09_Savings!A87)</f>
        <v/>
      </c>
      <c r="B1680" s="40" t="str">
        <f ca="1">IF(Agent09_Savings!A87="","","SV"&amp;TEXT(1680-3,"0000")&amp;"-"&amp;TEXT(TODAY(),"YYYYMMDD"))</f>
        <v/>
      </c>
      <c r="C1680" s="40" t="str">
        <f>IF(Agent09_Savings!A87="","",Agent09_Savings!B87)</f>
        <v/>
      </c>
      <c r="D1680" s="40" t="str">
        <f>IF(Agent09_Savings!A87="","",Agent09_Savings!G87)</f>
        <v/>
      </c>
      <c r="E1680" s="41" t="str">
        <f>IF(Agent09_Savings!A87="","",Agent09_Savings!D87)</f>
        <v/>
      </c>
      <c r="F1680" s="42" t="str">
        <f>IF(Agent09_Savings!A87="","",Agent09_Savings!E87)</f>
        <v/>
      </c>
      <c r="G1680" s="42" t="str">
        <f>IF(Agent09_Savings!A87="","",Agent09_Savings!F87)</f>
        <v/>
      </c>
      <c r="H1680" s="40" t="str">
        <f>IF(Agent09_Savings!A87="","",Agent09_Savings!I87)</f>
        <v/>
      </c>
      <c r="I1680" s="40" t="str">
        <f>IF(Agent09_Savings!A87="","",Agent09_Savings!J87)</f>
        <v/>
      </c>
      <c r="J1680" s="40" t="str">
        <f>IF(Agent09_Savings!A87="","",Agent09_Savings!K87)</f>
        <v/>
      </c>
      <c r="K1680" s="40" t="str">
        <f>IFERROR(IF(Agent09_Savings!A87="","",YEAR(Agent09_Savings!D87)),"")</f>
        <v/>
      </c>
    </row>
    <row r="1681" spans="1:11" ht="18" customHeight="1" x14ac:dyDescent="0.25">
      <c r="A1681" s="40" t="str">
        <f>IF(Agent09_Savings!A88="","",Agent09_Savings!A88)</f>
        <v/>
      </c>
      <c r="B1681" s="40" t="str">
        <f ca="1">IF(Agent09_Savings!A88="","","SV"&amp;TEXT(1681-3,"0000")&amp;"-"&amp;TEXT(TODAY(),"YYYYMMDD"))</f>
        <v/>
      </c>
      <c r="C1681" s="40" t="str">
        <f>IF(Agent09_Savings!A88="","",Agent09_Savings!B88)</f>
        <v/>
      </c>
      <c r="D1681" s="40" t="str">
        <f>IF(Agent09_Savings!A88="","",Agent09_Savings!G88)</f>
        <v/>
      </c>
      <c r="E1681" s="41" t="str">
        <f>IF(Agent09_Savings!A88="","",Agent09_Savings!D88)</f>
        <v/>
      </c>
      <c r="F1681" s="42" t="str">
        <f>IF(Agent09_Savings!A88="","",Agent09_Savings!E88)</f>
        <v/>
      </c>
      <c r="G1681" s="42" t="str">
        <f>IF(Agent09_Savings!A88="","",Agent09_Savings!F88)</f>
        <v/>
      </c>
      <c r="H1681" s="40" t="str">
        <f>IF(Agent09_Savings!A88="","",Agent09_Savings!I88)</f>
        <v/>
      </c>
      <c r="I1681" s="40" t="str">
        <f>IF(Agent09_Savings!A88="","",Agent09_Savings!J88)</f>
        <v/>
      </c>
      <c r="J1681" s="40" t="str">
        <f>IF(Agent09_Savings!A88="","",Agent09_Savings!K88)</f>
        <v/>
      </c>
      <c r="K1681" s="40" t="str">
        <f>IFERROR(IF(Agent09_Savings!A88="","",YEAR(Agent09_Savings!D88)),"")</f>
        <v/>
      </c>
    </row>
    <row r="1682" spans="1:11" ht="18" customHeight="1" x14ac:dyDescent="0.25">
      <c r="A1682" s="40" t="str">
        <f>IF(Agent09_Savings!A89="","",Agent09_Savings!A89)</f>
        <v/>
      </c>
      <c r="B1682" s="40" t="str">
        <f ca="1">IF(Agent09_Savings!A89="","","SV"&amp;TEXT(1682-3,"0000")&amp;"-"&amp;TEXT(TODAY(),"YYYYMMDD"))</f>
        <v/>
      </c>
      <c r="C1682" s="40" t="str">
        <f>IF(Agent09_Savings!A89="","",Agent09_Savings!B89)</f>
        <v/>
      </c>
      <c r="D1682" s="40" t="str">
        <f>IF(Agent09_Savings!A89="","",Agent09_Savings!G89)</f>
        <v/>
      </c>
      <c r="E1682" s="41" t="str">
        <f>IF(Agent09_Savings!A89="","",Agent09_Savings!D89)</f>
        <v/>
      </c>
      <c r="F1682" s="42" t="str">
        <f>IF(Agent09_Savings!A89="","",Agent09_Savings!E89)</f>
        <v/>
      </c>
      <c r="G1682" s="42" t="str">
        <f>IF(Agent09_Savings!A89="","",Agent09_Savings!F89)</f>
        <v/>
      </c>
      <c r="H1682" s="40" t="str">
        <f>IF(Agent09_Savings!A89="","",Agent09_Savings!I89)</f>
        <v/>
      </c>
      <c r="I1682" s="40" t="str">
        <f>IF(Agent09_Savings!A89="","",Agent09_Savings!J89)</f>
        <v/>
      </c>
      <c r="J1682" s="40" t="str">
        <f>IF(Agent09_Savings!A89="","",Agent09_Savings!K89)</f>
        <v/>
      </c>
      <c r="K1682" s="40" t="str">
        <f>IFERROR(IF(Agent09_Savings!A89="","",YEAR(Agent09_Savings!D89)),"")</f>
        <v/>
      </c>
    </row>
    <row r="1683" spans="1:11" ht="18" customHeight="1" x14ac:dyDescent="0.25">
      <c r="A1683" s="40" t="str">
        <f>IF(Agent09_Savings!A90="","",Agent09_Savings!A90)</f>
        <v/>
      </c>
      <c r="B1683" s="40" t="str">
        <f ca="1">IF(Agent09_Savings!A90="","","SV"&amp;TEXT(1683-3,"0000")&amp;"-"&amp;TEXT(TODAY(),"YYYYMMDD"))</f>
        <v/>
      </c>
      <c r="C1683" s="40" t="str">
        <f>IF(Agent09_Savings!A90="","",Agent09_Savings!B90)</f>
        <v/>
      </c>
      <c r="D1683" s="40" t="str">
        <f>IF(Agent09_Savings!A90="","",Agent09_Savings!G90)</f>
        <v/>
      </c>
      <c r="E1683" s="41" t="str">
        <f>IF(Agent09_Savings!A90="","",Agent09_Savings!D90)</f>
        <v/>
      </c>
      <c r="F1683" s="42" t="str">
        <f>IF(Agent09_Savings!A90="","",Agent09_Savings!E90)</f>
        <v/>
      </c>
      <c r="G1683" s="42" t="str">
        <f>IF(Agent09_Savings!A90="","",Agent09_Savings!F90)</f>
        <v/>
      </c>
      <c r="H1683" s="40" t="str">
        <f>IF(Agent09_Savings!A90="","",Agent09_Savings!I90)</f>
        <v/>
      </c>
      <c r="I1683" s="40" t="str">
        <f>IF(Agent09_Savings!A90="","",Agent09_Savings!J90)</f>
        <v/>
      </c>
      <c r="J1683" s="40" t="str">
        <f>IF(Agent09_Savings!A90="","",Agent09_Savings!K90)</f>
        <v/>
      </c>
      <c r="K1683" s="40" t="str">
        <f>IFERROR(IF(Agent09_Savings!A90="","",YEAR(Agent09_Savings!D90)),"")</f>
        <v/>
      </c>
    </row>
    <row r="1684" spans="1:11" ht="18" customHeight="1" x14ac:dyDescent="0.25">
      <c r="A1684" s="40" t="str">
        <f>IF(Agent09_Savings!A91="","",Agent09_Savings!A91)</f>
        <v/>
      </c>
      <c r="B1684" s="40" t="str">
        <f ca="1">IF(Agent09_Savings!A91="","","SV"&amp;TEXT(1684-3,"0000")&amp;"-"&amp;TEXT(TODAY(),"YYYYMMDD"))</f>
        <v/>
      </c>
      <c r="C1684" s="40" t="str">
        <f>IF(Agent09_Savings!A91="","",Agent09_Savings!B91)</f>
        <v/>
      </c>
      <c r="D1684" s="40" t="str">
        <f>IF(Agent09_Savings!A91="","",Agent09_Savings!G91)</f>
        <v/>
      </c>
      <c r="E1684" s="41" t="str">
        <f>IF(Agent09_Savings!A91="","",Agent09_Savings!D91)</f>
        <v/>
      </c>
      <c r="F1684" s="42" t="str">
        <f>IF(Agent09_Savings!A91="","",Agent09_Savings!E91)</f>
        <v/>
      </c>
      <c r="G1684" s="42" t="str">
        <f>IF(Agent09_Savings!A91="","",Agent09_Savings!F91)</f>
        <v/>
      </c>
      <c r="H1684" s="40" t="str">
        <f>IF(Agent09_Savings!A91="","",Agent09_Savings!I91)</f>
        <v/>
      </c>
      <c r="I1684" s="40" t="str">
        <f>IF(Agent09_Savings!A91="","",Agent09_Savings!J91)</f>
        <v/>
      </c>
      <c r="J1684" s="40" t="str">
        <f>IF(Agent09_Savings!A91="","",Agent09_Savings!K91)</f>
        <v/>
      </c>
      <c r="K1684" s="40" t="str">
        <f>IFERROR(IF(Agent09_Savings!A91="","",YEAR(Agent09_Savings!D91)),"")</f>
        <v/>
      </c>
    </row>
    <row r="1685" spans="1:11" ht="18" customHeight="1" x14ac:dyDescent="0.25">
      <c r="A1685" s="40" t="str">
        <f>IF(Agent09_Savings!A92="","",Agent09_Savings!A92)</f>
        <v/>
      </c>
      <c r="B1685" s="40" t="str">
        <f ca="1">IF(Agent09_Savings!A92="","","SV"&amp;TEXT(1685-3,"0000")&amp;"-"&amp;TEXT(TODAY(),"YYYYMMDD"))</f>
        <v/>
      </c>
      <c r="C1685" s="40" t="str">
        <f>IF(Agent09_Savings!A92="","",Agent09_Savings!B92)</f>
        <v/>
      </c>
      <c r="D1685" s="40" t="str">
        <f>IF(Agent09_Savings!A92="","",Agent09_Savings!G92)</f>
        <v/>
      </c>
      <c r="E1685" s="41" t="str">
        <f>IF(Agent09_Savings!A92="","",Agent09_Savings!D92)</f>
        <v/>
      </c>
      <c r="F1685" s="42" t="str">
        <f>IF(Agent09_Savings!A92="","",Agent09_Savings!E92)</f>
        <v/>
      </c>
      <c r="G1685" s="42" t="str">
        <f>IF(Agent09_Savings!A92="","",Agent09_Savings!F92)</f>
        <v/>
      </c>
      <c r="H1685" s="40" t="str">
        <f>IF(Agent09_Savings!A92="","",Agent09_Savings!I92)</f>
        <v/>
      </c>
      <c r="I1685" s="40" t="str">
        <f>IF(Agent09_Savings!A92="","",Agent09_Savings!J92)</f>
        <v/>
      </c>
      <c r="J1685" s="40" t="str">
        <f>IF(Agent09_Savings!A92="","",Agent09_Savings!K92)</f>
        <v/>
      </c>
      <c r="K1685" s="40" t="str">
        <f>IFERROR(IF(Agent09_Savings!A92="","",YEAR(Agent09_Savings!D92)),"")</f>
        <v/>
      </c>
    </row>
    <row r="1686" spans="1:11" ht="18" customHeight="1" x14ac:dyDescent="0.25">
      <c r="A1686" s="40" t="str">
        <f>IF(Agent09_Savings!A93="","",Agent09_Savings!A93)</f>
        <v/>
      </c>
      <c r="B1686" s="40" t="str">
        <f ca="1">IF(Agent09_Savings!A93="","","SV"&amp;TEXT(1686-3,"0000")&amp;"-"&amp;TEXT(TODAY(),"YYYYMMDD"))</f>
        <v/>
      </c>
      <c r="C1686" s="40" t="str">
        <f>IF(Agent09_Savings!A93="","",Agent09_Savings!B93)</f>
        <v/>
      </c>
      <c r="D1686" s="40" t="str">
        <f>IF(Agent09_Savings!A93="","",Agent09_Savings!G93)</f>
        <v/>
      </c>
      <c r="E1686" s="41" t="str">
        <f>IF(Agent09_Savings!A93="","",Agent09_Savings!D93)</f>
        <v/>
      </c>
      <c r="F1686" s="42" t="str">
        <f>IF(Agent09_Savings!A93="","",Agent09_Savings!E93)</f>
        <v/>
      </c>
      <c r="G1686" s="42" t="str">
        <f>IF(Agent09_Savings!A93="","",Agent09_Savings!F93)</f>
        <v/>
      </c>
      <c r="H1686" s="40" t="str">
        <f>IF(Agent09_Savings!A93="","",Agent09_Savings!I93)</f>
        <v/>
      </c>
      <c r="I1686" s="40" t="str">
        <f>IF(Agent09_Savings!A93="","",Agent09_Savings!J93)</f>
        <v/>
      </c>
      <c r="J1686" s="40" t="str">
        <f>IF(Agent09_Savings!A93="","",Agent09_Savings!K93)</f>
        <v/>
      </c>
      <c r="K1686" s="40" t="str">
        <f>IFERROR(IF(Agent09_Savings!A93="","",YEAR(Agent09_Savings!D93)),"")</f>
        <v/>
      </c>
    </row>
    <row r="1687" spans="1:11" ht="18" customHeight="1" x14ac:dyDescent="0.25">
      <c r="A1687" s="40" t="str">
        <f>IF(Agent09_Savings!A94="","",Agent09_Savings!A94)</f>
        <v/>
      </c>
      <c r="B1687" s="40" t="str">
        <f ca="1">IF(Agent09_Savings!A94="","","SV"&amp;TEXT(1687-3,"0000")&amp;"-"&amp;TEXT(TODAY(),"YYYYMMDD"))</f>
        <v/>
      </c>
      <c r="C1687" s="40" t="str">
        <f>IF(Agent09_Savings!A94="","",Agent09_Savings!B94)</f>
        <v/>
      </c>
      <c r="D1687" s="40" t="str">
        <f>IF(Agent09_Savings!A94="","",Agent09_Savings!G94)</f>
        <v/>
      </c>
      <c r="E1687" s="41" t="str">
        <f>IF(Agent09_Savings!A94="","",Agent09_Savings!D94)</f>
        <v/>
      </c>
      <c r="F1687" s="42" t="str">
        <f>IF(Agent09_Savings!A94="","",Agent09_Savings!E94)</f>
        <v/>
      </c>
      <c r="G1687" s="42" t="str">
        <f>IF(Agent09_Savings!A94="","",Agent09_Savings!F94)</f>
        <v/>
      </c>
      <c r="H1687" s="40" t="str">
        <f>IF(Agent09_Savings!A94="","",Agent09_Savings!I94)</f>
        <v/>
      </c>
      <c r="I1687" s="40" t="str">
        <f>IF(Agent09_Savings!A94="","",Agent09_Savings!J94)</f>
        <v/>
      </c>
      <c r="J1687" s="40" t="str">
        <f>IF(Agent09_Savings!A94="","",Agent09_Savings!K94)</f>
        <v/>
      </c>
      <c r="K1687" s="40" t="str">
        <f>IFERROR(IF(Agent09_Savings!A94="","",YEAR(Agent09_Savings!D94)),"")</f>
        <v/>
      </c>
    </row>
    <row r="1688" spans="1:11" ht="18" customHeight="1" x14ac:dyDescent="0.25">
      <c r="A1688" s="40" t="str">
        <f>IF(Agent09_Savings!A95="","",Agent09_Savings!A95)</f>
        <v/>
      </c>
      <c r="B1688" s="40" t="str">
        <f ca="1">IF(Agent09_Savings!A95="","","SV"&amp;TEXT(1688-3,"0000")&amp;"-"&amp;TEXT(TODAY(),"YYYYMMDD"))</f>
        <v/>
      </c>
      <c r="C1688" s="40" t="str">
        <f>IF(Agent09_Savings!A95="","",Agent09_Savings!B95)</f>
        <v/>
      </c>
      <c r="D1688" s="40" t="str">
        <f>IF(Agent09_Savings!A95="","",Agent09_Savings!G95)</f>
        <v/>
      </c>
      <c r="E1688" s="41" t="str">
        <f>IF(Agent09_Savings!A95="","",Agent09_Savings!D95)</f>
        <v/>
      </c>
      <c r="F1688" s="42" t="str">
        <f>IF(Agent09_Savings!A95="","",Agent09_Savings!E95)</f>
        <v/>
      </c>
      <c r="G1688" s="42" t="str">
        <f>IF(Agent09_Savings!A95="","",Agent09_Savings!F95)</f>
        <v/>
      </c>
      <c r="H1688" s="40" t="str">
        <f>IF(Agent09_Savings!A95="","",Agent09_Savings!I95)</f>
        <v/>
      </c>
      <c r="I1688" s="40" t="str">
        <f>IF(Agent09_Savings!A95="","",Agent09_Savings!J95)</f>
        <v/>
      </c>
      <c r="J1688" s="40" t="str">
        <f>IF(Agent09_Savings!A95="","",Agent09_Savings!K95)</f>
        <v/>
      </c>
      <c r="K1688" s="40" t="str">
        <f>IFERROR(IF(Agent09_Savings!A95="","",YEAR(Agent09_Savings!D95)),"")</f>
        <v/>
      </c>
    </row>
    <row r="1689" spans="1:11" ht="18" customHeight="1" x14ac:dyDescent="0.25">
      <c r="A1689" s="40" t="str">
        <f>IF(Agent09_Savings!A96="","",Agent09_Savings!A96)</f>
        <v/>
      </c>
      <c r="B1689" s="40" t="str">
        <f ca="1">IF(Agent09_Savings!A96="","","SV"&amp;TEXT(1689-3,"0000")&amp;"-"&amp;TEXT(TODAY(),"YYYYMMDD"))</f>
        <v/>
      </c>
      <c r="C1689" s="40" t="str">
        <f>IF(Agent09_Savings!A96="","",Agent09_Savings!B96)</f>
        <v/>
      </c>
      <c r="D1689" s="40" t="str">
        <f>IF(Agent09_Savings!A96="","",Agent09_Savings!G96)</f>
        <v/>
      </c>
      <c r="E1689" s="41" t="str">
        <f>IF(Agent09_Savings!A96="","",Agent09_Savings!D96)</f>
        <v/>
      </c>
      <c r="F1689" s="42" t="str">
        <f>IF(Agent09_Savings!A96="","",Agent09_Savings!E96)</f>
        <v/>
      </c>
      <c r="G1689" s="42" t="str">
        <f>IF(Agent09_Savings!A96="","",Agent09_Savings!F96)</f>
        <v/>
      </c>
      <c r="H1689" s="40" t="str">
        <f>IF(Agent09_Savings!A96="","",Agent09_Savings!I96)</f>
        <v/>
      </c>
      <c r="I1689" s="40" t="str">
        <f>IF(Agent09_Savings!A96="","",Agent09_Savings!J96)</f>
        <v/>
      </c>
      <c r="J1689" s="40" t="str">
        <f>IF(Agent09_Savings!A96="","",Agent09_Savings!K96)</f>
        <v/>
      </c>
      <c r="K1689" s="40" t="str">
        <f>IFERROR(IF(Agent09_Savings!A96="","",YEAR(Agent09_Savings!D96)),"")</f>
        <v/>
      </c>
    </row>
    <row r="1690" spans="1:11" ht="18" customHeight="1" x14ac:dyDescent="0.25">
      <c r="A1690" s="40" t="str">
        <f>IF(Agent09_Savings!A97="","",Agent09_Savings!A97)</f>
        <v/>
      </c>
      <c r="B1690" s="40" t="str">
        <f ca="1">IF(Agent09_Savings!A97="","","SV"&amp;TEXT(1690-3,"0000")&amp;"-"&amp;TEXT(TODAY(),"YYYYMMDD"))</f>
        <v/>
      </c>
      <c r="C1690" s="40" t="str">
        <f>IF(Agent09_Savings!A97="","",Agent09_Savings!B97)</f>
        <v/>
      </c>
      <c r="D1690" s="40" t="str">
        <f>IF(Agent09_Savings!A97="","",Agent09_Savings!G97)</f>
        <v/>
      </c>
      <c r="E1690" s="41" t="str">
        <f>IF(Agent09_Savings!A97="","",Agent09_Savings!D97)</f>
        <v/>
      </c>
      <c r="F1690" s="42" t="str">
        <f>IF(Agent09_Savings!A97="","",Agent09_Savings!E97)</f>
        <v/>
      </c>
      <c r="G1690" s="42" t="str">
        <f>IF(Agent09_Savings!A97="","",Agent09_Savings!F97)</f>
        <v/>
      </c>
      <c r="H1690" s="40" t="str">
        <f>IF(Agent09_Savings!A97="","",Agent09_Savings!I97)</f>
        <v/>
      </c>
      <c r="I1690" s="40" t="str">
        <f>IF(Agent09_Savings!A97="","",Agent09_Savings!J97)</f>
        <v/>
      </c>
      <c r="J1690" s="40" t="str">
        <f>IF(Agent09_Savings!A97="","",Agent09_Savings!K97)</f>
        <v/>
      </c>
      <c r="K1690" s="40" t="str">
        <f>IFERROR(IF(Agent09_Savings!A97="","",YEAR(Agent09_Savings!D97)),"")</f>
        <v/>
      </c>
    </row>
    <row r="1691" spans="1:11" ht="18" customHeight="1" x14ac:dyDescent="0.25">
      <c r="A1691" s="40" t="str">
        <f>IF(Agent09_Savings!A98="","",Agent09_Savings!A98)</f>
        <v/>
      </c>
      <c r="B1691" s="40" t="str">
        <f ca="1">IF(Agent09_Savings!A98="","","SV"&amp;TEXT(1691-3,"0000")&amp;"-"&amp;TEXT(TODAY(),"YYYYMMDD"))</f>
        <v/>
      </c>
      <c r="C1691" s="40" t="str">
        <f>IF(Agent09_Savings!A98="","",Agent09_Savings!B98)</f>
        <v/>
      </c>
      <c r="D1691" s="40" t="str">
        <f>IF(Agent09_Savings!A98="","",Agent09_Savings!G98)</f>
        <v/>
      </c>
      <c r="E1691" s="41" t="str">
        <f>IF(Agent09_Savings!A98="","",Agent09_Savings!D98)</f>
        <v/>
      </c>
      <c r="F1691" s="42" t="str">
        <f>IF(Agent09_Savings!A98="","",Agent09_Savings!E98)</f>
        <v/>
      </c>
      <c r="G1691" s="42" t="str">
        <f>IF(Agent09_Savings!A98="","",Agent09_Savings!F98)</f>
        <v/>
      </c>
      <c r="H1691" s="40" t="str">
        <f>IF(Agent09_Savings!A98="","",Agent09_Savings!I98)</f>
        <v/>
      </c>
      <c r="I1691" s="40" t="str">
        <f>IF(Agent09_Savings!A98="","",Agent09_Savings!J98)</f>
        <v/>
      </c>
      <c r="J1691" s="40" t="str">
        <f>IF(Agent09_Savings!A98="","",Agent09_Savings!K98)</f>
        <v/>
      </c>
      <c r="K1691" s="40" t="str">
        <f>IFERROR(IF(Agent09_Savings!A98="","",YEAR(Agent09_Savings!D98)),"")</f>
        <v/>
      </c>
    </row>
    <row r="1692" spans="1:11" ht="18" customHeight="1" x14ac:dyDescent="0.25">
      <c r="A1692" s="40" t="str">
        <f>IF(Agent09_Savings!A99="","",Agent09_Savings!A99)</f>
        <v/>
      </c>
      <c r="B1692" s="40" t="str">
        <f ca="1">IF(Agent09_Savings!A99="","","SV"&amp;TEXT(1692-3,"0000")&amp;"-"&amp;TEXT(TODAY(),"YYYYMMDD"))</f>
        <v/>
      </c>
      <c r="C1692" s="40" t="str">
        <f>IF(Agent09_Savings!A99="","",Agent09_Savings!B99)</f>
        <v/>
      </c>
      <c r="D1692" s="40" t="str">
        <f>IF(Agent09_Savings!A99="","",Agent09_Savings!G99)</f>
        <v/>
      </c>
      <c r="E1692" s="41" t="str">
        <f>IF(Agent09_Savings!A99="","",Agent09_Savings!D99)</f>
        <v/>
      </c>
      <c r="F1692" s="42" t="str">
        <f>IF(Agent09_Savings!A99="","",Agent09_Savings!E99)</f>
        <v/>
      </c>
      <c r="G1692" s="42" t="str">
        <f>IF(Agent09_Savings!A99="","",Agent09_Savings!F99)</f>
        <v/>
      </c>
      <c r="H1692" s="40" t="str">
        <f>IF(Agent09_Savings!A99="","",Agent09_Savings!I99)</f>
        <v/>
      </c>
      <c r="I1692" s="40" t="str">
        <f>IF(Agent09_Savings!A99="","",Agent09_Savings!J99)</f>
        <v/>
      </c>
      <c r="J1692" s="40" t="str">
        <f>IF(Agent09_Savings!A99="","",Agent09_Savings!K99)</f>
        <v/>
      </c>
      <c r="K1692" s="40" t="str">
        <f>IFERROR(IF(Agent09_Savings!A99="","",YEAR(Agent09_Savings!D99)),"")</f>
        <v/>
      </c>
    </row>
    <row r="1693" spans="1:11" ht="18" customHeight="1" x14ac:dyDescent="0.25">
      <c r="A1693" s="40" t="str">
        <f>IF(Agent09_Savings!A100="","",Agent09_Savings!A100)</f>
        <v/>
      </c>
      <c r="B1693" s="40" t="str">
        <f ca="1">IF(Agent09_Savings!A100="","","SV"&amp;TEXT(1693-3,"0000")&amp;"-"&amp;TEXT(TODAY(),"YYYYMMDD"))</f>
        <v/>
      </c>
      <c r="C1693" s="40" t="str">
        <f>IF(Agent09_Savings!A100="","",Agent09_Savings!B100)</f>
        <v/>
      </c>
      <c r="D1693" s="40" t="str">
        <f>IF(Agent09_Savings!A100="","",Agent09_Savings!G100)</f>
        <v/>
      </c>
      <c r="E1693" s="41" t="str">
        <f>IF(Agent09_Savings!A100="","",Agent09_Savings!D100)</f>
        <v/>
      </c>
      <c r="F1693" s="42" t="str">
        <f>IF(Agent09_Savings!A100="","",Agent09_Savings!E100)</f>
        <v/>
      </c>
      <c r="G1693" s="42" t="str">
        <f>IF(Agent09_Savings!A100="","",Agent09_Savings!F100)</f>
        <v/>
      </c>
      <c r="H1693" s="40" t="str">
        <f>IF(Agent09_Savings!A100="","",Agent09_Savings!I100)</f>
        <v/>
      </c>
      <c r="I1693" s="40" t="str">
        <f>IF(Agent09_Savings!A100="","",Agent09_Savings!J100)</f>
        <v/>
      </c>
      <c r="J1693" s="40" t="str">
        <f>IF(Agent09_Savings!A100="","",Agent09_Savings!K100)</f>
        <v/>
      </c>
      <c r="K1693" s="40" t="str">
        <f>IFERROR(IF(Agent09_Savings!A100="","",YEAR(Agent09_Savings!D100)),"")</f>
        <v/>
      </c>
    </row>
    <row r="1694" spans="1:11" ht="18" customHeight="1" x14ac:dyDescent="0.25">
      <c r="A1694" s="40" t="str">
        <f>IF(Agent09_Savings!A101="","",Agent09_Savings!A101)</f>
        <v/>
      </c>
      <c r="B1694" s="40" t="str">
        <f ca="1">IF(Agent09_Savings!A101="","","SV"&amp;TEXT(1694-3,"0000")&amp;"-"&amp;TEXT(TODAY(),"YYYYMMDD"))</f>
        <v/>
      </c>
      <c r="C1694" s="40" t="str">
        <f>IF(Agent09_Savings!A101="","",Agent09_Savings!B101)</f>
        <v/>
      </c>
      <c r="D1694" s="40" t="str">
        <f>IF(Agent09_Savings!A101="","",Agent09_Savings!G101)</f>
        <v/>
      </c>
      <c r="E1694" s="41" t="str">
        <f>IF(Agent09_Savings!A101="","",Agent09_Savings!D101)</f>
        <v/>
      </c>
      <c r="F1694" s="42" t="str">
        <f>IF(Agent09_Savings!A101="","",Agent09_Savings!E101)</f>
        <v/>
      </c>
      <c r="G1694" s="42" t="str">
        <f>IF(Agent09_Savings!A101="","",Agent09_Savings!F101)</f>
        <v/>
      </c>
      <c r="H1694" s="40" t="str">
        <f>IF(Agent09_Savings!A101="","",Agent09_Savings!I101)</f>
        <v/>
      </c>
      <c r="I1694" s="40" t="str">
        <f>IF(Agent09_Savings!A101="","",Agent09_Savings!J101)</f>
        <v/>
      </c>
      <c r="J1694" s="40" t="str">
        <f>IF(Agent09_Savings!A101="","",Agent09_Savings!K101)</f>
        <v/>
      </c>
      <c r="K1694" s="40" t="str">
        <f>IFERROR(IF(Agent09_Savings!A101="","",YEAR(Agent09_Savings!D101)),"")</f>
        <v/>
      </c>
    </row>
    <row r="1695" spans="1:11" ht="18" customHeight="1" x14ac:dyDescent="0.25">
      <c r="A1695" s="40" t="str">
        <f>IF(Agent09_Savings!A102="","",Agent09_Savings!A102)</f>
        <v/>
      </c>
      <c r="B1695" s="40" t="str">
        <f ca="1">IF(Agent09_Savings!A102="","","SV"&amp;TEXT(1695-3,"0000")&amp;"-"&amp;TEXT(TODAY(),"YYYYMMDD"))</f>
        <v/>
      </c>
      <c r="C1695" s="40" t="str">
        <f>IF(Agent09_Savings!A102="","",Agent09_Savings!B102)</f>
        <v/>
      </c>
      <c r="D1695" s="40" t="str">
        <f>IF(Agent09_Savings!A102="","",Agent09_Savings!G102)</f>
        <v/>
      </c>
      <c r="E1695" s="41" t="str">
        <f>IF(Agent09_Savings!A102="","",Agent09_Savings!D102)</f>
        <v/>
      </c>
      <c r="F1695" s="42" t="str">
        <f>IF(Agent09_Savings!A102="","",Agent09_Savings!E102)</f>
        <v/>
      </c>
      <c r="G1695" s="42" t="str">
        <f>IF(Agent09_Savings!A102="","",Agent09_Savings!F102)</f>
        <v/>
      </c>
      <c r="H1695" s="40" t="str">
        <f>IF(Agent09_Savings!A102="","",Agent09_Savings!I102)</f>
        <v/>
      </c>
      <c r="I1695" s="40" t="str">
        <f>IF(Agent09_Savings!A102="","",Agent09_Savings!J102)</f>
        <v/>
      </c>
      <c r="J1695" s="40" t="str">
        <f>IF(Agent09_Savings!A102="","",Agent09_Savings!K102)</f>
        <v/>
      </c>
      <c r="K1695" s="40" t="str">
        <f>IFERROR(IF(Agent09_Savings!A102="","",YEAR(Agent09_Savings!D102)),"")</f>
        <v/>
      </c>
    </row>
    <row r="1696" spans="1:11" ht="18" customHeight="1" x14ac:dyDescent="0.25">
      <c r="A1696" s="40" t="str">
        <f>IF(Agent09_Savings!A103="","",Agent09_Savings!A103)</f>
        <v/>
      </c>
      <c r="B1696" s="40" t="str">
        <f ca="1">IF(Agent09_Savings!A103="","","SV"&amp;TEXT(1696-3,"0000")&amp;"-"&amp;TEXT(TODAY(),"YYYYMMDD"))</f>
        <v/>
      </c>
      <c r="C1696" s="40" t="str">
        <f>IF(Agent09_Savings!A103="","",Agent09_Savings!B103)</f>
        <v/>
      </c>
      <c r="D1696" s="40" t="str">
        <f>IF(Agent09_Savings!A103="","",Agent09_Savings!G103)</f>
        <v/>
      </c>
      <c r="E1696" s="41" t="str">
        <f>IF(Agent09_Savings!A103="","",Agent09_Savings!D103)</f>
        <v/>
      </c>
      <c r="F1696" s="42" t="str">
        <f>IF(Agent09_Savings!A103="","",Agent09_Savings!E103)</f>
        <v/>
      </c>
      <c r="G1696" s="42" t="str">
        <f>IF(Agent09_Savings!A103="","",Agent09_Savings!F103)</f>
        <v/>
      </c>
      <c r="H1696" s="40" t="str">
        <f>IF(Agent09_Savings!A103="","",Agent09_Savings!I103)</f>
        <v/>
      </c>
      <c r="I1696" s="40" t="str">
        <f>IF(Agent09_Savings!A103="","",Agent09_Savings!J103)</f>
        <v/>
      </c>
      <c r="J1696" s="40" t="str">
        <f>IF(Agent09_Savings!A103="","",Agent09_Savings!K103)</f>
        <v/>
      </c>
      <c r="K1696" s="40" t="str">
        <f>IFERROR(IF(Agent09_Savings!A103="","",YEAR(Agent09_Savings!D103)),"")</f>
        <v/>
      </c>
    </row>
    <row r="1697" spans="1:11" ht="18" customHeight="1" x14ac:dyDescent="0.25">
      <c r="A1697" s="40" t="str">
        <f>IF(Agent09_Savings!A104="","",Agent09_Savings!A104)</f>
        <v/>
      </c>
      <c r="B1697" s="40" t="str">
        <f ca="1">IF(Agent09_Savings!A104="","","SV"&amp;TEXT(1697-3,"0000")&amp;"-"&amp;TEXT(TODAY(),"YYYYMMDD"))</f>
        <v/>
      </c>
      <c r="C1697" s="40" t="str">
        <f>IF(Agent09_Savings!A104="","",Agent09_Savings!B104)</f>
        <v/>
      </c>
      <c r="D1697" s="40" t="str">
        <f>IF(Agent09_Savings!A104="","",Agent09_Savings!G104)</f>
        <v/>
      </c>
      <c r="E1697" s="41" t="str">
        <f>IF(Agent09_Savings!A104="","",Agent09_Savings!D104)</f>
        <v/>
      </c>
      <c r="F1697" s="42" t="str">
        <f>IF(Agent09_Savings!A104="","",Agent09_Savings!E104)</f>
        <v/>
      </c>
      <c r="G1697" s="42" t="str">
        <f>IF(Agent09_Savings!A104="","",Agent09_Savings!F104)</f>
        <v/>
      </c>
      <c r="H1697" s="40" t="str">
        <f>IF(Agent09_Savings!A104="","",Agent09_Savings!I104)</f>
        <v/>
      </c>
      <c r="I1697" s="40" t="str">
        <f>IF(Agent09_Savings!A104="","",Agent09_Savings!J104)</f>
        <v/>
      </c>
      <c r="J1697" s="40" t="str">
        <f>IF(Agent09_Savings!A104="","",Agent09_Savings!K104)</f>
        <v/>
      </c>
      <c r="K1697" s="40" t="str">
        <f>IFERROR(IF(Agent09_Savings!A104="","",YEAR(Agent09_Savings!D104)),"")</f>
        <v/>
      </c>
    </row>
    <row r="1698" spans="1:11" ht="18" customHeight="1" x14ac:dyDescent="0.25">
      <c r="A1698" s="40" t="str">
        <f>IF(Agent09_Savings!A105="","",Agent09_Savings!A105)</f>
        <v/>
      </c>
      <c r="B1698" s="40" t="str">
        <f ca="1">IF(Agent09_Savings!A105="","","SV"&amp;TEXT(1698-3,"0000")&amp;"-"&amp;TEXT(TODAY(),"YYYYMMDD"))</f>
        <v/>
      </c>
      <c r="C1698" s="40" t="str">
        <f>IF(Agent09_Savings!A105="","",Agent09_Savings!B105)</f>
        <v/>
      </c>
      <c r="D1698" s="40" t="str">
        <f>IF(Agent09_Savings!A105="","",Agent09_Savings!G105)</f>
        <v/>
      </c>
      <c r="E1698" s="41" t="str">
        <f>IF(Agent09_Savings!A105="","",Agent09_Savings!D105)</f>
        <v/>
      </c>
      <c r="F1698" s="42" t="str">
        <f>IF(Agent09_Savings!A105="","",Agent09_Savings!E105)</f>
        <v/>
      </c>
      <c r="G1698" s="42" t="str">
        <f>IF(Agent09_Savings!A105="","",Agent09_Savings!F105)</f>
        <v/>
      </c>
      <c r="H1698" s="40" t="str">
        <f>IF(Agent09_Savings!A105="","",Agent09_Savings!I105)</f>
        <v/>
      </c>
      <c r="I1698" s="40" t="str">
        <f>IF(Agent09_Savings!A105="","",Agent09_Savings!J105)</f>
        <v/>
      </c>
      <c r="J1698" s="40" t="str">
        <f>IF(Agent09_Savings!A105="","",Agent09_Savings!K105)</f>
        <v/>
      </c>
      <c r="K1698" s="40" t="str">
        <f>IFERROR(IF(Agent09_Savings!A105="","",YEAR(Agent09_Savings!D105)),"")</f>
        <v/>
      </c>
    </row>
    <row r="1699" spans="1:11" ht="18" customHeight="1" x14ac:dyDescent="0.25">
      <c r="A1699" s="40" t="str">
        <f>IF(Agent09_Savings!A106="","",Agent09_Savings!A106)</f>
        <v/>
      </c>
      <c r="B1699" s="40" t="str">
        <f ca="1">IF(Agent09_Savings!A106="","","SV"&amp;TEXT(1699-3,"0000")&amp;"-"&amp;TEXT(TODAY(),"YYYYMMDD"))</f>
        <v/>
      </c>
      <c r="C1699" s="40" t="str">
        <f>IF(Agent09_Savings!A106="","",Agent09_Savings!B106)</f>
        <v/>
      </c>
      <c r="D1699" s="40" t="str">
        <f>IF(Agent09_Savings!A106="","",Agent09_Savings!G106)</f>
        <v/>
      </c>
      <c r="E1699" s="41" t="str">
        <f>IF(Agent09_Savings!A106="","",Agent09_Savings!D106)</f>
        <v/>
      </c>
      <c r="F1699" s="42" t="str">
        <f>IF(Agent09_Savings!A106="","",Agent09_Savings!E106)</f>
        <v/>
      </c>
      <c r="G1699" s="42" t="str">
        <f>IF(Agent09_Savings!A106="","",Agent09_Savings!F106)</f>
        <v/>
      </c>
      <c r="H1699" s="40" t="str">
        <f>IF(Agent09_Savings!A106="","",Agent09_Savings!I106)</f>
        <v/>
      </c>
      <c r="I1699" s="40" t="str">
        <f>IF(Agent09_Savings!A106="","",Agent09_Savings!J106)</f>
        <v/>
      </c>
      <c r="J1699" s="40" t="str">
        <f>IF(Agent09_Savings!A106="","",Agent09_Savings!K106)</f>
        <v/>
      </c>
      <c r="K1699" s="40" t="str">
        <f>IFERROR(IF(Agent09_Savings!A106="","",YEAR(Agent09_Savings!D106)),"")</f>
        <v/>
      </c>
    </row>
    <row r="1700" spans="1:11" ht="18" customHeight="1" x14ac:dyDescent="0.25">
      <c r="A1700" s="40" t="str">
        <f>IF(Agent09_Savings!A107="","",Agent09_Savings!A107)</f>
        <v/>
      </c>
      <c r="B1700" s="40" t="str">
        <f ca="1">IF(Agent09_Savings!A107="","","SV"&amp;TEXT(1700-3,"0000")&amp;"-"&amp;TEXT(TODAY(),"YYYYMMDD"))</f>
        <v/>
      </c>
      <c r="C1700" s="40" t="str">
        <f>IF(Agent09_Savings!A107="","",Agent09_Savings!B107)</f>
        <v/>
      </c>
      <c r="D1700" s="40" t="str">
        <f>IF(Agent09_Savings!A107="","",Agent09_Savings!G107)</f>
        <v/>
      </c>
      <c r="E1700" s="41" t="str">
        <f>IF(Agent09_Savings!A107="","",Agent09_Savings!D107)</f>
        <v/>
      </c>
      <c r="F1700" s="42" t="str">
        <f>IF(Agent09_Savings!A107="","",Agent09_Savings!E107)</f>
        <v/>
      </c>
      <c r="G1700" s="42" t="str">
        <f>IF(Agent09_Savings!A107="","",Agent09_Savings!F107)</f>
        <v/>
      </c>
      <c r="H1700" s="40" t="str">
        <f>IF(Agent09_Savings!A107="","",Agent09_Savings!I107)</f>
        <v/>
      </c>
      <c r="I1700" s="40" t="str">
        <f>IF(Agent09_Savings!A107="","",Agent09_Savings!J107)</f>
        <v/>
      </c>
      <c r="J1700" s="40" t="str">
        <f>IF(Agent09_Savings!A107="","",Agent09_Savings!K107)</f>
        <v/>
      </c>
      <c r="K1700" s="40" t="str">
        <f>IFERROR(IF(Agent09_Savings!A107="","",YEAR(Agent09_Savings!D107)),"")</f>
        <v/>
      </c>
    </row>
    <row r="1701" spans="1:11" ht="18" customHeight="1" x14ac:dyDescent="0.25">
      <c r="A1701" s="40" t="str">
        <f>IF(Agent09_Savings!A108="","",Agent09_Savings!A108)</f>
        <v/>
      </c>
      <c r="B1701" s="40" t="str">
        <f ca="1">IF(Agent09_Savings!A108="","","SV"&amp;TEXT(1701-3,"0000")&amp;"-"&amp;TEXT(TODAY(),"YYYYMMDD"))</f>
        <v/>
      </c>
      <c r="C1701" s="40" t="str">
        <f>IF(Agent09_Savings!A108="","",Agent09_Savings!B108)</f>
        <v/>
      </c>
      <c r="D1701" s="40" t="str">
        <f>IF(Agent09_Savings!A108="","",Agent09_Savings!G108)</f>
        <v/>
      </c>
      <c r="E1701" s="41" t="str">
        <f>IF(Agent09_Savings!A108="","",Agent09_Savings!D108)</f>
        <v/>
      </c>
      <c r="F1701" s="42" t="str">
        <f>IF(Agent09_Savings!A108="","",Agent09_Savings!E108)</f>
        <v/>
      </c>
      <c r="G1701" s="42" t="str">
        <f>IF(Agent09_Savings!A108="","",Agent09_Savings!F108)</f>
        <v/>
      </c>
      <c r="H1701" s="40" t="str">
        <f>IF(Agent09_Savings!A108="","",Agent09_Savings!I108)</f>
        <v/>
      </c>
      <c r="I1701" s="40" t="str">
        <f>IF(Agent09_Savings!A108="","",Agent09_Savings!J108)</f>
        <v/>
      </c>
      <c r="J1701" s="40" t="str">
        <f>IF(Agent09_Savings!A108="","",Agent09_Savings!K108)</f>
        <v/>
      </c>
      <c r="K1701" s="40" t="str">
        <f>IFERROR(IF(Agent09_Savings!A108="","",YEAR(Agent09_Savings!D108)),"")</f>
        <v/>
      </c>
    </row>
    <row r="1702" spans="1:11" ht="18" customHeight="1" x14ac:dyDescent="0.25">
      <c r="A1702" s="40" t="str">
        <f>IF(Agent09_Savings!A109="","",Agent09_Savings!A109)</f>
        <v/>
      </c>
      <c r="B1702" s="40" t="str">
        <f ca="1">IF(Agent09_Savings!A109="","","SV"&amp;TEXT(1702-3,"0000")&amp;"-"&amp;TEXT(TODAY(),"YYYYMMDD"))</f>
        <v/>
      </c>
      <c r="C1702" s="40" t="str">
        <f>IF(Agent09_Savings!A109="","",Agent09_Savings!B109)</f>
        <v/>
      </c>
      <c r="D1702" s="40" t="str">
        <f>IF(Agent09_Savings!A109="","",Agent09_Savings!G109)</f>
        <v/>
      </c>
      <c r="E1702" s="41" t="str">
        <f>IF(Agent09_Savings!A109="","",Agent09_Savings!D109)</f>
        <v/>
      </c>
      <c r="F1702" s="42" t="str">
        <f>IF(Agent09_Savings!A109="","",Agent09_Savings!E109)</f>
        <v/>
      </c>
      <c r="G1702" s="42" t="str">
        <f>IF(Agent09_Savings!A109="","",Agent09_Savings!F109)</f>
        <v/>
      </c>
      <c r="H1702" s="40" t="str">
        <f>IF(Agent09_Savings!A109="","",Agent09_Savings!I109)</f>
        <v/>
      </c>
      <c r="I1702" s="40" t="str">
        <f>IF(Agent09_Savings!A109="","",Agent09_Savings!J109)</f>
        <v/>
      </c>
      <c r="J1702" s="40" t="str">
        <f>IF(Agent09_Savings!A109="","",Agent09_Savings!K109)</f>
        <v/>
      </c>
      <c r="K1702" s="40" t="str">
        <f>IFERROR(IF(Agent09_Savings!A109="","",YEAR(Agent09_Savings!D109)),"")</f>
        <v/>
      </c>
    </row>
    <row r="1703" spans="1:11" ht="18" customHeight="1" x14ac:dyDescent="0.25">
      <c r="A1703" s="40" t="str">
        <f>IF(Agent09_Savings!A110="","",Agent09_Savings!A110)</f>
        <v/>
      </c>
      <c r="B1703" s="40" t="str">
        <f ca="1">IF(Agent09_Savings!A110="","","SV"&amp;TEXT(1703-3,"0000")&amp;"-"&amp;TEXT(TODAY(),"YYYYMMDD"))</f>
        <v/>
      </c>
      <c r="C1703" s="40" t="str">
        <f>IF(Agent09_Savings!A110="","",Agent09_Savings!B110)</f>
        <v/>
      </c>
      <c r="D1703" s="40" t="str">
        <f>IF(Agent09_Savings!A110="","",Agent09_Savings!G110)</f>
        <v/>
      </c>
      <c r="E1703" s="41" t="str">
        <f>IF(Agent09_Savings!A110="","",Agent09_Savings!D110)</f>
        <v/>
      </c>
      <c r="F1703" s="42" t="str">
        <f>IF(Agent09_Savings!A110="","",Agent09_Savings!E110)</f>
        <v/>
      </c>
      <c r="G1703" s="42" t="str">
        <f>IF(Agent09_Savings!A110="","",Agent09_Savings!F110)</f>
        <v/>
      </c>
      <c r="H1703" s="40" t="str">
        <f>IF(Agent09_Savings!A110="","",Agent09_Savings!I110)</f>
        <v/>
      </c>
      <c r="I1703" s="40" t="str">
        <f>IF(Agent09_Savings!A110="","",Agent09_Savings!J110)</f>
        <v/>
      </c>
      <c r="J1703" s="40" t="str">
        <f>IF(Agent09_Savings!A110="","",Agent09_Savings!K110)</f>
        <v/>
      </c>
      <c r="K1703" s="40" t="str">
        <f>IFERROR(IF(Agent09_Savings!A110="","",YEAR(Agent09_Savings!D110)),"")</f>
        <v/>
      </c>
    </row>
    <row r="1704" spans="1:11" ht="18" customHeight="1" x14ac:dyDescent="0.25">
      <c r="A1704" s="40" t="str">
        <f>IF(Agent09_Savings!A111="","",Agent09_Savings!A111)</f>
        <v/>
      </c>
      <c r="B1704" s="40" t="str">
        <f ca="1">IF(Agent09_Savings!A111="","","SV"&amp;TEXT(1704-3,"0000")&amp;"-"&amp;TEXT(TODAY(),"YYYYMMDD"))</f>
        <v/>
      </c>
      <c r="C1704" s="40" t="str">
        <f>IF(Agent09_Savings!A111="","",Agent09_Savings!B111)</f>
        <v/>
      </c>
      <c r="D1704" s="40" t="str">
        <f>IF(Agent09_Savings!A111="","",Agent09_Savings!G111)</f>
        <v/>
      </c>
      <c r="E1704" s="41" t="str">
        <f>IF(Agent09_Savings!A111="","",Agent09_Savings!D111)</f>
        <v/>
      </c>
      <c r="F1704" s="42" t="str">
        <f>IF(Agent09_Savings!A111="","",Agent09_Savings!E111)</f>
        <v/>
      </c>
      <c r="G1704" s="42" t="str">
        <f>IF(Agent09_Savings!A111="","",Agent09_Savings!F111)</f>
        <v/>
      </c>
      <c r="H1704" s="40" t="str">
        <f>IF(Agent09_Savings!A111="","",Agent09_Savings!I111)</f>
        <v/>
      </c>
      <c r="I1704" s="40" t="str">
        <f>IF(Agent09_Savings!A111="","",Agent09_Savings!J111)</f>
        <v/>
      </c>
      <c r="J1704" s="40" t="str">
        <f>IF(Agent09_Savings!A111="","",Agent09_Savings!K111)</f>
        <v/>
      </c>
      <c r="K1704" s="40" t="str">
        <f>IFERROR(IF(Agent09_Savings!A111="","",YEAR(Agent09_Savings!D111)),"")</f>
        <v/>
      </c>
    </row>
    <row r="1705" spans="1:11" ht="18" customHeight="1" x14ac:dyDescent="0.25">
      <c r="A1705" s="40" t="str">
        <f>IF(Agent09_Savings!A112="","",Agent09_Savings!A112)</f>
        <v/>
      </c>
      <c r="B1705" s="40" t="str">
        <f ca="1">IF(Agent09_Savings!A112="","","SV"&amp;TEXT(1705-3,"0000")&amp;"-"&amp;TEXT(TODAY(),"YYYYMMDD"))</f>
        <v/>
      </c>
      <c r="C1705" s="40" t="str">
        <f>IF(Agent09_Savings!A112="","",Agent09_Savings!B112)</f>
        <v/>
      </c>
      <c r="D1705" s="40" t="str">
        <f>IF(Agent09_Savings!A112="","",Agent09_Savings!G112)</f>
        <v/>
      </c>
      <c r="E1705" s="41" t="str">
        <f>IF(Agent09_Savings!A112="","",Agent09_Savings!D112)</f>
        <v/>
      </c>
      <c r="F1705" s="42" t="str">
        <f>IF(Agent09_Savings!A112="","",Agent09_Savings!E112)</f>
        <v/>
      </c>
      <c r="G1705" s="42" t="str">
        <f>IF(Agent09_Savings!A112="","",Agent09_Savings!F112)</f>
        <v/>
      </c>
      <c r="H1705" s="40" t="str">
        <f>IF(Agent09_Savings!A112="","",Agent09_Savings!I112)</f>
        <v/>
      </c>
      <c r="I1705" s="40" t="str">
        <f>IF(Agent09_Savings!A112="","",Agent09_Savings!J112)</f>
        <v/>
      </c>
      <c r="J1705" s="40" t="str">
        <f>IF(Agent09_Savings!A112="","",Agent09_Savings!K112)</f>
        <v/>
      </c>
      <c r="K1705" s="40" t="str">
        <f>IFERROR(IF(Agent09_Savings!A112="","",YEAR(Agent09_Savings!D112)),"")</f>
        <v/>
      </c>
    </row>
    <row r="1706" spans="1:11" ht="18" customHeight="1" x14ac:dyDescent="0.25">
      <c r="A1706" s="40" t="str">
        <f>IF(Agent09_Savings!A113="","",Agent09_Savings!A113)</f>
        <v/>
      </c>
      <c r="B1706" s="40" t="str">
        <f ca="1">IF(Agent09_Savings!A113="","","SV"&amp;TEXT(1706-3,"0000")&amp;"-"&amp;TEXT(TODAY(),"YYYYMMDD"))</f>
        <v/>
      </c>
      <c r="C1706" s="40" t="str">
        <f>IF(Agent09_Savings!A113="","",Agent09_Savings!B113)</f>
        <v/>
      </c>
      <c r="D1706" s="40" t="str">
        <f>IF(Agent09_Savings!A113="","",Agent09_Savings!G113)</f>
        <v/>
      </c>
      <c r="E1706" s="41" t="str">
        <f>IF(Agent09_Savings!A113="","",Agent09_Savings!D113)</f>
        <v/>
      </c>
      <c r="F1706" s="42" t="str">
        <f>IF(Agent09_Savings!A113="","",Agent09_Savings!E113)</f>
        <v/>
      </c>
      <c r="G1706" s="42" t="str">
        <f>IF(Agent09_Savings!A113="","",Agent09_Savings!F113)</f>
        <v/>
      </c>
      <c r="H1706" s="40" t="str">
        <f>IF(Agent09_Savings!A113="","",Agent09_Savings!I113)</f>
        <v/>
      </c>
      <c r="I1706" s="40" t="str">
        <f>IF(Agent09_Savings!A113="","",Agent09_Savings!J113)</f>
        <v/>
      </c>
      <c r="J1706" s="40" t="str">
        <f>IF(Agent09_Savings!A113="","",Agent09_Savings!K113)</f>
        <v/>
      </c>
      <c r="K1706" s="40" t="str">
        <f>IFERROR(IF(Agent09_Savings!A113="","",YEAR(Agent09_Savings!D113)),"")</f>
        <v/>
      </c>
    </row>
    <row r="1707" spans="1:11" ht="18" customHeight="1" x14ac:dyDescent="0.25">
      <c r="A1707" s="40" t="str">
        <f>IF(Agent09_Savings!A114="","",Agent09_Savings!A114)</f>
        <v/>
      </c>
      <c r="B1707" s="40" t="str">
        <f ca="1">IF(Agent09_Savings!A114="","","SV"&amp;TEXT(1707-3,"0000")&amp;"-"&amp;TEXT(TODAY(),"YYYYMMDD"))</f>
        <v/>
      </c>
      <c r="C1707" s="40" t="str">
        <f>IF(Agent09_Savings!A114="","",Agent09_Savings!B114)</f>
        <v/>
      </c>
      <c r="D1707" s="40" t="str">
        <f>IF(Agent09_Savings!A114="","",Agent09_Savings!G114)</f>
        <v/>
      </c>
      <c r="E1707" s="41" t="str">
        <f>IF(Agent09_Savings!A114="","",Agent09_Savings!D114)</f>
        <v/>
      </c>
      <c r="F1707" s="42" t="str">
        <f>IF(Agent09_Savings!A114="","",Agent09_Savings!E114)</f>
        <v/>
      </c>
      <c r="G1707" s="42" t="str">
        <f>IF(Agent09_Savings!A114="","",Agent09_Savings!F114)</f>
        <v/>
      </c>
      <c r="H1707" s="40" t="str">
        <f>IF(Agent09_Savings!A114="","",Agent09_Savings!I114)</f>
        <v/>
      </c>
      <c r="I1707" s="40" t="str">
        <f>IF(Agent09_Savings!A114="","",Agent09_Savings!J114)</f>
        <v/>
      </c>
      <c r="J1707" s="40" t="str">
        <f>IF(Agent09_Savings!A114="","",Agent09_Savings!K114)</f>
        <v/>
      </c>
      <c r="K1707" s="40" t="str">
        <f>IFERROR(IF(Agent09_Savings!A114="","",YEAR(Agent09_Savings!D114)),"")</f>
        <v/>
      </c>
    </row>
    <row r="1708" spans="1:11" ht="18" customHeight="1" x14ac:dyDescent="0.25">
      <c r="A1708" s="40" t="str">
        <f>IF(Agent09_Savings!A115="","",Agent09_Savings!A115)</f>
        <v/>
      </c>
      <c r="B1708" s="40" t="str">
        <f ca="1">IF(Agent09_Savings!A115="","","SV"&amp;TEXT(1708-3,"0000")&amp;"-"&amp;TEXT(TODAY(),"YYYYMMDD"))</f>
        <v/>
      </c>
      <c r="C1708" s="40" t="str">
        <f>IF(Agent09_Savings!A115="","",Agent09_Savings!B115)</f>
        <v/>
      </c>
      <c r="D1708" s="40" t="str">
        <f>IF(Agent09_Savings!A115="","",Agent09_Savings!G115)</f>
        <v/>
      </c>
      <c r="E1708" s="41" t="str">
        <f>IF(Agent09_Savings!A115="","",Agent09_Savings!D115)</f>
        <v/>
      </c>
      <c r="F1708" s="42" t="str">
        <f>IF(Agent09_Savings!A115="","",Agent09_Savings!E115)</f>
        <v/>
      </c>
      <c r="G1708" s="42" t="str">
        <f>IF(Agent09_Savings!A115="","",Agent09_Savings!F115)</f>
        <v/>
      </c>
      <c r="H1708" s="40" t="str">
        <f>IF(Agent09_Savings!A115="","",Agent09_Savings!I115)</f>
        <v/>
      </c>
      <c r="I1708" s="40" t="str">
        <f>IF(Agent09_Savings!A115="","",Agent09_Savings!J115)</f>
        <v/>
      </c>
      <c r="J1708" s="40" t="str">
        <f>IF(Agent09_Savings!A115="","",Agent09_Savings!K115)</f>
        <v/>
      </c>
      <c r="K1708" s="40" t="str">
        <f>IFERROR(IF(Agent09_Savings!A115="","",YEAR(Agent09_Savings!D115)),"")</f>
        <v/>
      </c>
    </row>
    <row r="1709" spans="1:11" ht="18" customHeight="1" x14ac:dyDescent="0.25">
      <c r="A1709" s="40" t="str">
        <f>IF(Agent09_Savings!A116="","",Agent09_Savings!A116)</f>
        <v/>
      </c>
      <c r="B1709" s="40" t="str">
        <f ca="1">IF(Agent09_Savings!A116="","","SV"&amp;TEXT(1709-3,"0000")&amp;"-"&amp;TEXT(TODAY(),"YYYYMMDD"))</f>
        <v/>
      </c>
      <c r="C1709" s="40" t="str">
        <f>IF(Agent09_Savings!A116="","",Agent09_Savings!B116)</f>
        <v/>
      </c>
      <c r="D1709" s="40" t="str">
        <f>IF(Agent09_Savings!A116="","",Agent09_Savings!G116)</f>
        <v/>
      </c>
      <c r="E1709" s="41" t="str">
        <f>IF(Agent09_Savings!A116="","",Agent09_Savings!D116)</f>
        <v/>
      </c>
      <c r="F1709" s="42" t="str">
        <f>IF(Agent09_Savings!A116="","",Agent09_Savings!E116)</f>
        <v/>
      </c>
      <c r="G1709" s="42" t="str">
        <f>IF(Agent09_Savings!A116="","",Agent09_Savings!F116)</f>
        <v/>
      </c>
      <c r="H1709" s="40" t="str">
        <f>IF(Agent09_Savings!A116="","",Agent09_Savings!I116)</f>
        <v/>
      </c>
      <c r="I1709" s="40" t="str">
        <f>IF(Agent09_Savings!A116="","",Agent09_Savings!J116)</f>
        <v/>
      </c>
      <c r="J1709" s="40" t="str">
        <f>IF(Agent09_Savings!A116="","",Agent09_Savings!K116)</f>
        <v/>
      </c>
      <c r="K1709" s="40" t="str">
        <f>IFERROR(IF(Agent09_Savings!A116="","",YEAR(Agent09_Savings!D116)),"")</f>
        <v/>
      </c>
    </row>
    <row r="1710" spans="1:11" ht="18" customHeight="1" x14ac:dyDescent="0.25">
      <c r="A1710" s="40" t="str">
        <f>IF(Agent09_Savings!A117="","",Agent09_Savings!A117)</f>
        <v/>
      </c>
      <c r="B1710" s="40" t="str">
        <f ca="1">IF(Agent09_Savings!A117="","","SV"&amp;TEXT(1710-3,"0000")&amp;"-"&amp;TEXT(TODAY(),"YYYYMMDD"))</f>
        <v/>
      </c>
      <c r="C1710" s="40" t="str">
        <f>IF(Agent09_Savings!A117="","",Agent09_Savings!B117)</f>
        <v/>
      </c>
      <c r="D1710" s="40" t="str">
        <f>IF(Agent09_Savings!A117="","",Agent09_Savings!G117)</f>
        <v/>
      </c>
      <c r="E1710" s="41" t="str">
        <f>IF(Agent09_Savings!A117="","",Agent09_Savings!D117)</f>
        <v/>
      </c>
      <c r="F1710" s="42" t="str">
        <f>IF(Agent09_Savings!A117="","",Agent09_Savings!E117)</f>
        <v/>
      </c>
      <c r="G1710" s="42" t="str">
        <f>IF(Agent09_Savings!A117="","",Agent09_Savings!F117)</f>
        <v/>
      </c>
      <c r="H1710" s="40" t="str">
        <f>IF(Agent09_Savings!A117="","",Agent09_Savings!I117)</f>
        <v/>
      </c>
      <c r="I1710" s="40" t="str">
        <f>IF(Agent09_Savings!A117="","",Agent09_Savings!J117)</f>
        <v/>
      </c>
      <c r="J1710" s="40" t="str">
        <f>IF(Agent09_Savings!A117="","",Agent09_Savings!K117)</f>
        <v/>
      </c>
      <c r="K1710" s="40" t="str">
        <f>IFERROR(IF(Agent09_Savings!A117="","",YEAR(Agent09_Savings!D117)),"")</f>
        <v/>
      </c>
    </row>
    <row r="1711" spans="1:11" ht="18" customHeight="1" x14ac:dyDescent="0.25">
      <c r="A1711" s="40" t="str">
        <f>IF(Agent09_Savings!A118="","",Agent09_Savings!A118)</f>
        <v/>
      </c>
      <c r="B1711" s="40" t="str">
        <f ca="1">IF(Agent09_Savings!A118="","","SV"&amp;TEXT(1711-3,"0000")&amp;"-"&amp;TEXT(TODAY(),"YYYYMMDD"))</f>
        <v/>
      </c>
      <c r="C1711" s="40" t="str">
        <f>IF(Agent09_Savings!A118="","",Agent09_Savings!B118)</f>
        <v/>
      </c>
      <c r="D1711" s="40" t="str">
        <f>IF(Agent09_Savings!A118="","",Agent09_Savings!G118)</f>
        <v/>
      </c>
      <c r="E1711" s="41" t="str">
        <f>IF(Agent09_Savings!A118="","",Agent09_Savings!D118)</f>
        <v/>
      </c>
      <c r="F1711" s="42" t="str">
        <f>IF(Agent09_Savings!A118="","",Agent09_Savings!E118)</f>
        <v/>
      </c>
      <c r="G1711" s="42" t="str">
        <f>IF(Agent09_Savings!A118="","",Agent09_Savings!F118)</f>
        <v/>
      </c>
      <c r="H1711" s="40" t="str">
        <f>IF(Agent09_Savings!A118="","",Agent09_Savings!I118)</f>
        <v/>
      </c>
      <c r="I1711" s="40" t="str">
        <f>IF(Agent09_Savings!A118="","",Agent09_Savings!J118)</f>
        <v/>
      </c>
      <c r="J1711" s="40" t="str">
        <f>IF(Agent09_Savings!A118="","",Agent09_Savings!K118)</f>
        <v/>
      </c>
      <c r="K1711" s="40" t="str">
        <f>IFERROR(IF(Agent09_Savings!A118="","",YEAR(Agent09_Savings!D118)),"")</f>
        <v/>
      </c>
    </row>
    <row r="1712" spans="1:11" ht="18" customHeight="1" x14ac:dyDescent="0.25">
      <c r="A1712" s="40" t="str">
        <f>IF(Agent09_Savings!A119="","",Agent09_Savings!A119)</f>
        <v/>
      </c>
      <c r="B1712" s="40" t="str">
        <f ca="1">IF(Agent09_Savings!A119="","","SV"&amp;TEXT(1712-3,"0000")&amp;"-"&amp;TEXT(TODAY(),"YYYYMMDD"))</f>
        <v/>
      </c>
      <c r="C1712" s="40" t="str">
        <f>IF(Agent09_Savings!A119="","",Agent09_Savings!B119)</f>
        <v/>
      </c>
      <c r="D1712" s="40" t="str">
        <f>IF(Agent09_Savings!A119="","",Agent09_Savings!G119)</f>
        <v/>
      </c>
      <c r="E1712" s="41" t="str">
        <f>IF(Agent09_Savings!A119="","",Agent09_Savings!D119)</f>
        <v/>
      </c>
      <c r="F1712" s="42" t="str">
        <f>IF(Agent09_Savings!A119="","",Agent09_Savings!E119)</f>
        <v/>
      </c>
      <c r="G1712" s="42" t="str">
        <f>IF(Agent09_Savings!A119="","",Agent09_Savings!F119)</f>
        <v/>
      </c>
      <c r="H1712" s="40" t="str">
        <f>IF(Agent09_Savings!A119="","",Agent09_Savings!I119)</f>
        <v/>
      </c>
      <c r="I1712" s="40" t="str">
        <f>IF(Agent09_Savings!A119="","",Agent09_Savings!J119)</f>
        <v/>
      </c>
      <c r="J1712" s="40" t="str">
        <f>IF(Agent09_Savings!A119="","",Agent09_Savings!K119)</f>
        <v/>
      </c>
      <c r="K1712" s="40" t="str">
        <f>IFERROR(IF(Agent09_Savings!A119="","",YEAR(Agent09_Savings!D119)),"")</f>
        <v/>
      </c>
    </row>
    <row r="1713" spans="1:11" ht="18" customHeight="1" x14ac:dyDescent="0.25">
      <c r="A1713" s="40" t="str">
        <f>IF(Agent09_Savings!A120="","",Agent09_Savings!A120)</f>
        <v/>
      </c>
      <c r="B1713" s="40" t="str">
        <f ca="1">IF(Agent09_Savings!A120="","","SV"&amp;TEXT(1713-3,"0000")&amp;"-"&amp;TEXT(TODAY(),"YYYYMMDD"))</f>
        <v/>
      </c>
      <c r="C1713" s="40" t="str">
        <f>IF(Agent09_Savings!A120="","",Agent09_Savings!B120)</f>
        <v/>
      </c>
      <c r="D1713" s="40" t="str">
        <f>IF(Agent09_Savings!A120="","",Agent09_Savings!G120)</f>
        <v/>
      </c>
      <c r="E1713" s="41" t="str">
        <f>IF(Agent09_Savings!A120="","",Agent09_Savings!D120)</f>
        <v/>
      </c>
      <c r="F1713" s="42" t="str">
        <f>IF(Agent09_Savings!A120="","",Agent09_Savings!E120)</f>
        <v/>
      </c>
      <c r="G1713" s="42" t="str">
        <f>IF(Agent09_Savings!A120="","",Agent09_Savings!F120)</f>
        <v/>
      </c>
      <c r="H1713" s="40" t="str">
        <f>IF(Agent09_Savings!A120="","",Agent09_Savings!I120)</f>
        <v/>
      </c>
      <c r="I1713" s="40" t="str">
        <f>IF(Agent09_Savings!A120="","",Agent09_Savings!J120)</f>
        <v/>
      </c>
      <c r="J1713" s="40" t="str">
        <f>IF(Agent09_Savings!A120="","",Agent09_Savings!K120)</f>
        <v/>
      </c>
      <c r="K1713" s="40" t="str">
        <f>IFERROR(IF(Agent09_Savings!A120="","",YEAR(Agent09_Savings!D120)),"")</f>
        <v/>
      </c>
    </row>
    <row r="1714" spans="1:11" ht="18" customHeight="1" x14ac:dyDescent="0.25">
      <c r="A1714" s="40" t="str">
        <f>IF(Agent09_Savings!A121="","",Agent09_Savings!A121)</f>
        <v/>
      </c>
      <c r="B1714" s="40" t="str">
        <f ca="1">IF(Agent09_Savings!A121="","","SV"&amp;TEXT(1714-3,"0000")&amp;"-"&amp;TEXT(TODAY(),"YYYYMMDD"))</f>
        <v/>
      </c>
      <c r="C1714" s="40" t="str">
        <f>IF(Agent09_Savings!A121="","",Agent09_Savings!B121)</f>
        <v/>
      </c>
      <c r="D1714" s="40" t="str">
        <f>IF(Agent09_Savings!A121="","",Agent09_Savings!G121)</f>
        <v/>
      </c>
      <c r="E1714" s="41" t="str">
        <f>IF(Agent09_Savings!A121="","",Agent09_Savings!D121)</f>
        <v/>
      </c>
      <c r="F1714" s="42" t="str">
        <f>IF(Agent09_Savings!A121="","",Agent09_Savings!E121)</f>
        <v/>
      </c>
      <c r="G1714" s="42" t="str">
        <f>IF(Agent09_Savings!A121="","",Agent09_Savings!F121)</f>
        <v/>
      </c>
      <c r="H1714" s="40" t="str">
        <f>IF(Agent09_Savings!A121="","",Agent09_Savings!I121)</f>
        <v/>
      </c>
      <c r="I1714" s="40" t="str">
        <f>IF(Agent09_Savings!A121="","",Agent09_Savings!J121)</f>
        <v/>
      </c>
      <c r="J1714" s="40" t="str">
        <f>IF(Agent09_Savings!A121="","",Agent09_Savings!K121)</f>
        <v/>
      </c>
      <c r="K1714" s="40" t="str">
        <f>IFERROR(IF(Agent09_Savings!A121="","",YEAR(Agent09_Savings!D121)),"")</f>
        <v/>
      </c>
    </row>
    <row r="1715" spans="1:11" ht="18" customHeight="1" x14ac:dyDescent="0.25">
      <c r="A1715" s="40" t="str">
        <f>IF(Agent09_Savings!A122="","",Agent09_Savings!A122)</f>
        <v/>
      </c>
      <c r="B1715" s="40" t="str">
        <f ca="1">IF(Agent09_Savings!A122="","","SV"&amp;TEXT(1715-3,"0000")&amp;"-"&amp;TEXT(TODAY(),"YYYYMMDD"))</f>
        <v/>
      </c>
      <c r="C1715" s="40" t="str">
        <f>IF(Agent09_Savings!A122="","",Agent09_Savings!B122)</f>
        <v/>
      </c>
      <c r="D1715" s="40" t="str">
        <f>IF(Agent09_Savings!A122="","",Agent09_Savings!G122)</f>
        <v/>
      </c>
      <c r="E1715" s="41" t="str">
        <f>IF(Agent09_Savings!A122="","",Agent09_Savings!D122)</f>
        <v/>
      </c>
      <c r="F1715" s="42" t="str">
        <f>IF(Agent09_Savings!A122="","",Agent09_Savings!E122)</f>
        <v/>
      </c>
      <c r="G1715" s="42" t="str">
        <f>IF(Agent09_Savings!A122="","",Agent09_Savings!F122)</f>
        <v/>
      </c>
      <c r="H1715" s="40" t="str">
        <f>IF(Agent09_Savings!A122="","",Agent09_Savings!I122)</f>
        <v/>
      </c>
      <c r="I1715" s="40" t="str">
        <f>IF(Agent09_Savings!A122="","",Agent09_Savings!J122)</f>
        <v/>
      </c>
      <c r="J1715" s="40" t="str">
        <f>IF(Agent09_Savings!A122="","",Agent09_Savings!K122)</f>
        <v/>
      </c>
      <c r="K1715" s="40" t="str">
        <f>IFERROR(IF(Agent09_Savings!A122="","",YEAR(Agent09_Savings!D122)),"")</f>
        <v/>
      </c>
    </row>
    <row r="1716" spans="1:11" ht="18" customHeight="1" x14ac:dyDescent="0.25">
      <c r="A1716" s="40" t="str">
        <f>IF(Agent09_Savings!A123="","",Agent09_Savings!A123)</f>
        <v/>
      </c>
      <c r="B1716" s="40" t="str">
        <f ca="1">IF(Agent09_Savings!A123="","","SV"&amp;TEXT(1716-3,"0000")&amp;"-"&amp;TEXT(TODAY(),"YYYYMMDD"))</f>
        <v/>
      </c>
      <c r="C1716" s="40" t="str">
        <f>IF(Agent09_Savings!A123="","",Agent09_Savings!B123)</f>
        <v/>
      </c>
      <c r="D1716" s="40" t="str">
        <f>IF(Agent09_Savings!A123="","",Agent09_Savings!G123)</f>
        <v/>
      </c>
      <c r="E1716" s="41" t="str">
        <f>IF(Agent09_Savings!A123="","",Agent09_Savings!D123)</f>
        <v/>
      </c>
      <c r="F1716" s="42" t="str">
        <f>IF(Agent09_Savings!A123="","",Agent09_Savings!E123)</f>
        <v/>
      </c>
      <c r="G1716" s="42" t="str">
        <f>IF(Agent09_Savings!A123="","",Agent09_Savings!F123)</f>
        <v/>
      </c>
      <c r="H1716" s="40" t="str">
        <f>IF(Agent09_Savings!A123="","",Agent09_Savings!I123)</f>
        <v/>
      </c>
      <c r="I1716" s="40" t="str">
        <f>IF(Agent09_Savings!A123="","",Agent09_Savings!J123)</f>
        <v/>
      </c>
      <c r="J1716" s="40" t="str">
        <f>IF(Agent09_Savings!A123="","",Agent09_Savings!K123)</f>
        <v/>
      </c>
      <c r="K1716" s="40" t="str">
        <f>IFERROR(IF(Agent09_Savings!A123="","",YEAR(Agent09_Savings!D123)),"")</f>
        <v/>
      </c>
    </row>
    <row r="1717" spans="1:11" ht="18" customHeight="1" x14ac:dyDescent="0.25">
      <c r="A1717" s="40" t="str">
        <f>IF(Agent09_Savings!A124="","",Agent09_Savings!A124)</f>
        <v/>
      </c>
      <c r="B1717" s="40" t="str">
        <f ca="1">IF(Agent09_Savings!A124="","","SV"&amp;TEXT(1717-3,"0000")&amp;"-"&amp;TEXT(TODAY(),"YYYYMMDD"))</f>
        <v/>
      </c>
      <c r="C1717" s="40" t="str">
        <f>IF(Agent09_Savings!A124="","",Agent09_Savings!B124)</f>
        <v/>
      </c>
      <c r="D1717" s="40" t="str">
        <f>IF(Agent09_Savings!A124="","",Agent09_Savings!G124)</f>
        <v/>
      </c>
      <c r="E1717" s="41" t="str">
        <f>IF(Agent09_Savings!A124="","",Agent09_Savings!D124)</f>
        <v/>
      </c>
      <c r="F1717" s="42" t="str">
        <f>IF(Agent09_Savings!A124="","",Agent09_Savings!E124)</f>
        <v/>
      </c>
      <c r="G1717" s="42" t="str">
        <f>IF(Agent09_Savings!A124="","",Agent09_Savings!F124)</f>
        <v/>
      </c>
      <c r="H1717" s="40" t="str">
        <f>IF(Agent09_Savings!A124="","",Agent09_Savings!I124)</f>
        <v/>
      </c>
      <c r="I1717" s="40" t="str">
        <f>IF(Agent09_Savings!A124="","",Agent09_Savings!J124)</f>
        <v/>
      </c>
      <c r="J1717" s="40" t="str">
        <f>IF(Agent09_Savings!A124="","",Agent09_Savings!K124)</f>
        <v/>
      </c>
      <c r="K1717" s="40" t="str">
        <f>IFERROR(IF(Agent09_Savings!A124="","",YEAR(Agent09_Savings!D124)),"")</f>
        <v/>
      </c>
    </row>
    <row r="1718" spans="1:11" ht="18" customHeight="1" x14ac:dyDescent="0.25">
      <c r="A1718" s="40" t="str">
        <f>IF(Agent09_Savings!A125="","",Agent09_Savings!A125)</f>
        <v/>
      </c>
      <c r="B1718" s="40" t="str">
        <f ca="1">IF(Agent09_Savings!A125="","","SV"&amp;TEXT(1718-3,"0000")&amp;"-"&amp;TEXT(TODAY(),"YYYYMMDD"))</f>
        <v/>
      </c>
      <c r="C1718" s="40" t="str">
        <f>IF(Agent09_Savings!A125="","",Agent09_Savings!B125)</f>
        <v/>
      </c>
      <c r="D1718" s="40" t="str">
        <f>IF(Agent09_Savings!A125="","",Agent09_Savings!G125)</f>
        <v/>
      </c>
      <c r="E1718" s="41" t="str">
        <f>IF(Agent09_Savings!A125="","",Agent09_Savings!D125)</f>
        <v/>
      </c>
      <c r="F1718" s="42" t="str">
        <f>IF(Agent09_Savings!A125="","",Agent09_Savings!E125)</f>
        <v/>
      </c>
      <c r="G1718" s="42" t="str">
        <f>IF(Agent09_Savings!A125="","",Agent09_Savings!F125)</f>
        <v/>
      </c>
      <c r="H1718" s="40" t="str">
        <f>IF(Agent09_Savings!A125="","",Agent09_Savings!I125)</f>
        <v/>
      </c>
      <c r="I1718" s="40" t="str">
        <f>IF(Agent09_Savings!A125="","",Agent09_Savings!J125)</f>
        <v/>
      </c>
      <c r="J1718" s="40" t="str">
        <f>IF(Agent09_Savings!A125="","",Agent09_Savings!K125)</f>
        <v/>
      </c>
      <c r="K1718" s="40" t="str">
        <f>IFERROR(IF(Agent09_Savings!A125="","",YEAR(Agent09_Savings!D125)),"")</f>
        <v/>
      </c>
    </row>
    <row r="1719" spans="1:11" ht="18" customHeight="1" x14ac:dyDescent="0.25">
      <c r="A1719" s="40" t="str">
        <f>IF(Agent09_Savings!A126="","",Agent09_Savings!A126)</f>
        <v/>
      </c>
      <c r="B1719" s="40" t="str">
        <f ca="1">IF(Agent09_Savings!A126="","","SV"&amp;TEXT(1719-3,"0000")&amp;"-"&amp;TEXT(TODAY(),"YYYYMMDD"))</f>
        <v/>
      </c>
      <c r="C1719" s="40" t="str">
        <f>IF(Agent09_Savings!A126="","",Agent09_Savings!B126)</f>
        <v/>
      </c>
      <c r="D1719" s="40" t="str">
        <f>IF(Agent09_Savings!A126="","",Agent09_Savings!G126)</f>
        <v/>
      </c>
      <c r="E1719" s="41" t="str">
        <f>IF(Agent09_Savings!A126="","",Agent09_Savings!D126)</f>
        <v/>
      </c>
      <c r="F1719" s="42" t="str">
        <f>IF(Agent09_Savings!A126="","",Agent09_Savings!E126)</f>
        <v/>
      </c>
      <c r="G1719" s="42" t="str">
        <f>IF(Agent09_Savings!A126="","",Agent09_Savings!F126)</f>
        <v/>
      </c>
      <c r="H1719" s="40" t="str">
        <f>IF(Agent09_Savings!A126="","",Agent09_Savings!I126)</f>
        <v/>
      </c>
      <c r="I1719" s="40" t="str">
        <f>IF(Agent09_Savings!A126="","",Agent09_Savings!J126)</f>
        <v/>
      </c>
      <c r="J1719" s="40" t="str">
        <f>IF(Agent09_Savings!A126="","",Agent09_Savings!K126)</f>
        <v/>
      </c>
      <c r="K1719" s="40" t="str">
        <f>IFERROR(IF(Agent09_Savings!A126="","",YEAR(Agent09_Savings!D126)),"")</f>
        <v/>
      </c>
    </row>
    <row r="1720" spans="1:11" ht="18" customHeight="1" x14ac:dyDescent="0.25">
      <c r="A1720" s="40" t="str">
        <f>IF(Agent09_Savings!A127="","",Agent09_Savings!A127)</f>
        <v/>
      </c>
      <c r="B1720" s="40" t="str">
        <f ca="1">IF(Agent09_Savings!A127="","","SV"&amp;TEXT(1720-3,"0000")&amp;"-"&amp;TEXT(TODAY(),"YYYYMMDD"))</f>
        <v/>
      </c>
      <c r="C1720" s="40" t="str">
        <f>IF(Agent09_Savings!A127="","",Agent09_Savings!B127)</f>
        <v/>
      </c>
      <c r="D1720" s="40" t="str">
        <f>IF(Agent09_Savings!A127="","",Agent09_Savings!G127)</f>
        <v/>
      </c>
      <c r="E1720" s="41" t="str">
        <f>IF(Agent09_Savings!A127="","",Agent09_Savings!D127)</f>
        <v/>
      </c>
      <c r="F1720" s="42" t="str">
        <f>IF(Agent09_Savings!A127="","",Agent09_Savings!E127)</f>
        <v/>
      </c>
      <c r="G1720" s="42" t="str">
        <f>IF(Agent09_Savings!A127="","",Agent09_Savings!F127)</f>
        <v/>
      </c>
      <c r="H1720" s="40" t="str">
        <f>IF(Agent09_Savings!A127="","",Agent09_Savings!I127)</f>
        <v/>
      </c>
      <c r="I1720" s="40" t="str">
        <f>IF(Agent09_Savings!A127="","",Agent09_Savings!J127)</f>
        <v/>
      </c>
      <c r="J1720" s="40" t="str">
        <f>IF(Agent09_Savings!A127="","",Agent09_Savings!K127)</f>
        <v/>
      </c>
      <c r="K1720" s="40" t="str">
        <f>IFERROR(IF(Agent09_Savings!A127="","",YEAR(Agent09_Savings!D127)),"")</f>
        <v/>
      </c>
    </row>
    <row r="1721" spans="1:11" ht="18" customHeight="1" x14ac:dyDescent="0.25">
      <c r="A1721" s="40" t="str">
        <f>IF(Agent09_Savings!A128="","",Agent09_Savings!A128)</f>
        <v/>
      </c>
      <c r="B1721" s="40" t="str">
        <f ca="1">IF(Agent09_Savings!A128="","","SV"&amp;TEXT(1721-3,"0000")&amp;"-"&amp;TEXT(TODAY(),"YYYYMMDD"))</f>
        <v/>
      </c>
      <c r="C1721" s="40" t="str">
        <f>IF(Agent09_Savings!A128="","",Agent09_Savings!B128)</f>
        <v/>
      </c>
      <c r="D1721" s="40" t="str">
        <f>IF(Agent09_Savings!A128="","",Agent09_Savings!G128)</f>
        <v/>
      </c>
      <c r="E1721" s="41" t="str">
        <f>IF(Agent09_Savings!A128="","",Agent09_Savings!D128)</f>
        <v/>
      </c>
      <c r="F1721" s="42" t="str">
        <f>IF(Agent09_Savings!A128="","",Agent09_Savings!E128)</f>
        <v/>
      </c>
      <c r="G1721" s="42" t="str">
        <f>IF(Agent09_Savings!A128="","",Agent09_Savings!F128)</f>
        <v/>
      </c>
      <c r="H1721" s="40" t="str">
        <f>IF(Agent09_Savings!A128="","",Agent09_Savings!I128)</f>
        <v/>
      </c>
      <c r="I1721" s="40" t="str">
        <f>IF(Agent09_Savings!A128="","",Agent09_Savings!J128)</f>
        <v/>
      </c>
      <c r="J1721" s="40" t="str">
        <f>IF(Agent09_Savings!A128="","",Agent09_Savings!K128)</f>
        <v/>
      </c>
      <c r="K1721" s="40" t="str">
        <f>IFERROR(IF(Agent09_Savings!A128="","",YEAR(Agent09_Savings!D128)),"")</f>
        <v/>
      </c>
    </row>
    <row r="1722" spans="1:11" ht="18" customHeight="1" x14ac:dyDescent="0.25">
      <c r="A1722" s="40" t="str">
        <f>IF(Agent09_Savings!A129="","",Agent09_Savings!A129)</f>
        <v/>
      </c>
      <c r="B1722" s="40" t="str">
        <f ca="1">IF(Agent09_Savings!A129="","","SV"&amp;TEXT(1722-3,"0000")&amp;"-"&amp;TEXT(TODAY(),"YYYYMMDD"))</f>
        <v/>
      </c>
      <c r="C1722" s="40" t="str">
        <f>IF(Agent09_Savings!A129="","",Agent09_Savings!B129)</f>
        <v/>
      </c>
      <c r="D1722" s="40" t="str">
        <f>IF(Agent09_Savings!A129="","",Agent09_Savings!G129)</f>
        <v/>
      </c>
      <c r="E1722" s="41" t="str">
        <f>IF(Agent09_Savings!A129="","",Agent09_Savings!D129)</f>
        <v/>
      </c>
      <c r="F1722" s="42" t="str">
        <f>IF(Agent09_Savings!A129="","",Agent09_Savings!E129)</f>
        <v/>
      </c>
      <c r="G1722" s="42" t="str">
        <f>IF(Agent09_Savings!A129="","",Agent09_Savings!F129)</f>
        <v/>
      </c>
      <c r="H1722" s="40" t="str">
        <f>IF(Agent09_Savings!A129="","",Agent09_Savings!I129)</f>
        <v/>
      </c>
      <c r="I1722" s="40" t="str">
        <f>IF(Agent09_Savings!A129="","",Agent09_Savings!J129)</f>
        <v/>
      </c>
      <c r="J1722" s="40" t="str">
        <f>IF(Agent09_Savings!A129="","",Agent09_Savings!K129)</f>
        <v/>
      </c>
      <c r="K1722" s="40" t="str">
        <f>IFERROR(IF(Agent09_Savings!A129="","",YEAR(Agent09_Savings!D129)),"")</f>
        <v/>
      </c>
    </row>
    <row r="1723" spans="1:11" ht="18" customHeight="1" x14ac:dyDescent="0.25">
      <c r="A1723" s="40" t="str">
        <f>IF(Agent09_Savings!A130="","",Agent09_Savings!A130)</f>
        <v/>
      </c>
      <c r="B1723" s="40" t="str">
        <f ca="1">IF(Agent09_Savings!A130="","","SV"&amp;TEXT(1723-3,"0000")&amp;"-"&amp;TEXT(TODAY(),"YYYYMMDD"))</f>
        <v/>
      </c>
      <c r="C1723" s="40" t="str">
        <f>IF(Agent09_Savings!A130="","",Agent09_Savings!B130)</f>
        <v/>
      </c>
      <c r="D1723" s="40" t="str">
        <f>IF(Agent09_Savings!A130="","",Agent09_Savings!G130)</f>
        <v/>
      </c>
      <c r="E1723" s="41" t="str">
        <f>IF(Agent09_Savings!A130="","",Agent09_Savings!D130)</f>
        <v/>
      </c>
      <c r="F1723" s="42" t="str">
        <f>IF(Agent09_Savings!A130="","",Agent09_Savings!E130)</f>
        <v/>
      </c>
      <c r="G1723" s="42" t="str">
        <f>IF(Agent09_Savings!A130="","",Agent09_Savings!F130)</f>
        <v/>
      </c>
      <c r="H1723" s="40" t="str">
        <f>IF(Agent09_Savings!A130="","",Agent09_Savings!I130)</f>
        <v/>
      </c>
      <c r="I1723" s="40" t="str">
        <f>IF(Agent09_Savings!A130="","",Agent09_Savings!J130)</f>
        <v/>
      </c>
      <c r="J1723" s="40" t="str">
        <f>IF(Agent09_Savings!A130="","",Agent09_Savings!K130)</f>
        <v/>
      </c>
      <c r="K1723" s="40" t="str">
        <f>IFERROR(IF(Agent09_Savings!A130="","",YEAR(Agent09_Savings!D130)),"")</f>
        <v/>
      </c>
    </row>
    <row r="1724" spans="1:11" ht="18" customHeight="1" x14ac:dyDescent="0.25">
      <c r="A1724" s="40" t="str">
        <f>IF(Agent09_Savings!A131="","",Agent09_Savings!A131)</f>
        <v/>
      </c>
      <c r="B1724" s="40" t="str">
        <f ca="1">IF(Agent09_Savings!A131="","","SV"&amp;TEXT(1724-3,"0000")&amp;"-"&amp;TEXT(TODAY(),"YYYYMMDD"))</f>
        <v/>
      </c>
      <c r="C1724" s="40" t="str">
        <f>IF(Agent09_Savings!A131="","",Agent09_Savings!B131)</f>
        <v/>
      </c>
      <c r="D1724" s="40" t="str">
        <f>IF(Agent09_Savings!A131="","",Agent09_Savings!G131)</f>
        <v/>
      </c>
      <c r="E1724" s="41" t="str">
        <f>IF(Agent09_Savings!A131="","",Agent09_Savings!D131)</f>
        <v/>
      </c>
      <c r="F1724" s="42" t="str">
        <f>IF(Agent09_Savings!A131="","",Agent09_Savings!E131)</f>
        <v/>
      </c>
      <c r="G1724" s="42" t="str">
        <f>IF(Agent09_Savings!A131="","",Agent09_Savings!F131)</f>
        <v/>
      </c>
      <c r="H1724" s="40" t="str">
        <f>IF(Agent09_Savings!A131="","",Agent09_Savings!I131)</f>
        <v/>
      </c>
      <c r="I1724" s="40" t="str">
        <f>IF(Agent09_Savings!A131="","",Agent09_Savings!J131)</f>
        <v/>
      </c>
      <c r="J1724" s="40" t="str">
        <f>IF(Agent09_Savings!A131="","",Agent09_Savings!K131)</f>
        <v/>
      </c>
      <c r="K1724" s="40" t="str">
        <f>IFERROR(IF(Agent09_Savings!A131="","",YEAR(Agent09_Savings!D131)),"")</f>
        <v/>
      </c>
    </row>
    <row r="1725" spans="1:11" ht="18" customHeight="1" x14ac:dyDescent="0.25">
      <c r="A1725" s="40" t="str">
        <f>IF(Agent09_Savings!A132="","",Agent09_Savings!A132)</f>
        <v/>
      </c>
      <c r="B1725" s="40" t="str">
        <f ca="1">IF(Agent09_Savings!A132="","","SV"&amp;TEXT(1725-3,"0000")&amp;"-"&amp;TEXT(TODAY(),"YYYYMMDD"))</f>
        <v/>
      </c>
      <c r="C1725" s="40" t="str">
        <f>IF(Agent09_Savings!A132="","",Agent09_Savings!B132)</f>
        <v/>
      </c>
      <c r="D1725" s="40" t="str">
        <f>IF(Agent09_Savings!A132="","",Agent09_Savings!G132)</f>
        <v/>
      </c>
      <c r="E1725" s="41" t="str">
        <f>IF(Agent09_Savings!A132="","",Agent09_Savings!D132)</f>
        <v/>
      </c>
      <c r="F1725" s="42" t="str">
        <f>IF(Agent09_Savings!A132="","",Agent09_Savings!E132)</f>
        <v/>
      </c>
      <c r="G1725" s="42" t="str">
        <f>IF(Agent09_Savings!A132="","",Agent09_Savings!F132)</f>
        <v/>
      </c>
      <c r="H1725" s="40" t="str">
        <f>IF(Agent09_Savings!A132="","",Agent09_Savings!I132)</f>
        <v/>
      </c>
      <c r="I1725" s="40" t="str">
        <f>IF(Agent09_Savings!A132="","",Agent09_Savings!J132)</f>
        <v/>
      </c>
      <c r="J1725" s="40" t="str">
        <f>IF(Agent09_Savings!A132="","",Agent09_Savings!K132)</f>
        <v/>
      </c>
      <c r="K1725" s="40" t="str">
        <f>IFERROR(IF(Agent09_Savings!A132="","",YEAR(Agent09_Savings!D132)),"")</f>
        <v/>
      </c>
    </row>
    <row r="1726" spans="1:11" ht="18" customHeight="1" x14ac:dyDescent="0.25">
      <c r="A1726" s="40" t="str">
        <f>IF(Agent09_Savings!A133="","",Agent09_Savings!A133)</f>
        <v/>
      </c>
      <c r="B1726" s="40" t="str">
        <f ca="1">IF(Agent09_Savings!A133="","","SV"&amp;TEXT(1726-3,"0000")&amp;"-"&amp;TEXT(TODAY(),"YYYYMMDD"))</f>
        <v/>
      </c>
      <c r="C1726" s="40" t="str">
        <f>IF(Agent09_Savings!A133="","",Agent09_Savings!B133)</f>
        <v/>
      </c>
      <c r="D1726" s="40" t="str">
        <f>IF(Agent09_Savings!A133="","",Agent09_Savings!G133)</f>
        <v/>
      </c>
      <c r="E1726" s="41" t="str">
        <f>IF(Agent09_Savings!A133="","",Agent09_Savings!D133)</f>
        <v/>
      </c>
      <c r="F1726" s="42" t="str">
        <f>IF(Agent09_Savings!A133="","",Agent09_Savings!E133)</f>
        <v/>
      </c>
      <c r="G1726" s="42" t="str">
        <f>IF(Agent09_Savings!A133="","",Agent09_Savings!F133)</f>
        <v/>
      </c>
      <c r="H1726" s="40" t="str">
        <f>IF(Agent09_Savings!A133="","",Agent09_Savings!I133)</f>
        <v/>
      </c>
      <c r="I1726" s="40" t="str">
        <f>IF(Agent09_Savings!A133="","",Agent09_Savings!J133)</f>
        <v/>
      </c>
      <c r="J1726" s="40" t="str">
        <f>IF(Agent09_Savings!A133="","",Agent09_Savings!K133)</f>
        <v/>
      </c>
      <c r="K1726" s="40" t="str">
        <f>IFERROR(IF(Agent09_Savings!A133="","",YEAR(Agent09_Savings!D133)),"")</f>
        <v/>
      </c>
    </row>
    <row r="1727" spans="1:11" ht="18" customHeight="1" x14ac:dyDescent="0.25">
      <c r="A1727" s="40" t="str">
        <f>IF(Agent09_Savings!A134="","",Agent09_Savings!A134)</f>
        <v/>
      </c>
      <c r="B1727" s="40" t="str">
        <f ca="1">IF(Agent09_Savings!A134="","","SV"&amp;TEXT(1727-3,"0000")&amp;"-"&amp;TEXT(TODAY(),"YYYYMMDD"))</f>
        <v/>
      </c>
      <c r="C1727" s="40" t="str">
        <f>IF(Agent09_Savings!A134="","",Agent09_Savings!B134)</f>
        <v/>
      </c>
      <c r="D1727" s="40" t="str">
        <f>IF(Agent09_Savings!A134="","",Agent09_Savings!G134)</f>
        <v/>
      </c>
      <c r="E1727" s="41" t="str">
        <f>IF(Agent09_Savings!A134="","",Agent09_Savings!D134)</f>
        <v/>
      </c>
      <c r="F1727" s="42" t="str">
        <f>IF(Agent09_Savings!A134="","",Agent09_Savings!E134)</f>
        <v/>
      </c>
      <c r="G1727" s="42" t="str">
        <f>IF(Agent09_Savings!A134="","",Agent09_Savings!F134)</f>
        <v/>
      </c>
      <c r="H1727" s="40" t="str">
        <f>IF(Agent09_Savings!A134="","",Agent09_Savings!I134)</f>
        <v/>
      </c>
      <c r="I1727" s="40" t="str">
        <f>IF(Agent09_Savings!A134="","",Agent09_Savings!J134)</f>
        <v/>
      </c>
      <c r="J1727" s="40" t="str">
        <f>IF(Agent09_Savings!A134="","",Agent09_Savings!K134)</f>
        <v/>
      </c>
      <c r="K1727" s="40" t="str">
        <f>IFERROR(IF(Agent09_Savings!A134="","",YEAR(Agent09_Savings!D134)),"")</f>
        <v/>
      </c>
    </row>
    <row r="1728" spans="1:11" ht="18" customHeight="1" x14ac:dyDescent="0.25">
      <c r="A1728" s="40" t="str">
        <f>IF(Agent09_Savings!A135="","",Agent09_Savings!A135)</f>
        <v/>
      </c>
      <c r="B1728" s="40" t="str">
        <f ca="1">IF(Agent09_Savings!A135="","","SV"&amp;TEXT(1728-3,"0000")&amp;"-"&amp;TEXT(TODAY(),"YYYYMMDD"))</f>
        <v/>
      </c>
      <c r="C1728" s="40" t="str">
        <f>IF(Agent09_Savings!A135="","",Agent09_Savings!B135)</f>
        <v/>
      </c>
      <c r="D1728" s="40" t="str">
        <f>IF(Agent09_Savings!A135="","",Agent09_Savings!G135)</f>
        <v/>
      </c>
      <c r="E1728" s="41" t="str">
        <f>IF(Agent09_Savings!A135="","",Agent09_Savings!D135)</f>
        <v/>
      </c>
      <c r="F1728" s="42" t="str">
        <f>IF(Agent09_Savings!A135="","",Agent09_Savings!E135)</f>
        <v/>
      </c>
      <c r="G1728" s="42" t="str">
        <f>IF(Agent09_Savings!A135="","",Agent09_Savings!F135)</f>
        <v/>
      </c>
      <c r="H1728" s="40" t="str">
        <f>IF(Agent09_Savings!A135="","",Agent09_Savings!I135)</f>
        <v/>
      </c>
      <c r="I1728" s="40" t="str">
        <f>IF(Agent09_Savings!A135="","",Agent09_Savings!J135)</f>
        <v/>
      </c>
      <c r="J1728" s="40" t="str">
        <f>IF(Agent09_Savings!A135="","",Agent09_Savings!K135)</f>
        <v/>
      </c>
      <c r="K1728" s="40" t="str">
        <f>IFERROR(IF(Agent09_Savings!A135="","",YEAR(Agent09_Savings!D135)),"")</f>
        <v/>
      </c>
    </row>
    <row r="1729" spans="1:11" ht="18" customHeight="1" x14ac:dyDescent="0.25">
      <c r="A1729" s="40" t="str">
        <f>IF(Agent09_Savings!A136="","",Agent09_Savings!A136)</f>
        <v/>
      </c>
      <c r="B1729" s="40" t="str">
        <f ca="1">IF(Agent09_Savings!A136="","","SV"&amp;TEXT(1729-3,"0000")&amp;"-"&amp;TEXT(TODAY(),"YYYYMMDD"))</f>
        <v/>
      </c>
      <c r="C1729" s="40" t="str">
        <f>IF(Agent09_Savings!A136="","",Agent09_Savings!B136)</f>
        <v/>
      </c>
      <c r="D1729" s="40" t="str">
        <f>IF(Agent09_Savings!A136="","",Agent09_Savings!G136)</f>
        <v/>
      </c>
      <c r="E1729" s="41" t="str">
        <f>IF(Agent09_Savings!A136="","",Agent09_Savings!D136)</f>
        <v/>
      </c>
      <c r="F1729" s="42" t="str">
        <f>IF(Agent09_Savings!A136="","",Agent09_Savings!E136)</f>
        <v/>
      </c>
      <c r="G1729" s="42" t="str">
        <f>IF(Agent09_Savings!A136="","",Agent09_Savings!F136)</f>
        <v/>
      </c>
      <c r="H1729" s="40" t="str">
        <f>IF(Agent09_Savings!A136="","",Agent09_Savings!I136)</f>
        <v/>
      </c>
      <c r="I1729" s="40" t="str">
        <f>IF(Agent09_Savings!A136="","",Agent09_Savings!J136)</f>
        <v/>
      </c>
      <c r="J1729" s="40" t="str">
        <f>IF(Agent09_Savings!A136="","",Agent09_Savings!K136)</f>
        <v/>
      </c>
      <c r="K1729" s="40" t="str">
        <f>IFERROR(IF(Agent09_Savings!A136="","",YEAR(Agent09_Savings!D136)),"")</f>
        <v/>
      </c>
    </row>
    <row r="1730" spans="1:11" ht="18" customHeight="1" x14ac:dyDescent="0.25">
      <c r="A1730" s="40" t="str">
        <f>IF(Agent09_Savings!A137="","",Agent09_Savings!A137)</f>
        <v/>
      </c>
      <c r="B1730" s="40" t="str">
        <f ca="1">IF(Agent09_Savings!A137="","","SV"&amp;TEXT(1730-3,"0000")&amp;"-"&amp;TEXT(TODAY(),"YYYYMMDD"))</f>
        <v/>
      </c>
      <c r="C1730" s="40" t="str">
        <f>IF(Agent09_Savings!A137="","",Agent09_Savings!B137)</f>
        <v/>
      </c>
      <c r="D1730" s="40" t="str">
        <f>IF(Agent09_Savings!A137="","",Agent09_Savings!G137)</f>
        <v/>
      </c>
      <c r="E1730" s="41" t="str">
        <f>IF(Agent09_Savings!A137="","",Agent09_Savings!D137)</f>
        <v/>
      </c>
      <c r="F1730" s="42" t="str">
        <f>IF(Agent09_Savings!A137="","",Agent09_Savings!E137)</f>
        <v/>
      </c>
      <c r="G1730" s="42" t="str">
        <f>IF(Agent09_Savings!A137="","",Agent09_Savings!F137)</f>
        <v/>
      </c>
      <c r="H1730" s="40" t="str">
        <f>IF(Agent09_Savings!A137="","",Agent09_Savings!I137)</f>
        <v/>
      </c>
      <c r="I1730" s="40" t="str">
        <f>IF(Agent09_Savings!A137="","",Agent09_Savings!J137)</f>
        <v/>
      </c>
      <c r="J1730" s="40" t="str">
        <f>IF(Agent09_Savings!A137="","",Agent09_Savings!K137)</f>
        <v/>
      </c>
      <c r="K1730" s="40" t="str">
        <f>IFERROR(IF(Agent09_Savings!A137="","",YEAR(Agent09_Savings!D137)),"")</f>
        <v/>
      </c>
    </row>
    <row r="1731" spans="1:11" ht="18" customHeight="1" x14ac:dyDescent="0.25">
      <c r="A1731" s="40" t="str">
        <f>IF(Agent09_Savings!A138="","",Agent09_Savings!A138)</f>
        <v/>
      </c>
      <c r="B1731" s="40" t="str">
        <f ca="1">IF(Agent09_Savings!A138="","","SV"&amp;TEXT(1731-3,"0000")&amp;"-"&amp;TEXT(TODAY(),"YYYYMMDD"))</f>
        <v/>
      </c>
      <c r="C1731" s="40" t="str">
        <f>IF(Agent09_Savings!A138="","",Agent09_Savings!B138)</f>
        <v/>
      </c>
      <c r="D1731" s="40" t="str">
        <f>IF(Agent09_Savings!A138="","",Agent09_Savings!G138)</f>
        <v/>
      </c>
      <c r="E1731" s="41" t="str">
        <f>IF(Agent09_Savings!A138="","",Agent09_Savings!D138)</f>
        <v/>
      </c>
      <c r="F1731" s="42" t="str">
        <f>IF(Agent09_Savings!A138="","",Agent09_Savings!E138)</f>
        <v/>
      </c>
      <c r="G1731" s="42" t="str">
        <f>IF(Agent09_Savings!A138="","",Agent09_Savings!F138)</f>
        <v/>
      </c>
      <c r="H1731" s="40" t="str">
        <f>IF(Agent09_Savings!A138="","",Agent09_Savings!I138)</f>
        <v/>
      </c>
      <c r="I1731" s="40" t="str">
        <f>IF(Agent09_Savings!A138="","",Agent09_Savings!J138)</f>
        <v/>
      </c>
      <c r="J1731" s="40" t="str">
        <f>IF(Agent09_Savings!A138="","",Agent09_Savings!K138)</f>
        <v/>
      </c>
      <c r="K1731" s="40" t="str">
        <f>IFERROR(IF(Agent09_Savings!A138="","",YEAR(Agent09_Savings!D138)),"")</f>
        <v/>
      </c>
    </row>
    <row r="1732" spans="1:11" ht="18" customHeight="1" x14ac:dyDescent="0.25">
      <c r="A1732" s="40" t="str">
        <f>IF(Agent09_Savings!A139="","",Agent09_Savings!A139)</f>
        <v/>
      </c>
      <c r="B1732" s="40" t="str">
        <f ca="1">IF(Agent09_Savings!A139="","","SV"&amp;TEXT(1732-3,"0000")&amp;"-"&amp;TEXT(TODAY(),"YYYYMMDD"))</f>
        <v/>
      </c>
      <c r="C1732" s="40" t="str">
        <f>IF(Agent09_Savings!A139="","",Agent09_Savings!B139)</f>
        <v/>
      </c>
      <c r="D1732" s="40" t="str">
        <f>IF(Agent09_Savings!A139="","",Agent09_Savings!G139)</f>
        <v/>
      </c>
      <c r="E1732" s="41" t="str">
        <f>IF(Agent09_Savings!A139="","",Agent09_Savings!D139)</f>
        <v/>
      </c>
      <c r="F1732" s="42" t="str">
        <f>IF(Agent09_Savings!A139="","",Agent09_Savings!E139)</f>
        <v/>
      </c>
      <c r="G1732" s="42" t="str">
        <f>IF(Agent09_Savings!A139="","",Agent09_Savings!F139)</f>
        <v/>
      </c>
      <c r="H1732" s="40" t="str">
        <f>IF(Agent09_Savings!A139="","",Agent09_Savings!I139)</f>
        <v/>
      </c>
      <c r="I1732" s="40" t="str">
        <f>IF(Agent09_Savings!A139="","",Agent09_Savings!J139)</f>
        <v/>
      </c>
      <c r="J1732" s="40" t="str">
        <f>IF(Agent09_Savings!A139="","",Agent09_Savings!K139)</f>
        <v/>
      </c>
      <c r="K1732" s="40" t="str">
        <f>IFERROR(IF(Agent09_Savings!A139="","",YEAR(Agent09_Savings!D139)),"")</f>
        <v/>
      </c>
    </row>
    <row r="1733" spans="1:11" ht="18" customHeight="1" x14ac:dyDescent="0.25">
      <c r="A1733" s="40" t="str">
        <f>IF(Agent09_Savings!A140="","",Agent09_Savings!A140)</f>
        <v/>
      </c>
      <c r="B1733" s="40" t="str">
        <f ca="1">IF(Agent09_Savings!A140="","","SV"&amp;TEXT(1733-3,"0000")&amp;"-"&amp;TEXT(TODAY(),"YYYYMMDD"))</f>
        <v/>
      </c>
      <c r="C1733" s="40" t="str">
        <f>IF(Agent09_Savings!A140="","",Agent09_Savings!B140)</f>
        <v/>
      </c>
      <c r="D1733" s="40" t="str">
        <f>IF(Agent09_Savings!A140="","",Agent09_Savings!G140)</f>
        <v/>
      </c>
      <c r="E1733" s="41" t="str">
        <f>IF(Agent09_Savings!A140="","",Agent09_Savings!D140)</f>
        <v/>
      </c>
      <c r="F1733" s="42" t="str">
        <f>IF(Agent09_Savings!A140="","",Agent09_Savings!E140)</f>
        <v/>
      </c>
      <c r="G1733" s="42" t="str">
        <f>IF(Agent09_Savings!A140="","",Agent09_Savings!F140)</f>
        <v/>
      </c>
      <c r="H1733" s="40" t="str">
        <f>IF(Agent09_Savings!A140="","",Agent09_Savings!I140)</f>
        <v/>
      </c>
      <c r="I1733" s="40" t="str">
        <f>IF(Agent09_Savings!A140="","",Agent09_Savings!J140)</f>
        <v/>
      </c>
      <c r="J1733" s="40" t="str">
        <f>IF(Agent09_Savings!A140="","",Agent09_Savings!K140)</f>
        <v/>
      </c>
      <c r="K1733" s="40" t="str">
        <f>IFERROR(IF(Agent09_Savings!A140="","",YEAR(Agent09_Savings!D140)),"")</f>
        <v/>
      </c>
    </row>
    <row r="1734" spans="1:11" ht="18" customHeight="1" x14ac:dyDescent="0.25">
      <c r="A1734" s="40" t="str">
        <f>IF(Agent09_Savings!A141="","",Agent09_Savings!A141)</f>
        <v/>
      </c>
      <c r="B1734" s="40" t="str">
        <f ca="1">IF(Agent09_Savings!A141="","","SV"&amp;TEXT(1734-3,"0000")&amp;"-"&amp;TEXT(TODAY(),"YYYYMMDD"))</f>
        <v/>
      </c>
      <c r="C1734" s="40" t="str">
        <f>IF(Agent09_Savings!A141="","",Agent09_Savings!B141)</f>
        <v/>
      </c>
      <c r="D1734" s="40" t="str">
        <f>IF(Agent09_Savings!A141="","",Agent09_Savings!G141)</f>
        <v/>
      </c>
      <c r="E1734" s="41" t="str">
        <f>IF(Agent09_Savings!A141="","",Agent09_Savings!D141)</f>
        <v/>
      </c>
      <c r="F1734" s="42" t="str">
        <f>IF(Agent09_Savings!A141="","",Agent09_Savings!E141)</f>
        <v/>
      </c>
      <c r="G1734" s="42" t="str">
        <f>IF(Agent09_Savings!A141="","",Agent09_Savings!F141)</f>
        <v/>
      </c>
      <c r="H1734" s="40" t="str">
        <f>IF(Agent09_Savings!A141="","",Agent09_Savings!I141)</f>
        <v/>
      </c>
      <c r="I1734" s="40" t="str">
        <f>IF(Agent09_Savings!A141="","",Agent09_Savings!J141)</f>
        <v/>
      </c>
      <c r="J1734" s="40" t="str">
        <f>IF(Agent09_Savings!A141="","",Agent09_Savings!K141)</f>
        <v/>
      </c>
      <c r="K1734" s="40" t="str">
        <f>IFERROR(IF(Agent09_Savings!A141="","",YEAR(Agent09_Savings!D141)),"")</f>
        <v/>
      </c>
    </row>
    <row r="1735" spans="1:11" ht="18" customHeight="1" x14ac:dyDescent="0.25">
      <c r="A1735" s="40" t="str">
        <f>IF(Agent09_Savings!A142="","",Agent09_Savings!A142)</f>
        <v/>
      </c>
      <c r="B1735" s="40" t="str">
        <f ca="1">IF(Agent09_Savings!A142="","","SV"&amp;TEXT(1735-3,"0000")&amp;"-"&amp;TEXT(TODAY(),"YYYYMMDD"))</f>
        <v/>
      </c>
      <c r="C1735" s="40" t="str">
        <f>IF(Agent09_Savings!A142="","",Agent09_Savings!B142)</f>
        <v/>
      </c>
      <c r="D1735" s="40" t="str">
        <f>IF(Agent09_Savings!A142="","",Agent09_Savings!G142)</f>
        <v/>
      </c>
      <c r="E1735" s="41" t="str">
        <f>IF(Agent09_Savings!A142="","",Agent09_Savings!D142)</f>
        <v/>
      </c>
      <c r="F1735" s="42" t="str">
        <f>IF(Agent09_Savings!A142="","",Agent09_Savings!E142)</f>
        <v/>
      </c>
      <c r="G1735" s="42" t="str">
        <f>IF(Agent09_Savings!A142="","",Agent09_Savings!F142)</f>
        <v/>
      </c>
      <c r="H1735" s="40" t="str">
        <f>IF(Agent09_Savings!A142="","",Agent09_Savings!I142)</f>
        <v/>
      </c>
      <c r="I1735" s="40" t="str">
        <f>IF(Agent09_Savings!A142="","",Agent09_Savings!J142)</f>
        <v/>
      </c>
      <c r="J1735" s="40" t="str">
        <f>IF(Agent09_Savings!A142="","",Agent09_Savings!K142)</f>
        <v/>
      </c>
      <c r="K1735" s="40" t="str">
        <f>IFERROR(IF(Agent09_Savings!A142="","",YEAR(Agent09_Savings!D142)),"")</f>
        <v/>
      </c>
    </row>
    <row r="1736" spans="1:11" ht="18" customHeight="1" x14ac:dyDescent="0.25">
      <c r="A1736" s="40" t="str">
        <f>IF(Agent09_Savings!A143="","",Agent09_Savings!A143)</f>
        <v/>
      </c>
      <c r="B1736" s="40" t="str">
        <f ca="1">IF(Agent09_Savings!A143="","","SV"&amp;TEXT(1736-3,"0000")&amp;"-"&amp;TEXT(TODAY(),"YYYYMMDD"))</f>
        <v/>
      </c>
      <c r="C1736" s="40" t="str">
        <f>IF(Agent09_Savings!A143="","",Agent09_Savings!B143)</f>
        <v/>
      </c>
      <c r="D1736" s="40" t="str">
        <f>IF(Agent09_Savings!A143="","",Agent09_Savings!G143)</f>
        <v/>
      </c>
      <c r="E1736" s="41" t="str">
        <f>IF(Agent09_Savings!A143="","",Agent09_Savings!D143)</f>
        <v/>
      </c>
      <c r="F1736" s="42" t="str">
        <f>IF(Agent09_Savings!A143="","",Agent09_Savings!E143)</f>
        <v/>
      </c>
      <c r="G1736" s="42" t="str">
        <f>IF(Agent09_Savings!A143="","",Agent09_Savings!F143)</f>
        <v/>
      </c>
      <c r="H1736" s="40" t="str">
        <f>IF(Agent09_Savings!A143="","",Agent09_Savings!I143)</f>
        <v/>
      </c>
      <c r="I1736" s="40" t="str">
        <f>IF(Agent09_Savings!A143="","",Agent09_Savings!J143)</f>
        <v/>
      </c>
      <c r="J1736" s="40" t="str">
        <f>IF(Agent09_Savings!A143="","",Agent09_Savings!K143)</f>
        <v/>
      </c>
      <c r="K1736" s="40" t="str">
        <f>IFERROR(IF(Agent09_Savings!A143="","",YEAR(Agent09_Savings!D143)),"")</f>
        <v/>
      </c>
    </row>
    <row r="1737" spans="1:11" ht="18" customHeight="1" x14ac:dyDescent="0.25">
      <c r="A1737" s="40" t="str">
        <f>IF(Agent09_Savings!A144="","",Agent09_Savings!A144)</f>
        <v/>
      </c>
      <c r="B1737" s="40" t="str">
        <f ca="1">IF(Agent09_Savings!A144="","","SV"&amp;TEXT(1737-3,"0000")&amp;"-"&amp;TEXT(TODAY(),"YYYYMMDD"))</f>
        <v/>
      </c>
      <c r="C1737" s="40" t="str">
        <f>IF(Agent09_Savings!A144="","",Agent09_Savings!B144)</f>
        <v/>
      </c>
      <c r="D1737" s="40" t="str">
        <f>IF(Agent09_Savings!A144="","",Agent09_Savings!G144)</f>
        <v/>
      </c>
      <c r="E1737" s="41" t="str">
        <f>IF(Agent09_Savings!A144="","",Agent09_Savings!D144)</f>
        <v/>
      </c>
      <c r="F1737" s="42" t="str">
        <f>IF(Agent09_Savings!A144="","",Agent09_Savings!E144)</f>
        <v/>
      </c>
      <c r="G1737" s="42" t="str">
        <f>IF(Agent09_Savings!A144="","",Agent09_Savings!F144)</f>
        <v/>
      </c>
      <c r="H1737" s="40" t="str">
        <f>IF(Agent09_Savings!A144="","",Agent09_Savings!I144)</f>
        <v/>
      </c>
      <c r="I1737" s="40" t="str">
        <f>IF(Agent09_Savings!A144="","",Agent09_Savings!J144)</f>
        <v/>
      </c>
      <c r="J1737" s="40" t="str">
        <f>IF(Agent09_Savings!A144="","",Agent09_Savings!K144)</f>
        <v/>
      </c>
      <c r="K1737" s="40" t="str">
        <f>IFERROR(IF(Agent09_Savings!A144="","",YEAR(Agent09_Savings!D144)),"")</f>
        <v/>
      </c>
    </row>
    <row r="1738" spans="1:11" ht="18" customHeight="1" x14ac:dyDescent="0.25">
      <c r="A1738" s="40" t="str">
        <f>IF(Agent09_Savings!A145="","",Agent09_Savings!A145)</f>
        <v/>
      </c>
      <c r="B1738" s="40" t="str">
        <f ca="1">IF(Agent09_Savings!A145="","","SV"&amp;TEXT(1738-3,"0000")&amp;"-"&amp;TEXT(TODAY(),"YYYYMMDD"))</f>
        <v/>
      </c>
      <c r="C1738" s="40" t="str">
        <f>IF(Agent09_Savings!A145="","",Agent09_Savings!B145)</f>
        <v/>
      </c>
      <c r="D1738" s="40" t="str">
        <f>IF(Agent09_Savings!A145="","",Agent09_Savings!G145)</f>
        <v/>
      </c>
      <c r="E1738" s="41" t="str">
        <f>IF(Agent09_Savings!A145="","",Agent09_Savings!D145)</f>
        <v/>
      </c>
      <c r="F1738" s="42" t="str">
        <f>IF(Agent09_Savings!A145="","",Agent09_Savings!E145)</f>
        <v/>
      </c>
      <c r="G1738" s="42" t="str">
        <f>IF(Agent09_Savings!A145="","",Agent09_Savings!F145)</f>
        <v/>
      </c>
      <c r="H1738" s="40" t="str">
        <f>IF(Agent09_Savings!A145="","",Agent09_Savings!I145)</f>
        <v/>
      </c>
      <c r="I1738" s="40" t="str">
        <f>IF(Agent09_Savings!A145="","",Agent09_Savings!J145)</f>
        <v/>
      </c>
      <c r="J1738" s="40" t="str">
        <f>IF(Agent09_Savings!A145="","",Agent09_Savings!K145)</f>
        <v/>
      </c>
      <c r="K1738" s="40" t="str">
        <f>IFERROR(IF(Agent09_Savings!A145="","",YEAR(Agent09_Savings!D145)),"")</f>
        <v/>
      </c>
    </row>
    <row r="1739" spans="1:11" ht="18" customHeight="1" x14ac:dyDescent="0.25">
      <c r="A1739" s="40" t="str">
        <f>IF(Agent09_Savings!A146="","",Agent09_Savings!A146)</f>
        <v/>
      </c>
      <c r="B1739" s="40" t="str">
        <f ca="1">IF(Agent09_Savings!A146="","","SV"&amp;TEXT(1739-3,"0000")&amp;"-"&amp;TEXT(TODAY(),"YYYYMMDD"))</f>
        <v/>
      </c>
      <c r="C1739" s="40" t="str">
        <f>IF(Agent09_Savings!A146="","",Agent09_Savings!B146)</f>
        <v/>
      </c>
      <c r="D1739" s="40" t="str">
        <f>IF(Agent09_Savings!A146="","",Agent09_Savings!G146)</f>
        <v/>
      </c>
      <c r="E1739" s="41" t="str">
        <f>IF(Agent09_Savings!A146="","",Agent09_Savings!D146)</f>
        <v/>
      </c>
      <c r="F1739" s="42" t="str">
        <f>IF(Agent09_Savings!A146="","",Agent09_Savings!E146)</f>
        <v/>
      </c>
      <c r="G1739" s="42" t="str">
        <f>IF(Agent09_Savings!A146="","",Agent09_Savings!F146)</f>
        <v/>
      </c>
      <c r="H1739" s="40" t="str">
        <f>IF(Agent09_Savings!A146="","",Agent09_Savings!I146)</f>
        <v/>
      </c>
      <c r="I1739" s="40" t="str">
        <f>IF(Agent09_Savings!A146="","",Agent09_Savings!J146)</f>
        <v/>
      </c>
      <c r="J1739" s="40" t="str">
        <f>IF(Agent09_Savings!A146="","",Agent09_Savings!K146)</f>
        <v/>
      </c>
      <c r="K1739" s="40" t="str">
        <f>IFERROR(IF(Agent09_Savings!A146="","",YEAR(Agent09_Savings!D146)),"")</f>
        <v/>
      </c>
    </row>
    <row r="1740" spans="1:11" ht="18" customHeight="1" x14ac:dyDescent="0.25">
      <c r="A1740" s="40" t="str">
        <f>IF(Agent09_Savings!A147="","",Agent09_Savings!A147)</f>
        <v/>
      </c>
      <c r="B1740" s="40" t="str">
        <f ca="1">IF(Agent09_Savings!A147="","","SV"&amp;TEXT(1740-3,"0000")&amp;"-"&amp;TEXT(TODAY(),"YYYYMMDD"))</f>
        <v/>
      </c>
      <c r="C1740" s="40" t="str">
        <f>IF(Agent09_Savings!A147="","",Agent09_Savings!B147)</f>
        <v/>
      </c>
      <c r="D1740" s="40" t="str">
        <f>IF(Agent09_Savings!A147="","",Agent09_Savings!G147)</f>
        <v/>
      </c>
      <c r="E1740" s="41" t="str">
        <f>IF(Agent09_Savings!A147="","",Agent09_Savings!D147)</f>
        <v/>
      </c>
      <c r="F1740" s="42" t="str">
        <f>IF(Agent09_Savings!A147="","",Agent09_Savings!E147)</f>
        <v/>
      </c>
      <c r="G1740" s="42" t="str">
        <f>IF(Agent09_Savings!A147="","",Agent09_Savings!F147)</f>
        <v/>
      </c>
      <c r="H1740" s="40" t="str">
        <f>IF(Agent09_Savings!A147="","",Agent09_Savings!I147)</f>
        <v/>
      </c>
      <c r="I1740" s="40" t="str">
        <f>IF(Agent09_Savings!A147="","",Agent09_Savings!J147)</f>
        <v/>
      </c>
      <c r="J1740" s="40" t="str">
        <f>IF(Agent09_Savings!A147="","",Agent09_Savings!K147)</f>
        <v/>
      </c>
      <c r="K1740" s="40" t="str">
        <f>IFERROR(IF(Agent09_Savings!A147="","",YEAR(Agent09_Savings!D147)),"")</f>
        <v/>
      </c>
    </row>
    <row r="1741" spans="1:11" ht="18" customHeight="1" x14ac:dyDescent="0.25">
      <c r="A1741" s="40" t="str">
        <f>IF(Agent09_Savings!A148="","",Agent09_Savings!A148)</f>
        <v/>
      </c>
      <c r="B1741" s="40" t="str">
        <f ca="1">IF(Agent09_Savings!A148="","","SV"&amp;TEXT(1741-3,"0000")&amp;"-"&amp;TEXT(TODAY(),"YYYYMMDD"))</f>
        <v/>
      </c>
      <c r="C1741" s="40" t="str">
        <f>IF(Agent09_Savings!A148="","",Agent09_Savings!B148)</f>
        <v/>
      </c>
      <c r="D1741" s="40" t="str">
        <f>IF(Agent09_Savings!A148="","",Agent09_Savings!G148)</f>
        <v/>
      </c>
      <c r="E1741" s="41" t="str">
        <f>IF(Agent09_Savings!A148="","",Agent09_Savings!D148)</f>
        <v/>
      </c>
      <c r="F1741" s="42" t="str">
        <f>IF(Agent09_Savings!A148="","",Agent09_Savings!E148)</f>
        <v/>
      </c>
      <c r="G1741" s="42" t="str">
        <f>IF(Agent09_Savings!A148="","",Agent09_Savings!F148)</f>
        <v/>
      </c>
      <c r="H1741" s="40" t="str">
        <f>IF(Agent09_Savings!A148="","",Agent09_Savings!I148)</f>
        <v/>
      </c>
      <c r="I1741" s="40" t="str">
        <f>IF(Agent09_Savings!A148="","",Agent09_Savings!J148)</f>
        <v/>
      </c>
      <c r="J1741" s="40" t="str">
        <f>IF(Agent09_Savings!A148="","",Agent09_Savings!K148)</f>
        <v/>
      </c>
      <c r="K1741" s="40" t="str">
        <f>IFERROR(IF(Agent09_Savings!A148="","",YEAR(Agent09_Savings!D148)),"")</f>
        <v/>
      </c>
    </row>
    <row r="1742" spans="1:11" ht="18" customHeight="1" x14ac:dyDescent="0.25">
      <c r="A1742" s="40" t="str">
        <f>IF(Agent09_Savings!A149="","",Agent09_Savings!A149)</f>
        <v/>
      </c>
      <c r="B1742" s="40" t="str">
        <f ca="1">IF(Agent09_Savings!A149="","","SV"&amp;TEXT(1742-3,"0000")&amp;"-"&amp;TEXT(TODAY(),"YYYYMMDD"))</f>
        <v/>
      </c>
      <c r="C1742" s="40" t="str">
        <f>IF(Agent09_Savings!A149="","",Agent09_Savings!B149)</f>
        <v/>
      </c>
      <c r="D1742" s="40" t="str">
        <f>IF(Agent09_Savings!A149="","",Agent09_Savings!G149)</f>
        <v/>
      </c>
      <c r="E1742" s="41" t="str">
        <f>IF(Agent09_Savings!A149="","",Agent09_Savings!D149)</f>
        <v/>
      </c>
      <c r="F1742" s="42" t="str">
        <f>IF(Agent09_Savings!A149="","",Agent09_Savings!E149)</f>
        <v/>
      </c>
      <c r="G1742" s="42" t="str">
        <f>IF(Agent09_Savings!A149="","",Agent09_Savings!F149)</f>
        <v/>
      </c>
      <c r="H1742" s="40" t="str">
        <f>IF(Agent09_Savings!A149="","",Agent09_Savings!I149)</f>
        <v/>
      </c>
      <c r="I1742" s="40" t="str">
        <f>IF(Agent09_Savings!A149="","",Agent09_Savings!J149)</f>
        <v/>
      </c>
      <c r="J1742" s="40" t="str">
        <f>IF(Agent09_Savings!A149="","",Agent09_Savings!K149)</f>
        <v/>
      </c>
      <c r="K1742" s="40" t="str">
        <f>IFERROR(IF(Agent09_Savings!A149="","",YEAR(Agent09_Savings!D149)),"")</f>
        <v/>
      </c>
    </row>
    <row r="1743" spans="1:11" ht="18" customHeight="1" x14ac:dyDescent="0.25">
      <c r="A1743" s="40" t="str">
        <f>IF(Agent09_Savings!A150="","",Agent09_Savings!A150)</f>
        <v/>
      </c>
      <c r="B1743" s="40" t="str">
        <f ca="1">IF(Agent09_Savings!A150="","","SV"&amp;TEXT(1743-3,"0000")&amp;"-"&amp;TEXT(TODAY(),"YYYYMMDD"))</f>
        <v/>
      </c>
      <c r="C1743" s="40" t="str">
        <f>IF(Agent09_Savings!A150="","",Agent09_Savings!B150)</f>
        <v/>
      </c>
      <c r="D1743" s="40" t="str">
        <f>IF(Agent09_Savings!A150="","",Agent09_Savings!G150)</f>
        <v/>
      </c>
      <c r="E1743" s="41" t="str">
        <f>IF(Agent09_Savings!A150="","",Agent09_Savings!D150)</f>
        <v/>
      </c>
      <c r="F1743" s="42" t="str">
        <f>IF(Agent09_Savings!A150="","",Agent09_Savings!E150)</f>
        <v/>
      </c>
      <c r="G1743" s="42" t="str">
        <f>IF(Agent09_Savings!A150="","",Agent09_Savings!F150)</f>
        <v/>
      </c>
      <c r="H1743" s="40" t="str">
        <f>IF(Agent09_Savings!A150="","",Agent09_Savings!I150)</f>
        <v/>
      </c>
      <c r="I1743" s="40" t="str">
        <f>IF(Agent09_Savings!A150="","",Agent09_Savings!J150)</f>
        <v/>
      </c>
      <c r="J1743" s="40" t="str">
        <f>IF(Agent09_Savings!A150="","",Agent09_Savings!K150)</f>
        <v/>
      </c>
      <c r="K1743" s="40" t="str">
        <f>IFERROR(IF(Agent09_Savings!A150="","",YEAR(Agent09_Savings!D150)),"")</f>
        <v/>
      </c>
    </row>
    <row r="1744" spans="1:11" ht="18" customHeight="1" x14ac:dyDescent="0.25">
      <c r="A1744" s="40" t="str">
        <f>IF(Agent09_Savings!A151="","",Agent09_Savings!A151)</f>
        <v/>
      </c>
      <c r="B1744" s="40" t="str">
        <f ca="1">IF(Agent09_Savings!A151="","","SV"&amp;TEXT(1744-3,"0000")&amp;"-"&amp;TEXT(TODAY(),"YYYYMMDD"))</f>
        <v/>
      </c>
      <c r="C1744" s="40" t="str">
        <f>IF(Agent09_Savings!A151="","",Agent09_Savings!B151)</f>
        <v/>
      </c>
      <c r="D1744" s="40" t="str">
        <f>IF(Agent09_Savings!A151="","",Agent09_Savings!G151)</f>
        <v/>
      </c>
      <c r="E1744" s="41" t="str">
        <f>IF(Agent09_Savings!A151="","",Agent09_Savings!D151)</f>
        <v/>
      </c>
      <c r="F1744" s="42" t="str">
        <f>IF(Agent09_Savings!A151="","",Agent09_Savings!E151)</f>
        <v/>
      </c>
      <c r="G1744" s="42" t="str">
        <f>IF(Agent09_Savings!A151="","",Agent09_Savings!F151)</f>
        <v/>
      </c>
      <c r="H1744" s="40" t="str">
        <f>IF(Agent09_Savings!A151="","",Agent09_Savings!I151)</f>
        <v/>
      </c>
      <c r="I1744" s="40" t="str">
        <f>IF(Agent09_Savings!A151="","",Agent09_Savings!J151)</f>
        <v/>
      </c>
      <c r="J1744" s="40" t="str">
        <f>IF(Agent09_Savings!A151="","",Agent09_Savings!K151)</f>
        <v/>
      </c>
      <c r="K1744" s="40" t="str">
        <f>IFERROR(IF(Agent09_Savings!A151="","",YEAR(Agent09_Savings!D151)),"")</f>
        <v/>
      </c>
    </row>
    <row r="1745" spans="1:11" ht="18" customHeight="1" x14ac:dyDescent="0.25">
      <c r="A1745" s="40" t="str">
        <f>IF(Agent09_Savings!A152="","",Agent09_Savings!A152)</f>
        <v/>
      </c>
      <c r="B1745" s="40" t="str">
        <f ca="1">IF(Agent09_Savings!A152="","","SV"&amp;TEXT(1745-3,"0000")&amp;"-"&amp;TEXT(TODAY(),"YYYYMMDD"))</f>
        <v/>
      </c>
      <c r="C1745" s="40" t="str">
        <f>IF(Agent09_Savings!A152="","",Agent09_Savings!B152)</f>
        <v/>
      </c>
      <c r="D1745" s="40" t="str">
        <f>IF(Agent09_Savings!A152="","",Agent09_Savings!G152)</f>
        <v/>
      </c>
      <c r="E1745" s="41" t="str">
        <f>IF(Agent09_Savings!A152="","",Agent09_Savings!D152)</f>
        <v/>
      </c>
      <c r="F1745" s="42" t="str">
        <f>IF(Agent09_Savings!A152="","",Agent09_Savings!E152)</f>
        <v/>
      </c>
      <c r="G1745" s="42" t="str">
        <f>IF(Agent09_Savings!A152="","",Agent09_Savings!F152)</f>
        <v/>
      </c>
      <c r="H1745" s="40" t="str">
        <f>IF(Agent09_Savings!A152="","",Agent09_Savings!I152)</f>
        <v/>
      </c>
      <c r="I1745" s="40" t="str">
        <f>IF(Agent09_Savings!A152="","",Agent09_Savings!J152)</f>
        <v/>
      </c>
      <c r="J1745" s="40" t="str">
        <f>IF(Agent09_Savings!A152="","",Agent09_Savings!K152)</f>
        <v/>
      </c>
      <c r="K1745" s="40" t="str">
        <f>IFERROR(IF(Agent09_Savings!A152="","",YEAR(Agent09_Savings!D152)),"")</f>
        <v/>
      </c>
    </row>
    <row r="1746" spans="1:11" ht="18" customHeight="1" x14ac:dyDescent="0.25">
      <c r="A1746" s="40" t="str">
        <f>IF(Agent09_Savings!A153="","",Agent09_Savings!A153)</f>
        <v/>
      </c>
      <c r="B1746" s="40" t="str">
        <f ca="1">IF(Agent09_Savings!A153="","","SV"&amp;TEXT(1746-3,"0000")&amp;"-"&amp;TEXT(TODAY(),"YYYYMMDD"))</f>
        <v/>
      </c>
      <c r="C1746" s="40" t="str">
        <f>IF(Agent09_Savings!A153="","",Agent09_Savings!B153)</f>
        <v/>
      </c>
      <c r="D1746" s="40" t="str">
        <f>IF(Agent09_Savings!A153="","",Agent09_Savings!G153)</f>
        <v/>
      </c>
      <c r="E1746" s="41" t="str">
        <f>IF(Agent09_Savings!A153="","",Agent09_Savings!D153)</f>
        <v/>
      </c>
      <c r="F1746" s="42" t="str">
        <f>IF(Agent09_Savings!A153="","",Agent09_Savings!E153)</f>
        <v/>
      </c>
      <c r="G1746" s="42" t="str">
        <f>IF(Agent09_Savings!A153="","",Agent09_Savings!F153)</f>
        <v/>
      </c>
      <c r="H1746" s="40" t="str">
        <f>IF(Agent09_Savings!A153="","",Agent09_Savings!I153)</f>
        <v/>
      </c>
      <c r="I1746" s="40" t="str">
        <f>IF(Agent09_Savings!A153="","",Agent09_Savings!J153)</f>
        <v/>
      </c>
      <c r="J1746" s="40" t="str">
        <f>IF(Agent09_Savings!A153="","",Agent09_Savings!K153)</f>
        <v/>
      </c>
      <c r="K1746" s="40" t="str">
        <f>IFERROR(IF(Agent09_Savings!A153="","",YEAR(Agent09_Savings!D153)),"")</f>
        <v/>
      </c>
    </row>
    <row r="1747" spans="1:11" ht="18" customHeight="1" x14ac:dyDescent="0.25">
      <c r="A1747" s="40" t="str">
        <f>IF(Agent09_Savings!A154="","",Agent09_Savings!A154)</f>
        <v/>
      </c>
      <c r="B1747" s="40" t="str">
        <f ca="1">IF(Agent09_Savings!A154="","","SV"&amp;TEXT(1747-3,"0000")&amp;"-"&amp;TEXT(TODAY(),"YYYYMMDD"))</f>
        <v/>
      </c>
      <c r="C1747" s="40" t="str">
        <f>IF(Agent09_Savings!A154="","",Agent09_Savings!B154)</f>
        <v/>
      </c>
      <c r="D1747" s="40" t="str">
        <f>IF(Agent09_Savings!A154="","",Agent09_Savings!G154)</f>
        <v/>
      </c>
      <c r="E1747" s="41" t="str">
        <f>IF(Agent09_Savings!A154="","",Agent09_Savings!D154)</f>
        <v/>
      </c>
      <c r="F1747" s="42" t="str">
        <f>IF(Agent09_Savings!A154="","",Agent09_Savings!E154)</f>
        <v/>
      </c>
      <c r="G1747" s="42" t="str">
        <f>IF(Agent09_Savings!A154="","",Agent09_Savings!F154)</f>
        <v/>
      </c>
      <c r="H1747" s="40" t="str">
        <f>IF(Agent09_Savings!A154="","",Agent09_Savings!I154)</f>
        <v/>
      </c>
      <c r="I1747" s="40" t="str">
        <f>IF(Agent09_Savings!A154="","",Agent09_Savings!J154)</f>
        <v/>
      </c>
      <c r="J1747" s="40" t="str">
        <f>IF(Agent09_Savings!A154="","",Agent09_Savings!K154)</f>
        <v/>
      </c>
      <c r="K1747" s="40" t="str">
        <f>IFERROR(IF(Agent09_Savings!A154="","",YEAR(Agent09_Savings!D154)),"")</f>
        <v/>
      </c>
    </row>
    <row r="1748" spans="1:11" ht="18" customHeight="1" x14ac:dyDescent="0.25">
      <c r="A1748" s="40" t="str">
        <f>IF(Agent09_Savings!A155="","",Agent09_Savings!A155)</f>
        <v/>
      </c>
      <c r="B1748" s="40" t="str">
        <f ca="1">IF(Agent09_Savings!A155="","","SV"&amp;TEXT(1748-3,"0000")&amp;"-"&amp;TEXT(TODAY(),"YYYYMMDD"))</f>
        <v/>
      </c>
      <c r="C1748" s="40" t="str">
        <f>IF(Agent09_Savings!A155="","",Agent09_Savings!B155)</f>
        <v/>
      </c>
      <c r="D1748" s="40" t="str">
        <f>IF(Agent09_Savings!A155="","",Agent09_Savings!G155)</f>
        <v/>
      </c>
      <c r="E1748" s="41" t="str">
        <f>IF(Agent09_Savings!A155="","",Agent09_Savings!D155)</f>
        <v/>
      </c>
      <c r="F1748" s="42" t="str">
        <f>IF(Agent09_Savings!A155="","",Agent09_Savings!E155)</f>
        <v/>
      </c>
      <c r="G1748" s="42" t="str">
        <f>IF(Agent09_Savings!A155="","",Agent09_Savings!F155)</f>
        <v/>
      </c>
      <c r="H1748" s="40" t="str">
        <f>IF(Agent09_Savings!A155="","",Agent09_Savings!I155)</f>
        <v/>
      </c>
      <c r="I1748" s="40" t="str">
        <f>IF(Agent09_Savings!A155="","",Agent09_Savings!J155)</f>
        <v/>
      </c>
      <c r="J1748" s="40" t="str">
        <f>IF(Agent09_Savings!A155="","",Agent09_Savings!K155)</f>
        <v/>
      </c>
      <c r="K1748" s="40" t="str">
        <f>IFERROR(IF(Agent09_Savings!A155="","",YEAR(Agent09_Savings!D155)),"")</f>
        <v/>
      </c>
    </row>
    <row r="1749" spans="1:11" ht="18" customHeight="1" x14ac:dyDescent="0.25">
      <c r="A1749" s="40" t="str">
        <f>IF(Agent09_Savings!A156="","",Agent09_Savings!A156)</f>
        <v/>
      </c>
      <c r="B1749" s="40" t="str">
        <f ca="1">IF(Agent09_Savings!A156="","","SV"&amp;TEXT(1749-3,"0000")&amp;"-"&amp;TEXT(TODAY(),"YYYYMMDD"))</f>
        <v/>
      </c>
      <c r="C1749" s="40" t="str">
        <f>IF(Agent09_Savings!A156="","",Agent09_Savings!B156)</f>
        <v/>
      </c>
      <c r="D1749" s="40" t="str">
        <f>IF(Agent09_Savings!A156="","",Agent09_Savings!G156)</f>
        <v/>
      </c>
      <c r="E1749" s="41" t="str">
        <f>IF(Agent09_Savings!A156="","",Agent09_Savings!D156)</f>
        <v/>
      </c>
      <c r="F1749" s="42" t="str">
        <f>IF(Agent09_Savings!A156="","",Agent09_Savings!E156)</f>
        <v/>
      </c>
      <c r="G1749" s="42" t="str">
        <f>IF(Agent09_Savings!A156="","",Agent09_Savings!F156)</f>
        <v/>
      </c>
      <c r="H1749" s="40" t="str">
        <f>IF(Agent09_Savings!A156="","",Agent09_Savings!I156)</f>
        <v/>
      </c>
      <c r="I1749" s="40" t="str">
        <f>IF(Agent09_Savings!A156="","",Agent09_Savings!J156)</f>
        <v/>
      </c>
      <c r="J1749" s="40" t="str">
        <f>IF(Agent09_Savings!A156="","",Agent09_Savings!K156)</f>
        <v/>
      </c>
      <c r="K1749" s="40" t="str">
        <f>IFERROR(IF(Agent09_Savings!A156="","",YEAR(Agent09_Savings!D156)),"")</f>
        <v/>
      </c>
    </row>
    <row r="1750" spans="1:11" ht="18" customHeight="1" x14ac:dyDescent="0.25">
      <c r="A1750" s="40" t="str">
        <f>IF(Agent09_Savings!A157="","",Agent09_Savings!A157)</f>
        <v/>
      </c>
      <c r="B1750" s="40" t="str">
        <f ca="1">IF(Agent09_Savings!A157="","","SV"&amp;TEXT(1750-3,"0000")&amp;"-"&amp;TEXT(TODAY(),"YYYYMMDD"))</f>
        <v/>
      </c>
      <c r="C1750" s="40" t="str">
        <f>IF(Agent09_Savings!A157="","",Agent09_Savings!B157)</f>
        <v/>
      </c>
      <c r="D1750" s="40" t="str">
        <f>IF(Agent09_Savings!A157="","",Agent09_Savings!G157)</f>
        <v/>
      </c>
      <c r="E1750" s="41" t="str">
        <f>IF(Agent09_Savings!A157="","",Agent09_Savings!D157)</f>
        <v/>
      </c>
      <c r="F1750" s="42" t="str">
        <f>IF(Agent09_Savings!A157="","",Agent09_Savings!E157)</f>
        <v/>
      </c>
      <c r="G1750" s="42" t="str">
        <f>IF(Agent09_Savings!A157="","",Agent09_Savings!F157)</f>
        <v/>
      </c>
      <c r="H1750" s="40" t="str">
        <f>IF(Agent09_Savings!A157="","",Agent09_Savings!I157)</f>
        <v/>
      </c>
      <c r="I1750" s="40" t="str">
        <f>IF(Agent09_Savings!A157="","",Agent09_Savings!J157)</f>
        <v/>
      </c>
      <c r="J1750" s="40" t="str">
        <f>IF(Agent09_Savings!A157="","",Agent09_Savings!K157)</f>
        <v/>
      </c>
      <c r="K1750" s="40" t="str">
        <f>IFERROR(IF(Agent09_Savings!A157="","",YEAR(Agent09_Savings!D157)),"")</f>
        <v/>
      </c>
    </row>
    <row r="1751" spans="1:11" ht="18" customHeight="1" x14ac:dyDescent="0.25">
      <c r="A1751" s="40" t="str">
        <f>IF(Agent09_Savings!A158="","",Agent09_Savings!A158)</f>
        <v/>
      </c>
      <c r="B1751" s="40" t="str">
        <f ca="1">IF(Agent09_Savings!A158="","","SV"&amp;TEXT(1751-3,"0000")&amp;"-"&amp;TEXT(TODAY(),"YYYYMMDD"))</f>
        <v/>
      </c>
      <c r="C1751" s="40" t="str">
        <f>IF(Agent09_Savings!A158="","",Agent09_Savings!B158)</f>
        <v/>
      </c>
      <c r="D1751" s="40" t="str">
        <f>IF(Agent09_Savings!A158="","",Agent09_Savings!G158)</f>
        <v/>
      </c>
      <c r="E1751" s="41" t="str">
        <f>IF(Agent09_Savings!A158="","",Agent09_Savings!D158)</f>
        <v/>
      </c>
      <c r="F1751" s="42" t="str">
        <f>IF(Agent09_Savings!A158="","",Agent09_Savings!E158)</f>
        <v/>
      </c>
      <c r="G1751" s="42" t="str">
        <f>IF(Agent09_Savings!A158="","",Agent09_Savings!F158)</f>
        <v/>
      </c>
      <c r="H1751" s="40" t="str">
        <f>IF(Agent09_Savings!A158="","",Agent09_Savings!I158)</f>
        <v/>
      </c>
      <c r="I1751" s="40" t="str">
        <f>IF(Agent09_Savings!A158="","",Agent09_Savings!J158)</f>
        <v/>
      </c>
      <c r="J1751" s="40" t="str">
        <f>IF(Agent09_Savings!A158="","",Agent09_Savings!K158)</f>
        <v/>
      </c>
      <c r="K1751" s="40" t="str">
        <f>IFERROR(IF(Agent09_Savings!A158="","",YEAR(Agent09_Savings!D158)),"")</f>
        <v/>
      </c>
    </row>
    <row r="1752" spans="1:11" ht="18" customHeight="1" x14ac:dyDescent="0.25">
      <c r="A1752" s="40" t="str">
        <f>IF(Agent09_Savings!A159="","",Agent09_Savings!A159)</f>
        <v/>
      </c>
      <c r="B1752" s="40" t="str">
        <f ca="1">IF(Agent09_Savings!A159="","","SV"&amp;TEXT(1752-3,"0000")&amp;"-"&amp;TEXT(TODAY(),"YYYYMMDD"))</f>
        <v/>
      </c>
      <c r="C1752" s="40" t="str">
        <f>IF(Agent09_Savings!A159="","",Agent09_Savings!B159)</f>
        <v/>
      </c>
      <c r="D1752" s="40" t="str">
        <f>IF(Agent09_Savings!A159="","",Agent09_Savings!G159)</f>
        <v/>
      </c>
      <c r="E1752" s="41" t="str">
        <f>IF(Agent09_Savings!A159="","",Agent09_Savings!D159)</f>
        <v/>
      </c>
      <c r="F1752" s="42" t="str">
        <f>IF(Agent09_Savings!A159="","",Agent09_Savings!E159)</f>
        <v/>
      </c>
      <c r="G1752" s="42" t="str">
        <f>IF(Agent09_Savings!A159="","",Agent09_Savings!F159)</f>
        <v/>
      </c>
      <c r="H1752" s="40" t="str">
        <f>IF(Agent09_Savings!A159="","",Agent09_Savings!I159)</f>
        <v/>
      </c>
      <c r="I1752" s="40" t="str">
        <f>IF(Agent09_Savings!A159="","",Agent09_Savings!J159)</f>
        <v/>
      </c>
      <c r="J1752" s="40" t="str">
        <f>IF(Agent09_Savings!A159="","",Agent09_Savings!K159)</f>
        <v/>
      </c>
      <c r="K1752" s="40" t="str">
        <f>IFERROR(IF(Agent09_Savings!A159="","",YEAR(Agent09_Savings!D159)),"")</f>
        <v/>
      </c>
    </row>
    <row r="1753" spans="1:11" ht="18" customHeight="1" x14ac:dyDescent="0.25">
      <c r="A1753" s="40" t="str">
        <f>IF(Agent09_Savings!A160="","",Agent09_Savings!A160)</f>
        <v/>
      </c>
      <c r="B1753" s="40" t="str">
        <f ca="1">IF(Agent09_Savings!A160="","","SV"&amp;TEXT(1753-3,"0000")&amp;"-"&amp;TEXT(TODAY(),"YYYYMMDD"))</f>
        <v/>
      </c>
      <c r="C1753" s="40" t="str">
        <f>IF(Agent09_Savings!A160="","",Agent09_Savings!B160)</f>
        <v/>
      </c>
      <c r="D1753" s="40" t="str">
        <f>IF(Agent09_Savings!A160="","",Agent09_Savings!G160)</f>
        <v/>
      </c>
      <c r="E1753" s="41" t="str">
        <f>IF(Agent09_Savings!A160="","",Agent09_Savings!D160)</f>
        <v/>
      </c>
      <c r="F1753" s="42" t="str">
        <f>IF(Agent09_Savings!A160="","",Agent09_Savings!E160)</f>
        <v/>
      </c>
      <c r="G1753" s="42" t="str">
        <f>IF(Agent09_Savings!A160="","",Agent09_Savings!F160)</f>
        <v/>
      </c>
      <c r="H1753" s="40" t="str">
        <f>IF(Agent09_Savings!A160="","",Agent09_Savings!I160)</f>
        <v/>
      </c>
      <c r="I1753" s="40" t="str">
        <f>IF(Agent09_Savings!A160="","",Agent09_Savings!J160)</f>
        <v/>
      </c>
      <c r="J1753" s="40" t="str">
        <f>IF(Agent09_Savings!A160="","",Agent09_Savings!K160)</f>
        <v/>
      </c>
      <c r="K1753" s="40" t="str">
        <f>IFERROR(IF(Agent09_Savings!A160="","",YEAR(Agent09_Savings!D160)),"")</f>
        <v/>
      </c>
    </row>
    <row r="1754" spans="1:11" ht="18" customHeight="1" x14ac:dyDescent="0.25">
      <c r="A1754" s="40" t="str">
        <f>IF(Agent09_Savings!A161="","",Agent09_Savings!A161)</f>
        <v/>
      </c>
      <c r="B1754" s="40" t="str">
        <f ca="1">IF(Agent09_Savings!A161="","","SV"&amp;TEXT(1754-3,"0000")&amp;"-"&amp;TEXT(TODAY(),"YYYYMMDD"))</f>
        <v/>
      </c>
      <c r="C1754" s="40" t="str">
        <f>IF(Agent09_Savings!A161="","",Agent09_Savings!B161)</f>
        <v/>
      </c>
      <c r="D1754" s="40" t="str">
        <f>IF(Agent09_Savings!A161="","",Agent09_Savings!G161)</f>
        <v/>
      </c>
      <c r="E1754" s="41" t="str">
        <f>IF(Agent09_Savings!A161="","",Agent09_Savings!D161)</f>
        <v/>
      </c>
      <c r="F1754" s="42" t="str">
        <f>IF(Agent09_Savings!A161="","",Agent09_Savings!E161)</f>
        <v/>
      </c>
      <c r="G1754" s="42" t="str">
        <f>IF(Agent09_Savings!A161="","",Agent09_Savings!F161)</f>
        <v/>
      </c>
      <c r="H1754" s="40" t="str">
        <f>IF(Agent09_Savings!A161="","",Agent09_Savings!I161)</f>
        <v/>
      </c>
      <c r="I1754" s="40" t="str">
        <f>IF(Agent09_Savings!A161="","",Agent09_Savings!J161)</f>
        <v/>
      </c>
      <c r="J1754" s="40" t="str">
        <f>IF(Agent09_Savings!A161="","",Agent09_Savings!K161)</f>
        <v/>
      </c>
      <c r="K1754" s="40" t="str">
        <f>IFERROR(IF(Agent09_Savings!A161="","",YEAR(Agent09_Savings!D161)),"")</f>
        <v/>
      </c>
    </row>
    <row r="1755" spans="1:11" ht="18" customHeight="1" x14ac:dyDescent="0.25">
      <c r="A1755" s="40" t="str">
        <f>IF(Agent09_Savings!A162="","",Agent09_Savings!A162)</f>
        <v/>
      </c>
      <c r="B1755" s="40" t="str">
        <f ca="1">IF(Agent09_Savings!A162="","","SV"&amp;TEXT(1755-3,"0000")&amp;"-"&amp;TEXT(TODAY(),"YYYYMMDD"))</f>
        <v/>
      </c>
      <c r="C1755" s="40" t="str">
        <f>IF(Agent09_Savings!A162="","",Agent09_Savings!B162)</f>
        <v/>
      </c>
      <c r="D1755" s="40" t="str">
        <f>IF(Agent09_Savings!A162="","",Agent09_Savings!G162)</f>
        <v/>
      </c>
      <c r="E1755" s="41" t="str">
        <f>IF(Agent09_Savings!A162="","",Agent09_Savings!D162)</f>
        <v/>
      </c>
      <c r="F1755" s="42" t="str">
        <f>IF(Agent09_Savings!A162="","",Agent09_Savings!E162)</f>
        <v/>
      </c>
      <c r="G1755" s="42" t="str">
        <f>IF(Agent09_Savings!A162="","",Agent09_Savings!F162)</f>
        <v/>
      </c>
      <c r="H1755" s="40" t="str">
        <f>IF(Agent09_Savings!A162="","",Agent09_Savings!I162)</f>
        <v/>
      </c>
      <c r="I1755" s="40" t="str">
        <f>IF(Agent09_Savings!A162="","",Agent09_Savings!J162)</f>
        <v/>
      </c>
      <c r="J1755" s="40" t="str">
        <f>IF(Agent09_Savings!A162="","",Agent09_Savings!K162)</f>
        <v/>
      </c>
      <c r="K1755" s="40" t="str">
        <f>IFERROR(IF(Agent09_Savings!A162="","",YEAR(Agent09_Savings!D162)),"")</f>
        <v/>
      </c>
    </row>
    <row r="1756" spans="1:11" ht="18" customHeight="1" x14ac:dyDescent="0.25">
      <c r="A1756" s="40" t="str">
        <f>IF(Agent09_Savings!A163="","",Agent09_Savings!A163)</f>
        <v/>
      </c>
      <c r="B1756" s="40" t="str">
        <f ca="1">IF(Agent09_Savings!A163="","","SV"&amp;TEXT(1756-3,"0000")&amp;"-"&amp;TEXT(TODAY(),"YYYYMMDD"))</f>
        <v/>
      </c>
      <c r="C1756" s="40" t="str">
        <f>IF(Agent09_Savings!A163="","",Agent09_Savings!B163)</f>
        <v/>
      </c>
      <c r="D1756" s="40" t="str">
        <f>IF(Agent09_Savings!A163="","",Agent09_Savings!G163)</f>
        <v/>
      </c>
      <c r="E1756" s="41" t="str">
        <f>IF(Agent09_Savings!A163="","",Agent09_Savings!D163)</f>
        <v/>
      </c>
      <c r="F1756" s="42" t="str">
        <f>IF(Agent09_Savings!A163="","",Agent09_Savings!E163)</f>
        <v/>
      </c>
      <c r="G1756" s="42" t="str">
        <f>IF(Agent09_Savings!A163="","",Agent09_Savings!F163)</f>
        <v/>
      </c>
      <c r="H1756" s="40" t="str">
        <f>IF(Agent09_Savings!A163="","",Agent09_Savings!I163)</f>
        <v/>
      </c>
      <c r="I1756" s="40" t="str">
        <f>IF(Agent09_Savings!A163="","",Agent09_Savings!J163)</f>
        <v/>
      </c>
      <c r="J1756" s="40" t="str">
        <f>IF(Agent09_Savings!A163="","",Agent09_Savings!K163)</f>
        <v/>
      </c>
      <c r="K1756" s="40" t="str">
        <f>IFERROR(IF(Agent09_Savings!A163="","",YEAR(Agent09_Savings!D163)),"")</f>
        <v/>
      </c>
    </row>
    <row r="1757" spans="1:11" ht="18" customHeight="1" x14ac:dyDescent="0.25">
      <c r="A1757" s="40" t="str">
        <f>IF(Agent09_Savings!A164="","",Agent09_Savings!A164)</f>
        <v/>
      </c>
      <c r="B1757" s="40" t="str">
        <f ca="1">IF(Agent09_Savings!A164="","","SV"&amp;TEXT(1757-3,"0000")&amp;"-"&amp;TEXT(TODAY(),"YYYYMMDD"))</f>
        <v/>
      </c>
      <c r="C1757" s="40" t="str">
        <f>IF(Agent09_Savings!A164="","",Agent09_Savings!B164)</f>
        <v/>
      </c>
      <c r="D1757" s="40" t="str">
        <f>IF(Agent09_Savings!A164="","",Agent09_Savings!G164)</f>
        <v/>
      </c>
      <c r="E1757" s="41" t="str">
        <f>IF(Agent09_Savings!A164="","",Agent09_Savings!D164)</f>
        <v/>
      </c>
      <c r="F1757" s="42" t="str">
        <f>IF(Agent09_Savings!A164="","",Agent09_Savings!E164)</f>
        <v/>
      </c>
      <c r="G1757" s="42" t="str">
        <f>IF(Agent09_Savings!A164="","",Agent09_Savings!F164)</f>
        <v/>
      </c>
      <c r="H1757" s="40" t="str">
        <f>IF(Agent09_Savings!A164="","",Agent09_Savings!I164)</f>
        <v/>
      </c>
      <c r="I1757" s="40" t="str">
        <f>IF(Agent09_Savings!A164="","",Agent09_Savings!J164)</f>
        <v/>
      </c>
      <c r="J1757" s="40" t="str">
        <f>IF(Agent09_Savings!A164="","",Agent09_Savings!K164)</f>
        <v/>
      </c>
      <c r="K1757" s="40" t="str">
        <f>IFERROR(IF(Agent09_Savings!A164="","",YEAR(Agent09_Savings!D164)),"")</f>
        <v/>
      </c>
    </row>
    <row r="1758" spans="1:11" ht="18" customHeight="1" x14ac:dyDescent="0.25">
      <c r="A1758" s="40" t="str">
        <f>IF(Agent09_Savings!A165="","",Agent09_Savings!A165)</f>
        <v/>
      </c>
      <c r="B1758" s="40" t="str">
        <f ca="1">IF(Agent09_Savings!A165="","","SV"&amp;TEXT(1758-3,"0000")&amp;"-"&amp;TEXT(TODAY(),"YYYYMMDD"))</f>
        <v/>
      </c>
      <c r="C1758" s="40" t="str">
        <f>IF(Agent09_Savings!A165="","",Agent09_Savings!B165)</f>
        <v/>
      </c>
      <c r="D1758" s="40" t="str">
        <f>IF(Agent09_Savings!A165="","",Agent09_Savings!G165)</f>
        <v/>
      </c>
      <c r="E1758" s="41" t="str">
        <f>IF(Agent09_Savings!A165="","",Agent09_Savings!D165)</f>
        <v/>
      </c>
      <c r="F1758" s="42" t="str">
        <f>IF(Agent09_Savings!A165="","",Agent09_Savings!E165)</f>
        <v/>
      </c>
      <c r="G1758" s="42" t="str">
        <f>IF(Agent09_Savings!A165="","",Agent09_Savings!F165)</f>
        <v/>
      </c>
      <c r="H1758" s="40" t="str">
        <f>IF(Agent09_Savings!A165="","",Agent09_Savings!I165)</f>
        <v/>
      </c>
      <c r="I1758" s="40" t="str">
        <f>IF(Agent09_Savings!A165="","",Agent09_Savings!J165)</f>
        <v/>
      </c>
      <c r="J1758" s="40" t="str">
        <f>IF(Agent09_Savings!A165="","",Agent09_Savings!K165)</f>
        <v/>
      </c>
      <c r="K1758" s="40" t="str">
        <f>IFERROR(IF(Agent09_Savings!A165="","",YEAR(Agent09_Savings!D165)),"")</f>
        <v/>
      </c>
    </row>
    <row r="1759" spans="1:11" ht="18" customHeight="1" x14ac:dyDescent="0.25">
      <c r="A1759" s="40" t="str">
        <f>IF(Agent09_Savings!A166="","",Agent09_Savings!A166)</f>
        <v/>
      </c>
      <c r="B1759" s="40" t="str">
        <f ca="1">IF(Agent09_Savings!A166="","","SV"&amp;TEXT(1759-3,"0000")&amp;"-"&amp;TEXT(TODAY(),"YYYYMMDD"))</f>
        <v/>
      </c>
      <c r="C1759" s="40" t="str">
        <f>IF(Agent09_Savings!A166="","",Agent09_Savings!B166)</f>
        <v/>
      </c>
      <c r="D1759" s="40" t="str">
        <f>IF(Agent09_Savings!A166="","",Agent09_Savings!G166)</f>
        <v/>
      </c>
      <c r="E1759" s="41" t="str">
        <f>IF(Agent09_Savings!A166="","",Agent09_Savings!D166)</f>
        <v/>
      </c>
      <c r="F1759" s="42" t="str">
        <f>IF(Agent09_Savings!A166="","",Agent09_Savings!E166)</f>
        <v/>
      </c>
      <c r="G1759" s="42" t="str">
        <f>IF(Agent09_Savings!A166="","",Agent09_Savings!F166)</f>
        <v/>
      </c>
      <c r="H1759" s="40" t="str">
        <f>IF(Agent09_Savings!A166="","",Agent09_Savings!I166)</f>
        <v/>
      </c>
      <c r="I1759" s="40" t="str">
        <f>IF(Agent09_Savings!A166="","",Agent09_Savings!J166)</f>
        <v/>
      </c>
      <c r="J1759" s="40" t="str">
        <f>IF(Agent09_Savings!A166="","",Agent09_Savings!K166)</f>
        <v/>
      </c>
      <c r="K1759" s="40" t="str">
        <f>IFERROR(IF(Agent09_Savings!A166="","",YEAR(Agent09_Savings!D166)),"")</f>
        <v/>
      </c>
    </row>
    <row r="1760" spans="1:11" ht="18" customHeight="1" x14ac:dyDescent="0.25">
      <c r="A1760" s="40" t="str">
        <f>IF(Agent09_Savings!A167="","",Agent09_Savings!A167)</f>
        <v/>
      </c>
      <c r="B1760" s="40" t="str">
        <f ca="1">IF(Agent09_Savings!A167="","","SV"&amp;TEXT(1760-3,"0000")&amp;"-"&amp;TEXT(TODAY(),"YYYYMMDD"))</f>
        <v/>
      </c>
      <c r="C1760" s="40" t="str">
        <f>IF(Agent09_Savings!A167="","",Agent09_Savings!B167)</f>
        <v/>
      </c>
      <c r="D1760" s="40" t="str">
        <f>IF(Agent09_Savings!A167="","",Agent09_Savings!G167)</f>
        <v/>
      </c>
      <c r="E1760" s="41" t="str">
        <f>IF(Agent09_Savings!A167="","",Agent09_Savings!D167)</f>
        <v/>
      </c>
      <c r="F1760" s="42" t="str">
        <f>IF(Agent09_Savings!A167="","",Agent09_Savings!E167)</f>
        <v/>
      </c>
      <c r="G1760" s="42" t="str">
        <f>IF(Agent09_Savings!A167="","",Agent09_Savings!F167)</f>
        <v/>
      </c>
      <c r="H1760" s="40" t="str">
        <f>IF(Agent09_Savings!A167="","",Agent09_Savings!I167)</f>
        <v/>
      </c>
      <c r="I1760" s="40" t="str">
        <f>IF(Agent09_Savings!A167="","",Agent09_Savings!J167)</f>
        <v/>
      </c>
      <c r="J1760" s="40" t="str">
        <f>IF(Agent09_Savings!A167="","",Agent09_Savings!K167)</f>
        <v/>
      </c>
      <c r="K1760" s="40" t="str">
        <f>IFERROR(IF(Agent09_Savings!A167="","",YEAR(Agent09_Savings!D167)),"")</f>
        <v/>
      </c>
    </row>
    <row r="1761" spans="1:11" ht="18" customHeight="1" x14ac:dyDescent="0.25">
      <c r="A1761" s="40" t="str">
        <f>IF(Agent09_Savings!A168="","",Agent09_Savings!A168)</f>
        <v/>
      </c>
      <c r="B1761" s="40" t="str">
        <f ca="1">IF(Agent09_Savings!A168="","","SV"&amp;TEXT(1761-3,"0000")&amp;"-"&amp;TEXT(TODAY(),"YYYYMMDD"))</f>
        <v/>
      </c>
      <c r="C1761" s="40" t="str">
        <f>IF(Agent09_Savings!A168="","",Agent09_Savings!B168)</f>
        <v/>
      </c>
      <c r="D1761" s="40" t="str">
        <f>IF(Agent09_Savings!A168="","",Agent09_Savings!G168)</f>
        <v/>
      </c>
      <c r="E1761" s="41" t="str">
        <f>IF(Agent09_Savings!A168="","",Agent09_Savings!D168)</f>
        <v/>
      </c>
      <c r="F1761" s="42" t="str">
        <f>IF(Agent09_Savings!A168="","",Agent09_Savings!E168)</f>
        <v/>
      </c>
      <c r="G1761" s="42" t="str">
        <f>IF(Agent09_Savings!A168="","",Agent09_Savings!F168)</f>
        <v/>
      </c>
      <c r="H1761" s="40" t="str">
        <f>IF(Agent09_Savings!A168="","",Agent09_Savings!I168)</f>
        <v/>
      </c>
      <c r="I1761" s="40" t="str">
        <f>IF(Agent09_Savings!A168="","",Agent09_Savings!J168)</f>
        <v/>
      </c>
      <c r="J1761" s="40" t="str">
        <f>IF(Agent09_Savings!A168="","",Agent09_Savings!K168)</f>
        <v/>
      </c>
      <c r="K1761" s="40" t="str">
        <f>IFERROR(IF(Agent09_Savings!A168="","",YEAR(Agent09_Savings!D168)),"")</f>
        <v/>
      </c>
    </row>
    <row r="1762" spans="1:11" ht="18" customHeight="1" x14ac:dyDescent="0.25">
      <c r="A1762" s="40" t="str">
        <f>IF(Agent09_Savings!A169="","",Agent09_Savings!A169)</f>
        <v/>
      </c>
      <c r="B1762" s="40" t="str">
        <f ca="1">IF(Agent09_Savings!A169="","","SV"&amp;TEXT(1762-3,"0000")&amp;"-"&amp;TEXT(TODAY(),"YYYYMMDD"))</f>
        <v/>
      </c>
      <c r="C1762" s="40" t="str">
        <f>IF(Agent09_Savings!A169="","",Agent09_Savings!B169)</f>
        <v/>
      </c>
      <c r="D1762" s="40" t="str">
        <f>IF(Agent09_Savings!A169="","",Agent09_Savings!G169)</f>
        <v/>
      </c>
      <c r="E1762" s="41" t="str">
        <f>IF(Agent09_Savings!A169="","",Agent09_Savings!D169)</f>
        <v/>
      </c>
      <c r="F1762" s="42" t="str">
        <f>IF(Agent09_Savings!A169="","",Agent09_Savings!E169)</f>
        <v/>
      </c>
      <c r="G1762" s="42" t="str">
        <f>IF(Agent09_Savings!A169="","",Agent09_Savings!F169)</f>
        <v/>
      </c>
      <c r="H1762" s="40" t="str">
        <f>IF(Agent09_Savings!A169="","",Agent09_Savings!I169)</f>
        <v/>
      </c>
      <c r="I1762" s="40" t="str">
        <f>IF(Agent09_Savings!A169="","",Agent09_Savings!J169)</f>
        <v/>
      </c>
      <c r="J1762" s="40" t="str">
        <f>IF(Agent09_Savings!A169="","",Agent09_Savings!K169)</f>
        <v/>
      </c>
      <c r="K1762" s="40" t="str">
        <f>IFERROR(IF(Agent09_Savings!A169="","",YEAR(Agent09_Savings!D169)),"")</f>
        <v/>
      </c>
    </row>
    <row r="1763" spans="1:11" ht="18" customHeight="1" x14ac:dyDescent="0.25">
      <c r="A1763" s="40" t="str">
        <f>IF(Agent09_Savings!A170="","",Agent09_Savings!A170)</f>
        <v/>
      </c>
      <c r="B1763" s="40" t="str">
        <f ca="1">IF(Agent09_Savings!A170="","","SV"&amp;TEXT(1763-3,"0000")&amp;"-"&amp;TEXT(TODAY(),"YYYYMMDD"))</f>
        <v/>
      </c>
      <c r="C1763" s="40" t="str">
        <f>IF(Agent09_Savings!A170="","",Agent09_Savings!B170)</f>
        <v/>
      </c>
      <c r="D1763" s="40" t="str">
        <f>IF(Agent09_Savings!A170="","",Agent09_Savings!G170)</f>
        <v/>
      </c>
      <c r="E1763" s="41" t="str">
        <f>IF(Agent09_Savings!A170="","",Agent09_Savings!D170)</f>
        <v/>
      </c>
      <c r="F1763" s="42" t="str">
        <f>IF(Agent09_Savings!A170="","",Agent09_Savings!E170)</f>
        <v/>
      </c>
      <c r="G1763" s="42" t="str">
        <f>IF(Agent09_Savings!A170="","",Agent09_Savings!F170)</f>
        <v/>
      </c>
      <c r="H1763" s="40" t="str">
        <f>IF(Agent09_Savings!A170="","",Agent09_Savings!I170)</f>
        <v/>
      </c>
      <c r="I1763" s="40" t="str">
        <f>IF(Agent09_Savings!A170="","",Agent09_Savings!J170)</f>
        <v/>
      </c>
      <c r="J1763" s="40" t="str">
        <f>IF(Agent09_Savings!A170="","",Agent09_Savings!K170)</f>
        <v/>
      </c>
      <c r="K1763" s="40" t="str">
        <f>IFERROR(IF(Agent09_Savings!A170="","",YEAR(Agent09_Savings!D170)),"")</f>
        <v/>
      </c>
    </row>
    <row r="1764" spans="1:11" ht="18" customHeight="1" x14ac:dyDescent="0.25">
      <c r="A1764" s="40" t="str">
        <f>IF(Agent09_Savings!A171="","",Agent09_Savings!A171)</f>
        <v/>
      </c>
      <c r="B1764" s="40" t="str">
        <f ca="1">IF(Agent09_Savings!A171="","","SV"&amp;TEXT(1764-3,"0000")&amp;"-"&amp;TEXT(TODAY(),"YYYYMMDD"))</f>
        <v/>
      </c>
      <c r="C1764" s="40" t="str">
        <f>IF(Agent09_Savings!A171="","",Agent09_Savings!B171)</f>
        <v/>
      </c>
      <c r="D1764" s="40" t="str">
        <f>IF(Agent09_Savings!A171="","",Agent09_Savings!G171)</f>
        <v/>
      </c>
      <c r="E1764" s="41" t="str">
        <f>IF(Agent09_Savings!A171="","",Agent09_Savings!D171)</f>
        <v/>
      </c>
      <c r="F1764" s="42" t="str">
        <f>IF(Agent09_Savings!A171="","",Agent09_Savings!E171)</f>
        <v/>
      </c>
      <c r="G1764" s="42" t="str">
        <f>IF(Agent09_Savings!A171="","",Agent09_Savings!F171)</f>
        <v/>
      </c>
      <c r="H1764" s="40" t="str">
        <f>IF(Agent09_Savings!A171="","",Agent09_Savings!I171)</f>
        <v/>
      </c>
      <c r="I1764" s="40" t="str">
        <f>IF(Agent09_Savings!A171="","",Agent09_Savings!J171)</f>
        <v/>
      </c>
      <c r="J1764" s="40" t="str">
        <f>IF(Agent09_Savings!A171="","",Agent09_Savings!K171)</f>
        <v/>
      </c>
      <c r="K1764" s="40" t="str">
        <f>IFERROR(IF(Agent09_Savings!A171="","",YEAR(Agent09_Savings!D171)),"")</f>
        <v/>
      </c>
    </row>
    <row r="1765" spans="1:11" ht="18" customHeight="1" x14ac:dyDescent="0.25">
      <c r="A1765" s="40" t="str">
        <f>IF(Agent09_Savings!A172="","",Agent09_Savings!A172)</f>
        <v/>
      </c>
      <c r="B1765" s="40" t="str">
        <f ca="1">IF(Agent09_Savings!A172="","","SV"&amp;TEXT(1765-3,"0000")&amp;"-"&amp;TEXT(TODAY(),"YYYYMMDD"))</f>
        <v/>
      </c>
      <c r="C1765" s="40" t="str">
        <f>IF(Agent09_Savings!A172="","",Agent09_Savings!B172)</f>
        <v/>
      </c>
      <c r="D1765" s="40" t="str">
        <f>IF(Agent09_Savings!A172="","",Agent09_Savings!G172)</f>
        <v/>
      </c>
      <c r="E1765" s="41" t="str">
        <f>IF(Agent09_Savings!A172="","",Agent09_Savings!D172)</f>
        <v/>
      </c>
      <c r="F1765" s="42" t="str">
        <f>IF(Agent09_Savings!A172="","",Agent09_Savings!E172)</f>
        <v/>
      </c>
      <c r="G1765" s="42" t="str">
        <f>IF(Agent09_Savings!A172="","",Agent09_Savings!F172)</f>
        <v/>
      </c>
      <c r="H1765" s="40" t="str">
        <f>IF(Agent09_Savings!A172="","",Agent09_Savings!I172)</f>
        <v/>
      </c>
      <c r="I1765" s="40" t="str">
        <f>IF(Agent09_Savings!A172="","",Agent09_Savings!J172)</f>
        <v/>
      </c>
      <c r="J1765" s="40" t="str">
        <f>IF(Agent09_Savings!A172="","",Agent09_Savings!K172)</f>
        <v/>
      </c>
      <c r="K1765" s="40" t="str">
        <f>IFERROR(IF(Agent09_Savings!A172="","",YEAR(Agent09_Savings!D172)),"")</f>
        <v/>
      </c>
    </row>
    <row r="1766" spans="1:11" ht="18" customHeight="1" x14ac:dyDescent="0.25">
      <c r="A1766" s="40" t="str">
        <f>IF(Agent09_Savings!A173="","",Agent09_Savings!A173)</f>
        <v/>
      </c>
      <c r="B1766" s="40" t="str">
        <f ca="1">IF(Agent09_Savings!A173="","","SV"&amp;TEXT(1766-3,"0000")&amp;"-"&amp;TEXT(TODAY(),"YYYYMMDD"))</f>
        <v/>
      </c>
      <c r="C1766" s="40" t="str">
        <f>IF(Agent09_Savings!A173="","",Agent09_Savings!B173)</f>
        <v/>
      </c>
      <c r="D1766" s="40" t="str">
        <f>IF(Agent09_Savings!A173="","",Agent09_Savings!G173)</f>
        <v/>
      </c>
      <c r="E1766" s="41" t="str">
        <f>IF(Agent09_Savings!A173="","",Agent09_Savings!D173)</f>
        <v/>
      </c>
      <c r="F1766" s="42" t="str">
        <f>IF(Agent09_Savings!A173="","",Agent09_Savings!E173)</f>
        <v/>
      </c>
      <c r="G1766" s="42" t="str">
        <f>IF(Agent09_Savings!A173="","",Agent09_Savings!F173)</f>
        <v/>
      </c>
      <c r="H1766" s="40" t="str">
        <f>IF(Agent09_Savings!A173="","",Agent09_Savings!I173)</f>
        <v/>
      </c>
      <c r="I1766" s="40" t="str">
        <f>IF(Agent09_Savings!A173="","",Agent09_Savings!J173)</f>
        <v/>
      </c>
      <c r="J1766" s="40" t="str">
        <f>IF(Agent09_Savings!A173="","",Agent09_Savings!K173)</f>
        <v/>
      </c>
      <c r="K1766" s="40" t="str">
        <f>IFERROR(IF(Agent09_Savings!A173="","",YEAR(Agent09_Savings!D173)),"")</f>
        <v/>
      </c>
    </row>
    <row r="1767" spans="1:11" ht="18" customHeight="1" x14ac:dyDescent="0.25">
      <c r="A1767" s="40" t="str">
        <f>IF(Agent09_Savings!A174="","",Agent09_Savings!A174)</f>
        <v/>
      </c>
      <c r="B1767" s="40" t="str">
        <f ca="1">IF(Agent09_Savings!A174="","","SV"&amp;TEXT(1767-3,"0000")&amp;"-"&amp;TEXT(TODAY(),"YYYYMMDD"))</f>
        <v/>
      </c>
      <c r="C1767" s="40" t="str">
        <f>IF(Agent09_Savings!A174="","",Agent09_Savings!B174)</f>
        <v/>
      </c>
      <c r="D1767" s="40" t="str">
        <f>IF(Agent09_Savings!A174="","",Agent09_Savings!G174)</f>
        <v/>
      </c>
      <c r="E1767" s="41" t="str">
        <f>IF(Agent09_Savings!A174="","",Agent09_Savings!D174)</f>
        <v/>
      </c>
      <c r="F1767" s="42" t="str">
        <f>IF(Agent09_Savings!A174="","",Agent09_Savings!E174)</f>
        <v/>
      </c>
      <c r="G1767" s="42" t="str">
        <f>IF(Agent09_Savings!A174="","",Agent09_Savings!F174)</f>
        <v/>
      </c>
      <c r="H1767" s="40" t="str">
        <f>IF(Agent09_Savings!A174="","",Agent09_Savings!I174)</f>
        <v/>
      </c>
      <c r="I1767" s="40" t="str">
        <f>IF(Agent09_Savings!A174="","",Agent09_Savings!J174)</f>
        <v/>
      </c>
      <c r="J1767" s="40" t="str">
        <f>IF(Agent09_Savings!A174="","",Agent09_Savings!K174)</f>
        <v/>
      </c>
      <c r="K1767" s="40" t="str">
        <f>IFERROR(IF(Agent09_Savings!A174="","",YEAR(Agent09_Savings!D174)),"")</f>
        <v/>
      </c>
    </row>
    <row r="1768" spans="1:11" ht="18" customHeight="1" x14ac:dyDescent="0.25">
      <c r="A1768" s="40" t="str">
        <f>IF(Agent09_Savings!A175="","",Agent09_Savings!A175)</f>
        <v/>
      </c>
      <c r="B1768" s="40" t="str">
        <f ca="1">IF(Agent09_Savings!A175="","","SV"&amp;TEXT(1768-3,"0000")&amp;"-"&amp;TEXT(TODAY(),"YYYYMMDD"))</f>
        <v/>
      </c>
      <c r="C1768" s="40" t="str">
        <f>IF(Agent09_Savings!A175="","",Agent09_Savings!B175)</f>
        <v/>
      </c>
      <c r="D1768" s="40" t="str">
        <f>IF(Agent09_Savings!A175="","",Agent09_Savings!G175)</f>
        <v/>
      </c>
      <c r="E1768" s="41" t="str">
        <f>IF(Agent09_Savings!A175="","",Agent09_Savings!D175)</f>
        <v/>
      </c>
      <c r="F1768" s="42" t="str">
        <f>IF(Agent09_Savings!A175="","",Agent09_Savings!E175)</f>
        <v/>
      </c>
      <c r="G1768" s="42" t="str">
        <f>IF(Agent09_Savings!A175="","",Agent09_Savings!F175)</f>
        <v/>
      </c>
      <c r="H1768" s="40" t="str">
        <f>IF(Agent09_Savings!A175="","",Agent09_Savings!I175)</f>
        <v/>
      </c>
      <c r="I1768" s="40" t="str">
        <f>IF(Agent09_Savings!A175="","",Agent09_Savings!J175)</f>
        <v/>
      </c>
      <c r="J1768" s="40" t="str">
        <f>IF(Agent09_Savings!A175="","",Agent09_Savings!K175)</f>
        <v/>
      </c>
      <c r="K1768" s="40" t="str">
        <f>IFERROR(IF(Agent09_Savings!A175="","",YEAR(Agent09_Savings!D175)),"")</f>
        <v/>
      </c>
    </row>
    <row r="1769" spans="1:11" ht="18" customHeight="1" x14ac:dyDescent="0.25">
      <c r="A1769" s="40" t="str">
        <f>IF(Agent09_Savings!A176="","",Agent09_Savings!A176)</f>
        <v/>
      </c>
      <c r="B1769" s="40" t="str">
        <f ca="1">IF(Agent09_Savings!A176="","","SV"&amp;TEXT(1769-3,"0000")&amp;"-"&amp;TEXT(TODAY(),"YYYYMMDD"))</f>
        <v/>
      </c>
      <c r="C1769" s="40" t="str">
        <f>IF(Agent09_Savings!A176="","",Agent09_Savings!B176)</f>
        <v/>
      </c>
      <c r="D1769" s="40" t="str">
        <f>IF(Agent09_Savings!A176="","",Agent09_Savings!G176)</f>
        <v/>
      </c>
      <c r="E1769" s="41" t="str">
        <f>IF(Agent09_Savings!A176="","",Agent09_Savings!D176)</f>
        <v/>
      </c>
      <c r="F1769" s="42" t="str">
        <f>IF(Agent09_Savings!A176="","",Agent09_Savings!E176)</f>
        <v/>
      </c>
      <c r="G1769" s="42" t="str">
        <f>IF(Agent09_Savings!A176="","",Agent09_Savings!F176)</f>
        <v/>
      </c>
      <c r="H1769" s="40" t="str">
        <f>IF(Agent09_Savings!A176="","",Agent09_Savings!I176)</f>
        <v/>
      </c>
      <c r="I1769" s="40" t="str">
        <f>IF(Agent09_Savings!A176="","",Agent09_Savings!J176)</f>
        <v/>
      </c>
      <c r="J1769" s="40" t="str">
        <f>IF(Agent09_Savings!A176="","",Agent09_Savings!K176)</f>
        <v/>
      </c>
      <c r="K1769" s="40" t="str">
        <f>IFERROR(IF(Agent09_Savings!A176="","",YEAR(Agent09_Savings!D176)),"")</f>
        <v/>
      </c>
    </row>
    <row r="1770" spans="1:11" ht="18" customHeight="1" x14ac:dyDescent="0.25">
      <c r="A1770" s="40" t="str">
        <f>IF(Agent09_Savings!A177="","",Agent09_Savings!A177)</f>
        <v/>
      </c>
      <c r="B1770" s="40" t="str">
        <f ca="1">IF(Agent09_Savings!A177="","","SV"&amp;TEXT(1770-3,"0000")&amp;"-"&amp;TEXT(TODAY(),"YYYYMMDD"))</f>
        <v/>
      </c>
      <c r="C1770" s="40" t="str">
        <f>IF(Agent09_Savings!A177="","",Agent09_Savings!B177)</f>
        <v/>
      </c>
      <c r="D1770" s="40" t="str">
        <f>IF(Agent09_Savings!A177="","",Agent09_Savings!G177)</f>
        <v/>
      </c>
      <c r="E1770" s="41" t="str">
        <f>IF(Agent09_Savings!A177="","",Agent09_Savings!D177)</f>
        <v/>
      </c>
      <c r="F1770" s="42" t="str">
        <f>IF(Agent09_Savings!A177="","",Agent09_Savings!E177)</f>
        <v/>
      </c>
      <c r="G1770" s="42" t="str">
        <f>IF(Agent09_Savings!A177="","",Agent09_Savings!F177)</f>
        <v/>
      </c>
      <c r="H1770" s="40" t="str">
        <f>IF(Agent09_Savings!A177="","",Agent09_Savings!I177)</f>
        <v/>
      </c>
      <c r="I1770" s="40" t="str">
        <f>IF(Agent09_Savings!A177="","",Agent09_Savings!J177)</f>
        <v/>
      </c>
      <c r="J1770" s="40" t="str">
        <f>IF(Agent09_Savings!A177="","",Agent09_Savings!K177)</f>
        <v/>
      </c>
      <c r="K1770" s="40" t="str">
        <f>IFERROR(IF(Agent09_Savings!A177="","",YEAR(Agent09_Savings!D177)),"")</f>
        <v/>
      </c>
    </row>
    <row r="1771" spans="1:11" ht="18" customHeight="1" x14ac:dyDescent="0.25">
      <c r="A1771" s="40" t="str">
        <f>IF(Agent09_Savings!A178="","",Agent09_Savings!A178)</f>
        <v/>
      </c>
      <c r="B1771" s="40" t="str">
        <f ca="1">IF(Agent09_Savings!A178="","","SV"&amp;TEXT(1771-3,"0000")&amp;"-"&amp;TEXT(TODAY(),"YYYYMMDD"))</f>
        <v/>
      </c>
      <c r="C1771" s="40" t="str">
        <f>IF(Agent09_Savings!A178="","",Agent09_Savings!B178)</f>
        <v/>
      </c>
      <c r="D1771" s="40" t="str">
        <f>IF(Agent09_Savings!A178="","",Agent09_Savings!G178)</f>
        <v/>
      </c>
      <c r="E1771" s="41" t="str">
        <f>IF(Agent09_Savings!A178="","",Agent09_Savings!D178)</f>
        <v/>
      </c>
      <c r="F1771" s="42" t="str">
        <f>IF(Agent09_Savings!A178="","",Agent09_Savings!E178)</f>
        <v/>
      </c>
      <c r="G1771" s="42" t="str">
        <f>IF(Agent09_Savings!A178="","",Agent09_Savings!F178)</f>
        <v/>
      </c>
      <c r="H1771" s="40" t="str">
        <f>IF(Agent09_Savings!A178="","",Agent09_Savings!I178)</f>
        <v/>
      </c>
      <c r="I1771" s="40" t="str">
        <f>IF(Agent09_Savings!A178="","",Agent09_Savings!J178)</f>
        <v/>
      </c>
      <c r="J1771" s="40" t="str">
        <f>IF(Agent09_Savings!A178="","",Agent09_Savings!K178)</f>
        <v/>
      </c>
      <c r="K1771" s="40" t="str">
        <f>IFERROR(IF(Agent09_Savings!A178="","",YEAR(Agent09_Savings!D178)),"")</f>
        <v/>
      </c>
    </row>
    <row r="1772" spans="1:11" ht="18" customHeight="1" x14ac:dyDescent="0.25">
      <c r="A1772" s="40" t="str">
        <f>IF(Agent09_Savings!A179="","",Agent09_Savings!A179)</f>
        <v/>
      </c>
      <c r="B1772" s="40" t="str">
        <f ca="1">IF(Agent09_Savings!A179="","","SV"&amp;TEXT(1772-3,"0000")&amp;"-"&amp;TEXT(TODAY(),"YYYYMMDD"))</f>
        <v/>
      </c>
      <c r="C1772" s="40" t="str">
        <f>IF(Agent09_Savings!A179="","",Agent09_Savings!B179)</f>
        <v/>
      </c>
      <c r="D1772" s="40" t="str">
        <f>IF(Agent09_Savings!A179="","",Agent09_Savings!G179)</f>
        <v/>
      </c>
      <c r="E1772" s="41" t="str">
        <f>IF(Agent09_Savings!A179="","",Agent09_Savings!D179)</f>
        <v/>
      </c>
      <c r="F1772" s="42" t="str">
        <f>IF(Agent09_Savings!A179="","",Agent09_Savings!E179)</f>
        <v/>
      </c>
      <c r="G1772" s="42" t="str">
        <f>IF(Agent09_Savings!A179="","",Agent09_Savings!F179)</f>
        <v/>
      </c>
      <c r="H1772" s="40" t="str">
        <f>IF(Agent09_Savings!A179="","",Agent09_Savings!I179)</f>
        <v/>
      </c>
      <c r="I1772" s="40" t="str">
        <f>IF(Agent09_Savings!A179="","",Agent09_Savings!J179)</f>
        <v/>
      </c>
      <c r="J1772" s="40" t="str">
        <f>IF(Agent09_Savings!A179="","",Agent09_Savings!K179)</f>
        <v/>
      </c>
      <c r="K1772" s="40" t="str">
        <f>IFERROR(IF(Agent09_Savings!A179="","",YEAR(Agent09_Savings!D179)),"")</f>
        <v/>
      </c>
    </row>
    <row r="1773" spans="1:11" ht="18" customHeight="1" x14ac:dyDescent="0.25">
      <c r="A1773" s="40" t="str">
        <f>IF(Agent09_Savings!A180="","",Agent09_Savings!A180)</f>
        <v/>
      </c>
      <c r="B1773" s="40" t="str">
        <f ca="1">IF(Agent09_Savings!A180="","","SV"&amp;TEXT(1773-3,"0000")&amp;"-"&amp;TEXT(TODAY(),"YYYYMMDD"))</f>
        <v/>
      </c>
      <c r="C1773" s="40" t="str">
        <f>IF(Agent09_Savings!A180="","",Agent09_Savings!B180)</f>
        <v/>
      </c>
      <c r="D1773" s="40" t="str">
        <f>IF(Agent09_Savings!A180="","",Agent09_Savings!G180)</f>
        <v/>
      </c>
      <c r="E1773" s="41" t="str">
        <f>IF(Agent09_Savings!A180="","",Agent09_Savings!D180)</f>
        <v/>
      </c>
      <c r="F1773" s="42" t="str">
        <f>IF(Agent09_Savings!A180="","",Agent09_Savings!E180)</f>
        <v/>
      </c>
      <c r="G1773" s="42" t="str">
        <f>IF(Agent09_Savings!A180="","",Agent09_Savings!F180)</f>
        <v/>
      </c>
      <c r="H1773" s="40" t="str">
        <f>IF(Agent09_Savings!A180="","",Agent09_Savings!I180)</f>
        <v/>
      </c>
      <c r="I1773" s="40" t="str">
        <f>IF(Agent09_Savings!A180="","",Agent09_Savings!J180)</f>
        <v/>
      </c>
      <c r="J1773" s="40" t="str">
        <f>IF(Agent09_Savings!A180="","",Agent09_Savings!K180)</f>
        <v/>
      </c>
      <c r="K1773" s="40" t="str">
        <f>IFERROR(IF(Agent09_Savings!A180="","",YEAR(Agent09_Savings!D180)),"")</f>
        <v/>
      </c>
    </row>
    <row r="1774" spans="1:11" ht="18" customHeight="1" x14ac:dyDescent="0.25">
      <c r="A1774" s="40" t="str">
        <f>IF(Agent09_Savings!A181="","",Agent09_Savings!A181)</f>
        <v/>
      </c>
      <c r="B1774" s="40" t="str">
        <f ca="1">IF(Agent09_Savings!A181="","","SV"&amp;TEXT(1774-3,"0000")&amp;"-"&amp;TEXT(TODAY(),"YYYYMMDD"))</f>
        <v/>
      </c>
      <c r="C1774" s="40" t="str">
        <f>IF(Agent09_Savings!A181="","",Agent09_Savings!B181)</f>
        <v/>
      </c>
      <c r="D1774" s="40" t="str">
        <f>IF(Agent09_Savings!A181="","",Agent09_Savings!G181)</f>
        <v/>
      </c>
      <c r="E1774" s="41" t="str">
        <f>IF(Agent09_Savings!A181="","",Agent09_Savings!D181)</f>
        <v/>
      </c>
      <c r="F1774" s="42" t="str">
        <f>IF(Agent09_Savings!A181="","",Agent09_Savings!E181)</f>
        <v/>
      </c>
      <c r="G1774" s="42" t="str">
        <f>IF(Agent09_Savings!A181="","",Agent09_Savings!F181)</f>
        <v/>
      </c>
      <c r="H1774" s="40" t="str">
        <f>IF(Agent09_Savings!A181="","",Agent09_Savings!I181)</f>
        <v/>
      </c>
      <c r="I1774" s="40" t="str">
        <f>IF(Agent09_Savings!A181="","",Agent09_Savings!J181)</f>
        <v/>
      </c>
      <c r="J1774" s="40" t="str">
        <f>IF(Agent09_Savings!A181="","",Agent09_Savings!K181)</f>
        <v/>
      </c>
      <c r="K1774" s="40" t="str">
        <f>IFERROR(IF(Agent09_Savings!A181="","",YEAR(Agent09_Savings!D181)),"")</f>
        <v/>
      </c>
    </row>
    <row r="1775" spans="1:11" ht="18" customHeight="1" x14ac:dyDescent="0.25">
      <c r="A1775" s="40" t="str">
        <f>IF(Agent09_Savings!A182="","",Agent09_Savings!A182)</f>
        <v/>
      </c>
      <c r="B1775" s="40" t="str">
        <f ca="1">IF(Agent09_Savings!A182="","","SV"&amp;TEXT(1775-3,"0000")&amp;"-"&amp;TEXT(TODAY(),"YYYYMMDD"))</f>
        <v/>
      </c>
      <c r="C1775" s="40" t="str">
        <f>IF(Agent09_Savings!A182="","",Agent09_Savings!B182)</f>
        <v/>
      </c>
      <c r="D1775" s="40" t="str">
        <f>IF(Agent09_Savings!A182="","",Agent09_Savings!G182)</f>
        <v/>
      </c>
      <c r="E1775" s="41" t="str">
        <f>IF(Agent09_Savings!A182="","",Agent09_Savings!D182)</f>
        <v/>
      </c>
      <c r="F1775" s="42" t="str">
        <f>IF(Agent09_Savings!A182="","",Agent09_Savings!E182)</f>
        <v/>
      </c>
      <c r="G1775" s="42" t="str">
        <f>IF(Agent09_Savings!A182="","",Agent09_Savings!F182)</f>
        <v/>
      </c>
      <c r="H1775" s="40" t="str">
        <f>IF(Agent09_Savings!A182="","",Agent09_Savings!I182)</f>
        <v/>
      </c>
      <c r="I1775" s="40" t="str">
        <f>IF(Agent09_Savings!A182="","",Agent09_Savings!J182)</f>
        <v/>
      </c>
      <c r="J1775" s="40" t="str">
        <f>IF(Agent09_Savings!A182="","",Agent09_Savings!K182)</f>
        <v/>
      </c>
      <c r="K1775" s="40" t="str">
        <f>IFERROR(IF(Agent09_Savings!A182="","",YEAR(Agent09_Savings!D182)),"")</f>
        <v/>
      </c>
    </row>
    <row r="1776" spans="1:11" ht="18" customHeight="1" x14ac:dyDescent="0.25">
      <c r="A1776" s="40" t="str">
        <f>IF(Agent09_Savings!A183="","",Agent09_Savings!A183)</f>
        <v/>
      </c>
      <c r="B1776" s="40" t="str">
        <f ca="1">IF(Agent09_Savings!A183="","","SV"&amp;TEXT(1776-3,"0000")&amp;"-"&amp;TEXT(TODAY(),"YYYYMMDD"))</f>
        <v/>
      </c>
      <c r="C1776" s="40" t="str">
        <f>IF(Agent09_Savings!A183="","",Agent09_Savings!B183)</f>
        <v/>
      </c>
      <c r="D1776" s="40" t="str">
        <f>IF(Agent09_Savings!A183="","",Agent09_Savings!G183)</f>
        <v/>
      </c>
      <c r="E1776" s="41" t="str">
        <f>IF(Agent09_Savings!A183="","",Agent09_Savings!D183)</f>
        <v/>
      </c>
      <c r="F1776" s="42" t="str">
        <f>IF(Agent09_Savings!A183="","",Agent09_Savings!E183)</f>
        <v/>
      </c>
      <c r="G1776" s="42" t="str">
        <f>IF(Agent09_Savings!A183="","",Agent09_Savings!F183)</f>
        <v/>
      </c>
      <c r="H1776" s="40" t="str">
        <f>IF(Agent09_Savings!A183="","",Agent09_Savings!I183)</f>
        <v/>
      </c>
      <c r="I1776" s="40" t="str">
        <f>IF(Agent09_Savings!A183="","",Agent09_Savings!J183)</f>
        <v/>
      </c>
      <c r="J1776" s="40" t="str">
        <f>IF(Agent09_Savings!A183="","",Agent09_Savings!K183)</f>
        <v/>
      </c>
      <c r="K1776" s="40" t="str">
        <f>IFERROR(IF(Agent09_Savings!A183="","",YEAR(Agent09_Savings!D183)),"")</f>
        <v/>
      </c>
    </row>
    <row r="1777" spans="1:11" ht="18" customHeight="1" x14ac:dyDescent="0.25">
      <c r="A1777" s="40" t="str">
        <f>IF(Agent09_Savings!A184="","",Agent09_Savings!A184)</f>
        <v/>
      </c>
      <c r="B1777" s="40" t="str">
        <f ca="1">IF(Agent09_Savings!A184="","","SV"&amp;TEXT(1777-3,"0000")&amp;"-"&amp;TEXT(TODAY(),"YYYYMMDD"))</f>
        <v/>
      </c>
      <c r="C1777" s="40" t="str">
        <f>IF(Agent09_Savings!A184="","",Agent09_Savings!B184)</f>
        <v/>
      </c>
      <c r="D1777" s="40" t="str">
        <f>IF(Agent09_Savings!A184="","",Agent09_Savings!G184)</f>
        <v/>
      </c>
      <c r="E1777" s="41" t="str">
        <f>IF(Agent09_Savings!A184="","",Agent09_Savings!D184)</f>
        <v/>
      </c>
      <c r="F1777" s="42" t="str">
        <f>IF(Agent09_Savings!A184="","",Agent09_Savings!E184)</f>
        <v/>
      </c>
      <c r="G1777" s="42" t="str">
        <f>IF(Agent09_Savings!A184="","",Agent09_Savings!F184)</f>
        <v/>
      </c>
      <c r="H1777" s="40" t="str">
        <f>IF(Agent09_Savings!A184="","",Agent09_Savings!I184)</f>
        <v/>
      </c>
      <c r="I1777" s="40" t="str">
        <f>IF(Agent09_Savings!A184="","",Agent09_Savings!J184)</f>
        <v/>
      </c>
      <c r="J1777" s="40" t="str">
        <f>IF(Agent09_Savings!A184="","",Agent09_Savings!K184)</f>
        <v/>
      </c>
      <c r="K1777" s="40" t="str">
        <f>IFERROR(IF(Agent09_Savings!A184="","",YEAR(Agent09_Savings!D184)),"")</f>
        <v/>
      </c>
    </row>
    <row r="1778" spans="1:11" ht="18" customHeight="1" x14ac:dyDescent="0.25">
      <c r="A1778" s="40" t="str">
        <f>IF(Agent09_Savings!A185="","",Agent09_Savings!A185)</f>
        <v/>
      </c>
      <c r="B1778" s="40" t="str">
        <f ca="1">IF(Agent09_Savings!A185="","","SV"&amp;TEXT(1778-3,"0000")&amp;"-"&amp;TEXT(TODAY(),"YYYYMMDD"))</f>
        <v/>
      </c>
      <c r="C1778" s="40" t="str">
        <f>IF(Agent09_Savings!A185="","",Agent09_Savings!B185)</f>
        <v/>
      </c>
      <c r="D1778" s="40" t="str">
        <f>IF(Agent09_Savings!A185="","",Agent09_Savings!G185)</f>
        <v/>
      </c>
      <c r="E1778" s="41" t="str">
        <f>IF(Agent09_Savings!A185="","",Agent09_Savings!D185)</f>
        <v/>
      </c>
      <c r="F1778" s="42" t="str">
        <f>IF(Agent09_Savings!A185="","",Agent09_Savings!E185)</f>
        <v/>
      </c>
      <c r="G1778" s="42" t="str">
        <f>IF(Agent09_Savings!A185="","",Agent09_Savings!F185)</f>
        <v/>
      </c>
      <c r="H1778" s="40" t="str">
        <f>IF(Agent09_Savings!A185="","",Agent09_Savings!I185)</f>
        <v/>
      </c>
      <c r="I1778" s="40" t="str">
        <f>IF(Agent09_Savings!A185="","",Agent09_Savings!J185)</f>
        <v/>
      </c>
      <c r="J1778" s="40" t="str">
        <f>IF(Agent09_Savings!A185="","",Agent09_Savings!K185)</f>
        <v/>
      </c>
      <c r="K1778" s="40" t="str">
        <f>IFERROR(IF(Agent09_Savings!A185="","",YEAR(Agent09_Savings!D185)),"")</f>
        <v/>
      </c>
    </row>
    <row r="1779" spans="1:11" ht="18" customHeight="1" x14ac:dyDescent="0.25">
      <c r="A1779" s="40" t="str">
        <f>IF(Agent09_Savings!A186="","",Agent09_Savings!A186)</f>
        <v/>
      </c>
      <c r="B1779" s="40" t="str">
        <f ca="1">IF(Agent09_Savings!A186="","","SV"&amp;TEXT(1779-3,"0000")&amp;"-"&amp;TEXT(TODAY(),"YYYYMMDD"))</f>
        <v/>
      </c>
      <c r="C1779" s="40" t="str">
        <f>IF(Agent09_Savings!A186="","",Agent09_Savings!B186)</f>
        <v/>
      </c>
      <c r="D1779" s="40" t="str">
        <f>IF(Agent09_Savings!A186="","",Agent09_Savings!G186)</f>
        <v/>
      </c>
      <c r="E1779" s="41" t="str">
        <f>IF(Agent09_Savings!A186="","",Agent09_Savings!D186)</f>
        <v/>
      </c>
      <c r="F1779" s="42" t="str">
        <f>IF(Agent09_Savings!A186="","",Agent09_Savings!E186)</f>
        <v/>
      </c>
      <c r="G1779" s="42" t="str">
        <f>IF(Agent09_Savings!A186="","",Agent09_Savings!F186)</f>
        <v/>
      </c>
      <c r="H1779" s="40" t="str">
        <f>IF(Agent09_Savings!A186="","",Agent09_Savings!I186)</f>
        <v/>
      </c>
      <c r="I1779" s="40" t="str">
        <f>IF(Agent09_Savings!A186="","",Agent09_Savings!J186)</f>
        <v/>
      </c>
      <c r="J1779" s="40" t="str">
        <f>IF(Agent09_Savings!A186="","",Agent09_Savings!K186)</f>
        <v/>
      </c>
      <c r="K1779" s="40" t="str">
        <f>IFERROR(IF(Agent09_Savings!A186="","",YEAR(Agent09_Savings!D186)),"")</f>
        <v/>
      </c>
    </row>
    <row r="1780" spans="1:11" ht="18" customHeight="1" x14ac:dyDescent="0.25">
      <c r="A1780" s="40" t="str">
        <f>IF(Agent09_Savings!A187="","",Agent09_Savings!A187)</f>
        <v/>
      </c>
      <c r="B1780" s="40" t="str">
        <f ca="1">IF(Agent09_Savings!A187="","","SV"&amp;TEXT(1780-3,"0000")&amp;"-"&amp;TEXT(TODAY(),"YYYYMMDD"))</f>
        <v/>
      </c>
      <c r="C1780" s="40" t="str">
        <f>IF(Agent09_Savings!A187="","",Agent09_Savings!B187)</f>
        <v/>
      </c>
      <c r="D1780" s="40" t="str">
        <f>IF(Agent09_Savings!A187="","",Agent09_Savings!G187)</f>
        <v/>
      </c>
      <c r="E1780" s="41" t="str">
        <f>IF(Agent09_Savings!A187="","",Agent09_Savings!D187)</f>
        <v/>
      </c>
      <c r="F1780" s="42" t="str">
        <f>IF(Agent09_Savings!A187="","",Agent09_Savings!E187)</f>
        <v/>
      </c>
      <c r="G1780" s="42" t="str">
        <f>IF(Agent09_Savings!A187="","",Agent09_Savings!F187)</f>
        <v/>
      </c>
      <c r="H1780" s="40" t="str">
        <f>IF(Agent09_Savings!A187="","",Agent09_Savings!I187)</f>
        <v/>
      </c>
      <c r="I1780" s="40" t="str">
        <f>IF(Agent09_Savings!A187="","",Agent09_Savings!J187)</f>
        <v/>
      </c>
      <c r="J1780" s="40" t="str">
        <f>IF(Agent09_Savings!A187="","",Agent09_Savings!K187)</f>
        <v/>
      </c>
      <c r="K1780" s="40" t="str">
        <f>IFERROR(IF(Agent09_Savings!A187="","",YEAR(Agent09_Savings!D187)),"")</f>
        <v/>
      </c>
    </row>
    <row r="1781" spans="1:11" ht="18" customHeight="1" x14ac:dyDescent="0.25">
      <c r="A1781" s="40" t="str">
        <f>IF(Agent09_Savings!A188="","",Agent09_Savings!A188)</f>
        <v/>
      </c>
      <c r="B1781" s="40" t="str">
        <f ca="1">IF(Agent09_Savings!A188="","","SV"&amp;TEXT(1781-3,"0000")&amp;"-"&amp;TEXT(TODAY(),"YYYYMMDD"))</f>
        <v/>
      </c>
      <c r="C1781" s="40" t="str">
        <f>IF(Agent09_Savings!A188="","",Agent09_Savings!B188)</f>
        <v/>
      </c>
      <c r="D1781" s="40" t="str">
        <f>IF(Agent09_Savings!A188="","",Agent09_Savings!G188)</f>
        <v/>
      </c>
      <c r="E1781" s="41" t="str">
        <f>IF(Agent09_Savings!A188="","",Agent09_Savings!D188)</f>
        <v/>
      </c>
      <c r="F1781" s="42" t="str">
        <f>IF(Agent09_Savings!A188="","",Agent09_Savings!E188)</f>
        <v/>
      </c>
      <c r="G1781" s="42" t="str">
        <f>IF(Agent09_Savings!A188="","",Agent09_Savings!F188)</f>
        <v/>
      </c>
      <c r="H1781" s="40" t="str">
        <f>IF(Agent09_Savings!A188="","",Agent09_Savings!I188)</f>
        <v/>
      </c>
      <c r="I1781" s="40" t="str">
        <f>IF(Agent09_Savings!A188="","",Agent09_Savings!J188)</f>
        <v/>
      </c>
      <c r="J1781" s="40" t="str">
        <f>IF(Agent09_Savings!A188="","",Agent09_Savings!K188)</f>
        <v/>
      </c>
      <c r="K1781" s="40" t="str">
        <f>IFERROR(IF(Agent09_Savings!A188="","",YEAR(Agent09_Savings!D188)),"")</f>
        <v/>
      </c>
    </row>
    <row r="1782" spans="1:11" ht="18" customHeight="1" x14ac:dyDescent="0.25">
      <c r="A1782" s="40" t="str">
        <f>IF(Agent09_Savings!A189="","",Agent09_Savings!A189)</f>
        <v/>
      </c>
      <c r="B1782" s="40" t="str">
        <f ca="1">IF(Agent09_Savings!A189="","","SV"&amp;TEXT(1782-3,"0000")&amp;"-"&amp;TEXT(TODAY(),"YYYYMMDD"))</f>
        <v/>
      </c>
      <c r="C1782" s="40" t="str">
        <f>IF(Agent09_Savings!A189="","",Agent09_Savings!B189)</f>
        <v/>
      </c>
      <c r="D1782" s="40" t="str">
        <f>IF(Agent09_Savings!A189="","",Agent09_Savings!G189)</f>
        <v/>
      </c>
      <c r="E1782" s="41" t="str">
        <f>IF(Agent09_Savings!A189="","",Agent09_Savings!D189)</f>
        <v/>
      </c>
      <c r="F1782" s="42" t="str">
        <f>IF(Agent09_Savings!A189="","",Agent09_Savings!E189)</f>
        <v/>
      </c>
      <c r="G1782" s="42" t="str">
        <f>IF(Agent09_Savings!A189="","",Agent09_Savings!F189)</f>
        <v/>
      </c>
      <c r="H1782" s="40" t="str">
        <f>IF(Agent09_Savings!A189="","",Agent09_Savings!I189)</f>
        <v/>
      </c>
      <c r="I1782" s="40" t="str">
        <f>IF(Agent09_Savings!A189="","",Agent09_Savings!J189)</f>
        <v/>
      </c>
      <c r="J1782" s="40" t="str">
        <f>IF(Agent09_Savings!A189="","",Agent09_Savings!K189)</f>
        <v/>
      </c>
      <c r="K1782" s="40" t="str">
        <f>IFERROR(IF(Agent09_Savings!A189="","",YEAR(Agent09_Savings!D189)),"")</f>
        <v/>
      </c>
    </row>
    <row r="1783" spans="1:11" ht="18" customHeight="1" x14ac:dyDescent="0.25">
      <c r="A1783" s="40" t="str">
        <f>IF(Agent09_Savings!A190="","",Agent09_Savings!A190)</f>
        <v/>
      </c>
      <c r="B1783" s="40" t="str">
        <f ca="1">IF(Agent09_Savings!A190="","","SV"&amp;TEXT(1783-3,"0000")&amp;"-"&amp;TEXT(TODAY(),"YYYYMMDD"))</f>
        <v/>
      </c>
      <c r="C1783" s="40" t="str">
        <f>IF(Agent09_Savings!A190="","",Agent09_Savings!B190)</f>
        <v/>
      </c>
      <c r="D1783" s="40" t="str">
        <f>IF(Agent09_Savings!A190="","",Agent09_Savings!G190)</f>
        <v/>
      </c>
      <c r="E1783" s="41" t="str">
        <f>IF(Agent09_Savings!A190="","",Agent09_Savings!D190)</f>
        <v/>
      </c>
      <c r="F1783" s="42" t="str">
        <f>IF(Agent09_Savings!A190="","",Agent09_Savings!E190)</f>
        <v/>
      </c>
      <c r="G1783" s="42" t="str">
        <f>IF(Agent09_Savings!A190="","",Agent09_Savings!F190)</f>
        <v/>
      </c>
      <c r="H1783" s="40" t="str">
        <f>IF(Agent09_Savings!A190="","",Agent09_Savings!I190)</f>
        <v/>
      </c>
      <c r="I1783" s="40" t="str">
        <f>IF(Agent09_Savings!A190="","",Agent09_Savings!J190)</f>
        <v/>
      </c>
      <c r="J1783" s="40" t="str">
        <f>IF(Agent09_Savings!A190="","",Agent09_Savings!K190)</f>
        <v/>
      </c>
      <c r="K1783" s="40" t="str">
        <f>IFERROR(IF(Agent09_Savings!A190="","",YEAR(Agent09_Savings!D190)),"")</f>
        <v/>
      </c>
    </row>
    <row r="1784" spans="1:11" ht="18" customHeight="1" x14ac:dyDescent="0.25">
      <c r="A1784" s="40" t="str">
        <f>IF(Agent09_Savings!A191="","",Agent09_Savings!A191)</f>
        <v/>
      </c>
      <c r="B1784" s="40" t="str">
        <f ca="1">IF(Agent09_Savings!A191="","","SV"&amp;TEXT(1784-3,"0000")&amp;"-"&amp;TEXT(TODAY(),"YYYYMMDD"))</f>
        <v/>
      </c>
      <c r="C1784" s="40" t="str">
        <f>IF(Agent09_Savings!A191="","",Agent09_Savings!B191)</f>
        <v/>
      </c>
      <c r="D1784" s="40" t="str">
        <f>IF(Agent09_Savings!A191="","",Agent09_Savings!G191)</f>
        <v/>
      </c>
      <c r="E1784" s="41" t="str">
        <f>IF(Agent09_Savings!A191="","",Agent09_Savings!D191)</f>
        <v/>
      </c>
      <c r="F1784" s="42" t="str">
        <f>IF(Agent09_Savings!A191="","",Agent09_Savings!E191)</f>
        <v/>
      </c>
      <c r="G1784" s="42" t="str">
        <f>IF(Agent09_Savings!A191="","",Agent09_Savings!F191)</f>
        <v/>
      </c>
      <c r="H1784" s="40" t="str">
        <f>IF(Agent09_Savings!A191="","",Agent09_Savings!I191)</f>
        <v/>
      </c>
      <c r="I1784" s="40" t="str">
        <f>IF(Agent09_Savings!A191="","",Agent09_Savings!J191)</f>
        <v/>
      </c>
      <c r="J1784" s="40" t="str">
        <f>IF(Agent09_Savings!A191="","",Agent09_Savings!K191)</f>
        <v/>
      </c>
      <c r="K1784" s="40" t="str">
        <f>IFERROR(IF(Agent09_Savings!A191="","",YEAR(Agent09_Savings!D191)),"")</f>
        <v/>
      </c>
    </row>
    <row r="1785" spans="1:11" ht="18" customHeight="1" x14ac:dyDescent="0.25">
      <c r="A1785" s="40" t="str">
        <f>IF(Agent09_Savings!A192="","",Agent09_Savings!A192)</f>
        <v/>
      </c>
      <c r="B1785" s="40" t="str">
        <f ca="1">IF(Agent09_Savings!A192="","","SV"&amp;TEXT(1785-3,"0000")&amp;"-"&amp;TEXT(TODAY(),"YYYYMMDD"))</f>
        <v/>
      </c>
      <c r="C1785" s="40" t="str">
        <f>IF(Agent09_Savings!A192="","",Agent09_Savings!B192)</f>
        <v/>
      </c>
      <c r="D1785" s="40" t="str">
        <f>IF(Agent09_Savings!A192="","",Agent09_Savings!G192)</f>
        <v/>
      </c>
      <c r="E1785" s="41" t="str">
        <f>IF(Agent09_Savings!A192="","",Agent09_Savings!D192)</f>
        <v/>
      </c>
      <c r="F1785" s="42" t="str">
        <f>IF(Agent09_Savings!A192="","",Agent09_Savings!E192)</f>
        <v/>
      </c>
      <c r="G1785" s="42" t="str">
        <f>IF(Agent09_Savings!A192="","",Agent09_Savings!F192)</f>
        <v/>
      </c>
      <c r="H1785" s="40" t="str">
        <f>IF(Agent09_Savings!A192="","",Agent09_Savings!I192)</f>
        <v/>
      </c>
      <c r="I1785" s="40" t="str">
        <f>IF(Agent09_Savings!A192="","",Agent09_Savings!J192)</f>
        <v/>
      </c>
      <c r="J1785" s="40" t="str">
        <f>IF(Agent09_Savings!A192="","",Agent09_Savings!K192)</f>
        <v/>
      </c>
      <c r="K1785" s="40" t="str">
        <f>IFERROR(IF(Agent09_Savings!A192="","",YEAR(Agent09_Savings!D192)),"")</f>
        <v/>
      </c>
    </row>
    <row r="1786" spans="1:11" ht="18" customHeight="1" x14ac:dyDescent="0.25">
      <c r="A1786" s="40" t="str">
        <f>IF(Agent09_Savings!A193="","",Agent09_Savings!A193)</f>
        <v/>
      </c>
      <c r="B1786" s="40" t="str">
        <f ca="1">IF(Agent09_Savings!A193="","","SV"&amp;TEXT(1786-3,"0000")&amp;"-"&amp;TEXT(TODAY(),"YYYYMMDD"))</f>
        <v/>
      </c>
      <c r="C1786" s="40" t="str">
        <f>IF(Agent09_Savings!A193="","",Agent09_Savings!B193)</f>
        <v/>
      </c>
      <c r="D1786" s="40" t="str">
        <f>IF(Agent09_Savings!A193="","",Agent09_Savings!G193)</f>
        <v/>
      </c>
      <c r="E1786" s="41" t="str">
        <f>IF(Agent09_Savings!A193="","",Agent09_Savings!D193)</f>
        <v/>
      </c>
      <c r="F1786" s="42" t="str">
        <f>IF(Agent09_Savings!A193="","",Agent09_Savings!E193)</f>
        <v/>
      </c>
      <c r="G1786" s="42" t="str">
        <f>IF(Agent09_Savings!A193="","",Agent09_Savings!F193)</f>
        <v/>
      </c>
      <c r="H1786" s="40" t="str">
        <f>IF(Agent09_Savings!A193="","",Agent09_Savings!I193)</f>
        <v/>
      </c>
      <c r="I1786" s="40" t="str">
        <f>IF(Agent09_Savings!A193="","",Agent09_Savings!J193)</f>
        <v/>
      </c>
      <c r="J1786" s="40" t="str">
        <f>IF(Agent09_Savings!A193="","",Agent09_Savings!K193)</f>
        <v/>
      </c>
      <c r="K1786" s="40" t="str">
        <f>IFERROR(IF(Agent09_Savings!A193="","",YEAR(Agent09_Savings!D193)),"")</f>
        <v/>
      </c>
    </row>
    <row r="1787" spans="1:11" ht="18" customHeight="1" x14ac:dyDescent="0.25">
      <c r="A1787" s="40" t="str">
        <f>IF(Agent09_Savings!A194="","",Agent09_Savings!A194)</f>
        <v/>
      </c>
      <c r="B1787" s="40" t="str">
        <f ca="1">IF(Agent09_Savings!A194="","","SV"&amp;TEXT(1787-3,"0000")&amp;"-"&amp;TEXT(TODAY(),"YYYYMMDD"))</f>
        <v/>
      </c>
      <c r="C1787" s="40" t="str">
        <f>IF(Agent09_Savings!A194="","",Agent09_Savings!B194)</f>
        <v/>
      </c>
      <c r="D1787" s="40" t="str">
        <f>IF(Agent09_Savings!A194="","",Agent09_Savings!G194)</f>
        <v/>
      </c>
      <c r="E1787" s="41" t="str">
        <f>IF(Agent09_Savings!A194="","",Agent09_Savings!D194)</f>
        <v/>
      </c>
      <c r="F1787" s="42" t="str">
        <f>IF(Agent09_Savings!A194="","",Agent09_Savings!E194)</f>
        <v/>
      </c>
      <c r="G1787" s="42" t="str">
        <f>IF(Agent09_Savings!A194="","",Agent09_Savings!F194)</f>
        <v/>
      </c>
      <c r="H1787" s="40" t="str">
        <f>IF(Agent09_Savings!A194="","",Agent09_Savings!I194)</f>
        <v/>
      </c>
      <c r="I1787" s="40" t="str">
        <f>IF(Agent09_Savings!A194="","",Agent09_Savings!J194)</f>
        <v/>
      </c>
      <c r="J1787" s="40" t="str">
        <f>IF(Agent09_Savings!A194="","",Agent09_Savings!K194)</f>
        <v/>
      </c>
      <c r="K1787" s="40" t="str">
        <f>IFERROR(IF(Agent09_Savings!A194="","",YEAR(Agent09_Savings!D194)),"")</f>
        <v/>
      </c>
    </row>
    <row r="1788" spans="1:11" ht="18" customHeight="1" x14ac:dyDescent="0.25">
      <c r="A1788" s="40" t="str">
        <f>IF(Agent09_Savings!A195="","",Agent09_Savings!A195)</f>
        <v/>
      </c>
      <c r="B1788" s="40" t="str">
        <f ca="1">IF(Agent09_Savings!A195="","","SV"&amp;TEXT(1788-3,"0000")&amp;"-"&amp;TEXT(TODAY(),"YYYYMMDD"))</f>
        <v/>
      </c>
      <c r="C1788" s="40" t="str">
        <f>IF(Agent09_Savings!A195="","",Agent09_Savings!B195)</f>
        <v/>
      </c>
      <c r="D1788" s="40" t="str">
        <f>IF(Agent09_Savings!A195="","",Agent09_Savings!G195)</f>
        <v/>
      </c>
      <c r="E1788" s="41" t="str">
        <f>IF(Agent09_Savings!A195="","",Agent09_Savings!D195)</f>
        <v/>
      </c>
      <c r="F1788" s="42" t="str">
        <f>IF(Agent09_Savings!A195="","",Agent09_Savings!E195)</f>
        <v/>
      </c>
      <c r="G1788" s="42" t="str">
        <f>IF(Agent09_Savings!A195="","",Agent09_Savings!F195)</f>
        <v/>
      </c>
      <c r="H1788" s="40" t="str">
        <f>IF(Agent09_Savings!A195="","",Agent09_Savings!I195)</f>
        <v/>
      </c>
      <c r="I1788" s="40" t="str">
        <f>IF(Agent09_Savings!A195="","",Agent09_Savings!J195)</f>
        <v/>
      </c>
      <c r="J1788" s="40" t="str">
        <f>IF(Agent09_Savings!A195="","",Agent09_Savings!K195)</f>
        <v/>
      </c>
      <c r="K1788" s="40" t="str">
        <f>IFERROR(IF(Agent09_Savings!A195="","",YEAR(Agent09_Savings!D195)),"")</f>
        <v/>
      </c>
    </row>
    <row r="1789" spans="1:11" ht="18" customHeight="1" x14ac:dyDescent="0.25">
      <c r="A1789" s="40" t="str">
        <f>IF(Agent09_Savings!A196="","",Agent09_Savings!A196)</f>
        <v/>
      </c>
      <c r="B1789" s="40" t="str">
        <f ca="1">IF(Agent09_Savings!A196="","","SV"&amp;TEXT(1789-3,"0000")&amp;"-"&amp;TEXT(TODAY(),"YYYYMMDD"))</f>
        <v/>
      </c>
      <c r="C1789" s="40" t="str">
        <f>IF(Agent09_Savings!A196="","",Agent09_Savings!B196)</f>
        <v/>
      </c>
      <c r="D1789" s="40" t="str">
        <f>IF(Agent09_Savings!A196="","",Agent09_Savings!G196)</f>
        <v/>
      </c>
      <c r="E1789" s="41" t="str">
        <f>IF(Agent09_Savings!A196="","",Agent09_Savings!D196)</f>
        <v/>
      </c>
      <c r="F1789" s="42" t="str">
        <f>IF(Agent09_Savings!A196="","",Agent09_Savings!E196)</f>
        <v/>
      </c>
      <c r="G1789" s="42" t="str">
        <f>IF(Agent09_Savings!A196="","",Agent09_Savings!F196)</f>
        <v/>
      </c>
      <c r="H1789" s="40" t="str">
        <f>IF(Agent09_Savings!A196="","",Agent09_Savings!I196)</f>
        <v/>
      </c>
      <c r="I1789" s="40" t="str">
        <f>IF(Agent09_Savings!A196="","",Agent09_Savings!J196)</f>
        <v/>
      </c>
      <c r="J1789" s="40" t="str">
        <f>IF(Agent09_Savings!A196="","",Agent09_Savings!K196)</f>
        <v/>
      </c>
      <c r="K1789" s="40" t="str">
        <f>IFERROR(IF(Agent09_Savings!A196="","",YEAR(Agent09_Savings!D196)),"")</f>
        <v/>
      </c>
    </row>
    <row r="1790" spans="1:11" ht="18" customHeight="1" x14ac:dyDescent="0.25">
      <c r="A1790" s="40" t="str">
        <f>IF(Agent09_Savings!A197="","",Agent09_Savings!A197)</f>
        <v/>
      </c>
      <c r="B1790" s="40" t="str">
        <f ca="1">IF(Agent09_Savings!A197="","","SV"&amp;TEXT(1790-3,"0000")&amp;"-"&amp;TEXT(TODAY(),"YYYYMMDD"))</f>
        <v/>
      </c>
      <c r="C1790" s="40" t="str">
        <f>IF(Agent09_Savings!A197="","",Agent09_Savings!B197)</f>
        <v/>
      </c>
      <c r="D1790" s="40" t="str">
        <f>IF(Agent09_Savings!A197="","",Agent09_Savings!G197)</f>
        <v/>
      </c>
      <c r="E1790" s="41" t="str">
        <f>IF(Agent09_Savings!A197="","",Agent09_Savings!D197)</f>
        <v/>
      </c>
      <c r="F1790" s="42" t="str">
        <f>IF(Agent09_Savings!A197="","",Agent09_Savings!E197)</f>
        <v/>
      </c>
      <c r="G1790" s="42" t="str">
        <f>IF(Agent09_Savings!A197="","",Agent09_Savings!F197)</f>
        <v/>
      </c>
      <c r="H1790" s="40" t="str">
        <f>IF(Agent09_Savings!A197="","",Agent09_Savings!I197)</f>
        <v/>
      </c>
      <c r="I1790" s="40" t="str">
        <f>IF(Agent09_Savings!A197="","",Agent09_Savings!J197)</f>
        <v/>
      </c>
      <c r="J1790" s="40" t="str">
        <f>IF(Agent09_Savings!A197="","",Agent09_Savings!K197)</f>
        <v/>
      </c>
      <c r="K1790" s="40" t="str">
        <f>IFERROR(IF(Agent09_Savings!A197="","",YEAR(Agent09_Savings!D197)),"")</f>
        <v/>
      </c>
    </row>
    <row r="1791" spans="1:11" ht="18" customHeight="1" x14ac:dyDescent="0.25">
      <c r="A1791" s="40" t="str">
        <f>IF(Agent09_Savings!A198="","",Agent09_Savings!A198)</f>
        <v/>
      </c>
      <c r="B1791" s="40" t="str">
        <f ca="1">IF(Agent09_Savings!A198="","","SV"&amp;TEXT(1791-3,"0000")&amp;"-"&amp;TEXT(TODAY(),"YYYYMMDD"))</f>
        <v/>
      </c>
      <c r="C1791" s="40" t="str">
        <f>IF(Agent09_Savings!A198="","",Agent09_Savings!B198)</f>
        <v/>
      </c>
      <c r="D1791" s="40" t="str">
        <f>IF(Agent09_Savings!A198="","",Agent09_Savings!G198)</f>
        <v/>
      </c>
      <c r="E1791" s="41" t="str">
        <f>IF(Agent09_Savings!A198="","",Agent09_Savings!D198)</f>
        <v/>
      </c>
      <c r="F1791" s="42" t="str">
        <f>IF(Agent09_Savings!A198="","",Agent09_Savings!E198)</f>
        <v/>
      </c>
      <c r="G1791" s="42" t="str">
        <f>IF(Agent09_Savings!A198="","",Agent09_Savings!F198)</f>
        <v/>
      </c>
      <c r="H1791" s="40" t="str">
        <f>IF(Agent09_Savings!A198="","",Agent09_Savings!I198)</f>
        <v/>
      </c>
      <c r="I1791" s="40" t="str">
        <f>IF(Agent09_Savings!A198="","",Agent09_Savings!J198)</f>
        <v/>
      </c>
      <c r="J1791" s="40" t="str">
        <f>IF(Agent09_Savings!A198="","",Agent09_Savings!K198)</f>
        <v/>
      </c>
      <c r="K1791" s="40" t="str">
        <f>IFERROR(IF(Agent09_Savings!A198="","",YEAR(Agent09_Savings!D198)),"")</f>
        <v/>
      </c>
    </row>
    <row r="1792" spans="1:11" ht="18" customHeight="1" x14ac:dyDescent="0.25">
      <c r="A1792" s="40" t="str">
        <f>IF(Agent09_Savings!A199="","",Agent09_Savings!A199)</f>
        <v/>
      </c>
      <c r="B1792" s="40" t="str">
        <f ca="1">IF(Agent09_Savings!A199="","","SV"&amp;TEXT(1792-3,"0000")&amp;"-"&amp;TEXT(TODAY(),"YYYYMMDD"))</f>
        <v/>
      </c>
      <c r="C1792" s="40" t="str">
        <f>IF(Agent09_Savings!A199="","",Agent09_Savings!B199)</f>
        <v/>
      </c>
      <c r="D1792" s="40" t="str">
        <f>IF(Agent09_Savings!A199="","",Agent09_Savings!G199)</f>
        <v/>
      </c>
      <c r="E1792" s="41" t="str">
        <f>IF(Agent09_Savings!A199="","",Agent09_Savings!D199)</f>
        <v/>
      </c>
      <c r="F1792" s="42" t="str">
        <f>IF(Agent09_Savings!A199="","",Agent09_Savings!E199)</f>
        <v/>
      </c>
      <c r="G1792" s="42" t="str">
        <f>IF(Agent09_Savings!A199="","",Agent09_Savings!F199)</f>
        <v/>
      </c>
      <c r="H1792" s="40" t="str">
        <f>IF(Agent09_Savings!A199="","",Agent09_Savings!I199)</f>
        <v/>
      </c>
      <c r="I1792" s="40" t="str">
        <f>IF(Agent09_Savings!A199="","",Agent09_Savings!J199)</f>
        <v/>
      </c>
      <c r="J1792" s="40" t="str">
        <f>IF(Agent09_Savings!A199="","",Agent09_Savings!K199)</f>
        <v/>
      </c>
      <c r="K1792" s="40" t="str">
        <f>IFERROR(IF(Agent09_Savings!A199="","",YEAR(Agent09_Savings!D199)),"")</f>
        <v/>
      </c>
    </row>
    <row r="1793" spans="1:11" ht="18" customHeight="1" x14ac:dyDescent="0.25">
      <c r="A1793" s="40" t="str">
        <f>IF(Agent09_Savings!A200="","",Agent09_Savings!A200)</f>
        <v/>
      </c>
      <c r="B1793" s="40" t="str">
        <f ca="1">IF(Agent09_Savings!A200="","","SV"&amp;TEXT(1793-3,"0000")&amp;"-"&amp;TEXT(TODAY(),"YYYYMMDD"))</f>
        <v/>
      </c>
      <c r="C1793" s="40" t="str">
        <f>IF(Agent09_Savings!A200="","",Agent09_Savings!B200)</f>
        <v/>
      </c>
      <c r="D1793" s="40" t="str">
        <f>IF(Agent09_Savings!A200="","",Agent09_Savings!G200)</f>
        <v/>
      </c>
      <c r="E1793" s="41" t="str">
        <f>IF(Agent09_Savings!A200="","",Agent09_Savings!D200)</f>
        <v/>
      </c>
      <c r="F1793" s="42" t="str">
        <f>IF(Agent09_Savings!A200="","",Agent09_Savings!E200)</f>
        <v/>
      </c>
      <c r="G1793" s="42" t="str">
        <f>IF(Agent09_Savings!A200="","",Agent09_Savings!F200)</f>
        <v/>
      </c>
      <c r="H1793" s="40" t="str">
        <f>IF(Agent09_Savings!A200="","",Agent09_Savings!I200)</f>
        <v/>
      </c>
      <c r="I1793" s="40" t="str">
        <f>IF(Agent09_Savings!A200="","",Agent09_Savings!J200)</f>
        <v/>
      </c>
      <c r="J1793" s="40" t="str">
        <f>IF(Agent09_Savings!A200="","",Agent09_Savings!K200)</f>
        <v/>
      </c>
      <c r="K1793" s="40" t="str">
        <f>IFERROR(IF(Agent09_Savings!A200="","",YEAR(Agent09_Savings!D200)),"")</f>
        <v/>
      </c>
    </row>
    <row r="1794" spans="1:11" ht="18" customHeight="1" x14ac:dyDescent="0.25">
      <c r="A1794" s="40" t="str">
        <f>IF(Agent09_Savings!A201="","",Agent09_Savings!A201)</f>
        <v/>
      </c>
      <c r="B1794" s="40" t="str">
        <f ca="1">IF(Agent09_Savings!A201="","","SV"&amp;TEXT(1794-3,"0000")&amp;"-"&amp;TEXT(TODAY(),"YYYYMMDD"))</f>
        <v/>
      </c>
      <c r="C1794" s="40" t="str">
        <f>IF(Agent09_Savings!A201="","",Agent09_Savings!B201)</f>
        <v/>
      </c>
      <c r="D1794" s="40" t="str">
        <f>IF(Agent09_Savings!A201="","",Agent09_Savings!G201)</f>
        <v/>
      </c>
      <c r="E1794" s="41" t="str">
        <f>IF(Agent09_Savings!A201="","",Agent09_Savings!D201)</f>
        <v/>
      </c>
      <c r="F1794" s="42" t="str">
        <f>IF(Agent09_Savings!A201="","",Agent09_Savings!E201)</f>
        <v/>
      </c>
      <c r="G1794" s="42" t="str">
        <f>IF(Agent09_Savings!A201="","",Agent09_Savings!F201)</f>
        <v/>
      </c>
      <c r="H1794" s="40" t="str">
        <f>IF(Agent09_Savings!A201="","",Agent09_Savings!I201)</f>
        <v/>
      </c>
      <c r="I1794" s="40" t="str">
        <f>IF(Agent09_Savings!A201="","",Agent09_Savings!J201)</f>
        <v/>
      </c>
      <c r="J1794" s="40" t="str">
        <f>IF(Agent09_Savings!A201="","",Agent09_Savings!K201)</f>
        <v/>
      </c>
      <c r="K1794" s="40" t="str">
        <f>IFERROR(IF(Agent09_Savings!A201="","",YEAR(Agent09_Savings!D201)),"")</f>
        <v/>
      </c>
    </row>
    <row r="1795" spans="1:11" ht="18" customHeight="1" x14ac:dyDescent="0.25">
      <c r="A1795" s="40" t="str">
        <f>IF(Agent09_Savings!A202="","",Agent09_Savings!A202)</f>
        <v/>
      </c>
      <c r="B1795" s="40" t="str">
        <f ca="1">IF(Agent09_Savings!A202="","","SV"&amp;TEXT(1795-3,"0000")&amp;"-"&amp;TEXT(TODAY(),"YYYYMMDD"))</f>
        <v/>
      </c>
      <c r="C1795" s="40" t="str">
        <f>IF(Agent09_Savings!A202="","",Agent09_Savings!B202)</f>
        <v/>
      </c>
      <c r="D1795" s="40" t="str">
        <f>IF(Agent09_Savings!A202="","",Agent09_Savings!G202)</f>
        <v/>
      </c>
      <c r="E1795" s="41" t="str">
        <f>IF(Agent09_Savings!A202="","",Agent09_Savings!D202)</f>
        <v/>
      </c>
      <c r="F1795" s="42" t="str">
        <f>IF(Agent09_Savings!A202="","",Agent09_Savings!E202)</f>
        <v/>
      </c>
      <c r="G1795" s="42" t="str">
        <f>IF(Agent09_Savings!A202="","",Agent09_Savings!F202)</f>
        <v/>
      </c>
      <c r="H1795" s="40" t="str">
        <f>IF(Agent09_Savings!A202="","",Agent09_Savings!I202)</f>
        <v/>
      </c>
      <c r="I1795" s="40" t="str">
        <f>IF(Agent09_Savings!A202="","",Agent09_Savings!J202)</f>
        <v/>
      </c>
      <c r="J1795" s="40" t="str">
        <f>IF(Agent09_Savings!A202="","",Agent09_Savings!K202)</f>
        <v/>
      </c>
      <c r="K1795" s="40" t="str">
        <f>IFERROR(IF(Agent09_Savings!A202="","",YEAR(Agent09_Savings!D202)),"")</f>
        <v/>
      </c>
    </row>
    <row r="1796" spans="1:11" ht="18" customHeight="1" x14ac:dyDescent="0.25">
      <c r="A1796" s="40" t="str">
        <f>IF(Agent09_Savings!A203="","",Agent09_Savings!A203)</f>
        <v/>
      </c>
      <c r="B1796" s="40" t="str">
        <f ca="1">IF(Agent09_Savings!A203="","","SV"&amp;TEXT(1796-3,"0000")&amp;"-"&amp;TEXT(TODAY(),"YYYYMMDD"))</f>
        <v/>
      </c>
      <c r="C1796" s="40" t="str">
        <f>IF(Agent09_Savings!A203="","",Agent09_Savings!B203)</f>
        <v/>
      </c>
      <c r="D1796" s="40" t="str">
        <f>IF(Agent09_Savings!A203="","",Agent09_Savings!G203)</f>
        <v/>
      </c>
      <c r="E1796" s="41" t="str">
        <f>IF(Agent09_Savings!A203="","",Agent09_Savings!D203)</f>
        <v/>
      </c>
      <c r="F1796" s="42" t="str">
        <f>IF(Agent09_Savings!A203="","",Agent09_Savings!E203)</f>
        <v/>
      </c>
      <c r="G1796" s="42" t="str">
        <f>IF(Agent09_Savings!A203="","",Agent09_Savings!F203)</f>
        <v/>
      </c>
      <c r="H1796" s="40" t="str">
        <f>IF(Agent09_Savings!A203="","",Agent09_Savings!I203)</f>
        <v/>
      </c>
      <c r="I1796" s="40" t="str">
        <f>IF(Agent09_Savings!A203="","",Agent09_Savings!J203)</f>
        <v/>
      </c>
      <c r="J1796" s="40" t="str">
        <f>IF(Agent09_Savings!A203="","",Agent09_Savings!K203)</f>
        <v/>
      </c>
      <c r="K1796" s="40" t="str">
        <f>IFERROR(IF(Agent09_Savings!A203="","",YEAR(Agent09_Savings!D203)),"")</f>
        <v/>
      </c>
    </row>
    <row r="1797" spans="1:11" ht="18" customHeight="1" x14ac:dyDescent="0.25">
      <c r="A1797" s="40" t="str">
        <f>IF(Agent09_Savings!A204="","",Agent09_Savings!A204)</f>
        <v/>
      </c>
      <c r="B1797" s="40" t="str">
        <f ca="1">IF(Agent09_Savings!A204="","","SV"&amp;TEXT(1797-3,"0000")&amp;"-"&amp;TEXT(TODAY(),"YYYYMMDD"))</f>
        <v/>
      </c>
      <c r="C1797" s="40" t="str">
        <f>IF(Agent09_Savings!A204="","",Agent09_Savings!B204)</f>
        <v/>
      </c>
      <c r="D1797" s="40" t="str">
        <f>IF(Agent09_Savings!A204="","",Agent09_Savings!G204)</f>
        <v/>
      </c>
      <c r="E1797" s="41" t="str">
        <f>IF(Agent09_Savings!A204="","",Agent09_Savings!D204)</f>
        <v/>
      </c>
      <c r="F1797" s="42" t="str">
        <f>IF(Agent09_Savings!A204="","",Agent09_Savings!E204)</f>
        <v/>
      </c>
      <c r="G1797" s="42" t="str">
        <f>IF(Agent09_Savings!A204="","",Agent09_Savings!F204)</f>
        <v/>
      </c>
      <c r="H1797" s="40" t="str">
        <f>IF(Agent09_Savings!A204="","",Agent09_Savings!I204)</f>
        <v/>
      </c>
      <c r="I1797" s="40" t="str">
        <f>IF(Agent09_Savings!A204="","",Agent09_Savings!J204)</f>
        <v/>
      </c>
      <c r="J1797" s="40" t="str">
        <f>IF(Agent09_Savings!A204="","",Agent09_Savings!K204)</f>
        <v/>
      </c>
      <c r="K1797" s="40" t="str">
        <f>IFERROR(IF(Agent09_Savings!A204="","",YEAR(Agent09_Savings!D204)),"")</f>
        <v/>
      </c>
    </row>
    <row r="1798" spans="1:11" ht="18" customHeight="1" x14ac:dyDescent="0.25">
      <c r="A1798" s="40" t="str">
        <f>IF(Agent09_Savings!A205="","",Agent09_Savings!A205)</f>
        <v/>
      </c>
      <c r="B1798" s="40" t="str">
        <f ca="1">IF(Agent09_Savings!A205="","","SV"&amp;TEXT(1798-3,"0000")&amp;"-"&amp;TEXT(TODAY(),"YYYYMMDD"))</f>
        <v/>
      </c>
      <c r="C1798" s="40" t="str">
        <f>IF(Agent09_Savings!A205="","",Agent09_Savings!B205)</f>
        <v/>
      </c>
      <c r="D1798" s="40" t="str">
        <f>IF(Agent09_Savings!A205="","",Agent09_Savings!G205)</f>
        <v/>
      </c>
      <c r="E1798" s="41" t="str">
        <f>IF(Agent09_Savings!A205="","",Agent09_Savings!D205)</f>
        <v/>
      </c>
      <c r="F1798" s="42" t="str">
        <f>IF(Agent09_Savings!A205="","",Agent09_Savings!E205)</f>
        <v/>
      </c>
      <c r="G1798" s="42" t="str">
        <f>IF(Agent09_Savings!A205="","",Agent09_Savings!F205)</f>
        <v/>
      </c>
      <c r="H1798" s="40" t="str">
        <f>IF(Agent09_Savings!A205="","",Agent09_Savings!I205)</f>
        <v/>
      </c>
      <c r="I1798" s="40" t="str">
        <f>IF(Agent09_Savings!A205="","",Agent09_Savings!J205)</f>
        <v/>
      </c>
      <c r="J1798" s="40" t="str">
        <f>IF(Agent09_Savings!A205="","",Agent09_Savings!K205)</f>
        <v/>
      </c>
      <c r="K1798" s="40" t="str">
        <f>IFERROR(IF(Agent09_Savings!A205="","",YEAR(Agent09_Savings!D205)),"")</f>
        <v/>
      </c>
    </row>
    <row r="1799" spans="1:11" ht="18" customHeight="1" x14ac:dyDescent="0.25">
      <c r="A1799" s="40" t="str">
        <f>IF(Agent09_Savings!A206="","",Agent09_Savings!A206)</f>
        <v/>
      </c>
      <c r="B1799" s="40" t="str">
        <f ca="1">IF(Agent09_Savings!A206="","","SV"&amp;TEXT(1799-3,"0000")&amp;"-"&amp;TEXT(TODAY(),"YYYYMMDD"))</f>
        <v/>
      </c>
      <c r="C1799" s="40" t="str">
        <f>IF(Agent09_Savings!A206="","",Agent09_Savings!B206)</f>
        <v/>
      </c>
      <c r="D1799" s="40" t="str">
        <f>IF(Agent09_Savings!A206="","",Agent09_Savings!G206)</f>
        <v/>
      </c>
      <c r="E1799" s="41" t="str">
        <f>IF(Agent09_Savings!A206="","",Agent09_Savings!D206)</f>
        <v/>
      </c>
      <c r="F1799" s="42" t="str">
        <f>IF(Agent09_Savings!A206="","",Agent09_Savings!E206)</f>
        <v/>
      </c>
      <c r="G1799" s="42" t="str">
        <f>IF(Agent09_Savings!A206="","",Agent09_Savings!F206)</f>
        <v/>
      </c>
      <c r="H1799" s="40" t="str">
        <f>IF(Agent09_Savings!A206="","",Agent09_Savings!I206)</f>
        <v/>
      </c>
      <c r="I1799" s="40" t="str">
        <f>IF(Agent09_Savings!A206="","",Agent09_Savings!J206)</f>
        <v/>
      </c>
      <c r="J1799" s="40" t="str">
        <f>IF(Agent09_Savings!A206="","",Agent09_Savings!K206)</f>
        <v/>
      </c>
      <c r="K1799" s="40" t="str">
        <f>IFERROR(IF(Agent09_Savings!A206="","",YEAR(Agent09_Savings!D206)),"")</f>
        <v/>
      </c>
    </row>
    <row r="1800" spans="1:11" ht="18" customHeight="1" x14ac:dyDescent="0.25">
      <c r="A1800" s="40" t="str">
        <f>IF(Agent09_Savings!A207="","",Agent09_Savings!A207)</f>
        <v/>
      </c>
      <c r="B1800" s="40" t="str">
        <f ca="1">IF(Agent09_Savings!A207="","","SV"&amp;TEXT(1800-3,"0000")&amp;"-"&amp;TEXT(TODAY(),"YYYYMMDD"))</f>
        <v/>
      </c>
      <c r="C1800" s="40" t="str">
        <f>IF(Agent09_Savings!A207="","",Agent09_Savings!B207)</f>
        <v/>
      </c>
      <c r="D1800" s="40" t="str">
        <f>IF(Agent09_Savings!A207="","",Agent09_Savings!G207)</f>
        <v/>
      </c>
      <c r="E1800" s="41" t="str">
        <f>IF(Agent09_Savings!A207="","",Agent09_Savings!D207)</f>
        <v/>
      </c>
      <c r="F1800" s="42" t="str">
        <f>IF(Agent09_Savings!A207="","",Agent09_Savings!E207)</f>
        <v/>
      </c>
      <c r="G1800" s="42" t="str">
        <f>IF(Agent09_Savings!A207="","",Agent09_Savings!F207)</f>
        <v/>
      </c>
      <c r="H1800" s="40" t="str">
        <f>IF(Agent09_Savings!A207="","",Agent09_Savings!I207)</f>
        <v/>
      </c>
      <c r="I1800" s="40" t="str">
        <f>IF(Agent09_Savings!A207="","",Agent09_Savings!J207)</f>
        <v/>
      </c>
      <c r="J1800" s="40" t="str">
        <f>IF(Agent09_Savings!A207="","",Agent09_Savings!K207)</f>
        <v/>
      </c>
      <c r="K1800" s="40" t="str">
        <f>IFERROR(IF(Agent09_Savings!A207="","",YEAR(Agent09_Savings!D207)),"")</f>
        <v/>
      </c>
    </row>
    <row r="1801" spans="1:11" ht="18" customHeight="1" x14ac:dyDescent="0.25">
      <c r="A1801" s="40" t="str">
        <f>IF(Agent09_Savings!A208="","",Agent09_Savings!A208)</f>
        <v/>
      </c>
      <c r="B1801" s="40" t="str">
        <f ca="1">IF(Agent09_Savings!A208="","","SV"&amp;TEXT(1801-3,"0000")&amp;"-"&amp;TEXT(TODAY(),"YYYYMMDD"))</f>
        <v/>
      </c>
      <c r="C1801" s="40" t="str">
        <f>IF(Agent09_Savings!A208="","",Agent09_Savings!B208)</f>
        <v/>
      </c>
      <c r="D1801" s="40" t="str">
        <f>IF(Agent09_Savings!A208="","",Agent09_Savings!G208)</f>
        <v/>
      </c>
      <c r="E1801" s="41" t="str">
        <f>IF(Agent09_Savings!A208="","",Agent09_Savings!D208)</f>
        <v/>
      </c>
      <c r="F1801" s="42" t="str">
        <f>IF(Agent09_Savings!A208="","",Agent09_Savings!E208)</f>
        <v/>
      </c>
      <c r="G1801" s="42" t="str">
        <f>IF(Agent09_Savings!A208="","",Agent09_Savings!F208)</f>
        <v/>
      </c>
      <c r="H1801" s="40" t="str">
        <f>IF(Agent09_Savings!A208="","",Agent09_Savings!I208)</f>
        <v/>
      </c>
      <c r="I1801" s="40" t="str">
        <f>IF(Agent09_Savings!A208="","",Agent09_Savings!J208)</f>
        <v/>
      </c>
      <c r="J1801" s="40" t="str">
        <f>IF(Agent09_Savings!A208="","",Agent09_Savings!K208)</f>
        <v/>
      </c>
      <c r="K1801" s="40" t="str">
        <f>IFERROR(IF(Agent09_Savings!A208="","",YEAR(Agent09_Savings!D208)),"")</f>
        <v/>
      </c>
    </row>
    <row r="1802" spans="1:11" ht="18" customHeight="1" x14ac:dyDescent="0.25">
      <c r="A1802" s="40" t="str">
        <f>IF(Agent09_Savings!A209="","",Agent09_Savings!A209)</f>
        <v/>
      </c>
      <c r="B1802" s="40" t="str">
        <f ca="1">IF(Agent09_Savings!A209="","","SV"&amp;TEXT(1802-3,"0000")&amp;"-"&amp;TEXT(TODAY(),"YYYYMMDD"))</f>
        <v/>
      </c>
      <c r="C1802" s="40" t="str">
        <f>IF(Agent09_Savings!A209="","",Agent09_Savings!B209)</f>
        <v/>
      </c>
      <c r="D1802" s="40" t="str">
        <f>IF(Agent09_Savings!A209="","",Agent09_Savings!G209)</f>
        <v/>
      </c>
      <c r="E1802" s="41" t="str">
        <f>IF(Agent09_Savings!A209="","",Agent09_Savings!D209)</f>
        <v/>
      </c>
      <c r="F1802" s="42" t="str">
        <f>IF(Agent09_Savings!A209="","",Agent09_Savings!E209)</f>
        <v/>
      </c>
      <c r="G1802" s="42" t="str">
        <f>IF(Agent09_Savings!A209="","",Agent09_Savings!F209)</f>
        <v/>
      </c>
      <c r="H1802" s="40" t="str">
        <f>IF(Agent09_Savings!A209="","",Agent09_Savings!I209)</f>
        <v/>
      </c>
      <c r="I1802" s="40" t="str">
        <f>IF(Agent09_Savings!A209="","",Agent09_Savings!J209)</f>
        <v/>
      </c>
      <c r="J1802" s="40" t="str">
        <f>IF(Agent09_Savings!A209="","",Agent09_Savings!K209)</f>
        <v/>
      </c>
      <c r="K1802" s="40" t="str">
        <f>IFERROR(IF(Agent09_Savings!A209="","",YEAR(Agent09_Savings!D209)),"")</f>
        <v/>
      </c>
    </row>
    <row r="1803" spans="1:11" ht="18" customHeight="1" x14ac:dyDescent="0.25">
      <c r="A1803" s="40" t="str">
        <f>IF(Agent09_Savings!A210="","",Agent09_Savings!A210)</f>
        <v/>
      </c>
      <c r="B1803" s="40" t="str">
        <f ca="1">IF(Agent09_Savings!A210="","","SV"&amp;TEXT(1803-3,"0000")&amp;"-"&amp;TEXT(TODAY(),"YYYYMMDD"))</f>
        <v/>
      </c>
      <c r="C1803" s="40" t="str">
        <f>IF(Agent09_Savings!A210="","",Agent09_Savings!B210)</f>
        <v/>
      </c>
      <c r="D1803" s="40" t="str">
        <f>IF(Agent09_Savings!A210="","",Agent09_Savings!G210)</f>
        <v/>
      </c>
      <c r="E1803" s="41" t="str">
        <f>IF(Agent09_Savings!A210="","",Agent09_Savings!D210)</f>
        <v/>
      </c>
      <c r="F1803" s="42" t="str">
        <f>IF(Agent09_Savings!A210="","",Agent09_Savings!E210)</f>
        <v/>
      </c>
      <c r="G1803" s="42" t="str">
        <f>IF(Agent09_Savings!A210="","",Agent09_Savings!F210)</f>
        <v/>
      </c>
      <c r="H1803" s="40" t="str">
        <f>IF(Agent09_Savings!A210="","",Agent09_Savings!I210)</f>
        <v/>
      </c>
      <c r="I1803" s="40" t="str">
        <f>IF(Agent09_Savings!A210="","",Agent09_Savings!J210)</f>
        <v/>
      </c>
      <c r="J1803" s="40" t="str">
        <f>IF(Agent09_Savings!A210="","",Agent09_Savings!K210)</f>
        <v/>
      </c>
      <c r="K1803" s="40" t="str">
        <f>IFERROR(IF(Agent09_Savings!A210="","",YEAR(Agent09_Savings!D210)),"")</f>
        <v/>
      </c>
    </row>
    <row r="1804" spans="1:11" ht="18" customHeight="1" x14ac:dyDescent="0.25">
      <c r="A1804" s="40" t="str">
        <f>IF(Agent10_Savings!A11="","",Agent10_Savings!A11)</f>
        <v/>
      </c>
      <c r="B1804" s="40" t="str">
        <f ca="1">IF(Agent10_Savings!A11="","","SV"&amp;TEXT(1804-3,"0000")&amp;"-"&amp;TEXT(TODAY(),"YYYYMMDD"))</f>
        <v/>
      </c>
      <c r="C1804" s="40" t="str">
        <f>IF(Agent10_Savings!A11="","",Agent10_Savings!B11)</f>
        <v/>
      </c>
      <c r="D1804" s="40" t="str">
        <f>IF(Agent10_Savings!A11="","",Agent10_Savings!G11)</f>
        <v/>
      </c>
      <c r="E1804" s="41" t="str">
        <f>IF(Agent10_Savings!A11="","",Agent10_Savings!D11)</f>
        <v/>
      </c>
      <c r="F1804" s="42" t="str">
        <f>IF(Agent10_Savings!A11="","",Agent10_Savings!E11)</f>
        <v/>
      </c>
      <c r="G1804" s="42" t="str">
        <f>IF(Agent10_Savings!A11="","",Agent10_Savings!F11)</f>
        <v/>
      </c>
      <c r="H1804" s="40" t="str">
        <f>IF(Agent10_Savings!A11="","",Agent10_Savings!I11)</f>
        <v/>
      </c>
      <c r="I1804" s="40" t="str">
        <f>IF(Agent10_Savings!A11="","",Agent10_Savings!J11)</f>
        <v/>
      </c>
      <c r="J1804" s="40" t="str">
        <f>IF(Agent10_Savings!A11="","",Agent10_Savings!K11)</f>
        <v/>
      </c>
      <c r="K1804" s="40" t="str">
        <f>IFERROR(IF(Agent10_Savings!A11="","",YEAR(Agent10_Savings!D11)),"")</f>
        <v/>
      </c>
    </row>
    <row r="1805" spans="1:11" ht="18" customHeight="1" x14ac:dyDescent="0.25">
      <c r="A1805" s="40" t="str">
        <f>IF(Agent10_Savings!A12="","",Agent10_Savings!A12)</f>
        <v/>
      </c>
      <c r="B1805" s="40" t="str">
        <f ca="1">IF(Agent10_Savings!A12="","","SV"&amp;TEXT(1805-3,"0000")&amp;"-"&amp;TEXT(TODAY(),"YYYYMMDD"))</f>
        <v/>
      </c>
      <c r="C1805" s="40" t="str">
        <f>IF(Agent10_Savings!A12="","",Agent10_Savings!B12)</f>
        <v/>
      </c>
      <c r="D1805" s="40" t="str">
        <f>IF(Agent10_Savings!A12="","",Agent10_Savings!G12)</f>
        <v/>
      </c>
      <c r="E1805" s="41" t="str">
        <f>IF(Agent10_Savings!A12="","",Agent10_Savings!D12)</f>
        <v/>
      </c>
      <c r="F1805" s="42" t="str">
        <f>IF(Agent10_Savings!A12="","",Agent10_Savings!E12)</f>
        <v/>
      </c>
      <c r="G1805" s="42" t="str">
        <f>IF(Agent10_Savings!A12="","",Agent10_Savings!F12)</f>
        <v/>
      </c>
      <c r="H1805" s="40" t="str">
        <f>IF(Agent10_Savings!A12="","",Agent10_Savings!I12)</f>
        <v/>
      </c>
      <c r="I1805" s="40" t="str">
        <f>IF(Agent10_Savings!A12="","",Agent10_Savings!J12)</f>
        <v/>
      </c>
      <c r="J1805" s="40" t="str">
        <f>IF(Agent10_Savings!A12="","",Agent10_Savings!K12)</f>
        <v/>
      </c>
      <c r="K1805" s="40" t="str">
        <f>IFERROR(IF(Agent10_Savings!A12="","",YEAR(Agent10_Savings!D12)),"")</f>
        <v/>
      </c>
    </row>
    <row r="1806" spans="1:11" ht="18" customHeight="1" x14ac:dyDescent="0.25">
      <c r="A1806" s="40" t="str">
        <f>IF(Agent10_Savings!A13="","",Agent10_Savings!A13)</f>
        <v/>
      </c>
      <c r="B1806" s="40" t="str">
        <f ca="1">IF(Agent10_Savings!A13="","","SV"&amp;TEXT(1806-3,"0000")&amp;"-"&amp;TEXT(TODAY(),"YYYYMMDD"))</f>
        <v/>
      </c>
      <c r="C1806" s="40" t="str">
        <f>IF(Agent10_Savings!A13="","",Agent10_Savings!B13)</f>
        <v/>
      </c>
      <c r="D1806" s="40" t="str">
        <f>IF(Agent10_Savings!A13="","",Agent10_Savings!G13)</f>
        <v/>
      </c>
      <c r="E1806" s="41" t="str">
        <f>IF(Agent10_Savings!A13="","",Agent10_Savings!D13)</f>
        <v/>
      </c>
      <c r="F1806" s="42" t="str">
        <f>IF(Agent10_Savings!A13="","",Agent10_Savings!E13)</f>
        <v/>
      </c>
      <c r="G1806" s="42" t="str">
        <f>IF(Agent10_Savings!A13="","",Agent10_Savings!F13)</f>
        <v/>
      </c>
      <c r="H1806" s="40" t="str">
        <f>IF(Agent10_Savings!A13="","",Agent10_Savings!I13)</f>
        <v/>
      </c>
      <c r="I1806" s="40" t="str">
        <f>IF(Agent10_Savings!A13="","",Agent10_Savings!J13)</f>
        <v/>
      </c>
      <c r="J1806" s="40" t="str">
        <f>IF(Agent10_Savings!A13="","",Agent10_Savings!K13)</f>
        <v/>
      </c>
      <c r="K1806" s="40" t="str">
        <f>IFERROR(IF(Agent10_Savings!A13="","",YEAR(Agent10_Savings!D13)),"")</f>
        <v/>
      </c>
    </row>
    <row r="1807" spans="1:11" ht="18" customHeight="1" x14ac:dyDescent="0.25">
      <c r="A1807" s="40" t="str">
        <f>IF(Agent10_Savings!A14="","",Agent10_Savings!A14)</f>
        <v/>
      </c>
      <c r="B1807" s="40" t="str">
        <f ca="1">IF(Agent10_Savings!A14="","","SV"&amp;TEXT(1807-3,"0000")&amp;"-"&amp;TEXT(TODAY(),"YYYYMMDD"))</f>
        <v/>
      </c>
      <c r="C1807" s="40" t="str">
        <f>IF(Agent10_Savings!A14="","",Agent10_Savings!B14)</f>
        <v/>
      </c>
      <c r="D1807" s="40" t="str">
        <f>IF(Agent10_Savings!A14="","",Agent10_Savings!G14)</f>
        <v/>
      </c>
      <c r="E1807" s="41" t="str">
        <f>IF(Agent10_Savings!A14="","",Agent10_Savings!D14)</f>
        <v/>
      </c>
      <c r="F1807" s="42" t="str">
        <f>IF(Agent10_Savings!A14="","",Agent10_Savings!E14)</f>
        <v/>
      </c>
      <c r="G1807" s="42" t="str">
        <f>IF(Agent10_Savings!A14="","",Agent10_Savings!F14)</f>
        <v/>
      </c>
      <c r="H1807" s="40" t="str">
        <f>IF(Agent10_Savings!A14="","",Agent10_Savings!I14)</f>
        <v/>
      </c>
      <c r="I1807" s="40" t="str">
        <f>IF(Agent10_Savings!A14="","",Agent10_Savings!J14)</f>
        <v/>
      </c>
      <c r="J1807" s="40" t="str">
        <f>IF(Agent10_Savings!A14="","",Agent10_Savings!K14)</f>
        <v/>
      </c>
      <c r="K1807" s="40" t="str">
        <f>IFERROR(IF(Agent10_Savings!A14="","",YEAR(Agent10_Savings!D14)),"")</f>
        <v/>
      </c>
    </row>
    <row r="1808" spans="1:11" ht="18" customHeight="1" x14ac:dyDescent="0.25">
      <c r="A1808" s="40" t="str">
        <f>IF(Agent10_Savings!A15="","",Agent10_Savings!A15)</f>
        <v/>
      </c>
      <c r="B1808" s="40" t="str">
        <f ca="1">IF(Agent10_Savings!A15="","","SV"&amp;TEXT(1808-3,"0000")&amp;"-"&amp;TEXT(TODAY(),"YYYYMMDD"))</f>
        <v/>
      </c>
      <c r="C1808" s="40" t="str">
        <f>IF(Agent10_Savings!A15="","",Agent10_Savings!B15)</f>
        <v/>
      </c>
      <c r="D1808" s="40" t="str">
        <f>IF(Agent10_Savings!A15="","",Agent10_Savings!G15)</f>
        <v/>
      </c>
      <c r="E1808" s="41" t="str">
        <f>IF(Agent10_Savings!A15="","",Agent10_Savings!D15)</f>
        <v/>
      </c>
      <c r="F1808" s="42" t="str">
        <f>IF(Agent10_Savings!A15="","",Agent10_Savings!E15)</f>
        <v/>
      </c>
      <c r="G1808" s="42" t="str">
        <f>IF(Agent10_Savings!A15="","",Agent10_Savings!F15)</f>
        <v/>
      </c>
      <c r="H1808" s="40" t="str">
        <f>IF(Agent10_Savings!A15="","",Agent10_Savings!I15)</f>
        <v/>
      </c>
      <c r="I1808" s="40" t="str">
        <f>IF(Agent10_Savings!A15="","",Agent10_Savings!J15)</f>
        <v/>
      </c>
      <c r="J1808" s="40" t="str">
        <f>IF(Agent10_Savings!A15="","",Agent10_Savings!K15)</f>
        <v/>
      </c>
      <c r="K1808" s="40" t="str">
        <f>IFERROR(IF(Agent10_Savings!A15="","",YEAR(Agent10_Savings!D15)),"")</f>
        <v/>
      </c>
    </row>
    <row r="1809" spans="1:11" ht="18" customHeight="1" x14ac:dyDescent="0.25">
      <c r="A1809" s="40" t="str">
        <f>IF(Agent10_Savings!A16="","",Agent10_Savings!A16)</f>
        <v/>
      </c>
      <c r="B1809" s="40" t="str">
        <f ca="1">IF(Agent10_Savings!A16="","","SV"&amp;TEXT(1809-3,"0000")&amp;"-"&amp;TEXT(TODAY(),"YYYYMMDD"))</f>
        <v/>
      </c>
      <c r="C1809" s="40" t="str">
        <f>IF(Agent10_Savings!A16="","",Agent10_Savings!B16)</f>
        <v/>
      </c>
      <c r="D1809" s="40" t="str">
        <f>IF(Agent10_Savings!A16="","",Agent10_Savings!G16)</f>
        <v/>
      </c>
      <c r="E1809" s="41" t="str">
        <f>IF(Agent10_Savings!A16="","",Agent10_Savings!D16)</f>
        <v/>
      </c>
      <c r="F1809" s="42" t="str">
        <f>IF(Agent10_Savings!A16="","",Agent10_Savings!E16)</f>
        <v/>
      </c>
      <c r="G1809" s="42" t="str">
        <f>IF(Agent10_Savings!A16="","",Agent10_Savings!F16)</f>
        <v/>
      </c>
      <c r="H1809" s="40" t="str">
        <f>IF(Agent10_Savings!A16="","",Agent10_Savings!I16)</f>
        <v/>
      </c>
      <c r="I1809" s="40" t="str">
        <f>IF(Agent10_Savings!A16="","",Agent10_Savings!J16)</f>
        <v/>
      </c>
      <c r="J1809" s="40" t="str">
        <f>IF(Agent10_Savings!A16="","",Agent10_Savings!K16)</f>
        <v/>
      </c>
      <c r="K1809" s="40" t="str">
        <f>IFERROR(IF(Agent10_Savings!A16="","",YEAR(Agent10_Savings!D16)),"")</f>
        <v/>
      </c>
    </row>
    <row r="1810" spans="1:11" ht="18" customHeight="1" x14ac:dyDescent="0.25">
      <c r="A1810" s="40" t="str">
        <f>IF(Agent10_Savings!A17="","",Agent10_Savings!A17)</f>
        <v/>
      </c>
      <c r="B1810" s="40" t="str">
        <f ca="1">IF(Agent10_Savings!A17="","","SV"&amp;TEXT(1810-3,"0000")&amp;"-"&amp;TEXT(TODAY(),"YYYYMMDD"))</f>
        <v/>
      </c>
      <c r="C1810" s="40" t="str">
        <f>IF(Agent10_Savings!A17="","",Agent10_Savings!B17)</f>
        <v/>
      </c>
      <c r="D1810" s="40" t="str">
        <f>IF(Agent10_Savings!A17="","",Agent10_Savings!G17)</f>
        <v/>
      </c>
      <c r="E1810" s="41" t="str">
        <f>IF(Agent10_Savings!A17="","",Agent10_Savings!D17)</f>
        <v/>
      </c>
      <c r="F1810" s="42" t="str">
        <f>IF(Agent10_Savings!A17="","",Agent10_Savings!E17)</f>
        <v/>
      </c>
      <c r="G1810" s="42" t="str">
        <f>IF(Agent10_Savings!A17="","",Agent10_Savings!F17)</f>
        <v/>
      </c>
      <c r="H1810" s="40" t="str">
        <f>IF(Agent10_Savings!A17="","",Agent10_Savings!I17)</f>
        <v/>
      </c>
      <c r="I1810" s="40" t="str">
        <f>IF(Agent10_Savings!A17="","",Agent10_Savings!J17)</f>
        <v/>
      </c>
      <c r="J1810" s="40" t="str">
        <f>IF(Agent10_Savings!A17="","",Agent10_Savings!K17)</f>
        <v/>
      </c>
      <c r="K1810" s="40" t="str">
        <f>IFERROR(IF(Agent10_Savings!A17="","",YEAR(Agent10_Savings!D17)),"")</f>
        <v/>
      </c>
    </row>
    <row r="1811" spans="1:11" ht="18" customHeight="1" x14ac:dyDescent="0.25">
      <c r="A1811" s="40" t="str">
        <f>IF(Agent10_Savings!A18="","",Agent10_Savings!A18)</f>
        <v/>
      </c>
      <c r="B1811" s="40" t="str">
        <f ca="1">IF(Agent10_Savings!A18="","","SV"&amp;TEXT(1811-3,"0000")&amp;"-"&amp;TEXT(TODAY(),"YYYYMMDD"))</f>
        <v/>
      </c>
      <c r="C1811" s="40" t="str">
        <f>IF(Agent10_Savings!A18="","",Agent10_Savings!B18)</f>
        <v/>
      </c>
      <c r="D1811" s="40" t="str">
        <f>IF(Agent10_Savings!A18="","",Agent10_Savings!G18)</f>
        <v/>
      </c>
      <c r="E1811" s="41" t="str">
        <f>IF(Agent10_Savings!A18="","",Agent10_Savings!D18)</f>
        <v/>
      </c>
      <c r="F1811" s="42" t="str">
        <f>IF(Agent10_Savings!A18="","",Agent10_Savings!E18)</f>
        <v/>
      </c>
      <c r="G1811" s="42" t="str">
        <f>IF(Agent10_Savings!A18="","",Agent10_Savings!F18)</f>
        <v/>
      </c>
      <c r="H1811" s="40" t="str">
        <f>IF(Agent10_Savings!A18="","",Agent10_Savings!I18)</f>
        <v/>
      </c>
      <c r="I1811" s="40" t="str">
        <f>IF(Agent10_Savings!A18="","",Agent10_Savings!J18)</f>
        <v/>
      </c>
      <c r="J1811" s="40" t="str">
        <f>IF(Agent10_Savings!A18="","",Agent10_Savings!K18)</f>
        <v/>
      </c>
      <c r="K1811" s="40" t="str">
        <f>IFERROR(IF(Agent10_Savings!A18="","",YEAR(Agent10_Savings!D18)),"")</f>
        <v/>
      </c>
    </row>
    <row r="1812" spans="1:11" ht="18" customHeight="1" x14ac:dyDescent="0.25">
      <c r="A1812" s="40" t="str">
        <f>IF(Agent10_Savings!A19="","",Agent10_Savings!A19)</f>
        <v/>
      </c>
      <c r="B1812" s="40" t="str">
        <f ca="1">IF(Agent10_Savings!A19="","","SV"&amp;TEXT(1812-3,"0000")&amp;"-"&amp;TEXT(TODAY(),"YYYYMMDD"))</f>
        <v/>
      </c>
      <c r="C1812" s="40" t="str">
        <f>IF(Agent10_Savings!A19="","",Agent10_Savings!B19)</f>
        <v/>
      </c>
      <c r="D1812" s="40" t="str">
        <f>IF(Agent10_Savings!A19="","",Agent10_Savings!G19)</f>
        <v/>
      </c>
      <c r="E1812" s="41" t="str">
        <f>IF(Agent10_Savings!A19="","",Agent10_Savings!D19)</f>
        <v/>
      </c>
      <c r="F1812" s="42" t="str">
        <f>IF(Agent10_Savings!A19="","",Agent10_Savings!E19)</f>
        <v/>
      </c>
      <c r="G1812" s="42" t="str">
        <f>IF(Agent10_Savings!A19="","",Agent10_Savings!F19)</f>
        <v/>
      </c>
      <c r="H1812" s="40" t="str">
        <f>IF(Agent10_Savings!A19="","",Agent10_Savings!I19)</f>
        <v/>
      </c>
      <c r="I1812" s="40" t="str">
        <f>IF(Agent10_Savings!A19="","",Agent10_Savings!J19)</f>
        <v/>
      </c>
      <c r="J1812" s="40" t="str">
        <f>IF(Agent10_Savings!A19="","",Agent10_Savings!K19)</f>
        <v/>
      </c>
      <c r="K1812" s="40" t="str">
        <f>IFERROR(IF(Agent10_Savings!A19="","",YEAR(Agent10_Savings!D19)),"")</f>
        <v/>
      </c>
    </row>
    <row r="1813" spans="1:11" ht="18" customHeight="1" x14ac:dyDescent="0.25">
      <c r="A1813" s="40" t="str">
        <f>IF(Agent10_Savings!A20="","",Agent10_Savings!A20)</f>
        <v/>
      </c>
      <c r="B1813" s="40" t="str">
        <f ca="1">IF(Agent10_Savings!A20="","","SV"&amp;TEXT(1813-3,"0000")&amp;"-"&amp;TEXT(TODAY(),"YYYYMMDD"))</f>
        <v/>
      </c>
      <c r="C1813" s="40" t="str">
        <f>IF(Agent10_Savings!A20="","",Agent10_Savings!B20)</f>
        <v/>
      </c>
      <c r="D1813" s="40" t="str">
        <f>IF(Agent10_Savings!A20="","",Agent10_Savings!G20)</f>
        <v/>
      </c>
      <c r="E1813" s="41" t="str">
        <f>IF(Agent10_Savings!A20="","",Agent10_Savings!D20)</f>
        <v/>
      </c>
      <c r="F1813" s="42" t="str">
        <f>IF(Agent10_Savings!A20="","",Agent10_Savings!E20)</f>
        <v/>
      </c>
      <c r="G1813" s="42" t="str">
        <f>IF(Agent10_Savings!A20="","",Agent10_Savings!F20)</f>
        <v/>
      </c>
      <c r="H1813" s="40" t="str">
        <f>IF(Agent10_Savings!A20="","",Agent10_Savings!I20)</f>
        <v/>
      </c>
      <c r="I1813" s="40" t="str">
        <f>IF(Agent10_Savings!A20="","",Agent10_Savings!J20)</f>
        <v/>
      </c>
      <c r="J1813" s="40" t="str">
        <f>IF(Agent10_Savings!A20="","",Agent10_Savings!K20)</f>
        <v/>
      </c>
      <c r="K1813" s="40" t="str">
        <f>IFERROR(IF(Agent10_Savings!A20="","",YEAR(Agent10_Savings!D20)),"")</f>
        <v/>
      </c>
    </row>
    <row r="1814" spans="1:11" ht="18" customHeight="1" x14ac:dyDescent="0.25">
      <c r="A1814" s="40" t="str">
        <f>IF(Agent10_Savings!A21="","",Agent10_Savings!A21)</f>
        <v/>
      </c>
      <c r="B1814" s="40" t="str">
        <f ca="1">IF(Agent10_Savings!A21="","","SV"&amp;TEXT(1814-3,"0000")&amp;"-"&amp;TEXT(TODAY(),"YYYYMMDD"))</f>
        <v/>
      </c>
      <c r="C1814" s="40" t="str">
        <f>IF(Agent10_Savings!A21="","",Agent10_Savings!B21)</f>
        <v/>
      </c>
      <c r="D1814" s="40" t="str">
        <f>IF(Agent10_Savings!A21="","",Agent10_Savings!G21)</f>
        <v/>
      </c>
      <c r="E1814" s="41" t="str">
        <f>IF(Agent10_Savings!A21="","",Agent10_Savings!D21)</f>
        <v/>
      </c>
      <c r="F1814" s="42" t="str">
        <f>IF(Agent10_Savings!A21="","",Agent10_Savings!E21)</f>
        <v/>
      </c>
      <c r="G1814" s="42" t="str">
        <f>IF(Agent10_Savings!A21="","",Agent10_Savings!F21)</f>
        <v/>
      </c>
      <c r="H1814" s="40" t="str">
        <f>IF(Agent10_Savings!A21="","",Agent10_Savings!I21)</f>
        <v/>
      </c>
      <c r="I1814" s="40" t="str">
        <f>IF(Agent10_Savings!A21="","",Agent10_Savings!J21)</f>
        <v/>
      </c>
      <c r="J1814" s="40" t="str">
        <f>IF(Agent10_Savings!A21="","",Agent10_Savings!K21)</f>
        <v/>
      </c>
      <c r="K1814" s="40" t="str">
        <f>IFERROR(IF(Agent10_Savings!A21="","",YEAR(Agent10_Savings!D21)),"")</f>
        <v/>
      </c>
    </row>
    <row r="1815" spans="1:11" ht="18" customHeight="1" x14ac:dyDescent="0.25">
      <c r="A1815" s="40" t="str">
        <f>IF(Agent10_Savings!A22="","",Agent10_Savings!A22)</f>
        <v/>
      </c>
      <c r="B1815" s="40" t="str">
        <f ca="1">IF(Agent10_Savings!A22="","","SV"&amp;TEXT(1815-3,"0000")&amp;"-"&amp;TEXT(TODAY(),"YYYYMMDD"))</f>
        <v/>
      </c>
      <c r="C1815" s="40" t="str">
        <f>IF(Agent10_Savings!A22="","",Agent10_Savings!B22)</f>
        <v/>
      </c>
      <c r="D1815" s="40" t="str">
        <f>IF(Agent10_Savings!A22="","",Agent10_Savings!G22)</f>
        <v/>
      </c>
      <c r="E1815" s="41" t="str">
        <f>IF(Agent10_Savings!A22="","",Agent10_Savings!D22)</f>
        <v/>
      </c>
      <c r="F1815" s="42" t="str">
        <f>IF(Agent10_Savings!A22="","",Agent10_Savings!E22)</f>
        <v/>
      </c>
      <c r="G1815" s="42" t="str">
        <f>IF(Agent10_Savings!A22="","",Agent10_Savings!F22)</f>
        <v/>
      </c>
      <c r="H1815" s="40" t="str">
        <f>IF(Agent10_Savings!A22="","",Agent10_Savings!I22)</f>
        <v/>
      </c>
      <c r="I1815" s="40" t="str">
        <f>IF(Agent10_Savings!A22="","",Agent10_Savings!J22)</f>
        <v/>
      </c>
      <c r="J1815" s="40" t="str">
        <f>IF(Agent10_Savings!A22="","",Agent10_Savings!K22)</f>
        <v/>
      </c>
      <c r="K1815" s="40" t="str">
        <f>IFERROR(IF(Agent10_Savings!A22="","",YEAR(Agent10_Savings!D22)),"")</f>
        <v/>
      </c>
    </row>
    <row r="1816" spans="1:11" ht="18" customHeight="1" x14ac:dyDescent="0.25">
      <c r="A1816" s="40" t="str">
        <f>IF(Agent10_Savings!A23="","",Agent10_Savings!A23)</f>
        <v/>
      </c>
      <c r="B1816" s="40" t="str">
        <f ca="1">IF(Agent10_Savings!A23="","","SV"&amp;TEXT(1816-3,"0000")&amp;"-"&amp;TEXT(TODAY(),"YYYYMMDD"))</f>
        <v/>
      </c>
      <c r="C1816" s="40" t="str">
        <f>IF(Agent10_Savings!A23="","",Agent10_Savings!B23)</f>
        <v/>
      </c>
      <c r="D1816" s="40" t="str">
        <f>IF(Agent10_Savings!A23="","",Agent10_Savings!G23)</f>
        <v/>
      </c>
      <c r="E1816" s="41" t="str">
        <f>IF(Agent10_Savings!A23="","",Agent10_Savings!D23)</f>
        <v/>
      </c>
      <c r="F1816" s="42" t="str">
        <f>IF(Agent10_Savings!A23="","",Agent10_Savings!E23)</f>
        <v/>
      </c>
      <c r="G1816" s="42" t="str">
        <f>IF(Agent10_Savings!A23="","",Agent10_Savings!F23)</f>
        <v/>
      </c>
      <c r="H1816" s="40" t="str">
        <f>IF(Agent10_Savings!A23="","",Agent10_Savings!I23)</f>
        <v/>
      </c>
      <c r="I1816" s="40" t="str">
        <f>IF(Agent10_Savings!A23="","",Agent10_Savings!J23)</f>
        <v/>
      </c>
      <c r="J1816" s="40" t="str">
        <f>IF(Agent10_Savings!A23="","",Agent10_Savings!K23)</f>
        <v/>
      </c>
      <c r="K1816" s="40" t="str">
        <f>IFERROR(IF(Agent10_Savings!A23="","",YEAR(Agent10_Savings!D23)),"")</f>
        <v/>
      </c>
    </row>
    <row r="1817" spans="1:11" ht="18" customHeight="1" x14ac:dyDescent="0.25">
      <c r="A1817" s="40" t="str">
        <f>IF(Agent10_Savings!A24="","",Agent10_Savings!A24)</f>
        <v/>
      </c>
      <c r="B1817" s="40" t="str">
        <f ca="1">IF(Agent10_Savings!A24="","","SV"&amp;TEXT(1817-3,"0000")&amp;"-"&amp;TEXT(TODAY(),"YYYYMMDD"))</f>
        <v/>
      </c>
      <c r="C1817" s="40" t="str">
        <f>IF(Agent10_Savings!A24="","",Agent10_Savings!B24)</f>
        <v/>
      </c>
      <c r="D1817" s="40" t="str">
        <f>IF(Agent10_Savings!A24="","",Agent10_Savings!G24)</f>
        <v/>
      </c>
      <c r="E1817" s="41" t="str">
        <f>IF(Agent10_Savings!A24="","",Agent10_Savings!D24)</f>
        <v/>
      </c>
      <c r="F1817" s="42" t="str">
        <f>IF(Agent10_Savings!A24="","",Agent10_Savings!E24)</f>
        <v/>
      </c>
      <c r="G1817" s="42" t="str">
        <f>IF(Agent10_Savings!A24="","",Agent10_Savings!F24)</f>
        <v/>
      </c>
      <c r="H1817" s="40" t="str">
        <f>IF(Agent10_Savings!A24="","",Agent10_Savings!I24)</f>
        <v/>
      </c>
      <c r="I1817" s="40" t="str">
        <f>IF(Agent10_Savings!A24="","",Agent10_Savings!J24)</f>
        <v/>
      </c>
      <c r="J1817" s="40" t="str">
        <f>IF(Agent10_Savings!A24="","",Agent10_Savings!K24)</f>
        <v/>
      </c>
      <c r="K1817" s="40" t="str">
        <f>IFERROR(IF(Agent10_Savings!A24="","",YEAR(Agent10_Savings!D24)),"")</f>
        <v/>
      </c>
    </row>
    <row r="1818" spans="1:11" ht="18" customHeight="1" x14ac:dyDescent="0.25">
      <c r="A1818" s="40" t="str">
        <f>IF(Agent10_Savings!A25="","",Agent10_Savings!A25)</f>
        <v/>
      </c>
      <c r="B1818" s="40" t="str">
        <f ca="1">IF(Agent10_Savings!A25="","","SV"&amp;TEXT(1818-3,"0000")&amp;"-"&amp;TEXT(TODAY(),"YYYYMMDD"))</f>
        <v/>
      </c>
      <c r="C1818" s="40" t="str">
        <f>IF(Agent10_Savings!A25="","",Agent10_Savings!B25)</f>
        <v/>
      </c>
      <c r="D1818" s="40" t="str">
        <f>IF(Agent10_Savings!A25="","",Agent10_Savings!G25)</f>
        <v/>
      </c>
      <c r="E1818" s="41" t="str">
        <f>IF(Agent10_Savings!A25="","",Agent10_Savings!D25)</f>
        <v/>
      </c>
      <c r="F1818" s="42" t="str">
        <f>IF(Agent10_Savings!A25="","",Agent10_Savings!E25)</f>
        <v/>
      </c>
      <c r="G1818" s="42" t="str">
        <f>IF(Agent10_Savings!A25="","",Agent10_Savings!F25)</f>
        <v/>
      </c>
      <c r="H1818" s="40" t="str">
        <f>IF(Agent10_Savings!A25="","",Agent10_Savings!I25)</f>
        <v/>
      </c>
      <c r="I1818" s="40" t="str">
        <f>IF(Agent10_Savings!A25="","",Agent10_Savings!J25)</f>
        <v/>
      </c>
      <c r="J1818" s="40" t="str">
        <f>IF(Agent10_Savings!A25="","",Agent10_Savings!K25)</f>
        <v/>
      </c>
      <c r="K1818" s="40" t="str">
        <f>IFERROR(IF(Agent10_Savings!A25="","",YEAR(Agent10_Savings!D25)),"")</f>
        <v/>
      </c>
    </row>
    <row r="1819" spans="1:11" ht="18" customHeight="1" x14ac:dyDescent="0.25">
      <c r="A1819" s="40" t="str">
        <f>IF(Agent10_Savings!A26="","",Agent10_Savings!A26)</f>
        <v/>
      </c>
      <c r="B1819" s="40" t="str">
        <f ca="1">IF(Agent10_Savings!A26="","","SV"&amp;TEXT(1819-3,"0000")&amp;"-"&amp;TEXT(TODAY(),"YYYYMMDD"))</f>
        <v/>
      </c>
      <c r="C1819" s="40" t="str">
        <f>IF(Agent10_Savings!A26="","",Agent10_Savings!B26)</f>
        <v/>
      </c>
      <c r="D1819" s="40" t="str">
        <f>IF(Agent10_Savings!A26="","",Agent10_Savings!G26)</f>
        <v/>
      </c>
      <c r="E1819" s="41" t="str">
        <f>IF(Agent10_Savings!A26="","",Agent10_Savings!D26)</f>
        <v/>
      </c>
      <c r="F1819" s="42" t="str">
        <f>IF(Agent10_Savings!A26="","",Agent10_Savings!E26)</f>
        <v/>
      </c>
      <c r="G1819" s="42" t="str">
        <f>IF(Agent10_Savings!A26="","",Agent10_Savings!F26)</f>
        <v/>
      </c>
      <c r="H1819" s="40" t="str">
        <f>IF(Agent10_Savings!A26="","",Agent10_Savings!I26)</f>
        <v/>
      </c>
      <c r="I1819" s="40" t="str">
        <f>IF(Agent10_Savings!A26="","",Agent10_Savings!J26)</f>
        <v/>
      </c>
      <c r="J1819" s="40" t="str">
        <f>IF(Agent10_Savings!A26="","",Agent10_Savings!K26)</f>
        <v/>
      </c>
      <c r="K1819" s="40" t="str">
        <f>IFERROR(IF(Agent10_Savings!A26="","",YEAR(Agent10_Savings!D26)),"")</f>
        <v/>
      </c>
    </row>
    <row r="1820" spans="1:11" ht="18" customHeight="1" x14ac:dyDescent="0.25">
      <c r="A1820" s="40" t="str">
        <f>IF(Agent10_Savings!A27="","",Agent10_Savings!A27)</f>
        <v/>
      </c>
      <c r="B1820" s="40" t="str">
        <f ca="1">IF(Agent10_Savings!A27="","","SV"&amp;TEXT(1820-3,"0000")&amp;"-"&amp;TEXT(TODAY(),"YYYYMMDD"))</f>
        <v/>
      </c>
      <c r="C1820" s="40" t="str">
        <f>IF(Agent10_Savings!A27="","",Agent10_Savings!B27)</f>
        <v/>
      </c>
      <c r="D1820" s="40" t="str">
        <f>IF(Agent10_Savings!A27="","",Agent10_Savings!G27)</f>
        <v/>
      </c>
      <c r="E1820" s="41" t="str">
        <f>IF(Agent10_Savings!A27="","",Agent10_Savings!D27)</f>
        <v/>
      </c>
      <c r="F1820" s="42" t="str">
        <f>IF(Agent10_Savings!A27="","",Agent10_Savings!E27)</f>
        <v/>
      </c>
      <c r="G1820" s="42" t="str">
        <f>IF(Agent10_Savings!A27="","",Agent10_Savings!F27)</f>
        <v/>
      </c>
      <c r="H1820" s="40" t="str">
        <f>IF(Agent10_Savings!A27="","",Agent10_Savings!I27)</f>
        <v/>
      </c>
      <c r="I1820" s="40" t="str">
        <f>IF(Agent10_Savings!A27="","",Agent10_Savings!J27)</f>
        <v/>
      </c>
      <c r="J1820" s="40" t="str">
        <f>IF(Agent10_Savings!A27="","",Agent10_Savings!K27)</f>
        <v/>
      </c>
      <c r="K1820" s="40" t="str">
        <f>IFERROR(IF(Agent10_Savings!A27="","",YEAR(Agent10_Savings!D27)),"")</f>
        <v/>
      </c>
    </row>
    <row r="1821" spans="1:11" ht="18" customHeight="1" x14ac:dyDescent="0.25">
      <c r="A1821" s="40" t="str">
        <f>IF(Agent10_Savings!A28="","",Agent10_Savings!A28)</f>
        <v/>
      </c>
      <c r="B1821" s="40" t="str">
        <f ca="1">IF(Agent10_Savings!A28="","","SV"&amp;TEXT(1821-3,"0000")&amp;"-"&amp;TEXT(TODAY(),"YYYYMMDD"))</f>
        <v/>
      </c>
      <c r="C1821" s="40" t="str">
        <f>IF(Agent10_Savings!A28="","",Agent10_Savings!B28)</f>
        <v/>
      </c>
      <c r="D1821" s="40" t="str">
        <f>IF(Agent10_Savings!A28="","",Agent10_Savings!G28)</f>
        <v/>
      </c>
      <c r="E1821" s="41" t="str">
        <f>IF(Agent10_Savings!A28="","",Agent10_Savings!D28)</f>
        <v/>
      </c>
      <c r="F1821" s="42" t="str">
        <f>IF(Agent10_Savings!A28="","",Agent10_Savings!E28)</f>
        <v/>
      </c>
      <c r="G1821" s="42" t="str">
        <f>IF(Agent10_Savings!A28="","",Agent10_Savings!F28)</f>
        <v/>
      </c>
      <c r="H1821" s="40" t="str">
        <f>IF(Agent10_Savings!A28="","",Agent10_Savings!I28)</f>
        <v/>
      </c>
      <c r="I1821" s="40" t="str">
        <f>IF(Agent10_Savings!A28="","",Agent10_Savings!J28)</f>
        <v/>
      </c>
      <c r="J1821" s="40" t="str">
        <f>IF(Agent10_Savings!A28="","",Agent10_Savings!K28)</f>
        <v/>
      </c>
      <c r="K1821" s="40" t="str">
        <f>IFERROR(IF(Agent10_Savings!A28="","",YEAR(Agent10_Savings!D28)),"")</f>
        <v/>
      </c>
    </row>
    <row r="1822" spans="1:11" ht="18" customHeight="1" x14ac:dyDescent="0.25">
      <c r="A1822" s="40" t="str">
        <f>IF(Agent10_Savings!A29="","",Agent10_Savings!A29)</f>
        <v/>
      </c>
      <c r="B1822" s="40" t="str">
        <f ca="1">IF(Agent10_Savings!A29="","","SV"&amp;TEXT(1822-3,"0000")&amp;"-"&amp;TEXT(TODAY(),"YYYYMMDD"))</f>
        <v/>
      </c>
      <c r="C1822" s="40" t="str">
        <f>IF(Agent10_Savings!A29="","",Agent10_Savings!B29)</f>
        <v/>
      </c>
      <c r="D1822" s="40" t="str">
        <f>IF(Agent10_Savings!A29="","",Agent10_Savings!G29)</f>
        <v/>
      </c>
      <c r="E1822" s="41" t="str">
        <f>IF(Agent10_Savings!A29="","",Agent10_Savings!D29)</f>
        <v/>
      </c>
      <c r="F1822" s="42" t="str">
        <f>IF(Agent10_Savings!A29="","",Agent10_Savings!E29)</f>
        <v/>
      </c>
      <c r="G1822" s="42" t="str">
        <f>IF(Agent10_Savings!A29="","",Agent10_Savings!F29)</f>
        <v/>
      </c>
      <c r="H1822" s="40" t="str">
        <f>IF(Agent10_Savings!A29="","",Agent10_Savings!I29)</f>
        <v/>
      </c>
      <c r="I1822" s="40" t="str">
        <f>IF(Agent10_Savings!A29="","",Agent10_Savings!J29)</f>
        <v/>
      </c>
      <c r="J1822" s="40" t="str">
        <f>IF(Agent10_Savings!A29="","",Agent10_Savings!K29)</f>
        <v/>
      </c>
      <c r="K1822" s="40" t="str">
        <f>IFERROR(IF(Agent10_Savings!A29="","",YEAR(Agent10_Savings!D29)),"")</f>
        <v/>
      </c>
    </row>
    <row r="1823" spans="1:11" ht="18" customHeight="1" x14ac:dyDescent="0.25">
      <c r="A1823" s="40" t="str">
        <f>IF(Agent10_Savings!A30="","",Agent10_Savings!A30)</f>
        <v/>
      </c>
      <c r="B1823" s="40" t="str">
        <f ca="1">IF(Agent10_Savings!A30="","","SV"&amp;TEXT(1823-3,"0000")&amp;"-"&amp;TEXT(TODAY(),"YYYYMMDD"))</f>
        <v/>
      </c>
      <c r="C1823" s="40" t="str">
        <f>IF(Agent10_Savings!A30="","",Agent10_Savings!B30)</f>
        <v/>
      </c>
      <c r="D1823" s="40" t="str">
        <f>IF(Agent10_Savings!A30="","",Agent10_Savings!G30)</f>
        <v/>
      </c>
      <c r="E1823" s="41" t="str">
        <f>IF(Agent10_Savings!A30="","",Agent10_Savings!D30)</f>
        <v/>
      </c>
      <c r="F1823" s="42" t="str">
        <f>IF(Agent10_Savings!A30="","",Agent10_Savings!E30)</f>
        <v/>
      </c>
      <c r="G1823" s="42" t="str">
        <f>IF(Agent10_Savings!A30="","",Agent10_Savings!F30)</f>
        <v/>
      </c>
      <c r="H1823" s="40" t="str">
        <f>IF(Agent10_Savings!A30="","",Agent10_Savings!I30)</f>
        <v/>
      </c>
      <c r="I1823" s="40" t="str">
        <f>IF(Agent10_Savings!A30="","",Agent10_Savings!J30)</f>
        <v/>
      </c>
      <c r="J1823" s="40" t="str">
        <f>IF(Agent10_Savings!A30="","",Agent10_Savings!K30)</f>
        <v/>
      </c>
      <c r="K1823" s="40" t="str">
        <f>IFERROR(IF(Agent10_Savings!A30="","",YEAR(Agent10_Savings!D30)),"")</f>
        <v/>
      </c>
    </row>
    <row r="1824" spans="1:11" ht="18" customHeight="1" x14ac:dyDescent="0.25">
      <c r="A1824" s="40" t="str">
        <f>IF(Agent10_Savings!A31="","",Agent10_Savings!A31)</f>
        <v/>
      </c>
      <c r="B1824" s="40" t="str">
        <f ca="1">IF(Agent10_Savings!A31="","","SV"&amp;TEXT(1824-3,"0000")&amp;"-"&amp;TEXT(TODAY(),"YYYYMMDD"))</f>
        <v/>
      </c>
      <c r="C1824" s="40" t="str">
        <f>IF(Agent10_Savings!A31="","",Agent10_Savings!B31)</f>
        <v/>
      </c>
      <c r="D1824" s="40" t="str">
        <f>IF(Agent10_Savings!A31="","",Agent10_Savings!G31)</f>
        <v/>
      </c>
      <c r="E1824" s="41" t="str">
        <f>IF(Agent10_Savings!A31="","",Agent10_Savings!D31)</f>
        <v/>
      </c>
      <c r="F1824" s="42" t="str">
        <f>IF(Agent10_Savings!A31="","",Agent10_Savings!E31)</f>
        <v/>
      </c>
      <c r="G1824" s="42" t="str">
        <f>IF(Agent10_Savings!A31="","",Agent10_Savings!F31)</f>
        <v/>
      </c>
      <c r="H1824" s="40" t="str">
        <f>IF(Agent10_Savings!A31="","",Agent10_Savings!I31)</f>
        <v/>
      </c>
      <c r="I1824" s="40" t="str">
        <f>IF(Agent10_Savings!A31="","",Agent10_Savings!J31)</f>
        <v/>
      </c>
      <c r="J1824" s="40" t="str">
        <f>IF(Agent10_Savings!A31="","",Agent10_Savings!K31)</f>
        <v/>
      </c>
      <c r="K1824" s="40" t="str">
        <f>IFERROR(IF(Agent10_Savings!A31="","",YEAR(Agent10_Savings!D31)),"")</f>
        <v/>
      </c>
    </row>
    <row r="1825" spans="1:11" ht="18" customHeight="1" x14ac:dyDescent="0.25">
      <c r="A1825" s="40" t="str">
        <f>IF(Agent10_Savings!A32="","",Agent10_Savings!A32)</f>
        <v/>
      </c>
      <c r="B1825" s="40" t="str">
        <f ca="1">IF(Agent10_Savings!A32="","","SV"&amp;TEXT(1825-3,"0000")&amp;"-"&amp;TEXT(TODAY(),"YYYYMMDD"))</f>
        <v/>
      </c>
      <c r="C1825" s="40" t="str">
        <f>IF(Agent10_Savings!A32="","",Agent10_Savings!B32)</f>
        <v/>
      </c>
      <c r="D1825" s="40" t="str">
        <f>IF(Agent10_Savings!A32="","",Agent10_Savings!G32)</f>
        <v/>
      </c>
      <c r="E1825" s="41" t="str">
        <f>IF(Agent10_Savings!A32="","",Agent10_Savings!D32)</f>
        <v/>
      </c>
      <c r="F1825" s="42" t="str">
        <f>IF(Agent10_Savings!A32="","",Agent10_Savings!E32)</f>
        <v/>
      </c>
      <c r="G1825" s="42" t="str">
        <f>IF(Agent10_Savings!A32="","",Agent10_Savings!F32)</f>
        <v/>
      </c>
      <c r="H1825" s="40" t="str">
        <f>IF(Agent10_Savings!A32="","",Agent10_Savings!I32)</f>
        <v/>
      </c>
      <c r="I1825" s="40" t="str">
        <f>IF(Agent10_Savings!A32="","",Agent10_Savings!J32)</f>
        <v/>
      </c>
      <c r="J1825" s="40" t="str">
        <f>IF(Agent10_Savings!A32="","",Agent10_Savings!K32)</f>
        <v/>
      </c>
      <c r="K1825" s="40" t="str">
        <f>IFERROR(IF(Agent10_Savings!A32="","",YEAR(Agent10_Savings!D32)),"")</f>
        <v/>
      </c>
    </row>
    <row r="1826" spans="1:11" ht="18" customHeight="1" x14ac:dyDescent="0.25">
      <c r="A1826" s="40" t="str">
        <f>IF(Agent10_Savings!A33="","",Agent10_Savings!A33)</f>
        <v/>
      </c>
      <c r="B1826" s="40" t="str">
        <f ca="1">IF(Agent10_Savings!A33="","","SV"&amp;TEXT(1826-3,"0000")&amp;"-"&amp;TEXT(TODAY(),"YYYYMMDD"))</f>
        <v/>
      </c>
      <c r="C1826" s="40" t="str">
        <f>IF(Agent10_Savings!A33="","",Agent10_Savings!B33)</f>
        <v/>
      </c>
      <c r="D1826" s="40" t="str">
        <f>IF(Agent10_Savings!A33="","",Agent10_Savings!G33)</f>
        <v/>
      </c>
      <c r="E1826" s="41" t="str">
        <f>IF(Agent10_Savings!A33="","",Agent10_Savings!D33)</f>
        <v/>
      </c>
      <c r="F1826" s="42" t="str">
        <f>IF(Agent10_Savings!A33="","",Agent10_Savings!E33)</f>
        <v/>
      </c>
      <c r="G1826" s="42" t="str">
        <f>IF(Agent10_Savings!A33="","",Agent10_Savings!F33)</f>
        <v/>
      </c>
      <c r="H1826" s="40" t="str">
        <f>IF(Agent10_Savings!A33="","",Agent10_Savings!I33)</f>
        <v/>
      </c>
      <c r="I1826" s="40" t="str">
        <f>IF(Agent10_Savings!A33="","",Agent10_Savings!J33)</f>
        <v/>
      </c>
      <c r="J1826" s="40" t="str">
        <f>IF(Agent10_Savings!A33="","",Agent10_Savings!K33)</f>
        <v/>
      </c>
      <c r="K1826" s="40" t="str">
        <f>IFERROR(IF(Agent10_Savings!A33="","",YEAR(Agent10_Savings!D33)),"")</f>
        <v/>
      </c>
    </row>
    <row r="1827" spans="1:11" ht="18" customHeight="1" x14ac:dyDescent="0.25">
      <c r="A1827" s="40" t="str">
        <f>IF(Agent10_Savings!A34="","",Agent10_Savings!A34)</f>
        <v/>
      </c>
      <c r="B1827" s="40" t="str">
        <f ca="1">IF(Agent10_Savings!A34="","","SV"&amp;TEXT(1827-3,"0000")&amp;"-"&amp;TEXT(TODAY(),"YYYYMMDD"))</f>
        <v/>
      </c>
      <c r="C1827" s="40" t="str">
        <f>IF(Agent10_Savings!A34="","",Agent10_Savings!B34)</f>
        <v/>
      </c>
      <c r="D1827" s="40" t="str">
        <f>IF(Agent10_Savings!A34="","",Agent10_Savings!G34)</f>
        <v/>
      </c>
      <c r="E1827" s="41" t="str">
        <f>IF(Agent10_Savings!A34="","",Agent10_Savings!D34)</f>
        <v/>
      </c>
      <c r="F1827" s="42" t="str">
        <f>IF(Agent10_Savings!A34="","",Agent10_Savings!E34)</f>
        <v/>
      </c>
      <c r="G1827" s="42" t="str">
        <f>IF(Agent10_Savings!A34="","",Agent10_Savings!F34)</f>
        <v/>
      </c>
      <c r="H1827" s="40" t="str">
        <f>IF(Agent10_Savings!A34="","",Agent10_Savings!I34)</f>
        <v/>
      </c>
      <c r="I1827" s="40" t="str">
        <f>IF(Agent10_Savings!A34="","",Agent10_Savings!J34)</f>
        <v/>
      </c>
      <c r="J1827" s="40" t="str">
        <f>IF(Agent10_Savings!A34="","",Agent10_Savings!K34)</f>
        <v/>
      </c>
      <c r="K1827" s="40" t="str">
        <f>IFERROR(IF(Agent10_Savings!A34="","",YEAR(Agent10_Savings!D34)),"")</f>
        <v/>
      </c>
    </row>
    <row r="1828" spans="1:11" ht="18" customHeight="1" x14ac:dyDescent="0.25">
      <c r="A1828" s="40" t="str">
        <f>IF(Agent10_Savings!A35="","",Agent10_Savings!A35)</f>
        <v/>
      </c>
      <c r="B1828" s="40" t="str">
        <f ca="1">IF(Agent10_Savings!A35="","","SV"&amp;TEXT(1828-3,"0000")&amp;"-"&amp;TEXT(TODAY(),"YYYYMMDD"))</f>
        <v/>
      </c>
      <c r="C1828" s="40" t="str">
        <f>IF(Agent10_Savings!A35="","",Agent10_Savings!B35)</f>
        <v/>
      </c>
      <c r="D1828" s="40" t="str">
        <f>IF(Agent10_Savings!A35="","",Agent10_Savings!G35)</f>
        <v/>
      </c>
      <c r="E1828" s="41" t="str">
        <f>IF(Agent10_Savings!A35="","",Agent10_Savings!D35)</f>
        <v/>
      </c>
      <c r="F1828" s="42" t="str">
        <f>IF(Agent10_Savings!A35="","",Agent10_Savings!E35)</f>
        <v/>
      </c>
      <c r="G1828" s="42" t="str">
        <f>IF(Agent10_Savings!A35="","",Agent10_Savings!F35)</f>
        <v/>
      </c>
      <c r="H1828" s="40" t="str">
        <f>IF(Agent10_Savings!A35="","",Agent10_Savings!I35)</f>
        <v/>
      </c>
      <c r="I1828" s="40" t="str">
        <f>IF(Agent10_Savings!A35="","",Agent10_Savings!J35)</f>
        <v/>
      </c>
      <c r="J1828" s="40" t="str">
        <f>IF(Agent10_Savings!A35="","",Agent10_Savings!K35)</f>
        <v/>
      </c>
      <c r="K1828" s="40" t="str">
        <f>IFERROR(IF(Agent10_Savings!A35="","",YEAR(Agent10_Savings!D35)),"")</f>
        <v/>
      </c>
    </row>
    <row r="1829" spans="1:11" ht="18" customHeight="1" x14ac:dyDescent="0.25">
      <c r="A1829" s="40" t="str">
        <f>IF(Agent10_Savings!A36="","",Agent10_Savings!A36)</f>
        <v/>
      </c>
      <c r="B1829" s="40" t="str">
        <f ca="1">IF(Agent10_Savings!A36="","","SV"&amp;TEXT(1829-3,"0000")&amp;"-"&amp;TEXT(TODAY(),"YYYYMMDD"))</f>
        <v/>
      </c>
      <c r="C1829" s="40" t="str">
        <f>IF(Agent10_Savings!A36="","",Agent10_Savings!B36)</f>
        <v/>
      </c>
      <c r="D1829" s="40" t="str">
        <f>IF(Agent10_Savings!A36="","",Agent10_Savings!G36)</f>
        <v/>
      </c>
      <c r="E1829" s="41" t="str">
        <f>IF(Agent10_Savings!A36="","",Agent10_Savings!D36)</f>
        <v/>
      </c>
      <c r="F1829" s="42" t="str">
        <f>IF(Agent10_Savings!A36="","",Agent10_Savings!E36)</f>
        <v/>
      </c>
      <c r="G1829" s="42" t="str">
        <f>IF(Agent10_Savings!A36="","",Agent10_Savings!F36)</f>
        <v/>
      </c>
      <c r="H1829" s="40" t="str">
        <f>IF(Agent10_Savings!A36="","",Agent10_Savings!I36)</f>
        <v/>
      </c>
      <c r="I1829" s="40" t="str">
        <f>IF(Agent10_Savings!A36="","",Agent10_Savings!J36)</f>
        <v/>
      </c>
      <c r="J1829" s="40" t="str">
        <f>IF(Agent10_Savings!A36="","",Agent10_Savings!K36)</f>
        <v/>
      </c>
      <c r="K1829" s="40" t="str">
        <f>IFERROR(IF(Agent10_Savings!A36="","",YEAR(Agent10_Savings!D36)),"")</f>
        <v/>
      </c>
    </row>
    <row r="1830" spans="1:11" ht="18" customHeight="1" x14ac:dyDescent="0.25">
      <c r="A1830" s="40" t="str">
        <f>IF(Agent10_Savings!A37="","",Agent10_Savings!A37)</f>
        <v/>
      </c>
      <c r="B1830" s="40" t="str">
        <f ca="1">IF(Agent10_Savings!A37="","","SV"&amp;TEXT(1830-3,"0000")&amp;"-"&amp;TEXT(TODAY(),"YYYYMMDD"))</f>
        <v/>
      </c>
      <c r="C1830" s="40" t="str">
        <f>IF(Agent10_Savings!A37="","",Agent10_Savings!B37)</f>
        <v/>
      </c>
      <c r="D1830" s="40" t="str">
        <f>IF(Agent10_Savings!A37="","",Agent10_Savings!G37)</f>
        <v/>
      </c>
      <c r="E1830" s="41" t="str">
        <f>IF(Agent10_Savings!A37="","",Agent10_Savings!D37)</f>
        <v/>
      </c>
      <c r="F1830" s="42" t="str">
        <f>IF(Agent10_Savings!A37="","",Agent10_Savings!E37)</f>
        <v/>
      </c>
      <c r="G1830" s="42" t="str">
        <f>IF(Agent10_Savings!A37="","",Agent10_Savings!F37)</f>
        <v/>
      </c>
      <c r="H1830" s="40" t="str">
        <f>IF(Agent10_Savings!A37="","",Agent10_Savings!I37)</f>
        <v/>
      </c>
      <c r="I1830" s="40" t="str">
        <f>IF(Agent10_Savings!A37="","",Agent10_Savings!J37)</f>
        <v/>
      </c>
      <c r="J1830" s="40" t="str">
        <f>IF(Agent10_Savings!A37="","",Agent10_Savings!K37)</f>
        <v/>
      </c>
      <c r="K1830" s="40" t="str">
        <f>IFERROR(IF(Agent10_Savings!A37="","",YEAR(Agent10_Savings!D37)),"")</f>
        <v/>
      </c>
    </row>
    <row r="1831" spans="1:11" ht="18" customHeight="1" x14ac:dyDescent="0.25">
      <c r="A1831" s="40" t="str">
        <f>IF(Agent10_Savings!A38="","",Agent10_Savings!A38)</f>
        <v/>
      </c>
      <c r="B1831" s="40" t="str">
        <f ca="1">IF(Agent10_Savings!A38="","","SV"&amp;TEXT(1831-3,"0000")&amp;"-"&amp;TEXT(TODAY(),"YYYYMMDD"))</f>
        <v/>
      </c>
      <c r="C1831" s="40" t="str">
        <f>IF(Agent10_Savings!A38="","",Agent10_Savings!B38)</f>
        <v/>
      </c>
      <c r="D1831" s="40" t="str">
        <f>IF(Agent10_Savings!A38="","",Agent10_Savings!G38)</f>
        <v/>
      </c>
      <c r="E1831" s="41" t="str">
        <f>IF(Agent10_Savings!A38="","",Agent10_Savings!D38)</f>
        <v/>
      </c>
      <c r="F1831" s="42" t="str">
        <f>IF(Agent10_Savings!A38="","",Agent10_Savings!E38)</f>
        <v/>
      </c>
      <c r="G1831" s="42" t="str">
        <f>IF(Agent10_Savings!A38="","",Agent10_Savings!F38)</f>
        <v/>
      </c>
      <c r="H1831" s="40" t="str">
        <f>IF(Agent10_Savings!A38="","",Agent10_Savings!I38)</f>
        <v/>
      </c>
      <c r="I1831" s="40" t="str">
        <f>IF(Agent10_Savings!A38="","",Agent10_Savings!J38)</f>
        <v/>
      </c>
      <c r="J1831" s="40" t="str">
        <f>IF(Agent10_Savings!A38="","",Agent10_Savings!K38)</f>
        <v/>
      </c>
      <c r="K1831" s="40" t="str">
        <f>IFERROR(IF(Agent10_Savings!A38="","",YEAR(Agent10_Savings!D38)),"")</f>
        <v/>
      </c>
    </row>
    <row r="1832" spans="1:11" ht="18" customHeight="1" x14ac:dyDescent="0.25">
      <c r="A1832" s="40" t="str">
        <f>IF(Agent10_Savings!A39="","",Agent10_Savings!A39)</f>
        <v/>
      </c>
      <c r="B1832" s="40" t="str">
        <f ca="1">IF(Agent10_Savings!A39="","","SV"&amp;TEXT(1832-3,"0000")&amp;"-"&amp;TEXT(TODAY(),"YYYYMMDD"))</f>
        <v/>
      </c>
      <c r="C1832" s="40" t="str">
        <f>IF(Agent10_Savings!A39="","",Agent10_Savings!B39)</f>
        <v/>
      </c>
      <c r="D1832" s="40" t="str">
        <f>IF(Agent10_Savings!A39="","",Agent10_Savings!G39)</f>
        <v/>
      </c>
      <c r="E1832" s="41" t="str">
        <f>IF(Agent10_Savings!A39="","",Agent10_Savings!D39)</f>
        <v/>
      </c>
      <c r="F1832" s="42" t="str">
        <f>IF(Agent10_Savings!A39="","",Agent10_Savings!E39)</f>
        <v/>
      </c>
      <c r="G1832" s="42" t="str">
        <f>IF(Agent10_Savings!A39="","",Agent10_Savings!F39)</f>
        <v/>
      </c>
      <c r="H1832" s="40" t="str">
        <f>IF(Agent10_Savings!A39="","",Agent10_Savings!I39)</f>
        <v/>
      </c>
      <c r="I1832" s="40" t="str">
        <f>IF(Agent10_Savings!A39="","",Agent10_Savings!J39)</f>
        <v/>
      </c>
      <c r="J1832" s="40" t="str">
        <f>IF(Agent10_Savings!A39="","",Agent10_Savings!K39)</f>
        <v/>
      </c>
      <c r="K1832" s="40" t="str">
        <f>IFERROR(IF(Agent10_Savings!A39="","",YEAR(Agent10_Savings!D39)),"")</f>
        <v/>
      </c>
    </row>
    <row r="1833" spans="1:11" ht="18" customHeight="1" x14ac:dyDescent="0.25">
      <c r="A1833" s="40" t="str">
        <f>IF(Agent10_Savings!A40="","",Agent10_Savings!A40)</f>
        <v/>
      </c>
      <c r="B1833" s="40" t="str">
        <f ca="1">IF(Agent10_Savings!A40="","","SV"&amp;TEXT(1833-3,"0000")&amp;"-"&amp;TEXT(TODAY(),"YYYYMMDD"))</f>
        <v/>
      </c>
      <c r="C1833" s="40" t="str">
        <f>IF(Agent10_Savings!A40="","",Agent10_Savings!B40)</f>
        <v/>
      </c>
      <c r="D1833" s="40" t="str">
        <f>IF(Agent10_Savings!A40="","",Agent10_Savings!G40)</f>
        <v/>
      </c>
      <c r="E1833" s="41" t="str">
        <f>IF(Agent10_Savings!A40="","",Agent10_Savings!D40)</f>
        <v/>
      </c>
      <c r="F1833" s="42" t="str">
        <f>IF(Agent10_Savings!A40="","",Agent10_Savings!E40)</f>
        <v/>
      </c>
      <c r="G1833" s="42" t="str">
        <f>IF(Agent10_Savings!A40="","",Agent10_Savings!F40)</f>
        <v/>
      </c>
      <c r="H1833" s="40" t="str">
        <f>IF(Agent10_Savings!A40="","",Agent10_Savings!I40)</f>
        <v/>
      </c>
      <c r="I1833" s="40" t="str">
        <f>IF(Agent10_Savings!A40="","",Agent10_Savings!J40)</f>
        <v/>
      </c>
      <c r="J1833" s="40" t="str">
        <f>IF(Agent10_Savings!A40="","",Agent10_Savings!K40)</f>
        <v/>
      </c>
      <c r="K1833" s="40" t="str">
        <f>IFERROR(IF(Agent10_Savings!A40="","",YEAR(Agent10_Savings!D40)),"")</f>
        <v/>
      </c>
    </row>
    <row r="1834" spans="1:11" ht="18" customHeight="1" x14ac:dyDescent="0.25">
      <c r="A1834" s="40" t="str">
        <f>IF(Agent10_Savings!A41="","",Agent10_Savings!A41)</f>
        <v/>
      </c>
      <c r="B1834" s="40" t="str">
        <f ca="1">IF(Agent10_Savings!A41="","","SV"&amp;TEXT(1834-3,"0000")&amp;"-"&amp;TEXT(TODAY(),"YYYYMMDD"))</f>
        <v/>
      </c>
      <c r="C1834" s="40" t="str">
        <f>IF(Agent10_Savings!A41="","",Agent10_Savings!B41)</f>
        <v/>
      </c>
      <c r="D1834" s="40" t="str">
        <f>IF(Agent10_Savings!A41="","",Agent10_Savings!G41)</f>
        <v/>
      </c>
      <c r="E1834" s="41" t="str">
        <f>IF(Agent10_Savings!A41="","",Agent10_Savings!D41)</f>
        <v/>
      </c>
      <c r="F1834" s="42" t="str">
        <f>IF(Agent10_Savings!A41="","",Agent10_Savings!E41)</f>
        <v/>
      </c>
      <c r="G1834" s="42" t="str">
        <f>IF(Agent10_Savings!A41="","",Agent10_Savings!F41)</f>
        <v/>
      </c>
      <c r="H1834" s="40" t="str">
        <f>IF(Agent10_Savings!A41="","",Agent10_Savings!I41)</f>
        <v/>
      </c>
      <c r="I1834" s="40" t="str">
        <f>IF(Agent10_Savings!A41="","",Agent10_Savings!J41)</f>
        <v/>
      </c>
      <c r="J1834" s="40" t="str">
        <f>IF(Agent10_Savings!A41="","",Agent10_Savings!K41)</f>
        <v/>
      </c>
      <c r="K1834" s="40" t="str">
        <f>IFERROR(IF(Agent10_Savings!A41="","",YEAR(Agent10_Savings!D41)),"")</f>
        <v/>
      </c>
    </row>
    <row r="1835" spans="1:11" ht="18" customHeight="1" x14ac:dyDescent="0.25">
      <c r="A1835" s="40" t="str">
        <f>IF(Agent10_Savings!A42="","",Agent10_Savings!A42)</f>
        <v/>
      </c>
      <c r="B1835" s="40" t="str">
        <f ca="1">IF(Agent10_Savings!A42="","","SV"&amp;TEXT(1835-3,"0000")&amp;"-"&amp;TEXT(TODAY(),"YYYYMMDD"))</f>
        <v/>
      </c>
      <c r="C1835" s="40" t="str">
        <f>IF(Agent10_Savings!A42="","",Agent10_Savings!B42)</f>
        <v/>
      </c>
      <c r="D1835" s="40" t="str">
        <f>IF(Agent10_Savings!A42="","",Agent10_Savings!G42)</f>
        <v/>
      </c>
      <c r="E1835" s="41" t="str">
        <f>IF(Agent10_Savings!A42="","",Agent10_Savings!D42)</f>
        <v/>
      </c>
      <c r="F1835" s="42" t="str">
        <f>IF(Agent10_Savings!A42="","",Agent10_Savings!E42)</f>
        <v/>
      </c>
      <c r="G1835" s="42" t="str">
        <f>IF(Agent10_Savings!A42="","",Agent10_Savings!F42)</f>
        <v/>
      </c>
      <c r="H1835" s="40" t="str">
        <f>IF(Agent10_Savings!A42="","",Agent10_Savings!I42)</f>
        <v/>
      </c>
      <c r="I1835" s="40" t="str">
        <f>IF(Agent10_Savings!A42="","",Agent10_Savings!J42)</f>
        <v/>
      </c>
      <c r="J1835" s="40" t="str">
        <f>IF(Agent10_Savings!A42="","",Agent10_Savings!K42)</f>
        <v/>
      </c>
      <c r="K1835" s="40" t="str">
        <f>IFERROR(IF(Agent10_Savings!A42="","",YEAR(Agent10_Savings!D42)),"")</f>
        <v/>
      </c>
    </row>
    <row r="1836" spans="1:11" ht="18" customHeight="1" x14ac:dyDescent="0.25">
      <c r="A1836" s="40" t="str">
        <f>IF(Agent10_Savings!A43="","",Agent10_Savings!A43)</f>
        <v/>
      </c>
      <c r="B1836" s="40" t="str">
        <f ca="1">IF(Agent10_Savings!A43="","","SV"&amp;TEXT(1836-3,"0000")&amp;"-"&amp;TEXT(TODAY(),"YYYYMMDD"))</f>
        <v/>
      </c>
      <c r="C1836" s="40" t="str">
        <f>IF(Agent10_Savings!A43="","",Agent10_Savings!B43)</f>
        <v/>
      </c>
      <c r="D1836" s="40" t="str">
        <f>IF(Agent10_Savings!A43="","",Agent10_Savings!G43)</f>
        <v/>
      </c>
      <c r="E1836" s="41" t="str">
        <f>IF(Agent10_Savings!A43="","",Agent10_Savings!D43)</f>
        <v/>
      </c>
      <c r="F1836" s="42" t="str">
        <f>IF(Agent10_Savings!A43="","",Agent10_Savings!E43)</f>
        <v/>
      </c>
      <c r="G1836" s="42" t="str">
        <f>IF(Agent10_Savings!A43="","",Agent10_Savings!F43)</f>
        <v/>
      </c>
      <c r="H1836" s="40" t="str">
        <f>IF(Agent10_Savings!A43="","",Agent10_Savings!I43)</f>
        <v/>
      </c>
      <c r="I1836" s="40" t="str">
        <f>IF(Agent10_Savings!A43="","",Agent10_Savings!J43)</f>
        <v/>
      </c>
      <c r="J1836" s="40" t="str">
        <f>IF(Agent10_Savings!A43="","",Agent10_Savings!K43)</f>
        <v/>
      </c>
      <c r="K1836" s="40" t="str">
        <f>IFERROR(IF(Agent10_Savings!A43="","",YEAR(Agent10_Savings!D43)),"")</f>
        <v/>
      </c>
    </row>
    <row r="1837" spans="1:11" ht="18" customHeight="1" x14ac:dyDescent="0.25">
      <c r="A1837" s="40" t="str">
        <f>IF(Agent10_Savings!A44="","",Agent10_Savings!A44)</f>
        <v/>
      </c>
      <c r="B1837" s="40" t="str">
        <f ca="1">IF(Agent10_Savings!A44="","","SV"&amp;TEXT(1837-3,"0000")&amp;"-"&amp;TEXT(TODAY(),"YYYYMMDD"))</f>
        <v/>
      </c>
      <c r="C1837" s="40" t="str">
        <f>IF(Agent10_Savings!A44="","",Agent10_Savings!B44)</f>
        <v/>
      </c>
      <c r="D1837" s="40" t="str">
        <f>IF(Agent10_Savings!A44="","",Agent10_Savings!G44)</f>
        <v/>
      </c>
      <c r="E1837" s="41" t="str">
        <f>IF(Agent10_Savings!A44="","",Agent10_Savings!D44)</f>
        <v/>
      </c>
      <c r="F1837" s="42" t="str">
        <f>IF(Agent10_Savings!A44="","",Agent10_Savings!E44)</f>
        <v/>
      </c>
      <c r="G1837" s="42" t="str">
        <f>IF(Agent10_Savings!A44="","",Agent10_Savings!F44)</f>
        <v/>
      </c>
      <c r="H1837" s="40" t="str">
        <f>IF(Agent10_Savings!A44="","",Agent10_Savings!I44)</f>
        <v/>
      </c>
      <c r="I1837" s="40" t="str">
        <f>IF(Agent10_Savings!A44="","",Agent10_Savings!J44)</f>
        <v/>
      </c>
      <c r="J1837" s="40" t="str">
        <f>IF(Agent10_Savings!A44="","",Agent10_Savings!K44)</f>
        <v/>
      </c>
      <c r="K1837" s="40" t="str">
        <f>IFERROR(IF(Agent10_Savings!A44="","",YEAR(Agent10_Savings!D44)),"")</f>
        <v/>
      </c>
    </row>
    <row r="1838" spans="1:11" ht="18" customHeight="1" x14ac:dyDescent="0.25">
      <c r="A1838" s="40" t="str">
        <f>IF(Agent10_Savings!A45="","",Agent10_Savings!A45)</f>
        <v/>
      </c>
      <c r="B1838" s="40" t="str">
        <f ca="1">IF(Agent10_Savings!A45="","","SV"&amp;TEXT(1838-3,"0000")&amp;"-"&amp;TEXT(TODAY(),"YYYYMMDD"))</f>
        <v/>
      </c>
      <c r="C1838" s="40" t="str">
        <f>IF(Agent10_Savings!A45="","",Agent10_Savings!B45)</f>
        <v/>
      </c>
      <c r="D1838" s="40" t="str">
        <f>IF(Agent10_Savings!A45="","",Agent10_Savings!G45)</f>
        <v/>
      </c>
      <c r="E1838" s="41" t="str">
        <f>IF(Agent10_Savings!A45="","",Agent10_Savings!D45)</f>
        <v/>
      </c>
      <c r="F1838" s="42" t="str">
        <f>IF(Agent10_Savings!A45="","",Agent10_Savings!E45)</f>
        <v/>
      </c>
      <c r="G1838" s="42" t="str">
        <f>IF(Agent10_Savings!A45="","",Agent10_Savings!F45)</f>
        <v/>
      </c>
      <c r="H1838" s="40" t="str">
        <f>IF(Agent10_Savings!A45="","",Agent10_Savings!I45)</f>
        <v/>
      </c>
      <c r="I1838" s="40" t="str">
        <f>IF(Agent10_Savings!A45="","",Agent10_Savings!J45)</f>
        <v/>
      </c>
      <c r="J1838" s="40" t="str">
        <f>IF(Agent10_Savings!A45="","",Agent10_Savings!K45)</f>
        <v/>
      </c>
      <c r="K1838" s="40" t="str">
        <f>IFERROR(IF(Agent10_Savings!A45="","",YEAR(Agent10_Savings!D45)),"")</f>
        <v/>
      </c>
    </row>
    <row r="1839" spans="1:11" ht="18" customHeight="1" x14ac:dyDescent="0.25">
      <c r="A1839" s="40" t="str">
        <f>IF(Agent10_Savings!A46="","",Agent10_Savings!A46)</f>
        <v/>
      </c>
      <c r="B1839" s="40" t="str">
        <f ca="1">IF(Agent10_Savings!A46="","","SV"&amp;TEXT(1839-3,"0000")&amp;"-"&amp;TEXT(TODAY(),"YYYYMMDD"))</f>
        <v/>
      </c>
      <c r="C1839" s="40" t="str">
        <f>IF(Agent10_Savings!A46="","",Agent10_Savings!B46)</f>
        <v/>
      </c>
      <c r="D1839" s="40" t="str">
        <f>IF(Agent10_Savings!A46="","",Agent10_Savings!G46)</f>
        <v/>
      </c>
      <c r="E1839" s="41" t="str">
        <f>IF(Agent10_Savings!A46="","",Agent10_Savings!D46)</f>
        <v/>
      </c>
      <c r="F1839" s="42" t="str">
        <f>IF(Agent10_Savings!A46="","",Agent10_Savings!E46)</f>
        <v/>
      </c>
      <c r="G1839" s="42" t="str">
        <f>IF(Agent10_Savings!A46="","",Agent10_Savings!F46)</f>
        <v/>
      </c>
      <c r="H1839" s="40" t="str">
        <f>IF(Agent10_Savings!A46="","",Agent10_Savings!I46)</f>
        <v/>
      </c>
      <c r="I1839" s="40" t="str">
        <f>IF(Agent10_Savings!A46="","",Agent10_Savings!J46)</f>
        <v/>
      </c>
      <c r="J1839" s="40" t="str">
        <f>IF(Agent10_Savings!A46="","",Agent10_Savings!K46)</f>
        <v/>
      </c>
      <c r="K1839" s="40" t="str">
        <f>IFERROR(IF(Agent10_Savings!A46="","",YEAR(Agent10_Savings!D46)),"")</f>
        <v/>
      </c>
    </row>
    <row r="1840" spans="1:11" ht="18" customHeight="1" x14ac:dyDescent="0.25">
      <c r="A1840" s="40" t="str">
        <f>IF(Agent10_Savings!A47="","",Agent10_Savings!A47)</f>
        <v/>
      </c>
      <c r="B1840" s="40" t="str">
        <f ca="1">IF(Agent10_Savings!A47="","","SV"&amp;TEXT(1840-3,"0000")&amp;"-"&amp;TEXT(TODAY(),"YYYYMMDD"))</f>
        <v/>
      </c>
      <c r="C1840" s="40" t="str">
        <f>IF(Agent10_Savings!A47="","",Agent10_Savings!B47)</f>
        <v/>
      </c>
      <c r="D1840" s="40" t="str">
        <f>IF(Agent10_Savings!A47="","",Agent10_Savings!G47)</f>
        <v/>
      </c>
      <c r="E1840" s="41" t="str">
        <f>IF(Agent10_Savings!A47="","",Agent10_Savings!D47)</f>
        <v/>
      </c>
      <c r="F1840" s="42" t="str">
        <f>IF(Agent10_Savings!A47="","",Agent10_Savings!E47)</f>
        <v/>
      </c>
      <c r="G1840" s="42" t="str">
        <f>IF(Agent10_Savings!A47="","",Agent10_Savings!F47)</f>
        <v/>
      </c>
      <c r="H1840" s="40" t="str">
        <f>IF(Agent10_Savings!A47="","",Agent10_Savings!I47)</f>
        <v/>
      </c>
      <c r="I1840" s="40" t="str">
        <f>IF(Agent10_Savings!A47="","",Agent10_Savings!J47)</f>
        <v/>
      </c>
      <c r="J1840" s="40" t="str">
        <f>IF(Agent10_Savings!A47="","",Agent10_Savings!K47)</f>
        <v/>
      </c>
      <c r="K1840" s="40" t="str">
        <f>IFERROR(IF(Agent10_Savings!A47="","",YEAR(Agent10_Savings!D47)),"")</f>
        <v/>
      </c>
    </row>
    <row r="1841" spans="1:11" ht="18" customHeight="1" x14ac:dyDescent="0.25">
      <c r="A1841" s="40" t="str">
        <f>IF(Agent10_Savings!A48="","",Agent10_Savings!A48)</f>
        <v/>
      </c>
      <c r="B1841" s="40" t="str">
        <f ca="1">IF(Agent10_Savings!A48="","","SV"&amp;TEXT(1841-3,"0000")&amp;"-"&amp;TEXT(TODAY(),"YYYYMMDD"))</f>
        <v/>
      </c>
      <c r="C1841" s="40" t="str">
        <f>IF(Agent10_Savings!A48="","",Agent10_Savings!B48)</f>
        <v/>
      </c>
      <c r="D1841" s="40" t="str">
        <f>IF(Agent10_Savings!A48="","",Agent10_Savings!G48)</f>
        <v/>
      </c>
      <c r="E1841" s="41" t="str">
        <f>IF(Agent10_Savings!A48="","",Agent10_Savings!D48)</f>
        <v/>
      </c>
      <c r="F1841" s="42" t="str">
        <f>IF(Agent10_Savings!A48="","",Agent10_Savings!E48)</f>
        <v/>
      </c>
      <c r="G1841" s="42" t="str">
        <f>IF(Agent10_Savings!A48="","",Agent10_Savings!F48)</f>
        <v/>
      </c>
      <c r="H1841" s="40" t="str">
        <f>IF(Agent10_Savings!A48="","",Agent10_Savings!I48)</f>
        <v/>
      </c>
      <c r="I1841" s="40" t="str">
        <f>IF(Agent10_Savings!A48="","",Agent10_Savings!J48)</f>
        <v/>
      </c>
      <c r="J1841" s="40" t="str">
        <f>IF(Agent10_Savings!A48="","",Agent10_Savings!K48)</f>
        <v/>
      </c>
      <c r="K1841" s="40" t="str">
        <f>IFERROR(IF(Agent10_Savings!A48="","",YEAR(Agent10_Savings!D48)),"")</f>
        <v/>
      </c>
    </row>
    <row r="1842" spans="1:11" ht="18" customHeight="1" x14ac:dyDescent="0.25">
      <c r="A1842" s="40" t="str">
        <f>IF(Agent10_Savings!A49="","",Agent10_Savings!A49)</f>
        <v/>
      </c>
      <c r="B1842" s="40" t="str">
        <f ca="1">IF(Agent10_Savings!A49="","","SV"&amp;TEXT(1842-3,"0000")&amp;"-"&amp;TEXT(TODAY(),"YYYYMMDD"))</f>
        <v/>
      </c>
      <c r="C1842" s="40" t="str">
        <f>IF(Agent10_Savings!A49="","",Agent10_Savings!B49)</f>
        <v/>
      </c>
      <c r="D1842" s="40" t="str">
        <f>IF(Agent10_Savings!A49="","",Agent10_Savings!G49)</f>
        <v/>
      </c>
      <c r="E1842" s="41" t="str">
        <f>IF(Agent10_Savings!A49="","",Agent10_Savings!D49)</f>
        <v/>
      </c>
      <c r="F1842" s="42" t="str">
        <f>IF(Agent10_Savings!A49="","",Agent10_Savings!E49)</f>
        <v/>
      </c>
      <c r="G1842" s="42" t="str">
        <f>IF(Agent10_Savings!A49="","",Agent10_Savings!F49)</f>
        <v/>
      </c>
      <c r="H1842" s="40" t="str">
        <f>IF(Agent10_Savings!A49="","",Agent10_Savings!I49)</f>
        <v/>
      </c>
      <c r="I1842" s="40" t="str">
        <f>IF(Agent10_Savings!A49="","",Agent10_Savings!J49)</f>
        <v/>
      </c>
      <c r="J1842" s="40" t="str">
        <f>IF(Agent10_Savings!A49="","",Agent10_Savings!K49)</f>
        <v/>
      </c>
      <c r="K1842" s="40" t="str">
        <f>IFERROR(IF(Agent10_Savings!A49="","",YEAR(Agent10_Savings!D49)),"")</f>
        <v/>
      </c>
    </row>
    <row r="1843" spans="1:11" ht="18" customHeight="1" x14ac:dyDescent="0.25">
      <c r="A1843" s="40" t="str">
        <f>IF(Agent10_Savings!A50="","",Agent10_Savings!A50)</f>
        <v/>
      </c>
      <c r="B1843" s="40" t="str">
        <f ca="1">IF(Agent10_Savings!A50="","","SV"&amp;TEXT(1843-3,"0000")&amp;"-"&amp;TEXT(TODAY(),"YYYYMMDD"))</f>
        <v/>
      </c>
      <c r="C1843" s="40" t="str">
        <f>IF(Agent10_Savings!A50="","",Agent10_Savings!B50)</f>
        <v/>
      </c>
      <c r="D1843" s="40" t="str">
        <f>IF(Agent10_Savings!A50="","",Agent10_Savings!G50)</f>
        <v/>
      </c>
      <c r="E1843" s="41" t="str">
        <f>IF(Agent10_Savings!A50="","",Agent10_Savings!D50)</f>
        <v/>
      </c>
      <c r="F1843" s="42" t="str">
        <f>IF(Agent10_Savings!A50="","",Agent10_Savings!E50)</f>
        <v/>
      </c>
      <c r="G1843" s="42" t="str">
        <f>IF(Agent10_Savings!A50="","",Agent10_Savings!F50)</f>
        <v/>
      </c>
      <c r="H1843" s="40" t="str">
        <f>IF(Agent10_Savings!A50="","",Agent10_Savings!I50)</f>
        <v/>
      </c>
      <c r="I1843" s="40" t="str">
        <f>IF(Agent10_Savings!A50="","",Agent10_Savings!J50)</f>
        <v/>
      </c>
      <c r="J1843" s="40" t="str">
        <f>IF(Agent10_Savings!A50="","",Agent10_Savings!K50)</f>
        <v/>
      </c>
      <c r="K1843" s="40" t="str">
        <f>IFERROR(IF(Agent10_Savings!A50="","",YEAR(Agent10_Savings!D50)),"")</f>
        <v/>
      </c>
    </row>
    <row r="1844" spans="1:11" ht="18" customHeight="1" x14ac:dyDescent="0.25">
      <c r="A1844" s="40" t="str">
        <f>IF(Agent10_Savings!A51="","",Agent10_Savings!A51)</f>
        <v/>
      </c>
      <c r="B1844" s="40" t="str">
        <f ca="1">IF(Agent10_Savings!A51="","","SV"&amp;TEXT(1844-3,"0000")&amp;"-"&amp;TEXT(TODAY(),"YYYYMMDD"))</f>
        <v/>
      </c>
      <c r="C1844" s="40" t="str">
        <f>IF(Agent10_Savings!A51="","",Agent10_Savings!B51)</f>
        <v/>
      </c>
      <c r="D1844" s="40" t="str">
        <f>IF(Agent10_Savings!A51="","",Agent10_Savings!G51)</f>
        <v/>
      </c>
      <c r="E1844" s="41" t="str">
        <f>IF(Agent10_Savings!A51="","",Agent10_Savings!D51)</f>
        <v/>
      </c>
      <c r="F1844" s="42" t="str">
        <f>IF(Agent10_Savings!A51="","",Agent10_Savings!E51)</f>
        <v/>
      </c>
      <c r="G1844" s="42" t="str">
        <f>IF(Agent10_Savings!A51="","",Agent10_Savings!F51)</f>
        <v/>
      </c>
      <c r="H1844" s="40" t="str">
        <f>IF(Agent10_Savings!A51="","",Agent10_Savings!I51)</f>
        <v/>
      </c>
      <c r="I1844" s="40" t="str">
        <f>IF(Agent10_Savings!A51="","",Agent10_Savings!J51)</f>
        <v/>
      </c>
      <c r="J1844" s="40" t="str">
        <f>IF(Agent10_Savings!A51="","",Agent10_Savings!K51)</f>
        <v/>
      </c>
      <c r="K1844" s="40" t="str">
        <f>IFERROR(IF(Agent10_Savings!A51="","",YEAR(Agent10_Savings!D51)),"")</f>
        <v/>
      </c>
    </row>
    <row r="1845" spans="1:11" ht="18" customHeight="1" x14ac:dyDescent="0.25">
      <c r="A1845" s="40" t="str">
        <f>IF(Agent10_Savings!A52="","",Agent10_Savings!A52)</f>
        <v/>
      </c>
      <c r="B1845" s="40" t="str">
        <f ca="1">IF(Agent10_Savings!A52="","","SV"&amp;TEXT(1845-3,"0000")&amp;"-"&amp;TEXT(TODAY(),"YYYYMMDD"))</f>
        <v/>
      </c>
      <c r="C1845" s="40" t="str">
        <f>IF(Agent10_Savings!A52="","",Agent10_Savings!B52)</f>
        <v/>
      </c>
      <c r="D1845" s="40" t="str">
        <f>IF(Agent10_Savings!A52="","",Agent10_Savings!G52)</f>
        <v/>
      </c>
      <c r="E1845" s="41" t="str">
        <f>IF(Agent10_Savings!A52="","",Agent10_Savings!D52)</f>
        <v/>
      </c>
      <c r="F1845" s="42" t="str">
        <f>IF(Agent10_Savings!A52="","",Agent10_Savings!E52)</f>
        <v/>
      </c>
      <c r="G1845" s="42" t="str">
        <f>IF(Agent10_Savings!A52="","",Agent10_Savings!F52)</f>
        <v/>
      </c>
      <c r="H1845" s="40" t="str">
        <f>IF(Agent10_Savings!A52="","",Agent10_Savings!I52)</f>
        <v/>
      </c>
      <c r="I1845" s="40" t="str">
        <f>IF(Agent10_Savings!A52="","",Agent10_Savings!J52)</f>
        <v/>
      </c>
      <c r="J1845" s="40" t="str">
        <f>IF(Agent10_Savings!A52="","",Agent10_Savings!K52)</f>
        <v/>
      </c>
      <c r="K1845" s="40" t="str">
        <f>IFERROR(IF(Agent10_Savings!A52="","",YEAR(Agent10_Savings!D52)),"")</f>
        <v/>
      </c>
    </row>
    <row r="1846" spans="1:11" ht="18" customHeight="1" x14ac:dyDescent="0.25">
      <c r="A1846" s="40" t="str">
        <f>IF(Agent10_Savings!A53="","",Agent10_Savings!A53)</f>
        <v/>
      </c>
      <c r="B1846" s="40" t="str">
        <f ca="1">IF(Agent10_Savings!A53="","","SV"&amp;TEXT(1846-3,"0000")&amp;"-"&amp;TEXT(TODAY(),"YYYYMMDD"))</f>
        <v/>
      </c>
      <c r="C1846" s="40" t="str">
        <f>IF(Agent10_Savings!A53="","",Agent10_Savings!B53)</f>
        <v/>
      </c>
      <c r="D1846" s="40" t="str">
        <f>IF(Agent10_Savings!A53="","",Agent10_Savings!G53)</f>
        <v/>
      </c>
      <c r="E1846" s="41" t="str">
        <f>IF(Agent10_Savings!A53="","",Agent10_Savings!D53)</f>
        <v/>
      </c>
      <c r="F1846" s="42" t="str">
        <f>IF(Agent10_Savings!A53="","",Agent10_Savings!E53)</f>
        <v/>
      </c>
      <c r="G1846" s="42" t="str">
        <f>IF(Agent10_Savings!A53="","",Agent10_Savings!F53)</f>
        <v/>
      </c>
      <c r="H1846" s="40" t="str">
        <f>IF(Agent10_Savings!A53="","",Agent10_Savings!I53)</f>
        <v/>
      </c>
      <c r="I1846" s="40" t="str">
        <f>IF(Agent10_Savings!A53="","",Agent10_Savings!J53)</f>
        <v/>
      </c>
      <c r="J1846" s="40" t="str">
        <f>IF(Agent10_Savings!A53="","",Agent10_Savings!K53)</f>
        <v/>
      </c>
      <c r="K1846" s="40" t="str">
        <f>IFERROR(IF(Agent10_Savings!A53="","",YEAR(Agent10_Savings!D53)),"")</f>
        <v/>
      </c>
    </row>
    <row r="1847" spans="1:11" ht="18" customHeight="1" x14ac:dyDescent="0.25">
      <c r="A1847" s="40" t="str">
        <f>IF(Agent10_Savings!A54="","",Agent10_Savings!A54)</f>
        <v/>
      </c>
      <c r="B1847" s="40" t="str">
        <f ca="1">IF(Agent10_Savings!A54="","","SV"&amp;TEXT(1847-3,"0000")&amp;"-"&amp;TEXT(TODAY(),"YYYYMMDD"))</f>
        <v/>
      </c>
      <c r="C1847" s="40" t="str">
        <f>IF(Agent10_Savings!A54="","",Agent10_Savings!B54)</f>
        <v/>
      </c>
      <c r="D1847" s="40" t="str">
        <f>IF(Agent10_Savings!A54="","",Agent10_Savings!G54)</f>
        <v/>
      </c>
      <c r="E1847" s="41" t="str">
        <f>IF(Agent10_Savings!A54="","",Agent10_Savings!D54)</f>
        <v/>
      </c>
      <c r="F1847" s="42" t="str">
        <f>IF(Agent10_Savings!A54="","",Agent10_Savings!E54)</f>
        <v/>
      </c>
      <c r="G1847" s="42" t="str">
        <f>IF(Agent10_Savings!A54="","",Agent10_Savings!F54)</f>
        <v/>
      </c>
      <c r="H1847" s="40" t="str">
        <f>IF(Agent10_Savings!A54="","",Agent10_Savings!I54)</f>
        <v/>
      </c>
      <c r="I1847" s="40" t="str">
        <f>IF(Agent10_Savings!A54="","",Agent10_Savings!J54)</f>
        <v/>
      </c>
      <c r="J1847" s="40" t="str">
        <f>IF(Agent10_Savings!A54="","",Agent10_Savings!K54)</f>
        <v/>
      </c>
      <c r="K1847" s="40" t="str">
        <f>IFERROR(IF(Agent10_Savings!A54="","",YEAR(Agent10_Savings!D54)),"")</f>
        <v/>
      </c>
    </row>
    <row r="1848" spans="1:11" ht="18" customHeight="1" x14ac:dyDescent="0.25">
      <c r="A1848" s="40" t="str">
        <f>IF(Agent10_Savings!A55="","",Agent10_Savings!A55)</f>
        <v/>
      </c>
      <c r="B1848" s="40" t="str">
        <f ca="1">IF(Agent10_Savings!A55="","","SV"&amp;TEXT(1848-3,"0000")&amp;"-"&amp;TEXT(TODAY(),"YYYYMMDD"))</f>
        <v/>
      </c>
      <c r="C1848" s="40" t="str">
        <f>IF(Agent10_Savings!A55="","",Agent10_Savings!B55)</f>
        <v/>
      </c>
      <c r="D1848" s="40" t="str">
        <f>IF(Agent10_Savings!A55="","",Agent10_Savings!G55)</f>
        <v/>
      </c>
      <c r="E1848" s="41" t="str">
        <f>IF(Agent10_Savings!A55="","",Agent10_Savings!D55)</f>
        <v/>
      </c>
      <c r="F1848" s="42" t="str">
        <f>IF(Agent10_Savings!A55="","",Agent10_Savings!E55)</f>
        <v/>
      </c>
      <c r="G1848" s="42" t="str">
        <f>IF(Agent10_Savings!A55="","",Agent10_Savings!F55)</f>
        <v/>
      </c>
      <c r="H1848" s="40" t="str">
        <f>IF(Agent10_Savings!A55="","",Agent10_Savings!I55)</f>
        <v/>
      </c>
      <c r="I1848" s="40" t="str">
        <f>IF(Agent10_Savings!A55="","",Agent10_Savings!J55)</f>
        <v/>
      </c>
      <c r="J1848" s="40" t="str">
        <f>IF(Agent10_Savings!A55="","",Agent10_Savings!K55)</f>
        <v/>
      </c>
      <c r="K1848" s="40" t="str">
        <f>IFERROR(IF(Agent10_Savings!A55="","",YEAR(Agent10_Savings!D55)),"")</f>
        <v/>
      </c>
    </row>
    <row r="1849" spans="1:11" ht="18" customHeight="1" x14ac:dyDescent="0.25">
      <c r="A1849" s="40" t="str">
        <f>IF(Agent10_Savings!A56="","",Agent10_Savings!A56)</f>
        <v/>
      </c>
      <c r="B1849" s="40" t="str">
        <f ca="1">IF(Agent10_Savings!A56="","","SV"&amp;TEXT(1849-3,"0000")&amp;"-"&amp;TEXT(TODAY(),"YYYYMMDD"))</f>
        <v/>
      </c>
      <c r="C1849" s="40" t="str">
        <f>IF(Agent10_Savings!A56="","",Agent10_Savings!B56)</f>
        <v/>
      </c>
      <c r="D1849" s="40" t="str">
        <f>IF(Agent10_Savings!A56="","",Agent10_Savings!G56)</f>
        <v/>
      </c>
      <c r="E1849" s="41" t="str">
        <f>IF(Agent10_Savings!A56="","",Agent10_Savings!D56)</f>
        <v/>
      </c>
      <c r="F1849" s="42" t="str">
        <f>IF(Agent10_Savings!A56="","",Agent10_Savings!E56)</f>
        <v/>
      </c>
      <c r="G1849" s="42" t="str">
        <f>IF(Agent10_Savings!A56="","",Agent10_Savings!F56)</f>
        <v/>
      </c>
      <c r="H1849" s="40" t="str">
        <f>IF(Agent10_Savings!A56="","",Agent10_Savings!I56)</f>
        <v/>
      </c>
      <c r="I1849" s="40" t="str">
        <f>IF(Agent10_Savings!A56="","",Agent10_Savings!J56)</f>
        <v/>
      </c>
      <c r="J1849" s="40" t="str">
        <f>IF(Agent10_Savings!A56="","",Agent10_Savings!K56)</f>
        <v/>
      </c>
      <c r="K1849" s="40" t="str">
        <f>IFERROR(IF(Agent10_Savings!A56="","",YEAR(Agent10_Savings!D56)),"")</f>
        <v/>
      </c>
    </row>
    <row r="1850" spans="1:11" ht="18" customHeight="1" x14ac:dyDescent="0.25">
      <c r="A1850" s="40" t="str">
        <f>IF(Agent10_Savings!A57="","",Agent10_Savings!A57)</f>
        <v/>
      </c>
      <c r="B1850" s="40" t="str">
        <f ca="1">IF(Agent10_Savings!A57="","","SV"&amp;TEXT(1850-3,"0000")&amp;"-"&amp;TEXT(TODAY(),"YYYYMMDD"))</f>
        <v/>
      </c>
      <c r="C1850" s="40" t="str">
        <f>IF(Agent10_Savings!A57="","",Agent10_Savings!B57)</f>
        <v/>
      </c>
      <c r="D1850" s="40" t="str">
        <f>IF(Agent10_Savings!A57="","",Agent10_Savings!G57)</f>
        <v/>
      </c>
      <c r="E1850" s="41" t="str">
        <f>IF(Agent10_Savings!A57="","",Agent10_Savings!D57)</f>
        <v/>
      </c>
      <c r="F1850" s="42" t="str">
        <f>IF(Agent10_Savings!A57="","",Agent10_Savings!E57)</f>
        <v/>
      </c>
      <c r="G1850" s="42" t="str">
        <f>IF(Agent10_Savings!A57="","",Agent10_Savings!F57)</f>
        <v/>
      </c>
      <c r="H1850" s="40" t="str">
        <f>IF(Agent10_Savings!A57="","",Agent10_Savings!I57)</f>
        <v/>
      </c>
      <c r="I1850" s="40" t="str">
        <f>IF(Agent10_Savings!A57="","",Agent10_Savings!J57)</f>
        <v/>
      </c>
      <c r="J1850" s="40" t="str">
        <f>IF(Agent10_Savings!A57="","",Agent10_Savings!K57)</f>
        <v/>
      </c>
      <c r="K1850" s="40" t="str">
        <f>IFERROR(IF(Agent10_Savings!A57="","",YEAR(Agent10_Savings!D57)),"")</f>
        <v/>
      </c>
    </row>
    <row r="1851" spans="1:11" ht="18" customHeight="1" x14ac:dyDescent="0.25">
      <c r="A1851" s="40" t="str">
        <f>IF(Agent10_Savings!A58="","",Agent10_Savings!A58)</f>
        <v/>
      </c>
      <c r="B1851" s="40" t="str">
        <f ca="1">IF(Agent10_Savings!A58="","","SV"&amp;TEXT(1851-3,"0000")&amp;"-"&amp;TEXT(TODAY(),"YYYYMMDD"))</f>
        <v/>
      </c>
      <c r="C1851" s="40" t="str">
        <f>IF(Agent10_Savings!A58="","",Agent10_Savings!B58)</f>
        <v/>
      </c>
      <c r="D1851" s="40" t="str">
        <f>IF(Agent10_Savings!A58="","",Agent10_Savings!G58)</f>
        <v/>
      </c>
      <c r="E1851" s="41" t="str">
        <f>IF(Agent10_Savings!A58="","",Agent10_Savings!D58)</f>
        <v/>
      </c>
      <c r="F1851" s="42" t="str">
        <f>IF(Agent10_Savings!A58="","",Agent10_Savings!E58)</f>
        <v/>
      </c>
      <c r="G1851" s="42" t="str">
        <f>IF(Agent10_Savings!A58="","",Agent10_Savings!F58)</f>
        <v/>
      </c>
      <c r="H1851" s="40" t="str">
        <f>IF(Agent10_Savings!A58="","",Agent10_Savings!I58)</f>
        <v/>
      </c>
      <c r="I1851" s="40" t="str">
        <f>IF(Agent10_Savings!A58="","",Agent10_Savings!J58)</f>
        <v/>
      </c>
      <c r="J1851" s="40" t="str">
        <f>IF(Agent10_Savings!A58="","",Agent10_Savings!K58)</f>
        <v/>
      </c>
      <c r="K1851" s="40" t="str">
        <f>IFERROR(IF(Agent10_Savings!A58="","",YEAR(Agent10_Savings!D58)),"")</f>
        <v/>
      </c>
    </row>
    <row r="1852" spans="1:11" ht="18" customHeight="1" x14ac:dyDescent="0.25">
      <c r="A1852" s="40" t="str">
        <f>IF(Agent10_Savings!A59="","",Agent10_Savings!A59)</f>
        <v/>
      </c>
      <c r="B1852" s="40" t="str">
        <f ca="1">IF(Agent10_Savings!A59="","","SV"&amp;TEXT(1852-3,"0000")&amp;"-"&amp;TEXT(TODAY(),"YYYYMMDD"))</f>
        <v/>
      </c>
      <c r="C1852" s="40" t="str">
        <f>IF(Agent10_Savings!A59="","",Agent10_Savings!B59)</f>
        <v/>
      </c>
      <c r="D1852" s="40" t="str">
        <f>IF(Agent10_Savings!A59="","",Agent10_Savings!G59)</f>
        <v/>
      </c>
      <c r="E1852" s="41" t="str">
        <f>IF(Agent10_Savings!A59="","",Agent10_Savings!D59)</f>
        <v/>
      </c>
      <c r="F1852" s="42" t="str">
        <f>IF(Agent10_Savings!A59="","",Agent10_Savings!E59)</f>
        <v/>
      </c>
      <c r="G1852" s="42" t="str">
        <f>IF(Agent10_Savings!A59="","",Agent10_Savings!F59)</f>
        <v/>
      </c>
      <c r="H1852" s="40" t="str">
        <f>IF(Agent10_Savings!A59="","",Agent10_Savings!I59)</f>
        <v/>
      </c>
      <c r="I1852" s="40" t="str">
        <f>IF(Agent10_Savings!A59="","",Agent10_Savings!J59)</f>
        <v/>
      </c>
      <c r="J1852" s="40" t="str">
        <f>IF(Agent10_Savings!A59="","",Agent10_Savings!K59)</f>
        <v/>
      </c>
      <c r="K1852" s="40" t="str">
        <f>IFERROR(IF(Agent10_Savings!A59="","",YEAR(Agent10_Savings!D59)),"")</f>
        <v/>
      </c>
    </row>
    <row r="1853" spans="1:11" ht="18" customHeight="1" x14ac:dyDescent="0.25">
      <c r="A1853" s="40" t="str">
        <f>IF(Agent10_Savings!A60="","",Agent10_Savings!A60)</f>
        <v/>
      </c>
      <c r="B1853" s="40" t="str">
        <f ca="1">IF(Agent10_Savings!A60="","","SV"&amp;TEXT(1853-3,"0000")&amp;"-"&amp;TEXT(TODAY(),"YYYYMMDD"))</f>
        <v/>
      </c>
      <c r="C1853" s="40" t="str">
        <f>IF(Agent10_Savings!A60="","",Agent10_Savings!B60)</f>
        <v/>
      </c>
      <c r="D1853" s="40" t="str">
        <f>IF(Agent10_Savings!A60="","",Agent10_Savings!G60)</f>
        <v/>
      </c>
      <c r="E1853" s="41" t="str">
        <f>IF(Agent10_Savings!A60="","",Agent10_Savings!D60)</f>
        <v/>
      </c>
      <c r="F1853" s="42" t="str">
        <f>IF(Agent10_Savings!A60="","",Agent10_Savings!E60)</f>
        <v/>
      </c>
      <c r="G1853" s="42" t="str">
        <f>IF(Agent10_Savings!A60="","",Agent10_Savings!F60)</f>
        <v/>
      </c>
      <c r="H1853" s="40" t="str">
        <f>IF(Agent10_Savings!A60="","",Agent10_Savings!I60)</f>
        <v/>
      </c>
      <c r="I1853" s="40" t="str">
        <f>IF(Agent10_Savings!A60="","",Agent10_Savings!J60)</f>
        <v/>
      </c>
      <c r="J1853" s="40" t="str">
        <f>IF(Agent10_Savings!A60="","",Agent10_Savings!K60)</f>
        <v/>
      </c>
      <c r="K1853" s="40" t="str">
        <f>IFERROR(IF(Agent10_Savings!A60="","",YEAR(Agent10_Savings!D60)),"")</f>
        <v/>
      </c>
    </row>
    <row r="1854" spans="1:11" ht="18" customHeight="1" x14ac:dyDescent="0.25">
      <c r="A1854" s="40" t="str">
        <f>IF(Agent10_Savings!A61="","",Agent10_Savings!A61)</f>
        <v/>
      </c>
      <c r="B1854" s="40" t="str">
        <f ca="1">IF(Agent10_Savings!A61="","","SV"&amp;TEXT(1854-3,"0000")&amp;"-"&amp;TEXT(TODAY(),"YYYYMMDD"))</f>
        <v/>
      </c>
      <c r="C1854" s="40" t="str">
        <f>IF(Agent10_Savings!A61="","",Agent10_Savings!B61)</f>
        <v/>
      </c>
      <c r="D1854" s="40" t="str">
        <f>IF(Agent10_Savings!A61="","",Agent10_Savings!G61)</f>
        <v/>
      </c>
      <c r="E1854" s="41" t="str">
        <f>IF(Agent10_Savings!A61="","",Agent10_Savings!D61)</f>
        <v/>
      </c>
      <c r="F1854" s="42" t="str">
        <f>IF(Agent10_Savings!A61="","",Agent10_Savings!E61)</f>
        <v/>
      </c>
      <c r="G1854" s="42" t="str">
        <f>IF(Agent10_Savings!A61="","",Agent10_Savings!F61)</f>
        <v/>
      </c>
      <c r="H1854" s="40" t="str">
        <f>IF(Agent10_Savings!A61="","",Agent10_Savings!I61)</f>
        <v/>
      </c>
      <c r="I1854" s="40" t="str">
        <f>IF(Agent10_Savings!A61="","",Agent10_Savings!J61)</f>
        <v/>
      </c>
      <c r="J1854" s="40" t="str">
        <f>IF(Agent10_Savings!A61="","",Agent10_Savings!K61)</f>
        <v/>
      </c>
      <c r="K1854" s="40" t="str">
        <f>IFERROR(IF(Agent10_Savings!A61="","",YEAR(Agent10_Savings!D61)),"")</f>
        <v/>
      </c>
    </row>
    <row r="1855" spans="1:11" ht="18" customHeight="1" x14ac:dyDescent="0.25">
      <c r="A1855" s="40" t="str">
        <f>IF(Agent10_Savings!A62="","",Agent10_Savings!A62)</f>
        <v/>
      </c>
      <c r="B1855" s="40" t="str">
        <f ca="1">IF(Agent10_Savings!A62="","","SV"&amp;TEXT(1855-3,"0000")&amp;"-"&amp;TEXT(TODAY(),"YYYYMMDD"))</f>
        <v/>
      </c>
      <c r="C1855" s="40" t="str">
        <f>IF(Agent10_Savings!A62="","",Agent10_Savings!B62)</f>
        <v/>
      </c>
      <c r="D1855" s="40" t="str">
        <f>IF(Agent10_Savings!A62="","",Agent10_Savings!G62)</f>
        <v/>
      </c>
      <c r="E1855" s="41" t="str">
        <f>IF(Agent10_Savings!A62="","",Agent10_Savings!D62)</f>
        <v/>
      </c>
      <c r="F1855" s="42" t="str">
        <f>IF(Agent10_Savings!A62="","",Agent10_Savings!E62)</f>
        <v/>
      </c>
      <c r="G1855" s="42" t="str">
        <f>IF(Agent10_Savings!A62="","",Agent10_Savings!F62)</f>
        <v/>
      </c>
      <c r="H1855" s="40" t="str">
        <f>IF(Agent10_Savings!A62="","",Agent10_Savings!I62)</f>
        <v/>
      </c>
      <c r="I1855" s="40" t="str">
        <f>IF(Agent10_Savings!A62="","",Agent10_Savings!J62)</f>
        <v/>
      </c>
      <c r="J1855" s="40" t="str">
        <f>IF(Agent10_Savings!A62="","",Agent10_Savings!K62)</f>
        <v/>
      </c>
      <c r="K1855" s="40" t="str">
        <f>IFERROR(IF(Agent10_Savings!A62="","",YEAR(Agent10_Savings!D62)),"")</f>
        <v/>
      </c>
    </row>
    <row r="1856" spans="1:11" ht="18" customHeight="1" x14ac:dyDescent="0.25">
      <c r="A1856" s="40" t="str">
        <f>IF(Agent10_Savings!A63="","",Agent10_Savings!A63)</f>
        <v/>
      </c>
      <c r="B1856" s="40" t="str">
        <f ca="1">IF(Agent10_Savings!A63="","","SV"&amp;TEXT(1856-3,"0000")&amp;"-"&amp;TEXT(TODAY(),"YYYYMMDD"))</f>
        <v/>
      </c>
      <c r="C1856" s="40" t="str">
        <f>IF(Agent10_Savings!A63="","",Agent10_Savings!B63)</f>
        <v/>
      </c>
      <c r="D1856" s="40" t="str">
        <f>IF(Agent10_Savings!A63="","",Agent10_Savings!G63)</f>
        <v/>
      </c>
      <c r="E1856" s="41" t="str">
        <f>IF(Agent10_Savings!A63="","",Agent10_Savings!D63)</f>
        <v/>
      </c>
      <c r="F1856" s="42" t="str">
        <f>IF(Agent10_Savings!A63="","",Agent10_Savings!E63)</f>
        <v/>
      </c>
      <c r="G1856" s="42" t="str">
        <f>IF(Agent10_Savings!A63="","",Agent10_Savings!F63)</f>
        <v/>
      </c>
      <c r="H1856" s="40" t="str">
        <f>IF(Agent10_Savings!A63="","",Agent10_Savings!I63)</f>
        <v/>
      </c>
      <c r="I1856" s="40" t="str">
        <f>IF(Agent10_Savings!A63="","",Agent10_Savings!J63)</f>
        <v/>
      </c>
      <c r="J1856" s="40" t="str">
        <f>IF(Agent10_Savings!A63="","",Agent10_Savings!K63)</f>
        <v/>
      </c>
      <c r="K1856" s="40" t="str">
        <f>IFERROR(IF(Agent10_Savings!A63="","",YEAR(Agent10_Savings!D63)),"")</f>
        <v/>
      </c>
    </row>
    <row r="1857" spans="1:11" ht="18" customHeight="1" x14ac:dyDescent="0.25">
      <c r="A1857" s="40" t="str">
        <f>IF(Agent10_Savings!A64="","",Agent10_Savings!A64)</f>
        <v/>
      </c>
      <c r="B1857" s="40" t="str">
        <f ca="1">IF(Agent10_Savings!A64="","","SV"&amp;TEXT(1857-3,"0000")&amp;"-"&amp;TEXT(TODAY(),"YYYYMMDD"))</f>
        <v/>
      </c>
      <c r="C1857" s="40" t="str">
        <f>IF(Agent10_Savings!A64="","",Agent10_Savings!B64)</f>
        <v/>
      </c>
      <c r="D1857" s="40" t="str">
        <f>IF(Agent10_Savings!A64="","",Agent10_Savings!G64)</f>
        <v/>
      </c>
      <c r="E1857" s="41" t="str">
        <f>IF(Agent10_Savings!A64="","",Agent10_Savings!D64)</f>
        <v/>
      </c>
      <c r="F1857" s="42" t="str">
        <f>IF(Agent10_Savings!A64="","",Agent10_Savings!E64)</f>
        <v/>
      </c>
      <c r="G1857" s="42" t="str">
        <f>IF(Agent10_Savings!A64="","",Agent10_Savings!F64)</f>
        <v/>
      </c>
      <c r="H1857" s="40" t="str">
        <f>IF(Agent10_Savings!A64="","",Agent10_Savings!I64)</f>
        <v/>
      </c>
      <c r="I1857" s="40" t="str">
        <f>IF(Agent10_Savings!A64="","",Agent10_Savings!J64)</f>
        <v/>
      </c>
      <c r="J1857" s="40" t="str">
        <f>IF(Agent10_Savings!A64="","",Agent10_Savings!K64)</f>
        <v/>
      </c>
      <c r="K1857" s="40" t="str">
        <f>IFERROR(IF(Agent10_Savings!A64="","",YEAR(Agent10_Savings!D64)),"")</f>
        <v/>
      </c>
    </row>
    <row r="1858" spans="1:11" ht="18" customHeight="1" x14ac:dyDescent="0.25">
      <c r="A1858" s="40" t="str">
        <f>IF(Agent10_Savings!A65="","",Agent10_Savings!A65)</f>
        <v/>
      </c>
      <c r="B1858" s="40" t="str">
        <f ca="1">IF(Agent10_Savings!A65="","","SV"&amp;TEXT(1858-3,"0000")&amp;"-"&amp;TEXT(TODAY(),"YYYYMMDD"))</f>
        <v/>
      </c>
      <c r="C1858" s="40" t="str">
        <f>IF(Agent10_Savings!A65="","",Agent10_Savings!B65)</f>
        <v/>
      </c>
      <c r="D1858" s="40" t="str">
        <f>IF(Agent10_Savings!A65="","",Agent10_Savings!G65)</f>
        <v/>
      </c>
      <c r="E1858" s="41" t="str">
        <f>IF(Agent10_Savings!A65="","",Agent10_Savings!D65)</f>
        <v/>
      </c>
      <c r="F1858" s="42" t="str">
        <f>IF(Agent10_Savings!A65="","",Agent10_Savings!E65)</f>
        <v/>
      </c>
      <c r="G1858" s="42" t="str">
        <f>IF(Agent10_Savings!A65="","",Agent10_Savings!F65)</f>
        <v/>
      </c>
      <c r="H1858" s="40" t="str">
        <f>IF(Agent10_Savings!A65="","",Agent10_Savings!I65)</f>
        <v/>
      </c>
      <c r="I1858" s="40" t="str">
        <f>IF(Agent10_Savings!A65="","",Agent10_Savings!J65)</f>
        <v/>
      </c>
      <c r="J1858" s="40" t="str">
        <f>IF(Agent10_Savings!A65="","",Agent10_Savings!K65)</f>
        <v/>
      </c>
      <c r="K1858" s="40" t="str">
        <f>IFERROR(IF(Agent10_Savings!A65="","",YEAR(Agent10_Savings!D65)),"")</f>
        <v/>
      </c>
    </row>
    <row r="1859" spans="1:11" ht="18" customHeight="1" x14ac:dyDescent="0.25">
      <c r="A1859" s="40" t="str">
        <f>IF(Agent10_Savings!A66="","",Agent10_Savings!A66)</f>
        <v/>
      </c>
      <c r="B1859" s="40" t="str">
        <f ca="1">IF(Agent10_Savings!A66="","","SV"&amp;TEXT(1859-3,"0000")&amp;"-"&amp;TEXT(TODAY(),"YYYYMMDD"))</f>
        <v/>
      </c>
      <c r="C1859" s="40" t="str">
        <f>IF(Agent10_Savings!A66="","",Agent10_Savings!B66)</f>
        <v/>
      </c>
      <c r="D1859" s="40" t="str">
        <f>IF(Agent10_Savings!A66="","",Agent10_Savings!G66)</f>
        <v/>
      </c>
      <c r="E1859" s="41" t="str">
        <f>IF(Agent10_Savings!A66="","",Agent10_Savings!D66)</f>
        <v/>
      </c>
      <c r="F1859" s="42" t="str">
        <f>IF(Agent10_Savings!A66="","",Agent10_Savings!E66)</f>
        <v/>
      </c>
      <c r="G1859" s="42" t="str">
        <f>IF(Agent10_Savings!A66="","",Agent10_Savings!F66)</f>
        <v/>
      </c>
      <c r="H1859" s="40" t="str">
        <f>IF(Agent10_Savings!A66="","",Agent10_Savings!I66)</f>
        <v/>
      </c>
      <c r="I1859" s="40" t="str">
        <f>IF(Agent10_Savings!A66="","",Agent10_Savings!J66)</f>
        <v/>
      </c>
      <c r="J1859" s="40" t="str">
        <f>IF(Agent10_Savings!A66="","",Agent10_Savings!K66)</f>
        <v/>
      </c>
      <c r="K1859" s="40" t="str">
        <f>IFERROR(IF(Agent10_Savings!A66="","",YEAR(Agent10_Savings!D66)),"")</f>
        <v/>
      </c>
    </row>
    <row r="1860" spans="1:11" ht="18" customHeight="1" x14ac:dyDescent="0.25">
      <c r="A1860" s="40" t="str">
        <f>IF(Agent10_Savings!A67="","",Agent10_Savings!A67)</f>
        <v/>
      </c>
      <c r="B1860" s="40" t="str">
        <f ca="1">IF(Agent10_Savings!A67="","","SV"&amp;TEXT(1860-3,"0000")&amp;"-"&amp;TEXT(TODAY(),"YYYYMMDD"))</f>
        <v/>
      </c>
      <c r="C1860" s="40" t="str">
        <f>IF(Agent10_Savings!A67="","",Agent10_Savings!B67)</f>
        <v/>
      </c>
      <c r="D1860" s="40" t="str">
        <f>IF(Agent10_Savings!A67="","",Agent10_Savings!G67)</f>
        <v/>
      </c>
      <c r="E1860" s="41" t="str">
        <f>IF(Agent10_Savings!A67="","",Agent10_Savings!D67)</f>
        <v/>
      </c>
      <c r="F1860" s="42" t="str">
        <f>IF(Agent10_Savings!A67="","",Agent10_Savings!E67)</f>
        <v/>
      </c>
      <c r="G1860" s="42" t="str">
        <f>IF(Agent10_Savings!A67="","",Agent10_Savings!F67)</f>
        <v/>
      </c>
      <c r="H1860" s="40" t="str">
        <f>IF(Agent10_Savings!A67="","",Agent10_Savings!I67)</f>
        <v/>
      </c>
      <c r="I1860" s="40" t="str">
        <f>IF(Agent10_Savings!A67="","",Agent10_Savings!J67)</f>
        <v/>
      </c>
      <c r="J1860" s="40" t="str">
        <f>IF(Agent10_Savings!A67="","",Agent10_Savings!K67)</f>
        <v/>
      </c>
      <c r="K1860" s="40" t="str">
        <f>IFERROR(IF(Agent10_Savings!A67="","",YEAR(Agent10_Savings!D67)),"")</f>
        <v/>
      </c>
    </row>
    <row r="1861" spans="1:11" ht="18" customHeight="1" x14ac:dyDescent="0.25">
      <c r="A1861" s="40" t="str">
        <f>IF(Agent10_Savings!A68="","",Agent10_Savings!A68)</f>
        <v/>
      </c>
      <c r="B1861" s="40" t="str">
        <f ca="1">IF(Agent10_Savings!A68="","","SV"&amp;TEXT(1861-3,"0000")&amp;"-"&amp;TEXT(TODAY(),"YYYYMMDD"))</f>
        <v/>
      </c>
      <c r="C1861" s="40" t="str">
        <f>IF(Agent10_Savings!A68="","",Agent10_Savings!B68)</f>
        <v/>
      </c>
      <c r="D1861" s="40" t="str">
        <f>IF(Agent10_Savings!A68="","",Agent10_Savings!G68)</f>
        <v/>
      </c>
      <c r="E1861" s="41" t="str">
        <f>IF(Agent10_Savings!A68="","",Agent10_Savings!D68)</f>
        <v/>
      </c>
      <c r="F1861" s="42" t="str">
        <f>IF(Agent10_Savings!A68="","",Agent10_Savings!E68)</f>
        <v/>
      </c>
      <c r="G1861" s="42" t="str">
        <f>IF(Agent10_Savings!A68="","",Agent10_Savings!F68)</f>
        <v/>
      </c>
      <c r="H1861" s="40" t="str">
        <f>IF(Agent10_Savings!A68="","",Agent10_Savings!I68)</f>
        <v/>
      </c>
      <c r="I1861" s="40" t="str">
        <f>IF(Agent10_Savings!A68="","",Agent10_Savings!J68)</f>
        <v/>
      </c>
      <c r="J1861" s="40" t="str">
        <f>IF(Agent10_Savings!A68="","",Agent10_Savings!K68)</f>
        <v/>
      </c>
      <c r="K1861" s="40" t="str">
        <f>IFERROR(IF(Agent10_Savings!A68="","",YEAR(Agent10_Savings!D68)),"")</f>
        <v/>
      </c>
    </row>
    <row r="1862" spans="1:11" ht="18" customHeight="1" x14ac:dyDescent="0.25">
      <c r="A1862" s="40" t="str">
        <f>IF(Agent10_Savings!A69="","",Agent10_Savings!A69)</f>
        <v/>
      </c>
      <c r="B1862" s="40" t="str">
        <f ca="1">IF(Agent10_Savings!A69="","","SV"&amp;TEXT(1862-3,"0000")&amp;"-"&amp;TEXT(TODAY(),"YYYYMMDD"))</f>
        <v/>
      </c>
      <c r="C1862" s="40" t="str">
        <f>IF(Agent10_Savings!A69="","",Agent10_Savings!B69)</f>
        <v/>
      </c>
      <c r="D1862" s="40" t="str">
        <f>IF(Agent10_Savings!A69="","",Agent10_Savings!G69)</f>
        <v/>
      </c>
      <c r="E1862" s="41" t="str">
        <f>IF(Agent10_Savings!A69="","",Agent10_Savings!D69)</f>
        <v/>
      </c>
      <c r="F1862" s="42" t="str">
        <f>IF(Agent10_Savings!A69="","",Agent10_Savings!E69)</f>
        <v/>
      </c>
      <c r="G1862" s="42" t="str">
        <f>IF(Agent10_Savings!A69="","",Agent10_Savings!F69)</f>
        <v/>
      </c>
      <c r="H1862" s="40" t="str">
        <f>IF(Agent10_Savings!A69="","",Agent10_Savings!I69)</f>
        <v/>
      </c>
      <c r="I1862" s="40" t="str">
        <f>IF(Agent10_Savings!A69="","",Agent10_Savings!J69)</f>
        <v/>
      </c>
      <c r="J1862" s="40" t="str">
        <f>IF(Agent10_Savings!A69="","",Agent10_Savings!K69)</f>
        <v/>
      </c>
      <c r="K1862" s="40" t="str">
        <f>IFERROR(IF(Agent10_Savings!A69="","",YEAR(Agent10_Savings!D69)),"")</f>
        <v/>
      </c>
    </row>
    <row r="1863" spans="1:11" ht="18" customHeight="1" x14ac:dyDescent="0.25">
      <c r="A1863" s="40" t="str">
        <f>IF(Agent10_Savings!A70="","",Agent10_Savings!A70)</f>
        <v/>
      </c>
      <c r="B1863" s="40" t="str">
        <f ca="1">IF(Agent10_Savings!A70="","","SV"&amp;TEXT(1863-3,"0000")&amp;"-"&amp;TEXT(TODAY(),"YYYYMMDD"))</f>
        <v/>
      </c>
      <c r="C1863" s="40" t="str">
        <f>IF(Agent10_Savings!A70="","",Agent10_Savings!B70)</f>
        <v/>
      </c>
      <c r="D1863" s="40" t="str">
        <f>IF(Agent10_Savings!A70="","",Agent10_Savings!G70)</f>
        <v/>
      </c>
      <c r="E1863" s="41" t="str">
        <f>IF(Agent10_Savings!A70="","",Agent10_Savings!D70)</f>
        <v/>
      </c>
      <c r="F1863" s="42" t="str">
        <f>IF(Agent10_Savings!A70="","",Agent10_Savings!E70)</f>
        <v/>
      </c>
      <c r="G1863" s="42" t="str">
        <f>IF(Agent10_Savings!A70="","",Agent10_Savings!F70)</f>
        <v/>
      </c>
      <c r="H1863" s="40" t="str">
        <f>IF(Agent10_Savings!A70="","",Agent10_Savings!I70)</f>
        <v/>
      </c>
      <c r="I1863" s="40" t="str">
        <f>IF(Agent10_Savings!A70="","",Agent10_Savings!J70)</f>
        <v/>
      </c>
      <c r="J1863" s="40" t="str">
        <f>IF(Agent10_Savings!A70="","",Agent10_Savings!K70)</f>
        <v/>
      </c>
      <c r="K1863" s="40" t="str">
        <f>IFERROR(IF(Agent10_Savings!A70="","",YEAR(Agent10_Savings!D70)),"")</f>
        <v/>
      </c>
    </row>
    <row r="1864" spans="1:11" ht="18" customHeight="1" x14ac:dyDescent="0.25">
      <c r="A1864" s="40" t="str">
        <f>IF(Agent10_Savings!A71="","",Agent10_Savings!A71)</f>
        <v/>
      </c>
      <c r="B1864" s="40" t="str">
        <f ca="1">IF(Agent10_Savings!A71="","","SV"&amp;TEXT(1864-3,"0000")&amp;"-"&amp;TEXT(TODAY(),"YYYYMMDD"))</f>
        <v/>
      </c>
      <c r="C1864" s="40" t="str">
        <f>IF(Agent10_Savings!A71="","",Agent10_Savings!B71)</f>
        <v/>
      </c>
      <c r="D1864" s="40" t="str">
        <f>IF(Agent10_Savings!A71="","",Agent10_Savings!G71)</f>
        <v/>
      </c>
      <c r="E1864" s="41" t="str">
        <f>IF(Agent10_Savings!A71="","",Agent10_Savings!D71)</f>
        <v/>
      </c>
      <c r="F1864" s="42" t="str">
        <f>IF(Agent10_Savings!A71="","",Agent10_Savings!E71)</f>
        <v/>
      </c>
      <c r="G1864" s="42" t="str">
        <f>IF(Agent10_Savings!A71="","",Agent10_Savings!F71)</f>
        <v/>
      </c>
      <c r="H1864" s="40" t="str">
        <f>IF(Agent10_Savings!A71="","",Agent10_Savings!I71)</f>
        <v/>
      </c>
      <c r="I1864" s="40" t="str">
        <f>IF(Agent10_Savings!A71="","",Agent10_Savings!J71)</f>
        <v/>
      </c>
      <c r="J1864" s="40" t="str">
        <f>IF(Agent10_Savings!A71="","",Agent10_Savings!K71)</f>
        <v/>
      </c>
      <c r="K1864" s="40" t="str">
        <f>IFERROR(IF(Agent10_Savings!A71="","",YEAR(Agent10_Savings!D71)),"")</f>
        <v/>
      </c>
    </row>
    <row r="1865" spans="1:11" ht="18" customHeight="1" x14ac:dyDescent="0.25">
      <c r="A1865" s="40" t="str">
        <f>IF(Agent10_Savings!A72="","",Agent10_Savings!A72)</f>
        <v/>
      </c>
      <c r="B1865" s="40" t="str">
        <f ca="1">IF(Agent10_Savings!A72="","","SV"&amp;TEXT(1865-3,"0000")&amp;"-"&amp;TEXT(TODAY(),"YYYYMMDD"))</f>
        <v/>
      </c>
      <c r="C1865" s="40" t="str">
        <f>IF(Agent10_Savings!A72="","",Agent10_Savings!B72)</f>
        <v/>
      </c>
      <c r="D1865" s="40" t="str">
        <f>IF(Agent10_Savings!A72="","",Agent10_Savings!G72)</f>
        <v/>
      </c>
      <c r="E1865" s="41" t="str">
        <f>IF(Agent10_Savings!A72="","",Agent10_Savings!D72)</f>
        <v/>
      </c>
      <c r="F1865" s="42" t="str">
        <f>IF(Agent10_Savings!A72="","",Agent10_Savings!E72)</f>
        <v/>
      </c>
      <c r="G1865" s="42" t="str">
        <f>IF(Agent10_Savings!A72="","",Agent10_Savings!F72)</f>
        <v/>
      </c>
      <c r="H1865" s="40" t="str">
        <f>IF(Agent10_Savings!A72="","",Agent10_Savings!I72)</f>
        <v/>
      </c>
      <c r="I1865" s="40" t="str">
        <f>IF(Agent10_Savings!A72="","",Agent10_Savings!J72)</f>
        <v/>
      </c>
      <c r="J1865" s="40" t="str">
        <f>IF(Agent10_Savings!A72="","",Agent10_Savings!K72)</f>
        <v/>
      </c>
      <c r="K1865" s="40" t="str">
        <f>IFERROR(IF(Agent10_Savings!A72="","",YEAR(Agent10_Savings!D72)),"")</f>
        <v/>
      </c>
    </row>
    <row r="1866" spans="1:11" ht="18" customHeight="1" x14ac:dyDescent="0.25">
      <c r="A1866" s="40" t="str">
        <f>IF(Agent10_Savings!A73="","",Agent10_Savings!A73)</f>
        <v/>
      </c>
      <c r="B1866" s="40" t="str">
        <f ca="1">IF(Agent10_Savings!A73="","","SV"&amp;TEXT(1866-3,"0000")&amp;"-"&amp;TEXT(TODAY(),"YYYYMMDD"))</f>
        <v/>
      </c>
      <c r="C1866" s="40" t="str">
        <f>IF(Agent10_Savings!A73="","",Agent10_Savings!B73)</f>
        <v/>
      </c>
      <c r="D1866" s="40" t="str">
        <f>IF(Agent10_Savings!A73="","",Agent10_Savings!G73)</f>
        <v/>
      </c>
      <c r="E1866" s="41" t="str">
        <f>IF(Agent10_Savings!A73="","",Agent10_Savings!D73)</f>
        <v/>
      </c>
      <c r="F1866" s="42" t="str">
        <f>IF(Agent10_Savings!A73="","",Agent10_Savings!E73)</f>
        <v/>
      </c>
      <c r="G1866" s="42" t="str">
        <f>IF(Agent10_Savings!A73="","",Agent10_Savings!F73)</f>
        <v/>
      </c>
      <c r="H1866" s="40" t="str">
        <f>IF(Agent10_Savings!A73="","",Agent10_Savings!I73)</f>
        <v/>
      </c>
      <c r="I1866" s="40" t="str">
        <f>IF(Agent10_Savings!A73="","",Agent10_Savings!J73)</f>
        <v/>
      </c>
      <c r="J1866" s="40" t="str">
        <f>IF(Agent10_Savings!A73="","",Agent10_Savings!K73)</f>
        <v/>
      </c>
      <c r="K1866" s="40" t="str">
        <f>IFERROR(IF(Agent10_Savings!A73="","",YEAR(Agent10_Savings!D73)),"")</f>
        <v/>
      </c>
    </row>
    <row r="1867" spans="1:11" ht="18" customHeight="1" x14ac:dyDescent="0.25">
      <c r="A1867" s="40" t="str">
        <f>IF(Agent10_Savings!A74="","",Agent10_Savings!A74)</f>
        <v/>
      </c>
      <c r="B1867" s="40" t="str">
        <f ca="1">IF(Agent10_Savings!A74="","","SV"&amp;TEXT(1867-3,"0000")&amp;"-"&amp;TEXT(TODAY(),"YYYYMMDD"))</f>
        <v/>
      </c>
      <c r="C1867" s="40" t="str">
        <f>IF(Agent10_Savings!A74="","",Agent10_Savings!B74)</f>
        <v/>
      </c>
      <c r="D1867" s="40" t="str">
        <f>IF(Agent10_Savings!A74="","",Agent10_Savings!G74)</f>
        <v/>
      </c>
      <c r="E1867" s="41" t="str">
        <f>IF(Agent10_Savings!A74="","",Agent10_Savings!D74)</f>
        <v/>
      </c>
      <c r="F1867" s="42" t="str">
        <f>IF(Agent10_Savings!A74="","",Agent10_Savings!E74)</f>
        <v/>
      </c>
      <c r="G1867" s="42" t="str">
        <f>IF(Agent10_Savings!A74="","",Agent10_Savings!F74)</f>
        <v/>
      </c>
      <c r="H1867" s="40" t="str">
        <f>IF(Agent10_Savings!A74="","",Agent10_Savings!I74)</f>
        <v/>
      </c>
      <c r="I1867" s="40" t="str">
        <f>IF(Agent10_Savings!A74="","",Agent10_Savings!J74)</f>
        <v/>
      </c>
      <c r="J1867" s="40" t="str">
        <f>IF(Agent10_Savings!A74="","",Agent10_Savings!K74)</f>
        <v/>
      </c>
      <c r="K1867" s="40" t="str">
        <f>IFERROR(IF(Agent10_Savings!A74="","",YEAR(Agent10_Savings!D74)),"")</f>
        <v/>
      </c>
    </row>
    <row r="1868" spans="1:11" ht="18" customHeight="1" x14ac:dyDescent="0.25">
      <c r="A1868" s="40" t="str">
        <f>IF(Agent10_Savings!A75="","",Agent10_Savings!A75)</f>
        <v/>
      </c>
      <c r="B1868" s="40" t="str">
        <f ca="1">IF(Agent10_Savings!A75="","","SV"&amp;TEXT(1868-3,"0000")&amp;"-"&amp;TEXT(TODAY(),"YYYYMMDD"))</f>
        <v/>
      </c>
      <c r="C1868" s="40" t="str">
        <f>IF(Agent10_Savings!A75="","",Agent10_Savings!B75)</f>
        <v/>
      </c>
      <c r="D1868" s="40" t="str">
        <f>IF(Agent10_Savings!A75="","",Agent10_Savings!G75)</f>
        <v/>
      </c>
      <c r="E1868" s="41" t="str">
        <f>IF(Agent10_Savings!A75="","",Agent10_Savings!D75)</f>
        <v/>
      </c>
      <c r="F1868" s="42" t="str">
        <f>IF(Agent10_Savings!A75="","",Agent10_Savings!E75)</f>
        <v/>
      </c>
      <c r="G1868" s="42" t="str">
        <f>IF(Agent10_Savings!A75="","",Agent10_Savings!F75)</f>
        <v/>
      </c>
      <c r="H1868" s="40" t="str">
        <f>IF(Agent10_Savings!A75="","",Agent10_Savings!I75)</f>
        <v/>
      </c>
      <c r="I1868" s="40" t="str">
        <f>IF(Agent10_Savings!A75="","",Agent10_Savings!J75)</f>
        <v/>
      </c>
      <c r="J1868" s="40" t="str">
        <f>IF(Agent10_Savings!A75="","",Agent10_Savings!K75)</f>
        <v/>
      </c>
      <c r="K1868" s="40" t="str">
        <f>IFERROR(IF(Agent10_Savings!A75="","",YEAR(Agent10_Savings!D75)),"")</f>
        <v/>
      </c>
    </row>
    <row r="1869" spans="1:11" ht="18" customHeight="1" x14ac:dyDescent="0.25">
      <c r="A1869" s="40" t="str">
        <f>IF(Agent10_Savings!A76="","",Agent10_Savings!A76)</f>
        <v/>
      </c>
      <c r="B1869" s="40" t="str">
        <f ca="1">IF(Agent10_Savings!A76="","","SV"&amp;TEXT(1869-3,"0000")&amp;"-"&amp;TEXT(TODAY(),"YYYYMMDD"))</f>
        <v/>
      </c>
      <c r="C1869" s="40" t="str">
        <f>IF(Agent10_Savings!A76="","",Agent10_Savings!B76)</f>
        <v/>
      </c>
      <c r="D1869" s="40" t="str">
        <f>IF(Agent10_Savings!A76="","",Agent10_Savings!G76)</f>
        <v/>
      </c>
      <c r="E1869" s="41" t="str">
        <f>IF(Agent10_Savings!A76="","",Agent10_Savings!D76)</f>
        <v/>
      </c>
      <c r="F1869" s="42" t="str">
        <f>IF(Agent10_Savings!A76="","",Agent10_Savings!E76)</f>
        <v/>
      </c>
      <c r="G1869" s="42" t="str">
        <f>IF(Agent10_Savings!A76="","",Agent10_Savings!F76)</f>
        <v/>
      </c>
      <c r="H1869" s="40" t="str">
        <f>IF(Agent10_Savings!A76="","",Agent10_Savings!I76)</f>
        <v/>
      </c>
      <c r="I1869" s="40" t="str">
        <f>IF(Agent10_Savings!A76="","",Agent10_Savings!J76)</f>
        <v/>
      </c>
      <c r="J1869" s="40" t="str">
        <f>IF(Agent10_Savings!A76="","",Agent10_Savings!K76)</f>
        <v/>
      </c>
      <c r="K1869" s="40" t="str">
        <f>IFERROR(IF(Agent10_Savings!A76="","",YEAR(Agent10_Savings!D76)),"")</f>
        <v/>
      </c>
    </row>
    <row r="1870" spans="1:11" ht="18" customHeight="1" x14ac:dyDescent="0.25">
      <c r="A1870" s="40" t="str">
        <f>IF(Agent10_Savings!A77="","",Agent10_Savings!A77)</f>
        <v/>
      </c>
      <c r="B1870" s="40" t="str">
        <f ca="1">IF(Agent10_Savings!A77="","","SV"&amp;TEXT(1870-3,"0000")&amp;"-"&amp;TEXT(TODAY(),"YYYYMMDD"))</f>
        <v/>
      </c>
      <c r="C1870" s="40" t="str">
        <f>IF(Agent10_Savings!A77="","",Agent10_Savings!B77)</f>
        <v/>
      </c>
      <c r="D1870" s="40" t="str">
        <f>IF(Agent10_Savings!A77="","",Agent10_Savings!G77)</f>
        <v/>
      </c>
      <c r="E1870" s="41" t="str">
        <f>IF(Agent10_Savings!A77="","",Agent10_Savings!D77)</f>
        <v/>
      </c>
      <c r="F1870" s="42" t="str">
        <f>IF(Agent10_Savings!A77="","",Agent10_Savings!E77)</f>
        <v/>
      </c>
      <c r="G1870" s="42" t="str">
        <f>IF(Agent10_Savings!A77="","",Agent10_Savings!F77)</f>
        <v/>
      </c>
      <c r="H1870" s="40" t="str">
        <f>IF(Agent10_Savings!A77="","",Agent10_Savings!I77)</f>
        <v/>
      </c>
      <c r="I1870" s="40" t="str">
        <f>IF(Agent10_Savings!A77="","",Agent10_Savings!J77)</f>
        <v/>
      </c>
      <c r="J1870" s="40" t="str">
        <f>IF(Agent10_Savings!A77="","",Agent10_Savings!K77)</f>
        <v/>
      </c>
      <c r="K1870" s="40" t="str">
        <f>IFERROR(IF(Agent10_Savings!A77="","",YEAR(Agent10_Savings!D77)),"")</f>
        <v/>
      </c>
    </row>
    <row r="1871" spans="1:11" ht="18" customHeight="1" x14ac:dyDescent="0.25">
      <c r="A1871" s="40" t="str">
        <f>IF(Agent10_Savings!A78="","",Agent10_Savings!A78)</f>
        <v/>
      </c>
      <c r="B1871" s="40" t="str">
        <f ca="1">IF(Agent10_Savings!A78="","","SV"&amp;TEXT(1871-3,"0000")&amp;"-"&amp;TEXT(TODAY(),"YYYYMMDD"))</f>
        <v/>
      </c>
      <c r="C1871" s="40" t="str">
        <f>IF(Agent10_Savings!A78="","",Agent10_Savings!B78)</f>
        <v/>
      </c>
      <c r="D1871" s="40" t="str">
        <f>IF(Agent10_Savings!A78="","",Agent10_Savings!G78)</f>
        <v/>
      </c>
      <c r="E1871" s="41" t="str">
        <f>IF(Agent10_Savings!A78="","",Agent10_Savings!D78)</f>
        <v/>
      </c>
      <c r="F1871" s="42" t="str">
        <f>IF(Agent10_Savings!A78="","",Agent10_Savings!E78)</f>
        <v/>
      </c>
      <c r="G1871" s="42" t="str">
        <f>IF(Agent10_Savings!A78="","",Agent10_Savings!F78)</f>
        <v/>
      </c>
      <c r="H1871" s="40" t="str">
        <f>IF(Agent10_Savings!A78="","",Agent10_Savings!I78)</f>
        <v/>
      </c>
      <c r="I1871" s="40" t="str">
        <f>IF(Agent10_Savings!A78="","",Agent10_Savings!J78)</f>
        <v/>
      </c>
      <c r="J1871" s="40" t="str">
        <f>IF(Agent10_Savings!A78="","",Agent10_Savings!K78)</f>
        <v/>
      </c>
      <c r="K1871" s="40" t="str">
        <f>IFERROR(IF(Agent10_Savings!A78="","",YEAR(Agent10_Savings!D78)),"")</f>
        <v/>
      </c>
    </row>
    <row r="1872" spans="1:11" ht="18" customHeight="1" x14ac:dyDescent="0.25">
      <c r="A1872" s="40" t="str">
        <f>IF(Agent10_Savings!A79="","",Agent10_Savings!A79)</f>
        <v/>
      </c>
      <c r="B1872" s="40" t="str">
        <f ca="1">IF(Agent10_Savings!A79="","","SV"&amp;TEXT(1872-3,"0000")&amp;"-"&amp;TEXT(TODAY(),"YYYYMMDD"))</f>
        <v/>
      </c>
      <c r="C1872" s="40" t="str">
        <f>IF(Agent10_Savings!A79="","",Agent10_Savings!B79)</f>
        <v/>
      </c>
      <c r="D1872" s="40" t="str">
        <f>IF(Agent10_Savings!A79="","",Agent10_Savings!G79)</f>
        <v/>
      </c>
      <c r="E1872" s="41" t="str">
        <f>IF(Agent10_Savings!A79="","",Agent10_Savings!D79)</f>
        <v/>
      </c>
      <c r="F1872" s="42" t="str">
        <f>IF(Agent10_Savings!A79="","",Agent10_Savings!E79)</f>
        <v/>
      </c>
      <c r="G1872" s="42" t="str">
        <f>IF(Agent10_Savings!A79="","",Agent10_Savings!F79)</f>
        <v/>
      </c>
      <c r="H1872" s="40" t="str">
        <f>IF(Agent10_Savings!A79="","",Agent10_Savings!I79)</f>
        <v/>
      </c>
      <c r="I1872" s="40" t="str">
        <f>IF(Agent10_Savings!A79="","",Agent10_Savings!J79)</f>
        <v/>
      </c>
      <c r="J1872" s="40" t="str">
        <f>IF(Agent10_Savings!A79="","",Agent10_Savings!K79)</f>
        <v/>
      </c>
      <c r="K1872" s="40" t="str">
        <f>IFERROR(IF(Agent10_Savings!A79="","",YEAR(Agent10_Savings!D79)),"")</f>
        <v/>
      </c>
    </row>
    <row r="1873" spans="1:11" ht="18" customHeight="1" x14ac:dyDescent="0.25">
      <c r="A1873" s="40" t="str">
        <f>IF(Agent10_Savings!A80="","",Agent10_Savings!A80)</f>
        <v/>
      </c>
      <c r="B1873" s="40" t="str">
        <f ca="1">IF(Agent10_Savings!A80="","","SV"&amp;TEXT(1873-3,"0000")&amp;"-"&amp;TEXT(TODAY(),"YYYYMMDD"))</f>
        <v/>
      </c>
      <c r="C1873" s="40" t="str">
        <f>IF(Agent10_Savings!A80="","",Agent10_Savings!B80)</f>
        <v/>
      </c>
      <c r="D1873" s="40" t="str">
        <f>IF(Agent10_Savings!A80="","",Agent10_Savings!G80)</f>
        <v/>
      </c>
      <c r="E1873" s="41" t="str">
        <f>IF(Agent10_Savings!A80="","",Agent10_Savings!D80)</f>
        <v/>
      </c>
      <c r="F1873" s="42" t="str">
        <f>IF(Agent10_Savings!A80="","",Agent10_Savings!E80)</f>
        <v/>
      </c>
      <c r="G1873" s="42" t="str">
        <f>IF(Agent10_Savings!A80="","",Agent10_Savings!F80)</f>
        <v/>
      </c>
      <c r="H1873" s="40" t="str">
        <f>IF(Agent10_Savings!A80="","",Agent10_Savings!I80)</f>
        <v/>
      </c>
      <c r="I1873" s="40" t="str">
        <f>IF(Agent10_Savings!A80="","",Agent10_Savings!J80)</f>
        <v/>
      </c>
      <c r="J1873" s="40" t="str">
        <f>IF(Agent10_Savings!A80="","",Agent10_Savings!K80)</f>
        <v/>
      </c>
      <c r="K1873" s="40" t="str">
        <f>IFERROR(IF(Agent10_Savings!A80="","",YEAR(Agent10_Savings!D80)),"")</f>
        <v/>
      </c>
    </row>
    <row r="1874" spans="1:11" ht="18" customHeight="1" x14ac:dyDescent="0.25">
      <c r="A1874" s="40" t="str">
        <f>IF(Agent10_Savings!A81="","",Agent10_Savings!A81)</f>
        <v/>
      </c>
      <c r="B1874" s="40" t="str">
        <f ca="1">IF(Agent10_Savings!A81="","","SV"&amp;TEXT(1874-3,"0000")&amp;"-"&amp;TEXT(TODAY(),"YYYYMMDD"))</f>
        <v/>
      </c>
      <c r="C1874" s="40" t="str">
        <f>IF(Agent10_Savings!A81="","",Agent10_Savings!B81)</f>
        <v/>
      </c>
      <c r="D1874" s="40" t="str">
        <f>IF(Agent10_Savings!A81="","",Agent10_Savings!G81)</f>
        <v/>
      </c>
      <c r="E1874" s="41" t="str">
        <f>IF(Agent10_Savings!A81="","",Agent10_Savings!D81)</f>
        <v/>
      </c>
      <c r="F1874" s="42" t="str">
        <f>IF(Agent10_Savings!A81="","",Agent10_Savings!E81)</f>
        <v/>
      </c>
      <c r="G1874" s="42" t="str">
        <f>IF(Agent10_Savings!A81="","",Agent10_Savings!F81)</f>
        <v/>
      </c>
      <c r="H1874" s="40" t="str">
        <f>IF(Agent10_Savings!A81="","",Agent10_Savings!I81)</f>
        <v/>
      </c>
      <c r="I1874" s="40" t="str">
        <f>IF(Agent10_Savings!A81="","",Agent10_Savings!J81)</f>
        <v/>
      </c>
      <c r="J1874" s="40" t="str">
        <f>IF(Agent10_Savings!A81="","",Agent10_Savings!K81)</f>
        <v/>
      </c>
      <c r="K1874" s="40" t="str">
        <f>IFERROR(IF(Agent10_Savings!A81="","",YEAR(Agent10_Savings!D81)),"")</f>
        <v/>
      </c>
    </row>
    <row r="1875" spans="1:11" ht="18" customHeight="1" x14ac:dyDescent="0.25">
      <c r="A1875" s="40" t="str">
        <f>IF(Agent10_Savings!A82="","",Agent10_Savings!A82)</f>
        <v/>
      </c>
      <c r="B1875" s="40" t="str">
        <f ca="1">IF(Agent10_Savings!A82="","","SV"&amp;TEXT(1875-3,"0000")&amp;"-"&amp;TEXT(TODAY(),"YYYYMMDD"))</f>
        <v/>
      </c>
      <c r="C1875" s="40" t="str">
        <f>IF(Agent10_Savings!A82="","",Agent10_Savings!B82)</f>
        <v/>
      </c>
      <c r="D1875" s="40" t="str">
        <f>IF(Agent10_Savings!A82="","",Agent10_Savings!G82)</f>
        <v/>
      </c>
      <c r="E1875" s="41" t="str">
        <f>IF(Agent10_Savings!A82="","",Agent10_Savings!D82)</f>
        <v/>
      </c>
      <c r="F1875" s="42" t="str">
        <f>IF(Agent10_Savings!A82="","",Agent10_Savings!E82)</f>
        <v/>
      </c>
      <c r="G1875" s="42" t="str">
        <f>IF(Agent10_Savings!A82="","",Agent10_Savings!F82)</f>
        <v/>
      </c>
      <c r="H1875" s="40" t="str">
        <f>IF(Agent10_Savings!A82="","",Agent10_Savings!I82)</f>
        <v/>
      </c>
      <c r="I1875" s="40" t="str">
        <f>IF(Agent10_Savings!A82="","",Agent10_Savings!J82)</f>
        <v/>
      </c>
      <c r="J1875" s="40" t="str">
        <f>IF(Agent10_Savings!A82="","",Agent10_Savings!K82)</f>
        <v/>
      </c>
      <c r="K1875" s="40" t="str">
        <f>IFERROR(IF(Agent10_Savings!A82="","",YEAR(Agent10_Savings!D82)),"")</f>
        <v/>
      </c>
    </row>
    <row r="1876" spans="1:11" ht="18" customHeight="1" x14ac:dyDescent="0.25">
      <c r="A1876" s="40" t="str">
        <f>IF(Agent10_Savings!A83="","",Agent10_Savings!A83)</f>
        <v/>
      </c>
      <c r="B1876" s="40" t="str">
        <f ca="1">IF(Agent10_Savings!A83="","","SV"&amp;TEXT(1876-3,"0000")&amp;"-"&amp;TEXT(TODAY(),"YYYYMMDD"))</f>
        <v/>
      </c>
      <c r="C1876" s="40" t="str">
        <f>IF(Agent10_Savings!A83="","",Agent10_Savings!B83)</f>
        <v/>
      </c>
      <c r="D1876" s="40" t="str">
        <f>IF(Agent10_Savings!A83="","",Agent10_Savings!G83)</f>
        <v/>
      </c>
      <c r="E1876" s="41" t="str">
        <f>IF(Agent10_Savings!A83="","",Agent10_Savings!D83)</f>
        <v/>
      </c>
      <c r="F1876" s="42" t="str">
        <f>IF(Agent10_Savings!A83="","",Agent10_Savings!E83)</f>
        <v/>
      </c>
      <c r="G1876" s="42" t="str">
        <f>IF(Agent10_Savings!A83="","",Agent10_Savings!F83)</f>
        <v/>
      </c>
      <c r="H1876" s="40" t="str">
        <f>IF(Agent10_Savings!A83="","",Agent10_Savings!I83)</f>
        <v/>
      </c>
      <c r="I1876" s="40" t="str">
        <f>IF(Agent10_Savings!A83="","",Agent10_Savings!J83)</f>
        <v/>
      </c>
      <c r="J1876" s="40" t="str">
        <f>IF(Agent10_Savings!A83="","",Agent10_Savings!K83)</f>
        <v/>
      </c>
      <c r="K1876" s="40" t="str">
        <f>IFERROR(IF(Agent10_Savings!A83="","",YEAR(Agent10_Savings!D83)),"")</f>
        <v/>
      </c>
    </row>
    <row r="1877" spans="1:11" ht="18" customHeight="1" x14ac:dyDescent="0.25">
      <c r="A1877" s="40" t="str">
        <f>IF(Agent10_Savings!A84="","",Agent10_Savings!A84)</f>
        <v/>
      </c>
      <c r="B1877" s="40" t="str">
        <f ca="1">IF(Agent10_Savings!A84="","","SV"&amp;TEXT(1877-3,"0000")&amp;"-"&amp;TEXT(TODAY(),"YYYYMMDD"))</f>
        <v/>
      </c>
      <c r="C1877" s="40" t="str">
        <f>IF(Agent10_Savings!A84="","",Agent10_Savings!B84)</f>
        <v/>
      </c>
      <c r="D1877" s="40" t="str">
        <f>IF(Agent10_Savings!A84="","",Agent10_Savings!G84)</f>
        <v/>
      </c>
      <c r="E1877" s="41" t="str">
        <f>IF(Agent10_Savings!A84="","",Agent10_Savings!D84)</f>
        <v/>
      </c>
      <c r="F1877" s="42" t="str">
        <f>IF(Agent10_Savings!A84="","",Agent10_Savings!E84)</f>
        <v/>
      </c>
      <c r="G1877" s="42" t="str">
        <f>IF(Agent10_Savings!A84="","",Agent10_Savings!F84)</f>
        <v/>
      </c>
      <c r="H1877" s="40" t="str">
        <f>IF(Agent10_Savings!A84="","",Agent10_Savings!I84)</f>
        <v/>
      </c>
      <c r="I1877" s="40" t="str">
        <f>IF(Agent10_Savings!A84="","",Agent10_Savings!J84)</f>
        <v/>
      </c>
      <c r="J1877" s="40" t="str">
        <f>IF(Agent10_Savings!A84="","",Agent10_Savings!K84)</f>
        <v/>
      </c>
      <c r="K1877" s="40" t="str">
        <f>IFERROR(IF(Agent10_Savings!A84="","",YEAR(Agent10_Savings!D84)),"")</f>
        <v/>
      </c>
    </row>
    <row r="1878" spans="1:11" ht="18" customHeight="1" x14ac:dyDescent="0.25">
      <c r="A1878" s="40" t="str">
        <f>IF(Agent10_Savings!A85="","",Agent10_Savings!A85)</f>
        <v/>
      </c>
      <c r="B1878" s="40" t="str">
        <f ca="1">IF(Agent10_Savings!A85="","","SV"&amp;TEXT(1878-3,"0000")&amp;"-"&amp;TEXT(TODAY(),"YYYYMMDD"))</f>
        <v/>
      </c>
      <c r="C1878" s="40" t="str">
        <f>IF(Agent10_Savings!A85="","",Agent10_Savings!B85)</f>
        <v/>
      </c>
      <c r="D1878" s="40" t="str">
        <f>IF(Agent10_Savings!A85="","",Agent10_Savings!G85)</f>
        <v/>
      </c>
      <c r="E1878" s="41" t="str">
        <f>IF(Agent10_Savings!A85="","",Agent10_Savings!D85)</f>
        <v/>
      </c>
      <c r="F1878" s="42" t="str">
        <f>IF(Agent10_Savings!A85="","",Agent10_Savings!E85)</f>
        <v/>
      </c>
      <c r="G1878" s="42" t="str">
        <f>IF(Agent10_Savings!A85="","",Agent10_Savings!F85)</f>
        <v/>
      </c>
      <c r="H1878" s="40" t="str">
        <f>IF(Agent10_Savings!A85="","",Agent10_Savings!I85)</f>
        <v/>
      </c>
      <c r="I1878" s="40" t="str">
        <f>IF(Agent10_Savings!A85="","",Agent10_Savings!J85)</f>
        <v/>
      </c>
      <c r="J1878" s="40" t="str">
        <f>IF(Agent10_Savings!A85="","",Agent10_Savings!K85)</f>
        <v/>
      </c>
      <c r="K1878" s="40" t="str">
        <f>IFERROR(IF(Agent10_Savings!A85="","",YEAR(Agent10_Savings!D85)),"")</f>
        <v/>
      </c>
    </row>
    <row r="1879" spans="1:11" ht="18" customHeight="1" x14ac:dyDescent="0.25">
      <c r="A1879" s="40" t="str">
        <f>IF(Agent10_Savings!A86="","",Agent10_Savings!A86)</f>
        <v/>
      </c>
      <c r="B1879" s="40" t="str">
        <f ca="1">IF(Agent10_Savings!A86="","","SV"&amp;TEXT(1879-3,"0000")&amp;"-"&amp;TEXT(TODAY(),"YYYYMMDD"))</f>
        <v/>
      </c>
      <c r="C1879" s="40" t="str">
        <f>IF(Agent10_Savings!A86="","",Agent10_Savings!B86)</f>
        <v/>
      </c>
      <c r="D1879" s="40" t="str">
        <f>IF(Agent10_Savings!A86="","",Agent10_Savings!G86)</f>
        <v/>
      </c>
      <c r="E1879" s="41" t="str">
        <f>IF(Agent10_Savings!A86="","",Agent10_Savings!D86)</f>
        <v/>
      </c>
      <c r="F1879" s="42" t="str">
        <f>IF(Agent10_Savings!A86="","",Agent10_Savings!E86)</f>
        <v/>
      </c>
      <c r="G1879" s="42" t="str">
        <f>IF(Agent10_Savings!A86="","",Agent10_Savings!F86)</f>
        <v/>
      </c>
      <c r="H1879" s="40" t="str">
        <f>IF(Agent10_Savings!A86="","",Agent10_Savings!I86)</f>
        <v/>
      </c>
      <c r="I1879" s="40" t="str">
        <f>IF(Agent10_Savings!A86="","",Agent10_Savings!J86)</f>
        <v/>
      </c>
      <c r="J1879" s="40" t="str">
        <f>IF(Agent10_Savings!A86="","",Agent10_Savings!K86)</f>
        <v/>
      </c>
      <c r="K1879" s="40" t="str">
        <f>IFERROR(IF(Agent10_Savings!A86="","",YEAR(Agent10_Savings!D86)),"")</f>
        <v/>
      </c>
    </row>
    <row r="1880" spans="1:11" ht="18" customHeight="1" x14ac:dyDescent="0.25">
      <c r="A1880" s="40" t="str">
        <f>IF(Agent10_Savings!A87="","",Agent10_Savings!A87)</f>
        <v/>
      </c>
      <c r="B1880" s="40" t="str">
        <f ca="1">IF(Agent10_Savings!A87="","","SV"&amp;TEXT(1880-3,"0000")&amp;"-"&amp;TEXT(TODAY(),"YYYYMMDD"))</f>
        <v/>
      </c>
      <c r="C1880" s="40" t="str">
        <f>IF(Agent10_Savings!A87="","",Agent10_Savings!B87)</f>
        <v/>
      </c>
      <c r="D1880" s="40" t="str">
        <f>IF(Agent10_Savings!A87="","",Agent10_Savings!G87)</f>
        <v/>
      </c>
      <c r="E1880" s="41" t="str">
        <f>IF(Agent10_Savings!A87="","",Agent10_Savings!D87)</f>
        <v/>
      </c>
      <c r="F1880" s="42" t="str">
        <f>IF(Agent10_Savings!A87="","",Agent10_Savings!E87)</f>
        <v/>
      </c>
      <c r="G1880" s="42" t="str">
        <f>IF(Agent10_Savings!A87="","",Agent10_Savings!F87)</f>
        <v/>
      </c>
      <c r="H1880" s="40" t="str">
        <f>IF(Agent10_Savings!A87="","",Agent10_Savings!I87)</f>
        <v/>
      </c>
      <c r="I1880" s="40" t="str">
        <f>IF(Agent10_Savings!A87="","",Agent10_Savings!J87)</f>
        <v/>
      </c>
      <c r="J1880" s="40" t="str">
        <f>IF(Agent10_Savings!A87="","",Agent10_Savings!K87)</f>
        <v/>
      </c>
      <c r="K1880" s="40" t="str">
        <f>IFERROR(IF(Agent10_Savings!A87="","",YEAR(Agent10_Savings!D87)),"")</f>
        <v/>
      </c>
    </row>
    <row r="1881" spans="1:11" ht="18" customHeight="1" x14ac:dyDescent="0.25">
      <c r="A1881" s="40" t="str">
        <f>IF(Agent10_Savings!A88="","",Agent10_Savings!A88)</f>
        <v/>
      </c>
      <c r="B1881" s="40" t="str">
        <f ca="1">IF(Agent10_Savings!A88="","","SV"&amp;TEXT(1881-3,"0000")&amp;"-"&amp;TEXT(TODAY(),"YYYYMMDD"))</f>
        <v/>
      </c>
      <c r="C1881" s="40" t="str">
        <f>IF(Agent10_Savings!A88="","",Agent10_Savings!B88)</f>
        <v/>
      </c>
      <c r="D1881" s="40" t="str">
        <f>IF(Agent10_Savings!A88="","",Agent10_Savings!G88)</f>
        <v/>
      </c>
      <c r="E1881" s="41" t="str">
        <f>IF(Agent10_Savings!A88="","",Agent10_Savings!D88)</f>
        <v/>
      </c>
      <c r="F1881" s="42" t="str">
        <f>IF(Agent10_Savings!A88="","",Agent10_Savings!E88)</f>
        <v/>
      </c>
      <c r="G1881" s="42" t="str">
        <f>IF(Agent10_Savings!A88="","",Agent10_Savings!F88)</f>
        <v/>
      </c>
      <c r="H1881" s="40" t="str">
        <f>IF(Agent10_Savings!A88="","",Agent10_Savings!I88)</f>
        <v/>
      </c>
      <c r="I1881" s="40" t="str">
        <f>IF(Agent10_Savings!A88="","",Agent10_Savings!J88)</f>
        <v/>
      </c>
      <c r="J1881" s="40" t="str">
        <f>IF(Agent10_Savings!A88="","",Agent10_Savings!K88)</f>
        <v/>
      </c>
      <c r="K1881" s="40" t="str">
        <f>IFERROR(IF(Agent10_Savings!A88="","",YEAR(Agent10_Savings!D88)),"")</f>
        <v/>
      </c>
    </row>
    <row r="1882" spans="1:11" ht="18" customHeight="1" x14ac:dyDescent="0.25">
      <c r="A1882" s="40" t="str">
        <f>IF(Agent10_Savings!A89="","",Agent10_Savings!A89)</f>
        <v/>
      </c>
      <c r="B1882" s="40" t="str">
        <f ca="1">IF(Agent10_Savings!A89="","","SV"&amp;TEXT(1882-3,"0000")&amp;"-"&amp;TEXT(TODAY(),"YYYYMMDD"))</f>
        <v/>
      </c>
      <c r="C1882" s="40" t="str">
        <f>IF(Agent10_Savings!A89="","",Agent10_Savings!B89)</f>
        <v/>
      </c>
      <c r="D1882" s="40" t="str">
        <f>IF(Agent10_Savings!A89="","",Agent10_Savings!G89)</f>
        <v/>
      </c>
      <c r="E1882" s="41" t="str">
        <f>IF(Agent10_Savings!A89="","",Agent10_Savings!D89)</f>
        <v/>
      </c>
      <c r="F1882" s="42" t="str">
        <f>IF(Agent10_Savings!A89="","",Agent10_Savings!E89)</f>
        <v/>
      </c>
      <c r="G1882" s="42" t="str">
        <f>IF(Agent10_Savings!A89="","",Agent10_Savings!F89)</f>
        <v/>
      </c>
      <c r="H1882" s="40" t="str">
        <f>IF(Agent10_Savings!A89="","",Agent10_Savings!I89)</f>
        <v/>
      </c>
      <c r="I1882" s="40" t="str">
        <f>IF(Agent10_Savings!A89="","",Agent10_Savings!J89)</f>
        <v/>
      </c>
      <c r="J1882" s="40" t="str">
        <f>IF(Agent10_Savings!A89="","",Agent10_Savings!K89)</f>
        <v/>
      </c>
      <c r="K1882" s="40" t="str">
        <f>IFERROR(IF(Agent10_Savings!A89="","",YEAR(Agent10_Savings!D89)),"")</f>
        <v/>
      </c>
    </row>
    <row r="1883" spans="1:11" ht="18" customHeight="1" x14ac:dyDescent="0.25">
      <c r="A1883" s="40" t="str">
        <f>IF(Agent10_Savings!A90="","",Agent10_Savings!A90)</f>
        <v/>
      </c>
      <c r="B1883" s="40" t="str">
        <f ca="1">IF(Agent10_Savings!A90="","","SV"&amp;TEXT(1883-3,"0000")&amp;"-"&amp;TEXT(TODAY(),"YYYYMMDD"))</f>
        <v/>
      </c>
      <c r="C1883" s="40" t="str">
        <f>IF(Agent10_Savings!A90="","",Agent10_Savings!B90)</f>
        <v/>
      </c>
      <c r="D1883" s="40" t="str">
        <f>IF(Agent10_Savings!A90="","",Agent10_Savings!G90)</f>
        <v/>
      </c>
      <c r="E1883" s="41" t="str">
        <f>IF(Agent10_Savings!A90="","",Agent10_Savings!D90)</f>
        <v/>
      </c>
      <c r="F1883" s="42" t="str">
        <f>IF(Agent10_Savings!A90="","",Agent10_Savings!E90)</f>
        <v/>
      </c>
      <c r="G1883" s="42" t="str">
        <f>IF(Agent10_Savings!A90="","",Agent10_Savings!F90)</f>
        <v/>
      </c>
      <c r="H1883" s="40" t="str">
        <f>IF(Agent10_Savings!A90="","",Agent10_Savings!I90)</f>
        <v/>
      </c>
      <c r="I1883" s="40" t="str">
        <f>IF(Agent10_Savings!A90="","",Agent10_Savings!J90)</f>
        <v/>
      </c>
      <c r="J1883" s="40" t="str">
        <f>IF(Agent10_Savings!A90="","",Agent10_Savings!K90)</f>
        <v/>
      </c>
      <c r="K1883" s="40" t="str">
        <f>IFERROR(IF(Agent10_Savings!A90="","",YEAR(Agent10_Savings!D90)),"")</f>
        <v/>
      </c>
    </row>
    <row r="1884" spans="1:11" ht="18" customHeight="1" x14ac:dyDescent="0.25">
      <c r="A1884" s="40" t="str">
        <f>IF(Agent10_Savings!A91="","",Agent10_Savings!A91)</f>
        <v/>
      </c>
      <c r="B1884" s="40" t="str">
        <f ca="1">IF(Agent10_Savings!A91="","","SV"&amp;TEXT(1884-3,"0000")&amp;"-"&amp;TEXT(TODAY(),"YYYYMMDD"))</f>
        <v/>
      </c>
      <c r="C1884" s="40" t="str">
        <f>IF(Agent10_Savings!A91="","",Agent10_Savings!B91)</f>
        <v/>
      </c>
      <c r="D1884" s="40" t="str">
        <f>IF(Agent10_Savings!A91="","",Agent10_Savings!G91)</f>
        <v/>
      </c>
      <c r="E1884" s="41" t="str">
        <f>IF(Agent10_Savings!A91="","",Agent10_Savings!D91)</f>
        <v/>
      </c>
      <c r="F1884" s="42" t="str">
        <f>IF(Agent10_Savings!A91="","",Agent10_Savings!E91)</f>
        <v/>
      </c>
      <c r="G1884" s="42" t="str">
        <f>IF(Agent10_Savings!A91="","",Agent10_Savings!F91)</f>
        <v/>
      </c>
      <c r="H1884" s="40" t="str">
        <f>IF(Agent10_Savings!A91="","",Agent10_Savings!I91)</f>
        <v/>
      </c>
      <c r="I1884" s="40" t="str">
        <f>IF(Agent10_Savings!A91="","",Agent10_Savings!J91)</f>
        <v/>
      </c>
      <c r="J1884" s="40" t="str">
        <f>IF(Agent10_Savings!A91="","",Agent10_Savings!K91)</f>
        <v/>
      </c>
      <c r="K1884" s="40" t="str">
        <f>IFERROR(IF(Agent10_Savings!A91="","",YEAR(Agent10_Savings!D91)),"")</f>
        <v/>
      </c>
    </row>
    <row r="1885" spans="1:11" ht="18" customHeight="1" x14ac:dyDescent="0.25">
      <c r="A1885" s="40" t="str">
        <f>IF(Agent10_Savings!A92="","",Agent10_Savings!A92)</f>
        <v/>
      </c>
      <c r="B1885" s="40" t="str">
        <f ca="1">IF(Agent10_Savings!A92="","","SV"&amp;TEXT(1885-3,"0000")&amp;"-"&amp;TEXT(TODAY(),"YYYYMMDD"))</f>
        <v/>
      </c>
      <c r="C1885" s="40" t="str">
        <f>IF(Agent10_Savings!A92="","",Agent10_Savings!B92)</f>
        <v/>
      </c>
      <c r="D1885" s="40" t="str">
        <f>IF(Agent10_Savings!A92="","",Agent10_Savings!G92)</f>
        <v/>
      </c>
      <c r="E1885" s="41" t="str">
        <f>IF(Agent10_Savings!A92="","",Agent10_Savings!D92)</f>
        <v/>
      </c>
      <c r="F1885" s="42" t="str">
        <f>IF(Agent10_Savings!A92="","",Agent10_Savings!E92)</f>
        <v/>
      </c>
      <c r="G1885" s="42" t="str">
        <f>IF(Agent10_Savings!A92="","",Agent10_Savings!F92)</f>
        <v/>
      </c>
      <c r="H1885" s="40" t="str">
        <f>IF(Agent10_Savings!A92="","",Agent10_Savings!I92)</f>
        <v/>
      </c>
      <c r="I1885" s="40" t="str">
        <f>IF(Agent10_Savings!A92="","",Agent10_Savings!J92)</f>
        <v/>
      </c>
      <c r="J1885" s="40" t="str">
        <f>IF(Agent10_Savings!A92="","",Agent10_Savings!K92)</f>
        <v/>
      </c>
      <c r="K1885" s="40" t="str">
        <f>IFERROR(IF(Agent10_Savings!A92="","",YEAR(Agent10_Savings!D92)),"")</f>
        <v/>
      </c>
    </row>
    <row r="1886" spans="1:11" ht="18" customHeight="1" x14ac:dyDescent="0.25">
      <c r="A1886" s="40" t="str">
        <f>IF(Agent10_Savings!A93="","",Agent10_Savings!A93)</f>
        <v/>
      </c>
      <c r="B1886" s="40" t="str">
        <f ca="1">IF(Agent10_Savings!A93="","","SV"&amp;TEXT(1886-3,"0000")&amp;"-"&amp;TEXT(TODAY(),"YYYYMMDD"))</f>
        <v/>
      </c>
      <c r="C1886" s="40" t="str">
        <f>IF(Agent10_Savings!A93="","",Agent10_Savings!B93)</f>
        <v/>
      </c>
      <c r="D1886" s="40" t="str">
        <f>IF(Agent10_Savings!A93="","",Agent10_Savings!G93)</f>
        <v/>
      </c>
      <c r="E1886" s="41" t="str">
        <f>IF(Agent10_Savings!A93="","",Agent10_Savings!D93)</f>
        <v/>
      </c>
      <c r="F1886" s="42" t="str">
        <f>IF(Agent10_Savings!A93="","",Agent10_Savings!E93)</f>
        <v/>
      </c>
      <c r="G1886" s="42" t="str">
        <f>IF(Agent10_Savings!A93="","",Agent10_Savings!F93)</f>
        <v/>
      </c>
      <c r="H1886" s="40" t="str">
        <f>IF(Agent10_Savings!A93="","",Agent10_Savings!I93)</f>
        <v/>
      </c>
      <c r="I1886" s="40" t="str">
        <f>IF(Agent10_Savings!A93="","",Agent10_Savings!J93)</f>
        <v/>
      </c>
      <c r="J1886" s="40" t="str">
        <f>IF(Agent10_Savings!A93="","",Agent10_Savings!K93)</f>
        <v/>
      </c>
      <c r="K1886" s="40" t="str">
        <f>IFERROR(IF(Agent10_Savings!A93="","",YEAR(Agent10_Savings!D93)),"")</f>
        <v/>
      </c>
    </row>
    <row r="1887" spans="1:11" ht="18" customHeight="1" x14ac:dyDescent="0.25">
      <c r="A1887" s="40" t="str">
        <f>IF(Agent10_Savings!A94="","",Agent10_Savings!A94)</f>
        <v/>
      </c>
      <c r="B1887" s="40" t="str">
        <f ca="1">IF(Agent10_Savings!A94="","","SV"&amp;TEXT(1887-3,"0000")&amp;"-"&amp;TEXT(TODAY(),"YYYYMMDD"))</f>
        <v/>
      </c>
      <c r="C1887" s="40" t="str">
        <f>IF(Agent10_Savings!A94="","",Agent10_Savings!B94)</f>
        <v/>
      </c>
      <c r="D1887" s="40" t="str">
        <f>IF(Agent10_Savings!A94="","",Agent10_Savings!G94)</f>
        <v/>
      </c>
      <c r="E1887" s="41" t="str">
        <f>IF(Agent10_Savings!A94="","",Agent10_Savings!D94)</f>
        <v/>
      </c>
      <c r="F1887" s="42" t="str">
        <f>IF(Agent10_Savings!A94="","",Agent10_Savings!E94)</f>
        <v/>
      </c>
      <c r="G1887" s="42" t="str">
        <f>IF(Agent10_Savings!A94="","",Agent10_Savings!F94)</f>
        <v/>
      </c>
      <c r="H1887" s="40" t="str">
        <f>IF(Agent10_Savings!A94="","",Agent10_Savings!I94)</f>
        <v/>
      </c>
      <c r="I1887" s="40" t="str">
        <f>IF(Agent10_Savings!A94="","",Agent10_Savings!J94)</f>
        <v/>
      </c>
      <c r="J1887" s="40" t="str">
        <f>IF(Agent10_Savings!A94="","",Agent10_Savings!K94)</f>
        <v/>
      </c>
      <c r="K1887" s="40" t="str">
        <f>IFERROR(IF(Agent10_Savings!A94="","",YEAR(Agent10_Savings!D94)),"")</f>
        <v/>
      </c>
    </row>
    <row r="1888" spans="1:11" ht="18" customHeight="1" x14ac:dyDescent="0.25">
      <c r="A1888" s="40" t="str">
        <f>IF(Agent10_Savings!A95="","",Agent10_Savings!A95)</f>
        <v/>
      </c>
      <c r="B1888" s="40" t="str">
        <f ca="1">IF(Agent10_Savings!A95="","","SV"&amp;TEXT(1888-3,"0000")&amp;"-"&amp;TEXT(TODAY(),"YYYYMMDD"))</f>
        <v/>
      </c>
      <c r="C1888" s="40" t="str">
        <f>IF(Agent10_Savings!A95="","",Agent10_Savings!B95)</f>
        <v/>
      </c>
      <c r="D1888" s="40" t="str">
        <f>IF(Agent10_Savings!A95="","",Agent10_Savings!G95)</f>
        <v/>
      </c>
      <c r="E1888" s="41" t="str">
        <f>IF(Agent10_Savings!A95="","",Agent10_Savings!D95)</f>
        <v/>
      </c>
      <c r="F1888" s="42" t="str">
        <f>IF(Agent10_Savings!A95="","",Agent10_Savings!E95)</f>
        <v/>
      </c>
      <c r="G1888" s="42" t="str">
        <f>IF(Agent10_Savings!A95="","",Agent10_Savings!F95)</f>
        <v/>
      </c>
      <c r="H1888" s="40" t="str">
        <f>IF(Agent10_Savings!A95="","",Agent10_Savings!I95)</f>
        <v/>
      </c>
      <c r="I1888" s="40" t="str">
        <f>IF(Agent10_Savings!A95="","",Agent10_Savings!J95)</f>
        <v/>
      </c>
      <c r="J1888" s="40" t="str">
        <f>IF(Agent10_Savings!A95="","",Agent10_Savings!K95)</f>
        <v/>
      </c>
      <c r="K1888" s="40" t="str">
        <f>IFERROR(IF(Agent10_Savings!A95="","",YEAR(Agent10_Savings!D95)),"")</f>
        <v/>
      </c>
    </row>
    <row r="1889" spans="1:11" ht="18" customHeight="1" x14ac:dyDescent="0.25">
      <c r="A1889" s="40" t="str">
        <f>IF(Agent10_Savings!A96="","",Agent10_Savings!A96)</f>
        <v/>
      </c>
      <c r="B1889" s="40" t="str">
        <f ca="1">IF(Agent10_Savings!A96="","","SV"&amp;TEXT(1889-3,"0000")&amp;"-"&amp;TEXT(TODAY(),"YYYYMMDD"))</f>
        <v/>
      </c>
      <c r="C1889" s="40" t="str">
        <f>IF(Agent10_Savings!A96="","",Agent10_Savings!B96)</f>
        <v/>
      </c>
      <c r="D1889" s="40" t="str">
        <f>IF(Agent10_Savings!A96="","",Agent10_Savings!G96)</f>
        <v/>
      </c>
      <c r="E1889" s="41" t="str">
        <f>IF(Agent10_Savings!A96="","",Agent10_Savings!D96)</f>
        <v/>
      </c>
      <c r="F1889" s="42" t="str">
        <f>IF(Agent10_Savings!A96="","",Agent10_Savings!E96)</f>
        <v/>
      </c>
      <c r="G1889" s="42" t="str">
        <f>IF(Agent10_Savings!A96="","",Agent10_Savings!F96)</f>
        <v/>
      </c>
      <c r="H1889" s="40" t="str">
        <f>IF(Agent10_Savings!A96="","",Agent10_Savings!I96)</f>
        <v/>
      </c>
      <c r="I1889" s="40" t="str">
        <f>IF(Agent10_Savings!A96="","",Agent10_Savings!J96)</f>
        <v/>
      </c>
      <c r="J1889" s="40" t="str">
        <f>IF(Agent10_Savings!A96="","",Agent10_Savings!K96)</f>
        <v/>
      </c>
      <c r="K1889" s="40" t="str">
        <f>IFERROR(IF(Agent10_Savings!A96="","",YEAR(Agent10_Savings!D96)),"")</f>
        <v/>
      </c>
    </row>
    <row r="1890" spans="1:11" ht="18" customHeight="1" x14ac:dyDescent="0.25">
      <c r="A1890" s="40" t="str">
        <f>IF(Agent10_Savings!A97="","",Agent10_Savings!A97)</f>
        <v/>
      </c>
      <c r="B1890" s="40" t="str">
        <f ca="1">IF(Agent10_Savings!A97="","","SV"&amp;TEXT(1890-3,"0000")&amp;"-"&amp;TEXT(TODAY(),"YYYYMMDD"))</f>
        <v/>
      </c>
      <c r="C1890" s="40" t="str">
        <f>IF(Agent10_Savings!A97="","",Agent10_Savings!B97)</f>
        <v/>
      </c>
      <c r="D1890" s="40" t="str">
        <f>IF(Agent10_Savings!A97="","",Agent10_Savings!G97)</f>
        <v/>
      </c>
      <c r="E1890" s="41" t="str">
        <f>IF(Agent10_Savings!A97="","",Agent10_Savings!D97)</f>
        <v/>
      </c>
      <c r="F1890" s="42" t="str">
        <f>IF(Agent10_Savings!A97="","",Agent10_Savings!E97)</f>
        <v/>
      </c>
      <c r="G1890" s="42" t="str">
        <f>IF(Agent10_Savings!A97="","",Agent10_Savings!F97)</f>
        <v/>
      </c>
      <c r="H1890" s="40" t="str">
        <f>IF(Agent10_Savings!A97="","",Agent10_Savings!I97)</f>
        <v/>
      </c>
      <c r="I1890" s="40" t="str">
        <f>IF(Agent10_Savings!A97="","",Agent10_Savings!J97)</f>
        <v/>
      </c>
      <c r="J1890" s="40" t="str">
        <f>IF(Agent10_Savings!A97="","",Agent10_Savings!K97)</f>
        <v/>
      </c>
      <c r="K1890" s="40" t="str">
        <f>IFERROR(IF(Agent10_Savings!A97="","",YEAR(Agent10_Savings!D97)),"")</f>
        <v/>
      </c>
    </row>
    <row r="1891" spans="1:11" ht="18" customHeight="1" x14ac:dyDescent="0.25">
      <c r="A1891" s="40" t="str">
        <f>IF(Agent10_Savings!A98="","",Agent10_Savings!A98)</f>
        <v/>
      </c>
      <c r="B1891" s="40" t="str">
        <f ca="1">IF(Agent10_Savings!A98="","","SV"&amp;TEXT(1891-3,"0000")&amp;"-"&amp;TEXT(TODAY(),"YYYYMMDD"))</f>
        <v/>
      </c>
      <c r="C1891" s="40" t="str">
        <f>IF(Agent10_Savings!A98="","",Agent10_Savings!B98)</f>
        <v/>
      </c>
      <c r="D1891" s="40" t="str">
        <f>IF(Agent10_Savings!A98="","",Agent10_Savings!G98)</f>
        <v/>
      </c>
      <c r="E1891" s="41" t="str">
        <f>IF(Agent10_Savings!A98="","",Agent10_Savings!D98)</f>
        <v/>
      </c>
      <c r="F1891" s="42" t="str">
        <f>IF(Agent10_Savings!A98="","",Agent10_Savings!E98)</f>
        <v/>
      </c>
      <c r="G1891" s="42" t="str">
        <f>IF(Agent10_Savings!A98="","",Agent10_Savings!F98)</f>
        <v/>
      </c>
      <c r="H1891" s="40" t="str">
        <f>IF(Agent10_Savings!A98="","",Agent10_Savings!I98)</f>
        <v/>
      </c>
      <c r="I1891" s="40" t="str">
        <f>IF(Agent10_Savings!A98="","",Agent10_Savings!J98)</f>
        <v/>
      </c>
      <c r="J1891" s="40" t="str">
        <f>IF(Agent10_Savings!A98="","",Agent10_Savings!K98)</f>
        <v/>
      </c>
      <c r="K1891" s="40" t="str">
        <f>IFERROR(IF(Agent10_Savings!A98="","",YEAR(Agent10_Savings!D98)),"")</f>
        <v/>
      </c>
    </row>
    <row r="1892" spans="1:11" ht="18" customHeight="1" x14ac:dyDescent="0.25">
      <c r="A1892" s="40" t="str">
        <f>IF(Agent10_Savings!A99="","",Agent10_Savings!A99)</f>
        <v/>
      </c>
      <c r="B1892" s="40" t="str">
        <f ca="1">IF(Agent10_Savings!A99="","","SV"&amp;TEXT(1892-3,"0000")&amp;"-"&amp;TEXT(TODAY(),"YYYYMMDD"))</f>
        <v/>
      </c>
      <c r="C1892" s="40" t="str">
        <f>IF(Agent10_Savings!A99="","",Agent10_Savings!B99)</f>
        <v/>
      </c>
      <c r="D1892" s="40" t="str">
        <f>IF(Agent10_Savings!A99="","",Agent10_Savings!G99)</f>
        <v/>
      </c>
      <c r="E1892" s="41" t="str">
        <f>IF(Agent10_Savings!A99="","",Agent10_Savings!D99)</f>
        <v/>
      </c>
      <c r="F1892" s="42" t="str">
        <f>IF(Agent10_Savings!A99="","",Agent10_Savings!E99)</f>
        <v/>
      </c>
      <c r="G1892" s="42" t="str">
        <f>IF(Agent10_Savings!A99="","",Agent10_Savings!F99)</f>
        <v/>
      </c>
      <c r="H1892" s="40" t="str">
        <f>IF(Agent10_Savings!A99="","",Agent10_Savings!I99)</f>
        <v/>
      </c>
      <c r="I1892" s="40" t="str">
        <f>IF(Agent10_Savings!A99="","",Agent10_Savings!J99)</f>
        <v/>
      </c>
      <c r="J1892" s="40" t="str">
        <f>IF(Agent10_Savings!A99="","",Agent10_Savings!K99)</f>
        <v/>
      </c>
      <c r="K1892" s="40" t="str">
        <f>IFERROR(IF(Agent10_Savings!A99="","",YEAR(Agent10_Savings!D99)),"")</f>
        <v/>
      </c>
    </row>
    <row r="1893" spans="1:11" ht="18" customHeight="1" x14ac:dyDescent="0.25">
      <c r="A1893" s="40" t="str">
        <f>IF(Agent10_Savings!A100="","",Agent10_Savings!A100)</f>
        <v/>
      </c>
      <c r="B1893" s="40" t="str">
        <f ca="1">IF(Agent10_Savings!A100="","","SV"&amp;TEXT(1893-3,"0000")&amp;"-"&amp;TEXT(TODAY(),"YYYYMMDD"))</f>
        <v/>
      </c>
      <c r="C1893" s="40" t="str">
        <f>IF(Agent10_Savings!A100="","",Agent10_Savings!B100)</f>
        <v/>
      </c>
      <c r="D1893" s="40" t="str">
        <f>IF(Agent10_Savings!A100="","",Agent10_Savings!G100)</f>
        <v/>
      </c>
      <c r="E1893" s="41" t="str">
        <f>IF(Agent10_Savings!A100="","",Agent10_Savings!D100)</f>
        <v/>
      </c>
      <c r="F1893" s="42" t="str">
        <f>IF(Agent10_Savings!A100="","",Agent10_Savings!E100)</f>
        <v/>
      </c>
      <c r="G1893" s="42" t="str">
        <f>IF(Agent10_Savings!A100="","",Agent10_Savings!F100)</f>
        <v/>
      </c>
      <c r="H1893" s="40" t="str">
        <f>IF(Agent10_Savings!A100="","",Agent10_Savings!I100)</f>
        <v/>
      </c>
      <c r="I1893" s="40" t="str">
        <f>IF(Agent10_Savings!A100="","",Agent10_Savings!J100)</f>
        <v/>
      </c>
      <c r="J1893" s="40" t="str">
        <f>IF(Agent10_Savings!A100="","",Agent10_Savings!K100)</f>
        <v/>
      </c>
      <c r="K1893" s="40" t="str">
        <f>IFERROR(IF(Agent10_Savings!A100="","",YEAR(Agent10_Savings!D100)),"")</f>
        <v/>
      </c>
    </row>
    <row r="1894" spans="1:11" ht="18" customHeight="1" x14ac:dyDescent="0.25">
      <c r="A1894" s="40" t="str">
        <f>IF(Agent10_Savings!A101="","",Agent10_Savings!A101)</f>
        <v/>
      </c>
      <c r="B1894" s="40" t="str">
        <f ca="1">IF(Agent10_Savings!A101="","","SV"&amp;TEXT(1894-3,"0000")&amp;"-"&amp;TEXT(TODAY(),"YYYYMMDD"))</f>
        <v/>
      </c>
      <c r="C1894" s="40" t="str">
        <f>IF(Agent10_Savings!A101="","",Agent10_Savings!B101)</f>
        <v/>
      </c>
      <c r="D1894" s="40" t="str">
        <f>IF(Agent10_Savings!A101="","",Agent10_Savings!G101)</f>
        <v/>
      </c>
      <c r="E1894" s="41" t="str">
        <f>IF(Agent10_Savings!A101="","",Agent10_Savings!D101)</f>
        <v/>
      </c>
      <c r="F1894" s="42" t="str">
        <f>IF(Agent10_Savings!A101="","",Agent10_Savings!E101)</f>
        <v/>
      </c>
      <c r="G1894" s="42" t="str">
        <f>IF(Agent10_Savings!A101="","",Agent10_Savings!F101)</f>
        <v/>
      </c>
      <c r="H1894" s="40" t="str">
        <f>IF(Agent10_Savings!A101="","",Agent10_Savings!I101)</f>
        <v/>
      </c>
      <c r="I1894" s="40" t="str">
        <f>IF(Agent10_Savings!A101="","",Agent10_Savings!J101)</f>
        <v/>
      </c>
      <c r="J1894" s="40" t="str">
        <f>IF(Agent10_Savings!A101="","",Agent10_Savings!K101)</f>
        <v/>
      </c>
      <c r="K1894" s="40" t="str">
        <f>IFERROR(IF(Agent10_Savings!A101="","",YEAR(Agent10_Savings!D101)),"")</f>
        <v/>
      </c>
    </row>
    <row r="1895" spans="1:11" ht="18" customHeight="1" x14ac:dyDescent="0.25">
      <c r="A1895" s="40" t="str">
        <f>IF(Agent10_Savings!A102="","",Agent10_Savings!A102)</f>
        <v/>
      </c>
      <c r="B1895" s="40" t="str">
        <f ca="1">IF(Agent10_Savings!A102="","","SV"&amp;TEXT(1895-3,"0000")&amp;"-"&amp;TEXT(TODAY(),"YYYYMMDD"))</f>
        <v/>
      </c>
      <c r="C1895" s="40" t="str">
        <f>IF(Agent10_Savings!A102="","",Agent10_Savings!B102)</f>
        <v/>
      </c>
      <c r="D1895" s="40" t="str">
        <f>IF(Agent10_Savings!A102="","",Agent10_Savings!G102)</f>
        <v/>
      </c>
      <c r="E1895" s="41" t="str">
        <f>IF(Agent10_Savings!A102="","",Agent10_Savings!D102)</f>
        <v/>
      </c>
      <c r="F1895" s="42" t="str">
        <f>IF(Agent10_Savings!A102="","",Agent10_Savings!E102)</f>
        <v/>
      </c>
      <c r="G1895" s="42" t="str">
        <f>IF(Agent10_Savings!A102="","",Agent10_Savings!F102)</f>
        <v/>
      </c>
      <c r="H1895" s="40" t="str">
        <f>IF(Agent10_Savings!A102="","",Agent10_Savings!I102)</f>
        <v/>
      </c>
      <c r="I1895" s="40" t="str">
        <f>IF(Agent10_Savings!A102="","",Agent10_Savings!J102)</f>
        <v/>
      </c>
      <c r="J1895" s="40" t="str">
        <f>IF(Agent10_Savings!A102="","",Agent10_Savings!K102)</f>
        <v/>
      </c>
      <c r="K1895" s="40" t="str">
        <f>IFERROR(IF(Agent10_Savings!A102="","",YEAR(Agent10_Savings!D102)),"")</f>
        <v/>
      </c>
    </row>
    <row r="1896" spans="1:11" ht="18" customHeight="1" x14ac:dyDescent="0.25">
      <c r="A1896" s="40" t="str">
        <f>IF(Agent10_Savings!A103="","",Agent10_Savings!A103)</f>
        <v/>
      </c>
      <c r="B1896" s="40" t="str">
        <f ca="1">IF(Agent10_Savings!A103="","","SV"&amp;TEXT(1896-3,"0000")&amp;"-"&amp;TEXT(TODAY(),"YYYYMMDD"))</f>
        <v/>
      </c>
      <c r="C1896" s="40" t="str">
        <f>IF(Agent10_Savings!A103="","",Agent10_Savings!B103)</f>
        <v/>
      </c>
      <c r="D1896" s="40" t="str">
        <f>IF(Agent10_Savings!A103="","",Agent10_Savings!G103)</f>
        <v/>
      </c>
      <c r="E1896" s="41" t="str">
        <f>IF(Agent10_Savings!A103="","",Agent10_Savings!D103)</f>
        <v/>
      </c>
      <c r="F1896" s="42" t="str">
        <f>IF(Agent10_Savings!A103="","",Agent10_Savings!E103)</f>
        <v/>
      </c>
      <c r="G1896" s="42" t="str">
        <f>IF(Agent10_Savings!A103="","",Agent10_Savings!F103)</f>
        <v/>
      </c>
      <c r="H1896" s="40" t="str">
        <f>IF(Agent10_Savings!A103="","",Agent10_Savings!I103)</f>
        <v/>
      </c>
      <c r="I1896" s="40" t="str">
        <f>IF(Agent10_Savings!A103="","",Agent10_Savings!J103)</f>
        <v/>
      </c>
      <c r="J1896" s="40" t="str">
        <f>IF(Agent10_Savings!A103="","",Agent10_Savings!K103)</f>
        <v/>
      </c>
      <c r="K1896" s="40" t="str">
        <f>IFERROR(IF(Agent10_Savings!A103="","",YEAR(Agent10_Savings!D103)),"")</f>
        <v/>
      </c>
    </row>
    <row r="1897" spans="1:11" ht="18" customHeight="1" x14ac:dyDescent="0.25">
      <c r="A1897" s="40" t="str">
        <f>IF(Agent10_Savings!A104="","",Agent10_Savings!A104)</f>
        <v/>
      </c>
      <c r="B1897" s="40" t="str">
        <f ca="1">IF(Agent10_Savings!A104="","","SV"&amp;TEXT(1897-3,"0000")&amp;"-"&amp;TEXT(TODAY(),"YYYYMMDD"))</f>
        <v/>
      </c>
      <c r="C1897" s="40" t="str">
        <f>IF(Agent10_Savings!A104="","",Agent10_Savings!B104)</f>
        <v/>
      </c>
      <c r="D1897" s="40" t="str">
        <f>IF(Agent10_Savings!A104="","",Agent10_Savings!G104)</f>
        <v/>
      </c>
      <c r="E1897" s="41" t="str">
        <f>IF(Agent10_Savings!A104="","",Agent10_Savings!D104)</f>
        <v/>
      </c>
      <c r="F1897" s="42" t="str">
        <f>IF(Agent10_Savings!A104="","",Agent10_Savings!E104)</f>
        <v/>
      </c>
      <c r="G1897" s="42" t="str">
        <f>IF(Agent10_Savings!A104="","",Agent10_Savings!F104)</f>
        <v/>
      </c>
      <c r="H1897" s="40" t="str">
        <f>IF(Agent10_Savings!A104="","",Agent10_Savings!I104)</f>
        <v/>
      </c>
      <c r="I1897" s="40" t="str">
        <f>IF(Agent10_Savings!A104="","",Agent10_Savings!J104)</f>
        <v/>
      </c>
      <c r="J1897" s="40" t="str">
        <f>IF(Agent10_Savings!A104="","",Agent10_Savings!K104)</f>
        <v/>
      </c>
      <c r="K1897" s="40" t="str">
        <f>IFERROR(IF(Agent10_Savings!A104="","",YEAR(Agent10_Savings!D104)),"")</f>
        <v/>
      </c>
    </row>
    <row r="1898" spans="1:11" ht="18" customHeight="1" x14ac:dyDescent="0.25">
      <c r="A1898" s="40" t="str">
        <f>IF(Agent10_Savings!A105="","",Agent10_Savings!A105)</f>
        <v/>
      </c>
      <c r="B1898" s="40" t="str">
        <f ca="1">IF(Agent10_Savings!A105="","","SV"&amp;TEXT(1898-3,"0000")&amp;"-"&amp;TEXT(TODAY(),"YYYYMMDD"))</f>
        <v/>
      </c>
      <c r="C1898" s="40" t="str">
        <f>IF(Agent10_Savings!A105="","",Agent10_Savings!B105)</f>
        <v/>
      </c>
      <c r="D1898" s="40" t="str">
        <f>IF(Agent10_Savings!A105="","",Agent10_Savings!G105)</f>
        <v/>
      </c>
      <c r="E1898" s="41" t="str">
        <f>IF(Agent10_Savings!A105="","",Agent10_Savings!D105)</f>
        <v/>
      </c>
      <c r="F1898" s="42" t="str">
        <f>IF(Agent10_Savings!A105="","",Agent10_Savings!E105)</f>
        <v/>
      </c>
      <c r="G1898" s="42" t="str">
        <f>IF(Agent10_Savings!A105="","",Agent10_Savings!F105)</f>
        <v/>
      </c>
      <c r="H1898" s="40" t="str">
        <f>IF(Agent10_Savings!A105="","",Agent10_Savings!I105)</f>
        <v/>
      </c>
      <c r="I1898" s="40" t="str">
        <f>IF(Agent10_Savings!A105="","",Agent10_Savings!J105)</f>
        <v/>
      </c>
      <c r="J1898" s="40" t="str">
        <f>IF(Agent10_Savings!A105="","",Agent10_Savings!K105)</f>
        <v/>
      </c>
      <c r="K1898" s="40" t="str">
        <f>IFERROR(IF(Agent10_Savings!A105="","",YEAR(Agent10_Savings!D105)),"")</f>
        <v/>
      </c>
    </row>
    <row r="1899" spans="1:11" ht="18" customHeight="1" x14ac:dyDescent="0.25">
      <c r="A1899" s="40" t="str">
        <f>IF(Agent10_Savings!A106="","",Agent10_Savings!A106)</f>
        <v/>
      </c>
      <c r="B1899" s="40" t="str">
        <f ca="1">IF(Agent10_Savings!A106="","","SV"&amp;TEXT(1899-3,"0000")&amp;"-"&amp;TEXT(TODAY(),"YYYYMMDD"))</f>
        <v/>
      </c>
      <c r="C1899" s="40" t="str">
        <f>IF(Agent10_Savings!A106="","",Agent10_Savings!B106)</f>
        <v/>
      </c>
      <c r="D1899" s="40" t="str">
        <f>IF(Agent10_Savings!A106="","",Agent10_Savings!G106)</f>
        <v/>
      </c>
      <c r="E1899" s="41" t="str">
        <f>IF(Agent10_Savings!A106="","",Agent10_Savings!D106)</f>
        <v/>
      </c>
      <c r="F1899" s="42" t="str">
        <f>IF(Agent10_Savings!A106="","",Agent10_Savings!E106)</f>
        <v/>
      </c>
      <c r="G1899" s="42" t="str">
        <f>IF(Agent10_Savings!A106="","",Agent10_Savings!F106)</f>
        <v/>
      </c>
      <c r="H1899" s="40" t="str">
        <f>IF(Agent10_Savings!A106="","",Agent10_Savings!I106)</f>
        <v/>
      </c>
      <c r="I1899" s="40" t="str">
        <f>IF(Agent10_Savings!A106="","",Agent10_Savings!J106)</f>
        <v/>
      </c>
      <c r="J1899" s="40" t="str">
        <f>IF(Agent10_Savings!A106="","",Agent10_Savings!K106)</f>
        <v/>
      </c>
      <c r="K1899" s="40" t="str">
        <f>IFERROR(IF(Agent10_Savings!A106="","",YEAR(Agent10_Savings!D106)),"")</f>
        <v/>
      </c>
    </row>
    <row r="1900" spans="1:11" ht="18" customHeight="1" x14ac:dyDescent="0.25">
      <c r="A1900" s="40" t="str">
        <f>IF(Agent10_Savings!A107="","",Agent10_Savings!A107)</f>
        <v/>
      </c>
      <c r="B1900" s="40" t="str">
        <f ca="1">IF(Agent10_Savings!A107="","","SV"&amp;TEXT(1900-3,"0000")&amp;"-"&amp;TEXT(TODAY(),"YYYYMMDD"))</f>
        <v/>
      </c>
      <c r="C1900" s="40" t="str">
        <f>IF(Agent10_Savings!A107="","",Agent10_Savings!B107)</f>
        <v/>
      </c>
      <c r="D1900" s="40" t="str">
        <f>IF(Agent10_Savings!A107="","",Agent10_Savings!G107)</f>
        <v/>
      </c>
      <c r="E1900" s="41" t="str">
        <f>IF(Agent10_Savings!A107="","",Agent10_Savings!D107)</f>
        <v/>
      </c>
      <c r="F1900" s="42" t="str">
        <f>IF(Agent10_Savings!A107="","",Agent10_Savings!E107)</f>
        <v/>
      </c>
      <c r="G1900" s="42" t="str">
        <f>IF(Agent10_Savings!A107="","",Agent10_Savings!F107)</f>
        <v/>
      </c>
      <c r="H1900" s="40" t="str">
        <f>IF(Agent10_Savings!A107="","",Agent10_Savings!I107)</f>
        <v/>
      </c>
      <c r="I1900" s="40" t="str">
        <f>IF(Agent10_Savings!A107="","",Agent10_Savings!J107)</f>
        <v/>
      </c>
      <c r="J1900" s="40" t="str">
        <f>IF(Agent10_Savings!A107="","",Agent10_Savings!K107)</f>
        <v/>
      </c>
      <c r="K1900" s="40" t="str">
        <f>IFERROR(IF(Agent10_Savings!A107="","",YEAR(Agent10_Savings!D107)),"")</f>
        <v/>
      </c>
    </row>
    <row r="1901" spans="1:11" ht="18" customHeight="1" x14ac:dyDescent="0.25">
      <c r="A1901" s="40" t="str">
        <f>IF(Agent10_Savings!A108="","",Agent10_Savings!A108)</f>
        <v/>
      </c>
      <c r="B1901" s="40" t="str">
        <f ca="1">IF(Agent10_Savings!A108="","","SV"&amp;TEXT(1901-3,"0000")&amp;"-"&amp;TEXT(TODAY(),"YYYYMMDD"))</f>
        <v/>
      </c>
      <c r="C1901" s="40" t="str">
        <f>IF(Agent10_Savings!A108="","",Agent10_Savings!B108)</f>
        <v/>
      </c>
      <c r="D1901" s="40" t="str">
        <f>IF(Agent10_Savings!A108="","",Agent10_Savings!G108)</f>
        <v/>
      </c>
      <c r="E1901" s="41" t="str">
        <f>IF(Agent10_Savings!A108="","",Agent10_Savings!D108)</f>
        <v/>
      </c>
      <c r="F1901" s="42" t="str">
        <f>IF(Agent10_Savings!A108="","",Agent10_Savings!E108)</f>
        <v/>
      </c>
      <c r="G1901" s="42" t="str">
        <f>IF(Agent10_Savings!A108="","",Agent10_Savings!F108)</f>
        <v/>
      </c>
      <c r="H1901" s="40" t="str">
        <f>IF(Agent10_Savings!A108="","",Agent10_Savings!I108)</f>
        <v/>
      </c>
      <c r="I1901" s="40" t="str">
        <f>IF(Agent10_Savings!A108="","",Agent10_Savings!J108)</f>
        <v/>
      </c>
      <c r="J1901" s="40" t="str">
        <f>IF(Agent10_Savings!A108="","",Agent10_Savings!K108)</f>
        <v/>
      </c>
      <c r="K1901" s="40" t="str">
        <f>IFERROR(IF(Agent10_Savings!A108="","",YEAR(Agent10_Savings!D108)),"")</f>
        <v/>
      </c>
    </row>
    <row r="1902" spans="1:11" ht="18" customHeight="1" x14ac:dyDescent="0.25">
      <c r="A1902" s="40" t="str">
        <f>IF(Agent10_Savings!A109="","",Agent10_Savings!A109)</f>
        <v/>
      </c>
      <c r="B1902" s="40" t="str">
        <f ca="1">IF(Agent10_Savings!A109="","","SV"&amp;TEXT(1902-3,"0000")&amp;"-"&amp;TEXT(TODAY(),"YYYYMMDD"))</f>
        <v/>
      </c>
      <c r="C1902" s="40" t="str">
        <f>IF(Agent10_Savings!A109="","",Agent10_Savings!B109)</f>
        <v/>
      </c>
      <c r="D1902" s="40" t="str">
        <f>IF(Agent10_Savings!A109="","",Agent10_Savings!G109)</f>
        <v/>
      </c>
      <c r="E1902" s="41" t="str">
        <f>IF(Agent10_Savings!A109="","",Agent10_Savings!D109)</f>
        <v/>
      </c>
      <c r="F1902" s="42" t="str">
        <f>IF(Agent10_Savings!A109="","",Agent10_Savings!E109)</f>
        <v/>
      </c>
      <c r="G1902" s="42" t="str">
        <f>IF(Agent10_Savings!A109="","",Agent10_Savings!F109)</f>
        <v/>
      </c>
      <c r="H1902" s="40" t="str">
        <f>IF(Agent10_Savings!A109="","",Agent10_Savings!I109)</f>
        <v/>
      </c>
      <c r="I1902" s="40" t="str">
        <f>IF(Agent10_Savings!A109="","",Agent10_Savings!J109)</f>
        <v/>
      </c>
      <c r="J1902" s="40" t="str">
        <f>IF(Agent10_Savings!A109="","",Agent10_Savings!K109)</f>
        <v/>
      </c>
      <c r="K1902" s="40" t="str">
        <f>IFERROR(IF(Agent10_Savings!A109="","",YEAR(Agent10_Savings!D109)),"")</f>
        <v/>
      </c>
    </row>
    <row r="1903" spans="1:11" ht="18" customHeight="1" x14ac:dyDescent="0.25">
      <c r="A1903" s="40" t="str">
        <f>IF(Agent10_Savings!A110="","",Agent10_Savings!A110)</f>
        <v/>
      </c>
      <c r="B1903" s="40" t="str">
        <f ca="1">IF(Agent10_Savings!A110="","","SV"&amp;TEXT(1903-3,"0000")&amp;"-"&amp;TEXT(TODAY(),"YYYYMMDD"))</f>
        <v/>
      </c>
      <c r="C1903" s="40" t="str">
        <f>IF(Agent10_Savings!A110="","",Agent10_Savings!B110)</f>
        <v/>
      </c>
      <c r="D1903" s="40" t="str">
        <f>IF(Agent10_Savings!A110="","",Agent10_Savings!G110)</f>
        <v/>
      </c>
      <c r="E1903" s="41" t="str">
        <f>IF(Agent10_Savings!A110="","",Agent10_Savings!D110)</f>
        <v/>
      </c>
      <c r="F1903" s="42" t="str">
        <f>IF(Agent10_Savings!A110="","",Agent10_Savings!E110)</f>
        <v/>
      </c>
      <c r="G1903" s="42" t="str">
        <f>IF(Agent10_Savings!A110="","",Agent10_Savings!F110)</f>
        <v/>
      </c>
      <c r="H1903" s="40" t="str">
        <f>IF(Agent10_Savings!A110="","",Agent10_Savings!I110)</f>
        <v/>
      </c>
      <c r="I1903" s="40" t="str">
        <f>IF(Agent10_Savings!A110="","",Agent10_Savings!J110)</f>
        <v/>
      </c>
      <c r="J1903" s="40" t="str">
        <f>IF(Agent10_Savings!A110="","",Agent10_Savings!K110)</f>
        <v/>
      </c>
      <c r="K1903" s="40" t="str">
        <f>IFERROR(IF(Agent10_Savings!A110="","",YEAR(Agent10_Savings!D110)),"")</f>
        <v/>
      </c>
    </row>
    <row r="1904" spans="1:11" ht="18" customHeight="1" x14ac:dyDescent="0.25">
      <c r="A1904" s="40" t="str">
        <f>IF(Agent10_Savings!A111="","",Agent10_Savings!A111)</f>
        <v/>
      </c>
      <c r="B1904" s="40" t="str">
        <f ca="1">IF(Agent10_Savings!A111="","","SV"&amp;TEXT(1904-3,"0000")&amp;"-"&amp;TEXT(TODAY(),"YYYYMMDD"))</f>
        <v/>
      </c>
      <c r="C1904" s="40" t="str">
        <f>IF(Agent10_Savings!A111="","",Agent10_Savings!B111)</f>
        <v/>
      </c>
      <c r="D1904" s="40" t="str">
        <f>IF(Agent10_Savings!A111="","",Agent10_Savings!G111)</f>
        <v/>
      </c>
      <c r="E1904" s="41" t="str">
        <f>IF(Agent10_Savings!A111="","",Agent10_Savings!D111)</f>
        <v/>
      </c>
      <c r="F1904" s="42" t="str">
        <f>IF(Agent10_Savings!A111="","",Agent10_Savings!E111)</f>
        <v/>
      </c>
      <c r="G1904" s="42" t="str">
        <f>IF(Agent10_Savings!A111="","",Agent10_Savings!F111)</f>
        <v/>
      </c>
      <c r="H1904" s="40" t="str">
        <f>IF(Agent10_Savings!A111="","",Agent10_Savings!I111)</f>
        <v/>
      </c>
      <c r="I1904" s="40" t="str">
        <f>IF(Agent10_Savings!A111="","",Agent10_Savings!J111)</f>
        <v/>
      </c>
      <c r="J1904" s="40" t="str">
        <f>IF(Agent10_Savings!A111="","",Agent10_Savings!K111)</f>
        <v/>
      </c>
      <c r="K1904" s="40" t="str">
        <f>IFERROR(IF(Agent10_Savings!A111="","",YEAR(Agent10_Savings!D111)),"")</f>
        <v/>
      </c>
    </row>
    <row r="1905" spans="1:11" ht="18" customHeight="1" x14ac:dyDescent="0.25">
      <c r="A1905" s="40" t="str">
        <f>IF(Agent10_Savings!A112="","",Agent10_Savings!A112)</f>
        <v/>
      </c>
      <c r="B1905" s="40" t="str">
        <f ca="1">IF(Agent10_Savings!A112="","","SV"&amp;TEXT(1905-3,"0000")&amp;"-"&amp;TEXT(TODAY(),"YYYYMMDD"))</f>
        <v/>
      </c>
      <c r="C1905" s="40" t="str">
        <f>IF(Agent10_Savings!A112="","",Agent10_Savings!B112)</f>
        <v/>
      </c>
      <c r="D1905" s="40" t="str">
        <f>IF(Agent10_Savings!A112="","",Agent10_Savings!G112)</f>
        <v/>
      </c>
      <c r="E1905" s="41" t="str">
        <f>IF(Agent10_Savings!A112="","",Agent10_Savings!D112)</f>
        <v/>
      </c>
      <c r="F1905" s="42" t="str">
        <f>IF(Agent10_Savings!A112="","",Agent10_Savings!E112)</f>
        <v/>
      </c>
      <c r="G1905" s="42" t="str">
        <f>IF(Agent10_Savings!A112="","",Agent10_Savings!F112)</f>
        <v/>
      </c>
      <c r="H1905" s="40" t="str">
        <f>IF(Agent10_Savings!A112="","",Agent10_Savings!I112)</f>
        <v/>
      </c>
      <c r="I1905" s="40" t="str">
        <f>IF(Agent10_Savings!A112="","",Agent10_Savings!J112)</f>
        <v/>
      </c>
      <c r="J1905" s="40" t="str">
        <f>IF(Agent10_Savings!A112="","",Agent10_Savings!K112)</f>
        <v/>
      </c>
      <c r="K1905" s="40" t="str">
        <f>IFERROR(IF(Agent10_Savings!A112="","",YEAR(Agent10_Savings!D112)),"")</f>
        <v/>
      </c>
    </row>
    <row r="1906" spans="1:11" ht="18" customHeight="1" x14ac:dyDescent="0.25">
      <c r="A1906" s="40" t="str">
        <f>IF(Agent10_Savings!A113="","",Agent10_Savings!A113)</f>
        <v/>
      </c>
      <c r="B1906" s="40" t="str">
        <f ca="1">IF(Agent10_Savings!A113="","","SV"&amp;TEXT(1906-3,"0000")&amp;"-"&amp;TEXT(TODAY(),"YYYYMMDD"))</f>
        <v/>
      </c>
      <c r="C1906" s="40" t="str">
        <f>IF(Agent10_Savings!A113="","",Agent10_Savings!B113)</f>
        <v/>
      </c>
      <c r="D1906" s="40" t="str">
        <f>IF(Agent10_Savings!A113="","",Agent10_Savings!G113)</f>
        <v/>
      </c>
      <c r="E1906" s="41" t="str">
        <f>IF(Agent10_Savings!A113="","",Agent10_Savings!D113)</f>
        <v/>
      </c>
      <c r="F1906" s="42" t="str">
        <f>IF(Agent10_Savings!A113="","",Agent10_Savings!E113)</f>
        <v/>
      </c>
      <c r="G1906" s="42" t="str">
        <f>IF(Agent10_Savings!A113="","",Agent10_Savings!F113)</f>
        <v/>
      </c>
      <c r="H1906" s="40" t="str">
        <f>IF(Agent10_Savings!A113="","",Agent10_Savings!I113)</f>
        <v/>
      </c>
      <c r="I1906" s="40" t="str">
        <f>IF(Agent10_Savings!A113="","",Agent10_Savings!J113)</f>
        <v/>
      </c>
      <c r="J1906" s="40" t="str">
        <f>IF(Agent10_Savings!A113="","",Agent10_Savings!K113)</f>
        <v/>
      </c>
      <c r="K1906" s="40" t="str">
        <f>IFERROR(IF(Agent10_Savings!A113="","",YEAR(Agent10_Savings!D113)),"")</f>
        <v/>
      </c>
    </row>
    <row r="1907" spans="1:11" ht="18" customHeight="1" x14ac:dyDescent="0.25">
      <c r="A1907" s="40" t="str">
        <f>IF(Agent10_Savings!A114="","",Agent10_Savings!A114)</f>
        <v/>
      </c>
      <c r="B1907" s="40" t="str">
        <f ca="1">IF(Agent10_Savings!A114="","","SV"&amp;TEXT(1907-3,"0000")&amp;"-"&amp;TEXT(TODAY(),"YYYYMMDD"))</f>
        <v/>
      </c>
      <c r="C1907" s="40" t="str">
        <f>IF(Agent10_Savings!A114="","",Agent10_Savings!B114)</f>
        <v/>
      </c>
      <c r="D1907" s="40" t="str">
        <f>IF(Agent10_Savings!A114="","",Agent10_Savings!G114)</f>
        <v/>
      </c>
      <c r="E1907" s="41" t="str">
        <f>IF(Agent10_Savings!A114="","",Agent10_Savings!D114)</f>
        <v/>
      </c>
      <c r="F1907" s="42" t="str">
        <f>IF(Agent10_Savings!A114="","",Agent10_Savings!E114)</f>
        <v/>
      </c>
      <c r="G1907" s="42" t="str">
        <f>IF(Agent10_Savings!A114="","",Agent10_Savings!F114)</f>
        <v/>
      </c>
      <c r="H1907" s="40" t="str">
        <f>IF(Agent10_Savings!A114="","",Agent10_Savings!I114)</f>
        <v/>
      </c>
      <c r="I1907" s="40" t="str">
        <f>IF(Agent10_Savings!A114="","",Agent10_Savings!J114)</f>
        <v/>
      </c>
      <c r="J1907" s="40" t="str">
        <f>IF(Agent10_Savings!A114="","",Agent10_Savings!K114)</f>
        <v/>
      </c>
      <c r="K1907" s="40" t="str">
        <f>IFERROR(IF(Agent10_Savings!A114="","",YEAR(Agent10_Savings!D114)),"")</f>
        <v/>
      </c>
    </row>
    <row r="1908" spans="1:11" ht="18" customHeight="1" x14ac:dyDescent="0.25">
      <c r="A1908" s="40" t="str">
        <f>IF(Agent10_Savings!A115="","",Agent10_Savings!A115)</f>
        <v/>
      </c>
      <c r="B1908" s="40" t="str">
        <f ca="1">IF(Agent10_Savings!A115="","","SV"&amp;TEXT(1908-3,"0000")&amp;"-"&amp;TEXT(TODAY(),"YYYYMMDD"))</f>
        <v/>
      </c>
      <c r="C1908" s="40" t="str">
        <f>IF(Agent10_Savings!A115="","",Agent10_Savings!B115)</f>
        <v/>
      </c>
      <c r="D1908" s="40" t="str">
        <f>IF(Agent10_Savings!A115="","",Agent10_Savings!G115)</f>
        <v/>
      </c>
      <c r="E1908" s="41" t="str">
        <f>IF(Agent10_Savings!A115="","",Agent10_Savings!D115)</f>
        <v/>
      </c>
      <c r="F1908" s="42" t="str">
        <f>IF(Agent10_Savings!A115="","",Agent10_Savings!E115)</f>
        <v/>
      </c>
      <c r="G1908" s="42" t="str">
        <f>IF(Agent10_Savings!A115="","",Agent10_Savings!F115)</f>
        <v/>
      </c>
      <c r="H1908" s="40" t="str">
        <f>IF(Agent10_Savings!A115="","",Agent10_Savings!I115)</f>
        <v/>
      </c>
      <c r="I1908" s="40" t="str">
        <f>IF(Agent10_Savings!A115="","",Agent10_Savings!J115)</f>
        <v/>
      </c>
      <c r="J1908" s="40" t="str">
        <f>IF(Agent10_Savings!A115="","",Agent10_Savings!K115)</f>
        <v/>
      </c>
      <c r="K1908" s="40" t="str">
        <f>IFERROR(IF(Agent10_Savings!A115="","",YEAR(Agent10_Savings!D115)),"")</f>
        <v/>
      </c>
    </row>
    <row r="1909" spans="1:11" ht="18" customHeight="1" x14ac:dyDescent="0.25">
      <c r="A1909" s="40" t="str">
        <f>IF(Agent10_Savings!A116="","",Agent10_Savings!A116)</f>
        <v/>
      </c>
      <c r="B1909" s="40" t="str">
        <f ca="1">IF(Agent10_Savings!A116="","","SV"&amp;TEXT(1909-3,"0000")&amp;"-"&amp;TEXT(TODAY(),"YYYYMMDD"))</f>
        <v/>
      </c>
      <c r="C1909" s="40" t="str">
        <f>IF(Agent10_Savings!A116="","",Agent10_Savings!B116)</f>
        <v/>
      </c>
      <c r="D1909" s="40" t="str">
        <f>IF(Agent10_Savings!A116="","",Agent10_Savings!G116)</f>
        <v/>
      </c>
      <c r="E1909" s="41" t="str">
        <f>IF(Agent10_Savings!A116="","",Agent10_Savings!D116)</f>
        <v/>
      </c>
      <c r="F1909" s="42" t="str">
        <f>IF(Agent10_Savings!A116="","",Agent10_Savings!E116)</f>
        <v/>
      </c>
      <c r="G1909" s="42" t="str">
        <f>IF(Agent10_Savings!A116="","",Agent10_Savings!F116)</f>
        <v/>
      </c>
      <c r="H1909" s="40" t="str">
        <f>IF(Agent10_Savings!A116="","",Agent10_Savings!I116)</f>
        <v/>
      </c>
      <c r="I1909" s="40" t="str">
        <f>IF(Agent10_Savings!A116="","",Agent10_Savings!J116)</f>
        <v/>
      </c>
      <c r="J1909" s="40" t="str">
        <f>IF(Agent10_Savings!A116="","",Agent10_Savings!K116)</f>
        <v/>
      </c>
      <c r="K1909" s="40" t="str">
        <f>IFERROR(IF(Agent10_Savings!A116="","",YEAR(Agent10_Savings!D116)),"")</f>
        <v/>
      </c>
    </row>
    <row r="1910" spans="1:11" ht="18" customHeight="1" x14ac:dyDescent="0.25">
      <c r="A1910" s="40" t="str">
        <f>IF(Agent10_Savings!A117="","",Agent10_Savings!A117)</f>
        <v/>
      </c>
      <c r="B1910" s="40" t="str">
        <f ca="1">IF(Agent10_Savings!A117="","","SV"&amp;TEXT(1910-3,"0000")&amp;"-"&amp;TEXT(TODAY(),"YYYYMMDD"))</f>
        <v/>
      </c>
      <c r="C1910" s="40" t="str">
        <f>IF(Agent10_Savings!A117="","",Agent10_Savings!B117)</f>
        <v/>
      </c>
      <c r="D1910" s="40" t="str">
        <f>IF(Agent10_Savings!A117="","",Agent10_Savings!G117)</f>
        <v/>
      </c>
      <c r="E1910" s="41" t="str">
        <f>IF(Agent10_Savings!A117="","",Agent10_Savings!D117)</f>
        <v/>
      </c>
      <c r="F1910" s="42" t="str">
        <f>IF(Agent10_Savings!A117="","",Agent10_Savings!E117)</f>
        <v/>
      </c>
      <c r="G1910" s="42" t="str">
        <f>IF(Agent10_Savings!A117="","",Agent10_Savings!F117)</f>
        <v/>
      </c>
      <c r="H1910" s="40" t="str">
        <f>IF(Agent10_Savings!A117="","",Agent10_Savings!I117)</f>
        <v/>
      </c>
      <c r="I1910" s="40" t="str">
        <f>IF(Agent10_Savings!A117="","",Agent10_Savings!J117)</f>
        <v/>
      </c>
      <c r="J1910" s="40" t="str">
        <f>IF(Agent10_Savings!A117="","",Agent10_Savings!K117)</f>
        <v/>
      </c>
      <c r="K1910" s="40" t="str">
        <f>IFERROR(IF(Agent10_Savings!A117="","",YEAR(Agent10_Savings!D117)),"")</f>
        <v/>
      </c>
    </row>
    <row r="1911" spans="1:11" ht="18" customHeight="1" x14ac:dyDescent="0.25">
      <c r="A1911" s="40" t="str">
        <f>IF(Agent10_Savings!A118="","",Agent10_Savings!A118)</f>
        <v/>
      </c>
      <c r="B1911" s="40" t="str">
        <f ca="1">IF(Agent10_Savings!A118="","","SV"&amp;TEXT(1911-3,"0000")&amp;"-"&amp;TEXT(TODAY(),"YYYYMMDD"))</f>
        <v/>
      </c>
      <c r="C1911" s="40" t="str">
        <f>IF(Agent10_Savings!A118="","",Agent10_Savings!B118)</f>
        <v/>
      </c>
      <c r="D1911" s="40" t="str">
        <f>IF(Agent10_Savings!A118="","",Agent10_Savings!G118)</f>
        <v/>
      </c>
      <c r="E1911" s="41" t="str">
        <f>IF(Agent10_Savings!A118="","",Agent10_Savings!D118)</f>
        <v/>
      </c>
      <c r="F1911" s="42" t="str">
        <f>IF(Agent10_Savings!A118="","",Agent10_Savings!E118)</f>
        <v/>
      </c>
      <c r="G1911" s="42" t="str">
        <f>IF(Agent10_Savings!A118="","",Agent10_Savings!F118)</f>
        <v/>
      </c>
      <c r="H1911" s="40" t="str">
        <f>IF(Agent10_Savings!A118="","",Agent10_Savings!I118)</f>
        <v/>
      </c>
      <c r="I1911" s="40" t="str">
        <f>IF(Agent10_Savings!A118="","",Agent10_Savings!J118)</f>
        <v/>
      </c>
      <c r="J1911" s="40" t="str">
        <f>IF(Agent10_Savings!A118="","",Agent10_Savings!K118)</f>
        <v/>
      </c>
      <c r="K1911" s="40" t="str">
        <f>IFERROR(IF(Agent10_Savings!A118="","",YEAR(Agent10_Savings!D118)),"")</f>
        <v/>
      </c>
    </row>
    <row r="1912" spans="1:11" ht="18" customHeight="1" x14ac:dyDescent="0.25">
      <c r="A1912" s="40" t="str">
        <f>IF(Agent10_Savings!A119="","",Agent10_Savings!A119)</f>
        <v/>
      </c>
      <c r="B1912" s="40" t="str">
        <f ca="1">IF(Agent10_Savings!A119="","","SV"&amp;TEXT(1912-3,"0000")&amp;"-"&amp;TEXT(TODAY(),"YYYYMMDD"))</f>
        <v/>
      </c>
      <c r="C1912" s="40" t="str">
        <f>IF(Agent10_Savings!A119="","",Agent10_Savings!B119)</f>
        <v/>
      </c>
      <c r="D1912" s="40" t="str">
        <f>IF(Agent10_Savings!A119="","",Agent10_Savings!G119)</f>
        <v/>
      </c>
      <c r="E1912" s="41" t="str">
        <f>IF(Agent10_Savings!A119="","",Agent10_Savings!D119)</f>
        <v/>
      </c>
      <c r="F1912" s="42" t="str">
        <f>IF(Agent10_Savings!A119="","",Agent10_Savings!E119)</f>
        <v/>
      </c>
      <c r="G1912" s="42" t="str">
        <f>IF(Agent10_Savings!A119="","",Agent10_Savings!F119)</f>
        <v/>
      </c>
      <c r="H1912" s="40" t="str">
        <f>IF(Agent10_Savings!A119="","",Agent10_Savings!I119)</f>
        <v/>
      </c>
      <c r="I1912" s="40" t="str">
        <f>IF(Agent10_Savings!A119="","",Agent10_Savings!J119)</f>
        <v/>
      </c>
      <c r="J1912" s="40" t="str">
        <f>IF(Agent10_Savings!A119="","",Agent10_Savings!K119)</f>
        <v/>
      </c>
      <c r="K1912" s="40" t="str">
        <f>IFERROR(IF(Agent10_Savings!A119="","",YEAR(Agent10_Savings!D119)),"")</f>
        <v/>
      </c>
    </row>
    <row r="1913" spans="1:11" ht="18" customHeight="1" x14ac:dyDescent="0.25">
      <c r="A1913" s="40" t="str">
        <f>IF(Agent10_Savings!A120="","",Agent10_Savings!A120)</f>
        <v/>
      </c>
      <c r="B1913" s="40" t="str">
        <f ca="1">IF(Agent10_Savings!A120="","","SV"&amp;TEXT(1913-3,"0000")&amp;"-"&amp;TEXT(TODAY(),"YYYYMMDD"))</f>
        <v/>
      </c>
      <c r="C1913" s="40" t="str">
        <f>IF(Agent10_Savings!A120="","",Agent10_Savings!B120)</f>
        <v/>
      </c>
      <c r="D1913" s="40" t="str">
        <f>IF(Agent10_Savings!A120="","",Agent10_Savings!G120)</f>
        <v/>
      </c>
      <c r="E1913" s="41" t="str">
        <f>IF(Agent10_Savings!A120="","",Agent10_Savings!D120)</f>
        <v/>
      </c>
      <c r="F1913" s="42" t="str">
        <f>IF(Agent10_Savings!A120="","",Agent10_Savings!E120)</f>
        <v/>
      </c>
      <c r="G1913" s="42" t="str">
        <f>IF(Agent10_Savings!A120="","",Agent10_Savings!F120)</f>
        <v/>
      </c>
      <c r="H1913" s="40" t="str">
        <f>IF(Agent10_Savings!A120="","",Agent10_Savings!I120)</f>
        <v/>
      </c>
      <c r="I1913" s="40" t="str">
        <f>IF(Agent10_Savings!A120="","",Agent10_Savings!J120)</f>
        <v/>
      </c>
      <c r="J1913" s="40" t="str">
        <f>IF(Agent10_Savings!A120="","",Agent10_Savings!K120)</f>
        <v/>
      </c>
      <c r="K1913" s="40" t="str">
        <f>IFERROR(IF(Agent10_Savings!A120="","",YEAR(Agent10_Savings!D120)),"")</f>
        <v/>
      </c>
    </row>
    <row r="1914" spans="1:11" ht="18" customHeight="1" x14ac:dyDescent="0.25">
      <c r="A1914" s="40" t="str">
        <f>IF(Agent10_Savings!A121="","",Agent10_Savings!A121)</f>
        <v/>
      </c>
      <c r="B1914" s="40" t="str">
        <f ca="1">IF(Agent10_Savings!A121="","","SV"&amp;TEXT(1914-3,"0000")&amp;"-"&amp;TEXT(TODAY(),"YYYYMMDD"))</f>
        <v/>
      </c>
      <c r="C1914" s="40" t="str">
        <f>IF(Agent10_Savings!A121="","",Agent10_Savings!B121)</f>
        <v/>
      </c>
      <c r="D1914" s="40" t="str">
        <f>IF(Agent10_Savings!A121="","",Agent10_Savings!G121)</f>
        <v/>
      </c>
      <c r="E1914" s="41" t="str">
        <f>IF(Agent10_Savings!A121="","",Agent10_Savings!D121)</f>
        <v/>
      </c>
      <c r="F1914" s="42" t="str">
        <f>IF(Agent10_Savings!A121="","",Agent10_Savings!E121)</f>
        <v/>
      </c>
      <c r="G1914" s="42" t="str">
        <f>IF(Agent10_Savings!A121="","",Agent10_Savings!F121)</f>
        <v/>
      </c>
      <c r="H1914" s="40" t="str">
        <f>IF(Agent10_Savings!A121="","",Agent10_Savings!I121)</f>
        <v/>
      </c>
      <c r="I1914" s="40" t="str">
        <f>IF(Agent10_Savings!A121="","",Agent10_Savings!J121)</f>
        <v/>
      </c>
      <c r="J1914" s="40" t="str">
        <f>IF(Agent10_Savings!A121="","",Agent10_Savings!K121)</f>
        <v/>
      </c>
      <c r="K1914" s="40" t="str">
        <f>IFERROR(IF(Agent10_Savings!A121="","",YEAR(Agent10_Savings!D121)),"")</f>
        <v/>
      </c>
    </row>
    <row r="1915" spans="1:11" ht="18" customHeight="1" x14ac:dyDescent="0.25">
      <c r="A1915" s="40" t="str">
        <f>IF(Agent10_Savings!A122="","",Agent10_Savings!A122)</f>
        <v/>
      </c>
      <c r="B1915" s="40" t="str">
        <f ca="1">IF(Agent10_Savings!A122="","","SV"&amp;TEXT(1915-3,"0000")&amp;"-"&amp;TEXT(TODAY(),"YYYYMMDD"))</f>
        <v/>
      </c>
      <c r="C1915" s="40" t="str">
        <f>IF(Agent10_Savings!A122="","",Agent10_Savings!B122)</f>
        <v/>
      </c>
      <c r="D1915" s="40" t="str">
        <f>IF(Agent10_Savings!A122="","",Agent10_Savings!G122)</f>
        <v/>
      </c>
      <c r="E1915" s="41" t="str">
        <f>IF(Agent10_Savings!A122="","",Agent10_Savings!D122)</f>
        <v/>
      </c>
      <c r="F1915" s="42" t="str">
        <f>IF(Agent10_Savings!A122="","",Agent10_Savings!E122)</f>
        <v/>
      </c>
      <c r="G1915" s="42" t="str">
        <f>IF(Agent10_Savings!A122="","",Agent10_Savings!F122)</f>
        <v/>
      </c>
      <c r="H1915" s="40" t="str">
        <f>IF(Agent10_Savings!A122="","",Agent10_Savings!I122)</f>
        <v/>
      </c>
      <c r="I1915" s="40" t="str">
        <f>IF(Agent10_Savings!A122="","",Agent10_Savings!J122)</f>
        <v/>
      </c>
      <c r="J1915" s="40" t="str">
        <f>IF(Agent10_Savings!A122="","",Agent10_Savings!K122)</f>
        <v/>
      </c>
      <c r="K1915" s="40" t="str">
        <f>IFERROR(IF(Agent10_Savings!A122="","",YEAR(Agent10_Savings!D122)),"")</f>
        <v/>
      </c>
    </row>
    <row r="1916" spans="1:11" ht="18" customHeight="1" x14ac:dyDescent="0.25">
      <c r="A1916" s="40" t="str">
        <f>IF(Agent10_Savings!A123="","",Agent10_Savings!A123)</f>
        <v/>
      </c>
      <c r="B1916" s="40" t="str">
        <f ca="1">IF(Agent10_Savings!A123="","","SV"&amp;TEXT(1916-3,"0000")&amp;"-"&amp;TEXT(TODAY(),"YYYYMMDD"))</f>
        <v/>
      </c>
      <c r="C1916" s="40" t="str">
        <f>IF(Agent10_Savings!A123="","",Agent10_Savings!B123)</f>
        <v/>
      </c>
      <c r="D1916" s="40" t="str">
        <f>IF(Agent10_Savings!A123="","",Agent10_Savings!G123)</f>
        <v/>
      </c>
      <c r="E1916" s="41" t="str">
        <f>IF(Agent10_Savings!A123="","",Agent10_Savings!D123)</f>
        <v/>
      </c>
      <c r="F1916" s="42" t="str">
        <f>IF(Agent10_Savings!A123="","",Agent10_Savings!E123)</f>
        <v/>
      </c>
      <c r="G1916" s="42" t="str">
        <f>IF(Agent10_Savings!A123="","",Agent10_Savings!F123)</f>
        <v/>
      </c>
      <c r="H1916" s="40" t="str">
        <f>IF(Agent10_Savings!A123="","",Agent10_Savings!I123)</f>
        <v/>
      </c>
      <c r="I1916" s="40" t="str">
        <f>IF(Agent10_Savings!A123="","",Agent10_Savings!J123)</f>
        <v/>
      </c>
      <c r="J1916" s="40" t="str">
        <f>IF(Agent10_Savings!A123="","",Agent10_Savings!K123)</f>
        <v/>
      </c>
      <c r="K1916" s="40" t="str">
        <f>IFERROR(IF(Agent10_Savings!A123="","",YEAR(Agent10_Savings!D123)),"")</f>
        <v/>
      </c>
    </row>
    <row r="1917" spans="1:11" ht="18" customHeight="1" x14ac:dyDescent="0.25">
      <c r="A1917" s="40" t="str">
        <f>IF(Agent10_Savings!A124="","",Agent10_Savings!A124)</f>
        <v/>
      </c>
      <c r="B1917" s="40" t="str">
        <f ca="1">IF(Agent10_Savings!A124="","","SV"&amp;TEXT(1917-3,"0000")&amp;"-"&amp;TEXT(TODAY(),"YYYYMMDD"))</f>
        <v/>
      </c>
      <c r="C1917" s="40" t="str">
        <f>IF(Agent10_Savings!A124="","",Agent10_Savings!B124)</f>
        <v/>
      </c>
      <c r="D1917" s="40" t="str">
        <f>IF(Agent10_Savings!A124="","",Agent10_Savings!G124)</f>
        <v/>
      </c>
      <c r="E1917" s="41" t="str">
        <f>IF(Agent10_Savings!A124="","",Agent10_Savings!D124)</f>
        <v/>
      </c>
      <c r="F1917" s="42" t="str">
        <f>IF(Agent10_Savings!A124="","",Agent10_Savings!E124)</f>
        <v/>
      </c>
      <c r="G1917" s="42" t="str">
        <f>IF(Agent10_Savings!A124="","",Agent10_Savings!F124)</f>
        <v/>
      </c>
      <c r="H1917" s="40" t="str">
        <f>IF(Agent10_Savings!A124="","",Agent10_Savings!I124)</f>
        <v/>
      </c>
      <c r="I1917" s="40" t="str">
        <f>IF(Agent10_Savings!A124="","",Agent10_Savings!J124)</f>
        <v/>
      </c>
      <c r="J1917" s="40" t="str">
        <f>IF(Agent10_Savings!A124="","",Agent10_Savings!K124)</f>
        <v/>
      </c>
      <c r="K1917" s="40" t="str">
        <f>IFERROR(IF(Agent10_Savings!A124="","",YEAR(Agent10_Savings!D124)),"")</f>
        <v/>
      </c>
    </row>
    <row r="1918" spans="1:11" ht="18" customHeight="1" x14ac:dyDescent="0.25">
      <c r="A1918" s="40" t="str">
        <f>IF(Agent10_Savings!A125="","",Agent10_Savings!A125)</f>
        <v/>
      </c>
      <c r="B1918" s="40" t="str">
        <f ca="1">IF(Agent10_Savings!A125="","","SV"&amp;TEXT(1918-3,"0000")&amp;"-"&amp;TEXT(TODAY(),"YYYYMMDD"))</f>
        <v/>
      </c>
      <c r="C1918" s="40" t="str">
        <f>IF(Agent10_Savings!A125="","",Agent10_Savings!B125)</f>
        <v/>
      </c>
      <c r="D1918" s="40" t="str">
        <f>IF(Agent10_Savings!A125="","",Agent10_Savings!G125)</f>
        <v/>
      </c>
      <c r="E1918" s="41" t="str">
        <f>IF(Agent10_Savings!A125="","",Agent10_Savings!D125)</f>
        <v/>
      </c>
      <c r="F1918" s="42" t="str">
        <f>IF(Agent10_Savings!A125="","",Agent10_Savings!E125)</f>
        <v/>
      </c>
      <c r="G1918" s="42" t="str">
        <f>IF(Agent10_Savings!A125="","",Agent10_Savings!F125)</f>
        <v/>
      </c>
      <c r="H1918" s="40" t="str">
        <f>IF(Agent10_Savings!A125="","",Agent10_Savings!I125)</f>
        <v/>
      </c>
      <c r="I1918" s="40" t="str">
        <f>IF(Agent10_Savings!A125="","",Agent10_Savings!J125)</f>
        <v/>
      </c>
      <c r="J1918" s="40" t="str">
        <f>IF(Agent10_Savings!A125="","",Agent10_Savings!K125)</f>
        <v/>
      </c>
      <c r="K1918" s="40" t="str">
        <f>IFERROR(IF(Agent10_Savings!A125="","",YEAR(Agent10_Savings!D125)),"")</f>
        <v/>
      </c>
    </row>
    <row r="1919" spans="1:11" ht="18" customHeight="1" x14ac:dyDescent="0.25">
      <c r="A1919" s="40" t="str">
        <f>IF(Agent10_Savings!A126="","",Agent10_Savings!A126)</f>
        <v/>
      </c>
      <c r="B1919" s="40" t="str">
        <f ca="1">IF(Agent10_Savings!A126="","","SV"&amp;TEXT(1919-3,"0000")&amp;"-"&amp;TEXT(TODAY(),"YYYYMMDD"))</f>
        <v/>
      </c>
      <c r="C1919" s="40" t="str">
        <f>IF(Agent10_Savings!A126="","",Agent10_Savings!B126)</f>
        <v/>
      </c>
      <c r="D1919" s="40" t="str">
        <f>IF(Agent10_Savings!A126="","",Agent10_Savings!G126)</f>
        <v/>
      </c>
      <c r="E1919" s="41" t="str">
        <f>IF(Agent10_Savings!A126="","",Agent10_Savings!D126)</f>
        <v/>
      </c>
      <c r="F1919" s="42" t="str">
        <f>IF(Agent10_Savings!A126="","",Agent10_Savings!E126)</f>
        <v/>
      </c>
      <c r="G1919" s="42" t="str">
        <f>IF(Agent10_Savings!A126="","",Agent10_Savings!F126)</f>
        <v/>
      </c>
      <c r="H1919" s="40" t="str">
        <f>IF(Agent10_Savings!A126="","",Agent10_Savings!I126)</f>
        <v/>
      </c>
      <c r="I1919" s="40" t="str">
        <f>IF(Agent10_Savings!A126="","",Agent10_Savings!J126)</f>
        <v/>
      </c>
      <c r="J1919" s="40" t="str">
        <f>IF(Agent10_Savings!A126="","",Agent10_Savings!K126)</f>
        <v/>
      </c>
      <c r="K1919" s="40" t="str">
        <f>IFERROR(IF(Agent10_Savings!A126="","",YEAR(Agent10_Savings!D126)),"")</f>
        <v/>
      </c>
    </row>
    <row r="1920" spans="1:11" ht="18" customHeight="1" x14ac:dyDescent="0.25">
      <c r="A1920" s="40" t="str">
        <f>IF(Agent10_Savings!A127="","",Agent10_Savings!A127)</f>
        <v/>
      </c>
      <c r="B1920" s="40" t="str">
        <f ca="1">IF(Agent10_Savings!A127="","","SV"&amp;TEXT(1920-3,"0000")&amp;"-"&amp;TEXT(TODAY(),"YYYYMMDD"))</f>
        <v/>
      </c>
      <c r="C1920" s="40" t="str">
        <f>IF(Agent10_Savings!A127="","",Agent10_Savings!B127)</f>
        <v/>
      </c>
      <c r="D1920" s="40" t="str">
        <f>IF(Agent10_Savings!A127="","",Agent10_Savings!G127)</f>
        <v/>
      </c>
      <c r="E1920" s="41" t="str">
        <f>IF(Agent10_Savings!A127="","",Agent10_Savings!D127)</f>
        <v/>
      </c>
      <c r="F1920" s="42" t="str">
        <f>IF(Agent10_Savings!A127="","",Agent10_Savings!E127)</f>
        <v/>
      </c>
      <c r="G1920" s="42" t="str">
        <f>IF(Agent10_Savings!A127="","",Agent10_Savings!F127)</f>
        <v/>
      </c>
      <c r="H1920" s="40" t="str">
        <f>IF(Agent10_Savings!A127="","",Agent10_Savings!I127)</f>
        <v/>
      </c>
      <c r="I1920" s="40" t="str">
        <f>IF(Agent10_Savings!A127="","",Agent10_Savings!J127)</f>
        <v/>
      </c>
      <c r="J1920" s="40" t="str">
        <f>IF(Agent10_Savings!A127="","",Agent10_Savings!K127)</f>
        <v/>
      </c>
      <c r="K1920" s="40" t="str">
        <f>IFERROR(IF(Agent10_Savings!A127="","",YEAR(Agent10_Savings!D127)),"")</f>
        <v/>
      </c>
    </row>
    <row r="1921" spans="1:11" ht="18" customHeight="1" x14ac:dyDescent="0.25">
      <c r="A1921" s="40" t="str">
        <f>IF(Agent10_Savings!A128="","",Agent10_Savings!A128)</f>
        <v/>
      </c>
      <c r="B1921" s="40" t="str">
        <f ca="1">IF(Agent10_Savings!A128="","","SV"&amp;TEXT(1921-3,"0000")&amp;"-"&amp;TEXT(TODAY(),"YYYYMMDD"))</f>
        <v/>
      </c>
      <c r="C1921" s="40" t="str">
        <f>IF(Agent10_Savings!A128="","",Agent10_Savings!B128)</f>
        <v/>
      </c>
      <c r="D1921" s="40" t="str">
        <f>IF(Agent10_Savings!A128="","",Agent10_Savings!G128)</f>
        <v/>
      </c>
      <c r="E1921" s="41" t="str">
        <f>IF(Agent10_Savings!A128="","",Agent10_Savings!D128)</f>
        <v/>
      </c>
      <c r="F1921" s="42" t="str">
        <f>IF(Agent10_Savings!A128="","",Agent10_Savings!E128)</f>
        <v/>
      </c>
      <c r="G1921" s="42" t="str">
        <f>IF(Agent10_Savings!A128="","",Agent10_Savings!F128)</f>
        <v/>
      </c>
      <c r="H1921" s="40" t="str">
        <f>IF(Agent10_Savings!A128="","",Agent10_Savings!I128)</f>
        <v/>
      </c>
      <c r="I1921" s="40" t="str">
        <f>IF(Agent10_Savings!A128="","",Agent10_Savings!J128)</f>
        <v/>
      </c>
      <c r="J1921" s="40" t="str">
        <f>IF(Agent10_Savings!A128="","",Agent10_Savings!K128)</f>
        <v/>
      </c>
      <c r="K1921" s="40" t="str">
        <f>IFERROR(IF(Agent10_Savings!A128="","",YEAR(Agent10_Savings!D128)),"")</f>
        <v/>
      </c>
    </row>
    <row r="1922" spans="1:11" ht="18" customHeight="1" x14ac:dyDescent="0.25">
      <c r="A1922" s="40" t="str">
        <f>IF(Agent10_Savings!A129="","",Agent10_Savings!A129)</f>
        <v/>
      </c>
      <c r="B1922" s="40" t="str">
        <f ca="1">IF(Agent10_Savings!A129="","","SV"&amp;TEXT(1922-3,"0000")&amp;"-"&amp;TEXT(TODAY(),"YYYYMMDD"))</f>
        <v/>
      </c>
      <c r="C1922" s="40" t="str">
        <f>IF(Agent10_Savings!A129="","",Agent10_Savings!B129)</f>
        <v/>
      </c>
      <c r="D1922" s="40" t="str">
        <f>IF(Agent10_Savings!A129="","",Agent10_Savings!G129)</f>
        <v/>
      </c>
      <c r="E1922" s="41" t="str">
        <f>IF(Agent10_Savings!A129="","",Agent10_Savings!D129)</f>
        <v/>
      </c>
      <c r="F1922" s="42" t="str">
        <f>IF(Agent10_Savings!A129="","",Agent10_Savings!E129)</f>
        <v/>
      </c>
      <c r="G1922" s="42" t="str">
        <f>IF(Agent10_Savings!A129="","",Agent10_Savings!F129)</f>
        <v/>
      </c>
      <c r="H1922" s="40" t="str">
        <f>IF(Agent10_Savings!A129="","",Agent10_Savings!I129)</f>
        <v/>
      </c>
      <c r="I1922" s="40" t="str">
        <f>IF(Agent10_Savings!A129="","",Agent10_Savings!J129)</f>
        <v/>
      </c>
      <c r="J1922" s="40" t="str">
        <f>IF(Agent10_Savings!A129="","",Agent10_Savings!K129)</f>
        <v/>
      </c>
      <c r="K1922" s="40" t="str">
        <f>IFERROR(IF(Agent10_Savings!A129="","",YEAR(Agent10_Savings!D129)),"")</f>
        <v/>
      </c>
    </row>
    <row r="1923" spans="1:11" ht="18" customHeight="1" x14ac:dyDescent="0.25">
      <c r="A1923" s="40" t="str">
        <f>IF(Agent10_Savings!A130="","",Agent10_Savings!A130)</f>
        <v/>
      </c>
      <c r="B1923" s="40" t="str">
        <f ca="1">IF(Agent10_Savings!A130="","","SV"&amp;TEXT(1923-3,"0000")&amp;"-"&amp;TEXT(TODAY(),"YYYYMMDD"))</f>
        <v/>
      </c>
      <c r="C1923" s="40" t="str">
        <f>IF(Agent10_Savings!A130="","",Agent10_Savings!B130)</f>
        <v/>
      </c>
      <c r="D1923" s="40" t="str">
        <f>IF(Agent10_Savings!A130="","",Agent10_Savings!G130)</f>
        <v/>
      </c>
      <c r="E1923" s="41" t="str">
        <f>IF(Agent10_Savings!A130="","",Agent10_Savings!D130)</f>
        <v/>
      </c>
      <c r="F1923" s="42" t="str">
        <f>IF(Agent10_Savings!A130="","",Agent10_Savings!E130)</f>
        <v/>
      </c>
      <c r="G1923" s="42" t="str">
        <f>IF(Agent10_Savings!A130="","",Agent10_Savings!F130)</f>
        <v/>
      </c>
      <c r="H1923" s="40" t="str">
        <f>IF(Agent10_Savings!A130="","",Agent10_Savings!I130)</f>
        <v/>
      </c>
      <c r="I1923" s="40" t="str">
        <f>IF(Agent10_Savings!A130="","",Agent10_Savings!J130)</f>
        <v/>
      </c>
      <c r="J1923" s="40" t="str">
        <f>IF(Agent10_Savings!A130="","",Agent10_Savings!K130)</f>
        <v/>
      </c>
      <c r="K1923" s="40" t="str">
        <f>IFERROR(IF(Agent10_Savings!A130="","",YEAR(Agent10_Savings!D130)),"")</f>
        <v/>
      </c>
    </row>
    <row r="1924" spans="1:11" ht="18" customHeight="1" x14ac:dyDescent="0.25">
      <c r="A1924" s="40" t="str">
        <f>IF(Agent10_Savings!A131="","",Agent10_Savings!A131)</f>
        <v/>
      </c>
      <c r="B1924" s="40" t="str">
        <f ca="1">IF(Agent10_Savings!A131="","","SV"&amp;TEXT(1924-3,"0000")&amp;"-"&amp;TEXT(TODAY(),"YYYYMMDD"))</f>
        <v/>
      </c>
      <c r="C1924" s="40" t="str">
        <f>IF(Agent10_Savings!A131="","",Agent10_Savings!B131)</f>
        <v/>
      </c>
      <c r="D1924" s="40" t="str">
        <f>IF(Agent10_Savings!A131="","",Agent10_Savings!G131)</f>
        <v/>
      </c>
      <c r="E1924" s="41" t="str">
        <f>IF(Agent10_Savings!A131="","",Agent10_Savings!D131)</f>
        <v/>
      </c>
      <c r="F1924" s="42" t="str">
        <f>IF(Agent10_Savings!A131="","",Agent10_Savings!E131)</f>
        <v/>
      </c>
      <c r="G1924" s="42" t="str">
        <f>IF(Agent10_Savings!A131="","",Agent10_Savings!F131)</f>
        <v/>
      </c>
      <c r="H1924" s="40" t="str">
        <f>IF(Agent10_Savings!A131="","",Agent10_Savings!I131)</f>
        <v/>
      </c>
      <c r="I1924" s="40" t="str">
        <f>IF(Agent10_Savings!A131="","",Agent10_Savings!J131)</f>
        <v/>
      </c>
      <c r="J1924" s="40" t="str">
        <f>IF(Agent10_Savings!A131="","",Agent10_Savings!K131)</f>
        <v/>
      </c>
      <c r="K1924" s="40" t="str">
        <f>IFERROR(IF(Agent10_Savings!A131="","",YEAR(Agent10_Savings!D131)),"")</f>
        <v/>
      </c>
    </row>
    <row r="1925" spans="1:11" ht="18" customHeight="1" x14ac:dyDescent="0.25">
      <c r="A1925" s="40" t="str">
        <f>IF(Agent10_Savings!A132="","",Agent10_Savings!A132)</f>
        <v/>
      </c>
      <c r="B1925" s="40" t="str">
        <f ca="1">IF(Agent10_Savings!A132="","","SV"&amp;TEXT(1925-3,"0000")&amp;"-"&amp;TEXT(TODAY(),"YYYYMMDD"))</f>
        <v/>
      </c>
      <c r="C1925" s="40" t="str">
        <f>IF(Agent10_Savings!A132="","",Agent10_Savings!B132)</f>
        <v/>
      </c>
      <c r="D1925" s="40" t="str">
        <f>IF(Agent10_Savings!A132="","",Agent10_Savings!G132)</f>
        <v/>
      </c>
      <c r="E1925" s="41" t="str">
        <f>IF(Agent10_Savings!A132="","",Agent10_Savings!D132)</f>
        <v/>
      </c>
      <c r="F1925" s="42" t="str">
        <f>IF(Agent10_Savings!A132="","",Agent10_Savings!E132)</f>
        <v/>
      </c>
      <c r="G1925" s="42" t="str">
        <f>IF(Agent10_Savings!A132="","",Agent10_Savings!F132)</f>
        <v/>
      </c>
      <c r="H1925" s="40" t="str">
        <f>IF(Agent10_Savings!A132="","",Agent10_Savings!I132)</f>
        <v/>
      </c>
      <c r="I1925" s="40" t="str">
        <f>IF(Agent10_Savings!A132="","",Agent10_Savings!J132)</f>
        <v/>
      </c>
      <c r="J1925" s="40" t="str">
        <f>IF(Agent10_Savings!A132="","",Agent10_Savings!K132)</f>
        <v/>
      </c>
      <c r="K1925" s="40" t="str">
        <f>IFERROR(IF(Agent10_Savings!A132="","",YEAR(Agent10_Savings!D132)),"")</f>
        <v/>
      </c>
    </row>
    <row r="1926" spans="1:11" ht="18" customHeight="1" x14ac:dyDescent="0.25">
      <c r="A1926" s="40" t="str">
        <f>IF(Agent10_Savings!A133="","",Agent10_Savings!A133)</f>
        <v/>
      </c>
      <c r="B1926" s="40" t="str">
        <f ca="1">IF(Agent10_Savings!A133="","","SV"&amp;TEXT(1926-3,"0000")&amp;"-"&amp;TEXT(TODAY(),"YYYYMMDD"))</f>
        <v/>
      </c>
      <c r="C1926" s="40" t="str">
        <f>IF(Agent10_Savings!A133="","",Agent10_Savings!B133)</f>
        <v/>
      </c>
      <c r="D1926" s="40" t="str">
        <f>IF(Agent10_Savings!A133="","",Agent10_Savings!G133)</f>
        <v/>
      </c>
      <c r="E1926" s="41" t="str">
        <f>IF(Agent10_Savings!A133="","",Agent10_Savings!D133)</f>
        <v/>
      </c>
      <c r="F1926" s="42" t="str">
        <f>IF(Agent10_Savings!A133="","",Agent10_Savings!E133)</f>
        <v/>
      </c>
      <c r="G1926" s="42" t="str">
        <f>IF(Agent10_Savings!A133="","",Agent10_Savings!F133)</f>
        <v/>
      </c>
      <c r="H1926" s="40" t="str">
        <f>IF(Agent10_Savings!A133="","",Agent10_Savings!I133)</f>
        <v/>
      </c>
      <c r="I1926" s="40" t="str">
        <f>IF(Agent10_Savings!A133="","",Agent10_Savings!J133)</f>
        <v/>
      </c>
      <c r="J1926" s="40" t="str">
        <f>IF(Agent10_Savings!A133="","",Agent10_Savings!K133)</f>
        <v/>
      </c>
      <c r="K1926" s="40" t="str">
        <f>IFERROR(IF(Agent10_Savings!A133="","",YEAR(Agent10_Savings!D133)),"")</f>
        <v/>
      </c>
    </row>
    <row r="1927" spans="1:11" ht="18" customHeight="1" x14ac:dyDescent="0.25">
      <c r="A1927" s="40" t="str">
        <f>IF(Agent10_Savings!A134="","",Agent10_Savings!A134)</f>
        <v/>
      </c>
      <c r="B1927" s="40" t="str">
        <f ca="1">IF(Agent10_Savings!A134="","","SV"&amp;TEXT(1927-3,"0000")&amp;"-"&amp;TEXT(TODAY(),"YYYYMMDD"))</f>
        <v/>
      </c>
      <c r="C1927" s="40" t="str">
        <f>IF(Agent10_Savings!A134="","",Agent10_Savings!B134)</f>
        <v/>
      </c>
      <c r="D1927" s="40" t="str">
        <f>IF(Agent10_Savings!A134="","",Agent10_Savings!G134)</f>
        <v/>
      </c>
      <c r="E1927" s="41" t="str">
        <f>IF(Agent10_Savings!A134="","",Agent10_Savings!D134)</f>
        <v/>
      </c>
      <c r="F1927" s="42" t="str">
        <f>IF(Agent10_Savings!A134="","",Agent10_Savings!E134)</f>
        <v/>
      </c>
      <c r="G1927" s="42" t="str">
        <f>IF(Agent10_Savings!A134="","",Agent10_Savings!F134)</f>
        <v/>
      </c>
      <c r="H1927" s="40" t="str">
        <f>IF(Agent10_Savings!A134="","",Agent10_Savings!I134)</f>
        <v/>
      </c>
      <c r="I1927" s="40" t="str">
        <f>IF(Agent10_Savings!A134="","",Agent10_Savings!J134)</f>
        <v/>
      </c>
      <c r="J1927" s="40" t="str">
        <f>IF(Agent10_Savings!A134="","",Agent10_Savings!K134)</f>
        <v/>
      </c>
      <c r="K1927" s="40" t="str">
        <f>IFERROR(IF(Agent10_Savings!A134="","",YEAR(Agent10_Savings!D134)),"")</f>
        <v/>
      </c>
    </row>
    <row r="1928" spans="1:11" ht="18" customHeight="1" x14ac:dyDescent="0.25">
      <c r="A1928" s="40" t="str">
        <f>IF(Agent10_Savings!A135="","",Agent10_Savings!A135)</f>
        <v/>
      </c>
      <c r="B1928" s="40" t="str">
        <f ca="1">IF(Agent10_Savings!A135="","","SV"&amp;TEXT(1928-3,"0000")&amp;"-"&amp;TEXT(TODAY(),"YYYYMMDD"))</f>
        <v/>
      </c>
      <c r="C1928" s="40" t="str">
        <f>IF(Agent10_Savings!A135="","",Agent10_Savings!B135)</f>
        <v/>
      </c>
      <c r="D1928" s="40" t="str">
        <f>IF(Agent10_Savings!A135="","",Agent10_Savings!G135)</f>
        <v/>
      </c>
      <c r="E1928" s="41" t="str">
        <f>IF(Agent10_Savings!A135="","",Agent10_Savings!D135)</f>
        <v/>
      </c>
      <c r="F1928" s="42" t="str">
        <f>IF(Agent10_Savings!A135="","",Agent10_Savings!E135)</f>
        <v/>
      </c>
      <c r="G1928" s="42" t="str">
        <f>IF(Agent10_Savings!A135="","",Agent10_Savings!F135)</f>
        <v/>
      </c>
      <c r="H1928" s="40" t="str">
        <f>IF(Agent10_Savings!A135="","",Agent10_Savings!I135)</f>
        <v/>
      </c>
      <c r="I1928" s="40" t="str">
        <f>IF(Agent10_Savings!A135="","",Agent10_Savings!J135)</f>
        <v/>
      </c>
      <c r="J1928" s="40" t="str">
        <f>IF(Agent10_Savings!A135="","",Agent10_Savings!K135)</f>
        <v/>
      </c>
      <c r="K1928" s="40" t="str">
        <f>IFERROR(IF(Agent10_Savings!A135="","",YEAR(Agent10_Savings!D135)),"")</f>
        <v/>
      </c>
    </row>
    <row r="1929" spans="1:11" ht="18" customHeight="1" x14ac:dyDescent="0.25">
      <c r="A1929" s="40" t="str">
        <f>IF(Agent10_Savings!A136="","",Agent10_Savings!A136)</f>
        <v/>
      </c>
      <c r="B1929" s="40" t="str">
        <f ca="1">IF(Agent10_Savings!A136="","","SV"&amp;TEXT(1929-3,"0000")&amp;"-"&amp;TEXT(TODAY(),"YYYYMMDD"))</f>
        <v/>
      </c>
      <c r="C1929" s="40" t="str">
        <f>IF(Agent10_Savings!A136="","",Agent10_Savings!B136)</f>
        <v/>
      </c>
      <c r="D1929" s="40" t="str">
        <f>IF(Agent10_Savings!A136="","",Agent10_Savings!G136)</f>
        <v/>
      </c>
      <c r="E1929" s="41" t="str">
        <f>IF(Agent10_Savings!A136="","",Agent10_Savings!D136)</f>
        <v/>
      </c>
      <c r="F1929" s="42" t="str">
        <f>IF(Agent10_Savings!A136="","",Agent10_Savings!E136)</f>
        <v/>
      </c>
      <c r="G1929" s="42" t="str">
        <f>IF(Agent10_Savings!A136="","",Agent10_Savings!F136)</f>
        <v/>
      </c>
      <c r="H1929" s="40" t="str">
        <f>IF(Agent10_Savings!A136="","",Agent10_Savings!I136)</f>
        <v/>
      </c>
      <c r="I1929" s="40" t="str">
        <f>IF(Agent10_Savings!A136="","",Agent10_Savings!J136)</f>
        <v/>
      </c>
      <c r="J1929" s="40" t="str">
        <f>IF(Agent10_Savings!A136="","",Agent10_Savings!K136)</f>
        <v/>
      </c>
      <c r="K1929" s="40" t="str">
        <f>IFERROR(IF(Agent10_Savings!A136="","",YEAR(Agent10_Savings!D136)),"")</f>
        <v/>
      </c>
    </row>
    <row r="1930" spans="1:11" ht="18" customHeight="1" x14ac:dyDescent="0.25">
      <c r="A1930" s="40" t="str">
        <f>IF(Agent10_Savings!A137="","",Agent10_Savings!A137)</f>
        <v/>
      </c>
      <c r="B1930" s="40" t="str">
        <f ca="1">IF(Agent10_Savings!A137="","","SV"&amp;TEXT(1930-3,"0000")&amp;"-"&amp;TEXT(TODAY(),"YYYYMMDD"))</f>
        <v/>
      </c>
      <c r="C1930" s="40" t="str">
        <f>IF(Agent10_Savings!A137="","",Agent10_Savings!B137)</f>
        <v/>
      </c>
      <c r="D1930" s="40" t="str">
        <f>IF(Agent10_Savings!A137="","",Agent10_Savings!G137)</f>
        <v/>
      </c>
      <c r="E1930" s="41" t="str">
        <f>IF(Agent10_Savings!A137="","",Agent10_Savings!D137)</f>
        <v/>
      </c>
      <c r="F1930" s="42" t="str">
        <f>IF(Agent10_Savings!A137="","",Agent10_Savings!E137)</f>
        <v/>
      </c>
      <c r="G1930" s="42" t="str">
        <f>IF(Agent10_Savings!A137="","",Agent10_Savings!F137)</f>
        <v/>
      </c>
      <c r="H1930" s="40" t="str">
        <f>IF(Agent10_Savings!A137="","",Agent10_Savings!I137)</f>
        <v/>
      </c>
      <c r="I1930" s="40" t="str">
        <f>IF(Agent10_Savings!A137="","",Agent10_Savings!J137)</f>
        <v/>
      </c>
      <c r="J1930" s="40" t="str">
        <f>IF(Agent10_Savings!A137="","",Agent10_Savings!K137)</f>
        <v/>
      </c>
      <c r="K1930" s="40" t="str">
        <f>IFERROR(IF(Agent10_Savings!A137="","",YEAR(Agent10_Savings!D137)),"")</f>
        <v/>
      </c>
    </row>
    <row r="1931" spans="1:11" ht="18" customHeight="1" x14ac:dyDescent="0.25">
      <c r="A1931" s="40" t="str">
        <f>IF(Agent10_Savings!A138="","",Agent10_Savings!A138)</f>
        <v/>
      </c>
      <c r="B1931" s="40" t="str">
        <f ca="1">IF(Agent10_Savings!A138="","","SV"&amp;TEXT(1931-3,"0000")&amp;"-"&amp;TEXT(TODAY(),"YYYYMMDD"))</f>
        <v/>
      </c>
      <c r="C1931" s="40" t="str">
        <f>IF(Agent10_Savings!A138="","",Agent10_Savings!B138)</f>
        <v/>
      </c>
      <c r="D1931" s="40" t="str">
        <f>IF(Agent10_Savings!A138="","",Agent10_Savings!G138)</f>
        <v/>
      </c>
      <c r="E1931" s="41" t="str">
        <f>IF(Agent10_Savings!A138="","",Agent10_Savings!D138)</f>
        <v/>
      </c>
      <c r="F1931" s="42" t="str">
        <f>IF(Agent10_Savings!A138="","",Agent10_Savings!E138)</f>
        <v/>
      </c>
      <c r="G1931" s="42" t="str">
        <f>IF(Agent10_Savings!A138="","",Agent10_Savings!F138)</f>
        <v/>
      </c>
      <c r="H1931" s="40" t="str">
        <f>IF(Agent10_Savings!A138="","",Agent10_Savings!I138)</f>
        <v/>
      </c>
      <c r="I1931" s="40" t="str">
        <f>IF(Agent10_Savings!A138="","",Agent10_Savings!J138)</f>
        <v/>
      </c>
      <c r="J1931" s="40" t="str">
        <f>IF(Agent10_Savings!A138="","",Agent10_Savings!K138)</f>
        <v/>
      </c>
      <c r="K1931" s="40" t="str">
        <f>IFERROR(IF(Agent10_Savings!A138="","",YEAR(Agent10_Savings!D138)),"")</f>
        <v/>
      </c>
    </row>
    <row r="1932" spans="1:11" ht="18" customHeight="1" x14ac:dyDescent="0.25">
      <c r="A1932" s="40" t="str">
        <f>IF(Agent10_Savings!A139="","",Agent10_Savings!A139)</f>
        <v/>
      </c>
      <c r="B1932" s="40" t="str">
        <f ca="1">IF(Agent10_Savings!A139="","","SV"&amp;TEXT(1932-3,"0000")&amp;"-"&amp;TEXT(TODAY(),"YYYYMMDD"))</f>
        <v/>
      </c>
      <c r="C1932" s="40" t="str">
        <f>IF(Agent10_Savings!A139="","",Agent10_Savings!B139)</f>
        <v/>
      </c>
      <c r="D1932" s="40" t="str">
        <f>IF(Agent10_Savings!A139="","",Agent10_Savings!G139)</f>
        <v/>
      </c>
      <c r="E1932" s="41" t="str">
        <f>IF(Agent10_Savings!A139="","",Agent10_Savings!D139)</f>
        <v/>
      </c>
      <c r="F1932" s="42" t="str">
        <f>IF(Agent10_Savings!A139="","",Agent10_Savings!E139)</f>
        <v/>
      </c>
      <c r="G1932" s="42" t="str">
        <f>IF(Agent10_Savings!A139="","",Agent10_Savings!F139)</f>
        <v/>
      </c>
      <c r="H1932" s="40" t="str">
        <f>IF(Agent10_Savings!A139="","",Agent10_Savings!I139)</f>
        <v/>
      </c>
      <c r="I1932" s="40" t="str">
        <f>IF(Agent10_Savings!A139="","",Agent10_Savings!J139)</f>
        <v/>
      </c>
      <c r="J1932" s="40" t="str">
        <f>IF(Agent10_Savings!A139="","",Agent10_Savings!K139)</f>
        <v/>
      </c>
      <c r="K1932" s="40" t="str">
        <f>IFERROR(IF(Agent10_Savings!A139="","",YEAR(Agent10_Savings!D139)),"")</f>
        <v/>
      </c>
    </row>
    <row r="1933" spans="1:11" ht="18" customHeight="1" x14ac:dyDescent="0.25">
      <c r="A1933" s="40" t="str">
        <f>IF(Agent10_Savings!A140="","",Agent10_Savings!A140)</f>
        <v/>
      </c>
      <c r="B1933" s="40" t="str">
        <f ca="1">IF(Agent10_Savings!A140="","","SV"&amp;TEXT(1933-3,"0000")&amp;"-"&amp;TEXT(TODAY(),"YYYYMMDD"))</f>
        <v/>
      </c>
      <c r="C1933" s="40" t="str">
        <f>IF(Agent10_Savings!A140="","",Agent10_Savings!B140)</f>
        <v/>
      </c>
      <c r="D1933" s="40" t="str">
        <f>IF(Agent10_Savings!A140="","",Agent10_Savings!G140)</f>
        <v/>
      </c>
      <c r="E1933" s="41" t="str">
        <f>IF(Agent10_Savings!A140="","",Agent10_Savings!D140)</f>
        <v/>
      </c>
      <c r="F1933" s="42" t="str">
        <f>IF(Agent10_Savings!A140="","",Agent10_Savings!E140)</f>
        <v/>
      </c>
      <c r="G1933" s="42" t="str">
        <f>IF(Agent10_Savings!A140="","",Agent10_Savings!F140)</f>
        <v/>
      </c>
      <c r="H1933" s="40" t="str">
        <f>IF(Agent10_Savings!A140="","",Agent10_Savings!I140)</f>
        <v/>
      </c>
      <c r="I1933" s="40" t="str">
        <f>IF(Agent10_Savings!A140="","",Agent10_Savings!J140)</f>
        <v/>
      </c>
      <c r="J1933" s="40" t="str">
        <f>IF(Agent10_Savings!A140="","",Agent10_Savings!K140)</f>
        <v/>
      </c>
      <c r="K1933" s="40" t="str">
        <f>IFERROR(IF(Agent10_Savings!A140="","",YEAR(Agent10_Savings!D140)),"")</f>
        <v/>
      </c>
    </row>
    <row r="1934" spans="1:11" ht="18" customHeight="1" x14ac:dyDescent="0.25">
      <c r="A1934" s="40" t="str">
        <f>IF(Agent10_Savings!A141="","",Agent10_Savings!A141)</f>
        <v/>
      </c>
      <c r="B1934" s="40" t="str">
        <f ca="1">IF(Agent10_Savings!A141="","","SV"&amp;TEXT(1934-3,"0000")&amp;"-"&amp;TEXT(TODAY(),"YYYYMMDD"))</f>
        <v/>
      </c>
      <c r="C1934" s="40" t="str">
        <f>IF(Agent10_Savings!A141="","",Agent10_Savings!B141)</f>
        <v/>
      </c>
      <c r="D1934" s="40" t="str">
        <f>IF(Agent10_Savings!A141="","",Agent10_Savings!G141)</f>
        <v/>
      </c>
      <c r="E1934" s="41" t="str">
        <f>IF(Agent10_Savings!A141="","",Agent10_Savings!D141)</f>
        <v/>
      </c>
      <c r="F1934" s="42" t="str">
        <f>IF(Agent10_Savings!A141="","",Agent10_Savings!E141)</f>
        <v/>
      </c>
      <c r="G1934" s="42" t="str">
        <f>IF(Agent10_Savings!A141="","",Agent10_Savings!F141)</f>
        <v/>
      </c>
      <c r="H1934" s="40" t="str">
        <f>IF(Agent10_Savings!A141="","",Agent10_Savings!I141)</f>
        <v/>
      </c>
      <c r="I1934" s="40" t="str">
        <f>IF(Agent10_Savings!A141="","",Agent10_Savings!J141)</f>
        <v/>
      </c>
      <c r="J1934" s="40" t="str">
        <f>IF(Agent10_Savings!A141="","",Agent10_Savings!K141)</f>
        <v/>
      </c>
      <c r="K1934" s="40" t="str">
        <f>IFERROR(IF(Agent10_Savings!A141="","",YEAR(Agent10_Savings!D141)),"")</f>
        <v/>
      </c>
    </row>
    <row r="1935" spans="1:11" ht="18" customHeight="1" x14ac:dyDescent="0.25">
      <c r="A1935" s="40" t="str">
        <f>IF(Agent10_Savings!A142="","",Agent10_Savings!A142)</f>
        <v/>
      </c>
      <c r="B1935" s="40" t="str">
        <f ca="1">IF(Agent10_Savings!A142="","","SV"&amp;TEXT(1935-3,"0000")&amp;"-"&amp;TEXT(TODAY(),"YYYYMMDD"))</f>
        <v/>
      </c>
      <c r="C1935" s="40" t="str">
        <f>IF(Agent10_Savings!A142="","",Agent10_Savings!B142)</f>
        <v/>
      </c>
      <c r="D1935" s="40" t="str">
        <f>IF(Agent10_Savings!A142="","",Agent10_Savings!G142)</f>
        <v/>
      </c>
      <c r="E1935" s="41" t="str">
        <f>IF(Agent10_Savings!A142="","",Agent10_Savings!D142)</f>
        <v/>
      </c>
      <c r="F1935" s="42" t="str">
        <f>IF(Agent10_Savings!A142="","",Agent10_Savings!E142)</f>
        <v/>
      </c>
      <c r="G1935" s="42" t="str">
        <f>IF(Agent10_Savings!A142="","",Agent10_Savings!F142)</f>
        <v/>
      </c>
      <c r="H1935" s="40" t="str">
        <f>IF(Agent10_Savings!A142="","",Agent10_Savings!I142)</f>
        <v/>
      </c>
      <c r="I1935" s="40" t="str">
        <f>IF(Agent10_Savings!A142="","",Agent10_Savings!J142)</f>
        <v/>
      </c>
      <c r="J1935" s="40" t="str">
        <f>IF(Agent10_Savings!A142="","",Agent10_Savings!K142)</f>
        <v/>
      </c>
      <c r="K1935" s="40" t="str">
        <f>IFERROR(IF(Agent10_Savings!A142="","",YEAR(Agent10_Savings!D142)),"")</f>
        <v/>
      </c>
    </row>
    <row r="1936" spans="1:11" ht="18" customHeight="1" x14ac:dyDescent="0.25">
      <c r="A1936" s="40" t="str">
        <f>IF(Agent10_Savings!A143="","",Agent10_Savings!A143)</f>
        <v/>
      </c>
      <c r="B1936" s="40" t="str">
        <f ca="1">IF(Agent10_Savings!A143="","","SV"&amp;TEXT(1936-3,"0000")&amp;"-"&amp;TEXT(TODAY(),"YYYYMMDD"))</f>
        <v/>
      </c>
      <c r="C1936" s="40" t="str">
        <f>IF(Agent10_Savings!A143="","",Agent10_Savings!B143)</f>
        <v/>
      </c>
      <c r="D1936" s="40" t="str">
        <f>IF(Agent10_Savings!A143="","",Agent10_Savings!G143)</f>
        <v/>
      </c>
      <c r="E1936" s="41" t="str">
        <f>IF(Agent10_Savings!A143="","",Agent10_Savings!D143)</f>
        <v/>
      </c>
      <c r="F1936" s="42" t="str">
        <f>IF(Agent10_Savings!A143="","",Agent10_Savings!E143)</f>
        <v/>
      </c>
      <c r="G1936" s="42" t="str">
        <f>IF(Agent10_Savings!A143="","",Agent10_Savings!F143)</f>
        <v/>
      </c>
      <c r="H1936" s="40" t="str">
        <f>IF(Agent10_Savings!A143="","",Agent10_Savings!I143)</f>
        <v/>
      </c>
      <c r="I1936" s="40" t="str">
        <f>IF(Agent10_Savings!A143="","",Agent10_Savings!J143)</f>
        <v/>
      </c>
      <c r="J1936" s="40" t="str">
        <f>IF(Agent10_Savings!A143="","",Agent10_Savings!K143)</f>
        <v/>
      </c>
      <c r="K1936" s="40" t="str">
        <f>IFERROR(IF(Agent10_Savings!A143="","",YEAR(Agent10_Savings!D143)),"")</f>
        <v/>
      </c>
    </row>
    <row r="1937" spans="1:11" ht="18" customHeight="1" x14ac:dyDescent="0.25">
      <c r="A1937" s="40" t="str">
        <f>IF(Agent10_Savings!A144="","",Agent10_Savings!A144)</f>
        <v/>
      </c>
      <c r="B1937" s="40" t="str">
        <f ca="1">IF(Agent10_Savings!A144="","","SV"&amp;TEXT(1937-3,"0000")&amp;"-"&amp;TEXT(TODAY(),"YYYYMMDD"))</f>
        <v/>
      </c>
      <c r="C1937" s="40" t="str">
        <f>IF(Agent10_Savings!A144="","",Agent10_Savings!B144)</f>
        <v/>
      </c>
      <c r="D1937" s="40" t="str">
        <f>IF(Agent10_Savings!A144="","",Agent10_Savings!G144)</f>
        <v/>
      </c>
      <c r="E1937" s="41" t="str">
        <f>IF(Agent10_Savings!A144="","",Agent10_Savings!D144)</f>
        <v/>
      </c>
      <c r="F1937" s="42" t="str">
        <f>IF(Agent10_Savings!A144="","",Agent10_Savings!E144)</f>
        <v/>
      </c>
      <c r="G1937" s="42" t="str">
        <f>IF(Agent10_Savings!A144="","",Agent10_Savings!F144)</f>
        <v/>
      </c>
      <c r="H1937" s="40" t="str">
        <f>IF(Agent10_Savings!A144="","",Agent10_Savings!I144)</f>
        <v/>
      </c>
      <c r="I1937" s="40" t="str">
        <f>IF(Agent10_Savings!A144="","",Agent10_Savings!J144)</f>
        <v/>
      </c>
      <c r="J1937" s="40" t="str">
        <f>IF(Agent10_Savings!A144="","",Agent10_Savings!K144)</f>
        <v/>
      </c>
      <c r="K1937" s="40" t="str">
        <f>IFERROR(IF(Agent10_Savings!A144="","",YEAR(Agent10_Savings!D144)),"")</f>
        <v/>
      </c>
    </row>
    <row r="1938" spans="1:11" ht="18" customHeight="1" x14ac:dyDescent="0.25">
      <c r="A1938" s="40" t="str">
        <f>IF(Agent10_Savings!A145="","",Agent10_Savings!A145)</f>
        <v/>
      </c>
      <c r="B1938" s="40" t="str">
        <f ca="1">IF(Agent10_Savings!A145="","","SV"&amp;TEXT(1938-3,"0000")&amp;"-"&amp;TEXT(TODAY(),"YYYYMMDD"))</f>
        <v/>
      </c>
      <c r="C1938" s="40" t="str">
        <f>IF(Agent10_Savings!A145="","",Agent10_Savings!B145)</f>
        <v/>
      </c>
      <c r="D1938" s="40" t="str">
        <f>IF(Agent10_Savings!A145="","",Agent10_Savings!G145)</f>
        <v/>
      </c>
      <c r="E1938" s="41" t="str">
        <f>IF(Agent10_Savings!A145="","",Agent10_Savings!D145)</f>
        <v/>
      </c>
      <c r="F1938" s="42" t="str">
        <f>IF(Agent10_Savings!A145="","",Agent10_Savings!E145)</f>
        <v/>
      </c>
      <c r="G1938" s="42" t="str">
        <f>IF(Agent10_Savings!A145="","",Agent10_Savings!F145)</f>
        <v/>
      </c>
      <c r="H1938" s="40" t="str">
        <f>IF(Agent10_Savings!A145="","",Agent10_Savings!I145)</f>
        <v/>
      </c>
      <c r="I1938" s="40" t="str">
        <f>IF(Agent10_Savings!A145="","",Agent10_Savings!J145)</f>
        <v/>
      </c>
      <c r="J1938" s="40" t="str">
        <f>IF(Agent10_Savings!A145="","",Agent10_Savings!K145)</f>
        <v/>
      </c>
      <c r="K1938" s="40" t="str">
        <f>IFERROR(IF(Agent10_Savings!A145="","",YEAR(Agent10_Savings!D145)),"")</f>
        <v/>
      </c>
    </row>
    <row r="1939" spans="1:11" ht="18" customHeight="1" x14ac:dyDescent="0.25">
      <c r="A1939" s="40" t="str">
        <f>IF(Agent10_Savings!A146="","",Agent10_Savings!A146)</f>
        <v/>
      </c>
      <c r="B1939" s="40" t="str">
        <f ca="1">IF(Agent10_Savings!A146="","","SV"&amp;TEXT(1939-3,"0000")&amp;"-"&amp;TEXT(TODAY(),"YYYYMMDD"))</f>
        <v/>
      </c>
      <c r="C1939" s="40" t="str">
        <f>IF(Agent10_Savings!A146="","",Agent10_Savings!B146)</f>
        <v/>
      </c>
      <c r="D1939" s="40" t="str">
        <f>IF(Agent10_Savings!A146="","",Agent10_Savings!G146)</f>
        <v/>
      </c>
      <c r="E1939" s="41" t="str">
        <f>IF(Agent10_Savings!A146="","",Agent10_Savings!D146)</f>
        <v/>
      </c>
      <c r="F1939" s="42" t="str">
        <f>IF(Agent10_Savings!A146="","",Agent10_Savings!E146)</f>
        <v/>
      </c>
      <c r="G1939" s="42" t="str">
        <f>IF(Agent10_Savings!A146="","",Agent10_Savings!F146)</f>
        <v/>
      </c>
      <c r="H1939" s="40" t="str">
        <f>IF(Agent10_Savings!A146="","",Agent10_Savings!I146)</f>
        <v/>
      </c>
      <c r="I1939" s="40" t="str">
        <f>IF(Agent10_Savings!A146="","",Agent10_Savings!J146)</f>
        <v/>
      </c>
      <c r="J1939" s="40" t="str">
        <f>IF(Agent10_Savings!A146="","",Agent10_Savings!K146)</f>
        <v/>
      </c>
      <c r="K1939" s="40" t="str">
        <f>IFERROR(IF(Agent10_Savings!A146="","",YEAR(Agent10_Savings!D146)),"")</f>
        <v/>
      </c>
    </row>
    <row r="1940" spans="1:11" ht="18" customHeight="1" x14ac:dyDescent="0.25">
      <c r="A1940" s="40" t="str">
        <f>IF(Agent10_Savings!A147="","",Agent10_Savings!A147)</f>
        <v/>
      </c>
      <c r="B1940" s="40" t="str">
        <f ca="1">IF(Agent10_Savings!A147="","","SV"&amp;TEXT(1940-3,"0000")&amp;"-"&amp;TEXT(TODAY(),"YYYYMMDD"))</f>
        <v/>
      </c>
      <c r="C1940" s="40" t="str">
        <f>IF(Agent10_Savings!A147="","",Agent10_Savings!B147)</f>
        <v/>
      </c>
      <c r="D1940" s="40" t="str">
        <f>IF(Agent10_Savings!A147="","",Agent10_Savings!G147)</f>
        <v/>
      </c>
      <c r="E1940" s="41" t="str">
        <f>IF(Agent10_Savings!A147="","",Agent10_Savings!D147)</f>
        <v/>
      </c>
      <c r="F1940" s="42" t="str">
        <f>IF(Agent10_Savings!A147="","",Agent10_Savings!E147)</f>
        <v/>
      </c>
      <c r="G1940" s="42" t="str">
        <f>IF(Agent10_Savings!A147="","",Agent10_Savings!F147)</f>
        <v/>
      </c>
      <c r="H1940" s="40" t="str">
        <f>IF(Agent10_Savings!A147="","",Agent10_Savings!I147)</f>
        <v/>
      </c>
      <c r="I1940" s="40" t="str">
        <f>IF(Agent10_Savings!A147="","",Agent10_Savings!J147)</f>
        <v/>
      </c>
      <c r="J1940" s="40" t="str">
        <f>IF(Agent10_Savings!A147="","",Agent10_Savings!K147)</f>
        <v/>
      </c>
      <c r="K1940" s="40" t="str">
        <f>IFERROR(IF(Agent10_Savings!A147="","",YEAR(Agent10_Savings!D147)),"")</f>
        <v/>
      </c>
    </row>
    <row r="1941" spans="1:11" ht="18" customHeight="1" x14ac:dyDescent="0.25">
      <c r="A1941" s="40" t="str">
        <f>IF(Agent10_Savings!A148="","",Agent10_Savings!A148)</f>
        <v/>
      </c>
      <c r="B1941" s="40" t="str">
        <f ca="1">IF(Agent10_Savings!A148="","","SV"&amp;TEXT(1941-3,"0000")&amp;"-"&amp;TEXT(TODAY(),"YYYYMMDD"))</f>
        <v/>
      </c>
      <c r="C1941" s="40" t="str">
        <f>IF(Agent10_Savings!A148="","",Agent10_Savings!B148)</f>
        <v/>
      </c>
      <c r="D1941" s="40" t="str">
        <f>IF(Agent10_Savings!A148="","",Agent10_Savings!G148)</f>
        <v/>
      </c>
      <c r="E1941" s="41" t="str">
        <f>IF(Agent10_Savings!A148="","",Agent10_Savings!D148)</f>
        <v/>
      </c>
      <c r="F1941" s="42" t="str">
        <f>IF(Agent10_Savings!A148="","",Agent10_Savings!E148)</f>
        <v/>
      </c>
      <c r="G1941" s="42" t="str">
        <f>IF(Agent10_Savings!A148="","",Agent10_Savings!F148)</f>
        <v/>
      </c>
      <c r="H1941" s="40" t="str">
        <f>IF(Agent10_Savings!A148="","",Agent10_Savings!I148)</f>
        <v/>
      </c>
      <c r="I1941" s="40" t="str">
        <f>IF(Agent10_Savings!A148="","",Agent10_Savings!J148)</f>
        <v/>
      </c>
      <c r="J1941" s="40" t="str">
        <f>IF(Agent10_Savings!A148="","",Agent10_Savings!K148)</f>
        <v/>
      </c>
      <c r="K1941" s="40" t="str">
        <f>IFERROR(IF(Agent10_Savings!A148="","",YEAR(Agent10_Savings!D148)),"")</f>
        <v/>
      </c>
    </row>
    <row r="1942" spans="1:11" ht="18" customHeight="1" x14ac:dyDescent="0.25">
      <c r="A1942" s="40" t="str">
        <f>IF(Agent10_Savings!A149="","",Agent10_Savings!A149)</f>
        <v/>
      </c>
      <c r="B1942" s="40" t="str">
        <f ca="1">IF(Agent10_Savings!A149="","","SV"&amp;TEXT(1942-3,"0000")&amp;"-"&amp;TEXT(TODAY(),"YYYYMMDD"))</f>
        <v/>
      </c>
      <c r="C1942" s="40" t="str">
        <f>IF(Agent10_Savings!A149="","",Agent10_Savings!B149)</f>
        <v/>
      </c>
      <c r="D1942" s="40" t="str">
        <f>IF(Agent10_Savings!A149="","",Agent10_Savings!G149)</f>
        <v/>
      </c>
      <c r="E1942" s="41" t="str">
        <f>IF(Agent10_Savings!A149="","",Agent10_Savings!D149)</f>
        <v/>
      </c>
      <c r="F1942" s="42" t="str">
        <f>IF(Agent10_Savings!A149="","",Agent10_Savings!E149)</f>
        <v/>
      </c>
      <c r="G1942" s="42" t="str">
        <f>IF(Agent10_Savings!A149="","",Agent10_Savings!F149)</f>
        <v/>
      </c>
      <c r="H1942" s="40" t="str">
        <f>IF(Agent10_Savings!A149="","",Agent10_Savings!I149)</f>
        <v/>
      </c>
      <c r="I1942" s="40" t="str">
        <f>IF(Agent10_Savings!A149="","",Agent10_Savings!J149)</f>
        <v/>
      </c>
      <c r="J1942" s="40" t="str">
        <f>IF(Agent10_Savings!A149="","",Agent10_Savings!K149)</f>
        <v/>
      </c>
      <c r="K1942" s="40" t="str">
        <f>IFERROR(IF(Agent10_Savings!A149="","",YEAR(Agent10_Savings!D149)),"")</f>
        <v/>
      </c>
    </row>
    <row r="1943" spans="1:11" ht="18" customHeight="1" x14ac:dyDescent="0.25">
      <c r="A1943" s="40" t="str">
        <f>IF(Agent10_Savings!A150="","",Agent10_Savings!A150)</f>
        <v/>
      </c>
      <c r="B1943" s="40" t="str">
        <f ca="1">IF(Agent10_Savings!A150="","","SV"&amp;TEXT(1943-3,"0000")&amp;"-"&amp;TEXT(TODAY(),"YYYYMMDD"))</f>
        <v/>
      </c>
      <c r="C1943" s="40" t="str">
        <f>IF(Agent10_Savings!A150="","",Agent10_Savings!B150)</f>
        <v/>
      </c>
      <c r="D1943" s="40" t="str">
        <f>IF(Agent10_Savings!A150="","",Agent10_Savings!G150)</f>
        <v/>
      </c>
      <c r="E1943" s="41" t="str">
        <f>IF(Agent10_Savings!A150="","",Agent10_Savings!D150)</f>
        <v/>
      </c>
      <c r="F1943" s="42" t="str">
        <f>IF(Agent10_Savings!A150="","",Agent10_Savings!E150)</f>
        <v/>
      </c>
      <c r="G1943" s="42" t="str">
        <f>IF(Agent10_Savings!A150="","",Agent10_Savings!F150)</f>
        <v/>
      </c>
      <c r="H1943" s="40" t="str">
        <f>IF(Agent10_Savings!A150="","",Agent10_Savings!I150)</f>
        <v/>
      </c>
      <c r="I1943" s="40" t="str">
        <f>IF(Agent10_Savings!A150="","",Agent10_Savings!J150)</f>
        <v/>
      </c>
      <c r="J1943" s="40" t="str">
        <f>IF(Agent10_Savings!A150="","",Agent10_Savings!K150)</f>
        <v/>
      </c>
      <c r="K1943" s="40" t="str">
        <f>IFERROR(IF(Agent10_Savings!A150="","",YEAR(Agent10_Savings!D150)),"")</f>
        <v/>
      </c>
    </row>
    <row r="1944" spans="1:11" ht="18" customHeight="1" x14ac:dyDescent="0.25">
      <c r="A1944" s="40" t="str">
        <f>IF(Agent10_Savings!A151="","",Agent10_Savings!A151)</f>
        <v/>
      </c>
      <c r="B1944" s="40" t="str">
        <f ca="1">IF(Agent10_Savings!A151="","","SV"&amp;TEXT(1944-3,"0000")&amp;"-"&amp;TEXT(TODAY(),"YYYYMMDD"))</f>
        <v/>
      </c>
      <c r="C1944" s="40" t="str">
        <f>IF(Agent10_Savings!A151="","",Agent10_Savings!B151)</f>
        <v/>
      </c>
      <c r="D1944" s="40" t="str">
        <f>IF(Agent10_Savings!A151="","",Agent10_Savings!G151)</f>
        <v/>
      </c>
      <c r="E1944" s="41" t="str">
        <f>IF(Agent10_Savings!A151="","",Agent10_Savings!D151)</f>
        <v/>
      </c>
      <c r="F1944" s="42" t="str">
        <f>IF(Agent10_Savings!A151="","",Agent10_Savings!E151)</f>
        <v/>
      </c>
      <c r="G1944" s="42" t="str">
        <f>IF(Agent10_Savings!A151="","",Agent10_Savings!F151)</f>
        <v/>
      </c>
      <c r="H1944" s="40" t="str">
        <f>IF(Agent10_Savings!A151="","",Agent10_Savings!I151)</f>
        <v/>
      </c>
      <c r="I1944" s="40" t="str">
        <f>IF(Agent10_Savings!A151="","",Agent10_Savings!J151)</f>
        <v/>
      </c>
      <c r="J1944" s="40" t="str">
        <f>IF(Agent10_Savings!A151="","",Agent10_Savings!K151)</f>
        <v/>
      </c>
      <c r="K1944" s="40" t="str">
        <f>IFERROR(IF(Agent10_Savings!A151="","",YEAR(Agent10_Savings!D151)),"")</f>
        <v/>
      </c>
    </row>
    <row r="1945" spans="1:11" ht="18" customHeight="1" x14ac:dyDescent="0.25">
      <c r="A1945" s="40" t="str">
        <f>IF(Agent10_Savings!A152="","",Agent10_Savings!A152)</f>
        <v/>
      </c>
      <c r="B1945" s="40" t="str">
        <f ca="1">IF(Agent10_Savings!A152="","","SV"&amp;TEXT(1945-3,"0000")&amp;"-"&amp;TEXT(TODAY(),"YYYYMMDD"))</f>
        <v/>
      </c>
      <c r="C1945" s="40" t="str">
        <f>IF(Agent10_Savings!A152="","",Agent10_Savings!B152)</f>
        <v/>
      </c>
      <c r="D1945" s="40" t="str">
        <f>IF(Agent10_Savings!A152="","",Agent10_Savings!G152)</f>
        <v/>
      </c>
      <c r="E1945" s="41" t="str">
        <f>IF(Agent10_Savings!A152="","",Agent10_Savings!D152)</f>
        <v/>
      </c>
      <c r="F1945" s="42" t="str">
        <f>IF(Agent10_Savings!A152="","",Agent10_Savings!E152)</f>
        <v/>
      </c>
      <c r="G1945" s="42" t="str">
        <f>IF(Agent10_Savings!A152="","",Agent10_Savings!F152)</f>
        <v/>
      </c>
      <c r="H1945" s="40" t="str">
        <f>IF(Agent10_Savings!A152="","",Agent10_Savings!I152)</f>
        <v/>
      </c>
      <c r="I1945" s="40" t="str">
        <f>IF(Agent10_Savings!A152="","",Agent10_Savings!J152)</f>
        <v/>
      </c>
      <c r="J1945" s="40" t="str">
        <f>IF(Agent10_Savings!A152="","",Agent10_Savings!K152)</f>
        <v/>
      </c>
      <c r="K1945" s="40" t="str">
        <f>IFERROR(IF(Agent10_Savings!A152="","",YEAR(Agent10_Savings!D152)),"")</f>
        <v/>
      </c>
    </row>
    <row r="1946" spans="1:11" ht="18" customHeight="1" x14ac:dyDescent="0.25">
      <c r="A1946" s="40" t="str">
        <f>IF(Agent10_Savings!A153="","",Agent10_Savings!A153)</f>
        <v/>
      </c>
      <c r="B1946" s="40" t="str">
        <f ca="1">IF(Agent10_Savings!A153="","","SV"&amp;TEXT(1946-3,"0000")&amp;"-"&amp;TEXT(TODAY(),"YYYYMMDD"))</f>
        <v/>
      </c>
      <c r="C1946" s="40" t="str">
        <f>IF(Agent10_Savings!A153="","",Agent10_Savings!B153)</f>
        <v/>
      </c>
      <c r="D1946" s="40" t="str">
        <f>IF(Agent10_Savings!A153="","",Agent10_Savings!G153)</f>
        <v/>
      </c>
      <c r="E1946" s="41" t="str">
        <f>IF(Agent10_Savings!A153="","",Agent10_Savings!D153)</f>
        <v/>
      </c>
      <c r="F1946" s="42" t="str">
        <f>IF(Agent10_Savings!A153="","",Agent10_Savings!E153)</f>
        <v/>
      </c>
      <c r="G1946" s="42" t="str">
        <f>IF(Agent10_Savings!A153="","",Agent10_Savings!F153)</f>
        <v/>
      </c>
      <c r="H1946" s="40" t="str">
        <f>IF(Agent10_Savings!A153="","",Agent10_Savings!I153)</f>
        <v/>
      </c>
      <c r="I1946" s="40" t="str">
        <f>IF(Agent10_Savings!A153="","",Agent10_Savings!J153)</f>
        <v/>
      </c>
      <c r="J1946" s="40" t="str">
        <f>IF(Agent10_Savings!A153="","",Agent10_Savings!K153)</f>
        <v/>
      </c>
      <c r="K1946" s="40" t="str">
        <f>IFERROR(IF(Agent10_Savings!A153="","",YEAR(Agent10_Savings!D153)),"")</f>
        <v/>
      </c>
    </row>
    <row r="1947" spans="1:11" ht="18" customHeight="1" x14ac:dyDescent="0.25">
      <c r="A1947" s="40" t="str">
        <f>IF(Agent10_Savings!A154="","",Agent10_Savings!A154)</f>
        <v/>
      </c>
      <c r="B1947" s="40" t="str">
        <f ca="1">IF(Agent10_Savings!A154="","","SV"&amp;TEXT(1947-3,"0000")&amp;"-"&amp;TEXT(TODAY(),"YYYYMMDD"))</f>
        <v/>
      </c>
      <c r="C1947" s="40" t="str">
        <f>IF(Agent10_Savings!A154="","",Agent10_Savings!B154)</f>
        <v/>
      </c>
      <c r="D1947" s="40" t="str">
        <f>IF(Agent10_Savings!A154="","",Agent10_Savings!G154)</f>
        <v/>
      </c>
      <c r="E1947" s="41" t="str">
        <f>IF(Agent10_Savings!A154="","",Agent10_Savings!D154)</f>
        <v/>
      </c>
      <c r="F1947" s="42" t="str">
        <f>IF(Agent10_Savings!A154="","",Agent10_Savings!E154)</f>
        <v/>
      </c>
      <c r="G1947" s="42" t="str">
        <f>IF(Agent10_Savings!A154="","",Agent10_Savings!F154)</f>
        <v/>
      </c>
      <c r="H1947" s="40" t="str">
        <f>IF(Agent10_Savings!A154="","",Agent10_Savings!I154)</f>
        <v/>
      </c>
      <c r="I1947" s="40" t="str">
        <f>IF(Agent10_Savings!A154="","",Agent10_Savings!J154)</f>
        <v/>
      </c>
      <c r="J1947" s="40" t="str">
        <f>IF(Agent10_Savings!A154="","",Agent10_Savings!K154)</f>
        <v/>
      </c>
      <c r="K1947" s="40" t="str">
        <f>IFERROR(IF(Agent10_Savings!A154="","",YEAR(Agent10_Savings!D154)),"")</f>
        <v/>
      </c>
    </row>
    <row r="1948" spans="1:11" ht="18" customHeight="1" x14ac:dyDescent="0.25">
      <c r="A1948" s="40" t="str">
        <f>IF(Agent10_Savings!A155="","",Agent10_Savings!A155)</f>
        <v/>
      </c>
      <c r="B1948" s="40" t="str">
        <f ca="1">IF(Agent10_Savings!A155="","","SV"&amp;TEXT(1948-3,"0000")&amp;"-"&amp;TEXT(TODAY(),"YYYYMMDD"))</f>
        <v/>
      </c>
      <c r="C1948" s="40" t="str">
        <f>IF(Agent10_Savings!A155="","",Agent10_Savings!B155)</f>
        <v/>
      </c>
      <c r="D1948" s="40" t="str">
        <f>IF(Agent10_Savings!A155="","",Agent10_Savings!G155)</f>
        <v/>
      </c>
      <c r="E1948" s="41" t="str">
        <f>IF(Agent10_Savings!A155="","",Agent10_Savings!D155)</f>
        <v/>
      </c>
      <c r="F1948" s="42" t="str">
        <f>IF(Agent10_Savings!A155="","",Agent10_Savings!E155)</f>
        <v/>
      </c>
      <c r="G1948" s="42" t="str">
        <f>IF(Agent10_Savings!A155="","",Agent10_Savings!F155)</f>
        <v/>
      </c>
      <c r="H1948" s="40" t="str">
        <f>IF(Agent10_Savings!A155="","",Agent10_Savings!I155)</f>
        <v/>
      </c>
      <c r="I1948" s="40" t="str">
        <f>IF(Agent10_Savings!A155="","",Agent10_Savings!J155)</f>
        <v/>
      </c>
      <c r="J1948" s="40" t="str">
        <f>IF(Agent10_Savings!A155="","",Agent10_Savings!K155)</f>
        <v/>
      </c>
      <c r="K1948" s="40" t="str">
        <f>IFERROR(IF(Agent10_Savings!A155="","",YEAR(Agent10_Savings!D155)),"")</f>
        <v/>
      </c>
    </row>
    <row r="1949" spans="1:11" ht="18" customHeight="1" x14ac:dyDescent="0.25">
      <c r="A1949" s="40" t="str">
        <f>IF(Agent10_Savings!A156="","",Agent10_Savings!A156)</f>
        <v/>
      </c>
      <c r="B1949" s="40" t="str">
        <f ca="1">IF(Agent10_Savings!A156="","","SV"&amp;TEXT(1949-3,"0000")&amp;"-"&amp;TEXT(TODAY(),"YYYYMMDD"))</f>
        <v/>
      </c>
      <c r="C1949" s="40" t="str">
        <f>IF(Agent10_Savings!A156="","",Agent10_Savings!B156)</f>
        <v/>
      </c>
      <c r="D1949" s="40" t="str">
        <f>IF(Agent10_Savings!A156="","",Agent10_Savings!G156)</f>
        <v/>
      </c>
      <c r="E1949" s="41" t="str">
        <f>IF(Agent10_Savings!A156="","",Agent10_Savings!D156)</f>
        <v/>
      </c>
      <c r="F1949" s="42" t="str">
        <f>IF(Agent10_Savings!A156="","",Agent10_Savings!E156)</f>
        <v/>
      </c>
      <c r="G1949" s="42" t="str">
        <f>IF(Agent10_Savings!A156="","",Agent10_Savings!F156)</f>
        <v/>
      </c>
      <c r="H1949" s="40" t="str">
        <f>IF(Agent10_Savings!A156="","",Agent10_Savings!I156)</f>
        <v/>
      </c>
      <c r="I1949" s="40" t="str">
        <f>IF(Agent10_Savings!A156="","",Agent10_Savings!J156)</f>
        <v/>
      </c>
      <c r="J1949" s="40" t="str">
        <f>IF(Agent10_Savings!A156="","",Agent10_Savings!K156)</f>
        <v/>
      </c>
      <c r="K1949" s="40" t="str">
        <f>IFERROR(IF(Agent10_Savings!A156="","",YEAR(Agent10_Savings!D156)),"")</f>
        <v/>
      </c>
    </row>
    <row r="1950" spans="1:11" ht="18" customHeight="1" x14ac:dyDescent="0.25">
      <c r="A1950" s="40" t="str">
        <f>IF(Agent10_Savings!A157="","",Agent10_Savings!A157)</f>
        <v/>
      </c>
      <c r="B1950" s="40" t="str">
        <f ca="1">IF(Agent10_Savings!A157="","","SV"&amp;TEXT(1950-3,"0000")&amp;"-"&amp;TEXT(TODAY(),"YYYYMMDD"))</f>
        <v/>
      </c>
      <c r="C1950" s="40" t="str">
        <f>IF(Agent10_Savings!A157="","",Agent10_Savings!B157)</f>
        <v/>
      </c>
      <c r="D1950" s="40" t="str">
        <f>IF(Agent10_Savings!A157="","",Agent10_Savings!G157)</f>
        <v/>
      </c>
      <c r="E1950" s="41" t="str">
        <f>IF(Agent10_Savings!A157="","",Agent10_Savings!D157)</f>
        <v/>
      </c>
      <c r="F1950" s="42" t="str">
        <f>IF(Agent10_Savings!A157="","",Agent10_Savings!E157)</f>
        <v/>
      </c>
      <c r="G1950" s="42" t="str">
        <f>IF(Agent10_Savings!A157="","",Agent10_Savings!F157)</f>
        <v/>
      </c>
      <c r="H1950" s="40" t="str">
        <f>IF(Agent10_Savings!A157="","",Agent10_Savings!I157)</f>
        <v/>
      </c>
      <c r="I1950" s="40" t="str">
        <f>IF(Agent10_Savings!A157="","",Agent10_Savings!J157)</f>
        <v/>
      </c>
      <c r="J1950" s="40" t="str">
        <f>IF(Agent10_Savings!A157="","",Agent10_Savings!K157)</f>
        <v/>
      </c>
      <c r="K1950" s="40" t="str">
        <f>IFERROR(IF(Agent10_Savings!A157="","",YEAR(Agent10_Savings!D157)),"")</f>
        <v/>
      </c>
    </row>
    <row r="1951" spans="1:11" ht="18" customHeight="1" x14ac:dyDescent="0.25">
      <c r="A1951" s="40" t="str">
        <f>IF(Agent10_Savings!A158="","",Agent10_Savings!A158)</f>
        <v/>
      </c>
      <c r="B1951" s="40" t="str">
        <f ca="1">IF(Agent10_Savings!A158="","","SV"&amp;TEXT(1951-3,"0000")&amp;"-"&amp;TEXT(TODAY(),"YYYYMMDD"))</f>
        <v/>
      </c>
      <c r="C1951" s="40" t="str">
        <f>IF(Agent10_Savings!A158="","",Agent10_Savings!B158)</f>
        <v/>
      </c>
      <c r="D1951" s="40" t="str">
        <f>IF(Agent10_Savings!A158="","",Agent10_Savings!G158)</f>
        <v/>
      </c>
      <c r="E1951" s="41" t="str">
        <f>IF(Agent10_Savings!A158="","",Agent10_Savings!D158)</f>
        <v/>
      </c>
      <c r="F1951" s="42" t="str">
        <f>IF(Agent10_Savings!A158="","",Agent10_Savings!E158)</f>
        <v/>
      </c>
      <c r="G1951" s="42" t="str">
        <f>IF(Agent10_Savings!A158="","",Agent10_Savings!F158)</f>
        <v/>
      </c>
      <c r="H1951" s="40" t="str">
        <f>IF(Agent10_Savings!A158="","",Agent10_Savings!I158)</f>
        <v/>
      </c>
      <c r="I1951" s="40" t="str">
        <f>IF(Agent10_Savings!A158="","",Agent10_Savings!J158)</f>
        <v/>
      </c>
      <c r="J1951" s="40" t="str">
        <f>IF(Agent10_Savings!A158="","",Agent10_Savings!K158)</f>
        <v/>
      </c>
      <c r="K1951" s="40" t="str">
        <f>IFERROR(IF(Agent10_Savings!A158="","",YEAR(Agent10_Savings!D158)),"")</f>
        <v/>
      </c>
    </row>
    <row r="1952" spans="1:11" ht="18" customHeight="1" x14ac:dyDescent="0.25">
      <c r="A1952" s="40" t="str">
        <f>IF(Agent10_Savings!A159="","",Agent10_Savings!A159)</f>
        <v/>
      </c>
      <c r="B1952" s="40" t="str">
        <f ca="1">IF(Agent10_Savings!A159="","","SV"&amp;TEXT(1952-3,"0000")&amp;"-"&amp;TEXT(TODAY(),"YYYYMMDD"))</f>
        <v/>
      </c>
      <c r="C1952" s="40" t="str">
        <f>IF(Agent10_Savings!A159="","",Agent10_Savings!B159)</f>
        <v/>
      </c>
      <c r="D1952" s="40" t="str">
        <f>IF(Agent10_Savings!A159="","",Agent10_Savings!G159)</f>
        <v/>
      </c>
      <c r="E1952" s="41" t="str">
        <f>IF(Agent10_Savings!A159="","",Agent10_Savings!D159)</f>
        <v/>
      </c>
      <c r="F1952" s="42" t="str">
        <f>IF(Agent10_Savings!A159="","",Agent10_Savings!E159)</f>
        <v/>
      </c>
      <c r="G1952" s="42" t="str">
        <f>IF(Agent10_Savings!A159="","",Agent10_Savings!F159)</f>
        <v/>
      </c>
      <c r="H1952" s="40" t="str">
        <f>IF(Agent10_Savings!A159="","",Agent10_Savings!I159)</f>
        <v/>
      </c>
      <c r="I1952" s="40" t="str">
        <f>IF(Agent10_Savings!A159="","",Agent10_Savings!J159)</f>
        <v/>
      </c>
      <c r="J1952" s="40" t="str">
        <f>IF(Agent10_Savings!A159="","",Agent10_Savings!K159)</f>
        <v/>
      </c>
      <c r="K1952" s="40" t="str">
        <f>IFERROR(IF(Agent10_Savings!A159="","",YEAR(Agent10_Savings!D159)),"")</f>
        <v/>
      </c>
    </row>
    <row r="1953" spans="1:11" ht="18" customHeight="1" x14ac:dyDescent="0.25">
      <c r="A1953" s="40" t="str">
        <f>IF(Agent10_Savings!A160="","",Agent10_Savings!A160)</f>
        <v/>
      </c>
      <c r="B1953" s="40" t="str">
        <f ca="1">IF(Agent10_Savings!A160="","","SV"&amp;TEXT(1953-3,"0000")&amp;"-"&amp;TEXT(TODAY(),"YYYYMMDD"))</f>
        <v/>
      </c>
      <c r="C1953" s="40" t="str">
        <f>IF(Agent10_Savings!A160="","",Agent10_Savings!B160)</f>
        <v/>
      </c>
      <c r="D1953" s="40" t="str">
        <f>IF(Agent10_Savings!A160="","",Agent10_Savings!G160)</f>
        <v/>
      </c>
      <c r="E1953" s="41" t="str">
        <f>IF(Agent10_Savings!A160="","",Agent10_Savings!D160)</f>
        <v/>
      </c>
      <c r="F1953" s="42" t="str">
        <f>IF(Agent10_Savings!A160="","",Agent10_Savings!E160)</f>
        <v/>
      </c>
      <c r="G1953" s="42" t="str">
        <f>IF(Agent10_Savings!A160="","",Agent10_Savings!F160)</f>
        <v/>
      </c>
      <c r="H1953" s="40" t="str">
        <f>IF(Agent10_Savings!A160="","",Agent10_Savings!I160)</f>
        <v/>
      </c>
      <c r="I1953" s="40" t="str">
        <f>IF(Agent10_Savings!A160="","",Agent10_Savings!J160)</f>
        <v/>
      </c>
      <c r="J1953" s="40" t="str">
        <f>IF(Agent10_Savings!A160="","",Agent10_Savings!K160)</f>
        <v/>
      </c>
      <c r="K1953" s="40" t="str">
        <f>IFERROR(IF(Agent10_Savings!A160="","",YEAR(Agent10_Savings!D160)),"")</f>
        <v/>
      </c>
    </row>
    <row r="1954" spans="1:11" ht="18" customHeight="1" x14ac:dyDescent="0.25">
      <c r="A1954" s="40" t="str">
        <f>IF(Agent10_Savings!A161="","",Agent10_Savings!A161)</f>
        <v/>
      </c>
      <c r="B1954" s="40" t="str">
        <f ca="1">IF(Agent10_Savings!A161="","","SV"&amp;TEXT(1954-3,"0000")&amp;"-"&amp;TEXT(TODAY(),"YYYYMMDD"))</f>
        <v/>
      </c>
      <c r="C1954" s="40" t="str">
        <f>IF(Agent10_Savings!A161="","",Agent10_Savings!B161)</f>
        <v/>
      </c>
      <c r="D1954" s="40" t="str">
        <f>IF(Agent10_Savings!A161="","",Agent10_Savings!G161)</f>
        <v/>
      </c>
      <c r="E1954" s="41" t="str">
        <f>IF(Agent10_Savings!A161="","",Agent10_Savings!D161)</f>
        <v/>
      </c>
      <c r="F1954" s="42" t="str">
        <f>IF(Agent10_Savings!A161="","",Agent10_Savings!E161)</f>
        <v/>
      </c>
      <c r="G1954" s="42" t="str">
        <f>IF(Agent10_Savings!A161="","",Agent10_Savings!F161)</f>
        <v/>
      </c>
      <c r="H1954" s="40" t="str">
        <f>IF(Agent10_Savings!A161="","",Agent10_Savings!I161)</f>
        <v/>
      </c>
      <c r="I1954" s="40" t="str">
        <f>IF(Agent10_Savings!A161="","",Agent10_Savings!J161)</f>
        <v/>
      </c>
      <c r="J1954" s="40" t="str">
        <f>IF(Agent10_Savings!A161="","",Agent10_Savings!K161)</f>
        <v/>
      </c>
      <c r="K1954" s="40" t="str">
        <f>IFERROR(IF(Agent10_Savings!A161="","",YEAR(Agent10_Savings!D161)),"")</f>
        <v/>
      </c>
    </row>
    <row r="1955" spans="1:11" ht="18" customHeight="1" x14ac:dyDescent="0.25">
      <c r="A1955" s="40" t="str">
        <f>IF(Agent10_Savings!A162="","",Agent10_Savings!A162)</f>
        <v/>
      </c>
      <c r="B1955" s="40" t="str">
        <f ca="1">IF(Agent10_Savings!A162="","","SV"&amp;TEXT(1955-3,"0000")&amp;"-"&amp;TEXT(TODAY(),"YYYYMMDD"))</f>
        <v/>
      </c>
      <c r="C1955" s="40" t="str">
        <f>IF(Agent10_Savings!A162="","",Agent10_Savings!B162)</f>
        <v/>
      </c>
      <c r="D1955" s="40" t="str">
        <f>IF(Agent10_Savings!A162="","",Agent10_Savings!G162)</f>
        <v/>
      </c>
      <c r="E1955" s="41" t="str">
        <f>IF(Agent10_Savings!A162="","",Agent10_Savings!D162)</f>
        <v/>
      </c>
      <c r="F1955" s="42" t="str">
        <f>IF(Agent10_Savings!A162="","",Agent10_Savings!E162)</f>
        <v/>
      </c>
      <c r="G1955" s="42" t="str">
        <f>IF(Agent10_Savings!A162="","",Agent10_Savings!F162)</f>
        <v/>
      </c>
      <c r="H1955" s="40" t="str">
        <f>IF(Agent10_Savings!A162="","",Agent10_Savings!I162)</f>
        <v/>
      </c>
      <c r="I1955" s="40" t="str">
        <f>IF(Agent10_Savings!A162="","",Agent10_Savings!J162)</f>
        <v/>
      </c>
      <c r="J1955" s="40" t="str">
        <f>IF(Agent10_Savings!A162="","",Agent10_Savings!K162)</f>
        <v/>
      </c>
      <c r="K1955" s="40" t="str">
        <f>IFERROR(IF(Agent10_Savings!A162="","",YEAR(Agent10_Savings!D162)),"")</f>
        <v/>
      </c>
    </row>
    <row r="1956" spans="1:11" ht="18" customHeight="1" x14ac:dyDescent="0.25">
      <c r="A1956" s="40" t="str">
        <f>IF(Agent10_Savings!A163="","",Agent10_Savings!A163)</f>
        <v/>
      </c>
      <c r="B1956" s="40" t="str">
        <f ca="1">IF(Agent10_Savings!A163="","","SV"&amp;TEXT(1956-3,"0000")&amp;"-"&amp;TEXT(TODAY(),"YYYYMMDD"))</f>
        <v/>
      </c>
      <c r="C1956" s="40" t="str">
        <f>IF(Agent10_Savings!A163="","",Agent10_Savings!B163)</f>
        <v/>
      </c>
      <c r="D1956" s="40" t="str">
        <f>IF(Agent10_Savings!A163="","",Agent10_Savings!G163)</f>
        <v/>
      </c>
      <c r="E1956" s="41" t="str">
        <f>IF(Agent10_Savings!A163="","",Agent10_Savings!D163)</f>
        <v/>
      </c>
      <c r="F1956" s="42" t="str">
        <f>IF(Agent10_Savings!A163="","",Agent10_Savings!E163)</f>
        <v/>
      </c>
      <c r="G1956" s="42" t="str">
        <f>IF(Agent10_Savings!A163="","",Agent10_Savings!F163)</f>
        <v/>
      </c>
      <c r="H1956" s="40" t="str">
        <f>IF(Agent10_Savings!A163="","",Agent10_Savings!I163)</f>
        <v/>
      </c>
      <c r="I1956" s="40" t="str">
        <f>IF(Agent10_Savings!A163="","",Agent10_Savings!J163)</f>
        <v/>
      </c>
      <c r="J1956" s="40" t="str">
        <f>IF(Agent10_Savings!A163="","",Agent10_Savings!K163)</f>
        <v/>
      </c>
      <c r="K1956" s="40" t="str">
        <f>IFERROR(IF(Agent10_Savings!A163="","",YEAR(Agent10_Savings!D163)),"")</f>
        <v/>
      </c>
    </row>
    <row r="1957" spans="1:11" ht="18" customHeight="1" x14ac:dyDescent="0.25">
      <c r="A1957" s="40" t="str">
        <f>IF(Agent10_Savings!A164="","",Agent10_Savings!A164)</f>
        <v/>
      </c>
      <c r="B1957" s="40" t="str">
        <f ca="1">IF(Agent10_Savings!A164="","","SV"&amp;TEXT(1957-3,"0000")&amp;"-"&amp;TEXT(TODAY(),"YYYYMMDD"))</f>
        <v/>
      </c>
      <c r="C1957" s="40" t="str">
        <f>IF(Agent10_Savings!A164="","",Agent10_Savings!B164)</f>
        <v/>
      </c>
      <c r="D1957" s="40" t="str">
        <f>IF(Agent10_Savings!A164="","",Agent10_Savings!G164)</f>
        <v/>
      </c>
      <c r="E1957" s="41" t="str">
        <f>IF(Agent10_Savings!A164="","",Agent10_Savings!D164)</f>
        <v/>
      </c>
      <c r="F1957" s="42" t="str">
        <f>IF(Agent10_Savings!A164="","",Agent10_Savings!E164)</f>
        <v/>
      </c>
      <c r="G1957" s="42" t="str">
        <f>IF(Agent10_Savings!A164="","",Agent10_Savings!F164)</f>
        <v/>
      </c>
      <c r="H1957" s="40" t="str">
        <f>IF(Agent10_Savings!A164="","",Agent10_Savings!I164)</f>
        <v/>
      </c>
      <c r="I1957" s="40" t="str">
        <f>IF(Agent10_Savings!A164="","",Agent10_Savings!J164)</f>
        <v/>
      </c>
      <c r="J1957" s="40" t="str">
        <f>IF(Agent10_Savings!A164="","",Agent10_Savings!K164)</f>
        <v/>
      </c>
      <c r="K1957" s="40" t="str">
        <f>IFERROR(IF(Agent10_Savings!A164="","",YEAR(Agent10_Savings!D164)),"")</f>
        <v/>
      </c>
    </row>
    <row r="1958" spans="1:11" ht="18" customHeight="1" x14ac:dyDescent="0.25">
      <c r="A1958" s="40" t="str">
        <f>IF(Agent10_Savings!A165="","",Agent10_Savings!A165)</f>
        <v/>
      </c>
      <c r="B1958" s="40" t="str">
        <f ca="1">IF(Agent10_Savings!A165="","","SV"&amp;TEXT(1958-3,"0000")&amp;"-"&amp;TEXT(TODAY(),"YYYYMMDD"))</f>
        <v/>
      </c>
      <c r="C1958" s="40" t="str">
        <f>IF(Agent10_Savings!A165="","",Agent10_Savings!B165)</f>
        <v/>
      </c>
      <c r="D1958" s="40" t="str">
        <f>IF(Agent10_Savings!A165="","",Agent10_Savings!G165)</f>
        <v/>
      </c>
      <c r="E1958" s="41" t="str">
        <f>IF(Agent10_Savings!A165="","",Agent10_Savings!D165)</f>
        <v/>
      </c>
      <c r="F1958" s="42" t="str">
        <f>IF(Agent10_Savings!A165="","",Agent10_Savings!E165)</f>
        <v/>
      </c>
      <c r="G1958" s="42" t="str">
        <f>IF(Agent10_Savings!A165="","",Agent10_Savings!F165)</f>
        <v/>
      </c>
      <c r="H1958" s="40" t="str">
        <f>IF(Agent10_Savings!A165="","",Agent10_Savings!I165)</f>
        <v/>
      </c>
      <c r="I1958" s="40" t="str">
        <f>IF(Agent10_Savings!A165="","",Agent10_Savings!J165)</f>
        <v/>
      </c>
      <c r="J1958" s="40" t="str">
        <f>IF(Agent10_Savings!A165="","",Agent10_Savings!K165)</f>
        <v/>
      </c>
      <c r="K1958" s="40" t="str">
        <f>IFERROR(IF(Agent10_Savings!A165="","",YEAR(Agent10_Savings!D165)),"")</f>
        <v/>
      </c>
    </row>
    <row r="1959" spans="1:11" ht="18" customHeight="1" x14ac:dyDescent="0.25">
      <c r="A1959" s="40" t="str">
        <f>IF(Agent10_Savings!A166="","",Agent10_Savings!A166)</f>
        <v/>
      </c>
      <c r="B1959" s="40" t="str">
        <f ca="1">IF(Agent10_Savings!A166="","","SV"&amp;TEXT(1959-3,"0000")&amp;"-"&amp;TEXT(TODAY(),"YYYYMMDD"))</f>
        <v/>
      </c>
      <c r="C1959" s="40" t="str">
        <f>IF(Agent10_Savings!A166="","",Agent10_Savings!B166)</f>
        <v/>
      </c>
      <c r="D1959" s="40" t="str">
        <f>IF(Agent10_Savings!A166="","",Agent10_Savings!G166)</f>
        <v/>
      </c>
      <c r="E1959" s="41" t="str">
        <f>IF(Agent10_Savings!A166="","",Agent10_Savings!D166)</f>
        <v/>
      </c>
      <c r="F1959" s="42" t="str">
        <f>IF(Agent10_Savings!A166="","",Agent10_Savings!E166)</f>
        <v/>
      </c>
      <c r="G1959" s="42" t="str">
        <f>IF(Agent10_Savings!A166="","",Agent10_Savings!F166)</f>
        <v/>
      </c>
      <c r="H1959" s="40" t="str">
        <f>IF(Agent10_Savings!A166="","",Agent10_Savings!I166)</f>
        <v/>
      </c>
      <c r="I1959" s="40" t="str">
        <f>IF(Agent10_Savings!A166="","",Agent10_Savings!J166)</f>
        <v/>
      </c>
      <c r="J1959" s="40" t="str">
        <f>IF(Agent10_Savings!A166="","",Agent10_Savings!K166)</f>
        <v/>
      </c>
      <c r="K1959" s="40" t="str">
        <f>IFERROR(IF(Agent10_Savings!A166="","",YEAR(Agent10_Savings!D166)),"")</f>
        <v/>
      </c>
    </row>
    <row r="1960" spans="1:11" ht="18" customHeight="1" x14ac:dyDescent="0.25">
      <c r="A1960" s="40" t="str">
        <f>IF(Agent10_Savings!A167="","",Agent10_Savings!A167)</f>
        <v/>
      </c>
      <c r="B1960" s="40" t="str">
        <f ca="1">IF(Agent10_Savings!A167="","","SV"&amp;TEXT(1960-3,"0000")&amp;"-"&amp;TEXT(TODAY(),"YYYYMMDD"))</f>
        <v/>
      </c>
      <c r="C1960" s="40" t="str">
        <f>IF(Agent10_Savings!A167="","",Agent10_Savings!B167)</f>
        <v/>
      </c>
      <c r="D1960" s="40" t="str">
        <f>IF(Agent10_Savings!A167="","",Agent10_Savings!G167)</f>
        <v/>
      </c>
      <c r="E1960" s="41" t="str">
        <f>IF(Agent10_Savings!A167="","",Agent10_Savings!D167)</f>
        <v/>
      </c>
      <c r="F1960" s="42" t="str">
        <f>IF(Agent10_Savings!A167="","",Agent10_Savings!E167)</f>
        <v/>
      </c>
      <c r="G1960" s="42" t="str">
        <f>IF(Agent10_Savings!A167="","",Agent10_Savings!F167)</f>
        <v/>
      </c>
      <c r="H1960" s="40" t="str">
        <f>IF(Agent10_Savings!A167="","",Agent10_Savings!I167)</f>
        <v/>
      </c>
      <c r="I1960" s="40" t="str">
        <f>IF(Agent10_Savings!A167="","",Agent10_Savings!J167)</f>
        <v/>
      </c>
      <c r="J1960" s="40" t="str">
        <f>IF(Agent10_Savings!A167="","",Agent10_Savings!K167)</f>
        <v/>
      </c>
      <c r="K1960" s="40" t="str">
        <f>IFERROR(IF(Agent10_Savings!A167="","",YEAR(Agent10_Savings!D167)),"")</f>
        <v/>
      </c>
    </row>
    <row r="1961" spans="1:11" ht="18" customHeight="1" x14ac:dyDescent="0.25">
      <c r="A1961" s="40" t="str">
        <f>IF(Agent10_Savings!A168="","",Agent10_Savings!A168)</f>
        <v/>
      </c>
      <c r="B1961" s="40" t="str">
        <f ca="1">IF(Agent10_Savings!A168="","","SV"&amp;TEXT(1961-3,"0000")&amp;"-"&amp;TEXT(TODAY(),"YYYYMMDD"))</f>
        <v/>
      </c>
      <c r="C1961" s="40" t="str">
        <f>IF(Agent10_Savings!A168="","",Agent10_Savings!B168)</f>
        <v/>
      </c>
      <c r="D1961" s="40" t="str">
        <f>IF(Agent10_Savings!A168="","",Agent10_Savings!G168)</f>
        <v/>
      </c>
      <c r="E1961" s="41" t="str">
        <f>IF(Agent10_Savings!A168="","",Agent10_Savings!D168)</f>
        <v/>
      </c>
      <c r="F1961" s="42" t="str">
        <f>IF(Agent10_Savings!A168="","",Agent10_Savings!E168)</f>
        <v/>
      </c>
      <c r="G1961" s="42" t="str">
        <f>IF(Agent10_Savings!A168="","",Agent10_Savings!F168)</f>
        <v/>
      </c>
      <c r="H1961" s="40" t="str">
        <f>IF(Agent10_Savings!A168="","",Agent10_Savings!I168)</f>
        <v/>
      </c>
      <c r="I1961" s="40" t="str">
        <f>IF(Agent10_Savings!A168="","",Agent10_Savings!J168)</f>
        <v/>
      </c>
      <c r="J1961" s="40" t="str">
        <f>IF(Agent10_Savings!A168="","",Agent10_Savings!K168)</f>
        <v/>
      </c>
      <c r="K1961" s="40" t="str">
        <f>IFERROR(IF(Agent10_Savings!A168="","",YEAR(Agent10_Savings!D168)),"")</f>
        <v/>
      </c>
    </row>
    <row r="1962" spans="1:11" ht="18" customHeight="1" x14ac:dyDescent="0.25">
      <c r="A1962" s="40" t="str">
        <f>IF(Agent10_Savings!A169="","",Agent10_Savings!A169)</f>
        <v/>
      </c>
      <c r="B1962" s="40" t="str">
        <f ca="1">IF(Agent10_Savings!A169="","","SV"&amp;TEXT(1962-3,"0000")&amp;"-"&amp;TEXT(TODAY(),"YYYYMMDD"))</f>
        <v/>
      </c>
      <c r="C1962" s="40" t="str">
        <f>IF(Agent10_Savings!A169="","",Agent10_Savings!B169)</f>
        <v/>
      </c>
      <c r="D1962" s="40" t="str">
        <f>IF(Agent10_Savings!A169="","",Agent10_Savings!G169)</f>
        <v/>
      </c>
      <c r="E1962" s="41" t="str">
        <f>IF(Agent10_Savings!A169="","",Agent10_Savings!D169)</f>
        <v/>
      </c>
      <c r="F1962" s="42" t="str">
        <f>IF(Agent10_Savings!A169="","",Agent10_Savings!E169)</f>
        <v/>
      </c>
      <c r="G1962" s="42" t="str">
        <f>IF(Agent10_Savings!A169="","",Agent10_Savings!F169)</f>
        <v/>
      </c>
      <c r="H1962" s="40" t="str">
        <f>IF(Agent10_Savings!A169="","",Agent10_Savings!I169)</f>
        <v/>
      </c>
      <c r="I1962" s="40" t="str">
        <f>IF(Agent10_Savings!A169="","",Agent10_Savings!J169)</f>
        <v/>
      </c>
      <c r="J1962" s="40" t="str">
        <f>IF(Agent10_Savings!A169="","",Agent10_Savings!K169)</f>
        <v/>
      </c>
      <c r="K1962" s="40" t="str">
        <f>IFERROR(IF(Agent10_Savings!A169="","",YEAR(Agent10_Savings!D169)),"")</f>
        <v/>
      </c>
    </row>
    <row r="1963" spans="1:11" ht="18" customHeight="1" x14ac:dyDescent="0.25">
      <c r="A1963" s="40" t="str">
        <f>IF(Agent10_Savings!A170="","",Agent10_Savings!A170)</f>
        <v/>
      </c>
      <c r="B1963" s="40" t="str">
        <f ca="1">IF(Agent10_Savings!A170="","","SV"&amp;TEXT(1963-3,"0000")&amp;"-"&amp;TEXT(TODAY(),"YYYYMMDD"))</f>
        <v/>
      </c>
      <c r="C1963" s="40" t="str">
        <f>IF(Agent10_Savings!A170="","",Agent10_Savings!B170)</f>
        <v/>
      </c>
      <c r="D1963" s="40" t="str">
        <f>IF(Agent10_Savings!A170="","",Agent10_Savings!G170)</f>
        <v/>
      </c>
      <c r="E1963" s="41" t="str">
        <f>IF(Agent10_Savings!A170="","",Agent10_Savings!D170)</f>
        <v/>
      </c>
      <c r="F1963" s="42" t="str">
        <f>IF(Agent10_Savings!A170="","",Agent10_Savings!E170)</f>
        <v/>
      </c>
      <c r="G1963" s="42" t="str">
        <f>IF(Agent10_Savings!A170="","",Agent10_Savings!F170)</f>
        <v/>
      </c>
      <c r="H1963" s="40" t="str">
        <f>IF(Agent10_Savings!A170="","",Agent10_Savings!I170)</f>
        <v/>
      </c>
      <c r="I1963" s="40" t="str">
        <f>IF(Agent10_Savings!A170="","",Agent10_Savings!J170)</f>
        <v/>
      </c>
      <c r="J1963" s="40" t="str">
        <f>IF(Agent10_Savings!A170="","",Agent10_Savings!K170)</f>
        <v/>
      </c>
      <c r="K1963" s="40" t="str">
        <f>IFERROR(IF(Agent10_Savings!A170="","",YEAR(Agent10_Savings!D170)),"")</f>
        <v/>
      </c>
    </row>
    <row r="1964" spans="1:11" ht="18" customHeight="1" x14ac:dyDescent="0.25">
      <c r="A1964" s="40" t="str">
        <f>IF(Agent10_Savings!A171="","",Agent10_Savings!A171)</f>
        <v/>
      </c>
      <c r="B1964" s="40" t="str">
        <f ca="1">IF(Agent10_Savings!A171="","","SV"&amp;TEXT(1964-3,"0000")&amp;"-"&amp;TEXT(TODAY(),"YYYYMMDD"))</f>
        <v/>
      </c>
      <c r="C1964" s="40" t="str">
        <f>IF(Agent10_Savings!A171="","",Agent10_Savings!B171)</f>
        <v/>
      </c>
      <c r="D1964" s="40" t="str">
        <f>IF(Agent10_Savings!A171="","",Agent10_Savings!G171)</f>
        <v/>
      </c>
      <c r="E1964" s="41" t="str">
        <f>IF(Agent10_Savings!A171="","",Agent10_Savings!D171)</f>
        <v/>
      </c>
      <c r="F1964" s="42" t="str">
        <f>IF(Agent10_Savings!A171="","",Agent10_Savings!E171)</f>
        <v/>
      </c>
      <c r="G1964" s="42" t="str">
        <f>IF(Agent10_Savings!A171="","",Agent10_Savings!F171)</f>
        <v/>
      </c>
      <c r="H1964" s="40" t="str">
        <f>IF(Agent10_Savings!A171="","",Agent10_Savings!I171)</f>
        <v/>
      </c>
      <c r="I1964" s="40" t="str">
        <f>IF(Agent10_Savings!A171="","",Agent10_Savings!J171)</f>
        <v/>
      </c>
      <c r="J1964" s="40" t="str">
        <f>IF(Agent10_Savings!A171="","",Agent10_Savings!K171)</f>
        <v/>
      </c>
      <c r="K1964" s="40" t="str">
        <f>IFERROR(IF(Agent10_Savings!A171="","",YEAR(Agent10_Savings!D171)),"")</f>
        <v/>
      </c>
    </row>
    <row r="1965" spans="1:11" ht="18" customHeight="1" x14ac:dyDescent="0.25">
      <c r="A1965" s="40" t="str">
        <f>IF(Agent10_Savings!A172="","",Agent10_Savings!A172)</f>
        <v/>
      </c>
      <c r="B1965" s="40" t="str">
        <f ca="1">IF(Agent10_Savings!A172="","","SV"&amp;TEXT(1965-3,"0000")&amp;"-"&amp;TEXT(TODAY(),"YYYYMMDD"))</f>
        <v/>
      </c>
      <c r="C1965" s="40" t="str">
        <f>IF(Agent10_Savings!A172="","",Agent10_Savings!B172)</f>
        <v/>
      </c>
      <c r="D1965" s="40" t="str">
        <f>IF(Agent10_Savings!A172="","",Agent10_Savings!G172)</f>
        <v/>
      </c>
      <c r="E1965" s="41" t="str">
        <f>IF(Agent10_Savings!A172="","",Agent10_Savings!D172)</f>
        <v/>
      </c>
      <c r="F1965" s="42" t="str">
        <f>IF(Agent10_Savings!A172="","",Agent10_Savings!E172)</f>
        <v/>
      </c>
      <c r="G1965" s="42" t="str">
        <f>IF(Agent10_Savings!A172="","",Agent10_Savings!F172)</f>
        <v/>
      </c>
      <c r="H1965" s="40" t="str">
        <f>IF(Agent10_Savings!A172="","",Agent10_Savings!I172)</f>
        <v/>
      </c>
      <c r="I1965" s="40" t="str">
        <f>IF(Agent10_Savings!A172="","",Agent10_Savings!J172)</f>
        <v/>
      </c>
      <c r="J1965" s="40" t="str">
        <f>IF(Agent10_Savings!A172="","",Agent10_Savings!K172)</f>
        <v/>
      </c>
      <c r="K1965" s="40" t="str">
        <f>IFERROR(IF(Agent10_Savings!A172="","",YEAR(Agent10_Savings!D172)),"")</f>
        <v/>
      </c>
    </row>
    <row r="1966" spans="1:11" ht="18" customHeight="1" x14ac:dyDescent="0.25">
      <c r="A1966" s="40" t="str">
        <f>IF(Agent10_Savings!A173="","",Agent10_Savings!A173)</f>
        <v/>
      </c>
      <c r="B1966" s="40" t="str">
        <f ca="1">IF(Agent10_Savings!A173="","","SV"&amp;TEXT(1966-3,"0000")&amp;"-"&amp;TEXT(TODAY(),"YYYYMMDD"))</f>
        <v/>
      </c>
      <c r="C1966" s="40" t="str">
        <f>IF(Agent10_Savings!A173="","",Agent10_Savings!B173)</f>
        <v/>
      </c>
      <c r="D1966" s="40" t="str">
        <f>IF(Agent10_Savings!A173="","",Agent10_Savings!G173)</f>
        <v/>
      </c>
      <c r="E1966" s="41" t="str">
        <f>IF(Agent10_Savings!A173="","",Agent10_Savings!D173)</f>
        <v/>
      </c>
      <c r="F1966" s="42" t="str">
        <f>IF(Agent10_Savings!A173="","",Agent10_Savings!E173)</f>
        <v/>
      </c>
      <c r="G1966" s="42" t="str">
        <f>IF(Agent10_Savings!A173="","",Agent10_Savings!F173)</f>
        <v/>
      </c>
      <c r="H1966" s="40" t="str">
        <f>IF(Agent10_Savings!A173="","",Agent10_Savings!I173)</f>
        <v/>
      </c>
      <c r="I1966" s="40" t="str">
        <f>IF(Agent10_Savings!A173="","",Agent10_Savings!J173)</f>
        <v/>
      </c>
      <c r="J1966" s="40" t="str">
        <f>IF(Agent10_Savings!A173="","",Agent10_Savings!K173)</f>
        <v/>
      </c>
      <c r="K1966" s="40" t="str">
        <f>IFERROR(IF(Agent10_Savings!A173="","",YEAR(Agent10_Savings!D173)),"")</f>
        <v/>
      </c>
    </row>
    <row r="1967" spans="1:11" ht="18" customHeight="1" x14ac:dyDescent="0.25">
      <c r="A1967" s="40" t="str">
        <f>IF(Agent10_Savings!A174="","",Agent10_Savings!A174)</f>
        <v/>
      </c>
      <c r="B1967" s="40" t="str">
        <f ca="1">IF(Agent10_Savings!A174="","","SV"&amp;TEXT(1967-3,"0000")&amp;"-"&amp;TEXT(TODAY(),"YYYYMMDD"))</f>
        <v/>
      </c>
      <c r="C1967" s="40" t="str">
        <f>IF(Agent10_Savings!A174="","",Agent10_Savings!B174)</f>
        <v/>
      </c>
      <c r="D1967" s="40" t="str">
        <f>IF(Agent10_Savings!A174="","",Agent10_Savings!G174)</f>
        <v/>
      </c>
      <c r="E1967" s="41" t="str">
        <f>IF(Agent10_Savings!A174="","",Agent10_Savings!D174)</f>
        <v/>
      </c>
      <c r="F1967" s="42" t="str">
        <f>IF(Agent10_Savings!A174="","",Agent10_Savings!E174)</f>
        <v/>
      </c>
      <c r="G1967" s="42" t="str">
        <f>IF(Agent10_Savings!A174="","",Agent10_Savings!F174)</f>
        <v/>
      </c>
      <c r="H1967" s="40" t="str">
        <f>IF(Agent10_Savings!A174="","",Agent10_Savings!I174)</f>
        <v/>
      </c>
      <c r="I1967" s="40" t="str">
        <f>IF(Agent10_Savings!A174="","",Agent10_Savings!J174)</f>
        <v/>
      </c>
      <c r="J1967" s="40" t="str">
        <f>IF(Agent10_Savings!A174="","",Agent10_Savings!K174)</f>
        <v/>
      </c>
      <c r="K1967" s="40" t="str">
        <f>IFERROR(IF(Agent10_Savings!A174="","",YEAR(Agent10_Savings!D174)),"")</f>
        <v/>
      </c>
    </row>
    <row r="1968" spans="1:11" ht="18" customHeight="1" x14ac:dyDescent="0.25">
      <c r="A1968" s="40" t="str">
        <f>IF(Agent10_Savings!A175="","",Agent10_Savings!A175)</f>
        <v/>
      </c>
      <c r="B1968" s="40" t="str">
        <f ca="1">IF(Agent10_Savings!A175="","","SV"&amp;TEXT(1968-3,"0000")&amp;"-"&amp;TEXT(TODAY(),"YYYYMMDD"))</f>
        <v/>
      </c>
      <c r="C1968" s="40" t="str">
        <f>IF(Agent10_Savings!A175="","",Agent10_Savings!B175)</f>
        <v/>
      </c>
      <c r="D1968" s="40" t="str">
        <f>IF(Agent10_Savings!A175="","",Agent10_Savings!G175)</f>
        <v/>
      </c>
      <c r="E1968" s="41" t="str">
        <f>IF(Agent10_Savings!A175="","",Agent10_Savings!D175)</f>
        <v/>
      </c>
      <c r="F1968" s="42" t="str">
        <f>IF(Agent10_Savings!A175="","",Agent10_Savings!E175)</f>
        <v/>
      </c>
      <c r="G1968" s="42" t="str">
        <f>IF(Agent10_Savings!A175="","",Agent10_Savings!F175)</f>
        <v/>
      </c>
      <c r="H1968" s="40" t="str">
        <f>IF(Agent10_Savings!A175="","",Agent10_Savings!I175)</f>
        <v/>
      </c>
      <c r="I1968" s="40" t="str">
        <f>IF(Agent10_Savings!A175="","",Agent10_Savings!J175)</f>
        <v/>
      </c>
      <c r="J1968" s="40" t="str">
        <f>IF(Agent10_Savings!A175="","",Agent10_Savings!K175)</f>
        <v/>
      </c>
      <c r="K1968" s="40" t="str">
        <f>IFERROR(IF(Agent10_Savings!A175="","",YEAR(Agent10_Savings!D175)),"")</f>
        <v/>
      </c>
    </row>
    <row r="1969" spans="1:11" ht="18" customHeight="1" x14ac:dyDescent="0.25">
      <c r="A1969" s="40" t="str">
        <f>IF(Agent10_Savings!A176="","",Agent10_Savings!A176)</f>
        <v/>
      </c>
      <c r="B1969" s="40" t="str">
        <f ca="1">IF(Agent10_Savings!A176="","","SV"&amp;TEXT(1969-3,"0000")&amp;"-"&amp;TEXT(TODAY(),"YYYYMMDD"))</f>
        <v/>
      </c>
      <c r="C1969" s="40" t="str">
        <f>IF(Agent10_Savings!A176="","",Agent10_Savings!B176)</f>
        <v/>
      </c>
      <c r="D1969" s="40" t="str">
        <f>IF(Agent10_Savings!A176="","",Agent10_Savings!G176)</f>
        <v/>
      </c>
      <c r="E1969" s="41" t="str">
        <f>IF(Agent10_Savings!A176="","",Agent10_Savings!D176)</f>
        <v/>
      </c>
      <c r="F1969" s="42" t="str">
        <f>IF(Agent10_Savings!A176="","",Agent10_Savings!E176)</f>
        <v/>
      </c>
      <c r="G1969" s="42" t="str">
        <f>IF(Agent10_Savings!A176="","",Agent10_Savings!F176)</f>
        <v/>
      </c>
      <c r="H1969" s="40" t="str">
        <f>IF(Agent10_Savings!A176="","",Agent10_Savings!I176)</f>
        <v/>
      </c>
      <c r="I1969" s="40" t="str">
        <f>IF(Agent10_Savings!A176="","",Agent10_Savings!J176)</f>
        <v/>
      </c>
      <c r="J1969" s="40" t="str">
        <f>IF(Agent10_Savings!A176="","",Agent10_Savings!K176)</f>
        <v/>
      </c>
      <c r="K1969" s="40" t="str">
        <f>IFERROR(IF(Agent10_Savings!A176="","",YEAR(Agent10_Savings!D176)),"")</f>
        <v/>
      </c>
    </row>
    <row r="1970" spans="1:11" ht="18" customHeight="1" x14ac:dyDescent="0.25">
      <c r="A1970" s="40" t="str">
        <f>IF(Agent10_Savings!A177="","",Agent10_Savings!A177)</f>
        <v/>
      </c>
      <c r="B1970" s="40" t="str">
        <f ca="1">IF(Agent10_Savings!A177="","","SV"&amp;TEXT(1970-3,"0000")&amp;"-"&amp;TEXT(TODAY(),"YYYYMMDD"))</f>
        <v/>
      </c>
      <c r="C1970" s="40" t="str">
        <f>IF(Agent10_Savings!A177="","",Agent10_Savings!B177)</f>
        <v/>
      </c>
      <c r="D1970" s="40" t="str">
        <f>IF(Agent10_Savings!A177="","",Agent10_Savings!G177)</f>
        <v/>
      </c>
      <c r="E1970" s="41" t="str">
        <f>IF(Agent10_Savings!A177="","",Agent10_Savings!D177)</f>
        <v/>
      </c>
      <c r="F1970" s="42" t="str">
        <f>IF(Agent10_Savings!A177="","",Agent10_Savings!E177)</f>
        <v/>
      </c>
      <c r="G1970" s="42" t="str">
        <f>IF(Agent10_Savings!A177="","",Agent10_Savings!F177)</f>
        <v/>
      </c>
      <c r="H1970" s="40" t="str">
        <f>IF(Agent10_Savings!A177="","",Agent10_Savings!I177)</f>
        <v/>
      </c>
      <c r="I1970" s="40" t="str">
        <f>IF(Agent10_Savings!A177="","",Agent10_Savings!J177)</f>
        <v/>
      </c>
      <c r="J1970" s="40" t="str">
        <f>IF(Agent10_Savings!A177="","",Agent10_Savings!K177)</f>
        <v/>
      </c>
      <c r="K1970" s="40" t="str">
        <f>IFERROR(IF(Agent10_Savings!A177="","",YEAR(Agent10_Savings!D177)),"")</f>
        <v/>
      </c>
    </row>
    <row r="1971" spans="1:11" ht="18" customHeight="1" x14ac:dyDescent="0.25">
      <c r="A1971" s="40" t="str">
        <f>IF(Agent10_Savings!A178="","",Agent10_Savings!A178)</f>
        <v/>
      </c>
      <c r="B1971" s="40" t="str">
        <f ca="1">IF(Agent10_Savings!A178="","","SV"&amp;TEXT(1971-3,"0000")&amp;"-"&amp;TEXT(TODAY(),"YYYYMMDD"))</f>
        <v/>
      </c>
      <c r="C1971" s="40" t="str">
        <f>IF(Agent10_Savings!A178="","",Agent10_Savings!B178)</f>
        <v/>
      </c>
      <c r="D1971" s="40" t="str">
        <f>IF(Agent10_Savings!A178="","",Agent10_Savings!G178)</f>
        <v/>
      </c>
      <c r="E1971" s="41" t="str">
        <f>IF(Agent10_Savings!A178="","",Agent10_Savings!D178)</f>
        <v/>
      </c>
      <c r="F1971" s="42" t="str">
        <f>IF(Agent10_Savings!A178="","",Agent10_Savings!E178)</f>
        <v/>
      </c>
      <c r="G1971" s="42" t="str">
        <f>IF(Agent10_Savings!A178="","",Agent10_Savings!F178)</f>
        <v/>
      </c>
      <c r="H1971" s="40" t="str">
        <f>IF(Agent10_Savings!A178="","",Agent10_Savings!I178)</f>
        <v/>
      </c>
      <c r="I1971" s="40" t="str">
        <f>IF(Agent10_Savings!A178="","",Agent10_Savings!J178)</f>
        <v/>
      </c>
      <c r="J1971" s="40" t="str">
        <f>IF(Agent10_Savings!A178="","",Agent10_Savings!K178)</f>
        <v/>
      </c>
      <c r="K1971" s="40" t="str">
        <f>IFERROR(IF(Agent10_Savings!A178="","",YEAR(Agent10_Savings!D178)),"")</f>
        <v/>
      </c>
    </row>
    <row r="1972" spans="1:11" ht="18" customHeight="1" x14ac:dyDescent="0.25">
      <c r="A1972" s="40" t="str">
        <f>IF(Agent10_Savings!A179="","",Agent10_Savings!A179)</f>
        <v/>
      </c>
      <c r="B1972" s="40" t="str">
        <f ca="1">IF(Agent10_Savings!A179="","","SV"&amp;TEXT(1972-3,"0000")&amp;"-"&amp;TEXT(TODAY(),"YYYYMMDD"))</f>
        <v/>
      </c>
      <c r="C1972" s="40" t="str">
        <f>IF(Agent10_Savings!A179="","",Agent10_Savings!B179)</f>
        <v/>
      </c>
      <c r="D1972" s="40" t="str">
        <f>IF(Agent10_Savings!A179="","",Agent10_Savings!G179)</f>
        <v/>
      </c>
      <c r="E1972" s="41" t="str">
        <f>IF(Agent10_Savings!A179="","",Agent10_Savings!D179)</f>
        <v/>
      </c>
      <c r="F1972" s="42" t="str">
        <f>IF(Agent10_Savings!A179="","",Agent10_Savings!E179)</f>
        <v/>
      </c>
      <c r="G1972" s="42" t="str">
        <f>IF(Agent10_Savings!A179="","",Agent10_Savings!F179)</f>
        <v/>
      </c>
      <c r="H1972" s="40" t="str">
        <f>IF(Agent10_Savings!A179="","",Agent10_Savings!I179)</f>
        <v/>
      </c>
      <c r="I1972" s="40" t="str">
        <f>IF(Agent10_Savings!A179="","",Agent10_Savings!J179)</f>
        <v/>
      </c>
      <c r="J1972" s="40" t="str">
        <f>IF(Agent10_Savings!A179="","",Agent10_Savings!K179)</f>
        <v/>
      </c>
      <c r="K1972" s="40" t="str">
        <f>IFERROR(IF(Agent10_Savings!A179="","",YEAR(Agent10_Savings!D179)),"")</f>
        <v/>
      </c>
    </row>
    <row r="1973" spans="1:11" ht="18" customHeight="1" x14ac:dyDescent="0.25">
      <c r="A1973" s="40" t="str">
        <f>IF(Agent10_Savings!A180="","",Agent10_Savings!A180)</f>
        <v/>
      </c>
      <c r="B1973" s="40" t="str">
        <f ca="1">IF(Agent10_Savings!A180="","","SV"&amp;TEXT(1973-3,"0000")&amp;"-"&amp;TEXT(TODAY(),"YYYYMMDD"))</f>
        <v/>
      </c>
      <c r="C1973" s="40" t="str">
        <f>IF(Agent10_Savings!A180="","",Agent10_Savings!B180)</f>
        <v/>
      </c>
      <c r="D1973" s="40" t="str">
        <f>IF(Agent10_Savings!A180="","",Agent10_Savings!G180)</f>
        <v/>
      </c>
      <c r="E1973" s="41" t="str">
        <f>IF(Agent10_Savings!A180="","",Agent10_Savings!D180)</f>
        <v/>
      </c>
      <c r="F1973" s="42" t="str">
        <f>IF(Agent10_Savings!A180="","",Agent10_Savings!E180)</f>
        <v/>
      </c>
      <c r="G1973" s="42" t="str">
        <f>IF(Agent10_Savings!A180="","",Agent10_Savings!F180)</f>
        <v/>
      </c>
      <c r="H1973" s="40" t="str">
        <f>IF(Agent10_Savings!A180="","",Agent10_Savings!I180)</f>
        <v/>
      </c>
      <c r="I1973" s="40" t="str">
        <f>IF(Agent10_Savings!A180="","",Agent10_Savings!J180)</f>
        <v/>
      </c>
      <c r="J1973" s="40" t="str">
        <f>IF(Agent10_Savings!A180="","",Agent10_Savings!K180)</f>
        <v/>
      </c>
      <c r="K1973" s="40" t="str">
        <f>IFERROR(IF(Agent10_Savings!A180="","",YEAR(Agent10_Savings!D180)),"")</f>
        <v/>
      </c>
    </row>
    <row r="1974" spans="1:11" ht="18" customHeight="1" x14ac:dyDescent="0.25">
      <c r="A1974" s="40" t="str">
        <f>IF(Agent10_Savings!A181="","",Agent10_Savings!A181)</f>
        <v/>
      </c>
      <c r="B1974" s="40" t="str">
        <f ca="1">IF(Agent10_Savings!A181="","","SV"&amp;TEXT(1974-3,"0000")&amp;"-"&amp;TEXT(TODAY(),"YYYYMMDD"))</f>
        <v/>
      </c>
      <c r="C1974" s="40" t="str">
        <f>IF(Agent10_Savings!A181="","",Agent10_Savings!B181)</f>
        <v/>
      </c>
      <c r="D1974" s="40" t="str">
        <f>IF(Agent10_Savings!A181="","",Agent10_Savings!G181)</f>
        <v/>
      </c>
      <c r="E1974" s="41" t="str">
        <f>IF(Agent10_Savings!A181="","",Agent10_Savings!D181)</f>
        <v/>
      </c>
      <c r="F1974" s="42" t="str">
        <f>IF(Agent10_Savings!A181="","",Agent10_Savings!E181)</f>
        <v/>
      </c>
      <c r="G1974" s="42" t="str">
        <f>IF(Agent10_Savings!A181="","",Agent10_Savings!F181)</f>
        <v/>
      </c>
      <c r="H1974" s="40" t="str">
        <f>IF(Agent10_Savings!A181="","",Agent10_Savings!I181)</f>
        <v/>
      </c>
      <c r="I1974" s="40" t="str">
        <f>IF(Agent10_Savings!A181="","",Agent10_Savings!J181)</f>
        <v/>
      </c>
      <c r="J1974" s="40" t="str">
        <f>IF(Agent10_Savings!A181="","",Agent10_Savings!K181)</f>
        <v/>
      </c>
      <c r="K1974" s="40" t="str">
        <f>IFERROR(IF(Agent10_Savings!A181="","",YEAR(Agent10_Savings!D181)),"")</f>
        <v/>
      </c>
    </row>
    <row r="1975" spans="1:11" ht="18" customHeight="1" x14ac:dyDescent="0.25">
      <c r="A1975" s="40" t="str">
        <f>IF(Agent10_Savings!A182="","",Agent10_Savings!A182)</f>
        <v/>
      </c>
      <c r="B1975" s="40" t="str">
        <f ca="1">IF(Agent10_Savings!A182="","","SV"&amp;TEXT(1975-3,"0000")&amp;"-"&amp;TEXT(TODAY(),"YYYYMMDD"))</f>
        <v/>
      </c>
      <c r="C1975" s="40" t="str">
        <f>IF(Agent10_Savings!A182="","",Agent10_Savings!B182)</f>
        <v/>
      </c>
      <c r="D1975" s="40" t="str">
        <f>IF(Agent10_Savings!A182="","",Agent10_Savings!G182)</f>
        <v/>
      </c>
      <c r="E1975" s="41" t="str">
        <f>IF(Agent10_Savings!A182="","",Agent10_Savings!D182)</f>
        <v/>
      </c>
      <c r="F1975" s="42" t="str">
        <f>IF(Agent10_Savings!A182="","",Agent10_Savings!E182)</f>
        <v/>
      </c>
      <c r="G1975" s="42" t="str">
        <f>IF(Agent10_Savings!A182="","",Agent10_Savings!F182)</f>
        <v/>
      </c>
      <c r="H1975" s="40" t="str">
        <f>IF(Agent10_Savings!A182="","",Agent10_Savings!I182)</f>
        <v/>
      </c>
      <c r="I1975" s="40" t="str">
        <f>IF(Agent10_Savings!A182="","",Agent10_Savings!J182)</f>
        <v/>
      </c>
      <c r="J1975" s="40" t="str">
        <f>IF(Agent10_Savings!A182="","",Agent10_Savings!K182)</f>
        <v/>
      </c>
      <c r="K1975" s="40" t="str">
        <f>IFERROR(IF(Agent10_Savings!A182="","",YEAR(Agent10_Savings!D182)),"")</f>
        <v/>
      </c>
    </row>
    <row r="1976" spans="1:11" ht="18" customHeight="1" x14ac:dyDescent="0.25">
      <c r="A1976" s="40" t="str">
        <f>IF(Agent10_Savings!A183="","",Agent10_Savings!A183)</f>
        <v/>
      </c>
      <c r="B1976" s="40" t="str">
        <f ca="1">IF(Agent10_Savings!A183="","","SV"&amp;TEXT(1976-3,"0000")&amp;"-"&amp;TEXT(TODAY(),"YYYYMMDD"))</f>
        <v/>
      </c>
      <c r="C1976" s="40" t="str">
        <f>IF(Agent10_Savings!A183="","",Agent10_Savings!B183)</f>
        <v/>
      </c>
      <c r="D1976" s="40" t="str">
        <f>IF(Agent10_Savings!A183="","",Agent10_Savings!G183)</f>
        <v/>
      </c>
      <c r="E1976" s="41" t="str">
        <f>IF(Agent10_Savings!A183="","",Agent10_Savings!D183)</f>
        <v/>
      </c>
      <c r="F1976" s="42" t="str">
        <f>IF(Agent10_Savings!A183="","",Agent10_Savings!E183)</f>
        <v/>
      </c>
      <c r="G1976" s="42" t="str">
        <f>IF(Agent10_Savings!A183="","",Agent10_Savings!F183)</f>
        <v/>
      </c>
      <c r="H1976" s="40" t="str">
        <f>IF(Agent10_Savings!A183="","",Agent10_Savings!I183)</f>
        <v/>
      </c>
      <c r="I1976" s="40" t="str">
        <f>IF(Agent10_Savings!A183="","",Agent10_Savings!J183)</f>
        <v/>
      </c>
      <c r="J1976" s="40" t="str">
        <f>IF(Agent10_Savings!A183="","",Agent10_Savings!K183)</f>
        <v/>
      </c>
      <c r="K1976" s="40" t="str">
        <f>IFERROR(IF(Agent10_Savings!A183="","",YEAR(Agent10_Savings!D183)),"")</f>
        <v/>
      </c>
    </row>
    <row r="1977" spans="1:11" ht="18" customHeight="1" x14ac:dyDescent="0.25">
      <c r="A1977" s="40" t="str">
        <f>IF(Agent10_Savings!A184="","",Agent10_Savings!A184)</f>
        <v/>
      </c>
      <c r="B1977" s="40" t="str">
        <f ca="1">IF(Agent10_Savings!A184="","","SV"&amp;TEXT(1977-3,"0000")&amp;"-"&amp;TEXT(TODAY(),"YYYYMMDD"))</f>
        <v/>
      </c>
      <c r="C1977" s="40" t="str">
        <f>IF(Agent10_Savings!A184="","",Agent10_Savings!B184)</f>
        <v/>
      </c>
      <c r="D1977" s="40" t="str">
        <f>IF(Agent10_Savings!A184="","",Agent10_Savings!G184)</f>
        <v/>
      </c>
      <c r="E1977" s="41" t="str">
        <f>IF(Agent10_Savings!A184="","",Agent10_Savings!D184)</f>
        <v/>
      </c>
      <c r="F1977" s="42" t="str">
        <f>IF(Agent10_Savings!A184="","",Agent10_Savings!E184)</f>
        <v/>
      </c>
      <c r="G1977" s="42" t="str">
        <f>IF(Agent10_Savings!A184="","",Agent10_Savings!F184)</f>
        <v/>
      </c>
      <c r="H1977" s="40" t="str">
        <f>IF(Agent10_Savings!A184="","",Agent10_Savings!I184)</f>
        <v/>
      </c>
      <c r="I1977" s="40" t="str">
        <f>IF(Agent10_Savings!A184="","",Agent10_Savings!J184)</f>
        <v/>
      </c>
      <c r="J1977" s="40" t="str">
        <f>IF(Agent10_Savings!A184="","",Agent10_Savings!K184)</f>
        <v/>
      </c>
      <c r="K1977" s="40" t="str">
        <f>IFERROR(IF(Agent10_Savings!A184="","",YEAR(Agent10_Savings!D184)),"")</f>
        <v/>
      </c>
    </row>
    <row r="1978" spans="1:11" ht="18" customHeight="1" x14ac:dyDescent="0.25">
      <c r="A1978" s="40" t="str">
        <f>IF(Agent10_Savings!A185="","",Agent10_Savings!A185)</f>
        <v/>
      </c>
      <c r="B1978" s="40" t="str">
        <f ca="1">IF(Agent10_Savings!A185="","","SV"&amp;TEXT(1978-3,"0000")&amp;"-"&amp;TEXT(TODAY(),"YYYYMMDD"))</f>
        <v/>
      </c>
      <c r="C1978" s="40" t="str">
        <f>IF(Agent10_Savings!A185="","",Agent10_Savings!B185)</f>
        <v/>
      </c>
      <c r="D1978" s="40" t="str">
        <f>IF(Agent10_Savings!A185="","",Agent10_Savings!G185)</f>
        <v/>
      </c>
      <c r="E1978" s="41" t="str">
        <f>IF(Agent10_Savings!A185="","",Agent10_Savings!D185)</f>
        <v/>
      </c>
      <c r="F1978" s="42" t="str">
        <f>IF(Agent10_Savings!A185="","",Agent10_Savings!E185)</f>
        <v/>
      </c>
      <c r="G1978" s="42" t="str">
        <f>IF(Agent10_Savings!A185="","",Agent10_Savings!F185)</f>
        <v/>
      </c>
      <c r="H1978" s="40" t="str">
        <f>IF(Agent10_Savings!A185="","",Agent10_Savings!I185)</f>
        <v/>
      </c>
      <c r="I1978" s="40" t="str">
        <f>IF(Agent10_Savings!A185="","",Agent10_Savings!J185)</f>
        <v/>
      </c>
      <c r="J1978" s="40" t="str">
        <f>IF(Agent10_Savings!A185="","",Agent10_Savings!K185)</f>
        <v/>
      </c>
      <c r="K1978" s="40" t="str">
        <f>IFERROR(IF(Agent10_Savings!A185="","",YEAR(Agent10_Savings!D185)),"")</f>
        <v/>
      </c>
    </row>
    <row r="1979" spans="1:11" ht="18" customHeight="1" x14ac:dyDescent="0.25">
      <c r="A1979" s="40" t="str">
        <f>IF(Agent10_Savings!A186="","",Agent10_Savings!A186)</f>
        <v/>
      </c>
      <c r="B1979" s="40" t="str">
        <f ca="1">IF(Agent10_Savings!A186="","","SV"&amp;TEXT(1979-3,"0000")&amp;"-"&amp;TEXT(TODAY(),"YYYYMMDD"))</f>
        <v/>
      </c>
      <c r="C1979" s="40" t="str">
        <f>IF(Agent10_Savings!A186="","",Agent10_Savings!B186)</f>
        <v/>
      </c>
      <c r="D1979" s="40" t="str">
        <f>IF(Agent10_Savings!A186="","",Agent10_Savings!G186)</f>
        <v/>
      </c>
      <c r="E1979" s="41" t="str">
        <f>IF(Agent10_Savings!A186="","",Agent10_Savings!D186)</f>
        <v/>
      </c>
      <c r="F1979" s="42" t="str">
        <f>IF(Agent10_Savings!A186="","",Agent10_Savings!E186)</f>
        <v/>
      </c>
      <c r="G1979" s="42" t="str">
        <f>IF(Agent10_Savings!A186="","",Agent10_Savings!F186)</f>
        <v/>
      </c>
      <c r="H1979" s="40" t="str">
        <f>IF(Agent10_Savings!A186="","",Agent10_Savings!I186)</f>
        <v/>
      </c>
      <c r="I1979" s="40" t="str">
        <f>IF(Agent10_Savings!A186="","",Agent10_Savings!J186)</f>
        <v/>
      </c>
      <c r="J1979" s="40" t="str">
        <f>IF(Agent10_Savings!A186="","",Agent10_Savings!K186)</f>
        <v/>
      </c>
      <c r="K1979" s="40" t="str">
        <f>IFERROR(IF(Agent10_Savings!A186="","",YEAR(Agent10_Savings!D186)),"")</f>
        <v/>
      </c>
    </row>
    <row r="1980" spans="1:11" ht="18" customHeight="1" x14ac:dyDescent="0.25">
      <c r="A1980" s="40" t="str">
        <f>IF(Agent10_Savings!A187="","",Agent10_Savings!A187)</f>
        <v/>
      </c>
      <c r="B1980" s="40" t="str">
        <f ca="1">IF(Agent10_Savings!A187="","","SV"&amp;TEXT(1980-3,"0000")&amp;"-"&amp;TEXT(TODAY(),"YYYYMMDD"))</f>
        <v/>
      </c>
      <c r="C1980" s="40" t="str">
        <f>IF(Agent10_Savings!A187="","",Agent10_Savings!B187)</f>
        <v/>
      </c>
      <c r="D1980" s="40" t="str">
        <f>IF(Agent10_Savings!A187="","",Agent10_Savings!G187)</f>
        <v/>
      </c>
      <c r="E1980" s="41" t="str">
        <f>IF(Agent10_Savings!A187="","",Agent10_Savings!D187)</f>
        <v/>
      </c>
      <c r="F1980" s="42" t="str">
        <f>IF(Agent10_Savings!A187="","",Agent10_Savings!E187)</f>
        <v/>
      </c>
      <c r="G1980" s="42" t="str">
        <f>IF(Agent10_Savings!A187="","",Agent10_Savings!F187)</f>
        <v/>
      </c>
      <c r="H1980" s="40" t="str">
        <f>IF(Agent10_Savings!A187="","",Agent10_Savings!I187)</f>
        <v/>
      </c>
      <c r="I1980" s="40" t="str">
        <f>IF(Agent10_Savings!A187="","",Agent10_Savings!J187)</f>
        <v/>
      </c>
      <c r="J1980" s="40" t="str">
        <f>IF(Agent10_Savings!A187="","",Agent10_Savings!K187)</f>
        <v/>
      </c>
      <c r="K1980" s="40" t="str">
        <f>IFERROR(IF(Agent10_Savings!A187="","",YEAR(Agent10_Savings!D187)),"")</f>
        <v/>
      </c>
    </row>
    <row r="1981" spans="1:11" ht="18" customHeight="1" x14ac:dyDescent="0.25">
      <c r="A1981" s="40" t="str">
        <f>IF(Agent10_Savings!A188="","",Agent10_Savings!A188)</f>
        <v/>
      </c>
      <c r="B1981" s="40" t="str">
        <f ca="1">IF(Agent10_Savings!A188="","","SV"&amp;TEXT(1981-3,"0000")&amp;"-"&amp;TEXT(TODAY(),"YYYYMMDD"))</f>
        <v/>
      </c>
      <c r="C1981" s="40" t="str">
        <f>IF(Agent10_Savings!A188="","",Agent10_Savings!B188)</f>
        <v/>
      </c>
      <c r="D1981" s="40" t="str">
        <f>IF(Agent10_Savings!A188="","",Agent10_Savings!G188)</f>
        <v/>
      </c>
      <c r="E1981" s="41" t="str">
        <f>IF(Agent10_Savings!A188="","",Agent10_Savings!D188)</f>
        <v/>
      </c>
      <c r="F1981" s="42" t="str">
        <f>IF(Agent10_Savings!A188="","",Agent10_Savings!E188)</f>
        <v/>
      </c>
      <c r="G1981" s="42" t="str">
        <f>IF(Agent10_Savings!A188="","",Agent10_Savings!F188)</f>
        <v/>
      </c>
      <c r="H1981" s="40" t="str">
        <f>IF(Agent10_Savings!A188="","",Agent10_Savings!I188)</f>
        <v/>
      </c>
      <c r="I1981" s="40" t="str">
        <f>IF(Agent10_Savings!A188="","",Agent10_Savings!J188)</f>
        <v/>
      </c>
      <c r="J1981" s="40" t="str">
        <f>IF(Agent10_Savings!A188="","",Agent10_Savings!K188)</f>
        <v/>
      </c>
      <c r="K1981" s="40" t="str">
        <f>IFERROR(IF(Agent10_Savings!A188="","",YEAR(Agent10_Savings!D188)),"")</f>
        <v/>
      </c>
    </row>
    <row r="1982" spans="1:11" ht="18" customHeight="1" x14ac:dyDescent="0.25">
      <c r="A1982" s="40" t="str">
        <f>IF(Agent10_Savings!A189="","",Agent10_Savings!A189)</f>
        <v/>
      </c>
      <c r="B1982" s="40" t="str">
        <f ca="1">IF(Agent10_Savings!A189="","","SV"&amp;TEXT(1982-3,"0000")&amp;"-"&amp;TEXT(TODAY(),"YYYYMMDD"))</f>
        <v/>
      </c>
      <c r="C1982" s="40" t="str">
        <f>IF(Agent10_Savings!A189="","",Agent10_Savings!B189)</f>
        <v/>
      </c>
      <c r="D1982" s="40" t="str">
        <f>IF(Agent10_Savings!A189="","",Agent10_Savings!G189)</f>
        <v/>
      </c>
      <c r="E1982" s="41" t="str">
        <f>IF(Agent10_Savings!A189="","",Agent10_Savings!D189)</f>
        <v/>
      </c>
      <c r="F1982" s="42" t="str">
        <f>IF(Agent10_Savings!A189="","",Agent10_Savings!E189)</f>
        <v/>
      </c>
      <c r="G1982" s="42" t="str">
        <f>IF(Agent10_Savings!A189="","",Agent10_Savings!F189)</f>
        <v/>
      </c>
      <c r="H1982" s="40" t="str">
        <f>IF(Agent10_Savings!A189="","",Agent10_Savings!I189)</f>
        <v/>
      </c>
      <c r="I1982" s="40" t="str">
        <f>IF(Agent10_Savings!A189="","",Agent10_Savings!J189)</f>
        <v/>
      </c>
      <c r="J1982" s="40" t="str">
        <f>IF(Agent10_Savings!A189="","",Agent10_Savings!K189)</f>
        <v/>
      </c>
      <c r="K1982" s="40" t="str">
        <f>IFERROR(IF(Agent10_Savings!A189="","",YEAR(Agent10_Savings!D189)),"")</f>
        <v/>
      </c>
    </row>
    <row r="1983" spans="1:11" ht="18" customHeight="1" x14ac:dyDescent="0.25">
      <c r="A1983" s="40" t="str">
        <f>IF(Agent10_Savings!A190="","",Agent10_Savings!A190)</f>
        <v/>
      </c>
      <c r="B1983" s="40" t="str">
        <f ca="1">IF(Agent10_Savings!A190="","","SV"&amp;TEXT(1983-3,"0000")&amp;"-"&amp;TEXT(TODAY(),"YYYYMMDD"))</f>
        <v/>
      </c>
      <c r="C1983" s="40" t="str">
        <f>IF(Agent10_Savings!A190="","",Agent10_Savings!B190)</f>
        <v/>
      </c>
      <c r="D1983" s="40" t="str">
        <f>IF(Agent10_Savings!A190="","",Agent10_Savings!G190)</f>
        <v/>
      </c>
      <c r="E1983" s="41" t="str">
        <f>IF(Agent10_Savings!A190="","",Agent10_Savings!D190)</f>
        <v/>
      </c>
      <c r="F1983" s="42" t="str">
        <f>IF(Agent10_Savings!A190="","",Agent10_Savings!E190)</f>
        <v/>
      </c>
      <c r="G1983" s="42" t="str">
        <f>IF(Agent10_Savings!A190="","",Agent10_Savings!F190)</f>
        <v/>
      </c>
      <c r="H1983" s="40" t="str">
        <f>IF(Agent10_Savings!A190="","",Agent10_Savings!I190)</f>
        <v/>
      </c>
      <c r="I1983" s="40" t="str">
        <f>IF(Agent10_Savings!A190="","",Agent10_Savings!J190)</f>
        <v/>
      </c>
      <c r="J1983" s="40" t="str">
        <f>IF(Agent10_Savings!A190="","",Agent10_Savings!K190)</f>
        <v/>
      </c>
      <c r="K1983" s="40" t="str">
        <f>IFERROR(IF(Agent10_Savings!A190="","",YEAR(Agent10_Savings!D190)),"")</f>
        <v/>
      </c>
    </row>
    <row r="1984" spans="1:11" ht="18" customHeight="1" x14ac:dyDescent="0.25">
      <c r="A1984" s="40" t="str">
        <f>IF(Agent10_Savings!A191="","",Agent10_Savings!A191)</f>
        <v/>
      </c>
      <c r="B1984" s="40" t="str">
        <f ca="1">IF(Agent10_Savings!A191="","","SV"&amp;TEXT(1984-3,"0000")&amp;"-"&amp;TEXT(TODAY(),"YYYYMMDD"))</f>
        <v/>
      </c>
      <c r="C1984" s="40" t="str">
        <f>IF(Agent10_Savings!A191="","",Agent10_Savings!B191)</f>
        <v/>
      </c>
      <c r="D1984" s="40" t="str">
        <f>IF(Agent10_Savings!A191="","",Agent10_Savings!G191)</f>
        <v/>
      </c>
      <c r="E1984" s="41" t="str">
        <f>IF(Agent10_Savings!A191="","",Agent10_Savings!D191)</f>
        <v/>
      </c>
      <c r="F1984" s="42" t="str">
        <f>IF(Agent10_Savings!A191="","",Agent10_Savings!E191)</f>
        <v/>
      </c>
      <c r="G1984" s="42" t="str">
        <f>IF(Agent10_Savings!A191="","",Agent10_Savings!F191)</f>
        <v/>
      </c>
      <c r="H1984" s="40" t="str">
        <f>IF(Agent10_Savings!A191="","",Agent10_Savings!I191)</f>
        <v/>
      </c>
      <c r="I1984" s="40" t="str">
        <f>IF(Agent10_Savings!A191="","",Agent10_Savings!J191)</f>
        <v/>
      </c>
      <c r="J1984" s="40" t="str">
        <f>IF(Agent10_Savings!A191="","",Agent10_Savings!K191)</f>
        <v/>
      </c>
      <c r="K1984" s="40" t="str">
        <f>IFERROR(IF(Agent10_Savings!A191="","",YEAR(Agent10_Savings!D191)),"")</f>
        <v/>
      </c>
    </row>
    <row r="1985" spans="1:11" ht="18" customHeight="1" x14ac:dyDescent="0.25">
      <c r="A1985" s="40" t="str">
        <f>IF(Agent10_Savings!A192="","",Agent10_Savings!A192)</f>
        <v/>
      </c>
      <c r="B1985" s="40" t="str">
        <f ca="1">IF(Agent10_Savings!A192="","","SV"&amp;TEXT(1985-3,"0000")&amp;"-"&amp;TEXT(TODAY(),"YYYYMMDD"))</f>
        <v/>
      </c>
      <c r="C1985" s="40" t="str">
        <f>IF(Agent10_Savings!A192="","",Agent10_Savings!B192)</f>
        <v/>
      </c>
      <c r="D1985" s="40" t="str">
        <f>IF(Agent10_Savings!A192="","",Agent10_Savings!G192)</f>
        <v/>
      </c>
      <c r="E1985" s="41" t="str">
        <f>IF(Agent10_Savings!A192="","",Agent10_Savings!D192)</f>
        <v/>
      </c>
      <c r="F1985" s="42" t="str">
        <f>IF(Agent10_Savings!A192="","",Agent10_Savings!E192)</f>
        <v/>
      </c>
      <c r="G1985" s="42" t="str">
        <f>IF(Agent10_Savings!A192="","",Agent10_Savings!F192)</f>
        <v/>
      </c>
      <c r="H1985" s="40" t="str">
        <f>IF(Agent10_Savings!A192="","",Agent10_Savings!I192)</f>
        <v/>
      </c>
      <c r="I1985" s="40" t="str">
        <f>IF(Agent10_Savings!A192="","",Agent10_Savings!J192)</f>
        <v/>
      </c>
      <c r="J1985" s="40" t="str">
        <f>IF(Agent10_Savings!A192="","",Agent10_Savings!K192)</f>
        <v/>
      </c>
      <c r="K1985" s="40" t="str">
        <f>IFERROR(IF(Agent10_Savings!A192="","",YEAR(Agent10_Savings!D192)),"")</f>
        <v/>
      </c>
    </row>
    <row r="1986" spans="1:11" ht="18" customHeight="1" x14ac:dyDescent="0.25">
      <c r="A1986" s="40" t="str">
        <f>IF(Agent10_Savings!A193="","",Agent10_Savings!A193)</f>
        <v/>
      </c>
      <c r="B1986" s="40" t="str">
        <f ca="1">IF(Agent10_Savings!A193="","","SV"&amp;TEXT(1986-3,"0000")&amp;"-"&amp;TEXT(TODAY(),"YYYYMMDD"))</f>
        <v/>
      </c>
      <c r="C1986" s="40" t="str">
        <f>IF(Agent10_Savings!A193="","",Agent10_Savings!B193)</f>
        <v/>
      </c>
      <c r="D1986" s="40" t="str">
        <f>IF(Agent10_Savings!A193="","",Agent10_Savings!G193)</f>
        <v/>
      </c>
      <c r="E1986" s="41" t="str">
        <f>IF(Agent10_Savings!A193="","",Agent10_Savings!D193)</f>
        <v/>
      </c>
      <c r="F1986" s="42" t="str">
        <f>IF(Agent10_Savings!A193="","",Agent10_Savings!E193)</f>
        <v/>
      </c>
      <c r="G1986" s="42" t="str">
        <f>IF(Agent10_Savings!A193="","",Agent10_Savings!F193)</f>
        <v/>
      </c>
      <c r="H1986" s="40" t="str">
        <f>IF(Agent10_Savings!A193="","",Agent10_Savings!I193)</f>
        <v/>
      </c>
      <c r="I1986" s="40" t="str">
        <f>IF(Agent10_Savings!A193="","",Agent10_Savings!J193)</f>
        <v/>
      </c>
      <c r="J1986" s="40" t="str">
        <f>IF(Agent10_Savings!A193="","",Agent10_Savings!K193)</f>
        <v/>
      </c>
      <c r="K1986" s="40" t="str">
        <f>IFERROR(IF(Agent10_Savings!A193="","",YEAR(Agent10_Savings!D193)),"")</f>
        <v/>
      </c>
    </row>
    <row r="1987" spans="1:11" ht="18" customHeight="1" x14ac:dyDescent="0.25">
      <c r="A1987" s="40" t="str">
        <f>IF(Agent10_Savings!A194="","",Agent10_Savings!A194)</f>
        <v/>
      </c>
      <c r="B1987" s="40" t="str">
        <f ca="1">IF(Agent10_Savings!A194="","","SV"&amp;TEXT(1987-3,"0000")&amp;"-"&amp;TEXT(TODAY(),"YYYYMMDD"))</f>
        <v/>
      </c>
      <c r="C1987" s="40" t="str">
        <f>IF(Agent10_Savings!A194="","",Agent10_Savings!B194)</f>
        <v/>
      </c>
      <c r="D1987" s="40" t="str">
        <f>IF(Agent10_Savings!A194="","",Agent10_Savings!G194)</f>
        <v/>
      </c>
      <c r="E1987" s="41" t="str">
        <f>IF(Agent10_Savings!A194="","",Agent10_Savings!D194)</f>
        <v/>
      </c>
      <c r="F1987" s="42" t="str">
        <f>IF(Agent10_Savings!A194="","",Agent10_Savings!E194)</f>
        <v/>
      </c>
      <c r="G1987" s="42" t="str">
        <f>IF(Agent10_Savings!A194="","",Agent10_Savings!F194)</f>
        <v/>
      </c>
      <c r="H1987" s="40" t="str">
        <f>IF(Agent10_Savings!A194="","",Agent10_Savings!I194)</f>
        <v/>
      </c>
      <c r="I1987" s="40" t="str">
        <f>IF(Agent10_Savings!A194="","",Agent10_Savings!J194)</f>
        <v/>
      </c>
      <c r="J1987" s="40" t="str">
        <f>IF(Agent10_Savings!A194="","",Agent10_Savings!K194)</f>
        <v/>
      </c>
      <c r="K1987" s="40" t="str">
        <f>IFERROR(IF(Agent10_Savings!A194="","",YEAR(Agent10_Savings!D194)),"")</f>
        <v/>
      </c>
    </row>
    <row r="1988" spans="1:11" ht="18" customHeight="1" x14ac:dyDescent="0.25">
      <c r="A1988" s="40" t="str">
        <f>IF(Agent10_Savings!A195="","",Agent10_Savings!A195)</f>
        <v/>
      </c>
      <c r="B1988" s="40" t="str">
        <f ca="1">IF(Agent10_Savings!A195="","","SV"&amp;TEXT(1988-3,"0000")&amp;"-"&amp;TEXT(TODAY(),"YYYYMMDD"))</f>
        <v/>
      </c>
      <c r="C1988" s="40" t="str">
        <f>IF(Agent10_Savings!A195="","",Agent10_Savings!B195)</f>
        <v/>
      </c>
      <c r="D1988" s="40" t="str">
        <f>IF(Agent10_Savings!A195="","",Agent10_Savings!G195)</f>
        <v/>
      </c>
      <c r="E1988" s="41" t="str">
        <f>IF(Agent10_Savings!A195="","",Agent10_Savings!D195)</f>
        <v/>
      </c>
      <c r="F1988" s="42" t="str">
        <f>IF(Agent10_Savings!A195="","",Agent10_Savings!E195)</f>
        <v/>
      </c>
      <c r="G1988" s="42" t="str">
        <f>IF(Agent10_Savings!A195="","",Agent10_Savings!F195)</f>
        <v/>
      </c>
      <c r="H1988" s="40" t="str">
        <f>IF(Agent10_Savings!A195="","",Agent10_Savings!I195)</f>
        <v/>
      </c>
      <c r="I1988" s="40" t="str">
        <f>IF(Agent10_Savings!A195="","",Agent10_Savings!J195)</f>
        <v/>
      </c>
      <c r="J1988" s="40" t="str">
        <f>IF(Agent10_Savings!A195="","",Agent10_Savings!K195)</f>
        <v/>
      </c>
      <c r="K1988" s="40" t="str">
        <f>IFERROR(IF(Agent10_Savings!A195="","",YEAR(Agent10_Savings!D195)),"")</f>
        <v/>
      </c>
    </row>
    <row r="1989" spans="1:11" ht="18" customHeight="1" x14ac:dyDescent="0.25">
      <c r="A1989" s="40" t="str">
        <f>IF(Agent10_Savings!A196="","",Agent10_Savings!A196)</f>
        <v/>
      </c>
      <c r="B1989" s="40" t="str">
        <f ca="1">IF(Agent10_Savings!A196="","","SV"&amp;TEXT(1989-3,"0000")&amp;"-"&amp;TEXT(TODAY(),"YYYYMMDD"))</f>
        <v/>
      </c>
      <c r="C1989" s="40" t="str">
        <f>IF(Agent10_Savings!A196="","",Agent10_Savings!B196)</f>
        <v/>
      </c>
      <c r="D1989" s="40" t="str">
        <f>IF(Agent10_Savings!A196="","",Agent10_Savings!G196)</f>
        <v/>
      </c>
      <c r="E1989" s="41" t="str">
        <f>IF(Agent10_Savings!A196="","",Agent10_Savings!D196)</f>
        <v/>
      </c>
      <c r="F1989" s="42" t="str">
        <f>IF(Agent10_Savings!A196="","",Agent10_Savings!E196)</f>
        <v/>
      </c>
      <c r="G1989" s="42" t="str">
        <f>IF(Agent10_Savings!A196="","",Agent10_Savings!F196)</f>
        <v/>
      </c>
      <c r="H1989" s="40" t="str">
        <f>IF(Agent10_Savings!A196="","",Agent10_Savings!I196)</f>
        <v/>
      </c>
      <c r="I1989" s="40" t="str">
        <f>IF(Agent10_Savings!A196="","",Agent10_Savings!J196)</f>
        <v/>
      </c>
      <c r="J1989" s="40" t="str">
        <f>IF(Agent10_Savings!A196="","",Agent10_Savings!K196)</f>
        <v/>
      </c>
      <c r="K1989" s="40" t="str">
        <f>IFERROR(IF(Agent10_Savings!A196="","",YEAR(Agent10_Savings!D196)),"")</f>
        <v/>
      </c>
    </row>
    <row r="1990" spans="1:11" ht="18" customHeight="1" x14ac:dyDescent="0.25">
      <c r="A1990" s="40" t="str">
        <f>IF(Agent10_Savings!A197="","",Agent10_Savings!A197)</f>
        <v/>
      </c>
      <c r="B1990" s="40" t="str">
        <f ca="1">IF(Agent10_Savings!A197="","","SV"&amp;TEXT(1990-3,"0000")&amp;"-"&amp;TEXT(TODAY(),"YYYYMMDD"))</f>
        <v/>
      </c>
      <c r="C1990" s="40" t="str">
        <f>IF(Agent10_Savings!A197="","",Agent10_Savings!B197)</f>
        <v/>
      </c>
      <c r="D1990" s="40" t="str">
        <f>IF(Agent10_Savings!A197="","",Agent10_Savings!G197)</f>
        <v/>
      </c>
      <c r="E1990" s="41" t="str">
        <f>IF(Agent10_Savings!A197="","",Agent10_Savings!D197)</f>
        <v/>
      </c>
      <c r="F1990" s="42" t="str">
        <f>IF(Agent10_Savings!A197="","",Agent10_Savings!E197)</f>
        <v/>
      </c>
      <c r="G1990" s="42" t="str">
        <f>IF(Agent10_Savings!A197="","",Agent10_Savings!F197)</f>
        <v/>
      </c>
      <c r="H1990" s="40" t="str">
        <f>IF(Agent10_Savings!A197="","",Agent10_Savings!I197)</f>
        <v/>
      </c>
      <c r="I1990" s="40" t="str">
        <f>IF(Agent10_Savings!A197="","",Agent10_Savings!J197)</f>
        <v/>
      </c>
      <c r="J1990" s="40" t="str">
        <f>IF(Agent10_Savings!A197="","",Agent10_Savings!K197)</f>
        <v/>
      </c>
      <c r="K1990" s="40" t="str">
        <f>IFERROR(IF(Agent10_Savings!A197="","",YEAR(Agent10_Savings!D197)),"")</f>
        <v/>
      </c>
    </row>
    <row r="1991" spans="1:11" ht="18" customHeight="1" x14ac:dyDescent="0.25">
      <c r="A1991" s="40" t="str">
        <f>IF(Agent10_Savings!A198="","",Agent10_Savings!A198)</f>
        <v/>
      </c>
      <c r="B1991" s="40" t="str">
        <f ca="1">IF(Agent10_Savings!A198="","","SV"&amp;TEXT(1991-3,"0000")&amp;"-"&amp;TEXT(TODAY(),"YYYYMMDD"))</f>
        <v/>
      </c>
      <c r="C1991" s="40" t="str">
        <f>IF(Agent10_Savings!A198="","",Agent10_Savings!B198)</f>
        <v/>
      </c>
      <c r="D1991" s="40" t="str">
        <f>IF(Agent10_Savings!A198="","",Agent10_Savings!G198)</f>
        <v/>
      </c>
      <c r="E1991" s="41" t="str">
        <f>IF(Agent10_Savings!A198="","",Agent10_Savings!D198)</f>
        <v/>
      </c>
      <c r="F1991" s="42" t="str">
        <f>IF(Agent10_Savings!A198="","",Agent10_Savings!E198)</f>
        <v/>
      </c>
      <c r="G1991" s="42" t="str">
        <f>IF(Agent10_Savings!A198="","",Agent10_Savings!F198)</f>
        <v/>
      </c>
      <c r="H1991" s="40" t="str">
        <f>IF(Agent10_Savings!A198="","",Agent10_Savings!I198)</f>
        <v/>
      </c>
      <c r="I1991" s="40" t="str">
        <f>IF(Agent10_Savings!A198="","",Agent10_Savings!J198)</f>
        <v/>
      </c>
      <c r="J1991" s="40" t="str">
        <f>IF(Agent10_Savings!A198="","",Agent10_Savings!K198)</f>
        <v/>
      </c>
      <c r="K1991" s="40" t="str">
        <f>IFERROR(IF(Agent10_Savings!A198="","",YEAR(Agent10_Savings!D198)),"")</f>
        <v/>
      </c>
    </row>
    <row r="1992" spans="1:11" ht="18" customHeight="1" x14ac:dyDescent="0.25">
      <c r="A1992" s="40" t="str">
        <f>IF(Agent10_Savings!A199="","",Agent10_Savings!A199)</f>
        <v/>
      </c>
      <c r="B1992" s="40" t="str">
        <f ca="1">IF(Agent10_Savings!A199="","","SV"&amp;TEXT(1992-3,"0000")&amp;"-"&amp;TEXT(TODAY(),"YYYYMMDD"))</f>
        <v/>
      </c>
      <c r="C1992" s="40" t="str">
        <f>IF(Agent10_Savings!A199="","",Agent10_Savings!B199)</f>
        <v/>
      </c>
      <c r="D1992" s="40" t="str">
        <f>IF(Agent10_Savings!A199="","",Agent10_Savings!G199)</f>
        <v/>
      </c>
      <c r="E1992" s="41" t="str">
        <f>IF(Agent10_Savings!A199="","",Agent10_Savings!D199)</f>
        <v/>
      </c>
      <c r="F1992" s="42" t="str">
        <f>IF(Agent10_Savings!A199="","",Agent10_Savings!E199)</f>
        <v/>
      </c>
      <c r="G1992" s="42" t="str">
        <f>IF(Agent10_Savings!A199="","",Agent10_Savings!F199)</f>
        <v/>
      </c>
      <c r="H1992" s="40" t="str">
        <f>IF(Agent10_Savings!A199="","",Agent10_Savings!I199)</f>
        <v/>
      </c>
      <c r="I1992" s="40" t="str">
        <f>IF(Agent10_Savings!A199="","",Agent10_Savings!J199)</f>
        <v/>
      </c>
      <c r="J1992" s="40" t="str">
        <f>IF(Agent10_Savings!A199="","",Agent10_Savings!K199)</f>
        <v/>
      </c>
      <c r="K1992" s="40" t="str">
        <f>IFERROR(IF(Agent10_Savings!A199="","",YEAR(Agent10_Savings!D199)),"")</f>
        <v/>
      </c>
    </row>
    <row r="1993" spans="1:11" ht="18" customHeight="1" x14ac:dyDescent="0.25">
      <c r="A1993" s="40" t="str">
        <f>IF(Agent10_Savings!A200="","",Agent10_Savings!A200)</f>
        <v/>
      </c>
      <c r="B1993" s="40" t="str">
        <f ca="1">IF(Agent10_Savings!A200="","","SV"&amp;TEXT(1993-3,"0000")&amp;"-"&amp;TEXT(TODAY(),"YYYYMMDD"))</f>
        <v/>
      </c>
      <c r="C1993" s="40" t="str">
        <f>IF(Agent10_Savings!A200="","",Agent10_Savings!B200)</f>
        <v/>
      </c>
      <c r="D1993" s="40" t="str">
        <f>IF(Agent10_Savings!A200="","",Agent10_Savings!G200)</f>
        <v/>
      </c>
      <c r="E1993" s="41" t="str">
        <f>IF(Agent10_Savings!A200="","",Agent10_Savings!D200)</f>
        <v/>
      </c>
      <c r="F1993" s="42" t="str">
        <f>IF(Agent10_Savings!A200="","",Agent10_Savings!E200)</f>
        <v/>
      </c>
      <c r="G1993" s="42" t="str">
        <f>IF(Agent10_Savings!A200="","",Agent10_Savings!F200)</f>
        <v/>
      </c>
      <c r="H1993" s="40" t="str">
        <f>IF(Agent10_Savings!A200="","",Agent10_Savings!I200)</f>
        <v/>
      </c>
      <c r="I1993" s="40" t="str">
        <f>IF(Agent10_Savings!A200="","",Agent10_Savings!J200)</f>
        <v/>
      </c>
      <c r="J1993" s="40" t="str">
        <f>IF(Agent10_Savings!A200="","",Agent10_Savings!K200)</f>
        <v/>
      </c>
      <c r="K1993" s="40" t="str">
        <f>IFERROR(IF(Agent10_Savings!A200="","",YEAR(Agent10_Savings!D200)),"")</f>
        <v/>
      </c>
    </row>
    <row r="1994" spans="1:11" ht="18" customHeight="1" x14ac:dyDescent="0.25">
      <c r="A1994" s="40" t="str">
        <f>IF(Agent10_Savings!A201="","",Agent10_Savings!A201)</f>
        <v/>
      </c>
      <c r="B1994" s="40" t="str">
        <f ca="1">IF(Agent10_Savings!A201="","","SV"&amp;TEXT(1994-3,"0000")&amp;"-"&amp;TEXT(TODAY(),"YYYYMMDD"))</f>
        <v/>
      </c>
      <c r="C1994" s="40" t="str">
        <f>IF(Agent10_Savings!A201="","",Agent10_Savings!B201)</f>
        <v/>
      </c>
      <c r="D1994" s="40" t="str">
        <f>IF(Agent10_Savings!A201="","",Agent10_Savings!G201)</f>
        <v/>
      </c>
      <c r="E1994" s="41" t="str">
        <f>IF(Agent10_Savings!A201="","",Agent10_Savings!D201)</f>
        <v/>
      </c>
      <c r="F1994" s="42" t="str">
        <f>IF(Agent10_Savings!A201="","",Agent10_Savings!E201)</f>
        <v/>
      </c>
      <c r="G1994" s="42" t="str">
        <f>IF(Agent10_Savings!A201="","",Agent10_Savings!F201)</f>
        <v/>
      </c>
      <c r="H1994" s="40" t="str">
        <f>IF(Agent10_Savings!A201="","",Agent10_Savings!I201)</f>
        <v/>
      </c>
      <c r="I1994" s="40" t="str">
        <f>IF(Agent10_Savings!A201="","",Agent10_Savings!J201)</f>
        <v/>
      </c>
      <c r="J1994" s="40" t="str">
        <f>IF(Agent10_Savings!A201="","",Agent10_Savings!K201)</f>
        <v/>
      </c>
      <c r="K1994" s="40" t="str">
        <f>IFERROR(IF(Agent10_Savings!A201="","",YEAR(Agent10_Savings!D201)),"")</f>
        <v/>
      </c>
    </row>
    <row r="1995" spans="1:11" ht="18" customHeight="1" x14ac:dyDescent="0.25">
      <c r="A1995" s="40" t="str">
        <f>IF(Agent10_Savings!A202="","",Agent10_Savings!A202)</f>
        <v/>
      </c>
      <c r="B1995" s="40" t="str">
        <f ca="1">IF(Agent10_Savings!A202="","","SV"&amp;TEXT(1995-3,"0000")&amp;"-"&amp;TEXT(TODAY(),"YYYYMMDD"))</f>
        <v/>
      </c>
      <c r="C1995" s="40" t="str">
        <f>IF(Agent10_Savings!A202="","",Agent10_Savings!B202)</f>
        <v/>
      </c>
      <c r="D1995" s="40" t="str">
        <f>IF(Agent10_Savings!A202="","",Agent10_Savings!G202)</f>
        <v/>
      </c>
      <c r="E1995" s="41" t="str">
        <f>IF(Agent10_Savings!A202="","",Agent10_Savings!D202)</f>
        <v/>
      </c>
      <c r="F1995" s="42" t="str">
        <f>IF(Agent10_Savings!A202="","",Agent10_Savings!E202)</f>
        <v/>
      </c>
      <c r="G1995" s="42" t="str">
        <f>IF(Agent10_Savings!A202="","",Agent10_Savings!F202)</f>
        <v/>
      </c>
      <c r="H1995" s="40" t="str">
        <f>IF(Agent10_Savings!A202="","",Agent10_Savings!I202)</f>
        <v/>
      </c>
      <c r="I1995" s="40" t="str">
        <f>IF(Agent10_Savings!A202="","",Agent10_Savings!J202)</f>
        <v/>
      </c>
      <c r="J1995" s="40" t="str">
        <f>IF(Agent10_Savings!A202="","",Agent10_Savings!K202)</f>
        <v/>
      </c>
      <c r="K1995" s="40" t="str">
        <f>IFERROR(IF(Agent10_Savings!A202="","",YEAR(Agent10_Savings!D202)),"")</f>
        <v/>
      </c>
    </row>
    <row r="1996" spans="1:11" ht="18" customHeight="1" x14ac:dyDescent="0.25">
      <c r="A1996" s="40" t="str">
        <f>IF(Agent10_Savings!A203="","",Agent10_Savings!A203)</f>
        <v/>
      </c>
      <c r="B1996" s="40" t="str">
        <f ca="1">IF(Agent10_Savings!A203="","","SV"&amp;TEXT(1996-3,"0000")&amp;"-"&amp;TEXT(TODAY(),"YYYYMMDD"))</f>
        <v/>
      </c>
      <c r="C1996" s="40" t="str">
        <f>IF(Agent10_Savings!A203="","",Agent10_Savings!B203)</f>
        <v/>
      </c>
      <c r="D1996" s="40" t="str">
        <f>IF(Agent10_Savings!A203="","",Agent10_Savings!G203)</f>
        <v/>
      </c>
      <c r="E1996" s="41" t="str">
        <f>IF(Agent10_Savings!A203="","",Agent10_Savings!D203)</f>
        <v/>
      </c>
      <c r="F1996" s="42" t="str">
        <f>IF(Agent10_Savings!A203="","",Agent10_Savings!E203)</f>
        <v/>
      </c>
      <c r="G1996" s="42" t="str">
        <f>IF(Agent10_Savings!A203="","",Agent10_Savings!F203)</f>
        <v/>
      </c>
      <c r="H1996" s="40" t="str">
        <f>IF(Agent10_Savings!A203="","",Agent10_Savings!I203)</f>
        <v/>
      </c>
      <c r="I1996" s="40" t="str">
        <f>IF(Agent10_Savings!A203="","",Agent10_Savings!J203)</f>
        <v/>
      </c>
      <c r="J1996" s="40" t="str">
        <f>IF(Agent10_Savings!A203="","",Agent10_Savings!K203)</f>
        <v/>
      </c>
      <c r="K1996" s="40" t="str">
        <f>IFERROR(IF(Agent10_Savings!A203="","",YEAR(Agent10_Savings!D203)),"")</f>
        <v/>
      </c>
    </row>
    <row r="1997" spans="1:11" ht="18" customHeight="1" x14ac:dyDescent="0.25">
      <c r="A1997" s="40" t="str">
        <f>IF(Agent10_Savings!A204="","",Agent10_Savings!A204)</f>
        <v/>
      </c>
      <c r="B1997" s="40" t="str">
        <f ca="1">IF(Agent10_Savings!A204="","","SV"&amp;TEXT(1997-3,"0000")&amp;"-"&amp;TEXT(TODAY(),"YYYYMMDD"))</f>
        <v/>
      </c>
      <c r="C1997" s="40" t="str">
        <f>IF(Agent10_Savings!A204="","",Agent10_Savings!B204)</f>
        <v/>
      </c>
      <c r="D1997" s="40" t="str">
        <f>IF(Agent10_Savings!A204="","",Agent10_Savings!G204)</f>
        <v/>
      </c>
      <c r="E1997" s="41" t="str">
        <f>IF(Agent10_Savings!A204="","",Agent10_Savings!D204)</f>
        <v/>
      </c>
      <c r="F1997" s="42" t="str">
        <f>IF(Agent10_Savings!A204="","",Agent10_Savings!E204)</f>
        <v/>
      </c>
      <c r="G1997" s="42" t="str">
        <f>IF(Agent10_Savings!A204="","",Agent10_Savings!F204)</f>
        <v/>
      </c>
      <c r="H1997" s="40" t="str">
        <f>IF(Agent10_Savings!A204="","",Agent10_Savings!I204)</f>
        <v/>
      </c>
      <c r="I1997" s="40" t="str">
        <f>IF(Agent10_Savings!A204="","",Agent10_Savings!J204)</f>
        <v/>
      </c>
      <c r="J1997" s="40" t="str">
        <f>IF(Agent10_Savings!A204="","",Agent10_Savings!K204)</f>
        <v/>
      </c>
      <c r="K1997" s="40" t="str">
        <f>IFERROR(IF(Agent10_Savings!A204="","",YEAR(Agent10_Savings!D204)),"")</f>
        <v/>
      </c>
    </row>
    <row r="1998" spans="1:11" ht="18" customHeight="1" x14ac:dyDescent="0.25">
      <c r="A1998" s="40" t="str">
        <f>IF(Agent10_Savings!A205="","",Agent10_Savings!A205)</f>
        <v/>
      </c>
      <c r="B1998" s="40" t="str">
        <f ca="1">IF(Agent10_Savings!A205="","","SV"&amp;TEXT(1998-3,"0000")&amp;"-"&amp;TEXT(TODAY(),"YYYYMMDD"))</f>
        <v/>
      </c>
      <c r="C1998" s="40" t="str">
        <f>IF(Agent10_Savings!A205="","",Agent10_Savings!B205)</f>
        <v/>
      </c>
      <c r="D1998" s="40" t="str">
        <f>IF(Agent10_Savings!A205="","",Agent10_Savings!G205)</f>
        <v/>
      </c>
      <c r="E1998" s="41" t="str">
        <f>IF(Agent10_Savings!A205="","",Agent10_Savings!D205)</f>
        <v/>
      </c>
      <c r="F1998" s="42" t="str">
        <f>IF(Agent10_Savings!A205="","",Agent10_Savings!E205)</f>
        <v/>
      </c>
      <c r="G1998" s="42" t="str">
        <f>IF(Agent10_Savings!A205="","",Agent10_Savings!F205)</f>
        <v/>
      </c>
      <c r="H1998" s="40" t="str">
        <f>IF(Agent10_Savings!A205="","",Agent10_Savings!I205)</f>
        <v/>
      </c>
      <c r="I1998" s="40" t="str">
        <f>IF(Agent10_Savings!A205="","",Agent10_Savings!J205)</f>
        <v/>
      </c>
      <c r="J1998" s="40" t="str">
        <f>IF(Agent10_Savings!A205="","",Agent10_Savings!K205)</f>
        <v/>
      </c>
      <c r="K1998" s="40" t="str">
        <f>IFERROR(IF(Agent10_Savings!A205="","",YEAR(Agent10_Savings!D205)),"")</f>
        <v/>
      </c>
    </row>
    <row r="1999" spans="1:11" ht="18" customHeight="1" x14ac:dyDescent="0.25">
      <c r="A1999" s="40" t="str">
        <f>IF(Agent10_Savings!A206="","",Agent10_Savings!A206)</f>
        <v/>
      </c>
      <c r="B1999" s="40" t="str">
        <f ca="1">IF(Agent10_Savings!A206="","","SV"&amp;TEXT(1999-3,"0000")&amp;"-"&amp;TEXT(TODAY(),"YYYYMMDD"))</f>
        <v/>
      </c>
      <c r="C1999" s="40" t="str">
        <f>IF(Agent10_Savings!A206="","",Agent10_Savings!B206)</f>
        <v/>
      </c>
      <c r="D1999" s="40" t="str">
        <f>IF(Agent10_Savings!A206="","",Agent10_Savings!G206)</f>
        <v/>
      </c>
      <c r="E1999" s="41" t="str">
        <f>IF(Agent10_Savings!A206="","",Agent10_Savings!D206)</f>
        <v/>
      </c>
      <c r="F1999" s="42" t="str">
        <f>IF(Agent10_Savings!A206="","",Agent10_Savings!E206)</f>
        <v/>
      </c>
      <c r="G1999" s="42" t="str">
        <f>IF(Agent10_Savings!A206="","",Agent10_Savings!F206)</f>
        <v/>
      </c>
      <c r="H1999" s="40" t="str">
        <f>IF(Agent10_Savings!A206="","",Agent10_Savings!I206)</f>
        <v/>
      </c>
      <c r="I1999" s="40" t="str">
        <f>IF(Agent10_Savings!A206="","",Agent10_Savings!J206)</f>
        <v/>
      </c>
      <c r="J1999" s="40" t="str">
        <f>IF(Agent10_Savings!A206="","",Agent10_Savings!K206)</f>
        <v/>
      </c>
      <c r="K1999" s="40" t="str">
        <f>IFERROR(IF(Agent10_Savings!A206="","",YEAR(Agent10_Savings!D206)),"")</f>
        <v/>
      </c>
    </row>
    <row r="2000" spans="1:11" ht="18" customHeight="1" x14ac:dyDescent="0.25">
      <c r="A2000" s="40" t="str">
        <f>IF(Agent10_Savings!A207="","",Agent10_Savings!A207)</f>
        <v/>
      </c>
      <c r="B2000" s="40" t="str">
        <f ca="1">IF(Agent10_Savings!A207="","","SV"&amp;TEXT(2000-3,"0000")&amp;"-"&amp;TEXT(TODAY(),"YYYYMMDD"))</f>
        <v/>
      </c>
      <c r="C2000" s="40" t="str">
        <f>IF(Agent10_Savings!A207="","",Agent10_Savings!B207)</f>
        <v/>
      </c>
      <c r="D2000" s="40" t="str">
        <f>IF(Agent10_Savings!A207="","",Agent10_Savings!G207)</f>
        <v/>
      </c>
      <c r="E2000" s="41" t="str">
        <f>IF(Agent10_Savings!A207="","",Agent10_Savings!D207)</f>
        <v/>
      </c>
      <c r="F2000" s="42" t="str">
        <f>IF(Agent10_Savings!A207="","",Agent10_Savings!E207)</f>
        <v/>
      </c>
      <c r="G2000" s="42" t="str">
        <f>IF(Agent10_Savings!A207="","",Agent10_Savings!F207)</f>
        <v/>
      </c>
      <c r="H2000" s="40" t="str">
        <f>IF(Agent10_Savings!A207="","",Agent10_Savings!I207)</f>
        <v/>
      </c>
      <c r="I2000" s="40" t="str">
        <f>IF(Agent10_Savings!A207="","",Agent10_Savings!J207)</f>
        <v/>
      </c>
      <c r="J2000" s="40" t="str">
        <f>IF(Agent10_Savings!A207="","",Agent10_Savings!K207)</f>
        <v/>
      </c>
      <c r="K2000" s="40" t="str">
        <f>IFERROR(IF(Agent10_Savings!A207="","",YEAR(Agent10_Savings!D207)),"")</f>
        <v/>
      </c>
    </row>
    <row r="2001" spans="1:11" ht="18" customHeight="1" x14ac:dyDescent="0.25">
      <c r="A2001" s="40" t="str">
        <f>IF(Agent10_Savings!A208="","",Agent10_Savings!A208)</f>
        <v/>
      </c>
      <c r="B2001" s="40" t="str">
        <f ca="1">IF(Agent10_Savings!A208="","","SV"&amp;TEXT(2001-3,"0000")&amp;"-"&amp;TEXT(TODAY(),"YYYYMMDD"))</f>
        <v/>
      </c>
      <c r="C2001" s="40" t="str">
        <f>IF(Agent10_Savings!A208="","",Agent10_Savings!B208)</f>
        <v/>
      </c>
      <c r="D2001" s="40" t="str">
        <f>IF(Agent10_Savings!A208="","",Agent10_Savings!G208)</f>
        <v/>
      </c>
      <c r="E2001" s="41" t="str">
        <f>IF(Agent10_Savings!A208="","",Agent10_Savings!D208)</f>
        <v/>
      </c>
      <c r="F2001" s="42" t="str">
        <f>IF(Agent10_Savings!A208="","",Agent10_Savings!E208)</f>
        <v/>
      </c>
      <c r="G2001" s="42" t="str">
        <f>IF(Agent10_Savings!A208="","",Agent10_Savings!F208)</f>
        <v/>
      </c>
      <c r="H2001" s="40" t="str">
        <f>IF(Agent10_Savings!A208="","",Agent10_Savings!I208)</f>
        <v/>
      </c>
      <c r="I2001" s="40" t="str">
        <f>IF(Agent10_Savings!A208="","",Agent10_Savings!J208)</f>
        <v/>
      </c>
      <c r="J2001" s="40" t="str">
        <f>IF(Agent10_Savings!A208="","",Agent10_Savings!K208)</f>
        <v/>
      </c>
      <c r="K2001" s="40" t="str">
        <f>IFERROR(IF(Agent10_Savings!A208="","",YEAR(Agent10_Savings!D208)),"")</f>
        <v/>
      </c>
    </row>
    <row r="2002" spans="1:11" ht="18" customHeight="1" x14ac:dyDescent="0.25">
      <c r="A2002" s="40" t="str">
        <f>IF(Agent10_Savings!A209="","",Agent10_Savings!A209)</f>
        <v/>
      </c>
      <c r="B2002" s="40" t="str">
        <f ca="1">IF(Agent10_Savings!A209="","","SV"&amp;TEXT(2002-3,"0000")&amp;"-"&amp;TEXT(TODAY(),"YYYYMMDD"))</f>
        <v/>
      </c>
      <c r="C2002" s="40" t="str">
        <f>IF(Agent10_Savings!A209="","",Agent10_Savings!B209)</f>
        <v/>
      </c>
      <c r="D2002" s="40" t="str">
        <f>IF(Agent10_Savings!A209="","",Agent10_Savings!G209)</f>
        <v/>
      </c>
      <c r="E2002" s="41" t="str">
        <f>IF(Agent10_Savings!A209="","",Agent10_Savings!D209)</f>
        <v/>
      </c>
      <c r="F2002" s="42" t="str">
        <f>IF(Agent10_Savings!A209="","",Agent10_Savings!E209)</f>
        <v/>
      </c>
      <c r="G2002" s="42" t="str">
        <f>IF(Agent10_Savings!A209="","",Agent10_Savings!F209)</f>
        <v/>
      </c>
      <c r="H2002" s="40" t="str">
        <f>IF(Agent10_Savings!A209="","",Agent10_Savings!I209)</f>
        <v/>
      </c>
      <c r="I2002" s="40" t="str">
        <f>IF(Agent10_Savings!A209="","",Agent10_Savings!J209)</f>
        <v/>
      </c>
      <c r="J2002" s="40" t="str">
        <f>IF(Agent10_Savings!A209="","",Agent10_Savings!K209)</f>
        <v/>
      </c>
      <c r="K2002" s="40" t="str">
        <f>IFERROR(IF(Agent10_Savings!A209="","",YEAR(Agent10_Savings!D209)),"")</f>
        <v/>
      </c>
    </row>
    <row r="2003" spans="1:11" ht="18" customHeight="1" x14ac:dyDescent="0.25">
      <c r="A2003" s="40" t="str">
        <f>IF(Agent10_Savings!A210="","",Agent10_Savings!A210)</f>
        <v/>
      </c>
      <c r="B2003" s="40" t="str">
        <f ca="1">IF(Agent10_Savings!A210="","","SV"&amp;TEXT(2003-3,"0000")&amp;"-"&amp;TEXT(TODAY(),"YYYYMMDD"))</f>
        <v/>
      </c>
      <c r="C2003" s="40" t="str">
        <f>IF(Agent10_Savings!A210="","",Agent10_Savings!B210)</f>
        <v/>
      </c>
      <c r="D2003" s="40" t="str">
        <f>IF(Agent10_Savings!A210="","",Agent10_Savings!G210)</f>
        <v/>
      </c>
      <c r="E2003" s="41" t="str">
        <f>IF(Agent10_Savings!A210="","",Agent10_Savings!D210)</f>
        <v/>
      </c>
      <c r="F2003" s="42" t="str">
        <f>IF(Agent10_Savings!A210="","",Agent10_Savings!E210)</f>
        <v/>
      </c>
      <c r="G2003" s="42" t="str">
        <f>IF(Agent10_Savings!A210="","",Agent10_Savings!F210)</f>
        <v/>
      </c>
      <c r="H2003" s="40" t="str">
        <f>IF(Agent10_Savings!A210="","",Agent10_Savings!I210)</f>
        <v/>
      </c>
      <c r="I2003" s="40" t="str">
        <f>IF(Agent10_Savings!A210="","",Agent10_Savings!J210)</f>
        <v/>
      </c>
      <c r="J2003" s="40" t="str">
        <f>IF(Agent10_Savings!A210="","",Agent10_Savings!K210)</f>
        <v/>
      </c>
      <c r="K2003" s="40" t="str">
        <f>IFERROR(IF(Agent10_Savings!A210="","",YEAR(Agent10_Savings!D210)),"")</f>
        <v/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5A11"/>
  </sheetPr>
  <dimension ref="A1:M2003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ColWidth="8.7109375" defaultRowHeight="15" x14ac:dyDescent="0.25"/>
  <cols>
    <col min="1" max="1" width="18" customWidth="1"/>
    <col min="2" max="2" width="26" customWidth="1"/>
    <col min="3" max="3" width="28" customWidth="1"/>
    <col min="4" max="4" width="18" customWidth="1"/>
    <col min="5" max="5" width="14" customWidth="1"/>
    <col min="6" max="6" width="18" customWidth="1"/>
    <col min="7" max="7" width="22" customWidth="1"/>
    <col min="8" max="8" width="20" customWidth="1"/>
    <col min="9" max="9" width="14" customWidth="1"/>
    <col min="10" max="11" width="22" customWidth="1"/>
    <col min="12" max="12" width="20" customWidth="1"/>
    <col min="13" max="13" width="10" customWidth="1"/>
  </cols>
  <sheetData>
    <row r="1" spans="1:13" ht="31.5" customHeight="1" x14ac:dyDescent="0.25">
      <c r="A1" s="104" t="s">
        <v>97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3" ht="27.75" customHeight="1" x14ac:dyDescent="0.25">
      <c r="A2" s="102" t="s">
        <v>98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13" ht="30" customHeight="1" x14ac:dyDescent="0.25">
      <c r="A3" s="19" t="s">
        <v>88</v>
      </c>
      <c r="B3" s="19" t="s">
        <v>89</v>
      </c>
      <c r="C3" s="19" t="s">
        <v>90</v>
      </c>
      <c r="D3" s="19" t="s">
        <v>99</v>
      </c>
      <c r="E3" s="19" t="s">
        <v>91</v>
      </c>
      <c r="F3" s="19" t="s">
        <v>100</v>
      </c>
      <c r="G3" s="19" t="s">
        <v>101</v>
      </c>
      <c r="H3" s="19" t="s">
        <v>102</v>
      </c>
      <c r="I3" s="19" t="s">
        <v>45</v>
      </c>
      <c r="J3" s="19" t="s">
        <v>77</v>
      </c>
      <c r="K3" s="19" t="s">
        <v>94</v>
      </c>
      <c r="L3" s="19" t="s">
        <v>103</v>
      </c>
      <c r="M3" s="19" t="s">
        <v>96</v>
      </c>
    </row>
    <row r="4" spans="1:13" ht="18" customHeight="1" x14ac:dyDescent="0.25">
      <c r="A4" s="40" t="s">
        <v>338</v>
      </c>
      <c r="B4" s="40" t="str">
        <f ca="1">IF(Agent01_Withdrawals!A11="","","WD"&amp;TEXT(4-3,"0000")&amp;"-"&amp;TEXT(TODAY(),"YYYYMMDD"))</f>
        <v/>
      </c>
      <c r="C4" s="40" t="str">
        <f>IF(Agent01_Withdrawals!A11="","",Agent01_Withdrawals!B11)</f>
        <v/>
      </c>
      <c r="D4" s="43" t="str">
        <f>IF(Agent01_Withdrawals!A11="","",Agent01_Withdrawals!C11)</f>
        <v/>
      </c>
      <c r="E4" s="41" t="str">
        <f>IF(Agent01_Withdrawals!A11="","",Agent01_Withdrawals!D11)</f>
        <v/>
      </c>
      <c r="F4" s="40" t="str">
        <f>IF(Agent01_Withdrawals!A11="","",Agent01_Withdrawals!F11)</f>
        <v/>
      </c>
      <c r="G4" s="42" t="str">
        <f>IF(Agent01_Withdrawals!A11="","",Agent01_Withdrawals!E11)</f>
        <v/>
      </c>
      <c r="H4" s="42" t="str">
        <f>IF(Agent01_Withdrawals!A11="","",Agent01_Withdrawals!G11)</f>
        <v/>
      </c>
      <c r="I4" s="40" t="str">
        <f>IF(Agent01_Withdrawals!A11="","",Agent01_Withdrawals!H11)</f>
        <v/>
      </c>
      <c r="J4" s="40" t="str">
        <f>IF(Agent01_Withdrawals!A11="","",Agent01_Withdrawals!J11)</f>
        <v/>
      </c>
      <c r="K4" s="40" t="str">
        <f>IF(Agent01_Withdrawals!A11="","",Agent01_Withdrawals!K11)</f>
        <v/>
      </c>
      <c r="L4" s="40" t="str">
        <f>IF(G4="","",IF(D4-G4&gt;=System_Config!$B$9,"✅ OK","⚠️ BREACH"))</f>
        <v/>
      </c>
      <c r="M4" s="40" t="str">
        <f>IFERROR(IF(Agent01_Withdrawals!A11="","",YEAR(Agent01_Withdrawals!D11)),"")</f>
        <v/>
      </c>
    </row>
    <row r="5" spans="1:13" ht="18" customHeight="1" x14ac:dyDescent="0.25">
      <c r="A5" s="40" t="str">
        <f>IF(Agent01_Withdrawals!A12="","",Agent01_Withdrawals!A12)</f>
        <v/>
      </c>
      <c r="B5" s="40" t="str">
        <f ca="1">IF(Agent01_Withdrawals!A12="","","WD"&amp;TEXT(5-3,"0000")&amp;"-"&amp;TEXT(TODAY(),"YYYYMMDD"))</f>
        <v/>
      </c>
      <c r="C5" s="40" t="str">
        <f>IF(Agent01_Withdrawals!A12="","",Agent01_Withdrawals!B12)</f>
        <v/>
      </c>
      <c r="D5" s="43" t="str">
        <f>IF(Agent01_Withdrawals!A12="","",Agent01_Withdrawals!C12)</f>
        <v/>
      </c>
      <c r="E5" s="41" t="str">
        <f>IF(Agent01_Withdrawals!A12="","",Agent01_Withdrawals!D12)</f>
        <v/>
      </c>
      <c r="F5" s="40" t="str">
        <f>IF(Agent01_Withdrawals!A12="","",Agent01_Withdrawals!F12)</f>
        <v/>
      </c>
      <c r="G5" s="42" t="str">
        <f>IF(Agent01_Withdrawals!A12="","",Agent01_Withdrawals!E12)</f>
        <v/>
      </c>
      <c r="H5" s="42" t="str">
        <f>IF(Agent01_Withdrawals!A12="","",Agent01_Withdrawals!G12)</f>
        <v/>
      </c>
      <c r="I5" s="40" t="str">
        <f>IF(Agent01_Withdrawals!A12="","",Agent01_Withdrawals!H12)</f>
        <v/>
      </c>
      <c r="J5" s="40" t="str">
        <f>IF(Agent01_Withdrawals!A12="","",Agent01_Withdrawals!J12)</f>
        <v/>
      </c>
      <c r="K5" s="40" t="str">
        <f>IF(Agent01_Withdrawals!A12="","",Agent01_Withdrawals!K12)</f>
        <v/>
      </c>
      <c r="L5" s="40" t="str">
        <f>IF(G5="","",IF(D5-G5&gt;=System_Config!$B$9,"✅ OK","⚠️ BREACH"))</f>
        <v/>
      </c>
      <c r="M5" s="40" t="str">
        <f>IFERROR(IF(Agent01_Withdrawals!A12="","",YEAR(Agent01_Withdrawals!D12)),"")</f>
        <v/>
      </c>
    </row>
    <row r="6" spans="1:13" ht="18" customHeight="1" x14ac:dyDescent="0.25">
      <c r="A6" s="40" t="str">
        <f>IF(Agent01_Withdrawals!A13="","",Agent01_Withdrawals!A13)</f>
        <v/>
      </c>
      <c r="B6" s="40" t="str">
        <f ca="1">IF(Agent01_Withdrawals!A13="","","WD"&amp;TEXT(6-3,"0000")&amp;"-"&amp;TEXT(TODAY(),"YYYYMMDD"))</f>
        <v/>
      </c>
      <c r="C6" s="40" t="str">
        <f>IF(Agent01_Withdrawals!A13="","",Agent01_Withdrawals!B13)</f>
        <v/>
      </c>
      <c r="D6" s="43" t="str">
        <f>IF(Agent01_Withdrawals!A13="","",Agent01_Withdrawals!C13)</f>
        <v/>
      </c>
      <c r="E6" s="41" t="str">
        <f>IF(Agent01_Withdrawals!A13="","",Agent01_Withdrawals!D13)</f>
        <v/>
      </c>
      <c r="F6" s="40" t="str">
        <f>IF(Agent01_Withdrawals!A13="","",Agent01_Withdrawals!F13)</f>
        <v/>
      </c>
      <c r="G6" s="42" t="str">
        <f>IF(Agent01_Withdrawals!A13="","",Agent01_Withdrawals!E13)</f>
        <v/>
      </c>
      <c r="H6" s="42" t="str">
        <f>IF(Agent01_Withdrawals!A13="","",Agent01_Withdrawals!G13)</f>
        <v/>
      </c>
      <c r="I6" s="40" t="str">
        <f>IF(Agent01_Withdrawals!A13="","",Agent01_Withdrawals!H13)</f>
        <v/>
      </c>
      <c r="J6" s="40" t="str">
        <f>IF(Agent01_Withdrawals!A13="","",Agent01_Withdrawals!J13)</f>
        <v/>
      </c>
      <c r="K6" s="40" t="str">
        <f>IF(Agent01_Withdrawals!A13="","",Agent01_Withdrawals!K13)</f>
        <v/>
      </c>
      <c r="L6" s="40" t="str">
        <f>IF(G6="","",IF(D6-G6&gt;=System_Config!$B$9,"✅ OK","⚠️ BREACH"))</f>
        <v/>
      </c>
      <c r="M6" s="40" t="str">
        <f>IFERROR(IF(Agent01_Withdrawals!A13="","",YEAR(Agent01_Withdrawals!D13)),"")</f>
        <v/>
      </c>
    </row>
    <row r="7" spans="1:13" ht="18" customHeight="1" x14ac:dyDescent="0.25">
      <c r="A7" s="40" t="str">
        <f>IF(Agent01_Withdrawals!A14="","",Agent01_Withdrawals!A14)</f>
        <v/>
      </c>
      <c r="B7" s="40" t="str">
        <f ca="1">IF(Agent01_Withdrawals!A14="","","WD"&amp;TEXT(7-3,"0000")&amp;"-"&amp;TEXT(TODAY(),"YYYYMMDD"))</f>
        <v/>
      </c>
      <c r="C7" s="40" t="str">
        <f>IF(Agent01_Withdrawals!A14="","",Agent01_Withdrawals!B14)</f>
        <v/>
      </c>
      <c r="D7" s="43" t="str">
        <f>IF(Agent01_Withdrawals!A14="","",Agent01_Withdrawals!C14)</f>
        <v/>
      </c>
      <c r="E7" s="41" t="str">
        <f>IF(Agent01_Withdrawals!A14="","",Agent01_Withdrawals!D14)</f>
        <v/>
      </c>
      <c r="F7" s="40" t="str">
        <f>IF(Agent01_Withdrawals!A14="","",Agent01_Withdrawals!F14)</f>
        <v/>
      </c>
      <c r="G7" s="42" t="str">
        <f>IF(Agent01_Withdrawals!A14="","",Agent01_Withdrawals!E14)</f>
        <v/>
      </c>
      <c r="H7" s="42" t="str">
        <f>IF(Agent01_Withdrawals!A14="","",Agent01_Withdrawals!G14)</f>
        <v/>
      </c>
      <c r="I7" s="40" t="str">
        <f>IF(Agent01_Withdrawals!A14="","",Agent01_Withdrawals!H14)</f>
        <v/>
      </c>
      <c r="J7" s="40" t="str">
        <f>IF(Agent01_Withdrawals!A14="","",Agent01_Withdrawals!J14)</f>
        <v/>
      </c>
      <c r="K7" s="40" t="str">
        <f>IF(Agent01_Withdrawals!A14="","",Agent01_Withdrawals!K14)</f>
        <v/>
      </c>
      <c r="L7" s="40" t="str">
        <f>IF(G7="","",IF(D7-G7&gt;=System_Config!$B$9,"✅ OK","⚠️ BREACH"))</f>
        <v/>
      </c>
      <c r="M7" s="40" t="str">
        <f>IFERROR(IF(Agent01_Withdrawals!A14="","",YEAR(Agent01_Withdrawals!D14)),"")</f>
        <v/>
      </c>
    </row>
    <row r="8" spans="1:13" ht="18" customHeight="1" x14ac:dyDescent="0.25">
      <c r="A8" s="40" t="str">
        <f>IF(Agent01_Withdrawals!A15="","",Agent01_Withdrawals!A15)</f>
        <v/>
      </c>
      <c r="B8" s="40" t="str">
        <f ca="1">IF(Agent01_Withdrawals!A15="","","WD"&amp;TEXT(8-3,"0000")&amp;"-"&amp;TEXT(TODAY(),"YYYYMMDD"))</f>
        <v/>
      </c>
      <c r="C8" s="40" t="str">
        <f>IF(Agent01_Withdrawals!A15="","",Agent01_Withdrawals!B15)</f>
        <v/>
      </c>
      <c r="D8" s="43" t="str">
        <f>IF(Agent01_Withdrawals!A15="","",Agent01_Withdrawals!C15)</f>
        <v/>
      </c>
      <c r="E8" s="41" t="str">
        <f>IF(Agent01_Withdrawals!A15="","",Agent01_Withdrawals!D15)</f>
        <v/>
      </c>
      <c r="F8" s="40" t="str">
        <f>IF(Agent01_Withdrawals!A15="","",Agent01_Withdrawals!F15)</f>
        <v/>
      </c>
      <c r="G8" s="42" t="str">
        <f>IF(Agent01_Withdrawals!A15="","",Agent01_Withdrawals!E15)</f>
        <v/>
      </c>
      <c r="H8" s="42" t="str">
        <f>IF(Agent01_Withdrawals!A15="","",Agent01_Withdrawals!G15)</f>
        <v/>
      </c>
      <c r="I8" s="40" t="str">
        <f>IF(Agent01_Withdrawals!A15="","",Agent01_Withdrawals!H15)</f>
        <v/>
      </c>
      <c r="J8" s="40" t="str">
        <f>IF(Agent01_Withdrawals!A15="","",Agent01_Withdrawals!J15)</f>
        <v/>
      </c>
      <c r="K8" s="40" t="str">
        <f>IF(Agent01_Withdrawals!A15="","",Agent01_Withdrawals!K15)</f>
        <v/>
      </c>
      <c r="L8" s="40" t="str">
        <f>IF(G8="","",IF(D8-G8&gt;=System_Config!$B$9,"✅ OK","⚠️ BREACH"))</f>
        <v/>
      </c>
      <c r="M8" s="40" t="str">
        <f>IFERROR(IF(Agent01_Withdrawals!A15="","",YEAR(Agent01_Withdrawals!D15)),"")</f>
        <v/>
      </c>
    </row>
    <row r="9" spans="1:13" ht="18" customHeight="1" x14ac:dyDescent="0.25">
      <c r="A9" s="40" t="str">
        <f>IF(Agent01_Withdrawals!A16="","",Agent01_Withdrawals!A16)</f>
        <v/>
      </c>
      <c r="B9" s="40" t="str">
        <f ca="1">IF(Agent01_Withdrawals!A16="","","WD"&amp;TEXT(9-3,"0000")&amp;"-"&amp;TEXT(TODAY(),"YYYYMMDD"))</f>
        <v/>
      </c>
      <c r="C9" s="40" t="str">
        <f>IF(Agent01_Withdrawals!A16="","",Agent01_Withdrawals!B16)</f>
        <v/>
      </c>
      <c r="D9" s="43" t="str">
        <f>IF(Agent01_Withdrawals!A16="","",Agent01_Withdrawals!C16)</f>
        <v/>
      </c>
      <c r="E9" s="41" t="str">
        <f>IF(Agent01_Withdrawals!A16="","",Agent01_Withdrawals!D16)</f>
        <v/>
      </c>
      <c r="F9" s="40" t="str">
        <f>IF(Agent01_Withdrawals!A16="","",Agent01_Withdrawals!F16)</f>
        <v/>
      </c>
      <c r="G9" s="42" t="str">
        <f>IF(Agent01_Withdrawals!A16="","",Agent01_Withdrawals!E16)</f>
        <v/>
      </c>
      <c r="H9" s="42" t="str">
        <f>IF(Agent01_Withdrawals!A16="","",Agent01_Withdrawals!G16)</f>
        <v/>
      </c>
      <c r="I9" s="40" t="str">
        <f>IF(Agent01_Withdrawals!A16="","",Agent01_Withdrawals!H16)</f>
        <v/>
      </c>
      <c r="J9" s="40" t="str">
        <f>IF(Agent01_Withdrawals!A16="","",Agent01_Withdrawals!J16)</f>
        <v/>
      </c>
      <c r="K9" s="40" t="str">
        <f>IF(Agent01_Withdrawals!A16="","",Agent01_Withdrawals!K16)</f>
        <v/>
      </c>
      <c r="L9" s="40" t="str">
        <f>IF(G9="","",IF(D9-G9&gt;=System_Config!$B$9,"✅ OK","⚠️ BREACH"))</f>
        <v/>
      </c>
      <c r="M9" s="40" t="str">
        <f>IFERROR(IF(Agent01_Withdrawals!A16="","",YEAR(Agent01_Withdrawals!D16)),"")</f>
        <v/>
      </c>
    </row>
    <row r="10" spans="1:13" ht="18" customHeight="1" x14ac:dyDescent="0.25">
      <c r="A10" s="40" t="str">
        <f>IF(Agent01_Withdrawals!A17="","",Agent01_Withdrawals!A17)</f>
        <v/>
      </c>
      <c r="B10" s="40" t="str">
        <f ca="1">IF(Agent01_Withdrawals!A17="","","WD"&amp;TEXT(10-3,"0000")&amp;"-"&amp;TEXT(TODAY(),"YYYYMMDD"))</f>
        <v/>
      </c>
      <c r="C10" s="40" t="str">
        <f>IF(Agent01_Withdrawals!A17="","",Agent01_Withdrawals!B17)</f>
        <v/>
      </c>
      <c r="D10" s="43" t="str">
        <f>IF(Agent01_Withdrawals!A17="","",Agent01_Withdrawals!C17)</f>
        <v/>
      </c>
      <c r="E10" s="41" t="str">
        <f>IF(Agent01_Withdrawals!A17="","",Agent01_Withdrawals!D17)</f>
        <v/>
      </c>
      <c r="F10" s="40" t="str">
        <f>IF(Agent01_Withdrawals!A17="","",Agent01_Withdrawals!F17)</f>
        <v/>
      </c>
      <c r="G10" s="42" t="str">
        <f>IF(Agent01_Withdrawals!A17="","",Agent01_Withdrawals!E17)</f>
        <v/>
      </c>
      <c r="H10" s="42" t="str">
        <f>IF(Agent01_Withdrawals!A17="","",Agent01_Withdrawals!G17)</f>
        <v/>
      </c>
      <c r="I10" s="40" t="str">
        <f>IF(Agent01_Withdrawals!A17="","",Agent01_Withdrawals!H17)</f>
        <v/>
      </c>
      <c r="J10" s="40" t="str">
        <f>IF(Agent01_Withdrawals!A17="","",Agent01_Withdrawals!J17)</f>
        <v/>
      </c>
      <c r="K10" s="40" t="str">
        <f>IF(Agent01_Withdrawals!A17="","",Agent01_Withdrawals!K17)</f>
        <v/>
      </c>
      <c r="L10" s="40" t="str">
        <f>IF(G10="","",IF(D10-G10&gt;=System_Config!$B$9,"✅ OK","⚠️ BREACH"))</f>
        <v/>
      </c>
      <c r="M10" s="40" t="str">
        <f>IFERROR(IF(Agent01_Withdrawals!A17="","",YEAR(Agent01_Withdrawals!D17)),"")</f>
        <v/>
      </c>
    </row>
    <row r="11" spans="1:13" ht="18" customHeight="1" x14ac:dyDescent="0.25">
      <c r="A11" s="40" t="str">
        <f>IF(Agent01_Withdrawals!A18="","",Agent01_Withdrawals!A18)</f>
        <v/>
      </c>
      <c r="B11" s="40" t="str">
        <f ca="1">IF(Agent01_Withdrawals!A18="","","WD"&amp;TEXT(11-3,"0000")&amp;"-"&amp;TEXT(TODAY(),"YYYYMMDD"))</f>
        <v/>
      </c>
      <c r="C11" s="40" t="str">
        <f>IF(Agent01_Withdrawals!A18="","",Agent01_Withdrawals!B18)</f>
        <v/>
      </c>
      <c r="D11" s="43" t="str">
        <f>IF(Agent01_Withdrawals!A18="","",Agent01_Withdrawals!C18)</f>
        <v/>
      </c>
      <c r="E11" s="41" t="str">
        <f>IF(Agent01_Withdrawals!A18="","",Agent01_Withdrawals!D18)</f>
        <v/>
      </c>
      <c r="F11" s="40" t="str">
        <f>IF(Agent01_Withdrawals!A18="","",Agent01_Withdrawals!F18)</f>
        <v/>
      </c>
      <c r="G11" s="42" t="str">
        <f>IF(Agent01_Withdrawals!A18="","",Agent01_Withdrawals!E18)</f>
        <v/>
      </c>
      <c r="H11" s="42" t="str">
        <f>IF(Agent01_Withdrawals!A18="","",Agent01_Withdrawals!G18)</f>
        <v/>
      </c>
      <c r="I11" s="40" t="str">
        <f>IF(Agent01_Withdrawals!A18="","",Agent01_Withdrawals!H18)</f>
        <v/>
      </c>
      <c r="J11" s="40" t="str">
        <f>IF(Agent01_Withdrawals!A18="","",Agent01_Withdrawals!J18)</f>
        <v/>
      </c>
      <c r="K11" s="40" t="str">
        <f>IF(Agent01_Withdrawals!A18="","",Agent01_Withdrawals!K18)</f>
        <v/>
      </c>
      <c r="L11" s="40" t="str">
        <f>IF(G11="","",IF(D11-G11&gt;=System_Config!$B$9,"✅ OK","⚠️ BREACH"))</f>
        <v/>
      </c>
      <c r="M11" s="40" t="str">
        <f>IFERROR(IF(Agent01_Withdrawals!A18="","",YEAR(Agent01_Withdrawals!D18)),"")</f>
        <v/>
      </c>
    </row>
    <row r="12" spans="1:13" ht="18" customHeight="1" x14ac:dyDescent="0.25">
      <c r="A12" s="40" t="str">
        <f>IF(Agent01_Withdrawals!A19="","",Agent01_Withdrawals!A19)</f>
        <v/>
      </c>
      <c r="B12" s="40" t="str">
        <f ca="1">IF(Agent01_Withdrawals!A19="","","WD"&amp;TEXT(12-3,"0000")&amp;"-"&amp;TEXT(TODAY(),"YYYYMMDD"))</f>
        <v/>
      </c>
      <c r="C12" s="40" t="str">
        <f>IF(Agent01_Withdrawals!A19="","",Agent01_Withdrawals!B19)</f>
        <v/>
      </c>
      <c r="D12" s="43" t="str">
        <f>IF(Agent01_Withdrawals!A19="","",Agent01_Withdrawals!C19)</f>
        <v/>
      </c>
      <c r="E12" s="41" t="str">
        <f>IF(Agent01_Withdrawals!A19="","",Agent01_Withdrawals!D19)</f>
        <v/>
      </c>
      <c r="F12" s="40" t="str">
        <f>IF(Agent01_Withdrawals!A19="","",Agent01_Withdrawals!F19)</f>
        <v/>
      </c>
      <c r="G12" s="42" t="str">
        <f>IF(Agent01_Withdrawals!A19="","",Agent01_Withdrawals!E19)</f>
        <v/>
      </c>
      <c r="H12" s="42" t="str">
        <f>IF(Agent01_Withdrawals!A19="","",Agent01_Withdrawals!G19)</f>
        <v/>
      </c>
      <c r="I12" s="40" t="str">
        <f>IF(Agent01_Withdrawals!A19="","",Agent01_Withdrawals!H19)</f>
        <v/>
      </c>
      <c r="J12" s="40" t="str">
        <f>IF(Agent01_Withdrawals!A19="","",Agent01_Withdrawals!J19)</f>
        <v/>
      </c>
      <c r="K12" s="40" t="str">
        <f>IF(Agent01_Withdrawals!A19="","",Agent01_Withdrawals!K19)</f>
        <v/>
      </c>
      <c r="L12" s="40" t="str">
        <f>IF(G12="","",IF(D12-G12&gt;=System_Config!$B$9,"✅ OK","⚠️ BREACH"))</f>
        <v/>
      </c>
      <c r="M12" s="40" t="str">
        <f>IFERROR(IF(Agent01_Withdrawals!A19="","",YEAR(Agent01_Withdrawals!D19)),"")</f>
        <v/>
      </c>
    </row>
    <row r="13" spans="1:13" ht="18" customHeight="1" x14ac:dyDescent="0.25">
      <c r="A13" s="40" t="str">
        <f>IF(Agent01_Withdrawals!A20="","",Agent01_Withdrawals!A20)</f>
        <v/>
      </c>
      <c r="B13" s="40" t="str">
        <f ca="1">IF(Agent01_Withdrawals!A20="","","WD"&amp;TEXT(13-3,"0000")&amp;"-"&amp;TEXT(TODAY(),"YYYYMMDD"))</f>
        <v/>
      </c>
      <c r="C13" s="40" t="str">
        <f>IF(Agent01_Withdrawals!A20="","",Agent01_Withdrawals!B20)</f>
        <v/>
      </c>
      <c r="D13" s="43" t="str">
        <f>IF(Agent01_Withdrawals!A20="","",Agent01_Withdrawals!C20)</f>
        <v/>
      </c>
      <c r="E13" s="41" t="str">
        <f>IF(Agent01_Withdrawals!A20="","",Agent01_Withdrawals!D20)</f>
        <v/>
      </c>
      <c r="F13" s="40" t="str">
        <f>IF(Agent01_Withdrawals!A20="","",Agent01_Withdrawals!F20)</f>
        <v/>
      </c>
      <c r="G13" s="42" t="str">
        <f>IF(Agent01_Withdrawals!A20="","",Agent01_Withdrawals!E20)</f>
        <v/>
      </c>
      <c r="H13" s="42" t="str">
        <f>IF(Agent01_Withdrawals!A20="","",Agent01_Withdrawals!G20)</f>
        <v/>
      </c>
      <c r="I13" s="40" t="str">
        <f>IF(Agent01_Withdrawals!A20="","",Agent01_Withdrawals!H20)</f>
        <v/>
      </c>
      <c r="J13" s="40" t="str">
        <f>IF(Agent01_Withdrawals!A20="","",Agent01_Withdrawals!J20)</f>
        <v/>
      </c>
      <c r="K13" s="40" t="str">
        <f>IF(Agent01_Withdrawals!A20="","",Agent01_Withdrawals!K20)</f>
        <v/>
      </c>
      <c r="L13" s="40" t="str">
        <f>IF(G13="","",IF(D13-G13&gt;=System_Config!$B$9,"✅ OK","⚠️ BREACH"))</f>
        <v/>
      </c>
      <c r="M13" s="40" t="str">
        <f>IFERROR(IF(Agent01_Withdrawals!A20="","",YEAR(Agent01_Withdrawals!D20)),"")</f>
        <v/>
      </c>
    </row>
    <row r="14" spans="1:13" ht="18" customHeight="1" x14ac:dyDescent="0.25">
      <c r="A14" s="40" t="str">
        <f>IF(Agent01_Withdrawals!A21="","",Agent01_Withdrawals!A21)</f>
        <v/>
      </c>
      <c r="B14" s="40" t="str">
        <f ca="1">IF(Agent01_Withdrawals!A21="","","WD"&amp;TEXT(14-3,"0000")&amp;"-"&amp;TEXT(TODAY(),"YYYYMMDD"))</f>
        <v/>
      </c>
      <c r="C14" s="40" t="str">
        <f>IF(Agent01_Withdrawals!A21="","",Agent01_Withdrawals!B21)</f>
        <v/>
      </c>
      <c r="D14" s="43" t="str">
        <f>IF(Agent01_Withdrawals!A21="","",Agent01_Withdrawals!C21)</f>
        <v/>
      </c>
      <c r="E14" s="41" t="str">
        <f>IF(Agent01_Withdrawals!A21="","",Agent01_Withdrawals!D21)</f>
        <v/>
      </c>
      <c r="F14" s="40" t="str">
        <f>IF(Agent01_Withdrawals!A21="","",Agent01_Withdrawals!F21)</f>
        <v/>
      </c>
      <c r="G14" s="42" t="str">
        <f>IF(Agent01_Withdrawals!A21="","",Agent01_Withdrawals!E21)</f>
        <v/>
      </c>
      <c r="H14" s="42" t="str">
        <f>IF(Agent01_Withdrawals!A21="","",Agent01_Withdrawals!G21)</f>
        <v/>
      </c>
      <c r="I14" s="40" t="str">
        <f>IF(Agent01_Withdrawals!A21="","",Agent01_Withdrawals!H21)</f>
        <v/>
      </c>
      <c r="J14" s="40" t="str">
        <f>IF(Agent01_Withdrawals!A21="","",Agent01_Withdrawals!J21)</f>
        <v/>
      </c>
      <c r="K14" s="40" t="str">
        <f>IF(Agent01_Withdrawals!A21="","",Agent01_Withdrawals!K21)</f>
        <v/>
      </c>
      <c r="L14" s="40" t="str">
        <f>IF(G14="","",IF(D14-G14&gt;=System_Config!$B$9,"✅ OK","⚠️ BREACH"))</f>
        <v/>
      </c>
      <c r="M14" s="40" t="str">
        <f>IFERROR(IF(Agent01_Withdrawals!A21="","",YEAR(Agent01_Withdrawals!D21)),"")</f>
        <v/>
      </c>
    </row>
    <row r="15" spans="1:13" ht="18" customHeight="1" x14ac:dyDescent="0.25">
      <c r="A15" s="40" t="str">
        <f>IF(Agent01_Withdrawals!A22="","",Agent01_Withdrawals!A22)</f>
        <v/>
      </c>
      <c r="B15" s="40" t="str">
        <f ca="1">IF(Agent01_Withdrawals!A22="","","WD"&amp;TEXT(15-3,"0000")&amp;"-"&amp;TEXT(TODAY(),"YYYYMMDD"))</f>
        <v/>
      </c>
      <c r="C15" s="40" t="str">
        <f>IF(Agent01_Withdrawals!A22="","",Agent01_Withdrawals!B22)</f>
        <v/>
      </c>
      <c r="D15" s="43" t="str">
        <f>IF(Agent01_Withdrawals!A22="","",Agent01_Withdrawals!C22)</f>
        <v/>
      </c>
      <c r="E15" s="41" t="str">
        <f>IF(Agent01_Withdrawals!A22="","",Agent01_Withdrawals!D22)</f>
        <v/>
      </c>
      <c r="F15" s="40" t="str">
        <f>IF(Agent01_Withdrawals!A22="","",Agent01_Withdrawals!F22)</f>
        <v/>
      </c>
      <c r="G15" s="42" t="str">
        <f>IF(Agent01_Withdrawals!A22="","",Agent01_Withdrawals!E22)</f>
        <v/>
      </c>
      <c r="H15" s="42" t="str">
        <f>IF(Agent01_Withdrawals!A22="","",Agent01_Withdrawals!G22)</f>
        <v/>
      </c>
      <c r="I15" s="40" t="str">
        <f>IF(Agent01_Withdrawals!A22="","",Agent01_Withdrawals!H22)</f>
        <v/>
      </c>
      <c r="J15" s="40" t="str">
        <f>IF(Agent01_Withdrawals!A22="","",Agent01_Withdrawals!J22)</f>
        <v/>
      </c>
      <c r="K15" s="40" t="str">
        <f>IF(Agent01_Withdrawals!A22="","",Agent01_Withdrawals!K22)</f>
        <v/>
      </c>
      <c r="L15" s="40" t="str">
        <f>IF(G15="","",IF(D15-G15&gt;=System_Config!$B$9,"✅ OK","⚠️ BREACH"))</f>
        <v/>
      </c>
      <c r="M15" s="40" t="str">
        <f>IFERROR(IF(Agent01_Withdrawals!A22="","",YEAR(Agent01_Withdrawals!D22)),"")</f>
        <v/>
      </c>
    </row>
    <row r="16" spans="1:13" ht="18" customHeight="1" x14ac:dyDescent="0.25">
      <c r="A16" s="40" t="str">
        <f>IF(Agent01_Withdrawals!A23="","",Agent01_Withdrawals!A23)</f>
        <v/>
      </c>
      <c r="B16" s="40" t="str">
        <f ca="1">IF(Agent01_Withdrawals!A23="","","WD"&amp;TEXT(16-3,"0000")&amp;"-"&amp;TEXT(TODAY(),"YYYYMMDD"))</f>
        <v/>
      </c>
      <c r="C16" s="40" t="str">
        <f>IF(Agent01_Withdrawals!A23="","",Agent01_Withdrawals!B23)</f>
        <v/>
      </c>
      <c r="D16" s="43" t="str">
        <f>IF(Agent01_Withdrawals!A23="","",Agent01_Withdrawals!C23)</f>
        <v/>
      </c>
      <c r="E16" s="41" t="str">
        <f>IF(Agent01_Withdrawals!A23="","",Agent01_Withdrawals!D23)</f>
        <v/>
      </c>
      <c r="F16" s="40" t="str">
        <f>IF(Agent01_Withdrawals!A23="","",Agent01_Withdrawals!F23)</f>
        <v/>
      </c>
      <c r="G16" s="42" t="str">
        <f>IF(Agent01_Withdrawals!A23="","",Agent01_Withdrawals!E23)</f>
        <v/>
      </c>
      <c r="H16" s="42" t="str">
        <f>IF(Agent01_Withdrawals!A23="","",Agent01_Withdrawals!G23)</f>
        <v/>
      </c>
      <c r="I16" s="40" t="str">
        <f>IF(Agent01_Withdrawals!A23="","",Agent01_Withdrawals!H23)</f>
        <v/>
      </c>
      <c r="J16" s="40" t="str">
        <f>IF(Agent01_Withdrawals!A23="","",Agent01_Withdrawals!J23)</f>
        <v/>
      </c>
      <c r="K16" s="40" t="str">
        <f>IF(Agent01_Withdrawals!A23="","",Agent01_Withdrawals!K23)</f>
        <v/>
      </c>
      <c r="L16" s="40" t="str">
        <f>IF(G16="","",IF(D16-G16&gt;=System_Config!$B$9,"✅ OK","⚠️ BREACH"))</f>
        <v/>
      </c>
      <c r="M16" s="40" t="str">
        <f>IFERROR(IF(Agent01_Withdrawals!A23="","",YEAR(Agent01_Withdrawals!D23)),"")</f>
        <v/>
      </c>
    </row>
    <row r="17" spans="1:13" ht="18" customHeight="1" x14ac:dyDescent="0.25">
      <c r="A17" s="40" t="str">
        <f>IF(Agent01_Withdrawals!A24="","",Agent01_Withdrawals!A24)</f>
        <v/>
      </c>
      <c r="B17" s="40" t="str">
        <f ca="1">IF(Agent01_Withdrawals!A24="","","WD"&amp;TEXT(17-3,"0000")&amp;"-"&amp;TEXT(TODAY(),"YYYYMMDD"))</f>
        <v/>
      </c>
      <c r="C17" s="40" t="str">
        <f>IF(Agent01_Withdrawals!A24="","",Agent01_Withdrawals!B24)</f>
        <v/>
      </c>
      <c r="D17" s="43" t="str">
        <f>IF(Agent01_Withdrawals!A24="","",Agent01_Withdrawals!C24)</f>
        <v/>
      </c>
      <c r="E17" s="41" t="str">
        <f>IF(Agent01_Withdrawals!A24="","",Agent01_Withdrawals!D24)</f>
        <v/>
      </c>
      <c r="F17" s="40" t="str">
        <f>IF(Agent01_Withdrawals!A24="","",Agent01_Withdrawals!F24)</f>
        <v/>
      </c>
      <c r="G17" s="42" t="str">
        <f>IF(Agent01_Withdrawals!A24="","",Agent01_Withdrawals!E24)</f>
        <v/>
      </c>
      <c r="H17" s="42" t="str">
        <f>IF(Agent01_Withdrawals!A24="","",Agent01_Withdrawals!G24)</f>
        <v/>
      </c>
      <c r="I17" s="40" t="str">
        <f>IF(Agent01_Withdrawals!A24="","",Agent01_Withdrawals!H24)</f>
        <v/>
      </c>
      <c r="J17" s="40" t="str">
        <f>IF(Agent01_Withdrawals!A24="","",Agent01_Withdrawals!J24)</f>
        <v/>
      </c>
      <c r="K17" s="40" t="str">
        <f>IF(Agent01_Withdrawals!A24="","",Agent01_Withdrawals!K24)</f>
        <v/>
      </c>
      <c r="L17" s="40" t="str">
        <f>IF(G17="","",IF(D17-G17&gt;=System_Config!$B$9,"✅ OK","⚠️ BREACH"))</f>
        <v/>
      </c>
      <c r="M17" s="40" t="str">
        <f>IFERROR(IF(Agent01_Withdrawals!A24="","",YEAR(Agent01_Withdrawals!D24)),"")</f>
        <v/>
      </c>
    </row>
    <row r="18" spans="1:13" ht="18" customHeight="1" x14ac:dyDescent="0.25">
      <c r="A18" s="40" t="str">
        <f>IF(Agent01_Withdrawals!A25="","",Agent01_Withdrawals!A25)</f>
        <v/>
      </c>
      <c r="B18" s="40" t="str">
        <f ca="1">IF(Agent01_Withdrawals!A25="","","WD"&amp;TEXT(18-3,"0000")&amp;"-"&amp;TEXT(TODAY(),"YYYYMMDD"))</f>
        <v/>
      </c>
      <c r="C18" s="40" t="str">
        <f>IF(Agent01_Withdrawals!A25="","",Agent01_Withdrawals!B25)</f>
        <v/>
      </c>
      <c r="D18" s="43" t="str">
        <f>IF(Agent01_Withdrawals!A25="","",Agent01_Withdrawals!C25)</f>
        <v/>
      </c>
      <c r="E18" s="41" t="str">
        <f>IF(Agent01_Withdrawals!A25="","",Agent01_Withdrawals!D25)</f>
        <v/>
      </c>
      <c r="F18" s="40" t="str">
        <f>IF(Agent01_Withdrawals!A25="","",Agent01_Withdrawals!F25)</f>
        <v/>
      </c>
      <c r="G18" s="42" t="str">
        <f>IF(Agent01_Withdrawals!A25="","",Agent01_Withdrawals!E25)</f>
        <v/>
      </c>
      <c r="H18" s="42" t="str">
        <f>IF(Agent01_Withdrawals!A25="","",Agent01_Withdrawals!G25)</f>
        <v/>
      </c>
      <c r="I18" s="40" t="str">
        <f>IF(Agent01_Withdrawals!A25="","",Agent01_Withdrawals!H25)</f>
        <v/>
      </c>
      <c r="J18" s="40" t="str">
        <f>IF(Agent01_Withdrawals!A25="","",Agent01_Withdrawals!J25)</f>
        <v/>
      </c>
      <c r="K18" s="40" t="str">
        <f>IF(Agent01_Withdrawals!A25="","",Agent01_Withdrawals!K25)</f>
        <v/>
      </c>
      <c r="L18" s="40" t="str">
        <f>IF(G18="","",IF(D18-G18&gt;=System_Config!$B$9,"✅ OK","⚠️ BREACH"))</f>
        <v/>
      </c>
      <c r="M18" s="40" t="str">
        <f>IFERROR(IF(Agent01_Withdrawals!A25="","",YEAR(Agent01_Withdrawals!D25)),"")</f>
        <v/>
      </c>
    </row>
    <row r="19" spans="1:13" ht="18" customHeight="1" x14ac:dyDescent="0.25">
      <c r="A19" s="40" t="str">
        <f>IF(Agent01_Withdrawals!A26="","",Agent01_Withdrawals!A26)</f>
        <v/>
      </c>
      <c r="B19" s="40" t="str">
        <f ca="1">IF(Agent01_Withdrawals!A26="","","WD"&amp;TEXT(19-3,"0000")&amp;"-"&amp;TEXT(TODAY(),"YYYYMMDD"))</f>
        <v/>
      </c>
      <c r="C19" s="40" t="str">
        <f>IF(Agent01_Withdrawals!A26="","",Agent01_Withdrawals!B26)</f>
        <v/>
      </c>
      <c r="D19" s="43" t="str">
        <f>IF(Agent01_Withdrawals!A26="","",Agent01_Withdrawals!C26)</f>
        <v/>
      </c>
      <c r="E19" s="41" t="str">
        <f>IF(Agent01_Withdrawals!A26="","",Agent01_Withdrawals!D26)</f>
        <v/>
      </c>
      <c r="F19" s="40" t="str">
        <f>IF(Agent01_Withdrawals!A26="","",Agent01_Withdrawals!F26)</f>
        <v/>
      </c>
      <c r="G19" s="42" t="str">
        <f>IF(Agent01_Withdrawals!A26="","",Agent01_Withdrawals!E26)</f>
        <v/>
      </c>
      <c r="H19" s="42" t="str">
        <f>IF(Agent01_Withdrawals!A26="","",Agent01_Withdrawals!G26)</f>
        <v/>
      </c>
      <c r="I19" s="40" t="str">
        <f>IF(Agent01_Withdrawals!A26="","",Agent01_Withdrawals!H26)</f>
        <v/>
      </c>
      <c r="J19" s="40" t="str">
        <f>IF(Agent01_Withdrawals!A26="","",Agent01_Withdrawals!J26)</f>
        <v/>
      </c>
      <c r="K19" s="40" t="str">
        <f>IF(Agent01_Withdrawals!A26="","",Agent01_Withdrawals!K26)</f>
        <v/>
      </c>
      <c r="L19" s="40" t="str">
        <f>IF(G19="","",IF(D19-G19&gt;=System_Config!$B$9,"✅ OK","⚠️ BREACH"))</f>
        <v/>
      </c>
      <c r="M19" s="40" t="str">
        <f>IFERROR(IF(Agent01_Withdrawals!A26="","",YEAR(Agent01_Withdrawals!D26)),"")</f>
        <v/>
      </c>
    </row>
    <row r="20" spans="1:13" ht="18" customHeight="1" x14ac:dyDescent="0.25">
      <c r="A20" s="40" t="str">
        <f>IF(Agent01_Withdrawals!A27="","",Agent01_Withdrawals!A27)</f>
        <v/>
      </c>
      <c r="B20" s="40" t="str">
        <f ca="1">IF(Agent01_Withdrawals!A27="","","WD"&amp;TEXT(20-3,"0000")&amp;"-"&amp;TEXT(TODAY(),"YYYYMMDD"))</f>
        <v/>
      </c>
      <c r="C20" s="40" t="str">
        <f>IF(Agent01_Withdrawals!A27="","",Agent01_Withdrawals!B27)</f>
        <v/>
      </c>
      <c r="D20" s="43" t="str">
        <f>IF(Agent01_Withdrawals!A27="","",Agent01_Withdrawals!C27)</f>
        <v/>
      </c>
      <c r="E20" s="41" t="str">
        <f>IF(Agent01_Withdrawals!A27="","",Agent01_Withdrawals!D27)</f>
        <v/>
      </c>
      <c r="F20" s="40" t="str">
        <f>IF(Agent01_Withdrawals!A27="","",Agent01_Withdrawals!F27)</f>
        <v/>
      </c>
      <c r="G20" s="42" t="str">
        <f>IF(Agent01_Withdrawals!A27="","",Agent01_Withdrawals!E27)</f>
        <v/>
      </c>
      <c r="H20" s="42" t="str">
        <f>IF(Agent01_Withdrawals!A27="","",Agent01_Withdrawals!G27)</f>
        <v/>
      </c>
      <c r="I20" s="40" t="str">
        <f>IF(Agent01_Withdrawals!A27="","",Agent01_Withdrawals!H27)</f>
        <v/>
      </c>
      <c r="J20" s="40" t="str">
        <f>IF(Agent01_Withdrawals!A27="","",Agent01_Withdrawals!J27)</f>
        <v/>
      </c>
      <c r="K20" s="40" t="str">
        <f>IF(Agent01_Withdrawals!A27="","",Agent01_Withdrawals!K27)</f>
        <v/>
      </c>
      <c r="L20" s="40" t="str">
        <f>IF(G20="","",IF(D20-G20&gt;=System_Config!$B$9,"✅ OK","⚠️ BREACH"))</f>
        <v/>
      </c>
      <c r="M20" s="40" t="str">
        <f>IFERROR(IF(Agent01_Withdrawals!A27="","",YEAR(Agent01_Withdrawals!D27)),"")</f>
        <v/>
      </c>
    </row>
    <row r="21" spans="1:13" ht="18" customHeight="1" x14ac:dyDescent="0.25">
      <c r="A21" s="40" t="str">
        <f>IF(Agent01_Withdrawals!A28="","",Agent01_Withdrawals!A28)</f>
        <v/>
      </c>
      <c r="B21" s="40" t="str">
        <f ca="1">IF(Agent01_Withdrawals!A28="","","WD"&amp;TEXT(21-3,"0000")&amp;"-"&amp;TEXT(TODAY(),"YYYYMMDD"))</f>
        <v/>
      </c>
      <c r="C21" s="40" t="str">
        <f>IF(Agent01_Withdrawals!A28="","",Agent01_Withdrawals!B28)</f>
        <v/>
      </c>
      <c r="D21" s="43" t="str">
        <f>IF(Agent01_Withdrawals!A28="","",Agent01_Withdrawals!C28)</f>
        <v/>
      </c>
      <c r="E21" s="41" t="str">
        <f>IF(Agent01_Withdrawals!A28="","",Agent01_Withdrawals!D28)</f>
        <v/>
      </c>
      <c r="F21" s="40" t="str">
        <f>IF(Agent01_Withdrawals!A28="","",Agent01_Withdrawals!F28)</f>
        <v/>
      </c>
      <c r="G21" s="42" t="str">
        <f>IF(Agent01_Withdrawals!A28="","",Agent01_Withdrawals!E28)</f>
        <v/>
      </c>
      <c r="H21" s="42" t="str">
        <f>IF(Agent01_Withdrawals!A28="","",Agent01_Withdrawals!G28)</f>
        <v/>
      </c>
      <c r="I21" s="40" t="str">
        <f>IF(Agent01_Withdrawals!A28="","",Agent01_Withdrawals!H28)</f>
        <v/>
      </c>
      <c r="J21" s="40" t="str">
        <f>IF(Agent01_Withdrawals!A28="","",Agent01_Withdrawals!J28)</f>
        <v/>
      </c>
      <c r="K21" s="40" t="str">
        <f>IF(Agent01_Withdrawals!A28="","",Agent01_Withdrawals!K28)</f>
        <v/>
      </c>
      <c r="L21" s="40" t="str">
        <f>IF(G21="","",IF(D21-G21&gt;=System_Config!$B$9,"✅ OK","⚠️ BREACH"))</f>
        <v/>
      </c>
      <c r="M21" s="40" t="str">
        <f>IFERROR(IF(Agent01_Withdrawals!A28="","",YEAR(Agent01_Withdrawals!D28)),"")</f>
        <v/>
      </c>
    </row>
    <row r="22" spans="1:13" ht="18" customHeight="1" x14ac:dyDescent="0.25">
      <c r="A22" s="40" t="str">
        <f>IF(Agent01_Withdrawals!A29="","",Agent01_Withdrawals!A29)</f>
        <v/>
      </c>
      <c r="B22" s="40" t="str">
        <f ca="1">IF(Agent01_Withdrawals!A29="","","WD"&amp;TEXT(22-3,"0000")&amp;"-"&amp;TEXT(TODAY(),"YYYYMMDD"))</f>
        <v/>
      </c>
      <c r="C22" s="40" t="str">
        <f>IF(Agent01_Withdrawals!A29="","",Agent01_Withdrawals!B29)</f>
        <v/>
      </c>
      <c r="D22" s="43" t="str">
        <f>IF(Agent01_Withdrawals!A29="","",Agent01_Withdrawals!C29)</f>
        <v/>
      </c>
      <c r="E22" s="41" t="str">
        <f>IF(Agent01_Withdrawals!A29="","",Agent01_Withdrawals!D29)</f>
        <v/>
      </c>
      <c r="F22" s="40" t="str">
        <f>IF(Agent01_Withdrawals!A29="","",Agent01_Withdrawals!F29)</f>
        <v/>
      </c>
      <c r="G22" s="42" t="str">
        <f>IF(Agent01_Withdrawals!A29="","",Agent01_Withdrawals!E29)</f>
        <v/>
      </c>
      <c r="H22" s="42" t="str">
        <f>IF(Agent01_Withdrawals!A29="","",Agent01_Withdrawals!G29)</f>
        <v/>
      </c>
      <c r="I22" s="40" t="str">
        <f>IF(Agent01_Withdrawals!A29="","",Agent01_Withdrawals!H29)</f>
        <v/>
      </c>
      <c r="J22" s="40" t="str">
        <f>IF(Agent01_Withdrawals!A29="","",Agent01_Withdrawals!J29)</f>
        <v/>
      </c>
      <c r="K22" s="40" t="str">
        <f>IF(Agent01_Withdrawals!A29="","",Agent01_Withdrawals!K29)</f>
        <v/>
      </c>
      <c r="L22" s="40" t="str">
        <f>IF(G22="","",IF(D22-G22&gt;=System_Config!$B$9,"✅ OK","⚠️ BREACH"))</f>
        <v/>
      </c>
      <c r="M22" s="40" t="str">
        <f>IFERROR(IF(Agent01_Withdrawals!A29="","",YEAR(Agent01_Withdrawals!D29)),"")</f>
        <v/>
      </c>
    </row>
    <row r="23" spans="1:13" ht="18" customHeight="1" x14ac:dyDescent="0.25">
      <c r="A23" s="40" t="str">
        <f>IF(Agent01_Withdrawals!A30="","",Agent01_Withdrawals!A30)</f>
        <v/>
      </c>
      <c r="B23" s="40" t="str">
        <f ca="1">IF(Agent01_Withdrawals!A30="","","WD"&amp;TEXT(23-3,"0000")&amp;"-"&amp;TEXT(TODAY(),"YYYYMMDD"))</f>
        <v/>
      </c>
      <c r="C23" s="40" t="str">
        <f>IF(Agent01_Withdrawals!A30="","",Agent01_Withdrawals!B30)</f>
        <v/>
      </c>
      <c r="D23" s="43" t="str">
        <f>IF(Agent01_Withdrawals!A30="","",Agent01_Withdrawals!C30)</f>
        <v/>
      </c>
      <c r="E23" s="41" t="str">
        <f>IF(Agent01_Withdrawals!A30="","",Agent01_Withdrawals!D30)</f>
        <v/>
      </c>
      <c r="F23" s="40" t="str">
        <f>IF(Agent01_Withdrawals!A30="","",Agent01_Withdrawals!F30)</f>
        <v/>
      </c>
      <c r="G23" s="42" t="str">
        <f>IF(Agent01_Withdrawals!A30="","",Agent01_Withdrawals!E30)</f>
        <v/>
      </c>
      <c r="H23" s="42" t="str">
        <f>IF(Agent01_Withdrawals!A30="","",Agent01_Withdrawals!G30)</f>
        <v/>
      </c>
      <c r="I23" s="40" t="str">
        <f>IF(Agent01_Withdrawals!A30="","",Agent01_Withdrawals!H30)</f>
        <v/>
      </c>
      <c r="J23" s="40" t="str">
        <f>IF(Agent01_Withdrawals!A30="","",Agent01_Withdrawals!J30)</f>
        <v/>
      </c>
      <c r="K23" s="40" t="str">
        <f>IF(Agent01_Withdrawals!A30="","",Agent01_Withdrawals!K30)</f>
        <v/>
      </c>
      <c r="L23" s="40" t="str">
        <f>IF(G23="","",IF(D23-G23&gt;=System_Config!$B$9,"✅ OK","⚠️ BREACH"))</f>
        <v/>
      </c>
      <c r="M23" s="40" t="str">
        <f>IFERROR(IF(Agent01_Withdrawals!A30="","",YEAR(Agent01_Withdrawals!D30)),"")</f>
        <v/>
      </c>
    </row>
    <row r="24" spans="1:13" ht="18" customHeight="1" x14ac:dyDescent="0.25">
      <c r="A24" s="40" t="str">
        <f>IF(Agent01_Withdrawals!A31="","",Agent01_Withdrawals!A31)</f>
        <v/>
      </c>
      <c r="B24" s="40" t="str">
        <f ca="1">IF(Agent01_Withdrawals!A31="","","WD"&amp;TEXT(24-3,"0000")&amp;"-"&amp;TEXT(TODAY(),"YYYYMMDD"))</f>
        <v/>
      </c>
      <c r="C24" s="40" t="str">
        <f>IF(Agent01_Withdrawals!A31="","",Agent01_Withdrawals!B31)</f>
        <v/>
      </c>
      <c r="D24" s="43" t="str">
        <f>IF(Agent01_Withdrawals!A31="","",Agent01_Withdrawals!C31)</f>
        <v/>
      </c>
      <c r="E24" s="41" t="str">
        <f>IF(Agent01_Withdrawals!A31="","",Agent01_Withdrawals!D31)</f>
        <v/>
      </c>
      <c r="F24" s="40" t="str">
        <f>IF(Agent01_Withdrawals!A31="","",Agent01_Withdrawals!F31)</f>
        <v/>
      </c>
      <c r="G24" s="42" t="str">
        <f>IF(Agent01_Withdrawals!A31="","",Agent01_Withdrawals!E31)</f>
        <v/>
      </c>
      <c r="H24" s="42" t="str">
        <f>IF(Agent01_Withdrawals!A31="","",Agent01_Withdrawals!G31)</f>
        <v/>
      </c>
      <c r="I24" s="40" t="str">
        <f>IF(Agent01_Withdrawals!A31="","",Agent01_Withdrawals!H31)</f>
        <v/>
      </c>
      <c r="J24" s="40" t="str">
        <f>IF(Agent01_Withdrawals!A31="","",Agent01_Withdrawals!J31)</f>
        <v/>
      </c>
      <c r="K24" s="40" t="str">
        <f>IF(Agent01_Withdrawals!A31="","",Agent01_Withdrawals!K31)</f>
        <v/>
      </c>
      <c r="L24" s="40" t="str">
        <f>IF(G24="","",IF(D24-G24&gt;=System_Config!$B$9,"✅ OK","⚠️ BREACH"))</f>
        <v/>
      </c>
      <c r="M24" s="40" t="str">
        <f>IFERROR(IF(Agent01_Withdrawals!A31="","",YEAR(Agent01_Withdrawals!D31)),"")</f>
        <v/>
      </c>
    </row>
    <row r="25" spans="1:13" ht="18" customHeight="1" x14ac:dyDescent="0.25">
      <c r="A25" s="40" t="str">
        <f>IF(Agent01_Withdrawals!A32="","",Agent01_Withdrawals!A32)</f>
        <v/>
      </c>
      <c r="B25" s="40" t="str">
        <f ca="1">IF(Agent01_Withdrawals!A32="","","WD"&amp;TEXT(25-3,"0000")&amp;"-"&amp;TEXT(TODAY(),"YYYYMMDD"))</f>
        <v/>
      </c>
      <c r="C25" s="40" t="str">
        <f>IF(Agent01_Withdrawals!A32="","",Agent01_Withdrawals!B32)</f>
        <v/>
      </c>
      <c r="D25" s="43" t="str">
        <f>IF(Agent01_Withdrawals!A32="","",Agent01_Withdrawals!C32)</f>
        <v/>
      </c>
      <c r="E25" s="41" t="str">
        <f>IF(Agent01_Withdrawals!A32="","",Agent01_Withdrawals!D32)</f>
        <v/>
      </c>
      <c r="F25" s="40" t="str">
        <f>IF(Agent01_Withdrawals!A32="","",Agent01_Withdrawals!F32)</f>
        <v/>
      </c>
      <c r="G25" s="42" t="str">
        <f>IF(Agent01_Withdrawals!A32="","",Agent01_Withdrawals!E32)</f>
        <v/>
      </c>
      <c r="H25" s="42" t="str">
        <f>IF(Agent01_Withdrawals!A32="","",Agent01_Withdrawals!G32)</f>
        <v/>
      </c>
      <c r="I25" s="40" t="str">
        <f>IF(Agent01_Withdrawals!A32="","",Agent01_Withdrawals!H32)</f>
        <v/>
      </c>
      <c r="J25" s="40" t="str">
        <f>IF(Agent01_Withdrawals!A32="","",Agent01_Withdrawals!J32)</f>
        <v/>
      </c>
      <c r="K25" s="40" t="str">
        <f>IF(Agent01_Withdrawals!A32="","",Agent01_Withdrawals!K32)</f>
        <v/>
      </c>
      <c r="L25" s="40" t="str">
        <f>IF(G25="","",IF(D25-G25&gt;=System_Config!$B$9,"✅ OK","⚠️ BREACH"))</f>
        <v/>
      </c>
      <c r="M25" s="40" t="str">
        <f>IFERROR(IF(Agent01_Withdrawals!A32="","",YEAR(Agent01_Withdrawals!D32)),"")</f>
        <v/>
      </c>
    </row>
    <row r="26" spans="1:13" ht="18" customHeight="1" x14ac:dyDescent="0.25">
      <c r="A26" s="40" t="str">
        <f>IF(Agent01_Withdrawals!A33="","",Agent01_Withdrawals!A33)</f>
        <v/>
      </c>
      <c r="B26" s="40" t="str">
        <f ca="1">IF(Agent01_Withdrawals!A33="","","WD"&amp;TEXT(26-3,"0000")&amp;"-"&amp;TEXT(TODAY(),"YYYYMMDD"))</f>
        <v/>
      </c>
      <c r="C26" s="40" t="str">
        <f>IF(Agent01_Withdrawals!A33="","",Agent01_Withdrawals!B33)</f>
        <v/>
      </c>
      <c r="D26" s="43" t="str">
        <f>IF(Agent01_Withdrawals!A33="","",Agent01_Withdrawals!C33)</f>
        <v/>
      </c>
      <c r="E26" s="41" t="str">
        <f>IF(Agent01_Withdrawals!A33="","",Agent01_Withdrawals!D33)</f>
        <v/>
      </c>
      <c r="F26" s="40" t="str">
        <f>IF(Agent01_Withdrawals!A33="","",Agent01_Withdrawals!F33)</f>
        <v/>
      </c>
      <c r="G26" s="42" t="str">
        <f>IF(Agent01_Withdrawals!A33="","",Agent01_Withdrawals!E33)</f>
        <v/>
      </c>
      <c r="H26" s="42" t="str">
        <f>IF(Agent01_Withdrawals!A33="","",Agent01_Withdrawals!G33)</f>
        <v/>
      </c>
      <c r="I26" s="40" t="str">
        <f>IF(Agent01_Withdrawals!A33="","",Agent01_Withdrawals!H33)</f>
        <v/>
      </c>
      <c r="J26" s="40" t="str">
        <f>IF(Agent01_Withdrawals!A33="","",Agent01_Withdrawals!J33)</f>
        <v/>
      </c>
      <c r="K26" s="40" t="str">
        <f>IF(Agent01_Withdrawals!A33="","",Agent01_Withdrawals!K33)</f>
        <v/>
      </c>
      <c r="L26" s="40" t="str">
        <f>IF(G26="","",IF(D26-G26&gt;=System_Config!$B$9,"✅ OK","⚠️ BREACH"))</f>
        <v/>
      </c>
      <c r="M26" s="40" t="str">
        <f>IFERROR(IF(Agent01_Withdrawals!A33="","",YEAR(Agent01_Withdrawals!D33)),"")</f>
        <v/>
      </c>
    </row>
    <row r="27" spans="1:13" ht="18" customHeight="1" x14ac:dyDescent="0.25">
      <c r="A27" s="40" t="str">
        <f>IF(Agent01_Withdrawals!A34="","",Agent01_Withdrawals!A34)</f>
        <v/>
      </c>
      <c r="B27" s="40" t="str">
        <f ca="1">IF(Agent01_Withdrawals!A34="","","WD"&amp;TEXT(27-3,"0000")&amp;"-"&amp;TEXT(TODAY(),"YYYYMMDD"))</f>
        <v/>
      </c>
      <c r="C27" s="40" t="str">
        <f>IF(Agent01_Withdrawals!A34="","",Agent01_Withdrawals!B34)</f>
        <v/>
      </c>
      <c r="D27" s="43" t="str">
        <f>IF(Agent01_Withdrawals!A34="","",Agent01_Withdrawals!C34)</f>
        <v/>
      </c>
      <c r="E27" s="41" t="str">
        <f>IF(Agent01_Withdrawals!A34="","",Agent01_Withdrawals!D34)</f>
        <v/>
      </c>
      <c r="F27" s="40" t="str">
        <f>IF(Agent01_Withdrawals!A34="","",Agent01_Withdrawals!F34)</f>
        <v/>
      </c>
      <c r="G27" s="42" t="str">
        <f>IF(Agent01_Withdrawals!A34="","",Agent01_Withdrawals!E34)</f>
        <v/>
      </c>
      <c r="H27" s="42" t="str">
        <f>IF(Agent01_Withdrawals!A34="","",Agent01_Withdrawals!G34)</f>
        <v/>
      </c>
      <c r="I27" s="40" t="str">
        <f>IF(Agent01_Withdrawals!A34="","",Agent01_Withdrawals!H34)</f>
        <v/>
      </c>
      <c r="J27" s="40" t="str">
        <f>IF(Agent01_Withdrawals!A34="","",Agent01_Withdrawals!J34)</f>
        <v/>
      </c>
      <c r="K27" s="40" t="str">
        <f>IF(Agent01_Withdrawals!A34="","",Agent01_Withdrawals!K34)</f>
        <v/>
      </c>
      <c r="L27" s="40" t="str">
        <f>IF(G27="","",IF(D27-G27&gt;=System_Config!$B$9,"✅ OK","⚠️ BREACH"))</f>
        <v/>
      </c>
      <c r="M27" s="40" t="str">
        <f>IFERROR(IF(Agent01_Withdrawals!A34="","",YEAR(Agent01_Withdrawals!D34)),"")</f>
        <v/>
      </c>
    </row>
    <row r="28" spans="1:13" ht="18" customHeight="1" x14ac:dyDescent="0.25">
      <c r="A28" s="40" t="str">
        <f>IF(Agent01_Withdrawals!A35="","",Agent01_Withdrawals!A35)</f>
        <v/>
      </c>
      <c r="B28" s="40" t="str">
        <f ca="1">IF(Agent01_Withdrawals!A35="","","WD"&amp;TEXT(28-3,"0000")&amp;"-"&amp;TEXT(TODAY(),"YYYYMMDD"))</f>
        <v/>
      </c>
      <c r="C28" s="40" t="str">
        <f>IF(Agent01_Withdrawals!A35="","",Agent01_Withdrawals!B35)</f>
        <v/>
      </c>
      <c r="D28" s="43" t="str">
        <f>IF(Agent01_Withdrawals!A35="","",Agent01_Withdrawals!C35)</f>
        <v/>
      </c>
      <c r="E28" s="41" t="str">
        <f>IF(Agent01_Withdrawals!A35="","",Agent01_Withdrawals!D35)</f>
        <v/>
      </c>
      <c r="F28" s="40" t="str">
        <f>IF(Agent01_Withdrawals!A35="","",Agent01_Withdrawals!F35)</f>
        <v/>
      </c>
      <c r="G28" s="42" t="str">
        <f>IF(Agent01_Withdrawals!A35="","",Agent01_Withdrawals!E35)</f>
        <v/>
      </c>
      <c r="H28" s="42" t="str">
        <f>IF(Agent01_Withdrawals!A35="","",Agent01_Withdrawals!G35)</f>
        <v/>
      </c>
      <c r="I28" s="40" t="str">
        <f>IF(Agent01_Withdrawals!A35="","",Agent01_Withdrawals!H35)</f>
        <v/>
      </c>
      <c r="J28" s="40" t="str">
        <f>IF(Agent01_Withdrawals!A35="","",Agent01_Withdrawals!J35)</f>
        <v/>
      </c>
      <c r="K28" s="40" t="str">
        <f>IF(Agent01_Withdrawals!A35="","",Agent01_Withdrawals!K35)</f>
        <v/>
      </c>
      <c r="L28" s="40" t="str">
        <f>IF(G28="","",IF(D28-G28&gt;=System_Config!$B$9,"✅ OK","⚠️ BREACH"))</f>
        <v/>
      </c>
      <c r="M28" s="40" t="str">
        <f>IFERROR(IF(Agent01_Withdrawals!A35="","",YEAR(Agent01_Withdrawals!D35)),"")</f>
        <v/>
      </c>
    </row>
    <row r="29" spans="1:13" ht="18" customHeight="1" x14ac:dyDescent="0.25">
      <c r="A29" s="40" t="str">
        <f>IF(Agent01_Withdrawals!A36="","",Agent01_Withdrawals!A36)</f>
        <v/>
      </c>
      <c r="B29" s="40" t="str">
        <f ca="1">IF(Agent01_Withdrawals!A36="","","WD"&amp;TEXT(29-3,"0000")&amp;"-"&amp;TEXT(TODAY(),"YYYYMMDD"))</f>
        <v/>
      </c>
      <c r="C29" s="40" t="str">
        <f>IF(Agent01_Withdrawals!A36="","",Agent01_Withdrawals!B36)</f>
        <v/>
      </c>
      <c r="D29" s="43" t="str">
        <f>IF(Agent01_Withdrawals!A36="","",Agent01_Withdrawals!C36)</f>
        <v/>
      </c>
      <c r="E29" s="41" t="str">
        <f>IF(Agent01_Withdrawals!A36="","",Agent01_Withdrawals!D36)</f>
        <v/>
      </c>
      <c r="F29" s="40" t="str">
        <f>IF(Agent01_Withdrawals!A36="","",Agent01_Withdrawals!F36)</f>
        <v/>
      </c>
      <c r="G29" s="42" t="str">
        <f>IF(Agent01_Withdrawals!A36="","",Agent01_Withdrawals!E36)</f>
        <v/>
      </c>
      <c r="H29" s="42" t="str">
        <f>IF(Agent01_Withdrawals!A36="","",Agent01_Withdrawals!G36)</f>
        <v/>
      </c>
      <c r="I29" s="40" t="str">
        <f>IF(Agent01_Withdrawals!A36="","",Agent01_Withdrawals!H36)</f>
        <v/>
      </c>
      <c r="J29" s="40" t="str">
        <f>IF(Agent01_Withdrawals!A36="","",Agent01_Withdrawals!J36)</f>
        <v/>
      </c>
      <c r="K29" s="40" t="str">
        <f>IF(Agent01_Withdrawals!A36="","",Agent01_Withdrawals!K36)</f>
        <v/>
      </c>
      <c r="L29" s="40" t="str">
        <f>IF(G29="","",IF(D29-G29&gt;=System_Config!$B$9,"✅ OK","⚠️ BREACH"))</f>
        <v/>
      </c>
      <c r="M29" s="40" t="str">
        <f>IFERROR(IF(Agent01_Withdrawals!A36="","",YEAR(Agent01_Withdrawals!D36)),"")</f>
        <v/>
      </c>
    </row>
    <row r="30" spans="1:13" ht="18" customHeight="1" x14ac:dyDescent="0.25">
      <c r="A30" s="40" t="str">
        <f>IF(Agent01_Withdrawals!A37="","",Agent01_Withdrawals!A37)</f>
        <v/>
      </c>
      <c r="B30" s="40" t="str">
        <f ca="1">IF(Agent01_Withdrawals!A37="","","WD"&amp;TEXT(30-3,"0000")&amp;"-"&amp;TEXT(TODAY(),"YYYYMMDD"))</f>
        <v/>
      </c>
      <c r="C30" s="40" t="str">
        <f>IF(Agent01_Withdrawals!A37="","",Agent01_Withdrawals!B37)</f>
        <v/>
      </c>
      <c r="D30" s="43" t="str">
        <f>IF(Agent01_Withdrawals!A37="","",Agent01_Withdrawals!C37)</f>
        <v/>
      </c>
      <c r="E30" s="41" t="str">
        <f>IF(Agent01_Withdrawals!A37="","",Agent01_Withdrawals!D37)</f>
        <v/>
      </c>
      <c r="F30" s="40" t="str">
        <f>IF(Agent01_Withdrawals!A37="","",Agent01_Withdrawals!F37)</f>
        <v/>
      </c>
      <c r="G30" s="42" t="str">
        <f>IF(Agent01_Withdrawals!A37="","",Agent01_Withdrawals!E37)</f>
        <v/>
      </c>
      <c r="H30" s="42" t="str">
        <f>IF(Agent01_Withdrawals!A37="","",Agent01_Withdrawals!G37)</f>
        <v/>
      </c>
      <c r="I30" s="40" t="str">
        <f>IF(Agent01_Withdrawals!A37="","",Agent01_Withdrawals!H37)</f>
        <v/>
      </c>
      <c r="J30" s="40" t="str">
        <f>IF(Agent01_Withdrawals!A37="","",Agent01_Withdrawals!J37)</f>
        <v/>
      </c>
      <c r="K30" s="40" t="str">
        <f>IF(Agent01_Withdrawals!A37="","",Agent01_Withdrawals!K37)</f>
        <v/>
      </c>
      <c r="L30" s="40" t="str">
        <f>IF(G30="","",IF(D30-G30&gt;=System_Config!$B$9,"✅ OK","⚠️ BREACH"))</f>
        <v/>
      </c>
      <c r="M30" s="40" t="str">
        <f>IFERROR(IF(Agent01_Withdrawals!A37="","",YEAR(Agent01_Withdrawals!D37)),"")</f>
        <v/>
      </c>
    </row>
    <row r="31" spans="1:13" ht="18" customHeight="1" x14ac:dyDescent="0.25">
      <c r="A31" s="40" t="str">
        <f>IF(Agent01_Withdrawals!A38="","",Agent01_Withdrawals!A38)</f>
        <v/>
      </c>
      <c r="B31" s="40" t="str">
        <f ca="1">IF(Agent01_Withdrawals!A38="","","WD"&amp;TEXT(31-3,"0000")&amp;"-"&amp;TEXT(TODAY(),"YYYYMMDD"))</f>
        <v/>
      </c>
      <c r="C31" s="40" t="str">
        <f>IF(Agent01_Withdrawals!A38="","",Agent01_Withdrawals!B38)</f>
        <v/>
      </c>
      <c r="D31" s="43" t="str">
        <f>IF(Agent01_Withdrawals!A38="","",Agent01_Withdrawals!C38)</f>
        <v/>
      </c>
      <c r="E31" s="41" t="str">
        <f>IF(Agent01_Withdrawals!A38="","",Agent01_Withdrawals!D38)</f>
        <v/>
      </c>
      <c r="F31" s="40" t="str">
        <f>IF(Agent01_Withdrawals!A38="","",Agent01_Withdrawals!F38)</f>
        <v/>
      </c>
      <c r="G31" s="42" t="str">
        <f>IF(Agent01_Withdrawals!A38="","",Agent01_Withdrawals!E38)</f>
        <v/>
      </c>
      <c r="H31" s="42" t="str">
        <f>IF(Agent01_Withdrawals!A38="","",Agent01_Withdrawals!G38)</f>
        <v/>
      </c>
      <c r="I31" s="40" t="str">
        <f>IF(Agent01_Withdrawals!A38="","",Agent01_Withdrawals!H38)</f>
        <v/>
      </c>
      <c r="J31" s="40" t="str">
        <f>IF(Agent01_Withdrawals!A38="","",Agent01_Withdrawals!J38)</f>
        <v/>
      </c>
      <c r="K31" s="40" t="str">
        <f>IF(Agent01_Withdrawals!A38="","",Agent01_Withdrawals!K38)</f>
        <v/>
      </c>
      <c r="L31" s="40" t="str">
        <f>IF(G31="","",IF(D31-G31&gt;=System_Config!$B$9,"✅ OK","⚠️ BREACH"))</f>
        <v/>
      </c>
      <c r="M31" s="40" t="str">
        <f>IFERROR(IF(Agent01_Withdrawals!A38="","",YEAR(Agent01_Withdrawals!D38)),"")</f>
        <v/>
      </c>
    </row>
    <row r="32" spans="1:13" ht="18" customHeight="1" x14ac:dyDescent="0.25">
      <c r="A32" s="40" t="str">
        <f>IF(Agent01_Withdrawals!A39="","",Agent01_Withdrawals!A39)</f>
        <v/>
      </c>
      <c r="B32" s="40" t="str">
        <f ca="1">IF(Agent01_Withdrawals!A39="","","WD"&amp;TEXT(32-3,"0000")&amp;"-"&amp;TEXT(TODAY(),"YYYYMMDD"))</f>
        <v/>
      </c>
      <c r="C32" s="40" t="str">
        <f>IF(Agent01_Withdrawals!A39="","",Agent01_Withdrawals!B39)</f>
        <v/>
      </c>
      <c r="D32" s="43" t="str">
        <f>IF(Agent01_Withdrawals!A39="","",Agent01_Withdrawals!C39)</f>
        <v/>
      </c>
      <c r="E32" s="41" t="str">
        <f>IF(Agent01_Withdrawals!A39="","",Agent01_Withdrawals!D39)</f>
        <v/>
      </c>
      <c r="F32" s="40" t="str">
        <f>IF(Agent01_Withdrawals!A39="","",Agent01_Withdrawals!F39)</f>
        <v/>
      </c>
      <c r="G32" s="42" t="str">
        <f>IF(Agent01_Withdrawals!A39="","",Agent01_Withdrawals!E39)</f>
        <v/>
      </c>
      <c r="H32" s="42" t="str">
        <f>IF(Agent01_Withdrawals!A39="","",Agent01_Withdrawals!G39)</f>
        <v/>
      </c>
      <c r="I32" s="40" t="str">
        <f>IF(Agent01_Withdrawals!A39="","",Agent01_Withdrawals!H39)</f>
        <v/>
      </c>
      <c r="J32" s="40" t="str">
        <f>IF(Agent01_Withdrawals!A39="","",Agent01_Withdrawals!J39)</f>
        <v/>
      </c>
      <c r="K32" s="40" t="str">
        <f>IF(Agent01_Withdrawals!A39="","",Agent01_Withdrawals!K39)</f>
        <v/>
      </c>
      <c r="L32" s="40" t="str">
        <f>IF(G32="","",IF(D32-G32&gt;=System_Config!$B$9,"✅ OK","⚠️ BREACH"))</f>
        <v/>
      </c>
      <c r="M32" s="40" t="str">
        <f>IFERROR(IF(Agent01_Withdrawals!A39="","",YEAR(Agent01_Withdrawals!D39)),"")</f>
        <v/>
      </c>
    </row>
    <row r="33" spans="1:13" ht="18" customHeight="1" x14ac:dyDescent="0.25">
      <c r="A33" s="40" t="str">
        <f>IF(Agent01_Withdrawals!A40="","",Agent01_Withdrawals!A40)</f>
        <v/>
      </c>
      <c r="B33" s="40" t="str">
        <f ca="1">IF(Agent01_Withdrawals!A40="","","WD"&amp;TEXT(33-3,"0000")&amp;"-"&amp;TEXT(TODAY(),"YYYYMMDD"))</f>
        <v/>
      </c>
      <c r="C33" s="40" t="str">
        <f>IF(Agent01_Withdrawals!A40="","",Agent01_Withdrawals!B40)</f>
        <v/>
      </c>
      <c r="D33" s="43" t="str">
        <f>IF(Agent01_Withdrawals!A40="","",Agent01_Withdrawals!C40)</f>
        <v/>
      </c>
      <c r="E33" s="41" t="str">
        <f>IF(Agent01_Withdrawals!A40="","",Agent01_Withdrawals!D40)</f>
        <v/>
      </c>
      <c r="F33" s="40" t="str">
        <f>IF(Agent01_Withdrawals!A40="","",Agent01_Withdrawals!F40)</f>
        <v/>
      </c>
      <c r="G33" s="42" t="str">
        <f>IF(Agent01_Withdrawals!A40="","",Agent01_Withdrawals!E40)</f>
        <v/>
      </c>
      <c r="H33" s="42" t="str">
        <f>IF(Agent01_Withdrawals!A40="","",Agent01_Withdrawals!G40)</f>
        <v/>
      </c>
      <c r="I33" s="40" t="str">
        <f>IF(Agent01_Withdrawals!A40="","",Agent01_Withdrawals!H40)</f>
        <v/>
      </c>
      <c r="J33" s="40" t="str">
        <f>IF(Agent01_Withdrawals!A40="","",Agent01_Withdrawals!J40)</f>
        <v/>
      </c>
      <c r="K33" s="40" t="str">
        <f>IF(Agent01_Withdrawals!A40="","",Agent01_Withdrawals!K40)</f>
        <v/>
      </c>
      <c r="L33" s="40" t="str">
        <f>IF(G33="","",IF(D33-G33&gt;=System_Config!$B$9,"✅ OK","⚠️ BREACH"))</f>
        <v/>
      </c>
      <c r="M33" s="40" t="str">
        <f>IFERROR(IF(Agent01_Withdrawals!A40="","",YEAR(Agent01_Withdrawals!D40)),"")</f>
        <v/>
      </c>
    </row>
    <row r="34" spans="1:13" ht="18" customHeight="1" x14ac:dyDescent="0.25">
      <c r="A34" s="40" t="str">
        <f>IF(Agent01_Withdrawals!A41="","",Agent01_Withdrawals!A41)</f>
        <v/>
      </c>
      <c r="B34" s="40" t="str">
        <f ca="1">IF(Agent01_Withdrawals!A41="","","WD"&amp;TEXT(34-3,"0000")&amp;"-"&amp;TEXT(TODAY(),"YYYYMMDD"))</f>
        <v/>
      </c>
      <c r="C34" s="40" t="str">
        <f>IF(Agent01_Withdrawals!A41="","",Agent01_Withdrawals!B41)</f>
        <v/>
      </c>
      <c r="D34" s="43" t="str">
        <f>IF(Agent01_Withdrawals!A41="","",Agent01_Withdrawals!C41)</f>
        <v/>
      </c>
      <c r="E34" s="41" t="str">
        <f>IF(Agent01_Withdrawals!A41="","",Agent01_Withdrawals!D41)</f>
        <v/>
      </c>
      <c r="F34" s="40" t="str">
        <f>IF(Agent01_Withdrawals!A41="","",Agent01_Withdrawals!F41)</f>
        <v/>
      </c>
      <c r="G34" s="42" t="str">
        <f>IF(Agent01_Withdrawals!A41="","",Agent01_Withdrawals!E41)</f>
        <v/>
      </c>
      <c r="H34" s="42" t="str">
        <f>IF(Agent01_Withdrawals!A41="","",Agent01_Withdrawals!G41)</f>
        <v/>
      </c>
      <c r="I34" s="40" t="str">
        <f>IF(Agent01_Withdrawals!A41="","",Agent01_Withdrawals!H41)</f>
        <v/>
      </c>
      <c r="J34" s="40" t="str">
        <f>IF(Agent01_Withdrawals!A41="","",Agent01_Withdrawals!J41)</f>
        <v/>
      </c>
      <c r="K34" s="40" t="str">
        <f>IF(Agent01_Withdrawals!A41="","",Agent01_Withdrawals!K41)</f>
        <v/>
      </c>
      <c r="L34" s="40" t="str">
        <f>IF(G34="","",IF(D34-G34&gt;=System_Config!$B$9,"✅ OK","⚠️ BREACH"))</f>
        <v/>
      </c>
      <c r="M34" s="40" t="str">
        <f>IFERROR(IF(Agent01_Withdrawals!A41="","",YEAR(Agent01_Withdrawals!D41)),"")</f>
        <v/>
      </c>
    </row>
    <row r="35" spans="1:13" ht="18" customHeight="1" x14ac:dyDescent="0.25">
      <c r="A35" s="40" t="str">
        <f>IF(Agent01_Withdrawals!A42="","",Agent01_Withdrawals!A42)</f>
        <v/>
      </c>
      <c r="B35" s="40" t="str">
        <f ca="1">IF(Agent01_Withdrawals!A42="","","WD"&amp;TEXT(35-3,"0000")&amp;"-"&amp;TEXT(TODAY(),"YYYYMMDD"))</f>
        <v/>
      </c>
      <c r="C35" s="40" t="str">
        <f>IF(Agent01_Withdrawals!A42="","",Agent01_Withdrawals!B42)</f>
        <v/>
      </c>
      <c r="D35" s="43" t="str">
        <f>IF(Agent01_Withdrawals!A42="","",Agent01_Withdrawals!C42)</f>
        <v/>
      </c>
      <c r="E35" s="41" t="str">
        <f>IF(Agent01_Withdrawals!A42="","",Agent01_Withdrawals!D42)</f>
        <v/>
      </c>
      <c r="F35" s="40" t="str">
        <f>IF(Agent01_Withdrawals!A42="","",Agent01_Withdrawals!F42)</f>
        <v/>
      </c>
      <c r="G35" s="42" t="str">
        <f>IF(Agent01_Withdrawals!A42="","",Agent01_Withdrawals!E42)</f>
        <v/>
      </c>
      <c r="H35" s="42" t="str">
        <f>IF(Agent01_Withdrawals!A42="","",Agent01_Withdrawals!G42)</f>
        <v/>
      </c>
      <c r="I35" s="40" t="str">
        <f>IF(Agent01_Withdrawals!A42="","",Agent01_Withdrawals!H42)</f>
        <v/>
      </c>
      <c r="J35" s="40" t="str">
        <f>IF(Agent01_Withdrawals!A42="","",Agent01_Withdrawals!J42)</f>
        <v/>
      </c>
      <c r="K35" s="40" t="str">
        <f>IF(Agent01_Withdrawals!A42="","",Agent01_Withdrawals!K42)</f>
        <v/>
      </c>
      <c r="L35" s="40" t="str">
        <f>IF(G35="","",IF(D35-G35&gt;=System_Config!$B$9,"✅ OK","⚠️ BREACH"))</f>
        <v/>
      </c>
      <c r="M35" s="40" t="str">
        <f>IFERROR(IF(Agent01_Withdrawals!A42="","",YEAR(Agent01_Withdrawals!D42)),"")</f>
        <v/>
      </c>
    </row>
    <row r="36" spans="1:13" ht="18" customHeight="1" x14ac:dyDescent="0.25">
      <c r="A36" s="40" t="str">
        <f>IF(Agent01_Withdrawals!A43="","",Agent01_Withdrawals!A43)</f>
        <v/>
      </c>
      <c r="B36" s="40" t="str">
        <f ca="1">IF(Agent01_Withdrawals!A43="","","WD"&amp;TEXT(36-3,"0000")&amp;"-"&amp;TEXT(TODAY(),"YYYYMMDD"))</f>
        <v/>
      </c>
      <c r="C36" s="40" t="str">
        <f>IF(Agent01_Withdrawals!A43="","",Agent01_Withdrawals!B43)</f>
        <v/>
      </c>
      <c r="D36" s="43" t="str">
        <f>IF(Agent01_Withdrawals!A43="","",Agent01_Withdrawals!C43)</f>
        <v/>
      </c>
      <c r="E36" s="41" t="str">
        <f>IF(Agent01_Withdrawals!A43="","",Agent01_Withdrawals!D43)</f>
        <v/>
      </c>
      <c r="F36" s="40" t="str">
        <f>IF(Agent01_Withdrawals!A43="","",Agent01_Withdrawals!F43)</f>
        <v/>
      </c>
      <c r="G36" s="42" t="str">
        <f>IF(Agent01_Withdrawals!A43="","",Agent01_Withdrawals!E43)</f>
        <v/>
      </c>
      <c r="H36" s="42" t="str">
        <f>IF(Agent01_Withdrawals!A43="","",Agent01_Withdrawals!G43)</f>
        <v/>
      </c>
      <c r="I36" s="40" t="str">
        <f>IF(Agent01_Withdrawals!A43="","",Agent01_Withdrawals!H43)</f>
        <v/>
      </c>
      <c r="J36" s="40" t="str">
        <f>IF(Agent01_Withdrawals!A43="","",Agent01_Withdrawals!J43)</f>
        <v/>
      </c>
      <c r="K36" s="40" t="str">
        <f>IF(Agent01_Withdrawals!A43="","",Agent01_Withdrawals!K43)</f>
        <v/>
      </c>
      <c r="L36" s="40" t="str">
        <f>IF(G36="","",IF(D36-G36&gt;=System_Config!$B$9,"✅ OK","⚠️ BREACH"))</f>
        <v/>
      </c>
      <c r="M36" s="40" t="str">
        <f>IFERROR(IF(Agent01_Withdrawals!A43="","",YEAR(Agent01_Withdrawals!D43)),"")</f>
        <v/>
      </c>
    </row>
    <row r="37" spans="1:13" ht="18" customHeight="1" x14ac:dyDescent="0.25">
      <c r="A37" s="40" t="str">
        <f>IF(Agent01_Withdrawals!A44="","",Agent01_Withdrawals!A44)</f>
        <v/>
      </c>
      <c r="B37" s="40" t="str">
        <f ca="1">IF(Agent01_Withdrawals!A44="","","WD"&amp;TEXT(37-3,"0000")&amp;"-"&amp;TEXT(TODAY(),"YYYYMMDD"))</f>
        <v/>
      </c>
      <c r="C37" s="40" t="str">
        <f>IF(Agent01_Withdrawals!A44="","",Agent01_Withdrawals!B44)</f>
        <v/>
      </c>
      <c r="D37" s="43" t="str">
        <f>IF(Agent01_Withdrawals!A44="","",Agent01_Withdrawals!C44)</f>
        <v/>
      </c>
      <c r="E37" s="41" t="str">
        <f>IF(Agent01_Withdrawals!A44="","",Agent01_Withdrawals!D44)</f>
        <v/>
      </c>
      <c r="F37" s="40" t="str">
        <f>IF(Agent01_Withdrawals!A44="","",Agent01_Withdrawals!F44)</f>
        <v/>
      </c>
      <c r="G37" s="42" t="str">
        <f>IF(Agent01_Withdrawals!A44="","",Agent01_Withdrawals!E44)</f>
        <v/>
      </c>
      <c r="H37" s="42" t="str">
        <f>IF(Agent01_Withdrawals!A44="","",Agent01_Withdrawals!G44)</f>
        <v/>
      </c>
      <c r="I37" s="40" t="str">
        <f>IF(Agent01_Withdrawals!A44="","",Agent01_Withdrawals!H44)</f>
        <v/>
      </c>
      <c r="J37" s="40" t="str">
        <f>IF(Agent01_Withdrawals!A44="","",Agent01_Withdrawals!J44)</f>
        <v/>
      </c>
      <c r="K37" s="40" t="str">
        <f>IF(Agent01_Withdrawals!A44="","",Agent01_Withdrawals!K44)</f>
        <v/>
      </c>
      <c r="L37" s="40" t="str">
        <f>IF(G37="","",IF(D37-G37&gt;=System_Config!$B$9,"✅ OK","⚠️ BREACH"))</f>
        <v/>
      </c>
      <c r="M37" s="40" t="str">
        <f>IFERROR(IF(Agent01_Withdrawals!A44="","",YEAR(Agent01_Withdrawals!D44)),"")</f>
        <v/>
      </c>
    </row>
    <row r="38" spans="1:13" ht="18" customHeight="1" x14ac:dyDescent="0.25">
      <c r="A38" s="40" t="str">
        <f>IF(Agent01_Withdrawals!A45="","",Agent01_Withdrawals!A45)</f>
        <v/>
      </c>
      <c r="B38" s="40" t="str">
        <f ca="1">IF(Agent01_Withdrawals!A45="","","WD"&amp;TEXT(38-3,"0000")&amp;"-"&amp;TEXT(TODAY(),"YYYYMMDD"))</f>
        <v/>
      </c>
      <c r="C38" s="40" t="str">
        <f>IF(Agent01_Withdrawals!A45="","",Agent01_Withdrawals!B45)</f>
        <v/>
      </c>
      <c r="D38" s="43" t="str">
        <f>IF(Agent01_Withdrawals!A45="","",Agent01_Withdrawals!C45)</f>
        <v/>
      </c>
      <c r="E38" s="41" t="str">
        <f>IF(Agent01_Withdrawals!A45="","",Agent01_Withdrawals!D45)</f>
        <v/>
      </c>
      <c r="F38" s="40" t="str">
        <f>IF(Agent01_Withdrawals!A45="","",Agent01_Withdrawals!F45)</f>
        <v/>
      </c>
      <c r="G38" s="42" t="str">
        <f>IF(Agent01_Withdrawals!A45="","",Agent01_Withdrawals!E45)</f>
        <v/>
      </c>
      <c r="H38" s="42" t="str">
        <f>IF(Agent01_Withdrawals!A45="","",Agent01_Withdrawals!G45)</f>
        <v/>
      </c>
      <c r="I38" s="40" t="str">
        <f>IF(Agent01_Withdrawals!A45="","",Agent01_Withdrawals!H45)</f>
        <v/>
      </c>
      <c r="J38" s="40" t="str">
        <f>IF(Agent01_Withdrawals!A45="","",Agent01_Withdrawals!J45)</f>
        <v/>
      </c>
      <c r="K38" s="40" t="str">
        <f>IF(Agent01_Withdrawals!A45="","",Agent01_Withdrawals!K45)</f>
        <v/>
      </c>
      <c r="L38" s="40" t="str">
        <f>IF(G38="","",IF(D38-G38&gt;=System_Config!$B$9,"✅ OK","⚠️ BREACH"))</f>
        <v/>
      </c>
      <c r="M38" s="40" t="str">
        <f>IFERROR(IF(Agent01_Withdrawals!A45="","",YEAR(Agent01_Withdrawals!D45)),"")</f>
        <v/>
      </c>
    </row>
    <row r="39" spans="1:13" ht="18" customHeight="1" x14ac:dyDescent="0.25">
      <c r="A39" s="40" t="str">
        <f>IF(Agent01_Withdrawals!A46="","",Agent01_Withdrawals!A46)</f>
        <v/>
      </c>
      <c r="B39" s="40" t="str">
        <f ca="1">IF(Agent01_Withdrawals!A46="","","WD"&amp;TEXT(39-3,"0000")&amp;"-"&amp;TEXT(TODAY(),"YYYYMMDD"))</f>
        <v/>
      </c>
      <c r="C39" s="40" t="str">
        <f>IF(Agent01_Withdrawals!A46="","",Agent01_Withdrawals!B46)</f>
        <v/>
      </c>
      <c r="D39" s="43" t="str">
        <f>IF(Agent01_Withdrawals!A46="","",Agent01_Withdrawals!C46)</f>
        <v/>
      </c>
      <c r="E39" s="41" t="str">
        <f>IF(Agent01_Withdrawals!A46="","",Agent01_Withdrawals!D46)</f>
        <v/>
      </c>
      <c r="F39" s="40" t="str">
        <f>IF(Agent01_Withdrawals!A46="","",Agent01_Withdrawals!F46)</f>
        <v/>
      </c>
      <c r="G39" s="42" t="str">
        <f>IF(Agent01_Withdrawals!A46="","",Agent01_Withdrawals!E46)</f>
        <v/>
      </c>
      <c r="H39" s="42" t="str">
        <f>IF(Agent01_Withdrawals!A46="","",Agent01_Withdrawals!G46)</f>
        <v/>
      </c>
      <c r="I39" s="40" t="str">
        <f>IF(Agent01_Withdrawals!A46="","",Agent01_Withdrawals!H46)</f>
        <v/>
      </c>
      <c r="J39" s="40" t="str">
        <f>IF(Agent01_Withdrawals!A46="","",Agent01_Withdrawals!J46)</f>
        <v/>
      </c>
      <c r="K39" s="40" t="str">
        <f>IF(Agent01_Withdrawals!A46="","",Agent01_Withdrawals!K46)</f>
        <v/>
      </c>
      <c r="L39" s="40" t="str">
        <f>IF(G39="","",IF(D39-G39&gt;=System_Config!$B$9,"✅ OK","⚠️ BREACH"))</f>
        <v/>
      </c>
      <c r="M39" s="40" t="str">
        <f>IFERROR(IF(Agent01_Withdrawals!A46="","",YEAR(Agent01_Withdrawals!D46)),"")</f>
        <v/>
      </c>
    </row>
    <row r="40" spans="1:13" ht="18" customHeight="1" x14ac:dyDescent="0.25">
      <c r="A40" s="40" t="str">
        <f>IF(Agent01_Withdrawals!A47="","",Agent01_Withdrawals!A47)</f>
        <v/>
      </c>
      <c r="B40" s="40" t="str">
        <f ca="1">IF(Agent01_Withdrawals!A47="","","WD"&amp;TEXT(40-3,"0000")&amp;"-"&amp;TEXT(TODAY(),"YYYYMMDD"))</f>
        <v/>
      </c>
      <c r="C40" s="40" t="str">
        <f>IF(Agent01_Withdrawals!A47="","",Agent01_Withdrawals!B47)</f>
        <v/>
      </c>
      <c r="D40" s="43" t="str">
        <f>IF(Agent01_Withdrawals!A47="","",Agent01_Withdrawals!C47)</f>
        <v/>
      </c>
      <c r="E40" s="41" t="str">
        <f>IF(Agent01_Withdrawals!A47="","",Agent01_Withdrawals!D47)</f>
        <v/>
      </c>
      <c r="F40" s="40" t="str">
        <f>IF(Agent01_Withdrawals!A47="","",Agent01_Withdrawals!F47)</f>
        <v/>
      </c>
      <c r="G40" s="42" t="str">
        <f>IF(Agent01_Withdrawals!A47="","",Agent01_Withdrawals!E47)</f>
        <v/>
      </c>
      <c r="H40" s="42" t="str">
        <f>IF(Agent01_Withdrawals!A47="","",Agent01_Withdrawals!G47)</f>
        <v/>
      </c>
      <c r="I40" s="40" t="str">
        <f>IF(Agent01_Withdrawals!A47="","",Agent01_Withdrawals!H47)</f>
        <v/>
      </c>
      <c r="J40" s="40" t="str">
        <f>IF(Agent01_Withdrawals!A47="","",Agent01_Withdrawals!J47)</f>
        <v/>
      </c>
      <c r="K40" s="40" t="str">
        <f>IF(Agent01_Withdrawals!A47="","",Agent01_Withdrawals!K47)</f>
        <v/>
      </c>
      <c r="L40" s="40" t="str">
        <f>IF(G40="","",IF(D40-G40&gt;=System_Config!$B$9,"✅ OK","⚠️ BREACH"))</f>
        <v/>
      </c>
      <c r="M40" s="40" t="str">
        <f>IFERROR(IF(Agent01_Withdrawals!A47="","",YEAR(Agent01_Withdrawals!D47)),"")</f>
        <v/>
      </c>
    </row>
    <row r="41" spans="1:13" ht="18" customHeight="1" x14ac:dyDescent="0.25">
      <c r="A41" s="40" t="str">
        <f>IF(Agent01_Withdrawals!A48="","",Agent01_Withdrawals!A48)</f>
        <v/>
      </c>
      <c r="B41" s="40" t="str">
        <f ca="1">IF(Agent01_Withdrawals!A48="","","WD"&amp;TEXT(41-3,"0000")&amp;"-"&amp;TEXT(TODAY(),"YYYYMMDD"))</f>
        <v/>
      </c>
      <c r="C41" s="40" t="str">
        <f>IF(Agent01_Withdrawals!A48="","",Agent01_Withdrawals!B48)</f>
        <v/>
      </c>
      <c r="D41" s="43" t="str">
        <f>IF(Agent01_Withdrawals!A48="","",Agent01_Withdrawals!C48)</f>
        <v/>
      </c>
      <c r="E41" s="41" t="str">
        <f>IF(Agent01_Withdrawals!A48="","",Agent01_Withdrawals!D48)</f>
        <v/>
      </c>
      <c r="F41" s="40" t="str">
        <f>IF(Agent01_Withdrawals!A48="","",Agent01_Withdrawals!F48)</f>
        <v/>
      </c>
      <c r="G41" s="42" t="str">
        <f>IF(Agent01_Withdrawals!A48="","",Agent01_Withdrawals!E48)</f>
        <v/>
      </c>
      <c r="H41" s="42" t="str">
        <f>IF(Agent01_Withdrawals!A48="","",Agent01_Withdrawals!G48)</f>
        <v/>
      </c>
      <c r="I41" s="40" t="str">
        <f>IF(Agent01_Withdrawals!A48="","",Agent01_Withdrawals!H48)</f>
        <v/>
      </c>
      <c r="J41" s="40" t="str">
        <f>IF(Agent01_Withdrawals!A48="","",Agent01_Withdrawals!J48)</f>
        <v/>
      </c>
      <c r="K41" s="40" t="str">
        <f>IF(Agent01_Withdrawals!A48="","",Agent01_Withdrawals!K48)</f>
        <v/>
      </c>
      <c r="L41" s="40" t="str">
        <f>IF(G41="","",IF(D41-G41&gt;=System_Config!$B$9,"✅ OK","⚠️ BREACH"))</f>
        <v/>
      </c>
      <c r="M41" s="40" t="str">
        <f>IFERROR(IF(Agent01_Withdrawals!A48="","",YEAR(Agent01_Withdrawals!D48)),"")</f>
        <v/>
      </c>
    </row>
    <row r="42" spans="1:13" ht="18" customHeight="1" x14ac:dyDescent="0.25">
      <c r="A42" s="40" t="str">
        <f>IF(Agent01_Withdrawals!A49="","",Agent01_Withdrawals!A49)</f>
        <v/>
      </c>
      <c r="B42" s="40" t="str">
        <f ca="1">IF(Agent01_Withdrawals!A49="","","WD"&amp;TEXT(42-3,"0000")&amp;"-"&amp;TEXT(TODAY(),"YYYYMMDD"))</f>
        <v/>
      </c>
      <c r="C42" s="40" t="str">
        <f>IF(Agent01_Withdrawals!A49="","",Agent01_Withdrawals!B49)</f>
        <v/>
      </c>
      <c r="D42" s="43" t="str">
        <f>IF(Agent01_Withdrawals!A49="","",Agent01_Withdrawals!C49)</f>
        <v/>
      </c>
      <c r="E42" s="41" t="str">
        <f>IF(Agent01_Withdrawals!A49="","",Agent01_Withdrawals!D49)</f>
        <v/>
      </c>
      <c r="F42" s="40" t="str">
        <f>IF(Agent01_Withdrawals!A49="","",Agent01_Withdrawals!F49)</f>
        <v/>
      </c>
      <c r="G42" s="42" t="str">
        <f>IF(Agent01_Withdrawals!A49="","",Agent01_Withdrawals!E49)</f>
        <v/>
      </c>
      <c r="H42" s="42" t="str">
        <f>IF(Agent01_Withdrawals!A49="","",Agent01_Withdrawals!G49)</f>
        <v/>
      </c>
      <c r="I42" s="40" t="str">
        <f>IF(Agent01_Withdrawals!A49="","",Agent01_Withdrawals!H49)</f>
        <v/>
      </c>
      <c r="J42" s="40" t="str">
        <f>IF(Agent01_Withdrawals!A49="","",Agent01_Withdrawals!J49)</f>
        <v/>
      </c>
      <c r="K42" s="40" t="str">
        <f>IF(Agent01_Withdrawals!A49="","",Agent01_Withdrawals!K49)</f>
        <v/>
      </c>
      <c r="L42" s="40" t="str">
        <f>IF(G42="","",IF(D42-G42&gt;=System_Config!$B$9,"✅ OK","⚠️ BREACH"))</f>
        <v/>
      </c>
      <c r="M42" s="40" t="str">
        <f>IFERROR(IF(Agent01_Withdrawals!A49="","",YEAR(Agent01_Withdrawals!D49)),"")</f>
        <v/>
      </c>
    </row>
    <row r="43" spans="1:13" ht="18" customHeight="1" x14ac:dyDescent="0.25">
      <c r="A43" s="40" t="str">
        <f>IF(Agent01_Withdrawals!A50="","",Agent01_Withdrawals!A50)</f>
        <v/>
      </c>
      <c r="B43" s="40" t="str">
        <f ca="1">IF(Agent01_Withdrawals!A50="","","WD"&amp;TEXT(43-3,"0000")&amp;"-"&amp;TEXT(TODAY(),"YYYYMMDD"))</f>
        <v/>
      </c>
      <c r="C43" s="40" t="str">
        <f>IF(Agent01_Withdrawals!A50="","",Agent01_Withdrawals!B50)</f>
        <v/>
      </c>
      <c r="D43" s="43" t="str">
        <f>IF(Agent01_Withdrawals!A50="","",Agent01_Withdrawals!C50)</f>
        <v/>
      </c>
      <c r="E43" s="41" t="str">
        <f>IF(Agent01_Withdrawals!A50="","",Agent01_Withdrawals!D50)</f>
        <v/>
      </c>
      <c r="F43" s="40" t="str">
        <f>IF(Agent01_Withdrawals!A50="","",Agent01_Withdrawals!F50)</f>
        <v/>
      </c>
      <c r="G43" s="42" t="str">
        <f>IF(Agent01_Withdrawals!A50="","",Agent01_Withdrawals!E50)</f>
        <v/>
      </c>
      <c r="H43" s="42" t="str">
        <f>IF(Agent01_Withdrawals!A50="","",Agent01_Withdrawals!G50)</f>
        <v/>
      </c>
      <c r="I43" s="40" t="str">
        <f>IF(Agent01_Withdrawals!A50="","",Agent01_Withdrawals!H50)</f>
        <v/>
      </c>
      <c r="J43" s="40" t="str">
        <f>IF(Agent01_Withdrawals!A50="","",Agent01_Withdrawals!J50)</f>
        <v/>
      </c>
      <c r="K43" s="40" t="str">
        <f>IF(Agent01_Withdrawals!A50="","",Agent01_Withdrawals!K50)</f>
        <v/>
      </c>
      <c r="L43" s="40" t="str">
        <f>IF(G43="","",IF(D43-G43&gt;=System_Config!$B$9,"✅ OK","⚠️ BREACH"))</f>
        <v/>
      </c>
      <c r="M43" s="40" t="str">
        <f>IFERROR(IF(Agent01_Withdrawals!A50="","",YEAR(Agent01_Withdrawals!D50)),"")</f>
        <v/>
      </c>
    </row>
    <row r="44" spans="1:13" ht="18" customHeight="1" x14ac:dyDescent="0.25">
      <c r="A44" s="40" t="str">
        <f>IF(Agent01_Withdrawals!A51="","",Agent01_Withdrawals!A51)</f>
        <v/>
      </c>
      <c r="B44" s="40" t="str">
        <f ca="1">IF(Agent01_Withdrawals!A51="","","WD"&amp;TEXT(44-3,"0000")&amp;"-"&amp;TEXT(TODAY(),"YYYYMMDD"))</f>
        <v/>
      </c>
      <c r="C44" s="40" t="str">
        <f>IF(Agent01_Withdrawals!A51="","",Agent01_Withdrawals!B51)</f>
        <v/>
      </c>
      <c r="D44" s="43" t="str">
        <f>IF(Agent01_Withdrawals!A51="","",Agent01_Withdrawals!C51)</f>
        <v/>
      </c>
      <c r="E44" s="41" t="str">
        <f>IF(Agent01_Withdrawals!A51="","",Agent01_Withdrawals!D51)</f>
        <v/>
      </c>
      <c r="F44" s="40" t="str">
        <f>IF(Agent01_Withdrawals!A51="","",Agent01_Withdrawals!F51)</f>
        <v/>
      </c>
      <c r="G44" s="42" t="str">
        <f>IF(Agent01_Withdrawals!A51="","",Agent01_Withdrawals!E51)</f>
        <v/>
      </c>
      <c r="H44" s="42" t="str">
        <f>IF(Agent01_Withdrawals!A51="","",Agent01_Withdrawals!G51)</f>
        <v/>
      </c>
      <c r="I44" s="40" t="str">
        <f>IF(Agent01_Withdrawals!A51="","",Agent01_Withdrawals!H51)</f>
        <v/>
      </c>
      <c r="J44" s="40" t="str">
        <f>IF(Agent01_Withdrawals!A51="","",Agent01_Withdrawals!J51)</f>
        <v/>
      </c>
      <c r="K44" s="40" t="str">
        <f>IF(Agent01_Withdrawals!A51="","",Agent01_Withdrawals!K51)</f>
        <v/>
      </c>
      <c r="L44" s="40" t="str">
        <f>IF(G44="","",IF(D44-G44&gt;=System_Config!$B$9,"✅ OK","⚠️ BREACH"))</f>
        <v/>
      </c>
      <c r="M44" s="40" t="str">
        <f>IFERROR(IF(Agent01_Withdrawals!A51="","",YEAR(Agent01_Withdrawals!D51)),"")</f>
        <v/>
      </c>
    </row>
    <row r="45" spans="1:13" ht="18" customHeight="1" x14ac:dyDescent="0.25">
      <c r="A45" s="40" t="str">
        <f>IF(Agent01_Withdrawals!A52="","",Agent01_Withdrawals!A52)</f>
        <v/>
      </c>
      <c r="B45" s="40" t="str">
        <f ca="1">IF(Agent01_Withdrawals!A52="","","WD"&amp;TEXT(45-3,"0000")&amp;"-"&amp;TEXT(TODAY(),"YYYYMMDD"))</f>
        <v/>
      </c>
      <c r="C45" s="40" t="str">
        <f>IF(Agent01_Withdrawals!A52="","",Agent01_Withdrawals!B52)</f>
        <v/>
      </c>
      <c r="D45" s="43" t="str">
        <f>IF(Agent01_Withdrawals!A52="","",Agent01_Withdrawals!C52)</f>
        <v/>
      </c>
      <c r="E45" s="41" t="str">
        <f>IF(Agent01_Withdrawals!A52="","",Agent01_Withdrawals!D52)</f>
        <v/>
      </c>
      <c r="F45" s="40" t="str">
        <f>IF(Agent01_Withdrawals!A52="","",Agent01_Withdrawals!F52)</f>
        <v/>
      </c>
      <c r="G45" s="42" t="str">
        <f>IF(Agent01_Withdrawals!A52="","",Agent01_Withdrawals!E52)</f>
        <v/>
      </c>
      <c r="H45" s="42" t="str">
        <f>IF(Agent01_Withdrawals!A52="","",Agent01_Withdrawals!G52)</f>
        <v/>
      </c>
      <c r="I45" s="40" t="str">
        <f>IF(Agent01_Withdrawals!A52="","",Agent01_Withdrawals!H52)</f>
        <v/>
      </c>
      <c r="J45" s="40" t="str">
        <f>IF(Agent01_Withdrawals!A52="","",Agent01_Withdrawals!J52)</f>
        <v/>
      </c>
      <c r="K45" s="40" t="str">
        <f>IF(Agent01_Withdrawals!A52="","",Agent01_Withdrawals!K52)</f>
        <v/>
      </c>
      <c r="L45" s="40" t="str">
        <f>IF(G45="","",IF(D45-G45&gt;=System_Config!$B$9,"✅ OK","⚠️ BREACH"))</f>
        <v/>
      </c>
      <c r="M45" s="40" t="str">
        <f>IFERROR(IF(Agent01_Withdrawals!A52="","",YEAR(Agent01_Withdrawals!D52)),"")</f>
        <v/>
      </c>
    </row>
    <row r="46" spans="1:13" ht="18" customHeight="1" x14ac:dyDescent="0.25">
      <c r="A46" s="40" t="str">
        <f>IF(Agent01_Withdrawals!A53="","",Agent01_Withdrawals!A53)</f>
        <v/>
      </c>
      <c r="B46" s="40" t="str">
        <f ca="1">IF(Agent01_Withdrawals!A53="","","WD"&amp;TEXT(46-3,"0000")&amp;"-"&amp;TEXT(TODAY(),"YYYYMMDD"))</f>
        <v/>
      </c>
      <c r="C46" s="40" t="str">
        <f>IF(Agent01_Withdrawals!A53="","",Agent01_Withdrawals!B53)</f>
        <v/>
      </c>
      <c r="D46" s="43" t="str">
        <f>IF(Agent01_Withdrawals!A53="","",Agent01_Withdrawals!C53)</f>
        <v/>
      </c>
      <c r="E46" s="41" t="str">
        <f>IF(Agent01_Withdrawals!A53="","",Agent01_Withdrawals!D53)</f>
        <v/>
      </c>
      <c r="F46" s="40" t="str">
        <f>IF(Agent01_Withdrawals!A53="","",Agent01_Withdrawals!F53)</f>
        <v/>
      </c>
      <c r="G46" s="42" t="str">
        <f>IF(Agent01_Withdrawals!A53="","",Agent01_Withdrawals!E53)</f>
        <v/>
      </c>
      <c r="H46" s="42" t="str">
        <f>IF(Agent01_Withdrawals!A53="","",Agent01_Withdrawals!G53)</f>
        <v/>
      </c>
      <c r="I46" s="40" t="str">
        <f>IF(Agent01_Withdrawals!A53="","",Agent01_Withdrawals!H53)</f>
        <v/>
      </c>
      <c r="J46" s="40" t="str">
        <f>IF(Agent01_Withdrawals!A53="","",Agent01_Withdrawals!J53)</f>
        <v/>
      </c>
      <c r="K46" s="40" t="str">
        <f>IF(Agent01_Withdrawals!A53="","",Agent01_Withdrawals!K53)</f>
        <v/>
      </c>
      <c r="L46" s="40" t="str">
        <f>IF(G46="","",IF(D46-G46&gt;=System_Config!$B$9,"✅ OK","⚠️ BREACH"))</f>
        <v/>
      </c>
      <c r="M46" s="40" t="str">
        <f>IFERROR(IF(Agent01_Withdrawals!A53="","",YEAR(Agent01_Withdrawals!D53)),"")</f>
        <v/>
      </c>
    </row>
    <row r="47" spans="1:13" ht="18" customHeight="1" x14ac:dyDescent="0.25">
      <c r="A47" s="40" t="str">
        <f>IF(Agent01_Withdrawals!A54="","",Agent01_Withdrawals!A54)</f>
        <v/>
      </c>
      <c r="B47" s="40" t="str">
        <f ca="1">IF(Agent01_Withdrawals!A54="","","WD"&amp;TEXT(47-3,"0000")&amp;"-"&amp;TEXT(TODAY(),"YYYYMMDD"))</f>
        <v/>
      </c>
      <c r="C47" s="40" t="str">
        <f>IF(Agent01_Withdrawals!A54="","",Agent01_Withdrawals!B54)</f>
        <v/>
      </c>
      <c r="D47" s="43" t="str">
        <f>IF(Agent01_Withdrawals!A54="","",Agent01_Withdrawals!C54)</f>
        <v/>
      </c>
      <c r="E47" s="41" t="str">
        <f>IF(Agent01_Withdrawals!A54="","",Agent01_Withdrawals!D54)</f>
        <v/>
      </c>
      <c r="F47" s="40" t="str">
        <f>IF(Agent01_Withdrawals!A54="","",Agent01_Withdrawals!F54)</f>
        <v/>
      </c>
      <c r="G47" s="42" t="str">
        <f>IF(Agent01_Withdrawals!A54="","",Agent01_Withdrawals!E54)</f>
        <v/>
      </c>
      <c r="H47" s="42" t="str">
        <f>IF(Agent01_Withdrawals!A54="","",Agent01_Withdrawals!G54)</f>
        <v/>
      </c>
      <c r="I47" s="40" t="str">
        <f>IF(Agent01_Withdrawals!A54="","",Agent01_Withdrawals!H54)</f>
        <v/>
      </c>
      <c r="J47" s="40" t="str">
        <f>IF(Agent01_Withdrawals!A54="","",Agent01_Withdrawals!J54)</f>
        <v/>
      </c>
      <c r="K47" s="40" t="str">
        <f>IF(Agent01_Withdrawals!A54="","",Agent01_Withdrawals!K54)</f>
        <v/>
      </c>
      <c r="L47" s="40" t="str">
        <f>IF(G47="","",IF(D47-G47&gt;=System_Config!$B$9,"✅ OK","⚠️ BREACH"))</f>
        <v/>
      </c>
      <c r="M47" s="40" t="str">
        <f>IFERROR(IF(Agent01_Withdrawals!A54="","",YEAR(Agent01_Withdrawals!D54)),"")</f>
        <v/>
      </c>
    </row>
    <row r="48" spans="1:13" ht="18" customHeight="1" x14ac:dyDescent="0.25">
      <c r="A48" s="40" t="str">
        <f>IF(Agent01_Withdrawals!A55="","",Agent01_Withdrawals!A55)</f>
        <v/>
      </c>
      <c r="B48" s="40" t="str">
        <f ca="1">IF(Agent01_Withdrawals!A55="","","WD"&amp;TEXT(48-3,"0000")&amp;"-"&amp;TEXT(TODAY(),"YYYYMMDD"))</f>
        <v/>
      </c>
      <c r="C48" s="40" t="str">
        <f>IF(Agent01_Withdrawals!A55="","",Agent01_Withdrawals!B55)</f>
        <v/>
      </c>
      <c r="D48" s="43" t="str">
        <f>IF(Agent01_Withdrawals!A55="","",Agent01_Withdrawals!C55)</f>
        <v/>
      </c>
      <c r="E48" s="41" t="str">
        <f>IF(Agent01_Withdrawals!A55="","",Agent01_Withdrawals!D55)</f>
        <v/>
      </c>
      <c r="F48" s="40" t="str">
        <f>IF(Agent01_Withdrawals!A55="","",Agent01_Withdrawals!F55)</f>
        <v/>
      </c>
      <c r="G48" s="42" t="str">
        <f>IF(Agent01_Withdrawals!A55="","",Agent01_Withdrawals!E55)</f>
        <v/>
      </c>
      <c r="H48" s="42" t="str">
        <f>IF(Agent01_Withdrawals!A55="","",Agent01_Withdrawals!G55)</f>
        <v/>
      </c>
      <c r="I48" s="40" t="str">
        <f>IF(Agent01_Withdrawals!A55="","",Agent01_Withdrawals!H55)</f>
        <v/>
      </c>
      <c r="J48" s="40" t="str">
        <f>IF(Agent01_Withdrawals!A55="","",Agent01_Withdrawals!J55)</f>
        <v/>
      </c>
      <c r="K48" s="40" t="str">
        <f>IF(Agent01_Withdrawals!A55="","",Agent01_Withdrawals!K55)</f>
        <v/>
      </c>
      <c r="L48" s="40" t="str">
        <f>IF(G48="","",IF(D48-G48&gt;=System_Config!$B$9,"✅ OK","⚠️ BREACH"))</f>
        <v/>
      </c>
      <c r="M48" s="40" t="str">
        <f>IFERROR(IF(Agent01_Withdrawals!A55="","",YEAR(Agent01_Withdrawals!D55)),"")</f>
        <v/>
      </c>
    </row>
    <row r="49" spans="1:13" ht="18" customHeight="1" x14ac:dyDescent="0.25">
      <c r="A49" s="40" t="str">
        <f>IF(Agent01_Withdrawals!A56="","",Agent01_Withdrawals!A56)</f>
        <v/>
      </c>
      <c r="B49" s="40" t="str">
        <f ca="1">IF(Agent01_Withdrawals!A56="","","WD"&amp;TEXT(49-3,"0000")&amp;"-"&amp;TEXT(TODAY(),"YYYYMMDD"))</f>
        <v/>
      </c>
      <c r="C49" s="40" t="str">
        <f>IF(Agent01_Withdrawals!A56="","",Agent01_Withdrawals!B56)</f>
        <v/>
      </c>
      <c r="D49" s="43" t="str">
        <f>IF(Agent01_Withdrawals!A56="","",Agent01_Withdrawals!C56)</f>
        <v/>
      </c>
      <c r="E49" s="41" t="str">
        <f>IF(Agent01_Withdrawals!A56="","",Agent01_Withdrawals!D56)</f>
        <v/>
      </c>
      <c r="F49" s="40" t="str">
        <f>IF(Agent01_Withdrawals!A56="","",Agent01_Withdrawals!F56)</f>
        <v/>
      </c>
      <c r="G49" s="42" t="str">
        <f>IF(Agent01_Withdrawals!A56="","",Agent01_Withdrawals!E56)</f>
        <v/>
      </c>
      <c r="H49" s="42" t="str">
        <f>IF(Agent01_Withdrawals!A56="","",Agent01_Withdrawals!G56)</f>
        <v/>
      </c>
      <c r="I49" s="40" t="str">
        <f>IF(Agent01_Withdrawals!A56="","",Agent01_Withdrawals!H56)</f>
        <v/>
      </c>
      <c r="J49" s="40" t="str">
        <f>IF(Agent01_Withdrawals!A56="","",Agent01_Withdrawals!J56)</f>
        <v/>
      </c>
      <c r="K49" s="40" t="str">
        <f>IF(Agent01_Withdrawals!A56="","",Agent01_Withdrawals!K56)</f>
        <v/>
      </c>
      <c r="L49" s="40" t="str">
        <f>IF(G49="","",IF(D49-G49&gt;=System_Config!$B$9,"✅ OK","⚠️ BREACH"))</f>
        <v/>
      </c>
      <c r="M49" s="40" t="str">
        <f>IFERROR(IF(Agent01_Withdrawals!A56="","",YEAR(Agent01_Withdrawals!D56)),"")</f>
        <v/>
      </c>
    </row>
    <row r="50" spans="1:13" ht="18" customHeight="1" x14ac:dyDescent="0.25">
      <c r="A50" s="40" t="str">
        <f>IF(Agent01_Withdrawals!A57="","",Agent01_Withdrawals!A57)</f>
        <v/>
      </c>
      <c r="B50" s="40" t="str">
        <f ca="1">IF(Agent01_Withdrawals!A57="","","WD"&amp;TEXT(50-3,"0000")&amp;"-"&amp;TEXT(TODAY(),"YYYYMMDD"))</f>
        <v/>
      </c>
      <c r="C50" s="40" t="str">
        <f>IF(Agent01_Withdrawals!A57="","",Agent01_Withdrawals!B57)</f>
        <v/>
      </c>
      <c r="D50" s="43" t="str">
        <f>IF(Agent01_Withdrawals!A57="","",Agent01_Withdrawals!C57)</f>
        <v/>
      </c>
      <c r="E50" s="41" t="str">
        <f>IF(Agent01_Withdrawals!A57="","",Agent01_Withdrawals!D57)</f>
        <v/>
      </c>
      <c r="F50" s="40" t="str">
        <f>IF(Agent01_Withdrawals!A57="","",Agent01_Withdrawals!F57)</f>
        <v/>
      </c>
      <c r="G50" s="42" t="str">
        <f>IF(Agent01_Withdrawals!A57="","",Agent01_Withdrawals!E57)</f>
        <v/>
      </c>
      <c r="H50" s="42" t="str">
        <f>IF(Agent01_Withdrawals!A57="","",Agent01_Withdrawals!G57)</f>
        <v/>
      </c>
      <c r="I50" s="40" t="str">
        <f>IF(Agent01_Withdrawals!A57="","",Agent01_Withdrawals!H57)</f>
        <v/>
      </c>
      <c r="J50" s="40" t="str">
        <f>IF(Agent01_Withdrawals!A57="","",Agent01_Withdrawals!J57)</f>
        <v/>
      </c>
      <c r="K50" s="40" t="str">
        <f>IF(Agent01_Withdrawals!A57="","",Agent01_Withdrawals!K57)</f>
        <v/>
      </c>
      <c r="L50" s="40" t="str">
        <f>IF(G50="","",IF(D50-G50&gt;=System_Config!$B$9,"✅ OK","⚠️ BREACH"))</f>
        <v/>
      </c>
      <c r="M50" s="40" t="str">
        <f>IFERROR(IF(Agent01_Withdrawals!A57="","",YEAR(Agent01_Withdrawals!D57)),"")</f>
        <v/>
      </c>
    </row>
    <row r="51" spans="1:13" ht="18" customHeight="1" x14ac:dyDescent="0.25">
      <c r="A51" s="40" t="str">
        <f>IF(Agent01_Withdrawals!A58="","",Agent01_Withdrawals!A58)</f>
        <v/>
      </c>
      <c r="B51" s="40" t="str">
        <f ca="1">IF(Agent01_Withdrawals!A58="","","WD"&amp;TEXT(51-3,"0000")&amp;"-"&amp;TEXT(TODAY(),"YYYYMMDD"))</f>
        <v/>
      </c>
      <c r="C51" s="40" t="str">
        <f>IF(Agent01_Withdrawals!A58="","",Agent01_Withdrawals!B58)</f>
        <v/>
      </c>
      <c r="D51" s="43" t="str">
        <f>IF(Agent01_Withdrawals!A58="","",Agent01_Withdrawals!C58)</f>
        <v/>
      </c>
      <c r="E51" s="41" t="str">
        <f>IF(Agent01_Withdrawals!A58="","",Agent01_Withdrawals!D58)</f>
        <v/>
      </c>
      <c r="F51" s="40" t="str">
        <f>IF(Agent01_Withdrawals!A58="","",Agent01_Withdrawals!F58)</f>
        <v/>
      </c>
      <c r="G51" s="42" t="str">
        <f>IF(Agent01_Withdrawals!A58="","",Agent01_Withdrawals!E58)</f>
        <v/>
      </c>
      <c r="H51" s="42" t="str">
        <f>IF(Agent01_Withdrawals!A58="","",Agent01_Withdrawals!G58)</f>
        <v/>
      </c>
      <c r="I51" s="40" t="str">
        <f>IF(Agent01_Withdrawals!A58="","",Agent01_Withdrawals!H58)</f>
        <v/>
      </c>
      <c r="J51" s="40" t="str">
        <f>IF(Agent01_Withdrawals!A58="","",Agent01_Withdrawals!J58)</f>
        <v/>
      </c>
      <c r="K51" s="40" t="str">
        <f>IF(Agent01_Withdrawals!A58="","",Agent01_Withdrawals!K58)</f>
        <v/>
      </c>
      <c r="L51" s="40" t="str">
        <f>IF(G51="","",IF(D51-G51&gt;=System_Config!$B$9,"✅ OK","⚠️ BREACH"))</f>
        <v/>
      </c>
      <c r="M51" s="40" t="str">
        <f>IFERROR(IF(Agent01_Withdrawals!A58="","",YEAR(Agent01_Withdrawals!D58)),"")</f>
        <v/>
      </c>
    </row>
    <row r="52" spans="1:13" ht="18" customHeight="1" x14ac:dyDescent="0.25">
      <c r="A52" s="40" t="str">
        <f>IF(Agent01_Withdrawals!A59="","",Agent01_Withdrawals!A59)</f>
        <v/>
      </c>
      <c r="B52" s="40" t="str">
        <f ca="1">IF(Agent01_Withdrawals!A59="","","WD"&amp;TEXT(52-3,"0000")&amp;"-"&amp;TEXT(TODAY(),"YYYYMMDD"))</f>
        <v/>
      </c>
      <c r="C52" s="40" t="str">
        <f>IF(Agent01_Withdrawals!A59="","",Agent01_Withdrawals!B59)</f>
        <v/>
      </c>
      <c r="D52" s="43" t="str">
        <f>IF(Agent01_Withdrawals!A59="","",Agent01_Withdrawals!C59)</f>
        <v/>
      </c>
      <c r="E52" s="41" t="str">
        <f>IF(Agent01_Withdrawals!A59="","",Agent01_Withdrawals!D59)</f>
        <v/>
      </c>
      <c r="F52" s="40" t="str">
        <f>IF(Agent01_Withdrawals!A59="","",Agent01_Withdrawals!F59)</f>
        <v/>
      </c>
      <c r="G52" s="42" t="str">
        <f>IF(Agent01_Withdrawals!A59="","",Agent01_Withdrawals!E59)</f>
        <v/>
      </c>
      <c r="H52" s="42" t="str">
        <f>IF(Agent01_Withdrawals!A59="","",Agent01_Withdrawals!G59)</f>
        <v/>
      </c>
      <c r="I52" s="40" t="str">
        <f>IF(Agent01_Withdrawals!A59="","",Agent01_Withdrawals!H59)</f>
        <v/>
      </c>
      <c r="J52" s="40" t="str">
        <f>IF(Agent01_Withdrawals!A59="","",Agent01_Withdrawals!J59)</f>
        <v/>
      </c>
      <c r="K52" s="40" t="str">
        <f>IF(Agent01_Withdrawals!A59="","",Agent01_Withdrawals!K59)</f>
        <v/>
      </c>
      <c r="L52" s="40" t="str">
        <f>IF(G52="","",IF(D52-G52&gt;=System_Config!$B$9,"✅ OK","⚠️ BREACH"))</f>
        <v/>
      </c>
      <c r="M52" s="40" t="str">
        <f>IFERROR(IF(Agent01_Withdrawals!A59="","",YEAR(Agent01_Withdrawals!D59)),"")</f>
        <v/>
      </c>
    </row>
    <row r="53" spans="1:13" ht="18" customHeight="1" x14ac:dyDescent="0.25">
      <c r="A53" s="40" t="str">
        <f>IF(Agent01_Withdrawals!A60="","",Agent01_Withdrawals!A60)</f>
        <v/>
      </c>
      <c r="B53" s="40" t="str">
        <f ca="1">IF(Agent01_Withdrawals!A60="","","WD"&amp;TEXT(53-3,"0000")&amp;"-"&amp;TEXT(TODAY(),"YYYYMMDD"))</f>
        <v/>
      </c>
      <c r="C53" s="40" t="str">
        <f>IF(Agent01_Withdrawals!A60="","",Agent01_Withdrawals!B60)</f>
        <v/>
      </c>
      <c r="D53" s="43" t="str">
        <f>IF(Agent01_Withdrawals!A60="","",Agent01_Withdrawals!C60)</f>
        <v/>
      </c>
      <c r="E53" s="41" t="str">
        <f>IF(Agent01_Withdrawals!A60="","",Agent01_Withdrawals!D60)</f>
        <v/>
      </c>
      <c r="F53" s="40" t="str">
        <f>IF(Agent01_Withdrawals!A60="","",Agent01_Withdrawals!F60)</f>
        <v/>
      </c>
      <c r="G53" s="42" t="str">
        <f>IF(Agent01_Withdrawals!A60="","",Agent01_Withdrawals!E60)</f>
        <v/>
      </c>
      <c r="H53" s="42" t="str">
        <f>IF(Agent01_Withdrawals!A60="","",Agent01_Withdrawals!G60)</f>
        <v/>
      </c>
      <c r="I53" s="40" t="str">
        <f>IF(Agent01_Withdrawals!A60="","",Agent01_Withdrawals!H60)</f>
        <v/>
      </c>
      <c r="J53" s="40" t="str">
        <f>IF(Agent01_Withdrawals!A60="","",Agent01_Withdrawals!J60)</f>
        <v/>
      </c>
      <c r="K53" s="40" t="str">
        <f>IF(Agent01_Withdrawals!A60="","",Agent01_Withdrawals!K60)</f>
        <v/>
      </c>
      <c r="L53" s="40" t="str">
        <f>IF(G53="","",IF(D53-G53&gt;=System_Config!$B$9,"✅ OK","⚠️ BREACH"))</f>
        <v/>
      </c>
      <c r="M53" s="40" t="str">
        <f>IFERROR(IF(Agent01_Withdrawals!A60="","",YEAR(Agent01_Withdrawals!D60)),"")</f>
        <v/>
      </c>
    </row>
    <row r="54" spans="1:13" ht="18" customHeight="1" x14ac:dyDescent="0.25">
      <c r="A54" s="40" t="str">
        <f>IF(Agent01_Withdrawals!A61="","",Agent01_Withdrawals!A61)</f>
        <v/>
      </c>
      <c r="B54" s="40" t="str">
        <f ca="1">IF(Agent01_Withdrawals!A61="","","WD"&amp;TEXT(54-3,"0000")&amp;"-"&amp;TEXT(TODAY(),"YYYYMMDD"))</f>
        <v/>
      </c>
      <c r="C54" s="40" t="str">
        <f>IF(Agent01_Withdrawals!A61="","",Agent01_Withdrawals!B61)</f>
        <v/>
      </c>
      <c r="D54" s="43" t="str">
        <f>IF(Agent01_Withdrawals!A61="","",Agent01_Withdrawals!C61)</f>
        <v/>
      </c>
      <c r="E54" s="41" t="str">
        <f>IF(Agent01_Withdrawals!A61="","",Agent01_Withdrawals!D61)</f>
        <v/>
      </c>
      <c r="F54" s="40" t="str">
        <f>IF(Agent01_Withdrawals!A61="","",Agent01_Withdrawals!F61)</f>
        <v/>
      </c>
      <c r="G54" s="42" t="str">
        <f>IF(Agent01_Withdrawals!A61="","",Agent01_Withdrawals!E61)</f>
        <v/>
      </c>
      <c r="H54" s="42" t="str">
        <f>IF(Agent01_Withdrawals!A61="","",Agent01_Withdrawals!G61)</f>
        <v/>
      </c>
      <c r="I54" s="40" t="str">
        <f>IF(Agent01_Withdrawals!A61="","",Agent01_Withdrawals!H61)</f>
        <v/>
      </c>
      <c r="J54" s="40" t="str">
        <f>IF(Agent01_Withdrawals!A61="","",Agent01_Withdrawals!J61)</f>
        <v/>
      </c>
      <c r="K54" s="40" t="str">
        <f>IF(Agent01_Withdrawals!A61="","",Agent01_Withdrawals!K61)</f>
        <v/>
      </c>
      <c r="L54" s="40" t="str">
        <f>IF(G54="","",IF(D54-G54&gt;=System_Config!$B$9,"✅ OK","⚠️ BREACH"))</f>
        <v/>
      </c>
      <c r="M54" s="40" t="str">
        <f>IFERROR(IF(Agent01_Withdrawals!A61="","",YEAR(Agent01_Withdrawals!D61)),"")</f>
        <v/>
      </c>
    </row>
    <row r="55" spans="1:13" ht="18" customHeight="1" x14ac:dyDescent="0.25">
      <c r="A55" s="40" t="str">
        <f>IF(Agent01_Withdrawals!A62="","",Agent01_Withdrawals!A62)</f>
        <v/>
      </c>
      <c r="B55" s="40" t="str">
        <f ca="1">IF(Agent01_Withdrawals!A62="","","WD"&amp;TEXT(55-3,"0000")&amp;"-"&amp;TEXT(TODAY(),"YYYYMMDD"))</f>
        <v/>
      </c>
      <c r="C55" s="40" t="str">
        <f>IF(Agent01_Withdrawals!A62="","",Agent01_Withdrawals!B62)</f>
        <v/>
      </c>
      <c r="D55" s="43" t="str">
        <f>IF(Agent01_Withdrawals!A62="","",Agent01_Withdrawals!C62)</f>
        <v/>
      </c>
      <c r="E55" s="41" t="str">
        <f>IF(Agent01_Withdrawals!A62="","",Agent01_Withdrawals!D62)</f>
        <v/>
      </c>
      <c r="F55" s="40" t="str">
        <f>IF(Agent01_Withdrawals!A62="","",Agent01_Withdrawals!F62)</f>
        <v/>
      </c>
      <c r="G55" s="42" t="str">
        <f>IF(Agent01_Withdrawals!A62="","",Agent01_Withdrawals!E62)</f>
        <v/>
      </c>
      <c r="H55" s="42" t="str">
        <f>IF(Agent01_Withdrawals!A62="","",Agent01_Withdrawals!G62)</f>
        <v/>
      </c>
      <c r="I55" s="40" t="str">
        <f>IF(Agent01_Withdrawals!A62="","",Agent01_Withdrawals!H62)</f>
        <v/>
      </c>
      <c r="J55" s="40" t="str">
        <f>IF(Agent01_Withdrawals!A62="","",Agent01_Withdrawals!J62)</f>
        <v/>
      </c>
      <c r="K55" s="40" t="str">
        <f>IF(Agent01_Withdrawals!A62="","",Agent01_Withdrawals!K62)</f>
        <v/>
      </c>
      <c r="L55" s="40" t="str">
        <f>IF(G55="","",IF(D55-G55&gt;=System_Config!$B$9,"✅ OK","⚠️ BREACH"))</f>
        <v/>
      </c>
      <c r="M55" s="40" t="str">
        <f>IFERROR(IF(Agent01_Withdrawals!A62="","",YEAR(Agent01_Withdrawals!D62)),"")</f>
        <v/>
      </c>
    </row>
    <row r="56" spans="1:13" ht="18" customHeight="1" x14ac:dyDescent="0.25">
      <c r="A56" s="40" t="str">
        <f>IF(Agent01_Withdrawals!A63="","",Agent01_Withdrawals!A63)</f>
        <v/>
      </c>
      <c r="B56" s="40" t="str">
        <f ca="1">IF(Agent01_Withdrawals!A63="","","WD"&amp;TEXT(56-3,"0000")&amp;"-"&amp;TEXT(TODAY(),"YYYYMMDD"))</f>
        <v/>
      </c>
      <c r="C56" s="40" t="str">
        <f>IF(Agent01_Withdrawals!A63="","",Agent01_Withdrawals!B63)</f>
        <v/>
      </c>
      <c r="D56" s="43" t="str">
        <f>IF(Agent01_Withdrawals!A63="","",Agent01_Withdrawals!C63)</f>
        <v/>
      </c>
      <c r="E56" s="41" t="str">
        <f>IF(Agent01_Withdrawals!A63="","",Agent01_Withdrawals!D63)</f>
        <v/>
      </c>
      <c r="F56" s="40" t="str">
        <f>IF(Agent01_Withdrawals!A63="","",Agent01_Withdrawals!F63)</f>
        <v/>
      </c>
      <c r="G56" s="42" t="str">
        <f>IF(Agent01_Withdrawals!A63="","",Agent01_Withdrawals!E63)</f>
        <v/>
      </c>
      <c r="H56" s="42" t="str">
        <f>IF(Agent01_Withdrawals!A63="","",Agent01_Withdrawals!G63)</f>
        <v/>
      </c>
      <c r="I56" s="40" t="str">
        <f>IF(Agent01_Withdrawals!A63="","",Agent01_Withdrawals!H63)</f>
        <v/>
      </c>
      <c r="J56" s="40" t="str">
        <f>IF(Agent01_Withdrawals!A63="","",Agent01_Withdrawals!J63)</f>
        <v/>
      </c>
      <c r="K56" s="40" t="str">
        <f>IF(Agent01_Withdrawals!A63="","",Agent01_Withdrawals!K63)</f>
        <v/>
      </c>
      <c r="L56" s="40" t="str">
        <f>IF(G56="","",IF(D56-G56&gt;=System_Config!$B$9,"✅ OK","⚠️ BREACH"))</f>
        <v/>
      </c>
      <c r="M56" s="40" t="str">
        <f>IFERROR(IF(Agent01_Withdrawals!A63="","",YEAR(Agent01_Withdrawals!D63)),"")</f>
        <v/>
      </c>
    </row>
    <row r="57" spans="1:13" ht="18" customHeight="1" x14ac:dyDescent="0.25">
      <c r="A57" s="40" t="str">
        <f>IF(Agent01_Withdrawals!A64="","",Agent01_Withdrawals!A64)</f>
        <v/>
      </c>
      <c r="B57" s="40" t="str">
        <f ca="1">IF(Agent01_Withdrawals!A64="","","WD"&amp;TEXT(57-3,"0000")&amp;"-"&amp;TEXT(TODAY(),"YYYYMMDD"))</f>
        <v/>
      </c>
      <c r="C57" s="40" t="str">
        <f>IF(Agent01_Withdrawals!A64="","",Agent01_Withdrawals!B64)</f>
        <v/>
      </c>
      <c r="D57" s="43" t="str">
        <f>IF(Agent01_Withdrawals!A64="","",Agent01_Withdrawals!C64)</f>
        <v/>
      </c>
      <c r="E57" s="41" t="str">
        <f>IF(Agent01_Withdrawals!A64="","",Agent01_Withdrawals!D64)</f>
        <v/>
      </c>
      <c r="F57" s="40" t="str">
        <f>IF(Agent01_Withdrawals!A64="","",Agent01_Withdrawals!F64)</f>
        <v/>
      </c>
      <c r="G57" s="42" t="str">
        <f>IF(Agent01_Withdrawals!A64="","",Agent01_Withdrawals!E64)</f>
        <v/>
      </c>
      <c r="H57" s="42" t="str">
        <f>IF(Agent01_Withdrawals!A64="","",Agent01_Withdrawals!G64)</f>
        <v/>
      </c>
      <c r="I57" s="40" t="str">
        <f>IF(Agent01_Withdrawals!A64="","",Agent01_Withdrawals!H64)</f>
        <v/>
      </c>
      <c r="J57" s="40" t="str">
        <f>IF(Agent01_Withdrawals!A64="","",Agent01_Withdrawals!J64)</f>
        <v/>
      </c>
      <c r="K57" s="40" t="str">
        <f>IF(Agent01_Withdrawals!A64="","",Agent01_Withdrawals!K64)</f>
        <v/>
      </c>
      <c r="L57" s="40" t="str">
        <f>IF(G57="","",IF(D57-G57&gt;=System_Config!$B$9,"✅ OK","⚠️ BREACH"))</f>
        <v/>
      </c>
      <c r="M57" s="40" t="str">
        <f>IFERROR(IF(Agent01_Withdrawals!A64="","",YEAR(Agent01_Withdrawals!D64)),"")</f>
        <v/>
      </c>
    </row>
    <row r="58" spans="1:13" ht="18" customHeight="1" x14ac:dyDescent="0.25">
      <c r="A58" s="40" t="str">
        <f>IF(Agent01_Withdrawals!A65="","",Agent01_Withdrawals!A65)</f>
        <v/>
      </c>
      <c r="B58" s="40" t="str">
        <f ca="1">IF(Agent01_Withdrawals!A65="","","WD"&amp;TEXT(58-3,"0000")&amp;"-"&amp;TEXT(TODAY(),"YYYYMMDD"))</f>
        <v/>
      </c>
      <c r="C58" s="40" t="str">
        <f>IF(Agent01_Withdrawals!A65="","",Agent01_Withdrawals!B65)</f>
        <v/>
      </c>
      <c r="D58" s="43" t="str">
        <f>IF(Agent01_Withdrawals!A65="","",Agent01_Withdrawals!C65)</f>
        <v/>
      </c>
      <c r="E58" s="41" t="str">
        <f>IF(Agent01_Withdrawals!A65="","",Agent01_Withdrawals!D65)</f>
        <v/>
      </c>
      <c r="F58" s="40" t="str">
        <f>IF(Agent01_Withdrawals!A65="","",Agent01_Withdrawals!F65)</f>
        <v/>
      </c>
      <c r="G58" s="42" t="str">
        <f>IF(Agent01_Withdrawals!A65="","",Agent01_Withdrawals!E65)</f>
        <v/>
      </c>
      <c r="H58" s="42" t="str">
        <f>IF(Agent01_Withdrawals!A65="","",Agent01_Withdrawals!G65)</f>
        <v/>
      </c>
      <c r="I58" s="40" t="str">
        <f>IF(Agent01_Withdrawals!A65="","",Agent01_Withdrawals!H65)</f>
        <v/>
      </c>
      <c r="J58" s="40" t="str">
        <f>IF(Agent01_Withdrawals!A65="","",Agent01_Withdrawals!J65)</f>
        <v/>
      </c>
      <c r="K58" s="40" t="str">
        <f>IF(Agent01_Withdrawals!A65="","",Agent01_Withdrawals!K65)</f>
        <v/>
      </c>
      <c r="L58" s="40" t="str">
        <f>IF(G58="","",IF(D58-G58&gt;=System_Config!$B$9,"✅ OK","⚠️ BREACH"))</f>
        <v/>
      </c>
      <c r="M58" s="40" t="str">
        <f>IFERROR(IF(Agent01_Withdrawals!A65="","",YEAR(Agent01_Withdrawals!D65)),"")</f>
        <v/>
      </c>
    </row>
    <row r="59" spans="1:13" ht="18" customHeight="1" x14ac:dyDescent="0.25">
      <c r="A59" s="40" t="str">
        <f>IF(Agent01_Withdrawals!A66="","",Agent01_Withdrawals!A66)</f>
        <v/>
      </c>
      <c r="B59" s="40" t="str">
        <f ca="1">IF(Agent01_Withdrawals!A66="","","WD"&amp;TEXT(59-3,"0000")&amp;"-"&amp;TEXT(TODAY(),"YYYYMMDD"))</f>
        <v/>
      </c>
      <c r="C59" s="40" t="str">
        <f>IF(Agent01_Withdrawals!A66="","",Agent01_Withdrawals!B66)</f>
        <v/>
      </c>
      <c r="D59" s="43" t="str">
        <f>IF(Agent01_Withdrawals!A66="","",Agent01_Withdrawals!C66)</f>
        <v/>
      </c>
      <c r="E59" s="41" t="str">
        <f>IF(Agent01_Withdrawals!A66="","",Agent01_Withdrawals!D66)</f>
        <v/>
      </c>
      <c r="F59" s="40" t="str">
        <f>IF(Agent01_Withdrawals!A66="","",Agent01_Withdrawals!F66)</f>
        <v/>
      </c>
      <c r="G59" s="42" t="str">
        <f>IF(Agent01_Withdrawals!A66="","",Agent01_Withdrawals!E66)</f>
        <v/>
      </c>
      <c r="H59" s="42" t="str">
        <f>IF(Agent01_Withdrawals!A66="","",Agent01_Withdrawals!G66)</f>
        <v/>
      </c>
      <c r="I59" s="40" t="str">
        <f>IF(Agent01_Withdrawals!A66="","",Agent01_Withdrawals!H66)</f>
        <v/>
      </c>
      <c r="J59" s="40" t="str">
        <f>IF(Agent01_Withdrawals!A66="","",Agent01_Withdrawals!J66)</f>
        <v/>
      </c>
      <c r="K59" s="40" t="str">
        <f>IF(Agent01_Withdrawals!A66="","",Agent01_Withdrawals!K66)</f>
        <v/>
      </c>
      <c r="L59" s="40" t="str">
        <f>IF(G59="","",IF(D59-G59&gt;=System_Config!$B$9,"✅ OK","⚠️ BREACH"))</f>
        <v/>
      </c>
      <c r="M59" s="40" t="str">
        <f>IFERROR(IF(Agent01_Withdrawals!A66="","",YEAR(Agent01_Withdrawals!D66)),"")</f>
        <v/>
      </c>
    </row>
    <row r="60" spans="1:13" ht="18" customHeight="1" x14ac:dyDescent="0.25">
      <c r="A60" s="40" t="str">
        <f>IF(Agent01_Withdrawals!A67="","",Agent01_Withdrawals!A67)</f>
        <v/>
      </c>
      <c r="B60" s="40" t="str">
        <f ca="1">IF(Agent01_Withdrawals!A67="","","WD"&amp;TEXT(60-3,"0000")&amp;"-"&amp;TEXT(TODAY(),"YYYYMMDD"))</f>
        <v/>
      </c>
      <c r="C60" s="40" t="str">
        <f>IF(Agent01_Withdrawals!A67="","",Agent01_Withdrawals!B67)</f>
        <v/>
      </c>
      <c r="D60" s="43" t="str">
        <f>IF(Agent01_Withdrawals!A67="","",Agent01_Withdrawals!C67)</f>
        <v/>
      </c>
      <c r="E60" s="41" t="str">
        <f>IF(Agent01_Withdrawals!A67="","",Agent01_Withdrawals!D67)</f>
        <v/>
      </c>
      <c r="F60" s="40" t="str">
        <f>IF(Agent01_Withdrawals!A67="","",Agent01_Withdrawals!F67)</f>
        <v/>
      </c>
      <c r="G60" s="42" t="str">
        <f>IF(Agent01_Withdrawals!A67="","",Agent01_Withdrawals!E67)</f>
        <v/>
      </c>
      <c r="H60" s="42" t="str">
        <f>IF(Agent01_Withdrawals!A67="","",Agent01_Withdrawals!G67)</f>
        <v/>
      </c>
      <c r="I60" s="40" t="str">
        <f>IF(Agent01_Withdrawals!A67="","",Agent01_Withdrawals!H67)</f>
        <v/>
      </c>
      <c r="J60" s="40" t="str">
        <f>IF(Agent01_Withdrawals!A67="","",Agent01_Withdrawals!J67)</f>
        <v/>
      </c>
      <c r="K60" s="40" t="str">
        <f>IF(Agent01_Withdrawals!A67="","",Agent01_Withdrawals!K67)</f>
        <v/>
      </c>
      <c r="L60" s="40" t="str">
        <f>IF(G60="","",IF(D60-G60&gt;=System_Config!$B$9,"✅ OK","⚠️ BREACH"))</f>
        <v/>
      </c>
      <c r="M60" s="40" t="str">
        <f>IFERROR(IF(Agent01_Withdrawals!A67="","",YEAR(Agent01_Withdrawals!D67)),"")</f>
        <v/>
      </c>
    </row>
    <row r="61" spans="1:13" ht="18" customHeight="1" x14ac:dyDescent="0.25">
      <c r="A61" s="40" t="str">
        <f>IF(Agent01_Withdrawals!A68="","",Agent01_Withdrawals!A68)</f>
        <v/>
      </c>
      <c r="B61" s="40" t="str">
        <f ca="1">IF(Agent01_Withdrawals!A68="","","WD"&amp;TEXT(61-3,"0000")&amp;"-"&amp;TEXT(TODAY(),"YYYYMMDD"))</f>
        <v/>
      </c>
      <c r="C61" s="40" t="str">
        <f>IF(Agent01_Withdrawals!A68="","",Agent01_Withdrawals!B68)</f>
        <v/>
      </c>
      <c r="D61" s="43" t="str">
        <f>IF(Agent01_Withdrawals!A68="","",Agent01_Withdrawals!C68)</f>
        <v/>
      </c>
      <c r="E61" s="41" t="str">
        <f>IF(Agent01_Withdrawals!A68="","",Agent01_Withdrawals!D68)</f>
        <v/>
      </c>
      <c r="F61" s="40" t="str">
        <f>IF(Agent01_Withdrawals!A68="","",Agent01_Withdrawals!F68)</f>
        <v/>
      </c>
      <c r="G61" s="42" t="str">
        <f>IF(Agent01_Withdrawals!A68="","",Agent01_Withdrawals!E68)</f>
        <v/>
      </c>
      <c r="H61" s="42" t="str">
        <f>IF(Agent01_Withdrawals!A68="","",Agent01_Withdrawals!G68)</f>
        <v/>
      </c>
      <c r="I61" s="40" t="str">
        <f>IF(Agent01_Withdrawals!A68="","",Agent01_Withdrawals!H68)</f>
        <v/>
      </c>
      <c r="J61" s="40" t="str">
        <f>IF(Agent01_Withdrawals!A68="","",Agent01_Withdrawals!J68)</f>
        <v/>
      </c>
      <c r="K61" s="40" t="str">
        <f>IF(Agent01_Withdrawals!A68="","",Agent01_Withdrawals!K68)</f>
        <v/>
      </c>
      <c r="L61" s="40" t="str">
        <f>IF(G61="","",IF(D61-G61&gt;=System_Config!$B$9,"✅ OK","⚠️ BREACH"))</f>
        <v/>
      </c>
      <c r="M61" s="40" t="str">
        <f>IFERROR(IF(Agent01_Withdrawals!A68="","",YEAR(Agent01_Withdrawals!D68)),"")</f>
        <v/>
      </c>
    </row>
    <row r="62" spans="1:13" ht="18" customHeight="1" x14ac:dyDescent="0.25">
      <c r="A62" s="40" t="str">
        <f>IF(Agent01_Withdrawals!A69="","",Agent01_Withdrawals!A69)</f>
        <v/>
      </c>
      <c r="B62" s="40" t="str">
        <f ca="1">IF(Agent01_Withdrawals!A69="","","WD"&amp;TEXT(62-3,"0000")&amp;"-"&amp;TEXT(TODAY(),"YYYYMMDD"))</f>
        <v/>
      </c>
      <c r="C62" s="40" t="str">
        <f>IF(Agent01_Withdrawals!A69="","",Agent01_Withdrawals!B69)</f>
        <v/>
      </c>
      <c r="D62" s="43" t="str">
        <f>IF(Agent01_Withdrawals!A69="","",Agent01_Withdrawals!C69)</f>
        <v/>
      </c>
      <c r="E62" s="41" t="str">
        <f>IF(Agent01_Withdrawals!A69="","",Agent01_Withdrawals!D69)</f>
        <v/>
      </c>
      <c r="F62" s="40" t="str">
        <f>IF(Agent01_Withdrawals!A69="","",Agent01_Withdrawals!F69)</f>
        <v/>
      </c>
      <c r="G62" s="42" t="str">
        <f>IF(Agent01_Withdrawals!A69="","",Agent01_Withdrawals!E69)</f>
        <v/>
      </c>
      <c r="H62" s="42" t="str">
        <f>IF(Agent01_Withdrawals!A69="","",Agent01_Withdrawals!G69)</f>
        <v/>
      </c>
      <c r="I62" s="40" t="str">
        <f>IF(Agent01_Withdrawals!A69="","",Agent01_Withdrawals!H69)</f>
        <v/>
      </c>
      <c r="J62" s="40" t="str">
        <f>IF(Agent01_Withdrawals!A69="","",Agent01_Withdrawals!J69)</f>
        <v/>
      </c>
      <c r="K62" s="40" t="str">
        <f>IF(Agent01_Withdrawals!A69="","",Agent01_Withdrawals!K69)</f>
        <v/>
      </c>
      <c r="L62" s="40" t="str">
        <f>IF(G62="","",IF(D62-G62&gt;=System_Config!$B$9,"✅ OK","⚠️ BREACH"))</f>
        <v/>
      </c>
      <c r="M62" s="40" t="str">
        <f>IFERROR(IF(Agent01_Withdrawals!A69="","",YEAR(Agent01_Withdrawals!D69)),"")</f>
        <v/>
      </c>
    </row>
    <row r="63" spans="1:13" ht="18" customHeight="1" x14ac:dyDescent="0.25">
      <c r="A63" s="40" t="str">
        <f>IF(Agent01_Withdrawals!A70="","",Agent01_Withdrawals!A70)</f>
        <v/>
      </c>
      <c r="B63" s="40" t="str">
        <f ca="1">IF(Agent01_Withdrawals!A70="","","WD"&amp;TEXT(63-3,"0000")&amp;"-"&amp;TEXT(TODAY(),"YYYYMMDD"))</f>
        <v/>
      </c>
      <c r="C63" s="40" t="str">
        <f>IF(Agent01_Withdrawals!A70="","",Agent01_Withdrawals!B70)</f>
        <v/>
      </c>
      <c r="D63" s="43" t="str">
        <f>IF(Agent01_Withdrawals!A70="","",Agent01_Withdrawals!C70)</f>
        <v/>
      </c>
      <c r="E63" s="41" t="str">
        <f>IF(Agent01_Withdrawals!A70="","",Agent01_Withdrawals!D70)</f>
        <v/>
      </c>
      <c r="F63" s="40" t="str">
        <f>IF(Agent01_Withdrawals!A70="","",Agent01_Withdrawals!F70)</f>
        <v/>
      </c>
      <c r="G63" s="42" t="str">
        <f>IF(Agent01_Withdrawals!A70="","",Agent01_Withdrawals!E70)</f>
        <v/>
      </c>
      <c r="H63" s="42" t="str">
        <f>IF(Agent01_Withdrawals!A70="","",Agent01_Withdrawals!G70)</f>
        <v/>
      </c>
      <c r="I63" s="40" t="str">
        <f>IF(Agent01_Withdrawals!A70="","",Agent01_Withdrawals!H70)</f>
        <v/>
      </c>
      <c r="J63" s="40" t="str">
        <f>IF(Agent01_Withdrawals!A70="","",Agent01_Withdrawals!J70)</f>
        <v/>
      </c>
      <c r="K63" s="40" t="str">
        <f>IF(Agent01_Withdrawals!A70="","",Agent01_Withdrawals!K70)</f>
        <v/>
      </c>
      <c r="L63" s="40" t="str">
        <f>IF(G63="","",IF(D63-G63&gt;=System_Config!$B$9,"✅ OK","⚠️ BREACH"))</f>
        <v/>
      </c>
      <c r="M63" s="40" t="str">
        <f>IFERROR(IF(Agent01_Withdrawals!A70="","",YEAR(Agent01_Withdrawals!D70)),"")</f>
        <v/>
      </c>
    </row>
    <row r="64" spans="1:13" ht="18" customHeight="1" x14ac:dyDescent="0.25">
      <c r="A64" s="40" t="str">
        <f>IF(Agent01_Withdrawals!A71="","",Agent01_Withdrawals!A71)</f>
        <v/>
      </c>
      <c r="B64" s="40" t="str">
        <f ca="1">IF(Agent01_Withdrawals!A71="","","WD"&amp;TEXT(64-3,"0000")&amp;"-"&amp;TEXT(TODAY(),"YYYYMMDD"))</f>
        <v/>
      </c>
      <c r="C64" s="40" t="str">
        <f>IF(Agent01_Withdrawals!A71="","",Agent01_Withdrawals!B71)</f>
        <v/>
      </c>
      <c r="D64" s="43" t="str">
        <f>IF(Agent01_Withdrawals!A71="","",Agent01_Withdrawals!C71)</f>
        <v/>
      </c>
      <c r="E64" s="41" t="str">
        <f>IF(Agent01_Withdrawals!A71="","",Agent01_Withdrawals!D71)</f>
        <v/>
      </c>
      <c r="F64" s="40" t="str">
        <f>IF(Agent01_Withdrawals!A71="","",Agent01_Withdrawals!F71)</f>
        <v/>
      </c>
      <c r="G64" s="42" t="str">
        <f>IF(Agent01_Withdrawals!A71="","",Agent01_Withdrawals!E71)</f>
        <v/>
      </c>
      <c r="H64" s="42" t="str">
        <f>IF(Agent01_Withdrawals!A71="","",Agent01_Withdrawals!G71)</f>
        <v/>
      </c>
      <c r="I64" s="40" t="str">
        <f>IF(Agent01_Withdrawals!A71="","",Agent01_Withdrawals!H71)</f>
        <v/>
      </c>
      <c r="J64" s="40" t="str">
        <f>IF(Agent01_Withdrawals!A71="","",Agent01_Withdrawals!J71)</f>
        <v/>
      </c>
      <c r="K64" s="40" t="str">
        <f>IF(Agent01_Withdrawals!A71="","",Agent01_Withdrawals!K71)</f>
        <v/>
      </c>
      <c r="L64" s="40" t="str">
        <f>IF(G64="","",IF(D64-G64&gt;=System_Config!$B$9,"✅ OK","⚠️ BREACH"))</f>
        <v/>
      </c>
      <c r="M64" s="40" t="str">
        <f>IFERROR(IF(Agent01_Withdrawals!A71="","",YEAR(Agent01_Withdrawals!D71)),"")</f>
        <v/>
      </c>
    </row>
    <row r="65" spans="1:13" ht="18" customHeight="1" x14ac:dyDescent="0.25">
      <c r="A65" s="40" t="str">
        <f>IF(Agent01_Withdrawals!A72="","",Agent01_Withdrawals!A72)</f>
        <v/>
      </c>
      <c r="B65" s="40" t="str">
        <f ca="1">IF(Agent01_Withdrawals!A72="","","WD"&amp;TEXT(65-3,"0000")&amp;"-"&amp;TEXT(TODAY(),"YYYYMMDD"))</f>
        <v/>
      </c>
      <c r="C65" s="40" t="str">
        <f>IF(Agent01_Withdrawals!A72="","",Agent01_Withdrawals!B72)</f>
        <v/>
      </c>
      <c r="D65" s="43" t="str">
        <f>IF(Agent01_Withdrawals!A72="","",Agent01_Withdrawals!C72)</f>
        <v/>
      </c>
      <c r="E65" s="41" t="str">
        <f>IF(Agent01_Withdrawals!A72="","",Agent01_Withdrawals!D72)</f>
        <v/>
      </c>
      <c r="F65" s="40" t="str">
        <f>IF(Agent01_Withdrawals!A72="","",Agent01_Withdrawals!F72)</f>
        <v/>
      </c>
      <c r="G65" s="42" t="str">
        <f>IF(Agent01_Withdrawals!A72="","",Agent01_Withdrawals!E72)</f>
        <v/>
      </c>
      <c r="H65" s="42" t="str">
        <f>IF(Agent01_Withdrawals!A72="","",Agent01_Withdrawals!G72)</f>
        <v/>
      </c>
      <c r="I65" s="40" t="str">
        <f>IF(Agent01_Withdrawals!A72="","",Agent01_Withdrawals!H72)</f>
        <v/>
      </c>
      <c r="J65" s="40" t="str">
        <f>IF(Agent01_Withdrawals!A72="","",Agent01_Withdrawals!J72)</f>
        <v/>
      </c>
      <c r="K65" s="40" t="str">
        <f>IF(Agent01_Withdrawals!A72="","",Agent01_Withdrawals!K72)</f>
        <v/>
      </c>
      <c r="L65" s="40" t="str">
        <f>IF(G65="","",IF(D65-G65&gt;=System_Config!$B$9,"✅ OK","⚠️ BREACH"))</f>
        <v/>
      </c>
      <c r="M65" s="40" t="str">
        <f>IFERROR(IF(Agent01_Withdrawals!A72="","",YEAR(Agent01_Withdrawals!D72)),"")</f>
        <v/>
      </c>
    </row>
    <row r="66" spans="1:13" ht="18" customHeight="1" x14ac:dyDescent="0.25">
      <c r="A66" s="40" t="str">
        <f>IF(Agent01_Withdrawals!A73="","",Agent01_Withdrawals!A73)</f>
        <v/>
      </c>
      <c r="B66" s="40" t="str">
        <f ca="1">IF(Agent01_Withdrawals!A73="","","WD"&amp;TEXT(66-3,"0000")&amp;"-"&amp;TEXT(TODAY(),"YYYYMMDD"))</f>
        <v/>
      </c>
      <c r="C66" s="40" t="str">
        <f>IF(Agent01_Withdrawals!A73="","",Agent01_Withdrawals!B73)</f>
        <v/>
      </c>
      <c r="D66" s="43" t="str">
        <f>IF(Agent01_Withdrawals!A73="","",Agent01_Withdrawals!C73)</f>
        <v/>
      </c>
      <c r="E66" s="41" t="str">
        <f>IF(Agent01_Withdrawals!A73="","",Agent01_Withdrawals!D73)</f>
        <v/>
      </c>
      <c r="F66" s="40" t="str">
        <f>IF(Agent01_Withdrawals!A73="","",Agent01_Withdrawals!F73)</f>
        <v/>
      </c>
      <c r="G66" s="42" t="str">
        <f>IF(Agent01_Withdrawals!A73="","",Agent01_Withdrawals!E73)</f>
        <v/>
      </c>
      <c r="H66" s="42" t="str">
        <f>IF(Agent01_Withdrawals!A73="","",Agent01_Withdrawals!G73)</f>
        <v/>
      </c>
      <c r="I66" s="40" t="str">
        <f>IF(Agent01_Withdrawals!A73="","",Agent01_Withdrawals!H73)</f>
        <v/>
      </c>
      <c r="J66" s="40" t="str">
        <f>IF(Agent01_Withdrawals!A73="","",Agent01_Withdrawals!J73)</f>
        <v/>
      </c>
      <c r="K66" s="40" t="str">
        <f>IF(Agent01_Withdrawals!A73="","",Agent01_Withdrawals!K73)</f>
        <v/>
      </c>
      <c r="L66" s="40" t="str">
        <f>IF(G66="","",IF(D66-G66&gt;=System_Config!$B$9,"✅ OK","⚠️ BREACH"))</f>
        <v/>
      </c>
      <c r="M66" s="40" t="str">
        <f>IFERROR(IF(Agent01_Withdrawals!A73="","",YEAR(Agent01_Withdrawals!D73)),"")</f>
        <v/>
      </c>
    </row>
    <row r="67" spans="1:13" ht="18" customHeight="1" x14ac:dyDescent="0.25">
      <c r="A67" s="40" t="str">
        <f>IF(Agent01_Withdrawals!A74="","",Agent01_Withdrawals!A74)</f>
        <v/>
      </c>
      <c r="B67" s="40" t="str">
        <f ca="1">IF(Agent01_Withdrawals!A74="","","WD"&amp;TEXT(67-3,"0000")&amp;"-"&amp;TEXT(TODAY(),"YYYYMMDD"))</f>
        <v/>
      </c>
      <c r="C67" s="40" t="str">
        <f>IF(Agent01_Withdrawals!A74="","",Agent01_Withdrawals!B74)</f>
        <v/>
      </c>
      <c r="D67" s="43" t="str">
        <f>IF(Agent01_Withdrawals!A74="","",Agent01_Withdrawals!C74)</f>
        <v/>
      </c>
      <c r="E67" s="41" t="str">
        <f>IF(Agent01_Withdrawals!A74="","",Agent01_Withdrawals!D74)</f>
        <v/>
      </c>
      <c r="F67" s="40" t="str">
        <f>IF(Agent01_Withdrawals!A74="","",Agent01_Withdrawals!F74)</f>
        <v/>
      </c>
      <c r="G67" s="42" t="str">
        <f>IF(Agent01_Withdrawals!A74="","",Agent01_Withdrawals!E74)</f>
        <v/>
      </c>
      <c r="H67" s="42" t="str">
        <f>IF(Agent01_Withdrawals!A74="","",Agent01_Withdrawals!G74)</f>
        <v/>
      </c>
      <c r="I67" s="40" t="str">
        <f>IF(Agent01_Withdrawals!A74="","",Agent01_Withdrawals!H74)</f>
        <v/>
      </c>
      <c r="J67" s="40" t="str">
        <f>IF(Agent01_Withdrawals!A74="","",Agent01_Withdrawals!J74)</f>
        <v/>
      </c>
      <c r="K67" s="40" t="str">
        <f>IF(Agent01_Withdrawals!A74="","",Agent01_Withdrawals!K74)</f>
        <v/>
      </c>
      <c r="L67" s="40" t="str">
        <f>IF(G67="","",IF(D67-G67&gt;=System_Config!$B$9,"✅ OK","⚠️ BREACH"))</f>
        <v/>
      </c>
      <c r="M67" s="40" t="str">
        <f>IFERROR(IF(Agent01_Withdrawals!A74="","",YEAR(Agent01_Withdrawals!D74)),"")</f>
        <v/>
      </c>
    </row>
    <row r="68" spans="1:13" ht="18" customHeight="1" x14ac:dyDescent="0.25">
      <c r="A68" s="40" t="str">
        <f>IF(Agent01_Withdrawals!A75="","",Agent01_Withdrawals!A75)</f>
        <v/>
      </c>
      <c r="B68" s="40" t="str">
        <f ca="1">IF(Agent01_Withdrawals!A75="","","WD"&amp;TEXT(68-3,"0000")&amp;"-"&amp;TEXT(TODAY(),"YYYYMMDD"))</f>
        <v/>
      </c>
      <c r="C68" s="40" t="str">
        <f>IF(Agent01_Withdrawals!A75="","",Agent01_Withdrawals!B75)</f>
        <v/>
      </c>
      <c r="D68" s="43" t="str">
        <f>IF(Agent01_Withdrawals!A75="","",Agent01_Withdrawals!C75)</f>
        <v/>
      </c>
      <c r="E68" s="41" t="str">
        <f>IF(Agent01_Withdrawals!A75="","",Agent01_Withdrawals!D75)</f>
        <v/>
      </c>
      <c r="F68" s="40" t="str">
        <f>IF(Agent01_Withdrawals!A75="","",Agent01_Withdrawals!F75)</f>
        <v/>
      </c>
      <c r="G68" s="42" t="str">
        <f>IF(Agent01_Withdrawals!A75="","",Agent01_Withdrawals!E75)</f>
        <v/>
      </c>
      <c r="H68" s="42" t="str">
        <f>IF(Agent01_Withdrawals!A75="","",Agent01_Withdrawals!G75)</f>
        <v/>
      </c>
      <c r="I68" s="40" t="str">
        <f>IF(Agent01_Withdrawals!A75="","",Agent01_Withdrawals!H75)</f>
        <v/>
      </c>
      <c r="J68" s="40" t="str">
        <f>IF(Agent01_Withdrawals!A75="","",Agent01_Withdrawals!J75)</f>
        <v/>
      </c>
      <c r="K68" s="40" t="str">
        <f>IF(Agent01_Withdrawals!A75="","",Agent01_Withdrawals!K75)</f>
        <v/>
      </c>
      <c r="L68" s="40" t="str">
        <f>IF(G68="","",IF(D68-G68&gt;=System_Config!$B$9,"✅ OK","⚠️ BREACH"))</f>
        <v/>
      </c>
      <c r="M68" s="40" t="str">
        <f>IFERROR(IF(Agent01_Withdrawals!A75="","",YEAR(Agent01_Withdrawals!D75)),"")</f>
        <v/>
      </c>
    </row>
    <row r="69" spans="1:13" ht="18" customHeight="1" x14ac:dyDescent="0.25">
      <c r="A69" s="40" t="str">
        <f>IF(Agent01_Withdrawals!A76="","",Agent01_Withdrawals!A76)</f>
        <v/>
      </c>
      <c r="B69" s="40" t="str">
        <f ca="1">IF(Agent01_Withdrawals!A76="","","WD"&amp;TEXT(69-3,"0000")&amp;"-"&amp;TEXT(TODAY(),"YYYYMMDD"))</f>
        <v/>
      </c>
      <c r="C69" s="40" t="str">
        <f>IF(Agent01_Withdrawals!A76="","",Agent01_Withdrawals!B76)</f>
        <v/>
      </c>
      <c r="D69" s="43" t="str">
        <f>IF(Agent01_Withdrawals!A76="","",Agent01_Withdrawals!C76)</f>
        <v/>
      </c>
      <c r="E69" s="41" t="str">
        <f>IF(Agent01_Withdrawals!A76="","",Agent01_Withdrawals!D76)</f>
        <v/>
      </c>
      <c r="F69" s="40" t="str">
        <f>IF(Agent01_Withdrawals!A76="","",Agent01_Withdrawals!F76)</f>
        <v/>
      </c>
      <c r="G69" s="42" t="str">
        <f>IF(Agent01_Withdrawals!A76="","",Agent01_Withdrawals!E76)</f>
        <v/>
      </c>
      <c r="H69" s="42" t="str">
        <f>IF(Agent01_Withdrawals!A76="","",Agent01_Withdrawals!G76)</f>
        <v/>
      </c>
      <c r="I69" s="40" t="str">
        <f>IF(Agent01_Withdrawals!A76="","",Agent01_Withdrawals!H76)</f>
        <v/>
      </c>
      <c r="J69" s="40" t="str">
        <f>IF(Agent01_Withdrawals!A76="","",Agent01_Withdrawals!J76)</f>
        <v/>
      </c>
      <c r="K69" s="40" t="str">
        <f>IF(Agent01_Withdrawals!A76="","",Agent01_Withdrawals!K76)</f>
        <v/>
      </c>
      <c r="L69" s="40" t="str">
        <f>IF(G69="","",IF(D69-G69&gt;=System_Config!$B$9,"✅ OK","⚠️ BREACH"))</f>
        <v/>
      </c>
      <c r="M69" s="40" t="str">
        <f>IFERROR(IF(Agent01_Withdrawals!A76="","",YEAR(Agent01_Withdrawals!D76)),"")</f>
        <v/>
      </c>
    </row>
    <row r="70" spans="1:13" ht="18" customHeight="1" x14ac:dyDescent="0.25">
      <c r="A70" s="40" t="str">
        <f>IF(Agent01_Withdrawals!A77="","",Agent01_Withdrawals!A77)</f>
        <v/>
      </c>
      <c r="B70" s="40" t="str">
        <f ca="1">IF(Agent01_Withdrawals!A77="","","WD"&amp;TEXT(70-3,"0000")&amp;"-"&amp;TEXT(TODAY(),"YYYYMMDD"))</f>
        <v/>
      </c>
      <c r="C70" s="40" t="str">
        <f>IF(Agent01_Withdrawals!A77="","",Agent01_Withdrawals!B77)</f>
        <v/>
      </c>
      <c r="D70" s="43" t="str">
        <f>IF(Agent01_Withdrawals!A77="","",Agent01_Withdrawals!C77)</f>
        <v/>
      </c>
      <c r="E70" s="41" t="str">
        <f>IF(Agent01_Withdrawals!A77="","",Agent01_Withdrawals!D77)</f>
        <v/>
      </c>
      <c r="F70" s="40" t="str">
        <f>IF(Agent01_Withdrawals!A77="","",Agent01_Withdrawals!F77)</f>
        <v/>
      </c>
      <c r="G70" s="42" t="str">
        <f>IF(Agent01_Withdrawals!A77="","",Agent01_Withdrawals!E77)</f>
        <v/>
      </c>
      <c r="H70" s="42" t="str">
        <f>IF(Agent01_Withdrawals!A77="","",Agent01_Withdrawals!G77)</f>
        <v/>
      </c>
      <c r="I70" s="40" t="str">
        <f>IF(Agent01_Withdrawals!A77="","",Agent01_Withdrawals!H77)</f>
        <v/>
      </c>
      <c r="J70" s="40" t="str">
        <f>IF(Agent01_Withdrawals!A77="","",Agent01_Withdrawals!J77)</f>
        <v/>
      </c>
      <c r="K70" s="40" t="str">
        <f>IF(Agent01_Withdrawals!A77="","",Agent01_Withdrawals!K77)</f>
        <v/>
      </c>
      <c r="L70" s="40" t="str">
        <f>IF(G70="","",IF(D70-G70&gt;=System_Config!$B$9,"✅ OK","⚠️ BREACH"))</f>
        <v/>
      </c>
      <c r="M70" s="40" t="str">
        <f>IFERROR(IF(Agent01_Withdrawals!A77="","",YEAR(Agent01_Withdrawals!D77)),"")</f>
        <v/>
      </c>
    </row>
    <row r="71" spans="1:13" ht="18" customHeight="1" x14ac:dyDescent="0.25">
      <c r="A71" s="40" t="str">
        <f>IF(Agent01_Withdrawals!A78="","",Agent01_Withdrawals!A78)</f>
        <v/>
      </c>
      <c r="B71" s="40" t="str">
        <f ca="1">IF(Agent01_Withdrawals!A78="","","WD"&amp;TEXT(71-3,"0000")&amp;"-"&amp;TEXT(TODAY(),"YYYYMMDD"))</f>
        <v/>
      </c>
      <c r="C71" s="40" t="str">
        <f>IF(Agent01_Withdrawals!A78="","",Agent01_Withdrawals!B78)</f>
        <v/>
      </c>
      <c r="D71" s="43" t="str">
        <f>IF(Agent01_Withdrawals!A78="","",Agent01_Withdrawals!C78)</f>
        <v/>
      </c>
      <c r="E71" s="41" t="str">
        <f>IF(Agent01_Withdrawals!A78="","",Agent01_Withdrawals!D78)</f>
        <v/>
      </c>
      <c r="F71" s="40" t="str">
        <f>IF(Agent01_Withdrawals!A78="","",Agent01_Withdrawals!F78)</f>
        <v/>
      </c>
      <c r="G71" s="42" t="str">
        <f>IF(Agent01_Withdrawals!A78="","",Agent01_Withdrawals!E78)</f>
        <v/>
      </c>
      <c r="H71" s="42" t="str">
        <f>IF(Agent01_Withdrawals!A78="","",Agent01_Withdrawals!G78)</f>
        <v/>
      </c>
      <c r="I71" s="40" t="str">
        <f>IF(Agent01_Withdrawals!A78="","",Agent01_Withdrawals!H78)</f>
        <v/>
      </c>
      <c r="J71" s="40" t="str">
        <f>IF(Agent01_Withdrawals!A78="","",Agent01_Withdrawals!J78)</f>
        <v/>
      </c>
      <c r="K71" s="40" t="str">
        <f>IF(Agent01_Withdrawals!A78="","",Agent01_Withdrawals!K78)</f>
        <v/>
      </c>
      <c r="L71" s="40" t="str">
        <f>IF(G71="","",IF(D71-G71&gt;=System_Config!$B$9,"✅ OK","⚠️ BREACH"))</f>
        <v/>
      </c>
      <c r="M71" s="40" t="str">
        <f>IFERROR(IF(Agent01_Withdrawals!A78="","",YEAR(Agent01_Withdrawals!D78)),"")</f>
        <v/>
      </c>
    </row>
    <row r="72" spans="1:13" ht="18" customHeight="1" x14ac:dyDescent="0.25">
      <c r="A72" s="40" t="str">
        <f>IF(Agent01_Withdrawals!A79="","",Agent01_Withdrawals!A79)</f>
        <v/>
      </c>
      <c r="B72" s="40" t="str">
        <f ca="1">IF(Agent01_Withdrawals!A79="","","WD"&amp;TEXT(72-3,"0000")&amp;"-"&amp;TEXT(TODAY(),"YYYYMMDD"))</f>
        <v/>
      </c>
      <c r="C72" s="40" t="str">
        <f>IF(Agent01_Withdrawals!A79="","",Agent01_Withdrawals!B79)</f>
        <v/>
      </c>
      <c r="D72" s="43" t="str">
        <f>IF(Agent01_Withdrawals!A79="","",Agent01_Withdrawals!C79)</f>
        <v/>
      </c>
      <c r="E72" s="41" t="str">
        <f>IF(Agent01_Withdrawals!A79="","",Agent01_Withdrawals!D79)</f>
        <v/>
      </c>
      <c r="F72" s="40" t="str">
        <f>IF(Agent01_Withdrawals!A79="","",Agent01_Withdrawals!F79)</f>
        <v/>
      </c>
      <c r="G72" s="42" t="str">
        <f>IF(Agent01_Withdrawals!A79="","",Agent01_Withdrawals!E79)</f>
        <v/>
      </c>
      <c r="H72" s="42" t="str">
        <f>IF(Agent01_Withdrawals!A79="","",Agent01_Withdrawals!G79)</f>
        <v/>
      </c>
      <c r="I72" s="40" t="str">
        <f>IF(Agent01_Withdrawals!A79="","",Agent01_Withdrawals!H79)</f>
        <v/>
      </c>
      <c r="J72" s="40" t="str">
        <f>IF(Agent01_Withdrawals!A79="","",Agent01_Withdrawals!J79)</f>
        <v/>
      </c>
      <c r="K72" s="40" t="str">
        <f>IF(Agent01_Withdrawals!A79="","",Agent01_Withdrawals!K79)</f>
        <v/>
      </c>
      <c r="L72" s="40" t="str">
        <f>IF(G72="","",IF(D72-G72&gt;=System_Config!$B$9,"✅ OK","⚠️ BREACH"))</f>
        <v/>
      </c>
      <c r="M72" s="40" t="str">
        <f>IFERROR(IF(Agent01_Withdrawals!A79="","",YEAR(Agent01_Withdrawals!D79)),"")</f>
        <v/>
      </c>
    </row>
    <row r="73" spans="1:13" ht="18" customHeight="1" x14ac:dyDescent="0.25">
      <c r="A73" s="40" t="str">
        <f>IF(Agent01_Withdrawals!A80="","",Agent01_Withdrawals!A80)</f>
        <v/>
      </c>
      <c r="B73" s="40" t="str">
        <f ca="1">IF(Agent01_Withdrawals!A80="","","WD"&amp;TEXT(73-3,"0000")&amp;"-"&amp;TEXT(TODAY(),"YYYYMMDD"))</f>
        <v/>
      </c>
      <c r="C73" s="40" t="str">
        <f>IF(Agent01_Withdrawals!A80="","",Agent01_Withdrawals!B80)</f>
        <v/>
      </c>
      <c r="D73" s="43" t="str">
        <f>IF(Agent01_Withdrawals!A80="","",Agent01_Withdrawals!C80)</f>
        <v/>
      </c>
      <c r="E73" s="41" t="str">
        <f>IF(Agent01_Withdrawals!A80="","",Agent01_Withdrawals!D80)</f>
        <v/>
      </c>
      <c r="F73" s="40" t="str">
        <f>IF(Agent01_Withdrawals!A80="","",Agent01_Withdrawals!F80)</f>
        <v/>
      </c>
      <c r="G73" s="42" t="str">
        <f>IF(Agent01_Withdrawals!A80="","",Agent01_Withdrawals!E80)</f>
        <v/>
      </c>
      <c r="H73" s="42" t="str">
        <f>IF(Agent01_Withdrawals!A80="","",Agent01_Withdrawals!G80)</f>
        <v/>
      </c>
      <c r="I73" s="40" t="str">
        <f>IF(Agent01_Withdrawals!A80="","",Agent01_Withdrawals!H80)</f>
        <v/>
      </c>
      <c r="J73" s="40" t="str">
        <f>IF(Agent01_Withdrawals!A80="","",Agent01_Withdrawals!J80)</f>
        <v/>
      </c>
      <c r="K73" s="40" t="str">
        <f>IF(Agent01_Withdrawals!A80="","",Agent01_Withdrawals!K80)</f>
        <v/>
      </c>
      <c r="L73" s="40" t="str">
        <f>IF(G73="","",IF(D73-G73&gt;=System_Config!$B$9,"✅ OK","⚠️ BREACH"))</f>
        <v/>
      </c>
      <c r="M73" s="40" t="str">
        <f>IFERROR(IF(Agent01_Withdrawals!A80="","",YEAR(Agent01_Withdrawals!D80)),"")</f>
        <v/>
      </c>
    </row>
    <row r="74" spans="1:13" ht="18" customHeight="1" x14ac:dyDescent="0.25">
      <c r="A74" s="40" t="str">
        <f>IF(Agent01_Withdrawals!A81="","",Agent01_Withdrawals!A81)</f>
        <v/>
      </c>
      <c r="B74" s="40" t="str">
        <f ca="1">IF(Agent01_Withdrawals!A81="","","WD"&amp;TEXT(74-3,"0000")&amp;"-"&amp;TEXT(TODAY(),"YYYYMMDD"))</f>
        <v/>
      </c>
      <c r="C74" s="40" t="str">
        <f>IF(Agent01_Withdrawals!A81="","",Agent01_Withdrawals!B81)</f>
        <v/>
      </c>
      <c r="D74" s="43" t="str">
        <f>IF(Agent01_Withdrawals!A81="","",Agent01_Withdrawals!C81)</f>
        <v/>
      </c>
      <c r="E74" s="41" t="str">
        <f>IF(Agent01_Withdrawals!A81="","",Agent01_Withdrawals!D81)</f>
        <v/>
      </c>
      <c r="F74" s="40" t="str">
        <f>IF(Agent01_Withdrawals!A81="","",Agent01_Withdrawals!F81)</f>
        <v/>
      </c>
      <c r="G74" s="42" t="str">
        <f>IF(Agent01_Withdrawals!A81="","",Agent01_Withdrawals!E81)</f>
        <v/>
      </c>
      <c r="H74" s="42" t="str">
        <f>IF(Agent01_Withdrawals!A81="","",Agent01_Withdrawals!G81)</f>
        <v/>
      </c>
      <c r="I74" s="40" t="str">
        <f>IF(Agent01_Withdrawals!A81="","",Agent01_Withdrawals!H81)</f>
        <v/>
      </c>
      <c r="J74" s="40" t="str">
        <f>IF(Agent01_Withdrawals!A81="","",Agent01_Withdrawals!J81)</f>
        <v/>
      </c>
      <c r="K74" s="40" t="str">
        <f>IF(Agent01_Withdrawals!A81="","",Agent01_Withdrawals!K81)</f>
        <v/>
      </c>
      <c r="L74" s="40" t="str">
        <f>IF(G74="","",IF(D74-G74&gt;=System_Config!$B$9,"✅ OK","⚠️ BREACH"))</f>
        <v/>
      </c>
      <c r="M74" s="40" t="str">
        <f>IFERROR(IF(Agent01_Withdrawals!A81="","",YEAR(Agent01_Withdrawals!D81)),"")</f>
        <v/>
      </c>
    </row>
    <row r="75" spans="1:13" ht="18" customHeight="1" x14ac:dyDescent="0.25">
      <c r="A75" s="40" t="str">
        <f>IF(Agent01_Withdrawals!A82="","",Agent01_Withdrawals!A82)</f>
        <v/>
      </c>
      <c r="B75" s="40" t="str">
        <f ca="1">IF(Agent01_Withdrawals!A82="","","WD"&amp;TEXT(75-3,"0000")&amp;"-"&amp;TEXT(TODAY(),"YYYYMMDD"))</f>
        <v/>
      </c>
      <c r="C75" s="40" t="str">
        <f>IF(Agent01_Withdrawals!A82="","",Agent01_Withdrawals!B82)</f>
        <v/>
      </c>
      <c r="D75" s="43" t="str">
        <f>IF(Agent01_Withdrawals!A82="","",Agent01_Withdrawals!C82)</f>
        <v/>
      </c>
      <c r="E75" s="41" t="str">
        <f>IF(Agent01_Withdrawals!A82="","",Agent01_Withdrawals!D82)</f>
        <v/>
      </c>
      <c r="F75" s="40" t="str">
        <f>IF(Agent01_Withdrawals!A82="","",Agent01_Withdrawals!F82)</f>
        <v/>
      </c>
      <c r="G75" s="42" t="str">
        <f>IF(Agent01_Withdrawals!A82="","",Agent01_Withdrawals!E82)</f>
        <v/>
      </c>
      <c r="H75" s="42" t="str">
        <f>IF(Agent01_Withdrawals!A82="","",Agent01_Withdrawals!G82)</f>
        <v/>
      </c>
      <c r="I75" s="40" t="str">
        <f>IF(Agent01_Withdrawals!A82="","",Agent01_Withdrawals!H82)</f>
        <v/>
      </c>
      <c r="J75" s="40" t="str">
        <f>IF(Agent01_Withdrawals!A82="","",Agent01_Withdrawals!J82)</f>
        <v/>
      </c>
      <c r="K75" s="40" t="str">
        <f>IF(Agent01_Withdrawals!A82="","",Agent01_Withdrawals!K82)</f>
        <v/>
      </c>
      <c r="L75" s="40" t="str">
        <f>IF(G75="","",IF(D75-G75&gt;=System_Config!$B$9,"✅ OK","⚠️ BREACH"))</f>
        <v/>
      </c>
      <c r="M75" s="40" t="str">
        <f>IFERROR(IF(Agent01_Withdrawals!A82="","",YEAR(Agent01_Withdrawals!D82)),"")</f>
        <v/>
      </c>
    </row>
    <row r="76" spans="1:13" ht="18" customHeight="1" x14ac:dyDescent="0.25">
      <c r="A76" s="40" t="str">
        <f>IF(Agent01_Withdrawals!A83="","",Agent01_Withdrawals!A83)</f>
        <v/>
      </c>
      <c r="B76" s="40" t="str">
        <f ca="1">IF(Agent01_Withdrawals!A83="","","WD"&amp;TEXT(76-3,"0000")&amp;"-"&amp;TEXT(TODAY(),"YYYYMMDD"))</f>
        <v/>
      </c>
      <c r="C76" s="40" t="str">
        <f>IF(Agent01_Withdrawals!A83="","",Agent01_Withdrawals!B83)</f>
        <v/>
      </c>
      <c r="D76" s="43" t="str">
        <f>IF(Agent01_Withdrawals!A83="","",Agent01_Withdrawals!C83)</f>
        <v/>
      </c>
      <c r="E76" s="41" t="str">
        <f>IF(Agent01_Withdrawals!A83="","",Agent01_Withdrawals!D83)</f>
        <v/>
      </c>
      <c r="F76" s="40" t="str">
        <f>IF(Agent01_Withdrawals!A83="","",Agent01_Withdrawals!F83)</f>
        <v/>
      </c>
      <c r="G76" s="42" t="str">
        <f>IF(Agent01_Withdrawals!A83="","",Agent01_Withdrawals!E83)</f>
        <v/>
      </c>
      <c r="H76" s="42" t="str">
        <f>IF(Agent01_Withdrawals!A83="","",Agent01_Withdrawals!G83)</f>
        <v/>
      </c>
      <c r="I76" s="40" t="str">
        <f>IF(Agent01_Withdrawals!A83="","",Agent01_Withdrawals!H83)</f>
        <v/>
      </c>
      <c r="J76" s="40" t="str">
        <f>IF(Agent01_Withdrawals!A83="","",Agent01_Withdrawals!J83)</f>
        <v/>
      </c>
      <c r="K76" s="40" t="str">
        <f>IF(Agent01_Withdrawals!A83="","",Agent01_Withdrawals!K83)</f>
        <v/>
      </c>
      <c r="L76" s="40" t="str">
        <f>IF(G76="","",IF(D76-G76&gt;=System_Config!$B$9,"✅ OK","⚠️ BREACH"))</f>
        <v/>
      </c>
      <c r="M76" s="40" t="str">
        <f>IFERROR(IF(Agent01_Withdrawals!A83="","",YEAR(Agent01_Withdrawals!D83)),"")</f>
        <v/>
      </c>
    </row>
    <row r="77" spans="1:13" ht="18" customHeight="1" x14ac:dyDescent="0.25">
      <c r="A77" s="40" t="str">
        <f>IF(Agent01_Withdrawals!A84="","",Agent01_Withdrawals!A84)</f>
        <v/>
      </c>
      <c r="B77" s="40" t="str">
        <f ca="1">IF(Agent01_Withdrawals!A84="","","WD"&amp;TEXT(77-3,"0000")&amp;"-"&amp;TEXT(TODAY(),"YYYYMMDD"))</f>
        <v/>
      </c>
      <c r="C77" s="40" t="str">
        <f>IF(Agent01_Withdrawals!A84="","",Agent01_Withdrawals!B84)</f>
        <v/>
      </c>
      <c r="D77" s="43" t="str">
        <f>IF(Agent01_Withdrawals!A84="","",Agent01_Withdrawals!C84)</f>
        <v/>
      </c>
      <c r="E77" s="41" t="str">
        <f>IF(Agent01_Withdrawals!A84="","",Agent01_Withdrawals!D84)</f>
        <v/>
      </c>
      <c r="F77" s="40" t="str">
        <f>IF(Agent01_Withdrawals!A84="","",Agent01_Withdrawals!F84)</f>
        <v/>
      </c>
      <c r="G77" s="42" t="str">
        <f>IF(Agent01_Withdrawals!A84="","",Agent01_Withdrawals!E84)</f>
        <v/>
      </c>
      <c r="H77" s="42" t="str">
        <f>IF(Agent01_Withdrawals!A84="","",Agent01_Withdrawals!G84)</f>
        <v/>
      </c>
      <c r="I77" s="40" t="str">
        <f>IF(Agent01_Withdrawals!A84="","",Agent01_Withdrawals!H84)</f>
        <v/>
      </c>
      <c r="J77" s="40" t="str">
        <f>IF(Agent01_Withdrawals!A84="","",Agent01_Withdrawals!J84)</f>
        <v/>
      </c>
      <c r="K77" s="40" t="str">
        <f>IF(Agent01_Withdrawals!A84="","",Agent01_Withdrawals!K84)</f>
        <v/>
      </c>
      <c r="L77" s="40" t="str">
        <f>IF(G77="","",IF(D77-G77&gt;=System_Config!$B$9,"✅ OK","⚠️ BREACH"))</f>
        <v/>
      </c>
      <c r="M77" s="40" t="str">
        <f>IFERROR(IF(Agent01_Withdrawals!A84="","",YEAR(Agent01_Withdrawals!D84)),"")</f>
        <v/>
      </c>
    </row>
    <row r="78" spans="1:13" ht="18" customHeight="1" x14ac:dyDescent="0.25">
      <c r="A78" s="40" t="str">
        <f>IF(Agent01_Withdrawals!A85="","",Agent01_Withdrawals!A85)</f>
        <v/>
      </c>
      <c r="B78" s="40" t="str">
        <f ca="1">IF(Agent01_Withdrawals!A85="","","WD"&amp;TEXT(78-3,"0000")&amp;"-"&amp;TEXT(TODAY(),"YYYYMMDD"))</f>
        <v/>
      </c>
      <c r="C78" s="40" t="str">
        <f>IF(Agent01_Withdrawals!A85="","",Agent01_Withdrawals!B85)</f>
        <v/>
      </c>
      <c r="D78" s="43" t="str">
        <f>IF(Agent01_Withdrawals!A85="","",Agent01_Withdrawals!C85)</f>
        <v/>
      </c>
      <c r="E78" s="41" t="str">
        <f>IF(Agent01_Withdrawals!A85="","",Agent01_Withdrawals!D85)</f>
        <v/>
      </c>
      <c r="F78" s="40" t="str">
        <f>IF(Agent01_Withdrawals!A85="","",Agent01_Withdrawals!F85)</f>
        <v/>
      </c>
      <c r="G78" s="42" t="str">
        <f>IF(Agent01_Withdrawals!A85="","",Agent01_Withdrawals!E85)</f>
        <v/>
      </c>
      <c r="H78" s="42" t="str">
        <f>IF(Agent01_Withdrawals!A85="","",Agent01_Withdrawals!G85)</f>
        <v/>
      </c>
      <c r="I78" s="40" t="str">
        <f>IF(Agent01_Withdrawals!A85="","",Agent01_Withdrawals!H85)</f>
        <v/>
      </c>
      <c r="J78" s="40" t="str">
        <f>IF(Agent01_Withdrawals!A85="","",Agent01_Withdrawals!J85)</f>
        <v/>
      </c>
      <c r="K78" s="40" t="str">
        <f>IF(Agent01_Withdrawals!A85="","",Agent01_Withdrawals!K85)</f>
        <v/>
      </c>
      <c r="L78" s="40" t="str">
        <f>IF(G78="","",IF(D78-G78&gt;=System_Config!$B$9,"✅ OK","⚠️ BREACH"))</f>
        <v/>
      </c>
      <c r="M78" s="40" t="str">
        <f>IFERROR(IF(Agent01_Withdrawals!A85="","",YEAR(Agent01_Withdrawals!D85)),"")</f>
        <v/>
      </c>
    </row>
    <row r="79" spans="1:13" ht="18" customHeight="1" x14ac:dyDescent="0.25">
      <c r="A79" s="40" t="str">
        <f>IF(Agent01_Withdrawals!A86="","",Agent01_Withdrawals!A86)</f>
        <v/>
      </c>
      <c r="B79" s="40" t="str">
        <f ca="1">IF(Agent01_Withdrawals!A86="","","WD"&amp;TEXT(79-3,"0000")&amp;"-"&amp;TEXT(TODAY(),"YYYYMMDD"))</f>
        <v/>
      </c>
      <c r="C79" s="40" t="str">
        <f>IF(Agent01_Withdrawals!A86="","",Agent01_Withdrawals!B86)</f>
        <v/>
      </c>
      <c r="D79" s="43" t="str">
        <f>IF(Agent01_Withdrawals!A86="","",Agent01_Withdrawals!C86)</f>
        <v/>
      </c>
      <c r="E79" s="41" t="str">
        <f>IF(Agent01_Withdrawals!A86="","",Agent01_Withdrawals!D86)</f>
        <v/>
      </c>
      <c r="F79" s="40" t="str">
        <f>IF(Agent01_Withdrawals!A86="","",Agent01_Withdrawals!F86)</f>
        <v/>
      </c>
      <c r="G79" s="42" t="str">
        <f>IF(Agent01_Withdrawals!A86="","",Agent01_Withdrawals!E86)</f>
        <v/>
      </c>
      <c r="H79" s="42" t="str">
        <f>IF(Agent01_Withdrawals!A86="","",Agent01_Withdrawals!G86)</f>
        <v/>
      </c>
      <c r="I79" s="40" t="str">
        <f>IF(Agent01_Withdrawals!A86="","",Agent01_Withdrawals!H86)</f>
        <v/>
      </c>
      <c r="J79" s="40" t="str">
        <f>IF(Agent01_Withdrawals!A86="","",Agent01_Withdrawals!J86)</f>
        <v/>
      </c>
      <c r="K79" s="40" t="str">
        <f>IF(Agent01_Withdrawals!A86="","",Agent01_Withdrawals!K86)</f>
        <v/>
      </c>
      <c r="L79" s="40" t="str">
        <f>IF(G79="","",IF(D79-G79&gt;=System_Config!$B$9,"✅ OK","⚠️ BREACH"))</f>
        <v/>
      </c>
      <c r="M79" s="40" t="str">
        <f>IFERROR(IF(Agent01_Withdrawals!A86="","",YEAR(Agent01_Withdrawals!D86)),"")</f>
        <v/>
      </c>
    </row>
    <row r="80" spans="1:13" ht="18" customHeight="1" x14ac:dyDescent="0.25">
      <c r="A80" s="40" t="str">
        <f>IF(Agent01_Withdrawals!A87="","",Agent01_Withdrawals!A87)</f>
        <v/>
      </c>
      <c r="B80" s="40" t="str">
        <f ca="1">IF(Agent01_Withdrawals!A87="","","WD"&amp;TEXT(80-3,"0000")&amp;"-"&amp;TEXT(TODAY(),"YYYYMMDD"))</f>
        <v/>
      </c>
      <c r="C80" s="40" t="str">
        <f>IF(Agent01_Withdrawals!A87="","",Agent01_Withdrawals!B87)</f>
        <v/>
      </c>
      <c r="D80" s="43" t="str">
        <f>IF(Agent01_Withdrawals!A87="","",Agent01_Withdrawals!C87)</f>
        <v/>
      </c>
      <c r="E80" s="41" t="str">
        <f>IF(Agent01_Withdrawals!A87="","",Agent01_Withdrawals!D87)</f>
        <v/>
      </c>
      <c r="F80" s="40" t="str">
        <f>IF(Agent01_Withdrawals!A87="","",Agent01_Withdrawals!F87)</f>
        <v/>
      </c>
      <c r="G80" s="42" t="str">
        <f>IF(Agent01_Withdrawals!A87="","",Agent01_Withdrawals!E87)</f>
        <v/>
      </c>
      <c r="H80" s="42" t="str">
        <f>IF(Agent01_Withdrawals!A87="","",Agent01_Withdrawals!G87)</f>
        <v/>
      </c>
      <c r="I80" s="40" t="str">
        <f>IF(Agent01_Withdrawals!A87="","",Agent01_Withdrawals!H87)</f>
        <v/>
      </c>
      <c r="J80" s="40" t="str">
        <f>IF(Agent01_Withdrawals!A87="","",Agent01_Withdrawals!J87)</f>
        <v/>
      </c>
      <c r="K80" s="40" t="str">
        <f>IF(Agent01_Withdrawals!A87="","",Agent01_Withdrawals!K87)</f>
        <v/>
      </c>
      <c r="L80" s="40" t="str">
        <f>IF(G80="","",IF(D80-G80&gt;=System_Config!$B$9,"✅ OK","⚠️ BREACH"))</f>
        <v/>
      </c>
      <c r="M80" s="40" t="str">
        <f>IFERROR(IF(Agent01_Withdrawals!A87="","",YEAR(Agent01_Withdrawals!D87)),"")</f>
        <v/>
      </c>
    </row>
    <row r="81" spans="1:13" ht="18" customHeight="1" x14ac:dyDescent="0.25">
      <c r="A81" s="40" t="str">
        <f>IF(Agent01_Withdrawals!A88="","",Agent01_Withdrawals!A88)</f>
        <v/>
      </c>
      <c r="B81" s="40" t="str">
        <f ca="1">IF(Agent01_Withdrawals!A88="","","WD"&amp;TEXT(81-3,"0000")&amp;"-"&amp;TEXT(TODAY(),"YYYYMMDD"))</f>
        <v/>
      </c>
      <c r="C81" s="40" t="str">
        <f>IF(Agent01_Withdrawals!A88="","",Agent01_Withdrawals!B88)</f>
        <v/>
      </c>
      <c r="D81" s="43" t="str">
        <f>IF(Agent01_Withdrawals!A88="","",Agent01_Withdrawals!C88)</f>
        <v/>
      </c>
      <c r="E81" s="41" t="str">
        <f>IF(Agent01_Withdrawals!A88="","",Agent01_Withdrawals!D88)</f>
        <v/>
      </c>
      <c r="F81" s="40" t="str">
        <f>IF(Agent01_Withdrawals!A88="","",Agent01_Withdrawals!F88)</f>
        <v/>
      </c>
      <c r="G81" s="42" t="str">
        <f>IF(Agent01_Withdrawals!A88="","",Agent01_Withdrawals!E88)</f>
        <v/>
      </c>
      <c r="H81" s="42" t="str">
        <f>IF(Agent01_Withdrawals!A88="","",Agent01_Withdrawals!G88)</f>
        <v/>
      </c>
      <c r="I81" s="40" t="str">
        <f>IF(Agent01_Withdrawals!A88="","",Agent01_Withdrawals!H88)</f>
        <v/>
      </c>
      <c r="J81" s="40" t="str">
        <f>IF(Agent01_Withdrawals!A88="","",Agent01_Withdrawals!J88)</f>
        <v/>
      </c>
      <c r="K81" s="40" t="str">
        <f>IF(Agent01_Withdrawals!A88="","",Agent01_Withdrawals!K88)</f>
        <v/>
      </c>
      <c r="L81" s="40" t="str">
        <f>IF(G81="","",IF(D81-G81&gt;=System_Config!$B$9,"✅ OK","⚠️ BREACH"))</f>
        <v/>
      </c>
      <c r="M81" s="40" t="str">
        <f>IFERROR(IF(Agent01_Withdrawals!A88="","",YEAR(Agent01_Withdrawals!D88)),"")</f>
        <v/>
      </c>
    </row>
    <row r="82" spans="1:13" ht="18" customHeight="1" x14ac:dyDescent="0.25">
      <c r="A82" s="40" t="str">
        <f>IF(Agent01_Withdrawals!A89="","",Agent01_Withdrawals!A89)</f>
        <v/>
      </c>
      <c r="B82" s="40" t="str">
        <f ca="1">IF(Agent01_Withdrawals!A89="","","WD"&amp;TEXT(82-3,"0000")&amp;"-"&amp;TEXT(TODAY(),"YYYYMMDD"))</f>
        <v/>
      </c>
      <c r="C82" s="40" t="str">
        <f>IF(Agent01_Withdrawals!A89="","",Agent01_Withdrawals!B89)</f>
        <v/>
      </c>
      <c r="D82" s="43" t="str">
        <f>IF(Agent01_Withdrawals!A89="","",Agent01_Withdrawals!C89)</f>
        <v/>
      </c>
      <c r="E82" s="41" t="str">
        <f>IF(Agent01_Withdrawals!A89="","",Agent01_Withdrawals!D89)</f>
        <v/>
      </c>
      <c r="F82" s="40" t="str">
        <f>IF(Agent01_Withdrawals!A89="","",Agent01_Withdrawals!F89)</f>
        <v/>
      </c>
      <c r="G82" s="42" t="str">
        <f>IF(Agent01_Withdrawals!A89="","",Agent01_Withdrawals!E89)</f>
        <v/>
      </c>
      <c r="H82" s="42" t="str">
        <f>IF(Agent01_Withdrawals!A89="","",Agent01_Withdrawals!G89)</f>
        <v/>
      </c>
      <c r="I82" s="40" t="str">
        <f>IF(Agent01_Withdrawals!A89="","",Agent01_Withdrawals!H89)</f>
        <v/>
      </c>
      <c r="J82" s="40" t="str">
        <f>IF(Agent01_Withdrawals!A89="","",Agent01_Withdrawals!J89)</f>
        <v/>
      </c>
      <c r="K82" s="40" t="str">
        <f>IF(Agent01_Withdrawals!A89="","",Agent01_Withdrawals!K89)</f>
        <v/>
      </c>
      <c r="L82" s="40" t="str">
        <f>IF(G82="","",IF(D82-G82&gt;=System_Config!$B$9,"✅ OK","⚠️ BREACH"))</f>
        <v/>
      </c>
      <c r="M82" s="40" t="str">
        <f>IFERROR(IF(Agent01_Withdrawals!A89="","",YEAR(Agent01_Withdrawals!D89)),"")</f>
        <v/>
      </c>
    </row>
    <row r="83" spans="1:13" ht="18" customHeight="1" x14ac:dyDescent="0.25">
      <c r="A83" s="40" t="str">
        <f>IF(Agent01_Withdrawals!A90="","",Agent01_Withdrawals!A90)</f>
        <v/>
      </c>
      <c r="B83" s="40" t="str">
        <f ca="1">IF(Agent01_Withdrawals!A90="","","WD"&amp;TEXT(83-3,"0000")&amp;"-"&amp;TEXT(TODAY(),"YYYYMMDD"))</f>
        <v/>
      </c>
      <c r="C83" s="40" t="str">
        <f>IF(Agent01_Withdrawals!A90="","",Agent01_Withdrawals!B90)</f>
        <v/>
      </c>
      <c r="D83" s="43" t="str">
        <f>IF(Agent01_Withdrawals!A90="","",Agent01_Withdrawals!C90)</f>
        <v/>
      </c>
      <c r="E83" s="41" t="str">
        <f>IF(Agent01_Withdrawals!A90="","",Agent01_Withdrawals!D90)</f>
        <v/>
      </c>
      <c r="F83" s="40" t="str">
        <f>IF(Agent01_Withdrawals!A90="","",Agent01_Withdrawals!F90)</f>
        <v/>
      </c>
      <c r="G83" s="42" t="str">
        <f>IF(Agent01_Withdrawals!A90="","",Agent01_Withdrawals!E90)</f>
        <v/>
      </c>
      <c r="H83" s="42" t="str">
        <f>IF(Agent01_Withdrawals!A90="","",Agent01_Withdrawals!G90)</f>
        <v/>
      </c>
      <c r="I83" s="40" t="str">
        <f>IF(Agent01_Withdrawals!A90="","",Agent01_Withdrawals!H90)</f>
        <v/>
      </c>
      <c r="J83" s="40" t="str">
        <f>IF(Agent01_Withdrawals!A90="","",Agent01_Withdrawals!J90)</f>
        <v/>
      </c>
      <c r="K83" s="40" t="str">
        <f>IF(Agent01_Withdrawals!A90="","",Agent01_Withdrawals!K90)</f>
        <v/>
      </c>
      <c r="L83" s="40" t="str">
        <f>IF(G83="","",IF(D83-G83&gt;=System_Config!$B$9,"✅ OK","⚠️ BREACH"))</f>
        <v/>
      </c>
      <c r="M83" s="40" t="str">
        <f>IFERROR(IF(Agent01_Withdrawals!A90="","",YEAR(Agent01_Withdrawals!D90)),"")</f>
        <v/>
      </c>
    </row>
    <row r="84" spans="1:13" ht="18" customHeight="1" x14ac:dyDescent="0.25">
      <c r="A84" s="40" t="str">
        <f>IF(Agent01_Withdrawals!A91="","",Agent01_Withdrawals!A91)</f>
        <v/>
      </c>
      <c r="B84" s="40" t="str">
        <f ca="1">IF(Agent01_Withdrawals!A91="","","WD"&amp;TEXT(84-3,"0000")&amp;"-"&amp;TEXT(TODAY(),"YYYYMMDD"))</f>
        <v/>
      </c>
      <c r="C84" s="40" t="str">
        <f>IF(Agent01_Withdrawals!A91="","",Agent01_Withdrawals!B91)</f>
        <v/>
      </c>
      <c r="D84" s="43" t="str">
        <f>IF(Agent01_Withdrawals!A91="","",Agent01_Withdrawals!C91)</f>
        <v/>
      </c>
      <c r="E84" s="41" t="str">
        <f>IF(Agent01_Withdrawals!A91="","",Agent01_Withdrawals!D91)</f>
        <v/>
      </c>
      <c r="F84" s="40" t="str">
        <f>IF(Agent01_Withdrawals!A91="","",Agent01_Withdrawals!F91)</f>
        <v/>
      </c>
      <c r="G84" s="42" t="str">
        <f>IF(Agent01_Withdrawals!A91="","",Agent01_Withdrawals!E91)</f>
        <v/>
      </c>
      <c r="H84" s="42" t="str">
        <f>IF(Agent01_Withdrawals!A91="","",Agent01_Withdrawals!G91)</f>
        <v/>
      </c>
      <c r="I84" s="40" t="str">
        <f>IF(Agent01_Withdrawals!A91="","",Agent01_Withdrawals!H91)</f>
        <v/>
      </c>
      <c r="J84" s="40" t="str">
        <f>IF(Agent01_Withdrawals!A91="","",Agent01_Withdrawals!J91)</f>
        <v/>
      </c>
      <c r="K84" s="40" t="str">
        <f>IF(Agent01_Withdrawals!A91="","",Agent01_Withdrawals!K91)</f>
        <v/>
      </c>
      <c r="L84" s="40" t="str">
        <f>IF(G84="","",IF(D84-G84&gt;=System_Config!$B$9,"✅ OK","⚠️ BREACH"))</f>
        <v/>
      </c>
      <c r="M84" s="40" t="str">
        <f>IFERROR(IF(Agent01_Withdrawals!A91="","",YEAR(Agent01_Withdrawals!D91)),"")</f>
        <v/>
      </c>
    </row>
    <row r="85" spans="1:13" ht="18" customHeight="1" x14ac:dyDescent="0.25">
      <c r="A85" s="40" t="str">
        <f>IF(Agent01_Withdrawals!A92="","",Agent01_Withdrawals!A92)</f>
        <v/>
      </c>
      <c r="B85" s="40" t="str">
        <f ca="1">IF(Agent01_Withdrawals!A92="","","WD"&amp;TEXT(85-3,"0000")&amp;"-"&amp;TEXT(TODAY(),"YYYYMMDD"))</f>
        <v/>
      </c>
      <c r="C85" s="40" t="str">
        <f>IF(Agent01_Withdrawals!A92="","",Agent01_Withdrawals!B92)</f>
        <v/>
      </c>
      <c r="D85" s="43" t="str">
        <f>IF(Agent01_Withdrawals!A92="","",Agent01_Withdrawals!C92)</f>
        <v/>
      </c>
      <c r="E85" s="41" t="str">
        <f>IF(Agent01_Withdrawals!A92="","",Agent01_Withdrawals!D92)</f>
        <v/>
      </c>
      <c r="F85" s="40" t="str">
        <f>IF(Agent01_Withdrawals!A92="","",Agent01_Withdrawals!F92)</f>
        <v/>
      </c>
      <c r="G85" s="42" t="str">
        <f>IF(Agent01_Withdrawals!A92="","",Agent01_Withdrawals!E92)</f>
        <v/>
      </c>
      <c r="H85" s="42" t="str">
        <f>IF(Agent01_Withdrawals!A92="","",Agent01_Withdrawals!G92)</f>
        <v/>
      </c>
      <c r="I85" s="40" t="str">
        <f>IF(Agent01_Withdrawals!A92="","",Agent01_Withdrawals!H92)</f>
        <v/>
      </c>
      <c r="J85" s="40" t="str">
        <f>IF(Agent01_Withdrawals!A92="","",Agent01_Withdrawals!J92)</f>
        <v/>
      </c>
      <c r="K85" s="40" t="str">
        <f>IF(Agent01_Withdrawals!A92="","",Agent01_Withdrawals!K92)</f>
        <v/>
      </c>
      <c r="L85" s="40" t="str">
        <f>IF(G85="","",IF(D85-G85&gt;=System_Config!$B$9,"✅ OK","⚠️ BREACH"))</f>
        <v/>
      </c>
      <c r="M85" s="40" t="str">
        <f>IFERROR(IF(Agent01_Withdrawals!A92="","",YEAR(Agent01_Withdrawals!D92)),"")</f>
        <v/>
      </c>
    </row>
    <row r="86" spans="1:13" ht="18" customHeight="1" x14ac:dyDescent="0.25">
      <c r="A86" s="40" t="str">
        <f>IF(Agent01_Withdrawals!A93="","",Agent01_Withdrawals!A93)</f>
        <v/>
      </c>
      <c r="B86" s="40" t="str">
        <f ca="1">IF(Agent01_Withdrawals!A93="","","WD"&amp;TEXT(86-3,"0000")&amp;"-"&amp;TEXT(TODAY(),"YYYYMMDD"))</f>
        <v/>
      </c>
      <c r="C86" s="40" t="str">
        <f>IF(Agent01_Withdrawals!A93="","",Agent01_Withdrawals!B93)</f>
        <v/>
      </c>
      <c r="D86" s="43" t="str">
        <f>IF(Agent01_Withdrawals!A93="","",Agent01_Withdrawals!C93)</f>
        <v/>
      </c>
      <c r="E86" s="41" t="str">
        <f>IF(Agent01_Withdrawals!A93="","",Agent01_Withdrawals!D93)</f>
        <v/>
      </c>
      <c r="F86" s="40" t="str">
        <f>IF(Agent01_Withdrawals!A93="","",Agent01_Withdrawals!F93)</f>
        <v/>
      </c>
      <c r="G86" s="42" t="str">
        <f>IF(Agent01_Withdrawals!A93="","",Agent01_Withdrawals!E93)</f>
        <v/>
      </c>
      <c r="H86" s="42" t="str">
        <f>IF(Agent01_Withdrawals!A93="","",Agent01_Withdrawals!G93)</f>
        <v/>
      </c>
      <c r="I86" s="40" t="str">
        <f>IF(Agent01_Withdrawals!A93="","",Agent01_Withdrawals!H93)</f>
        <v/>
      </c>
      <c r="J86" s="40" t="str">
        <f>IF(Agent01_Withdrawals!A93="","",Agent01_Withdrawals!J93)</f>
        <v/>
      </c>
      <c r="K86" s="40" t="str">
        <f>IF(Agent01_Withdrawals!A93="","",Agent01_Withdrawals!K93)</f>
        <v/>
      </c>
      <c r="L86" s="40" t="str">
        <f>IF(G86="","",IF(D86-G86&gt;=System_Config!$B$9,"✅ OK","⚠️ BREACH"))</f>
        <v/>
      </c>
      <c r="M86" s="40" t="str">
        <f>IFERROR(IF(Agent01_Withdrawals!A93="","",YEAR(Agent01_Withdrawals!D93)),"")</f>
        <v/>
      </c>
    </row>
    <row r="87" spans="1:13" ht="18" customHeight="1" x14ac:dyDescent="0.25">
      <c r="A87" s="40" t="str">
        <f>IF(Agent01_Withdrawals!A94="","",Agent01_Withdrawals!A94)</f>
        <v/>
      </c>
      <c r="B87" s="40" t="str">
        <f ca="1">IF(Agent01_Withdrawals!A94="","","WD"&amp;TEXT(87-3,"0000")&amp;"-"&amp;TEXT(TODAY(),"YYYYMMDD"))</f>
        <v/>
      </c>
      <c r="C87" s="40" t="str">
        <f>IF(Agent01_Withdrawals!A94="","",Agent01_Withdrawals!B94)</f>
        <v/>
      </c>
      <c r="D87" s="43" t="str">
        <f>IF(Agent01_Withdrawals!A94="","",Agent01_Withdrawals!C94)</f>
        <v/>
      </c>
      <c r="E87" s="41" t="str">
        <f>IF(Agent01_Withdrawals!A94="","",Agent01_Withdrawals!D94)</f>
        <v/>
      </c>
      <c r="F87" s="40" t="str">
        <f>IF(Agent01_Withdrawals!A94="","",Agent01_Withdrawals!F94)</f>
        <v/>
      </c>
      <c r="G87" s="42" t="str">
        <f>IF(Agent01_Withdrawals!A94="","",Agent01_Withdrawals!E94)</f>
        <v/>
      </c>
      <c r="H87" s="42" t="str">
        <f>IF(Agent01_Withdrawals!A94="","",Agent01_Withdrawals!G94)</f>
        <v/>
      </c>
      <c r="I87" s="40" t="str">
        <f>IF(Agent01_Withdrawals!A94="","",Agent01_Withdrawals!H94)</f>
        <v/>
      </c>
      <c r="J87" s="40" t="str">
        <f>IF(Agent01_Withdrawals!A94="","",Agent01_Withdrawals!J94)</f>
        <v/>
      </c>
      <c r="K87" s="40" t="str">
        <f>IF(Agent01_Withdrawals!A94="","",Agent01_Withdrawals!K94)</f>
        <v/>
      </c>
      <c r="L87" s="40" t="str">
        <f>IF(G87="","",IF(D87-G87&gt;=System_Config!$B$9,"✅ OK","⚠️ BREACH"))</f>
        <v/>
      </c>
      <c r="M87" s="40" t="str">
        <f>IFERROR(IF(Agent01_Withdrawals!A94="","",YEAR(Agent01_Withdrawals!D94)),"")</f>
        <v/>
      </c>
    </row>
    <row r="88" spans="1:13" ht="18" customHeight="1" x14ac:dyDescent="0.25">
      <c r="A88" s="40" t="str">
        <f>IF(Agent01_Withdrawals!A95="","",Agent01_Withdrawals!A95)</f>
        <v/>
      </c>
      <c r="B88" s="40" t="str">
        <f ca="1">IF(Agent01_Withdrawals!A95="","","WD"&amp;TEXT(88-3,"0000")&amp;"-"&amp;TEXT(TODAY(),"YYYYMMDD"))</f>
        <v/>
      </c>
      <c r="C88" s="40" t="str">
        <f>IF(Agent01_Withdrawals!A95="","",Agent01_Withdrawals!B95)</f>
        <v/>
      </c>
      <c r="D88" s="43" t="str">
        <f>IF(Agent01_Withdrawals!A95="","",Agent01_Withdrawals!C95)</f>
        <v/>
      </c>
      <c r="E88" s="41" t="str">
        <f>IF(Agent01_Withdrawals!A95="","",Agent01_Withdrawals!D95)</f>
        <v/>
      </c>
      <c r="F88" s="40" t="str">
        <f>IF(Agent01_Withdrawals!A95="","",Agent01_Withdrawals!F95)</f>
        <v/>
      </c>
      <c r="G88" s="42" t="str">
        <f>IF(Agent01_Withdrawals!A95="","",Agent01_Withdrawals!E95)</f>
        <v/>
      </c>
      <c r="H88" s="42" t="str">
        <f>IF(Agent01_Withdrawals!A95="","",Agent01_Withdrawals!G95)</f>
        <v/>
      </c>
      <c r="I88" s="40" t="str">
        <f>IF(Agent01_Withdrawals!A95="","",Agent01_Withdrawals!H95)</f>
        <v/>
      </c>
      <c r="J88" s="40" t="str">
        <f>IF(Agent01_Withdrawals!A95="","",Agent01_Withdrawals!J95)</f>
        <v/>
      </c>
      <c r="K88" s="40" t="str">
        <f>IF(Agent01_Withdrawals!A95="","",Agent01_Withdrawals!K95)</f>
        <v/>
      </c>
      <c r="L88" s="40" t="str">
        <f>IF(G88="","",IF(D88-G88&gt;=System_Config!$B$9,"✅ OK","⚠️ BREACH"))</f>
        <v/>
      </c>
      <c r="M88" s="40" t="str">
        <f>IFERROR(IF(Agent01_Withdrawals!A95="","",YEAR(Agent01_Withdrawals!D95)),"")</f>
        <v/>
      </c>
    </row>
    <row r="89" spans="1:13" ht="18" customHeight="1" x14ac:dyDescent="0.25">
      <c r="A89" s="40" t="str">
        <f>IF(Agent01_Withdrawals!A96="","",Agent01_Withdrawals!A96)</f>
        <v/>
      </c>
      <c r="B89" s="40" t="str">
        <f ca="1">IF(Agent01_Withdrawals!A96="","","WD"&amp;TEXT(89-3,"0000")&amp;"-"&amp;TEXT(TODAY(),"YYYYMMDD"))</f>
        <v/>
      </c>
      <c r="C89" s="40" t="str">
        <f>IF(Agent01_Withdrawals!A96="","",Agent01_Withdrawals!B96)</f>
        <v/>
      </c>
      <c r="D89" s="43" t="str">
        <f>IF(Agent01_Withdrawals!A96="","",Agent01_Withdrawals!C96)</f>
        <v/>
      </c>
      <c r="E89" s="41" t="str">
        <f>IF(Agent01_Withdrawals!A96="","",Agent01_Withdrawals!D96)</f>
        <v/>
      </c>
      <c r="F89" s="40" t="str">
        <f>IF(Agent01_Withdrawals!A96="","",Agent01_Withdrawals!F96)</f>
        <v/>
      </c>
      <c r="G89" s="42" t="str">
        <f>IF(Agent01_Withdrawals!A96="","",Agent01_Withdrawals!E96)</f>
        <v/>
      </c>
      <c r="H89" s="42" t="str">
        <f>IF(Agent01_Withdrawals!A96="","",Agent01_Withdrawals!G96)</f>
        <v/>
      </c>
      <c r="I89" s="40" t="str">
        <f>IF(Agent01_Withdrawals!A96="","",Agent01_Withdrawals!H96)</f>
        <v/>
      </c>
      <c r="J89" s="40" t="str">
        <f>IF(Agent01_Withdrawals!A96="","",Agent01_Withdrawals!J96)</f>
        <v/>
      </c>
      <c r="K89" s="40" t="str">
        <f>IF(Agent01_Withdrawals!A96="","",Agent01_Withdrawals!K96)</f>
        <v/>
      </c>
      <c r="L89" s="40" t="str">
        <f>IF(G89="","",IF(D89-G89&gt;=System_Config!$B$9,"✅ OK","⚠️ BREACH"))</f>
        <v/>
      </c>
      <c r="M89" s="40" t="str">
        <f>IFERROR(IF(Agent01_Withdrawals!A96="","",YEAR(Agent01_Withdrawals!D96)),"")</f>
        <v/>
      </c>
    </row>
    <row r="90" spans="1:13" ht="18" customHeight="1" x14ac:dyDescent="0.25">
      <c r="A90" s="40" t="str">
        <f>IF(Agent01_Withdrawals!A97="","",Agent01_Withdrawals!A97)</f>
        <v/>
      </c>
      <c r="B90" s="40" t="str">
        <f ca="1">IF(Agent01_Withdrawals!A97="","","WD"&amp;TEXT(90-3,"0000")&amp;"-"&amp;TEXT(TODAY(),"YYYYMMDD"))</f>
        <v/>
      </c>
      <c r="C90" s="40" t="str">
        <f>IF(Agent01_Withdrawals!A97="","",Agent01_Withdrawals!B97)</f>
        <v/>
      </c>
      <c r="D90" s="43" t="str">
        <f>IF(Agent01_Withdrawals!A97="","",Agent01_Withdrawals!C97)</f>
        <v/>
      </c>
      <c r="E90" s="41" t="str">
        <f>IF(Agent01_Withdrawals!A97="","",Agent01_Withdrawals!D97)</f>
        <v/>
      </c>
      <c r="F90" s="40" t="str">
        <f>IF(Agent01_Withdrawals!A97="","",Agent01_Withdrawals!F97)</f>
        <v/>
      </c>
      <c r="G90" s="42" t="str">
        <f>IF(Agent01_Withdrawals!A97="","",Agent01_Withdrawals!E97)</f>
        <v/>
      </c>
      <c r="H90" s="42" t="str">
        <f>IF(Agent01_Withdrawals!A97="","",Agent01_Withdrawals!G97)</f>
        <v/>
      </c>
      <c r="I90" s="40" t="str">
        <f>IF(Agent01_Withdrawals!A97="","",Agent01_Withdrawals!H97)</f>
        <v/>
      </c>
      <c r="J90" s="40" t="str">
        <f>IF(Agent01_Withdrawals!A97="","",Agent01_Withdrawals!J97)</f>
        <v/>
      </c>
      <c r="K90" s="40" t="str">
        <f>IF(Agent01_Withdrawals!A97="","",Agent01_Withdrawals!K97)</f>
        <v/>
      </c>
      <c r="L90" s="40" t="str">
        <f>IF(G90="","",IF(D90-G90&gt;=System_Config!$B$9,"✅ OK","⚠️ BREACH"))</f>
        <v/>
      </c>
      <c r="M90" s="40" t="str">
        <f>IFERROR(IF(Agent01_Withdrawals!A97="","",YEAR(Agent01_Withdrawals!D97)),"")</f>
        <v/>
      </c>
    </row>
    <row r="91" spans="1:13" ht="18" customHeight="1" x14ac:dyDescent="0.25">
      <c r="A91" s="40" t="str">
        <f>IF(Agent01_Withdrawals!A98="","",Agent01_Withdrawals!A98)</f>
        <v/>
      </c>
      <c r="B91" s="40" t="str">
        <f ca="1">IF(Agent01_Withdrawals!A98="","","WD"&amp;TEXT(91-3,"0000")&amp;"-"&amp;TEXT(TODAY(),"YYYYMMDD"))</f>
        <v/>
      </c>
      <c r="C91" s="40" t="str">
        <f>IF(Agent01_Withdrawals!A98="","",Agent01_Withdrawals!B98)</f>
        <v/>
      </c>
      <c r="D91" s="43" t="str">
        <f>IF(Agent01_Withdrawals!A98="","",Agent01_Withdrawals!C98)</f>
        <v/>
      </c>
      <c r="E91" s="41" t="str">
        <f>IF(Agent01_Withdrawals!A98="","",Agent01_Withdrawals!D98)</f>
        <v/>
      </c>
      <c r="F91" s="40" t="str">
        <f>IF(Agent01_Withdrawals!A98="","",Agent01_Withdrawals!F98)</f>
        <v/>
      </c>
      <c r="G91" s="42" t="str">
        <f>IF(Agent01_Withdrawals!A98="","",Agent01_Withdrawals!E98)</f>
        <v/>
      </c>
      <c r="H91" s="42" t="str">
        <f>IF(Agent01_Withdrawals!A98="","",Agent01_Withdrawals!G98)</f>
        <v/>
      </c>
      <c r="I91" s="40" t="str">
        <f>IF(Agent01_Withdrawals!A98="","",Agent01_Withdrawals!H98)</f>
        <v/>
      </c>
      <c r="J91" s="40" t="str">
        <f>IF(Agent01_Withdrawals!A98="","",Agent01_Withdrawals!J98)</f>
        <v/>
      </c>
      <c r="K91" s="40" t="str">
        <f>IF(Agent01_Withdrawals!A98="","",Agent01_Withdrawals!K98)</f>
        <v/>
      </c>
      <c r="L91" s="40" t="str">
        <f>IF(G91="","",IF(D91-G91&gt;=System_Config!$B$9,"✅ OK","⚠️ BREACH"))</f>
        <v/>
      </c>
      <c r="M91" s="40" t="str">
        <f>IFERROR(IF(Agent01_Withdrawals!A98="","",YEAR(Agent01_Withdrawals!D98)),"")</f>
        <v/>
      </c>
    </row>
    <row r="92" spans="1:13" ht="18" customHeight="1" x14ac:dyDescent="0.25">
      <c r="A92" s="40" t="str">
        <f>IF(Agent01_Withdrawals!A99="","",Agent01_Withdrawals!A99)</f>
        <v/>
      </c>
      <c r="B92" s="40" t="str">
        <f ca="1">IF(Agent01_Withdrawals!A99="","","WD"&amp;TEXT(92-3,"0000")&amp;"-"&amp;TEXT(TODAY(),"YYYYMMDD"))</f>
        <v/>
      </c>
      <c r="C92" s="40" t="str">
        <f>IF(Agent01_Withdrawals!A99="","",Agent01_Withdrawals!B99)</f>
        <v/>
      </c>
      <c r="D92" s="43" t="str">
        <f>IF(Agent01_Withdrawals!A99="","",Agent01_Withdrawals!C99)</f>
        <v/>
      </c>
      <c r="E92" s="41" t="str">
        <f>IF(Agent01_Withdrawals!A99="","",Agent01_Withdrawals!D99)</f>
        <v/>
      </c>
      <c r="F92" s="40" t="str">
        <f>IF(Agent01_Withdrawals!A99="","",Agent01_Withdrawals!F99)</f>
        <v/>
      </c>
      <c r="G92" s="42" t="str">
        <f>IF(Agent01_Withdrawals!A99="","",Agent01_Withdrawals!E99)</f>
        <v/>
      </c>
      <c r="H92" s="42" t="str">
        <f>IF(Agent01_Withdrawals!A99="","",Agent01_Withdrawals!G99)</f>
        <v/>
      </c>
      <c r="I92" s="40" t="str">
        <f>IF(Agent01_Withdrawals!A99="","",Agent01_Withdrawals!H99)</f>
        <v/>
      </c>
      <c r="J92" s="40" t="str">
        <f>IF(Agent01_Withdrawals!A99="","",Agent01_Withdrawals!J99)</f>
        <v/>
      </c>
      <c r="K92" s="40" t="str">
        <f>IF(Agent01_Withdrawals!A99="","",Agent01_Withdrawals!K99)</f>
        <v/>
      </c>
      <c r="L92" s="40" t="str">
        <f>IF(G92="","",IF(D92-G92&gt;=System_Config!$B$9,"✅ OK","⚠️ BREACH"))</f>
        <v/>
      </c>
      <c r="M92" s="40" t="str">
        <f>IFERROR(IF(Agent01_Withdrawals!A99="","",YEAR(Agent01_Withdrawals!D99)),"")</f>
        <v/>
      </c>
    </row>
    <row r="93" spans="1:13" ht="18" customHeight="1" x14ac:dyDescent="0.25">
      <c r="A93" s="40" t="str">
        <f>IF(Agent01_Withdrawals!A100="","",Agent01_Withdrawals!A100)</f>
        <v/>
      </c>
      <c r="B93" s="40" t="str">
        <f ca="1">IF(Agent01_Withdrawals!A100="","","WD"&amp;TEXT(93-3,"0000")&amp;"-"&amp;TEXT(TODAY(),"YYYYMMDD"))</f>
        <v/>
      </c>
      <c r="C93" s="40" t="str">
        <f>IF(Agent01_Withdrawals!A100="","",Agent01_Withdrawals!B100)</f>
        <v/>
      </c>
      <c r="D93" s="43" t="str">
        <f>IF(Agent01_Withdrawals!A100="","",Agent01_Withdrawals!C100)</f>
        <v/>
      </c>
      <c r="E93" s="41" t="str">
        <f>IF(Agent01_Withdrawals!A100="","",Agent01_Withdrawals!D100)</f>
        <v/>
      </c>
      <c r="F93" s="40" t="str">
        <f>IF(Agent01_Withdrawals!A100="","",Agent01_Withdrawals!F100)</f>
        <v/>
      </c>
      <c r="G93" s="42" t="str">
        <f>IF(Agent01_Withdrawals!A100="","",Agent01_Withdrawals!E100)</f>
        <v/>
      </c>
      <c r="H93" s="42" t="str">
        <f>IF(Agent01_Withdrawals!A100="","",Agent01_Withdrawals!G100)</f>
        <v/>
      </c>
      <c r="I93" s="40" t="str">
        <f>IF(Agent01_Withdrawals!A100="","",Agent01_Withdrawals!H100)</f>
        <v/>
      </c>
      <c r="J93" s="40" t="str">
        <f>IF(Agent01_Withdrawals!A100="","",Agent01_Withdrawals!J100)</f>
        <v/>
      </c>
      <c r="K93" s="40" t="str">
        <f>IF(Agent01_Withdrawals!A100="","",Agent01_Withdrawals!K100)</f>
        <v/>
      </c>
      <c r="L93" s="40" t="str">
        <f>IF(G93="","",IF(D93-G93&gt;=System_Config!$B$9,"✅ OK","⚠️ BREACH"))</f>
        <v/>
      </c>
      <c r="M93" s="40" t="str">
        <f>IFERROR(IF(Agent01_Withdrawals!A100="","",YEAR(Agent01_Withdrawals!D100)),"")</f>
        <v/>
      </c>
    </row>
    <row r="94" spans="1:13" ht="18" customHeight="1" x14ac:dyDescent="0.25">
      <c r="A94" s="40" t="str">
        <f>IF(Agent01_Withdrawals!A101="","",Agent01_Withdrawals!A101)</f>
        <v/>
      </c>
      <c r="B94" s="40" t="str">
        <f ca="1">IF(Agent01_Withdrawals!A101="","","WD"&amp;TEXT(94-3,"0000")&amp;"-"&amp;TEXT(TODAY(),"YYYYMMDD"))</f>
        <v/>
      </c>
      <c r="C94" s="40" t="str">
        <f>IF(Agent01_Withdrawals!A101="","",Agent01_Withdrawals!B101)</f>
        <v/>
      </c>
      <c r="D94" s="43" t="str">
        <f>IF(Agent01_Withdrawals!A101="","",Agent01_Withdrawals!C101)</f>
        <v/>
      </c>
      <c r="E94" s="41" t="str">
        <f>IF(Agent01_Withdrawals!A101="","",Agent01_Withdrawals!D101)</f>
        <v/>
      </c>
      <c r="F94" s="40" t="str">
        <f>IF(Agent01_Withdrawals!A101="","",Agent01_Withdrawals!F101)</f>
        <v/>
      </c>
      <c r="G94" s="42" t="str">
        <f>IF(Agent01_Withdrawals!A101="","",Agent01_Withdrawals!E101)</f>
        <v/>
      </c>
      <c r="H94" s="42" t="str">
        <f>IF(Agent01_Withdrawals!A101="","",Agent01_Withdrawals!G101)</f>
        <v/>
      </c>
      <c r="I94" s="40" t="str">
        <f>IF(Agent01_Withdrawals!A101="","",Agent01_Withdrawals!H101)</f>
        <v/>
      </c>
      <c r="J94" s="40" t="str">
        <f>IF(Agent01_Withdrawals!A101="","",Agent01_Withdrawals!J101)</f>
        <v/>
      </c>
      <c r="K94" s="40" t="str">
        <f>IF(Agent01_Withdrawals!A101="","",Agent01_Withdrawals!K101)</f>
        <v/>
      </c>
      <c r="L94" s="40" t="str">
        <f>IF(G94="","",IF(D94-G94&gt;=System_Config!$B$9,"✅ OK","⚠️ BREACH"))</f>
        <v/>
      </c>
      <c r="M94" s="40" t="str">
        <f>IFERROR(IF(Agent01_Withdrawals!A101="","",YEAR(Agent01_Withdrawals!D101)),"")</f>
        <v/>
      </c>
    </row>
    <row r="95" spans="1:13" ht="18" customHeight="1" x14ac:dyDescent="0.25">
      <c r="A95" s="40" t="str">
        <f>IF(Agent01_Withdrawals!A102="","",Agent01_Withdrawals!A102)</f>
        <v/>
      </c>
      <c r="B95" s="40" t="str">
        <f ca="1">IF(Agent01_Withdrawals!A102="","","WD"&amp;TEXT(95-3,"0000")&amp;"-"&amp;TEXT(TODAY(),"YYYYMMDD"))</f>
        <v/>
      </c>
      <c r="C95" s="40" t="str">
        <f>IF(Agent01_Withdrawals!A102="","",Agent01_Withdrawals!B102)</f>
        <v/>
      </c>
      <c r="D95" s="43" t="str">
        <f>IF(Agent01_Withdrawals!A102="","",Agent01_Withdrawals!C102)</f>
        <v/>
      </c>
      <c r="E95" s="41" t="str">
        <f>IF(Agent01_Withdrawals!A102="","",Agent01_Withdrawals!D102)</f>
        <v/>
      </c>
      <c r="F95" s="40" t="str">
        <f>IF(Agent01_Withdrawals!A102="","",Agent01_Withdrawals!F102)</f>
        <v/>
      </c>
      <c r="G95" s="42" t="str">
        <f>IF(Agent01_Withdrawals!A102="","",Agent01_Withdrawals!E102)</f>
        <v/>
      </c>
      <c r="H95" s="42" t="str">
        <f>IF(Agent01_Withdrawals!A102="","",Agent01_Withdrawals!G102)</f>
        <v/>
      </c>
      <c r="I95" s="40" t="str">
        <f>IF(Agent01_Withdrawals!A102="","",Agent01_Withdrawals!H102)</f>
        <v/>
      </c>
      <c r="J95" s="40" t="str">
        <f>IF(Agent01_Withdrawals!A102="","",Agent01_Withdrawals!J102)</f>
        <v/>
      </c>
      <c r="K95" s="40" t="str">
        <f>IF(Agent01_Withdrawals!A102="","",Agent01_Withdrawals!K102)</f>
        <v/>
      </c>
      <c r="L95" s="40" t="str">
        <f>IF(G95="","",IF(D95-G95&gt;=System_Config!$B$9,"✅ OK","⚠️ BREACH"))</f>
        <v/>
      </c>
      <c r="M95" s="40" t="str">
        <f>IFERROR(IF(Agent01_Withdrawals!A102="","",YEAR(Agent01_Withdrawals!D102)),"")</f>
        <v/>
      </c>
    </row>
    <row r="96" spans="1:13" ht="18" customHeight="1" x14ac:dyDescent="0.25">
      <c r="A96" s="40" t="str">
        <f>IF(Agent01_Withdrawals!A103="","",Agent01_Withdrawals!A103)</f>
        <v/>
      </c>
      <c r="B96" s="40" t="str">
        <f ca="1">IF(Agent01_Withdrawals!A103="","","WD"&amp;TEXT(96-3,"0000")&amp;"-"&amp;TEXT(TODAY(),"YYYYMMDD"))</f>
        <v/>
      </c>
      <c r="C96" s="40" t="str">
        <f>IF(Agent01_Withdrawals!A103="","",Agent01_Withdrawals!B103)</f>
        <v/>
      </c>
      <c r="D96" s="43" t="str">
        <f>IF(Agent01_Withdrawals!A103="","",Agent01_Withdrawals!C103)</f>
        <v/>
      </c>
      <c r="E96" s="41" t="str">
        <f>IF(Agent01_Withdrawals!A103="","",Agent01_Withdrawals!D103)</f>
        <v/>
      </c>
      <c r="F96" s="40" t="str">
        <f>IF(Agent01_Withdrawals!A103="","",Agent01_Withdrawals!F103)</f>
        <v/>
      </c>
      <c r="G96" s="42" t="str">
        <f>IF(Agent01_Withdrawals!A103="","",Agent01_Withdrawals!E103)</f>
        <v/>
      </c>
      <c r="H96" s="42" t="str">
        <f>IF(Agent01_Withdrawals!A103="","",Agent01_Withdrawals!G103)</f>
        <v/>
      </c>
      <c r="I96" s="40" t="str">
        <f>IF(Agent01_Withdrawals!A103="","",Agent01_Withdrawals!H103)</f>
        <v/>
      </c>
      <c r="J96" s="40" t="str">
        <f>IF(Agent01_Withdrawals!A103="","",Agent01_Withdrawals!J103)</f>
        <v/>
      </c>
      <c r="K96" s="40" t="str">
        <f>IF(Agent01_Withdrawals!A103="","",Agent01_Withdrawals!K103)</f>
        <v/>
      </c>
      <c r="L96" s="40" t="str">
        <f>IF(G96="","",IF(D96-G96&gt;=System_Config!$B$9,"✅ OK","⚠️ BREACH"))</f>
        <v/>
      </c>
      <c r="M96" s="40" t="str">
        <f>IFERROR(IF(Agent01_Withdrawals!A103="","",YEAR(Agent01_Withdrawals!D103)),"")</f>
        <v/>
      </c>
    </row>
    <row r="97" spans="1:13" ht="18" customHeight="1" x14ac:dyDescent="0.25">
      <c r="A97" s="40" t="str">
        <f>IF(Agent01_Withdrawals!A104="","",Agent01_Withdrawals!A104)</f>
        <v/>
      </c>
      <c r="B97" s="40" t="str">
        <f ca="1">IF(Agent01_Withdrawals!A104="","","WD"&amp;TEXT(97-3,"0000")&amp;"-"&amp;TEXT(TODAY(),"YYYYMMDD"))</f>
        <v/>
      </c>
      <c r="C97" s="40" t="str">
        <f>IF(Agent01_Withdrawals!A104="","",Agent01_Withdrawals!B104)</f>
        <v/>
      </c>
      <c r="D97" s="43" t="str">
        <f>IF(Agent01_Withdrawals!A104="","",Agent01_Withdrawals!C104)</f>
        <v/>
      </c>
      <c r="E97" s="41" t="str">
        <f>IF(Agent01_Withdrawals!A104="","",Agent01_Withdrawals!D104)</f>
        <v/>
      </c>
      <c r="F97" s="40" t="str">
        <f>IF(Agent01_Withdrawals!A104="","",Agent01_Withdrawals!F104)</f>
        <v/>
      </c>
      <c r="G97" s="42" t="str">
        <f>IF(Agent01_Withdrawals!A104="","",Agent01_Withdrawals!E104)</f>
        <v/>
      </c>
      <c r="H97" s="42" t="str">
        <f>IF(Agent01_Withdrawals!A104="","",Agent01_Withdrawals!G104)</f>
        <v/>
      </c>
      <c r="I97" s="40" t="str">
        <f>IF(Agent01_Withdrawals!A104="","",Agent01_Withdrawals!H104)</f>
        <v/>
      </c>
      <c r="J97" s="40" t="str">
        <f>IF(Agent01_Withdrawals!A104="","",Agent01_Withdrawals!J104)</f>
        <v/>
      </c>
      <c r="K97" s="40" t="str">
        <f>IF(Agent01_Withdrawals!A104="","",Agent01_Withdrawals!K104)</f>
        <v/>
      </c>
      <c r="L97" s="40" t="str">
        <f>IF(G97="","",IF(D97-G97&gt;=System_Config!$B$9,"✅ OK","⚠️ BREACH"))</f>
        <v/>
      </c>
      <c r="M97" s="40" t="str">
        <f>IFERROR(IF(Agent01_Withdrawals!A104="","",YEAR(Agent01_Withdrawals!D104)),"")</f>
        <v/>
      </c>
    </row>
    <row r="98" spans="1:13" ht="18" customHeight="1" x14ac:dyDescent="0.25">
      <c r="A98" s="40" t="str">
        <f>IF(Agent01_Withdrawals!A105="","",Agent01_Withdrawals!A105)</f>
        <v/>
      </c>
      <c r="B98" s="40" t="str">
        <f ca="1">IF(Agent01_Withdrawals!A105="","","WD"&amp;TEXT(98-3,"0000")&amp;"-"&amp;TEXT(TODAY(),"YYYYMMDD"))</f>
        <v/>
      </c>
      <c r="C98" s="40" t="str">
        <f>IF(Agent01_Withdrawals!A105="","",Agent01_Withdrawals!B105)</f>
        <v/>
      </c>
      <c r="D98" s="43" t="str">
        <f>IF(Agent01_Withdrawals!A105="","",Agent01_Withdrawals!C105)</f>
        <v/>
      </c>
      <c r="E98" s="41" t="str">
        <f>IF(Agent01_Withdrawals!A105="","",Agent01_Withdrawals!D105)</f>
        <v/>
      </c>
      <c r="F98" s="40" t="str">
        <f>IF(Agent01_Withdrawals!A105="","",Agent01_Withdrawals!F105)</f>
        <v/>
      </c>
      <c r="G98" s="42" t="str">
        <f>IF(Agent01_Withdrawals!A105="","",Agent01_Withdrawals!E105)</f>
        <v/>
      </c>
      <c r="H98" s="42" t="str">
        <f>IF(Agent01_Withdrawals!A105="","",Agent01_Withdrawals!G105)</f>
        <v/>
      </c>
      <c r="I98" s="40" t="str">
        <f>IF(Agent01_Withdrawals!A105="","",Agent01_Withdrawals!H105)</f>
        <v/>
      </c>
      <c r="J98" s="40" t="str">
        <f>IF(Agent01_Withdrawals!A105="","",Agent01_Withdrawals!J105)</f>
        <v/>
      </c>
      <c r="K98" s="40" t="str">
        <f>IF(Agent01_Withdrawals!A105="","",Agent01_Withdrawals!K105)</f>
        <v/>
      </c>
      <c r="L98" s="40" t="str">
        <f>IF(G98="","",IF(D98-G98&gt;=System_Config!$B$9,"✅ OK","⚠️ BREACH"))</f>
        <v/>
      </c>
      <c r="M98" s="40" t="str">
        <f>IFERROR(IF(Agent01_Withdrawals!A105="","",YEAR(Agent01_Withdrawals!D105)),"")</f>
        <v/>
      </c>
    </row>
    <row r="99" spans="1:13" ht="18" customHeight="1" x14ac:dyDescent="0.25">
      <c r="A99" s="40" t="str">
        <f>IF(Agent01_Withdrawals!A106="","",Agent01_Withdrawals!A106)</f>
        <v/>
      </c>
      <c r="B99" s="40" t="str">
        <f ca="1">IF(Agent01_Withdrawals!A106="","","WD"&amp;TEXT(99-3,"0000")&amp;"-"&amp;TEXT(TODAY(),"YYYYMMDD"))</f>
        <v/>
      </c>
      <c r="C99" s="40" t="str">
        <f>IF(Agent01_Withdrawals!A106="","",Agent01_Withdrawals!B106)</f>
        <v/>
      </c>
      <c r="D99" s="43" t="str">
        <f>IF(Agent01_Withdrawals!A106="","",Agent01_Withdrawals!C106)</f>
        <v/>
      </c>
      <c r="E99" s="41" t="str">
        <f>IF(Agent01_Withdrawals!A106="","",Agent01_Withdrawals!D106)</f>
        <v/>
      </c>
      <c r="F99" s="40" t="str">
        <f>IF(Agent01_Withdrawals!A106="","",Agent01_Withdrawals!F106)</f>
        <v/>
      </c>
      <c r="G99" s="42" t="str">
        <f>IF(Agent01_Withdrawals!A106="","",Agent01_Withdrawals!E106)</f>
        <v/>
      </c>
      <c r="H99" s="42" t="str">
        <f>IF(Agent01_Withdrawals!A106="","",Agent01_Withdrawals!G106)</f>
        <v/>
      </c>
      <c r="I99" s="40" t="str">
        <f>IF(Agent01_Withdrawals!A106="","",Agent01_Withdrawals!H106)</f>
        <v/>
      </c>
      <c r="J99" s="40" t="str">
        <f>IF(Agent01_Withdrawals!A106="","",Agent01_Withdrawals!J106)</f>
        <v/>
      </c>
      <c r="K99" s="40" t="str">
        <f>IF(Agent01_Withdrawals!A106="","",Agent01_Withdrawals!K106)</f>
        <v/>
      </c>
      <c r="L99" s="40" t="str">
        <f>IF(G99="","",IF(D99-G99&gt;=System_Config!$B$9,"✅ OK","⚠️ BREACH"))</f>
        <v/>
      </c>
      <c r="M99" s="40" t="str">
        <f>IFERROR(IF(Agent01_Withdrawals!A106="","",YEAR(Agent01_Withdrawals!D106)),"")</f>
        <v/>
      </c>
    </row>
    <row r="100" spans="1:13" ht="18" customHeight="1" x14ac:dyDescent="0.25">
      <c r="A100" s="40" t="str">
        <f>IF(Agent01_Withdrawals!A107="","",Agent01_Withdrawals!A107)</f>
        <v/>
      </c>
      <c r="B100" s="40" t="str">
        <f ca="1">IF(Agent01_Withdrawals!A107="","","WD"&amp;TEXT(100-3,"0000")&amp;"-"&amp;TEXT(TODAY(),"YYYYMMDD"))</f>
        <v/>
      </c>
      <c r="C100" s="40" t="str">
        <f>IF(Agent01_Withdrawals!A107="","",Agent01_Withdrawals!B107)</f>
        <v/>
      </c>
      <c r="D100" s="43" t="str">
        <f>IF(Agent01_Withdrawals!A107="","",Agent01_Withdrawals!C107)</f>
        <v/>
      </c>
      <c r="E100" s="41" t="str">
        <f>IF(Agent01_Withdrawals!A107="","",Agent01_Withdrawals!D107)</f>
        <v/>
      </c>
      <c r="F100" s="40" t="str">
        <f>IF(Agent01_Withdrawals!A107="","",Agent01_Withdrawals!F107)</f>
        <v/>
      </c>
      <c r="G100" s="42" t="str">
        <f>IF(Agent01_Withdrawals!A107="","",Agent01_Withdrawals!E107)</f>
        <v/>
      </c>
      <c r="H100" s="42" t="str">
        <f>IF(Agent01_Withdrawals!A107="","",Agent01_Withdrawals!G107)</f>
        <v/>
      </c>
      <c r="I100" s="40" t="str">
        <f>IF(Agent01_Withdrawals!A107="","",Agent01_Withdrawals!H107)</f>
        <v/>
      </c>
      <c r="J100" s="40" t="str">
        <f>IF(Agent01_Withdrawals!A107="","",Agent01_Withdrawals!J107)</f>
        <v/>
      </c>
      <c r="K100" s="40" t="str">
        <f>IF(Agent01_Withdrawals!A107="","",Agent01_Withdrawals!K107)</f>
        <v/>
      </c>
      <c r="L100" s="40" t="str">
        <f>IF(G100="","",IF(D100-G100&gt;=System_Config!$B$9,"✅ OK","⚠️ BREACH"))</f>
        <v/>
      </c>
      <c r="M100" s="40" t="str">
        <f>IFERROR(IF(Agent01_Withdrawals!A107="","",YEAR(Agent01_Withdrawals!D107)),"")</f>
        <v/>
      </c>
    </row>
    <row r="101" spans="1:13" ht="18" customHeight="1" x14ac:dyDescent="0.25">
      <c r="A101" s="40" t="str">
        <f>IF(Agent01_Withdrawals!A108="","",Agent01_Withdrawals!A108)</f>
        <v/>
      </c>
      <c r="B101" s="40" t="str">
        <f ca="1">IF(Agent01_Withdrawals!A108="","","WD"&amp;TEXT(101-3,"0000")&amp;"-"&amp;TEXT(TODAY(),"YYYYMMDD"))</f>
        <v/>
      </c>
      <c r="C101" s="40" t="str">
        <f>IF(Agent01_Withdrawals!A108="","",Agent01_Withdrawals!B108)</f>
        <v/>
      </c>
      <c r="D101" s="43" t="str">
        <f>IF(Agent01_Withdrawals!A108="","",Agent01_Withdrawals!C108)</f>
        <v/>
      </c>
      <c r="E101" s="41" t="str">
        <f>IF(Agent01_Withdrawals!A108="","",Agent01_Withdrawals!D108)</f>
        <v/>
      </c>
      <c r="F101" s="40" t="str">
        <f>IF(Agent01_Withdrawals!A108="","",Agent01_Withdrawals!F108)</f>
        <v/>
      </c>
      <c r="G101" s="42" t="str">
        <f>IF(Agent01_Withdrawals!A108="","",Agent01_Withdrawals!E108)</f>
        <v/>
      </c>
      <c r="H101" s="42" t="str">
        <f>IF(Agent01_Withdrawals!A108="","",Agent01_Withdrawals!G108)</f>
        <v/>
      </c>
      <c r="I101" s="40" t="str">
        <f>IF(Agent01_Withdrawals!A108="","",Agent01_Withdrawals!H108)</f>
        <v/>
      </c>
      <c r="J101" s="40" t="str">
        <f>IF(Agent01_Withdrawals!A108="","",Agent01_Withdrawals!J108)</f>
        <v/>
      </c>
      <c r="K101" s="40" t="str">
        <f>IF(Agent01_Withdrawals!A108="","",Agent01_Withdrawals!K108)</f>
        <v/>
      </c>
      <c r="L101" s="40" t="str">
        <f>IF(G101="","",IF(D101-G101&gt;=System_Config!$B$9,"✅ OK","⚠️ BREACH"))</f>
        <v/>
      </c>
      <c r="M101" s="40" t="str">
        <f>IFERROR(IF(Agent01_Withdrawals!A108="","",YEAR(Agent01_Withdrawals!D108)),"")</f>
        <v/>
      </c>
    </row>
    <row r="102" spans="1:13" ht="18" customHeight="1" x14ac:dyDescent="0.25">
      <c r="A102" s="40" t="str">
        <f>IF(Agent01_Withdrawals!A109="","",Agent01_Withdrawals!A109)</f>
        <v/>
      </c>
      <c r="B102" s="40" t="str">
        <f ca="1">IF(Agent01_Withdrawals!A109="","","WD"&amp;TEXT(102-3,"0000")&amp;"-"&amp;TEXT(TODAY(),"YYYYMMDD"))</f>
        <v/>
      </c>
      <c r="C102" s="40" t="str">
        <f>IF(Agent01_Withdrawals!A109="","",Agent01_Withdrawals!B109)</f>
        <v/>
      </c>
      <c r="D102" s="43" t="str">
        <f>IF(Agent01_Withdrawals!A109="","",Agent01_Withdrawals!C109)</f>
        <v/>
      </c>
      <c r="E102" s="41" t="str">
        <f>IF(Agent01_Withdrawals!A109="","",Agent01_Withdrawals!D109)</f>
        <v/>
      </c>
      <c r="F102" s="40" t="str">
        <f>IF(Agent01_Withdrawals!A109="","",Agent01_Withdrawals!F109)</f>
        <v/>
      </c>
      <c r="G102" s="42" t="str">
        <f>IF(Agent01_Withdrawals!A109="","",Agent01_Withdrawals!E109)</f>
        <v/>
      </c>
      <c r="H102" s="42" t="str">
        <f>IF(Agent01_Withdrawals!A109="","",Agent01_Withdrawals!G109)</f>
        <v/>
      </c>
      <c r="I102" s="40" t="str">
        <f>IF(Agent01_Withdrawals!A109="","",Agent01_Withdrawals!H109)</f>
        <v/>
      </c>
      <c r="J102" s="40" t="str">
        <f>IF(Agent01_Withdrawals!A109="","",Agent01_Withdrawals!J109)</f>
        <v/>
      </c>
      <c r="K102" s="40" t="str">
        <f>IF(Agent01_Withdrawals!A109="","",Agent01_Withdrawals!K109)</f>
        <v/>
      </c>
      <c r="L102" s="40" t="str">
        <f>IF(G102="","",IF(D102-G102&gt;=System_Config!$B$9,"✅ OK","⚠️ BREACH"))</f>
        <v/>
      </c>
      <c r="M102" s="40" t="str">
        <f>IFERROR(IF(Agent01_Withdrawals!A109="","",YEAR(Agent01_Withdrawals!D109)),"")</f>
        <v/>
      </c>
    </row>
    <row r="103" spans="1:13" ht="18" customHeight="1" x14ac:dyDescent="0.25">
      <c r="A103" s="40" t="str">
        <f>IF(Agent01_Withdrawals!A110="","",Agent01_Withdrawals!A110)</f>
        <v/>
      </c>
      <c r="B103" s="40" t="str">
        <f ca="1">IF(Agent01_Withdrawals!A110="","","WD"&amp;TEXT(103-3,"0000")&amp;"-"&amp;TEXT(TODAY(),"YYYYMMDD"))</f>
        <v/>
      </c>
      <c r="C103" s="40" t="str">
        <f>IF(Agent01_Withdrawals!A110="","",Agent01_Withdrawals!B110)</f>
        <v/>
      </c>
      <c r="D103" s="43" t="str">
        <f>IF(Agent01_Withdrawals!A110="","",Agent01_Withdrawals!C110)</f>
        <v/>
      </c>
      <c r="E103" s="41" t="str">
        <f>IF(Agent01_Withdrawals!A110="","",Agent01_Withdrawals!D110)</f>
        <v/>
      </c>
      <c r="F103" s="40" t="str">
        <f>IF(Agent01_Withdrawals!A110="","",Agent01_Withdrawals!F110)</f>
        <v/>
      </c>
      <c r="G103" s="42" t="str">
        <f>IF(Agent01_Withdrawals!A110="","",Agent01_Withdrawals!E110)</f>
        <v/>
      </c>
      <c r="H103" s="42" t="str">
        <f>IF(Agent01_Withdrawals!A110="","",Agent01_Withdrawals!G110)</f>
        <v/>
      </c>
      <c r="I103" s="40" t="str">
        <f>IF(Agent01_Withdrawals!A110="","",Agent01_Withdrawals!H110)</f>
        <v/>
      </c>
      <c r="J103" s="40" t="str">
        <f>IF(Agent01_Withdrawals!A110="","",Agent01_Withdrawals!J110)</f>
        <v/>
      </c>
      <c r="K103" s="40" t="str">
        <f>IF(Agent01_Withdrawals!A110="","",Agent01_Withdrawals!K110)</f>
        <v/>
      </c>
      <c r="L103" s="40" t="str">
        <f>IF(G103="","",IF(D103-G103&gt;=System_Config!$B$9,"✅ OK","⚠️ BREACH"))</f>
        <v/>
      </c>
      <c r="M103" s="40" t="str">
        <f>IFERROR(IF(Agent01_Withdrawals!A110="","",YEAR(Agent01_Withdrawals!D110)),"")</f>
        <v/>
      </c>
    </row>
    <row r="104" spans="1:13" ht="18" customHeight="1" x14ac:dyDescent="0.25">
      <c r="A104" s="40" t="str">
        <f>IF(Agent01_Withdrawals!A111="","",Agent01_Withdrawals!A111)</f>
        <v/>
      </c>
      <c r="B104" s="40" t="str">
        <f ca="1">IF(Agent01_Withdrawals!A111="","","WD"&amp;TEXT(104-3,"0000")&amp;"-"&amp;TEXT(TODAY(),"YYYYMMDD"))</f>
        <v/>
      </c>
      <c r="C104" s="40" t="str">
        <f>IF(Agent01_Withdrawals!A111="","",Agent01_Withdrawals!B111)</f>
        <v/>
      </c>
      <c r="D104" s="43" t="str">
        <f>IF(Agent01_Withdrawals!A111="","",Agent01_Withdrawals!C111)</f>
        <v/>
      </c>
      <c r="E104" s="41" t="str">
        <f>IF(Agent01_Withdrawals!A111="","",Agent01_Withdrawals!D111)</f>
        <v/>
      </c>
      <c r="F104" s="40" t="str">
        <f>IF(Agent01_Withdrawals!A111="","",Agent01_Withdrawals!F111)</f>
        <v/>
      </c>
      <c r="G104" s="42" t="str">
        <f>IF(Agent01_Withdrawals!A111="","",Agent01_Withdrawals!E111)</f>
        <v/>
      </c>
      <c r="H104" s="42" t="str">
        <f>IF(Agent01_Withdrawals!A111="","",Agent01_Withdrawals!G111)</f>
        <v/>
      </c>
      <c r="I104" s="40" t="str">
        <f>IF(Agent01_Withdrawals!A111="","",Agent01_Withdrawals!H111)</f>
        <v/>
      </c>
      <c r="J104" s="40" t="str">
        <f>IF(Agent01_Withdrawals!A111="","",Agent01_Withdrawals!J111)</f>
        <v/>
      </c>
      <c r="K104" s="40" t="str">
        <f>IF(Agent01_Withdrawals!A111="","",Agent01_Withdrawals!K111)</f>
        <v/>
      </c>
      <c r="L104" s="40" t="str">
        <f>IF(G104="","",IF(D104-G104&gt;=System_Config!$B$9,"✅ OK","⚠️ BREACH"))</f>
        <v/>
      </c>
      <c r="M104" s="40" t="str">
        <f>IFERROR(IF(Agent01_Withdrawals!A111="","",YEAR(Agent01_Withdrawals!D111)),"")</f>
        <v/>
      </c>
    </row>
    <row r="105" spans="1:13" ht="18" customHeight="1" x14ac:dyDescent="0.25">
      <c r="A105" s="40" t="str">
        <f>IF(Agent01_Withdrawals!A112="","",Agent01_Withdrawals!A112)</f>
        <v/>
      </c>
      <c r="B105" s="40" t="str">
        <f ca="1">IF(Agent01_Withdrawals!A112="","","WD"&amp;TEXT(105-3,"0000")&amp;"-"&amp;TEXT(TODAY(),"YYYYMMDD"))</f>
        <v/>
      </c>
      <c r="C105" s="40" t="str">
        <f>IF(Agent01_Withdrawals!A112="","",Agent01_Withdrawals!B112)</f>
        <v/>
      </c>
      <c r="D105" s="43" t="str">
        <f>IF(Agent01_Withdrawals!A112="","",Agent01_Withdrawals!C112)</f>
        <v/>
      </c>
      <c r="E105" s="41" t="str">
        <f>IF(Agent01_Withdrawals!A112="","",Agent01_Withdrawals!D112)</f>
        <v/>
      </c>
      <c r="F105" s="40" t="str">
        <f>IF(Agent01_Withdrawals!A112="","",Agent01_Withdrawals!F112)</f>
        <v/>
      </c>
      <c r="G105" s="42" t="str">
        <f>IF(Agent01_Withdrawals!A112="","",Agent01_Withdrawals!E112)</f>
        <v/>
      </c>
      <c r="H105" s="42" t="str">
        <f>IF(Agent01_Withdrawals!A112="","",Agent01_Withdrawals!G112)</f>
        <v/>
      </c>
      <c r="I105" s="40" t="str">
        <f>IF(Agent01_Withdrawals!A112="","",Agent01_Withdrawals!H112)</f>
        <v/>
      </c>
      <c r="J105" s="40" t="str">
        <f>IF(Agent01_Withdrawals!A112="","",Agent01_Withdrawals!J112)</f>
        <v/>
      </c>
      <c r="K105" s="40" t="str">
        <f>IF(Agent01_Withdrawals!A112="","",Agent01_Withdrawals!K112)</f>
        <v/>
      </c>
      <c r="L105" s="40" t="str">
        <f>IF(G105="","",IF(D105-G105&gt;=System_Config!$B$9,"✅ OK","⚠️ BREACH"))</f>
        <v/>
      </c>
      <c r="M105" s="40" t="str">
        <f>IFERROR(IF(Agent01_Withdrawals!A112="","",YEAR(Agent01_Withdrawals!D112)),"")</f>
        <v/>
      </c>
    </row>
    <row r="106" spans="1:13" ht="18" customHeight="1" x14ac:dyDescent="0.25">
      <c r="A106" s="40" t="str">
        <f>IF(Agent01_Withdrawals!A113="","",Agent01_Withdrawals!A113)</f>
        <v/>
      </c>
      <c r="B106" s="40" t="str">
        <f ca="1">IF(Agent01_Withdrawals!A113="","","WD"&amp;TEXT(106-3,"0000")&amp;"-"&amp;TEXT(TODAY(),"YYYYMMDD"))</f>
        <v/>
      </c>
      <c r="C106" s="40" t="str">
        <f>IF(Agent01_Withdrawals!A113="","",Agent01_Withdrawals!B113)</f>
        <v/>
      </c>
      <c r="D106" s="43" t="str">
        <f>IF(Agent01_Withdrawals!A113="","",Agent01_Withdrawals!C113)</f>
        <v/>
      </c>
      <c r="E106" s="41" t="str">
        <f>IF(Agent01_Withdrawals!A113="","",Agent01_Withdrawals!D113)</f>
        <v/>
      </c>
      <c r="F106" s="40" t="str">
        <f>IF(Agent01_Withdrawals!A113="","",Agent01_Withdrawals!F113)</f>
        <v/>
      </c>
      <c r="G106" s="42" t="str">
        <f>IF(Agent01_Withdrawals!A113="","",Agent01_Withdrawals!E113)</f>
        <v/>
      </c>
      <c r="H106" s="42" t="str">
        <f>IF(Agent01_Withdrawals!A113="","",Agent01_Withdrawals!G113)</f>
        <v/>
      </c>
      <c r="I106" s="40" t="str">
        <f>IF(Agent01_Withdrawals!A113="","",Agent01_Withdrawals!H113)</f>
        <v/>
      </c>
      <c r="J106" s="40" t="str">
        <f>IF(Agent01_Withdrawals!A113="","",Agent01_Withdrawals!J113)</f>
        <v/>
      </c>
      <c r="K106" s="40" t="str">
        <f>IF(Agent01_Withdrawals!A113="","",Agent01_Withdrawals!K113)</f>
        <v/>
      </c>
      <c r="L106" s="40" t="str">
        <f>IF(G106="","",IF(D106-G106&gt;=System_Config!$B$9,"✅ OK","⚠️ BREACH"))</f>
        <v/>
      </c>
      <c r="M106" s="40" t="str">
        <f>IFERROR(IF(Agent01_Withdrawals!A113="","",YEAR(Agent01_Withdrawals!D113)),"")</f>
        <v/>
      </c>
    </row>
    <row r="107" spans="1:13" ht="18" customHeight="1" x14ac:dyDescent="0.25">
      <c r="A107" s="40" t="str">
        <f>IF(Agent01_Withdrawals!A114="","",Agent01_Withdrawals!A114)</f>
        <v/>
      </c>
      <c r="B107" s="40" t="str">
        <f ca="1">IF(Agent01_Withdrawals!A114="","","WD"&amp;TEXT(107-3,"0000")&amp;"-"&amp;TEXT(TODAY(),"YYYYMMDD"))</f>
        <v/>
      </c>
      <c r="C107" s="40" t="str">
        <f>IF(Agent01_Withdrawals!A114="","",Agent01_Withdrawals!B114)</f>
        <v/>
      </c>
      <c r="D107" s="43" t="str">
        <f>IF(Agent01_Withdrawals!A114="","",Agent01_Withdrawals!C114)</f>
        <v/>
      </c>
      <c r="E107" s="41" t="str">
        <f>IF(Agent01_Withdrawals!A114="","",Agent01_Withdrawals!D114)</f>
        <v/>
      </c>
      <c r="F107" s="40" t="str">
        <f>IF(Agent01_Withdrawals!A114="","",Agent01_Withdrawals!F114)</f>
        <v/>
      </c>
      <c r="G107" s="42" t="str">
        <f>IF(Agent01_Withdrawals!A114="","",Agent01_Withdrawals!E114)</f>
        <v/>
      </c>
      <c r="H107" s="42" t="str">
        <f>IF(Agent01_Withdrawals!A114="","",Agent01_Withdrawals!G114)</f>
        <v/>
      </c>
      <c r="I107" s="40" t="str">
        <f>IF(Agent01_Withdrawals!A114="","",Agent01_Withdrawals!H114)</f>
        <v/>
      </c>
      <c r="J107" s="40" t="str">
        <f>IF(Agent01_Withdrawals!A114="","",Agent01_Withdrawals!J114)</f>
        <v/>
      </c>
      <c r="K107" s="40" t="str">
        <f>IF(Agent01_Withdrawals!A114="","",Agent01_Withdrawals!K114)</f>
        <v/>
      </c>
      <c r="L107" s="40" t="str">
        <f>IF(G107="","",IF(D107-G107&gt;=System_Config!$B$9,"✅ OK","⚠️ BREACH"))</f>
        <v/>
      </c>
      <c r="M107" s="40" t="str">
        <f>IFERROR(IF(Agent01_Withdrawals!A114="","",YEAR(Agent01_Withdrawals!D114)),"")</f>
        <v/>
      </c>
    </row>
    <row r="108" spans="1:13" ht="18" customHeight="1" x14ac:dyDescent="0.25">
      <c r="A108" s="40" t="str">
        <f>IF(Agent01_Withdrawals!A115="","",Agent01_Withdrawals!A115)</f>
        <v/>
      </c>
      <c r="B108" s="40" t="str">
        <f ca="1">IF(Agent01_Withdrawals!A115="","","WD"&amp;TEXT(108-3,"0000")&amp;"-"&amp;TEXT(TODAY(),"YYYYMMDD"))</f>
        <v/>
      </c>
      <c r="C108" s="40" t="str">
        <f>IF(Agent01_Withdrawals!A115="","",Agent01_Withdrawals!B115)</f>
        <v/>
      </c>
      <c r="D108" s="43" t="str">
        <f>IF(Agent01_Withdrawals!A115="","",Agent01_Withdrawals!C115)</f>
        <v/>
      </c>
      <c r="E108" s="41" t="str">
        <f>IF(Agent01_Withdrawals!A115="","",Agent01_Withdrawals!D115)</f>
        <v/>
      </c>
      <c r="F108" s="40" t="str">
        <f>IF(Agent01_Withdrawals!A115="","",Agent01_Withdrawals!F115)</f>
        <v/>
      </c>
      <c r="G108" s="42" t="str">
        <f>IF(Agent01_Withdrawals!A115="","",Agent01_Withdrawals!E115)</f>
        <v/>
      </c>
      <c r="H108" s="42" t="str">
        <f>IF(Agent01_Withdrawals!A115="","",Agent01_Withdrawals!G115)</f>
        <v/>
      </c>
      <c r="I108" s="40" t="str">
        <f>IF(Agent01_Withdrawals!A115="","",Agent01_Withdrawals!H115)</f>
        <v/>
      </c>
      <c r="J108" s="40" t="str">
        <f>IF(Agent01_Withdrawals!A115="","",Agent01_Withdrawals!J115)</f>
        <v/>
      </c>
      <c r="K108" s="40" t="str">
        <f>IF(Agent01_Withdrawals!A115="","",Agent01_Withdrawals!K115)</f>
        <v/>
      </c>
      <c r="L108" s="40" t="str">
        <f>IF(G108="","",IF(D108-G108&gt;=System_Config!$B$9,"✅ OK","⚠️ BREACH"))</f>
        <v/>
      </c>
      <c r="M108" s="40" t="str">
        <f>IFERROR(IF(Agent01_Withdrawals!A115="","",YEAR(Agent01_Withdrawals!D115)),"")</f>
        <v/>
      </c>
    </row>
    <row r="109" spans="1:13" ht="18" customHeight="1" x14ac:dyDescent="0.25">
      <c r="A109" s="40" t="str">
        <f>IF(Agent01_Withdrawals!A116="","",Agent01_Withdrawals!A116)</f>
        <v/>
      </c>
      <c r="B109" s="40" t="str">
        <f ca="1">IF(Agent01_Withdrawals!A116="","","WD"&amp;TEXT(109-3,"0000")&amp;"-"&amp;TEXT(TODAY(),"YYYYMMDD"))</f>
        <v/>
      </c>
      <c r="C109" s="40" t="str">
        <f>IF(Agent01_Withdrawals!A116="","",Agent01_Withdrawals!B116)</f>
        <v/>
      </c>
      <c r="D109" s="43" t="str">
        <f>IF(Agent01_Withdrawals!A116="","",Agent01_Withdrawals!C116)</f>
        <v/>
      </c>
      <c r="E109" s="41" t="str">
        <f>IF(Agent01_Withdrawals!A116="","",Agent01_Withdrawals!D116)</f>
        <v/>
      </c>
      <c r="F109" s="40" t="str">
        <f>IF(Agent01_Withdrawals!A116="","",Agent01_Withdrawals!F116)</f>
        <v/>
      </c>
      <c r="G109" s="42" t="str">
        <f>IF(Agent01_Withdrawals!A116="","",Agent01_Withdrawals!E116)</f>
        <v/>
      </c>
      <c r="H109" s="42" t="str">
        <f>IF(Agent01_Withdrawals!A116="","",Agent01_Withdrawals!G116)</f>
        <v/>
      </c>
      <c r="I109" s="40" t="str">
        <f>IF(Agent01_Withdrawals!A116="","",Agent01_Withdrawals!H116)</f>
        <v/>
      </c>
      <c r="J109" s="40" t="str">
        <f>IF(Agent01_Withdrawals!A116="","",Agent01_Withdrawals!J116)</f>
        <v/>
      </c>
      <c r="K109" s="40" t="str">
        <f>IF(Agent01_Withdrawals!A116="","",Agent01_Withdrawals!K116)</f>
        <v/>
      </c>
      <c r="L109" s="40" t="str">
        <f>IF(G109="","",IF(D109-G109&gt;=System_Config!$B$9,"✅ OK","⚠️ BREACH"))</f>
        <v/>
      </c>
      <c r="M109" s="40" t="str">
        <f>IFERROR(IF(Agent01_Withdrawals!A116="","",YEAR(Agent01_Withdrawals!D116)),"")</f>
        <v/>
      </c>
    </row>
    <row r="110" spans="1:13" ht="18" customHeight="1" x14ac:dyDescent="0.25">
      <c r="A110" s="40" t="str">
        <f>IF(Agent01_Withdrawals!A117="","",Agent01_Withdrawals!A117)</f>
        <v/>
      </c>
      <c r="B110" s="40" t="str">
        <f ca="1">IF(Agent01_Withdrawals!A117="","","WD"&amp;TEXT(110-3,"0000")&amp;"-"&amp;TEXT(TODAY(),"YYYYMMDD"))</f>
        <v/>
      </c>
      <c r="C110" s="40" t="str">
        <f>IF(Agent01_Withdrawals!A117="","",Agent01_Withdrawals!B117)</f>
        <v/>
      </c>
      <c r="D110" s="43" t="str">
        <f>IF(Agent01_Withdrawals!A117="","",Agent01_Withdrawals!C117)</f>
        <v/>
      </c>
      <c r="E110" s="41" t="str">
        <f>IF(Agent01_Withdrawals!A117="","",Agent01_Withdrawals!D117)</f>
        <v/>
      </c>
      <c r="F110" s="40" t="str">
        <f>IF(Agent01_Withdrawals!A117="","",Agent01_Withdrawals!F117)</f>
        <v/>
      </c>
      <c r="G110" s="42" t="str">
        <f>IF(Agent01_Withdrawals!A117="","",Agent01_Withdrawals!E117)</f>
        <v/>
      </c>
      <c r="H110" s="42" t="str">
        <f>IF(Agent01_Withdrawals!A117="","",Agent01_Withdrawals!G117)</f>
        <v/>
      </c>
      <c r="I110" s="40" t="str">
        <f>IF(Agent01_Withdrawals!A117="","",Agent01_Withdrawals!H117)</f>
        <v/>
      </c>
      <c r="J110" s="40" t="str">
        <f>IF(Agent01_Withdrawals!A117="","",Agent01_Withdrawals!J117)</f>
        <v/>
      </c>
      <c r="K110" s="40" t="str">
        <f>IF(Agent01_Withdrawals!A117="","",Agent01_Withdrawals!K117)</f>
        <v/>
      </c>
      <c r="L110" s="40" t="str">
        <f>IF(G110="","",IF(D110-G110&gt;=System_Config!$B$9,"✅ OK","⚠️ BREACH"))</f>
        <v/>
      </c>
      <c r="M110" s="40" t="str">
        <f>IFERROR(IF(Agent01_Withdrawals!A117="","",YEAR(Agent01_Withdrawals!D117)),"")</f>
        <v/>
      </c>
    </row>
    <row r="111" spans="1:13" ht="18" customHeight="1" x14ac:dyDescent="0.25">
      <c r="A111" s="40" t="str">
        <f>IF(Agent01_Withdrawals!A118="","",Agent01_Withdrawals!A118)</f>
        <v/>
      </c>
      <c r="B111" s="40" t="str">
        <f ca="1">IF(Agent01_Withdrawals!A118="","","WD"&amp;TEXT(111-3,"0000")&amp;"-"&amp;TEXT(TODAY(),"YYYYMMDD"))</f>
        <v/>
      </c>
      <c r="C111" s="40" t="str">
        <f>IF(Agent01_Withdrawals!A118="","",Agent01_Withdrawals!B118)</f>
        <v/>
      </c>
      <c r="D111" s="43" t="str">
        <f>IF(Agent01_Withdrawals!A118="","",Agent01_Withdrawals!C118)</f>
        <v/>
      </c>
      <c r="E111" s="41" t="str">
        <f>IF(Agent01_Withdrawals!A118="","",Agent01_Withdrawals!D118)</f>
        <v/>
      </c>
      <c r="F111" s="40" t="str">
        <f>IF(Agent01_Withdrawals!A118="","",Agent01_Withdrawals!F118)</f>
        <v/>
      </c>
      <c r="G111" s="42" t="str">
        <f>IF(Agent01_Withdrawals!A118="","",Agent01_Withdrawals!E118)</f>
        <v/>
      </c>
      <c r="H111" s="42" t="str">
        <f>IF(Agent01_Withdrawals!A118="","",Agent01_Withdrawals!G118)</f>
        <v/>
      </c>
      <c r="I111" s="40" t="str">
        <f>IF(Agent01_Withdrawals!A118="","",Agent01_Withdrawals!H118)</f>
        <v/>
      </c>
      <c r="J111" s="40" t="str">
        <f>IF(Agent01_Withdrawals!A118="","",Agent01_Withdrawals!J118)</f>
        <v/>
      </c>
      <c r="K111" s="40" t="str">
        <f>IF(Agent01_Withdrawals!A118="","",Agent01_Withdrawals!K118)</f>
        <v/>
      </c>
      <c r="L111" s="40" t="str">
        <f>IF(G111="","",IF(D111-G111&gt;=System_Config!$B$9,"✅ OK","⚠️ BREACH"))</f>
        <v/>
      </c>
      <c r="M111" s="40" t="str">
        <f>IFERROR(IF(Agent01_Withdrawals!A118="","",YEAR(Agent01_Withdrawals!D118)),"")</f>
        <v/>
      </c>
    </row>
    <row r="112" spans="1:13" ht="18" customHeight="1" x14ac:dyDescent="0.25">
      <c r="A112" s="40" t="str">
        <f>IF(Agent01_Withdrawals!A119="","",Agent01_Withdrawals!A119)</f>
        <v/>
      </c>
      <c r="B112" s="40" t="str">
        <f ca="1">IF(Agent01_Withdrawals!A119="","","WD"&amp;TEXT(112-3,"0000")&amp;"-"&amp;TEXT(TODAY(),"YYYYMMDD"))</f>
        <v/>
      </c>
      <c r="C112" s="40" t="str">
        <f>IF(Agent01_Withdrawals!A119="","",Agent01_Withdrawals!B119)</f>
        <v/>
      </c>
      <c r="D112" s="43" t="str">
        <f>IF(Agent01_Withdrawals!A119="","",Agent01_Withdrawals!C119)</f>
        <v/>
      </c>
      <c r="E112" s="41" t="str">
        <f>IF(Agent01_Withdrawals!A119="","",Agent01_Withdrawals!D119)</f>
        <v/>
      </c>
      <c r="F112" s="40" t="str">
        <f>IF(Agent01_Withdrawals!A119="","",Agent01_Withdrawals!F119)</f>
        <v/>
      </c>
      <c r="G112" s="42" t="str">
        <f>IF(Agent01_Withdrawals!A119="","",Agent01_Withdrawals!E119)</f>
        <v/>
      </c>
      <c r="H112" s="42" t="str">
        <f>IF(Agent01_Withdrawals!A119="","",Agent01_Withdrawals!G119)</f>
        <v/>
      </c>
      <c r="I112" s="40" t="str">
        <f>IF(Agent01_Withdrawals!A119="","",Agent01_Withdrawals!H119)</f>
        <v/>
      </c>
      <c r="J112" s="40" t="str">
        <f>IF(Agent01_Withdrawals!A119="","",Agent01_Withdrawals!J119)</f>
        <v/>
      </c>
      <c r="K112" s="40" t="str">
        <f>IF(Agent01_Withdrawals!A119="","",Agent01_Withdrawals!K119)</f>
        <v/>
      </c>
      <c r="L112" s="40" t="str">
        <f>IF(G112="","",IF(D112-G112&gt;=System_Config!$B$9,"✅ OK","⚠️ BREACH"))</f>
        <v/>
      </c>
      <c r="M112" s="40" t="str">
        <f>IFERROR(IF(Agent01_Withdrawals!A119="","",YEAR(Agent01_Withdrawals!D119)),"")</f>
        <v/>
      </c>
    </row>
    <row r="113" spans="1:13" ht="18" customHeight="1" x14ac:dyDescent="0.25">
      <c r="A113" s="40" t="str">
        <f>IF(Agent01_Withdrawals!A120="","",Agent01_Withdrawals!A120)</f>
        <v/>
      </c>
      <c r="B113" s="40" t="str">
        <f ca="1">IF(Agent01_Withdrawals!A120="","","WD"&amp;TEXT(113-3,"0000")&amp;"-"&amp;TEXT(TODAY(),"YYYYMMDD"))</f>
        <v/>
      </c>
      <c r="C113" s="40" t="str">
        <f>IF(Agent01_Withdrawals!A120="","",Agent01_Withdrawals!B120)</f>
        <v/>
      </c>
      <c r="D113" s="43" t="str">
        <f>IF(Agent01_Withdrawals!A120="","",Agent01_Withdrawals!C120)</f>
        <v/>
      </c>
      <c r="E113" s="41" t="str">
        <f>IF(Agent01_Withdrawals!A120="","",Agent01_Withdrawals!D120)</f>
        <v/>
      </c>
      <c r="F113" s="40" t="str">
        <f>IF(Agent01_Withdrawals!A120="","",Agent01_Withdrawals!F120)</f>
        <v/>
      </c>
      <c r="G113" s="42" t="str">
        <f>IF(Agent01_Withdrawals!A120="","",Agent01_Withdrawals!E120)</f>
        <v/>
      </c>
      <c r="H113" s="42" t="str">
        <f>IF(Agent01_Withdrawals!A120="","",Agent01_Withdrawals!G120)</f>
        <v/>
      </c>
      <c r="I113" s="40" t="str">
        <f>IF(Agent01_Withdrawals!A120="","",Agent01_Withdrawals!H120)</f>
        <v/>
      </c>
      <c r="J113" s="40" t="str">
        <f>IF(Agent01_Withdrawals!A120="","",Agent01_Withdrawals!J120)</f>
        <v/>
      </c>
      <c r="K113" s="40" t="str">
        <f>IF(Agent01_Withdrawals!A120="","",Agent01_Withdrawals!K120)</f>
        <v/>
      </c>
      <c r="L113" s="40" t="str">
        <f>IF(G113="","",IF(D113-G113&gt;=System_Config!$B$9,"✅ OK","⚠️ BREACH"))</f>
        <v/>
      </c>
      <c r="M113" s="40" t="str">
        <f>IFERROR(IF(Agent01_Withdrawals!A120="","",YEAR(Agent01_Withdrawals!D120)),"")</f>
        <v/>
      </c>
    </row>
    <row r="114" spans="1:13" ht="18" customHeight="1" x14ac:dyDescent="0.25">
      <c r="A114" s="40" t="str">
        <f>IF(Agent01_Withdrawals!A121="","",Agent01_Withdrawals!A121)</f>
        <v/>
      </c>
      <c r="B114" s="40" t="str">
        <f ca="1">IF(Agent01_Withdrawals!A121="","","WD"&amp;TEXT(114-3,"0000")&amp;"-"&amp;TEXT(TODAY(),"YYYYMMDD"))</f>
        <v/>
      </c>
      <c r="C114" s="40" t="str">
        <f>IF(Agent01_Withdrawals!A121="","",Agent01_Withdrawals!B121)</f>
        <v/>
      </c>
      <c r="D114" s="43" t="str">
        <f>IF(Agent01_Withdrawals!A121="","",Agent01_Withdrawals!C121)</f>
        <v/>
      </c>
      <c r="E114" s="41" t="str">
        <f>IF(Agent01_Withdrawals!A121="","",Agent01_Withdrawals!D121)</f>
        <v/>
      </c>
      <c r="F114" s="40" t="str">
        <f>IF(Agent01_Withdrawals!A121="","",Agent01_Withdrawals!F121)</f>
        <v/>
      </c>
      <c r="G114" s="42" t="str">
        <f>IF(Agent01_Withdrawals!A121="","",Agent01_Withdrawals!E121)</f>
        <v/>
      </c>
      <c r="H114" s="42" t="str">
        <f>IF(Agent01_Withdrawals!A121="","",Agent01_Withdrawals!G121)</f>
        <v/>
      </c>
      <c r="I114" s="40" t="str">
        <f>IF(Agent01_Withdrawals!A121="","",Agent01_Withdrawals!H121)</f>
        <v/>
      </c>
      <c r="J114" s="40" t="str">
        <f>IF(Agent01_Withdrawals!A121="","",Agent01_Withdrawals!J121)</f>
        <v/>
      </c>
      <c r="K114" s="40" t="str">
        <f>IF(Agent01_Withdrawals!A121="","",Agent01_Withdrawals!K121)</f>
        <v/>
      </c>
      <c r="L114" s="40" t="str">
        <f>IF(G114="","",IF(D114-G114&gt;=System_Config!$B$9,"✅ OK","⚠️ BREACH"))</f>
        <v/>
      </c>
      <c r="M114" s="40" t="str">
        <f>IFERROR(IF(Agent01_Withdrawals!A121="","",YEAR(Agent01_Withdrawals!D121)),"")</f>
        <v/>
      </c>
    </row>
    <row r="115" spans="1:13" ht="18" customHeight="1" x14ac:dyDescent="0.25">
      <c r="A115" s="40" t="str">
        <f>IF(Agent01_Withdrawals!A122="","",Agent01_Withdrawals!A122)</f>
        <v/>
      </c>
      <c r="B115" s="40" t="str">
        <f ca="1">IF(Agent01_Withdrawals!A122="","","WD"&amp;TEXT(115-3,"0000")&amp;"-"&amp;TEXT(TODAY(),"YYYYMMDD"))</f>
        <v/>
      </c>
      <c r="C115" s="40" t="str">
        <f>IF(Agent01_Withdrawals!A122="","",Agent01_Withdrawals!B122)</f>
        <v/>
      </c>
      <c r="D115" s="43" t="str">
        <f>IF(Agent01_Withdrawals!A122="","",Agent01_Withdrawals!C122)</f>
        <v/>
      </c>
      <c r="E115" s="41" t="str">
        <f>IF(Agent01_Withdrawals!A122="","",Agent01_Withdrawals!D122)</f>
        <v/>
      </c>
      <c r="F115" s="40" t="str">
        <f>IF(Agent01_Withdrawals!A122="","",Agent01_Withdrawals!F122)</f>
        <v/>
      </c>
      <c r="G115" s="42" t="str">
        <f>IF(Agent01_Withdrawals!A122="","",Agent01_Withdrawals!E122)</f>
        <v/>
      </c>
      <c r="H115" s="42" t="str">
        <f>IF(Agent01_Withdrawals!A122="","",Agent01_Withdrawals!G122)</f>
        <v/>
      </c>
      <c r="I115" s="40" t="str">
        <f>IF(Agent01_Withdrawals!A122="","",Agent01_Withdrawals!H122)</f>
        <v/>
      </c>
      <c r="J115" s="40" t="str">
        <f>IF(Agent01_Withdrawals!A122="","",Agent01_Withdrawals!J122)</f>
        <v/>
      </c>
      <c r="K115" s="40" t="str">
        <f>IF(Agent01_Withdrawals!A122="","",Agent01_Withdrawals!K122)</f>
        <v/>
      </c>
      <c r="L115" s="40" t="str">
        <f>IF(G115="","",IF(D115-G115&gt;=System_Config!$B$9,"✅ OK","⚠️ BREACH"))</f>
        <v/>
      </c>
      <c r="M115" s="40" t="str">
        <f>IFERROR(IF(Agent01_Withdrawals!A122="","",YEAR(Agent01_Withdrawals!D122)),"")</f>
        <v/>
      </c>
    </row>
    <row r="116" spans="1:13" ht="18" customHeight="1" x14ac:dyDescent="0.25">
      <c r="A116" s="40" t="str">
        <f>IF(Agent01_Withdrawals!A123="","",Agent01_Withdrawals!A123)</f>
        <v/>
      </c>
      <c r="B116" s="40" t="str">
        <f ca="1">IF(Agent01_Withdrawals!A123="","","WD"&amp;TEXT(116-3,"0000")&amp;"-"&amp;TEXT(TODAY(),"YYYYMMDD"))</f>
        <v/>
      </c>
      <c r="C116" s="40" t="str">
        <f>IF(Agent01_Withdrawals!A123="","",Agent01_Withdrawals!B123)</f>
        <v/>
      </c>
      <c r="D116" s="43" t="str">
        <f>IF(Agent01_Withdrawals!A123="","",Agent01_Withdrawals!C123)</f>
        <v/>
      </c>
      <c r="E116" s="41" t="str">
        <f>IF(Agent01_Withdrawals!A123="","",Agent01_Withdrawals!D123)</f>
        <v/>
      </c>
      <c r="F116" s="40" t="str">
        <f>IF(Agent01_Withdrawals!A123="","",Agent01_Withdrawals!F123)</f>
        <v/>
      </c>
      <c r="G116" s="42" t="str">
        <f>IF(Agent01_Withdrawals!A123="","",Agent01_Withdrawals!E123)</f>
        <v/>
      </c>
      <c r="H116" s="42" t="str">
        <f>IF(Agent01_Withdrawals!A123="","",Agent01_Withdrawals!G123)</f>
        <v/>
      </c>
      <c r="I116" s="40" t="str">
        <f>IF(Agent01_Withdrawals!A123="","",Agent01_Withdrawals!H123)</f>
        <v/>
      </c>
      <c r="J116" s="40" t="str">
        <f>IF(Agent01_Withdrawals!A123="","",Agent01_Withdrawals!J123)</f>
        <v/>
      </c>
      <c r="K116" s="40" t="str">
        <f>IF(Agent01_Withdrawals!A123="","",Agent01_Withdrawals!K123)</f>
        <v/>
      </c>
      <c r="L116" s="40" t="str">
        <f>IF(G116="","",IF(D116-G116&gt;=System_Config!$B$9,"✅ OK","⚠️ BREACH"))</f>
        <v/>
      </c>
      <c r="M116" s="40" t="str">
        <f>IFERROR(IF(Agent01_Withdrawals!A123="","",YEAR(Agent01_Withdrawals!D123)),"")</f>
        <v/>
      </c>
    </row>
    <row r="117" spans="1:13" ht="18" customHeight="1" x14ac:dyDescent="0.25">
      <c r="A117" s="40" t="str">
        <f>IF(Agent01_Withdrawals!A124="","",Agent01_Withdrawals!A124)</f>
        <v/>
      </c>
      <c r="B117" s="40" t="str">
        <f ca="1">IF(Agent01_Withdrawals!A124="","","WD"&amp;TEXT(117-3,"0000")&amp;"-"&amp;TEXT(TODAY(),"YYYYMMDD"))</f>
        <v/>
      </c>
      <c r="C117" s="40" t="str">
        <f>IF(Agent01_Withdrawals!A124="","",Agent01_Withdrawals!B124)</f>
        <v/>
      </c>
      <c r="D117" s="43" t="str">
        <f>IF(Agent01_Withdrawals!A124="","",Agent01_Withdrawals!C124)</f>
        <v/>
      </c>
      <c r="E117" s="41" t="str">
        <f>IF(Agent01_Withdrawals!A124="","",Agent01_Withdrawals!D124)</f>
        <v/>
      </c>
      <c r="F117" s="40" t="str">
        <f>IF(Agent01_Withdrawals!A124="","",Agent01_Withdrawals!F124)</f>
        <v/>
      </c>
      <c r="G117" s="42" t="str">
        <f>IF(Agent01_Withdrawals!A124="","",Agent01_Withdrawals!E124)</f>
        <v/>
      </c>
      <c r="H117" s="42" t="str">
        <f>IF(Agent01_Withdrawals!A124="","",Agent01_Withdrawals!G124)</f>
        <v/>
      </c>
      <c r="I117" s="40" t="str">
        <f>IF(Agent01_Withdrawals!A124="","",Agent01_Withdrawals!H124)</f>
        <v/>
      </c>
      <c r="J117" s="40" t="str">
        <f>IF(Agent01_Withdrawals!A124="","",Agent01_Withdrawals!J124)</f>
        <v/>
      </c>
      <c r="K117" s="40" t="str">
        <f>IF(Agent01_Withdrawals!A124="","",Agent01_Withdrawals!K124)</f>
        <v/>
      </c>
      <c r="L117" s="40" t="str">
        <f>IF(G117="","",IF(D117-G117&gt;=System_Config!$B$9,"✅ OK","⚠️ BREACH"))</f>
        <v/>
      </c>
      <c r="M117" s="40" t="str">
        <f>IFERROR(IF(Agent01_Withdrawals!A124="","",YEAR(Agent01_Withdrawals!D124)),"")</f>
        <v/>
      </c>
    </row>
    <row r="118" spans="1:13" ht="18" customHeight="1" x14ac:dyDescent="0.25">
      <c r="A118" s="40" t="str">
        <f>IF(Agent01_Withdrawals!A125="","",Agent01_Withdrawals!A125)</f>
        <v/>
      </c>
      <c r="B118" s="40" t="str">
        <f ca="1">IF(Agent01_Withdrawals!A125="","","WD"&amp;TEXT(118-3,"0000")&amp;"-"&amp;TEXT(TODAY(),"YYYYMMDD"))</f>
        <v/>
      </c>
      <c r="C118" s="40" t="str">
        <f>IF(Agent01_Withdrawals!A125="","",Agent01_Withdrawals!B125)</f>
        <v/>
      </c>
      <c r="D118" s="43" t="str">
        <f>IF(Agent01_Withdrawals!A125="","",Agent01_Withdrawals!C125)</f>
        <v/>
      </c>
      <c r="E118" s="41" t="str">
        <f>IF(Agent01_Withdrawals!A125="","",Agent01_Withdrawals!D125)</f>
        <v/>
      </c>
      <c r="F118" s="40" t="str">
        <f>IF(Agent01_Withdrawals!A125="","",Agent01_Withdrawals!F125)</f>
        <v/>
      </c>
      <c r="G118" s="42" t="str">
        <f>IF(Agent01_Withdrawals!A125="","",Agent01_Withdrawals!E125)</f>
        <v/>
      </c>
      <c r="H118" s="42" t="str">
        <f>IF(Agent01_Withdrawals!A125="","",Agent01_Withdrawals!G125)</f>
        <v/>
      </c>
      <c r="I118" s="40" t="str">
        <f>IF(Agent01_Withdrawals!A125="","",Agent01_Withdrawals!H125)</f>
        <v/>
      </c>
      <c r="J118" s="40" t="str">
        <f>IF(Agent01_Withdrawals!A125="","",Agent01_Withdrawals!J125)</f>
        <v/>
      </c>
      <c r="K118" s="40" t="str">
        <f>IF(Agent01_Withdrawals!A125="","",Agent01_Withdrawals!K125)</f>
        <v/>
      </c>
      <c r="L118" s="40" t="str">
        <f>IF(G118="","",IF(D118-G118&gt;=System_Config!$B$9,"✅ OK","⚠️ BREACH"))</f>
        <v/>
      </c>
      <c r="M118" s="40" t="str">
        <f>IFERROR(IF(Agent01_Withdrawals!A125="","",YEAR(Agent01_Withdrawals!D125)),"")</f>
        <v/>
      </c>
    </row>
    <row r="119" spans="1:13" ht="18" customHeight="1" x14ac:dyDescent="0.25">
      <c r="A119" s="40" t="str">
        <f>IF(Agent01_Withdrawals!A126="","",Agent01_Withdrawals!A126)</f>
        <v/>
      </c>
      <c r="B119" s="40" t="str">
        <f ca="1">IF(Agent01_Withdrawals!A126="","","WD"&amp;TEXT(119-3,"0000")&amp;"-"&amp;TEXT(TODAY(),"YYYYMMDD"))</f>
        <v/>
      </c>
      <c r="C119" s="40" t="str">
        <f>IF(Agent01_Withdrawals!A126="","",Agent01_Withdrawals!B126)</f>
        <v/>
      </c>
      <c r="D119" s="43" t="str">
        <f>IF(Agent01_Withdrawals!A126="","",Agent01_Withdrawals!C126)</f>
        <v/>
      </c>
      <c r="E119" s="41" t="str">
        <f>IF(Agent01_Withdrawals!A126="","",Agent01_Withdrawals!D126)</f>
        <v/>
      </c>
      <c r="F119" s="40" t="str">
        <f>IF(Agent01_Withdrawals!A126="","",Agent01_Withdrawals!F126)</f>
        <v/>
      </c>
      <c r="G119" s="42" t="str">
        <f>IF(Agent01_Withdrawals!A126="","",Agent01_Withdrawals!E126)</f>
        <v/>
      </c>
      <c r="H119" s="42" t="str">
        <f>IF(Agent01_Withdrawals!A126="","",Agent01_Withdrawals!G126)</f>
        <v/>
      </c>
      <c r="I119" s="40" t="str">
        <f>IF(Agent01_Withdrawals!A126="","",Agent01_Withdrawals!H126)</f>
        <v/>
      </c>
      <c r="J119" s="40" t="str">
        <f>IF(Agent01_Withdrawals!A126="","",Agent01_Withdrawals!J126)</f>
        <v/>
      </c>
      <c r="K119" s="40" t="str">
        <f>IF(Agent01_Withdrawals!A126="","",Agent01_Withdrawals!K126)</f>
        <v/>
      </c>
      <c r="L119" s="40" t="str">
        <f>IF(G119="","",IF(D119-G119&gt;=System_Config!$B$9,"✅ OK","⚠️ BREACH"))</f>
        <v/>
      </c>
      <c r="M119" s="40" t="str">
        <f>IFERROR(IF(Agent01_Withdrawals!A126="","",YEAR(Agent01_Withdrawals!D126)),"")</f>
        <v/>
      </c>
    </row>
    <row r="120" spans="1:13" ht="18" customHeight="1" x14ac:dyDescent="0.25">
      <c r="A120" s="40" t="str">
        <f>IF(Agent01_Withdrawals!A127="","",Agent01_Withdrawals!A127)</f>
        <v/>
      </c>
      <c r="B120" s="40" t="str">
        <f ca="1">IF(Agent01_Withdrawals!A127="","","WD"&amp;TEXT(120-3,"0000")&amp;"-"&amp;TEXT(TODAY(),"YYYYMMDD"))</f>
        <v/>
      </c>
      <c r="C120" s="40" t="str">
        <f>IF(Agent01_Withdrawals!A127="","",Agent01_Withdrawals!B127)</f>
        <v/>
      </c>
      <c r="D120" s="43" t="str">
        <f>IF(Agent01_Withdrawals!A127="","",Agent01_Withdrawals!C127)</f>
        <v/>
      </c>
      <c r="E120" s="41" t="str">
        <f>IF(Agent01_Withdrawals!A127="","",Agent01_Withdrawals!D127)</f>
        <v/>
      </c>
      <c r="F120" s="40" t="str">
        <f>IF(Agent01_Withdrawals!A127="","",Agent01_Withdrawals!F127)</f>
        <v/>
      </c>
      <c r="G120" s="42" t="str">
        <f>IF(Agent01_Withdrawals!A127="","",Agent01_Withdrawals!E127)</f>
        <v/>
      </c>
      <c r="H120" s="42" t="str">
        <f>IF(Agent01_Withdrawals!A127="","",Agent01_Withdrawals!G127)</f>
        <v/>
      </c>
      <c r="I120" s="40" t="str">
        <f>IF(Agent01_Withdrawals!A127="","",Agent01_Withdrawals!H127)</f>
        <v/>
      </c>
      <c r="J120" s="40" t="str">
        <f>IF(Agent01_Withdrawals!A127="","",Agent01_Withdrawals!J127)</f>
        <v/>
      </c>
      <c r="K120" s="40" t="str">
        <f>IF(Agent01_Withdrawals!A127="","",Agent01_Withdrawals!K127)</f>
        <v/>
      </c>
      <c r="L120" s="40" t="str">
        <f>IF(G120="","",IF(D120-G120&gt;=System_Config!$B$9,"✅ OK","⚠️ BREACH"))</f>
        <v/>
      </c>
      <c r="M120" s="40" t="str">
        <f>IFERROR(IF(Agent01_Withdrawals!A127="","",YEAR(Agent01_Withdrawals!D127)),"")</f>
        <v/>
      </c>
    </row>
    <row r="121" spans="1:13" ht="18" customHeight="1" x14ac:dyDescent="0.25">
      <c r="A121" s="40" t="str">
        <f>IF(Agent01_Withdrawals!A128="","",Agent01_Withdrawals!A128)</f>
        <v/>
      </c>
      <c r="B121" s="40" t="str">
        <f ca="1">IF(Agent01_Withdrawals!A128="","","WD"&amp;TEXT(121-3,"0000")&amp;"-"&amp;TEXT(TODAY(),"YYYYMMDD"))</f>
        <v/>
      </c>
      <c r="C121" s="40" t="str">
        <f>IF(Agent01_Withdrawals!A128="","",Agent01_Withdrawals!B128)</f>
        <v/>
      </c>
      <c r="D121" s="43" t="str">
        <f>IF(Agent01_Withdrawals!A128="","",Agent01_Withdrawals!C128)</f>
        <v/>
      </c>
      <c r="E121" s="41" t="str">
        <f>IF(Agent01_Withdrawals!A128="","",Agent01_Withdrawals!D128)</f>
        <v/>
      </c>
      <c r="F121" s="40" t="str">
        <f>IF(Agent01_Withdrawals!A128="","",Agent01_Withdrawals!F128)</f>
        <v/>
      </c>
      <c r="G121" s="42" t="str">
        <f>IF(Agent01_Withdrawals!A128="","",Agent01_Withdrawals!E128)</f>
        <v/>
      </c>
      <c r="H121" s="42" t="str">
        <f>IF(Agent01_Withdrawals!A128="","",Agent01_Withdrawals!G128)</f>
        <v/>
      </c>
      <c r="I121" s="40" t="str">
        <f>IF(Agent01_Withdrawals!A128="","",Agent01_Withdrawals!H128)</f>
        <v/>
      </c>
      <c r="J121" s="40" t="str">
        <f>IF(Agent01_Withdrawals!A128="","",Agent01_Withdrawals!J128)</f>
        <v/>
      </c>
      <c r="K121" s="40" t="str">
        <f>IF(Agent01_Withdrawals!A128="","",Agent01_Withdrawals!K128)</f>
        <v/>
      </c>
      <c r="L121" s="40" t="str">
        <f>IF(G121="","",IF(D121-G121&gt;=System_Config!$B$9,"✅ OK","⚠️ BREACH"))</f>
        <v/>
      </c>
      <c r="M121" s="40" t="str">
        <f>IFERROR(IF(Agent01_Withdrawals!A128="","",YEAR(Agent01_Withdrawals!D128)),"")</f>
        <v/>
      </c>
    </row>
    <row r="122" spans="1:13" ht="18" customHeight="1" x14ac:dyDescent="0.25">
      <c r="A122" s="40" t="str">
        <f>IF(Agent01_Withdrawals!A129="","",Agent01_Withdrawals!A129)</f>
        <v/>
      </c>
      <c r="B122" s="40" t="str">
        <f ca="1">IF(Agent01_Withdrawals!A129="","","WD"&amp;TEXT(122-3,"0000")&amp;"-"&amp;TEXT(TODAY(),"YYYYMMDD"))</f>
        <v/>
      </c>
      <c r="C122" s="40" t="str">
        <f>IF(Agent01_Withdrawals!A129="","",Agent01_Withdrawals!B129)</f>
        <v/>
      </c>
      <c r="D122" s="43" t="str">
        <f>IF(Agent01_Withdrawals!A129="","",Agent01_Withdrawals!C129)</f>
        <v/>
      </c>
      <c r="E122" s="41" t="str">
        <f>IF(Agent01_Withdrawals!A129="","",Agent01_Withdrawals!D129)</f>
        <v/>
      </c>
      <c r="F122" s="40" t="str">
        <f>IF(Agent01_Withdrawals!A129="","",Agent01_Withdrawals!F129)</f>
        <v/>
      </c>
      <c r="G122" s="42" t="str">
        <f>IF(Agent01_Withdrawals!A129="","",Agent01_Withdrawals!E129)</f>
        <v/>
      </c>
      <c r="H122" s="42" t="str">
        <f>IF(Agent01_Withdrawals!A129="","",Agent01_Withdrawals!G129)</f>
        <v/>
      </c>
      <c r="I122" s="40" t="str">
        <f>IF(Agent01_Withdrawals!A129="","",Agent01_Withdrawals!H129)</f>
        <v/>
      </c>
      <c r="J122" s="40" t="str">
        <f>IF(Agent01_Withdrawals!A129="","",Agent01_Withdrawals!J129)</f>
        <v/>
      </c>
      <c r="K122" s="40" t="str">
        <f>IF(Agent01_Withdrawals!A129="","",Agent01_Withdrawals!K129)</f>
        <v/>
      </c>
      <c r="L122" s="40" t="str">
        <f>IF(G122="","",IF(D122-G122&gt;=System_Config!$B$9,"✅ OK","⚠️ BREACH"))</f>
        <v/>
      </c>
      <c r="M122" s="40" t="str">
        <f>IFERROR(IF(Agent01_Withdrawals!A129="","",YEAR(Agent01_Withdrawals!D129)),"")</f>
        <v/>
      </c>
    </row>
    <row r="123" spans="1:13" ht="18" customHeight="1" x14ac:dyDescent="0.25">
      <c r="A123" s="40" t="str">
        <f>IF(Agent01_Withdrawals!A130="","",Agent01_Withdrawals!A130)</f>
        <v/>
      </c>
      <c r="B123" s="40" t="str">
        <f ca="1">IF(Agent01_Withdrawals!A130="","","WD"&amp;TEXT(123-3,"0000")&amp;"-"&amp;TEXT(TODAY(),"YYYYMMDD"))</f>
        <v/>
      </c>
      <c r="C123" s="40" t="str">
        <f>IF(Agent01_Withdrawals!A130="","",Agent01_Withdrawals!B130)</f>
        <v/>
      </c>
      <c r="D123" s="43" t="str">
        <f>IF(Agent01_Withdrawals!A130="","",Agent01_Withdrawals!C130)</f>
        <v/>
      </c>
      <c r="E123" s="41" t="str">
        <f>IF(Agent01_Withdrawals!A130="","",Agent01_Withdrawals!D130)</f>
        <v/>
      </c>
      <c r="F123" s="40" t="str">
        <f>IF(Agent01_Withdrawals!A130="","",Agent01_Withdrawals!F130)</f>
        <v/>
      </c>
      <c r="G123" s="42" t="str">
        <f>IF(Agent01_Withdrawals!A130="","",Agent01_Withdrawals!E130)</f>
        <v/>
      </c>
      <c r="H123" s="42" t="str">
        <f>IF(Agent01_Withdrawals!A130="","",Agent01_Withdrawals!G130)</f>
        <v/>
      </c>
      <c r="I123" s="40" t="str">
        <f>IF(Agent01_Withdrawals!A130="","",Agent01_Withdrawals!H130)</f>
        <v/>
      </c>
      <c r="J123" s="40" t="str">
        <f>IF(Agent01_Withdrawals!A130="","",Agent01_Withdrawals!J130)</f>
        <v/>
      </c>
      <c r="K123" s="40" t="str">
        <f>IF(Agent01_Withdrawals!A130="","",Agent01_Withdrawals!K130)</f>
        <v/>
      </c>
      <c r="L123" s="40" t="str">
        <f>IF(G123="","",IF(D123-G123&gt;=System_Config!$B$9,"✅ OK","⚠️ BREACH"))</f>
        <v/>
      </c>
      <c r="M123" s="40" t="str">
        <f>IFERROR(IF(Agent01_Withdrawals!A130="","",YEAR(Agent01_Withdrawals!D130)),"")</f>
        <v/>
      </c>
    </row>
    <row r="124" spans="1:13" ht="18" customHeight="1" x14ac:dyDescent="0.25">
      <c r="A124" s="40" t="str">
        <f>IF(Agent01_Withdrawals!A131="","",Agent01_Withdrawals!A131)</f>
        <v/>
      </c>
      <c r="B124" s="40" t="str">
        <f ca="1">IF(Agent01_Withdrawals!A131="","","WD"&amp;TEXT(124-3,"0000")&amp;"-"&amp;TEXT(TODAY(),"YYYYMMDD"))</f>
        <v/>
      </c>
      <c r="C124" s="40" t="str">
        <f>IF(Agent01_Withdrawals!A131="","",Agent01_Withdrawals!B131)</f>
        <v/>
      </c>
      <c r="D124" s="43" t="str">
        <f>IF(Agent01_Withdrawals!A131="","",Agent01_Withdrawals!C131)</f>
        <v/>
      </c>
      <c r="E124" s="41" t="str">
        <f>IF(Agent01_Withdrawals!A131="","",Agent01_Withdrawals!D131)</f>
        <v/>
      </c>
      <c r="F124" s="40" t="str">
        <f>IF(Agent01_Withdrawals!A131="","",Agent01_Withdrawals!F131)</f>
        <v/>
      </c>
      <c r="G124" s="42" t="str">
        <f>IF(Agent01_Withdrawals!A131="","",Agent01_Withdrawals!E131)</f>
        <v/>
      </c>
      <c r="H124" s="42" t="str">
        <f>IF(Agent01_Withdrawals!A131="","",Agent01_Withdrawals!G131)</f>
        <v/>
      </c>
      <c r="I124" s="40" t="str">
        <f>IF(Agent01_Withdrawals!A131="","",Agent01_Withdrawals!H131)</f>
        <v/>
      </c>
      <c r="J124" s="40" t="str">
        <f>IF(Agent01_Withdrawals!A131="","",Agent01_Withdrawals!J131)</f>
        <v/>
      </c>
      <c r="K124" s="40" t="str">
        <f>IF(Agent01_Withdrawals!A131="","",Agent01_Withdrawals!K131)</f>
        <v/>
      </c>
      <c r="L124" s="40" t="str">
        <f>IF(G124="","",IF(D124-G124&gt;=System_Config!$B$9,"✅ OK","⚠️ BREACH"))</f>
        <v/>
      </c>
      <c r="M124" s="40" t="str">
        <f>IFERROR(IF(Agent01_Withdrawals!A131="","",YEAR(Agent01_Withdrawals!D131)),"")</f>
        <v/>
      </c>
    </row>
    <row r="125" spans="1:13" ht="18" customHeight="1" x14ac:dyDescent="0.25">
      <c r="A125" s="40" t="str">
        <f>IF(Agent01_Withdrawals!A132="","",Agent01_Withdrawals!A132)</f>
        <v/>
      </c>
      <c r="B125" s="40" t="str">
        <f ca="1">IF(Agent01_Withdrawals!A132="","","WD"&amp;TEXT(125-3,"0000")&amp;"-"&amp;TEXT(TODAY(),"YYYYMMDD"))</f>
        <v/>
      </c>
      <c r="C125" s="40" t="str">
        <f>IF(Agent01_Withdrawals!A132="","",Agent01_Withdrawals!B132)</f>
        <v/>
      </c>
      <c r="D125" s="43" t="str">
        <f>IF(Agent01_Withdrawals!A132="","",Agent01_Withdrawals!C132)</f>
        <v/>
      </c>
      <c r="E125" s="41" t="str">
        <f>IF(Agent01_Withdrawals!A132="","",Agent01_Withdrawals!D132)</f>
        <v/>
      </c>
      <c r="F125" s="40" t="str">
        <f>IF(Agent01_Withdrawals!A132="","",Agent01_Withdrawals!F132)</f>
        <v/>
      </c>
      <c r="G125" s="42" t="str">
        <f>IF(Agent01_Withdrawals!A132="","",Agent01_Withdrawals!E132)</f>
        <v/>
      </c>
      <c r="H125" s="42" t="str">
        <f>IF(Agent01_Withdrawals!A132="","",Agent01_Withdrawals!G132)</f>
        <v/>
      </c>
      <c r="I125" s="40" t="str">
        <f>IF(Agent01_Withdrawals!A132="","",Agent01_Withdrawals!H132)</f>
        <v/>
      </c>
      <c r="J125" s="40" t="str">
        <f>IF(Agent01_Withdrawals!A132="","",Agent01_Withdrawals!J132)</f>
        <v/>
      </c>
      <c r="K125" s="40" t="str">
        <f>IF(Agent01_Withdrawals!A132="","",Agent01_Withdrawals!K132)</f>
        <v/>
      </c>
      <c r="L125" s="40" t="str">
        <f>IF(G125="","",IF(D125-G125&gt;=System_Config!$B$9,"✅ OK","⚠️ BREACH"))</f>
        <v/>
      </c>
      <c r="M125" s="40" t="str">
        <f>IFERROR(IF(Agent01_Withdrawals!A132="","",YEAR(Agent01_Withdrawals!D132)),"")</f>
        <v/>
      </c>
    </row>
    <row r="126" spans="1:13" ht="18" customHeight="1" x14ac:dyDescent="0.25">
      <c r="A126" s="40" t="str">
        <f>IF(Agent01_Withdrawals!A133="","",Agent01_Withdrawals!A133)</f>
        <v/>
      </c>
      <c r="B126" s="40" t="str">
        <f ca="1">IF(Agent01_Withdrawals!A133="","","WD"&amp;TEXT(126-3,"0000")&amp;"-"&amp;TEXT(TODAY(),"YYYYMMDD"))</f>
        <v/>
      </c>
      <c r="C126" s="40" t="str">
        <f>IF(Agent01_Withdrawals!A133="","",Agent01_Withdrawals!B133)</f>
        <v/>
      </c>
      <c r="D126" s="43" t="str">
        <f>IF(Agent01_Withdrawals!A133="","",Agent01_Withdrawals!C133)</f>
        <v/>
      </c>
      <c r="E126" s="41" t="str">
        <f>IF(Agent01_Withdrawals!A133="","",Agent01_Withdrawals!D133)</f>
        <v/>
      </c>
      <c r="F126" s="40" t="str">
        <f>IF(Agent01_Withdrawals!A133="","",Agent01_Withdrawals!F133)</f>
        <v/>
      </c>
      <c r="G126" s="42" t="str">
        <f>IF(Agent01_Withdrawals!A133="","",Agent01_Withdrawals!E133)</f>
        <v/>
      </c>
      <c r="H126" s="42" t="str">
        <f>IF(Agent01_Withdrawals!A133="","",Agent01_Withdrawals!G133)</f>
        <v/>
      </c>
      <c r="I126" s="40" t="str">
        <f>IF(Agent01_Withdrawals!A133="","",Agent01_Withdrawals!H133)</f>
        <v/>
      </c>
      <c r="J126" s="40" t="str">
        <f>IF(Agent01_Withdrawals!A133="","",Agent01_Withdrawals!J133)</f>
        <v/>
      </c>
      <c r="K126" s="40" t="str">
        <f>IF(Agent01_Withdrawals!A133="","",Agent01_Withdrawals!K133)</f>
        <v/>
      </c>
      <c r="L126" s="40" t="str">
        <f>IF(G126="","",IF(D126-G126&gt;=System_Config!$B$9,"✅ OK","⚠️ BREACH"))</f>
        <v/>
      </c>
      <c r="M126" s="40" t="str">
        <f>IFERROR(IF(Agent01_Withdrawals!A133="","",YEAR(Agent01_Withdrawals!D133)),"")</f>
        <v/>
      </c>
    </row>
    <row r="127" spans="1:13" ht="18" customHeight="1" x14ac:dyDescent="0.25">
      <c r="A127" s="40" t="str">
        <f>IF(Agent01_Withdrawals!A134="","",Agent01_Withdrawals!A134)</f>
        <v/>
      </c>
      <c r="B127" s="40" t="str">
        <f ca="1">IF(Agent01_Withdrawals!A134="","","WD"&amp;TEXT(127-3,"0000")&amp;"-"&amp;TEXT(TODAY(),"YYYYMMDD"))</f>
        <v/>
      </c>
      <c r="C127" s="40" t="str">
        <f>IF(Agent01_Withdrawals!A134="","",Agent01_Withdrawals!B134)</f>
        <v/>
      </c>
      <c r="D127" s="43" t="str">
        <f>IF(Agent01_Withdrawals!A134="","",Agent01_Withdrawals!C134)</f>
        <v/>
      </c>
      <c r="E127" s="41" t="str">
        <f>IF(Agent01_Withdrawals!A134="","",Agent01_Withdrawals!D134)</f>
        <v/>
      </c>
      <c r="F127" s="40" t="str">
        <f>IF(Agent01_Withdrawals!A134="","",Agent01_Withdrawals!F134)</f>
        <v/>
      </c>
      <c r="G127" s="42" t="str">
        <f>IF(Agent01_Withdrawals!A134="","",Agent01_Withdrawals!E134)</f>
        <v/>
      </c>
      <c r="H127" s="42" t="str">
        <f>IF(Agent01_Withdrawals!A134="","",Agent01_Withdrawals!G134)</f>
        <v/>
      </c>
      <c r="I127" s="40" t="str">
        <f>IF(Agent01_Withdrawals!A134="","",Agent01_Withdrawals!H134)</f>
        <v/>
      </c>
      <c r="J127" s="40" t="str">
        <f>IF(Agent01_Withdrawals!A134="","",Agent01_Withdrawals!J134)</f>
        <v/>
      </c>
      <c r="K127" s="40" t="str">
        <f>IF(Agent01_Withdrawals!A134="","",Agent01_Withdrawals!K134)</f>
        <v/>
      </c>
      <c r="L127" s="40" t="str">
        <f>IF(G127="","",IF(D127-G127&gt;=System_Config!$B$9,"✅ OK","⚠️ BREACH"))</f>
        <v/>
      </c>
      <c r="M127" s="40" t="str">
        <f>IFERROR(IF(Agent01_Withdrawals!A134="","",YEAR(Agent01_Withdrawals!D134)),"")</f>
        <v/>
      </c>
    </row>
    <row r="128" spans="1:13" ht="18" customHeight="1" x14ac:dyDescent="0.25">
      <c r="A128" s="40" t="str">
        <f>IF(Agent01_Withdrawals!A135="","",Agent01_Withdrawals!A135)</f>
        <v/>
      </c>
      <c r="B128" s="40" t="str">
        <f ca="1">IF(Agent01_Withdrawals!A135="","","WD"&amp;TEXT(128-3,"0000")&amp;"-"&amp;TEXT(TODAY(),"YYYYMMDD"))</f>
        <v/>
      </c>
      <c r="C128" s="40" t="str">
        <f>IF(Agent01_Withdrawals!A135="","",Agent01_Withdrawals!B135)</f>
        <v/>
      </c>
      <c r="D128" s="43" t="str">
        <f>IF(Agent01_Withdrawals!A135="","",Agent01_Withdrawals!C135)</f>
        <v/>
      </c>
      <c r="E128" s="41" t="str">
        <f>IF(Agent01_Withdrawals!A135="","",Agent01_Withdrawals!D135)</f>
        <v/>
      </c>
      <c r="F128" s="40" t="str">
        <f>IF(Agent01_Withdrawals!A135="","",Agent01_Withdrawals!F135)</f>
        <v/>
      </c>
      <c r="G128" s="42" t="str">
        <f>IF(Agent01_Withdrawals!A135="","",Agent01_Withdrawals!E135)</f>
        <v/>
      </c>
      <c r="H128" s="42" t="str">
        <f>IF(Agent01_Withdrawals!A135="","",Agent01_Withdrawals!G135)</f>
        <v/>
      </c>
      <c r="I128" s="40" t="str">
        <f>IF(Agent01_Withdrawals!A135="","",Agent01_Withdrawals!H135)</f>
        <v/>
      </c>
      <c r="J128" s="40" t="str">
        <f>IF(Agent01_Withdrawals!A135="","",Agent01_Withdrawals!J135)</f>
        <v/>
      </c>
      <c r="K128" s="40" t="str">
        <f>IF(Agent01_Withdrawals!A135="","",Agent01_Withdrawals!K135)</f>
        <v/>
      </c>
      <c r="L128" s="40" t="str">
        <f>IF(G128="","",IF(D128-G128&gt;=System_Config!$B$9,"✅ OK","⚠️ BREACH"))</f>
        <v/>
      </c>
      <c r="M128" s="40" t="str">
        <f>IFERROR(IF(Agent01_Withdrawals!A135="","",YEAR(Agent01_Withdrawals!D135)),"")</f>
        <v/>
      </c>
    </row>
    <row r="129" spans="1:13" ht="18" customHeight="1" x14ac:dyDescent="0.25">
      <c r="A129" s="40" t="str">
        <f>IF(Agent01_Withdrawals!A136="","",Agent01_Withdrawals!A136)</f>
        <v/>
      </c>
      <c r="B129" s="40" t="str">
        <f ca="1">IF(Agent01_Withdrawals!A136="","","WD"&amp;TEXT(129-3,"0000")&amp;"-"&amp;TEXT(TODAY(),"YYYYMMDD"))</f>
        <v/>
      </c>
      <c r="C129" s="40" t="str">
        <f>IF(Agent01_Withdrawals!A136="","",Agent01_Withdrawals!B136)</f>
        <v/>
      </c>
      <c r="D129" s="43" t="str">
        <f>IF(Agent01_Withdrawals!A136="","",Agent01_Withdrawals!C136)</f>
        <v/>
      </c>
      <c r="E129" s="41" t="str">
        <f>IF(Agent01_Withdrawals!A136="","",Agent01_Withdrawals!D136)</f>
        <v/>
      </c>
      <c r="F129" s="40" t="str">
        <f>IF(Agent01_Withdrawals!A136="","",Agent01_Withdrawals!F136)</f>
        <v/>
      </c>
      <c r="G129" s="42" t="str">
        <f>IF(Agent01_Withdrawals!A136="","",Agent01_Withdrawals!E136)</f>
        <v/>
      </c>
      <c r="H129" s="42" t="str">
        <f>IF(Agent01_Withdrawals!A136="","",Agent01_Withdrawals!G136)</f>
        <v/>
      </c>
      <c r="I129" s="40" t="str">
        <f>IF(Agent01_Withdrawals!A136="","",Agent01_Withdrawals!H136)</f>
        <v/>
      </c>
      <c r="J129" s="40" t="str">
        <f>IF(Agent01_Withdrawals!A136="","",Agent01_Withdrawals!J136)</f>
        <v/>
      </c>
      <c r="K129" s="40" t="str">
        <f>IF(Agent01_Withdrawals!A136="","",Agent01_Withdrawals!K136)</f>
        <v/>
      </c>
      <c r="L129" s="40" t="str">
        <f>IF(G129="","",IF(D129-G129&gt;=System_Config!$B$9,"✅ OK","⚠️ BREACH"))</f>
        <v/>
      </c>
      <c r="M129" s="40" t="str">
        <f>IFERROR(IF(Agent01_Withdrawals!A136="","",YEAR(Agent01_Withdrawals!D136)),"")</f>
        <v/>
      </c>
    </row>
    <row r="130" spans="1:13" ht="18" customHeight="1" x14ac:dyDescent="0.25">
      <c r="A130" s="40" t="str">
        <f>IF(Agent01_Withdrawals!A137="","",Agent01_Withdrawals!A137)</f>
        <v/>
      </c>
      <c r="B130" s="40" t="str">
        <f ca="1">IF(Agent01_Withdrawals!A137="","","WD"&amp;TEXT(130-3,"0000")&amp;"-"&amp;TEXT(TODAY(),"YYYYMMDD"))</f>
        <v/>
      </c>
      <c r="C130" s="40" t="str">
        <f>IF(Agent01_Withdrawals!A137="","",Agent01_Withdrawals!B137)</f>
        <v/>
      </c>
      <c r="D130" s="43" t="str">
        <f>IF(Agent01_Withdrawals!A137="","",Agent01_Withdrawals!C137)</f>
        <v/>
      </c>
      <c r="E130" s="41" t="str">
        <f>IF(Agent01_Withdrawals!A137="","",Agent01_Withdrawals!D137)</f>
        <v/>
      </c>
      <c r="F130" s="40" t="str">
        <f>IF(Agent01_Withdrawals!A137="","",Agent01_Withdrawals!F137)</f>
        <v/>
      </c>
      <c r="G130" s="42" t="str">
        <f>IF(Agent01_Withdrawals!A137="","",Agent01_Withdrawals!E137)</f>
        <v/>
      </c>
      <c r="H130" s="42" t="str">
        <f>IF(Agent01_Withdrawals!A137="","",Agent01_Withdrawals!G137)</f>
        <v/>
      </c>
      <c r="I130" s="40" t="str">
        <f>IF(Agent01_Withdrawals!A137="","",Agent01_Withdrawals!H137)</f>
        <v/>
      </c>
      <c r="J130" s="40" t="str">
        <f>IF(Agent01_Withdrawals!A137="","",Agent01_Withdrawals!J137)</f>
        <v/>
      </c>
      <c r="K130" s="40" t="str">
        <f>IF(Agent01_Withdrawals!A137="","",Agent01_Withdrawals!K137)</f>
        <v/>
      </c>
      <c r="L130" s="40" t="str">
        <f>IF(G130="","",IF(D130-G130&gt;=System_Config!$B$9,"✅ OK","⚠️ BREACH"))</f>
        <v/>
      </c>
      <c r="M130" s="40" t="str">
        <f>IFERROR(IF(Agent01_Withdrawals!A137="","",YEAR(Agent01_Withdrawals!D137)),"")</f>
        <v/>
      </c>
    </row>
    <row r="131" spans="1:13" ht="18" customHeight="1" x14ac:dyDescent="0.25">
      <c r="A131" s="40" t="str">
        <f>IF(Agent01_Withdrawals!A138="","",Agent01_Withdrawals!A138)</f>
        <v/>
      </c>
      <c r="B131" s="40" t="str">
        <f ca="1">IF(Agent01_Withdrawals!A138="","","WD"&amp;TEXT(131-3,"0000")&amp;"-"&amp;TEXT(TODAY(),"YYYYMMDD"))</f>
        <v/>
      </c>
      <c r="C131" s="40" t="str">
        <f>IF(Agent01_Withdrawals!A138="","",Agent01_Withdrawals!B138)</f>
        <v/>
      </c>
      <c r="D131" s="43" t="str">
        <f>IF(Agent01_Withdrawals!A138="","",Agent01_Withdrawals!C138)</f>
        <v/>
      </c>
      <c r="E131" s="41" t="str">
        <f>IF(Agent01_Withdrawals!A138="","",Agent01_Withdrawals!D138)</f>
        <v/>
      </c>
      <c r="F131" s="40" t="str">
        <f>IF(Agent01_Withdrawals!A138="","",Agent01_Withdrawals!F138)</f>
        <v/>
      </c>
      <c r="G131" s="42" t="str">
        <f>IF(Agent01_Withdrawals!A138="","",Agent01_Withdrawals!E138)</f>
        <v/>
      </c>
      <c r="H131" s="42" t="str">
        <f>IF(Agent01_Withdrawals!A138="","",Agent01_Withdrawals!G138)</f>
        <v/>
      </c>
      <c r="I131" s="40" t="str">
        <f>IF(Agent01_Withdrawals!A138="","",Agent01_Withdrawals!H138)</f>
        <v/>
      </c>
      <c r="J131" s="40" t="str">
        <f>IF(Agent01_Withdrawals!A138="","",Agent01_Withdrawals!J138)</f>
        <v/>
      </c>
      <c r="K131" s="40" t="str">
        <f>IF(Agent01_Withdrawals!A138="","",Agent01_Withdrawals!K138)</f>
        <v/>
      </c>
      <c r="L131" s="40" t="str">
        <f>IF(G131="","",IF(D131-G131&gt;=System_Config!$B$9,"✅ OK","⚠️ BREACH"))</f>
        <v/>
      </c>
      <c r="M131" s="40" t="str">
        <f>IFERROR(IF(Agent01_Withdrawals!A138="","",YEAR(Agent01_Withdrawals!D138)),"")</f>
        <v/>
      </c>
    </row>
    <row r="132" spans="1:13" ht="18" customHeight="1" x14ac:dyDescent="0.25">
      <c r="A132" s="40" t="str">
        <f>IF(Agent01_Withdrawals!A139="","",Agent01_Withdrawals!A139)</f>
        <v/>
      </c>
      <c r="B132" s="40" t="str">
        <f ca="1">IF(Agent01_Withdrawals!A139="","","WD"&amp;TEXT(132-3,"0000")&amp;"-"&amp;TEXT(TODAY(),"YYYYMMDD"))</f>
        <v/>
      </c>
      <c r="C132" s="40" t="str">
        <f>IF(Agent01_Withdrawals!A139="","",Agent01_Withdrawals!B139)</f>
        <v/>
      </c>
      <c r="D132" s="43" t="str">
        <f>IF(Agent01_Withdrawals!A139="","",Agent01_Withdrawals!C139)</f>
        <v/>
      </c>
      <c r="E132" s="41" t="str">
        <f>IF(Agent01_Withdrawals!A139="","",Agent01_Withdrawals!D139)</f>
        <v/>
      </c>
      <c r="F132" s="40" t="str">
        <f>IF(Agent01_Withdrawals!A139="","",Agent01_Withdrawals!F139)</f>
        <v/>
      </c>
      <c r="G132" s="42" t="str">
        <f>IF(Agent01_Withdrawals!A139="","",Agent01_Withdrawals!E139)</f>
        <v/>
      </c>
      <c r="H132" s="42" t="str">
        <f>IF(Agent01_Withdrawals!A139="","",Agent01_Withdrawals!G139)</f>
        <v/>
      </c>
      <c r="I132" s="40" t="str">
        <f>IF(Agent01_Withdrawals!A139="","",Agent01_Withdrawals!H139)</f>
        <v/>
      </c>
      <c r="J132" s="40" t="str">
        <f>IF(Agent01_Withdrawals!A139="","",Agent01_Withdrawals!J139)</f>
        <v/>
      </c>
      <c r="K132" s="40" t="str">
        <f>IF(Agent01_Withdrawals!A139="","",Agent01_Withdrawals!K139)</f>
        <v/>
      </c>
      <c r="L132" s="40" t="str">
        <f>IF(G132="","",IF(D132-G132&gt;=System_Config!$B$9,"✅ OK","⚠️ BREACH"))</f>
        <v/>
      </c>
      <c r="M132" s="40" t="str">
        <f>IFERROR(IF(Agent01_Withdrawals!A139="","",YEAR(Agent01_Withdrawals!D139)),"")</f>
        <v/>
      </c>
    </row>
    <row r="133" spans="1:13" ht="18" customHeight="1" x14ac:dyDescent="0.25">
      <c r="A133" s="40" t="str">
        <f>IF(Agent01_Withdrawals!A140="","",Agent01_Withdrawals!A140)</f>
        <v/>
      </c>
      <c r="B133" s="40" t="str">
        <f ca="1">IF(Agent01_Withdrawals!A140="","","WD"&amp;TEXT(133-3,"0000")&amp;"-"&amp;TEXT(TODAY(),"YYYYMMDD"))</f>
        <v/>
      </c>
      <c r="C133" s="40" t="str">
        <f>IF(Agent01_Withdrawals!A140="","",Agent01_Withdrawals!B140)</f>
        <v/>
      </c>
      <c r="D133" s="43" t="str">
        <f>IF(Agent01_Withdrawals!A140="","",Agent01_Withdrawals!C140)</f>
        <v/>
      </c>
      <c r="E133" s="41" t="str">
        <f>IF(Agent01_Withdrawals!A140="","",Agent01_Withdrawals!D140)</f>
        <v/>
      </c>
      <c r="F133" s="40" t="str">
        <f>IF(Agent01_Withdrawals!A140="","",Agent01_Withdrawals!F140)</f>
        <v/>
      </c>
      <c r="G133" s="42" t="str">
        <f>IF(Agent01_Withdrawals!A140="","",Agent01_Withdrawals!E140)</f>
        <v/>
      </c>
      <c r="H133" s="42" t="str">
        <f>IF(Agent01_Withdrawals!A140="","",Agent01_Withdrawals!G140)</f>
        <v/>
      </c>
      <c r="I133" s="40" t="str">
        <f>IF(Agent01_Withdrawals!A140="","",Agent01_Withdrawals!H140)</f>
        <v/>
      </c>
      <c r="J133" s="40" t="str">
        <f>IF(Agent01_Withdrawals!A140="","",Agent01_Withdrawals!J140)</f>
        <v/>
      </c>
      <c r="K133" s="40" t="str">
        <f>IF(Agent01_Withdrawals!A140="","",Agent01_Withdrawals!K140)</f>
        <v/>
      </c>
      <c r="L133" s="40" t="str">
        <f>IF(G133="","",IF(D133-G133&gt;=System_Config!$B$9,"✅ OK","⚠️ BREACH"))</f>
        <v/>
      </c>
      <c r="M133" s="40" t="str">
        <f>IFERROR(IF(Agent01_Withdrawals!A140="","",YEAR(Agent01_Withdrawals!D140)),"")</f>
        <v/>
      </c>
    </row>
    <row r="134" spans="1:13" ht="18" customHeight="1" x14ac:dyDescent="0.25">
      <c r="A134" s="40" t="str">
        <f>IF(Agent01_Withdrawals!A141="","",Agent01_Withdrawals!A141)</f>
        <v/>
      </c>
      <c r="B134" s="40" t="str">
        <f ca="1">IF(Agent01_Withdrawals!A141="","","WD"&amp;TEXT(134-3,"0000")&amp;"-"&amp;TEXT(TODAY(),"YYYYMMDD"))</f>
        <v/>
      </c>
      <c r="C134" s="40" t="str">
        <f>IF(Agent01_Withdrawals!A141="","",Agent01_Withdrawals!B141)</f>
        <v/>
      </c>
      <c r="D134" s="43" t="str">
        <f>IF(Agent01_Withdrawals!A141="","",Agent01_Withdrawals!C141)</f>
        <v/>
      </c>
      <c r="E134" s="41" t="str">
        <f>IF(Agent01_Withdrawals!A141="","",Agent01_Withdrawals!D141)</f>
        <v/>
      </c>
      <c r="F134" s="40" t="str">
        <f>IF(Agent01_Withdrawals!A141="","",Agent01_Withdrawals!F141)</f>
        <v/>
      </c>
      <c r="G134" s="42" t="str">
        <f>IF(Agent01_Withdrawals!A141="","",Agent01_Withdrawals!E141)</f>
        <v/>
      </c>
      <c r="H134" s="42" t="str">
        <f>IF(Agent01_Withdrawals!A141="","",Agent01_Withdrawals!G141)</f>
        <v/>
      </c>
      <c r="I134" s="40" t="str">
        <f>IF(Agent01_Withdrawals!A141="","",Agent01_Withdrawals!H141)</f>
        <v/>
      </c>
      <c r="J134" s="40" t="str">
        <f>IF(Agent01_Withdrawals!A141="","",Agent01_Withdrawals!J141)</f>
        <v/>
      </c>
      <c r="K134" s="40" t="str">
        <f>IF(Agent01_Withdrawals!A141="","",Agent01_Withdrawals!K141)</f>
        <v/>
      </c>
      <c r="L134" s="40" t="str">
        <f>IF(G134="","",IF(D134-G134&gt;=System_Config!$B$9,"✅ OK","⚠️ BREACH"))</f>
        <v/>
      </c>
      <c r="M134" s="40" t="str">
        <f>IFERROR(IF(Agent01_Withdrawals!A141="","",YEAR(Agent01_Withdrawals!D141)),"")</f>
        <v/>
      </c>
    </row>
    <row r="135" spans="1:13" ht="18" customHeight="1" x14ac:dyDescent="0.25">
      <c r="A135" s="40" t="str">
        <f>IF(Agent01_Withdrawals!A142="","",Agent01_Withdrawals!A142)</f>
        <v/>
      </c>
      <c r="B135" s="40" t="str">
        <f ca="1">IF(Agent01_Withdrawals!A142="","","WD"&amp;TEXT(135-3,"0000")&amp;"-"&amp;TEXT(TODAY(),"YYYYMMDD"))</f>
        <v/>
      </c>
      <c r="C135" s="40" t="str">
        <f>IF(Agent01_Withdrawals!A142="","",Agent01_Withdrawals!B142)</f>
        <v/>
      </c>
      <c r="D135" s="43" t="str">
        <f>IF(Agent01_Withdrawals!A142="","",Agent01_Withdrawals!C142)</f>
        <v/>
      </c>
      <c r="E135" s="41" t="str">
        <f>IF(Agent01_Withdrawals!A142="","",Agent01_Withdrawals!D142)</f>
        <v/>
      </c>
      <c r="F135" s="40" t="str">
        <f>IF(Agent01_Withdrawals!A142="","",Agent01_Withdrawals!F142)</f>
        <v/>
      </c>
      <c r="G135" s="42" t="str">
        <f>IF(Agent01_Withdrawals!A142="","",Agent01_Withdrawals!E142)</f>
        <v/>
      </c>
      <c r="H135" s="42" t="str">
        <f>IF(Agent01_Withdrawals!A142="","",Agent01_Withdrawals!G142)</f>
        <v/>
      </c>
      <c r="I135" s="40" t="str">
        <f>IF(Agent01_Withdrawals!A142="","",Agent01_Withdrawals!H142)</f>
        <v/>
      </c>
      <c r="J135" s="40" t="str">
        <f>IF(Agent01_Withdrawals!A142="","",Agent01_Withdrawals!J142)</f>
        <v/>
      </c>
      <c r="K135" s="40" t="str">
        <f>IF(Agent01_Withdrawals!A142="","",Agent01_Withdrawals!K142)</f>
        <v/>
      </c>
      <c r="L135" s="40" t="str">
        <f>IF(G135="","",IF(D135-G135&gt;=System_Config!$B$9,"✅ OK","⚠️ BREACH"))</f>
        <v/>
      </c>
      <c r="M135" s="40" t="str">
        <f>IFERROR(IF(Agent01_Withdrawals!A142="","",YEAR(Agent01_Withdrawals!D142)),"")</f>
        <v/>
      </c>
    </row>
    <row r="136" spans="1:13" ht="18" customHeight="1" x14ac:dyDescent="0.25">
      <c r="A136" s="40" t="str">
        <f>IF(Agent01_Withdrawals!A143="","",Agent01_Withdrawals!A143)</f>
        <v/>
      </c>
      <c r="B136" s="40" t="str">
        <f ca="1">IF(Agent01_Withdrawals!A143="","","WD"&amp;TEXT(136-3,"0000")&amp;"-"&amp;TEXT(TODAY(),"YYYYMMDD"))</f>
        <v/>
      </c>
      <c r="C136" s="40" t="str">
        <f>IF(Agent01_Withdrawals!A143="","",Agent01_Withdrawals!B143)</f>
        <v/>
      </c>
      <c r="D136" s="43" t="str">
        <f>IF(Agent01_Withdrawals!A143="","",Agent01_Withdrawals!C143)</f>
        <v/>
      </c>
      <c r="E136" s="41" t="str">
        <f>IF(Agent01_Withdrawals!A143="","",Agent01_Withdrawals!D143)</f>
        <v/>
      </c>
      <c r="F136" s="40" t="str">
        <f>IF(Agent01_Withdrawals!A143="","",Agent01_Withdrawals!F143)</f>
        <v/>
      </c>
      <c r="G136" s="42" t="str">
        <f>IF(Agent01_Withdrawals!A143="","",Agent01_Withdrawals!E143)</f>
        <v/>
      </c>
      <c r="H136" s="42" t="str">
        <f>IF(Agent01_Withdrawals!A143="","",Agent01_Withdrawals!G143)</f>
        <v/>
      </c>
      <c r="I136" s="40" t="str">
        <f>IF(Agent01_Withdrawals!A143="","",Agent01_Withdrawals!H143)</f>
        <v/>
      </c>
      <c r="J136" s="40" t="str">
        <f>IF(Agent01_Withdrawals!A143="","",Agent01_Withdrawals!J143)</f>
        <v/>
      </c>
      <c r="K136" s="40" t="str">
        <f>IF(Agent01_Withdrawals!A143="","",Agent01_Withdrawals!K143)</f>
        <v/>
      </c>
      <c r="L136" s="40" t="str">
        <f>IF(G136="","",IF(D136-G136&gt;=System_Config!$B$9,"✅ OK","⚠️ BREACH"))</f>
        <v/>
      </c>
      <c r="M136" s="40" t="str">
        <f>IFERROR(IF(Agent01_Withdrawals!A143="","",YEAR(Agent01_Withdrawals!D143)),"")</f>
        <v/>
      </c>
    </row>
    <row r="137" spans="1:13" ht="18" customHeight="1" x14ac:dyDescent="0.25">
      <c r="A137" s="40" t="str">
        <f>IF(Agent01_Withdrawals!A144="","",Agent01_Withdrawals!A144)</f>
        <v/>
      </c>
      <c r="B137" s="40" t="str">
        <f ca="1">IF(Agent01_Withdrawals!A144="","","WD"&amp;TEXT(137-3,"0000")&amp;"-"&amp;TEXT(TODAY(),"YYYYMMDD"))</f>
        <v/>
      </c>
      <c r="C137" s="40" t="str">
        <f>IF(Agent01_Withdrawals!A144="","",Agent01_Withdrawals!B144)</f>
        <v/>
      </c>
      <c r="D137" s="43" t="str">
        <f>IF(Agent01_Withdrawals!A144="","",Agent01_Withdrawals!C144)</f>
        <v/>
      </c>
      <c r="E137" s="41" t="str">
        <f>IF(Agent01_Withdrawals!A144="","",Agent01_Withdrawals!D144)</f>
        <v/>
      </c>
      <c r="F137" s="40" t="str">
        <f>IF(Agent01_Withdrawals!A144="","",Agent01_Withdrawals!F144)</f>
        <v/>
      </c>
      <c r="G137" s="42" t="str">
        <f>IF(Agent01_Withdrawals!A144="","",Agent01_Withdrawals!E144)</f>
        <v/>
      </c>
      <c r="H137" s="42" t="str">
        <f>IF(Agent01_Withdrawals!A144="","",Agent01_Withdrawals!G144)</f>
        <v/>
      </c>
      <c r="I137" s="40" t="str">
        <f>IF(Agent01_Withdrawals!A144="","",Agent01_Withdrawals!H144)</f>
        <v/>
      </c>
      <c r="J137" s="40" t="str">
        <f>IF(Agent01_Withdrawals!A144="","",Agent01_Withdrawals!J144)</f>
        <v/>
      </c>
      <c r="K137" s="40" t="str">
        <f>IF(Agent01_Withdrawals!A144="","",Agent01_Withdrawals!K144)</f>
        <v/>
      </c>
      <c r="L137" s="40" t="str">
        <f>IF(G137="","",IF(D137-G137&gt;=System_Config!$B$9,"✅ OK","⚠️ BREACH"))</f>
        <v/>
      </c>
      <c r="M137" s="40" t="str">
        <f>IFERROR(IF(Agent01_Withdrawals!A144="","",YEAR(Agent01_Withdrawals!D144)),"")</f>
        <v/>
      </c>
    </row>
    <row r="138" spans="1:13" ht="18" customHeight="1" x14ac:dyDescent="0.25">
      <c r="A138" s="40" t="str">
        <f>IF(Agent01_Withdrawals!A145="","",Agent01_Withdrawals!A145)</f>
        <v/>
      </c>
      <c r="B138" s="40" t="str">
        <f ca="1">IF(Agent01_Withdrawals!A145="","","WD"&amp;TEXT(138-3,"0000")&amp;"-"&amp;TEXT(TODAY(),"YYYYMMDD"))</f>
        <v/>
      </c>
      <c r="C138" s="40" t="str">
        <f>IF(Agent01_Withdrawals!A145="","",Agent01_Withdrawals!B145)</f>
        <v/>
      </c>
      <c r="D138" s="43" t="str">
        <f>IF(Agent01_Withdrawals!A145="","",Agent01_Withdrawals!C145)</f>
        <v/>
      </c>
      <c r="E138" s="41" t="str">
        <f>IF(Agent01_Withdrawals!A145="","",Agent01_Withdrawals!D145)</f>
        <v/>
      </c>
      <c r="F138" s="40" t="str">
        <f>IF(Agent01_Withdrawals!A145="","",Agent01_Withdrawals!F145)</f>
        <v/>
      </c>
      <c r="G138" s="42" t="str">
        <f>IF(Agent01_Withdrawals!A145="","",Agent01_Withdrawals!E145)</f>
        <v/>
      </c>
      <c r="H138" s="42" t="str">
        <f>IF(Agent01_Withdrawals!A145="","",Agent01_Withdrawals!G145)</f>
        <v/>
      </c>
      <c r="I138" s="40" t="str">
        <f>IF(Agent01_Withdrawals!A145="","",Agent01_Withdrawals!H145)</f>
        <v/>
      </c>
      <c r="J138" s="40" t="str">
        <f>IF(Agent01_Withdrawals!A145="","",Agent01_Withdrawals!J145)</f>
        <v/>
      </c>
      <c r="K138" s="40" t="str">
        <f>IF(Agent01_Withdrawals!A145="","",Agent01_Withdrawals!K145)</f>
        <v/>
      </c>
      <c r="L138" s="40" t="str">
        <f>IF(G138="","",IF(D138-G138&gt;=System_Config!$B$9,"✅ OK","⚠️ BREACH"))</f>
        <v/>
      </c>
      <c r="M138" s="40" t="str">
        <f>IFERROR(IF(Agent01_Withdrawals!A145="","",YEAR(Agent01_Withdrawals!D145)),"")</f>
        <v/>
      </c>
    </row>
    <row r="139" spans="1:13" ht="18" customHeight="1" x14ac:dyDescent="0.25">
      <c r="A139" s="40" t="str">
        <f>IF(Agent01_Withdrawals!A146="","",Agent01_Withdrawals!A146)</f>
        <v/>
      </c>
      <c r="B139" s="40" t="str">
        <f ca="1">IF(Agent01_Withdrawals!A146="","","WD"&amp;TEXT(139-3,"0000")&amp;"-"&amp;TEXT(TODAY(),"YYYYMMDD"))</f>
        <v/>
      </c>
      <c r="C139" s="40" t="str">
        <f>IF(Agent01_Withdrawals!A146="","",Agent01_Withdrawals!B146)</f>
        <v/>
      </c>
      <c r="D139" s="43" t="str">
        <f>IF(Agent01_Withdrawals!A146="","",Agent01_Withdrawals!C146)</f>
        <v/>
      </c>
      <c r="E139" s="41" t="str">
        <f>IF(Agent01_Withdrawals!A146="","",Agent01_Withdrawals!D146)</f>
        <v/>
      </c>
      <c r="F139" s="40" t="str">
        <f>IF(Agent01_Withdrawals!A146="","",Agent01_Withdrawals!F146)</f>
        <v/>
      </c>
      <c r="G139" s="42" t="str">
        <f>IF(Agent01_Withdrawals!A146="","",Agent01_Withdrawals!E146)</f>
        <v/>
      </c>
      <c r="H139" s="42" t="str">
        <f>IF(Agent01_Withdrawals!A146="","",Agent01_Withdrawals!G146)</f>
        <v/>
      </c>
      <c r="I139" s="40" t="str">
        <f>IF(Agent01_Withdrawals!A146="","",Agent01_Withdrawals!H146)</f>
        <v/>
      </c>
      <c r="J139" s="40" t="str">
        <f>IF(Agent01_Withdrawals!A146="","",Agent01_Withdrawals!J146)</f>
        <v/>
      </c>
      <c r="K139" s="40" t="str">
        <f>IF(Agent01_Withdrawals!A146="","",Agent01_Withdrawals!K146)</f>
        <v/>
      </c>
      <c r="L139" s="40" t="str">
        <f>IF(G139="","",IF(D139-G139&gt;=System_Config!$B$9,"✅ OK","⚠️ BREACH"))</f>
        <v/>
      </c>
      <c r="M139" s="40" t="str">
        <f>IFERROR(IF(Agent01_Withdrawals!A146="","",YEAR(Agent01_Withdrawals!D146)),"")</f>
        <v/>
      </c>
    </row>
    <row r="140" spans="1:13" ht="18" customHeight="1" x14ac:dyDescent="0.25">
      <c r="A140" s="40" t="str">
        <f>IF(Agent01_Withdrawals!A147="","",Agent01_Withdrawals!A147)</f>
        <v/>
      </c>
      <c r="B140" s="40" t="str">
        <f ca="1">IF(Agent01_Withdrawals!A147="","","WD"&amp;TEXT(140-3,"0000")&amp;"-"&amp;TEXT(TODAY(),"YYYYMMDD"))</f>
        <v/>
      </c>
      <c r="C140" s="40" t="str">
        <f>IF(Agent01_Withdrawals!A147="","",Agent01_Withdrawals!B147)</f>
        <v/>
      </c>
      <c r="D140" s="43" t="str">
        <f>IF(Agent01_Withdrawals!A147="","",Agent01_Withdrawals!C147)</f>
        <v/>
      </c>
      <c r="E140" s="41" t="str">
        <f>IF(Agent01_Withdrawals!A147="","",Agent01_Withdrawals!D147)</f>
        <v/>
      </c>
      <c r="F140" s="40" t="str">
        <f>IF(Agent01_Withdrawals!A147="","",Agent01_Withdrawals!F147)</f>
        <v/>
      </c>
      <c r="G140" s="42" t="str">
        <f>IF(Agent01_Withdrawals!A147="","",Agent01_Withdrawals!E147)</f>
        <v/>
      </c>
      <c r="H140" s="42" t="str">
        <f>IF(Agent01_Withdrawals!A147="","",Agent01_Withdrawals!G147)</f>
        <v/>
      </c>
      <c r="I140" s="40" t="str">
        <f>IF(Agent01_Withdrawals!A147="","",Agent01_Withdrawals!H147)</f>
        <v/>
      </c>
      <c r="J140" s="40" t="str">
        <f>IF(Agent01_Withdrawals!A147="","",Agent01_Withdrawals!J147)</f>
        <v/>
      </c>
      <c r="K140" s="40" t="str">
        <f>IF(Agent01_Withdrawals!A147="","",Agent01_Withdrawals!K147)</f>
        <v/>
      </c>
      <c r="L140" s="40" t="str">
        <f>IF(G140="","",IF(D140-G140&gt;=System_Config!$B$9,"✅ OK","⚠️ BREACH"))</f>
        <v/>
      </c>
      <c r="M140" s="40" t="str">
        <f>IFERROR(IF(Agent01_Withdrawals!A147="","",YEAR(Agent01_Withdrawals!D147)),"")</f>
        <v/>
      </c>
    </row>
    <row r="141" spans="1:13" ht="18" customHeight="1" x14ac:dyDescent="0.25">
      <c r="A141" s="40" t="str">
        <f>IF(Agent01_Withdrawals!A148="","",Agent01_Withdrawals!A148)</f>
        <v/>
      </c>
      <c r="B141" s="40" t="str">
        <f ca="1">IF(Agent01_Withdrawals!A148="","","WD"&amp;TEXT(141-3,"0000")&amp;"-"&amp;TEXT(TODAY(),"YYYYMMDD"))</f>
        <v/>
      </c>
      <c r="C141" s="40" t="str">
        <f>IF(Agent01_Withdrawals!A148="","",Agent01_Withdrawals!B148)</f>
        <v/>
      </c>
      <c r="D141" s="43" t="str">
        <f>IF(Agent01_Withdrawals!A148="","",Agent01_Withdrawals!C148)</f>
        <v/>
      </c>
      <c r="E141" s="41" t="str">
        <f>IF(Agent01_Withdrawals!A148="","",Agent01_Withdrawals!D148)</f>
        <v/>
      </c>
      <c r="F141" s="40" t="str">
        <f>IF(Agent01_Withdrawals!A148="","",Agent01_Withdrawals!F148)</f>
        <v/>
      </c>
      <c r="G141" s="42" t="str">
        <f>IF(Agent01_Withdrawals!A148="","",Agent01_Withdrawals!E148)</f>
        <v/>
      </c>
      <c r="H141" s="42" t="str">
        <f>IF(Agent01_Withdrawals!A148="","",Agent01_Withdrawals!G148)</f>
        <v/>
      </c>
      <c r="I141" s="40" t="str">
        <f>IF(Agent01_Withdrawals!A148="","",Agent01_Withdrawals!H148)</f>
        <v/>
      </c>
      <c r="J141" s="40" t="str">
        <f>IF(Agent01_Withdrawals!A148="","",Agent01_Withdrawals!J148)</f>
        <v/>
      </c>
      <c r="K141" s="40" t="str">
        <f>IF(Agent01_Withdrawals!A148="","",Agent01_Withdrawals!K148)</f>
        <v/>
      </c>
      <c r="L141" s="40" t="str">
        <f>IF(G141="","",IF(D141-G141&gt;=System_Config!$B$9,"✅ OK","⚠️ BREACH"))</f>
        <v/>
      </c>
      <c r="M141" s="40" t="str">
        <f>IFERROR(IF(Agent01_Withdrawals!A148="","",YEAR(Agent01_Withdrawals!D148)),"")</f>
        <v/>
      </c>
    </row>
    <row r="142" spans="1:13" ht="18" customHeight="1" x14ac:dyDescent="0.25">
      <c r="A142" s="40" t="str">
        <f>IF(Agent01_Withdrawals!A149="","",Agent01_Withdrawals!A149)</f>
        <v/>
      </c>
      <c r="B142" s="40" t="str">
        <f ca="1">IF(Agent01_Withdrawals!A149="","","WD"&amp;TEXT(142-3,"0000")&amp;"-"&amp;TEXT(TODAY(),"YYYYMMDD"))</f>
        <v/>
      </c>
      <c r="C142" s="40" t="str">
        <f>IF(Agent01_Withdrawals!A149="","",Agent01_Withdrawals!B149)</f>
        <v/>
      </c>
      <c r="D142" s="43" t="str">
        <f>IF(Agent01_Withdrawals!A149="","",Agent01_Withdrawals!C149)</f>
        <v/>
      </c>
      <c r="E142" s="41" t="str">
        <f>IF(Agent01_Withdrawals!A149="","",Agent01_Withdrawals!D149)</f>
        <v/>
      </c>
      <c r="F142" s="40" t="str">
        <f>IF(Agent01_Withdrawals!A149="","",Agent01_Withdrawals!F149)</f>
        <v/>
      </c>
      <c r="G142" s="42" t="str">
        <f>IF(Agent01_Withdrawals!A149="","",Agent01_Withdrawals!E149)</f>
        <v/>
      </c>
      <c r="H142" s="42" t="str">
        <f>IF(Agent01_Withdrawals!A149="","",Agent01_Withdrawals!G149)</f>
        <v/>
      </c>
      <c r="I142" s="40" t="str">
        <f>IF(Agent01_Withdrawals!A149="","",Agent01_Withdrawals!H149)</f>
        <v/>
      </c>
      <c r="J142" s="40" t="str">
        <f>IF(Agent01_Withdrawals!A149="","",Agent01_Withdrawals!J149)</f>
        <v/>
      </c>
      <c r="K142" s="40" t="str">
        <f>IF(Agent01_Withdrawals!A149="","",Agent01_Withdrawals!K149)</f>
        <v/>
      </c>
      <c r="L142" s="40" t="str">
        <f>IF(G142="","",IF(D142-G142&gt;=System_Config!$B$9,"✅ OK","⚠️ BREACH"))</f>
        <v/>
      </c>
      <c r="M142" s="40" t="str">
        <f>IFERROR(IF(Agent01_Withdrawals!A149="","",YEAR(Agent01_Withdrawals!D149)),"")</f>
        <v/>
      </c>
    </row>
    <row r="143" spans="1:13" ht="18" customHeight="1" x14ac:dyDescent="0.25">
      <c r="A143" s="40" t="str">
        <f>IF(Agent01_Withdrawals!A150="","",Agent01_Withdrawals!A150)</f>
        <v/>
      </c>
      <c r="B143" s="40" t="str">
        <f ca="1">IF(Agent01_Withdrawals!A150="","","WD"&amp;TEXT(143-3,"0000")&amp;"-"&amp;TEXT(TODAY(),"YYYYMMDD"))</f>
        <v/>
      </c>
      <c r="C143" s="40" t="str">
        <f>IF(Agent01_Withdrawals!A150="","",Agent01_Withdrawals!B150)</f>
        <v/>
      </c>
      <c r="D143" s="43" t="str">
        <f>IF(Agent01_Withdrawals!A150="","",Agent01_Withdrawals!C150)</f>
        <v/>
      </c>
      <c r="E143" s="41" t="str">
        <f>IF(Agent01_Withdrawals!A150="","",Agent01_Withdrawals!D150)</f>
        <v/>
      </c>
      <c r="F143" s="40" t="str">
        <f>IF(Agent01_Withdrawals!A150="","",Agent01_Withdrawals!F150)</f>
        <v/>
      </c>
      <c r="G143" s="42" t="str">
        <f>IF(Agent01_Withdrawals!A150="","",Agent01_Withdrawals!E150)</f>
        <v/>
      </c>
      <c r="H143" s="42" t="str">
        <f>IF(Agent01_Withdrawals!A150="","",Agent01_Withdrawals!G150)</f>
        <v/>
      </c>
      <c r="I143" s="40" t="str">
        <f>IF(Agent01_Withdrawals!A150="","",Agent01_Withdrawals!H150)</f>
        <v/>
      </c>
      <c r="J143" s="40" t="str">
        <f>IF(Agent01_Withdrawals!A150="","",Agent01_Withdrawals!J150)</f>
        <v/>
      </c>
      <c r="K143" s="40" t="str">
        <f>IF(Agent01_Withdrawals!A150="","",Agent01_Withdrawals!K150)</f>
        <v/>
      </c>
      <c r="L143" s="40" t="str">
        <f>IF(G143="","",IF(D143-G143&gt;=System_Config!$B$9,"✅ OK","⚠️ BREACH"))</f>
        <v/>
      </c>
      <c r="M143" s="40" t="str">
        <f>IFERROR(IF(Agent01_Withdrawals!A150="","",YEAR(Agent01_Withdrawals!D150)),"")</f>
        <v/>
      </c>
    </row>
    <row r="144" spans="1:13" ht="18" customHeight="1" x14ac:dyDescent="0.25">
      <c r="A144" s="40" t="str">
        <f>IF(Agent01_Withdrawals!A151="","",Agent01_Withdrawals!A151)</f>
        <v/>
      </c>
      <c r="B144" s="40" t="str">
        <f ca="1">IF(Agent01_Withdrawals!A151="","","WD"&amp;TEXT(144-3,"0000")&amp;"-"&amp;TEXT(TODAY(),"YYYYMMDD"))</f>
        <v/>
      </c>
      <c r="C144" s="40" t="str">
        <f>IF(Agent01_Withdrawals!A151="","",Agent01_Withdrawals!B151)</f>
        <v/>
      </c>
      <c r="D144" s="43" t="str">
        <f>IF(Agent01_Withdrawals!A151="","",Agent01_Withdrawals!C151)</f>
        <v/>
      </c>
      <c r="E144" s="41" t="str">
        <f>IF(Agent01_Withdrawals!A151="","",Agent01_Withdrawals!D151)</f>
        <v/>
      </c>
      <c r="F144" s="40" t="str">
        <f>IF(Agent01_Withdrawals!A151="","",Agent01_Withdrawals!F151)</f>
        <v/>
      </c>
      <c r="G144" s="42" t="str">
        <f>IF(Agent01_Withdrawals!A151="","",Agent01_Withdrawals!E151)</f>
        <v/>
      </c>
      <c r="H144" s="42" t="str">
        <f>IF(Agent01_Withdrawals!A151="","",Agent01_Withdrawals!G151)</f>
        <v/>
      </c>
      <c r="I144" s="40" t="str">
        <f>IF(Agent01_Withdrawals!A151="","",Agent01_Withdrawals!H151)</f>
        <v/>
      </c>
      <c r="J144" s="40" t="str">
        <f>IF(Agent01_Withdrawals!A151="","",Agent01_Withdrawals!J151)</f>
        <v/>
      </c>
      <c r="K144" s="40" t="str">
        <f>IF(Agent01_Withdrawals!A151="","",Agent01_Withdrawals!K151)</f>
        <v/>
      </c>
      <c r="L144" s="40" t="str">
        <f>IF(G144="","",IF(D144-G144&gt;=System_Config!$B$9,"✅ OK","⚠️ BREACH"))</f>
        <v/>
      </c>
      <c r="M144" s="40" t="str">
        <f>IFERROR(IF(Agent01_Withdrawals!A151="","",YEAR(Agent01_Withdrawals!D151)),"")</f>
        <v/>
      </c>
    </row>
    <row r="145" spans="1:13" ht="18" customHeight="1" x14ac:dyDescent="0.25">
      <c r="A145" s="40" t="str">
        <f>IF(Agent01_Withdrawals!A152="","",Agent01_Withdrawals!A152)</f>
        <v/>
      </c>
      <c r="B145" s="40" t="str">
        <f ca="1">IF(Agent01_Withdrawals!A152="","","WD"&amp;TEXT(145-3,"0000")&amp;"-"&amp;TEXT(TODAY(),"YYYYMMDD"))</f>
        <v/>
      </c>
      <c r="C145" s="40" t="str">
        <f>IF(Agent01_Withdrawals!A152="","",Agent01_Withdrawals!B152)</f>
        <v/>
      </c>
      <c r="D145" s="43" t="str">
        <f>IF(Agent01_Withdrawals!A152="","",Agent01_Withdrawals!C152)</f>
        <v/>
      </c>
      <c r="E145" s="41" t="str">
        <f>IF(Agent01_Withdrawals!A152="","",Agent01_Withdrawals!D152)</f>
        <v/>
      </c>
      <c r="F145" s="40" t="str">
        <f>IF(Agent01_Withdrawals!A152="","",Agent01_Withdrawals!F152)</f>
        <v/>
      </c>
      <c r="G145" s="42" t="str">
        <f>IF(Agent01_Withdrawals!A152="","",Agent01_Withdrawals!E152)</f>
        <v/>
      </c>
      <c r="H145" s="42" t="str">
        <f>IF(Agent01_Withdrawals!A152="","",Agent01_Withdrawals!G152)</f>
        <v/>
      </c>
      <c r="I145" s="40" t="str">
        <f>IF(Agent01_Withdrawals!A152="","",Agent01_Withdrawals!H152)</f>
        <v/>
      </c>
      <c r="J145" s="40" t="str">
        <f>IF(Agent01_Withdrawals!A152="","",Agent01_Withdrawals!J152)</f>
        <v/>
      </c>
      <c r="K145" s="40" t="str">
        <f>IF(Agent01_Withdrawals!A152="","",Agent01_Withdrawals!K152)</f>
        <v/>
      </c>
      <c r="L145" s="40" t="str">
        <f>IF(G145="","",IF(D145-G145&gt;=System_Config!$B$9,"✅ OK","⚠️ BREACH"))</f>
        <v/>
      </c>
      <c r="M145" s="40" t="str">
        <f>IFERROR(IF(Agent01_Withdrawals!A152="","",YEAR(Agent01_Withdrawals!D152)),"")</f>
        <v/>
      </c>
    </row>
    <row r="146" spans="1:13" ht="18" customHeight="1" x14ac:dyDescent="0.25">
      <c r="A146" s="40" t="str">
        <f>IF(Agent01_Withdrawals!A153="","",Agent01_Withdrawals!A153)</f>
        <v/>
      </c>
      <c r="B146" s="40" t="str">
        <f ca="1">IF(Agent01_Withdrawals!A153="","","WD"&amp;TEXT(146-3,"0000")&amp;"-"&amp;TEXT(TODAY(),"YYYYMMDD"))</f>
        <v/>
      </c>
      <c r="C146" s="40" t="str">
        <f>IF(Agent01_Withdrawals!A153="","",Agent01_Withdrawals!B153)</f>
        <v/>
      </c>
      <c r="D146" s="43" t="str">
        <f>IF(Agent01_Withdrawals!A153="","",Agent01_Withdrawals!C153)</f>
        <v/>
      </c>
      <c r="E146" s="41" t="str">
        <f>IF(Agent01_Withdrawals!A153="","",Agent01_Withdrawals!D153)</f>
        <v/>
      </c>
      <c r="F146" s="40" t="str">
        <f>IF(Agent01_Withdrawals!A153="","",Agent01_Withdrawals!F153)</f>
        <v/>
      </c>
      <c r="G146" s="42" t="str">
        <f>IF(Agent01_Withdrawals!A153="","",Agent01_Withdrawals!E153)</f>
        <v/>
      </c>
      <c r="H146" s="42" t="str">
        <f>IF(Agent01_Withdrawals!A153="","",Agent01_Withdrawals!G153)</f>
        <v/>
      </c>
      <c r="I146" s="40" t="str">
        <f>IF(Agent01_Withdrawals!A153="","",Agent01_Withdrawals!H153)</f>
        <v/>
      </c>
      <c r="J146" s="40" t="str">
        <f>IF(Agent01_Withdrawals!A153="","",Agent01_Withdrawals!J153)</f>
        <v/>
      </c>
      <c r="K146" s="40" t="str">
        <f>IF(Agent01_Withdrawals!A153="","",Agent01_Withdrawals!K153)</f>
        <v/>
      </c>
      <c r="L146" s="40" t="str">
        <f>IF(G146="","",IF(D146-G146&gt;=System_Config!$B$9,"✅ OK","⚠️ BREACH"))</f>
        <v/>
      </c>
      <c r="M146" s="40" t="str">
        <f>IFERROR(IF(Agent01_Withdrawals!A153="","",YEAR(Agent01_Withdrawals!D153)),"")</f>
        <v/>
      </c>
    </row>
    <row r="147" spans="1:13" ht="18" customHeight="1" x14ac:dyDescent="0.25">
      <c r="A147" s="40" t="str">
        <f>IF(Agent01_Withdrawals!A154="","",Agent01_Withdrawals!A154)</f>
        <v/>
      </c>
      <c r="B147" s="40" t="str">
        <f ca="1">IF(Agent01_Withdrawals!A154="","","WD"&amp;TEXT(147-3,"0000")&amp;"-"&amp;TEXT(TODAY(),"YYYYMMDD"))</f>
        <v/>
      </c>
      <c r="C147" s="40" t="str">
        <f>IF(Agent01_Withdrawals!A154="","",Agent01_Withdrawals!B154)</f>
        <v/>
      </c>
      <c r="D147" s="43" t="str">
        <f>IF(Agent01_Withdrawals!A154="","",Agent01_Withdrawals!C154)</f>
        <v/>
      </c>
      <c r="E147" s="41" t="str">
        <f>IF(Agent01_Withdrawals!A154="","",Agent01_Withdrawals!D154)</f>
        <v/>
      </c>
      <c r="F147" s="40" t="str">
        <f>IF(Agent01_Withdrawals!A154="","",Agent01_Withdrawals!F154)</f>
        <v/>
      </c>
      <c r="G147" s="42" t="str">
        <f>IF(Agent01_Withdrawals!A154="","",Agent01_Withdrawals!E154)</f>
        <v/>
      </c>
      <c r="H147" s="42" t="str">
        <f>IF(Agent01_Withdrawals!A154="","",Agent01_Withdrawals!G154)</f>
        <v/>
      </c>
      <c r="I147" s="40" t="str">
        <f>IF(Agent01_Withdrawals!A154="","",Agent01_Withdrawals!H154)</f>
        <v/>
      </c>
      <c r="J147" s="40" t="str">
        <f>IF(Agent01_Withdrawals!A154="","",Agent01_Withdrawals!J154)</f>
        <v/>
      </c>
      <c r="K147" s="40" t="str">
        <f>IF(Agent01_Withdrawals!A154="","",Agent01_Withdrawals!K154)</f>
        <v/>
      </c>
      <c r="L147" s="40" t="str">
        <f>IF(G147="","",IF(D147-G147&gt;=System_Config!$B$9,"✅ OK","⚠️ BREACH"))</f>
        <v/>
      </c>
      <c r="M147" s="40" t="str">
        <f>IFERROR(IF(Agent01_Withdrawals!A154="","",YEAR(Agent01_Withdrawals!D154)),"")</f>
        <v/>
      </c>
    </row>
    <row r="148" spans="1:13" ht="18" customHeight="1" x14ac:dyDescent="0.25">
      <c r="A148" s="40" t="str">
        <f>IF(Agent01_Withdrawals!A155="","",Agent01_Withdrawals!A155)</f>
        <v/>
      </c>
      <c r="B148" s="40" t="str">
        <f ca="1">IF(Agent01_Withdrawals!A155="","","WD"&amp;TEXT(148-3,"0000")&amp;"-"&amp;TEXT(TODAY(),"YYYYMMDD"))</f>
        <v/>
      </c>
      <c r="C148" s="40" t="str">
        <f>IF(Agent01_Withdrawals!A155="","",Agent01_Withdrawals!B155)</f>
        <v/>
      </c>
      <c r="D148" s="43" t="str">
        <f>IF(Agent01_Withdrawals!A155="","",Agent01_Withdrawals!C155)</f>
        <v/>
      </c>
      <c r="E148" s="41" t="str">
        <f>IF(Agent01_Withdrawals!A155="","",Agent01_Withdrawals!D155)</f>
        <v/>
      </c>
      <c r="F148" s="40" t="str">
        <f>IF(Agent01_Withdrawals!A155="","",Agent01_Withdrawals!F155)</f>
        <v/>
      </c>
      <c r="G148" s="42" t="str">
        <f>IF(Agent01_Withdrawals!A155="","",Agent01_Withdrawals!E155)</f>
        <v/>
      </c>
      <c r="H148" s="42" t="str">
        <f>IF(Agent01_Withdrawals!A155="","",Agent01_Withdrawals!G155)</f>
        <v/>
      </c>
      <c r="I148" s="40" t="str">
        <f>IF(Agent01_Withdrawals!A155="","",Agent01_Withdrawals!H155)</f>
        <v/>
      </c>
      <c r="J148" s="40" t="str">
        <f>IF(Agent01_Withdrawals!A155="","",Agent01_Withdrawals!J155)</f>
        <v/>
      </c>
      <c r="K148" s="40" t="str">
        <f>IF(Agent01_Withdrawals!A155="","",Agent01_Withdrawals!K155)</f>
        <v/>
      </c>
      <c r="L148" s="40" t="str">
        <f>IF(G148="","",IF(D148-G148&gt;=System_Config!$B$9,"✅ OK","⚠️ BREACH"))</f>
        <v/>
      </c>
      <c r="M148" s="40" t="str">
        <f>IFERROR(IF(Agent01_Withdrawals!A155="","",YEAR(Agent01_Withdrawals!D155)),"")</f>
        <v/>
      </c>
    </row>
    <row r="149" spans="1:13" ht="18" customHeight="1" x14ac:dyDescent="0.25">
      <c r="A149" s="40" t="str">
        <f>IF(Agent01_Withdrawals!A156="","",Agent01_Withdrawals!A156)</f>
        <v/>
      </c>
      <c r="B149" s="40" t="str">
        <f ca="1">IF(Agent01_Withdrawals!A156="","","WD"&amp;TEXT(149-3,"0000")&amp;"-"&amp;TEXT(TODAY(),"YYYYMMDD"))</f>
        <v/>
      </c>
      <c r="C149" s="40" t="str">
        <f>IF(Agent01_Withdrawals!A156="","",Agent01_Withdrawals!B156)</f>
        <v/>
      </c>
      <c r="D149" s="43" t="str">
        <f>IF(Agent01_Withdrawals!A156="","",Agent01_Withdrawals!C156)</f>
        <v/>
      </c>
      <c r="E149" s="41" t="str">
        <f>IF(Agent01_Withdrawals!A156="","",Agent01_Withdrawals!D156)</f>
        <v/>
      </c>
      <c r="F149" s="40" t="str">
        <f>IF(Agent01_Withdrawals!A156="","",Agent01_Withdrawals!F156)</f>
        <v/>
      </c>
      <c r="G149" s="42" t="str">
        <f>IF(Agent01_Withdrawals!A156="","",Agent01_Withdrawals!E156)</f>
        <v/>
      </c>
      <c r="H149" s="42" t="str">
        <f>IF(Agent01_Withdrawals!A156="","",Agent01_Withdrawals!G156)</f>
        <v/>
      </c>
      <c r="I149" s="40" t="str">
        <f>IF(Agent01_Withdrawals!A156="","",Agent01_Withdrawals!H156)</f>
        <v/>
      </c>
      <c r="J149" s="40" t="str">
        <f>IF(Agent01_Withdrawals!A156="","",Agent01_Withdrawals!J156)</f>
        <v/>
      </c>
      <c r="K149" s="40" t="str">
        <f>IF(Agent01_Withdrawals!A156="","",Agent01_Withdrawals!K156)</f>
        <v/>
      </c>
      <c r="L149" s="40" t="str">
        <f>IF(G149="","",IF(D149-G149&gt;=System_Config!$B$9,"✅ OK","⚠️ BREACH"))</f>
        <v/>
      </c>
      <c r="M149" s="40" t="str">
        <f>IFERROR(IF(Agent01_Withdrawals!A156="","",YEAR(Agent01_Withdrawals!D156)),"")</f>
        <v/>
      </c>
    </row>
    <row r="150" spans="1:13" ht="18" customHeight="1" x14ac:dyDescent="0.25">
      <c r="A150" s="40" t="str">
        <f>IF(Agent01_Withdrawals!A157="","",Agent01_Withdrawals!A157)</f>
        <v/>
      </c>
      <c r="B150" s="40" t="str">
        <f ca="1">IF(Agent01_Withdrawals!A157="","","WD"&amp;TEXT(150-3,"0000")&amp;"-"&amp;TEXT(TODAY(),"YYYYMMDD"))</f>
        <v/>
      </c>
      <c r="C150" s="40" t="str">
        <f>IF(Agent01_Withdrawals!A157="","",Agent01_Withdrawals!B157)</f>
        <v/>
      </c>
      <c r="D150" s="43" t="str">
        <f>IF(Agent01_Withdrawals!A157="","",Agent01_Withdrawals!C157)</f>
        <v/>
      </c>
      <c r="E150" s="41" t="str">
        <f>IF(Agent01_Withdrawals!A157="","",Agent01_Withdrawals!D157)</f>
        <v/>
      </c>
      <c r="F150" s="40" t="str">
        <f>IF(Agent01_Withdrawals!A157="","",Agent01_Withdrawals!F157)</f>
        <v/>
      </c>
      <c r="G150" s="42" t="str">
        <f>IF(Agent01_Withdrawals!A157="","",Agent01_Withdrawals!E157)</f>
        <v/>
      </c>
      <c r="H150" s="42" t="str">
        <f>IF(Agent01_Withdrawals!A157="","",Agent01_Withdrawals!G157)</f>
        <v/>
      </c>
      <c r="I150" s="40" t="str">
        <f>IF(Agent01_Withdrawals!A157="","",Agent01_Withdrawals!H157)</f>
        <v/>
      </c>
      <c r="J150" s="40" t="str">
        <f>IF(Agent01_Withdrawals!A157="","",Agent01_Withdrawals!J157)</f>
        <v/>
      </c>
      <c r="K150" s="40" t="str">
        <f>IF(Agent01_Withdrawals!A157="","",Agent01_Withdrawals!K157)</f>
        <v/>
      </c>
      <c r="L150" s="40" t="str">
        <f>IF(G150="","",IF(D150-G150&gt;=System_Config!$B$9,"✅ OK","⚠️ BREACH"))</f>
        <v/>
      </c>
      <c r="M150" s="40" t="str">
        <f>IFERROR(IF(Agent01_Withdrawals!A157="","",YEAR(Agent01_Withdrawals!D157)),"")</f>
        <v/>
      </c>
    </row>
    <row r="151" spans="1:13" ht="18" customHeight="1" x14ac:dyDescent="0.25">
      <c r="A151" s="40" t="str">
        <f>IF(Agent01_Withdrawals!A158="","",Agent01_Withdrawals!A158)</f>
        <v/>
      </c>
      <c r="B151" s="40" t="str">
        <f ca="1">IF(Agent01_Withdrawals!A158="","","WD"&amp;TEXT(151-3,"0000")&amp;"-"&amp;TEXT(TODAY(),"YYYYMMDD"))</f>
        <v/>
      </c>
      <c r="C151" s="40" t="str">
        <f>IF(Agent01_Withdrawals!A158="","",Agent01_Withdrawals!B158)</f>
        <v/>
      </c>
      <c r="D151" s="43" t="str">
        <f>IF(Agent01_Withdrawals!A158="","",Agent01_Withdrawals!C158)</f>
        <v/>
      </c>
      <c r="E151" s="41" t="str">
        <f>IF(Agent01_Withdrawals!A158="","",Agent01_Withdrawals!D158)</f>
        <v/>
      </c>
      <c r="F151" s="40" t="str">
        <f>IF(Agent01_Withdrawals!A158="","",Agent01_Withdrawals!F158)</f>
        <v/>
      </c>
      <c r="G151" s="42" t="str">
        <f>IF(Agent01_Withdrawals!A158="","",Agent01_Withdrawals!E158)</f>
        <v/>
      </c>
      <c r="H151" s="42" t="str">
        <f>IF(Agent01_Withdrawals!A158="","",Agent01_Withdrawals!G158)</f>
        <v/>
      </c>
      <c r="I151" s="40" t="str">
        <f>IF(Agent01_Withdrawals!A158="","",Agent01_Withdrawals!H158)</f>
        <v/>
      </c>
      <c r="J151" s="40" t="str">
        <f>IF(Agent01_Withdrawals!A158="","",Agent01_Withdrawals!J158)</f>
        <v/>
      </c>
      <c r="K151" s="40" t="str">
        <f>IF(Agent01_Withdrawals!A158="","",Agent01_Withdrawals!K158)</f>
        <v/>
      </c>
      <c r="L151" s="40" t="str">
        <f>IF(G151="","",IF(D151-G151&gt;=System_Config!$B$9,"✅ OK","⚠️ BREACH"))</f>
        <v/>
      </c>
      <c r="M151" s="40" t="str">
        <f>IFERROR(IF(Agent01_Withdrawals!A158="","",YEAR(Agent01_Withdrawals!D158)),"")</f>
        <v/>
      </c>
    </row>
    <row r="152" spans="1:13" ht="18" customHeight="1" x14ac:dyDescent="0.25">
      <c r="A152" s="40" t="str">
        <f>IF(Agent01_Withdrawals!A159="","",Agent01_Withdrawals!A159)</f>
        <v/>
      </c>
      <c r="B152" s="40" t="str">
        <f ca="1">IF(Agent01_Withdrawals!A159="","","WD"&amp;TEXT(152-3,"0000")&amp;"-"&amp;TEXT(TODAY(),"YYYYMMDD"))</f>
        <v/>
      </c>
      <c r="C152" s="40" t="str">
        <f>IF(Agent01_Withdrawals!A159="","",Agent01_Withdrawals!B159)</f>
        <v/>
      </c>
      <c r="D152" s="43" t="str">
        <f>IF(Agent01_Withdrawals!A159="","",Agent01_Withdrawals!C159)</f>
        <v/>
      </c>
      <c r="E152" s="41" t="str">
        <f>IF(Agent01_Withdrawals!A159="","",Agent01_Withdrawals!D159)</f>
        <v/>
      </c>
      <c r="F152" s="40" t="str">
        <f>IF(Agent01_Withdrawals!A159="","",Agent01_Withdrawals!F159)</f>
        <v/>
      </c>
      <c r="G152" s="42" t="str">
        <f>IF(Agent01_Withdrawals!A159="","",Agent01_Withdrawals!E159)</f>
        <v/>
      </c>
      <c r="H152" s="42" t="str">
        <f>IF(Agent01_Withdrawals!A159="","",Agent01_Withdrawals!G159)</f>
        <v/>
      </c>
      <c r="I152" s="40" t="str">
        <f>IF(Agent01_Withdrawals!A159="","",Agent01_Withdrawals!H159)</f>
        <v/>
      </c>
      <c r="J152" s="40" t="str">
        <f>IF(Agent01_Withdrawals!A159="","",Agent01_Withdrawals!J159)</f>
        <v/>
      </c>
      <c r="K152" s="40" t="str">
        <f>IF(Agent01_Withdrawals!A159="","",Agent01_Withdrawals!K159)</f>
        <v/>
      </c>
      <c r="L152" s="40" t="str">
        <f>IF(G152="","",IF(D152-G152&gt;=System_Config!$B$9,"✅ OK","⚠️ BREACH"))</f>
        <v/>
      </c>
      <c r="M152" s="40" t="str">
        <f>IFERROR(IF(Agent01_Withdrawals!A159="","",YEAR(Agent01_Withdrawals!D159)),"")</f>
        <v/>
      </c>
    </row>
    <row r="153" spans="1:13" ht="18" customHeight="1" x14ac:dyDescent="0.25">
      <c r="A153" s="40" t="str">
        <f>IF(Agent01_Withdrawals!A160="","",Agent01_Withdrawals!A160)</f>
        <v/>
      </c>
      <c r="B153" s="40" t="str">
        <f ca="1">IF(Agent01_Withdrawals!A160="","","WD"&amp;TEXT(153-3,"0000")&amp;"-"&amp;TEXT(TODAY(),"YYYYMMDD"))</f>
        <v/>
      </c>
      <c r="C153" s="40" t="str">
        <f>IF(Agent01_Withdrawals!A160="","",Agent01_Withdrawals!B160)</f>
        <v/>
      </c>
      <c r="D153" s="43" t="str">
        <f>IF(Agent01_Withdrawals!A160="","",Agent01_Withdrawals!C160)</f>
        <v/>
      </c>
      <c r="E153" s="41" t="str">
        <f>IF(Agent01_Withdrawals!A160="","",Agent01_Withdrawals!D160)</f>
        <v/>
      </c>
      <c r="F153" s="40" t="str">
        <f>IF(Agent01_Withdrawals!A160="","",Agent01_Withdrawals!F160)</f>
        <v/>
      </c>
      <c r="G153" s="42" t="str">
        <f>IF(Agent01_Withdrawals!A160="","",Agent01_Withdrawals!E160)</f>
        <v/>
      </c>
      <c r="H153" s="42" t="str">
        <f>IF(Agent01_Withdrawals!A160="","",Agent01_Withdrawals!G160)</f>
        <v/>
      </c>
      <c r="I153" s="40" t="str">
        <f>IF(Agent01_Withdrawals!A160="","",Agent01_Withdrawals!H160)</f>
        <v/>
      </c>
      <c r="J153" s="40" t="str">
        <f>IF(Agent01_Withdrawals!A160="","",Agent01_Withdrawals!J160)</f>
        <v/>
      </c>
      <c r="K153" s="40" t="str">
        <f>IF(Agent01_Withdrawals!A160="","",Agent01_Withdrawals!K160)</f>
        <v/>
      </c>
      <c r="L153" s="40" t="str">
        <f>IF(G153="","",IF(D153-G153&gt;=System_Config!$B$9,"✅ OK","⚠️ BREACH"))</f>
        <v/>
      </c>
      <c r="M153" s="40" t="str">
        <f>IFERROR(IF(Agent01_Withdrawals!A160="","",YEAR(Agent01_Withdrawals!D160)),"")</f>
        <v/>
      </c>
    </row>
    <row r="154" spans="1:13" ht="18" customHeight="1" x14ac:dyDescent="0.25">
      <c r="A154" s="40" t="str">
        <f>IF(Agent01_Withdrawals!A161="","",Agent01_Withdrawals!A161)</f>
        <v/>
      </c>
      <c r="B154" s="40" t="str">
        <f ca="1">IF(Agent01_Withdrawals!A161="","","WD"&amp;TEXT(154-3,"0000")&amp;"-"&amp;TEXT(TODAY(),"YYYYMMDD"))</f>
        <v/>
      </c>
      <c r="C154" s="40" t="str">
        <f>IF(Agent01_Withdrawals!A161="","",Agent01_Withdrawals!B161)</f>
        <v/>
      </c>
      <c r="D154" s="43" t="str">
        <f>IF(Agent01_Withdrawals!A161="","",Agent01_Withdrawals!C161)</f>
        <v/>
      </c>
      <c r="E154" s="41" t="str">
        <f>IF(Agent01_Withdrawals!A161="","",Agent01_Withdrawals!D161)</f>
        <v/>
      </c>
      <c r="F154" s="40" t="str">
        <f>IF(Agent01_Withdrawals!A161="","",Agent01_Withdrawals!F161)</f>
        <v/>
      </c>
      <c r="G154" s="42" t="str">
        <f>IF(Agent01_Withdrawals!A161="","",Agent01_Withdrawals!E161)</f>
        <v/>
      </c>
      <c r="H154" s="42" t="str">
        <f>IF(Agent01_Withdrawals!A161="","",Agent01_Withdrawals!G161)</f>
        <v/>
      </c>
      <c r="I154" s="40" t="str">
        <f>IF(Agent01_Withdrawals!A161="","",Agent01_Withdrawals!H161)</f>
        <v/>
      </c>
      <c r="J154" s="40" t="str">
        <f>IF(Agent01_Withdrawals!A161="","",Agent01_Withdrawals!J161)</f>
        <v/>
      </c>
      <c r="K154" s="40" t="str">
        <f>IF(Agent01_Withdrawals!A161="","",Agent01_Withdrawals!K161)</f>
        <v/>
      </c>
      <c r="L154" s="40" t="str">
        <f>IF(G154="","",IF(D154-G154&gt;=System_Config!$B$9,"✅ OK","⚠️ BREACH"))</f>
        <v/>
      </c>
      <c r="M154" s="40" t="str">
        <f>IFERROR(IF(Agent01_Withdrawals!A161="","",YEAR(Agent01_Withdrawals!D161)),"")</f>
        <v/>
      </c>
    </row>
    <row r="155" spans="1:13" ht="18" customHeight="1" x14ac:dyDescent="0.25">
      <c r="A155" s="40" t="str">
        <f>IF(Agent01_Withdrawals!A162="","",Agent01_Withdrawals!A162)</f>
        <v/>
      </c>
      <c r="B155" s="40" t="str">
        <f ca="1">IF(Agent01_Withdrawals!A162="","","WD"&amp;TEXT(155-3,"0000")&amp;"-"&amp;TEXT(TODAY(),"YYYYMMDD"))</f>
        <v/>
      </c>
      <c r="C155" s="40" t="str">
        <f>IF(Agent01_Withdrawals!A162="","",Agent01_Withdrawals!B162)</f>
        <v/>
      </c>
      <c r="D155" s="43" t="str">
        <f>IF(Agent01_Withdrawals!A162="","",Agent01_Withdrawals!C162)</f>
        <v/>
      </c>
      <c r="E155" s="41" t="str">
        <f>IF(Agent01_Withdrawals!A162="","",Agent01_Withdrawals!D162)</f>
        <v/>
      </c>
      <c r="F155" s="40" t="str">
        <f>IF(Agent01_Withdrawals!A162="","",Agent01_Withdrawals!F162)</f>
        <v/>
      </c>
      <c r="G155" s="42" t="str">
        <f>IF(Agent01_Withdrawals!A162="","",Agent01_Withdrawals!E162)</f>
        <v/>
      </c>
      <c r="H155" s="42" t="str">
        <f>IF(Agent01_Withdrawals!A162="","",Agent01_Withdrawals!G162)</f>
        <v/>
      </c>
      <c r="I155" s="40" t="str">
        <f>IF(Agent01_Withdrawals!A162="","",Agent01_Withdrawals!H162)</f>
        <v/>
      </c>
      <c r="J155" s="40" t="str">
        <f>IF(Agent01_Withdrawals!A162="","",Agent01_Withdrawals!J162)</f>
        <v/>
      </c>
      <c r="K155" s="40" t="str">
        <f>IF(Agent01_Withdrawals!A162="","",Agent01_Withdrawals!K162)</f>
        <v/>
      </c>
      <c r="L155" s="40" t="str">
        <f>IF(G155="","",IF(D155-G155&gt;=System_Config!$B$9,"✅ OK","⚠️ BREACH"))</f>
        <v/>
      </c>
      <c r="M155" s="40" t="str">
        <f>IFERROR(IF(Agent01_Withdrawals!A162="","",YEAR(Agent01_Withdrawals!D162)),"")</f>
        <v/>
      </c>
    </row>
    <row r="156" spans="1:13" ht="18" customHeight="1" x14ac:dyDescent="0.25">
      <c r="A156" s="40" t="str">
        <f>IF(Agent01_Withdrawals!A163="","",Agent01_Withdrawals!A163)</f>
        <v/>
      </c>
      <c r="B156" s="40" t="str">
        <f ca="1">IF(Agent01_Withdrawals!A163="","","WD"&amp;TEXT(156-3,"0000")&amp;"-"&amp;TEXT(TODAY(),"YYYYMMDD"))</f>
        <v/>
      </c>
      <c r="C156" s="40" t="str">
        <f>IF(Agent01_Withdrawals!A163="","",Agent01_Withdrawals!B163)</f>
        <v/>
      </c>
      <c r="D156" s="43" t="str">
        <f>IF(Agent01_Withdrawals!A163="","",Agent01_Withdrawals!C163)</f>
        <v/>
      </c>
      <c r="E156" s="41" t="str">
        <f>IF(Agent01_Withdrawals!A163="","",Agent01_Withdrawals!D163)</f>
        <v/>
      </c>
      <c r="F156" s="40" t="str">
        <f>IF(Agent01_Withdrawals!A163="","",Agent01_Withdrawals!F163)</f>
        <v/>
      </c>
      <c r="G156" s="42" t="str">
        <f>IF(Agent01_Withdrawals!A163="","",Agent01_Withdrawals!E163)</f>
        <v/>
      </c>
      <c r="H156" s="42" t="str">
        <f>IF(Agent01_Withdrawals!A163="","",Agent01_Withdrawals!G163)</f>
        <v/>
      </c>
      <c r="I156" s="40" t="str">
        <f>IF(Agent01_Withdrawals!A163="","",Agent01_Withdrawals!H163)</f>
        <v/>
      </c>
      <c r="J156" s="40" t="str">
        <f>IF(Agent01_Withdrawals!A163="","",Agent01_Withdrawals!J163)</f>
        <v/>
      </c>
      <c r="K156" s="40" t="str">
        <f>IF(Agent01_Withdrawals!A163="","",Agent01_Withdrawals!K163)</f>
        <v/>
      </c>
      <c r="L156" s="40" t="str">
        <f>IF(G156="","",IF(D156-G156&gt;=System_Config!$B$9,"✅ OK","⚠️ BREACH"))</f>
        <v/>
      </c>
      <c r="M156" s="40" t="str">
        <f>IFERROR(IF(Agent01_Withdrawals!A163="","",YEAR(Agent01_Withdrawals!D163)),"")</f>
        <v/>
      </c>
    </row>
    <row r="157" spans="1:13" ht="18" customHeight="1" x14ac:dyDescent="0.25">
      <c r="A157" s="40" t="str">
        <f>IF(Agent01_Withdrawals!A164="","",Agent01_Withdrawals!A164)</f>
        <v/>
      </c>
      <c r="B157" s="40" t="str">
        <f ca="1">IF(Agent01_Withdrawals!A164="","","WD"&amp;TEXT(157-3,"0000")&amp;"-"&amp;TEXT(TODAY(),"YYYYMMDD"))</f>
        <v/>
      </c>
      <c r="C157" s="40" t="str">
        <f>IF(Agent01_Withdrawals!A164="","",Agent01_Withdrawals!B164)</f>
        <v/>
      </c>
      <c r="D157" s="43" t="str">
        <f>IF(Agent01_Withdrawals!A164="","",Agent01_Withdrawals!C164)</f>
        <v/>
      </c>
      <c r="E157" s="41" t="str">
        <f>IF(Agent01_Withdrawals!A164="","",Agent01_Withdrawals!D164)</f>
        <v/>
      </c>
      <c r="F157" s="40" t="str">
        <f>IF(Agent01_Withdrawals!A164="","",Agent01_Withdrawals!F164)</f>
        <v/>
      </c>
      <c r="G157" s="42" t="str">
        <f>IF(Agent01_Withdrawals!A164="","",Agent01_Withdrawals!E164)</f>
        <v/>
      </c>
      <c r="H157" s="42" t="str">
        <f>IF(Agent01_Withdrawals!A164="","",Agent01_Withdrawals!G164)</f>
        <v/>
      </c>
      <c r="I157" s="40" t="str">
        <f>IF(Agent01_Withdrawals!A164="","",Agent01_Withdrawals!H164)</f>
        <v/>
      </c>
      <c r="J157" s="40" t="str">
        <f>IF(Agent01_Withdrawals!A164="","",Agent01_Withdrawals!J164)</f>
        <v/>
      </c>
      <c r="K157" s="40" t="str">
        <f>IF(Agent01_Withdrawals!A164="","",Agent01_Withdrawals!K164)</f>
        <v/>
      </c>
      <c r="L157" s="40" t="str">
        <f>IF(G157="","",IF(D157-G157&gt;=System_Config!$B$9,"✅ OK","⚠️ BREACH"))</f>
        <v/>
      </c>
      <c r="M157" s="40" t="str">
        <f>IFERROR(IF(Agent01_Withdrawals!A164="","",YEAR(Agent01_Withdrawals!D164)),"")</f>
        <v/>
      </c>
    </row>
    <row r="158" spans="1:13" ht="18" customHeight="1" x14ac:dyDescent="0.25">
      <c r="A158" s="40" t="str">
        <f>IF(Agent01_Withdrawals!A165="","",Agent01_Withdrawals!A165)</f>
        <v/>
      </c>
      <c r="B158" s="40" t="str">
        <f ca="1">IF(Agent01_Withdrawals!A165="","","WD"&amp;TEXT(158-3,"0000")&amp;"-"&amp;TEXT(TODAY(),"YYYYMMDD"))</f>
        <v/>
      </c>
      <c r="C158" s="40" t="str">
        <f>IF(Agent01_Withdrawals!A165="","",Agent01_Withdrawals!B165)</f>
        <v/>
      </c>
      <c r="D158" s="43" t="str">
        <f>IF(Agent01_Withdrawals!A165="","",Agent01_Withdrawals!C165)</f>
        <v/>
      </c>
      <c r="E158" s="41" t="str">
        <f>IF(Agent01_Withdrawals!A165="","",Agent01_Withdrawals!D165)</f>
        <v/>
      </c>
      <c r="F158" s="40" t="str">
        <f>IF(Agent01_Withdrawals!A165="","",Agent01_Withdrawals!F165)</f>
        <v/>
      </c>
      <c r="G158" s="42" t="str">
        <f>IF(Agent01_Withdrawals!A165="","",Agent01_Withdrawals!E165)</f>
        <v/>
      </c>
      <c r="H158" s="42" t="str">
        <f>IF(Agent01_Withdrawals!A165="","",Agent01_Withdrawals!G165)</f>
        <v/>
      </c>
      <c r="I158" s="40" t="str">
        <f>IF(Agent01_Withdrawals!A165="","",Agent01_Withdrawals!H165)</f>
        <v/>
      </c>
      <c r="J158" s="40" t="str">
        <f>IF(Agent01_Withdrawals!A165="","",Agent01_Withdrawals!J165)</f>
        <v/>
      </c>
      <c r="K158" s="40" t="str">
        <f>IF(Agent01_Withdrawals!A165="","",Agent01_Withdrawals!K165)</f>
        <v/>
      </c>
      <c r="L158" s="40" t="str">
        <f>IF(G158="","",IF(D158-G158&gt;=System_Config!$B$9,"✅ OK","⚠️ BREACH"))</f>
        <v/>
      </c>
      <c r="M158" s="40" t="str">
        <f>IFERROR(IF(Agent01_Withdrawals!A165="","",YEAR(Agent01_Withdrawals!D165)),"")</f>
        <v/>
      </c>
    </row>
    <row r="159" spans="1:13" ht="18" customHeight="1" x14ac:dyDescent="0.25">
      <c r="A159" s="40" t="str">
        <f>IF(Agent01_Withdrawals!A166="","",Agent01_Withdrawals!A166)</f>
        <v/>
      </c>
      <c r="B159" s="40" t="str">
        <f ca="1">IF(Agent01_Withdrawals!A166="","","WD"&amp;TEXT(159-3,"0000")&amp;"-"&amp;TEXT(TODAY(),"YYYYMMDD"))</f>
        <v/>
      </c>
      <c r="C159" s="40" t="str">
        <f>IF(Agent01_Withdrawals!A166="","",Agent01_Withdrawals!B166)</f>
        <v/>
      </c>
      <c r="D159" s="43" t="str">
        <f>IF(Agent01_Withdrawals!A166="","",Agent01_Withdrawals!C166)</f>
        <v/>
      </c>
      <c r="E159" s="41" t="str">
        <f>IF(Agent01_Withdrawals!A166="","",Agent01_Withdrawals!D166)</f>
        <v/>
      </c>
      <c r="F159" s="40" t="str">
        <f>IF(Agent01_Withdrawals!A166="","",Agent01_Withdrawals!F166)</f>
        <v/>
      </c>
      <c r="G159" s="42" t="str">
        <f>IF(Agent01_Withdrawals!A166="","",Agent01_Withdrawals!E166)</f>
        <v/>
      </c>
      <c r="H159" s="42" t="str">
        <f>IF(Agent01_Withdrawals!A166="","",Agent01_Withdrawals!G166)</f>
        <v/>
      </c>
      <c r="I159" s="40" t="str">
        <f>IF(Agent01_Withdrawals!A166="","",Agent01_Withdrawals!H166)</f>
        <v/>
      </c>
      <c r="J159" s="40" t="str">
        <f>IF(Agent01_Withdrawals!A166="","",Agent01_Withdrawals!J166)</f>
        <v/>
      </c>
      <c r="K159" s="40" t="str">
        <f>IF(Agent01_Withdrawals!A166="","",Agent01_Withdrawals!K166)</f>
        <v/>
      </c>
      <c r="L159" s="40" t="str">
        <f>IF(G159="","",IF(D159-G159&gt;=System_Config!$B$9,"✅ OK","⚠️ BREACH"))</f>
        <v/>
      </c>
      <c r="M159" s="40" t="str">
        <f>IFERROR(IF(Agent01_Withdrawals!A166="","",YEAR(Agent01_Withdrawals!D166)),"")</f>
        <v/>
      </c>
    </row>
    <row r="160" spans="1:13" ht="18" customHeight="1" x14ac:dyDescent="0.25">
      <c r="A160" s="40" t="str">
        <f>IF(Agent01_Withdrawals!A167="","",Agent01_Withdrawals!A167)</f>
        <v/>
      </c>
      <c r="B160" s="40" t="str">
        <f ca="1">IF(Agent01_Withdrawals!A167="","","WD"&amp;TEXT(160-3,"0000")&amp;"-"&amp;TEXT(TODAY(),"YYYYMMDD"))</f>
        <v/>
      </c>
      <c r="C160" s="40" t="str">
        <f>IF(Agent01_Withdrawals!A167="","",Agent01_Withdrawals!B167)</f>
        <v/>
      </c>
      <c r="D160" s="43" t="str">
        <f>IF(Agent01_Withdrawals!A167="","",Agent01_Withdrawals!C167)</f>
        <v/>
      </c>
      <c r="E160" s="41" t="str">
        <f>IF(Agent01_Withdrawals!A167="","",Agent01_Withdrawals!D167)</f>
        <v/>
      </c>
      <c r="F160" s="40" t="str">
        <f>IF(Agent01_Withdrawals!A167="","",Agent01_Withdrawals!F167)</f>
        <v/>
      </c>
      <c r="G160" s="42" t="str">
        <f>IF(Agent01_Withdrawals!A167="","",Agent01_Withdrawals!E167)</f>
        <v/>
      </c>
      <c r="H160" s="42" t="str">
        <f>IF(Agent01_Withdrawals!A167="","",Agent01_Withdrawals!G167)</f>
        <v/>
      </c>
      <c r="I160" s="40" t="str">
        <f>IF(Agent01_Withdrawals!A167="","",Agent01_Withdrawals!H167)</f>
        <v/>
      </c>
      <c r="J160" s="40" t="str">
        <f>IF(Agent01_Withdrawals!A167="","",Agent01_Withdrawals!J167)</f>
        <v/>
      </c>
      <c r="K160" s="40" t="str">
        <f>IF(Agent01_Withdrawals!A167="","",Agent01_Withdrawals!K167)</f>
        <v/>
      </c>
      <c r="L160" s="40" t="str">
        <f>IF(G160="","",IF(D160-G160&gt;=System_Config!$B$9,"✅ OK","⚠️ BREACH"))</f>
        <v/>
      </c>
      <c r="M160" s="40" t="str">
        <f>IFERROR(IF(Agent01_Withdrawals!A167="","",YEAR(Agent01_Withdrawals!D167)),"")</f>
        <v/>
      </c>
    </row>
    <row r="161" spans="1:13" ht="18" customHeight="1" x14ac:dyDescent="0.25">
      <c r="A161" s="40" t="str">
        <f>IF(Agent01_Withdrawals!A168="","",Agent01_Withdrawals!A168)</f>
        <v/>
      </c>
      <c r="B161" s="40" t="str">
        <f ca="1">IF(Agent01_Withdrawals!A168="","","WD"&amp;TEXT(161-3,"0000")&amp;"-"&amp;TEXT(TODAY(),"YYYYMMDD"))</f>
        <v/>
      </c>
      <c r="C161" s="40" t="str">
        <f>IF(Agent01_Withdrawals!A168="","",Agent01_Withdrawals!B168)</f>
        <v/>
      </c>
      <c r="D161" s="43" t="str">
        <f>IF(Agent01_Withdrawals!A168="","",Agent01_Withdrawals!C168)</f>
        <v/>
      </c>
      <c r="E161" s="41" t="str">
        <f>IF(Agent01_Withdrawals!A168="","",Agent01_Withdrawals!D168)</f>
        <v/>
      </c>
      <c r="F161" s="40" t="str">
        <f>IF(Agent01_Withdrawals!A168="","",Agent01_Withdrawals!F168)</f>
        <v/>
      </c>
      <c r="G161" s="42" t="str">
        <f>IF(Agent01_Withdrawals!A168="","",Agent01_Withdrawals!E168)</f>
        <v/>
      </c>
      <c r="H161" s="42" t="str">
        <f>IF(Agent01_Withdrawals!A168="","",Agent01_Withdrawals!G168)</f>
        <v/>
      </c>
      <c r="I161" s="40" t="str">
        <f>IF(Agent01_Withdrawals!A168="","",Agent01_Withdrawals!H168)</f>
        <v/>
      </c>
      <c r="J161" s="40" t="str">
        <f>IF(Agent01_Withdrawals!A168="","",Agent01_Withdrawals!J168)</f>
        <v/>
      </c>
      <c r="K161" s="40" t="str">
        <f>IF(Agent01_Withdrawals!A168="","",Agent01_Withdrawals!K168)</f>
        <v/>
      </c>
      <c r="L161" s="40" t="str">
        <f>IF(G161="","",IF(D161-G161&gt;=System_Config!$B$9,"✅ OK","⚠️ BREACH"))</f>
        <v/>
      </c>
      <c r="M161" s="40" t="str">
        <f>IFERROR(IF(Agent01_Withdrawals!A168="","",YEAR(Agent01_Withdrawals!D168)),"")</f>
        <v/>
      </c>
    </row>
    <row r="162" spans="1:13" ht="18" customHeight="1" x14ac:dyDescent="0.25">
      <c r="A162" s="40" t="str">
        <f>IF(Agent01_Withdrawals!A169="","",Agent01_Withdrawals!A169)</f>
        <v/>
      </c>
      <c r="B162" s="40" t="str">
        <f ca="1">IF(Agent01_Withdrawals!A169="","","WD"&amp;TEXT(162-3,"0000")&amp;"-"&amp;TEXT(TODAY(),"YYYYMMDD"))</f>
        <v/>
      </c>
      <c r="C162" s="40" t="str">
        <f>IF(Agent01_Withdrawals!A169="","",Agent01_Withdrawals!B169)</f>
        <v/>
      </c>
      <c r="D162" s="43" t="str">
        <f>IF(Agent01_Withdrawals!A169="","",Agent01_Withdrawals!C169)</f>
        <v/>
      </c>
      <c r="E162" s="41" t="str">
        <f>IF(Agent01_Withdrawals!A169="","",Agent01_Withdrawals!D169)</f>
        <v/>
      </c>
      <c r="F162" s="40" t="str">
        <f>IF(Agent01_Withdrawals!A169="","",Agent01_Withdrawals!F169)</f>
        <v/>
      </c>
      <c r="G162" s="42" t="str">
        <f>IF(Agent01_Withdrawals!A169="","",Agent01_Withdrawals!E169)</f>
        <v/>
      </c>
      <c r="H162" s="42" t="str">
        <f>IF(Agent01_Withdrawals!A169="","",Agent01_Withdrawals!G169)</f>
        <v/>
      </c>
      <c r="I162" s="40" t="str">
        <f>IF(Agent01_Withdrawals!A169="","",Agent01_Withdrawals!H169)</f>
        <v/>
      </c>
      <c r="J162" s="40" t="str">
        <f>IF(Agent01_Withdrawals!A169="","",Agent01_Withdrawals!J169)</f>
        <v/>
      </c>
      <c r="K162" s="40" t="str">
        <f>IF(Agent01_Withdrawals!A169="","",Agent01_Withdrawals!K169)</f>
        <v/>
      </c>
      <c r="L162" s="40" t="str">
        <f>IF(G162="","",IF(D162-G162&gt;=System_Config!$B$9,"✅ OK","⚠️ BREACH"))</f>
        <v/>
      </c>
      <c r="M162" s="40" t="str">
        <f>IFERROR(IF(Agent01_Withdrawals!A169="","",YEAR(Agent01_Withdrawals!D169)),"")</f>
        <v/>
      </c>
    </row>
    <row r="163" spans="1:13" ht="18" customHeight="1" x14ac:dyDescent="0.25">
      <c r="A163" s="40" t="str">
        <f>IF(Agent01_Withdrawals!A170="","",Agent01_Withdrawals!A170)</f>
        <v/>
      </c>
      <c r="B163" s="40" t="str">
        <f ca="1">IF(Agent01_Withdrawals!A170="","","WD"&amp;TEXT(163-3,"0000")&amp;"-"&amp;TEXT(TODAY(),"YYYYMMDD"))</f>
        <v/>
      </c>
      <c r="C163" s="40" t="str">
        <f>IF(Agent01_Withdrawals!A170="","",Agent01_Withdrawals!B170)</f>
        <v/>
      </c>
      <c r="D163" s="43" t="str">
        <f>IF(Agent01_Withdrawals!A170="","",Agent01_Withdrawals!C170)</f>
        <v/>
      </c>
      <c r="E163" s="41" t="str">
        <f>IF(Agent01_Withdrawals!A170="","",Agent01_Withdrawals!D170)</f>
        <v/>
      </c>
      <c r="F163" s="40" t="str">
        <f>IF(Agent01_Withdrawals!A170="","",Agent01_Withdrawals!F170)</f>
        <v/>
      </c>
      <c r="G163" s="42" t="str">
        <f>IF(Agent01_Withdrawals!A170="","",Agent01_Withdrawals!E170)</f>
        <v/>
      </c>
      <c r="H163" s="42" t="str">
        <f>IF(Agent01_Withdrawals!A170="","",Agent01_Withdrawals!G170)</f>
        <v/>
      </c>
      <c r="I163" s="40" t="str">
        <f>IF(Agent01_Withdrawals!A170="","",Agent01_Withdrawals!H170)</f>
        <v/>
      </c>
      <c r="J163" s="40" t="str">
        <f>IF(Agent01_Withdrawals!A170="","",Agent01_Withdrawals!J170)</f>
        <v/>
      </c>
      <c r="K163" s="40" t="str">
        <f>IF(Agent01_Withdrawals!A170="","",Agent01_Withdrawals!K170)</f>
        <v/>
      </c>
      <c r="L163" s="40" t="str">
        <f>IF(G163="","",IF(D163-G163&gt;=System_Config!$B$9,"✅ OK","⚠️ BREACH"))</f>
        <v/>
      </c>
      <c r="M163" s="40" t="str">
        <f>IFERROR(IF(Agent01_Withdrawals!A170="","",YEAR(Agent01_Withdrawals!D170)),"")</f>
        <v/>
      </c>
    </row>
    <row r="164" spans="1:13" ht="18" customHeight="1" x14ac:dyDescent="0.25">
      <c r="A164" s="40" t="str">
        <f>IF(Agent01_Withdrawals!A171="","",Agent01_Withdrawals!A171)</f>
        <v/>
      </c>
      <c r="B164" s="40" t="str">
        <f ca="1">IF(Agent01_Withdrawals!A171="","","WD"&amp;TEXT(164-3,"0000")&amp;"-"&amp;TEXT(TODAY(),"YYYYMMDD"))</f>
        <v/>
      </c>
      <c r="C164" s="40" t="str">
        <f>IF(Agent01_Withdrawals!A171="","",Agent01_Withdrawals!B171)</f>
        <v/>
      </c>
      <c r="D164" s="43" t="str">
        <f>IF(Agent01_Withdrawals!A171="","",Agent01_Withdrawals!C171)</f>
        <v/>
      </c>
      <c r="E164" s="41" t="str">
        <f>IF(Agent01_Withdrawals!A171="","",Agent01_Withdrawals!D171)</f>
        <v/>
      </c>
      <c r="F164" s="40" t="str">
        <f>IF(Agent01_Withdrawals!A171="","",Agent01_Withdrawals!F171)</f>
        <v/>
      </c>
      <c r="G164" s="42" t="str">
        <f>IF(Agent01_Withdrawals!A171="","",Agent01_Withdrawals!E171)</f>
        <v/>
      </c>
      <c r="H164" s="42" t="str">
        <f>IF(Agent01_Withdrawals!A171="","",Agent01_Withdrawals!G171)</f>
        <v/>
      </c>
      <c r="I164" s="40" t="str">
        <f>IF(Agent01_Withdrawals!A171="","",Agent01_Withdrawals!H171)</f>
        <v/>
      </c>
      <c r="J164" s="40" t="str">
        <f>IF(Agent01_Withdrawals!A171="","",Agent01_Withdrawals!J171)</f>
        <v/>
      </c>
      <c r="K164" s="40" t="str">
        <f>IF(Agent01_Withdrawals!A171="","",Agent01_Withdrawals!K171)</f>
        <v/>
      </c>
      <c r="L164" s="40" t="str">
        <f>IF(G164="","",IF(D164-G164&gt;=System_Config!$B$9,"✅ OK","⚠️ BREACH"))</f>
        <v/>
      </c>
      <c r="M164" s="40" t="str">
        <f>IFERROR(IF(Agent01_Withdrawals!A171="","",YEAR(Agent01_Withdrawals!D171)),"")</f>
        <v/>
      </c>
    </row>
    <row r="165" spans="1:13" ht="18" customHeight="1" x14ac:dyDescent="0.25">
      <c r="A165" s="40" t="str">
        <f>IF(Agent01_Withdrawals!A172="","",Agent01_Withdrawals!A172)</f>
        <v/>
      </c>
      <c r="B165" s="40" t="str">
        <f ca="1">IF(Agent01_Withdrawals!A172="","","WD"&amp;TEXT(165-3,"0000")&amp;"-"&amp;TEXT(TODAY(),"YYYYMMDD"))</f>
        <v/>
      </c>
      <c r="C165" s="40" t="str">
        <f>IF(Agent01_Withdrawals!A172="","",Agent01_Withdrawals!B172)</f>
        <v/>
      </c>
      <c r="D165" s="43" t="str">
        <f>IF(Agent01_Withdrawals!A172="","",Agent01_Withdrawals!C172)</f>
        <v/>
      </c>
      <c r="E165" s="41" t="str">
        <f>IF(Agent01_Withdrawals!A172="","",Agent01_Withdrawals!D172)</f>
        <v/>
      </c>
      <c r="F165" s="40" t="str">
        <f>IF(Agent01_Withdrawals!A172="","",Agent01_Withdrawals!F172)</f>
        <v/>
      </c>
      <c r="G165" s="42" t="str">
        <f>IF(Agent01_Withdrawals!A172="","",Agent01_Withdrawals!E172)</f>
        <v/>
      </c>
      <c r="H165" s="42" t="str">
        <f>IF(Agent01_Withdrawals!A172="","",Agent01_Withdrawals!G172)</f>
        <v/>
      </c>
      <c r="I165" s="40" t="str">
        <f>IF(Agent01_Withdrawals!A172="","",Agent01_Withdrawals!H172)</f>
        <v/>
      </c>
      <c r="J165" s="40" t="str">
        <f>IF(Agent01_Withdrawals!A172="","",Agent01_Withdrawals!J172)</f>
        <v/>
      </c>
      <c r="K165" s="40" t="str">
        <f>IF(Agent01_Withdrawals!A172="","",Agent01_Withdrawals!K172)</f>
        <v/>
      </c>
      <c r="L165" s="40" t="str">
        <f>IF(G165="","",IF(D165-G165&gt;=System_Config!$B$9,"✅ OK","⚠️ BREACH"))</f>
        <v/>
      </c>
      <c r="M165" s="40" t="str">
        <f>IFERROR(IF(Agent01_Withdrawals!A172="","",YEAR(Agent01_Withdrawals!D172)),"")</f>
        <v/>
      </c>
    </row>
    <row r="166" spans="1:13" ht="18" customHeight="1" x14ac:dyDescent="0.25">
      <c r="A166" s="40" t="str">
        <f>IF(Agent01_Withdrawals!A173="","",Agent01_Withdrawals!A173)</f>
        <v/>
      </c>
      <c r="B166" s="40" t="str">
        <f ca="1">IF(Agent01_Withdrawals!A173="","","WD"&amp;TEXT(166-3,"0000")&amp;"-"&amp;TEXT(TODAY(),"YYYYMMDD"))</f>
        <v/>
      </c>
      <c r="C166" s="40" t="str">
        <f>IF(Agent01_Withdrawals!A173="","",Agent01_Withdrawals!B173)</f>
        <v/>
      </c>
      <c r="D166" s="43" t="str">
        <f>IF(Agent01_Withdrawals!A173="","",Agent01_Withdrawals!C173)</f>
        <v/>
      </c>
      <c r="E166" s="41" t="str">
        <f>IF(Agent01_Withdrawals!A173="","",Agent01_Withdrawals!D173)</f>
        <v/>
      </c>
      <c r="F166" s="40" t="str">
        <f>IF(Agent01_Withdrawals!A173="","",Agent01_Withdrawals!F173)</f>
        <v/>
      </c>
      <c r="G166" s="42" t="str">
        <f>IF(Agent01_Withdrawals!A173="","",Agent01_Withdrawals!E173)</f>
        <v/>
      </c>
      <c r="H166" s="42" t="str">
        <f>IF(Agent01_Withdrawals!A173="","",Agent01_Withdrawals!G173)</f>
        <v/>
      </c>
      <c r="I166" s="40" t="str">
        <f>IF(Agent01_Withdrawals!A173="","",Agent01_Withdrawals!H173)</f>
        <v/>
      </c>
      <c r="J166" s="40" t="str">
        <f>IF(Agent01_Withdrawals!A173="","",Agent01_Withdrawals!J173)</f>
        <v/>
      </c>
      <c r="K166" s="40" t="str">
        <f>IF(Agent01_Withdrawals!A173="","",Agent01_Withdrawals!K173)</f>
        <v/>
      </c>
      <c r="L166" s="40" t="str">
        <f>IF(G166="","",IF(D166-G166&gt;=System_Config!$B$9,"✅ OK","⚠️ BREACH"))</f>
        <v/>
      </c>
      <c r="M166" s="40" t="str">
        <f>IFERROR(IF(Agent01_Withdrawals!A173="","",YEAR(Agent01_Withdrawals!D173)),"")</f>
        <v/>
      </c>
    </row>
    <row r="167" spans="1:13" ht="18" customHeight="1" x14ac:dyDescent="0.25">
      <c r="A167" s="40" t="str">
        <f>IF(Agent01_Withdrawals!A174="","",Agent01_Withdrawals!A174)</f>
        <v/>
      </c>
      <c r="B167" s="40" t="str">
        <f ca="1">IF(Agent01_Withdrawals!A174="","","WD"&amp;TEXT(167-3,"0000")&amp;"-"&amp;TEXT(TODAY(),"YYYYMMDD"))</f>
        <v/>
      </c>
      <c r="C167" s="40" t="str">
        <f>IF(Agent01_Withdrawals!A174="","",Agent01_Withdrawals!B174)</f>
        <v/>
      </c>
      <c r="D167" s="43" t="str">
        <f>IF(Agent01_Withdrawals!A174="","",Agent01_Withdrawals!C174)</f>
        <v/>
      </c>
      <c r="E167" s="41" t="str">
        <f>IF(Agent01_Withdrawals!A174="","",Agent01_Withdrawals!D174)</f>
        <v/>
      </c>
      <c r="F167" s="40" t="str">
        <f>IF(Agent01_Withdrawals!A174="","",Agent01_Withdrawals!F174)</f>
        <v/>
      </c>
      <c r="G167" s="42" t="str">
        <f>IF(Agent01_Withdrawals!A174="","",Agent01_Withdrawals!E174)</f>
        <v/>
      </c>
      <c r="H167" s="42" t="str">
        <f>IF(Agent01_Withdrawals!A174="","",Agent01_Withdrawals!G174)</f>
        <v/>
      </c>
      <c r="I167" s="40" t="str">
        <f>IF(Agent01_Withdrawals!A174="","",Agent01_Withdrawals!H174)</f>
        <v/>
      </c>
      <c r="J167" s="40" t="str">
        <f>IF(Agent01_Withdrawals!A174="","",Agent01_Withdrawals!J174)</f>
        <v/>
      </c>
      <c r="K167" s="40" t="str">
        <f>IF(Agent01_Withdrawals!A174="","",Agent01_Withdrawals!K174)</f>
        <v/>
      </c>
      <c r="L167" s="40" t="str">
        <f>IF(G167="","",IF(D167-G167&gt;=System_Config!$B$9,"✅ OK","⚠️ BREACH"))</f>
        <v/>
      </c>
      <c r="M167" s="40" t="str">
        <f>IFERROR(IF(Agent01_Withdrawals!A174="","",YEAR(Agent01_Withdrawals!D174)),"")</f>
        <v/>
      </c>
    </row>
    <row r="168" spans="1:13" ht="18" customHeight="1" x14ac:dyDescent="0.25">
      <c r="A168" s="40" t="str">
        <f>IF(Agent01_Withdrawals!A175="","",Agent01_Withdrawals!A175)</f>
        <v/>
      </c>
      <c r="B168" s="40" t="str">
        <f ca="1">IF(Agent01_Withdrawals!A175="","","WD"&amp;TEXT(168-3,"0000")&amp;"-"&amp;TEXT(TODAY(),"YYYYMMDD"))</f>
        <v/>
      </c>
      <c r="C168" s="40" t="str">
        <f>IF(Agent01_Withdrawals!A175="","",Agent01_Withdrawals!B175)</f>
        <v/>
      </c>
      <c r="D168" s="43" t="str">
        <f>IF(Agent01_Withdrawals!A175="","",Agent01_Withdrawals!C175)</f>
        <v/>
      </c>
      <c r="E168" s="41" t="str">
        <f>IF(Agent01_Withdrawals!A175="","",Agent01_Withdrawals!D175)</f>
        <v/>
      </c>
      <c r="F168" s="40" t="str">
        <f>IF(Agent01_Withdrawals!A175="","",Agent01_Withdrawals!F175)</f>
        <v/>
      </c>
      <c r="G168" s="42" t="str">
        <f>IF(Agent01_Withdrawals!A175="","",Agent01_Withdrawals!E175)</f>
        <v/>
      </c>
      <c r="H168" s="42" t="str">
        <f>IF(Agent01_Withdrawals!A175="","",Agent01_Withdrawals!G175)</f>
        <v/>
      </c>
      <c r="I168" s="40" t="str">
        <f>IF(Agent01_Withdrawals!A175="","",Agent01_Withdrawals!H175)</f>
        <v/>
      </c>
      <c r="J168" s="40" t="str">
        <f>IF(Agent01_Withdrawals!A175="","",Agent01_Withdrawals!J175)</f>
        <v/>
      </c>
      <c r="K168" s="40" t="str">
        <f>IF(Agent01_Withdrawals!A175="","",Agent01_Withdrawals!K175)</f>
        <v/>
      </c>
      <c r="L168" s="40" t="str">
        <f>IF(G168="","",IF(D168-G168&gt;=System_Config!$B$9,"✅ OK","⚠️ BREACH"))</f>
        <v/>
      </c>
      <c r="M168" s="40" t="str">
        <f>IFERROR(IF(Agent01_Withdrawals!A175="","",YEAR(Agent01_Withdrawals!D175)),"")</f>
        <v/>
      </c>
    </row>
    <row r="169" spans="1:13" ht="18" customHeight="1" x14ac:dyDescent="0.25">
      <c r="A169" s="40" t="str">
        <f>IF(Agent01_Withdrawals!A176="","",Agent01_Withdrawals!A176)</f>
        <v/>
      </c>
      <c r="B169" s="40" t="str">
        <f ca="1">IF(Agent01_Withdrawals!A176="","","WD"&amp;TEXT(169-3,"0000")&amp;"-"&amp;TEXT(TODAY(),"YYYYMMDD"))</f>
        <v/>
      </c>
      <c r="C169" s="40" t="str">
        <f>IF(Agent01_Withdrawals!A176="","",Agent01_Withdrawals!B176)</f>
        <v/>
      </c>
      <c r="D169" s="43" t="str">
        <f>IF(Agent01_Withdrawals!A176="","",Agent01_Withdrawals!C176)</f>
        <v/>
      </c>
      <c r="E169" s="41" t="str">
        <f>IF(Agent01_Withdrawals!A176="","",Agent01_Withdrawals!D176)</f>
        <v/>
      </c>
      <c r="F169" s="40" t="str">
        <f>IF(Agent01_Withdrawals!A176="","",Agent01_Withdrawals!F176)</f>
        <v/>
      </c>
      <c r="G169" s="42" t="str">
        <f>IF(Agent01_Withdrawals!A176="","",Agent01_Withdrawals!E176)</f>
        <v/>
      </c>
      <c r="H169" s="42" t="str">
        <f>IF(Agent01_Withdrawals!A176="","",Agent01_Withdrawals!G176)</f>
        <v/>
      </c>
      <c r="I169" s="40" t="str">
        <f>IF(Agent01_Withdrawals!A176="","",Agent01_Withdrawals!H176)</f>
        <v/>
      </c>
      <c r="J169" s="40" t="str">
        <f>IF(Agent01_Withdrawals!A176="","",Agent01_Withdrawals!J176)</f>
        <v/>
      </c>
      <c r="K169" s="40" t="str">
        <f>IF(Agent01_Withdrawals!A176="","",Agent01_Withdrawals!K176)</f>
        <v/>
      </c>
      <c r="L169" s="40" t="str">
        <f>IF(G169="","",IF(D169-G169&gt;=System_Config!$B$9,"✅ OK","⚠️ BREACH"))</f>
        <v/>
      </c>
      <c r="M169" s="40" t="str">
        <f>IFERROR(IF(Agent01_Withdrawals!A176="","",YEAR(Agent01_Withdrawals!D176)),"")</f>
        <v/>
      </c>
    </row>
    <row r="170" spans="1:13" ht="18" customHeight="1" x14ac:dyDescent="0.25">
      <c r="A170" s="40" t="str">
        <f>IF(Agent01_Withdrawals!A177="","",Agent01_Withdrawals!A177)</f>
        <v/>
      </c>
      <c r="B170" s="40" t="str">
        <f ca="1">IF(Agent01_Withdrawals!A177="","","WD"&amp;TEXT(170-3,"0000")&amp;"-"&amp;TEXT(TODAY(),"YYYYMMDD"))</f>
        <v/>
      </c>
      <c r="C170" s="40" t="str">
        <f>IF(Agent01_Withdrawals!A177="","",Agent01_Withdrawals!B177)</f>
        <v/>
      </c>
      <c r="D170" s="43" t="str">
        <f>IF(Agent01_Withdrawals!A177="","",Agent01_Withdrawals!C177)</f>
        <v/>
      </c>
      <c r="E170" s="41" t="str">
        <f>IF(Agent01_Withdrawals!A177="","",Agent01_Withdrawals!D177)</f>
        <v/>
      </c>
      <c r="F170" s="40" t="str">
        <f>IF(Agent01_Withdrawals!A177="","",Agent01_Withdrawals!F177)</f>
        <v/>
      </c>
      <c r="G170" s="42" t="str">
        <f>IF(Agent01_Withdrawals!A177="","",Agent01_Withdrawals!E177)</f>
        <v/>
      </c>
      <c r="H170" s="42" t="str">
        <f>IF(Agent01_Withdrawals!A177="","",Agent01_Withdrawals!G177)</f>
        <v/>
      </c>
      <c r="I170" s="40" t="str">
        <f>IF(Agent01_Withdrawals!A177="","",Agent01_Withdrawals!H177)</f>
        <v/>
      </c>
      <c r="J170" s="40" t="str">
        <f>IF(Agent01_Withdrawals!A177="","",Agent01_Withdrawals!J177)</f>
        <v/>
      </c>
      <c r="K170" s="40" t="str">
        <f>IF(Agent01_Withdrawals!A177="","",Agent01_Withdrawals!K177)</f>
        <v/>
      </c>
      <c r="L170" s="40" t="str">
        <f>IF(G170="","",IF(D170-G170&gt;=System_Config!$B$9,"✅ OK","⚠️ BREACH"))</f>
        <v/>
      </c>
      <c r="M170" s="40" t="str">
        <f>IFERROR(IF(Agent01_Withdrawals!A177="","",YEAR(Agent01_Withdrawals!D177)),"")</f>
        <v/>
      </c>
    </row>
    <row r="171" spans="1:13" ht="18" customHeight="1" x14ac:dyDescent="0.25">
      <c r="A171" s="40" t="str">
        <f>IF(Agent01_Withdrawals!A178="","",Agent01_Withdrawals!A178)</f>
        <v/>
      </c>
      <c r="B171" s="40" t="str">
        <f ca="1">IF(Agent01_Withdrawals!A178="","","WD"&amp;TEXT(171-3,"0000")&amp;"-"&amp;TEXT(TODAY(),"YYYYMMDD"))</f>
        <v/>
      </c>
      <c r="C171" s="40" t="str">
        <f>IF(Agent01_Withdrawals!A178="","",Agent01_Withdrawals!B178)</f>
        <v/>
      </c>
      <c r="D171" s="43" t="str">
        <f>IF(Agent01_Withdrawals!A178="","",Agent01_Withdrawals!C178)</f>
        <v/>
      </c>
      <c r="E171" s="41" t="str">
        <f>IF(Agent01_Withdrawals!A178="","",Agent01_Withdrawals!D178)</f>
        <v/>
      </c>
      <c r="F171" s="40" t="str">
        <f>IF(Agent01_Withdrawals!A178="","",Agent01_Withdrawals!F178)</f>
        <v/>
      </c>
      <c r="G171" s="42" t="str">
        <f>IF(Agent01_Withdrawals!A178="","",Agent01_Withdrawals!E178)</f>
        <v/>
      </c>
      <c r="H171" s="42" t="str">
        <f>IF(Agent01_Withdrawals!A178="","",Agent01_Withdrawals!G178)</f>
        <v/>
      </c>
      <c r="I171" s="40" t="str">
        <f>IF(Agent01_Withdrawals!A178="","",Agent01_Withdrawals!H178)</f>
        <v/>
      </c>
      <c r="J171" s="40" t="str">
        <f>IF(Agent01_Withdrawals!A178="","",Agent01_Withdrawals!J178)</f>
        <v/>
      </c>
      <c r="K171" s="40" t="str">
        <f>IF(Agent01_Withdrawals!A178="","",Agent01_Withdrawals!K178)</f>
        <v/>
      </c>
      <c r="L171" s="40" t="str">
        <f>IF(G171="","",IF(D171-G171&gt;=System_Config!$B$9,"✅ OK","⚠️ BREACH"))</f>
        <v/>
      </c>
      <c r="M171" s="40" t="str">
        <f>IFERROR(IF(Agent01_Withdrawals!A178="","",YEAR(Agent01_Withdrawals!D178)),"")</f>
        <v/>
      </c>
    </row>
    <row r="172" spans="1:13" ht="18" customHeight="1" x14ac:dyDescent="0.25">
      <c r="A172" s="40" t="str">
        <f>IF(Agent01_Withdrawals!A179="","",Agent01_Withdrawals!A179)</f>
        <v/>
      </c>
      <c r="B172" s="40" t="str">
        <f ca="1">IF(Agent01_Withdrawals!A179="","","WD"&amp;TEXT(172-3,"0000")&amp;"-"&amp;TEXT(TODAY(),"YYYYMMDD"))</f>
        <v/>
      </c>
      <c r="C172" s="40" t="str">
        <f>IF(Agent01_Withdrawals!A179="","",Agent01_Withdrawals!B179)</f>
        <v/>
      </c>
      <c r="D172" s="43" t="str">
        <f>IF(Agent01_Withdrawals!A179="","",Agent01_Withdrawals!C179)</f>
        <v/>
      </c>
      <c r="E172" s="41" t="str">
        <f>IF(Agent01_Withdrawals!A179="","",Agent01_Withdrawals!D179)</f>
        <v/>
      </c>
      <c r="F172" s="40" t="str">
        <f>IF(Agent01_Withdrawals!A179="","",Agent01_Withdrawals!F179)</f>
        <v/>
      </c>
      <c r="G172" s="42" t="str">
        <f>IF(Agent01_Withdrawals!A179="","",Agent01_Withdrawals!E179)</f>
        <v/>
      </c>
      <c r="H172" s="42" t="str">
        <f>IF(Agent01_Withdrawals!A179="","",Agent01_Withdrawals!G179)</f>
        <v/>
      </c>
      <c r="I172" s="40" t="str">
        <f>IF(Agent01_Withdrawals!A179="","",Agent01_Withdrawals!H179)</f>
        <v/>
      </c>
      <c r="J172" s="40" t="str">
        <f>IF(Agent01_Withdrawals!A179="","",Agent01_Withdrawals!J179)</f>
        <v/>
      </c>
      <c r="K172" s="40" t="str">
        <f>IF(Agent01_Withdrawals!A179="","",Agent01_Withdrawals!K179)</f>
        <v/>
      </c>
      <c r="L172" s="40" t="str">
        <f>IF(G172="","",IF(D172-G172&gt;=System_Config!$B$9,"✅ OK","⚠️ BREACH"))</f>
        <v/>
      </c>
      <c r="M172" s="40" t="str">
        <f>IFERROR(IF(Agent01_Withdrawals!A179="","",YEAR(Agent01_Withdrawals!D179)),"")</f>
        <v/>
      </c>
    </row>
    <row r="173" spans="1:13" ht="18" customHeight="1" x14ac:dyDescent="0.25">
      <c r="A173" s="40" t="str">
        <f>IF(Agent01_Withdrawals!A180="","",Agent01_Withdrawals!A180)</f>
        <v/>
      </c>
      <c r="B173" s="40" t="str">
        <f ca="1">IF(Agent01_Withdrawals!A180="","","WD"&amp;TEXT(173-3,"0000")&amp;"-"&amp;TEXT(TODAY(),"YYYYMMDD"))</f>
        <v/>
      </c>
      <c r="C173" s="40" t="str">
        <f>IF(Agent01_Withdrawals!A180="","",Agent01_Withdrawals!B180)</f>
        <v/>
      </c>
      <c r="D173" s="43" t="str">
        <f>IF(Agent01_Withdrawals!A180="","",Agent01_Withdrawals!C180)</f>
        <v/>
      </c>
      <c r="E173" s="41" t="str">
        <f>IF(Agent01_Withdrawals!A180="","",Agent01_Withdrawals!D180)</f>
        <v/>
      </c>
      <c r="F173" s="40" t="str">
        <f>IF(Agent01_Withdrawals!A180="","",Agent01_Withdrawals!F180)</f>
        <v/>
      </c>
      <c r="G173" s="42" t="str">
        <f>IF(Agent01_Withdrawals!A180="","",Agent01_Withdrawals!E180)</f>
        <v/>
      </c>
      <c r="H173" s="42" t="str">
        <f>IF(Agent01_Withdrawals!A180="","",Agent01_Withdrawals!G180)</f>
        <v/>
      </c>
      <c r="I173" s="40" t="str">
        <f>IF(Agent01_Withdrawals!A180="","",Agent01_Withdrawals!H180)</f>
        <v/>
      </c>
      <c r="J173" s="40" t="str">
        <f>IF(Agent01_Withdrawals!A180="","",Agent01_Withdrawals!J180)</f>
        <v/>
      </c>
      <c r="K173" s="40" t="str">
        <f>IF(Agent01_Withdrawals!A180="","",Agent01_Withdrawals!K180)</f>
        <v/>
      </c>
      <c r="L173" s="40" t="str">
        <f>IF(G173="","",IF(D173-G173&gt;=System_Config!$B$9,"✅ OK","⚠️ BREACH"))</f>
        <v/>
      </c>
      <c r="M173" s="40" t="str">
        <f>IFERROR(IF(Agent01_Withdrawals!A180="","",YEAR(Agent01_Withdrawals!D180)),"")</f>
        <v/>
      </c>
    </row>
    <row r="174" spans="1:13" ht="18" customHeight="1" x14ac:dyDescent="0.25">
      <c r="A174" s="40" t="str">
        <f>IF(Agent01_Withdrawals!A181="","",Agent01_Withdrawals!A181)</f>
        <v/>
      </c>
      <c r="B174" s="40" t="str">
        <f ca="1">IF(Agent01_Withdrawals!A181="","","WD"&amp;TEXT(174-3,"0000")&amp;"-"&amp;TEXT(TODAY(),"YYYYMMDD"))</f>
        <v/>
      </c>
      <c r="C174" s="40" t="str">
        <f>IF(Agent01_Withdrawals!A181="","",Agent01_Withdrawals!B181)</f>
        <v/>
      </c>
      <c r="D174" s="43" t="str">
        <f>IF(Agent01_Withdrawals!A181="","",Agent01_Withdrawals!C181)</f>
        <v/>
      </c>
      <c r="E174" s="41" t="str">
        <f>IF(Agent01_Withdrawals!A181="","",Agent01_Withdrawals!D181)</f>
        <v/>
      </c>
      <c r="F174" s="40" t="str">
        <f>IF(Agent01_Withdrawals!A181="","",Agent01_Withdrawals!F181)</f>
        <v/>
      </c>
      <c r="G174" s="42" t="str">
        <f>IF(Agent01_Withdrawals!A181="","",Agent01_Withdrawals!E181)</f>
        <v/>
      </c>
      <c r="H174" s="42" t="str">
        <f>IF(Agent01_Withdrawals!A181="","",Agent01_Withdrawals!G181)</f>
        <v/>
      </c>
      <c r="I174" s="40" t="str">
        <f>IF(Agent01_Withdrawals!A181="","",Agent01_Withdrawals!H181)</f>
        <v/>
      </c>
      <c r="J174" s="40" t="str">
        <f>IF(Agent01_Withdrawals!A181="","",Agent01_Withdrawals!J181)</f>
        <v/>
      </c>
      <c r="K174" s="40" t="str">
        <f>IF(Agent01_Withdrawals!A181="","",Agent01_Withdrawals!K181)</f>
        <v/>
      </c>
      <c r="L174" s="40" t="str">
        <f>IF(G174="","",IF(D174-G174&gt;=System_Config!$B$9,"✅ OK","⚠️ BREACH"))</f>
        <v/>
      </c>
      <c r="M174" s="40" t="str">
        <f>IFERROR(IF(Agent01_Withdrawals!A181="","",YEAR(Agent01_Withdrawals!D181)),"")</f>
        <v/>
      </c>
    </row>
    <row r="175" spans="1:13" ht="18" customHeight="1" x14ac:dyDescent="0.25">
      <c r="A175" s="40" t="str">
        <f>IF(Agent01_Withdrawals!A182="","",Agent01_Withdrawals!A182)</f>
        <v/>
      </c>
      <c r="B175" s="40" t="str">
        <f ca="1">IF(Agent01_Withdrawals!A182="","","WD"&amp;TEXT(175-3,"0000")&amp;"-"&amp;TEXT(TODAY(),"YYYYMMDD"))</f>
        <v/>
      </c>
      <c r="C175" s="40" t="str">
        <f>IF(Agent01_Withdrawals!A182="","",Agent01_Withdrawals!B182)</f>
        <v/>
      </c>
      <c r="D175" s="43" t="str">
        <f>IF(Agent01_Withdrawals!A182="","",Agent01_Withdrawals!C182)</f>
        <v/>
      </c>
      <c r="E175" s="41" t="str">
        <f>IF(Agent01_Withdrawals!A182="","",Agent01_Withdrawals!D182)</f>
        <v/>
      </c>
      <c r="F175" s="40" t="str">
        <f>IF(Agent01_Withdrawals!A182="","",Agent01_Withdrawals!F182)</f>
        <v/>
      </c>
      <c r="G175" s="42" t="str">
        <f>IF(Agent01_Withdrawals!A182="","",Agent01_Withdrawals!E182)</f>
        <v/>
      </c>
      <c r="H175" s="42" t="str">
        <f>IF(Agent01_Withdrawals!A182="","",Agent01_Withdrawals!G182)</f>
        <v/>
      </c>
      <c r="I175" s="40" t="str">
        <f>IF(Agent01_Withdrawals!A182="","",Agent01_Withdrawals!H182)</f>
        <v/>
      </c>
      <c r="J175" s="40" t="str">
        <f>IF(Agent01_Withdrawals!A182="","",Agent01_Withdrawals!J182)</f>
        <v/>
      </c>
      <c r="K175" s="40" t="str">
        <f>IF(Agent01_Withdrawals!A182="","",Agent01_Withdrawals!K182)</f>
        <v/>
      </c>
      <c r="L175" s="40" t="str">
        <f>IF(G175="","",IF(D175-G175&gt;=System_Config!$B$9,"✅ OK","⚠️ BREACH"))</f>
        <v/>
      </c>
      <c r="M175" s="40" t="str">
        <f>IFERROR(IF(Agent01_Withdrawals!A182="","",YEAR(Agent01_Withdrawals!D182)),"")</f>
        <v/>
      </c>
    </row>
    <row r="176" spans="1:13" ht="18" customHeight="1" x14ac:dyDescent="0.25">
      <c r="A176" s="40" t="str">
        <f>IF(Agent01_Withdrawals!A183="","",Agent01_Withdrawals!A183)</f>
        <v/>
      </c>
      <c r="B176" s="40" t="str">
        <f ca="1">IF(Agent01_Withdrawals!A183="","","WD"&amp;TEXT(176-3,"0000")&amp;"-"&amp;TEXT(TODAY(),"YYYYMMDD"))</f>
        <v/>
      </c>
      <c r="C176" s="40" t="str">
        <f>IF(Agent01_Withdrawals!A183="","",Agent01_Withdrawals!B183)</f>
        <v/>
      </c>
      <c r="D176" s="43" t="str">
        <f>IF(Agent01_Withdrawals!A183="","",Agent01_Withdrawals!C183)</f>
        <v/>
      </c>
      <c r="E176" s="41" t="str">
        <f>IF(Agent01_Withdrawals!A183="","",Agent01_Withdrawals!D183)</f>
        <v/>
      </c>
      <c r="F176" s="40" t="str">
        <f>IF(Agent01_Withdrawals!A183="","",Agent01_Withdrawals!F183)</f>
        <v/>
      </c>
      <c r="G176" s="42" t="str">
        <f>IF(Agent01_Withdrawals!A183="","",Agent01_Withdrawals!E183)</f>
        <v/>
      </c>
      <c r="H176" s="42" t="str">
        <f>IF(Agent01_Withdrawals!A183="","",Agent01_Withdrawals!G183)</f>
        <v/>
      </c>
      <c r="I176" s="40" t="str">
        <f>IF(Agent01_Withdrawals!A183="","",Agent01_Withdrawals!H183)</f>
        <v/>
      </c>
      <c r="J176" s="40" t="str">
        <f>IF(Agent01_Withdrawals!A183="","",Agent01_Withdrawals!J183)</f>
        <v/>
      </c>
      <c r="K176" s="40" t="str">
        <f>IF(Agent01_Withdrawals!A183="","",Agent01_Withdrawals!K183)</f>
        <v/>
      </c>
      <c r="L176" s="40" t="str">
        <f>IF(G176="","",IF(D176-G176&gt;=System_Config!$B$9,"✅ OK","⚠️ BREACH"))</f>
        <v/>
      </c>
      <c r="M176" s="40" t="str">
        <f>IFERROR(IF(Agent01_Withdrawals!A183="","",YEAR(Agent01_Withdrawals!D183)),"")</f>
        <v/>
      </c>
    </row>
    <row r="177" spans="1:13" ht="18" customHeight="1" x14ac:dyDescent="0.25">
      <c r="A177" s="40" t="str">
        <f>IF(Agent01_Withdrawals!A184="","",Agent01_Withdrawals!A184)</f>
        <v/>
      </c>
      <c r="B177" s="40" t="str">
        <f ca="1">IF(Agent01_Withdrawals!A184="","","WD"&amp;TEXT(177-3,"0000")&amp;"-"&amp;TEXT(TODAY(),"YYYYMMDD"))</f>
        <v/>
      </c>
      <c r="C177" s="40" t="str">
        <f>IF(Agent01_Withdrawals!A184="","",Agent01_Withdrawals!B184)</f>
        <v/>
      </c>
      <c r="D177" s="43" t="str">
        <f>IF(Agent01_Withdrawals!A184="","",Agent01_Withdrawals!C184)</f>
        <v/>
      </c>
      <c r="E177" s="41" t="str">
        <f>IF(Agent01_Withdrawals!A184="","",Agent01_Withdrawals!D184)</f>
        <v/>
      </c>
      <c r="F177" s="40" t="str">
        <f>IF(Agent01_Withdrawals!A184="","",Agent01_Withdrawals!F184)</f>
        <v/>
      </c>
      <c r="G177" s="42" t="str">
        <f>IF(Agent01_Withdrawals!A184="","",Agent01_Withdrawals!E184)</f>
        <v/>
      </c>
      <c r="H177" s="42" t="str">
        <f>IF(Agent01_Withdrawals!A184="","",Agent01_Withdrawals!G184)</f>
        <v/>
      </c>
      <c r="I177" s="40" t="str">
        <f>IF(Agent01_Withdrawals!A184="","",Agent01_Withdrawals!H184)</f>
        <v/>
      </c>
      <c r="J177" s="40" t="str">
        <f>IF(Agent01_Withdrawals!A184="","",Agent01_Withdrawals!J184)</f>
        <v/>
      </c>
      <c r="K177" s="40" t="str">
        <f>IF(Agent01_Withdrawals!A184="","",Agent01_Withdrawals!K184)</f>
        <v/>
      </c>
      <c r="L177" s="40" t="str">
        <f>IF(G177="","",IF(D177-G177&gt;=System_Config!$B$9,"✅ OK","⚠️ BREACH"))</f>
        <v/>
      </c>
      <c r="M177" s="40" t="str">
        <f>IFERROR(IF(Agent01_Withdrawals!A184="","",YEAR(Agent01_Withdrawals!D184)),"")</f>
        <v/>
      </c>
    </row>
    <row r="178" spans="1:13" ht="18" customHeight="1" x14ac:dyDescent="0.25">
      <c r="A178" s="40" t="str">
        <f>IF(Agent01_Withdrawals!A185="","",Agent01_Withdrawals!A185)</f>
        <v/>
      </c>
      <c r="B178" s="40" t="str">
        <f ca="1">IF(Agent01_Withdrawals!A185="","","WD"&amp;TEXT(178-3,"0000")&amp;"-"&amp;TEXT(TODAY(),"YYYYMMDD"))</f>
        <v/>
      </c>
      <c r="C178" s="40" t="str">
        <f>IF(Agent01_Withdrawals!A185="","",Agent01_Withdrawals!B185)</f>
        <v/>
      </c>
      <c r="D178" s="43" t="str">
        <f>IF(Agent01_Withdrawals!A185="","",Agent01_Withdrawals!C185)</f>
        <v/>
      </c>
      <c r="E178" s="41" t="str">
        <f>IF(Agent01_Withdrawals!A185="","",Agent01_Withdrawals!D185)</f>
        <v/>
      </c>
      <c r="F178" s="40" t="str">
        <f>IF(Agent01_Withdrawals!A185="","",Agent01_Withdrawals!F185)</f>
        <v/>
      </c>
      <c r="G178" s="42" t="str">
        <f>IF(Agent01_Withdrawals!A185="","",Agent01_Withdrawals!E185)</f>
        <v/>
      </c>
      <c r="H178" s="42" t="str">
        <f>IF(Agent01_Withdrawals!A185="","",Agent01_Withdrawals!G185)</f>
        <v/>
      </c>
      <c r="I178" s="40" t="str">
        <f>IF(Agent01_Withdrawals!A185="","",Agent01_Withdrawals!H185)</f>
        <v/>
      </c>
      <c r="J178" s="40" t="str">
        <f>IF(Agent01_Withdrawals!A185="","",Agent01_Withdrawals!J185)</f>
        <v/>
      </c>
      <c r="K178" s="40" t="str">
        <f>IF(Agent01_Withdrawals!A185="","",Agent01_Withdrawals!K185)</f>
        <v/>
      </c>
      <c r="L178" s="40" t="str">
        <f>IF(G178="","",IF(D178-G178&gt;=System_Config!$B$9,"✅ OK","⚠️ BREACH"))</f>
        <v/>
      </c>
      <c r="M178" s="40" t="str">
        <f>IFERROR(IF(Agent01_Withdrawals!A185="","",YEAR(Agent01_Withdrawals!D185)),"")</f>
        <v/>
      </c>
    </row>
    <row r="179" spans="1:13" ht="18" customHeight="1" x14ac:dyDescent="0.25">
      <c r="A179" s="40" t="str">
        <f>IF(Agent01_Withdrawals!A186="","",Agent01_Withdrawals!A186)</f>
        <v/>
      </c>
      <c r="B179" s="40" t="str">
        <f ca="1">IF(Agent01_Withdrawals!A186="","","WD"&amp;TEXT(179-3,"0000")&amp;"-"&amp;TEXT(TODAY(),"YYYYMMDD"))</f>
        <v/>
      </c>
      <c r="C179" s="40" t="str">
        <f>IF(Agent01_Withdrawals!A186="","",Agent01_Withdrawals!B186)</f>
        <v/>
      </c>
      <c r="D179" s="43" t="str">
        <f>IF(Agent01_Withdrawals!A186="","",Agent01_Withdrawals!C186)</f>
        <v/>
      </c>
      <c r="E179" s="41" t="str">
        <f>IF(Agent01_Withdrawals!A186="","",Agent01_Withdrawals!D186)</f>
        <v/>
      </c>
      <c r="F179" s="40" t="str">
        <f>IF(Agent01_Withdrawals!A186="","",Agent01_Withdrawals!F186)</f>
        <v/>
      </c>
      <c r="G179" s="42" t="str">
        <f>IF(Agent01_Withdrawals!A186="","",Agent01_Withdrawals!E186)</f>
        <v/>
      </c>
      <c r="H179" s="42" t="str">
        <f>IF(Agent01_Withdrawals!A186="","",Agent01_Withdrawals!G186)</f>
        <v/>
      </c>
      <c r="I179" s="40" t="str">
        <f>IF(Agent01_Withdrawals!A186="","",Agent01_Withdrawals!H186)</f>
        <v/>
      </c>
      <c r="J179" s="40" t="str">
        <f>IF(Agent01_Withdrawals!A186="","",Agent01_Withdrawals!J186)</f>
        <v/>
      </c>
      <c r="K179" s="40" t="str">
        <f>IF(Agent01_Withdrawals!A186="","",Agent01_Withdrawals!K186)</f>
        <v/>
      </c>
      <c r="L179" s="40" t="str">
        <f>IF(G179="","",IF(D179-G179&gt;=System_Config!$B$9,"✅ OK","⚠️ BREACH"))</f>
        <v/>
      </c>
      <c r="M179" s="40" t="str">
        <f>IFERROR(IF(Agent01_Withdrawals!A186="","",YEAR(Agent01_Withdrawals!D186)),"")</f>
        <v/>
      </c>
    </row>
    <row r="180" spans="1:13" ht="18" customHeight="1" x14ac:dyDescent="0.25">
      <c r="A180" s="40" t="str">
        <f>IF(Agent01_Withdrawals!A187="","",Agent01_Withdrawals!A187)</f>
        <v/>
      </c>
      <c r="B180" s="40" t="str">
        <f ca="1">IF(Agent01_Withdrawals!A187="","","WD"&amp;TEXT(180-3,"0000")&amp;"-"&amp;TEXT(TODAY(),"YYYYMMDD"))</f>
        <v/>
      </c>
      <c r="C180" s="40" t="str">
        <f>IF(Agent01_Withdrawals!A187="","",Agent01_Withdrawals!B187)</f>
        <v/>
      </c>
      <c r="D180" s="43" t="str">
        <f>IF(Agent01_Withdrawals!A187="","",Agent01_Withdrawals!C187)</f>
        <v/>
      </c>
      <c r="E180" s="41" t="str">
        <f>IF(Agent01_Withdrawals!A187="","",Agent01_Withdrawals!D187)</f>
        <v/>
      </c>
      <c r="F180" s="40" t="str">
        <f>IF(Agent01_Withdrawals!A187="","",Agent01_Withdrawals!F187)</f>
        <v/>
      </c>
      <c r="G180" s="42" t="str">
        <f>IF(Agent01_Withdrawals!A187="","",Agent01_Withdrawals!E187)</f>
        <v/>
      </c>
      <c r="H180" s="42" t="str">
        <f>IF(Agent01_Withdrawals!A187="","",Agent01_Withdrawals!G187)</f>
        <v/>
      </c>
      <c r="I180" s="40" t="str">
        <f>IF(Agent01_Withdrawals!A187="","",Agent01_Withdrawals!H187)</f>
        <v/>
      </c>
      <c r="J180" s="40" t="str">
        <f>IF(Agent01_Withdrawals!A187="","",Agent01_Withdrawals!J187)</f>
        <v/>
      </c>
      <c r="K180" s="40" t="str">
        <f>IF(Agent01_Withdrawals!A187="","",Agent01_Withdrawals!K187)</f>
        <v/>
      </c>
      <c r="L180" s="40" t="str">
        <f>IF(G180="","",IF(D180-G180&gt;=System_Config!$B$9,"✅ OK","⚠️ BREACH"))</f>
        <v/>
      </c>
      <c r="M180" s="40" t="str">
        <f>IFERROR(IF(Agent01_Withdrawals!A187="","",YEAR(Agent01_Withdrawals!D187)),"")</f>
        <v/>
      </c>
    </row>
    <row r="181" spans="1:13" ht="18" customHeight="1" x14ac:dyDescent="0.25">
      <c r="A181" s="40" t="str">
        <f>IF(Agent01_Withdrawals!A188="","",Agent01_Withdrawals!A188)</f>
        <v/>
      </c>
      <c r="B181" s="40" t="str">
        <f ca="1">IF(Agent01_Withdrawals!A188="","","WD"&amp;TEXT(181-3,"0000")&amp;"-"&amp;TEXT(TODAY(),"YYYYMMDD"))</f>
        <v/>
      </c>
      <c r="C181" s="40" t="str">
        <f>IF(Agent01_Withdrawals!A188="","",Agent01_Withdrawals!B188)</f>
        <v/>
      </c>
      <c r="D181" s="43" t="str">
        <f>IF(Agent01_Withdrawals!A188="","",Agent01_Withdrawals!C188)</f>
        <v/>
      </c>
      <c r="E181" s="41" t="str">
        <f>IF(Agent01_Withdrawals!A188="","",Agent01_Withdrawals!D188)</f>
        <v/>
      </c>
      <c r="F181" s="40" t="str">
        <f>IF(Agent01_Withdrawals!A188="","",Agent01_Withdrawals!F188)</f>
        <v/>
      </c>
      <c r="G181" s="42" t="str">
        <f>IF(Agent01_Withdrawals!A188="","",Agent01_Withdrawals!E188)</f>
        <v/>
      </c>
      <c r="H181" s="42" t="str">
        <f>IF(Agent01_Withdrawals!A188="","",Agent01_Withdrawals!G188)</f>
        <v/>
      </c>
      <c r="I181" s="40" t="str">
        <f>IF(Agent01_Withdrawals!A188="","",Agent01_Withdrawals!H188)</f>
        <v/>
      </c>
      <c r="J181" s="40" t="str">
        <f>IF(Agent01_Withdrawals!A188="","",Agent01_Withdrawals!J188)</f>
        <v/>
      </c>
      <c r="K181" s="40" t="str">
        <f>IF(Agent01_Withdrawals!A188="","",Agent01_Withdrawals!K188)</f>
        <v/>
      </c>
      <c r="L181" s="40" t="str">
        <f>IF(G181="","",IF(D181-G181&gt;=System_Config!$B$9,"✅ OK","⚠️ BREACH"))</f>
        <v/>
      </c>
      <c r="M181" s="40" t="str">
        <f>IFERROR(IF(Agent01_Withdrawals!A188="","",YEAR(Agent01_Withdrawals!D188)),"")</f>
        <v/>
      </c>
    </row>
    <row r="182" spans="1:13" ht="18" customHeight="1" x14ac:dyDescent="0.25">
      <c r="A182" s="40" t="str">
        <f>IF(Agent01_Withdrawals!A189="","",Agent01_Withdrawals!A189)</f>
        <v/>
      </c>
      <c r="B182" s="40" t="str">
        <f ca="1">IF(Agent01_Withdrawals!A189="","","WD"&amp;TEXT(182-3,"0000")&amp;"-"&amp;TEXT(TODAY(),"YYYYMMDD"))</f>
        <v/>
      </c>
      <c r="C182" s="40" t="str">
        <f>IF(Agent01_Withdrawals!A189="","",Agent01_Withdrawals!B189)</f>
        <v/>
      </c>
      <c r="D182" s="43" t="str">
        <f>IF(Agent01_Withdrawals!A189="","",Agent01_Withdrawals!C189)</f>
        <v/>
      </c>
      <c r="E182" s="41" t="str">
        <f>IF(Agent01_Withdrawals!A189="","",Agent01_Withdrawals!D189)</f>
        <v/>
      </c>
      <c r="F182" s="40" t="str">
        <f>IF(Agent01_Withdrawals!A189="","",Agent01_Withdrawals!F189)</f>
        <v/>
      </c>
      <c r="G182" s="42" t="str">
        <f>IF(Agent01_Withdrawals!A189="","",Agent01_Withdrawals!E189)</f>
        <v/>
      </c>
      <c r="H182" s="42" t="str">
        <f>IF(Agent01_Withdrawals!A189="","",Agent01_Withdrawals!G189)</f>
        <v/>
      </c>
      <c r="I182" s="40" t="str">
        <f>IF(Agent01_Withdrawals!A189="","",Agent01_Withdrawals!H189)</f>
        <v/>
      </c>
      <c r="J182" s="40" t="str">
        <f>IF(Agent01_Withdrawals!A189="","",Agent01_Withdrawals!J189)</f>
        <v/>
      </c>
      <c r="K182" s="40" t="str">
        <f>IF(Agent01_Withdrawals!A189="","",Agent01_Withdrawals!K189)</f>
        <v/>
      </c>
      <c r="L182" s="40" t="str">
        <f>IF(G182="","",IF(D182-G182&gt;=System_Config!$B$9,"✅ OK","⚠️ BREACH"))</f>
        <v/>
      </c>
      <c r="M182" s="40" t="str">
        <f>IFERROR(IF(Agent01_Withdrawals!A189="","",YEAR(Agent01_Withdrawals!D189)),"")</f>
        <v/>
      </c>
    </row>
    <row r="183" spans="1:13" ht="18" customHeight="1" x14ac:dyDescent="0.25">
      <c r="A183" s="40" t="str">
        <f>IF(Agent01_Withdrawals!A190="","",Agent01_Withdrawals!A190)</f>
        <v/>
      </c>
      <c r="B183" s="40" t="str">
        <f ca="1">IF(Agent01_Withdrawals!A190="","","WD"&amp;TEXT(183-3,"0000")&amp;"-"&amp;TEXT(TODAY(),"YYYYMMDD"))</f>
        <v/>
      </c>
      <c r="C183" s="40" t="str">
        <f>IF(Agent01_Withdrawals!A190="","",Agent01_Withdrawals!B190)</f>
        <v/>
      </c>
      <c r="D183" s="43" t="str">
        <f>IF(Agent01_Withdrawals!A190="","",Agent01_Withdrawals!C190)</f>
        <v/>
      </c>
      <c r="E183" s="41" t="str">
        <f>IF(Agent01_Withdrawals!A190="","",Agent01_Withdrawals!D190)</f>
        <v/>
      </c>
      <c r="F183" s="40" t="str">
        <f>IF(Agent01_Withdrawals!A190="","",Agent01_Withdrawals!F190)</f>
        <v/>
      </c>
      <c r="G183" s="42" t="str">
        <f>IF(Agent01_Withdrawals!A190="","",Agent01_Withdrawals!E190)</f>
        <v/>
      </c>
      <c r="H183" s="42" t="str">
        <f>IF(Agent01_Withdrawals!A190="","",Agent01_Withdrawals!G190)</f>
        <v/>
      </c>
      <c r="I183" s="40" t="str">
        <f>IF(Agent01_Withdrawals!A190="","",Agent01_Withdrawals!H190)</f>
        <v/>
      </c>
      <c r="J183" s="40" t="str">
        <f>IF(Agent01_Withdrawals!A190="","",Agent01_Withdrawals!J190)</f>
        <v/>
      </c>
      <c r="K183" s="40" t="str">
        <f>IF(Agent01_Withdrawals!A190="","",Agent01_Withdrawals!K190)</f>
        <v/>
      </c>
      <c r="L183" s="40" t="str">
        <f>IF(G183="","",IF(D183-G183&gt;=System_Config!$B$9,"✅ OK","⚠️ BREACH"))</f>
        <v/>
      </c>
      <c r="M183" s="40" t="str">
        <f>IFERROR(IF(Agent01_Withdrawals!A190="","",YEAR(Agent01_Withdrawals!D190)),"")</f>
        <v/>
      </c>
    </row>
    <row r="184" spans="1:13" ht="18" customHeight="1" x14ac:dyDescent="0.25">
      <c r="A184" s="40" t="str">
        <f>IF(Agent01_Withdrawals!A191="","",Agent01_Withdrawals!A191)</f>
        <v/>
      </c>
      <c r="B184" s="40" t="str">
        <f ca="1">IF(Agent01_Withdrawals!A191="","","WD"&amp;TEXT(184-3,"0000")&amp;"-"&amp;TEXT(TODAY(),"YYYYMMDD"))</f>
        <v/>
      </c>
      <c r="C184" s="40" t="str">
        <f>IF(Agent01_Withdrawals!A191="","",Agent01_Withdrawals!B191)</f>
        <v/>
      </c>
      <c r="D184" s="43" t="str">
        <f>IF(Agent01_Withdrawals!A191="","",Agent01_Withdrawals!C191)</f>
        <v/>
      </c>
      <c r="E184" s="41" t="str">
        <f>IF(Agent01_Withdrawals!A191="","",Agent01_Withdrawals!D191)</f>
        <v/>
      </c>
      <c r="F184" s="40" t="str">
        <f>IF(Agent01_Withdrawals!A191="","",Agent01_Withdrawals!F191)</f>
        <v/>
      </c>
      <c r="G184" s="42" t="str">
        <f>IF(Agent01_Withdrawals!A191="","",Agent01_Withdrawals!E191)</f>
        <v/>
      </c>
      <c r="H184" s="42" t="str">
        <f>IF(Agent01_Withdrawals!A191="","",Agent01_Withdrawals!G191)</f>
        <v/>
      </c>
      <c r="I184" s="40" t="str">
        <f>IF(Agent01_Withdrawals!A191="","",Agent01_Withdrawals!H191)</f>
        <v/>
      </c>
      <c r="J184" s="40" t="str">
        <f>IF(Agent01_Withdrawals!A191="","",Agent01_Withdrawals!J191)</f>
        <v/>
      </c>
      <c r="K184" s="40" t="str">
        <f>IF(Agent01_Withdrawals!A191="","",Agent01_Withdrawals!K191)</f>
        <v/>
      </c>
      <c r="L184" s="40" t="str">
        <f>IF(G184="","",IF(D184-G184&gt;=System_Config!$B$9,"✅ OK","⚠️ BREACH"))</f>
        <v/>
      </c>
      <c r="M184" s="40" t="str">
        <f>IFERROR(IF(Agent01_Withdrawals!A191="","",YEAR(Agent01_Withdrawals!D191)),"")</f>
        <v/>
      </c>
    </row>
    <row r="185" spans="1:13" ht="18" customHeight="1" x14ac:dyDescent="0.25">
      <c r="A185" s="40" t="str">
        <f>IF(Agent01_Withdrawals!A192="","",Agent01_Withdrawals!A192)</f>
        <v/>
      </c>
      <c r="B185" s="40" t="str">
        <f ca="1">IF(Agent01_Withdrawals!A192="","","WD"&amp;TEXT(185-3,"0000")&amp;"-"&amp;TEXT(TODAY(),"YYYYMMDD"))</f>
        <v/>
      </c>
      <c r="C185" s="40" t="str">
        <f>IF(Agent01_Withdrawals!A192="","",Agent01_Withdrawals!B192)</f>
        <v/>
      </c>
      <c r="D185" s="43" t="str">
        <f>IF(Agent01_Withdrawals!A192="","",Agent01_Withdrawals!C192)</f>
        <v/>
      </c>
      <c r="E185" s="41" t="str">
        <f>IF(Agent01_Withdrawals!A192="","",Agent01_Withdrawals!D192)</f>
        <v/>
      </c>
      <c r="F185" s="40" t="str">
        <f>IF(Agent01_Withdrawals!A192="","",Agent01_Withdrawals!F192)</f>
        <v/>
      </c>
      <c r="G185" s="42" t="str">
        <f>IF(Agent01_Withdrawals!A192="","",Agent01_Withdrawals!E192)</f>
        <v/>
      </c>
      <c r="H185" s="42" t="str">
        <f>IF(Agent01_Withdrawals!A192="","",Agent01_Withdrawals!G192)</f>
        <v/>
      </c>
      <c r="I185" s="40" t="str">
        <f>IF(Agent01_Withdrawals!A192="","",Agent01_Withdrawals!H192)</f>
        <v/>
      </c>
      <c r="J185" s="40" t="str">
        <f>IF(Agent01_Withdrawals!A192="","",Agent01_Withdrawals!J192)</f>
        <v/>
      </c>
      <c r="K185" s="40" t="str">
        <f>IF(Agent01_Withdrawals!A192="","",Agent01_Withdrawals!K192)</f>
        <v/>
      </c>
      <c r="L185" s="40" t="str">
        <f>IF(G185="","",IF(D185-G185&gt;=System_Config!$B$9,"✅ OK","⚠️ BREACH"))</f>
        <v/>
      </c>
      <c r="M185" s="40" t="str">
        <f>IFERROR(IF(Agent01_Withdrawals!A192="","",YEAR(Agent01_Withdrawals!D192)),"")</f>
        <v/>
      </c>
    </row>
    <row r="186" spans="1:13" ht="18" customHeight="1" x14ac:dyDescent="0.25">
      <c r="A186" s="40" t="str">
        <f>IF(Agent01_Withdrawals!A193="","",Agent01_Withdrawals!A193)</f>
        <v/>
      </c>
      <c r="B186" s="40" t="str">
        <f ca="1">IF(Agent01_Withdrawals!A193="","","WD"&amp;TEXT(186-3,"0000")&amp;"-"&amp;TEXT(TODAY(),"YYYYMMDD"))</f>
        <v/>
      </c>
      <c r="C186" s="40" t="str">
        <f>IF(Agent01_Withdrawals!A193="","",Agent01_Withdrawals!B193)</f>
        <v/>
      </c>
      <c r="D186" s="43" t="str">
        <f>IF(Agent01_Withdrawals!A193="","",Agent01_Withdrawals!C193)</f>
        <v/>
      </c>
      <c r="E186" s="41" t="str">
        <f>IF(Agent01_Withdrawals!A193="","",Agent01_Withdrawals!D193)</f>
        <v/>
      </c>
      <c r="F186" s="40" t="str">
        <f>IF(Agent01_Withdrawals!A193="","",Agent01_Withdrawals!F193)</f>
        <v/>
      </c>
      <c r="G186" s="42" t="str">
        <f>IF(Agent01_Withdrawals!A193="","",Agent01_Withdrawals!E193)</f>
        <v/>
      </c>
      <c r="H186" s="42" t="str">
        <f>IF(Agent01_Withdrawals!A193="","",Agent01_Withdrawals!G193)</f>
        <v/>
      </c>
      <c r="I186" s="40" t="str">
        <f>IF(Agent01_Withdrawals!A193="","",Agent01_Withdrawals!H193)</f>
        <v/>
      </c>
      <c r="J186" s="40" t="str">
        <f>IF(Agent01_Withdrawals!A193="","",Agent01_Withdrawals!J193)</f>
        <v/>
      </c>
      <c r="K186" s="40" t="str">
        <f>IF(Agent01_Withdrawals!A193="","",Agent01_Withdrawals!K193)</f>
        <v/>
      </c>
      <c r="L186" s="40" t="str">
        <f>IF(G186="","",IF(D186-G186&gt;=System_Config!$B$9,"✅ OK","⚠️ BREACH"))</f>
        <v/>
      </c>
      <c r="M186" s="40" t="str">
        <f>IFERROR(IF(Agent01_Withdrawals!A193="","",YEAR(Agent01_Withdrawals!D193)),"")</f>
        <v/>
      </c>
    </row>
    <row r="187" spans="1:13" ht="18" customHeight="1" x14ac:dyDescent="0.25">
      <c r="A187" s="40" t="str">
        <f>IF(Agent01_Withdrawals!A194="","",Agent01_Withdrawals!A194)</f>
        <v/>
      </c>
      <c r="B187" s="40" t="str">
        <f ca="1">IF(Agent01_Withdrawals!A194="","","WD"&amp;TEXT(187-3,"0000")&amp;"-"&amp;TEXT(TODAY(),"YYYYMMDD"))</f>
        <v/>
      </c>
      <c r="C187" s="40" t="str">
        <f>IF(Agent01_Withdrawals!A194="","",Agent01_Withdrawals!B194)</f>
        <v/>
      </c>
      <c r="D187" s="43" t="str">
        <f>IF(Agent01_Withdrawals!A194="","",Agent01_Withdrawals!C194)</f>
        <v/>
      </c>
      <c r="E187" s="41" t="str">
        <f>IF(Agent01_Withdrawals!A194="","",Agent01_Withdrawals!D194)</f>
        <v/>
      </c>
      <c r="F187" s="40" t="str">
        <f>IF(Agent01_Withdrawals!A194="","",Agent01_Withdrawals!F194)</f>
        <v/>
      </c>
      <c r="G187" s="42" t="str">
        <f>IF(Agent01_Withdrawals!A194="","",Agent01_Withdrawals!E194)</f>
        <v/>
      </c>
      <c r="H187" s="42" t="str">
        <f>IF(Agent01_Withdrawals!A194="","",Agent01_Withdrawals!G194)</f>
        <v/>
      </c>
      <c r="I187" s="40" t="str">
        <f>IF(Agent01_Withdrawals!A194="","",Agent01_Withdrawals!H194)</f>
        <v/>
      </c>
      <c r="J187" s="40" t="str">
        <f>IF(Agent01_Withdrawals!A194="","",Agent01_Withdrawals!J194)</f>
        <v/>
      </c>
      <c r="K187" s="40" t="str">
        <f>IF(Agent01_Withdrawals!A194="","",Agent01_Withdrawals!K194)</f>
        <v/>
      </c>
      <c r="L187" s="40" t="str">
        <f>IF(G187="","",IF(D187-G187&gt;=System_Config!$B$9,"✅ OK","⚠️ BREACH"))</f>
        <v/>
      </c>
      <c r="M187" s="40" t="str">
        <f>IFERROR(IF(Agent01_Withdrawals!A194="","",YEAR(Agent01_Withdrawals!D194)),"")</f>
        <v/>
      </c>
    </row>
    <row r="188" spans="1:13" ht="18" customHeight="1" x14ac:dyDescent="0.25">
      <c r="A188" s="40" t="str">
        <f>IF(Agent01_Withdrawals!A195="","",Agent01_Withdrawals!A195)</f>
        <v/>
      </c>
      <c r="B188" s="40" t="str">
        <f ca="1">IF(Agent01_Withdrawals!A195="","","WD"&amp;TEXT(188-3,"0000")&amp;"-"&amp;TEXT(TODAY(),"YYYYMMDD"))</f>
        <v/>
      </c>
      <c r="C188" s="40" t="str">
        <f>IF(Agent01_Withdrawals!A195="","",Agent01_Withdrawals!B195)</f>
        <v/>
      </c>
      <c r="D188" s="43" t="str">
        <f>IF(Agent01_Withdrawals!A195="","",Agent01_Withdrawals!C195)</f>
        <v/>
      </c>
      <c r="E188" s="41" t="str">
        <f>IF(Agent01_Withdrawals!A195="","",Agent01_Withdrawals!D195)</f>
        <v/>
      </c>
      <c r="F188" s="40" t="str">
        <f>IF(Agent01_Withdrawals!A195="","",Agent01_Withdrawals!F195)</f>
        <v/>
      </c>
      <c r="G188" s="42" t="str">
        <f>IF(Agent01_Withdrawals!A195="","",Agent01_Withdrawals!E195)</f>
        <v/>
      </c>
      <c r="H188" s="42" t="str">
        <f>IF(Agent01_Withdrawals!A195="","",Agent01_Withdrawals!G195)</f>
        <v/>
      </c>
      <c r="I188" s="40" t="str">
        <f>IF(Agent01_Withdrawals!A195="","",Agent01_Withdrawals!H195)</f>
        <v/>
      </c>
      <c r="J188" s="40" t="str">
        <f>IF(Agent01_Withdrawals!A195="","",Agent01_Withdrawals!J195)</f>
        <v/>
      </c>
      <c r="K188" s="40" t="str">
        <f>IF(Agent01_Withdrawals!A195="","",Agent01_Withdrawals!K195)</f>
        <v/>
      </c>
      <c r="L188" s="40" t="str">
        <f>IF(G188="","",IF(D188-G188&gt;=System_Config!$B$9,"✅ OK","⚠️ BREACH"))</f>
        <v/>
      </c>
      <c r="M188" s="40" t="str">
        <f>IFERROR(IF(Agent01_Withdrawals!A195="","",YEAR(Agent01_Withdrawals!D195)),"")</f>
        <v/>
      </c>
    </row>
    <row r="189" spans="1:13" ht="18" customHeight="1" x14ac:dyDescent="0.25">
      <c r="A189" s="40" t="str">
        <f>IF(Agent01_Withdrawals!A196="","",Agent01_Withdrawals!A196)</f>
        <v/>
      </c>
      <c r="B189" s="40" t="str">
        <f ca="1">IF(Agent01_Withdrawals!A196="","","WD"&amp;TEXT(189-3,"0000")&amp;"-"&amp;TEXT(TODAY(),"YYYYMMDD"))</f>
        <v/>
      </c>
      <c r="C189" s="40" t="str">
        <f>IF(Agent01_Withdrawals!A196="","",Agent01_Withdrawals!B196)</f>
        <v/>
      </c>
      <c r="D189" s="43" t="str">
        <f>IF(Agent01_Withdrawals!A196="","",Agent01_Withdrawals!C196)</f>
        <v/>
      </c>
      <c r="E189" s="41" t="str">
        <f>IF(Agent01_Withdrawals!A196="","",Agent01_Withdrawals!D196)</f>
        <v/>
      </c>
      <c r="F189" s="40" t="str">
        <f>IF(Agent01_Withdrawals!A196="","",Agent01_Withdrawals!F196)</f>
        <v/>
      </c>
      <c r="G189" s="42" t="str">
        <f>IF(Agent01_Withdrawals!A196="","",Agent01_Withdrawals!E196)</f>
        <v/>
      </c>
      <c r="H189" s="42" t="str">
        <f>IF(Agent01_Withdrawals!A196="","",Agent01_Withdrawals!G196)</f>
        <v/>
      </c>
      <c r="I189" s="40" t="str">
        <f>IF(Agent01_Withdrawals!A196="","",Agent01_Withdrawals!H196)</f>
        <v/>
      </c>
      <c r="J189" s="40" t="str">
        <f>IF(Agent01_Withdrawals!A196="","",Agent01_Withdrawals!J196)</f>
        <v/>
      </c>
      <c r="K189" s="40" t="str">
        <f>IF(Agent01_Withdrawals!A196="","",Agent01_Withdrawals!K196)</f>
        <v/>
      </c>
      <c r="L189" s="40" t="str">
        <f>IF(G189="","",IF(D189-G189&gt;=System_Config!$B$9,"✅ OK","⚠️ BREACH"))</f>
        <v/>
      </c>
      <c r="M189" s="40" t="str">
        <f>IFERROR(IF(Agent01_Withdrawals!A196="","",YEAR(Agent01_Withdrawals!D196)),"")</f>
        <v/>
      </c>
    </row>
    <row r="190" spans="1:13" ht="18" customHeight="1" x14ac:dyDescent="0.25">
      <c r="A190" s="40" t="str">
        <f>IF(Agent01_Withdrawals!A197="","",Agent01_Withdrawals!A197)</f>
        <v/>
      </c>
      <c r="B190" s="40" t="str">
        <f ca="1">IF(Agent01_Withdrawals!A197="","","WD"&amp;TEXT(190-3,"0000")&amp;"-"&amp;TEXT(TODAY(),"YYYYMMDD"))</f>
        <v/>
      </c>
      <c r="C190" s="40" t="str">
        <f>IF(Agent01_Withdrawals!A197="","",Agent01_Withdrawals!B197)</f>
        <v/>
      </c>
      <c r="D190" s="43" t="str">
        <f>IF(Agent01_Withdrawals!A197="","",Agent01_Withdrawals!C197)</f>
        <v/>
      </c>
      <c r="E190" s="41" t="str">
        <f>IF(Agent01_Withdrawals!A197="","",Agent01_Withdrawals!D197)</f>
        <v/>
      </c>
      <c r="F190" s="40" t="str">
        <f>IF(Agent01_Withdrawals!A197="","",Agent01_Withdrawals!F197)</f>
        <v/>
      </c>
      <c r="G190" s="42" t="str">
        <f>IF(Agent01_Withdrawals!A197="","",Agent01_Withdrawals!E197)</f>
        <v/>
      </c>
      <c r="H190" s="42" t="str">
        <f>IF(Agent01_Withdrawals!A197="","",Agent01_Withdrawals!G197)</f>
        <v/>
      </c>
      <c r="I190" s="40" t="str">
        <f>IF(Agent01_Withdrawals!A197="","",Agent01_Withdrawals!H197)</f>
        <v/>
      </c>
      <c r="J190" s="40" t="str">
        <f>IF(Agent01_Withdrawals!A197="","",Agent01_Withdrawals!J197)</f>
        <v/>
      </c>
      <c r="K190" s="40" t="str">
        <f>IF(Agent01_Withdrawals!A197="","",Agent01_Withdrawals!K197)</f>
        <v/>
      </c>
      <c r="L190" s="40" t="str">
        <f>IF(G190="","",IF(D190-G190&gt;=System_Config!$B$9,"✅ OK","⚠️ BREACH"))</f>
        <v/>
      </c>
      <c r="M190" s="40" t="str">
        <f>IFERROR(IF(Agent01_Withdrawals!A197="","",YEAR(Agent01_Withdrawals!D197)),"")</f>
        <v/>
      </c>
    </row>
    <row r="191" spans="1:13" ht="18" customHeight="1" x14ac:dyDescent="0.25">
      <c r="A191" s="40" t="str">
        <f>IF(Agent01_Withdrawals!A198="","",Agent01_Withdrawals!A198)</f>
        <v/>
      </c>
      <c r="B191" s="40" t="str">
        <f ca="1">IF(Agent01_Withdrawals!A198="","","WD"&amp;TEXT(191-3,"0000")&amp;"-"&amp;TEXT(TODAY(),"YYYYMMDD"))</f>
        <v/>
      </c>
      <c r="C191" s="40" t="str">
        <f>IF(Agent01_Withdrawals!A198="","",Agent01_Withdrawals!B198)</f>
        <v/>
      </c>
      <c r="D191" s="43" t="str">
        <f>IF(Agent01_Withdrawals!A198="","",Agent01_Withdrawals!C198)</f>
        <v/>
      </c>
      <c r="E191" s="41" t="str">
        <f>IF(Agent01_Withdrawals!A198="","",Agent01_Withdrawals!D198)</f>
        <v/>
      </c>
      <c r="F191" s="40" t="str">
        <f>IF(Agent01_Withdrawals!A198="","",Agent01_Withdrawals!F198)</f>
        <v/>
      </c>
      <c r="G191" s="42" t="str">
        <f>IF(Agent01_Withdrawals!A198="","",Agent01_Withdrawals!E198)</f>
        <v/>
      </c>
      <c r="H191" s="42" t="str">
        <f>IF(Agent01_Withdrawals!A198="","",Agent01_Withdrawals!G198)</f>
        <v/>
      </c>
      <c r="I191" s="40" t="str">
        <f>IF(Agent01_Withdrawals!A198="","",Agent01_Withdrawals!H198)</f>
        <v/>
      </c>
      <c r="J191" s="40" t="str">
        <f>IF(Agent01_Withdrawals!A198="","",Agent01_Withdrawals!J198)</f>
        <v/>
      </c>
      <c r="K191" s="40" t="str">
        <f>IF(Agent01_Withdrawals!A198="","",Agent01_Withdrawals!K198)</f>
        <v/>
      </c>
      <c r="L191" s="40" t="str">
        <f>IF(G191="","",IF(D191-G191&gt;=System_Config!$B$9,"✅ OK","⚠️ BREACH"))</f>
        <v/>
      </c>
      <c r="M191" s="40" t="str">
        <f>IFERROR(IF(Agent01_Withdrawals!A198="","",YEAR(Agent01_Withdrawals!D198)),"")</f>
        <v/>
      </c>
    </row>
    <row r="192" spans="1:13" ht="18" customHeight="1" x14ac:dyDescent="0.25">
      <c r="A192" s="40" t="str">
        <f>IF(Agent01_Withdrawals!A199="","",Agent01_Withdrawals!A199)</f>
        <v/>
      </c>
      <c r="B192" s="40" t="str">
        <f ca="1">IF(Agent01_Withdrawals!A199="","","WD"&amp;TEXT(192-3,"0000")&amp;"-"&amp;TEXT(TODAY(),"YYYYMMDD"))</f>
        <v/>
      </c>
      <c r="C192" s="40" t="str">
        <f>IF(Agent01_Withdrawals!A199="","",Agent01_Withdrawals!B199)</f>
        <v/>
      </c>
      <c r="D192" s="43" t="str">
        <f>IF(Agent01_Withdrawals!A199="","",Agent01_Withdrawals!C199)</f>
        <v/>
      </c>
      <c r="E192" s="41" t="str">
        <f>IF(Agent01_Withdrawals!A199="","",Agent01_Withdrawals!D199)</f>
        <v/>
      </c>
      <c r="F192" s="40" t="str">
        <f>IF(Agent01_Withdrawals!A199="","",Agent01_Withdrawals!F199)</f>
        <v/>
      </c>
      <c r="G192" s="42" t="str">
        <f>IF(Agent01_Withdrawals!A199="","",Agent01_Withdrawals!E199)</f>
        <v/>
      </c>
      <c r="H192" s="42" t="str">
        <f>IF(Agent01_Withdrawals!A199="","",Agent01_Withdrawals!G199)</f>
        <v/>
      </c>
      <c r="I192" s="40" t="str">
        <f>IF(Agent01_Withdrawals!A199="","",Agent01_Withdrawals!H199)</f>
        <v/>
      </c>
      <c r="J192" s="40" t="str">
        <f>IF(Agent01_Withdrawals!A199="","",Agent01_Withdrawals!J199)</f>
        <v/>
      </c>
      <c r="K192" s="40" t="str">
        <f>IF(Agent01_Withdrawals!A199="","",Agent01_Withdrawals!K199)</f>
        <v/>
      </c>
      <c r="L192" s="40" t="str">
        <f>IF(G192="","",IF(D192-G192&gt;=System_Config!$B$9,"✅ OK","⚠️ BREACH"))</f>
        <v/>
      </c>
      <c r="M192" s="40" t="str">
        <f>IFERROR(IF(Agent01_Withdrawals!A199="","",YEAR(Agent01_Withdrawals!D199)),"")</f>
        <v/>
      </c>
    </row>
    <row r="193" spans="1:13" ht="18" customHeight="1" x14ac:dyDescent="0.25">
      <c r="A193" s="40" t="str">
        <f>IF(Agent01_Withdrawals!A200="","",Agent01_Withdrawals!A200)</f>
        <v/>
      </c>
      <c r="B193" s="40" t="str">
        <f ca="1">IF(Agent01_Withdrawals!A200="","","WD"&amp;TEXT(193-3,"0000")&amp;"-"&amp;TEXT(TODAY(),"YYYYMMDD"))</f>
        <v/>
      </c>
      <c r="C193" s="40" t="str">
        <f>IF(Agent01_Withdrawals!A200="","",Agent01_Withdrawals!B200)</f>
        <v/>
      </c>
      <c r="D193" s="43" t="str">
        <f>IF(Agent01_Withdrawals!A200="","",Agent01_Withdrawals!C200)</f>
        <v/>
      </c>
      <c r="E193" s="41" t="str">
        <f>IF(Agent01_Withdrawals!A200="","",Agent01_Withdrawals!D200)</f>
        <v/>
      </c>
      <c r="F193" s="40" t="str">
        <f>IF(Agent01_Withdrawals!A200="","",Agent01_Withdrawals!F200)</f>
        <v/>
      </c>
      <c r="G193" s="42" t="str">
        <f>IF(Agent01_Withdrawals!A200="","",Agent01_Withdrawals!E200)</f>
        <v/>
      </c>
      <c r="H193" s="42" t="str">
        <f>IF(Agent01_Withdrawals!A200="","",Agent01_Withdrawals!G200)</f>
        <v/>
      </c>
      <c r="I193" s="40" t="str">
        <f>IF(Agent01_Withdrawals!A200="","",Agent01_Withdrawals!H200)</f>
        <v/>
      </c>
      <c r="J193" s="40" t="str">
        <f>IF(Agent01_Withdrawals!A200="","",Agent01_Withdrawals!J200)</f>
        <v/>
      </c>
      <c r="K193" s="40" t="str">
        <f>IF(Agent01_Withdrawals!A200="","",Agent01_Withdrawals!K200)</f>
        <v/>
      </c>
      <c r="L193" s="40" t="str">
        <f>IF(G193="","",IF(D193-G193&gt;=System_Config!$B$9,"✅ OK","⚠️ BREACH"))</f>
        <v/>
      </c>
      <c r="M193" s="40" t="str">
        <f>IFERROR(IF(Agent01_Withdrawals!A200="","",YEAR(Agent01_Withdrawals!D200)),"")</f>
        <v/>
      </c>
    </row>
    <row r="194" spans="1:13" ht="18" customHeight="1" x14ac:dyDescent="0.25">
      <c r="A194" s="40" t="str">
        <f>IF(Agent01_Withdrawals!A201="","",Agent01_Withdrawals!A201)</f>
        <v/>
      </c>
      <c r="B194" s="40" t="str">
        <f ca="1">IF(Agent01_Withdrawals!A201="","","WD"&amp;TEXT(194-3,"0000")&amp;"-"&amp;TEXT(TODAY(),"YYYYMMDD"))</f>
        <v/>
      </c>
      <c r="C194" s="40" t="str">
        <f>IF(Agent01_Withdrawals!A201="","",Agent01_Withdrawals!B201)</f>
        <v/>
      </c>
      <c r="D194" s="43" t="str">
        <f>IF(Agent01_Withdrawals!A201="","",Agent01_Withdrawals!C201)</f>
        <v/>
      </c>
      <c r="E194" s="41" t="str">
        <f>IF(Agent01_Withdrawals!A201="","",Agent01_Withdrawals!D201)</f>
        <v/>
      </c>
      <c r="F194" s="40" t="str">
        <f>IF(Agent01_Withdrawals!A201="","",Agent01_Withdrawals!F201)</f>
        <v/>
      </c>
      <c r="G194" s="42" t="str">
        <f>IF(Agent01_Withdrawals!A201="","",Agent01_Withdrawals!E201)</f>
        <v/>
      </c>
      <c r="H194" s="42" t="str">
        <f>IF(Agent01_Withdrawals!A201="","",Agent01_Withdrawals!G201)</f>
        <v/>
      </c>
      <c r="I194" s="40" t="str">
        <f>IF(Agent01_Withdrawals!A201="","",Agent01_Withdrawals!H201)</f>
        <v/>
      </c>
      <c r="J194" s="40" t="str">
        <f>IF(Agent01_Withdrawals!A201="","",Agent01_Withdrawals!J201)</f>
        <v/>
      </c>
      <c r="K194" s="40" t="str">
        <f>IF(Agent01_Withdrawals!A201="","",Agent01_Withdrawals!K201)</f>
        <v/>
      </c>
      <c r="L194" s="40" t="str">
        <f>IF(G194="","",IF(D194-G194&gt;=System_Config!$B$9,"✅ OK","⚠️ BREACH"))</f>
        <v/>
      </c>
      <c r="M194" s="40" t="str">
        <f>IFERROR(IF(Agent01_Withdrawals!A201="","",YEAR(Agent01_Withdrawals!D201)),"")</f>
        <v/>
      </c>
    </row>
    <row r="195" spans="1:13" ht="18" customHeight="1" x14ac:dyDescent="0.25">
      <c r="A195" s="40" t="str">
        <f>IF(Agent01_Withdrawals!A202="","",Agent01_Withdrawals!A202)</f>
        <v/>
      </c>
      <c r="B195" s="40" t="str">
        <f ca="1">IF(Agent01_Withdrawals!A202="","","WD"&amp;TEXT(195-3,"0000")&amp;"-"&amp;TEXT(TODAY(),"YYYYMMDD"))</f>
        <v/>
      </c>
      <c r="C195" s="40" t="str">
        <f>IF(Agent01_Withdrawals!A202="","",Agent01_Withdrawals!B202)</f>
        <v/>
      </c>
      <c r="D195" s="43" t="str">
        <f>IF(Agent01_Withdrawals!A202="","",Agent01_Withdrawals!C202)</f>
        <v/>
      </c>
      <c r="E195" s="41" t="str">
        <f>IF(Agent01_Withdrawals!A202="","",Agent01_Withdrawals!D202)</f>
        <v/>
      </c>
      <c r="F195" s="40" t="str">
        <f>IF(Agent01_Withdrawals!A202="","",Agent01_Withdrawals!F202)</f>
        <v/>
      </c>
      <c r="G195" s="42" t="str">
        <f>IF(Agent01_Withdrawals!A202="","",Agent01_Withdrawals!E202)</f>
        <v/>
      </c>
      <c r="H195" s="42" t="str">
        <f>IF(Agent01_Withdrawals!A202="","",Agent01_Withdrawals!G202)</f>
        <v/>
      </c>
      <c r="I195" s="40" t="str">
        <f>IF(Agent01_Withdrawals!A202="","",Agent01_Withdrawals!H202)</f>
        <v/>
      </c>
      <c r="J195" s="40" t="str">
        <f>IF(Agent01_Withdrawals!A202="","",Agent01_Withdrawals!J202)</f>
        <v/>
      </c>
      <c r="K195" s="40" t="str">
        <f>IF(Agent01_Withdrawals!A202="","",Agent01_Withdrawals!K202)</f>
        <v/>
      </c>
      <c r="L195" s="40" t="str">
        <f>IF(G195="","",IF(D195-G195&gt;=System_Config!$B$9,"✅ OK","⚠️ BREACH"))</f>
        <v/>
      </c>
      <c r="M195" s="40" t="str">
        <f>IFERROR(IF(Agent01_Withdrawals!A202="","",YEAR(Agent01_Withdrawals!D202)),"")</f>
        <v/>
      </c>
    </row>
    <row r="196" spans="1:13" ht="18" customHeight="1" x14ac:dyDescent="0.25">
      <c r="A196" s="40" t="str">
        <f>IF(Agent01_Withdrawals!A203="","",Agent01_Withdrawals!A203)</f>
        <v/>
      </c>
      <c r="B196" s="40" t="str">
        <f ca="1">IF(Agent01_Withdrawals!A203="","","WD"&amp;TEXT(196-3,"0000")&amp;"-"&amp;TEXT(TODAY(),"YYYYMMDD"))</f>
        <v/>
      </c>
      <c r="C196" s="40" t="str">
        <f>IF(Agent01_Withdrawals!A203="","",Agent01_Withdrawals!B203)</f>
        <v/>
      </c>
      <c r="D196" s="43" t="str">
        <f>IF(Agent01_Withdrawals!A203="","",Agent01_Withdrawals!C203)</f>
        <v/>
      </c>
      <c r="E196" s="41" t="str">
        <f>IF(Agent01_Withdrawals!A203="","",Agent01_Withdrawals!D203)</f>
        <v/>
      </c>
      <c r="F196" s="40" t="str">
        <f>IF(Agent01_Withdrawals!A203="","",Agent01_Withdrawals!F203)</f>
        <v/>
      </c>
      <c r="G196" s="42" t="str">
        <f>IF(Agent01_Withdrawals!A203="","",Agent01_Withdrawals!E203)</f>
        <v/>
      </c>
      <c r="H196" s="42" t="str">
        <f>IF(Agent01_Withdrawals!A203="","",Agent01_Withdrawals!G203)</f>
        <v/>
      </c>
      <c r="I196" s="40" t="str">
        <f>IF(Agent01_Withdrawals!A203="","",Agent01_Withdrawals!H203)</f>
        <v/>
      </c>
      <c r="J196" s="40" t="str">
        <f>IF(Agent01_Withdrawals!A203="","",Agent01_Withdrawals!J203)</f>
        <v/>
      </c>
      <c r="K196" s="40" t="str">
        <f>IF(Agent01_Withdrawals!A203="","",Agent01_Withdrawals!K203)</f>
        <v/>
      </c>
      <c r="L196" s="40" t="str">
        <f>IF(G196="","",IF(D196-G196&gt;=System_Config!$B$9,"✅ OK","⚠️ BREACH"))</f>
        <v/>
      </c>
      <c r="M196" s="40" t="str">
        <f>IFERROR(IF(Agent01_Withdrawals!A203="","",YEAR(Agent01_Withdrawals!D203)),"")</f>
        <v/>
      </c>
    </row>
    <row r="197" spans="1:13" ht="18" customHeight="1" x14ac:dyDescent="0.25">
      <c r="A197" s="40" t="str">
        <f>IF(Agent01_Withdrawals!A204="","",Agent01_Withdrawals!A204)</f>
        <v/>
      </c>
      <c r="B197" s="40" t="str">
        <f ca="1">IF(Agent01_Withdrawals!A204="","","WD"&amp;TEXT(197-3,"0000")&amp;"-"&amp;TEXT(TODAY(),"YYYYMMDD"))</f>
        <v/>
      </c>
      <c r="C197" s="40" t="str">
        <f>IF(Agent01_Withdrawals!A204="","",Agent01_Withdrawals!B204)</f>
        <v/>
      </c>
      <c r="D197" s="43" t="str">
        <f>IF(Agent01_Withdrawals!A204="","",Agent01_Withdrawals!C204)</f>
        <v/>
      </c>
      <c r="E197" s="41" t="str">
        <f>IF(Agent01_Withdrawals!A204="","",Agent01_Withdrawals!D204)</f>
        <v/>
      </c>
      <c r="F197" s="40" t="str">
        <f>IF(Agent01_Withdrawals!A204="","",Agent01_Withdrawals!F204)</f>
        <v/>
      </c>
      <c r="G197" s="42" t="str">
        <f>IF(Agent01_Withdrawals!A204="","",Agent01_Withdrawals!E204)</f>
        <v/>
      </c>
      <c r="H197" s="42" t="str">
        <f>IF(Agent01_Withdrawals!A204="","",Agent01_Withdrawals!G204)</f>
        <v/>
      </c>
      <c r="I197" s="40" t="str">
        <f>IF(Agent01_Withdrawals!A204="","",Agent01_Withdrawals!H204)</f>
        <v/>
      </c>
      <c r="J197" s="40" t="str">
        <f>IF(Agent01_Withdrawals!A204="","",Agent01_Withdrawals!J204)</f>
        <v/>
      </c>
      <c r="K197" s="40" t="str">
        <f>IF(Agent01_Withdrawals!A204="","",Agent01_Withdrawals!K204)</f>
        <v/>
      </c>
      <c r="L197" s="40" t="str">
        <f>IF(G197="","",IF(D197-G197&gt;=System_Config!$B$9,"✅ OK","⚠️ BREACH"))</f>
        <v/>
      </c>
      <c r="M197" s="40" t="str">
        <f>IFERROR(IF(Agent01_Withdrawals!A204="","",YEAR(Agent01_Withdrawals!D204)),"")</f>
        <v/>
      </c>
    </row>
    <row r="198" spans="1:13" ht="18" customHeight="1" x14ac:dyDescent="0.25">
      <c r="A198" s="40" t="str">
        <f>IF(Agent01_Withdrawals!A205="","",Agent01_Withdrawals!A205)</f>
        <v/>
      </c>
      <c r="B198" s="40" t="str">
        <f ca="1">IF(Agent01_Withdrawals!A205="","","WD"&amp;TEXT(198-3,"0000")&amp;"-"&amp;TEXT(TODAY(),"YYYYMMDD"))</f>
        <v/>
      </c>
      <c r="C198" s="40" t="str">
        <f>IF(Agent01_Withdrawals!A205="","",Agent01_Withdrawals!B205)</f>
        <v/>
      </c>
      <c r="D198" s="43" t="str">
        <f>IF(Agent01_Withdrawals!A205="","",Agent01_Withdrawals!C205)</f>
        <v/>
      </c>
      <c r="E198" s="41" t="str">
        <f>IF(Agent01_Withdrawals!A205="","",Agent01_Withdrawals!D205)</f>
        <v/>
      </c>
      <c r="F198" s="40" t="str">
        <f>IF(Agent01_Withdrawals!A205="","",Agent01_Withdrawals!F205)</f>
        <v/>
      </c>
      <c r="G198" s="42" t="str">
        <f>IF(Agent01_Withdrawals!A205="","",Agent01_Withdrawals!E205)</f>
        <v/>
      </c>
      <c r="H198" s="42" t="str">
        <f>IF(Agent01_Withdrawals!A205="","",Agent01_Withdrawals!G205)</f>
        <v/>
      </c>
      <c r="I198" s="40" t="str">
        <f>IF(Agent01_Withdrawals!A205="","",Agent01_Withdrawals!H205)</f>
        <v/>
      </c>
      <c r="J198" s="40" t="str">
        <f>IF(Agent01_Withdrawals!A205="","",Agent01_Withdrawals!J205)</f>
        <v/>
      </c>
      <c r="K198" s="40" t="str">
        <f>IF(Agent01_Withdrawals!A205="","",Agent01_Withdrawals!K205)</f>
        <v/>
      </c>
      <c r="L198" s="40" t="str">
        <f>IF(G198="","",IF(D198-G198&gt;=System_Config!$B$9,"✅ OK","⚠️ BREACH"))</f>
        <v/>
      </c>
      <c r="M198" s="40" t="str">
        <f>IFERROR(IF(Agent01_Withdrawals!A205="","",YEAR(Agent01_Withdrawals!D205)),"")</f>
        <v/>
      </c>
    </row>
    <row r="199" spans="1:13" ht="18" customHeight="1" x14ac:dyDescent="0.25">
      <c r="A199" s="40" t="str">
        <f>IF(Agent01_Withdrawals!A206="","",Agent01_Withdrawals!A206)</f>
        <v/>
      </c>
      <c r="B199" s="40" t="str">
        <f ca="1">IF(Agent01_Withdrawals!A206="","","WD"&amp;TEXT(199-3,"0000")&amp;"-"&amp;TEXT(TODAY(),"YYYYMMDD"))</f>
        <v/>
      </c>
      <c r="C199" s="40" t="str">
        <f>IF(Agent01_Withdrawals!A206="","",Agent01_Withdrawals!B206)</f>
        <v/>
      </c>
      <c r="D199" s="43" t="str">
        <f>IF(Agent01_Withdrawals!A206="","",Agent01_Withdrawals!C206)</f>
        <v/>
      </c>
      <c r="E199" s="41" t="str">
        <f>IF(Agent01_Withdrawals!A206="","",Agent01_Withdrawals!D206)</f>
        <v/>
      </c>
      <c r="F199" s="40" t="str">
        <f>IF(Agent01_Withdrawals!A206="","",Agent01_Withdrawals!F206)</f>
        <v/>
      </c>
      <c r="G199" s="42" t="str">
        <f>IF(Agent01_Withdrawals!A206="","",Agent01_Withdrawals!E206)</f>
        <v/>
      </c>
      <c r="H199" s="42" t="str">
        <f>IF(Agent01_Withdrawals!A206="","",Agent01_Withdrawals!G206)</f>
        <v/>
      </c>
      <c r="I199" s="40" t="str">
        <f>IF(Agent01_Withdrawals!A206="","",Agent01_Withdrawals!H206)</f>
        <v/>
      </c>
      <c r="J199" s="40" t="str">
        <f>IF(Agent01_Withdrawals!A206="","",Agent01_Withdrawals!J206)</f>
        <v/>
      </c>
      <c r="K199" s="40" t="str">
        <f>IF(Agent01_Withdrawals!A206="","",Agent01_Withdrawals!K206)</f>
        <v/>
      </c>
      <c r="L199" s="40" t="str">
        <f>IF(G199="","",IF(D199-G199&gt;=System_Config!$B$9,"✅ OK","⚠️ BREACH"))</f>
        <v/>
      </c>
      <c r="M199" s="40" t="str">
        <f>IFERROR(IF(Agent01_Withdrawals!A206="","",YEAR(Agent01_Withdrawals!D206)),"")</f>
        <v/>
      </c>
    </row>
    <row r="200" spans="1:13" ht="18" customHeight="1" x14ac:dyDescent="0.25">
      <c r="A200" s="40" t="str">
        <f>IF(Agent01_Withdrawals!A207="","",Agent01_Withdrawals!A207)</f>
        <v/>
      </c>
      <c r="B200" s="40" t="str">
        <f ca="1">IF(Agent01_Withdrawals!A207="","","WD"&amp;TEXT(200-3,"0000")&amp;"-"&amp;TEXT(TODAY(),"YYYYMMDD"))</f>
        <v/>
      </c>
      <c r="C200" s="40" t="str">
        <f>IF(Agent01_Withdrawals!A207="","",Agent01_Withdrawals!B207)</f>
        <v/>
      </c>
      <c r="D200" s="43" t="str">
        <f>IF(Agent01_Withdrawals!A207="","",Agent01_Withdrawals!C207)</f>
        <v/>
      </c>
      <c r="E200" s="41" t="str">
        <f>IF(Agent01_Withdrawals!A207="","",Agent01_Withdrawals!D207)</f>
        <v/>
      </c>
      <c r="F200" s="40" t="str">
        <f>IF(Agent01_Withdrawals!A207="","",Agent01_Withdrawals!F207)</f>
        <v/>
      </c>
      <c r="G200" s="42" t="str">
        <f>IF(Agent01_Withdrawals!A207="","",Agent01_Withdrawals!E207)</f>
        <v/>
      </c>
      <c r="H200" s="42" t="str">
        <f>IF(Agent01_Withdrawals!A207="","",Agent01_Withdrawals!G207)</f>
        <v/>
      </c>
      <c r="I200" s="40" t="str">
        <f>IF(Agent01_Withdrawals!A207="","",Agent01_Withdrawals!H207)</f>
        <v/>
      </c>
      <c r="J200" s="40" t="str">
        <f>IF(Agent01_Withdrawals!A207="","",Agent01_Withdrawals!J207)</f>
        <v/>
      </c>
      <c r="K200" s="40" t="str">
        <f>IF(Agent01_Withdrawals!A207="","",Agent01_Withdrawals!K207)</f>
        <v/>
      </c>
      <c r="L200" s="40" t="str">
        <f>IF(G200="","",IF(D200-G200&gt;=System_Config!$B$9,"✅ OK","⚠️ BREACH"))</f>
        <v/>
      </c>
      <c r="M200" s="40" t="str">
        <f>IFERROR(IF(Agent01_Withdrawals!A207="","",YEAR(Agent01_Withdrawals!D207)),"")</f>
        <v/>
      </c>
    </row>
    <row r="201" spans="1:13" ht="18" customHeight="1" x14ac:dyDescent="0.25">
      <c r="A201" s="40" t="str">
        <f>IF(Agent01_Withdrawals!A208="","",Agent01_Withdrawals!A208)</f>
        <v/>
      </c>
      <c r="B201" s="40" t="str">
        <f ca="1">IF(Agent01_Withdrawals!A208="","","WD"&amp;TEXT(201-3,"0000")&amp;"-"&amp;TEXT(TODAY(),"YYYYMMDD"))</f>
        <v/>
      </c>
      <c r="C201" s="40" t="str">
        <f>IF(Agent01_Withdrawals!A208="","",Agent01_Withdrawals!B208)</f>
        <v/>
      </c>
      <c r="D201" s="43" t="str">
        <f>IF(Agent01_Withdrawals!A208="","",Agent01_Withdrawals!C208)</f>
        <v/>
      </c>
      <c r="E201" s="41" t="str">
        <f>IF(Agent01_Withdrawals!A208="","",Agent01_Withdrawals!D208)</f>
        <v/>
      </c>
      <c r="F201" s="40" t="str">
        <f>IF(Agent01_Withdrawals!A208="","",Agent01_Withdrawals!F208)</f>
        <v/>
      </c>
      <c r="G201" s="42" t="str">
        <f>IF(Agent01_Withdrawals!A208="","",Agent01_Withdrawals!E208)</f>
        <v/>
      </c>
      <c r="H201" s="42" t="str">
        <f>IF(Agent01_Withdrawals!A208="","",Agent01_Withdrawals!G208)</f>
        <v/>
      </c>
      <c r="I201" s="40" t="str">
        <f>IF(Agent01_Withdrawals!A208="","",Agent01_Withdrawals!H208)</f>
        <v/>
      </c>
      <c r="J201" s="40" t="str">
        <f>IF(Agent01_Withdrawals!A208="","",Agent01_Withdrawals!J208)</f>
        <v/>
      </c>
      <c r="K201" s="40" t="str">
        <f>IF(Agent01_Withdrawals!A208="","",Agent01_Withdrawals!K208)</f>
        <v/>
      </c>
      <c r="L201" s="40" t="str">
        <f>IF(G201="","",IF(D201-G201&gt;=System_Config!$B$9,"✅ OK","⚠️ BREACH"))</f>
        <v/>
      </c>
      <c r="M201" s="40" t="str">
        <f>IFERROR(IF(Agent01_Withdrawals!A208="","",YEAR(Agent01_Withdrawals!D208)),"")</f>
        <v/>
      </c>
    </row>
    <row r="202" spans="1:13" ht="18" customHeight="1" x14ac:dyDescent="0.25">
      <c r="A202" s="40" t="str">
        <f>IF(Agent01_Withdrawals!A209="","",Agent01_Withdrawals!A209)</f>
        <v/>
      </c>
      <c r="B202" s="40" t="str">
        <f ca="1">IF(Agent01_Withdrawals!A209="","","WD"&amp;TEXT(202-3,"0000")&amp;"-"&amp;TEXT(TODAY(),"YYYYMMDD"))</f>
        <v/>
      </c>
      <c r="C202" s="40" t="str">
        <f>IF(Agent01_Withdrawals!A209="","",Agent01_Withdrawals!B209)</f>
        <v/>
      </c>
      <c r="D202" s="43" t="str">
        <f>IF(Agent01_Withdrawals!A209="","",Agent01_Withdrawals!C209)</f>
        <v/>
      </c>
      <c r="E202" s="41" t="str">
        <f>IF(Agent01_Withdrawals!A209="","",Agent01_Withdrawals!D209)</f>
        <v/>
      </c>
      <c r="F202" s="40" t="str">
        <f>IF(Agent01_Withdrawals!A209="","",Agent01_Withdrawals!F209)</f>
        <v/>
      </c>
      <c r="G202" s="42" t="str">
        <f>IF(Agent01_Withdrawals!A209="","",Agent01_Withdrawals!E209)</f>
        <v/>
      </c>
      <c r="H202" s="42" t="str">
        <f>IF(Agent01_Withdrawals!A209="","",Agent01_Withdrawals!G209)</f>
        <v/>
      </c>
      <c r="I202" s="40" t="str">
        <f>IF(Agent01_Withdrawals!A209="","",Agent01_Withdrawals!H209)</f>
        <v/>
      </c>
      <c r="J202" s="40" t="str">
        <f>IF(Agent01_Withdrawals!A209="","",Agent01_Withdrawals!J209)</f>
        <v/>
      </c>
      <c r="K202" s="40" t="str">
        <f>IF(Agent01_Withdrawals!A209="","",Agent01_Withdrawals!K209)</f>
        <v/>
      </c>
      <c r="L202" s="40" t="str">
        <f>IF(G202="","",IF(D202-G202&gt;=System_Config!$B$9,"✅ OK","⚠️ BREACH"))</f>
        <v/>
      </c>
      <c r="M202" s="40" t="str">
        <f>IFERROR(IF(Agent01_Withdrawals!A209="","",YEAR(Agent01_Withdrawals!D209)),"")</f>
        <v/>
      </c>
    </row>
    <row r="203" spans="1:13" ht="18" customHeight="1" x14ac:dyDescent="0.25">
      <c r="A203" s="40" t="str">
        <f>IF(Agent01_Withdrawals!A210="","",Agent01_Withdrawals!A210)</f>
        <v/>
      </c>
      <c r="B203" s="40" t="str">
        <f ca="1">IF(Agent01_Withdrawals!A210="","","WD"&amp;TEXT(203-3,"0000")&amp;"-"&amp;TEXT(TODAY(),"YYYYMMDD"))</f>
        <v/>
      </c>
      <c r="C203" s="40" t="str">
        <f>IF(Agent01_Withdrawals!A210="","",Agent01_Withdrawals!B210)</f>
        <v/>
      </c>
      <c r="D203" s="43" t="str">
        <f>IF(Agent01_Withdrawals!A210="","",Agent01_Withdrawals!C210)</f>
        <v/>
      </c>
      <c r="E203" s="41" t="str">
        <f>IF(Agent01_Withdrawals!A210="","",Agent01_Withdrawals!D210)</f>
        <v/>
      </c>
      <c r="F203" s="40" t="str">
        <f>IF(Agent01_Withdrawals!A210="","",Agent01_Withdrawals!F210)</f>
        <v/>
      </c>
      <c r="G203" s="42" t="str">
        <f>IF(Agent01_Withdrawals!A210="","",Agent01_Withdrawals!E210)</f>
        <v/>
      </c>
      <c r="H203" s="42" t="str">
        <f>IF(Agent01_Withdrawals!A210="","",Agent01_Withdrawals!G210)</f>
        <v/>
      </c>
      <c r="I203" s="40" t="str">
        <f>IF(Agent01_Withdrawals!A210="","",Agent01_Withdrawals!H210)</f>
        <v/>
      </c>
      <c r="J203" s="40" t="str">
        <f>IF(Agent01_Withdrawals!A210="","",Agent01_Withdrawals!J210)</f>
        <v/>
      </c>
      <c r="K203" s="40" t="str">
        <f>IF(Agent01_Withdrawals!A210="","",Agent01_Withdrawals!K210)</f>
        <v/>
      </c>
      <c r="L203" s="40" t="str">
        <f>IF(G203="","",IF(D203-G203&gt;=System_Config!$B$9,"✅ OK","⚠️ BREACH"))</f>
        <v/>
      </c>
      <c r="M203" s="40" t="str">
        <f>IFERROR(IF(Agent01_Withdrawals!A210="","",YEAR(Agent01_Withdrawals!D210)),"")</f>
        <v/>
      </c>
    </row>
    <row r="204" spans="1:13" ht="18" customHeight="1" x14ac:dyDescent="0.25">
      <c r="A204" s="40" t="str">
        <f>IF(Agent02_Withdrawals!A11="","",Agent02_Withdrawals!A11)</f>
        <v/>
      </c>
      <c r="B204" s="40" t="str">
        <f ca="1">IF(Agent02_Withdrawals!A11="","","WD"&amp;TEXT(204-3,"0000")&amp;"-"&amp;TEXT(TODAY(),"YYYYMMDD"))</f>
        <v/>
      </c>
      <c r="C204" s="40" t="str">
        <f>IF(Agent02_Withdrawals!A11="","",Agent02_Withdrawals!B11)</f>
        <v/>
      </c>
      <c r="D204" s="43" t="str">
        <f>IF(Agent02_Withdrawals!A11="","",Agent02_Withdrawals!C11)</f>
        <v/>
      </c>
      <c r="E204" s="41" t="str">
        <f>IF(Agent02_Withdrawals!A11="","",Agent02_Withdrawals!D11)</f>
        <v/>
      </c>
      <c r="F204" s="40" t="str">
        <f>IF(Agent02_Withdrawals!A11="","",Agent02_Withdrawals!F11)</f>
        <v/>
      </c>
      <c r="G204" s="42" t="str">
        <f>IF(Agent02_Withdrawals!A11="","",Agent02_Withdrawals!E11)</f>
        <v/>
      </c>
      <c r="H204" s="42" t="str">
        <f>IF(Agent02_Withdrawals!A11="","",Agent02_Withdrawals!G11)</f>
        <v/>
      </c>
      <c r="I204" s="40" t="str">
        <f>IF(Agent02_Withdrawals!A11="","",Agent02_Withdrawals!H11)</f>
        <v/>
      </c>
      <c r="J204" s="40" t="str">
        <f>IF(Agent02_Withdrawals!A11="","",Agent02_Withdrawals!J11)</f>
        <v/>
      </c>
      <c r="K204" s="40" t="str">
        <f>IF(Agent02_Withdrawals!A11="","",Agent02_Withdrawals!K11)</f>
        <v/>
      </c>
      <c r="L204" s="40" t="str">
        <f>IF(G204="","",IF(D204-G204&gt;=System_Config!$B$9,"✅ OK","⚠️ BREACH"))</f>
        <v/>
      </c>
      <c r="M204" s="40" t="str">
        <f>IFERROR(IF(Agent02_Withdrawals!A11="","",YEAR(Agent02_Withdrawals!D11)),"")</f>
        <v/>
      </c>
    </row>
    <row r="205" spans="1:13" ht="18" customHeight="1" x14ac:dyDescent="0.25">
      <c r="A205" s="40" t="str">
        <f>IF(Agent02_Withdrawals!A12="","",Agent02_Withdrawals!A12)</f>
        <v/>
      </c>
      <c r="B205" s="40" t="str">
        <f ca="1">IF(Agent02_Withdrawals!A12="","","WD"&amp;TEXT(205-3,"0000")&amp;"-"&amp;TEXT(TODAY(),"YYYYMMDD"))</f>
        <v/>
      </c>
      <c r="C205" s="40" t="str">
        <f>IF(Agent02_Withdrawals!A12="","",Agent02_Withdrawals!B12)</f>
        <v/>
      </c>
      <c r="D205" s="43" t="str">
        <f>IF(Agent02_Withdrawals!A12="","",Agent02_Withdrawals!C12)</f>
        <v/>
      </c>
      <c r="E205" s="41" t="str">
        <f>IF(Agent02_Withdrawals!A12="","",Agent02_Withdrawals!D12)</f>
        <v/>
      </c>
      <c r="F205" s="40" t="str">
        <f>IF(Agent02_Withdrawals!A12="","",Agent02_Withdrawals!F12)</f>
        <v/>
      </c>
      <c r="G205" s="42" t="str">
        <f>IF(Agent02_Withdrawals!A12="","",Agent02_Withdrawals!E12)</f>
        <v/>
      </c>
      <c r="H205" s="42" t="str">
        <f>IF(Agent02_Withdrawals!A12="","",Agent02_Withdrawals!G12)</f>
        <v/>
      </c>
      <c r="I205" s="40" t="str">
        <f>IF(Agent02_Withdrawals!A12="","",Agent02_Withdrawals!H12)</f>
        <v/>
      </c>
      <c r="J205" s="40" t="str">
        <f>IF(Agent02_Withdrawals!A12="","",Agent02_Withdrawals!J12)</f>
        <v/>
      </c>
      <c r="K205" s="40" t="str">
        <f>IF(Agent02_Withdrawals!A12="","",Agent02_Withdrawals!K12)</f>
        <v/>
      </c>
      <c r="L205" s="40" t="str">
        <f>IF(G205="","",IF(D205-G205&gt;=System_Config!$B$9,"✅ OK","⚠️ BREACH"))</f>
        <v/>
      </c>
      <c r="M205" s="40" t="str">
        <f>IFERROR(IF(Agent02_Withdrawals!A12="","",YEAR(Agent02_Withdrawals!D12)),"")</f>
        <v/>
      </c>
    </row>
    <row r="206" spans="1:13" ht="18" customHeight="1" x14ac:dyDescent="0.25">
      <c r="A206" s="40" t="str">
        <f>IF(Agent02_Withdrawals!A13="","",Agent02_Withdrawals!A13)</f>
        <v/>
      </c>
      <c r="B206" s="40" t="str">
        <f ca="1">IF(Agent02_Withdrawals!A13="","","WD"&amp;TEXT(206-3,"0000")&amp;"-"&amp;TEXT(TODAY(),"YYYYMMDD"))</f>
        <v/>
      </c>
      <c r="C206" s="40" t="str">
        <f>IF(Agent02_Withdrawals!A13="","",Agent02_Withdrawals!B13)</f>
        <v/>
      </c>
      <c r="D206" s="43" t="str">
        <f>IF(Agent02_Withdrawals!A13="","",Agent02_Withdrawals!C13)</f>
        <v/>
      </c>
      <c r="E206" s="41" t="str">
        <f>IF(Agent02_Withdrawals!A13="","",Agent02_Withdrawals!D13)</f>
        <v/>
      </c>
      <c r="F206" s="40" t="str">
        <f>IF(Agent02_Withdrawals!A13="","",Agent02_Withdrawals!F13)</f>
        <v/>
      </c>
      <c r="G206" s="42" t="str">
        <f>IF(Agent02_Withdrawals!A13="","",Agent02_Withdrawals!E13)</f>
        <v/>
      </c>
      <c r="H206" s="42" t="str">
        <f>IF(Agent02_Withdrawals!A13="","",Agent02_Withdrawals!G13)</f>
        <v/>
      </c>
      <c r="I206" s="40" t="str">
        <f>IF(Agent02_Withdrawals!A13="","",Agent02_Withdrawals!H13)</f>
        <v/>
      </c>
      <c r="J206" s="40" t="str">
        <f>IF(Agent02_Withdrawals!A13="","",Agent02_Withdrawals!J13)</f>
        <v/>
      </c>
      <c r="K206" s="40" t="str">
        <f>IF(Agent02_Withdrawals!A13="","",Agent02_Withdrawals!K13)</f>
        <v/>
      </c>
      <c r="L206" s="40" t="str">
        <f>IF(G206="","",IF(D206-G206&gt;=System_Config!$B$9,"✅ OK","⚠️ BREACH"))</f>
        <v/>
      </c>
      <c r="M206" s="40" t="str">
        <f>IFERROR(IF(Agent02_Withdrawals!A13="","",YEAR(Agent02_Withdrawals!D13)),"")</f>
        <v/>
      </c>
    </row>
    <row r="207" spans="1:13" ht="18" customHeight="1" x14ac:dyDescent="0.25">
      <c r="A207" s="40" t="str">
        <f>IF(Agent02_Withdrawals!A14="","",Agent02_Withdrawals!A14)</f>
        <v/>
      </c>
      <c r="B207" s="40" t="str">
        <f ca="1">IF(Agent02_Withdrawals!A14="","","WD"&amp;TEXT(207-3,"0000")&amp;"-"&amp;TEXT(TODAY(),"YYYYMMDD"))</f>
        <v/>
      </c>
      <c r="C207" s="40" t="str">
        <f>IF(Agent02_Withdrawals!A14="","",Agent02_Withdrawals!B14)</f>
        <v/>
      </c>
      <c r="D207" s="43" t="str">
        <f>IF(Agent02_Withdrawals!A14="","",Agent02_Withdrawals!C14)</f>
        <v/>
      </c>
      <c r="E207" s="41" t="str">
        <f>IF(Agent02_Withdrawals!A14="","",Agent02_Withdrawals!D14)</f>
        <v/>
      </c>
      <c r="F207" s="40" t="str">
        <f>IF(Agent02_Withdrawals!A14="","",Agent02_Withdrawals!F14)</f>
        <v/>
      </c>
      <c r="G207" s="42" t="str">
        <f>IF(Agent02_Withdrawals!A14="","",Agent02_Withdrawals!E14)</f>
        <v/>
      </c>
      <c r="H207" s="42" t="str">
        <f>IF(Agent02_Withdrawals!A14="","",Agent02_Withdrawals!G14)</f>
        <v/>
      </c>
      <c r="I207" s="40" t="str">
        <f>IF(Agent02_Withdrawals!A14="","",Agent02_Withdrawals!H14)</f>
        <v/>
      </c>
      <c r="J207" s="40" t="str">
        <f>IF(Agent02_Withdrawals!A14="","",Agent02_Withdrawals!J14)</f>
        <v/>
      </c>
      <c r="K207" s="40" t="str">
        <f>IF(Agent02_Withdrawals!A14="","",Agent02_Withdrawals!K14)</f>
        <v/>
      </c>
      <c r="L207" s="40" t="str">
        <f>IF(G207="","",IF(D207-G207&gt;=System_Config!$B$9,"✅ OK","⚠️ BREACH"))</f>
        <v/>
      </c>
      <c r="M207" s="40" t="str">
        <f>IFERROR(IF(Agent02_Withdrawals!A14="","",YEAR(Agent02_Withdrawals!D14)),"")</f>
        <v/>
      </c>
    </row>
    <row r="208" spans="1:13" ht="18" customHeight="1" x14ac:dyDescent="0.25">
      <c r="A208" s="40" t="str">
        <f>IF(Agent02_Withdrawals!A15="","",Agent02_Withdrawals!A15)</f>
        <v/>
      </c>
      <c r="B208" s="40" t="str">
        <f ca="1">IF(Agent02_Withdrawals!A15="","","WD"&amp;TEXT(208-3,"0000")&amp;"-"&amp;TEXT(TODAY(),"YYYYMMDD"))</f>
        <v/>
      </c>
      <c r="C208" s="40" t="str">
        <f>IF(Agent02_Withdrawals!A15="","",Agent02_Withdrawals!B15)</f>
        <v/>
      </c>
      <c r="D208" s="43" t="str">
        <f>IF(Agent02_Withdrawals!A15="","",Agent02_Withdrawals!C15)</f>
        <v/>
      </c>
      <c r="E208" s="41" t="str">
        <f>IF(Agent02_Withdrawals!A15="","",Agent02_Withdrawals!D15)</f>
        <v/>
      </c>
      <c r="F208" s="40" t="str">
        <f>IF(Agent02_Withdrawals!A15="","",Agent02_Withdrawals!F15)</f>
        <v/>
      </c>
      <c r="G208" s="42" t="str">
        <f>IF(Agent02_Withdrawals!A15="","",Agent02_Withdrawals!E15)</f>
        <v/>
      </c>
      <c r="H208" s="42" t="str">
        <f>IF(Agent02_Withdrawals!A15="","",Agent02_Withdrawals!G15)</f>
        <v/>
      </c>
      <c r="I208" s="40" t="str">
        <f>IF(Agent02_Withdrawals!A15="","",Agent02_Withdrawals!H15)</f>
        <v/>
      </c>
      <c r="J208" s="40" t="str">
        <f>IF(Agent02_Withdrawals!A15="","",Agent02_Withdrawals!J15)</f>
        <v/>
      </c>
      <c r="K208" s="40" t="str">
        <f>IF(Agent02_Withdrawals!A15="","",Agent02_Withdrawals!K15)</f>
        <v/>
      </c>
      <c r="L208" s="40" t="str">
        <f>IF(G208="","",IF(D208-G208&gt;=System_Config!$B$9,"✅ OK","⚠️ BREACH"))</f>
        <v/>
      </c>
      <c r="M208" s="40" t="str">
        <f>IFERROR(IF(Agent02_Withdrawals!A15="","",YEAR(Agent02_Withdrawals!D15)),"")</f>
        <v/>
      </c>
    </row>
    <row r="209" spans="1:13" ht="18" customHeight="1" x14ac:dyDescent="0.25">
      <c r="A209" s="40" t="str">
        <f>IF(Agent02_Withdrawals!A16="","",Agent02_Withdrawals!A16)</f>
        <v/>
      </c>
      <c r="B209" s="40" t="str">
        <f ca="1">IF(Agent02_Withdrawals!A16="","","WD"&amp;TEXT(209-3,"0000")&amp;"-"&amp;TEXT(TODAY(),"YYYYMMDD"))</f>
        <v/>
      </c>
      <c r="C209" s="40" t="str">
        <f>IF(Agent02_Withdrawals!A16="","",Agent02_Withdrawals!B16)</f>
        <v/>
      </c>
      <c r="D209" s="43" t="str">
        <f>IF(Agent02_Withdrawals!A16="","",Agent02_Withdrawals!C16)</f>
        <v/>
      </c>
      <c r="E209" s="41" t="str">
        <f>IF(Agent02_Withdrawals!A16="","",Agent02_Withdrawals!D16)</f>
        <v/>
      </c>
      <c r="F209" s="40" t="str">
        <f>IF(Agent02_Withdrawals!A16="","",Agent02_Withdrawals!F16)</f>
        <v/>
      </c>
      <c r="G209" s="42" t="str">
        <f>IF(Agent02_Withdrawals!A16="","",Agent02_Withdrawals!E16)</f>
        <v/>
      </c>
      <c r="H209" s="42" t="str">
        <f>IF(Agent02_Withdrawals!A16="","",Agent02_Withdrawals!G16)</f>
        <v/>
      </c>
      <c r="I209" s="40" t="str">
        <f>IF(Agent02_Withdrawals!A16="","",Agent02_Withdrawals!H16)</f>
        <v/>
      </c>
      <c r="J209" s="40" t="str">
        <f>IF(Agent02_Withdrawals!A16="","",Agent02_Withdrawals!J16)</f>
        <v/>
      </c>
      <c r="K209" s="40" t="str">
        <f>IF(Agent02_Withdrawals!A16="","",Agent02_Withdrawals!K16)</f>
        <v/>
      </c>
      <c r="L209" s="40" t="str">
        <f>IF(G209="","",IF(D209-G209&gt;=System_Config!$B$9,"✅ OK","⚠️ BREACH"))</f>
        <v/>
      </c>
      <c r="M209" s="40" t="str">
        <f>IFERROR(IF(Agent02_Withdrawals!A16="","",YEAR(Agent02_Withdrawals!D16)),"")</f>
        <v/>
      </c>
    </row>
    <row r="210" spans="1:13" ht="18" customHeight="1" x14ac:dyDescent="0.25">
      <c r="A210" s="40" t="str">
        <f>IF(Agent02_Withdrawals!A17="","",Agent02_Withdrawals!A17)</f>
        <v/>
      </c>
      <c r="B210" s="40" t="str">
        <f ca="1">IF(Agent02_Withdrawals!A17="","","WD"&amp;TEXT(210-3,"0000")&amp;"-"&amp;TEXT(TODAY(),"YYYYMMDD"))</f>
        <v/>
      </c>
      <c r="C210" s="40" t="str">
        <f>IF(Agent02_Withdrawals!A17="","",Agent02_Withdrawals!B17)</f>
        <v/>
      </c>
      <c r="D210" s="43" t="str">
        <f>IF(Agent02_Withdrawals!A17="","",Agent02_Withdrawals!C17)</f>
        <v/>
      </c>
      <c r="E210" s="41" t="str">
        <f>IF(Agent02_Withdrawals!A17="","",Agent02_Withdrawals!D17)</f>
        <v/>
      </c>
      <c r="F210" s="40" t="str">
        <f>IF(Agent02_Withdrawals!A17="","",Agent02_Withdrawals!F17)</f>
        <v/>
      </c>
      <c r="G210" s="42" t="str">
        <f>IF(Agent02_Withdrawals!A17="","",Agent02_Withdrawals!E17)</f>
        <v/>
      </c>
      <c r="H210" s="42" t="str">
        <f>IF(Agent02_Withdrawals!A17="","",Agent02_Withdrawals!G17)</f>
        <v/>
      </c>
      <c r="I210" s="40" t="str">
        <f>IF(Agent02_Withdrawals!A17="","",Agent02_Withdrawals!H17)</f>
        <v/>
      </c>
      <c r="J210" s="40" t="str">
        <f>IF(Agent02_Withdrawals!A17="","",Agent02_Withdrawals!J17)</f>
        <v/>
      </c>
      <c r="K210" s="40" t="str">
        <f>IF(Agent02_Withdrawals!A17="","",Agent02_Withdrawals!K17)</f>
        <v/>
      </c>
      <c r="L210" s="40" t="str">
        <f>IF(G210="","",IF(D210-G210&gt;=System_Config!$B$9,"✅ OK","⚠️ BREACH"))</f>
        <v/>
      </c>
      <c r="M210" s="40" t="str">
        <f>IFERROR(IF(Agent02_Withdrawals!A17="","",YEAR(Agent02_Withdrawals!D17)),"")</f>
        <v/>
      </c>
    </row>
    <row r="211" spans="1:13" ht="18" customHeight="1" x14ac:dyDescent="0.25">
      <c r="A211" s="40" t="str">
        <f>IF(Agent02_Withdrawals!A18="","",Agent02_Withdrawals!A18)</f>
        <v/>
      </c>
      <c r="B211" s="40" t="str">
        <f ca="1">IF(Agent02_Withdrawals!A18="","","WD"&amp;TEXT(211-3,"0000")&amp;"-"&amp;TEXT(TODAY(),"YYYYMMDD"))</f>
        <v/>
      </c>
      <c r="C211" s="40" t="str">
        <f>IF(Agent02_Withdrawals!A18="","",Agent02_Withdrawals!B18)</f>
        <v/>
      </c>
      <c r="D211" s="43" t="str">
        <f>IF(Agent02_Withdrawals!A18="","",Agent02_Withdrawals!C18)</f>
        <v/>
      </c>
      <c r="E211" s="41" t="str">
        <f>IF(Agent02_Withdrawals!A18="","",Agent02_Withdrawals!D18)</f>
        <v/>
      </c>
      <c r="F211" s="40" t="str">
        <f>IF(Agent02_Withdrawals!A18="","",Agent02_Withdrawals!F18)</f>
        <v/>
      </c>
      <c r="G211" s="42" t="str">
        <f>IF(Agent02_Withdrawals!A18="","",Agent02_Withdrawals!E18)</f>
        <v/>
      </c>
      <c r="H211" s="42" t="str">
        <f>IF(Agent02_Withdrawals!A18="","",Agent02_Withdrawals!G18)</f>
        <v/>
      </c>
      <c r="I211" s="40" t="str">
        <f>IF(Agent02_Withdrawals!A18="","",Agent02_Withdrawals!H18)</f>
        <v/>
      </c>
      <c r="J211" s="40" t="str">
        <f>IF(Agent02_Withdrawals!A18="","",Agent02_Withdrawals!J18)</f>
        <v/>
      </c>
      <c r="K211" s="40" t="str">
        <f>IF(Agent02_Withdrawals!A18="","",Agent02_Withdrawals!K18)</f>
        <v/>
      </c>
      <c r="L211" s="40" t="str">
        <f>IF(G211="","",IF(D211-G211&gt;=System_Config!$B$9,"✅ OK","⚠️ BREACH"))</f>
        <v/>
      </c>
      <c r="M211" s="40" t="str">
        <f>IFERROR(IF(Agent02_Withdrawals!A18="","",YEAR(Agent02_Withdrawals!D18)),"")</f>
        <v/>
      </c>
    </row>
    <row r="212" spans="1:13" ht="18" customHeight="1" x14ac:dyDescent="0.25">
      <c r="A212" s="40" t="str">
        <f>IF(Agent02_Withdrawals!A19="","",Agent02_Withdrawals!A19)</f>
        <v/>
      </c>
      <c r="B212" s="40" t="str">
        <f ca="1">IF(Agent02_Withdrawals!A19="","","WD"&amp;TEXT(212-3,"0000")&amp;"-"&amp;TEXT(TODAY(),"YYYYMMDD"))</f>
        <v/>
      </c>
      <c r="C212" s="40" t="str">
        <f>IF(Agent02_Withdrawals!A19="","",Agent02_Withdrawals!B19)</f>
        <v/>
      </c>
      <c r="D212" s="43" t="str">
        <f>IF(Agent02_Withdrawals!A19="","",Agent02_Withdrawals!C19)</f>
        <v/>
      </c>
      <c r="E212" s="41" t="str">
        <f>IF(Agent02_Withdrawals!A19="","",Agent02_Withdrawals!D19)</f>
        <v/>
      </c>
      <c r="F212" s="40" t="str">
        <f>IF(Agent02_Withdrawals!A19="","",Agent02_Withdrawals!F19)</f>
        <v/>
      </c>
      <c r="G212" s="42" t="str">
        <f>IF(Agent02_Withdrawals!A19="","",Agent02_Withdrawals!E19)</f>
        <v/>
      </c>
      <c r="H212" s="42" t="str">
        <f>IF(Agent02_Withdrawals!A19="","",Agent02_Withdrawals!G19)</f>
        <v/>
      </c>
      <c r="I212" s="40" t="str">
        <f>IF(Agent02_Withdrawals!A19="","",Agent02_Withdrawals!H19)</f>
        <v/>
      </c>
      <c r="J212" s="40" t="str">
        <f>IF(Agent02_Withdrawals!A19="","",Agent02_Withdrawals!J19)</f>
        <v/>
      </c>
      <c r="K212" s="40" t="str">
        <f>IF(Agent02_Withdrawals!A19="","",Agent02_Withdrawals!K19)</f>
        <v/>
      </c>
      <c r="L212" s="40" t="str">
        <f>IF(G212="","",IF(D212-G212&gt;=System_Config!$B$9,"✅ OK","⚠️ BREACH"))</f>
        <v/>
      </c>
      <c r="M212" s="40" t="str">
        <f>IFERROR(IF(Agent02_Withdrawals!A19="","",YEAR(Agent02_Withdrawals!D19)),"")</f>
        <v/>
      </c>
    </row>
    <row r="213" spans="1:13" ht="18" customHeight="1" x14ac:dyDescent="0.25">
      <c r="A213" s="40" t="str">
        <f>IF(Agent02_Withdrawals!A20="","",Agent02_Withdrawals!A20)</f>
        <v/>
      </c>
      <c r="B213" s="40" t="str">
        <f ca="1">IF(Agent02_Withdrawals!A20="","","WD"&amp;TEXT(213-3,"0000")&amp;"-"&amp;TEXT(TODAY(),"YYYYMMDD"))</f>
        <v/>
      </c>
      <c r="C213" s="40" t="str">
        <f>IF(Agent02_Withdrawals!A20="","",Agent02_Withdrawals!B20)</f>
        <v/>
      </c>
      <c r="D213" s="43" t="str">
        <f>IF(Agent02_Withdrawals!A20="","",Agent02_Withdrawals!C20)</f>
        <v/>
      </c>
      <c r="E213" s="41" t="str">
        <f>IF(Agent02_Withdrawals!A20="","",Agent02_Withdrawals!D20)</f>
        <v/>
      </c>
      <c r="F213" s="40" t="str">
        <f>IF(Agent02_Withdrawals!A20="","",Agent02_Withdrawals!F20)</f>
        <v/>
      </c>
      <c r="G213" s="42" t="str">
        <f>IF(Agent02_Withdrawals!A20="","",Agent02_Withdrawals!E20)</f>
        <v/>
      </c>
      <c r="H213" s="42" t="str">
        <f>IF(Agent02_Withdrawals!A20="","",Agent02_Withdrawals!G20)</f>
        <v/>
      </c>
      <c r="I213" s="40" t="str">
        <f>IF(Agent02_Withdrawals!A20="","",Agent02_Withdrawals!H20)</f>
        <v/>
      </c>
      <c r="J213" s="40" t="str">
        <f>IF(Agent02_Withdrawals!A20="","",Agent02_Withdrawals!J20)</f>
        <v/>
      </c>
      <c r="K213" s="40" t="str">
        <f>IF(Agent02_Withdrawals!A20="","",Agent02_Withdrawals!K20)</f>
        <v/>
      </c>
      <c r="L213" s="40" t="str">
        <f>IF(G213="","",IF(D213-G213&gt;=System_Config!$B$9,"✅ OK","⚠️ BREACH"))</f>
        <v/>
      </c>
      <c r="M213" s="40" t="str">
        <f>IFERROR(IF(Agent02_Withdrawals!A20="","",YEAR(Agent02_Withdrawals!D20)),"")</f>
        <v/>
      </c>
    </row>
    <row r="214" spans="1:13" ht="18" customHeight="1" x14ac:dyDescent="0.25">
      <c r="A214" s="40" t="str">
        <f>IF(Agent02_Withdrawals!A21="","",Agent02_Withdrawals!A21)</f>
        <v/>
      </c>
      <c r="B214" s="40" t="str">
        <f ca="1">IF(Agent02_Withdrawals!A21="","","WD"&amp;TEXT(214-3,"0000")&amp;"-"&amp;TEXT(TODAY(),"YYYYMMDD"))</f>
        <v/>
      </c>
      <c r="C214" s="40" t="str">
        <f>IF(Agent02_Withdrawals!A21="","",Agent02_Withdrawals!B21)</f>
        <v/>
      </c>
      <c r="D214" s="43" t="str">
        <f>IF(Agent02_Withdrawals!A21="","",Agent02_Withdrawals!C21)</f>
        <v/>
      </c>
      <c r="E214" s="41" t="str">
        <f>IF(Agent02_Withdrawals!A21="","",Agent02_Withdrawals!D21)</f>
        <v/>
      </c>
      <c r="F214" s="40" t="str">
        <f>IF(Agent02_Withdrawals!A21="","",Agent02_Withdrawals!F21)</f>
        <v/>
      </c>
      <c r="G214" s="42" t="str">
        <f>IF(Agent02_Withdrawals!A21="","",Agent02_Withdrawals!E21)</f>
        <v/>
      </c>
      <c r="H214" s="42" t="str">
        <f>IF(Agent02_Withdrawals!A21="","",Agent02_Withdrawals!G21)</f>
        <v/>
      </c>
      <c r="I214" s="40" t="str">
        <f>IF(Agent02_Withdrawals!A21="","",Agent02_Withdrawals!H21)</f>
        <v/>
      </c>
      <c r="J214" s="40" t="str">
        <f>IF(Agent02_Withdrawals!A21="","",Agent02_Withdrawals!J21)</f>
        <v/>
      </c>
      <c r="K214" s="40" t="str">
        <f>IF(Agent02_Withdrawals!A21="","",Agent02_Withdrawals!K21)</f>
        <v/>
      </c>
      <c r="L214" s="40" t="str">
        <f>IF(G214="","",IF(D214-G214&gt;=System_Config!$B$9,"✅ OK","⚠️ BREACH"))</f>
        <v/>
      </c>
      <c r="M214" s="40" t="str">
        <f>IFERROR(IF(Agent02_Withdrawals!A21="","",YEAR(Agent02_Withdrawals!D21)),"")</f>
        <v/>
      </c>
    </row>
    <row r="215" spans="1:13" ht="18" customHeight="1" x14ac:dyDescent="0.25">
      <c r="A215" s="40" t="str">
        <f>IF(Agent02_Withdrawals!A22="","",Agent02_Withdrawals!A22)</f>
        <v/>
      </c>
      <c r="B215" s="40" t="str">
        <f ca="1">IF(Agent02_Withdrawals!A22="","","WD"&amp;TEXT(215-3,"0000")&amp;"-"&amp;TEXT(TODAY(),"YYYYMMDD"))</f>
        <v/>
      </c>
      <c r="C215" s="40" t="str">
        <f>IF(Agent02_Withdrawals!A22="","",Agent02_Withdrawals!B22)</f>
        <v/>
      </c>
      <c r="D215" s="43" t="str">
        <f>IF(Agent02_Withdrawals!A22="","",Agent02_Withdrawals!C22)</f>
        <v/>
      </c>
      <c r="E215" s="41" t="str">
        <f>IF(Agent02_Withdrawals!A22="","",Agent02_Withdrawals!D22)</f>
        <v/>
      </c>
      <c r="F215" s="40" t="str">
        <f>IF(Agent02_Withdrawals!A22="","",Agent02_Withdrawals!F22)</f>
        <v/>
      </c>
      <c r="G215" s="42" t="str">
        <f>IF(Agent02_Withdrawals!A22="","",Agent02_Withdrawals!E22)</f>
        <v/>
      </c>
      <c r="H215" s="42" t="str">
        <f>IF(Agent02_Withdrawals!A22="","",Agent02_Withdrawals!G22)</f>
        <v/>
      </c>
      <c r="I215" s="40" t="str">
        <f>IF(Agent02_Withdrawals!A22="","",Agent02_Withdrawals!H22)</f>
        <v/>
      </c>
      <c r="J215" s="40" t="str">
        <f>IF(Agent02_Withdrawals!A22="","",Agent02_Withdrawals!J22)</f>
        <v/>
      </c>
      <c r="K215" s="40" t="str">
        <f>IF(Agent02_Withdrawals!A22="","",Agent02_Withdrawals!K22)</f>
        <v/>
      </c>
      <c r="L215" s="40" t="str">
        <f>IF(G215="","",IF(D215-G215&gt;=System_Config!$B$9,"✅ OK","⚠️ BREACH"))</f>
        <v/>
      </c>
      <c r="M215" s="40" t="str">
        <f>IFERROR(IF(Agent02_Withdrawals!A22="","",YEAR(Agent02_Withdrawals!D22)),"")</f>
        <v/>
      </c>
    </row>
    <row r="216" spans="1:13" ht="18" customHeight="1" x14ac:dyDescent="0.25">
      <c r="A216" s="40" t="str">
        <f>IF(Agent02_Withdrawals!A23="","",Agent02_Withdrawals!A23)</f>
        <v/>
      </c>
      <c r="B216" s="40" t="str">
        <f ca="1">IF(Agent02_Withdrawals!A23="","","WD"&amp;TEXT(216-3,"0000")&amp;"-"&amp;TEXT(TODAY(),"YYYYMMDD"))</f>
        <v/>
      </c>
      <c r="C216" s="40" t="str">
        <f>IF(Agent02_Withdrawals!A23="","",Agent02_Withdrawals!B23)</f>
        <v/>
      </c>
      <c r="D216" s="43" t="str">
        <f>IF(Agent02_Withdrawals!A23="","",Agent02_Withdrawals!C23)</f>
        <v/>
      </c>
      <c r="E216" s="41" t="str">
        <f>IF(Agent02_Withdrawals!A23="","",Agent02_Withdrawals!D23)</f>
        <v/>
      </c>
      <c r="F216" s="40" t="str">
        <f>IF(Agent02_Withdrawals!A23="","",Agent02_Withdrawals!F23)</f>
        <v/>
      </c>
      <c r="G216" s="42" t="str">
        <f>IF(Agent02_Withdrawals!A23="","",Agent02_Withdrawals!E23)</f>
        <v/>
      </c>
      <c r="H216" s="42" t="str">
        <f>IF(Agent02_Withdrawals!A23="","",Agent02_Withdrawals!G23)</f>
        <v/>
      </c>
      <c r="I216" s="40" t="str">
        <f>IF(Agent02_Withdrawals!A23="","",Agent02_Withdrawals!H23)</f>
        <v/>
      </c>
      <c r="J216" s="40" t="str">
        <f>IF(Agent02_Withdrawals!A23="","",Agent02_Withdrawals!J23)</f>
        <v/>
      </c>
      <c r="K216" s="40" t="str">
        <f>IF(Agent02_Withdrawals!A23="","",Agent02_Withdrawals!K23)</f>
        <v/>
      </c>
      <c r="L216" s="40" t="str">
        <f>IF(G216="","",IF(D216-G216&gt;=System_Config!$B$9,"✅ OK","⚠️ BREACH"))</f>
        <v/>
      </c>
      <c r="M216" s="40" t="str">
        <f>IFERROR(IF(Agent02_Withdrawals!A23="","",YEAR(Agent02_Withdrawals!D23)),"")</f>
        <v/>
      </c>
    </row>
    <row r="217" spans="1:13" ht="18" customHeight="1" x14ac:dyDescent="0.25">
      <c r="A217" s="40" t="str">
        <f>IF(Agent02_Withdrawals!A24="","",Agent02_Withdrawals!A24)</f>
        <v/>
      </c>
      <c r="B217" s="40" t="str">
        <f ca="1">IF(Agent02_Withdrawals!A24="","","WD"&amp;TEXT(217-3,"0000")&amp;"-"&amp;TEXT(TODAY(),"YYYYMMDD"))</f>
        <v/>
      </c>
      <c r="C217" s="40" t="str">
        <f>IF(Agent02_Withdrawals!A24="","",Agent02_Withdrawals!B24)</f>
        <v/>
      </c>
      <c r="D217" s="43" t="str">
        <f>IF(Agent02_Withdrawals!A24="","",Agent02_Withdrawals!C24)</f>
        <v/>
      </c>
      <c r="E217" s="41" t="str">
        <f>IF(Agent02_Withdrawals!A24="","",Agent02_Withdrawals!D24)</f>
        <v/>
      </c>
      <c r="F217" s="40" t="str">
        <f>IF(Agent02_Withdrawals!A24="","",Agent02_Withdrawals!F24)</f>
        <v/>
      </c>
      <c r="G217" s="42" t="str">
        <f>IF(Agent02_Withdrawals!A24="","",Agent02_Withdrawals!E24)</f>
        <v/>
      </c>
      <c r="H217" s="42" t="str">
        <f>IF(Agent02_Withdrawals!A24="","",Agent02_Withdrawals!G24)</f>
        <v/>
      </c>
      <c r="I217" s="40" t="str">
        <f>IF(Agent02_Withdrawals!A24="","",Agent02_Withdrawals!H24)</f>
        <v/>
      </c>
      <c r="J217" s="40" t="str">
        <f>IF(Agent02_Withdrawals!A24="","",Agent02_Withdrawals!J24)</f>
        <v/>
      </c>
      <c r="K217" s="40" t="str">
        <f>IF(Agent02_Withdrawals!A24="","",Agent02_Withdrawals!K24)</f>
        <v/>
      </c>
      <c r="L217" s="40" t="str">
        <f>IF(G217="","",IF(D217-G217&gt;=System_Config!$B$9,"✅ OK","⚠️ BREACH"))</f>
        <v/>
      </c>
      <c r="M217" s="40" t="str">
        <f>IFERROR(IF(Agent02_Withdrawals!A24="","",YEAR(Agent02_Withdrawals!D24)),"")</f>
        <v/>
      </c>
    </row>
    <row r="218" spans="1:13" ht="18" customHeight="1" x14ac:dyDescent="0.25">
      <c r="A218" s="40" t="str">
        <f>IF(Agent02_Withdrawals!A25="","",Agent02_Withdrawals!A25)</f>
        <v/>
      </c>
      <c r="B218" s="40" t="str">
        <f ca="1">IF(Agent02_Withdrawals!A25="","","WD"&amp;TEXT(218-3,"0000")&amp;"-"&amp;TEXT(TODAY(),"YYYYMMDD"))</f>
        <v/>
      </c>
      <c r="C218" s="40" t="str">
        <f>IF(Agent02_Withdrawals!A25="","",Agent02_Withdrawals!B25)</f>
        <v/>
      </c>
      <c r="D218" s="43" t="str">
        <f>IF(Agent02_Withdrawals!A25="","",Agent02_Withdrawals!C25)</f>
        <v/>
      </c>
      <c r="E218" s="41" t="str">
        <f>IF(Agent02_Withdrawals!A25="","",Agent02_Withdrawals!D25)</f>
        <v/>
      </c>
      <c r="F218" s="40" t="str">
        <f>IF(Agent02_Withdrawals!A25="","",Agent02_Withdrawals!F25)</f>
        <v/>
      </c>
      <c r="G218" s="42" t="str">
        <f>IF(Agent02_Withdrawals!A25="","",Agent02_Withdrawals!E25)</f>
        <v/>
      </c>
      <c r="H218" s="42" t="str">
        <f>IF(Agent02_Withdrawals!A25="","",Agent02_Withdrawals!G25)</f>
        <v/>
      </c>
      <c r="I218" s="40" t="str">
        <f>IF(Agent02_Withdrawals!A25="","",Agent02_Withdrawals!H25)</f>
        <v/>
      </c>
      <c r="J218" s="40" t="str">
        <f>IF(Agent02_Withdrawals!A25="","",Agent02_Withdrawals!J25)</f>
        <v/>
      </c>
      <c r="K218" s="40" t="str">
        <f>IF(Agent02_Withdrawals!A25="","",Agent02_Withdrawals!K25)</f>
        <v/>
      </c>
      <c r="L218" s="40" t="str">
        <f>IF(G218="","",IF(D218-G218&gt;=System_Config!$B$9,"✅ OK","⚠️ BREACH"))</f>
        <v/>
      </c>
      <c r="M218" s="40" t="str">
        <f>IFERROR(IF(Agent02_Withdrawals!A25="","",YEAR(Agent02_Withdrawals!D25)),"")</f>
        <v/>
      </c>
    </row>
    <row r="219" spans="1:13" ht="18" customHeight="1" x14ac:dyDescent="0.25">
      <c r="A219" s="40" t="str">
        <f>IF(Agent02_Withdrawals!A26="","",Agent02_Withdrawals!A26)</f>
        <v/>
      </c>
      <c r="B219" s="40" t="str">
        <f ca="1">IF(Agent02_Withdrawals!A26="","","WD"&amp;TEXT(219-3,"0000")&amp;"-"&amp;TEXT(TODAY(),"YYYYMMDD"))</f>
        <v/>
      </c>
      <c r="C219" s="40" t="str">
        <f>IF(Agent02_Withdrawals!A26="","",Agent02_Withdrawals!B26)</f>
        <v/>
      </c>
      <c r="D219" s="43" t="str">
        <f>IF(Agent02_Withdrawals!A26="","",Agent02_Withdrawals!C26)</f>
        <v/>
      </c>
      <c r="E219" s="41" t="str">
        <f>IF(Agent02_Withdrawals!A26="","",Agent02_Withdrawals!D26)</f>
        <v/>
      </c>
      <c r="F219" s="40" t="str">
        <f>IF(Agent02_Withdrawals!A26="","",Agent02_Withdrawals!F26)</f>
        <v/>
      </c>
      <c r="G219" s="42" t="str">
        <f>IF(Agent02_Withdrawals!A26="","",Agent02_Withdrawals!E26)</f>
        <v/>
      </c>
      <c r="H219" s="42" t="str">
        <f>IF(Agent02_Withdrawals!A26="","",Agent02_Withdrawals!G26)</f>
        <v/>
      </c>
      <c r="I219" s="40" t="str">
        <f>IF(Agent02_Withdrawals!A26="","",Agent02_Withdrawals!H26)</f>
        <v/>
      </c>
      <c r="J219" s="40" t="str">
        <f>IF(Agent02_Withdrawals!A26="","",Agent02_Withdrawals!J26)</f>
        <v/>
      </c>
      <c r="K219" s="40" t="str">
        <f>IF(Agent02_Withdrawals!A26="","",Agent02_Withdrawals!K26)</f>
        <v/>
      </c>
      <c r="L219" s="40" t="str">
        <f>IF(G219="","",IF(D219-G219&gt;=System_Config!$B$9,"✅ OK","⚠️ BREACH"))</f>
        <v/>
      </c>
      <c r="M219" s="40" t="str">
        <f>IFERROR(IF(Agent02_Withdrawals!A26="","",YEAR(Agent02_Withdrawals!D26)),"")</f>
        <v/>
      </c>
    </row>
    <row r="220" spans="1:13" ht="18" customHeight="1" x14ac:dyDescent="0.25">
      <c r="A220" s="40" t="str">
        <f>IF(Agent02_Withdrawals!A27="","",Agent02_Withdrawals!A27)</f>
        <v/>
      </c>
      <c r="B220" s="40" t="str">
        <f ca="1">IF(Agent02_Withdrawals!A27="","","WD"&amp;TEXT(220-3,"0000")&amp;"-"&amp;TEXT(TODAY(),"YYYYMMDD"))</f>
        <v/>
      </c>
      <c r="C220" s="40" t="str">
        <f>IF(Agent02_Withdrawals!A27="","",Agent02_Withdrawals!B27)</f>
        <v/>
      </c>
      <c r="D220" s="43" t="str">
        <f>IF(Agent02_Withdrawals!A27="","",Agent02_Withdrawals!C27)</f>
        <v/>
      </c>
      <c r="E220" s="41" t="str">
        <f>IF(Agent02_Withdrawals!A27="","",Agent02_Withdrawals!D27)</f>
        <v/>
      </c>
      <c r="F220" s="40" t="str">
        <f>IF(Agent02_Withdrawals!A27="","",Agent02_Withdrawals!F27)</f>
        <v/>
      </c>
      <c r="G220" s="42" t="str">
        <f>IF(Agent02_Withdrawals!A27="","",Agent02_Withdrawals!E27)</f>
        <v/>
      </c>
      <c r="H220" s="42" t="str">
        <f>IF(Agent02_Withdrawals!A27="","",Agent02_Withdrawals!G27)</f>
        <v/>
      </c>
      <c r="I220" s="40" t="str">
        <f>IF(Agent02_Withdrawals!A27="","",Agent02_Withdrawals!H27)</f>
        <v/>
      </c>
      <c r="J220" s="40" t="str">
        <f>IF(Agent02_Withdrawals!A27="","",Agent02_Withdrawals!J27)</f>
        <v/>
      </c>
      <c r="K220" s="40" t="str">
        <f>IF(Agent02_Withdrawals!A27="","",Agent02_Withdrawals!K27)</f>
        <v/>
      </c>
      <c r="L220" s="40" t="str">
        <f>IF(G220="","",IF(D220-G220&gt;=System_Config!$B$9,"✅ OK","⚠️ BREACH"))</f>
        <v/>
      </c>
      <c r="M220" s="40" t="str">
        <f>IFERROR(IF(Agent02_Withdrawals!A27="","",YEAR(Agent02_Withdrawals!D27)),"")</f>
        <v/>
      </c>
    </row>
    <row r="221" spans="1:13" ht="18" customHeight="1" x14ac:dyDescent="0.25">
      <c r="A221" s="40" t="str">
        <f>IF(Agent02_Withdrawals!A28="","",Agent02_Withdrawals!A28)</f>
        <v/>
      </c>
      <c r="B221" s="40" t="str">
        <f ca="1">IF(Agent02_Withdrawals!A28="","","WD"&amp;TEXT(221-3,"0000")&amp;"-"&amp;TEXT(TODAY(),"YYYYMMDD"))</f>
        <v/>
      </c>
      <c r="C221" s="40" t="str">
        <f>IF(Agent02_Withdrawals!A28="","",Agent02_Withdrawals!B28)</f>
        <v/>
      </c>
      <c r="D221" s="43" t="str">
        <f>IF(Agent02_Withdrawals!A28="","",Agent02_Withdrawals!C28)</f>
        <v/>
      </c>
      <c r="E221" s="41" t="str">
        <f>IF(Agent02_Withdrawals!A28="","",Agent02_Withdrawals!D28)</f>
        <v/>
      </c>
      <c r="F221" s="40" t="str">
        <f>IF(Agent02_Withdrawals!A28="","",Agent02_Withdrawals!F28)</f>
        <v/>
      </c>
      <c r="G221" s="42" t="str">
        <f>IF(Agent02_Withdrawals!A28="","",Agent02_Withdrawals!E28)</f>
        <v/>
      </c>
      <c r="H221" s="42" t="str">
        <f>IF(Agent02_Withdrawals!A28="","",Agent02_Withdrawals!G28)</f>
        <v/>
      </c>
      <c r="I221" s="40" t="str">
        <f>IF(Agent02_Withdrawals!A28="","",Agent02_Withdrawals!H28)</f>
        <v/>
      </c>
      <c r="J221" s="40" t="str">
        <f>IF(Agent02_Withdrawals!A28="","",Agent02_Withdrawals!J28)</f>
        <v/>
      </c>
      <c r="K221" s="40" t="str">
        <f>IF(Agent02_Withdrawals!A28="","",Agent02_Withdrawals!K28)</f>
        <v/>
      </c>
      <c r="L221" s="40" t="str">
        <f>IF(G221="","",IF(D221-G221&gt;=System_Config!$B$9,"✅ OK","⚠️ BREACH"))</f>
        <v/>
      </c>
      <c r="M221" s="40" t="str">
        <f>IFERROR(IF(Agent02_Withdrawals!A28="","",YEAR(Agent02_Withdrawals!D28)),"")</f>
        <v/>
      </c>
    </row>
    <row r="222" spans="1:13" ht="18" customHeight="1" x14ac:dyDescent="0.25">
      <c r="A222" s="40" t="str">
        <f>IF(Agent02_Withdrawals!A29="","",Agent02_Withdrawals!A29)</f>
        <v/>
      </c>
      <c r="B222" s="40" t="str">
        <f ca="1">IF(Agent02_Withdrawals!A29="","","WD"&amp;TEXT(222-3,"0000")&amp;"-"&amp;TEXT(TODAY(),"YYYYMMDD"))</f>
        <v/>
      </c>
      <c r="C222" s="40" t="str">
        <f>IF(Agent02_Withdrawals!A29="","",Agent02_Withdrawals!B29)</f>
        <v/>
      </c>
      <c r="D222" s="43" t="str">
        <f>IF(Agent02_Withdrawals!A29="","",Agent02_Withdrawals!C29)</f>
        <v/>
      </c>
      <c r="E222" s="41" t="str">
        <f>IF(Agent02_Withdrawals!A29="","",Agent02_Withdrawals!D29)</f>
        <v/>
      </c>
      <c r="F222" s="40" t="str">
        <f>IF(Agent02_Withdrawals!A29="","",Agent02_Withdrawals!F29)</f>
        <v/>
      </c>
      <c r="G222" s="42" t="str">
        <f>IF(Agent02_Withdrawals!A29="","",Agent02_Withdrawals!E29)</f>
        <v/>
      </c>
      <c r="H222" s="42" t="str">
        <f>IF(Agent02_Withdrawals!A29="","",Agent02_Withdrawals!G29)</f>
        <v/>
      </c>
      <c r="I222" s="40" t="str">
        <f>IF(Agent02_Withdrawals!A29="","",Agent02_Withdrawals!H29)</f>
        <v/>
      </c>
      <c r="J222" s="40" t="str">
        <f>IF(Agent02_Withdrawals!A29="","",Agent02_Withdrawals!J29)</f>
        <v/>
      </c>
      <c r="K222" s="40" t="str">
        <f>IF(Agent02_Withdrawals!A29="","",Agent02_Withdrawals!K29)</f>
        <v/>
      </c>
      <c r="L222" s="40" t="str">
        <f>IF(G222="","",IF(D222-G222&gt;=System_Config!$B$9,"✅ OK","⚠️ BREACH"))</f>
        <v/>
      </c>
      <c r="M222" s="40" t="str">
        <f>IFERROR(IF(Agent02_Withdrawals!A29="","",YEAR(Agent02_Withdrawals!D29)),"")</f>
        <v/>
      </c>
    </row>
    <row r="223" spans="1:13" ht="18" customHeight="1" x14ac:dyDescent="0.25">
      <c r="A223" s="40" t="str">
        <f>IF(Agent02_Withdrawals!A30="","",Agent02_Withdrawals!A30)</f>
        <v/>
      </c>
      <c r="B223" s="40" t="str">
        <f ca="1">IF(Agent02_Withdrawals!A30="","","WD"&amp;TEXT(223-3,"0000")&amp;"-"&amp;TEXT(TODAY(),"YYYYMMDD"))</f>
        <v/>
      </c>
      <c r="C223" s="40" t="str">
        <f>IF(Agent02_Withdrawals!A30="","",Agent02_Withdrawals!B30)</f>
        <v/>
      </c>
      <c r="D223" s="43" t="str">
        <f>IF(Agent02_Withdrawals!A30="","",Agent02_Withdrawals!C30)</f>
        <v/>
      </c>
      <c r="E223" s="41" t="str">
        <f>IF(Agent02_Withdrawals!A30="","",Agent02_Withdrawals!D30)</f>
        <v/>
      </c>
      <c r="F223" s="40" t="str">
        <f>IF(Agent02_Withdrawals!A30="","",Agent02_Withdrawals!F30)</f>
        <v/>
      </c>
      <c r="G223" s="42" t="str">
        <f>IF(Agent02_Withdrawals!A30="","",Agent02_Withdrawals!E30)</f>
        <v/>
      </c>
      <c r="H223" s="42" t="str">
        <f>IF(Agent02_Withdrawals!A30="","",Agent02_Withdrawals!G30)</f>
        <v/>
      </c>
      <c r="I223" s="40" t="str">
        <f>IF(Agent02_Withdrawals!A30="","",Agent02_Withdrawals!H30)</f>
        <v/>
      </c>
      <c r="J223" s="40" t="str">
        <f>IF(Agent02_Withdrawals!A30="","",Agent02_Withdrawals!J30)</f>
        <v/>
      </c>
      <c r="K223" s="40" t="str">
        <f>IF(Agent02_Withdrawals!A30="","",Agent02_Withdrawals!K30)</f>
        <v/>
      </c>
      <c r="L223" s="40" t="str">
        <f>IF(G223="","",IF(D223-G223&gt;=System_Config!$B$9,"✅ OK","⚠️ BREACH"))</f>
        <v/>
      </c>
      <c r="M223" s="40" t="str">
        <f>IFERROR(IF(Agent02_Withdrawals!A30="","",YEAR(Agent02_Withdrawals!D30)),"")</f>
        <v/>
      </c>
    </row>
    <row r="224" spans="1:13" ht="18" customHeight="1" x14ac:dyDescent="0.25">
      <c r="A224" s="40" t="str">
        <f>IF(Agent02_Withdrawals!A31="","",Agent02_Withdrawals!A31)</f>
        <v/>
      </c>
      <c r="B224" s="40" t="str">
        <f ca="1">IF(Agent02_Withdrawals!A31="","","WD"&amp;TEXT(224-3,"0000")&amp;"-"&amp;TEXT(TODAY(),"YYYYMMDD"))</f>
        <v/>
      </c>
      <c r="C224" s="40" t="str">
        <f>IF(Agent02_Withdrawals!A31="","",Agent02_Withdrawals!B31)</f>
        <v/>
      </c>
      <c r="D224" s="43" t="str">
        <f>IF(Agent02_Withdrawals!A31="","",Agent02_Withdrawals!C31)</f>
        <v/>
      </c>
      <c r="E224" s="41" t="str">
        <f>IF(Agent02_Withdrawals!A31="","",Agent02_Withdrawals!D31)</f>
        <v/>
      </c>
      <c r="F224" s="40" t="str">
        <f>IF(Agent02_Withdrawals!A31="","",Agent02_Withdrawals!F31)</f>
        <v/>
      </c>
      <c r="G224" s="42" t="str">
        <f>IF(Agent02_Withdrawals!A31="","",Agent02_Withdrawals!E31)</f>
        <v/>
      </c>
      <c r="H224" s="42" t="str">
        <f>IF(Agent02_Withdrawals!A31="","",Agent02_Withdrawals!G31)</f>
        <v/>
      </c>
      <c r="I224" s="40" t="str">
        <f>IF(Agent02_Withdrawals!A31="","",Agent02_Withdrawals!H31)</f>
        <v/>
      </c>
      <c r="J224" s="40" t="str">
        <f>IF(Agent02_Withdrawals!A31="","",Agent02_Withdrawals!J31)</f>
        <v/>
      </c>
      <c r="K224" s="40" t="str">
        <f>IF(Agent02_Withdrawals!A31="","",Agent02_Withdrawals!K31)</f>
        <v/>
      </c>
      <c r="L224" s="40" t="str">
        <f>IF(G224="","",IF(D224-G224&gt;=System_Config!$B$9,"✅ OK","⚠️ BREACH"))</f>
        <v/>
      </c>
      <c r="M224" s="40" t="str">
        <f>IFERROR(IF(Agent02_Withdrawals!A31="","",YEAR(Agent02_Withdrawals!D31)),"")</f>
        <v/>
      </c>
    </row>
    <row r="225" spans="1:13" ht="18" customHeight="1" x14ac:dyDescent="0.25">
      <c r="A225" s="40" t="str">
        <f>IF(Agent02_Withdrawals!A32="","",Agent02_Withdrawals!A32)</f>
        <v/>
      </c>
      <c r="B225" s="40" t="str">
        <f ca="1">IF(Agent02_Withdrawals!A32="","","WD"&amp;TEXT(225-3,"0000")&amp;"-"&amp;TEXT(TODAY(),"YYYYMMDD"))</f>
        <v/>
      </c>
      <c r="C225" s="40" t="str">
        <f>IF(Agent02_Withdrawals!A32="","",Agent02_Withdrawals!B32)</f>
        <v/>
      </c>
      <c r="D225" s="43" t="str">
        <f>IF(Agent02_Withdrawals!A32="","",Agent02_Withdrawals!C32)</f>
        <v/>
      </c>
      <c r="E225" s="41" t="str">
        <f>IF(Agent02_Withdrawals!A32="","",Agent02_Withdrawals!D32)</f>
        <v/>
      </c>
      <c r="F225" s="40" t="str">
        <f>IF(Agent02_Withdrawals!A32="","",Agent02_Withdrawals!F32)</f>
        <v/>
      </c>
      <c r="G225" s="42" t="str">
        <f>IF(Agent02_Withdrawals!A32="","",Agent02_Withdrawals!E32)</f>
        <v/>
      </c>
      <c r="H225" s="42" t="str">
        <f>IF(Agent02_Withdrawals!A32="","",Agent02_Withdrawals!G32)</f>
        <v/>
      </c>
      <c r="I225" s="40" t="str">
        <f>IF(Agent02_Withdrawals!A32="","",Agent02_Withdrawals!H32)</f>
        <v/>
      </c>
      <c r="J225" s="40" t="str">
        <f>IF(Agent02_Withdrawals!A32="","",Agent02_Withdrawals!J32)</f>
        <v/>
      </c>
      <c r="K225" s="40" t="str">
        <f>IF(Agent02_Withdrawals!A32="","",Agent02_Withdrawals!K32)</f>
        <v/>
      </c>
      <c r="L225" s="40" t="str">
        <f>IF(G225="","",IF(D225-G225&gt;=System_Config!$B$9,"✅ OK","⚠️ BREACH"))</f>
        <v/>
      </c>
      <c r="M225" s="40" t="str">
        <f>IFERROR(IF(Agent02_Withdrawals!A32="","",YEAR(Agent02_Withdrawals!D32)),"")</f>
        <v/>
      </c>
    </row>
    <row r="226" spans="1:13" ht="18" customHeight="1" x14ac:dyDescent="0.25">
      <c r="A226" s="40" t="str">
        <f>IF(Agent02_Withdrawals!A33="","",Agent02_Withdrawals!A33)</f>
        <v/>
      </c>
      <c r="B226" s="40" t="str">
        <f ca="1">IF(Agent02_Withdrawals!A33="","","WD"&amp;TEXT(226-3,"0000")&amp;"-"&amp;TEXT(TODAY(),"YYYYMMDD"))</f>
        <v/>
      </c>
      <c r="C226" s="40" t="str">
        <f>IF(Agent02_Withdrawals!A33="","",Agent02_Withdrawals!B33)</f>
        <v/>
      </c>
      <c r="D226" s="43" t="str">
        <f>IF(Agent02_Withdrawals!A33="","",Agent02_Withdrawals!C33)</f>
        <v/>
      </c>
      <c r="E226" s="41" t="str">
        <f>IF(Agent02_Withdrawals!A33="","",Agent02_Withdrawals!D33)</f>
        <v/>
      </c>
      <c r="F226" s="40" t="str">
        <f>IF(Agent02_Withdrawals!A33="","",Agent02_Withdrawals!F33)</f>
        <v/>
      </c>
      <c r="G226" s="42" t="str">
        <f>IF(Agent02_Withdrawals!A33="","",Agent02_Withdrawals!E33)</f>
        <v/>
      </c>
      <c r="H226" s="42" t="str">
        <f>IF(Agent02_Withdrawals!A33="","",Agent02_Withdrawals!G33)</f>
        <v/>
      </c>
      <c r="I226" s="40" t="str">
        <f>IF(Agent02_Withdrawals!A33="","",Agent02_Withdrawals!H33)</f>
        <v/>
      </c>
      <c r="J226" s="40" t="str">
        <f>IF(Agent02_Withdrawals!A33="","",Agent02_Withdrawals!J33)</f>
        <v/>
      </c>
      <c r="K226" s="40" t="str">
        <f>IF(Agent02_Withdrawals!A33="","",Agent02_Withdrawals!K33)</f>
        <v/>
      </c>
      <c r="L226" s="40" t="str">
        <f>IF(G226="","",IF(D226-G226&gt;=System_Config!$B$9,"✅ OK","⚠️ BREACH"))</f>
        <v/>
      </c>
      <c r="M226" s="40" t="str">
        <f>IFERROR(IF(Agent02_Withdrawals!A33="","",YEAR(Agent02_Withdrawals!D33)),"")</f>
        <v/>
      </c>
    </row>
    <row r="227" spans="1:13" ht="18" customHeight="1" x14ac:dyDescent="0.25">
      <c r="A227" s="40" t="str">
        <f>IF(Agent02_Withdrawals!A34="","",Agent02_Withdrawals!A34)</f>
        <v/>
      </c>
      <c r="B227" s="40" t="str">
        <f ca="1">IF(Agent02_Withdrawals!A34="","","WD"&amp;TEXT(227-3,"0000")&amp;"-"&amp;TEXT(TODAY(),"YYYYMMDD"))</f>
        <v/>
      </c>
      <c r="C227" s="40" t="str">
        <f>IF(Agent02_Withdrawals!A34="","",Agent02_Withdrawals!B34)</f>
        <v/>
      </c>
      <c r="D227" s="43" t="str">
        <f>IF(Agent02_Withdrawals!A34="","",Agent02_Withdrawals!C34)</f>
        <v/>
      </c>
      <c r="E227" s="41" t="str">
        <f>IF(Agent02_Withdrawals!A34="","",Agent02_Withdrawals!D34)</f>
        <v/>
      </c>
      <c r="F227" s="40" t="str">
        <f>IF(Agent02_Withdrawals!A34="","",Agent02_Withdrawals!F34)</f>
        <v/>
      </c>
      <c r="G227" s="42" t="str">
        <f>IF(Agent02_Withdrawals!A34="","",Agent02_Withdrawals!E34)</f>
        <v/>
      </c>
      <c r="H227" s="42" t="str">
        <f>IF(Agent02_Withdrawals!A34="","",Agent02_Withdrawals!G34)</f>
        <v/>
      </c>
      <c r="I227" s="40" t="str">
        <f>IF(Agent02_Withdrawals!A34="","",Agent02_Withdrawals!H34)</f>
        <v/>
      </c>
      <c r="J227" s="40" t="str">
        <f>IF(Agent02_Withdrawals!A34="","",Agent02_Withdrawals!J34)</f>
        <v/>
      </c>
      <c r="K227" s="40" t="str">
        <f>IF(Agent02_Withdrawals!A34="","",Agent02_Withdrawals!K34)</f>
        <v/>
      </c>
      <c r="L227" s="40" t="str">
        <f>IF(G227="","",IF(D227-G227&gt;=System_Config!$B$9,"✅ OK","⚠️ BREACH"))</f>
        <v/>
      </c>
      <c r="M227" s="40" t="str">
        <f>IFERROR(IF(Agent02_Withdrawals!A34="","",YEAR(Agent02_Withdrawals!D34)),"")</f>
        <v/>
      </c>
    </row>
    <row r="228" spans="1:13" ht="18" customHeight="1" x14ac:dyDescent="0.25">
      <c r="A228" s="40" t="str">
        <f>IF(Agent02_Withdrawals!A35="","",Agent02_Withdrawals!A35)</f>
        <v/>
      </c>
      <c r="B228" s="40" t="str">
        <f ca="1">IF(Agent02_Withdrawals!A35="","","WD"&amp;TEXT(228-3,"0000")&amp;"-"&amp;TEXT(TODAY(),"YYYYMMDD"))</f>
        <v/>
      </c>
      <c r="C228" s="40" t="str">
        <f>IF(Agent02_Withdrawals!A35="","",Agent02_Withdrawals!B35)</f>
        <v/>
      </c>
      <c r="D228" s="43" t="str">
        <f>IF(Agent02_Withdrawals!A35="","",Agent02_Withdrawals!C35)</f>
        <v/>
      </c>
      <c r="E228" s="41" t="str">
        <f>IF(Agent02_Withdrawals!A35="","",Agent02_Withdrawals!D35)</f>
        <v/>
      </c>
      <c r="F228" s="40" t="str">
        <f>IF(Agent02_Withdrawals!A35="","",Agent02_Withdrawals!F35)</f>
        <v/>
      </c>
      <c r="G228" s="42" t="str">
        <f>IF(Agent02_Withdrawals!A35="","",Agent02_Withdrawals!E35)</f>
        <v/>
      </c>
      <c r="H228" s="42" t="str">
        <f>IF(Agent02_Withdrawals!A35="","",Agent02_Withdrawals!G35)</f>
        <v/>
      </c>
      <c r="I228" s="40" t="str">
        <f>IF(Agent02_Withdrawals!A35="","",Agent02_Withdrawals!H35)</f>
        <v/>
      </c>
      <c r="J228" s="40" t="str">
        <f>IF(Agent02_Withdrawals!A35="","",Agent02_Withdrawals!J35)</f>
        <v/>
      </c>
      <c r="K228" s="40" t="str">
        <f>IF(Agent02_Withdrawals!A35="","",Agent02_Withdrawals!K35)</f>
        <v/>
      </c>
      <c r="L228" s="40" t="str">
        <f>IF(G228="","",IF(D228-G228&gt;=System_Config!$B$9,"✅ OK","⚠️ BREACH"))</f>
        <v/>
      </c>
      <c r="M228" s="40" t="str">
        <f>IFERROR(IF(Agent02_Withdrawals!A35="","",YEAR(Agent02_Withdrawals!D35)),"")</f>
        <v/>
      </c>
    </row>
    <row r="229" spans="1:13" ht="18" customHeight="1" x14ac:dyDescent="0.25">
      <c r="A229" s="40" t="str">
        <f>IF(Agent02_Withdrawals!A36="","",Agent02_Withdrawals!A36)</f>
        <v/>
      </c>
      <c r="B229" s="40" t="str">
        <f ca="1">IF(Agent02_Withdrawals!A36="","","WD"&amp;TEXT(229-3,"0000")&amp;"-"&amp;TEXT(TODAY(),"YYYYMMDD"))</f>
        <v/>
      </c>
      <c r="C229" s="40" t="str">
        <f>IF(Agent02_Withdrawals!A36="","",Agent02_Withdrawals!B36)</f>
        <v/>
      </c>
      <c r="D229" s="43" t="str">
        <f>IF(Agent02_Withdrawals!A36="","",Agent02_Withdrawals!C36)</f>
        <v/>
      </c>
      <c r="E229" s="41" t="str">
        <f>IF(Agent02_Withdrawals!A36="","",Agent02_Withdrawals!D36)</f>
        <v/>
      </c>
      <c r="F229" s="40" t="str">
        <f>IF(Agent02_Withdrawals!A36="","",Agent02_Withdrawals!F36)</f>
        <v/>
      </c>
      <c r="G229" s="42" t="str">
        <f>IF(Agent02_Withdrawals!A36="","",Agent02_Withdrawals!E36)</f>
        <v/>
      </c>
      <c r="H229" s="42" t="str">
        <f>IF(Agent02_Withdrawals!A36="","",Agent02_Withdrawals!G36)</f>
        <v/>
      </c>
      <c r="I229" s="40" t="str">
        <f>IF(Agent02_Withdrawals!A36="","",Agent02_Withdrawals!H36)</f>
        <v/>
      </c>
      <c r="J229" s="40" t="str">
        <f>IF(Agent02_Withdrawals!A36="","",Agent02_Withdrawals!J36)</f>
        <v/>
      </c>
      <c r="K229" s="40" t="str">
        <f>IF(Agent02_Withdrawals!A36="","",Agent02_Withdrawals!K36)</f>
        <v/>
      </c>
      <c r="L229" s="40" t="str">
        <f>IF(G229="","",IF(D229-G229&gt;=System_Config!$B$9,"✅ OK","⚠️ BREACH"))</f>
        <v/>
      </c>
      <c r="M229" s="40" t="str">
        <f>IFERROR(IF(Agent02_Withdrawals!A36="","",YEAR(Agent02_Withdrawals!D36)),"")</f>
        <v/>
      </c>
    </row>
    <row r="230" spans="1:13" ht="18" customHeight="1" x14ac:dyDescent="0.25">
      <c r="A230" s="40" t="str">
        <f>IF(Agent02_Withdrawals!A37="","",Agent02_Withdrawals!A37)</f>
        <v/>
      </c>
      <c r="B230" s="40" t="str">
        <f ca="1">IF(Agent02_Withdrawals!A37="","","WD"&amp;TEXT(230-3,"0000")&amp;"-"&amp;TEXT(TODAY(),"YYYYMMDD"))</f>
        <v/>
      </c>
      <c r="C230" s="40" t="str">
        <f>IF(Agent02_Withdrawals!A37="","",Agent02_Withdrawals!B37)</f>
        <v/>
      </c>
      <c r="D230" s="43" t="str">
        <f>IF(Agent02_Withdrawals!A37="","",Agent02_Withdrawals!C37)</f>
        <v/>
      </c>
      <c r="E230" s="41" t="str">
        <f>IF(Agent02_Withdrawals!A37="","",Agent02_Withdrawals!D37)</f>
        <v/>
      </c>
      <c r="F230" s="40" t="str">
        <f>IF(Agent02_Withdrawals!A37="","",Agent02_Withdrawals!F37)</f>
        <v/>
      </c>
      <c r="G230" s="42" t="str">
        <f>IF(Agent02_Withdrawals!A37="","",Agent02_Withdrawals!E37)</f>
        <v/>
      </c>
      <c r="H230" s="42" t="str">
        <f>IF(Agent02_Withdrawals!A37="","",Agent02_Withdrawals!G37)</f>
        <v/>
      </c>
      <c r="I230" s="40" t="str">
        <f>IF(Agent02_Withdrawals!A37="","",Agent02_Withdrawals!H37)</f>
        <v/>
      </c>
      <c r="J230" s="40" t="str">
        <f>IF(Agent02_Withdrawals!A37="","",Agent02_Withdrawals!J37)</f>
        <v/>
      </c>
      <c r="K230" s="40" t="str">
        <f>IF(Agent02_Withdrawals!A37="","",Agent02_Withdrawals!K37)</f>
        <v/>
      </c>
      <c r="L230" s="40" t="str">
        <f>IF(G230="","",IF(D230-G230&gt;=System_Config!$B$9,"✅ OK","⚠️ BREACH"))</f>
        <v/>
      </c>
      <c r="M230" s="40" t="str">
        <f>IFERROR(IF(Agent02_Withdrawals!A37="","",YEAR(Agent02_Withdrawals!D37)),"")</f>
        <v/>
      </c>
    </row>
    <row r="231" spans="1:13" ht="18" customHeight="1" x14ac:dyDescent="0.25">
      <c r="A231" s="40" t="str">
        <f>IF(Agent02_Withdrawals!A38="","",Agent02_Withdrawals!A38)</f>
        <v/>
      </c>
      <c r="B231" s="40" t="str">
        <f ca="1">IF(Agent02_Withdrawals!A38="","","WD"&amp;TEXT(231-3,"0000")&amp;"-"&amp;TEXT(TODAY(),"YYYYMMDD"))</f>
        <v/>
      </c>
      <c r="C231" s="40" t="str">
        <f>IF(Agent02_Withdrawals!A38="","",Agent02_Withdrawals!B38)</f>
        <v/>
      </c>
      <c r="D231" s="43" t="str">
        <f>IF(Agent02_Withdrawals!A38="","",Agent02_Withdrawals!C38)</f>
        <v/>
      </c>
      <c r="E231" s="41" t="str">
        <f>IF(Agent02_Withdrawals!A38="","",Agent02_Withdrawals!D38)</f>
        <v/>
      </c>
      <c r="F231" s="40" t="str">
        <f>IF(Agent02_Withdrawals!A38="","",Agent02_Withdrawals!F38)</f>
        <v/>
      </c>
      <c r="G231" s="42" t="str">
        <f>IF(Agent02_Withdrawals!A38="","",Agent02_Withdrawals!E38)</f>
        <v/>
      </c>
      <c r="H231" s="42" t="str">
        <f>IF(Agent02_Withdrawals!A38="","",Agent02_Withdrawals!G38)</f>
        <v/>
      </c>
      <c r="I231" s="40" t="str">
        <f>IF(Agent02_Withdrawals!A38="","",Agent02_Withdrawals!H38)</f>
        <v/>
      </c>
      <c r="J231" s="40" t="str">
        <f>IF(Agent02_Withdrawals!A38="","",Agent02_Withdrawals!J38)</f>
        <v/>
      </c>
      <c r="K231" s="40" t="str">
        <f>IF(Agent02_Withdrawals!A38="","",Agent02_Withdrawals!K38)</f>
        <v/>
      </c>
      <c r="L231" s="40" t="str">
        <f>IF(G231="","",IF(D231-G231&gt;=System_Config!$B$9,"✅ OK","⚠️ BREACH"))</f>
        <v/>
      </c>
      <c r="M231" s="40" t="str">
        <f>IFERROR(IF(Agent02_Withdrawals!A38="","",YEAR(Agent02_Withdrawals!D38)),"")</f>
        <v/>
      </c>
    </row>
    <row r="232" spans="1:13" ht="18" customHeight="1" x14ac:dyDescent="0.25">
      <c r="A232" s="40" t="str">
        <f>IF(Agent02_Withdrawals!A39="","",Agent02_Withdrawals!A39)</f>
        <v/>
      </c>
      <c r="B232" s="40" t="str">
        <f ca="1">IF(Agent02_Withdrawals!A39="","","WD"&amp;TEXT(232-3,"0000")&amp;"-"&amp;TEXT(TODAY(),"YYYYMMDD"))</f>
        <v/>
      </c>
      <c r="C232" s="40" t="str">
        <f>IF(Agent02_Withdrawals!A39="","",Agent02_Withdrawals!B39)</f>
        <v/>
      </c>
      <c r="D232" s="43" t="str">
        <f>IF(Agent02_Withdrawals!A39="","",Agent02_Withdrawals!C39)</f>
        <v/>
      </c>
      <c r="E232" s="41" t="str">
        <f>IF(Agent02_Withdrawals!A39="","",Agent02_Withdrawals!D39)</f>
        <v/>
      </c>
      <c r="F232" s="40" t="str">
        <f>IF(Agent02_Withdrawals!A39="","",Agent02_Withdrawals!F39)</f>
        <v/>
      </c>
      <c r="G232" s="42" t="str">
        <f>IF(Agent02_Withdrawals!A39="","",Agent02_Withdrawals!E39)</f>
        <v/>
      </c>
      <c r="H232" s="42" t="str">
        <f>IF(Agent02_Withdrawals!A39="","",Agent02_Withdrawals!G39)</f>
        <v/>
      </c>
      <c r="I232" s="40" t="str">
        <f>IF(Agent02_Withdrawals!A39="","",Agent02_Withdrawals!H39)</f>
        <v/>
      </c>
      <c r="J232" s="40" t="str">
        <f>IF(Agent02_Withdrawals!A39="","",Agent02_Withdrawals!J39)</f>
        <v/>
      </c>
      <c r="K232" s="40" t="str">
        <f>IF(Agent02_Withdrawals!A39="","",Agent02_Withdrawals!K39)</f>
        <v/>
      </c>
      <c r="L232" s="40" t="str">
        <f>IF(G232="","",IF(D232-G232&gt;=System_Config!$B$9,"✅ OK","⚠️ BREACH"))</f>
        <v/>
      </c>
      <c r="M232" s="40" t="str">
        <f>IFERROR(IF(Agent02_Withdrawals!A39="","",YEAR(Agent02_Withdrawals!D39)),"")</f>
        <v/>
      </c>
    </row>
    <row r="233" spans="1:13" ht="18" customHeight="1" x14ac:dyDescent="0.25">
      <c r="A233" s="40" t="str">
        <f>IF(Agent02_Withdrawals!A40="","",Agent02_Withdrawals!A40)</f>
        <v/>
      </c>
      <c r="B233" s="40" t="str">
        <f ca="1">IF(Agent02_Withdrawals!A40="","","WD"&amp;TEXT(233-3,"0000")&amp;"-"&amp;TEXT(TODAY(),"YYYYMMDD"))</f>
        <v/>
      </c>
      <c r="C233" s="40" t="str">
        <f>IF(Agent02_Withdrawals!A40="","",Agent02_Withdrawals!B40)</f>
        <v/>
      </c>
      <c r="D233" s="43" t="str">
        <f>IF(Agent02_Withdrawals!A40="","",Agent02_Withdrawals!C40)</f>
        <v/>
      </c>
      <c r="E233" s="41" t="str">
        <f>IF(Agent02_Withdrawals!A40="","",Agent02_Withdrawals!D40)</f>
        <v/>
      </c>
      <c r="F233" s="40" t="str">
        <f>IF(Agent02_Withdrawals!A40="","",Agent02_Withdrawals!F40)</f>
        <v/>
      </c>
      <c r="G233" s="42" t="str">
        <f>IF(Agent02_Withdrawals!A40="","",Agent02_Withdrawals!E40)</f>
        <v/>
      </c>
      <c r="H233" s="42" t="str">
        <f>IF(Agent02_Withdrawals!A40="","",Agent02_Withdrawals!G40)</f>
        <v/>
      </c>
      <c r="I233" s="40" t="str">
        <f>IF(Agent02_Withdrawals!A40="","",Agent02_Withdrawals!H40)</f>
        <v/>
      </c>
      <c r="J233" s="40" t="str">
        <f>IF(Agent02_Withdrawals!A40="","",Agent02_Withdrawals!J40)</f>
        <v/>
      </c>
      <c r="K233" s="40" t="str">
        <f>IF(Agent02_Withdrawals!A40="","",Agent02_Withdrawals!K40)</f>
        <v/>
      </c>
      <c r="L233" s="40" t="str">
        <f>IF(G233="","",IF(D233-G233&gt;=System_Config!$B$9,"✅ OK","⚠️ BREACH"))</f>
        <v/>
      </c>
      <c r="M233" s="40" t="str">
        <f>IFERROR(IF(Agent02_Withdrawals!A40="","",YEAR(Agent02_Withdrawals!D40)),"")</f>
        <v/>
      </c>
    </row>
    <row r="234" spans="1:13" ht="18" customHeight="1" x14ac:dyDescent="0.25">
      <c r="A234" s="40" t="str">
        <f>IF(Agent02_Withdrawals!A41="","",Agent02_Withdrawals!A41)</f>
        <v/>
      </c>
      <c r="B234" s="40" t="str">
        <f ca="1">IF(Agent02_Withdrawals!A41="","","WD"&amp;TEXT(234-3,"0000")&amp;"-"&amp;TEXT(TODAY(),"YYYYMMDD"))</f>
        <v/>
      </c>
      <c r="C234" s="40" t="str">
        <f>IF(Agent02_Withdrawals!A41="","",Agent02_Withdrawals!B41)</f>
        <v/>
      </c>
      <c r="D234" s="43" t="str">
        <f>IF(Agent02_Withdrawals!A41="","",Agent02_Withdrawals!C41)</f>
        <v/>
      </c>
      <c r="E234" s="41" t="str">
        <f>IF(Agent02_Withdrawals!A41="","",Agent02_Withdrawals!D41)</f>
        <v/>
      </c>
      <c r="F234" s="40" t="str">
        <f>IF(Agent02_Withdrawals!A41="","",Agent02_Withdrawals!F41)</f>
        <v/>
      </c>
      <c r="G234" s="42" t="str">
        <f>IF(Agent02_Withdrawals!A41="","",Agent02_Withdrawals!E41)</f>
        <v/>
      </c>
      <c r="H234" s="42" t="str">
        <f>IF(Agent02_Withdrawals!A41="","",Agent02_Withdrawals!G41)</f>
        <v/>
      </c>
      <c r="I234" s="40" t="str">
        <f>IF(Agent02_Withdrawals!A41="","",Agent02_Withdrawals!H41)</f>
        <v/>
      </c>
      <c r="J234" s="40" t="str">
        <f>IF(Agent02_Withdrawals!A41="","",Agent02_Withdrawals!J41)</f>
        <v/>
      </c>
      <c r="K234" s="40" t="str">
        <f>IF(Agent02_Withdrawals!A41="","",Agent02_Withdrawals!K41)</f>
        <v/>
      </c>
      <c r="L234" s="40" t="str">
        <f>IF(G234="","",IF(D234-G234&gt;=System_Config!$B$9,"✅ OK","⚠️ BREACH"))</f>
        <v/>
      </c>
      <c r="M234" s="40" t="str">
        <f>IFERROR(IF(Agent02_Withdrawals!A41="","",YEAR(Agent02_Withdrawals!D41)),"")</f>
        <v/>
      </c>
    </row>
    <row r="235" spans="1:13" ht="18" customHeight="1" x14ac:dyDescent="0.25">
      <c r="A235" s="40" t="str">
        <f>IF(Agent02_Withdrawals!A42="","",Agent02_Withdrawals!A42)</f>
        <v/>
      </c>
      <c r="B235" s="40" t="str">
        <f ca="1">IF(Agent02_Withdrawals!A42="","","WD"&amp;TEXT(235-3,"0000")&amp;"-"&amp;TEXT(TODAY(),"YYYYMMDD"))</f>
        <v/>
      </c>
      <c r="C235" s="40" t="str">
        <f>IF(Agent02_Withdrawals!A42="","",Agent02_Withdrawals!B42)</f>
        <v/>
      </c>
      <c r="D235" s="43" t="str">
        <f>IF(Agent02_Withdrawals!A42="","",Agent02_Withdrawals!C42)</f>
        <v/>
      </c>
      <c r="E235" s="41" t="str">
        <f>IF(Agent02_Withdrawals!A42="","",Agent02_Withdrawals!D42)</f>
        <v/>
      </c>
      <c r="F235" s="40" t="str">
        <f>IF(Agent02_Withdrawals!A42="","",Agent02_Withdrawals!F42)</f>
        <v/>
      </c>
      <c r="G235" s="42" t="str">
        <f>IF(Agent02_Withdrawals!A42="","",Agent02_Withdrawals!E42)</f>
        <v/>
      </c>
      <c r="H235" s="42" t="str">
        <f>IF(Agent02_Withdrawals!A42="","",Agent02_Withdrawals!G42)</f>
        <v/>
      </c>
      <c r="I235" s="40" t="str">
        <f>IF(Agent02_Withdrawals!A42="","",Agent02_Withdrawals!H42)</f>
        <v/>
      </c>
      <c r="J235" s="40" t="str">
        <f>IF(Agent02_Withdrawals!A42="","",Agent02_Withdrawals!J42)</f>
        <v/>
      </c>
      <c r="K235" s="40" t="str">
        <f>IF(Agent02_Withdrawals!A42="","",Agent02_Withdrawals!K42)</f>
        <v/>
      </c>
      <c r="L235" s="40" t="str">
        <f>IF(G235="","",IF(D235-G235&gt;=System_Config!$B$9,"✅ OK","⚠️ BREACH"))</f>
        <v/>
      </c>
      <c r="M235" s="40" t="str">
        <f>IFERROR(IF(Agent02_Withdrawals!A42="","",YEAR(Agent02_Withdrawals!D42)),"")</f>
        <v/>
      </c>
    </row>
    <row r="236" spans="1:13" ht="18" customHeight="1" x14ac:dyDescent="0.25">
      <c r="A236" s="40" t="str">
        <f>IF(Agent02_Withdrawals!A43="","",Agent02_Withdrawals!A43)</f>
        <v/>
      </c>
      <c r="B236" s="40" t="str">
        <f ca="1">IF(Agent02_Withdrawals!A43="","","WD"&amp;TEXT(236-3,"0000")&amp;"-"&amp;TEXT(TODAY(),"YYYYMMDD"))</f>
        <v/>
      </c>
      <c r="C236" s="40" t="str">
        <f>IF(Agent02_Withdrawals!A43="","",Agent02_Withdrawals!B43)</f>
        <v/>
      </c>
      <c r="D236" s="43" t="str">
        <f>IF(Agent02_Withdrawals!A43="","",Agent02_Withdrawals!C43)</f>
        <v/>
      </c>
      <c r="E236" s="41" t="str">
        <f>IF(Agent02_Withdrawals!A43="","",Agent02_Withdrawals!D43)</f>
        <v/>
      </c>
      <c r="F236" s="40" t="str">
        <f>IF(Agent02_Withdrawals!A43="","",Agent02_Withdrawals!F43)</f>
        <v/>
      </c>
      <c r="G236" s="42" t="str">
        <f>IF(Agent02_Withdrawals!A43="","",Agent02_Withdrawals!E43)</f>
        <v/>
      </c>
      <c r="H236" s="42" t="str">
        <f>IF(Agent02_Withdrawals!A43="","",Agent02_Withdrawals!G43)</f>
        <v/>
      </c>
      <c r="I236" s="40" t="str">
        <f>IF(Agent02_Withdrawals!A43="","",Agent02_Withdrawals!H43)</f>
        <v/>
      </c>
      <c r="J236" s="40" t="str">
        <f>IF(Agent02_Withdrawals!A43="","",Agent02_Withdrawals!J43)</f>
        <v/>
      </c>
      <c r="K236" s="40" t="str">
        <f>IF(Agent02_Withdrawals!A43="","",Agent02_Withdrawals!K43)</f>
        <v/>
      </c>
      <c r="L236" s="40" t="str">
        <f>IF(G236="","",IF(D236-G236&gt;=System_Config!$B$9,"✅ OK","⚠️ BREACH"))</f>
        <v/>
      </c>
      <c r="M236" s="40" t="str">
        <f>IFERROR(IF(Agent02_Withdrawals!A43="","",YEAR(Agent02_Withdrawals!D43)),"")</f>
        <v/>
      </c>
    </row>
    <row r="237" spans="1:13" ht="18" customHeight="1" x14ac:dyDescent="0.25">
      <c r="A237" s="40" t="str">
        <f>IF(Agent02_Withdrawals!A44="","",Agent02_Withdrawals!A44)</f>
        <v/>
      </c>
      <c r="B237" s="40" t="str">
        <f ca="1">IF(Agent02_Withdrawals!A44="","","WD"&amp;TEXT(237-3,"0000")&amp;"-"&amp;TEXT(TODAY(),"YYYYMMDD"))</f>
        <v/>
      </c>
      <c r="C237" s="40" t="str">
        <f>IF(Agent02_Withdrawals!A44="","",Agent02_Withdrawals!B44)</f>
        <v/>
      </c>
      <c r="D237" s="43" t="str">
        <f>IF(Agent02_Withdrawals!A44="","",Agent02_Withdrawals!C44)</f>
        <v/>
      </c>
      <c r="E237" s="41" t="str">
        <f>IF(Agent02_Withdrawals!A44="","",Agent02_Withdrawals!D44)</f>
        <v/>
      </c>
      <c r="F237" s="40" t="str">
        <f>IF(Agent02_Withdrawals!A44="","",Agent02_Withdrawals!F44)</f>
        <v/>
      </c>
      <c r="G237" s="42" t="str">
        <f>IF(Agent02_Withdrawals!A44="","",Agent02_Withdrawals!E44)</f>
        <v/>
      </c>
      <c r="H237" s="42" t="str">
        <f>IF(Agent02_Withdrawals!A44="","",Agent02_Withdrawals!G44)</f>
        <v/>
      </c>
      <c r="I237" s="40" t="str">
        <f>IF(Agent02_Withdrawals!A44="","",Agent02_Withdrawals!H44)</f>
        <v/>
      </c>
      <c r="J237" s="40" t="str">
        <f>IF(Agent02_Withdrawals!A44="","",Agent02_Withdrawals!J44)</f>
        <v/>
      </c>
      <c r="K237" s="40" t="str">
        <f>IF(Agent02_Withdrawals!A44="","",Agent02_Withdrawals!K44)</f>
        <v/>
      </c>
      <c r="L237" s="40" t="str">
        <f>IF(G237="","",IF(D237-G237&gt;=System_Config!$B$9,"✅ OK","⚠️ BREACH"))</f>
        <v/>
      </c>
      <c r="M237" s="40" t="str">
        <f>IFERROR(IF(Agent02_Withdrawals!A44="","",YEAR(Agent02_Withdrawals!D44)),"")</f>
        <v/>
      </c>
    </row>
    <row r="238" spans="1:13" ht="18" customHeight="1" x14ac:dyDescent="0.25">
      <c r="A238" s="40" t="str">
        <f>IF(Agent02_Withdrawals!A45="","",Agent02_Withdrawals!A45)</f>
        <v/>
      </c>
      <c r="B238" s="40" t="str">
        <f ca="1">IF(Agent02_Withdrawals!A45="","","WD"&amp;TEXT(238-3,"0000")&amp;"-"&amp;TEXT(TODAY(),"YYYYMMDD"))</f>
        <v/>
      </c>
      <c r="C238" s="40" t="str">
        <f>IF(Agent02_Withdrawals!A45="","",Agent02_Withdrawals!B45)</f>
        <v/>
      </c>
      <c r="D238" s="43" t="str">
        <f>IF(Agent02_Withdrawals!A45="","",Agent02_Withdrawals!C45)</f>
        <v/>
      </c>
      <c r="E238" s="41" t="str">
        <f>IF(Agent02_Withdrawals!A45="","",Agent02_Withdrawals!D45)</f>
        <v/>
      </c>
      <c r="F238" s="40" t="str">
        <f>IF(Agent02_Withdrawals!A45="","",Agent02_Withdrawals!F45)</f>
        <v/>
      </c>
      <c r="G238" s="42" t="str">
        <f>IF(Agent02_Withdrawals!A45="","",Agent02_Withdrawals!E45)</f>
        <v/>
      </c>
      <c r="H238" s="42" t="str">
        <f>IF(Agent02_Withdrawals!A45="","",Agent02_Withdrawals!G45)</f>
        <v/>
      </c>
      <c r="I238" s="40" t="str">
        <f>IF(Agent02_Withdrawals!A45="","",Agent02_Withdrawals!H45)</f>
        <v/>
      </c>
      <c r="J238" s="40" t="str">
        <f>IF(Agent02_Withdrawals!A45="","",Agent02_Withdrawals!J45)</f>
        <v/>
      </c>
      <c r="K238" s="40" t="str">
        <f>IF(Agent02_Withdrawals!A45="","",Agent02_Withdrawals!K45)</f>
        <v/>
      </c>
      <c r="L238" s="40" t="str">
        <f>IF(G238="","",IF(D238-G238&gt;=System_Config!$B$9,"✅ OK","⚠️ BREACH"))</f>
        <v/>
      </c>
      <c r="M238" s="40" t="str">
        <f>IFERROR(IF(Agent02_Withdrawals!A45="","",YEAR(Agent02_Withdrawals!D45)),"")</f>
        <v/>
      </c>
    </row>
    <row r="239" spans="1:13" ht="18" customHeight="1" x14ac:dyDescent="0.25">
      <c r="A239" s="40" t="str">
        <f>IF(Agent02_Withdrawals!A46="","",Agent02_Withdrawals!A46)</f>
        <v/>
      </c>
      <c r="B239" s="40" t="str">
        <f ca="1">IF(Agent02_Withdrawals!A46="","","WD"&amp;TEXT(239-3,"0000")&amp;"-"&amp;TEXT(TODAY(),"YYYYMMDD"))</f>
        <v/>
      </c>
      <c r="C239" s="40" t="str">
        <f>IF(Agent02_Withdrawals!A46="","",Agent02_Withdrawals!B46)</f>
        <v/>
      </c>
      <c r="D239" s="43" t="str">
        <f>IF(Agent02_Withdrawals!A46="","",Agent02_Withdrawals!C46)</f>
        <v/>
      </c>
      <c r="E239" s="41" t="str">
        <f>IF(Agent02_Withdrawals!A46="","",Agent02_Withdrawals!D46)</f>
        <v/>
      </c>
      <c r="F239" s="40" t="str">
        <f>IF(Agent02_Withdrawals!A46="","",Agent02_Withdrawals!F46)</f>
        <v/>
      </c>
      <c r="G239" s="42" t="str">
        <f>IF(Agent02_Withdrawals!A46="","",Agent02_Withdrawals!E46)</f>
        <v/>
      </c>
      <c r="H239" s="42" t="str">
        <f>IF(Agent02_Withdrawals!A46="","",Agent02_Withdrawals!G46)</f>
        <v/>
      </c>
      <c r="I239" s="40" t="str">
        <f>IF(Agent02_Withdrawals!A46="","",Agent02_Withdrawals!H46)</f>
        <v/>
      </c>
      <c r="J239" s="40" t="str">
        <f>IF(Agent02_Withdrawals!A46="","",Agent02_Withdrawals!J46)</f>
        <v/>
      </c>
      <c r="K239" s="40" t="str">
        <f>IF(Agent02_Withdrawals!A46="","",Agent02_Withdrawals!K46)</f>
        <v/>
      </c>
      <c r="L239" s="40" t="str">
        <f>IF(G239="","",IF(D239-G239&gt;=System_Config!$B$9,"✅ OK","⚠️ BREACH"))</f>
        <v/>
      </c>
      <c r="M239" s="40" t="str">
        <f>IFERROR(IF(Agent02_Withdrawals!A46="","",YEAR(Agent02_Withdrawals!D46)),"")</f>
        <v/>
      </c>
    </row>
    <row r="240" spans="1:13" ht="18" customHeight="1" x14ac:dyDescent="0.25">
      <c r="A240" s="40" t="str">
        <f>IF(Agent02_Withdrawals!A47="","",Agent02_Withdrawals!A47)</f>
        <v/>
      </c>
      <c r="B240" s="40" t="str">
        <f ca="1">IF(Agent02_Withdrawals!A47="","","WD"&amp;TEXT(240-3,"0000")&amp;"-"&amp;TEXT(TODAY(),"YYYYMMDD"))</f>
        <v/>
      </c>
      <c r="C240" s="40" t="str">
        <f>IF(Agent02_Withdrawals!A47="","",Agent02_Withdrawals!B47)</f>
        <v/>
      </c>
      <c r="D240" s="43" t="str">
        <f>IF(Agent02_Withdrawals!A47="","",Agent02_Withdrawals!C47)</f>
        <v/>
      </c>
      <c r="E240" s="41" t="str">
        <f>IF(Agent02_Withdrawals!A47="","",Agent02_Withdrawals!D47)</f>
        <v/>
      </c>
      <c r="F240" s="40" t="str">
        <f>IF(Agent02_Withdrawals!A47="","",Agent02_Withdrawals!F47)</f>
        <v/>
      </c>
      <c r="G240" s="42" t="str">
        <f>IF(Agent02_Withdrawals!A47="","",Agent02_Withdrawals!E47)</f>
        <v/>
      </c>
      <c r="H240" s="42" t="str">
        <f>IF(Agent02_Withdrawals!A47="","",Agent02_Withdrawals!G47)</f>
        <v/>
      </c>
      <c r="I240" s="40" t="str">
        <f>IF(Agent02_Withdrawals!A47="","",Agent02_Withdrawals!H47)</f>
        <v/>
      </c>
      <c r="J240" s="40" t="str">
        <f>IF(Agent02_Withdrawals!A47="","",Agent02_Withdrawals!J47)</f>
        <v/>
      </c>
      <c r="K240" s="40" t="str">
        <f>IF(Agent02_Withdrawals!A47="","",Agent02_Withdrawals!K47)</f>
        <v/>
      </c>
      <c r="L240" s="40" t="str">
        <f>IF(G240="","",IF(D240-G240&gt;=System_Config!$B$9,"✅ OK","⚠️ BREACH"))</f>
        <v/>
      </c>
      <c r="M240" s="40" t="str">
        <f>IFERROR(IF(Agent02_Withdrawals!A47="","",YEAR(Agent02_Withdrawals!D47)),"")</f>
        <v/>
      </c>
    </row>
    <row r="241" spans="1:13" ht="18" customHeight="1" x14ac:dyDescent="0.25">
      <c r="A241" s="40" t="str">
        <f>IF(Agent02_Withdrawals!A48="","",Agent02_Withdrawals!A48)</f>
        <v/>
      </c>
      <c r="B241" s="40" t="str">
        <f ca="1">IF(Agent02_Withdrawals!A48="","","WD"&amp;TEXT(241-3,"0000")&amp;"-"&amp;TEXT(TODAY(),"YYYYMMDD"))</f>
        <v/>
      </c>
      <c r="C241" s="40" t="str">
        <f>IF(Agent02_Withdrawals!A48="","",Agent02_Withdrawals!B48)</f>
        <v/>
      </c>
      <c r="D241" s="43" t="str">
        <f>IF(Agent02_Withdrawals!A48="","",Agent02_Withdrawals!C48)</f>
        <v/>
      </c>
      <c r="E241" s="41" t="str">
        <f>IF(Agent02_Withdrawals!A48="","",Agent02_Withdrawals!D48)</f>
        <v/>
      </c>
      <c r="F241" s="40" t="str">
        <f>IF(Agent02_Withdrawals!A48="","",Agent02_Withdrawals!F48)</f>
        <v/>
      </c>
      <c r="G241" s="42" t="str">
        <f>IF(Agent02_Withdrawals!A48="","",Agent02_Withdrawals!E48)</f>
        <v/>
      </c>
      <c r="H241" s="42" t="str">
        <f>IF(Agent02_Withdrawals!A48="","",Agent02_Withdrawals!G48)</f>
        <v/>
      </c>
      <c r="I241" s="40" t="str">
        <f>IF(Agent02_Withdrawals!A48="","",Agent02_Withdrawals!H48)</f>
        <v/>
      </c>
      <c r="J241" s="40" t="str">
        <f>IF(Agent02_Withdrawals!A48="","",Agent02_Withdrawals!J48)</f>
        <v/>
      </c>
      <c r="K241" s="40" t="str">
        <f>IF(Agent02_Withdrawals!A48="","",Agent02_Withdrawals!K48)</f>
        <v/>
      </c>
      <c r="L241" s="40" t="str">
        <f>IF(G241="","",IF(D241-G241&gt;=System_Config!$B$9,"✅ OK","⚠️ BREACH"))</f>
        <v/>
      </c>
      <c r="M241" s="40" t="str">
        <f>IFERROR(IF(Agent02_Withdrawals!A48="","",YEAR(Agent02_Withdrawals!D48)),"")</f>
        <v/>
      </c>
    </row>
    <row r="242" spans="1:13" ht="18" customHeight="1" x14ac:dyDescent="0.25">
      <c r="A242" s="40" t="str">
        <f>IF(Agent02_Withdrawals!A49="","",Agent02_Withdrawals!A49)</f>
        <v/>
      </c>
      <c r="B242" s="40" t="str">
        <f ca="1">IF(Agent02_Withdrawals!A49="","","WD"&amp;TEXT(242-3,"0000")&amp;"-"&amp;TEXT(TODAY(),"YYYYMMDD"))</f>
        <v/>
      </c>
      <c r="C242" s="40" t="str">
        <f>IF(Agent02_Withdrawals!A49="","",Agent02_Withdrawals!B49)</f>
        <v/>
      </c>
      <c r="D242" s="43" t="str">
        <f>IF(Agent02_Withdrawals!A49="","",Agent02_Withdrawals!C49)</f>
        <v/>
      </c>
      <c r="E242" s="41" t="str">
        <f>IF(Agent02_Withdrawals!A49="","",Agent02_Withdrawals!D49)</f>
        <v/>
      </c>
      <c r="F242" s="40" t="str">
        <f>IF(Agent02_Withdrawals!A49="","",Agent02_Withdrawals!F49)</f>
        <v/>
      </c>
      <c r="G242" s="42" t="str">
        <f>IF(Agent02_Withdrawals!A49="","",Agent02_Withdrawals!E49)</f>
        <v/>
      </c>
      <c r="H242" s="42" t="str">
        <f>IF(Agent02_Withdrawals!A49="","",Agent02_Withdrawals!G49)</f>
        <v/>
      </c>
      <c r="I242" s="40" t="str">
        <f>IF(Agent02_Withdrawals!A49="","",Agent02_Withdrawals!H49)</f>
        <v/>
      </c>
      <c r="J242" s="40" t="str">
        <f>IF(Agent02_Withdrawals!A49="","",Agent02_Withdrawals!J49)</f>
        <v/>
      </c>
      <c r="K242" s="40" t="str">
        <f>IF(Agent02_Withdrawals!A49="","",Agent02_Withdrawals!K49)</f>
        <v/>
      </c>
      <c r="L242" s="40" t="str">
        <f>IF(G242="","",IF(D242-G242&gt;=System_Config!$B$9,"✅ OK","⚠️ BREACH"))</f>
        <v/>
      </c>
      <c r="M242" s="40" t="str">
        <f>IFERROR(IF(Agent02_Withdrawals!A49="","",YEAR(Agent02_Withdrawals!D49)),"")</f>
        <v/>
      </c>
    </row>
    <row r="243" spans="1:13" ht="18" customHeight="1" x14ac:dyDescent="0.25">
      <c r="A243" s="40" t="str">
        <f>IF(Agent02_Withdrawals!A50="","",Agent02_Withdrawals!A50)</f>
        <v/>
      </c>
      <c r="B243" s="40" t="str">
        <f ca="1">IF(Agent02_Withdrawals!A50="","","WD"&amp;TEXT(243-3,"0000")&amp;"-"&amp;TEXT(TODAY(),"YYYYMMDD"))</f>
        <v/>
      </c>
      <c r="C243" s="40" t="str">
        <f>IF(Agent02_Withdrawals!A50="","",Agent02_Withdrawals!B50)</f>
        <v/>
      </c>
      <c r="D243" s="43" t="str">
        <f>IF(Agent02_Withdrawals!A50="","",Agent02_Withdrawals!C50)</f>
        <v/>
      </c>
      <c r="E243" s="41" t="str">
        <f>IF(Agent02_Withdrawals!A50="","",Agent02_Withdrawals!D50)</f>
        <v/>
      </c>
      <c r="F243" s="40" t="str">
        <f>IF(Agent02_Withdrawals!A50="","",Agent02_Withdrawals!F50)</f>
        <v/>
      </c>
      <c r="G243" s="42" t="str">
        <f>IF(Agent02_Withdrawals!A50="","",Agent02_Withdrawals!E50)</f>
        <v/>
      </c>
      <c r="H243" s="42" t="str">
        <f>IF(Agent02_Withdrawals!A50="","",Agent02_Withdrawals!G50)</f>
        <v/>
      </c>
      <c r="I243" s="40" t="str">
        <f>IF(Agent02_Withdrawals!A50="","",Agent02_Withdrawals!H50)</f>
        <v/>
      </c>
      <c r="J243" s="40" t="str">
        <f>IF(Agent02_Withdrawals!A50="","",Agent02_Withdrawals!J50)</f>
        <v/>
      </c>
      <c r="K243" s="40" t="str">
        <f>IF(Agent02_Withdrawals!A50="","",Agent02_Withdrawals!K50)</f>
        <v/>
      </c>
      <c r="L243" s="40" t="str">
        <f>IF(G243="","",IF(D243-G243&gt;=System_Config!$B$9,"✅ OK","⚠️ BREACH"))</f>
        <v/>
      </c>
      <c r="M243" s="40" t="str">
        <f>IFERROR(IF(Agent02_Withdrawals!A50="","",YEAR(Agent02_Withdrawals!D50)),"")</f>
        <v/>
      </c>
    </row>
    <row r="244" spans="1:13" ht="18" customHeight="1" x14ac:dyDescent="0.25">
      <c r="A244" s="40" t="str">
        <f>IF(Agent02_Withdrawals!A51="","",Agent02_Withdrawals!A51)</f>
        <v/>
      </c>
      <c r="B244" s="40" t="str">
        <f ca="1">IF(Agent02_Withdrawals!A51="","","WD"&amp;TEXT(244-3,"0000")&amp;"-"&amp;TEXT(TODAY(),"YYYYMMDD"))</f>
        <v/>
      </c>
      <c r="C244" s="40" t="str">
        <f>IF(Agent02_Withdrawals!A51="","",Agent02_Withdrawals!B51)</f>
        <v/>
      </c>
      <c r="D244" s="43" t="str">
        <f>IF(Agent02_Withdrawals!A51="","",Agent02_Withdrawals!C51)</f>
        <v/>
      </c>
      <c r="E244" s="41" t="str">
        <f>IF(Agent02_Withdrawals!A51="","",Agent02_Withdrawals!D51)</f>
        <v/>
      </c>
      <c r="F244" s="40" t="str">
        <f>IF(Agent02_Withdrawals!A51="","",Agent02_Withdrawals!F51)</f>
        <v/>
      </c>
      <c r="G244" s="42" t="str">
        <f>IF(Agent02_Withdrawals!A51="","",Agent02_Withdrawals!E51)</f>
        <v/>
      </c>
      <c r="H244" s="42" t="str">
        <f>IF(Agent02_Withdrawals!A51="","",Agent02_Withdrawals!G51)</f>
        <v/>
      </c>
      <c r="I244" s="40" t="str">
        <f>IF(Agent02_Withdrawals!A51="","",Agent02_Withdrawals!H51)</f>
        <v/>
      </c>
      <c r="J244" s="40" t="str">
        <f>IF(Agent02_Withdrawals!A51="","",Agent02_Withdrawals!J51)</f>
        <v/>
      </c>
      <c r="K244" s="40" t="str">
        <f>IF(Agent02_Withdrawals!A51="","",Agent02_Withdrawals!K51)</f>
        <v/>
      </c>
      <c r="L244" s="40" t="str">
        <f>IF(G244="","",IF(D244-G244&gt;=System_Config!$B$9,"✅ OK","⚠️ BREACH"))</f>
        <v/>
      </c>
      <c r="M244" s="40" t="str">
        <f>IFERROR(IF(Agent02_Withdrawals!A51="","",YEAR(Agent02_Withdrawals!D51)),"")</f>
        <v/>
      </c>
    </row>
    <row r="245" spans="1:13" ht="18" customHeight="1" x14ac:dyDescent="0.25">
      <c r="A245" s="40" t="str">
        <f>IF(Agent02_Withdrawals!A52="","",Agent02_Withdrawals!A52)</f>
        <v/>
      </c>
      <c r="B245" s="40" t="str">
        <f ca="1">IF(Agent02_Withdrawals!A52="","","WD"&amp;TEXT(245-3,"0000")&amp;"-"&amp;TEXT(TODAY(),"YYYYMMDD"))</f>
        <v/>
      </c>
      <c r="C245" s="40" t="str">
        <f>IF(Agent02_Withdrawals!A52="","",Agent02_Withdrawals!B52)</f>
        <v/>
      </c>
      <c r="D245" s="43" t="str">
        <f>IF(Agent02_Withdrawals!A52="","",Agent02_Withdrawals!C52)</f>
        <v/>
      </c>
      <c r="E245" s="41" t="str">
        <f>IF(Agent02_Withdrawals!A52="","",Agent02_Withdrawals!D52)</f>
        <v/>
      </c>
      <c r="F245" s="40" t="str">
        <f>IF(Agent02_Withdrawals!A52="","",Agent02_Withdrawals!F52)</f>
        <v/>
      </c>
      <c r="G245" s="42" t="str">
        <f>IF(Agent02_Withdrawals!A52="","",Agent02_Withdrawals!E52)</f>
        <v/>
      </c>
      <c r="H245" s="42" t="str">
        <f>IF(Agent02_Withdrawals!A52="","",Agent02_Withdrawals!G52)</f>
        <v/>
      </c>
      <c r="I245" s="40" t="str">
        <f>IF(Agent02_Withdrawals!A52="","",Agent02_Withdrawals!H52)</f>
        <v/>
      </c>
      <c r="J245" s="40" t="str">
        <f>IF(Agent02_Withdrawals!A52="","",Agent02_Withdrawals!J52)</f>
        <v/>
      </c>
      <c r="K245" s="40" t="str">
        <f>IF(Agent02_Withdrawals!A52="","",Agent02_Withdrawals!K52)</f>
        <v/>
      </c>
      <c r="L245" s="40" t="str">
        <f>IF(G245="","",IF(D245-G245&gt;=System_Config!$B$9,"✅ OK","⚠️ BREACH"))</f>
        <v/>
      </c>
      <c r="M245" s="40" t="str">
        <f>IFERROR(IF(Agent02_Withdrawals!A52="","",YEAR(Agent02_Withdrawals!D52)),"")</f>
        <v/>
      </c>
    </row>
    <row r="246" spans="1:13" ht="18" customHeight="1" x14ac:dyDescent="0.25">
      <c r="A246" s="40" t="str">
        <f>IF(Agent02_Withdrawals!A53="","",Agent02_Withdrawals!A53)</f>
        <v/>
      </c>
      <c r="B246" s="40" t="str">
        <f ca="1">IF(Agent02_Withdrawals!A53="","","WD"&amp;TEXT(246-3,"0000")&amp;"-"&amp;TEXT(TODAY(),"YYYYMMDD"))</f>
        <v/>
      </c>
      <c r="C246" s="40" t="str">
        <f>IF(Agent02_Withdrawals!A53="","",Agent02_Withdrawals!B53)</f>
        <v/>
      </c>
      <c r="D246" s="43" t="str">
        <f>IF(Agent02_Withdrawals!A53="","",Agent02_Withdrawals!C53)</f>
        <v/>
      </c>
      <c r="E246" s="41" t="str">
        <f>IF(Agent02_Withdrawals!A53="","",Agent02_Withdrawals!D53)</f>
        <v/>
      </c>
      <c r="F246" s="40" t="str">
        <f>IF(Agent02_Withdrawals!A53="","",Agent02_Withdrawals!F53)</f>
        <v/>
      </c>
      <c r="G246" s="42" t="str">
        <f>IF(Agent02_Withdrawals!A53="","",Agent02_Withdrawals!E53)</f>
        <v/>
      </c>
      <c r="H246" s="42" t="str">
        <f>IF(Agent02_Withdrawals!A53="","",Agent02_Withdrawals!G53)</f>
        <v/>
      </c>
      <c r="I246" s="40" t="str">
        <f>IF(Agent02_Withdrawals!A53="","",Agent02_Withdrawals!H53)</f>
        <v/>
      </c>
      <c r="J246" s="40" t="str">
        <f>IF(Agent02_Withdrawals!A53="","",Agent02_Withdrawals!J53)</f>
        <v/>
      </c>
      <c r="K246" s="40" t="str">
        <f>IF(Agent02_Withdrawals!A53="","",Agent02_Withdrawals!K53)</f>
        <v/>
      </c>
      <c r="L246" s="40" t="str">
        <f>IF(G246="","",IF(D246-G246&gt;=System_Config!$B$9,"✅ OK","⚠️ BREACH"))</f>
        <v/>
      </c>
      <c r="M246" s="40" t="str">
        <f>IFERROR(IF(Agent02_Withdrawals!A53="","",YEAR(Agent02_Withdrawals!D53)),"")</f>
        <v/>
      </c>
    </row>
    <row r="247" spans="1:13" ht="18" customHeight="1" x14ac:dyDescent="0.25">
      <c r="A247" s="40" t="str">
        <f>IF(Agent02_Withdrawals!A54="","",Agent02_Withdrawals!A54)</f>
        <v/>
      </c>
      <c r="B247" s="40" t="str">
        <f ca="1">IF(Agent02_Withdrawals!A54="","","WD"&amp;TEXT(247-3,"0000")&amp;"-"&amp;TEXT(TODAY(),"YYYYMMDD"))</f>
        <v/>
      </c>
      <c r="C247" s="40" t="str">
        <f>IF(Agent02_Withdrawals!A54="","",Agent02_Withdrawals!B54)</f>
        <v/>
      </c>
      <c r="D247" s="43" t="str">
        <f>IF(Agent02_Withdrawals!A54="","",Agent02_Withdrawals!C54)</f>
        <v/>
      </c>
      <c r="E247" s="41" t="str">
        <f>IF(Agent02_Withdrawals!A54="","",Agent02_Withdrawals!D54)</f>
        <v/>
      </c>
      <c r="F247" s="40" t="str">
        <f>IF(Agent02_Withdrawals!A54="","",Agent02_Withdrawals!F54)</f>
        <v/>
      </c>
      <c r="G247" s="42" t="str">
        <f>IF(Agent02_Withdrawals!A54="","",Agent02_Withdrawals!E54)</f>
        <v/>
      </c>
      <c r="H247" s="42" t="str">
        <f>IF(Agent02_Withdrawals!A54="","",Agent02_Withdrawals!G54)</f>
        <v/>
      </c>
      <c r="I247" s="40" t="str">
        <f>IF(Agent02_Withdrawals!A54="","",Agent02_Withdrawals!H54)</f>
        <v/>
      </c>
      <c r="J247" s="40" t="str">
        <f>IF(Agent02_Withdrawals!A54="","",Agent02_Withdrawals!J54)</f>
        <v/>
      </c>
      <c r="K247" s="40" t="str">
        <f>IF(Agent02_Withdrawals!A54="","",Agent02_Withdrawals!K54)</f>
        <v/>
      </c>
      <c r="L247" s="40" t="str">
        <f>IF(G247="","",IF(D247-G247&gt;=System_Config!$B$9,"✅ OK","⚠️ BREACH"))</f>
        <v/>
      </c>
      <c r="M247" s="40" t="str">
        <f>IFERROR(IF(Agent02_Withdrawals!A54="","",YEAR(Agent02_Withdrawals!D54)),"")</f>
        <v/>
      </c>
    </row>
    <row r="248" spans="1:13" ht="18" customHeight="1" x14ac:dyDescent="0.25">
      <c r="A248" s="40" t="str">
        <f>IF(Agent02_Withdrawals!A55="","",Agent02_Withdrawals!A55)</f>
        <v/>
      </c>
      <c r="B248" s="40" t="str">
        <f ca="1">IF(Agent02_Withdrawals!A55="","","WD"&amp;TEXT(248-3,"0000")&amp;"-"&amp;TEXT(TODAY(),"YYYYMMDD"))</f>
        <v/>
      </c>
      <c r="C248" s="40" t="str">
        <f>IF(Agent02_Withdrawals!A55="","",Agent02_Withdrawals!B55)</f>
        <v/>
      </c>
      <c r="D248" s="43" t="str">
        <f>IF(Agent02_Withdrawals!A55="","",Agent02_Withdrawals!C55)</f>
        <v/>
      </c>
      <c r="E248" s="41" t="str">
        <f>IF(Agent02_Withdrawals!A55="","",Agent02_Withdrawals!D55)</f>
        <v/>
      </c>
      <c r="F248" s="40" t="str">
        <f>IF(Agent02_Withdrawals!A55="","",Agent02_Withdrawals!F55)</f>
        <v/>
      </c>
      <c r="G248" s="42" t="str">
        <f>IF(Agent02_Withdrawals!A55="","",Agent02_Withdrawals!E55)</f>
        <v/>
      </c>
      <c r="H248" s="42" t="str">
        <f>IF(Agent02_Withdrawals!A55="","",Agent02_Withdrawals!G55)</f>
        <v/>
      </c>
      <c r="I248" s="40" t="str">
        <f>IF(Agent02_Withdrawals!A55="","",Agent02_Withdrawals!H55)</f>
        <v/>
      </c>
      <c r="J248" s="40" t="str">
        <f>IF(Agent02_Withdrawals!A55="","",Agent02_Withdrawals!J55)</f>
        <v/>
      </c>
      <c r="K248" s="40" t="str">
        <f>IF(Agent02_Withdrawals!A55="","",Agent02_Withdrawals!K55)</f>
        <v/>
      </c>
      <c r="L248" s="40" t="str">
        <f>IF(G248="","",IF(D248-G248&gt;=System_Config!$B$9,"✅ OK","⚠️ BREACH"))</f>
        <v/>
      </c>
      <c r="M248" s="40" t="str">
        <f>IFERROR(IF(Agent02_Withdrawals!A55="","",YEAR(Agent02_Withdrawals!D55)),"")</f>
        <v/>
      </c>
    </row>
    <row r="249" spans="1:13" ht="18" customHeight="1" x14ac:dyDescent="0.25">
      <c r="A249" s="40" t="str">
        <f>IF(Agent02_Withdrawals!A56="","",Agent02_Withdrawals!A56)</f>
        <v/>
      </c>
      <c r="B249" s="40" t="str">
        <f ca="1">IF(Agent02_Withdrawals!A56="","","WD"&amp;TEXT(249-3,"0000")&amp;"-"&amp;TEXT(TODAY(),"YYYYMMDD"))</f>
        <v/>
      </c>
      <c r="C249" s="40" t="str">
        <f>IF(Agent02_Withdrawals!A56="","",Agent02_Withdrawals!B56)</f>
        <v/>
      </c>
      <c r="D249" s="43" t="str">
        <f>IF(Agent02_Withdrawals!A56="","",Agent02_Withdrawals!C56)</f>
        <v/>
      </c>
      <c r="E249" s="41" t="str">
        <f>IF(Agent02_Withdrawals!A56="","",Agent02_Withdrawals!D56)</f>
        <v/>
      </c>
      <c r="F249" s="40" t="str">
        <f>IF(Agent02_Withdrawals!A56="","",Agent02_Withdrawals!F56)</f>
        <v/>
      </c>
      <c r="G249" s="42" t="str">
        <f>IF(Agent02_Withdrawals!A56="","",Agent02_Withdrawals!E56)</f>
        <v/>
      </c>
      <c r="H249" s="42" t="str">
        <f>IF(Agent02_Withdrawals!A56="","",Agent02_Withdrawals!G56)</f>
        <v/>
      </c>
      <c r="I249" s="40" t="str">
        <f>IF(Agent02_Withdrawals!A56="","",Agent02_Withdrawals!H56)</f>
        <v/>
      </c>
      <c r="J249" s="40" t="str">
        <f>IF(Agent02_Withdrawals!A56="","",Agent02_Withdrawals!J56)</f>
        <v/>
      </c>
      <c r="K249" s="40" t="str">
        <f>IF(Agent02_Withdrawals!A56="","",Agent02_Withdrawals!K56)</f>
        <v/>
      </c>
      <c r="L249" s="40" t="str">
        <f>IF(G249="","",IF(D249-G249&gt;=System_Config!$B$9,"✅ OK","⚠️ BREACH"))</f>
        <v/>
      </c>
      <c r="M249" s="40" t="str">
        <f>IFERROR(IF(Agent02_Withdrawals!A56="","",YEAR(Agent02_Withdrawals!D56)),"")</f>
        <v/>
      </c>
    </row>
    <row r="250" spans="1:13" ht="18" customHeight="1" x14ac:dyDescent="0.25">
      <c r="A250" s="40" t="str">
        <f>IF(Agent02_Withdrawals!A57="","",Agent02_Withdrawals!A57)</f>
        <v/>
      </c>
      <c r="B250" s="40" t="str">
        <f ca="1">IF(Agent02_Withdrawals!A57="","","WD"&amp;TEXT(250-3,"0000")&amp;"-"&amp;TEXT(TODAY(),"YYYYMMDD"))</f>
        <v/>
      </c>
      <c r="C250" s="40" t="str">
        <f>IF(Agent02_Withdrawals!A57="","",Agent02_Withdrawals!B57)</f>
        <v/>
      </c>
      <c r="D250" s="43" t="str">
        <f>IF(Agent02_Withdrawals!A57="","",Agent02_Withdrawals!C57)</f>
        <v/>
      </c>
      <c r="E250" s="41" t="str">
        <f>IF(Agent02_Withdrawals!A57="","",Agent02_Withdrawals!D57)</f>
        <v/>
      </c>
      <c r="F250" s="40" t="str">
        <f>IF(Agent02_Withdrawals!A57="","",Agent02_Withdrawals!F57)</f>
        <v/>
      </c>
      <c r="G250" s="42" t="str">
        <f>IF(Agent02_Withdrawals!A57="","",Agent02_Withdrawals!E57)</f>
        <v/>
      </c>
      <c r="H250" s="42" t="str">
        <f>IF(Agent02_Withdrawals!A57="","",Agent02_Withdrawals!G57)</f>
        <v/>
      </c>
      <c r="I250" s="40" t="str">
        <f>IF(Agent02_Withdrawals!A57="","",Agent02_Withdrawals!H57)</f>
        <v/>
      </c>
      <c r="J250" s="40" t="str">
        <f>IF(Agent02_Withdrawals!A57="","",Agent02_Withdrawals!J57)</f>
        <v/>
      </c>
      <c r="K250" s="40" t="str">
        <f>IF(Agent02_Withdrawals!A57="","",Agent02_Withdrawals!K57)</f>
        <v/>
      </c>
      <c r="L250" s="40" t="str">
        <f>IF(G250="","",IF(D250-G250&gt;=System_Config!$B$9,"✅ OK","⚠️ BREACH"))</f>
        <v/>
      </c>
      <c r="M250" s="40" t="str">
        <f>IFERROR(IF(Agent02_Withdrawals!A57="","",YEAR(Agent02_Withdrawals!D57)),"")</f>
        <v/>
      </c>
    </row>
    <row r="251" spans="1:13" ht="18" customHeight="1" x14ac:dyDescent="0.25">
      <c r="A251" s="40" t="str">
        <f>IF(Agent02_Withdrawals!A58="","",Agent02_Withdrawals!A58)</f>
        <v/>
      </c>
      <c r="B251" s="40" t="str">
        <f ca="1">IF(Agent02_Withdrawals!A58="","","WD"&amp;TEXT(251-3,"0000")&amp;"-"&amp;TEXT(TODAY(),"YYYYMMDD"))</f>
        <v/>
      </c>
      <c r="C251" s="40" t="str">
        <f>IF(Agent02_Withdrawals!A58="","",Agent02_Withdrawals!B58)</f>
        <v/>
      </c>
      <c r="D251" s="43" t="str">
        <f>IF(Agent02_Withdrawals!A58="","",Agent02_Withdrawals!C58)</f>
        <v/>
      </c>
      <c r="E251" s="41" t="str">
        <f>IF(Agent02_Withdrawals!A58="","",Agent02_Withdrawals!D58)</f>
        <v/>
      </c>
      <c r="F251" s="40" t="str">
        <f>IF(Agent02_Withdrawals!A58="","",Agent02_Withdrawals!F58)</f>
        <v/>
      </c>
      <c r="G251" s="42" t="str">
        <f>IF(Agent02_Withdrawals!A58="","",Agent02_Withdrawals!E58)</f>
        <v/>
      </c>
      <c r="H251" s="42" t="str">
        <f>IF(Agent02_Withdrawals!A58="","",Agent02_Withdrawals!G58)</f>
        <v/>
      </c>
      <c r="I251" s="40" t="str">
        <f>IF(Agent02_Withdrawals!A58="","",Agent02_Withdrawals!H58)</f>
        <v/>
      </c>
      <c r="J251" s="40" t="str">
        <f>IF(Agent02_Withdrawals!A58="","",Agent02_Withdrawals!J58)</f>
        <v/>
      </c>
      <c r="K251" s="40" t="str">
        <f>IF(Agent02_Withdrawals!A58="","",Agent02_Withdrawals!K58)</f>
        <v/>
      </c>
      <c r="L251" s="40" t="str">
        <f>IF(G251="","",IF(D251-G251&gt;=System_Config!$B$9,"✅ OK","⚠️ BREACH"))</f>
        <v/>
      </c>
      <c r="M251" s="40" t="str">
        <f>IFERROR(IF(Agent02_Withdrawals!A58="","",YEAR(Agent02_Withdrawals!D58)),"")</f>
        <v/>
      </c>
    </row>
    <row r="252" spans="1:13" ht="18" customHeight="1" x14ac:dyDescent="0.25">
      <c r="A252" s="40" t="str">
        <f>IF(Agent02_Withdrawals!A59="","",Agent02_Withdrawals!A59)</f>
        <v/>
      </c>
      <c r="B252" s="40" t="str">
        <f ca="1">IF(Agent02_Withdrawals!A59="","","WD"&amp;TEXT(252-3,"0000")&amp;"-"&amp;TEXT(TODAY(),"YYYYMMDD"))</f>
        <v/>
      </c>
      <c r="C252" s="40" t="str">
        <f>IF(Agent02_Withdrawals!A59="","",Agent02_Withdrawals!B59)</f>
        <v/>
      </c>
      <c r="D252" s="43" t="str">
        <f>IF(Agent02_Withdrawals!A59="","",Agent02_Withdrawals!C59)</f>
        <v/>
      </c>
      <c r="E252" s="41" t="str">
        <f>IF(Agent02_Withdrawals!A59="","",Agent02_Withdrawals!D59)</f>
        <v/>
      </c>
      <c r="F252" s="40" t="str">
        <f>IF(Agent02_Withdrawals!A59="","",Agent02_Withdrawals!F59)</f>
        <v/>
      </c>
      <c r="G252" s="42" t="str">
        <f>IF(Agent02_Withdrawals!A59="","",Agent02_Withdrawals!E59)</f>
        <v/>
      </c>
      <c r="H252" s="42" t="str">
        <f>IF(Agent02_Withdrawals!A59="","",Agent02_Withdrawals!G59)</f>
        <v/>
      </c>
      <c r="I252" s="40" t="str">
        <f>IF(Agent02_Withdrawals!A59="","",Agent02_Withdrawals!H59)</f>
        <v/>
      </c>
      <c r="J252" s="40" t="str">
        <f>IF(Agent02_Withdrawals!A59="","",Agent02_Withdrawals!J59)</f>
        <v/>
      </c>
      <c r="K252" s="40" t="str">
        <f>IF(Agent02_Withdrawals!A59="","",Agent02_Withdrawals!K59)</f>
        <v/>
      </c>
      <c r="L252" s="40" t="str">
        <f>IF(G252="","",IF(D252-G252&gt;=System_Config!$B$9,"✅ OK","⚠️ BREACH"))</f>
        <v/>
      </c>
      <c r="M252" s="40" t="str">
        <f>IFERROR(IF(Agent02_Withdrawals!A59="","",YEAR(Agent02_Withdrawals!D59)),"")</f>
        <v/>
      </c>
    </row>
    <row r="253" spans="1:13" ht="18" customHeight="1" x14ac:dyDescent="0.25">
      <c r="A253" s="40" t="str">
        <f>IF(Agent02_Withdrawals!A60="","",Agent02_Withdrawals!A60)</f>
        <v/>
      </c>
      <c r="B253" s="40" t="str">
        <f ca="1">IF(Agent02_Withdrawals!A60="","","WD"&amp;TEXT(253-3,"0000")&amp;"-"&amp;TEXT(TODAY(),"YYYYMMDD"))</f>
        <v/>
      </c>
      <c r="C253" s="40" t="str">
        <f>IF(Agent02_Withdrawals!A60="","",Agent02_Withdrawals!B60)</f>
        <v/>
      </c>
      <c r="D253" s="43" t="str">
        <f>IF(Agent02_Withdrawals!A60="","",Agent02_Withdrawals!C60)</f>
        <v/>
      </c>
      <c r="E253" s="41" t="str">
        <f>IF(Agent02_Withdrawals!A60="","",Agent02_Withdrawals!D60)</f>
        <v/>
      </c>
      <c r="F253" s="40" t="str">
        <f>IF(Agent02_Withdrawals!A60="","",Agent02_Withdrawals!F60)</f>
        <v/>
      </c>
      <c r="G253" s="42" t="str">
        <f>IF(Agent02_Withdrawals!A60="","",Agent02_Withdrawals!E60)</f>
        <v/>
      </c>
      <c r="H253" s="42" t="str">
        <f>IF(Agent02_Withdrawals!A60="","",Agent02_Withdrawals!G60)</f>
        <v/>
      </c>
      <c r="I253" s="40" t="str">
        <f>IF(Agent02_Withdrawals!A60="","",Agent02_Withdrawals!H60)</f>
        <v/>
      </c>
      <c r="J253" s="40" t="str">
        <f>IF(Agent02_Withdrawals!A60="","",Agent02_Withdrawals!J60)</f>
        <v/>
      </c>
      <c r="K253" s="40" t="str">
        <f>IF(Agent02_Withdrawals!A60="","",Agent02_Withdrawals!K60)</f>
        <v/>
      </c>
      <c r="L253" s="40" t="str">
        <f>IF(G253="","",IF(D253-G253&gt;=System_Config!$B$9,"✅ OK","⚠️ BREACH"))</f>
        <v/>
      </c>
      <c r="M253" s="40" t="str">
        <f>IFERROR(IF(Agent02_Withdrawals!A60="","",YEAR(Agent02_Withdrawals!D60)),"")</f>
        <v/>
      </c>
    </row>
    <row r="254" spans="1:13" ht="18" customHeight="1" x14ac:dyDescent="0.25">
      <c r="A254" s="40" t="str">
        <f>IF(Agent02_Withdrawals!A61="","",Agent02_Withdrawals!A61)</f>
        <v/>
      </c>
      <c r="B254" s="40" t="str">
        <f ca="1">IF(Agent02_Withdrawals!A61="","","WD"&amp;TEXT(254-3,"0000")&amp;"-"&amp;TEXT(TODAY(),"YYYYMMDD"))</f>
        <v/>
      </c>
      <c r="C254" s="40" t="str">
        <f>IF(Agent02_Withdrawals!A61="","",Agent02_Withdrawals!B61)</f>
        <v/>
      </c>
      <c r="D254" s="43" t="str">
        <f>IF(Agent02_Withdrawals!A61="","",Agent02_Withdrawals!C61)</f>
        <v/>
      </c>
      <c r="E254" s="41" t="str">
        <f>IF(Agent02_Withdrawals!A61="","",Agent02_Withdrawals!D61)</f>
        <v/>
      </c>
      <c r="F254" s="40" t="str">
        <f>IF(Agent02_Withdrawals!A61="","",Agent02_Withdrawals!F61)</f>
        <v/>
      </c>
      <c r="G254" s="42" t="str">
        <f>IF(Agent02_Withdrawals!A61="","",Agent02_Withdrawals!E61)</f>
        <v/>
      </c>
      <c r="H254" s="42" t="str">
        <f>IF(Agent02_Withdrawals!A61="","",Agent02_Withdrawals!G61)</f>
        <v/>
      </c>
      <c r="I254" s="40" t="str">
        <f>IF(Agent02_Withdrawals!A61="","",Agent02_Withdrawals!H61)</f>
        <v/>
      </c>
      <c r="J254" s="40" t="str">
        <f>IF(Agent02_Withdrawals!A61="","",Agent02_Withdrawals!J61)</f>
        <v/>
      </c>
      <c r="K254" s="40" t="str">
        <f>IF(Agent02_Withdrawals!A61="","",Agent02_Withdrawals!K61)</f>
        <v/>
      </c>
      <c r="L254" s="40" t="str">
        <f>IF(G254="","",IF(D254-G254&gt;=System_Config!$B$9,"✅ OK","⚠️ BREACH"))</f>
        <v/>
      </c>
      <c r="M254" s="40" t="str">
        <f>IFERROR(IF(Agent02_Withdrawals!A61="","",YEAR(Agent02_Withdrawals!D61)),"")</f>
        <v/>
      </c>
    </row>
    <row r="255" spans="1:13" ht="18" customHeight="1" x14ac:dyDescent="0.25">
      <c r="A255" s="40" t="str">
        <f>IF(Agent02_Withdrawals!A62="","",Agent02_Withdrawals!A62)</f>
        <v/>
      </c>
      <c r="B255" s="40" t="str">
        <f ca="1">IF(Agent02_Withdrawals!A62="","","WD"&amp;TEXT(255-3,"0000")&amp;"-"&amp;TEXT(TODAY(),"YYYYMMDD"))</f>
        <v/>
      </c>
      <c r="C255" s="40" t="str">
        <f>IF(Agent02_Withdrawals!A62="","",Agent02_Withdrawals!B62)</f>
        <v/>
      </c>
      <c r="D255" s="43" t="str">
        <f>IF(Agent02_Withdrawals!A62="","",Agent02_Withdrawals!C62)</f>
        <v/>
      </c>
      <c r="E255" s="41" t="str">
        <f>IF(Agent02_Withdrawals!A62="","",Agent02_Withdrawals!D62)</f>
        <v/>
      </c>
      <c r="F255" s="40" t="str">
        <f>IF(Agent02_Withdrawals!A62="","",Agent02_Withdrawals!F62)</f>
        <v/>
      </c>
      <c r="G255" s="42" t="str">
        <f>IF(Agent02_Withdrawals!A62="","",Agent02_Withdrawals!E62)</f>
        <v/>
      </c>
      <c r="H255" s="42" t="str">
        <f>IF(Agent02_Withdrawals!A62="","",Agent02_Withdrawals!G62)</f>
        <v/>
      </c>
      <c r="I255" s="40" t="str">
        <f>IF(Agent02_Withdrawals!A62="","",Agent02_Withdrawals!H62)</f>
        <v/>
      </c>
      <c r="J255" s="40" t="str">
        <f>IF(Agent02_Withdrawals!A62="","",Agent02_Withdrawals!J62)</f>
        <v/>
      </c>
      <c r="K255" s="40" t="str">
        <f>IF(Agent02_Withdrawals!A62="","",Agent02_Withdrawals!K62)</f>
        <v/>
      </c>
      <c r="L255" s="40" t="str">
        <f>IF(G255="","",IF(D255-G255&gt;=System_Config!$B$9,"✅ OK","⚠️ BREACH"))</f>
        <v/>
      </c>
      <c r="M255" s="40" t="str">
        <f>IFERROR(IF(Agent02_Withdrawals!A62="","",YEAR(Agent02_Withdrawals!D62)),"")</f>
        <v/>
      </c>
    </row>
    <row r="256" spans="1:13" ht="18" customHeight="1" x14ac:dyDescent="0.25">
      <c r="A256" s="40" t="str">
        <f>IF(Agent02_Withdrawals!A63="","",Agent02_Withdrawals!A63)</f>
        <v/>
      </c>
      <c r="B256" s="40" t="str">
        <f ca="1">IF(Agent02_Withdrawals!A63="","","WD"&amp;TEXT(256-3,"0000")&amp;"-"&amp;TEXT(TODAY(),"YYYYMMDD"))</f>
        <v/>
      </c>
      <c r="C256" s="40" t="str">
        <f>IF(Agent02_Withdrawals!A63="","",Agent02_Withdrawals!B63)</f>
        <v/>
      </c>
      <c r="D256" s="43" t="str">
        <f>IF(Agent02_Withdrawals!A63="","",Agent02_Withdrawals!C63)</f>
        <v/>
      </c>
      <c r="E256" s="41" t="str">
        <f>IF(Agent02_Withdrawals!A63="","",Agent02_Withdrawals!D63)</f>
        <v/>
      </c>
      <c r="F256" s="40" t="str">
        <f>IF(Agent02_Withdrawals!A63="","",Agent02_Withdrawals!F63)</f>
        <v/>
      </c>
      <c r="G256" s="42" t="str">
        <f>IF(Agent02_Withdrawals!A63="","",Agent02_Withdrawals!E63)</f>
        <v/>
      </c>
      <c r="H256" s="42" t="str">
        <f>IF(Agent02_Withdrawals!A63="","",Agent02_Withdrawals!G63)</f>
        <v/>
      </c>
      <c r="I256" s="40" t="str">
        <f>IF(Agent02_Withdrawals!A63="","",Agent02_Withdrawals!H63)</f>
        <v/>
      </c>
      <c r="J256" s="40" t="str">
        <f>IF(Agent02_Withdrawals!A63="","",Agent02_Withdrawals!J63)</f>
        <v/>
      </c>
      <c r="K256" s="40" t="str">
        <f>IF(Agent02_Withdrawals!A63="","",Agent02_Withdrawals!K63)</f>
        <v/>
      </c>
      <c r="L256" s="40" t="str">
        <f>IF(G256="","",IF(D256-G256&gt;=System_Config!$B$9,"✅ OK","⚠️ BREACH"))</f>
        <v/>
      </c>
      <c r="M256" s="40" t="str">
        <f>IFERROR(IF(Agent02_Withdrawals!A63="","",YEAR(Agent02_Withdrawals!D63)),"")</f>
        <v/>
      </c>
    </row>
    <row r="257" spans="1:13" ht="18" customHeight="1" x14ac:dyDescent="0.25">
      <c r="A257" s="40" t="str">
        <f>IF(Agent02_Withdrawals!A64="","",Agent02_Withdrawals!A64)</f>
        <v/>
      </c>
      <c r="B257" s="40" t="str">
        <f ca="1">IF(Agent02_Withdrawals!A64="","","WD"&amp;TEXT(257-3,"0000")&amp;"-"&amp;TEXT(TODAY(),"YYYYMMDD"))</f>
        <v/>
      </c>
      <c r="C257" s="40" t="str">
        <f>IF(Agent02_Withdrawals!A64="","",Agent02_Withdrawals!B64)</f>
        <v/>
      </c>
      <c r="D257" s="43" t="str">
        <f>IF(Agent02_Withdrawals!A64="","",Agent02_Withdrawals!C64)</f>
        <v/>
      </c>
      <c r="E257" s="41" t="str">
        <f>IF(Agent02_Withdrawals!A64="","",Agent02_Withdrawals!D64)</f>
        <v/>
      </c>
      <c r="F257" s="40" t="str">
        <f>IF(Agent02_Withdrawals!A64="","",Agent02_Withdrawals!F64)</f>
        <v/>
      </c>
      <c r="G257" s="42" t="str">
        <f>IF(Agent02_Withdrawals!A64="","",Agent02_Withdrawals!E64)</f>
        <v/>
      </c>
      <c r="H257" s="42" t="str">
        <f>IF(Agent02_Withdrawals!A64="","",Agent02_Withdrawals!G64)</f>
        <v/>
      </c>
      <c r="I257" s="40" t="str">
        <f>IF(Agent02_Withdrawals!A64="","",Agent02_Withdrawals!H64)</f>
        <v/>
      </c>
      <c r="J257" s="40" t="str">
        <f>IF(Agent02_Withdrawals!A64="","",Agent02_Withdrawals!J64)</f>
        <v/>
      </c>
      <c r="K257" s="40" t="str">
        <f>IF(Agent02_Withdrawals!A64="","",Agent02_Withdrawals!K64)</f>
        <v/>
      </c>
      <c r="L257" s="40" t="str">
        <f>IF(G257="","",IF(D257-G257&gt;=System_Config!$B$9,"✅ OK","⚠️ BREACH"))</f>
        <v/>
      </c>
      <c r="M257" s="40" t="str">
        <f>IFERROR(IF(Agent02_Withdrawals!A64="","",YEAR(Agent02_Withdrawals!D64)),"")</f>
        <v/>
      </c>
    </row>
    <row r="258" spans="1:13" ht="18" customHeight="1" x14ac:dyDescent="0.25">
      <c r="A258" s="40" t="str">
        <f>IF(Agent02_Withdrawals!A65="","",Agent02_Withdrawals!A65)</f>
        <v/>
      </c>
      <c r="B258" s="40" t="str">
        <f ca="1">IF(Agent02_Withdrawals!A65="","","WD"&amp;TEXT(258-3,"0000")&amp;"-"&amp;TEXT(TODAY(),"YYYYMMDD"))</f>
        <v/>
      </c>
      <c r="C258" s="40" t="str">
        <f>IF(Agent02_Withdrawals!A65="","",Agent02_Withdrawals!B65)</f>
        <v/>
      </c>
      <c r="D258" s="43" t="str">
        <f>IF(Agent02_Withdrawals!A65="","",Agent02_Withdrawals!C65)</f>
        <v/>
      </c>
      <c r="E258" s="41" t="str">
        <f>IF(Agent02_Withdrawals!A65="","",Agent02_Withdrawals!D65)</f>
        <v/>
      </c>
      <c r="F258" s="40" t="str">
        <f>IF(Agent02_Withdrawals!A65="","",Agent02_Withdrawals!F65)</f>
        <v/>
      </c>
      <c r="G258" s="42" t="str">
        <f>IF(Agent02_Withdrawals!A65="","",Agent02_Withdrawals!E65)</f>
        <v/>
      </c>
      <c r="H258" s="42" t="str">
        <f>IF(Agent02_Withdrawals!A65="","",Agent02_Withdrawals!G65)</f>
        <v/>
      </c>
      <c r="I258" s="40" t="str">
        <f>IF(Agent02_Withdrawals!A65="","",Agent02_Withdrawals!H65)</f>
        <v/>
      </c>
      <c r="J258" s="40" t="str">
        <f>IF(Agent02_Withdrawals!A65="","",Agent02_Withdrawals!J65)</f>
        <v/>
      </c>
      <c r="K258" s="40" t="str">
        <f>IF(Agent02_Withdrawals!A65="","",Agent02_Withdrawals!K65)</f>
        <v/>
      </c>
      <c r="L258" s="40" t="str">
        <f>IF(G258="","",IF(D258-G258&gt;=System_Config!$B$9,"✅ OK","⚠️ BREACH"))</f>
        <v/>
      </c>
      <c r="M258" s="40" t="str">
        <f>IFERROR(IF(Agent02_Withdrawals!A65="","",YEAR(Agent02_Withdrawals!D65)),"")</f>
        <v/>
      </c>
    </row>
    <row r="259" spans="1:13" ht="18" customHeight="1" x14ac:dyDescent="0.25">
      <c r="A259" s="40" t="str">
        <f>IF(Agent02_Withdrawals!A66="","",Agent02_Withdrawals!A66)</f>
        <v/>
      </c>
      <c r="B259" s="40" t="str">
        <f ca="1">IF(Agent02_Withdrawals!A66="","","WD"&amp;TEXT(259-3,"0000")&amp;"-"&amp;TEXT(TODAY(),"YYYYMMDD"))</f>
        <v/>
      </c>
      <c r="C259" s="40" t="str">
        <f>IF(Agent02_Withdrawals!A66="","",Agent02_Withdrawals!B66)</f>
        <v/>
      </c>
      <c r="D259" s="43" t="str">
        <f>IF(Agent02_Withdrawals!A66="","",Agent02_Withdrawals!C66)</f>
        <v/>
      </c>
      <c r="E259" s="41" t="str">
        <f>IF(Agent02_Withdrawals!A66="","",Agent02_Withdrawals!D66)</f>
        <v/>
      </c>
      <c r="F259" s="40" t="str">
        <f>IF(Agent02_Withdrawals!A66="","",Agent02_Withdrawals!F66)</f>
        <v/>
      </c>
      <c r="G259" s="42" t="str">
        <f>IF(Agent02_Withdrawals!A66="","",Agent02_Withdrawals!E66)</f>
        <v/>
      </c>
      <c r="H259" s="42" t="str">
        <f>IF(Agent02_Withdrawals!A66="","",Agent02_Withdrawals!G66)</f>
        <v/>
      </c>
      <c r="I259" s="40" t="str">
        <f>IF(Agent02_Withdrawals!A66="","",Agent02_Withdrawals!H66)</f>
        <v/>
      </c>
      <c r="J259" s="40" t="str">
        <f>IF(Agent02_Withdrawals!A66="","",Agent02_Withdrawals!J66)</f>
        <v/>
      </c>
      <c r="K259" s="40" t="str">
        <f>IF(Agent02_Withdrawals!A66="","",Agent02_Withdrawals!K66)</f>
        <v/>
      </c>
      <c r="L259" s="40" t="str">
        <f>IF(G259="","",IF(D259-G259&gt;=System_Config!$B$9,"✅ OK","⚠️ BREACH"))</f>
        <v/>
      </c>
      <c r="M259" s="40" t="str">
        <f>IFERROR(IF(Agent02_Withdrawals!A66="","",YEAR(Agent02_Withdrawals!D66)),"")</f>
        <v/>
      </c>
    </row>
    <row r="260" spans="1:13" ht="18" customHeight="1" x14ac:dyDescent="0.25">
      <c r="A260" s="40" t="str">
        <f>IF(Agent02_Withdrawals!A67="","",Agent02_Withdrawals!A67)</f>
        <v/>
      </c>
      <c r="B260" s="40" t="str">
        <f ca="1">IF(Agent02_Withdrawals!A67="","","WD"&amp;TEXT(260-3,"0000")&amp;"-"&amp;TEXT(TODAY(),"YYYYMMDD"))</f>
        <v/>
      </c>
      <c r="C260" s="40" t="str">
        <f>IF(Agent02_Withdrawals!A67="","",Agent02_Withdrawals!B67)</f>
        <v/>
      </c>
      <c r="D260" s="43" t="str">
        <f>IF(Agent02_Withdrawals!A67="","",Agent02_Withdrawals!C67)</f>
        <v/>
      </c>
      <c r="E260" s="41" t="str">
        <f>IF(Agent02_Withdrawals!A67="","",Agent02_Withdrawals!D67)</f>
        <v/>
      </c>
      <c r="F260" s="40" t="str">
        <f>IF(Agent02_Withdrawals!A67="","",Agent02_Withdrawals!F67)</f>
        <v/>
      </c>
      <c r="G260" s="42" t="str">
        <f>IF(Agent02_Withdrawals!A67="","",Agent02_Withdrawals!E67)</f>
        <v/>
      </c>
      <c r="H260" s="42" t="str">
        <f>IF(Agent02_Withdrawals!A67="","",Agent02_Withdrawals!G67)</f>
        <v/>
      </c>
      <c r="I260" s="40" t="str">
        <f>IF(Agent02_Withdrawals!A67="","",Agent02_Withdrawals!H67)</f>
        <v/>
      </c>
      <c r="J260" s="40" t="str">
        <f>IF(Agent02_Withdrawals!A67="","",Agent02_Withdrawals!J67)</f>
        <v/>
      </c>
      <c r="K260" s="40" t="str">
        <f>IF(Agent02_Withdrawals!A67="","",Agent02_Withdrawals!K67)</f>
        <v/>
      </c>
      <c r="L260" s="40" t="str">
        <f>IF(G260="","",IF(D260-G260&gt;=System_Config!$B$9,"✅ OK","⚠️ BREACH"))</f>
        <v/>
      </c>
      <c r="M260" s="40" t="str">
        <f>IFERROR(IF(Agent02_Withdrawals!A67="","",YEAR(Agent02_Withdrawals!D67)),"")</f>
        <v/>
      </c>
    </row>
    <row r="261" spans="1:13" ht="18" customHeight="1" x14ac:dyDescent="0.25">
      <c r="A261" s="40" t="str">
        <f>IF(Agent02_Withdrawals!A68="","",Agent02_Withdrawals!A68)</f>
        <v/>
      </c>
      <c r="B261" s="40" t="str">
        <f ca="1">IF(Agent02_Withdrawals!A68="","","WD"&amp;TEXT(261-3,"0000")&amp;"-"&amp;TEXT(TODAY(),"YYYYMMDD"))</f>
        <v/>
      </c>
      <c r="C261" s="40" t="str">
        <f>IF(Agent02_Withdrawals!A68="","",Agent02_Withdrawals!B68)</f>
        <v/>
      </c>
      <c r="D261" s="43" t="str">
        <f>IF(Agent02_Withdrawals!A68="","",Agent02_Withdrawals!C68)</f>
        <v/>
      </c>
      <c r="E261" s="41" t="str">
        <f>IF(Agent02_Withdrawals!A68="","",Agent02_Withdrawals!D68)</f>
        <v/>
      </c>
      <c r="F261" s="40" t="str">
        <f>IF(Agent02_Withdrawals!A68="","",Agent02_Withdrawals!F68)</f>
        <v/>
      </c>
      <c r="G261" s="42" t="str">
        <f>IF(Agent02_Withdrawals!A68="","",Agent02_Withdrawals!E68)</f>
        <v/>
      </c>
      <c r="H261" s="42" t="str">
        <f>IF(Agent02_Withdrawals!A68="","",Agent02_Withdrawals!G68)</f>
        <v/>
      </c>
      <c r="I261" s="40" t="str">
        <f>IF(Agent02_Withdrawals!A68="","",Agent02_Withdrawals!H68)</f>
        <v/>
      </c>
      <c r="J261" s="40" t="str">
        <f>IF(Agent02_Withdrawals!A68="","",Agent02_Withdrawals!J68)</f>
        <v/>
      </c>
      <c r="K261" s="40" t="str">
        <f>IF(Agent02_Withdrawals!A68="","",Agent02_Withdrawals!K68)</f>
        <v/>
      </c>
      <c r="L261" s="40" t="str">
        <f>IF(G261="","",IF(D261-G261&gt;=System_Config!$B$9,"✅ OK","⚠️ BREACH"))</f>
        <v/>
      </c>
      <c r="M261" s="40" t="str">
        <f>IFERROR(IF(Agent02_Withdrawals!A68="","",YEAR(Agent02_Withdrawals!D68)),"")</f>
        <v/>
      </c>
    </row>
    <row r="262" spans="1:13" ht="18" customHeight="1" x14ac:dyDescent="0.25">
      <c r="A262" s="40" t="str">
        <f>IF(Agent02_Withdrawals!A69="","",Agent02_Withdrawals!A69)</f>
        <v/>
      </c>
      <c r="B262" s="40" t="str">
        <f ca="1">IF(Agent02_Withdrawals!A69="","","WD"&amp;TEXT(262-3,"0000")&amp;"-"&amp;TEXT(TODAY(),"YYYYMMDD"))</f>
        <v/>
      </c>
      <c r="C262" s="40" t="str">
        <f>IF(Agent02_Withdrawals!A69="","",Agent02_Withdrawals!B69)</f>
        <v/>
      </c>
      <c r="D262" s="43" t="str">
        <f>IF(Agent02_Withdrawals!A69="","",Agent02_Withdrawals!C69)</f>
        <v/>
      </c>
      <c r="E262" s="41" t="str">
        <f>IF(Agent02_Withdrawals!A69="","",Agent02_Withdrawals!D69)</f>
        <v/>
      </c>
      <c r="F262" s="40" t="str">
        <f>IF(Agent02_Withdrawals!A69="","",Agent02_Withdrawals!F69)</f>
        <v/>
      </c>
      <c r="G262" s="42" t="str">
        <f>IF(Agent02_Withdrawals!A69="","",Agent02_Withdrawals!E69)</f>
        <v/>
      </c>
      <c r="H262" s="42" t="str">
        <f>IF(Agent02_Withdrawals!A69="","",Agent02_Withdrawals!G69)</f>
        <v/>
      </c>
      <c r="I262" s="40" t="str">
        <f>IF(Agent02_Withdrawals!A69="","",Agent02_Withdrawals!H69)</f>
        <v/>
      </c>
      <c r="J262" s="40" t="str">
        <f>IF(Agent02_Withdrawals!A69="","",Agent02_Withdrawals!J69)</f>
        <v/>
      </c>
      <c r="K262" s="40" t="str">
        <f>IF(Agent02_Withdrawals!A69="","",Agent02_Withdrawals!K69)</f>
        <v/>
      </c>
      <c r="L262" s="40" t="str">
        <f>IF(G262="","",IF(D262-G262&gt;=System_Config!$B$9,"✅ OK","⚠️ BREACH"))</f>
        <v/>
      </c>
      <c r="M262" s="40" t="str">
        <f>IFERROR(IF(Agent02_Withdrawals!A69="","",YEAR(Agent02_Withdrawals!D69)),"")</f>
        <v/>
      </c>
    </row>
    <row r="263" spans="1:13" ht="18" customHeight="1" x14ac:dyDescent="0.25">
      <c r="A263" s="40" t="str">
        <f>IF(Agent02_Withdrawals!A70="","",Agent02_Withdrawals!A70)</f>
        <v/>
      </c>
      <c r="B263" s="40" t="str">
        <f ca="1">IF(Agent02_Withdrawals!A70="","","WD"&amp;TEXT(263-3,"0000")&amp;"-"&amp;TEXT(TODAY(),"YYYYMMDD"))</f>
        <v/>
      </c>
      <c r="C263" s="40" t="str">
        <f>IF(Agent02_Withdrawals!A70="","",Agent02_Withdrawals!B70)</f>
        <v/>
      </c>
      <c r="D263" s="43" t="str">
        <f>IF(Agent02_Withdrawals!A70="","",Agent02_Withdrawals!C70)</f>
        <v/>
      </c>
      <c r="E263" s="41" t="str">
        <f>IF(Agent02_Withdrawals!A70="","",Agent02_Withdrawals!D70)</f>
        <v/>
      </c>
      <c r="F263" s="40" t="str">
        <f>IF(Agent02_Withdrawals!A70="","",Agent02_Withdrawals!F70)</f>
        <v/>
      </c>
      <c r="G263" s="42" t="str">
        <f>IF(Agent02_Withdrawals!A70="","",Agent02_Withdrawals!E70)</f>
        <v/>
      </c>
      <c r="H263" s="42" t="str">
        <f>IF(Agent02_Withdrawals!A70="","",Agent02_Withdrawals!G70)</f>
        <v/>
      </c>
      <c r="I263" s="40" t="str">
        <f>IF(Agent02_Withdrawals!A70="","",Agent02_Withdrawals!H70)</f>
        <v/>
      </c>
      <c r="J263" s="40" t="str">
        <f>IF(Agent02_Withdrawals!A70="","",Agent02_Withdrawals!J70)</f>
        <v/>
      </c>
      <c r="K263" s="40" t="str">
        <f>IF(Agent02_Withdrawals!A70="","",Agent02_Withdrawals!K70)</f>
        <v/>
      </c>
      <c r="L263" s="40" t="str">
        <f>IF(G263="","",IF(D263-G263&gt;=System_Config!$B$9,"✅ OK","⚠️ BREACH"))</f>
        <v/>
      </c>
      <c r="M263" s="40" t="str">
        <f>IFERROR(IF(Agent02_Withdrawals!A70="","",YEAR(Agent02_Withdrawals!D70)),"")</f>
        <v/>
      </c>
    </row>
    <row r="264" spans="1:13" ht="18" customHeight="1" x14ac:dyDescent="0.25">
      <c r="A264" s="40" t="str">
        <f>IF(Agent02_Withdrawals!A71="","",Agent02_Withdrawals!A71)</f>
        <v/>
      </c>
      <c r="B264" s="40" t="str">
        <f ca="1">IF(Agent02_Withdrawals!A71="","","WD"&amp;TEXT(264-3,"0000")&amp;"-"&amp;TEXT(TODAY(),"YYYYMMDD"))</f>
        <v/>
      </c>
      <c r="C264" s="40" t="str">
        <f>IF(Agent02_Withdrawals!A71="","",Agent02_Withdrawals!B71)</f>
        <v/>
      </c>
      <c r="D264" s="43" t="str">
        <f>IF(Agent02_Withdrawals!A71="","",Agent02_Withdrawals!C71)</f>
        <v/>
      </c>
      <c r="E264" s="41" t="str">
        <f>IF(Agent02_Withdrawals!A71="","",Agent02_Withdrawals!D71)</f>
        <v/>
      </c>
      <c r="F264" s="40" t="str">
        <f>IF(Agent02_Withdrawals!A71="","",Agent02_Withdrawals!F71)</f>
        <v/>
      </c>
      <c r="G264" s="42" t="str">
        <f>IF(Agent02_Withdrawals!A71="","",Agent02_Withdrawals!E71)</f>
        <v/>
      </c>
      <c r="H264" s="42" t="str">
        <f>IF(Agent02_Withdrawals!A71="","",Agent02_Withdrawals!G71)</f>
        <v/>
      </c>
      <c r="I264" s="40" t="str">
        <f>IF(Agent02_Withdrawals!A71="","",Agent02_Withdrawals!H71)</f>
        <v/>
      </c>
      <c r="J264" s="40" t="str">
        <f>IF(Agent02_Withdrawals!A71="","",Agent02_Withdrawals!J71)</f>
        <v/>
      </c>
      <c r="K264" s="40" t="str">
        <f>IF(Agent02_Withdrawals!A71="","",Agent02_Withdrawals!K71)</f>
        <v/>
      </c>
      <c r="L264" s="40" t="str">
        <f>IF(G264="","",IF(D264-G264&gt;=System_Config!$B$9,"✅ OK","⚠️ BREACH"))</f>
        <v/>
      </c>
      <c r="M264" s="40" t="str">
        <f>IFERROR(IF(Agent02_Withdrawals!A71="","",YEAR(Agent02_Withdrawals!D71)),"")</f>
        <v/>
      </c>
    </row>
    <row r="265" spans="1:13" ht="18" customHeight="1" x14ac:dyDescent="0.25">
      <c r="A265" s="40" t="str">
        <f>IF(Agent02_Withdrawals!A72="","",Agent02_Withdrawals!A72)</f>
        <v/>
      </c>
      <c r="B265" s="40" t="str">
        <f ca="1">IF(Agent02_Withdrawals!A72="","","WD"&amp;TEXT(265-3,"0000")&amp;"-"&amp;TEXT(TODAY(),"YYYYMMDD"))</f>
        <v/>
      </c>
      <c r="C265" s="40" t="str">
        <f>IF(Agent02_Withdrawals!A72="","",Agent02_Withdrawals!B72)</f>
        <v/>
      </c>
      <c r="D265" s="43" t="str">
        <f>IF(Agent02_Withdrawals!A72="","",Agent02_Withdrawals!C72)</f>
        <v/>
      </c>
      <c r="E265" s="41" t="str">
        <f>IF(Agent02_Withdrawals!A72="","",Agent02_Withdrawals!D72)</f>
        <v/>
      </c>
      <c r="F265" s="40" t="str">
        <f>IF(Agent02_Withdrawals!A72="","",Agent02_Withdrawals!F72)</f>
        <v/>
      </c>
      <c r="G265" s="42" t="str">
        <f>IF(Agent02_Withdrawals!A72="","",Agent02_Withdrawals!E72)</f>
        <v/>
      </c>
      <c r="H265" s="42" t="str">
        <f>IF(Agent02_Withdrawals!A72="","",Agent02_Withdrawals!G72)</f>
        <v/>
      </c>
      <c r="I265" s="40" t="str">
        <f>IF(Agent02_Withdrawals!A72="","",Agent02_Withdrawals!H72)</f>
        <v/>
      </c>
      <c r="J265" s="40" t="str">
        <f>IF(Agent02_Withdrawals!A72="","",Agent02_Withdrawals!J72)</f>
        <v/>
      </c>
      <c r="K265" s="40" t="str">
        <f>IF(Agent02_Withdrawals!A72="","",Agent02_Withdrawals!K72)</f>
        <v/>
      </c>
      <c r="L265" s="40" t="str">
        <f>IF(G265="","",IF(D265-G265&gt;=System_Config!$B$9,"✅ OK","⚠️ BREACH"))</f>
        <v/>
      </c>
      <c r="M265" s="40" t="str">
        <f>IFERROR(IF(Agent02_Withdrawals!A72="","",YEAR(Agent02_Withdrawals!D72)),"")</f>
        <v/>
      </c>
    </row>
    <row r="266" spans="1:13" ht="18" customHeight="1" x14ac:dyDescent="0.25">
      <c r="A266" s="40" t="str">
        <f>IF(Agent02_Withdrawals!A73="","",Agent02_Withdrawals!A73)</f>
        <v/>
      </c>
      <c r="B266" s="40" t="str">
        <f ca="1">IF(Agent02_Withdrawals!A73="","","WD"&amp;TEXT(266-3,"0000")&amp;"-"&amp;TEXT(TODAY(),"YYYYMMDD"))</f>
        <v/>
      </c>
      <c r="C266" s="40" t="str">
        <f>IF(Agent02_Withdrawals!A73="","",Agent02_Withdrawals!B73)</f>
        <v/>
      </c>
      <c r="D266" s="43" t="str">
        <f>IF(Agent02_Withdrawals!A73="","",Agent02_Withdrawals!C73)</f>
        <v/>
      </c>
      <c r="E266" s="41" t="str">
        <f>IF(Agent02_Withdrawals!A73="","",Agent02_Withdrawals!D73)</f>
        <v/>
      </c>
      <c r="F266" s="40" t="str">
        <f>IF(Agent02_Withdrawals!A73="","",Agent02_Withdrawals!F73)</f>
        <v/>
      </c>
      <c r="G266" s="42" t="str">
        <f>IF(Agent02_Withdrawals!A73="","",Agent02_Withdrawals!E73)</f>
        <v/>
      </c>
      <c r="H266" s="42" t="str">
        <f>IF(Agent02_Withdrawals!A73="","",Agent02_Withdrawals!G73)</f>
        <v/>
      </c>
      <c r="I266" s="40" t="str">
        <f>IF(Agent02_Withdrawals!A73="","",Agent02_Withdrawals!H73)</f>
        <v/>
      </c>
      <c r="J266" s="40" t="str">
        <f>IF(Agent02_Withdrawals!A73="","",Agent02_Withdrawals!J73)</f>
        <v/>
      </c>
      <c r="K266" s="40" t="str">
        <f>IF(Agent02_Withdrawals!A73="","",Agent02_Withdrawals!K73)</f>
        <v/>
      </c>
      <c r="L266" s="40" t="str">
        <f>IF(G266="","",IF(D266-G266&gt;=System_Config!$B$9,"✅ OK","⚠️ BREACH"))</f>
        <v/>
      </c>
      <c r="M266" s="40" t="str">
        <f>IFERROR(IF(Agent02_Withdrawals!A73="","",YEAR(Agent02_Withdrawals!D73)),"")</f>
        <v/>
      </c>
    </row>
    <row r="267" spans="1:13" ht="18" customHeight="1" x14ac:dyDescent="0.25">
      <c r="A267" s="40" t="str">
        <f>IF(Agent02_Withdrawals!A74="","",Agent02_Withdrawals!A74)</f>
        <v/>
      </c>
      <c r="B267" s="40" t="str">
        <f ca="1">IF(Agent02_Withdrawals!A74="","","WD"&amp;TEXT(267-3,"0000")&amp;"-"&amp;TEXT(TODAY(),"YYYYMMDD"))</f>
        <v/>
      </c>
      <c r="C267" s="40" t="str">
        <f>IF(Agent02_Withdrawals!A74="","",Agent02_Withdrawals!B74)</f>
        <v/>
      </c>
      <c r="D267" s="43" t="str">
        <f>IF(Agent02_Withdrawals!A74="","",Agent02_Withdrawals!C74)</f>
        <v/>
      </c>
      <c r="E267" s="41" t="str">
        <f>IF(Agent02_Withdrawals!A74="","",Agent02_Withdrawals!D74)</f>
        <v/>
      </c>
      <c r="F267" s="40" t="str">
        <f>IF(Agent02_Withdrawals!A74="","",Agent02_Withdrawals!F74)</f>
        <v/>
      </c>
      <c r="G267" s="42" t="str">
        <f>IF(Agent02_Withdrawals!A74="","",Agent02_Withdrawals!E74)</f>
        <v/>
      </c>
      <c r="H267" s="42" t="str">
        <f>IF(Agent02_Withdrawals!A74="","",Agent02_Withdrawals!G74)</f>
        <v/>
      </c>
      <c r="I267" s="40" t="str">
        <f>IF(Agent02_Withdrawals!A74="","",Agent02_Withdrawals!H74)</f>
        <v/>
      </c>
      <c r="J267" s="40" t="str">
        <f>IF(Agent02_Withdrawals!A74="","",Agent02_Withdrawals!J74)</f>
        <v/>
      </c>
      <c r="K267" s="40" t="str">
        <f>IF(Agent02_Withdrawals!A74="","",Agent02_Withdrawals!K74)</f>
        <v/>
      </c>
      <c r="L267" s="40" t="str">
        <f>IF(G267="","",IF(D267-G267&gt;=System_Config!$B$9,"✅ OK","⚠️ BREACH"))</f>
        <v/>
      </c>
      <c r="M267" s="40" t="str">
        <f>IFERROR(IF(Agent02_Withdrawals!A74="","",YEAR(Agent02_Withdrawals!D74)),"")</f>
        <v/>
      </c>
    </row>
    <row r="268" spans="1:13" ht="18" customHeight="1" x14ac:dyDescent="0.25">
      <c r="A268" s="40" t="str">
        <f>IF(Agent02_Withdrawals!A75="","",Agent02_Withdrawals!A75)</f>
        <v/>
      </c>
      <c r="B268" s="40" t="str">
        <f ca="1">IF(Agent02_Withdrawals!A75="","","WD"&amp;TEXT(268-3,"0000")&amp;"-"&amp;TEXT(TODAY(),"YYYYMMDD"))</f>
        <v/>
      </c>
      <c r="C268" s="40" t="str">
        <f>IF(Agent02_Withdrawals!A75="","",Agent02_Withdrawals!B75)</f>
        <v/>
      </c>
      <c r="D268" s="43" t="str">
        <f>IF(Agent02_Withdrawals!A75="","",Agent02_Withdrawals!C75)</f>
        <v/>
      </c>
      <c r="E268" s="41" t="str">
        <f>IF(Agent02_Withdrawals!A75="","",Agent02_Withdrawals!D75)</f>
        <v/>
      </c>
      <c r="F268" s="40" t="str">
        <f>IF(Agent02_Withdrawals!A75="","",Agent02_Withdrawals!F75)</f>
        <v/>
      </c>
      <c r="G268" s="42" t="str">
        <f>IF(Agent02_Withdrawals!A75="","",Agent02_Withdrawals!E75)</f>
        <v/>
      </c>
      <c r="H268" s="42" t="str">
        <f>IF(Agent02_Withdrawals!A75="","",Agent02_Withdrawals!G75)</f>
        <v/>
      </c>
      <c r="I268" s="40" t="str">
        <f>IF(Agent02_Withdrawals!A75="","",Agent02_Withdrawals!H75)</f>
        <v/>
      </c>
      <c r="J268" s="40" t="str">
        <f>IF(Agent02_Withdrawals!A75="","",Agent02_Withdrawals!J75)</f>
        <v/>
      </c>
      <c r="K268" s="40" t="str">
        <f>IF(Agent02_Withdrawals!A75="","",Agent02_Withdrawals!K75)</f>
        <v/>
      </c>
      <c r="L268" s="40" t="str">
        <f>IF(G268="","",IF(D268-G268&gt;=System_Config!$B$9,"✅ OK","⚠️ BREACH"))</f>
        <v/>
      </c>
      <c r="M268" s="40" t="str">
        <f>IFERROR(IF(Agent02_Withdrawals!A75="","",YEAR(Agent02_Withdrawals!D75)),"")</f>
        <v/>
      </c>
    </row>
    <row r="269" spans="1:13" ht="18" customHeight="1" x14ac:dyDescent="0.25">
      <c r="A269" s="40" t="str">
        <f>IF(Agent02_Withdrawals!A76="","",Agent02_Withdrawals!A76)</f>
        <v/>
      </c>
      <c r="B269" s="40" t="str">
        <f ca="1">IF(Agent02_Withdrawals!A76="","","WD"&amp;TEXT(269-3,"0000")&amp;"-"&amp;TEXT(TODAY(),"YYYYMMDD"))</f>
        <v/>
      </c>
      <c r="C269" s="40" t="str">
        <f>IF(Agent02_Withdrawals!A76="","",Agent02_Withdrawals!B76)</f>
        <v/>
      </c>
      <c r="D269" s="43" t="str">
        <f>IF(Agent02_Withdrawals!A76="","",Agent02_Withdrawals!C76)</f>
        <v/>
      </c>
      <c r="E269" s="41" t="str">
        <f>IF(Agent02_Withdrawals!A76="","",Agent02_Withdrawals!D76)</f>
        <v/>
      </c>
      <c r="F269" s="40" t="str">
        <f>IF(Agent02_Withdrawals!A76="","",Agent02_Withdrawals!F76)</f>
        <v/>
      </c>
      <c r="G269" s="42" t="str">
        <f>IF(Agent02_Withdrawals!A76="","",Agent02_Withdrawals!E76)</f>
        <v/>
      </c>
      <c r="H269" s="42" t="str">
        <f>IF(Agent02_Withdrawals!A76="","",Agent02_Withdrawals!G76)</f>
        <v/>
      </c>
      <c r="I269" s="40" t="str">
        <f>IF(Agent02_Withdrawals!A76="","",Agent02_Withdrawals!H76)</f>
        <v/>
      </c>
      <c r="J269" s="40" t="str">
        <f>IF(Agent02_Withdrawals!A76="","",Agent02_Withdrawals!J76)</f>
        <v/>
      </c>
      <c r="K269" s="40" t="str">
        <f>IF(Agent02_Withdrawals!A76="","",Agent02_Withdrawals!K76)</f>
        <v/>
      </c>
      <c r="L269" s="40" t="str">
        <f>IF(G269="","",IF(D269-G269&gt;=System_Config!$B$9,"✅ OK","⚠️ BREACH"))</f>
        <v/>
      </c>
      <c r="M269" s="40" t="str">
        <f>IFERROR(IF(Agent02_Withdrawals!A76="","",YEAR(Agent02_Withdrawals!D76)),"")</f>
        <v/>
      </c>
    </row>
    <row r="270" spans="1:13" ht="18" customHeight="1" x14ac:dyDescent="0.25">
      <c r="A270" s="40" t="str">
        <f>IF(Agent02_Withdrawals!A77="","",Agent02_Withdrawals!A77)</f>
        <v/>
      </c>
      <c r="B270" s="40" t="str">
        <f ca="1">IF(Agent02_Withdrawals!A77="","","WD"&amp;TEXT(270-3,"0000")&amp;"-"&amp;TEXT(TODAY(),"YYYYMMDD"))</f>
        <v/>
      </c>
      <c r="C270" s="40" t="str">
        <f>IF(Agent02_Withdrawals!A77="","",Agent02_Withdrawals!B77)</f>
        <v/>
      </c>
      <c r="D270" s="43" t="str">
        <f>IF(Agent02_Withdrawals!A77="","",Agent02_Withdrawals!C77)</f>
        <v/>
      </c>
      <c r="E270" s="41" t="str">
        <f>IF(Agent02_Withdrawals!A77="","",Agent02_Withdrawals!D77)</f>
        <v/>
      </c>
      <c r="F270" s="40" t="str">
        <f>IF(Agent02_Withdrawals!A77="","",Agent02_Withdrawals!F77)</f>
        <v/>
      </c>
      <c r="G270" s="42" t="str">
        <f>IF(Agent02_Withdrawals!A77="","",Agent02_Withdrawals!E77)</f>
        <v/>
      </c>
      <c r="H270" s="42" t="str">
        <f>IF(Agent02_Withdrawals!A77="","",Agent02_Withdrawals!G77)</f>
        <v/>
      </c>
      <c r="I270" s="40" t="str">
        <f>IF(Agent02_Withdrawals!A77="","",Agent02_Withdrawals!H77)</f>
        <v/>
      </c>
      <c r="J270" s="40" t="str">
        <f>IF(Agent02_Withdrawals!A77="","",Agent02_Withdrawals!J77)</f>
        <v/>
      </c>
      <c r="K270" s="40" t="str">
        <f>IF(Agent02_Withdrawals!A77="","",Agent02_Withdrawals!K77)</f>
        <v/>
      </c>
      <c r="L270" s="40" t="str">
        <f>IF(G270="","",IF(D270-G270&gt;=System_Config!$B$9,"✅ OK","⚠️ BREACH"))</f>
        <v/>
      </c>
      <c r="M270" s="40" t="str">
        <f>IFERROR(IF(Agent02_Withdrawals!A77="","",YEAR(Agent02_Withdrawals!D77)),"")</f>
        <v/>
      </c>
    </row>
    <row r="271" spans="1:13" ht="18" customHeight="1" x14ac:dyDescent="0.25">
      <c r="A271" s="40" t="str">
        <f>IF(Agent02_Withdrawals!A78="","",Agent02_Withdrawals!A78)</f>
        <v/>
      </c>
      <c r="B271" s="40" t="str">
        <f ca="1">IF(Agent02_Withdrawals!A78="","","WD"&amp;TEXT(271-3,"0000")&amp;"-"&amp;TEXT(TODAY(),"YYYYMMDD"))</f>
        <v/>
      </c>
      <c r="C271" s="40" t="str">
        <f>IF(Agent02_Withdrawals!A78="","",Agent02_Withdrawals!B78)</f>
        <v/>
      </c>
      <c r="D271" s="43" t="str">
        <f>IF(Agent02_Withdrawals!A78="","",Agent02_Withdrawals!C78)</f>
        <v/>
      </c>
      <c r="E271" s="41" t="str">
        <f>IF(Agent02_Withdrawals!A78="","",Agent02_Withdrawals!D78)</f>
        <v/>
      </c>
      <c r="F271" s="40" t="str">
        <f>IF(Agent02_Withdrawals!A78="","",Agent02_Withdrawals!F78)</f>
        <v/>
      </c>
      <c r="G271" s="42" t="str">
        <f>IF(Agent02_Withdrawals!A78="","",Agent02_Withdrawals!E78)</f>
        <v/>
      </c>
      <c r="H271" s="42" t="str">
        <f>IF(Agent02_Withdrawals!A78="","",Agent02_Withdrawals!G78)</f>
        <v/>
      </c>
      <c r="I271" s="40" t="str">
        <f>IF(Agent02_Withdrawals!A78="","",Agent02_Withdrawals!H78)</f>
        <v/>
      </c>
      <c r="J271" s="40" t="str">
        <f>IF(Agent02_Withdrawals!A78="","",Agent02_Withdrawals!J78)</f>
        <v/>
      </c>
      <c r="K271" s="40" t="str">
        <f>IF(Agent02_Withdrawals!A78="","",Agent02_Withdrawals!K78)</f>
        <v/>
      </c>
      <c r="L271" s="40" t="str">
        <f>IF(G271="","",IF(D271-G271&gt;=System_Config!$B$9,"✅ OK","⚠️ BREACH"))</f>
        <v/>
      </c>
      <c r="M271" s="40" t="str">
        <f>IFERROR(IF(Agent02_Withdrawals!A78="","",YEAR(Agent02_Withdrawals!D78)),"")</f>
        <v/>
      </c>
    </row>
    <row r="272" spans="1:13" ht="18" customHeight="1" x14ac:dyDescent="0.25">
      <c r="A272" s="40" t="str">
        <f>IF(Agent02_Withdrawals!A79="","",Agent02_Withdrawals!A79)</f>
        <v/>
      </c>
      <c r="B272" s="40" t="str">
        <f ca="1">IF(Agent02_Withdrawals!A79="","","WD"&amp;TEXT(272-3,"0000")&amp;"-"&amp;TEXT(TODAY(),"YYYYMMDD"))</f>
        <v/>
      </c>
      <c r="C272" s="40" t="str">
        <f>IF(Agent02_Withdrawals!A79="","",Agent02_Withdrawals!B79)</f>
        <v/>
      </c>
      <c r="D272" s="43" t="str">
        <f>IF(Agent02_Withdrawals!A79="","",Agent02_Withdrawals!C79)</f>
        <v/>
      </c>
      <c r="E272" s="41" t="str">
        <f>IF(Agent02_Withdrawals!A79="","",Agent02_Withdrawals!D79)</f>
        <v/>
      </c>
      <c r="F272" s="40" t="str">
        <f>IF(Agent02_Withdrawals!A79="","",Agent02_Withdrawals!F79)</f>
        <v/>
      </c>
      <c r="G272" s="42" t="str">
        <f>IF(Agent02_Withdrawals!A79="","",Agent02_Withdrawals!E79)</f>
        <v/>
      </c>
      <c r="H272" s="42" t="str">
        <f>IF(Agent02_Withdrawals!A79="","",Agent02_Withdrawals!G79)</f>
        <v/>
      </c>
      <c r="I272" s="40" t="str">
        <f>IF(Agent02_Withdrawals!A79="","",Agent02_Withdrawals!H79)</f>
        <v/>
      </c>
      <c r="J272" s="40" t="str">
        <f>IF(Agent02_Withdrawals!A79="","",Agent02_Withdrawals!J79)</f>
        <v/>
      </c>
      <c r="K272" s="40" t="str">
        <f>IF(Agent02_Withdrawals!A79="","",Agent02_Withdrawals!K79)</f>
        <v/>
      </c>
      <c r="L272" s="40" t="str">
        <f>IF(G272="","",IF(D272-G272&gt;=System_Config!$B$9,"✅ OK","⚠️ BREACH"))</f>
        <v/>
      </c>
      <c r="M272" s="40" t="str">
        <f>IFERROR(IF(Agent02_Withdrawals!A79="","",YEAR(Agent02_Withdrawals!D79)),"")</f>
        <v/>
      </c>
    </row>
    <row r="273" spans="1:13" ht="18" customHeight="1" x14ac:dyDescent="0.25">
      <c r="A273" s="40" t="str">
        <f>IF(Agent02_Withdrawals!A80="","",Agent02_Withdrawals!A80)</f>
        <v/>
      </c>
      <c r="B273" s="40" t="str">
        <f ca="1">IF(Agent02_Withdrawals!A80="","","WD"&amp;TEXT(273-3,"0000")&amp;"-"&amp;TEXT(TODAY(),"YYYYMMDD"))</f>
        <v/>
      </c>
      <c r="C273" s="40" t="str">
        <f>IF(Agent02_Withdrawals!A80="","",Agent02_Withdrawals!B80)</f>
        <v/>
      </c>
      <c r="D273" s="43" t="str">
        <f>IF(Agent02_Withdrawals!A80="","",Agent02_Withdrawals!C80)</f>
        <v/>
      </c>
      <c r="E273" s="41" t="str">
        <f>IF(Agent02_Withdrawals!A80="","",Agent02_Withdrawals!D80)</f>
        <v/>
      </c>
      <c r="F273" s="40" t="str">
        <f>IF(Agent02_Withdrawals!A80="","",Agent02_Withdrawals!F80)</f>
        <v/>
      </c>
      <c r="G273" s="42" t="str">
        <f>IF(Agent02_Withdrawals!A80="","",Agent02_Withdrawals!E80)</f>
        <v/>
      </c>
      <c r="H273" s="42" t="str">
        <f>IF(Agent02_Withdrawals!A80="","",Agent02_Withdrawals!G80)</f>
        <v/>
      </c>
      <c r="I273" s="40" t="str">
        <f>IF(Agent02_Withdrawals!A80="","",Agent02_Withdrawals!H80)</f>
        <v/>
      </c>
      <c r="J273" s="40" t="str">
        <f>IF(Agent02_Withdrawals!A80="","",Agent02_Withdrawals!J80)</f>
        <v/>
      </c>
      <c r="K273" s="40" t="str">
        <f>IF(Agent02_Withdrawals!A80="","",Agent02_Withdrawals!K80)</f>
        <v/>
      </c>
      <c r="L273" s="40" t="str">
        <f>IF(G273="","",IF(D273-G273&gt;=System_Config!$B$9,"✅ OK","⚠️ BREACH"))</f>
        <v/>
      </c>
      <c r="M273" s="40" t="str">
        <f>IFERROR(IF(Agent02_Withdrawals!A80="","",YEAR(Agent02_Withdrawals!D80)),"")</f>
        <v/>
      </c>
    </row>
    <row r="274" spans="1:13" ht="18" customHeight="1" x14ac:dyDescent="0.25">
      <c r="A274" s="40" t="str">
        <f>IF(Agent02_Withdrawals!A81="","",Agent02_Withdrawals!A81)</f>
        <v/>
      </c>
      <c r="B274" s="40" t="str">
        <f ca="1">IF(Agent02_Withdrawals!A81="","","WD"&amp;TEXT(274-3,"0000")&amp;"-"&amp;TEXT(TODAY(),"YYYYMMDD"))</f>
        <v/>
      </c>
      <c r="C274" s="40" t="str">
        <f>IF(Agent02_Withdrawals!A81="","",Agent02_Withdrawals!B81)</f>
        <v/>
      </c>
      <c r="D274" s="43" t="str">
        <f>IF(Agent02_Withdrawals!A81="","",Agent02_Withdrawals!C81)</f>
        <v/>
      </c>
      <c r="E274" s="41" t="str">
        <f>IF(Agent02_Withdrawals!A81="","",Agent02_Withdrawals!D81)</f>
        <v/>
      </c>
      <c r="F274" s="40" t="str">
        <f>IF(Agent02_Withdrawals!A81="","",Agent02_Withdrawals!F81)</f>
        <v/>
      </c>
      <c r="G274" s="42" t="str">
        <f>IF(Agent02_Withdrawals!A81="","",Agent02_Withdrawals!E81)</f>
        <v/>
      </c>
      <c r="H274" s="42" t="str">
        <f>IF(Agent02_Withdrawals!A81="","",Agent02_Withdrawals!G81)</f>
        <v/>
      </c>
      <c r="I274" s="40" t="str">
        <f>IF(Agent02_Withdrawals!A81="","",Agent02_Withdrawals!H81)</f>
        <v/>
      </c>
      <c r="J274" s="40" t="str">
        <f>IF(Agent02_Withdrawals!A81="","",Agent02_Withdrawals!J81)</f>
        <v/>
      </c>
      <c r="K274" s="40" t="str">
        <f>IF(Agent02_Withdrawals!A81="","",Agent02_Withdrawals!K81)</f>
        <v/>
      </c>
      <c r="L274" s="40" t="str">
        <f>IF(G274="","",IF(D274-G274&gt;=System_Config!$B$9,"✅ OK","⚠️ BREACH"))</f>
        <v/>
      </c>
      <c r="M274" s="40" t="str">
        <f>IFERROR(IF(Agent02_Withdrawals!A81="","",YEAR(Agent02_Withdrawals!D81)),"")</f>
        <v/>
      </c>
    </row>
    <row r="275" spans="1:13" ht="18" customHeight="1" x14ac:dyDescent="0.25">
      <c r="A275" s="40" t="str">
        <f>IF(Agent02_Withdrawals!A82="","",Agent02_Withdrawals!A82)</f>
        <v/>
      </c>
      <c r="B275" s="40" t="str">
        <f ca="1">IF(Agent02_Withdrawals!A82="","","WD"&amp;TEXT(275-3,"0000")&amp;"-"&amp;TEXT(TODAY(),"YYYYMMDD"))</f>
        <v/>
      </c>
      <c r="C275" s="40" t="str">
        <f>IF(Agent02_Withdrawals!A82="","",Agent02_Withdrawals!B82)</f>
        <v/>
      </c>
      <c r="D275" s="43" t="str">
        <f>IF(Agent02_Withdrawals!A82="","",Agent02_Withdrawals!C82)</f>
        <v/>
      </c>
      <c r="E275" s="41" t="str">
        <f>IF(Agent02_Withdrawals!A82="","",Agent02_Withdrawals!D82)</f>
        <v/>
      </c>
      <c r="F275" s="40" t="str">
        <f>IF(Agent02_Withdrawals!A82="","",Agent02_Withdrawals!F82)</f>
        <v/>
      </c>
      <c r="G275" s="42" t="str">
        <f>IF(Agent02_Withdrawals!A82="","",Agent02_Withdrawals!E82)</f>
        <v/>
      </c>
      <c r="H275" s="42" t="str">
        <f>IF(Agent02_Withdrawals!A82="","",Agent02_Withdrawals!G82)</f>
        <v/>
      </c>
      <c r="I275" s="40" t="str">
        <f>IF(Agent02_Withdrawals!A82="","",Agent02_Withdrawals!H82)</f>
        <v/>
      </c>
      <c r="J275" s="40" t="str">
        <f>IF(Agent02_Withdrawals!A82="","",Agent02_Withdrawals!J82)</f>
        <v/>
      </c>
      <c r="K275" s="40" t="str">
        <f>IF(Agent02_Withdrawals!A82="","",Agent02_Withdrawals!K82)</f>
        <v/>
      </c>
      <c r="L275" s="40" t="str">
        <f>IF(G275="","",IF(D275-G275&gt;=System_Config!$B$9,"✅ OK","⚠️ BREACH"))</f>
        <v/>
      </c>
      <c r="M275" s="40" t="str">
        <f>IFERROR(IF(Agent02_Withdrawals!A82="","",YEAR(Agent02_Withdrawals!D82)),"")</f>
        <v/>
      </c>
    </row>
    <row r="276" spans="1:13" ht="18" customHeight="1" x14ac:dyDescent="0.25">
      <c r="A276" s="40" t="str">
        <f>IF(Agent02_Withdrawals!A83="","",Agent02_Withdrawals!A83)</f>
        <v/>
      </c>
      <c r="B276" s="40" t="str">
        <f ca="1">IF(Agent02_Withdrawals!A83="","","WD"&amp;TEXT(276-3,"0000")&amp;"-"&amp;TEXT(TODAY(),"YYYYMMDD"))</f>
        <v/>
      </c>
      <c r="C276" s="40" t="str">
        <f>IF(Agent02_Withdrawals!A83="","",Agent02_Withdrawals!B83)</f>
        <v/>
      </c>
      <c r="D276" s="43" t="str">
        <f>IF(Agent02_Withdrawals!A83="","",Agent02_Withdrawals!C83)</f>
        <v/>
      </c>
      <c r="E276" s="41" t="str">
        <f>IF(Agent02_Withdrawals!A83="","",Agent02_Withdrawals!D83)</f>
        <v/>
      </c>
      <c r="F276" s="40" t="str">
        <f>IF(Agent02_Withdrawals!A83="","",Agent02_Withdrawals!F83)</f>
        <v/>
      </c>
      <c r="G276" s="42" t="str">
        <f>IF(Agent02_Withdrawals!A83="","",Agent02_Withdrawals!E83)</f>
        <v/>
      </c>
      <c r="H276" s="42" t="str">
        <f>IF(Agent02_Withdrawals!A83="","",Agent02_Withdrawals!G83)</f>
        <v/>
      </c>
      <c r="I276" s="40" t="str">
        <f>IF(Agent02_Withdrawals!A83="","",Agent02_Withdrawals!H83)</f>
        <v/>
      </c>
      <c r="J276" s="40" t="str">
        <f>IF(Agent02_Withdrawals!A83="","",Agent02_Withdrawals!J83)</f>
        <v/>
      </c>
      <c r="K276" s="40" t="str">
        <f>IF(Agent02_Withdrawals!A83="","",Agent02_Withdrawals!K83)</f>
        <v/>
      </c>
      <c r="L276" s="40" t="str">
        <f>IF(G276="","",IF(D276-G276&gt;=System_Config!$B$9,"✅ OK","⚠️ BREACH"))</f>
        <v/>
      </c>
      <c r="M276" s="40" t="str">
        <f>IFERROR(IF(Agent02_Withdrawals!A83="","",YEAR(Agent02_Withdrawals!D83)),"")</f>
        <v/>
      </c>
    </row>
    <row r="277" spans="1:13" ht="18" customHeight="1" x14ac:dyDescent="0.25">
      <c r="A277" s="40" t="str">
        <f>IF(Agent02_Withdrawals!A84="","",Agent02_Withdrawals!A84)</f>
        <v/>
      </c>
      <c r="B277" s="40" t="str">
        <f ca="1">IF(Agent02_Withdrawals!A84="","","WD"&amp;TEXT(277-3,"0000")&amp;"-"&amp;TEXT(TODAY(),"YYYYMMDD"))</f>
        <v/>
      </c>
      <c r="C277" s="40" t="str">
        <f>IF(Agent02_Withdrawals!A84="","",Agent02_Withdrawals!B84)</f>
        <v/>
      </c>
      <c r="D277" s="43" t="str">
        <f>IF(Agent02_Withdrawals!A84="","",Agent02_Withdrawals!C84)</f>
        <v/>
      </c>
      <c r="E277" s="41" t="str">
        <f>IF(Agent02_Withdrawals!A84="","",Agent02_Withdrawals!D84)</f>
        <v/>
      </c>
      <c r="F277" s="40" t="str">
        <f>IF(Agent02_Withdrawals!A84="","",Agent02_Withdrawals!F84)</f>
        <v/>
      </c>
      <c r="G277" s="42" t="str">
        <f>IF(Agent02_Withdrawals!A84="","",Agent02_Withdrawals!E84)</f>
        <v/>
      </c>
      <c r="H277" s="42" t="str">
        <f>IF(Agent02_Withdrawals!A84="","",Agent02_Withdrawals!G84)</f>
        <v/>
      </c>
      <c r="I277" s="40" t="str">
        <f>IF(Agent02_Withdrawals!A84="","",Agent02_Withdrawals!H84)</f>
        <v/>
      </c>
      <c r="J277" s="40" t="str">
        <f>IF(Agent02_Withdrawals!A84="","",Agent02_Withdrawals!J84)</f>
        <v/>
      </c>
      <c r="K277" s="40" t="str">
        <f>IF(Agent02_Withdrawals!A84="","",Agent02_Withdrawals!K84)</f>
        <v/>
      </c>
      <c r="L277" s="40" t="str">
        <f>IF(G277="","",IF(D277-G277&gt;=System_Config!$B$9,"✅ OK","⚠️ BREACH"))</f>
        <v/>
      </c>
      <c r="M277" s="40" t="str">
        <f>IFERROR(IF(Agent02_Withdrawals!A84="","",YEAR(Agent02_Withdrawals!D84)),"")</f>
        <v/>
      </c>
    </row>
    <row r="278" spans="1:13" ht="18" customHeight="1" x14ac:dyDescent="0.25">
      <c r="A278" s="40" t="str">
        <f>IF(Agent02_Withdrawals!A85="","",Agent02_Withdrawals!A85)</f>
        <v/>
      </c>
      <c r="B278" s="40" t="str">
        <f ca="1">IF(Agent02_Withdrawals!A85="","","WD"&amp;TEXT(278-3,"0000")&amp;"-"&amp;TEXT(TODAY(),"YYYYMMDD"))</f>
        <v/>
      </c>
      <c r="C278" s="40" t="str">
        <f>IF(Agent02_Withdrawals!A85="","",Agent02_Withdrawals!B85)</f>
        <v/>
      </c>
      <c r="D278" s="43" t="str">
        <f>IF(Agent02_Withdrawals!A85="","",Agent02_Withdrawals!C85)</f>
        <v/>
      </c>
      <c r="E278" s="41" t="str">
        <f>IF(Agent02_Withdrawals!A85="","",Agent02_Withdrawals!D85)</f>
        <v/>
      </c>
      <c r="F278" s="40" t="str">
        <f>IF(Agent02_Withdrawals!A85="","",Agent02_Withdrawals!F85)</f>
        <v/>
      </c>
      <c r="G278" s="42" t="str">
        <f>IF(Agent02_Withdrawals!A85="","",Agent02_Withdrawals!E85)</f>
        <v/>
      </c>
      <c r="H278" s="42" t="str">
        <f>IF(Agent02_Withdrawals!A85="","",Agent02_Withdrawals!G85)</f>
        <v/>
      </c>
      <c r="I278" s="40" t="str">
        <f>IF(Agent02_Withdrawals!A85="","",Agent02_Withdrawals!H85)</f>
        <v/>
      </c>
      <c r="J278" s="40" t="str">
        <f>IF(Agent02_Withdrawals!A85="","",Agent02_Withdrawals!J85)</f>
        <v/>
      </c>
      <c r="K278" s="40" t="str">
        <f>IF(Agent02_Withdrawals!A85="","",Agent02_Withdrawals!K85)</f>
        <v/>
      </c>
      <c r="L278" s="40" t="str">
        <f>IF(G278="","",IF(D278-G278&gt;=System_Config!$B$9,"✅ OK","⚠️ BREACH"))</f>
        <v/>
      </c>
      <c r="M278" s="40" t="str">
        <f>IFERROR(IF(Agent02_Withdrawals!A85="","",YEAR(Agent02_Withdrawals!D85)),"")</f>
        <v/>
      </c>
    </row>
    <row r="279" spans="1:13" ht="18" customHeight="1" x14ac:dyDescent="0.25">
      <c r="A279" s="40" t="str">
        <f>IF(Agent02_Withdrawals!A86="","",Agent02_Withdrawals!A86)</f>
        <v/>
      </c>
      <c r="B279" s="40" t="str">
        <f ca="1">IF(Agent02_Withdrawals!A86="","","WD"&amp;TEXT(279-3,"0000")&amp;"-"&amp;TEXT(TODAY(),"YYYYMMDD"))</f>
        <v/>
      </c>
      <c r="C279" s="40" t="str">
        <f>IF(Agent02_Withdrawals!A86="","",Agent02_Withdrawals!B86)</f>
        <v/>
      </c>
      <c r="D279" s="43" t="str">
        <f>IF(Agent02_Withdrawals!A86="","",Agent02_Withdrawals!C86)</f>
        <v/>
      </c>
      <c r="E279" s="41" t="str">
        <f>IF(Agent02_Withdrawals!A86="","",Agent02_Withdrawals!D86)</f>
        <v/>
      </c>
      <c r="F279" s="40" t="str">
        <f>IF(Agent02_Withdrawals!A86="","",Agent02_Withdrawals!F86)</f>
        <v/>
      </c>
      <c r="G279" s="42" t="str">
        <f>IF(Agent02_Withdrawals!A86="","",Agent02_Withdrawals!E86)</f>
        <v/>
      </c>
      <c r="H279" s="42" t="str">
        <f>IF(Agent02_Withdrawals!A86="","",Agent02_Withdrawals!G86)</f>
        <v/>
      </c>
      <c r="I279" s="40" t="str">
        <f>IF(Agent02_Withdrawals!A86="","",Agent02_Withdrawals!H86)</f>
        <v/>
      </c>
      <c r="J279" s="40" t="str">
        <f>IF(Agent02_Withdrawals!A86="","",Agent02_Withdrawals!J86)</f>
        <v/>
      </c>
      <c r="K279" s="40" t="str">
        <f>IF(Agent02_Withdrawals!A86="","",Agent02_Withdrawals!K86)</f>
        <v/>
      </c>
      <c r="L279" s="40" t="str">
        <f>IF(G279="","",IF(D279-G279&gt;=System_Config!$B$9,"✅ OK","⚠️ BREACH"))</f>
        <v/>
      </c>
      <c r="M279" s="40" t="str">
        <f>IFERROR(IF(Agent02_Withdrawals!A86="","",YEAR(Agent02_Withdrawals!D86)),"")</f>
        <v/>
      </c>
    </row>
    <row r="280" spans="1:13" ht="18" customHeight="1" x14ac:dyDescent="0.25">
      <c r="A280" s="40" t="str">
        <f>IF(Agent02_Withdrawals!A87="","",Agent02_Withdrawals!A87)</f>
        <v/>
      </c>
      <c r="B280" s="40" t="str">
        <f ca="1">IF(Agent02_Withdrawals!A87="","","WD"&amp;TEXT(280-3,"0000")&amp;"-"&amp;TEXT(TODAY(),"YYYYMMDD"))</f>
        <v/>
      </c>
      <c r="C280" s="40" t="str">
        <f>IF(Agent02_Withdrawals!A87="","",Agent02_Withdrawals!B87)</f>
        <v/>
      </c>
      <c r="D280" s="43" t="str">
        <f>IF(Agent02_Withdrawals!A87="","",Agent02_Withdrawals!C87)</f>
        <v/>
      </c>
      <c r="E280" s="41" t="str">
        <f>IF(Agent02_Withdrawals!A87="","",Agent02_Withdrawals!D87)</f>
        <v/>
      </c>
      <c r="F280" s="40" t="str">
        <f>IF(Agent02_Withdrawals!A87="","",Agent02_Withdrawals!F87)</f>
        <v/>
      </c>
      <c r="G280" s="42" t="str">
        <f>IF(Agent02_Withdrawals!A87="","",Agent02_Withdrawals!E87)</f>
        <v/>
      </c>
      <c r="H280" s="42" t="str">
        <f>IF(Agent02_Withdrawals!A87="","",Agent02_Withdrawals!G87)</f>
        <v/>
      </c>
      <c r="I280" s="40" t="str">
        <f>IF(Agent02_Withdrawals!A87="","",Agent02_Withdrawals!H87)</f>
        <v/>
      </c>
      <c r="J280" s="40" t="str">
        <f>IF(Agent02_Withdrawals!A87="","",Agent02_Withdrawals!J87)</f>
        <v/>
      </c>
      <c r="K280" s="40" t="str">
        <f>IF(Agent02_Withdrawals!A87="","",Agent02_Withdrawals!K87)</f>
        <v/>
      </c>
      <c r="L280" s="40" t="str">
        <f>IF(G280="","",IF(D280-G280&gt;=System_Config!$B$9,"✅ OK","⚠️ BREACH"))</f>
        <v/>
      </c>
      <c r="M280" s="40" t="str">
        <f>IFERROR(IF(Agent02_Withdrawals!A87="","",YEAR(Agent02_Withdrawals!D87)),"")</f>
        <v/>
      </c>
    </row>
    <row r="281" spans="1:13" ht="18" customHeight="1" x14ac:dyDescent="0.25">
      <c r="A281" s="40" t="str">
        <f>IF(Agent02_Withdrawals!A88="","",Agent02_Withdrawals!A88)</f>
        <v/>
      </c>
      <c r="B281" s="40" t="str">
        <f ca="1">IF(Agent02_Withdrawals!A88="","","WD"&amp;TEXT(281-3,"0000")&amp;"-"&amp;TEXT(TODAY(),"YYYYMMDD"))</f>
        <v/>
      </c>
      <c r="C281" s="40" t="str">
        <f>IF(Agent02_Withdrawals!A88="","",Agent02_Withdrawals!B88)</f>
        <v/>
      </c>
      <c r="D281" s="43" t="str">
        <f>IF(Agent02_Withdrawals!A88="","",Agent02_Withdrawals!C88)</f>
        <v/>
      </c>
      <c r="E281" s="41" t="str">
        <f>IF(Agent02_Withdrawals!A88="","",Agent02_Withdrawals!D88)</f>
        <v/>
      </c>
      <c r="F281" s="40" t="str">
        <f>IF(Agent02_Withdrawals!A88="","",Agent02_Withdrawals!F88)</f>
        <v/>
      </c>
      <c r="G281" s="42" t="str">
        <f>IF(Agent02_Withdrawals!A88="","",Agent02_Withdrawals!E88)</f>
        <v/>
      </c>
      <c r="H281" s="42" t="str">
        <f>IF(Agent02_Withdrawals!A88="","",Agent02_Withdrawals!G88)</f>
        <v/>
      </c>
      <c r="I281" s="40" t="str">
        <f>IF(Agent02_Withdrawals!A88="","",Agent02_Withdrawals!H88)</f>
        <v/>
      </c>
      <c r="J281" s="40" t="str">
        <f>IF(Agent02_Withdrawals!A88="","",Agent02_Withdrawals!J88)</f>
        <v/>
      </c>
      <c r="K281" s="40" t="str">
        <f>IF(Agent02_Withdrawals!A88="","",Agent02_Withdrawals!K88)</f>
        <v/>
      </c>
      <c r="L281" s="40" t="str">
        <f>IF(G281="","",IF(D281-G281&gt;=System_Config!$B$9,"✅ OK","⚠️ BREACH"))</f>
        <v/>
      </c>
      <c r="M281" s="40" t="str">
        <f>IFERROR(IF(Agent02_Withdrawals!A88="","",YEAR(Agent02_Withdrawals!D88)),"")</f>
        <v/>
      </c>
    </row>
    <row r="282" spans="1:13" ht="18" customHeight="1" x14ac:dyDescent="0.25">
      <c r="A282" s="40" t="str">
        <f>IF(Agent02_Withdrawals!A89="","",Agent02_Withdrawals!A89)</f>
        <v/>
      </c>
      <c r="B282" s="40" t="str">
        <f ca="1">IF(Agent02_Withdrawals!A89="","","WD"&amp;TEXT(282-3,"0000")&amp;"-"&amp;TEXT(TODAY(),"YYYYMMDD"))</f>
        <v/>
      </c>
      <c r="C282" s="40" t="str">
        <f>IF(Agent02_Withdrawals!A89="","",Agent02_Withdrawals!B89)</f>
        <v/>
      </c>
      <c r="D282" s="43" t="str">
        <f>IF(Agent02_Withdrawals!A89="","",Agent02_Withdrawals!C89)</f>
        <v/>
      </c>
      <c r="E282" s="41" t="str">
        <f>IF(Agent02_Withdrawals!A89="","",Agent02_Withdrawals!D89)</f>
        <v/>
      </c>
      <c r="F282" s="40" t="str">
        <f>IF(Agent02_Withdrawals!A89="","",Agent02_Withdrawals!F89)</f>
        <v/>
      </c>
      <c r="G282" s="42" t="str">
        <f>IF(Agent02_Withdrawals!A89="","",Agent02_Withdrawals!E89)</f>
        <v/>
      </c>
      <c r="H282" s="42" t="str">
        <f>IF(Agent02_Withdrawals!A89="","",Agent02_Withdrawals!G89)</f>
        <v/>
      </c>
      <c r="I282" s="40" t="str">
        <f>IF(Agent02_Withdrawals!A89="","",Agent02_Withdrawals!H89)</f>
        <v/>
      </c>
      <c r="J282" s="40" t="str">
        <f>IF(Agent02_Withdrawals!A89="","",Agent02_Withdrawals!J89)</f>
        <v/>
      </c>
      <c r="K282" s="40" t="str">
        <f>IF(Agent02_Withdrawals!A89="","",Agent02_Withdrawals!K89)</f>
        <v/>
      </c>
      <c r="L282" s="40" t="str">
        <f>IF(G282="","",IF(D282-G282&gt;=System_Config!$B$9,"✅ OK","⚠️ BREACH"))</f>
        <v/>
      </c>
      <c r="M282" s="40" t="str">
        <f>IFERROR(IF(Agent02_Withdrawals!A89="","",YEAR(Agent02_Withdrawals!D89)),"")</f>
        <v/>
      </c>
    </row>
    <row r="283" spans="1:13" ht="18" customHeight="1" x14ac:dyDescent="0.25">
      <c r="A283" s="40" t="str">
        <f>IF(Agent02_Withdrawals!A90="","",Agent02_Withdrawals!A90)</f>
        <v/>
      </c>
      <c r="B283" s="40" t="str">
        <f ca="1">IF(Agent02_Withdrawals!A90="","","WD"&amp;TEXT(283-3,"0000")&amp;"-"&amp;TEXT(TODAY(),"YYYYMMDD"))</f>
        <v/>
      </c>
      <c r="C283" s="40" t="str">
        <f>IF(Agent02_Withdrawals!A90="","",Agent02_Withdrawals!B90)</f>
        <v/>
      </c>
      <c r="D283" s="43" t="str">
        <f>IF(Agent02_Withdrawals!A90="","",Agent02_Withdrawals!C90)</f>
        <v/>
      </c>
      <c r="E283" s="41" t="str">
        <f>IF(Agent02_Withdrawals!A90="","",Agent02_Withdrawals!D90)</f>
        <v/>
      </c>
      <c r="F283" s="40" t="str">
        <f>IF(Agent02_Withdrawals!A90="","",Agent02_Withdrawals!F90)</f>
        <v/>
      </c>
      <c r="G283" s="42" t="str">
        <f>IF(Agent02_Withdrawals!A90="","",Agent02_Withdrawals!E90)</f>
        <v/>
      </c>
      <c r="H283" s="42" t="str">
        <f>IF(Agent02_Withdrawals!A90="","",Agent02_Withdrawals!G90)</f>
        <v/>
      </c>
      <c r="I283" s="40" t="str">
        <f>IF(Agent02_Withdrawals!A90="","",Agent02_Withdrawals!H90)</f>
        <v/>
      </c>
      <c r="J283" s="40" t="str">
        <f>IF(Agent02_Withdrawals!A90="","",Agent02_Withdrawals!J90)</f>
        <v/>
      </c>
      <c r="K283" s="40" t="str">
        <f>IF(Agent02_Withdrawals!A90="","",Agent02_Withdrawals!K90)</f>
        <v/>
      </c>
      <c r="L283" s="40" t="str">
        <f>IF(G283="","",IF(D283-G283&gt;=System_Config!$B$9,"✅ OK","⚠️ BREACH"))</f>
        <v/>
      </c>
      <c r="M283" s="40" t="str">
        <f>IFERROR(IF(Agent02_Withdrawals!A90="","",YEAR(Agent02_Withdrawals!D90)),"")</f>
        <v/>
      </c>
    </row>
    <row r="284" spans="1:13" ht="18" customHeight="1" x14ac:dyDescent="0.25">
      <c r="A284" s="40" t="str">
        <f>IF(Agent02_Withdrawals!A91="","",Agent02_Withdrawals!A91)</f>
        <v/>
      </c>
      <c r="B284" s="40" t="str">
        <f ca="1">IF(Agent02_Withdrawals!A91="","","WD"&amp;TEXT(284-3,"0000")&amp;"-"&amp;TEXT(TODAY(),"YYYYMMDD"))</f>
        <v/>
      </c>
      <c r="C284" s="40" t="str">
        <f>IF(Agent02_Withdrawals!A91="","",Agent02_Withdrawals!B91)</f>
        <v/>
      </c>
      <c r="D284" s="43" t="str">
        <f>IF(Agent02_Withdrawals!A91="","",Agent02_Withdrawals!C91)</f>
        <v/>
      </c>
      <c r="E284" s="41" t="str">
        <f>IF(Agent02_Withdrawals!A91="","",Agent02_Withdrawals!D91)</f>
        <v/>
      </c>
      <c r="F284" s="40" t="str">
        <f>IF(Agent02_Withdrawals!A91="","",Agent02_Withdrawals!F91)</f>
        <v/>
      </c>
      <c r="G284" s="42" t="str">
        <f>IF(Agent02_Withdrawals!A91="","",Agent02_Withdrawals!E91)</f>
        <v/>
      </c>
      <c r="H284" s="42" t="str">
        <f>IF(Agent02_Withdrawals!A91="","",Agent02_Withdrawals!G91)</f>
        <v/>
      </c>
      <c r="I284" s="40" t="str">
        <f>IF(Agent02_Withdrawals!A91="","",Agent02_Withdrawals!H91)</f>
        <v/>
      </c>
      <c r="J284" s="40" t="str">
        <f>IF(Agent02_Withdrawals!A91="","",Agent02_Withdrawals!J91)</f>
        <v/>
      </c>
      <c r="K284" s="40" t="str">
        <f>IF(Agent02_Withdrawals!A91="","",Agent02_Withdrawals!K91)</f>
        <v/>
      </c>
      <c r="L284" s="40" t="str">
        <f>IF(G284="","",IF(D284-G284&gt;=System_Config!$B$9,"✅ OK","⚠️ BREACH"))</f>
        <v/>
      </c>
      <c r="M284" s="40" t="str">
        <f>IFERROR(IF(Agent02_Withdrawals!A91="","",YEAR(Agent02_Withdrawals!D91)),"")</f>
        <v/>
      </c>
    </row>
    <row r="285" spans="1:13" ht="18" customHeight="1" x14ac:dyDescent="0.25">
      <c r="A285" s="40" t="str">
        <f>IF(Agent02_Withdrawals!A92="","",Agent02_Withdrawals!A92)</f>
        <v/>
      </c>
      <c r="B285" s="40" t="str">
        <f ca="1">IF(Agent02_Withdrawals!A92="","","WD"&amp;TEXT(285-3,"0000")&amp;"-"&amp;TEXT(TODAY(),"YYYYMMDD"))</f>
        <v/>
      </c>
      <c r="C285" s="40" t="str">
        <f>IF(Agent02_Withdrawals!A92="","",Agent02_Withdrawals!B92)</f>
        <v/>
      </c>
      <c r="D285" s="43" t="str">
        <f>IF(Agent02_Withdrawals!A92="","",Agent02_Withdrawals!C92)</f>
        <v/>
      </c>
      <c r="E285" s="41" t="str">
        <f>IF(Agent02_Withdrawals!A92="","",Agent02_Withdrawals!D92)</f>
        <v/>
      </c>
      <c r="F285" s="40" t="str">
        <f>IF(Agent02_Withdrawals!A92="","",Agent02_Withdrawals!F92)</f>
        <v/>
      </c>
      <c r="G285" s="42" t="str">
        <f>IF(Agent02_Withdrawals!A92="","",Agent02_Withdrawals!E92)</f>
        <v/>
      </c>
      <c r="H285" s="42" t="str">
        <f>IF(Agent02_Withdrawals!A92="","",Agent02_Withdrawals!G92)</f>
        <v/>
      </c>
      <c r="I285" s="40" t="str">
        <f>IF(Agent02_Withdrawals!A92="","",Agent02_Withdrawals!H92)</f>
        <v/>
      </c>
      <c r="J285" s="40" t="str">
        <f>IF(Agent02_Withdrawals!A92="","",Agent02_Withdrawals!J92)</f>
        <v/>
      </c>
      <c r="K285" s="40" t="str">
        <f>IF(Agent02_Withdrawals!A92="","",Agent02_Withdrawals!K92)</f>
        <v/>
      </c>
      <c r="L285" s="40" t="str">
        <f>IF(G285="","",IF(D285-G285&gt;=System_Config!$B$9,"✅ OK","⚠️ BREACH"))</f>
        <v/>
      </c>
      <c r="M285" s="40" t="str">
        <f>IFERROR(IF(Agent02_Withdrawals!A92="","",YEAR(Agent02_Withdrawals!D92)),"")</f>
        <v/>
      </c>
    </row>
    <row r="286" spans="1:13" ht="18" customHeight="1" x14ac:dyDescent="0.25">
      <c r="A286" s="40" t="str">
        <f>IF(Agent02_Withdrawals!A93="","",Agent02_Withdrawals!A93)</f>
        <v/>
      </c>
      <c r="B286" s="40" t="str">
        <f ca="1">IF(Agent02_Withdrawals!A93="","","WD"&amp;TEXT(286-3,"0000")&amp;"-"&amp;TEXT(TODAY(),"YYYYMMDD"))</f>
        <v/>
      </c>
      <c r="C286" s="40" t="str">
        <f>IF(Agent02_Withdrawals!A93="","",Agent02_Withdrawals!B93)</f>
        <v/>
      </c>
      <c r="D286" s="43" t="str">
        <f>IF(Agent02_Withdrawals!A93="","",Agent02_Withdrawals!C93)</f>
        <v/>
      </c>
      <c r="E286" s="41" t="str">
        <f>IF(Agent02_Withdrawals!A93="","",Agent02_Withdrawals!D93)</f>
        <v/>
      </c>
      <c r="F286" s="40" t="str">
        <f>IF(Agent02_Withdrawals!A93="","",Agent02_Withdrawals!F93)</f>
        <v/>
      </c>
      <c r="G286" s="42" t="str">
        <f>IF(Agent02_Withdrawals!A93="","",Agent02_Withdrawals!E93)</f>
        <v/>
      </c>
      <c r="H286" s="42" t="str">
        <f>IF(Agent02_Withdrawals!A93="","",Agent02_Withdrawals!G93)</f>
        <v/>
      </c>
      <c r="I286" s="40" t="str">
        <f>IF(Agent02_Withdrawals!A93="","",Agent02_Withdrawals!H93)</f>
        <v/>
      </c>
      <c r="J286" s="40" t="str">
        <f>IF(Agent02_Withdrawals!A93="","",Agent02_Withdrawals!J93)</f>
        <v/>
      </c>
      <c r="K286" s="40" t="str">
        <f>IF(Agent02_Withdrawals!A93="","",Agent02_Withdrawals!K93)</f>
        <v/>
      </c>
      <c r="L286" s="40" t="str">
        <f>IF(G286="","",IF(D286-G286&gt;=System_Config!$B$9,"✅ OK","⚠️ BREACH"))</f>
        <v/>
      </c>
      <c r="M286" s="40" t="str">
        <f>IFERROR(IF(Agent02_Withdrawals!A93="","",YEAR(Agent02_Withdrawals!D93)),"")</f>
        <v/>
      </c>
    </row>
    <row r="287" spans="1:13" ht="18" customHeight="1" x14ac:dyDescent="0.25">
      <c r="A287" s="40" t="str">
        <f>IF(Agent02_Withdrawals!A94="","",Agent02_Withdrawals!A94)</f>
        <v/>
      </c>
      <c r="B287" s="40" t="str">
        <f ca="1">IF(Agent02_Withdrawals!A94="","","WD"&amp;TEXT(287-3,"0000")&amp;"-"&amp;TEXT(TODAY(),"YYYYMMDD"))</f>
        <v/>
      </c>
      <c r="C287" s="40" t="str">
        <f>IF(Agent02_Withdrawals!A94="","",Agent02_Withdrawals!B94)</f>
        <v/>
      </c>
      <c r="D287" s="43" t="str">
        <f>IF(Agent02_Withdrawals!A94="","",Agent02_Withdrawals!C94)</f>
        <v/>
      </c>
      <c r="E287" s="41" t="str">
        <f>IF(Agent02_Withdrawals!A94="","",Agent02_Withdrawals!D94)</f>
        <v/>
      </c>
      <c r="F287" s="40" t="str">
        <f>IF(Agent02_Withdrawals!A94="","",Agent02_Withdrawals!F94)</f>
        <v/>
      </c>
      <c r="G287" s="42" t="str">
        <f>IF(Agent02_Withdrawals!A94="","",Agent02_Withdrawals!E94)</f>
        <v/>
      </c>
      <c r="H287" s="42" t="str">
        <f>IF(Agent02_Withdrawals!A94="","",Agent02_Withdrawals!G94)</f>
        <v/>
      </c>
      <c r="I287" s="40" t="str">
        <f>IF(Agent02_Withdrawals!A94="","",Agent02_Withdrawals!H94)</f>
        <v/>
      </c>
      <c r="J287" s="40" t="str">
        <f>IF(Agent02_Withdrawals!A94="","",Agent02_Withdrawals!J94)</f>
        <v/>
      </c>
      <c r="K287" s="40" t="str">
        <f>IF(Agent02_Withdrawals!A94="","",Agent02_Withdrawals!K94)</f>
        <v/>
      </c>
      <c r="L287" s="40" t="str">
        <f>IF(G287="","",IF(D287-G287&gt;=System_Config!$B$9,"✅ OK","⚠️ BREACH"))</f>
        <v/>
      </c>
      <c r="M287" s="40" t="str">
        <f>IFERROR(IF(Agent02_Withdrawals!A94="","",YEAR(Agent02_Withdrawals!D94)),"")</f>
        <v/>
      </c>
    </row>
    <row r="288" spans="1:13" ht="18" customHeight="1" x14ac:dyDescent="0.25">
      <c r="A288" s="40" t="str">
        <f>IF(Agent02_Withdrawals!A95="","",Agent02_Withdrawals!A95)</f>
        <v/>
      </c>
      <c r="B288" s="40" t="str">
        <f ca="1">IF(Agent02_Withdrawals!A95="","","WD"&amp;TEXT(288-3,"0000")&amp;"-"&amp;TEXT(TODAY(),"YYYYMMDD"))</f>
        <v/>
      </c>
      <c r="C288" s="40" t="str">
        <f>IF(Agent02_Withdrawals!A95="","",Agent02_Withdrawals!B95)</f>
        <v/>
      </c>
      <c r="D288" s="43" t="str">
        <f>IF(Agent02_Withdrawals!A95="","",Agent02_Withdrawals!C95)</f>
        <v/>
      </c>
      <c r="E288" s="41" t="str">
        <f>IF(Agent02_Withdrawals!A95="","",Agent02_Withdrawals!D95)</f>
        <v/>
      </c>
      <c r="F288" s="40" t="str">
        <f>IF(Agent02_Withdrawals!A95="","",Agent02_Withdrawals!F95)</f>
        <v/>
      </c>
      <c r="G288" s="42" t="str">
        <f>IF(Agent02_Withdrawals!A95="","",Agent02_Withdrawals!E95)</f>
        <v/>
      </c>
      <c r="H288" s="42" t="str">
        <f>IF(Agent02_Withdrawals!A95="","",Agent02_Withdrawals!G95)</f>
        <v/>
      </c>
      <c r="I288" s="40" t="str">
        <f>IF(Agent02_Withdrawals!A95="","",Agent02_Withdrawals!H95)</f>
        <v/>
      </c>
      <c r="J288" s="40" t="str">
        <f>IF(Agent02_Withdrawals!A95="","",Agent02_Withdrawals!J95)</f>
        <v/>
      </c>
      <c r="K288" s="40" t="str">
        <f>IF(Agent02_Withdrawals!A95="","",Agent02_Withdrawals!K95)</f>
        <v/>
      </c>
      <c r="L288" s="40" t="str">
        <f>IF(G288="","",IF(D288-G288&gt;=System_Config!$B$9,"✅ OK","⚠️ BREACH"))</f>
        <v/>
      </c>
      <c r="M288" s="40" t="str">
        <f>IFERROR(IF(Agent02_Withdrawals!A95="","",YEAR(Agent02_Withdrawals!D95)),"")</f>
        <v/>
      </c>
    </row>
    <row r="289" spans="1:13" ht="18" customHeight="1" x14ac:dyDescent="0.25">
      <c r="A289" s="40" t="str">
        <f>IF(Agent02_Withdrawals!A96="","",Agent02_Withdrawals!A96)</f>
        <v/>
      </c>
      <c r="B289" s="40" t="str">
        <f ca="1">IF(Agent02_Withdrawals!A96="","","WD"&amp;TEXT(289-3,"0000")&amp;"-"&amp;TEXT(TODAY(),"YYYYMMDD"))</f>
        <v/>
      </c>
      <c r="C289" s="40" t="str">
        <f>IF(Agent02_Withdrawals!A96="","",Agent02_Withdrawals!B96)</f>
        <v/>
      </c>
      <c r="D289" s="43" t="str">
        <f>IF(Agent02_Withdrawals!A96="","",Agent02_Withdrawals!C96)</f>
        <v/>
      </c>
      <c r="E289" s="41" t="str">
        <f>IF(Agent02_Withdrawals!A96="","",Agent02_Withdrawals!D96)</f>
        <v/>
      </c>
      <c r="F289" s="40" t="str">
        <f>IF(Agent02_Withdrawals!A96="","",Agent02_Withdrawals!F96)</f>
        <v/>
      </c>
      <c r="G289" s="42" t="str">
        <f>IF(Agent02_Withdrawals!A96="","",Agent02_Withdrawals!E96)</f>
        <v/>
      </c>
      <c r="H289" s="42" t="str">
        <f>IF(Agent02_Withdrawals!A96="","",Agent02_Withdrawals!G96)</f>
        <v/>
      </c>
      <c r="I289" s="40" t="str">
        <f>IF(Agent02_Withdrawals!A96="","",Agent02_Withdrawals!H96)</f>
        <v/>
      </c>
      <c r="J289" s="40" t="str">
        <f>IF(Agent02_Withdrawals!A96="","",Agent02_Withdrawals!J96)</f>
        <v/>
      </c>
      <c r="K289" s="40" t="str">
        <f>IF(Agent02_Withdrawals!A96="","",Agent02_Withdrawals!K96)</f>
        <v/>
      </c>
      <c r="L289" s="40" t="str">
        <f>IF(G289="","",IF(D289-G289&gt;=System_Config!$B$9,"✅ OK","⚠️ BREACH"))</f>
        <v/>
      </c>
      <c r="M289" s="40" t="str">
        <f>IFERROR(IF(Agent02_Withdrawals!A96="","",YEAR(Agent02_Withdrawals!D96)),"")</f>
        <v/>
      </c>
    </row>
    <row r="290" spans="1:13" ht="18" customHeight="1" x14ac:dyDescent="0.25">
      <c r="A290" s="40" t="str">
        <f>IF(Agent02_Withdrawals!A97="","",Agent02_Withdrawals!A97)</f>
        <v/>
      </c>
      <c r="B290" s="40" t="str">
        <f ca="1">IF(Agent02_Withdrawals!A97="","","WD"&amp;TEXT(290-3,"0000")&amp;"-"&amp;TEXT(TODAY(),"YYYYMMDD"))</f>
        <v/>
      </c>
      <c r="C290" s="40" t="str">
        <f>IF(Agent02_Withdrawals!A97="","",Agent02_Withdrawals!B97)</f>
        <v/>
      </c>
      <c r="D290" s="43" t="str">
        <f>IF(Agent02_Withdrawals!A97="","",Agent02_Withdrawals!C97)</f>
        <v/>
      </c>
      <c r="E290" s="41" t="str">
        <f>IF(Agent02_Withdrawals!A97="","",Agent02_Withdrawals!D97)</f>
        <v/>
      </c>
      <c r="F290" s="40" t="str">
        <f>IF(Agent02_Withdrawals!A97="","",Agent02_Withdrawals!F97)</f>
        <v/>
      </c>
      <c r="G290" s="42" t="str">
        <f>IF(Agent02_Withdrawals!A97="","",Agent02_Withdrawals!E97)</f>
        <v/>
      </c>
      <c r="H290" s="42" t="str">
        <f>IF(Agent02_Withdrawals!A97="","",Agent02_Withdrawals!G97)</f>
        <v/>
      </c>
      <c r="I290" s="40" t="str">
        <f>IF(Agent02_Withdrawals!A97="","",Agent02_Withdrawals!H97)</f>
        <v/>
      </c>
      <c r="J290" s="40" t="str">
        <f>IF(Agent02_Withdrawals!A97="","",Agent02_Withdrawals!J97)</f>
        <v/>
      </c>
      <c r="K290" s="40" t="str">
        <f>IF(Agent02_Withdrawals!A97="","",Agent02_Withdrawals!K97)</f>
        <v/>
      </c>
      <c r="L290" s="40" t="str">
        <f>IF(G290="","",IF(D290-G290&gt;=System_Config!$B$9,"✅ OK","⚠️ BREACH"))</f>
        <v/>
      </c>
      <c r="M290" s="40" t="str">
        <f>IFERROR(IF(Agent02_Withdrawals!A97="","",YEAR(Agent02_Withdrawals!D97)),"")</f>
        <v/>
      </c>
    </row>
    <row r="291" spans="1:13" ht="18" customHeight="1" x14ac:dyDescent="0.25">
      <c r="A291" s="40" t="str">
        <f>IF(Agent02_Withdrawals!A98="","",Agent02_Withdrawals!A98)</f>
        <v/>
      </c>
      <c r="B291" s="40" t="str">
        <f ca="1">IF(Agent02_Withdrawals!A98="","","WD"&amp;TEXT(291-3,"0000")&amp;"-"&amp;TEXT(TODAY(),"YYYYMMDD"))</f>
        <v/>
      </c>
      <c r="C291" s="40" t="str">
        <f>IF(Agent02_Withdrawals!A98="","",Agent02_Withdrawals!B98)</f>
        <v/>
      </c>
      <c r="D291" s="43" t="str">
        <f>IF(Agent02_Withdrawals!A98="","",Agent02_Withdrawals!C98)</f>
        <v/>
      </c>
      <c r="E291" s="41" t="str">
        <f>IF(Agent02_Withdrawals!A98="","",Agent02_Withdrawals!D98)</f>
        <v/>
      </c>
      <c r="F291" s="40" t="str">
        <f>IF(Agent02_Withdrawals!A98="","",Agent02_Withdrawals!F98)</f>
        <v/>
      </c>
      <c r="G291" s="42" t="str">
        <f>IF(Agent02_Withdrawals!A98="","",Agent02_Withdrawals!E98)</f>
        <v/>
      </c>
      <c r="H291" s="42" t="str">
        <f>IF(Agent02_Withdrawals!A98="","",Agent02_Withdrawals!G98)</f>
        <v/>
      </c>
      <c r="I291" s="40" t="str">
        <f>IF(Agent02_Withdrawals!A98="","",Agent02_Withdrawals!H98)</f>
        <v/>
      </c>
      <c r="J291" s="40" t="str">
        <f>IF(Agent02_Withdrawals!A98="","",Agent02_Withdrawals!J98)</f>
        <v/>
      </c>
      <c r="K291" s="40" t="str">
        <f>IF(Agent02_Withdrawals!A98="","",Agent02_Withdrawals!K98)</f>
        <v/>
      </c>
      <c r="L291" s="40" t="str">
        <f>IF(G291="","",IF(D291-G291&gt;=System_Config!$B$9,"✅ OK","⚠️ BREACH"))</f>
        <v/>
      </c>
      <c r="M291" s="40" t="str">
        <f>IFERROR(IF(Agent02_Withdrawals!A98="","",YEAR(Agent02_Withdrawals!D98)),"")</f>
        <v/>
      </c>
    </row>
    <row r="292" spans="1:13" ht="18" customHeight="1" x14ac:dyDescent="0.25">
      <c r="A292" s="40" t="str">
        <f>IF(Agent02_Withdrawals!A99="","",Agent02_Withdrawals!A99)</f>
        <v/>
      </c>
      <c r="B292" s="40" t="str">
        <f ca="1">IF(Agent02_Withdrawals!A99="","","WD"&amp;TEXT(292-3,"0000")&amp;"-"&amp;TEXT(TODAY(),"YYYYMMDD"))</f>
        <v/>
      </c>
      <c r="C292" s="40" t="str">
        <f>IF(Agent02_Withdrawals!A99="","",Agent02_Withdrawals!B99)</f>
        <v/>
      </c>
      <c r="D292" s="43" t="str">
        <f>IF(Agent02_Withdrawals!A99="","",Agent02_Withdrawals!C99)</f>
        <v/>
      </c>
      <c r="E292" s="41" t="str">
        <f>IF(Agent02_Withdrawals!A99="","",Agent02_Withdrawals!D99)</f>
        <v/>
      </c>
      <c r="F292" s="40" t="str">
        <f>IF(Agent02_Withdrawals!A99="","",Agent02_Withdrawals!F99)</f>
        <v/>
      </c>
      <c r="G292" s="42" t="str">
        <f>IF(Agent02_Withdrawals!A99="","",Agent02_Withdrawals!E99)</f>
        <v/>
      </c>
      <c r="H292" s="42" t="str">
        <f>IF(Agent02_Withdrawals!A99="","",Agent02_Withdrawals!G99)</f>
        <v/>
      </c>
      <c r="I292" s="40" t="str">
        <f>IF(Agent02_Withdrawals!A99="","",Agent02_Withdrawals!H99)</f>
        <v/>
      </c>
      <c r="J292" s="40" t="str">
        <f>IF(Agent02_Withdrawals!A99="","",Agent02_Withdrawals!J99)</f>
        <v/>
      </c>
      <c r="K292" s="40" t="str">
        <f>IF(Agent02_Withdrawals!A99="","",Agent02_Withdrawals!K99)</f>
        <v/>
      </c>
      <c r="L292" s="40" t="str">
        <f>IF(G292="","",IF(D292-G292&gt;=System_Config!$B$9,"✅ OK","⚠️ BREACH"))</f>
        <v/>
      </c>
      <c r="M292" s="40" t="str">
        <f>IFERROR(IF(Agent02_Withdrawals!A99="","",YEAR(Agent02_Withdrawals!D99)),"")</f>
        <v/>
      </c>
    </row>
    <row r="293" spans="1:13" ht="18" customHeight="1" x14ac:dyDescent="0.25">
      <c r="A293" s="40" t="str">
        <f>IF(Agent02_Withdrawals!A100="","",Agent02_Withdrawals!A100)</f>
        <v/>
      </c>
      <c r="B293" s="40" t="str">
        <f ca="1">IF(Agent02_Withdrawals!A100="","","WD"&amp;TEXT(293-3,"0000")&amp;"-"&amp;TEXT(TODAY(),"YYYYMMDD"))</f>
        <v/>
      </c>
      <c r="C293" s="40" t="str">
        <f>IF(Agent02_Withdrawals!A100="","",Agent02_Withdrawals!B100)</f>
        <v/>
      </c>
      <c r="D293" s="43" t="str">
        <f>IF(Agent02_Withdrawals!A100="","",Agent02_Withdrawals!C100)</f>
        <v/>
      </c>
      <c r="E293" s="41" t="str">
        <f>IF(Agent02_Withdrawals!A100="","",Agent02_Withdrawals!D100)</f>
        <v/>
      </c>
      <c r="F293" s="40" t="str">
        <f>IF(Agent02_Withdrawals!A100="","",Agent02_Withdrawals!F100)</f>
        <v/>
      </c>
      <c r="G293" s="42" t="str">
        <f>IF(Agent02_Withdrawals!A100="","",Agent02_Withdrawals!E100)</f>
        <v/>
      </c>
      <c r="H293" s="42" t="str">
        <f>IF(Agent02_Withdrawals!A100="","",Agent02_Withdrawals!G100)</f>
        <v/>
      </c>
      <c r="I293" s="40" t="str">
        <f>IF(Agent02_Withdrawals!A100="","",Agent02_Withdrawals!H100)</f>
        <v/>
      </c>
      <c r="J293" s="40" t="str">
        <f>IF(Agent02_Withdrawals!A100="","",Agent02_Withdrawals!J100)</f>
        <v/>
      </c>
      <c r="K293" s="40" t="str">
        <f>IF(Agent02_Withdrawals!A100="","",Agent02_Withdrawals!K100)</f>
        <v/>
      </c>
      <c r="L293" s="40" t="str">
        <f>IF(G293="","",IF(D293-G293&gt;=System_Config!$B$9,"✅ OK","⚠️ BREACH"))</f>
        <v/>
      </c>
      <c r="M293" s="40" t="str">
        <f>IFERROR(IF(Agent02_Withdrawals!A100="","",YEAR(Agent02_Withdrawals!D100)),"")</f>
        <v/>
      </c>
    </row>
    <row r="294" spans="1:13" ht="18" customHeight="1" x14ac:dyDescent="0.25">
      <c r="A294" s="40" t="str">
        <f>IF(Agent02_Withdrawals!A101="","",Agent02_Withdrawals!A101)</f>
        <v/>
      </c>
      <c r="B294" s="40" t="str">
        <f ca="1">IF(Agent02_Withdrawals!A101="","","WD"&amp;TEXT(294-3,"0000")&amp;"-"&amp;TEXT(TODAY(),"YYYYMMDD"))</f>
        <v/>
      </c>
      <c r="C294" s="40" t="str">
        <f>IF(Agent02_Withdrawals!A101="","",Agent02_Withdrawals!B101)</f>
        <v/>
      </c>
      <c r="D294" s="43" t="str">
        <f>IF(Agent02_Withdrawals!A101="","",Agent02_Withdrawals!C101)</f>
        <v/>
      </c>
      <c r="E294" s="41" t="str">
        <f>IF(Agent02_Withdrawals!A101="","",Agent02_Withdrawals!D101)</f>
        <v/>
      </c>
      <c r="F294" s="40" t="str">
        <f>IF(Agent02_Withdrawals!A101="","",Agent02_Withdrawals!F101)</f>
        <v/>
      </c>
      <c r="G294" s="42" t="str">
        <f>IF(Agent02_Withdrawals!A101="","",Agent02_Withdrawals!E101)</f>
        <v/>
      </c>
      <c r="H294" s="42" t="str">
        <f>IF(Agent02_Withdrawals!A101="","",Agent02_Withdrawals!G101)</f>
        <v/>
      </c>
      <c r="I294" s="40" t="str">
        <f>IF(Agent02_Withdrawals!A101="","",Agent02_Withdrawals!H101)</f>
        <v/>
      </c>
      <c r="J294" s="40" t="str">
        <f>IF(Agent02_Withdrawals!A101="","",Agent02_Withdrawals!J101)</f>
        <v/>
      </c>
      <c r="K294" s="40" t="str">
        <f>IF(Agent02_Withdrawals!A101="","",Agent02_Withdrawals!K101)</f>
        <v/>
      </c>
      <c r="L294" s="40" t="str">
        <f>IF(G294="","",IF(D294-G294&gt;=System_Config!$B$9,"✅ OK","⚠️ BREACH"))</f>
        <v/>
      </c>
      <c r="M294" s="40" t="str">
        <f>IFERROR(IF(Agent02_Withdrawals!A101="","",YEAR(Agent02_Withdrawals!D101)),"")</f>
        <v/>
      </c>
    </row>
    <row r="295" spans="1:13" ht="18" customHeight="1" x14ac:dyDescent="0.25">
      <c r="A295" s="40" t="str">
        <f>IF(Agent02_Withdrawals!A102="","",Agent02_Withdrawals!A102)</f>
        <v/>
      </c>
      <c r="B295" s="40" t="str">
        <f ca="1">IF(Agent02_Withdrawals!A102="","","WD"&amp;TEXT(295-3,"0000")&amp;"-"&amp;TEXT(TODAY(),"YYYYMMDD"))</f>
        <v/>
      </c>
      <c r="C295" s="40" t="str">
        <f>IF(Agent02_Withdrawals!A102="","",Agent02_Withdrawals!B102)</f>
        <v/>
      </c>
      <c r="D295" s="43" t="str">
        <f>IF(Agent02_Withdrawals!A102="","",Agent02_Withdrawals!C102)</f>
        <v/>
      </c>
      <c r="E295" s="41" t="str">
        <f>IF(Agent02_Withdrawals!A102="","",Agent02_Withdrawals!D102)</f>
        <v/>
      </c>
      <c r="F295" s="40" t="str">
        <f>IF(Agent02_Withdrawals!A102="","",Agent02_Withdrawals!F102)</f>
        <v/>
      </c>
      <c r="G295" s="42" t="str">
        <f>IF(Agent02_Withdrawals!A102="","",Agent02_Withdrawals!E102)</f>
        <v/>
      </c>
      <c r="H295" s="42" t="str">
        <f>IF(Agent02_Withdrawals!A102="","",Agent02_Withdrawals!G102)</f>
        <v/>
      </c>
      <c r="I295" s="40" t="str">
        <f>IF(Agent02_Withdrawals!A102="","",Agent02_Withdrawals!H102)</f>
        <v/>
      </c>
      <c r="J295" s="40" t="str">
        <f>IF(Agent02_Withdrawals!A102="","",Agent02_Withdrawals!J102)</f>
        <v/>
      </c>
      <c r="K295" s="40" t="str">
        <f>IF(Agent02_Withdrawals!A102="","",Agent02_Withdrawals!K102)</f>
        <v/>
      </c>
      <c r="L295" s="40" t="str">
        <f>IF(G295="","",IF(D295-G295&gt;=System_Config!$B$9,"✅ OK","⚠️ BREACH"))</f>
        <v/>
      </c>
      <c r="M295" s="40" t="str">
        <f>IFERROR(IF(Agent02_Withdrawals!A102="","",YEAR(Agent02_Withdrawals!D102)),"")</f>
        <v/>
      </c>
    </row>
    <row r="296" spans="1:13" ht="18" customHeight="1" x14ac:dyDescent="0.25">
      <c r="A296" s="40" t="str">
        <f>IF(Agent02_Withdrawals!A103="","",Agent02_Withdrawals!A103)</f>
        <v/>
      </c>
      <c r="B296" s="40" t="str">
        <f ca="1">IF(Agent02_Withdrawals!A103="","","WD"&amp;TEXT(296-3,"0000")&amp;"-"&amp;TEXT(TODAY(),"YYYYMMDD"))</f>
        <v/>
      </c>
      <c r="C296" s="40" t="str">
        <f>IF(Agent02_Withdrawals!A103="","",Agent02_Withdrawals!B103)</f>
        <v/>
      </c>
      <c r="D296" s="43" t="str">
        <f>IF(Agent02_Withdrawals!A103="","",Agent02_Withdrawals!C103)</f>
        <v/>
      </c>
      <c r="E296" s="41" t="str">
        <f>IF(Agent02_Withdrawals!A103="","",Agent02_Withdrawals!D103)</f>
        <v/>
      </c>
      <c r="F296" s="40" t="str">
        <f>IF(Agent02_Withdrawals!A103="","",Agent02_Withdrawals!F103)</f>
        <v/>
      </c>
      <c r="G296" s="42" t="str">
        <f>IF(Agent02_Withdrawals!A103="","",Agent02_Withdrawals!E103)</f>
        <v/>
      </c>
      <c r="H296" s="42" t="str">
        <f>IF(Agent02_Withdrawals!A103="","",Agent02_Withdrawals!G103)</f>
        <v/>
      </c>
      <c r="I296" s="40" t="str">
        <f>IF(Agent02_Withdrawals!A103="","",Agent02_Withdrawals!H103)</f>
        <v/>
      </c>
      <c r="J296" s="40" t="str">
        <f>IF(Agent02_Withdrawals!A103="","",Agent02_Withdrawals!J103)</f>
        <v/>
      </c>
      <c r="K296" s="40" t="str">
        <f>IF(Agent02_Withdrawals!A103="","",Agent02_Withdrawals!K103)</f>
        <v/>
      </c>
      <c r="L296" s="40" t="str">
        <f>IF(G296="","",IF(D296-G296&gt;=System_Config!$B$9,"✅ OK","⚠️ BREACH"))</f>
        <v/>
      </c>
      <c r="M296" s="40" t="str">
        <f>IFERROR(IF(Agent02_Withdrawals!A103="","",YEAR(Agent02_Withdrawals!D103)),"")</f>
        <v/>
      </c>
    </row>
    <row r="297" spans="1:13" ht="18" customHeight="1" x14ac:dyDescent="0.25">
      <c r="A297" s="40" t="str">
        <f>IF(Agent02_Withdrawals!A104="","",Agent02_Withdrawals!A104)</f>
        <v/>
      </c>
      <c r="B297" s="40" t="str">
        <f ca="1">IF(Agent02_Withdrawals!A104="","","WD"&amp;TEXT(297-3,"0000")&amp;"-"&amp;TEXT(TODAY(),"YYYYMMDD"))</f>
        <v/>
      </c>
      <c r="C297" s="40" t="str">
        <f>IF(Agent02_Withdrawals!A104="","",Agent02_Withdrawals!B104)</f>
        <v/>
      </c>
      <c r="D297" s="43" t="str">
        <f>IF(Agent02_Withdrawals!A104="","",Agent02_Withdrawals!C104)</f>
        <v/>
      </c>
      <c r="E297" s="41" t="str">
        <f>IF(Agent02_Withdrawals!A104="","",Agent02_Withdrawals!D104)</f>
        <v/>
      </c>
      <c r="F297" s="40" t="str">
        <f>IF(Agent02_Withdrawals!A104="","",Agent02_Withdrawals!F104)</f>
        <v/>
      </c>
      <c r="G297" s="42" t="str">
        <f>IF(Agent02_Withdrawals!A104="","",Agent02_Withdrawals!E104)</f>
        <v/>
      </c>
      <c r="H297" s="42" t="str">
        <f>IF(Agent02_Withdrawals!A104="","",Agent02_Withdrawals!G104)</f>
        <v/>
      </c>
      <c r="I297" s="40" t="str">
        <f>IF(Agent02_Withdrawals!A104="","",Agent02_Withdrawals!H104)</f>
        <v/>
      </c>
      <c r="J297" s="40" t="str">
        <f>IF(Agent02_Withdrawals!A104="","",Agent02_Withdrawals!J104)</f>
        <v/>
      </c>
      <c r="K297" s="40" t="str">
        <f>IF(Agent02_Withdrawals!A104="","",Agent02_Withdrawals!K104)</f>
        <v/>
      </c>
      <c r="L297" s="40" t="str">
        <f>IF(G297="","",IF(D297-G297&gt;=System_Config!$B$9,"✅ OK","⚠️ BREACH"))</f>
        <v/>
      </c>
      <c r="M297" s="40" t="str">
        <f>IFERROR(IF(Agent02_Withdrawals!A104="","",YEAR(Agent02_Withdrawals!D104)),"")</f>
        <v/>
      </c>
    </row>
    <row r="298" spans="1:13" ht="18" customHeight="1" x14ac:dyDescent="0.25">
      <c r="A298" s="40" t="str">
        <f>IF(Agent02_Withdrawals!A105="","",Agent02_Withdrawals!A105)</f>
        <v/>
      </c>
      <c r="B298" s="40" t="str">
        <f ca="1">IF(Agent02_Withdrawals!A105="","","WD"&amp;TEXT(298-3,"0000")&amp;"-"&amp;TEXT(TODAY(),"YYYYMMDD"))</f>
        <v/>
      </c>
      <c r="C298" s="40" t="str">
        <f>IF(Agent02_Withdrawals!A105="","",Agent02_Withdrawals!B105)</f>
        <v/>
      </c>
      <c r="D298" s="43" t="str">
        <f>IF(Agent02_Withdrawals!A105="","",Agent02_Withdrawals!C105)</f>
        <v/>
      </c>
      <c r="E298" s="41" t="str">
        <f>IF(Agent02_Withdrawals!A105="","",Agent02_Withdrawals!D105)</f>
        <v/>
      </c>
      <c r="F298" s="40" t="str">
        <f>IF(Agent02_Withdrawals!A105="","",Agent02_Withdrawals!F105)</f>
        <v/>
      </c>
      <c r="G298" s="42" t="str">
        <f>IF(Agent02_Withdrawals!A105="","",Agent02_Withdrawals!E105)</f>
        <v/>
      </c>
      <c r="H298" s="42" t="str">
        <f>IF(Agent02_Withdrawals!A105="","",Agent02_Withdrawals!G105)</f>
        <v/>
      </c>
      <c r="I298" s="40" t="str">
        <f>IF(Agent02_Withdrawals!A105="","",Agent02_Withdrawals!H105)</f>
        <v/>
      </c>
      <c r="J298" s="40" t="str">
        <f>IF(Agent02_Withdrawals!A105="","",Agent02_Withdrawals!J105)</f>
        <v/>
      </c>
      <c r="K298" s="40" t="str">
        <f>IF(Agent02_Withdrawals!A105="","",Agent02_Withdrawals!K105)</f>
        <v/>
      </c>
      <c r="L298" s="40" t="str">
        <f>IF(G298="","",IF(D298-G298&gt;=System_Config!$B$9,"✅ OK","⚠️ BREACH"))</f>
        <v/>
      </c>
      <c r="M298" s="40" t="str">
        <f>IFERROR(IF(Agent02_Withdrawals!A105="","",YEAR(Agent02_Withdrawals!D105)),"")</f>
        <v/>
      </c>
    </row>
    <row r="299" spans="1:13" ht="18" customHeight="1" x14ac:dyDescent="0.25">
      <c r="A299" s="40" t="str">
        <f>IF(Agent02_Withdrawals!A106="","",Agent02_Withdrawals!A106)</f>
        <v/>
      </c>
      <c r="B299" s="40" t="str">
        <f ca="1">IF(Agent02_Withdrawals!A106="","","WD"&amp;TEXT(299-3,"0000")&amp;"-"&amp;TEXT(TODAY(),"YYYYMMDD"))</f>
        <v/>
      </c>
      <c r="C299" s="40" t="str">
        <f>IF(Agent02_Withdrawals!A106="","",Agent02_Withdrawals!B106)</f>
        <v/>
      </c>
      <c r="D299" s="43" t="str">
        <f>IF(Agent02_Withdrawals!A106="","",Agent02_Withdrawals!C106)</f>
        <v/>
      </c>
      <c r="E299" s="41" t="str">
        <f>IF(Agent02_Withdrawals!A106="","",Agent02_Withdrawals!D106)</f>
        <v/>
      </c>
      <c r="F299" s="40" t="str">
        <f>IF(Agent02_Withdrawals!A106="","",Agent02_Withdrawals!F106)</f>
        <v/>
      </c>
      <c r="G299" s="42" t="str">
        <f>IF(Agent02_Withdrawals!A106="","",Agent02_Withdrawals!E106)</f>
        <v/>
      </c>
      <c r="H299" s="42" t="str">
        <f>IF(Agent02_Withdrawals!A106="","",Agent02_Withdrawals!G106)</f>
        <v/>
      </c>
      <c r="I299" s="40" t="str">
        <f>IF(Agent02_Withdrawals!A106="","",Agent02_Withdrawals!H106)</f>
        <v/>
      </c>
      <c r="J299" s="40" t="str">
        <f>IF(Agent02_Withdrawals!A106="","",Agent02_Withdrawals!J106)</f>
        <v/>
      </c>
      <c r="K299" s="40" t="str">
        <f>IF(Agent02_Withdrawals!A106="","",Agent02_Withdrawals!K106)</f>
        <v/>
      </c>
      <c r="L299" s="40" t="str">
        <f>IF(G299="","",IF(D299-G299&gt;=System_Config!$B$9,"✅ OK","⚠️ BREACH"))</f>
        <v/>
      </c>
      <c r="M299" s="40" t="str">
        <f>IFERROR(IF(Agent02_Withdrawals!A106="","",YEAR(Agent02_Withdrawals!D106)),"")</f>
        <v/>
      </c>
    </row>
    <row r="300" spans="1:13" ht="18" customHeight="1" x14ac:dyDescent="0.25">
      <c r="A300" s="40" t="str">
        <f>IF(Agent02_Withdrawals!A107="","",Agent02_Withdrawals!A107)</f>
        <v/>
      </c>
      <c r="B300" s="40" t="str">
        <f ca="1">IF(Agent02_Withdrawals!A107="","","WD"&amp;TEXT(300-3,"0000")&amp;"-"&amp;TEXT(TODAY(),"YYYYMMDD"))</f>
        <v/>
      </c>
      <c r="C300" s="40" t="str">
        <f>IF(Agent02_Withdrawals!A107="","",Agent02_Withdrawals!B107)</f>
        <v/>
      </c>
      <c r="D300" s="43" t="str">
        <f>IF(Agent02_Withdrawals!A107="","",Agent02_Withdrawals!C107)</f>
        <v/>
      </c>
      <c r="E300" s="41" t="str">
        <f>IF(Agent02_Withdrawals!A107="","",Agent02_Withdrawals!D107)</f>
        <v/>
      </c>
      <c r="F300" s="40" t="str">
        <f>IF(Agent02_Withdrawals!A107="","",Agent02_Withdrawals!F107)</f>
        <v/>
      </c>
      <c r="G300" s="42" t="str">
        <f>IF(Agent02_Withdrawals!A107="","",Agent02_Withdrawals!E107)</f>
        <v/>
      </c>
      <c r="H300" s="42" t="str">
        <f>IF(Agent02_Withdrawals!A107="","",Agent02_Withdrawals!G107)</f>
        <v/>
      </c>
      <c r="I300" s="40" t="str">
        <f>IF(Agent02_Withdrawals!A107="","",Agent02_Withdrawals!H107)</f>
        <v/>
      </c>
      <c r="J300" s="40" t="str">
        <f>IF(Agent02_Withdrawals!A107="","",Agent02_Withdrawals!J107)</f>
        <v/>
      </c>
      <c r="K300" s="40" t="str">
        <f>IF(Agent02_Withdrawals!A107="","",Agent02_Withdrawals!K107)</f>
        <v/>
      </c>
      <c r="L300" s="40" t="str">
        <f>IF(G300="","",IF(D300-G300&gt;=System_Config!$B$9,"✅ OK","⚠️ BREACH"))</f>
        <v/>
      </c>
      <c r="M300" s="40" t="str">
        <f>IFERROR(IF(Agent02_Withdrawals!A107="","",YEAR(Agent02_Withdrawals!D107)),"")</f>
        <v/>
      </c>
    </row>
    <row r="301" spans="1:13" ht="18" customHeight="1" x14ac:dyDescent="0.25">
      <c r="A301" s="40" t="str">
        <f>IF(Agent02_Withdrawals!A108="","",Agent02_Withdrawals!A108)</f>
        <v/>
      </c>
      <c r="B301" s="40" t="str">
        <f ca="1">IF(Agent02_Withdrawals!A108="","","WD"&amp;TEXT(301-3,"0000")&amp;"-"&amp;TEXT(TODAY(),"YYYYMMDD"))</f>
        <v/>
      </c>
      <c r="C301" s="40" t="str">
        <f>IF(Agent02_Withdrawals!A108="","",Agent02_Withdrawals!B108)</f>
        <v/>
      </c>
      <c r="D301" s="43" t="str">
        <f>IF(Agent02_Withdrawals!A108="","",Agent02_Withdrawals!C108)</f>
        <v/>
      </c>
      <c r="E301" s="41" t="str">
        <f>IF(Agent02_Withdrawals!A108="","",Agent02_Withdrawals!D108)</f>
        <v/>
      </c>
      <c r="F301" s="40" t="str">
        <f>IF(Agent02_Withdrawals!A108="","",Agent02_Withdrawals!F108)</f>
        <v/>
      </c>
      <c r="G301" s="42" t="str">
        <f>IF(Agent02_Withdrawals!A108="","",Agent02_Withdrawals!E108)</f>
        <v/>
      </c>
      <c r="H301" s="42" t="str">
        <f>IF(Agent02_Withdrawals!A108="","",Agent02_Withdrawals!G108)</f>
        <v/>
      </c>
      <c r="I301" s="40" t="str">
        <f>IF(Agent02_Withdrawals!A108="","",Agent02_Withdrawals!H108)</f>
        <v/>
      </c>
      <c r="J301" s="40" t="str">
        <f>IF(Agent02_Withdrawals!A108="","",Agent02_Withdrawals!J108)</f>
        <v/>
      </c>
      <c r="K301" s="40" t="str">
        <f>IF(Agent02_Withdrawals!A108="","",Agent02_Withdrawals!K108)</f>
        <v/>
      </c>
      <c r="L301" s="40" t="str">
        <f>IF(G301="","",IF(D301-G301&gt;=System_Config!$B$9,"✅ OK","⚠️ BREACH"))</f>
        <v/>
      </c>
      <c r="M301" s="40" t="str">
        <f>IFERROR(IF(Agent02_Withdrawals!A108="","",YEAR(Agent02_Withdrawals!D108)),"")</f>
        <v/>
      </c>
    </row>
    <row r="302" spans="1:13" ht="18" customHeight="1" x14ac:dyDescent="0.25">
      <c r="A302" s="40" t="str">
        <f>IF(Agent02_Withdrawals!A109="","",Agent02_Withdrawals!A109)</f>
        <v/>
      </c>
      <c r="B302" s="40" t="str">
        <f ca="1">IF(Agent02_Withdrawals!A109="","","WD"&amp;TEXT(302-3,"0000")&amp;"-"&amp;TEXT(TODAY(),"YYYYMMDD"))</f>
        <v/>
      </c>
      <c r="C302" s="40" t="str">
        <f>IF(Agent02_Withdrawals!A109="","",Agent02_Withdrawals!B109)</f>
        <v/>
      </c>
      <c r="D302" s="43" t="str">
        <f>IF(Agent02_Withdrawals!A109="","",Agent02_Withdrawals!C109)</f>
        <v/>
      </c>
      <c r="E302" s="41" t="str">
        <f>IF(Agent02_Withdrawals!A109="","",Agent02_Withdrawals!D109)</f>
        <v/>
      </c>
      <c r="F302" s="40" t="str">
        <f>IF(Agent02_Withdrawals!A109="","",Agent02_Withdrawals!F109)</f>
        <v/>
      </c>
      <c r="G302" s="42" t="str">
        <f>IF(Agent02_Withdrawals!A109="","",Agent02_Withdrawals!E109)</f>
        <v/>
      </c>
      <c r="H302" s="42" t="str">
        <f>IF(Agent02_Withdrawals!A109="","",Agent02_Withdrawals!G109)</f>
        <v/>
      </c>
      <c r="I302" s="40" t="str">
        <f>IF(Agent02_Withdrawals!A109="","",Agent02_Withdrawals!H109)</f>
        <v/>
      </c>
      <c r="J302" s="40" t="str">
        <f>IF(Agent02_Withdrawals!A109="","",Agent02_Withdrawals!J109)</f>
        <v/>
      </c>
      <c r="K302" s="40" t="str">
        <f>IF(Agent02_Withdrawals!A109="","",Agent02_Withdrawals!K109)</f>
        <v/>
      </c>
      <c r="L302" s="40" t="str">
        <f>IF(G302="","",IF(D302-G302&gt;=System_Config!$B$9,"✅ OK","⚠️ BREACH"))</f>
        <v/>
      </c>
      <c r="M302" s="40" t="str">
        <f>IFERROR(IF(Agent02_Withdrawals!A109="","",YEAR(Agent02_Withdrawals!D109)),"")</f>
        <v/>
      </c>
    </row>
    <row r="303" spans="1:13" ht="18" customHeight="1" x14ac:dyDescent="0.25">
      <c r="A303" s="40" t="str">
        <f>IF(Agent02_Withdrawals!A110="","",Agent02_Withdrawals!A110)</f>
        <v/>
      </c>
      <c r="B303" s="40" t="str">
        <f ca="1">IF(Agent02_Withdrawals!A110="","","WD"&amp;TEXT(303-3,"0000")&amp;"-"&amp;TEXT(TODAY(),"YYYYMMDD"))</f>
        <v/>
      </c>
      <c r="C303" s="40" t="str">
        <f>IF(Agent02_Withdrawals!A110="","",Agent02_Withdrawals!B110)</f>
        <v/>
      </c>
      <c r="D303" s="43" t="str">
        <f>IF(Agent02_Withdrawals!A110="","",Agent02_Withdrawals!C110)</f>
        <v/>
      </c>
      <c r="E303" s="41" t="str">
        <f>IF(Agent02_Withdrawals!A110="","",Agent02_Withdrawals!D110)</f>
        <v/>
      </c>
      <c r="F303" s="40" t="str">
        <f>IF(Agent02_Withdrawals!A110="","",Agent02_Withdrawals!F110)</f>
        <v/>
      </c>
      <c r="G303" s="42" t="str">
        <f>IF(Agent02_Withdrawals!A110="","",Agent02_Withdrawals!E110)</f>
        <v/>
      </c>
      <c r="H303" s="42" t="str">
        <f>IF(Agent02_Withdrawals!A110="","",Agent02_Withdrawals!G110)</f>
        <v/>
      </c>
      <c r="I303" s="40" t="str">
        <f>IF(Agent02_Withdrawals!A110="","",Agent02_Withdrawals!H110)</f>
        <v/>
      </c>
      <c r="J303" s="40" t="str">
        <f>IF(Agent02_Withdrawals!A110="","",Agent02_Withdrawals!J110)</f>
        <v/>
      </c>
      <c r="K303" s="40" t="str">
        <f>IF(Agent02_Withdrawals!A110="","",Agent02_Withdrawals!K110)</f>
        <v/>
      </c>
      <c r="L303" s="40" t="str">
        <f>IF(G303="","",IF(D303-G303&gt;=System_Config!$B$9,"✅ OK","⚠️ BREACH"))</f>
        <v/>
      </c>
      <c r="M303" s="40" t="str">
        <f>IFERROR(IF(Agent02_Withdrawals!A110="","",YEAR(Agent02_Withdrawals!D110)),"")</f>
        <v/>
      </c>
    </row>
    <row r="304" spans="1:13" ht="18" customHeight="1" x14ac:dyDescent="0.25">
      <c r="A304" s="40" t="str">
        <f>IF(Agent02_Withdrawals!A111="","",Agent02_Withdrawals!A111)</f>
        <v/>
      </c>
      <c r="B304" s="40" t="str">
        <f ca="1">IF(Agent02_Withdrawals!A111="","","WD"&amp;TEXT(304-3,"0000")&amp;"-"&amp;TEXT(TODAY(),"YYYYMMDD"))</f>
        <v/>
      </c>
      <c r="C304" s="40" t="str">
        <f>IF(Agent02_Withdrawals!A111="","",Agent02_Withdrawals!B111)</f>
        <v/>
      </c>
      <c r="D304" s="43" t="str">
        <f>IF(Agent02_Withdrawals!A111="","",Agent02_Withdrawals!C111)</f>
        <v/>
      </c>
      <c r="E304" s="41" t="str">
        <f>IF(Agent02_Withdrawals!A111="","",Agent02_Withdrawals!D111)</f>
        <v/>
      </c>
      <c r="F304" s="40" t="str">
        <f>IF(Agent02_Withdrawals!A111="","",Agent02_Withdrawals!F111)</f>
        <v/>
      </c>
      <c r="G304" s="42" t="str">
        <f>IF(Agent02_Withdrawals!A111="","",Agent02_Withdrawals!E111)</f>
        <v/>
      </c>
      <c r="H304" s="42" t="str">
        <f>IF(Agent02_Withdrawals!A111="","",Agent02_Withdrawals!G111)</f>
        <v/>
      </c>
      <c r="I304" s="40" t="str">
        <f>IF(Agent02_Withdrawals!A111="","",Agent02_Withdrawals!H111)</f>
        <v/>
      </c>
      <c r="J304" s="40" t="str">
        <f>IF(Agent02_Withdrawals!A111="","",Agent02_Withdrawals!J111)</f>
        <v/>
      </c>
      <c r="K304" s="40" t="str">
        <f>IF(Agent02_Withdrawals!A111="","",Agent02_Withdrawals!K111)</f>
        <v/>
      </c>
      <c r="L304" s="40" t="str">
        <f>IF(G304="","",IF(D304-G304&gt;=System_Config!$B$9,"✅ OK","⚠️ BREACH"))</f>
        <v/>
      </c>
      <c r="M304" s="40" t="str">
        <f>IFERROR(IF(Agent02_Withdrawals!A111="","",YEAR(Agent02_Withdrawals!D111)),"")</f>
        <v/>
      </c>
    </row>
    <row r="305" spans="1:13" ht="18" customHeight="1" x14ac:dyDescent="0.25">
      <c r="A305" s="40" t="str">
        <f>IF(Agent02_Withdrawals!A112="","",Agent02_Withdrawals!A112)</f>
        <v/>
      </c>
      <c r="B305" s="40" t="str">
        <f ca="1">IF(Agent02_Withdrawals!A112="","","WD"&amp;TEXT(305-3,"0000")&amp;"-"&amp;TEXT(TODAY(),"YYYYMMDD"))</f>
        <v/>
      </c>
      <c r="C305" s="40" t="str">
        <f>IF(Agent02_Withdrawals!A112="","",Agent02_Withdrawals!B112)</f>
        <v/>
      </c>
      <c r="D305" s="43" t="str">
        <f>IF(Agent02_Withdrawals!A112="","",Agent02_Withdrawals!C112)</f>
        <v/>
      </c>
      <c r="E305" s="41" t="str">
        <f>IF(Agent02_Withdrawals!A112="","",Agent02_Withdrawals!D112)</f>
        <v/>
      </c>
      <c r="F305" s="40" t="str">
        <f>IF(Agent02_Withdrawals!A112="","",Agent02_Withdrawals!F112)</f>
        <v/>
      </c>
      <c r="G305" s="42" t="str">
        <f>IF(Agent02_Withdrawals!A112="","",Agent02_Withdrawals!E112)</f>
        <v/>
      </c>
      <c r="H305" s="42" t="str">
        <f>IF(Agent02_Withdrawals!A112="","",Agent02_Withdrawals!G112)</f>
        <v/>
      </c>
      <c r="I305" s="40" t="str">
        <f>IF(Agent02_Withdrawals!A112="","",Agent02_Withdrawals!H112)</f>
        <v/>
      </c>
      <c r="J305" s="40" t="str">
        <f>IF(Agent02_Withdrawals!A112="","",Agent02_Withdrawals!J112)</f>
        <v/>
      </c>
      <c r="K305" s="40" t="str">
        <f>IF(Agent02_Withdrawals!A112="","",Agent02_Withdrawals!K112)</f>
        <v/>
      </c>
      <c r="L305" s="40" t="str">
        <f>IF(G305="","",IF(D305-G305&gt;=System_Config!$B$9,"✅ OK","⚠️ BREACH"))</f>
        <v/>
      </c>
      <c r="M305" s="40" t="str">
        <f>IFERROR(IF(Agent02_Withdrawals!A112="","",YEAR(Agent02_Withdrawals!D112)),"")</f>
        <v/>
      </c>
    </row>
    <row r="306" spans="1:13" ht="18" customHeight="1" x14ac:dyDescent="0.25">
      <c r="A306" s="40" t="str">
        <f>IF(Agent02_Withdrawals!A113="","",Agent02_Withdrawals!A113)</f>
        <v/>
      </c>
      <c r="B306" s="40" t="str">
        <f ca="1">IF(Agent02_Withdrawals!A113="","","WD"&amp;TEXT(306-3,"0000")&amp;"-"&amp;TEXT(TODAY(),"YYYYMMDD"))</f>
        <v/>
      </c>
      <c r="C306" s="40" t="str">
        <f>IF(Agent02_Withdrawals!A113="","",Agent02_Withdrawals!B113)</f>
        <v/>
      </c>
      <c r="D306" s="43" t="str">
        <f>IF(Agent02_Withdrawals!A113="","",Agent02_Withdrawals!C113)</f>
        <v/>
      </c>
      <c r="E306" s="41" t="str">
        <f>IF(Agent02_Withdrawals!A113="","",Agent02_Withdrawals!D113)</f>
        <v/>
      </c>
      <c r="F306" s="40" t="str">
        <f>IF(Agent02_Withdrawals!A113="","",Agent02_Withdrawals!F113)</f>
        <v/>
      </c>
      <c r="G306" s="42" t="str">
        <f>IF(Agent02_Withdrawals!A113="","",Agent02_Withdrawals!E113)</f>
        <v/>
      </c>
      <c r="H306" s="42" t="str">
        <f>IF(Agent02_Withdrawals!A113="","",Agent02_Withdrawals!G113)</f>
        <v/>
      </c>
      <c r="I306" s="40" t="str">
        <f>IF(Agent02_Withdrawals!A113="","",Agent02_Withdrawals!H113)</f>
        <v/>
      </c>
      <c r="J306" s="40" t="str">
        <f>IF(Agent02_Withdrawals!A113="","",Agent02_Withdrawals!J113)</f>
        <v/>
      </c>
      <c r="K306" s="40" t="str">
        <f>IF(Agent02_Withdrawals!A113="","",Agent02_Withdrawals!K113)</f>
        <v/>
      </c>
      <c r="L306" s="40" t="str">
        <f>IF(G306="","",IF(D306-G306&gt;=System_Config!$B$9,"✅ OK","⚠️ BREACH"))</f>
        <v/>
      </c>
      <c r="M306" s="40" t="str">
        <f>IFERROR(IF(Agent02_Withdrawals!A113="","",YEAR(Agent02_Withdrawals!D113)),"")</f>
        <v/>
      </c>
    </row>
    <row r="307" spans="1:13" ht="18" customHeight="1" x14ac:dyDescent="0.25">
      <c r="A307" s="40" t="str">
        <f>IF(Agent02_Withdrawals!A114="","",Agent02_Withdrawals!A114)</f>
        <v/>
      </c>
      <c r="B307" s="40" t="str">
        <f ca="1">IF(Agent02_Withdrawals!A114="","","WD"&amp;TEXT(307-3,"0000")&amp;"-"&amp;TEXT(TODAY(),"YYYYMMDD"))</f>
        <v/>
      </c>
      <c r="C307" s="40" t="str">
        <f>IF(Agent02_Withdrawals!A114="","",Agent02_Withdrawals!B114)</f>
        <v/>
      </c>
      <c r="D307" s="43" t="str">
        <f>IF(Agent02_Withdrawals!A114="","",Agent02_Withdrawals!C114)</f>
        <v/>
      </c>
      <c r="E307" s="41" t="str">
        <f>IF(Agent02_Withdrawals!A114="","",Agent02_Withdrawals!D114)</f>
        <v/>
      </c>
      <c r="F307" s="40" t="str">
        <f>IF(Agent02_Withdrawals!A114="","",Agent02_Withdrawals!F114)</f>
        <v/>
      </c>
      <c r="G307" s="42" t="str">
        <f>IF(Agent02_Withdrawals!A114="","",Agent02_Withdrawals!E114)</f>
        <v/>
      </c>
      <c r="H307" s="42" t="str">
        <f>IF(Agent02_Withdrawals!A114="","",Agent02_Withdrawals!G114)</f>
        <v/>
      </c>
      <c r="I307" s="40" t="str">
        <f>IF(Agent02_Withdrawals!A114="","",Agent02_Withdrawals!H114)</f>
        <v/>
      </c>
      <c r="J307" s="40" t="str">
        <f>IF(Agent02_Withdrawals!A114="","",Agent02_Withdrawals!J114)</f>
        <v/>
      </c>
      <c r="K307" s="40" t="str">
        <f>IF(Agent02_Withdrawals!A114="","",Agent02_Withdrawals!K114)</f>
        <v/>
      </c>
      <c r="L307" s="40" t="str">
        <f>IF(G307="","",IF(D307-G307&gt;=System_Config!$B$9,"✅ OK","⚠️ BREACH"))</f>
        <v/>
      </c>
      <c r="M307" s="40" t="str">
        <f>IFERROR(IF(Agent02_Withdrawals!A114="","",YEAR(Agent02_Withdrawals!D114)),"")</f>
        <v/>
      </c>
    </row>
    <row r="308" spans="1:13" ht="18" customHeight="1" x14ac:dyDescent="0.25">
      <c r="A308" s="40" t="str">
        <f>IF(Agent02_Withdrawals!A115="","",Agent02_Withdrawals!A115)</f>
        <v/>
      </c>
      <c r="B308" s="40" t="str">
        <f ca="1">IF(Agent02_Withdrawals!A115="","","WD"&amp;TEXT(308-3,"0000")&amp;"-"&amp;TEXT(TODAY(),"YYYYMMDD"))</f>
        <v/>
      </c>
      <c r="C308" s="40" t="str">
        <f>IF(Agent02_Withdrawals!A115="","",Agent02_Withdrawals!B115)</f>
        <v/>
      </c>
      <c r="D308" s="43" t="str">
        <f>IF(Agent02_Withdrawals!A115="","",Agent02_Withdrawals!C115)</f>
        <v/>
      </c>
      <c r="E308" s="41" t="str">
        <f>IF(Agent02_Withdrawals!A115="","",Agent02_Withdrawals!D115)</f>
        <v/>
      </c>
      <c r="F308" s="40" t="str">
        <f>IF(Agent02_Withdrawals!A115="","",Agent02_Withdrawals!F115)</f>
        <v/>
      </c>
      <c r="G308" s="42" t="str">
        <f>IF(Agent02_Withdrawals!A115="","",Agent02_Withdrawals!E115)</f>
        <v/>
      </c>
      <c r="H308" s="42" t="str">
        <f>IF(Agent02_Withdrawals!A115="","",Agent02_Withdrawals!G115)</f>
        <v/>
      </c>
      <c r="I308" s="40" t="str">
        <f>IF(Agent02_Withdrawals!A115="","",Agent02_Withdrawals!H115)</f>
        <v/>
      </c>
      <c r="J308" s="40" t="str">
        <f>IF(Agent02_Withdrawals!A115="","",Agent02_Withdrawals!J115)</f>
        <v/>
      </c>
      <c r="K308" s="40" t="str">
        <f>IF(Agent02_Withdrawals!A115="","",Agent02_Withdrawals!K115)</f>
        <v/>
      </c>
      <c r="L308" s="40" t="str">
        <f>IF(G308="","",IF(D308-G308&gt;=System_Config!$B$9,"✅ OK","⚠️ BREACH"))</f>
        <v/>
      </c>
      <c r="M308" s="40" t="str">
        <f>IFERROR(IF(Agent02_Withdrawals!A115="","",YEAR(Agent02_Withdrawals!D115)),"")</f>
        <v/>
      </c>
    </row>
    <row r="309" spans="1:13" ht="18" customHeight="1" x14ac:dyDescent="0.25">
      <c r="A309" s="40" t="str">
        <f>IF(Agent02_Withdrawals!A116="","",Agent02_Withdrawals!A116)</f>
        <v/>
      </c>
      <c r="B309" s="40" t="str">
        <f ca="1">IF(Agent02_Withdrawals!A116="","","WD"&amp;TEXT(309-3,"0000")&amp;"-"&amp;TEXT(TODAY(),"YYYYMMDD"))</f>
        <v/>
      </c>
      <c r="C309" s="40" t="str">
        <f>IF(Agent02_Withdrawals!A116="","",Agent02_Withdrawals!B116)</f>
        <v/>
      </c>
      <c r="D309" s="43" t="str">
        <f>IF(Agent02_Withdrawals!A116="","",Agent02_Withdrawals!C116)</f>
        <v/>
      </c>
      <c r="E309" s="41" t="str">
        <f>IF(Agent02_Withdrawals!A116="","",Agent02_Withdrawals!D116)</f>
        <v/>
      </c>
      <c r="F309" s="40" t="str">
        <f>IF(Agent02_Withdrawals!A116="","",Agent02_Withdrawals!F116)</f>
        <v/>
      </c>
      <c r="G309" s="42" t="str">
        <f>IF(Agent02_Withdrawals!A116="","",Agent02_Withdrawals!E116)</f>
        <v/>
      </c>
      <c r="H309" s="42" t="str">
        <f>IF(Agent02_Withdrawals!A116="","",Agent02_Withdrawals!G116)</f>
        <v/>
      </c>
      <c r="I309" s="40" t="str">
        <f>IF(Agent02_Withdrawals!A116="","",Agent02_Withdrawals!H116)</f>
        <v/>
      </c>
      <c r="J309" s="40" t="str">
        <f>IF(Agent02_Withdrawals!A116="","",Agent02_Withdrawals!J116)</f>
        <v/>
      </c>
      <c r="K309" s="40" t="str">
        <f>IF(Agent02_Withdrawals!A116="","",Agent02_Withdrawals!K116)</f>
        <v/>
      </c>
      <c r="L309" s="40" t="str">
        <f>IF(G309="","",IF(D309-G309&gt;=System_Config!$B$9,"✅ OK","⚠️ BREACH"))</f>
        <v/>
      </c>
      <c r="M309" s="40" t="str">
        <f>IFERROR(IF(Agent02_Withdrawals!A116="","",YEAR(Agent02_Withdrawals!D116)),"")</f>
        <v/>
      </c>
    </row>
    <row r="310" spans="1:13" ht="18" customHeight="1" x14ac:dyDescent="0.25">
      <c r="A310" s="40" t="str">
        <f>IF(Agent02_Withdrawals!A117="","",Agent02_Withdrawals!A117)</f>
        <v/>
      </c>
      <c r="B310" s="40" t="str">
        <f ca="1">IF(Agent02_Withdrawals!A117="","","WD"&amp;TEXT(310-3,"0000")&amp;"-"&amp;TEXT(TODAY(),"YYYYMMDD"))</f>
        <v/>
      </c>
      <c r="C310" s="40" t="str">
        <f>IF(Agent02_Withdrawals!A117="","",Agent02_Withdrawals!B117)</f>
        <v/>
      </c>
      <c r="D310" s="43" t="str">
        <f>IF(Agent02_Withdrawals!A117="","",Agent02_Withdrawals!C117)</f>
        <v/>
      </c>
      <c r="E310" s="41" t="str">
        <f>IF(Agent02_Withdrawals!A117="","",Agent02_Withdrawals!D117)</f>
        <v/>
      </c>
      <c r="F310" s="40" t="str">
        <f>IF(Agent02_Withdrawals!A117="","",Agent02_Withdrawals!F117)</f>
        <v/>
      </c>
      <c r="G310" s="42" t="str">
        <f>IF(Agent02_Withdrawals!A117="","",Agent02_Withdrawals!E117)</f>
        <v/>
      </c>
      <c r="H310" s="42" t="str">
        <f>IF(Agent02_Withdrawals!A117="","",Agent02_Withdrawals!G117)</f>
        <v/>
      </c>
      <c r="I310" s="40" t="str">
        <f>IF(Agent02_Withdrawals!A117="","",Agent02_Withdrawals!H117)</f>
        <v/>
      </c>
      <c r="J310" s="40" t="str">
        <f>IF(Agent02_Withdrawals!A117="","",Agent02_Withdrawals!J117)</f>
        <v/>
      </c>
      <c r="K310" s="40" t="str">
        <f>IF(Agent02_Withdrawals!A117="","",Agent02_Withdrawals!K117)</f>
        <v/>
      </c>
      <c r="L310" s="40" t="str">
        <f>IF(G310="","",IF(D310-G310&gt;=System_Config!$B$9,"✅ OK","⚠️ BREACH"))</f>
        <v/>
      </c>
      <c r="M310" s="40" t="str">
        <f>IFERROR(IF(Agent02_Withdrawals!A117="","",YEAR(Agent02_Withdrawals!D117)),"")</f>
        <v/>
      </c>
    </row>
    <row r="311" spans="1:13" ht="18" customHeight="1" x14ac:dyDescent="0.25">
      <c r="A311" s="40" t="str">
        <f>IF(Agent02_Withdrawals!A118="","",Agent02_Withdrawals!A118)</f>
        <v/>
      </c>
      <c r="B311" s="40" t="str">
        <f ca="1">IF(Agent02_Withdrawals!A118="","","WD"&amp;TEXT(311-3,"0000")&amp;"-"&amp;TEXT(TODAY(),"YYYYMMDD"))</f>
        <v/>
      </c>
      <c r="C311" s="40" t="str">
        <f>IF(Agent02_Withdrawals!A118="","",Agent02_Withdrawals!B118)</f>
        <v/>
      </c>
      <c r="D311" s="43" t="str">
        <f>IF(Agent02_Withdrawals!A118="","",Agent02_Withdrawals!C118)</f>
        <v/>
      </c>
      <c r="E311" s="41" t="str">
        <f>IF(Agent02_Withdrawals!A118="","",Agent02_Withdrawals!D118)</f>
        <v/>
      </c>
      <c r="F311" s="40" t="str">
        <f>IF(Agent02_Withdrawals!A118="","",Agent02_Withdrawals!F118)</f>
        <v/>
      </c>
      <c r="G311" s="42" t="str">
        <f>IF(Agent02_Withdrawals!A118="","",Agent02_Withdrawals!E118)</f>
        <v/>
      </c>
      <c r="H311" s="42" t="str">
        <f>IF(Agent02_Withdrawals!A118="","",Agent02_Withdrawals!G118)</f>
        <v/>
      </c>
      <c r="I311" s="40" t="str">
        <f>IF(Agent02_Withdrawals!A118="","",Agent02_Withdrawals!H118)</f>
        <v/>
      </c>
      <c r="J311" s="40" t="str">
        <f>IF(Agent02_Withdrawals!A118="","",Agent02_Withdrawals!J118)</f>
        <v/>
      </c>
      <c r="K311" s="40" t="str">
        <f>IF(Agent02_Withdrawals!A118="","",Agent02_Withdrawals!K118)</f>
        <v/>
      </c>
      <c r="L311" s="40" t="str">
        <f>IF(G311="","",IF(D311-G311&gt;=System_Config!$B$9,"✅ OK","⚠️ BREACH"))</f>
        <v/>
      </c>
      <c r="M311" s="40" t="str">
        <f>IFERROR(IF(Agent02_Withdrawals!A118="","",YEAR(Agent02_Withdrawals!D118)),"")</f>
        <v/>
      </c>
    </row>
    <row r="312" spans="1:13" ht="18" customHeight="1" x14ac:dyDescent="0.25">
      <c r="A312" s="40" t="str">
        <f>IF(Agent02_Withdrawals!A119="","",Agent02_Withdrawals!A119)</f>
        <v/>
      </c>
      <c r="B312" s="40" t="str">
        <f ca="1">IF(Agent02_Withdrawals!A119="","","WD"&amp;TEXT(312-3,"0000")&amp;"-"&amp;TEXT(TODAY(),"YYYYMMDD"))</f>
        <v/>
      </c>
      <c r="C312" s="40" t="str">
        <f>IF(Agent02_Withdrawals!A119="","",Agent02_Withdrawals!B119)</f>
        <v/>
      </c>
      <c r="D312" s="43" t="str">
        <f>IF(Agent02_Withdrawals!A119="","",Agent02_Withdrawals!C119)</f>
        <v/>
      </c>
      <c r="E312" s="41" t="str">
        <f>IF(Agent02_Withdrawals!A119="","",Agent02_Withdrawals!D119)</f>
        <v/>
      </c>
      <c r="F312" s="40" t="str">
        <f>IF(Agent02_Withdrawals!A119="","",Agent02_Withdrawals!F119)</f>
        <v/>
      </c>
      <c r="G312" s="42" t="str">
        <f>IF(Agent02_Withdrawals!A119="","",Agent02_Withdrawals!E119)</f>
        <v/>
      </c>
      <c r="H312" s="42" t="str">
        <f>IF(Agent02_Withdrawals!A119="","",Agent02_Withdrawals!G119)</f>
        <v/>
      </c>
      <c r="I312" s="40" t="str">
        <f>IF(Agent02_Withdrawals!A119="","",Agent02_Withdrawals!H119)</f>
        <v/>
      </c>
      <c r="J312" s="40" t="str">
        <f>IF(Agent02_Withdrawals!A119="","",Agent02_Withdrawals!J119)</f>
        <v/>
      </c>
      <c r="K312" s="40" t="str">
        <f>IF(Agent02_Withdrawals!A119="","",Agent02_Withdrawals!K119)</f>
        <v/>
      </c>
      <c r="L312" s="40" t="str">
        <f>IF(G312="","",IF(D312-G312&gt;=System_Config!$B$9,"✅ OK","⚠️ BREACH"))</f>
        <v/>
      </c>
      <c r="M312" s="40" t="str">
        <f>IFERROR(IF(Agent02_Withdrawals!A119="","",YEAR(Agent02_Withdrawals!D119)),"")</f>
        <v/>
      </c>
    </row>
    <row r="313" spans="1:13" ht="18" customHeight="1" x14ac:dyDescent="0.25">
      <c r="A313" s="40" t="str">
        <f>IF(Agent02_Withdrawals!A120="","",Agent02_Withdrawals!A120)</f>
        <v/>
      </c>
      <c r="B313" s="40" t="str">
        <f ca="1">IF(Agent02_Withdrawals!A120="","","WD"&amp;TEXT(313-3,"0000")&amp;"-"&amp;TEXT(TODAY(),"YYYYMMDD"))</f>
        <v/>
      </c>
      <c r="C313" s="40" t="str">
        <f>IF(Agent02_Withdrawals!A120="","",Agent02_Withdrawals!B120)</f>
        <v/>
      </c>
      <c r="D313" s="43" t="str">
        <f>IF(Agent02_Withdrawals!A120="","",Agent02_Withdrawals!C120)</f>
        <v/>
      </c>
      <c r="E313" s="41" t="str">
        <f>IF(Agent02_Withdrawals!A120="","",Agent02_Withdrawals!D120)</f>
        <v/>
      </c>
      <c r="F313" s="40" t="str">
        <f>IF(Agent02_Withdrawals!A120="","",Agent02_Withdrawals!F120)</f>
        <v/>
      </c>
      <c r="G313" s="42" t="str">
        <f>IF(Agent02_Withdrawals!A120="","",Agent02_Withdrawals!E120)</f>
        <v/>
      </c>
      <c r="H313" s="42" t="str">
        <f>IF(Agent02_Withdrawals!A120="","",Agent02_Withdrawals!G120)</f>
        <v/>
      </c>
      <c r="I313" s="40" t="str">
        <f>IF(Agent02_Withdrawals!A120="","",Agent02_Withdrawals!H120)</f>
        <v/>
      </c>
      <c r="J313" s="40" t="str">
        <f>IF(Agent02_Withdrawals!A120="","",Agent02_Withdrawals!J120)</f>
        <v/>
      </c>
      <c r="K313" s="40" t="str">
        <f>IF(Agent02_Withdrawals!A120="","",Agent02_Withdrawals!K120)</f>
        <v/>
      </c>
      <c r="L313" s="40" t="str">
        <f>IF(G313="","",IF(D313-G313&gt;=System_Config!$B$9,"✅ OK","⚠️ BREACH"))</f>
        <v/>
      </c>
      <c r="M313" s="40" t="str">
        <f>IFERROR(IF(Agent02_Withdrawals!A120="","",YEAR(Agent02_Withdrawals!D120)),"")</f>
        <v/>
      </c>
    </row>
    <row r="314" spans="1:13" ht="18" customHeight="1" x14ac:dyDescent="0.25">
      <c r="A314" s="40" t="str">
        <f>IF(Agent02_Withdrawals!A121="","",Agent02_Withdrawals!A121)</f>
        <v/>
      </c>
      <c r="B314" s="40" t="str">
        <f ca="1">IF(Agent02_Withdrawals!A121="","","WD"&amp;TEXT(314-3,"0000")&amp;"-"&amp;TEXT(TODAY(),"YYYYMMDD"))</f>
        <v/>
      </c>
      <c r="C314" s="40" t="str">
        <f>IF(Agent02_Withdrawals!A121="","",Agent02_Withdrawals!B121)</f>
        <v/>
      </c>
      <c r="D314" s="43" t="str">
        <f>IF(Agent02_Withdrawals!A121="","",Agent02_Withdrawals!C121)</f>
        <v/>
      </c>
      <c r="E314" s="41" t="str">
        <f>IF(Agent02_Withdrawals!A121="","",Agent02_Withdrawals!D121)</f>
        <v/>
      </c>
      <c r="F314" s="40" t="str">
        <f>IF(Agent02_Withdrawals!A121="","",Agent02_Withdrawals!F121)</f>
        <v/>
      </c>
      <c r="G314" s="42" t="str">
        <f>IF(Agent02_Withdrawals!A121="","",Agent02_Withdrawals!E121)</f>
        <v/>
      </c>
      <c r="H314" s="42" t="str">
        <f>IF(Agent02_Withdrawals!A121="","",Agent02_Withdrawals!G121)</f>
        <v/>
      </c>
      <c r="I314" s="40" t="str">
        <f>IF(Agent02_Withdrawals!A121="","",Agent02_Withdrawals!H121)</f>
        <v/>
      </c>
      <c r="J314" s="40" t="str">
        <f>IF(Agent02_Withdrawals!A121="","",Agent02_Withdrawals!J121)</f>
        <v/>
      </c>
      <c r="K314" s="40" t="str">
        <f>IF(Agent02_Withdrawals!A121="","",Agent02_Withdrawals!K121)</f>
        <v/>
      </c>
      <c r="L314" s="40" t="str">
        <f>IF(G314="","",IF(D314-G314&gt;=System_Config!$B$9,"✅ OK","⚠️ BREACH"))</f>
        <v/>
      </c>
      <c r="M314" s="40" t="str">
        <f>IFERROR(IF(Agent02_Withdrawals!A121="","",YEAR(Agent02_Withdrawals!D121)),"")</f>
        <v/>
      </c>
    </row>
    <row r="315" spans="1:13" ht="18" customHeight="1" x14ac:dyDescent="0.25">
      <c r="A315" s="40" t="str">
        <f>IF(Agent02_Withdrawals!A122="","",Agent02_Withdrawals!A122)</f>
        <v/>
      </c>
      <c r="B315" s="40" t="str">
        <f ca="1">IF(Agent02_Withdrawals!A122="","","WD"&amp;TEXT(315-3,"0000")&amp;"-"&amp;TEXT(TODAY(),"YYYYMMDD"))</f>
        <v/>
      </c>
      <c r="C315" s="40" t="str">
        <f>IF(Agent02_Withdrawals!A122="","",Agent02_Withdrawals!B122)</f>
        <v/>
      </c>
      <c r="D315" s="43" t="str">
        <f>IF(Agent02_Withdrawals!A122="","",Agent02_Withdrawals!C122)</f>
        <v/>
      </c>
      <c r="E315" s="41" t="str">
        <f>IF(Agent02_Withdrawals!A122="","",Agent02_Withdrawals!D122)</f>
        <v/>
      </c>
      <c r="F315" s="40" t="str">
        <f>IF(Agent02_Withdrawals!A122="","",Agent02_Withdrawals!F122)</f>
        <v/>
      </c>
      <c r="G315" s="42" t="str">
        <f>IF(Agent02_Withdrawals!A122="","",Agent02_Withdrawals!E122)</f>
        <v/>
      </c>
      <c r="H315" s="42" t="str">
        <f>IF(Agent02_Withdrawals!A122="","",Agent02_Withdrawals!G122)</f>
        <v/>
      </c>
      <c r="I315" s="40" t="str">
        <f>IF(Agent02_Withdrawals!A122="","",Agent02_Withdrawals!H122)</f>
        <v/>
      </c>
      <c r="J315" s="40" t="str">
        <f>IF(Agent02_Withdrawals!A122="","",Agent02_Withdrawals!J122)</f>
        <v/>
      </c>
      <c r="K315" s="40" t="str">
        <f>IF(Agent02_Withdrawals!A122="","",Agent02_Withdrawals!K122)</f>
        <v/>
      </c>
      <c r="L315" s="40" t="str">
        <f>IF(G315="","",IF(D315-G315&gt;=System_Config!$B$9,"✅ OK","⚠️ BREACH"))</f>
        <v/>
      </c>
      <c r="M315" s="40" t="str">
        <f>IFERROR(IF(Agent02_Withdrawals!A122="","",YEAR(Agent02_Withdrawals!D122)),"")</f>
        <v/>
      </c>
    </row>
    <row r="316" spans="1:13" ht="18" customHeight="1" x14ac:dyDescent="0.25">
      <c r="A316" s="40" t="str">
        <f>IF(Agent02_Withdrawals!A123="","",Agent02_Withdrawals!A123)</f>
        <v/>
      </c>
      <c r="B316" s="40" t="str">
        <f ca="1">IF(Agent02_Withdrawals!A123="","","WD"&amp;TEXT(316-3,"0000")&amp;"-"&amp;TEXT(TODAY(),"YYYYMMDD"))</f>
        <v/>
      </c>
      <c r="C316" s="40" t="str">
        <f>IF(Agent02_Withdrawals!A123="","",Agent02_Withdrawals!B123)</f>
        <v/>
      </c>
      <c r="D316" s="43" t="str">
        <f>IF(Agent02_Withdrawals!A123="","",Agent02_Withdrawals!C123)</f>
        <v/>
      </c>
      <c r="E316" s="41" t="str">
        <f>IF(Agent02_Withdrawals!A123="","",Agent02_Withdrawals!D123)</f>
        <v/>
      </c>
      <c r="F316" s="40" t="str">
        <f>IF(Agent02_Withdrawals!A123="","",Agent02_Withdrawals!F123)</f>
        <v/>
      </c>
      <c r="G316" s="42" t="str">
        <f>IF(Agent02_Withdrawals!A123="","",Agent02_Withdrawals!E123)</f>
        <v/>
      </c>
      <c r="H316" s="42" t="str">
        <f>IF(Agent02_Withdrawals!A123="","",Agent02_Withdrawals!G123)</f>
        <v/>
      </c>
      <c r="I316" s="40" t="str">
        <f>IF(Agent02_Withdrawals!A123="","",Agent02_Withdrawals!H123)</f>
        <v/>
      </c>
      <c r="J316" s="40" t="str">
        <f>IF(Agent02_Withdrawals!A123="","",Agent02_Withdrawals!J123)</f>
        <v/>
      </c>
      <c r="K316" s="40" t="str">
        <f>IF(Agent02_Withdrawals!A123="","",Agent02_Withdrawals!K123)</f>
        <v/>
      </c>
      <c r="L316" s="40" t="str">
        <f>IF(G316="","",IF(D316-G316&gt;=System_Config!$B$9,"✅ OK","⚠️ BREACH"))</f>
        <v/>
      </c>
      <c r="M316" s="40" t="str">
        <f>IFERROR(IF(Agent02_Withdrawals!A123="","",YEAR(Agent02_Withdrawals!D123)),"")</f>
        <v/>
      </c>
    </row>
    <row r="317" spans="1:13" ht="18" customHeight="1" x14ac:dyDescent="0.25">
      <c r="A317" s="40" t="str">
        <f>IF(Agent02_Withdrawals!A124="","",Agent02_Withdrawals!A124)</f>
        <v/>
      </c>
      <c r="B317" s="40" t="str">
        <f ca="1">IF(Agent02_Withdrawals!A124="","","WD"&amp;TEXT(317-3,"0000")&amp;"-"&amp;TEXT(TODAY(),"YYYYMMDD"))</f>
        <v/>
      </c>
      <c r="C317" s="40" t="str">
        <f>IF(Agent02_Withdrawals!A124="","",Agent02_Withdrawals!B124)</f>
        <v/>
      </c>
      <c r="D317" s="43" t="str">
        <f>IF(Agent02_Withdrawals!A124="","",Agent02_Withdrawals!C124)</f>
        <v/>
      </c>
      <c r="E317" s="41" t="str">
        <f>IF(Agent02_Withdrawals!A124="","",Agent02_Withdrawals!D124)</f>
        <v/>
      </c>
      <c r="F317" s="40" t="str">
        <f>IF(Agent02_Withdrawals!A124="","",Agent02_Withdrawals!F124)</f>
        <v/>
      </c>
      <c r="G317" s="42" t="str">
        <f>IF(Agent02_Withdrawals!A124="","",Agent02_Withdrawals!E124)</f>
        <v/>
      </c>
      <c r="H317" s="42" t="str">
        <f>IF(Agent02_Withdrawals!A124="","",Agent02_Withdrawals!G124)</f>
        <v/>
      </c>
      <c r="I317" s="40" t="str">
        <f>IF(Agent02_Withdrawals!A124="","",Agent02_Withdrawals!H124)</f>
        <v/>
      </c>
      <c r="J317" s="40" t="str">
        <f>IF(Agent02_Withdrawals!A124="","",Agent02_Withdrawals!J124)</f>
        <v/>
      </c>
      <c r="K317" s="40" t="str">
        <f>IF(Agent02_Withdrawals!A124="","",Agent02_Withdrawals!K124)</f>
        <v/>
      </c>
      <c r="L317" s="40" t="str">
        <f>IF(G317="","",IF(D317-G317&gt;=System_Config!$B$9,"✅ OK","⚠️ BREACH"))</f>
        <v/>
      </c>
      <c r="M317" s="40" t="str">
        <f>IFERROR(IF(Agent02_Withdrawals!A124="","",YEAR(Agent02_Withdrawals!D124)),"")</f>
        <v/>
      </c>
    </row>
    <row r="318" spans="1:13" ht="18" customHeight="1" x14ac:dyDescent="0.25">
      <c r="A318" s="40" t="str">
        <f>IF(Agent02_Withdrawals!A125="","",Agent02_Withdrawals!A125)</f>
        <v/>
      </c>
      <c r="B318" s="40" t="str">
        <f ca="1">IF(Agent02_Withdrawals!A125="","","WD"&amp;TEXT(318-3,"0000")&amp;"-"&amp;TEXT(TODAY(),"YYYYMMDD"))</f>
        <v/>
      </c>
      <c r="C318" s="40" t="str">
        <f>IF(Agent02_Withdrawals!A125="","",Agent02_Withdrawals!B125)</f>
        <v/>
      </c>
      <c r="D318" s="43" t="str">
        <f>IF(Agent02_Withdrawals!A125="","",Agent02_Withdrawals!C125)</f>
        <v/>
      </c>
      <c r="E318" s="41" t="str">
        <f>IF(Agent02_Withdrawals!A125="","",Agent02_Withdrawals!D125)</f>
        <v/>
      </c>
      <c r="F318" s="40" t="str">
        <f>IF(Agent02_Withdrawals!A125="","",Agent02_Withdrawals!F125)</f>
        <v/>
      </c>
      <c r="G318" s="42" t="str">
        <f>IF(Agent02_Withdrawals!A125="","",Agent02_Withdrawals!E125)</f>
        <v/>
      </c>
      <c r="H318" s="42" t="str">
        <f>IF(Agent02_Withdrawals!A125="","",Agent02_Withdrawals!G125)</f>
        <v/>
      </c>
      <c r="I318" s="40" t="str">
        <f>IF(Agent02_Withdrawals!A125="","",Agent02_Withdrawals!H125)</f>
        <v/>
      </c>
      <c r="J318" s="40" t="str">
        <f>IF(Agent02_Withdrawals!A125="","",Agent02_Withdrawals!J125)</f>
        <v/>
      </c>
      <c r="K318" s="40" t="str">
        <f>IF(Agent02_Withdrawals!A125="","",Agent02_Withdrawals!K125)</f>
        <v/>
      </c>
      <c r="L318" s="40" t="str">
        <f>IF(G318="","",IF(D318-G318&gt;=System_Config!$B$9,"✅ OK","⚠️ BREACH"))</f>
        <v/>
      </c>
      <c r="M318" s="40" t="str">
        <f>IFERROR(IF(Agent02_Withdrawals!A125="","",YEAR(Agent02_Withdrawals!D125)),"")</f>
        <v/>
      </c>
    </row>
    <row r="319" spans="1:13" ht="18" customHeight="1" x14ac:dyDescent="0.25">
      <c r="A319" s="40" t="str">
        <f>IF(Agent02_Withdrawals!A126="","",Agent02_Withdrawals!A126)</f>
        <v/>
      </c>
      <c r="B319" s="40" t="str">
        <f ca="1">IF(Agent02_Withdrawals!A126="","","WD"&amp;TEXT(319-3,"0000")&amp;"-"&amp;TEXT(TODAY(),"YYYYMMDD"))</f>
        <v/>
      </c>
      <c r="C319" s="40" t="str">
        <f>IF(Agent02_Withdrawals!A126="","",Agent02_Withdrawals!B126)</f>
        <v/>
      </c>
      <c r="D319" s="43" t="str">
        <f>IF(Agent02_Withdrawals!A126="","",Agent02_Withdrawals!C126)</f>
        <v/>
      </c>
      <c r="E319" s="41" t="str">
        <f>IF(Agent02_Withdrawals!A126="","",Agent02_Withdrawals!D126)</f>
        <v/>
      </c>
      <c r="F319" s="40" t="str">
        <f>IF(Agent02_Withdrawals!A126="","",Agent02_Withdrawals!F126)</f>
        <v/>
      </c>
      <c r="G319" s="42" t="str">
        <f>IF(Agent02_Withdrawals!A126="","",Agent02_Withdrawals!E126)</f>
        <v/>
      </c>
      <c r="H319" s="42" t="str">
        <f>IF(Agent02_Withdrawals!A126="","",Agent02_Withdrawals!G126)</f>
        <v/>
      </c>
      <c r="I319" s="40" t="str">
        <f>IF(Agent02_Withdrawals!A126="","",Agent02_Withdrawals!H126)</f>
        <v/>
      </c>
      <c r="J319" s="40" t="str">
        <f>IF(Agent02_Withdrawals!A126="","",Agent02_Withdrawals!J126)</f>
        <v/>
      </c>
      <c r="K319" s="40" t="str">
        <f>IF(Agent02_Withdrawals!A126="","",Agent02_Withdrawals!K126)</f>
        <v/>
      </c>
      <c r="L319" s="40" t="str">
        <f>IF(G319="","",IF(D319-G319&gt;=System_Config!$B$9,"✅ OK","⚠️ BREACH"))</f>
        <v/>
      </c>
      <c r="M319" s="40" t="str">
        <f>IFERROR(IF(Agent02_Withdrawals!A126="","",YEAR(Agent02_Withdrawals!D126)),"")</f>
        <v/>
      </c>
    </row>
    <row r="320" spans="1:13" ht="18" customHeight="1" x14ac:dyDescent="0.25">
      <c r="A320" s="40" t="str">
        <f>IF(Agent02_Withdrawals!A127="","",Agent02_Withdrawals!A127)</f>
        <v/>
      </c>
      <c r="B320" s="40" t="str">
        <f ca="1">IF(Agent02_Withdrawals!A127="","","WD"&amp;TEXT(320-3,"0000")&amp;"-"&amp;TEXT(TODAY(),"YYYYMMDD"))</f>
        <v/>
      </c>
      <c r="C320" s="40" t="str">
        <f>IF(Agent02_Withdrawals!A127="","",Agent02_Withdrawals!B127)</f>
        <v/>
      </c>
      <c r="D320" s="43" t="str">
        <f>IF(Agent02_Withdrawals!A127="","",Agent02_Withdrawals!C127)</f>
        <v/>
      </c>
      <c r="E320" s="41" t="str">
        <f>IF(Agent02_Withdrawals!A127="","",Agent02_Withdrawals!D127)</f>
        <v/>
      </c>
      <c r="F320" s="40" t="str">
        <f>IF(Agent02_Withdrawals!A127="","",Agent02_Withdrawals!F127)</f>
        <v/>
      </c>
      <c r="G320" s="42" t="str">
        <f>IF(Agent02_Withdrawals!A127="","",Agent02_Withdrawals!E127)</f>
        <v/>
      </c>
      <c r="H320" s="42" t="str">
        <f>IF(Agent02_Withdrawals!A127="","",Agent02_Withdrawals!G127)</f>
        <v/>
      </c>
      <c r="I320" s="40" t="str">
        <f>IF(Agent02_Withdrawals!A127="","",Agent02_Withdrawals!H127)</f>
        <v/>
      </c>
      <c r="J320" s="40" t="str">
        <f>IF(Agent02_Withdrawals!A127="","",Agent02_Withdrawals!J127)</f>
        <v/>
      </c>
      <c r="K320" s="40" t="str">
        <f>IF(Agent02_Withdrawals!A127="","",Agent02_Withdrawals!K127)</f>
        <v/>
      </c>
      <c r="L320" s="40" t="str">
        <f>IF(G320="","",IF(D320-G320&gt;=System_Config!$B$9,"✅ OK","⚠️ BREACH"))</f>
        <v/>
      </c>
      <c r="M320" s="40" t="str">
        <f>IFERROR(IF(Agent02_Withdrawals!A127="","",YEAR(Agent02_Withdrawals!D127)),"")</f>
        <v/>
      </c>
    </row>
    <row r="321" spans="1:13" ht="18" customHeight="1" x14ac:dyDescent="0.25">
      <c r="A321" s="40" t="str">
        <f>IF(Agent02_Withdrawals!A128="","",Agent02_Withdrawals!A128)</f>
        <v/>
      </c>
      <c r="B321" s="40" t="str">
        <f ca="1">IF(Agent02_Withdrawals!A128="","","WD"&amp;TEXT(321-3,"0000")&amp;"-"&amp;TEXT(TODAY(),"YYYYMMDD"))</f>
        <v/>
      </c>
      <c r="C321" s="40" t="str">
        <f>IF(Agent02_Withdrawals!A128="","",Agent02_Withdrawals!B128)</f>
        <v/>
      </c>
      <c r="D321" s="43" t="str">
        <f>IF(Agent02_Withdrawals!A128="","",Agent02_Withdrawals!C128)</f>
        <v/>
      </c>
      <c r="E321" s="41" t="str">
        <f>IF(Agent02_Withdrawals!A128="","",Agent02_Withdrawals!D128)</f>
        <v/>
      </c>
      <c r="F321" s="40" t="str">
        <f>IF(Agent02_Withdrawals!A128="","",Agent02_Withdrawals!F128)</f>
        <v/>
      </c>
      <c r="G321" s="42" t="str">
        <f>IF(Agent02_Withdrawals!A128="","",Agent02_Withdrawals!E128)</f>
        <v/>
      </c>
      <c r="H321" s="42" t="str">
        <f>IF(Agent02_Withdrawals!A128="","",Agent02_Withdrawals!G128)</f>
        <v/>
      </c>
      <c r="I321" s="40" t="str">
        <f>IF(Agent02_Withdrawals!A128="","",Agent02_Withdrawals!H128)</f>
        <v/>
      </c>
      <c r="J321" s="40" t="str">
        <f>IF(Agent02_Withdrawals!A128="","",Agent02_Withdrawals!J128)</f>
        <v/>
      </c>
      <c r="K321" s="40" t="str">
        <f>IF(Agent02_Withdrawals!A128="","",Agent02_Withdrawals!K128)</f>
        <v/>
      </c>
      <c r="L321" s="40" t="str">
        <f>IF(G321="","",IF(D321-G321&gt;=System_Config!$B$9,"✅ OK","⚠️ BREACH"))</f>
        <v/>
      </c>
      <c r="M321" s="40" t="str">
        <f>IFERROR(IF(Agent02_Withdrawals!A128="","",YEAR(Agent02_Withdrawals!D128)),"")</f>
        <v/>
      </c>
    </row>
    <row r="322" spans="1:13" ht="18" customHeight="1" x14ac:dyDescent="0.25">
      <c r="A322" s="40" t="str">
        <f>IF(Agent02_Withdrawals!A129="","",Agent02_Withdrawals!A129)</f>
        <v/>
      </c>
      <c r="B322" s="40" t="str">
        <f ca="1">IF(Agent02_Withdrawals!A129="","","WD"&amp;TEXT(322-3,"0000")&amp;"-"&amp;TEXT(TODAY(),"YYYYMMDD"))</f>
        <v/>
      </c>
      <c r="C322" s="40" t="str">
        <f>IF(Agent02_Withdrawals!A129="","",Agent02_Withdrawals!B129)</f>
        <v/>
      </c>
      <c r="D322" s="43" t="str">
        <f>IF(Agent02_Withdrawals!A129="","",Agent02_Withdrawals!C129)</f>
        <v/>
      </c>
      <c r="E322" s="41" t="str">
        <f>IF(Agent02_Withdrawals!A129="","",Agent02_Withdrawals!D129)</f>
        <v/>
      </c>
      <c r="F322" s="40" t="str">
        <f>IF(Agent02_Withdrawals!A129="","",Agent02_Withdrawals!F129)</f>
        <v/>
      </c>
      <c r="G322" s="42" t="str">
        <f>IF(Agent02_Withdrawals!A129="","",Agent02_Withdrawals!E129)</f>
        <v/>
      </c>
      <c r="H322" s="42" t="str">
        <f>IF(Agent02_Withdrawals!A129="","",Agent02_Withdrawals!G129)</f>
        <v/>
      </c>
      <c r="I322" s="40" t="str">
        <f>IF(Agent02_Withdrawals!A129="","",Agent02_Withdrawals!H129)</f>
        <v/>
      </c>
      <c r="J322" s="40" t="str">
        <f>IF(Agent02_Withdrawals!A129="","",Agent02_Withdrawals!J129)</f>
        <v/>
      </c>
      <c r="K322" s="40" t="str">
        <f>IF(Agent02_Withdrawals!A129="","",Agent02_Withdrawals!K129)</f>
        <v/>
      </c>
      <c r="L322" s="40" t="str">
        <f>IF(G322="","",IF(D322-G322&gt;=System_Config!$B$9,"✅ OK","⚠️ BREACH"))</f>
        <v/>
      </c>
      <c r="M322" s="40" t="str">
        <f>IFERROR(IF(Agent02_Withdrawals!A129="","",YEAR(Agent02_Withdrawals!D129)),"")</f>
        <v/>
      </c>
    </row>
    <row r="323" spans="1:13" ht="18" customHeight="1" x14ac:dyDescent="0.25">
      <c r="A323" s="40" t="str">
        <f>IF(Agent02_Withdrawals!A130="","",Agent02_Withdrawals!A130)</f>
        <v/>
      </c>
      <c r="B323" s="40" t="str">
        <f ca="1">IF(Agent02_Withdrawals!A130="","","WD"&amp;TEXT(323-3,"0000")&amp;"-"&amp;TEXT(TODAY(),"YYYYMMDD"))</f>
        <v/>
      </c>
      <c r="C323" s="40" t="str">
        <f>IF(Agent02_Withdrawals!A130="","",Agent02_Withdrawals!B130)</f>
        <v/>
      </c>
      <c r="D323" s="43" t="str">
        <f>IF(Agent02_Withdrawals!A130="","",Agent02_Withdrawals!C130)</f>
        <v/>
      </c>
      <c r="E323" s="41" t="str">
        <f>IF(Agent02_Withdrawals!A130="","",Agent02_Withdrawals!D130)</f>
        <v/>
      </c>
      <c r="F323" s="40" t="str">
        <f>IF(Agent02_Withdrawals!A130="","",Agent02_Withdrawals!F130)</f>
        <v/>
      </c>
      <c r="G323" s="42" t="str">
        <f>IF(Agent02_Withdrawals!A130="","",Agent02_Withdrawals!E130)</f>
        <v/>
      </c>
      <c r="H323" s="42" t="str">
        <f>IF(Agent02_Withdrawals!A130="","",Agent02_Withdrawals!G130)</f>
        <v/>
      </c>
      <c r="I323" s="40" t="str">
        <f>IF(Agent02_Withdrawals!A130="","",Agent02_Withdrawals!H130)</f>
        <v/>
      </c>
      <c r="J323" s="40" t="str">
        <f>IF(Agent02_Withdrawals!A130="","",Agent02_Withdrawals!J130)</f>
        <v/>
      </c>
      <c r="K323" s="40" t="str">
        <f>IF(Agent02_Withdrawals!A130="","",Agent02_Withdrawals!K130)</f>
        <v/>
      </c>
      <c r="L323" s="40" t="str">
        <f>IF(G323="","",IF(D323-G323&gt;=System_Config!$B$9,"✅ OK","⚠️ BREACH"))</f>
        <v/>
      </c>
      <c r="M323" s="40" t="str">
        <f>IFERROR(IF(Agent02_Withdrawals!A130="","",YEAR(Agent02_Withdrawals!D130)),"")</f>
        <v/>
      </c>
    </row>
    <row r="324" spans="1:13" ht="18" customHeight="1" x14ac:dyDescent="0.25">
      <c r="A324" s="40" t="str">
        <f>IF(Agent02_Withdrawals!A131="","",Agent02_Withdrawals!A131)</f>
        <v/>
      </c>
      <c r="B324" s="40" t="str">
        <f ca="1">IF(Agent02_Withdrawals!A131="","","WD"&amp;TEXT(324-3,"0000")&amp;"-"&amp;TEXT(TODAY(),"YYYYMMDD"))</f>
        <v/>
      </c>
      <c r="C324" s="40" t="str">
        <f>IF(Agent02_Withdrawals!A131="","",Agent02_Withdrawals!B131)</f>
        <v/>
      </c>
      <c r="D324" s="43" t="str">
        <f>IF(Agent02_Withdrawals!A131="","",Agent02_Withdrawals!C131)</f>
        <v/>
      </c>
      <c r="E324" s="41" t="str">
        <f>IF(Agent02_Withdrawals!A131="","",Agent02_Withdrawals!D131)</f>
        <v/>
      </c>
      <c r="F324" s="40" t="str">
        <f>IF(Agent02_Withdrawals!A131="","",Agent02_Withdrawals!F131)</f>
        <v/>
      </c>
      <c r="G324" s="42" t="str">
        <f>IF(Agent02_Withdrawals!A131="","",Agent02_Withdrawals!E131)</f>
        <v/>
      </c>
      <c r="H324" s="42" t="str">
        <f>IF(Agent02_Withdrawals!A131="","",Agent02_Withdrawals!G131)</f>
        <v/>
      </c>
      <c r="I324" s="40" t="str">
        <f>IF(Agent02_Withdrawals!A131="","",Agent02_Withdrawals!H131)</f>
        <v/>
      </c>
      <c r="J324" s="40" t="str">
        <f>IF(Agent02_Withdrawals!A131="","",Agent02_Withdrawals!J131)</f>
        <v/>
      </c>
      <c r="K324" s="40" t="str">
        <f>IF(Agent02_Withdrawals!A131="","",Agent02_Withdrawals!K131)</f>
        <v/>
      </c>
      <c r="L324" s="40" t="str">
        <f>IF(G324="","",IF(D324-G324&gt;=System_Config!$B$9,"✅ OK","⚠️ BREACH"))</f>
        <v/>
      </c>
      <c r="M324" s="40" t="str">
        <f>IFERROR(IF(Agent02_Withdrawals!A131="","",YEAR(Agent02_Withdrawals!D131)),"")</f>
        <v/>
      </c>
    </row>
    <row r="325" spans="1:13" ht="18" customHeight="1" x14ac:dyDescent="0.25">
      <c r="A325" s="40" t="str">
        <f>IF(Agent02_Withdrawals!A132="","",Agent02_Withdrawals!A132)</f>
        <v/>
      </c>
      <c r="B325" s="40" t="str">
        <f ca="1">IF(Agent02_Withdrawals!A132="","","WD"&amp;TEXT(325-3,"0000")&amp;"-"&amp;TEXT(TODAY(),"YYYYMMDD"))</f>
        <v/>
      </c>
      <c r="C325" s="40" t="str">
        <f>IF(Agent02_Withdrawals!A132="","",Agent02_Withdrawals!B132)</f>
        <v/>
      </c>
      <c r="D325" s="43" t="str">
        <f>IF(Agent02_Withdrawals!A132="","",Agent02_Withdrawals!C132)</f>
        <v/>
      </c>
      <c r="E325" s="41" t="str">
        <f>IF(Agent02_Withdrawals!A132="","",Agent02_Withdrawals!D132)</f>
        <v/>
      </c>
      <c r="F325" s="40" t="str">
        <f>IF(Agent02_Withdrawals!A132="","",Agent02_Withdrawals!F132)</f>
        <v/>
      </c>
      <c r="G325" s="42" t="str">
        <f>IF(Agent02_Withdrawals!A132="","",Agent02_Withdrawals!E132)</f>
        <v/>
      </c>
      <c r="H325" s="42" t="str">
        <f>IF(Agent02_Withdrawals!A132="","",Agent02_Withdrawals!G132)</f>
        <v/>
      </c>
      <c r="I325" s="40" t="str">
        <f>IF(Agent02_Withdrawals!A132="","",Agent02_Withdrawals!H132)</f>
        <v/>
      </c>
      <c r="J325" s="40" t="str">
        <f>IF(Agent02_Withdrawals!A132="","",Agent02_Withdrawals!J132)</f>
        <v/>
      </c>
      <c r="K325" s="40" t="str">
        <f>IF(Agent02_Withdrawals!A132="","",Agent02_Withdrawals!K132)</f>
        <v/>
      </c>
      <c r="L325" s="40" t="str">
        <f>IF(G325="","",IF(D325-G325&gt;=System_Config!$B$9,"✅ OK","⚠️ BREACH"))</f>
        <v/>
      </c>
      <c r="M325" s="40" t="str">
        <f>IFERROR(IF(Agent02_Withdrawals!A132="","",YEAR(Agent02_Withdrawals!D132)),"")</f>
        <v/>
      </c>
    </row>
    <row r="326" spans="1:13" ht="18" customHeight="1" x14ac:dyDescent="0.25">
      <c r="A326" s="40" t="str">
        <f>IF(Agent02_Withdrawals!A133="","",Agent02_Withdrawals!A133)</f>
        <v/>
      </c>
      <c r="B326" s="40" t="str">
        <f ca="1">IF(Agent02_Withdrawals!A133="","","WD"&amp;TEXT(326-3,"0000")&amp;"-"&amp;TEXT(TODAY(),"YYYYMMDD"))</f>
        <v/>
      </c>
      <c r="C326" s="40" t="str">
        <f>IF(Agent02_Withdrawals!A133="","",Agent02_Withdrawals!B133)</f>
        <v/>
      </c>
      <c r="D326" s="43" t="str">
        <f>IF(Agent02_Withdrawals!A133="","",Agent02_Withdrawals!C133)</f>
        <v/>
      </c>
      <c r="E326" s="41" t="str">
        <f>IF(Agent02_Withdrawals!A133="","",Agent02_Withdrawals!D133)</f>
        <v/>
      </c>
      <c r="F326" s="40" t="str">
        <f>IF(Agent02_Withdrawals!A133="","",Agent02_Withdrawals!F133)</f>
        <v/>
      </c>
      <c r="G326" s="42" t="str">
        <f>IF(Agent02_Withdrawals!A133="","",Agent02_Withdrawals!E133)</f>
        <v/>
      </c>
      <c r="H326" s="42" t="str">
        <f>IF(Agent02_Withdrawals!A133="","",Agent02_Withdrawals!G133)</f>
        <v/>
      </c>
      <c r="I326" s="40" t="str">
        <f>IF(Agent02_Withdrawals!A133="","",Agent02_Withdrawals!H133)</f>
        <v/>
      </c>
      <c r="J326" s="40" t="str">
        <f>IF(Agent02_Withdrawals!A133="","",Agent02_Withdrawals!J133)</f>
        <v/>
      </c>
      <c r="K326" s="40" t="str">
        <f>IF(Agent02_Withdrawals!A133="","",Agent02_Withdrawals!K133)</f>
        <v/>
      </c>
      <c r="L326" s="40" t="str">
        <f>IF(G326="","",IF(D326-G326&gt;=System_Config!$B$9,"✅ OK","⚠️ BREACH"))</f>
        <v/>
      </c>
      <c r="M326" s="40" t="str">
        <f>IFERROR(IF(Agent02_Withdrawals!A133="","",YEAR(Agent02_Withdrawals!D133)),"")</f>
        <v/>
      </c>
    </row>
    <row r="327" spans="1:13" ht="18" customHeight="1" x14ac:dyDescent="0.25">
      <c r="A327" s="40" t="str">
        <f>IF(Agent02_Withdrawals!A134="","",Agent02_Withdrawals!A134)</f>
        <v/>
      </c>
      <c r="B327" s="40" t="str">
        <f ca="1">IF(Agent02_Withdrawals!A134="","","WD"&amp;TEXT(327-3,"0000")&amp;"-"&amp;TEXT(TODAY(),"YYYYMMDD"))</f>
        <v/>
      </c>
      <c r="C327" s="40" t="str">
        <f>IF(Agent02_Withdrawals!A134="","",Agent02_Withdrawals!B134)</f>
        <v/>
      </c>
      <c r="D327" s="43" t="str">
        <f>IF(Agent02_Withdrawals!A134="","",Agent02_Withdrawals!C134)</f>
        <v/>
      </c>
      <c r="E327" s="41" t="str">
        <f>IF(Agent02_Withdrawals!A134="","",Agent02_Withdrawals!D134)</f>
        <v/>
      </c>
      <c r="F327" s="40" t="str">
        <f>IF(Agent02_Withdrawals!A134="","",Agent02_Withdrawals!F134)</f>
        <v/>
      </c>
      <c r="G327" s="42" t="str">
        <f>IF(Agent02_Withdrawals!A134="","",Agent02_Withdrawals!E134)</f>
        <v/>
      </c>
      <c r="H327" s="42" t="str">
        <f>IF(Agent02_Withdrawals!A134="","",Agent02_Withdrawals!G134)</f>
        <v/>
      </c>
      <c r="I327" s="40" t="str">
        <f>IF(Agent02_Withdrawals!A134="","",Agent02_Withdrawals!H134)</f>
        <v/>
      </c>
      <c r="J327" s="40" t="str">
        <f>IF(Agent02_Withdrawals!A134="","",Agent02_Withdrawals!J134)</f>
        <v/>
      </c>
      <c r="K327" s="40" t="str">
        <f>IF(Agent02_Withdrawals!A134="","",Agent02_Withdrawals!K134)</f>
        <v/>
      </c>
      <c r="L327" s="40" t="str">
        <f>IF(G327="","",IF(D327-G327&gt;=System_Config!$B$9,"✅ OK","⚠️ BREACH"))</f>
        <v/>
      </c>
      <c r="M327" s="40" t="str">
        <f>IFERROR(IF(Agent02_Withdrawals!A134="","",YEAR(Agent02_Withdrawals!D134)),"")</f>
        <v/>
      </c>
    </row>
    <row r="328" spans="1:13" ht="18" customHeight="1" x14ac:dyDescent="0.25">
      <c r="A328" s="40" t="str">
        <f>IF(Agent02_Withdrawals!A135="","",Agent02_Withdrawals!A135)</f>
        <v/>
      </c>
      <c r="B328" s="40" t="str">
        <f ca="1">IF(Agent02_Withdrawals!A135="","","WD"&amp;TEXT(328-3,"0000")&amp;"-"&amp;TEXT(TODAY(),"YYYYMMDD"))</f>
        <v/>
      </c>
      <c r="C328" s="40" t="str">
        <f>IF(Agent02_Withdrawals!A135="","",Agent02_Withdrawals!B135)</f>
        <v/>
      </c>
      <c r="D328" s="43" t="str">
        <f>IF(Agent02_Withdrawals!A135="","",Agent02_Withdrawals!C135)</f>
        <v/>
      </c>
      <c r="E328" s="41" t="str">
        <f>IF(Agent02_Withdrawals!A135="","",Agent02_Withdrawals!D135)</f>
        <v/>
      </c>
      <c r="F328" s="40" t="str">
        <f>IF(Agent02_Withdrawals!A135="","",Agent02_Withdrawals!F135)</f>
        <v/>
      </c>
      <c r="G328" s="42" t="str">
        <f>IF(Agent02_Withdrawals!A135="","",Agent02_Withdrawals!E135)</f>
        <v/>
      </c>
      <c r="H328" s="42" t="str">
        <f>IF(Agent02_Withdrawals!A135="","",Agent02_Withdrawals!G135)</f>
        <v/>
      </c>
      <c r="I328" s="40" t="str">
        <f>IF(Agent02_Withdrawals!A135="","",Agent02_Withdrawals!H135)</f>
        <v/>
      </c>
      <c r="J328" s="40" t="str">
        <f>IF(Agent02_Withdrawals!A135="","",Agent02_Withdrawals!J135)</f>
        <v/>
      </c>
      <c r="K328" s="40" t="str">
        <f>IF(Agent02_Withdrawals!A135="","",Agent02_Withdrawals!K135)</f>
        <v/>
      </c>
      <c r="L328" s="40" t="str">
        <f>IF(G328="","",IF(D328-G328&gt;=System_Config!$B$9,"✅ OK","⚠️ BREACH"))</f>
        <v/>
      </c>
      <c r="M328" s="40" t="str">
        <f>IFERROR(IF(Agent02_Withdrawals!A135="","",YEAR(Agent02_Withdrawals!D135)),"")</f>
        <v/>
      </c>
    </row>
    <row r="329" spans="1:13" ht="18" customHeight="1" x14ac:dyDescent="0.25">
      <c r="A329" s="40" t="str">
        <f>IF(Agent02_Withdrawals!A136="","",Agent02_Withdrawals!A136)</f>
        <v/>
      </c>
      <c r="B329" s="40" t="str">
        <f ca="1">IF(Agent02_Withdrawals!A136="","","WD"&amp;TEXT(329-3,"0000")&amp;"-"&amp;TEXT(TODAY(),"YYYYMMDD"))</f>
        <v/>
      </c>
      <c r="C329" s="40" t="str">
        <f>IF(Agent02_Withdrawals!A136="","",Agent02_Withdrawals!B136)</f>
        <v/>
      </c>
      <c r="D329" s="43" t="str">
        <f>IF(Agent02_Withdrawals!A136="","",Agent02_Withdrawals!C136)</f>
        <v/>
      </c>
      <c r="E329" s="41" t="str">
        <f>IF(Agent02_Withdrawals!A136="","",Agent02_Withdrawals!D136)</f>
        <v/>
      </c>
      <c r="F329" s="40" t="str">
        <f>IF(Agent02_Withdrawals!A136="","",Agent02_Withdrawals!F136)</f>
        <v/>
      </c>
      <c r="G329" s="42" t="str">
        <f>IF(Agent02_Withdrawals!A136="","",Agent02_Withdrawals!E136)</f>
        <v/>
      </c>
      <c r="H329" s="42" t="str">
        <f>IF(Agent02_Withdrawals!A136="","",Agent02_Withdrawals!G136)</f>
        <v/>
      </c>
      <c r="I329" s="40" t="str">
        <f>IF(Agent02_Withdrawals!A136="","",Agent02_Withdrawals!H136)</f>
        <v/>
      </c>
      <c r="J329" s="40" t="str">
        <f>IF(Agent02_Withdrawals!A136="","",Agent02_Withdrawals!J136)</f>
        <v/>
      </c>
      <c r="K329" s="40" t="str">
        <f>IF(Agent02_Withdrawals!A136="","",Agent02_Withdrawals!K136)</f>
        <v/>
      </c>
      <c r="L329" s="40" t="str">
        <f>IF(G329="","",IF(D329-G329&gt;=System_Config!$B$9,"✅ OK","⚠️ BREACH"))</f>
        <v/>
      </c>
      <c r="M329" s="40" t="str">
        <f>IFERROR(IF(Agent02_Withdrawals!A136="","",YEAR(Agent02_Withdrawals!D136)),"")</f>
        <v/>
      </c>
    </row>
    <row r="330" spans="1:13" ht="18" customHeight="1" x14ac:dyDescent="0.25">
      <c r="A330" s="40" t="str">
        <f>IF(Agent02_Withdrawals!A137="","",Agent02_Withdrawals!A137)</f>
        <v/>
      </c>
      <c r="B330" s="40" t="str">
        <f ca="1">IF(Agent02_Withdrawals!A137="","","WD"&amp;TEXT(330-3,"0000")&amp;"-"&amp;TEXT(TODAY(),"YYYYMMDD"))</f>
        <v/>
      </c>
      <c r="C330" s="40" t="str">
        <f>IF(Agent02_Withdrawals!A137="","",Agent02_Withdrawals!B137)</f>
        <v/>
      </c>
      <c r="D330" s="43" t="str">
        <f>IF(Agent02_Withdrawals!A137="","",Agent02_Withdrawals!C137)</f>
        <v/>
      </c>
      <c r="E330" s="41" t="str">
        <f>IF(Agent02_Withdrawals!A137="","",Agent02_Withdrawals!D137)</f>
        <v/>
      </c>
      <c r="F330" s="40" t="str">
        <f>IF(Agent02_Withdrawals!A137="","",Agent02_Withdrawals!F137)</f>
        <v/>
      </c>
      <c r="G330" s="42" t="str">
        <f>IF(Agent02_Withdrawals!A137="","",Agent02_Withdrawals!E137)</f>
        <v/>
      </c>
      <c r="H330" s="42" t="str">
        <f>IF(Agent02_Withdrawals!A137="","",Agent02_Withdrawals!G137)</f>
        <v/>
      </c>
      <c r="I330" s="40" t="str">
        <f>IF(Agent02_Withdrawals!A137="","",Agent02_Withdrawals!H137)</f>
        <v/>
      </c>
      <c r="J330" s="40" t="str">
        <f>IF(Agent02_Withdrawals!A137="","",Agent02_Withdrawals!J137)</f>
        <v/>
      </c>
      <c r="K330" s="40" t="str">
        <f>IF(Agent02_Withdrawals!A137="","",Agent02_Withdrawals!K137)</f>
        <v/>
      </c>
      <c r="L330" s="40" t="str">
        <f>IF(G330="","",IF(D330-G330&gt;=System_Config!$B$9,"✅ OK","⚠️ BREACH"))</f>
        <v/>
      </c>
      <c r="M330" s="40" t="str">
        <f>IFERROR(IF(Agent02_Withdrawals!A137="","",YEAR(Agent02_Withdrawals!D137)),"")</f>
        <v/>
      </c>
    </row>
    <row r="331" spans="1:13" ht="18" customHeight="1" x14ac:dyDescent="0.25">
      <c r="A331" s="40" t="str">
        <f>IF(Agent02_Withdrawals!A138="","",Agent02_Withdrawals!A138)</f>
        <v/>
      </c>
      <c r="B331" s="40" t="str">
        <f ca="1">IF(Agent02_Withdrawals!A138="","","WD"&amp;TEXT(331-3,"0000")&amp;"-"&amp;TEXT(TODAY(),"YYYYMMDD"))</f>
        <v/>
      </c>
      <c r="C331" s="40" t="str">
        <f>IF(Agent02_Withdrawals!A138="","",Agent02_Withdrawals!B138)</f>
        <v/>
      </c>
      <c r="D331" s="43" t="str">
        <f>IF(Agent02_Withdrawals!A138="","",Agent02_Withdrawals!C138)</f>
        <v/>
      </c>
      <c r="E331" s="41" t="str">
        <f>IF(Agent02_Withdrawals!A138="","",Agent02_Withdrawals!D138)</f>
        <v/>
      </c>
      <c r="F331" s="40" t="str">
        <f>IF(Agent02_Withdrawals!A138="","",Agent02_Withdrawals!F138)</f>
        <v/>
      </c>
      <c r="G331" s="42" t="str">
        <f>IF(Agent02_Withdrawals!A138="","",Agent02_Withdrawals!E138)</f>
        <v/>
      </c>
      <c r="H331" s="42" t="str">
        <f>IF(Agent02_Withdrawals!A138="","",Agent02_Withdrawals!G138)</f>
        <v/>
      </c>
      <c r="I331" s="40" t="str">
        <f>IF(Agent02_Withdrawals!A138="","",Agent02_Withdrawals!H138)</f>
        <v/>
      </c>
      <c r="J331" s="40" t="str">
        <f>IF(Agent02_Withdrawals!A138="","",Agent02_Withdrawals!J138)</f>
        <v/>
      </c>
      <c r="K331" s="40" t="str">
        <f>IF(Agent02_Withdrawals!A138="","",Agent02_Withdrawals!K138)</f>
        <v/>
      </c>
      <c r="L331" s="40" t="str">
        <f>IF(G331="","",IF(D331-G331&gt;=System_Config!$B$9,"✅ OK","⚠️ BREACH"))</f>
        <v/>
      </c>
      <c r="M331" s="40" t="str">
        <f>IFERROR(IF(Agent02_Withdrawals!A138="","",YEAR(Agent02_Withdrawals!D138)),"")</f>
        <v/>
      </c>
    </row>
    <row r="332" spans="1:13" ht="18" customHeight="1" x14ac:dyDescent="0.25">
      <c r="A332" s="40" t="str">
        <f>IF(Agent02_Withdrawals!A139="","",Agent02_Withdrawals!A139)</f>
        <v/>
      </c>
      <c r="B332" s="40" t="str">
        <f ca="1">IF(Agent02_Withdrawals!A139="","","WD"&amp;TEXT(332-3,"0000")&amp;"-"&amp;TEXT(TODAY(),"YYYYMMDD"))</f>
        <v/>
      </c>
      <c r="C332" s="40" t="str">
        <f>IF(Agent02_Withdrawals!A139="","",Agent02_Withdrawals!B139)</f>
        <v/>
      </c>
      <c r="D332" s="43" t="str">
        <f>IF(Agent02_Withdrawals!A139="","",Agent02_Withdrawals!C139)</f>
        <v/>
      </c>
      <c r="E332" s="41" t="str">
        <f>IF(Agent02_Withdrawals!A139="","",Agent02_Withdrawals!D139)</f>
        <v/>
      </c>
      <c r="F332" s="40" t="str">
        <f>IF(Agent02_Withdrawals!A139="","",Agent02_Withdrawals!F139)</f>
        <v/>
      </c>
      <c r="G332" s="42" t="str">
        <f>IF(Agent02_Withdrawals!A139="","",Agent02_Withdrawals!E139)</f>
        <v/>
      </c>
      <c r="H332" s="42" t="str">
        <f>IF(Agent02_Withdrawals!A139="","",Agent02_Withdrawals!G139)</f>
        <v/>
      </c>
      <c r="I332" s="40" t="str">
        <f>IF(Agent02_Withdrawals!A139="","",Agent02_Withdrawals!H139)</f>
        <v/>
      </c>
      <c r="J332" s="40" t="str">
        <f>IF(Agent02_Withdrawals!A139="","",Agent02_Withdrawals!J139)</f>
        <v/>
      </c>
      <c r="K332" s="40" t="str">
        <f>IF(Agent02_Withdrawals!A139="","",Agent02_Withdrawals!K139)</f>
        <v/>
      </c>
      <c r="L332" s="40" t="str">
        <f>IF(G332="","",IF(D332-G332&gt;=System_Config!$B$9,"✅ OK","⚠️ BREACH"))</f>
        <v/>
      </c>
      <c r="M332" s="40" t="str">
        <f>IFERROR(IF(Agent02_Withdrawals!A139="","",YEAR(Agent02_Withdrawals!D139)),"")</f>
        <v/>
      </c>
    </row>
    <row r="333" spans="1:13" ht="18" customHeight="1" x14ac:dyDescent="0.25">
      <c r="A333" s="40" t="str">
        <f>IF(Agent02_Withdrawals!A140="","",Agent02_Withdrawals!A140)</f>
        <v/>
      </c>
      <c r="B333" s="40" t="str">
        <f ca="1">IF(Agent02_Withdrawals!A140="","","WD"&amp;TEXT(333-3,"0000")&amp;"-"&amp;TEXT(TODAY(),"YYYYMMDD"))</f>
        <v/>
      </c>
      <c r="C333" s="40" t="str">
        <f>IF(Agent02_Withdrawals!A140="","",Agent02_Withdrawals!B140)</f>
        <v/>
      </c>
      <c r="D333" s="43" t="str">
        <f>IF(Agent02_Withdrawals!A140="","",Agent02_Withdrawals!C140)</f>
        <v/>
      </c>
      <c r="E333" s="41" t="str">
        <f>IF(Agent02_Withdrawals!A140="","",Agent02_Withdrawals!D140)</f>
        <v/>
      </c>
      <c r="F333" s="40" t="str">
        <f>IF(Agent02_Withdrawals!A140="","",Agent02_Withdrawals!F140)</f>
        <v/>
      </c>
      <c r="G333" s="42" t="str">
        <f>IF(Agent02_Withdrawals!A140="","",Agent02_Withdrawals!E140)</f>
        <v/>
      </c>
      <c r="H333" s="42" t="str">
        <f>IF(Agent02_Withdrawals!A140="","",Agent02_Withdrawals!G140)</f>
        <v/>
      </c>
      <c r="I333" s="40" t="str">
        <f>IF(Agent02_Withdrawals!A140="","",Agent02_Withdrawals!H140)</f>
        <v/>
      </c>
      <c r="J333" s="40" t="str">
        <f>IF(Agent02_Withdrawals!A140="","",Agent02_Withdrawals!J140)</f>
        <v/>
      </c>
      <c r="K333" s="40" t="str">
        <f>IF(Agent02_Withdrawals!A140="","",Agent02_Withdrawals!K140)</f>
        <v/>
      </c>
      <c r="L333" s="40" t="str">
        <f>IF(G333="","",IF(D333-G333&gt;=System_Config!$B$9,"✅ OK","⚠️ BREACH"))</f>
        <v/>
      </c>
      <c r="M333" s="40" t="str">
        <f>IFERROR(IF(Agent02_Withdrawals!A140="","",YEAR(Agent02_Withdrawals!D140)),"")</f>
        <v/>
      </c>
    </row>
    <row r="334" spans="1:13" ht="18" customHeight="1" x14ac:dyDescent="0.25">
      <c r="A334" s="40" t="str">
        <f>IF(Agent02_Withdrawals!A141="","",Agent02_Withdrawals!A141)</f>
        <v/>
      </c>
      <c r="B334" s="40" t="str">
        <f ca="1">IF(Agent02_Withdrawals!A141="","","WD"&amp;TEXT(334-3,"0000")&amp;"-"&amp;TEXT(TODAY(),"YYYYMMDD"))</f>
        <v/>
      </c>
      <c r="C334" s="40" t="str">
        <f>IF(Agent02_Withdrawals!A141="","",Agent02_Withdrawals!B141)</f>
        <v/>
      </c>
      <c r="D334" s="43" t="str">
        <f>IF(Agent02_Withdrawals!A141="","",Agent02_Withdrawals!C141)</f>
        <v/>
      </c>
      <c r="E334" s="41" t="str">
        <f>IF(Agent02_Withdrawals!A141="","",Agent02_Withdrawals!D141)</f>
        <v/>
      </c>
      <c r="F334" s="40" t="str">
        <f>IF(Agent02_Withdrawals!A141="","",Agent02_Withdrawals!F141)</f>
        <v/>
      </c>
      <c r="G334" s="42" t="str">
        <f>IF(Agent02_Withdrawals!A141="","",Agent02_Withdrawals!E141)</f>
        <v/>
      </c>
      <c r="H334" s="42" t="str">
        <f>IF(Agent02_Withdrawals!A141="","",Agent02_Withdrawals!G141)</f>
        <v/>
      </c>
      <c r="I334" s="40" t="str">
        <f>IF(Agent02_Withdrawals!A141="","",Agent02_Withdrawals!H141)</f>
        <v/>
      </c>
      <c r="J334" s="40" t="str">
        <f>IF(Agent02_Withdrawals!A141="","",Agent02_Withdrawals!J141)</f>
        <v/>
      </c>
      <c r="K334" s="40" t="str">
        <f>IF(Agent02_Withdrawals!A141="","",Agent02_Withdrawals!K141)</f>
        <v/>
      </c>
      <c r="L334" s="40" t="str">
        <f>IF(G334="","",IF(D334-G334&gt;=System_Config!$B$9,"✅ OK","⚠️ BREACH"))</f>
        <v/>
      </c>
      <c r="M334" s="40" t="str">
        <f>IFERROR(IF(Agent02_Withdrawals!A141="","",YEAR(Agent02_Withdrawals!D141)),"")</f>
        <v/>
      </c>
    </row>
    <row r="335" spans="1:13" ht="18" customHeight="1" x14ac:dyDescent="0.25">
      <c r="A335" s="40" t="str">
        <f>IF(Agent02_Withdrawals!A142="","",Agent02_Withdrawals!A142)</f>
        <v/>
      </c>
      <c r="B335" s="40" t="str">
        <f ca="1">IF(Agent02_Withdrawals!A142="","","WD"&amp;TEXT(335-3,"0000")&amp;"-"&amp;TEXT(TODAY(),"YYYYMMDD"))</f>
        <v/>
      </c>
      <c r="C335" s="40" t="str">
        <f>IF(Agent02_Withdrawals!A142="","",Agent02_Withdrawals!B142)</f>
        <v/>
      </c>
      <c r="D335" s="43" t="str">
        <f>IF(Agent02_Withdrawals!A142="","",Agent02_Withdrawals!C142)</f>
        <v/>
      </c>
      <c r="E335" s="41" t="str">
        <f>IF(Agent02_Withdrawals!A142="","",Agent02_Withdrawals!D142)</f>
        <v/>
      </c>
      <c r="F335" s="40" t="str">
        <f>IF(Agent02_Withdrawals!A142="","",Agent02_Withdrawals!F142)</f>
        <v/>
      </c>
      <c r="G335" s="42" t="str">
        <f>IF(Agent02_Withdrawals!A142="","",Agent02_Withdrawals!E142)</f>
        <v/>
      </c>
      <c r="H335" s="42" t="str">
        <f>IF(Agent02_Withdrawals!A142="","",Agent02_Withdrawals!G142)</f>
        <v/>
      </c>
      <c r="I335" s="40" t="str">
        <f>IF(Agent02_Withdrawals!A142="","",Agent02_Withdrawals!H142)</f>
        <v/>
      </c>
      <c r="J335" s="40" t="str">
        <f>IF(Agent02_Withdrawals!A142="","",Agent02_Withdrawals!J142)</f>
        <v/>
      </c>
      <c r="K335" s="40" t="str">
        <f>IF(Agent02_Withdrawals!A142="","",Agent02_Withdrawals!K142)</f>
        <v/>
      </c>
      <c r="L335" s="40" t="str">
        <f>IF(G335="","",IF(D335-G335&gt;=System_Config!$B$9,"✅ OK","⚠️ BREACH"))</f>
        <v/>
      </c>
      <c r="M335" s="40" t="str">
        <f>IFERROR(IF(Agent02_Withdrawals!A142="","",YEAR(Agent02_Withdrawals!D142)),"")</f>
        <v/>
      </c>
    </row>
    <row r="336" spans="1:13" ht="18" customHeight="1" x14ac:dyDescent="0.25">
      <c r="A336" s="40" t="str">
        <f>IF(Agent02_Withdrawals!A143="","",Agent02_Withdrawals!A143)</f>
        <v/>
      </c>
      <c r="B336" s="40" t="str">
        <f ca="1">IF(Agent02_Withdrawals!A143="","","WD"&amp;TEXT(336-3,"0000")&amp;"-"&amp;TEXT(TODAY(),"YYYYMMDD"))</f>
        <v/>
      </c>
      <c r="C336" s="40" t="str">
        <f>IF(Agent02_Withdrawals!A143="","",Agent02_Withdrawals!B143)</f>
        <v/>
      </c>
      <c r="D336" s="43" t="str">
        <f>IF(Agent02_Withdrawals!A143="","",Agent02_Withdrawals!C143)</f>
        <v/>
      </c>
      <c r="E336" s="41" t="str">
        <f>IF(Agent02_Withdrawals!A143="","",Agent02_Withdrawals!D143)</f>
        <v/>
      </c>
      <c r="F336" s="40" t="str">
        <f>IF(Agent02_Withdrawals!A143="","",Agent02_Withdrawals!F143)</f>
        <v/>
      </c>
      <c r="G336" s="42" t="str">
        <f>IF(Agent02_Withdrawals!A143="","",Agent02_Withdrawals!E143)</f>
        <v/>
      </c>
      <c r="H336" s="42" t="str">
        <f>IF(Agent02_Withdrawals!A143="","",Agent02_Withdrawals!G143)</f>
        <v/>
      </c>
      <c r="I336" s="40" t="str">
        <f>IF(Agent02_Withdrawals!A143="","",Agent02_Withdrawals!H143)</f>
        <v/>
      </c>
      <c r="J336" s="40" t="str">
        <f>IF(Agent02_Withdrawals!A143="","",Agent02_Withdrawals!J143)</f>
        <v/>
      </c>
      <c r="K336" s="40" t="str">
        <f>IF(Agent02_Withdrawals!A143="","",Agent02_Withdrawals!K143)</f>
        <v/>
      </c>
      <c r="L336" s="40" t="str">
        <f>IF(G336="","",IF(D336-G336&gt;=System_Config!$B$9,"✅ OK","⚠️ BREACH"))</f>
        <v/>
      </c>
      <c r="M336" s="40" t="str">
        <f>IFERROR(IF(Agent02_Withdrawals!A143="","",YEAR(Agent02_Withdrawals!D143)),"")</f>
        <v/>
      </c>
    </row>
    <row r="337" spans="1:13" ht="18" customHeight="1" x14ac:dyDescent="0.25">
      <c r="A337" s="40" t="str">
        <f>IF(Agent02_Withdrawals!A144="","",Agent02_Withdrawals!A144)</f>
        <v/>
      </c>
      <c r="B337" s="40" t="str">
        <f ca="1">IF(Agent02_Withdrawals!A144="","","WD"&amp;TEXT(337-3,"0000")&amp;"-"&amp;TEXT(TODAY(),"YYYYMMDD"))</f>
        <v/>
      </c>
      <c r="C337" s="40" t="str">
        <f>IF(Agent02_Withdrawals!A144="","",Agent02_Withdrawals!B144)</f>
        <v/>
      </c>
      <c r="D337" s="43" t="str">
        <f>IF(Agent02_Withdrawals!A144="","",Agent02_Withdrawals!C144)</f>
        <v/>
      </c>
      <c r="E337" s="41" t="str">
        <f>IF(Agent02_Withdrawals!A144="","",Agent02_Withdrawals!D144)</f>
        <v/>
      </c>
      <c r="F337" s="40" t="str">
        <f>IF(Agent02_Withdrawals!A144="","",Agent02_Withdrawals!F144)</f>
        <v/>
      </c>
      <c r="G337" s="42" t="str">
        <f>IF(Agent02_Withdrawals!A144="","",Agent02_Withdrawals!E144)</f>
        <v/>
      </c>
      <c r="H337" s="42" t="str">
        <f>IF(Agent02_Withdrawals!A144="","",Agent02_Withdrawals!G144)</f>
        <v/>
      </c>
      <c r="I337" s="40" t="str">
        <f>IF(Agent02_Withdrawals!A144="","",Agent02_Withdrawals!H144)</f>
        <v/>
      </c>
      <c r="J337" s="40" t="str">
        <f>IF(Agent02_Withdrawals!A144="","",Agent02_Withdrawals!J144)</f>
        <v/>
      </c>
      <c r="K337" s="40" t="str">
        <f>IF(Agent02_Withdrawals!A144="","",Agent02_Withdrawals!K144)</f>
        <v/>
      </c>
      <c r="L337" s="40" t="str">
        <f>IF(G337="","",IF(D337-G337&gt;=System_Config!$B$9,"✅ OK","⚠️ BREACH"))</f>
        <v/>
      </c>
      <c r="M337" s="40" t="str">
        <f>IFERROR(IF(Agent02_Withdrawals!A144="","",YEAR(Agent02_Withdrawals!D144)),"")</f>
        <v/>
      </c>
    </row>
    <row r="338" spans="1:13" ht="18" customHeight="1" x14ac:dyDescent="0.25">
      <c r="A338" s="40" t="str">
        <f>IF(Agent02_Withdrawals!A145="","",Agent02_Withdrawals!A145)</f>
        <v/>
      </c>
      <c r="B338" s="40" t="str">
        <f ca="1">IF(Agent02_Withdrawals!A145="","","WD"&amp;TEXT(338-3,"0000")&amp;"-"&amp;TEXT(TODAY(),"YYYYMMDD"))</f>
        <v/>
      </c>
      <c r="C338" s="40" t="str">
        <f>IF(Agent02_Withdrawals!A145="","",Agent02_Withdrawals!B145)</f>
        <v/>
      </c>
      <c r="D338" s="43" t="str">
        <f>IF(Agent02_Withdrawals!A145="","",Agent02_Withdrawals!C145)</f>
        <v/>
      </c>
      <c r="E338" s="41" t="str">
        <f>IF(Agent02_Withdrawals!A145="","",Agent02_Withdrawals!D145)</f>
        <v/>
      </c>
      <c r="F338" s="40" t="str">
        <f>IF(Agent02_Withdrawals!A145="","",Agent02_Withdrawals!F145)</f>
        <v/>
      </c>
      <c r="G338" s="42" t="str">
        <f>IF(Agent02_Withdrawals!A145="","",Agent02_Withdrawals!E145)</f>
        <v/>
      </c>
      <c r="H338" s="42" t="str">
        <f>IF(Agent02_Withdrawals!A145="","",Agent02_Withdrawals!G145)</f>
        <v/>
      </c>
      <c r="I338" s="40" t="str">
        <f>IF(Agent02_Withdrawals!A145="","",Agent02_Withdrawals!H145)</f>
        <v/>
      </c>
      <c r="J338" s="40" t="str">
        <f>IF(Agent02_Withdrawals!A145="","",Agent02_Withdrawals!J145)</f>
        <v/>
      </c>
      <c r="K338" s="40" t="str">
        <f>IF(Agent02_Withdrawals!A145="","",Agent02_Withdrawals!K145)</f>
        <v/>
      </c>
      <c r="L338" s="40" t="str">
        <f>IF(G338="","",IF(D338-G338&gt;=System_Config!$B$9,"✅ OK","⚠️ BREACH"))</f>
        <v/>
      </c>
      <c r="M338" s="40" t="str">
        <f>IFERROR(IF(Agent02_Withdrawals!A145="","",YEAR(Agent02_Withdrawals!D145)),"")</f>
        <v/>
      </c>
    </row>
    <row r="339" spans="1:13" ht="18" customHeight="1" x14ac:dyDescent="0.25">
      <c r="A339" s="40" t="str">
        <f>IF(Agent02_Withdrawals!A146="","",Agent02_Withdrawals!A146)</f>
        <v/>
      </c>
      <c r="B339" s="40" t="str">
        <f ca="1">IF(Agent02_Withdrawals!A146="","","WD"&amp;TEXT(339-3,"0000")&amp;"-"&amp;TEXT(TODAY(),"YYYYMMDD"))</f>
        <v/>
      </c>
      <c r="C339" s="40" t="str">
        <f>IF(Agent02_Withdrawals!A146="","",Agent02_Withdrawals!B146)</f>
        <v/>
      </c>
      <c r="D339" s="43" t="str">
        <f>IF(Agent02_Withdrawals!A146="","",Agent02_Withdrawals!C146)</f>
        <v/>
      </c>
      <c r="E339" s="41" t="str">
        <f>IF(Agent02_Withdrawals!A146="","",Agent02_Withdrawals!D146)</f>
        <v/>
      </c>
      <c r="F339" s="40" t="str">
        <f>IF(Agent02_Withdrawals!A146="","",Agent02_Withdrawals!F146)</f>
        <v/>
      </c>
      <c r="G339" s="42" t="str">
        <f>IF(Agent02_Withdrawals!A146="","",Agent02_Withdrawals!E146)</f>
        <v/>
      </c>
      <c r="H339" s="42" t="str">
        <f>IF(Agent02_Withdrawals!A146="","",Agent02_Withdrawals!G146)</f>
        <v/>
      </c>
      <c r="I339" s="40" t="str">
        <f>IF(Agent02_Withdrawals!A146="","",Agent02_Withdrawals!H146)</f>
        <v/>
      </c>
      <c r="J339" s="40" t="str">
        <f>IF(Agent02_Withdrawals!A146="","",Agent02_Withdrawals!J146)</f>
        <v/>
      </c>
      <c r="K339" s="40" t="str">
        <f>IF(Agent02_Withdrawals!A146="","",Agent02_Withdrawals!K146)</f>
        <v/>
      </c>
      <c r="L339" s="40" t="str">
        <f>IF(G339="","",IF(D339-G339&gt;=System_Config!$B$9,"✅ OK","⚠️ BREACH"))</f>
        <v/>
      </c>
      <c r="M339" s="40" t="str">
        <f>IFERROR(IF(Agent02_Withdrawals!A146="","",YEAR(Agent02_Withdrawals!D146)),"")</f>
        <v/>
      </c>
    </row>
    <row r="340" spans="1:13" ht="18" customHeight="1" x14ac:dyDescent="0.25">
      <c r="A340" s="40" t="str">
        <f>IF(Agent02_Withdrawals!A147="","",Agent02_Withdrawals!A147)</f>
        <v/>
      </c>
      <c r="B340" s="40" t="str">
        <f ca="1">IF(Agent02_Withdrawals!A147="","","WD"&amp;TEXT(340-3,"0000")&amp;"-"&amp;TEXT(TODAY(),"YYYYMMDD"))</f>
        <v/>
      </c>
      <c r="C340" s="40" t="str">
        <f>IF(Agent02_Withdrawals!A147="","",Agent02_Withdrawals!B147)</f>
        <v/>
      </c>
      <c r="D340" s="43" t="str">
        <f>IF(Agent02_Withdrawals!A147="","",Agent02_Withdrawals!C147)</f>
        <v/>
      </c>
      <c r="E340" s="41" t="str">
        <f>IF(Agent02_Withdrawals!A147="","",Agent02_Withdrawals!D147)</f>
        <v/>
      </c>
      <c r="F340" s="40" t="str">
        <f>IF(Agent02_Withdrawals!A147="","",Agent02_Withdrawals!F147)</f>
        <v/>
      </c>
      <c r="G340" s="42" t="str">
        <f>IF(Agent02_Withdrawals!A147="","",Agent02_Withdrawals!E147)</f>
        <v/>
      </c>
      <c r="H340" s="42" t="str">
        <f>IF(Agent02_Withdrawals!A147="","",Agent02_Withdrawals!G147)</f>
        <v/>
      </c>
      <c r="I340" s="40" t="str">
        <f>IF(Agent02_Withdrawals!A147="","",Agent02_Withdrawals!H147)</f>
        <v/>
      </c>
      <c r="J340" s="40" t="str">
        <f>IF(Agent02_Withdrawals!A147="","",Agent02_Withdrawals!J147)</f>
        <v/>
      </c>
      <c r="K340" s="40" t="str">
        <f>IF(Agent02_Withdrawals!A147="","",Agent02_Withdrawals!K147)</f>
        <v/>
      </c>
      <c r="L340" s="40" t="str">
        <f>IF(G340="","",IF(D340-G340&gt;=System_Config!$B$9,"✅ OK","⚠️ BREACH"))</f>
        <v/>
      </c>
      <c r="M340" s="40" t="str">
        <f>IFERROR(IF(Agent02_Withdrawals!A147="","",YEAR(Agent02_Withdrawals!D147)),"")</f>
        <v/>
      </c>
    </row>
    <row r="341" spans="1:13" ht="18" customHeight="1" x14ac:dyDescent="0.25">
      <c r="A341" s="40" t="str">
        <f>IF(Agent02_Withdrawals!A148="","",Agent02_Withdrawals!A148)</f>
        <v/>
      </c>
      <c r="B341" s="40" t="str">
        <f ca="1">IF(Agent02_Withdrawals!A148="","","WD"&amp;TEXT(341-3,"0000")&amp;"-"&amp;TEXT(TODAY(),"YYYYMMDD"))</f>
        <v/>
      </c>
      <c r="C341" s="40" t="str">
        <f>IF(Agent02_Withdrawals!A148="","",Agent02_Withdrawals!B148)</f>
        <v/>
      </c>
      <c r="D341" s="43" t="str">
        <f>IF(Agent02_Withdrawals!A148="","",Agent02_Withdrawals!C148)</f>
        <v/>
      </c>
      <c r="E341" s="41" t="str">
        <f>IF(Agent02_Withdrawals!A148="","",Agent02_Withdrawals!D148)</f>
        <v/>
      </c>
      <c r="F341" s="40" t="str">
        <f>IF(Agent02_Withdrawals!A148="","",Agent02_Withdrawals!F148)</f>
        <v/>
      </c>
      <c r="G341" s="42" t="str">
        <f>IF(Agent02_Withdrawals!A148="","",Agent02_Withdrawals!E148)</f>
        <v/>
      </c>
      <c r="H341" s="42" t="str">
        <f>IF(Agent02_Withdrawals!A148="","",Agent02_Withdrawals!G148)</f>
        <v/>
      </c>
      <c r="I341" s="40" t="str">
        <f>IF(Agent02_Withdrawals!A148="","",Agent02_Withdrawals!H148)</f>
        <v/>
      </c>
      <c r="J341" s="40" t="str">
        <f>IF(Agent02_Withdrawals!A148="","",Agent02_Withdrawals!J148)</f>
        <v/>
      </c>
      <c r="K341" s="40" t="str">
        <f>IF(Agent02_Withdrawals!A148="","",Agent02_Withdrawals!K148)</f>
        <v/>
      </c>
      <c r="L341" s="40" t="str">
        <f>IF(G341="","",IF(D341-G341&gt;=System_Config!$B$9,"✅ OK","⚠️ BREACH"))</f>
        <v/>
      </c>
      <c r="M341" s="40" t="str">
        <f>IFERROR(IF(Agent02_Withdrawals!A148="","",YEAR(Agent02_Withdrawals!D148)),"")</f>
        <v/>
      </c>
    </row>
    <row r="342" spans="1:13" ht="18" customHeight="1" x14ac:dyDescent="0.25">
      <c r="A342" s="40" t="str">
        <f>IF(Agent02_Withdrawals!A149="","",Agent02_Withdrawals!A149)</f>
        <v/>
      </c>
      <c r="B342" s="40" t="str">
        <f ca="1">IF(Agent02_Withdrawals!A149="","","WD"&amp;TEXT(342-3,"0000")&amp;"-"&amp;TEXT(TODAY(),"YYYYMMDD"))</f>
        <v/>
      </c>
      <c r="C342" s="40" t="str">
        <f>IF(Agent02_Withdrawals!A149="","",Agent02_Withdrawals!B149)</f>
        <v/>
      </c>
      <c r="D342" s="43" t="str">
        <f>IF(Agent02_Withdrawals!A149="","",Agent02_Withdrawals!C149)</f>
        <v/>
      </c>
      <c r="E342" s="41" t="str">
        <f>IF(Agent02_Withdrawals!A149="","",Agent02_Withdrawals!D149)</f>
        <v/>
      </c>
      <c r="F342" s="40" t="str">
        <f>IF(Agent02_Withdrawals!A149="","",Agent02_Withdrawals!F149)</f>
        <v/>
      </c>
      <c r="G342" s="42" t="str">
        <f>IF(Agent02_Withdrawals!A149="","",Agent02_Withdrawals!E149)</f>
        <v/>
      </c>
      <c r="H342" s="42" t="str">
        <f>IF(Agent02_Withdrawals!A149="","",Agent02_Withdrawals!G149)</f>
        <v/>
      </c>
      <c r="I342" s="40" t="str">
        <f>IF(Agent02_Withdrawals!A149="","",Agent02_Withdrawals!H149)</f>
        <v/>
      </c>
      <c r="J342" s="40" t="str">
        <f>IF(Agent02_Withdrawals!A149="","",Agent02_Withdrawals!J149)</f>
        <v/>
      </c>
      <c r="K342" s="40" t="str">
        <f>IF(Agent02_Withdrawals!A149="","",Agent02_Withdrawals!K149)</f>
        <v/>
      </c>
      <c r="L342" s="40" t="str">
        <f>IF(G342="","",IF(D342-G342&gt;=System_Config!$B$9,"✅ OK","⚠️ BREACH"))</f>
        <v/>
      </c>
      <c r="M342" s="40" t="str">
        <f>IFERROR(IF(Agent02_Withdrawals!A149="","",YEAR(Agent02_Withdrawals!D149)),"")</f>
        <v/>
      </c>
    </row>
    <row r="343" spans="1:13" ht="18" customHeight="1" x14ac:dyDescent="0.25">
      <c r="A343" s="40" t="str">
        <f>IF(Agent02_Withdrawals!A150="","",Agent02_Withdrawals!A150)</f>
        <v/>
      </c>
      <c r="B343" s="40" t="str">
        <f ca="1">IF(Agent02_Withdrawals!A150="","","WD"&amp;TEXT(343-3,"0000")&amp;"-"&amp;TEXT(TODAY(),"YYYYMMDD"))</f>
        <v/>
      </c>
      <c r="C343" s="40" t="str">
        <f>IF(Agent02_Withdrawals!A150="","",Agent02_Withdrawals!B150)</f>
        <v/>
      </c>
      <c r="D343" s="43" t="str">
        <f>IF(Agent02_Withdrawals!A150="","",Agent02_Withdrawals!C150)</f>
        <v/>
      </c>
      <c r="E343" s="41" t="str">
        <f>IF(Agent02_Withdrawals!A150="","",Agent02_Withdrawals!D150)</f>
        <v/>
      </c>
      <c r="F343" s="40" t="str">
        <f>IF(Agent02_Withdrawals!A150="","",Agent02_Withdrawals!F150)</f>
        <v/>
      </c>
      <c r="G343" s="42" t="str">
        <f>IF(Agent02_Withdrawals!A150="","",Agent02_Withdrawals!E150)</f>
        <v/>
      </c>
      <c r="H343" s="42" t="str">
        <f>IF(Agent02_Withdrawals!A150="","",Agent02_Withdrawals!G150)</f>
        <v/>
      </c>
      <c r="I343" s="40" t="str">
        <f>IF(Agent02_Withdrawals!A150="","",Agent02_Withdrawals!H150)</f>
        <v/>
      </c>
      <c r="J343" s="40" t="str">
        <f>IF(Agent02_Withdrawals!A150="","",Agent02_Withdrawals!J150)</f>
        <v/>
      </c>
      <c r="K343" s="40" t="str">
        <f>IF(Agent02_Withdrawals!A150="","",Agent02_Withdrawals!K150)</f>
        <v/>
      </c>
      <c r="L343" s="40" t="str">
        <f>IF(G343="","",IF(D343-G343&gt;=System_Config!$B$9,"✅ OK","⚠️ BREACH"))</f>
        <v/>
      </c>
      <c r="M343" s="40" t="str">
        <f>IFERROR(IF(Agent02_Withdrawals!A150="","",YEAR(Agent02_Withdrawals!D150)),"")</f>
        <v/>
      </c>
    </row>
    <row r="344" spans="1:13" ht="18" customHeight="1" x14ac:dyDescent="0.25">
      <c r="A344" s="40" t="str">
        <f>IF(Agent02_Withdrawals!A151="","",Agent02_Withdrawals!A151)</f>
        <v/>
      </c>
      <c r="B344" s="40" t="str">
        <f ca="1">IF(Agent02_Withdrawals!A151="","","WD"&amp;TEXT(344-3,"0000")&amp;"-"&amp;TEXT(TODAY(),"YYYYMMDD"))</f>
        <v/>
      </c>
      <c r="C344" s="40" t="str">
        <f>IF(Agent02_Withdrawals!A151="","",Agent02_Withdrawals!B151)</f>
        <v/>
      </c>
      <c r="D344" s="43" t="str">
        <f>IF(Agent02_Withdrawals!A151="","",Agent02_Withdrawals!C151)</f>
        <v/>
      </c>
      <c r="E344" s="41" t="str">
        <f>IF(Agent02_Withdrawals!A151="","",Agent02_Withdrawals!D151)</f>
        <v/>
      </c>
      <c r="F344" s="40" t="str">
        <f>IF(Agent02_Withdrawals!A151="","",Agent02_Withdrawals!F151)</f>
        <v/>
      </c>
      <c r="G344" s="42" t="str">
        <f>IF(Agent02_Withdrawals!A151="","",Agent02_Withdrawals!E151)</f>
        <v/>
      </c>
      <c r="H344" s="42" t="str">
        <f>IF(Agent02_Withdrawals!A151="","",Agent02_Withdrawals!G151)</f>
        <v/>
      </c>
      <c r="I344" s="40" t="str">
        <f>IF(Agent02_Withdrawals!A151="","",Agent02_Withdrawals!H151)</f>
        <v/>
      </c>
      <c r="J344" s="40" t="str">
        <f>IF(Agent02_Withdrawals!A151="","",Agent02_Withdrawals!J151)</f>
        <v/>
      </c>
      <c r="K344" s="40" t="str">
        <f>IF(Agent02_Withdrawals!A151="","",Agent02_Withdrawals!K151)</f>
        <v/>
      </c>
      <c r="L344" s="40" t="str">
        <f>IF(G344="","",IF(D344-G344&gt;=System_Config!$B$9,"✅ OK","⚠️ BREACH"))</f>
        <v/>
      </c>
      <c r="M344" s="40" t="str">
        <f>IFERROR(IF(Agent02_Withdrawals!A151="","",YEAR(Agent02_Withdrawals!D151)),"")</f>
        <v/>
      </c>
    </row>
    <row r="345" spans="1:13" ht="18" customHeight="1" x14ac:dyDescent="0.25">
      <c r="A345" s="40" t="str">
        <f>IF(Agent02_Withdrawals!A152="","",Agent02_Withdrawals!A152)</f>
        <v/>
      </c>
      <c r="B345" s="40" t="str">
        <f ca="1">IF(Agent02_Withdrawals!A152="","","WD"&amp;TEXT(345-3,"0000")&amp;"-"&amp;TEXT(TODAY(),"YYYYMMDD"))</f>
        <v/>
      </c>
      <c r="C345" s="40" t="str">
        <f>IF(Agent02_Withdrawals!A152="","",Agent02_Withdrawals!B152)</f>
        <v/>
      </c>
      <c r="D345" s="43" t="str">
        <f>IF(Agent02_Withdrawals!A152="","",Agent02_Withdrawals!C152)</f>
        <v/>
      </c>
      <c r="E345" s="41" t="str">
        <f>IF(Agent02_Withdrawals!A152="","",Agent02_Withdrawals!D152)</f>
        <v/>
      </c>
      <c r="F345" s="40" t="str">
        <f>IF(Agent02_Withdrawals!A152="","",Agent02_Withdrawals!F152)</f>
        <v/>
      </c>
      <c r="G345" s="42" t="str">
        <f>IF(Agent02_Withdrawals!A152="","",Agent02_Withdrawals!E152)</f>
        <v/>
      </c>
      <c r="H345" s="42" t="str">
        <f>IF(Agent02_Withdrawals!A152="","",Agent02_Withdrawals!G152)</f>
        <v/>
      </c>
      <c r="I345" s="40" t="str">
        <f>IF(Agent02_Withdrawals!A152="","",Agent02_Withdrawals!H152)</f>
        <v/>
      </c>
      <c r="J345" s="40" t="str">
        <f>IF(Agent02_Withdrawals!A152="","",Agent02_Withdrawals!J152)</f>
        <v/>
      </c>
      <c r="K345" s="40" t="str">
        <f>IF(Agent02_Withdrawals!A152="","",Agent02_Withdrawals!K152)</f>
        <v/>
      </c>
      <c r="L345" s="40" t="str">
        <f>IF(G345="","",IF(D345-G345&gt;=System_Config!$B$9,"✅ OK","⚠️ BREACH"))</f>
        <v/>
      </c>
      <c r="M345" s="40" t="str">
        <f>IFERROR(IF(Agent02_Withdrawals!A152="","",YEAR(Agent02_Withdrawals!D152)),"")</f>
        <v/>
      </c>
    </row>
    <row r="346" spans="1:13" ht="18" customHeight="1" x14ac:dyDescent="0.25">
      <c r="A346" s="40" t="str">
        <f>IF(Agent02_Withdrawals!A153="","",Agent02_Withdrawals!A153)</f>
        <v/>
      </c>
      <c r="B346" s="40" t="str">
        <f ca="1">IF(Agent02_Withdrawals!A153="","","WD"&amp;TEXT(346-3,"0000")&amp;"-"&amp;TEXT(TODAY(),"YYYYMMDD"))</f>
        <v/>
      </c>
      <c r="C346" s="40" t="str">
        <f>IF(Agent02_Withdrawals!A153="","",Agent02_Withdrawals!B153)</f>
        <v/>
      </c>
      <c r="D346" s="43" t="str">
        <f>IF(Agent02_Withdrawals!A153="","",Agent02_Withdrawals!C153)</f>
        <v/>
      </c>
      <c r="E346" s="41" t="str">
        <f>IF(Agent02_Withdrawals!A153="","",Agent02_Withdrawals!D153)</f>
        <v/>
      </c>
      <c r="F346" s="40" t="str">
        <f>IF(Agent02_Withdrawals!A153="","",Agent02_Withdrawals!F153)</f>
        <v/>
      </c>
      <c r="G346" s="42" t="str">
        <f>IF(Agent02_Withdrawals!A153="","",Agent02_Withdrawals!E153)</f>
        <v/>
      </c>
      <c r="H346" s="42" t="str">
        <f>IF(Agent02_Withdrawals!A153="","",Agent02_Withdrawals!G153)</f>
        <v/>
      </c>
      <c r="I346" s="40" t="str">
        <f>IF(Agent02_Withdrawals!A153="","",Agent02_Withdrawals!H153)</f>
        <v/>
      </c>
      <c r="J346" s="40" t="str">
        <f>IF(Agent02_Withdrawals!A153="","",Agent02_Withdrawals!J153)</f>
        <v/>
      </c>
      <c r="K346" s="40" t="str">
        <f>IF(Agent02_Withdrawals!A153="","",Agent02_Withdrawals!K153)</f>
        <v/>
      </c>
      <c r="L346" s="40" t="str">
        <f>IF(G346="","",IF(D346-G346&gt;=System_Config!$B$9,"✅ OK","⚠️ BREACH"))</f>
        <v/>
      </c>
      <c r="M346" s="40" t="str">
        <f>IFERROR(IF(Agent02_Withdrawals!A153="","",YEAR(Agent02_Withdrawals!D153)),"")</f>
        <v/>
      </c>
    </row>
    <row r="347" spans="1:13" ht="18" customHeight="1" x14ac:dyDescent="0.25">
      <c r="A347" s="40" t="str">
        <f>IF(Agent02_Withdrawals!A154="","",Agent02_Withdrawals!A154)</f>
        <v/>
      </c>
      <c r="B347" s="40" t="str">
        <f ca="1">IF(Agent02_Withdrawals!A154="","","WD"&amp;TEXT(347-3,"0000")&amp;"-"&amp;TEXT(TODAY(),"YYYYMMDD"))</f>
        <v/>
      </c>
      <c r="C347" s="40" t="str">
        <f>IF(Agent02_Withdrawals!A154="","",Agent02_Withdrawals!B154)</f>
        <v/>
      </c>
      <c r="D347" s="43" t="str">
        <f>IF(Agent02_Withdrawals!A154="","",Agent02_Withdrawals!C154)</f>
        <v/>
      </c>
      <c r="E347" s="41" t="str">
        <f>IF(Agent02_Withdrawals!A154="","",Agent02_Withdrawals!D154)</f>
        <v/>
      </c>
      <c r="F347" s="40" t="str">
        <f>IF(Agent02_Withdrawals!A154="","",Agent02_Withdrawals!F154)</f>
        <v/>
      </c>
      <c r="G347" s="42" t="str">
        <f>IF(Agent02_Withdrawals!A154="","",Agent02_Withdrawals!E154)</f>
        <v/>
      </c>
      <c r="H347" s="42" t="str">
        <f>IF(Agent02_Withdrawals!A154="","",Agent02_Withdrawals!G154)</f>
        <v/>
      </c>
      <c r="I347" s="40" t="str">
        <f>IF(Agent02_Withdrawals!A154="","",Agent02_Withdrawals!H154)</f>
        <v/>
      </c>
      <c r="J347" s="40" t="str">
        <f>IF(Agent02_Withdrawals!A154="","",Agent02_Withdrawals!J154)</f>
        <v/>
      </c>
      <c r="K347" s="40" t="str">
        <f>IF(Agent02_Withdrawals!A154="","",Agent02_Withdrawals!K154)</f>
        <v/>
      </c>
      <c r="L347" s="40" t="str">
        <f>IF(G347="","",IF(D347-G347&gt;=System_Config!$B$9,"✅ OK","⚠️ BREACH"))</f>
        <v/>
      </c>
      <c r="M347" s="40" t="str">
        <f>IFERROR(IF(Agent02_Withdrawals!A154="","",YEAR(Agent02_Withdrawals!D154)),"")</f>
        <v/>
      </c>
    </row>
    <row r="348" spans="1:13" ht="18" customHeight="1" x14ac:dyDescent="0.25">
      <c r="A348" s="40" t="str">
        <f>IF(Agent02_Withdrawals!A155="","",Agent02_Withdrawals!A155)</f>
        <v/>
      </c>
      <c r="B348" s="40" t="str">
        <f ca="1">IF(Agent02_Withdrawals!A155="","","WD"&amp;TEXT(348-3,"0000")&amp;"-"&amp;TEXT(TODAY(),"YYYYMMDD"))</f>
        <v/>
      </c>
      <c r="C348" s="40" t="str">
        <f>IF(Agent02_Withdrawals!A155="","",Agent02_Withdrawals!B155)</f>
        <v/>
      </c>
      <c r="D348" s="43" t="str">
        <f>IF(Agent02_Withdrawals!A155="","",Agent02_Withdrawals!C155)</f>
        <v/>
      </c>
      <c r="E348" s="41" t="str">
        <f>IF(Agent02_Withdrawals!A155="","",Agent02_Withdrawals!D155)</f>
        <v/>
      </c>
      <c r="F348" s="40" t="str">
        <f>IF(Agent02_Withdrawals!A155="","",Agent02_Withdrawals!F155)</f>
        <v/>
      </c>
      <c r="G348" s="42" t="str">
        <f>IF(Agent02_Withdrawals!A155="","",Agent02_Withdrawals!E155)</f>
        <v/>
      </c>
      <c r="H348" s="42" t="str">
        <f>IF(Agent02_Withdrawals!A155="","",Agent02_Withdrawals!G155)</f>
        <v/>
      </c>
      <c r="I348" s="40" t="str">
        <f>IF(Agent02_Withdrawals!A155="","",Agent02_Withdrawals!H155)</f>
        <v/>
      </c>
      <c r="J348" s="40" t="str">
        <f>IF(Agent02_Withdrawals!A155="","",Agent02_Withdrawals!J155)</f>
        <v/>
      </c>
      <c r="K348" s="40" t="str">
        <f>IF(Agent02_Withdrawals!A155="","",Agent02_Withdrawals!K155)</f>
        <v/>
      </c>
      <c r="L348" s="40" t="str">
        <f>IF(G348="","",IF(D348-G348&gt;=System_Config!$B$9,"✅ OK","⚠️ BREACH"))</f>
        <v/>
      </c>
      <c r="M348" s="40" t="str">
        <f>IFERROR(IF(Agent02_Withdrawals!A155="","",YEAR(Agent02_Withdrawals!D155)),"")</f>
        <v/>
      </c>
    </row>
    <row r="349" spans="1:13" ht="18" customHeight="1" x14ac:dyDescent="0.25">
      <c r="A349" s="40" t="str">
        <f>IF(Agent02_Withdrawals!A156="","",Agent02_Withdrawals!A156)</f>
        <v/>
      </c>
      <c r="B349" s="40" t="str">
        <f ca="1">IF(Agent02_Withdrawals!A156="","","WD"&amp;TEXT(349-3,"0000")&amp;"-"&amp;TEXT(TODAY(),"YYYYMMDD"))</f>
        <v/>
      </c>
      <c r="C349" s="40" t="str">
        <f>IF(Agent02_Withdrawals!A156="","",Agent02_Withdrawals!B156)</f>
        <v/>
      </c>
      <c r="D349" s="43" t="str">
        <f>IF(Agent02_Withdrawals!A156="","",Agent02_Withdrawals!C156)</f>
        <v/>
      </c>
      <c r="E349" s="41" t="str">
        <f>IF(Agent02_Withdrawals!A156="","",Agent02_Withdrawals!D156)</f>
        <v/>
      </c>
      <c r="F349" s="40" t="str">
        <f>IF(Agent02_Withdrawals!A156="","",Agent02_Withdrawals!F156)</f>
        <v/>
      </c>
      <c r="G349" s="42" t="str">
        <f>IF(Agent02_Withdrawals!A156="","",Agent02_Withdrawals!E156)</f>
        <v/>
      </c>
      <c r="H349" s="42" t="str">
        <f>IF(Agent02_Withdrawals!A156="","",Agent02_Withdrawals!G156)</f>
        <v/>
      </c>
      <c r="I349" s="40" t="str">
        <f>IF(Agent02_Withdrawals!A156="","",Agent02_Withdrawals!H156)</f>
        <v/>
      </c>
      <c r="J349" s="40" t="str">
        <f>IF(Agent02_Withdrawals!A156="","",Agent02_Withdrawals!J156)</f>
        <v/>
      </c>
      <c r="K349" s="40" t="str">
        <f>IF(Agent02_Withdrawals!A156="","",Agent02_Withdrawals!K156)</f>
        <v/>
      </c>
      <c r="L349" s="40" t="str">
        <f>IF(G349="","",IF(D349-G349&gt;=System_Config!$B$9,"✅ OK","⚠️ BREACH"))</f>
        <v/>
      </c>
      <c r="M349" s="40" t="str">
        <f>IFERROR(IF(Agent02_Withdrawals!A156="","",YEAR(Agent02_Withdrawals!D156)),"")</f>
        <v/>
      </c>
    </row>
    <row r="350" spans="1:13" ht="18" customHeight="1" x14ac:dyDescent="0.25">
      <c r="A350" s="40" t="str">
        <f>IF(Agent02_Withdrawals!A157="","",Agent02_Withdrawals!A157)</f>
        <v/>
      </c>
      <c r="B350" s="40" t="str">
        <f ca="1">IF(Agent02_Withdrawals!A157="","","WD"&amp;TEXT(350-3,"0000")&amp;"-"&amp;TEXT(TODAY(),"YYYYMMDD"))</f>
        <v/>
      </c>
      <c r="C350" s="40" t="str">
        <f>IF(Agent02_Withdrawals!A157="","",Agent02_Withdrawals!B157)</f>
        <v/>
      </c>
      <c r="D350" s="43" t="str">
        <f>IF(Agent02_Withdrawals!A157="","",Agent02_Withdrawals!C157)</f>
        <v/>
      </c>
      <c r="E350" s="41" t="str">
        <f>IF(Agent02_Withdrawals!A157="","",Agent02_Withdrawals!D157)</f>
        <v/>
      </c>
      <c r="F350" s="40" t="str">
        <f>IF(Agent02_Withdrawals!A157="","",Agent02_Withdrawals!F157)</f>
        <v/>
      </c>
      <c r="G350" s="42" t="str">
        <f>IF(Agent02_Withdrawals!A157="","",Agent02_Withdrawals!E157)</f>
        <v/>
      </c>
      <c r="H350" s="42" t="str">
        <f>IF(Agent02_Withdrawals!A157="","",Agent02_Withdrawals!G157)</f>
        <v/>
      </c>
      <c r="I350" s="40" t="str">
        <f>IF(Agent02_Withdrawals!A157="","",Agent02_Withdrawals!H157)</f>
        <v/>
      </c>
      <c r="J350" s="40" t="str">
        <f>IF(Agent02_Withdrawals!A157="","",Agent02_Withdrawals!J157)</f>
        <v/>
      </c>
      <c r="K350" s="40" t="str">
        <f>IF(Agent02_Withdrawals!A157="","",Agent02_Withdrawals!K157)</f>
        <v/>
      </c>
      <c r="L350" s="40" t="str">
        <f>IF(G350="","",IF(D350-G350&gt;=System_Config!$B$9,"✅ OK","⚠️ BREACH"))</f>
        <v/>
      </c>
      <c r="M350" s="40" t="str">
        <f>IFERROR(IF(Agent02_Withdrawals!A157="","",YEAR(Agent02_Withdrawals!D157)),"")</f>
        <v/>
      </c>
    </row>
    <row r="351" spans="1:13" ht="18" customHeight="1" x14ac:dyDescent="0.25">
      <c r="A351" s="40" t="str">
        <f>IF(Agent02_Withdrawals!A158="","",Agent02_Withdrawals!A158)</f>
        <v/>
      </c>
      <c r="B351" s="40" t="str">
        <f ca="1">IF(Agent02_Withdrawals!A158="","","WD"&amp;TEXT(351-3,"0000")&amp;"-"&amp;TEXT(TODAY(),"YYYYMMDD"))</f>
        <v/>
      </c>
      <c r="C351" s="40" t="str">
        <f>IF(Agent02_Withdrawals!A158="","",Agent02_Withdrawals!B158)</f>
        <v/>
      </c>
      <c r="D351" s="43" t="str">
        <f>IF(Agent02_Withdrawals!A158="","",Agent02_Withdrawals!C158)</f>
        <v/>
      </c>
      <c r="E351" s="41" t="str">
        <f>IF(Agent02_Withdrawals!A158="","",Agent02_Withdrawals!D158)</f>
        <v/>
      </c>
      <c r="F351" s="40" t="str">
        <f>IF(Agent02_Withdrawals!A158="","",Agent02_Withdrawals!F158)</f>
        <v/>
      </c>
      <c r="G351" s="42" t="str">
        <f>IF(Agent02_Withdrawals!A158="","",Agent02_Withdrawals!E158)</f>
        <v/>
      </c>
      <c r="H351" s="42" t="str">
        <f>IF(Agent02_Withdrawals!A158="","",Agent02_Withdrawals!G158)</f>
        <v/>
      </c>
      <c r="I351" s="40" t="str">
        <f>IF(Agent02_Withdrawals!A158="","",Agent02_Withdrawals!H158)</f>
        <v/>
      </c>
      <c r="J351" s="40" t="str">
        <f>IF(Agent02_Withdrawals!A158="","",Agent02_Withdrawals!J158)</f>
        <v/>
      </c>
      <c r="K351" s="40" t="str">
        <f>IF(Agent02_Withdrawals!A158="","",Agent02_Withdrawals!K158)</f>
        <v/>
      </c>
      <c r="L351" s="40" t="str">
        <f>IF(G351="","",IF(D351-G351&gt;=System_Config!$B$9,"✅ OK","⚠️ BREACH"))</f>
        <v/>
      </c>
      <c r="M351" s="40" t="str">
        <f>IFERROR(IF(Agent02_Withdrawals!A158="","",YEAR(Agent02_Withdrawals!D158)),"")</f>
        <v/>
      </c>
    </row>
    <row r="352" spans="1:13" ht="18" customHeight="1" x14ac:dyDescent="0.25">
      <c r="A352" s="40" t="str">
        <f>IF(Agent02_Withdrawals!A159="","",Agent02_Withdrawals!A159)</f>
        <v/>
      </c>
      <c r="B352" s="40" t="str">
        <f ca="1">IF(Agent02_Withdrawals!A159="","","WD"&amp;TEXT(352-3,"0000")&amp;"-"&amp;TEXT(TODAY(),"YYYYMMDD"))</f>
        <v/>
      </c>
      <c r="C352" s="40" t="str">
        <f>IF(Agent02_Withdrawals!A159="","",Agent02_Withdrawals!B159)</f>
        <v/>
      </c>
      <c r="D352" s="43" t="str">
        <f>IF(Agent02_Withdrawals!A159="","",Agent02_Withdrawals!C159)</f>
        <v/>
      </c>
      <c r="E352" s="41" t="str">
        <f>IF(Agent02_Withdrawals!A159="","",Agent02_Withdrawals!D159)</f>
        <v/>
      </c>
      <c r="F352" s="40" t="str">
        <f>IF(Agent02_Withdrawals!A159="","",Agent02_Withdrawals!F159)</f>
        <v/>
      </c>
      <c r="G352" s="42" t="str">
        <f>IF(Agent02_Withdrawals!A159="","",Agent02_Withdrawals!E159)</f>
        <v/>
      </c>
      <c r="H352" s="42" t="str">
        <f>IF(Agent02_Withdrawals!A159="","",Agent02_Withdrawals!G159)</f>
        <v/>
      </c>
      <c r="I352" s="40" t="str">
        <f>IF(Agent02_Withdrawals!A159="","",Agent02_Withdrawals!H159)</f>
        <v/>
      </c>
      <c r="J352" s="40" t="str">
        <f>IF(Agent02_Withdrawals!A159="","",Agent02_Withdrawals!J159)</f>
        <v/>
      </c>
      <c r="K352" s="40" t="str">
        <f>IF(Agent02_Withdrawals!A159="","",Agent02_Withdrawals!K159)</f>
        <v/>
      </c>
      <c r="L352" s="40" t="str">
        <f>IF(G352="","",IF(D352-G352&gt;=System_Config!$B$9,"✅ OK","⚠️ BREACH"))</f>
        <v/>
      </c>
      <c r="M352" s="40" t="str">
        <f>IFERROR(IF(Agent02_Withdrawals!A159="","",YEAR(Agent02_Withdrawals!D159)),"")</f>
        <v/>
      </c>
    </row>
    <row r="353" spans="1:13" ht="18" customHeight="1" x14ac:dyDescent="0.25">
      <c r="A353" s="40" t="str">
        <f>IF(Agent02_Withdrawals!A160="","",Agent02_Withdrawals!A160)</f>
        <v/>
      </c>
      <c r="B353" s="40" t="str">
        <f ca="1">IF(Agent02_Withdrawals!A160="","","WD"&amp;TEXT(353-3,"0000")&amp;"-"&amp;TEXT(TODAY(),"YYYYMMDD"))</f>
        <v/>
      </c>
      <c r="C353" s="40" t="str">
        <f>IF(Agent02_Withdrawals!A160="","",Agent02_Withdrawals!B160)</f>
        <v/>
      </c>
      <c r="D353" s="43" t="str">
        <f>IF(Agent02_Withdrawals!A160="","",Agent02_Withdrawals!C160)</f>
        <v/>
      </c>
      <c r="E353" s="41" t="str">
        <f>IF(Agent02_Withdrawals!A160="","",Agent02_Withdrawals!D160)</f>
        <v/>
      </c>
      <c r="F353" s="40" t="str">
        <f>IF(Agent02_Withdrawals!A160="","",Agent02_Withdrawals!F160)</f>
        <v/>
      </c>
      <c r="G353" s="42" t="str">
        <f>IF(Agent02_Withdrawals!A160="","",Agent02_Withdrawals!E160)</f>
        <v/>
      </c>
      <c r="H353" s="42" t="str">
        <f>IF(Agent02_Withdrawals!A160="","",Agent02_Withdrawals!G160)</f>
        <v/>
      </c>
      <c r="I353" s="40" t="str">
        <f>IF(Agent02_Withdrawals!A160="","",Agent02_Withdrawals!H160)</f>
        <v/>
      </c>
      <c r="J353" s="40" t="str">
        <f>IF(Agent02_Withdrawals!A160="","",Agent02_Withdrawals!J160)</f>
        <v/>
      </c>
      <c r="K353" s="40" t="str">
        <f>IF(Agent02_Withdrawals!A160="","",Agent02_Withdrawals!K160)</f>
        <v/>
      </c>
      <c r="L353" s="40" t="str">
        <f>IF(G353="","",IF(D353-G353&gt;=System_Config!$B$9,"✅ OK","⚠️ BREACH"))</f>
        <v/>
      </c>
      <c r="M353" s="40" t="str">
        <f>IFERROR(IF(Agent02_Withdrawals!A160="","",YEAR(Agent02_Withdrawals!D160)),"")</f>
        <v/>
      </c>
    </row>
    <row r="354" spans="1:13" ht="18" customHeight="1" x14ac:dyDescent="0.25">
      <c r="A354" s="40" t="str">
        <f>IF(Agent02_Withdrawals!A161="","",Agent02_Withdrawals!A161)</f>
        <v/>
      </c>
      <c r="B354" s="40" t="str">
        <f ca="1">IF(Agent02_Withdrawals!A161="","","WD"&amp;TEXT(354-3,"0000")&amp;"-"&amp;TEXT(TODAY(),"YYYYMMDD"))</f>
        <v/>
      </c>
      <c r="C354" s="40" t="str">
        <f>IF(Agent02_Withdrawals!A161="","",Agent02_Withdrawals!B161)</f>
        <v/>
      </c>
      <c r="D354" s="43" t="str">
        <f>IF(Agent02_Withdrawals!A161="","",Agent02_Withdrawals!C161)</f>
        <v/>
      </c>
      <c r="E354" s="41" t="str">
        <f>IF(Agent02_Withdrawals!A161="","",Agent02_Withdrawals!D161)</f>
        <v/>
      </c>
      <c r="F354" s="40" t="str">
        <f>IF(Agent02_Withdrawals!A161="","",Agent02_Withdrawals!F161)</f>
        <v/>
      </c>
      <c r="G354" s="42" t="str">
        <f>IF(Agent02_Withdrawals!A161="","",Agent02_Withdrawals!E161)</f>
        <v/>
      </c>
      <c r="H354" s="42" t="str">
        <f>IF(Agent02_Withdrawals!A161="","",Agent02_Withdrawals!G161)</f>
        <v/>
      </c>
      <c r="I354" s="40" t="str">
        <f>IF(Agent02_Withdrawals!A161="","",Agent02_Withdrawals!H161)</f>
        <v/>
      </c>
      <c r="J354" s="40" t="str">
        <f>IF(Agent02_Withdrawals!A161="","",Agent02_Withdrawals!J161)</f>
        <v/>
      </c>
      <c r="K354" s="40" t="str">
        <f>IF(Agent02_Withdrawals!A161="","",Agent02_Withdrawals!K161)</f>
        <v/>
      </c>
      <c r="L354" s="40" t="str">
        <f>IF(G354="","",IF(D354-G354&gt;=System_Config!$B$9,"✅ OK","⚠️ BREACH"))</f>
        <v/>
      </c>
      <c r="M354" s="40" t="str">
        <f>IFERROR(IF(Agent02_Withdrawals!A161="","",YEAR(Agent02_Withdrawals!D161)),"")</f>
        <v/>
      </c>
    </row>
    <row r="355" spans="1:13" ht="18" customHeight="1" x14ac:dyDescent="0.25">
      <c r="A355" s="40" t="str">
        <f>IF(Agent02_Withdrawals!A162="","",Agent02_Withdrawals!A162)</f>
        <v/>
      </c>
      <c r="B355" s="40" t="str">
        <f ca="1">IF(Agent02_Withdrawals!A162="","","WD"&amp;TEXT(355-3,"0000")&amp;"-"&amp;TEXT(TODAY(),"YYYYMMDD"))</f>
        <v/>
      </c>
      <c r="C355" s="40" t="str">
        <f>IF(Agent02_Withdrawals!A162="","",Agent02_Withdrawals!B162)</f>
        <v/>
      </c>
      <c r="D355" s="43" t="str">
        <f>IF(Agent02_Withdrawals!A162="","",Agent02_Withdrawals!C162)</f>
        <v/>
      </c>
      <c r="E355" s="41" t="str">
        <f>IF(Agent02_Withdrawals!A162="","",Agent02_Withdrawals!D162)</f>
        <v/>
      </c>
      <c r="F355" s="40" t="str">
        <f>IF(Agent02_Withdrawals!A162="","",Agent02_Withdrawals!F162)</f>
        <v/>
      </c>
      <c r="G355" s="42" t="str">
        <f>IF(Agent02_Withdrawals!A162="","",Agent02_Withdrawals!E162)</f>
        <v/>
      </c>
      <c r="H355" s="42" t="str">
        <f>IF(Agent02_Withdrawals!A162="","",Agent02_Withdrawals!G162)</f>
        <v/>
      </c>
      <c r="I355" s="40" t="str">
        <f>IF(Agent02_Withdrawals!A162="","",Agent02_Withdrawals!H162)</f>
        <v/>
      </c>
      <c r="J355" s="40" t="str">
        <f>IF(Agent02_Withdrawals!A162="","",Agent02_Withdrawals!J162)</f>
        <v/>
      </c>
      <c r="K355" s="40" t="str">
        <f>IF(Agent02_Withdrawals!A162="","",Agent02_Withdrawals!K162)</f>
        <v/>
      </c>
      <c r="L355" s="40" t="str">
        <f>IF(G355="","",IF(D355-G355&gt;=System_Config!$B$9,"✅ OK","⚠️ BREACH"))</f>
        <v/>
      </c>
      <c r="M355" s="40" t="str">
        <f>IFERROR(IF(Agent02_Withdrawals!A162="","",YEAR(Agent02_Withdrawals!D162)),"")</f>
        <v/>
      </c>
    </row>
    <row r="356" spans="1:13" ht="18" customHeight="1" x14ac:dyDescent="0.25">
      <c r="A356" s="40" t="str">
        <f>IF(Agent02_Withdrawals!A163="","",Agent02_Withdrawals!A163)</f>
        <v/>
      </c>
      <c r="B356" s="40" t="str">
        <f ca="1">IF(Agent02_Withdrawals!A163="","","WD"&amp;TEXT(356-3,"0000")&amp;"-"&amp;TEXT(TODAY(),"YYYYMMDD"))</f>
        <v/>
      </c>
      <c r="C356" s="40" t="str">
        <f>IF(Agent02_Withdrawals!A163="","",Agent02_Withdrawals!B163)</f>
        <v/>
      </c>
      <c r="D356" s="43" t="str">
        <f>IF(Agent02_Withdrawals!A163="","",Agent02_Withdrawals!C163)</f>
        <v/>
      </c>
      <c r="E356" s="41" t="str">
        <f>IF(Agent02_Withdrawals!A163="","",Agent02_Withdrawals!D163)</f>
        <v/>
      </c>
      <c r="F356" s="40" t="str">
        <f>IF(Agent02_Withdrawals!A163="","",Agent02_Withdrawals!F163)</f>
        <v/>
      </c>
      <c r="G356" s="42" t="str">
        <f>IF(Agent02_Withdrawals!A163="","",Agent02_Withdrawals!E163)</f>
        <v/>
      </c>
      <c r="H356" s="42" t="str">
        <f>IF(Agent02_Withdrawals!A163="","",Agent02_Withdrawals!G163)</f>
        <v/>
      </c>
      <c r="I356" s="40" t="str">
        <f>IF(Agent02_Withdrawals!A163="","",Agent02_Withdrawals!H163)</f>
        <v/>
      </c>
      <c r="J356" s="40" t="str">
        <f>IF(Agent02_Withdrawals!A163="","",Agent02_Withdrawals!J163)</f>
        <v/>
      </c>
      <c r="K356" s="40" t="str">
        <f>IF(Agent02_Withdrawals!A163="","",Agent02_Withdrawals!K163)</f>
        <v/>
      </c>
      <c r="L356" s="40" t="str">
        <f>IF(G356="","",IF(D356-G356&gt;=System_Config!$B$9,"✅ OK","⚠️ BREACH"))</f>
        <v/>
      </c>
      <c r="M356" s="40" t="str">
        <f>IFERROR(IF(Agent02_Withdrawals!A163="","",YEAR(Agent02_Withdrawals!D163)),"")</f>
        <v/>
      </c>
    </row>
    <row r="357" spans="1:13" ht="18" customHeight="1" x14ac:dyDescent="0.25">
      <c r="A357" s="40" t="str">
        <f>IF(Agent02_Withdrawals!A164="","",Agent02_Withdrawals!A164)</f>
        <v/>
      </c>
      <c r="B357" s="40" t="str">
        <f ca="1">IF(Agent02_Withdrawals!A164="","","WD"&amp;TEXT(357-3,"0000")&amp;"-"&amp;TEXT(TODAY(),"YYYYMMDD"))</f>
        <v/>
      </c>
      <c r="C357" s="40" t="str">
        <f>IF(Agent02_Withdrawals!A164="","",Agent02_Withdrawals!B164)</f>
        <v/>
      </c>
      <c r="D357" s="43" t="str">
        <f>IF(Agent02_Withdrawals!A164="","",Agent02_Withdrawals!C164)</f>
        <v/>
      </c>
      <c r="E357" s="41" t="str">
        <f>IF(Agent02_Withdrawals!A164="","",Agent02_Withdrawals!D164)</f>
        <v/>
      </c>
      <c r="F357" s="40" t="str">
        <f>IF(Agent02_Withdrawals!A164="","",Agent02_Withdrawals!F164)</f>
        <v/>
      </c>
      <c r="G357" s="42" t="str">
        <f>IF(Agent02_Withdrawals!A164="","",Agent02_Withdrawals!E164)</f>
        <v/>
      </c>
      <c r="H357" s="42" t="str">
        <f>IF(Agent02_Withdrawals!A164="","",Agent02_Withdrawals!G164)</f>
        <v/>
      </c>
      <c r="I357" s="40" t="str">
        <f>IF(Agent02_Withdrawals!A164="","",Agent02_Withdrawals!H164)</f>
        <v/>
      </c>
      <c r="J357" s="40" t="str">
        <f>IF(Agent02_Withdrawals!A164="","",Agent02_Withdrawals!J164)</f>
        <v/>
      </c>
      <c r="K357" s="40" t="str">
        <f>IF(Agent02_Withdrawals!A164="","",Agent02_Withdrawals!K164)</f>
        <v/>
      </c>
      <c r="L357" s="40" t="str">
        <f>IF(G357="","",IF(D357-G357&gt;=System_Config!$B$9,"✅ OK","⚠️ BREACH"))</f>
        <v/>
      </c>
      <c r="M357" s="40" t="str">
        <f>IFERROR(IF(Agent02_Withdrawals!A164="","",YEAR(Agent02_Withdrawals!D164)),"")</f>
        <v/>
      </c>
    </row>
    <row r="358" spans="1:13" ht="18" customHeight="1" x14ac:dyDescent="0.25">
      <c r="A358" s="40" t="str">
        <f>IF(Agent02_Withdrawals!A165="","",Agent02_Withdrawals!A165)</f>
        <v/>
      </c>
      <c r="B358" s="40" t="str">
        <f ca="1">IF(Agent02_Withdrawals!A165="","","WD"&amp;TEXT(358-3,"0000")&amp;"-"&amp;TEXT(TODAY(),"YYYYMMDD"))</f>
        <v/>
      </c>
      <c r="C358" s="40" t="str">
        <f>IF(Agent02_Withdrawals!A165="","",Agent02_Withdrawals!B165)</f>
        <v/>
      </c>
      <c r="D358" s="43" t="str">
        <f>IF(Agent02_Withdrawals!A165="","",Agent02_Withdrawals!C165)</f>
        <v/>
      </c>
      <c r="E358" s="41" t="str">
        <f>IF(Agent02_Withdrawals!A165="","",Agent02_Withdrawals!D165)</f>
        <v/>
      </c>
      <c r="F358" s="40" t="str">
        <f>IF(Agent02_Withdrawals!A165="","",Agent02_Withdrawals!F165)</f>
        <v/>
      </c>
      <c r="G358" s="42" t="str">
        <f>IF(Agent02_Withdrawals!A165="","",Agent02_Withdrawals!E165)</f>
        <v/>
      </c>
      <c r="H358" s="42" t="str">
        <f>IF(Agent02_Withdrawals!A165="","",Agent02_Withdrawals!G165)</f>
        <v/>
      </c>
      <c r="I358" s="40" t="str">
        <f>IF(Agent02_Withdrawals!A165="","",Agent02_Withdrawals!H165)</f>
        <v/>
      </c>
      <c r="J358" s="40" t="str">
        <f>IF(Agent02_Withdrawals!A165="","",Agent02_Withdrawals!J165)</f>
        <v/>
      </c>
      <c r="K358" s="40" t="str">
        <f>IF(Agent02_Withdrawals!A165="","",Agent02_Withdrawals!K165)</f>
        <v/>
      </c>
      <c r="L358" s="40" t="str">
        <f>IF(G358="","",IF(D358-G358&gt;=System_Config!$B$9,"✅ OK","⚠️ BREACH"))</f>
        <v/>
      </c>
      <c r="M358" s="40" t="str">
        <f>IFERROR(IF(Agent02_Withdrawals!A165="","",YEAR(Agent02_Withdrawals!D165)),"")</f>
        <v/>
      </c>
    </row>
    <row r="359" spans="1:13" ht="18" customHeight="1" x14ac:dyDescent="0.25">
      <c r="A359" s="40" t="str">
        <f>IF(Agent02_Withdrawals!A166="","",Agent02_Withdrawals!A166)</f>
        <v/>
      </c>
      <c r="B359" s="40" t="str">
        <f ca="1">IF(Agent02_Withdrawals!A166="","","WD"&amp;TEXT(359-3,"0000")&amp;"-"&amp;TEXT(TODAY(),"YYYYMMDD"))</f>
        <v/>
      </c>
      <c r="C359" s="40" t="str">
        <f>IF(Agent02_Withdrawals!A166="","",Agent02_Withdrawals!B166)</f>
        <v/>
      </c>
      <c r="D359" s="43" t="str">
        <f>IF(Agent02_Withdrawals!A166="","",Agent02_Withdrawals!C166)</f>
        <v/>
      </c>
      <c r="E359" s="41" t="str">
        <f>IF(Agent02_Withdrawals!A166="","",Agent02_Withdrawals!D166)</f>
        <v/>
      </c>
      <c r="F359" s="40" t="str">
        <f>IF(Agent02_Withdrawals!A166="","",Agent02_Withdrawals!F166)</f>
        <v/>
      </c>
      <c r="G359" s="42" t="str">
        <f>IF(Agent02_Withdrawals!A166="","",Agent02_Withdrawals!E166)</f>
        <v/>
      </c>
      <c r="H359" s="42" t="str">
        <f>IF(Agent02_Withdrawals!A166="","",Agent02_Withdrawals!G166)</f>
        <v/>
      </c>
      <c r="I359" s="40" t="str">
        <f>IF(Agent02_Withdrawals!A166="","",Agent02_Withdrawals!H166)</f>
        <v/>
      </c>
      <c r="J359" s="40" t="str">
        <f>IF(Agent02_Withdrawals!A166="","",Agent02_Withdrawals!J166)</f>
        <v/>
      </c>
      <c r="K359" s="40" t="str">
        <f>IF(Agent02_Withdrawals!A166="","",Agent02_Withdrawals!K166)</f>
        <v/>
      </c>
      <c r="L359" s="40" t="str">
        <f>IF(G359="","",IF(D359-G359&gt;=System_Config!$B$9,"✅ OK","⚠️ BREACH"))</f>
        <v/>
      </c>
      <c r="M359" s="40" t="str">
        <f>IFERROR(IF(Agent02_Withdrawals!A166="","",YEAR(Agent02_Withdrawals!D166)),"")</f>
        <v/>
      </c>
    </row>
    <row r="360" spans="1:13" ht="18" customHeight="1" x14ac:dyDescent="0.25">
      <c r="A360" s="40" t="str">
        <f>IF(Agent02_Withdrawals!A167="","",Agent02_Withdrawals!A167)</f>
        <v/>
      </c>
      <c r="B360" s="40" t="str">
        <f ca="1">IF(Agent02_Withdrawals!A167="","","WD"&amp;TEXT(360-3,"0000")&amp;"-"&amp;TEXT(TODAY(),"YYYYMMDD"))</f>
        <v/>
      </c>
      <c r="C360" s="40" t="str">
        <f>IF(Agent02_Withdrawals!A167="","",Agent02_Withdrawals!B167)</f>
        <v/>
      </c>
      <c r="D360" s="43" t="str">
        <f>IF(Agent02_Withdrawals!A167="","",Agent02_Withdrawals!C167)</f>
        <v/>
      </c>
      <c r="E360" s="41" t="str">
        <f>IF(Agent02_Withdrawals!A167="","",Agent02_Withdrawals!D167)</f>
        <v/>
      </c>
      <c r="F360" s="40" t="str">
        <f>IF(Agent02_Withdrawals!A167="","",Agent02_Withdrawals!F167)</f>
        <v/>
      </c>
      <c r="G360" s="42" t="str">
        <f>IF(Agent02_Withdrawals!A167="","",Agent02_Withdrawals!E167)</f>
        <v/>
      </c>
      <c r="H360" s="42" t="str">
        <f>IF(Agent02_Withdrawals!A167="","",Agent02_Withdrawals!G167)</f>
        <v/>
      </c>
      <c r="I360" s="40" t="str">
        <f>IF(Agent02_Withdrawals!A167="","",Agent02_Withdrawals!H167)</f>
        <v/>
      </c>
      <c r="J360" s="40" t="str">
        <f>IF(Agent02_Withdrawals!A167="","",Agent02_Withdrawals!J167)</f>
        <v/>
      </c>
      <c r="K360" s="40" t="str">
        <f>IF(Agent02_Withdrawals!A167="","",Agent02_Withdrawals!K167)</f>
        <v/>
      </c>
      <c r="L360" s="40" t="str">
        <f>IF(G360="","",IF(D360-G360&gt;=System_Config!$B$9,"✅ OK","⚠️ BREACH"))</f>
        <v/>
      </c>
      <c r="M360" s="40" t="str">
        <f>IFERROR(IF(Agent02_Withdrawals!A167="","",YEAR(Agent02_Withdrawals!D167)),"")</f>
        <v/>
      </c>
    </row>
    <row r="361" spans="1:13" ht="18" customHeight="1" x14ac:dyDescent="0.25">
      <c r="A361" s="40" t="str">
        <f>IF(Agent02_Withdrawals!A168="","",Agent02_Withdrawals!A168)</f>
        <v/>
      </c>
      <c r="B361" s="40" t="str">
        <f ca="1">IF(Agent02_Withdrawals!A168="","","WD"&amp;TEXT(361-3,"0000")&amp;"-"&amp;TEXT(TODAY(),"YYYYMMDD"))</f>
        <v/>
      </c>
      <c r="C361" s="40" t="str">
        <f>IF(Agent02_Withdrawals!A168="","",Agent02_Withdrawals!B168)</f>
        <v/>
      </c>
      <c r="D361" s="43" t="str">
        <f>IF(Agent02_Withdrawals!A168="","",Agent02_Withdrawals!C168)</f>
        <v/>
      </c>
      <c r="E361" s="41" t="str">
        <f>IF(Agent02_Withdrawals!A168="","",Agent02_Withdrawals!D168)</f>
        <v/>
      </c>
      <c r="F361" s="40" t="str">
        <f>IF(Agent02_Withdrawals!A168="","",Agent02_Withdrawals!F168)</f>
        <v/>
      </c>
      <c r="G361" s="42" t="str">
        <f>IF(Agent02_Withdrawals!A168="","",Agent02_Withdrawals!E168)</f>
        <v/>
      </c>
      <c r="H361" s="42" t="str">
        <f>IF(Agent02_Withdrawals!A168="","",Agent02_Withdrawals!G168)</f>
        <v/>
      </c>
      <c r="I361" s="40" t="str">
        <f>IF(Agent02_Withdrawals!A168="","",Agent02_Withdrawals!H168)</f>
        <v/>
      </c>
      <c r="J361" s="40" t="str">
        <f>IF(Agent02_Withdrawals!A168="","",Agent02_Withdrawals!J168)</f>
        <v/>
      </c>
      <c r="K361" s="40" t="str">
        <f>IF(Agent02_Withdrawals!A168="","",Agent02_Withdrawals!K168)</f>
        <v/>
      </c>
      <c r="L361" s="40" t="str">
        <f>IF(G361="","",IF(D361-G361&gt;=System_Config!$B$9,"✅ OK","⚠️ BREACH"))</f>
        <v/>
      </c>
      <c r="M361" s="40" t="str">
        <f>IFERROR(IF(Agent02_Withdrawals!A168="","",YEAR(Agent02_Withdrawals!D168)),"")</f>
        <v/>
      </c>
    </row>
    <row r="362" spans="1:13" ht="18" customHeight="1" x14ac:dyDescent="0.25">
      <c r="A362" s="40" t="str">
        <f>IF(Agent02_Withdrawals!A169="","",Agent02_Withdrawals!A169)</f>
        <v/>
      </c>
      <c r="B362" s="40" t="str">
        <f ca="1">IF(Agent02_Withdrawals!A169="","","WD"&amp;TEXT(362-3,"0000")&amp;"-"&amp;TEXT(TODAY(),"YYYYMMDD"))</f>
        <v/>
      </c>
      <c r="C362" s="40" t="str">
        <f>IF(Agent02_Withdrawals!A169="","",Agent02_Withdrawals!B169)</f>
        <v/>
      </c>
      <c r="D362" s="43" t="str">
        <f>IF(Agent02_Withdrawals!A169="","",Agent02_Withdrawals!C169)</f>
        <v/>
      </c>
      <c r="E362" s="41" t="str">
        <f>IF(Agent02_Withdrawals!A169="","",Agent02_Withdrawals!D169)</f>
        <v/>
      </c>
      <c r="F362" s="40" t="str">
        <f>IF(Agent02_Withdrawals!A169="","",Agent02_Withdrawals!F169)</f>
        <v/>
      </c>
      <c r="G362" s="42" t="str">
        <f>IF(Agent02_Withdrawals!A169="","",Agent02_Withdrawals!E169)</f>
        <v/>
      </c>
      <c r="H362" s="42" t="str">
        <f>IF(Agent02_Withdrawals!A169="","",Agent02_Withdrawals!G169)</f>
        <v/>
      </c>
      <c r="I362" s="40" t="str">
        <f>IF(Agent02_Withdrawals!A169="","",Agent02_Withdrawals!H169)</f>
        <v/>
      </c>
      <c r="J362" s="40" t="str">
        <f>IF(Agent02_Withdrawals!A169="","",Agent02_Withdrawals!J169)</f>
        <v/>
      </c>
      <c r="K362" s="40" t="str">
        <f>IF(Agent02_Withdrawals!A169="","",Agent02_Withdrawals!K169)</f>
        <v/>
      </c>
      <c r="L362" s="40" t="str">
        <f>IF(G362="","",IF(D362-G362&gt;=System_Config!$B$9,"✅ OK","⚠️ BREACH"))</f>
        <v/>
      </c>
      <c r="M362" s="40" t="str">
        <f>IFERROR(IF(Agent02_Withdrawals!A169="","",YEAR(Agent02_Withdrawals!D169)),"")</f>
        <v/>
      </c>
    </row>
    <row r="363" spans="1:13" ht="18" customHeight="1" x14ac:dyDescent="0.25">
      <c r="A363" s="40" t="str">
        <f>IF(Agent02_Withdrawals!A170="","",Agent02_Withdrawals!A170)</f>
        <v/>
      </c>
      <c r="B363" s="40" t="str">
        <f ca="1">IF(Agent02_Withdrawals!A170="","","WD"&amp;TEXT(363-3,"0000")&amp;"-"&amp;TEXT(TODAY(),"YYYYMMDD"))</f>
        <v/>
      </c>
      <c r="C363" s="40" t="str">
        <f>IF(Agent02_Withdrawals!A170="","",Agent02_Withdrawals!B170)</f>
        <v/>
      </c>
      <c r="D363" s="43" t="str">
        <f>IF(Agent02_Withdrawals!A170="","",Agent02_Withdrawals!C170)</f>
        <v/>
      </c>
      <c r="E363" s="41" t="str">
        <f>IF(Agent02_Withdrawals!A170="","",Agent02_Withdrawals!D170)</f>
        <v/>
      </c>
      <c r="F363" s="40" t="str">
        <f>IF(Agent02_Withdrawals!A170="","",Agent02_Withdrawals!F170)</f>
        <v/>
      </c>
      <c r="G363" s="42" t="str">
        <f>IF(Agent02_Withdrawals!A170="","",Agent02_Withdrawals!E170)</f>
        <v/>
      </c>
      <c r="H363" s="42" t="str">
        <f>IF(Agent02_Withdrawals!A170="","",Agent02_Withdrawals!G170)</f>
        <v/>
      </c>
      <c r="I363" s="40" t="str">
        <f>IF(Agent02_Withdrawals!A170="","",Agent02_Withdrawals!H170)</f>
        <v/>
      </c>
      <c r="J363" s="40" t="str">
        <f>IF(Agent02_Withdrawals!A170="","",Agent02_Withdrawals!J170)</f>
        <v/>
      </c>
      <c r="K363" s="40" t="str">
        <f>IF(Agent02_Withdrawals!A170="","",Agent02_Withdrawals!K170)</f>
        <v/>
      </c>
      <c r="L363" s="40" t="str">
        <f>IF(G363="","",IF(D363-G363&gt;=System_Config!$B$9,"✅ OK","⚠️ BREACH"))</f>
        <v/>
      </c>
      <c r="M363" s="40" t="str">
        <f>IFERROR(IF(Agent02_Withdrawals!A170="","",YEAR(Agent02_Withdrawals!D170)),"")</f>
        <v/>
      </c>
    </row>
    <row r="364" spans="1:13" ht="18" customHeight="1" x14ac:dyDescent="0.25">
      <c r="A364" s="40" t="str">
        <f>IF(Agent02_Withdrawals!A171="","",Agent02_Withdrawals!A171)</f>
        <v/>
      </c>
      <c r="B364" s="40" t="str">
        <f ca="1">IF(Agent02_Withdrawals!A171="","","WD"&amp;TEXT(364-3,"0000")&amp;"-"&amp;TEXT(TODAY(),"YYYYMMDD"))</f>
        <v/>
      </c>
      <c r="C364" s="40" t="str">
        <f>IF(Agent02_Withdrawals!A171="","",Agent02_Withdrawals!B171)</f>
        <v/>
      </c>
      <c r="D364" s="43" t="str">
        <f>IF(Agent02_Withdrawals!A171="","",Agent02_Withdrawals!C171)</f>
        <v/>
      </c>
      <c r="E364" s="41" t="str">
        <f>IF(Agent02_Withdrawals!A171="","",Agent02_Withdrawals!D171)</f>
        <v/>
      </c>
      <c r="F364" s="40" t="str">
        <f>IF(Agent02_Withdrawals!A171="","",Agent02_Withdrawals!F171)</f>
        <v/>
      </c>
      <c r="G364" s="42" t="str">
        <f>IF(Agent02_Withdrawals!A171="","",Agent02_Withdrawals!E171)</f>
        <v/>
      </c>
      <c r="H364" s="42" t="str">
        <f>IF(Agent02_Withdrawals!A171="","",Agent02_Withdrawals!G171)</f>
        <v/>
      </c>
      <c r="I364" s="40" t="str">
        <f>IF(Agent02_Withdrawals!A171="","",Agent02_Withdrawals!H171)</f>
        <v/>
      </c>
      <c r="J364" s="40" t="str">
        <f>IF(Agent02_Withdrawals!A171="","",Agent02_Withdrawals!J171)</f>
        <v/>
      </c>
      <c r="K364" s="40" t="str">
        <f>IF(Agent02_Withdrawals!A171="","",Agent02_Withdrawals!K171)</f>
        <v/>
      </c>
      <c r="L364" s="40" t="str">
        <f>IF(G364="","",IF(D364-G364&gt;=System_Config!$B$9,"✅ OK","⚠️ BREACH"))</f>
        <v/>
      </c>
      <c r="M364" s="40" t="str">
        <f>IFERROR(IF(Agent02_Withdrawals!A171="","",YEAR(Agent02_Withdrawals!D171)),"")</f>
        <v/>
      </c>
    </row>
    <row r="365" spans="1:13" ht="18" customHeight="1" x14ac:dyDescent="0.25">
      <c r="A365" s="40" t="str">
        <f>IF(Agent02_Withdrawals!A172="","",Agent02_Withdrawals!A172)</f>
        <v/>
      </c>
      <c r="B365" s="40" t="str">
        <f ca="1">IF(Agent02_Withdrawals!A172="","","WD"&amp;TEXT(365-3,"0000")&amp;"-"&amp;TEXT(TODAY(),"YYYYMMDD"))</f>
        <v/>
      </c>
      <c r="C365" s="40" t="str">
        <f>IF(Agent02_Withdrawals!A172="","",Agent02_Withdrawals!B172)</f>
        <v/>
      </c>
      <c r="D365" s="43" t="str">
        <f>IF(Agent02_Withdrawals!A172="","",Agent02_Withdrawals!C172)</f>
        <v/>
      </c>
      <c r="E365" s="41" t="str">
        <f>IF(Agent02_Withdrawals!A172="","",Agent02_Withdrawals!D172)</f>
        <v/>
      </c>
      <c r="F365" s="40" t="str">
        <f>IF(Agent02_Withdrawals!A172="","",Agent02_Withdrawals!F172)</f>
        <v/>
      </c>
      <c r="G365" s="42" t="str">
        <f>IF(Agent02_Withdrawals!A172="","",Agent02_Withdrawals!E172)</f>
        <v/>
      </c>
      <c r="H365" s="42" t="str">
        <f>IF(Agent02_Withdrawals!A172="","",Agent02_Withdrawals!G172)</f>
        <v/>
      </c>
      <c r="I365" s="40" t="str">
        <f>IF(Agent02_Withdrawals!A172="","",Agent02_Withdrawals!H172)</f>
        <v/>
      </c>
      <c r="J365" s="40" t="str">
        <f>IF(Agent02_Withdrawals!A172="","",Agent02_Withdrawals!J172)</f>
        <v/>
      </c>
      <c r="K365" s="40" t="str">
        <f>IF(Agent02_Withdrawals!A172="","",Agent02_Withdrawals!K172)</f>
        <v/>
      </c>
      <c r="L365" s="40" t="str">
        <f>IF(G365="","",IF(D365-G365&gt;=System_Config!$B$9,"✅ OK","⚠️ BREACH"))</f>
        <v/>
      </c>
      <c r="M365" s="40" t="str">
        <f>IFERROR(IF(Agent02_Withdrawals!A172="","",YEAR(Agent02_Withdrawals!D172)),"")</f>
        <v/>
      </c>
    </row>
    <row r="366" spans="1:13" ht="18" customHeight="1" x14ac:dyDescent="0.25">
      <c r="A366" s="40" t="str">
        <f>IF(Agent02_Withdrawals!A173="","",Agent02_Withdrawals!A173)</f>
        <v/>
      </c>
      <c r="B366" s="40" t="str">
        <f ca="1">IF(Agent02_Withdrawals!A173="","","WD"&amp;TEXT(366-3,"0000")&amp;"-"&amp;TEXT(TODAY(),"YYYYMMDD"))</f>
        <v/>
      </c>
      <c r="C366" s="40" t="str">
        <f>IF(Agent02_Withdrawals!A173="","",Agent02_Withdrawals!B173)</f>
        <v/>
      </c>
      <c r="D366" s="43" t="str">
        <f>IF(Agent02_Withdrawals!A173="","",Agent02_Withdrawals!C173)</f>
        <v/>
      </c>
      <c r="E366" s="41" t="str">
        <f>IF(Agent02_Withdrawals!A173="","",Agent02_Withdrawals!D173)</f>
        <v/>
      </c>
      <c r="F366" s="40" t="str">
        <f>IF(Agent02_Withdrawals!A173="","",Agent02_Withdrawals!F173)</f>
        <v/>
      </c>
      <c r="G366" s="42" t="str">
        <f>IF(Agent02_Withdrawals!A173="","",Agent02_Withdrawals!E173)</f>
        <v/>
      </c>
      <c r="H366" s="42" t="str">
        <f>IF(Agent02_Withdrawals!A173="","",Agent02_Withdrawals!G173)</f>
        <v/>
      </c>
      <c r="I366" s="40" t="str">
        <f>IF(Agent02_Withdrawals!A173="","",Agent02_Withdrawals!H173)</f>
        <v/>
      </c>
      <c r="J366" s="40" t="str">
        <f>IF(Agent02_Withdrawals!A173="","",Agent02_Withdrawals!J173)</f>
        <v/>
      </c>
      <c r="K366" s="40" t="str">
        <f>IF(Agent02_Withdrawals!A173="","",Agent02_Withdrawals!K173)</f>
        <v/>
      </c>
      <c r="L366" s="40" t="str">
        <f>IF(G366="","",IF(D366-G366&gt;=System_Config!$B$9,"✅ OK","⚠️ BREACH"))</f>
        <v/>
      </c>
      <c r="M366" s="40" t="str">
        <f>IFERROR(IF(Agent02_Withdrawals!A173="","",YEAR(Agent02_Withdrawals!D173)),"")</f>
        <v/>
      </c>
    </row>
    <row r="367" spans="1:13" ht="18" customHeight="1" x14ac:dyDescent="0.25">
      <c r="A367" s="40" t="str">
        <f>IF(Agent02_Withdrawals!A174="","",Agent02_Withdrawals!A174)</f>
        <v/>
      </c>
      <c r="B367" s="40" t="str">
        <f ca="1">IF(Agent02_Withdrawals!A174="","","WD"&amp;TEXT(367-3,"0000")&amp;"-"&amp;TEXT(TODAY(),"YYYYMMDD"))</f>
        <v/>
      </c>
      <c r="C367" s="40" t="str">
        <f>IF(Agent02_Withdrawals!A174="","",Agent02_Withdrawals!B174)</f>
        <v/>
      </c>
      <c r="D367" s="43" t="str">
        <f>IF(Agent02_Withdrawals!A174="","",Agent02_Withdrawals!C174)</f>
        <v/>
      </c>
      <c r="E367" s="41" t="str">
        <f>IF(Agent02_Withdrawals!A174="","",Agent02_Withdrawals!D174)</f>
        <v/>
      </c>
      <c r="F367" s="40" t="str">
        <f>IF(Agent02_Withdrawals!A174="","",Agent02_Withdrawals!F174)</f>
        <v/>
      </c>
      <c r="G367" s="42" t="str">
        <f>IF(Agent02_Withdrawals!A174="","",Agent02_Withdrawals!E174)</f>
        <v/>
      </c>
      <c r="H367" s="42" t="str">
        <f>IF(Agent02_Withdrawals!A174="","",Agent02_Withdrawals!G174)</f>
        <v/>
      </c>
      <c r="I367" s="40" t="str">
        <f>IF(Agent02_Withdrawals!A174="","",Agent02_Withdrawals!H174)</f>
        <v/>
      </c>
      <c r="J367" s="40" t="str">
        <f>IF(Agent02_Withdrawals!A174="","",Agent02_Withdrawals!J174)</f>
        <v/>
      </c>
      <c r="K367" s="40" t="str">
        <f>IF(Agent02_Withdrawals!A174="","",Agent02_Withdrawals!K174)</f>
        <v/>
      </c>
      <c r="L367" s="40" t="str">
        <f>IF(G367="","",IF(D367-G367&gt;=System_Config!$B$9,"✅ OK","⚠️ BREACH"))</f>
        <v/>
      </c>
      <c r="M367" s="40" t="str">
        <f>IFERROR(IF(Agent02_Withdrawals!A174="","",YEAR(Agent02_Withdrawals!D174)),"")</f>
        <v/>
      </c>
    </row>
    <row r="368" spans="1:13" ht="18" customHeight="1" x14ac:dyDescent="0.25">
      <c r="A368" s="40" t="str">
        <f>IF(Agent02_Withdrawals!A175="","",Agent02_Withdrawals!A175)</f>
        <v/>
      </c>
      <c r="B368" s="40" t="str">
        <f ca="1">IF(Agent02_Withdrawals!A175="","","WD"&amp;TEXT(368-3,"0000")&amp;"-"&amp;TEXT(TODAY(),"YYYYMMDD"))</f>
        <v/>
      </c>
      <c r="C368" s="40" t="str">
        <f>IF(Agent02_Withdrawals!A175="","",Agent02_Withdrawals!B175)</f>
        <v/>
      </c>
      <c r="D368" s="43" t="str">
        <f>IF(Agent02_Withdrawals!A175="","",Agent02_Withdrawals!C175)</f>
        <v/>
      </c>
      <c r="E368" s="41" t="str">
        <f>IF(Agent02_Withdrawals!A175="","",Agent02_Withdrawals!D175)</f>
        <v/>
      </c>
      <c r="F368" s="40" t="str">
        <f>IF(Agent02_Withdrawals!A175="","",Agent02_Withdrawals!F175)</f>
        <v/>
      </c>
      <c r="G368" s="42" t="str">
        <f>IF(Agent02_Withdrawals!A175="","",Agent02_Withdrawals!E175)</f>
        <v/>
      </c>
      <c r="H368" s="42" t="str">
        <f>IF(Agent02_Withdrawals!A175="","",Agent02_Withdrawals!G175)</f>
        <v/>
      </c>
      <c r="I368" s="40" t="str">
        <f>IF(Agent02_Withdrawals!A175="","",Agent02_Withdrawals!H175)</f>
        <v/>
      </c>
      <c r="J368" s="40" t="str">
        <f>IF(Agent02_Withdrawals!A175="","",Agent02_Withdrawals!J175)</f>
        <v/>
      </c>
      <c r="K368" s="40" t="str">
        <f>IF(Agent02_Withdrawals!A175="","",Agent02_Withdrawals!K175)</f>
        <v/>
      </c>
      <c r="L368" s="40" t="str">
        <f>IF(G368="","",IF(D368-G368&gt;=System_Config!$B$9,"✅ OK","⚠️ BREACH"))</f>
        <v/>
      </c>
      <c r="M368" s="40" t="str">
        <f>IFERROR(IF(Agent02_Withdrawals!A175="","",YEAR(Agent02_Withdrawals!D175)),"")</f>
        <v/>
      </c>
    </row>
    <row r="369" spans="1:13" ht="18" customHeight="1" x14ac:dyDescent="0.25">
      <c r="A369" s="40" t="str">
        <f>IF(Agent02_Withdrawals!A176="","",Agent02_Withdrawals!A176)</f>
        <v/>
      </c>
      <c r="B369" s="40" t="str">
        <f ca="1">IF(Agent02_Withdrawals!A176="","","WD"&amp;TEXT(369-3,"0000")&amp;"-"&amp;TEXT(TODAY(),"YYYYMMDD"))</f>
        <v/>
      </c>
      <c r="C369" s="40" t="str">
        <f>IF(Agent02_Withdrawals!A176="","",Agent02_Withdrawals!B176)</f>
        <v/>
      </c>
      <c r="D369" s="43" t="str">
        <f>IF(Agent02_Withdrawals!A176="","",Agent02_Withdrawals!C176)</f>
        <v/>
      </c>
      <c r="E369" s="41" t="str">
        <f>IF(Agent02_Withdrawals!A176="","",Agent02_Withdrawals!D176)</f>
        <v/>
      </c>
      <c r="F369" s="40" t="str">
        <f>IF(Agent02_Withdrawals!A176="","",Agent02_Withdrawals!F176)</f>
        <v/>
      </c>
      <c r="G369" s="42" t="str">
        <f>IF(Agent02_Withdrawals!A176="","",Agent02_Withdrawals!E176)</f>
        <v/>
      </c>
      <c r="H369" s="42" t="str">
        <f>IF(Agent02_Withdrawals!A176="","",Agent02_Withdrawals!G176)</f>
        <v/>
      </c>
      <c r="I369" s="40" t="str">
        <f>IF(Agent02_Withdrawals!A176="","",Agent02_Withdrawals!H176)</f>
        <v/>
      </c>
      <c r="J369" s="40" t="str">
        <f>IF(Agent02_Withdrawals!A176="","",Agent02_Withdrawals!J176)</f>
        <v/>
      </c>
      <c r="K369" s="40" t="str">
        <f>IF(Agent02_Withdrawals!A176="","",Agent02_Withdrawals!K176)</f>
        <v/>
      </c>
      <c r="L369" s="40" t="str">
        <f>IF(G369="","",IF(D369-G369&gt;=System_Config!$B$9,"✅ OK","⚠️ BREACH"))</f>
        <v/>
      </c>
      <c r="M369" s="40" t="str">
        <f>IFERROR(IF(Agent02_Withdrawals!A176="","",YEAR(Agent02_Withdrawals!D176)),"")</f>
        <v/>
      </c>
    </row>
    <row r="370" spans="1:13" ht="18" customHeight="1" x14ac:dyDescent="0.25">
      <c r="A370" s="40" t="str">
        <f>IF(Agent02_Withdrawals!A177="","",Agent02_Withdrawals!A177)</f>
        <v/>
      </c>
      <c r="B370" s="40" t="str">
        <f ca="1">IF(Agent02_Withdrawals!A177="","","WD"&amp;TEXT(370-3,"0000")&amp;"-"&amp;TEXT(TODAY(),"YYYYMMDD"))</f>
        <v/>
      </c>
      <c r="C370" s="40" t="str">
        <f>IF(Agent02_Withdrawals!A177="","",Agent02_Withdrawals!B177)</f>
        <v/>
      </c>
      <c r="D370" s="43" t="str">
        <f>IF(Agent02_Withdrawals!A177="","",Agent02_Withdrawals!C177)</f>
        <v/>
      </c>
      <c r="E370" s="41" t="str">
        <f>IF(Agent02_Withdrawals!A177="","",Agent02_Withdrawals!D177)</f>
        <v/>
      </c>
      <c r="F370" s="40" t="str">
        <f>IF(Agent02_Withdrawals!A177="","",Agent02_Withdrawals!F177)</f>
        <v/>
      </c>
      <c r="G370" s="42" t="str">
        <f>IF(Agent02_Withdrawals!A177="","",Agent02_Withdrawals!E177)</f>
        <v/>
      </c>
      <c r="H370" s="42" t="str">
        <f>IF(Agent02_Withdrawals!A177="","",Agent02_Withdrawals!G177)</f>
        <v/>
      </c>
      <c r="I370" s="40" t="str">
        <f>IF(Agent02_Withdrawals!A177="","",Agent02_Withdrawals!H177)</f>
        <v/>
      </c>
      <c r="J370" s="40" t="str">
        <f>IF(Agent02_Withdrawals!A177="","",Agent02_Withdrawals!J177)</f>
        <v/>
      </c>
      <c r="K370" s="40" t="str">
        <f>IF(Agent02_Withdrawals!A177="","",Agent02_Withdrawals!K177)</f>
        <v/>
      </c>
      <c r="L370" s="40" t="str">
        <f>IF(G370="","",IF(D370-G370&gt;=System_Config!$B$9,"✅ OK","⚠️ BREACH"))</f>
        <v/>
      </c>
      <c r="M370" s="40" t="str">
        <f>IFERROR(IF(Agent02_Withdrawals!A177="","",YEAR(Agent02_Withdrawals!D177)),"")</f>
        <v/>
      </c>
    </row>
    <row r="371" spans="1:13" ht="18" customHeight="1" x14ac:dyDescent="0.25">
      <c r="A371" s="40" t="str">
        <f>IF(Agent02_Withdrawals!A178="","",Agent02_Withdrawals!A178)</f>
        <v/>
      </c>
      <c r="B371" s="40" t="str">
        <f ca="1">IF(Agent02_Withdrawals!A178="","","WD"&amp;TEXT(371-3,"0000")&amp;"-"&amp;TEXT(TODAY(),"YYYYMMDD"))</f>
        <v/>
      </c>
      <c r="C371" s="40" t="str">
        <f>IF(Agent02_Withdrawals!A178="","",Agent02_Withdrawals!B178)</f>
        <v/>
      </c>
      <c r="D371" s="43" t="str">
        <f>IF(Agent02_Withdrawals!A178="","",Agent02_Withdrawals!C178)</f>
        <v/>
      </c>
      <c r="E371" s="41" t="str">
        <f>IF(Agent02_Withdrawals!A178="","",Agent02_Withdrawals!D178)</f>
        <v/>
      </c>
      <c r="F371" s="40" t="str">
        <f>IF(Agent02_Withdrawals!A178="","",Agent02_Withdrawals!F178)</f>
        <v/>
      </c>
      <c r="G371" s="42" t="str">
        <f>IF(Agent02_Withdrawals!A178="","",Agent02_Withdrawals!E178)</f>
        <v/>
      </c>
      <c r="H371" s="42" t="str">
        <f>IF(Agent02_Withdrawals!A178="","",Agent02_Withdrawals!G178)</f>
        <v/>
      </c>
      <c r="I371" s="40" t="str">
        <f>IF(Agent02_Withdrawals!A178="","",Agent02_Withdrawals!H178)</f>
        <v/>
      </c>
      <c r="J371" s="40" t="str">
        <f>IF(Agent02_Withdrawals!A178="","",Agent02_Withdrawals!J178)</f>
        <v/>
      </c>
      <c r="K371" s="40" t="str">
        <f>IF(Agent02_Withdrawals!A178="","",Agent02_Withdrawals!K178)</f>
        <v/>
      </c>
      <c r="L371" s="40" t="str">
        <f>IF(G371="","",IF(D371-G371&gt;=System_Config!$B$9,"✅ OK","⚠️ BREACH"))</f>
        <v/>
      </c>
      <c r="M371" s="40" t="str">
        <f>IFERROR(IF(Agent02_Withdrawals!A178="","",YEAR(Agent02_Withdrawals!D178)),"")</f>
        <v/>
      </c>
    </row>
    <row r="372" spans="1:13" ht="18" customHeight="1" x14ac:dyDescent="0.25">
      <c r="A372" s="40" t="str">
        <f>IF(Agent02_Withdrawals!A179="","",Agent02_Withdrawals!A179)</f>
        <v/>
      </c>
      <c r="B372" s="40" t="str">
        <f ca="1">IF(Agent02_Withdrawals!A179="","","WD"&amp;TEXT(372-3,"0000")&amp;"-"&amp;TEXT(TODAY(),"YYYYMMDD"))</f>
        <v/>
      </c>
      <c r="C372" s="40" t="str">
        <f>IF(Agent02_Withdrawals!A179="","",Agent02_Withdrawals!B179)</f>
        <v/>
      </c>
      <c r="D372" s="43" t="str">
        <f>IF(Agent02_Withdrawals!A179="","",Agent02_Withdrawals!C179)</f>
        <v/>
      </c>
      <c r="E372" s="41" t="str">
        <f>IF(Agent02_Withdrawals!A179="","",Agent02_Withdrawals!D179)</f>
        <v/>
      </c>
      <c r="F372" s="40" t="str">
        <f>IF(Agent02_Withdrawals!A179="","",Agent02_Withdrawals!F179)</f>
        <v/>
      </c>
      <c r="G372" s="42" t="str">
        <f>IF(Agent02_Withdrawals!A179="","",Agent02_Withdrawals!E179)</f>
        <v/>
      </c>
      <c r="H372" s="42" t="str">
        <f>IF(Agent02_Withdrawals!A179="","",Agent02_Withdrawals!G179)</f>
        <v/>
      </c>
      <c r="I372" s="40" t="str">
        <f>IF(Agent02_Withdrawals!A179="","",Agent02_Withdrawals!H179)</f>
        <v/>
      </c>
      <c r="J372" s="40" t="str">
        <f>IF(Agent02_Withdrawals!A179="","",Agent02_Withdrawals!J179)</f>
        <v/>
      </c>
      <c r="K372" s="40" t="str">
        <f>IF(Agent02_Withdrawals!A179="","",Agent02_Withdrawals!K179)</f>
        <v/>
      </c>
      <c r="L372" s="40" t="str">
        <f>IF(G372="","",IF(D372-G372&gt;=System_Config!$B$9,"✅ OK","⚠️ BREACH"))</f>
        <v/>
      </c>
      <c r="M372" s="40" t="str">
        <f>IFERROR(IF(Agent02_Withdrawals!A179="","",YEAR(Agent02_Withdrawals!D179)),"")</f>
        <v/>
      </c>
    </row>
    <row r="373" spans="1:13" ht="18" customHeight="1" x14ac:dyDescent="0.25">
      <c r="A373" s="40" t="str">
        <f>IF(Agent02_Withdrawals!A180="","",Agent02_Withdrawals!A180)</f>
        <v/>
      </c>
      <c r="B373" s="40" t="str">
        <f ca="1">IF(Agent02_Withdrawals!A180="","","WD"&amp;TEXT(373-3,"0000")&amp;"-"&amp;TEXT(TODAY(),"YYYYMMDD"))</f>
        <v/>
      </c>
      <c r="C373" s="40" t="str">
        <f>IF(Agent02_Withdrawals!A180="","",Agent02_Withdrawals!B180)</f>
        <v/>
      </c>
      <c r="D373" s="43" t="str">
        <f>IF(Agent02_Withdrawals!A180="","",Agent02_Withdrawals!C180)</f>
        <v/>
      </c>
      <c r="E373" s="41" t="str">
        <f>IF(Agent02_Withdrawals!A180="","",Agent02_Withdrawals!D180)</f>
        <v/>
      </c>
      <c r="F373" s="40" t="str">
        <f>IF(Agent02_Withdrawals!A180="","",Agent02_Withdrawals!F180)</f>
        <v/>
      </c>
      <c r="G373" s="42" t="str">
        <f>IF(Agent02_Withdrawals!A180="","",Agent02_Withdrawals!E180)</f>
        <v/>
      </c>
      <c r="H373" s="42" t="str">
        <f>IF(Agent02_Withdrawals!A180="","",Agent02_Withdrawals!G180)</f>
        <v/>
      </c>
      <c r="I373" s="40" t="str">
        <f>IF(Agent02_Withdrawals!A180="","",Agent02_Withdrawals!H180)</f>
        <v/>
      </c>
      <c r="J373" s="40" t="str">
        <f>IF(Agent02_Withdrawals!A180="","",Agent02_Withdrawals!J180)</f>
        <v/>
      </c>
      <c r="K373" s="40" t="str">
        <f>IF(Agent02_Withdrawals!A180="","",Agent02_Withdrawals!K180)</f>
        <v/>
      </c>
      <c r="L373" s="40" t="str">
        <f>IF(G373="","",IF(D373-G373&gt;=System_Config!$B$9,"✅ OK","⚠️ BREACH"))</f>
        <v/>
      </c>
      <c r="M373" s="40" t="str">
        <f>IFERROR(IF(Agent02_Withdrawals!A180="","",YEAR(Agent02_Withdrawals!D180)),"")</f>
        <v/>
      </c>
    </row>
    <row r="374" spans="1:13" ht="18" customHeight="1" x14ac:dyDescent="0.25">
      <c r="A374" s="40" t="str">
        <f>IF(Agent02_Withdrawals!A181="","",Agent02_Withdrawals!A181)</f>
        <v/>
      </c>
      <c r="B374" s="40" t="str">
        <f ca="1">IF(Agent02_Withdrawals!A181="","","WD"&amp;TEXT(374-3,"0000")&amp;"-"&amp;TEXT(TODAY(),"YYYYMMDD"))</f>
        <v/>
      </c>
      <c r="C374" s="40" t="str">
        <f>IF(Agent02_Withdrawals!A181="","",Agent02_Withdrawals!B181)</f>
        <v/>
      </c>
      <c r="D374" s="43" t="str">
        <f>IF(Agent02_Withdrawals!A181="","",Agent02_Withdrawals!C181)</f>
        <v/>
      </c>
      <c r="E374" s="41" t="str">
        <f>IF(Agent02_Withdrawals!A181="","",Agent02_Withdrawals!D181)</f>
        <v/>
      </c>
      <c r="F374" s="40" t="str">
        <f>IF(Agent02_Withdrawals!A181="","",Agent02_Withdrawals!F181)</f>
        <v/>
      </c>
      <c r="G374" s="42" t="str">
        <f>IF(Agent02_Withdrawals!A181="","",Agent02_Withdrawals!E181)</f>
        <v/>
      </c>
      <c r="H374" s="42" t="str">
        <f>IF(Agent02_Withdrawals!A181="","",Agent02_Withdrawals!G181)</f>
        <v/>
      </c>
      <c r="I374" s="40" t="str">
        <f>IF(Agent02_Withdrawals!A181="","",Agent02_Withdrawals!H181)</f>
        <v/>
      </c>
      <c r="J374" s="40" t="str">
        <f>IF(Agent02_Withdrawals!A181="","",Agent02_Withdrawals!J181)</f>
        <v/>
      </c>
      <c r="K374" s="40" t="str">
        <f>IF(Agent02_Withdrawals!A181="","",Agent02_Withdrawals!K181)</f>
        <v/>
      </c>
      <c r="L374" s="40" t="str">
        <f>IF(G374="","",IF(D374-G374&gt;=System_Config!$B$9,"✅ OK","⚠️ BREACH"))</f>
        <v/>
      </c>
      <c r="M374" s="40" t="str">
        <f>IFERROR(IF(Agent02_Withdrawals!A181="","",YEAR(Agent02_Withdrawals!D181)),"")</f>
        <v/>
      </c>
    </row>
    <row r="375" spans="1:13" ht="18" customHeight="1" x14ac:dyDescent="0.25">
      <c r="A375" s="40" t="str">
        <f>IF(Agent02_Withdrawals!A182="","",Agent02_Withdrawals!A182)</f>
        <v/>
      </c>
      <c r="B375" s="40" t="str">
        <f ca="1">IF(Agent02_Withdrawals!A182="","","WD"&amp;TEXT(375-3,"0000")&amp;"-"&amp;TEXT(TODAY(),"YYYYMMDD"))</f>
        <v/>
      </c>
      <c r="C375" s="40" t="str">
        <f>IF(Agent02_Withdrawals!A182="","",Agent02_Withdrawals!B182)</f>
        <v/>
      </c>
      <c r="D375" s="43" t="str">
        <f>IF(Agent02_Withdrawals!A182="","",Agent02_Withdrawals!C182)</f>
        <v/>
      </c>
      <c r="E375" s="41" t="str">
        <f>IF(Agent02_Withdrawals!A182="","",Agent02_Withdrawals!D182)</f>
        <v/>
      </c>
      <c r="F375" s="40" t="str">
        <f>IF(Agent02_Withdrawals!A182="","",Agent02_Withdrawals!F182)</f>
        <v/>
      </c>
      <c r="G375" s="42" t="str">
        <f>IF(Agent02_Withdrawals!A182="","",Agent02_Withdrawals!E182)</f>
        <v/>
      </c>
      <c r="H375" s="42" t="str">
        <f>IF(Agent02_Withdrawals!A182="","",Agent02_Withdrawals!G182)</f>
        <v/>
      </c>
      <c r="I375" s="40" t="str">
        <f>IF(Agent02_Withdrawals!A182="","",Agent02_Withdrawals!H182)</f>
        <v/>
      </c>
      <c r="J375" s="40" t="str">
        <f>IF(Agent02_Withdrawals!A182="","",Agent02_Withdrawals!J182)</f>
        <v/>
      </c>
      <c r="K375" s="40" t="str">
        <f>IF(Agent02_Withdrawals!A182="","",Agent02_Withdrawals!K182)</f>
        <v/>
      </c>
      <c r="L375" s="40" t="str">
        <f>IF(G375="","",IF(D375-G375&gt;=System_Config!$B$9,"✅ OK","⚠️ BREACH"))</f>
        <v/>
      </c>
      <c r="M375" s="40" t="str">
        <f>IFERROR(IF(Agent02_Withdrawals!A182="","",YEAR(Agent02_Withdrawals!D182)),"")</f>
        <v/>
      </c>
    </row>
    <row r="376" spans="1:13" ht="18" customHeight="1" x14ac:dyDescent="0.25">
      <c r="A376" s="40" t="str">
        <f>IF(Agent02_Withdrawals!A183="","",Agent02_Withdrawals!A183)</f>
        <v/>
      </c>
      <c r="B376" s="40" t="str">
        <f ca="1">IF(Agent02_Withdrawals!A183="","","WD"&amp;TEXT(376-3,"0000")&amp;"-"&amp;TEXT(TODAY(),"YYYYMMDD"))</f>
        <v/>
      </c>
      <c r="C376" s="40" t="str">
        <f>IF(Agent02_Withdrawals!A183="","",Agent02_Withdrawals!B183)</f>
        <v/>
      </c>
      <c r="D376" s="43" t="str">
        <f>IF(Agent02_Withdrawals!A183="","",Agent02_Withdrawals!C183)</f>
        <v/>
      </c>
      <c r="E376" s="41" t="str">
        <f>IF(Agent02_Withdrawals!A183="","",Agent02_Withdrawals!D183)</f>
        <v/>
      </c>
      <c r="F376" s="40" t="str">
        <f>IF(Agent02_Withdrawals!A183="","",Agent02_Withdrawals!F183)</f>
        <v/>
      </c>
      <c r="G376" s="42" t="str">
        <f>IF(Agent02_Withdrawals!A183="","",Agent02_Withdrawals!E183)</f>
        <v/>
      </c>
      <c r="H376" s="42" t="str">
        <f>IF(Agent02_Withdrawals!A183="","",Agent02_Withdrawals!G183)</f>
        <v/>
      </c>
      <c r="I376" s="40" t="str">
        <f>IF(Agent02_Withdrawals!A183="","",Agent02_Withdrawals!H183)</f>
        <v/>
      </c>
      <c r="J376" s="40" t="str">
        <f>IF(Agent02_Withdrawals!A183="","",Agent02_Withdrawals!J183)</f>
        <v/>
      </c>
      <c r="K376" s="40" t="str">
        <f>IF(Agent02_Withdrawals!A183="","",Agent02_Withdrawals!K183)</f>
        <v/>
      </c>
      <c r="L376" s="40" t="str">
        <f>IF(G376="","",IF(D376-G376&gt;=System_Config!$B$9,"✅ OK","⚠️ BREACH"))</f>
        <v/>
      </c>
      <c r="M376" s="40" t="str">
        <f>IFERROR(IF(Agent02_Withdrawals!A183="","",YEAR(Agent02_Withdrawals!D183)),"")</f>
        <v/>
      </c>
    </row>
    <row r="377" spans="1:13" ht="18" customHeight="1" x14ac:dyDescent="0.25">
      <c r="A377" s="40" t="str">
        <f>IF(Agent02_Withdrawals!A184="","",Agent02_Withdrawals!A184)</f>
        <v/>
      </c>
      <c r="B377" s="40" t="str">
        <f ca="1">IF(Agent02_Withdrawals!A184="","","WD"&amp;TEXT(377-3,"0000")&amp;"-"&amp;TEXT(TODAY(),"YYYYMMDD"))</f>
        <v/>
      </c>
      <c r="C377" s="40" t="str">
        <f>IF(Agent02_Withdrawals!A184="","",Agent02_Withdrawals!B184)</f>
        <v/>
      </c>
      <c r="D377" s="43" t="str">
        <f>IF(Agent02_Withdrawals!A184="","",Agent02_Withdrawals!C184)</f>
        <v/>
      </c>
      <c r="E377" s="41" t="str">
        <f>IF(Agent02_Withdrawals!A184="","",Agent02_Withdrawals!D184)</f>
        <v/>
      </c>
      <c r="F377" s="40" t="str">
        <f>IF(Agent02_Withdrawals!A184="","",Agent02_Withdrawals!F184)</f>
        <v/>
      </c>
      <c r="G377" s="42" t="str">
        <f>IF(Agent02_Withdrawals!A184="","",Agent02_Withdrawals!E184)</f>
        <v/>
      </c>
      <c r="H377" s="42" t="str">
        <f>IF(Agent02_Withdrawals!A184="","",Agent02_Withdrawals!G184)</f>
        <v/>
      </c>
      <c r="I377" s="40" t="str">
        <f>IF(Agent02_Withdrawals!A184="","",Agent02_Withdrawals!H184)</f>
        <v/>
      </c>
      <c r="J377" s="40" t="str">
        <f>IF(Agent02_Withdrawals!A184="","",Agent02_Withdrawals!J184)</f>
        <v/>
      </c>
      <c r="K377" s="40" t="str">
        <f>IF(Agent02_Withdrawals!A184="","",Agent02_Withdrawals!K184)</f>
        <v/>
      </c>
      <c r="L377" s="40" t="str">
        <f>IF(G377="","",IF(D377-G377&gt;=System_Config!$B$9,"✅ OK","⚠️ BREACH"))</f>
        <v/>
      </c>
      <c r="M377" s="40" t="str">
        <f>IFERROR(IF(Agent02_Withdrawals!A184="","",YEAR(Agent02_Withdrawals!D184)),"")</f>
        <v/>
      </c>
    </row>
    <row r="378" spans="1:13" ht="18" customHeight="1" x14ac:dyDescent="0.25">
      <c r="A378" s="40" t="str">
        <f>IF(Agent02_Withdrawals!A185="","",Agent02_Withdrawals!A185)</f>
        <v/>
      </c>
      <c r="B378" s="40" t="str">
        <f ca="1">IF(Agent02_Withdrawals!A185="","","WD"&amp;TEXT(378-3,"0000")&amp;"-"&amp;TEXT(TODAY(),"YYYYMMDD"))</f>
        <v/>
      </c>
      <c r="C378" s="40" t="str">
        <f>IF(Agent02_Withdrawals!A185="","",Agent02_Withdrawals!B185)</f>
        <v/>
      </c>
      <c r="D378" s="43" t="str">
        <f>IF(Agent02_Withdrawals!A185="","",Agent02_Withdrawals!C185)</f>
        <v/>
      </c>
      <c r="E378" s="41" t="str">
        <f>IF(Agent02_Withdrawals!A185="","",Agent02_Withdrawals!D185)</f>
        <v/>
      </c>
      <c r="F378" s="40" t="str">
        <f>IF(Agent02_Withdrawals!A185="","",Agent02_Withdrawals!F185)</f>
        <v/>
      </c>
      <c r="G378" s="42" t="str">
        <f>IF(Agent02_Withdrawals!A185="","",Agent02_Withdrawals!E185)</f>
        <v/>
      </c>
      <c r="H378" s="42" t="str">
        <f>IF(Agent02_Withdrawals!A185="","",Agent02_Withdrawals!G185)</f>
        <v/>
      </c>
      <c r="I378" s="40" t="str">
        <f>IF(Agent02_Withdrawals!A185="","",Agent02_Withdrawals!H185)</f>
        <v/>
      </c>
      <c r="J378" s="40" t="str">
        <f>IF(Agent02_Withdrawals!A185="","",Agent02_Withdrawals!J185)</f>
        <v/>
      </c>
      <c r="K378" s="40" t="str">
        <f>IF(Agent02_Withdrawals!A185="","",Agent02_Withdrawals!K185)</f>
        <v/>
      </c>
      <c r="L378" s="40" t="str">
        <f>IF(G378="","",IF(D378-G378&gt;=System_Config!$B$9,"✅ OK","⚠️ BREACH"))</f>
        <v/>
      </c>
      <c r="M378" s="40" t="str">
        <f>IFERROR(IF(Agent02_Withdrawals!A185="","",YEAR(Agent02_Withdrawals!D185)),"")</f>
        <v/>
      </c>
    </row>
    <row r="379" spans="1:13" ht="18" customHeight="1" x14ac:dyDescent="0.25">
      <c r="A379" s="40" t="str">
        <f>IF(Agent02_Withdrawals!A186="","",Agent02_Withdrawals!A186)</f>
        <v/>
      </c>
      <c r="B379" s="40" t="str">
        <f ca="1">IF(Agent02_Withdrawals!A186="","","WD"&amp;TEXT(379-3,"0000")&amp;"-"&amp;TEXT(TODAY(),"YYYYMMDD"))</f>
        <v/>
      </c>
      <c r="C379" s="40" t="str">
        <f>IF(Agent02_Withdrawals!A186="","",Agent02_Withdrawals!B186)</f>
        <v/>
      </c>
      <c r="D379" s="43" t="str">
        <f>IF(Agent02_Withdrawals!A186="","",Agent02_Withdrawals!C186)</f>
        <v/>
      </c>
      <c r="E379" s="41" t="str">
        <f>IF(Agent02_Withdrawals!A186="","",Agent02_Withdrawals!D186)</f>
        <v/>
      </c>
      <c r="F379" s="40" t="str">
        <f>IF(Agent02_Withdrawals!A186="","",Agent02_Withdrawals!F186)</f>
        <v/>
      </c>
      <c r="G379" s="42" t="str">
        <f>IF(Agent02_Withdrawals!A186="","",Agent02_Withdrawals!E186)</f>
        <v/>
      </c>
      <c r="H379" s="42" t="str">
        <f>IF(Agent02_Withdrawals!A186="","",Agent02_Withdrawals!G186)</f>
        <v/>
      </c>
      <c r="I379" s="40" t="str">
        <f>IF(Agent02_Withdrawals!A186="","",Agent02_Withdrawals!H186)</f>
        <v/>
      </c>
      <c r="J379" s="40" t="str">
        <f>IF(Agent02_Withdrawals!A186="","",Agent02_Withdrawals!J186)</f>
        <v/>
      </c>
      <c r="K379" s="40" t="str">
        <f>IF(Agent02_Withdrawals!A186="","",Agent02_Withdrawals!K186)</f>
        <v/>
      </c>
      <c r="L379" s="40" t="str">
        <f>IF(G379="","",IF(D379-G379&gt;=System_Config!$B$9,"✅ OK","⚠️ BREACH"))</f>
        <v/>
      </c>
      <c r="M379" s="40" t="str">
        <f>IFERROR(IF(Agent02_Withdrawals!A186="","",YEAR(Agent02_Withdrawals!D186)),"")</f>
        <v/>
      </c>
    </row>
    <row r="380" spans="1:13" ht="18" customHeight="1" x14ac:dyDescent="0.25">
      <c r="A380" s="40" t="str">
        <f>IF(Agent02_Withdrawals!A187="","",Agent02_Withdrawals!A187)</f>
        <v/>
      </c>
      <c r="B380" s="40" t="str">
        <f ca="1">IF(Agent02_Withdrawals!A187="","","WD"&amp;TEXT(380-3,"0000")&amp;"-"&amp;TEXT(TODAY(),"YYYYMMDD"))</f>
        <v/>
      </c>
      <c r="C380" s="40" t="str">
        <f>IF(Agent02_Withdrawals!A187="","",Agent02_Withdrawals!B187)</f>
        <v/>
      </c>
      <c r="D380" s="43" t="str">
        <f>IF(Agent02_Withdrawals!A187="","",Agent02_Withdrawals!C187)</f>
        <v/>
      </c>
      <c r="E380" s="41" t="str">
        <f>IF(Agent02_Withdrawals!A187="","",Agent02_Withdrawals!D187)</f>
        <v/>
      </c>
      <c r="F380" s="40" t="str">
        <f>IF(Agent02_Withdrawals!A187="","",Agent02_Withdrawals!F187)</f>
        <v/>
      </c>
      <c r="G380" s="42" t="str">
        <f>IF(Agent02_Withdrawals!A187="","",Agent02_Withdrawals!E187)</f>
        <v/>
      </c>
      <c r="H380" s="42" t="str">
        <f>IF(Agent02_Withdrawals!A187="","",Agent02_Withdrawals!G187)</f>
        <v/>
      </c>
      <c r="I380" s="40" t="str">
        <f>IF(Agent02_Withdrawals!A187="","",Agent02_Withdrawals!H187)</f>
        <v/>
      </c>
      <c r="J380" s="40" t="str">
        <f>IF(Agent02_Withdrawals!A187="","",Agent02_Withdrawals!J187)</f>
        <v/>
      </c>
      <c r="K380" s="40" t="str">
        <f>IF(Agent02_Withdrawals!A187="","",Agent02_Withdrawals!K187)</f>
        <v/>
      </c>
      <c r="L380" s="40" t="str">
        <f>IF(G380="","",IF(D380-G380&gt;=System_Config!$B$9,"✅ OK","⚠️ BREACH"))</f>
        <v/>
      </c>
      <c r="M380" s="40" t="str">
        <f>IFERROR(IF(Agent02_Withdrawals!A187="","",YEAR(Agent02_Withdrawals!D187)),"")</f>
        <v/>
      </c>
    </row>
    <row r="381" spans="1:13" ht="18" customHeight="1" x14ac:dyDescent="0.25">
      <c r="A381" s="40" t="str">
        <f>IF(Agent02_Withdrawals!A188="","",Agent02_Withdrawals!A188)</f>
        <v/>
      </c>
      <c r="B381" s="40" t="str">
        <f ca="1">IF(Agent02_Withdrawals!A188="","","WD"&amp;TEXT(381-3,"0000")&amp;"-"&amp;TEXT(TODAY(),"YYYYMMDD"))</f>
        <v/>
      </c>
      <c r="C381" s="40" t="str">
        <f>IF(Agent02_Withdrawals!A188="","",Agent02_Withdrawals!B188)</f>
        <v/>
      </c>
      <c r="D381" s="43" t="str">
        <f>IF(Agent02_Withdrawals!A188="","",Agent02_Withdrawals!C188)</f>
        <v/>
      </c>
      <c r="E381" s="41" t="str">
        <f>IF(Agent02_Withdrawals!A188="","",Agent02_Withdrawals!D188)</f>
        <v/>
      </c>
      <c r="F381" s="40" t="str">
        <f>IF(Agent02_Withdrawals!A188="","",Agent02_Withdrawals!F188)</f>
        <v/>
      </c>
      <c r="G381" s="42" t="str">
        <f>IF(Agent02_Withdrawals!A188="","",Agent02_Withdrawals!E188)</f>
        <v/>
      </c>
      <c r="H381" s="42" t="str">
        <f>IF(Agent02_Withdrawals!A188="","",Agent02_Withdrawals!G188)</f>
        <v/>
      </c>
      <c r="I381" s="40" t="str">
        <f>IF(Agent02_Withdrawals!A188="","",Agent02_Withdrawals!H188)</f>
        <v/>
      </c>
      <c r="J381" s="40" t="str">
        <f>IF(Agent02_Withdrawals!A188="","",Agent02_Withdrawals!J188)</f>
        <v/>
      </c>
      <c r="K381" s="40" t="str">
        <f>IF(Agent02_Withdrawals!A188="","",Agent02_Withdrawals!K188)</f>
        <v/>
      </c>
      <c r="L381" s="40" t="str">
        <f>IF(G381="","",IF(D381-G381&gt;=System_Config!$B$9,"✅ OK","⚠️ BREACH"))</f>
        <v/>
      </c>
      <c r="M381" s="40" t="str">
        <f>IFERROR(IF(Agent02_Withdrawals!A188="","",YEAR(Agent02_Withdrawals!D188)),"")</f>
        <v/>
      </c>
    </row>
    <row r="382" spans="1:13" ht="18" customHeight="1" x14ac:dyDescent="0.25">
      <c r="A382" s="40" t="str">
        <f>IF(Agent02_Withdrawals!A189="","",Agent02_Withdrawals!A189)</f>
        <v/>
      </c>
      <c r="B382" s="40" t="str">
        <f ca="1">IF(Agent02_Withdrawals!A189="","","WD"&amp;TEXT(382-3,"0000")&amp;"-"&amp;TEXT(TODAY(),"YYYYMMDD"))</f>
        <v/>
      </c>
      <c r="C382" s="40" t="str">
        <f>IF(Agent02_Withdrawals!A189="","",Agent02_Withdrawals!B189)</f>
        <v/>
      </c>
      <c r="D382" s="43" t="str">
        <f>IF(Agent02_Withdrawals!A189="","",Agent02_Withdrawals!C189)</f>
        <v/>
      </c>
      <c r="E382" s="41" t="str">
        <f>IF(Agent02_Withdrawals!A189="","",Agent02_Withdrawals!D189)</f>
        <v/>
      </c>
      <c r="F382" s="40" t="str">
        <f>IF(Agent02_Withdrawals!A189="","",Agent02_Withdrawals!F189)</f>
        <v/>
      </c>
      <c r="G382" s="42" t="str">
        <f>IF(Agent02_Withdrawals!A189="","",Agent02_Withdrawals!E189)</f>
        <v/>
      </c>
      <c r="H382" s="42" t="str">
        <f>IF(Agent02_Withdrawals!A189="","",Agent02_Withdrawals!G189)</f>
        <v/>
      </c>
      <c r="I382" s="40" t="str">
        <f>IF(Agent02_Withdrawals!A189="","",Agent02_Withdrawals!H189)</f>
        <v/>
      </c>
      <c r="J382" s="40" t="str">
        <f>IF(Agent02_Withdrawals!A189="","",Agent02_Withdrawals!J189)</f>
        <v/>
      </c>
      <c r="K382" s="40" t="str">
        <f>IF(Agent02_Withdrawals!A189="","",Agent02_Withdrawals!K189)</f>
        <v/>
      </c>
      <c r="L382" s="40" t="str">
        <f>IF(G382="","",IF(D382-G382&gt;=System_Config!$B$9,"✅ OK","⚠️ BREACH"))</f>
        <v/>
      </c>
      <c r="M382" s="40" t="str">
        <f>IFERROR(IF(Agent02_Withdrawals!A189="","",YEAR(Agent02_Withdrawals!D189)),"")</f>
        <v/>
      </c>
    </row>
    <row r="383" spans="1:13" ht="18" customHeight="1" x14ac:dyDescent="0.25">
      <c r="A383" s="40" t="str">
        <f>IF(Agent02_Withdrawals!A190="","",Agent02_Withdrawals!A190)</f>
        <v/>
      </c>
      <c r="B383" s="40" t="str">
        <f ca="1">IF(Agent02_Withdrawals!A190="","","WD"&amp;TEXT(383-3,"0000")&amp;"-"&amp;TEXT(TODAY(),"YYYYMMDD"))</f>
        <v/>
      </c>
      <c r="C383" s="40" t="str">
        <f>IF(Agent02_Withdrawals!A190="","",Agent02_Withdrawals!B190)</f>
        <v/>
      </c>
      <c r="D383" s="43" t="str">
        <f>IF(Agent02_Withdrawals!A190="","",Agent02_Withdrawals!C190)</f>
        <v/>
      </c>
      <c r="E383" s="41" t="str">
        <f>IF(Agent02_Withdrawals!A190="","",Agent02_Withdrawals!D190)</f>
        <v/>
      </c>
      <c r="F383" s="40" t="str">
        <f>IF(Agent02_Withdrawals!A190="","",Agent02_Withdrawals!F190)</f>
        <v/>
      </c>
      <c r="G383" s="42" t="str">
        <f>IF(Agent02_Withdrawals!A190="","",Agent02_Withdrawals!E190)</f>
        <v/>
      </c>
      <c r="H383" s="42" t="str">
        <f>IF(Agent02_Withdrawals!A190="","",Agent02_Withdrawals!G190)</f>
        <v/>
      </c>
      <c r="I383" s="40" t="str">
        <f>IF(Agent02_Withdrawals!A190="","",Agent02_Withdrawals!H190)</f>
        <v/>
      </c>
      <c r="J383" s="40" t="str">
        <f>IF(Agent02_Withdrawals!A190="","",Agent02_Withdrawals!J190)</f>
        <v/>
      </c>
      <c r="K383" s="40" t="str">
        <f>IF(Agent02_Withdrawals!A190="","",Agent02_Withdrawals!K190)</f>
        <v/>
      </c>
      <c r="L383" s="40" t="str">
        <f>IF(G383="","",IF(D383-G383&gt;=System_Config!$B$9,"✅ OK","⚠️ BREACH"))</f>
        <v/>
      </c>
      <c r="M383" s="40" t="str">
        <f>IFERROR(IF(Agent02_Withdrawals!A190="","",YEAR(Agent02_Withdrawals!D190)),"")</f>
        <v/>
      </c>
    </row>
    <row r="384" spans="1:13" ht="18" customHeight="1" x14ac:dyDescent="0.25">
      <c r="A384" s="40" t="str">
        <f>IF(Agent02_Withdrawals!A191="","",Agent02_Withdrawals!A191)</f>
        <v/>
      </c>
      <c r="B384" s="40" t="str">
        <f ca="1">IF(Agent02_Withdrawals!A191="","","WD"&amp;TEXT(384-3,"0000")&amp;"-"&amp;TEXT(TODAY(),"YYYYMMDD"))</f>
        <v/>
      </c>
      <c r="C384" s="40" t="str">
        <f>IF(Agent02_Withdrawals!A191="","",Agent02_Withdrawals!B191)</f>
        <v/>
      </c>
      <c r="D384" s="43" t="str">
        <f>IF(Agent02_Withdrawals!A191="","",Agent02_Withdrawals!C191)</f>
        <v/>
      </c>
      <c r="E384" s="41" t="str">
        <f>IF(Agent02_Withdrawals!A191="","",Agent02_Withdrawals!D191)</f>
        <v/>
      </c>
      <c r="F384" s="40" t="str">
        <f>IF(Agent02_Withdrawals!A191="","",Agent02_Withdrawals!F191)</f>
        <v/>
      </c>
      <c r="G384" s="42" t="str">
        <f>IF(Agent02_Withdrawals!A191="","",Agent02_Withdrawals!E191)</f>
        <v/>
      </c>
      <c r="H384" s="42" t="str">
        <f>IF(Agent02_Withdrawals!A191="","",Agent02_Withdrawals!G191)</f>
        <v/>
      </c>
      <c r="I384" s="40" t="str">
        <f>IF(Agent02_Withdrawals!A191="","",Agent02_Withdrawals!H191)</f>
        <v/>
      </c>
      <c r="J384" s="40" t="str">
        <f>IF(Agent02_Withdrawals!A191="","",Agent02_Withdrawals!J191)</f>
        <v/>
      </c>
      <c r="K384" s="40" t="str">
        <f>IF(Agent02_Withdrawals!A191="","",Agent02_Withdrawals!K191)</f>
        <v/>
      </c>
      <c r="L384" s="40" t="str">
        <f>IF(G384="","",IF(D384-G384&gt;=System_Config!$B$9,"✅ OK","⚠️ BREACH"))</f>
        <v/>
      </c>
      <c r="M384" s="40" t="str">
        <f>IFERROR(IF(Agent02_Withdrawals!A191="","",YEAR(Agent02_Withdrawals!D191)),"")</f>
        <v/>
      </c>
    </row>
    <row r="385" spans="1:13" ht="18" customHeight="1" x14ac:dyDescent="0.25">
      <c r="A385" s="40" t="str">
        <f>IF(Agent02_Withdrawals!A192="","",Agent02_Withdrawals!A192)</f>
        <v/>
      </c>
      <c r="B385" s="40" t="str">
        <f ca="1">IF(Agent02_Withdrawals!A192="","","WD"&amp;TEXT(385-3,"0000")&amp;"-"&amp;TEXT(TODAY(),"YYYYMMDD"))</f>
        <v/>
      </c>
      <c r="C385" s="40" t="str">
        <f>IF(Agent02_Withdrawals!A192="","",Agent02_Withdrawals!B192)</f>
        <v/>
      </c>
      <c r="D385" s="43" t="str">
        <f>IF(Agent02_Withdrawals!A192="","",Agent02_Withdrawals!C192)</f>
        <v/>
      </c>
      <c r="E385" s="41" t="str">
        <f>IF(Agent02_Withdrawals!A192="","",Agent02_Withdrawals!D192)</f>
        <v/>
      </c>
      <c r="F385" s="40" t="str">
        <f>IF(Agent02_Withdrawals!A192="","",Agent02_Withdrawals!F192)</f>
        <v/>
      </c>
      <c r="G385" s="42" t="str">
        <f>IF(Agent02_Withdrawals!A192="","",Agent02_Withdrawals!E192)</f>
        <v/>
      </c>
      <c r="H385" s="42" t="str">
        <f>IF(Agent02_Withdrawals!A192="","",Agent02_Withdrawals!G192)</f>
        <v/>
      </c>
      <c r="I385" s="40" t="str">
        <f>IF(Agent02_Withdrawals!A192="","",Agent02_Withdrawals!H192)</f>
        <v/>
      </c>
      <c r="J385" s="40" t="str">
        <f>IF(Agent02_Withdrawals!A192="","",Agent02_Withdrawals!J192)</f>
        <v/>
      </c>
      <c r="K385" s="40" t="str">
        <f>IF(Agent02_Withdrawals!A192="","",Agent02_Withdrawals!K192)</f>
        <v/>
      </c>
      <c r="L385" s="40" t="str">
        <f>IF(G385="","",IF(D385-G385&gt;=System_Config!$B$9,"✅ OK","⚠️ BREACH"))</f>
        <v/>
      </c>
      <c r="M385" s="40" t="str">
        <f>IFERROR(IF(Agent02_Withdrawals!A192="","",YEAR(Agent02_Withdrawals!D192)),"")</f>
        <v/>
      </c>
    </row>
    <row r="386" spans="1:13" ht="18" customHeight="1" x14ac:dyDescent="0.25">
      <c r="A386" s="40" t="str">
        <f>IF(Agent02_Withdrawals!A193="","",Agent02_Withdrawals!A193)</f>
        <v/>
      </c>
      <c r="B386" s="40" t="str">
        <f ca="1">IF(Agent02_Withdrawals!A193="","","WD"&amp;TEXT(386-3,"0000")&amp;"-"&amp;TEXT(TODAY(),"YYYYMMDD"))</f>
        <v/>
      </c>
      <c r="C386" s="40" t="str">
        <f>IF(Agent02_Withdrawals!A193="","",Agent02_Withdrawals!B193)</f>
        <v/>
      </c>
      <c r="D386" s="43" t="str">
        <f>IF(Agent02_Withdrawals!A193="","",Agent02_Withdrawals!C193)</f>
        <v/>
      </c>
      <c r="E386" s="41" t="str">
        <f>IF(Agent02_Withdrawals!A193="","",Agent02_Withdrawals!D193)</f>
        <v/>
      </c>
      <c r="F386" s="40" t="str">
        <f>IF(Agent02_Withdrawals!A193="","",Agent02_Withdrawals!F193)</f>
        <v/>
      </c>
      <c r="G386" s="42" t="str">
        <f>IF(Agent02_Withdrawals!A193="","",Agent02_Withdrawals!E193)</f>
        <v/>
      </c>
      <c r="H386" s="42" t="str">
        <f>IF(Agent02_Withdrawals!A193="","",Agent02_Withdrawals!G193)</f>
        <v/>
      </c>
      <c r="I386" s="40" t="str">
        <f>IF(Agent02_Withdrawals!A193="","",Agent02_Withdrawals!H193)</f>
        <v/>
      </c>
      <c r="J386" s="40" t="str">
        <f>IF(Agent02_Withdrawals!A193="","",Agent02_Withdrawals!J193)</f>
        <v/>
      </c>
      <c r="K386" s="40" t="str">
        <f>IF(Agent02_Withdrawals!A193="","",Agent02_Withdrawals!K193)</f>
        <v/>
      </c>
      <c r="L386" s="40" t="str">
        <f>IF(G386="","",IF(D386-G386&gt;=System_Config!$B$9,"✅ OK","⚠️ BREACH"))</f>
        <v/>
      </c>
      <c r="M386" s="40" t="str">
        <f>IFERROR(IF(Agent02_Withdrawals!A193="","",YEAR(Agent02_Withdrawals!D193)),"")</f>
        <v/>
      </c>
    </row>
    <row r="387" spans="1:13" ht="18" customHeight="1" x14ac:dyDescent="0.25">
      <c r="A387" s="40" t="str">
        <f>IF(Agent02_Withdrawals!A194="","",Agent02_Withdrawals!A194)</f>
        <v/>
      </c>
      <c r="B387" s="40" t="str">
        <f ca="1">IF(Agent02_Withdrawals!A194="","","WD"&amp;TEXT(387-3,"0000")&amp;"-"&amp;TEXT(TODAY(),"YYYYMMDD"))</f>
        <v/>
      </c>
      <c r="C387" s="40" t="str">
        <f>IF(Agent02_Withdrawals!A194="","",Agent02_Withdrawals!B194)</f>
        <v/>
      </c>
      <c r="D387" s="43" t="str">
        <f>IF(Agent02_Withdrawals!A194="","",Agent02_Withdrawals!C194)</f>
        <v/>
      </c>
      <c r="E387" s="41" t="str">
        <f>IF(Agent02_Withdrawals!A194="","",Agent02_Withdrawals!D194)</f>
        <v/>
      </c>
      <c r="F387" s="40" t="str">
        <f>IF(Agent02_Withdrawals!A194="","",Agent02_Withdrawals!F194)</f>
        <v/>
      </c>
      <c r="G387" s="42" t="str">
        <f>IF(Agent02_Withdrawals!A194="","",Agent02_Withdrawals!E194)</f>
        <v/>
      </c>
      <c r="H387" s="42" t="str">
        <f>IF(Agent02_Withdrawals!A194="","",Agent02_Withdrawals!G194)</f>
        <v/>
      </c>
      <c r="I387" s="40" t="str">
        <f>IF(Agent02_Withdrawals!A194="","",Agent02_Withdrawals!H194)</f>
        <v/>
      </c>
      <c r="J387" s="40" t="str">
        <f>IF(Agent02_Withdrawals!A194="","",Agent02_Withdrawals!J194)</f>
        <v/>
      </c>
      <c r="K387" s="40" t="str">
        <f>IF(Agent02_Withdrawals!A194="","",Agent02_Withdrawals!K194)</f>
        <v/>
      </c>
      <c r="L387" s="40" t="str">
        <f>IF(G387="","",IF(D387-G387&gt;=System_Config!$B$9,"✅ OK","⚠️ BREACH"))</f>
        <v/>
      </c>
      <c r="M387" s="40" t="str">
        <f>IFERROR(IF(Agent02_Withdrawals!A194="","",YEAR(Agent02_Withdrawals!D194)),"")</f>
        <v/>
      </c>
    </row>
    <row r="388" spans="1:13" ht="18" customHeight="1" x14ac:dyDescent="0.25">
      <c r="A388" s="40" t="str">
        <f>IF(Agent02_Withdrawals!A195="","",Agent02_Withdrawals!A195)</f>
        <v/>
      </c>
      <c r="B388" s="40" t="str">
        <f ca="1">IF(Agent02_Withdrawals!A195="","","WD"&amp;TEXT(388-3,"0000")&amp;"-"&amp;TEXT(TODAY(),"YYYYMMDD"))</f>
        <v/>
      </c>
      <c r="C388" s="40" t="str">
        <f>IF(Agent02_Withdrawals!A195="","",Agent02_Withdrawals!B195)</f>
        <v/>
      </c>
      <c r="D388" s="43" t="str">
        <f>IF(Agent02_Withdrawals!A195="","",Agent02_Withdrawals!C195)</f>
        <v/>
      </c>
      <c r="E388" s="41" t="str">
        <f>IF(Agent02_Withdrawals!A195="","",Agent02_Withdrawals!D195)</f>
        <v/>
      </c>
      <c r="F388" s="40" t="str">
        <f>IF(Agent02_Withdrawals!A195="","",Agent02_Withdrawals!F195)</f>
        <v/>
      </c>
      <c r="G388" s="42" t="str">
        <f>IF(Agent02_Withdrawals!A195="","",Agent02_Withdrawals!E195)</f>
        <v/>
      </c>
      <c r="H388" s="42" t="str">
        <f>IF(Agent02_Withdrawals!A195="","",Agent02_Withdrawals!G195)</f>
        <v/>
      </c>
      <c r="I388" s="40" t="str">
        <f>IF(Agent02_Withdrawals!A195="","",Agent02_Withdrawals!H195)</f>
        <v/>
      </c>
      <c r="J388" s="40" t="str">
        <f>IF(Agent02_Withdrawals!A195="","",Agent02_Withdrawals!J195)</f>
        <v/>
      </c>
      <c r="K388" s="40" t="str">
        <f>IF(Agent02_Withdrawals!A195="","",Agent02_Withdrawals!K195)</f>
        <v/>
      </c>
      <c r="L388" s="40" t="str">
        <f>IF(G388="","",IF(D388-G388&gt;=System_Config!$B$9,"✅ OK","⚠️ BREACH"))</f>
        <v/>
      </c>
      <c r="M388" s="40" t="str">
        <f>IFERROR(IF(Agent02_Withdrawals!A195="","",YEAR(Agent02_Withdrawals!D195)),"")</f>
        <v/>
      </c>
    </row>
    <row r="389" spans="1:13" ht="18" customHeight="1" x14ac:dyDescent="0.25">
      <c r="A389" s="40" t="str">
        <f>IF(Agent02_Withdrawals!A196="","",Agent02_Withdrawals!A196)</f>
        <v/>
      </c>
      <c r="B389" s="40" t="str">
        <f ca="1">IF(Agent02_Withdrawals!A196="","","WD"&amp;TEXT(389-3,"0000")&amp;"-"&amp;TEXT(TODAY(),"YYYYMMDD"))</f>
        <v/>
      </c>
      <c r="C389" s="40" t="str">
        <f>IF(Agent02_Withdrawals!A196="","",Agent02_Withdrawals!B196)</f>
        <v/>
      </c>
      <c r="D389" s="43" t="str">
        <f>IF(Agent02_Withdrawals!A196="","",Agent02_Withdrawals!C196)</f>
        <v/>
      </c>
      <c r="E389" s="41" t="str">
        <f>IF(Agent02_Withdrawals!A196="","",Agent02_Withdrawals!D196)</f>
        <v/>
      </c>
      <c r="F389" s="40" t="str">
        <f>IF(Agent02_Withdrawals!A196="","",Agent02_Withdrawals!F196)</f>
        <v/>
      </c>
      <c r="G389" s="42" t="str">
        <f>IF(Agent02_Withdrawals!A196="","",Agent02_Withdrawals!E196)</f>
        <v/>
      </c>
      <c r="H389" s="42" t="str">
        <f>IF(Agent02_Withdrawals!A196="","",Agent02_Withdrawals!G196)</f>
        <v/>
      </c>
      <c r="I389" s="40" t="str">
        <f>IF(Agent02_Withdrawals!A196="","",Agent02_Withdrawals!H196)</f>
        <v/>
      </c>
      <c r="J389" s="40" t="str">
        <f>IF(Agent02_Withdrawals!A196="","",Agent02_Withdrawals!J196)</f>
        <v/>
      </c>
      <c r="K389" s="40" t="str">
        <f>IF(Agent02_Withdrawals!A196="","",Agent02_Withdrawals!K196)</f>
        <v/>
      </c>
      <c r="L389" s="40" t="str">
        <f>IF(G389="","",IF(D389-G389&gt;=System_Config!$B$9,"✅ OK","⚠️ BREACH"))</f>
        <v/>
      </c>
      <c r="M389" s="40" t="str">
        <f>IFERROR(IF(Agent02_Withdrawals!A196="","",YEAR(Agent02_Withdrawals!D196)),"")</f>
        <v/>
      </c>
    </row>
    <row r="390" spans="1:13" ht="18" customHeight="1" x14ac:dyDescent="0.25">
      <c r="A390" s="40" t="str">
        <f>IF(Agent02_Withdrawals!A197="","",Agent02_Withdrawals!A197)</f>
        <v/>
      </c>
      <c r="B390" s="40" t="str">
        <f ca="1">IF(Agent02_Withdrawals!A197="","","WD"&amp;TEXT(390-3,"0000")&amp;"-"&amp;TEXT(TODAY(),"YYYYMMDD"))</f>
        <v/>
      </c>
      <c r="C390" s="40" t="str">
        <f>IF(Agent02_Withdrawals!A197="","",Agent02_Withdrawals!B197)</f>
        <v/>
      </c>
      <c r="D390" s="43" t="str">
        <f>IF(Agent02_Withdrawals!A197="","",Agent02_Withdrawals!C197)</f>
        <v/>
      </c>
      <c r="E390" s="41" t="str">
        <f>IF(Agent02_Withdrawals!A197="","",Agent02_Withdrawals!D197)</f>
        <v/>
      </c>
      <c r="F390" s="40" t="str">
        <f>IF(Agent02_Withdrawals!A197="","",Agent02_Withdrawals!F197)</f>
        <v/>
      </c>
      <c r="G390" s="42" t="str">
        <f>IF(Agent02_Withdrawals!A197="","",Agent02_Withdrawals!E197)</f>
        <v/>
      </c>
      <c r="H390" s="42" t="str">
        <f>IF(Agent02_Withdrawals!A197="","",Agent02_Withdrawals!G197)</f>
        <v/>
      </c>
      <c r="I390" s="40" t="str">
        <f>IF(Agent02_Withdrawals!A197="","",Agent02_Withdrawals!H197)</f>
        <v/>
      </c>
      <c r="J390" s="40" t="str">
        <f>IF(Agent02_Withdrawals!A197="","",Agent02_Withdrawals!J197)</f>
        <v/>
      </c>
      <c r="K390" s="40" t="str">
        <f>IF(Agent02_Withdrawals!A197="","",Agent02_Withdrawals!K197)</f>
        <v/>
      </c>
      <c r="L390" s="40" t="str">
        <f>IF(G390="","",IF(D390-G390&gt;=System_Config!$B$9,"✅ OK","⚠️ BREACH"))</f>
        <v/>
      </c>
      <c r="M390" s="40" t="str">
        <f>IFERROR(IF(Agent02_Withdrawals!A197="","",YEAR(Agent02_Withdrawals!D197)),"")</f>
        <v/>
      </c>
    </row>
    <row r="391" spans="1:13" ht="18" customHeight="1" x14ac:dyDescent="0.25">
      <c r="A391" s="40" t="str">
        <f>IF(Agent02_Withdrawals!A198="","",Agent02_Withdrawals!A198)</f>
        <v/>
      </c>
      <c r="B391" s="40" t="str">
        <f ca="1">IF(Agent02_Withdrawals!A198="","","WD"&amp;TEXT(391-3,"0000")&amp;"-"&amp;TEXT(TODAY(),"YYYYMMDD"))</f>
        <v/>
      </c>
      <c r="C391" s="40" t="str">
        <f>IF(Agent02_Withdrawals!A198="","",Agent02_Withdrawals!B198)</f>
        <v/>
      </c>
      <c r="D391" s="43" t="str">
        <f>IF(Agent02_Withdrawals!A198="","",Agent02_Withdrawals!C198)</f>
        <v/>
      </c>
      <c r="E391" s="41" t="str">
        <f>IF(Agent02_Withdrawals!A198="","",Agent02_Withdrawals!D198)</f>
        <v/>
      </c>
      <c r="F391" s="40" t="str">
        <f>IF(Agent02_Withdrawals!A198="","",Agent02_Withdrawals!F198)</f>
        <v/>
      </c>
      <c r="G391" s="42" t="str">
        <f>IF(Agent02_Withdrawals!A198="","",Agent02_Withdrawals!E198)</f>
        <v/>
      </c>
      <c r="H391" s="42" t="str">
        <f>IF(Agent02_Withdrawals!A198="","",Agent02_Withdrawals!G198)</f>
        <v/>
      </c>
      <c r="I391" s="40" t="str">
        <f>IF(Agent02_Withdrawals!A198="","",Agent02_Withdrawals!H198)</f>
        <v/>
      </c>
      <c r="J391" s="40" t="str">
        <f>IF(Agent02_Withdrawals!A198="","",Agent02_Withdrawals!J198)</f>
        <v/>
      </c>
      <c r="K391" s="40" t="str">
        <f>IF(Agent02_Withdrawals!A198="","",Agent02_Withdrawals!K198)</f>
        <v/>
      </c>
      <c r="L391" s="40" t="str">
        <f>IF(G391="","",IF(D391-G391&gt;=System_Config!$B$9,"✅ OK","⚠️ BREACH"))</f>
        <v/>
      </c>
      <c r="M391" s="40" t="str">
        <f>IFERROR(IF(Agent02_Withdrawals!A198="","",YEAR(Agent02_Withdrawals!D198)),"")</f>
        <v/>
      </c>
    </row>
    <row r="392" spans="1:13" ht="18" customHeight="1" x14ac:dyDescent="0.25">
      <c r="A392" s="40" t="str">
        <f>IF(Agent02_Withdrawals!A199="","",Agent02_Withdrawals!A199)</f>
        <v/>
      </c>
      <c r="B392" s="40" t="str">
        <f ca="1">IF(Agent02_Withdrawals!A199="","","WD"&amp;TEXT(392-3,"0000")&amp;"-"&amp;TEXT(TODAY(),"YYYYMMDD"))</f>
        <v/>
      </c>
      <c r="C392" s="40" t="str">
        <f>IF(Agent02_Withdrawals!A199="","",Agent02_Withdrawals!B199)</f>
        <v/>
      </c>
      <c r="D392" s="43" t="str">
        <f>IF(Agent02_Withdrawals!A199="","",Agent02_Withdrawals!C199)</f>
        <v/>
      </c>
      <c r="E392" s="41" t="str">
        <f>IF(Agent02_Withdrawals!A199="","",Agent02_Withdrawals!D199)</f>
        <v/>
      </c>
      <c r="F392" s="40" t="str">
        <f>IF(Agent02_Withdrawals!A199="","",Agent02_Withdrawals!F199)</f>
        <v/>
      </c>
      <c r="G392" s="42" t="str">
        <f>IF(Agent02_Withdrawals!A199="","",Agent02_Withdrawals!E199)</f>
        <v/>
      </c>
      <c r="H392" s="42" t="str">
        <f>IF(Agent02_Withdrawals!A199="","",Agent02_Withdrawals!G199)</f>
        <v/>
      </c>
      <c r="I392" s="40" t="str">
        <f>IF(Agent02_Withdrawals!A199="","",Agent02_Withdrawals!H199)</f>
        <v/>
      </c>
      <c r="J392" s="40" t="str">
        <f>IF(Agent02_Withdrawals!A199="","",Agent02_Withdrawals!J199)</f>
        <v/>
      </c>
      <c r="K392" s="40" t="str">
        <f>IF(Agent02_Withdrawals!A199="","",Agent02_Withdrawals!K199)</f>
        <v/>
      </c>
      <c r="L392" s="40" t="str">
        <f>IF(G392="","",IF(D392-G392&gt;=System_Config!$B$9,"✅ OK","⚠️ BREACH"))</f>
        <v/>
      </c>
      <c r="M392" s="40" t="str">
        <f>IFERROR(IF(Agent02_Withdrawals!A199="","",YEAR(Agent02_Withdrawals!D199)),"")</f>
        <v/>
      </c>
    </row>
    <row r="393" spans="1:13" ht="18" customHeight="1" x14ac:dyDescent="0.25">
      <c r="A393" s="40" t="str">
        <f>IF(Agent02_Withdrawals!A200="","",Agent02_Withdrawals!A200)</f>
        <v/>
      </c>
      <c r="B393" s="40" t="str">
        <f ca="1">IF(Agent02_Withdrawals!A200="","","WD"&amp;TEXT(393-3,"0000")&amp;"-"&amp;TEXT(TODAY(),"YYYYMMDD"))</f>
        <v/>
      </c>
      <c r="C393" s="40" t="str">
        <f>IF(Agent02_Withdrawals!A200="","",Agent02_Withdrawals!B200)</f>
        <v/>
      </c>
      <c r="D393" s="43" t="str">
        <f>IF(Agent02_Withdrawals!A200="","",Agent02_Withdrawals!C200)</f>
        <v/>
      </c>
      <c r="E393" s="41" t="str">
        <f>IF(Agent02_Withdrawals!A200="","",Agent02_Withdrawals!D200)</f>
        <v/>
      </c>
      <c r="F393" s="40" t="str">
        <f>IF(Agent02_Withdrawals!A200="","",Agent02_Withdrawals!F200)</f>
        <v/>
      </c>
      <c r="G393" s="42" t="str">
        <f>IF(Agent02_Withdrawals!A200="","",Agent02_Withdrawals!E200)</f>
        <v/>
      </c>
      <c r="H393" s="42" t="str">
        <f>IF(Agent02_Withdrawals!A200="","",Agent02_Withdrawals!G200)</f>
        <v/>
      </c>
      <c r="I393" s="40" t="str">
        <f>IF(Agent02_Withdrawals!A200="","",Agent02_Withdrawals!H200)</f>
        <v/>
      </c>
      <c r="J393" s="40" t="str">
        <f>IF(Agent02_Withdrawals!A200="","",Agent02_Withdrawals!J200)</f>
        <v/>
      </c>
      <c r="K393" s="40" t="str">
        <f>IF(Agent02_Withdrawals!A200="","",Agent02_Withdrawals!K200)</f>
        <v/>
      </c>
      <c r="L393" s="40" t="str">
        <f>IF(G393="","",IF(D393-G393&gt;=System_Config!$B$9,"✅ OK","⚠️ BREACH"))</f>
        <v/>
      </c>
      <c r="M393" s="40" t="str">
        <f>IFERROR(IF(Agent02_Withdrawals!A200="","",YEAR(Agent02_Withdrawals!D200)),"")</f>
        <v/>
      </c>
    </row>
    <row r="394" spans="1:13" ht="18" customHeight="1" x14ac:dyDescent="0.25">
      <c r="A394" s="40" t="str">
        <f>IF(Agent02_Withdrawals!A201="","",Agent02_Withdrawals!A201)</f>
        <v/>
      </c>
      <c r="B394" s="40" t="str">
        <f ca="1">IF(Agent02_Withdrawals!A201="","","WD"&amp;TEXT(394-3,"0000")&amp;"-"&amp;TEXT(TODAY(),"YYYYMMDD"))</f>
        <v/>
      </c>
      <c r="C394" s="40" t="str">
        <f>IF(Agent02_Withdrawals!A201="","",Agent02_Withdrawals!B201)</f>
        <v/>
      </c>
      <c r="D394" s="43" t="str">
        <f>IF(Agent02_Withdrawals!A201="","",Agent02_Withdrawals!C201)</f>
        <v/>
      </c>
      <c r="E394" s="41" t="str">
        <f>IF(Agent02_Withdrawals!A201="","",Agent02_Withdrawals!D201)</f>
        <v/>
      </c>
      <c r="F394" s="40" t="str">
        <f>IF(Agent02_Withdrawals!A201="","",Agent02_Withdrawals!F201)</f>
        <v/>
      </c>
      <c r="G394" s="42" t="str">
        <f>IF(Agent02_Withdrawals!A201="","",Agent02_Withdrawals!E201)</f>
        <v/>
      </c>
      <c r="H394" s="42" t="str">
        <f>IF(Agent02_Withdrawals!A201="","",Agent02_Withdrawals!G201)</f>
        <v/>
      </c>
      <c r="I394" s="40" t="str">
        <f>IF(Agent02_Withdrawals!A201="","",Agent02_Withdrawals!H201)</f>
        <v/>
      </c>
      <c r="J394" s="40" t="str">
        <f>IF(Agent02_Withdrawals!A201="","",Agent02_Withdrawals!J201)</f>
        <v/>
      </c>
      <c r="K394" s="40" t="str">
        <f>IF(Agent02_Withdrawals!A201="","",Agent02_Withdrawals!K201)</f>
        <v/>
      </c>
      <c r="L394" s="40" t="str">
        <f>IF(G394="","",IF(D394-G394&gt;=System_Config!$B$9,"✅ OK","⚠️ BREACH"))</f>
        <v/>
      </c>
      <c r="M394" s="40" t="str">
        <f>IFERROR(IF(Agent02_Withdrawals!A201="","",YEAR(Agent02_Withdrawals!D201)),"")</f>
        <v/>
      </c>
    </row>
    <row r="395" spans="1:13" ht="18" customHeight="1" x14ac:dyDescent="0.25">
      <c r="A395" s="40" t="str">
        <f>IF(Agent02_Withdrawals!A202="","",Agent02_Withdrawals!A202)</f>
        <v/>
      </c>
      <c r="B395" s="40" t="str">
        <f ca="1">IF(Agent02_Withdrawals!A202="","","WD"&amp;TEXT(395-3,"0000")&amp;"-"&amp;TEXT(TODAY(),"YYYYMMDD"))</f>
        <v/>
      </c>
      <c r="C395" s="40" t="str">
        <f>IF(Agent02_Withdrawals!A202="","",Agent02_Withdrawals!B202)</f>
        <v/>
      </c>
      <c r="D395" s="43" t="str">
        <f>IF(Agent02_Withdrawals!A202="","",Agent02_Withdrawals!C202)</f>
        <v/>
      </c>
      <c r="E395" s="41" t="str">
        <f>IF(Agent02_Withdrawals!A202="","",Agent02_Withdrawals!D202)</f>
        <v/>
      </c>
      <c r="F395" s="40" t="str">
        <f>IF(Agent02_Withdrawals!A202="","",Agent02_Withdrawals!F202)</f>
        <v/>
      </c>
      <c r="G395" s="42" t="str">
        <f>IF(Agent02_Withdrawals!A202="","",Agent02_Withdrawals!E202)</f>
        <v/>
      </c>
      <c r="H395" s="42" t="str">
        <f>IF(Agent02_Withdrawals!A202="","",Agent02_Withdrawals!G202)</f>
        <v/>
      </c>
      <c r="I395" s="40" t="str">
        <f>IF(Agent02_Withdrawals!A202="","",Agent02_Withdrawals!H202)</f>
        <v/>
      </c>
      <c r="J395" s="40" t="str">
        <f>IF(Agent02_Withdrawals!A202="","",Agent02_Withdrawals!J202)</f>
        <v/>
      </c>
      <c r="K395" s="40" t="str">
        <f>IF(Agent02_Withdrawals!A202="","",Agent02_Withdrawals!K202)</f>
        <v/>
      </c>
      <c r="L395" s="40" t="str">
        <f>IF(G395="","",IF(D395-G395&gt;=System_Config!$B$9,"✅ OK","⚠️ BREACH"))</f>
        <v/>
      </c>
      <c r="M395" s="40" t="str">
        <f>IFERROR(IF(Agent02_Withdrawals!A202="","",YEAR(Agent02_Withdrawals!D202)),"")</f>
        <v/>
      </c>
    </row>
    <row r="396" spans="1:13" ht="18" customHeight="1" x14ac:dyDescent="0.25">
      <c r="A396" s="40" t="str">
        <f>IF(Agent02_Withdrawals!A203="","",Agent02_Withdrawals!A203)</f>
        <v/>
      </c>
      <c r="B396" s="40" t="str">
        <f ca="1">IF(Agent02_Withdrawals!A203="","","WD"&amp;TEXT(396-3,"0000")&amp;"-"&amp;TEXT(TODAY(),"YYYYMMDD"))</f>
        <v/>
      </c>
      <c r="C396" s="40" t="str">
        <f>IF(Agent02_Withdrawals!A203="","",Agent02_Withdrawals!B203)</f>
        <v/>
      </c>
      <c r="D396" s="43" t="str">
        <f>IF(Agent02_Withdrawals!A203="","",Agent02_Withdrawals!C203)</f>
        <v/>
      </c>
      <c r="E396" s="41" t="str">
        <f>IF(Agent02_Withdrawals!A203="","",Agent02_Withdrawals!D203)</f>
        <v/>
      </c>
      <c r="F396" s="40" t="str">
        <f>IF(Agent02_Withdrawals!A203="","",Agent02_Withdrawals!F203)</f>
        <v/>
      </c>
      <c r="G396" s="42" t="str">
        <f>IF(Agent02_Withdrawals!A203="","",Agent02_Withdrawals!E203)</f>
        <v/>
      </c>
      <c r="H396" s="42" t="str">
        <f>IF(Agent02_Withdrawals!A203="","",Agent02_Withdrawals!G203)</f>
        <v/>
      </c>
      <c r="I396" s="40" t="str">
        <f>IF(Agent02_Withdrawals!A203="","",Agent02_Withdrawals!H203)</f>
        <v/>
      </c>
      <c r="J396" s="40" t="str">
        <f>IF(Agent02_Withdrawals!A203="","",Agent02_Withdrawals!J203)</f>
        <v/>
      </c>
      <c r="K396" s="40" t="str">
        <f>IF(Agent02_Withdrawals!A203="","",Agent02_Withdrawals!K203)</f>
        <v/>
      </c>
      <c r="L396" s="40" t="str">
        <f>IF(G396="","",IF(D396-G396&gt;=System_Config!$B$9,"✅ OK","⚠️ BREACH"))</f>
        <v/>
      </c>
      <c r="M396" s="40" t="str">
        <f>IFERROR(IF(Agent02_Withdrawals!A203="","",YEAR(Agent02_Withdrawals!D203)),"")</f>
        <v/>
      </c>
    </row>
    <row r="397" spans="1:13" ht="18" customHeight="1" x14ac:dyDescent="0.25">
      <c r="A397" s="40" t="str">
        <f>IF(Agent02_Withdrawals!A204="","",Agent02_Withdrawals!A204)</f>
        <v/>
      </c>
      <c r="B397" s="40" t="str">
        <f ca="1">IF(Agent02_Withdrawals!A204="","","WD"&amp;TEXT(397-3,"0000")&amp;"-"&amp;TEXT(TODAY(),"YYYYMMDD"))</f>
        <v/>
      </c>
      <c r="C397" s="40" t="str">
        <f>IF(Agent02_Withdrawals!A204="","",Agent02_Withdrawals!B204)</f>
        <v/>
      </c>
      <c r="D397" s="43" t="str">
        <f>IF(Agent02_Withdrawals!A204="","",Agent02_Withdrawals!C204)</f>
        <v/>
      </c>
      <c r="E397" s="41" t="str">
        <f>IF(Agent02_Withdrawals!A204="","",Agent02_Withdrawals!D204)</f>
        <v/>
      </c>
      <c r="F397" s="40" t="str">
        <f>IF(Agent02_Withdrawals!A204="","",Agent02_Withdrawals!F204)</f>
        <v/>
      </c>
      <c r="G397" s="42" t="str">
        <f>IF(Agent02_Withdrawals!A204="","",Agent02_Withdrawals!E204)</f>
        <v/>
      </c>
      <c r="H397" s="42" t="str">
        <f>IF(Agent02_Withdrawals!A204="","",Agent02_Withdrawals!G204)</f>
        <v/>
      </c>
      <c r="I397" s="40" t="str">
        <f>IF(Agent02_Withdrawals!A204="","",Agent02_Withdrawals!H204)</f>
        <v/>
      </c>
      <c r="J397" s="40" t="str">
        <f>IF(Agent02_Withdrawals!A204="","",Agent02_Withdrawals!J204)</f>
        <v/>
      </c>
      <c r="K397" s="40" t="str">
        <f>IF(Agent02_Withdrawals!A204="","",Agent02_Withdrawals!K204)</f>
        <v/>
      </c>
      <c r="L397" s="40" t="str">
        <f>IF(G397="","",IF(D397-G397&gt;=System_Config!$B$9,"✅ OK","⚠️ BREACH"))</f>
        <v/>
      </c>
      <c r="M397" s="40" t="str">
        <f>IFERROR(IF(Agent02_Withdrawals!A204="","",YEAR(Agent02_Withdrawals!D204)),"")</f>
        <v/>
      </c>
    </row>
    <row r="398" spans="1:13" ht="18" customHeight="1" x14ac:dyDescent="0.25">
      <c r="A398" s="40" t="str">
        <f>IF(Agent02_Withdrawals!A205="","",Agent02_Withdrawals!A205)</f>
        <v/>
      </c>
      <c r="B398" s="40" t="str">
        <f ca="1">IF(Agent02_Withdrawals!A205="","","WD"&amp;TEXT(398-3,"0000")&amp;"-"&amp;TEXT(TODAY(),"YYYYMMDD"))</f>
        <v/>
      </c>
      <c r="C398" s="40" t="str">
        <f>IF(Agent02_Withdrawals!A205="","",Agent02_Withdrawals!B205)</f>
        <v/>
      </c>
      <c r="D398" s="43" t="str">
        <f>IF(Agent02_Withdrawals!A205="","",Agent02_Withdrawals!C205)</f>
        <v/>
      </c>
      <c r="E398" s="41" t="str">
        <f>IF(Agent02_Withdrawals!A205="","",Agent02_Withdrawals!D205)</f>
        <v/>
      </c>
      <c r="F398" s="40" t="str">
        <f>IF(Agent02_Withdrawals!A205="","",Agent02_Withdrawals!F205)</f>
        <v/>
      </c>
      <c r="G398" s="42" t="str">
        <f>IF(Agent02_Withdrawals!A205="","",Agent02_Withdrawals!E205)</f>
        <v/>
      </c>
      <c r="H398" s="42" t="str">
        <f>IF(Agent02_Withdrawals!A205="","",Agent02_Withdrawals!G205)</f>
        <v/>
      </c>
      <c r="I398" s="40" t="str">
        <f>IF(Agent02_Withdrawals!A205="","",Agent02_Withdrawals!H205)</f>
        <v/>
      </c>
      <c r="J398" s="40" t="str">
        <f>IF(Agent02_Withdrawals!A205="","",Agent02_Withdrawals!J205)</f>
        <v/>
      </c>
      <c r="K398" s="40" t="str">
        <f>IF(Agent02_Withdrawals!A205="","",Agent02_Withdrawals!K205)</f>
        <v/>
      </c>
      <c r="L398" s="40" t="str">
        <f>IF(G398="","",IF(D398-G398&gt;=System_Config!$B$9,"✅ OK","⚠️ BREACH"))</f>
        <v/>
      </c>
      <c r="M398" s="40" t="str">
        <f>IFERROR(IF(Agent02_Withdrawals!A205="","",YEAR(Agent02_Withdrawals!D205)),"")</f>
        <v/>
      </c>
    </row>
    <row r="399" spans="1:13" ht="18" customHeight="1" x14ac:dyDescent="0.25">
      <c r="A399" s="40" t="str">
        <f>IF(Agent02_Withdrawals!A206="","",Agent02_Withdrawals!A206)</f>
        <v/>
      </c>
      <c r="B399" s="40" t="str">
        <f ca="1">IF(Agent02_Withdrawals!A206="","","WD"&amp;TEXT(399-3,"0000")&amp;"-"&amp;TEXT(TODAY(),"YYYYMMDD"))</f>
        <v/>
      </c>
      <c r="C399" s="40" t="str">
        <f>IF(Agent02_Withdrawals!A206="","",Agent02_Withdrawals!B206)</f>
        <v/>
      </c>
      <c r="D399" s="43" t="str">
        <f>IF(Agent02_Withdrawals!A206="","",Agent02_Withdrawals!C206)</f>
        <v/>
      </c>
      <c r="E399" s="41" t="str">
        <f>IF(Agent02_Withdrawals!A206="","",Agent02_Withdrawals!D206)</f>
        <v/>
      </c>
      <c r="F399" s="40" t="str">
        <f>IF(Agent02_Withdrawals!A206="","",Agent02_Withdrawals!F206)</f>
        <v/>
      </c>
      <c r="G399" s="42" t="str">
        <f>IF(Agent02_Withdrawals!A206="","",Agent02_Withdrawals!E206)</f>
        <v/>
      </c>
      <c r="H399" s="42" t="str">
        <f>IF(Agent02_Withdrawals!A206="","",Agent02_Withdrawals!G206)</f>
        <v/>
      </c>
      <c r="I399" s="40" t="str">
        <f>IF(Agent02_Withdrawals!A206="","",Agent02_Withdrawals!H206)</f>
        <v/>
      </c>
      <c r="J399" s="40" t="str">
        <f>IF(Agent02_Withdrawals!A206="","",Agent02_Withdrawals!J206)</f>
        <v/>
      </c>
      <c r="K399" s="40" t="str">
        <f>IF(Agent02_Withdrawals!A206="","",Agent02_Withdrawals!K206)</f>
        <v/>
      </c>
      <c r="L399" s="40" t="str">
        <f>IF(G399="","",IF(D399-G399&gt;=System_Config!$B$9,"✅ OK","⚠️ BREACH"))</f>
        <v/>
      </c>
      <c r="M399" s="40" t="str">
        <f>IFERROR(IF(Agent02_Withdrawals!A206="","",YEAR(Agent02_Withdrawals!D206)),"")</f>
        <v/>
      </c>
    </row>
    <row r="400" spans="1:13" ht="18" customHeight="1" x14ac:dyDescent="0.25">
      <c r="A400" s="40" t="str">
        <f>IF(Agent02_Withdrawals!A207="","",Agent02_Withdrawals!A207)</f>
        <v/>
      </c>
      <c r="B400" s="40" t="str">
        <f ca="1">IF(Agent02_Withdrawals!A207="","","WD"&amp;TEXT(400-3,"0000")&amp;"-"&amp;TEXT(TODAY(),"YYYYMMDD"))</f>
        <v/>
      </c>
      <c r="C400" s="40" t="str">
        <f>IF(Agent02_Withdrawals!A207="","",Agent02_Withdrawals!B207)</f>
        <v/>
      </c>
      <c r="D400" s="43" t="str">
        <f>IF(Agent02_Withdrawals!A207="","",Agent02_Withdrawals!C207)</f>
        <v/>
      </c>
      <c r="E400" s="41" t="str">
        <f>IF(Agent02_Withdrawals!A207="","",Agent02_Withdrawals!D207)</f>
        <v/>
      </c>
      <c r="F400" s="40" t="str">
        <f>IF(Agent02_Withdrawals!A207="","",Agent02_Withdrawals!F207)</f>
        <v/>
      </c>
      <c r="G400" s="42" t="str">
        <f>IF(Agent02_Withdrawals!A207="","",Agent02_Withdrawals!E207)</f>
        <v/>
      </c>
      <c r="H400" s="42" t="str">
        <f>IF(Agent02_Withdrawals!A207="","",Agent02_Withdrawals!G207)</f>
        <v/>
      </c>
      <c r="I400" s="40" t="str">
        <f>IF(Agent02_Withdrawals!A207="","",Agent02_Withdrawals!H207)</f>
        <v/>
      </c>
      <c r="J400" s="40" t="str">
        <f>IF(Agent02_Withdrawals!A207="","",Agent02_Withdrawals!J207)</f>
        <v/>
      </c>
      <c r="K400" s="40" t="str">
        <f>IF(Agent02_Withdrawals!A207="","",Agent02_Withdrawals!K207)</f>
        <v/>
      </c>
      <c r="L400" s="40" t="str">
        <f>IF(G400="","",IF(D400-G400&gt;=System_Config!$B$9,"✅ OK","⚠️ BREACH"))</f>
        <v/>
      </c>
      <c r="M400" s="40" t="str">
        <f>IFERROR(IF(Agent02_Withdrawals!A207="","",YEAR(Agent02_Withdrawals!D207)),"")</f>
        <v/>
      </c>
    </row>
    <row r="401" spans="1:13" ht="18" customHeight="1" x14ac:dyDescent="0.25">
      <c r="A401" s="40" t="str">
        <f>IF(Agent02_Withdrawals!A208="","",Agent02_Withdrawals!A208)</f>
        <v/>
      </c>
      <c r="B401" s="40" t="str">
        <f ca="1">IF(Agent02_Withdrawals!A208="","","WD"&amp;TEXT(401-3,"0000")&amp;"-"&amp;TEXT(TODAY(),"YYYYMMDD"))</f>
        <v/>
      </c>
      <c r="C401" s="40" t="str">
        <f>IF(Agent02_Withdrawals!A208="","",Agent02_Withdrawals!B208)</f>
        <v/>
      </c>
      <c r="D401" s="43" t="str">
        <f>IF(Agent02_Withdrawals!A208="","",Agent02_Withdrawals!C208)</f>
        <v/>
      </c>
      <c r="E401" s="41" t="str">
        <f>IF(Agent02_Withdrawals!A208="","",Agent02_Withdrawals!D208)</f>
        <v/>
      </c>
      <c r="F401" s="40" t="str">
        <f>IF(Agent02_Withdrawals!A208="","",Agent02_Withdrawals!F208)</f>
        <v/>
      </c>
      <c r="G401" s="42" t="str">
        <f>IF(Agent02_Withdrawals!A208="","",Agent02_Withdrawals!E208)</f>
        <v/>
      </c>
      <c r="H401" s="42" t="str">
        <f>IF(Agent02_Withdrawals!A208="","",Agent02_Withdrawals!G208)</f>
        <v/>
      </c>
      <c r="I401" s="40" t="str">
        <f>IF(Agent02_Withdrawals!A208="","",Agent02_Withdrawals!H208)</f>
        <v/>
      </c>
      <c r="J401" s="40" t="str">
        <f>IF(Agent02_Withdrawals!A208="","",Agent02_Withdrawals!J208)</f>
        <v/>
      </c>
      <c r="K401" s="40" t="str">
        <f>IF(Agent02_Withdrawals!A208="","",Agent02_Withdrawals!K208)</f>
        <v/>
      </c>
      <c r="L401" s="40" t="str">
        <f>IF(G401="","",IF(D401-G401&gt;=System_Config!$B$9,"✅ OK","⚠️ BREACH"))</f>
        <v/>
      </c>
      <c r="M401" s="40" t="str">
        <f>IFERROR(IF(Agent02_Withdrawals!A208="","",YEAR(Agent02_Withdrawals!D208)),"")</f>
        <v/>
      </c>
    </row>
    <row r="402" spans="1:13" ht="18" customHeight="1" x14ac:dyDescent="0.25">
      <c r="A402" s="40" t="str">
        <f>IF(Agent02_Withdrawals!A209="","",Agent02_Withdrawals!A209)</f>
        <v/>
      </c>
      <c r="B402" s="40" t="str">
        <f ca="1">IF(Agent02_Withdrawals!A209="","","WD"&amp;TEXT(402-3,"0000")&amp;"-"&amp;TEXT(TODAY(),"YYYYMMDD"))</f>
        <v/>
      </c>
      <c r="C402" s="40" t="str">
        <f>IF(Agent02_Withdrawals!A209="","",Agent02_Withdrawals!B209)</f>
        <v/>
      </c>
      <c r="D402" s="43" t="str">
        <f>IF(Agent02_Withdrawals!A209="","",Agent02_Withdrawals!C209)</f>
        <v/>
      </c>
      <c r="E402" s="41" t="str">
        <f>IF(Agent02_Withdrawals!A209="","",Agent02_Withdrawals!D209)</f>
        <v/>
      </c>
      <c r="F402" s="40" t="str">
        <f>IF(Agent02_Withdrawals!A209="","",Agent02_Withdrawals!F209)</f>
        <v/>
      </c>
      <c r="G402" s="42" t="str">
        <f>IF(Agent02_Withdrawals!A209="","",Agent02_Withdrawals!E209)</f>
        <v/>
      </c>
      <c r="H402" s="42" t="str">
        <f>IF(Agent02_Withdrawals!A209="","",Agent02_Withdrawals!G209)</f>
        <v/>
      </c>
      <c r="I402" s="40" t="str">
        <f>IF(Agent02_Withdrawals!A209="","",Agent02_Withdrawals!H209)</f>
        <v/>
      </c>
      <c r="J402" s="40" t="str">
        <f>IF(Agent02_Withdrawals!A209="","",Agent02_Withdrawals!J209)</f>
        <v/>
      </c>
      <c r="K402" s="40" t="str">
        <f>IF(Agent02_Withdrawals!A209="","",Agent02_Withdrawals!K209)</f>
        <v/>
      </c>
      <c r="L402" s="40" t="str">
        <f>IF(G402="","",IF(D402-G402&gt;=System_Config!$B$9,"✅ OK","⚠️ BREACH"))</f>
        <v/>
      </c>
      <c r="M402" s="40" t="str">
        <f>IFERROR(IF(Agent02_Withdrawals!A209="","",YEAR(Agent02_Withdrawals!D209)),"")</f>
        <v/>
      </c>
    </row>
    <row r="403" spans="1:13" ht="18" customHeight="1" x14ac:dyDescent="0.25">
      <c r="A403" s="40" t="str">
        <f>IF(Agent02_Withdrawals!A210="","",Agent02_Withdrawals!A210)</f>
        <v/>
      </c>
      <c r="B403" s="40" t="str">
        <f ca="1">IF(Agent02_Withdrawals!A210="","","WD"&amp;TEXT(403-3,"0000")&amp;"-"&amp;TEXT(TODAY(),"YYYYMMDD"))</f>
        <v/>
      </c>
      <c r="C403" s="40" t="str">
        <f>IF(Agent02_Withdrawals!A210="","",Agent02_Withdrawals!B210)</f>
        <v/>
      </c>
      <c r="D403" s="43" t="str">
        <f>IF(Agent02_Withdrawals!A210="","",Agent02_Withdrawals!C210)</f>
        <v/>
      </c>
      <c r="E403" s="41" t="str">
        <f>IF(Agent02_Withdrawals!A210="","",Agent02_Withdrawals!D210)</f>
        <v/>
      </c>
      <c r="F403" s="40" t="str">
        <f>IF(Agent02_Withdrawals!A210="","",Agent02_Withdrawals!F210)</f>
        <v/>
      </c>
      <c r="G403" s="42" t="str">
        <f>IF(Agent02_Withdrawals!A210="","",Agent02_Withdrawals!E210)</f>
        <v/>
      </c>
      <c r="H403" s="42" t="str">
        <f>IF(Agent02_Withdrawals!A210="","",Agent02_Withdrawals!G210)</f>
        <v/>
      </c>
      <c r="I403" s="40" t="str">
        <f>IF(Agent02_Withdrawals!A210="","",Agent02_Withdrawals!H210)</f>
        <v/>
      </c>
      <c r="J403" s="40" t="str">
        <f>IF(Agent02_Withdrawals!A210="","",Agent02_Withdrawals!J210)</f>
        <v/>
      </c>
      <c r="K403" s="40" t="str">
        <f>IF(Agent02_Withdrawals!A210="","",Agent02_Withdrawals!K210)</f>
        <v/>
      </c>
      <c r="L403" s="40" t="str">
        <f>IF(G403="","",IF(D403-G403&gt;=System_Config!$B$9,"✅ OK","⚠️ BREACH"))</f>
        <v/>
      </c>
      <c r="M403" s="40" t="str">
        <f>IFERROR(IF(Agent02_Withdrawals!A210="","",YEAR(Agent02_Withdrawals!D210)),"")</f>
        <v/>
      </c>
    </row>
    <row r="404" spans="1:13" ht="18" customHeight="1" x14ac:dyDescent="0.25">
      <c r="A404" s="40" t="str">
        <f>IF(Agent03_Withdrawals!A11="","",Agent03_Withdrawals!A11)</f>
        <v/>
      </c>
      <c r="B404" s="40" t="str">
        <f ca="1">IF(Agent03_Withdrawals!A11="","","WD"&amp;TEXT(404-3,"0000")&amp;"-"&amp;TEXT(TODAY(),"YYYYMMDD"))</f>
        <v/>
      </c>
      <c r="C404" s="40" t="str">
        <f>IF(Agent03_Withdrawals!A11="","",Agent03_Withdrawals!B11)</f>
        <v/>
      </c>
      <c r="D404" s="43" t="str">
        <f>IF(Agent03_Withdrawals!A11="","",Agent03_Withdrawals!C11)</f>
        <v/>
      </c>
      <c r="E404" s="41" t="str">
        <f>IF(Agent03_Withdrawals!A11="","",Agent03_Withdrawals!D11)</f>
        <v/>
      </c>
      <c r="F404" s="40" t="str">
        <f>IF(Agent03_Withdrawals!A11="","",Agent03_Withdrawals!F11)</f>
        <v/>
      </c>
      <c r="G404" s="42" t="str">
        <f>IF(Agent03_Withdrawals!A11="","",Agent03_Withdrawals!E11)</f>
        <v/>
      </c>
      <c r="H404" s="42" t="str">
        <f>IF(Agent03_Withdrawals!A11="","",Agent03_Withdrawals!G11)</f>
        <v/>
      </c>
      <c r="I404" s="40" t="str">
        <f>IF(Agent03_Withdrawals!A11="","",Agent03_Withdrawals!H11)</f>
        <v/>
      </c>
      <c r="J404" s="40" t="str">
        <f>IF(Agent03_Withdrawals!A11="","",Agent03_Withdrawals!J11)</f>
        <v/>
      </c>
      <c r="K404" s="40" t="str">
        <f>IF(Agent03_Withdrawals!A11="","",Agent03_Withdrawals!K11)</f>
        <v/>
      </c>
      <c r="L404" s="40" t="str">
        <f>IF(G404="","",IF(D404-G404&gt;=System_Config!$B$9,"✅ OK","⚠️ BREACH"))</f>
        <v/>
      </c>
      <c r="M404" s="40" t="str">
        <f>IFERROR(IF(Agent03_Withdrawals!A11="","",YEAR(Agent03_Withdrawals!D11)),"")</f>
        <v/>
      </c>
    </row>
    <row r="405" spans="1:13" ht="18" customHeight="1" x14ac:dyDescent="0.25">
      <c r="A405" s="40" t="str">
        <f>IF(Agent03_Withdrawals!A12="","",Agent03_Withdrawals!A12)</f>
        <v/>
      </c>
      <c r="B405" s="40" t="str">
        <f ca="1">IF(Agent03_Withdrawals!A12="","","WD"&amp;TEXT(405-3,"0000")&amp;"-"&amp;TEXT(TODAY(),"YYYYMMDD"))</f>
        <v/>
      </c>
      <c r="C405" s="40" t="str">
        <f>IF(Agent03_Withdrawals!A12="","",Agent03_Withdrawals!B12)</f>
        <v/>
      </c>
      <c r="D405" s="43" t="str">
        <f>IF(Agent03_Withdrawals!A12="","",Agent03_Withdrawals!C12)</f>
        <v/>
      </c>
      <c r="E405" s="41" t="str">
        <f>IF(Agent03_Withdrawals!A12="","",Agent03_Withdrawals!D12)</f>
        <v/>
      </c>
      <c r="F405" s="40" t="str">
        <f>IF(Agent03_Withdrawals!A12="","",Agent03_Withdrawals!F12)</f>
        <v/>
      </c>
      <c r="G405" s="42" t="str">
        <f>IF(Agent03_Withdrawals!A12="","",Agent03_Withdrawals!E12)</f>
        <v/>
      </c>
      <c r="H405" s="42" t="str">
        <f>IF(Agent03_Withdrawals!A12="","",Agent03_Withdrawals!G12)</f>
        <v/>
      </c>
      <c r="I405" s="40" t="str">
        <f>IF(Agent03_Withdrawals!A12="","",Agent03_Withdrawals!H12)</f>
        <v/>
      </c>
      <c r="J405" s="40" t="str">
        <f>IF(Agent03_Withdrawals!A12="","",Agent03_Withdrawals!J12)</f>
        <v/>
      </c>
      <c r="K405" s="40" t="str">
        <f>IF(Agent03_Withdrawals!A12="","",Agent03_Withdrawals!K12)</f>
        <v/>
      </c>
      <c r="L405" s="40" t="str">
        <f>IF(G405="","",IF(D405-G405&gt;=System_Config!$B$9,"✅ OK","⚠️ BREACH"))</f>
        <v/>
      </c>
      <c r="M405" s="40" t="str">
        <f>IFERROR(IF(Agent03_Withdrawals!A12="","",YEAR(Agent03_Withdrawals!D12)),"")</f>
        <v/>
      </c>
    </row>
    <row r="406" spans="1:13" ht="18" customHeight="1" x14ac:dyDescent="0.25">
      <c r="A406" s="40" t="str">
        <f>IF(Agent03_Withdrawals!A13="","",Agent03_Withdrawals!A13)</f>
        <v/>
      </c>
      <c r="B406" s="40" t="str">
        <f ca="1">IF(Agent03_Withdrawals!A13="","","WD"&amp;TEXT(406-3,"0000")&amp;"-"&amp;TEXT(TODAY(),"YYYYMMDD"))</f>
        <v/>
      </c>
      <c r="C406" s="40" t="str">
        <f>IF(Agent03_Withdrawals!A13="","",Agent03_Withdrawals!B13)</f>
        <v/>
      </c>
      <c r="D406" s="43" t="str">
        <f>IF(Agent03_Withdrawals!A13="","",Agent03_Withdrawals!C13)</f>
        <v/>
      </c>
      <c r="E406" s="41" t="str">
        <f>IF(Agent03_Withdrawals!A13="","",Agent03_Withdrawals!D13)</f>
        <v/>
      </c>
      <c r="F406" s="40" t="str">
        <f>IF(Agent03_Withdrawals!A13="","",Agent03_Withdrawals!F13)</f>
        <v/>
      </c>
      <c r="G406" s="42" t="str">
        <f>IF(Agent03_Withdrawals!A13="","",Agent03_Withdrawals!E13)</f>
        <v/>
      </c>
      <c r="H406" s="42" t="str">
        <f>IF(Agent03_Withdrawals!A13="","",Agent03_Withdrawals!G13)</f>
        <v/>
      </c>
      <c r="I406" s="40" t="str">
        <f>IF(Agent03_Withdrawals!A13="","",Agent03_Withdrawals!H13)</f>
        <v/>
      </c>
      <c r="J406" s="40" t="str">
        <f>IF(Agent03_Withdrawals!A13="","",Agent03_Withdrawals!J13)</f>
        <v/>
      </c>
      <c r="K406" s="40" t="str">
        <f>IF(Agent03_Withdrawals!A13="","",Agent03_Withdrawals!K13)</f>
        <v/>
      </c>
      <c r="L406" s="40" t="str">
        <f>IF(G406="","",IF(D406-G406&gt;=System_Config!$B$9,"✅ OK","⚠️ BREACH"))</f>
        <v/>
      </c>
      <c r="M406" s="40" t="str">
        <f>IFERROR(IF(Agent03_Withdrawals!A13="","",YEAR(Agent03_Withdrawals!D13)),"")</f>
        <v/>
      </c>
    </row>
    <row r="407" spans="1:13" ht="18" customHeight="1" x14ac:dyDescent="0.25">
      <c r="A407" s="40" t="str">
        <f>IF(Agent03_Withdrawals!A14="","",Agent03_Withdrawals!A14)</f>
        <v/>
      </c>
      <c r="B407" s="40" t="str">
        <f ca="1">IF(Agent03_Withdrawals!A14="","","WD"&amp;TEXT(407-3,"0000")&amp;"-"&amp;TEXT(TODAY(),"YYYYMMDD"))</f>
        <v/>
      </c>
      <c r="C407" s="40" t="str">
        <f>IF(Agent03_Withdrawals!A14="","",Agent03_Withdrawals!B14)</f>
        <v/>
      </c>
      <c r="D407" s="43" t="str">
        <f>IF(Agent03_Withdrawals!A14="","",Agent03_Withdrawals!C14)</f>
        <v/>
      </c>
      <c r="E407" s="41" t="str">
        <f>IF(Agent03_Withdrawals!A14="","",Agent03_Withdrawals!D14)</f>
        <v/>
      </c>
      <c r="F407" s="40" t="str">
        <f>IF(Agent03_Withdrawals!A14="","",Agent03_Withdrawals!F14)</f>
        <v/>
      </c>
      <c r="G407" s="42" t="str">
        <f>IF(Agent03_Withdrawals!A14="","",Agent03_Withdrawals!E14)</f>
        <v/>
      </c>
      <c r="H407" s="42" t="str">
        <f>IF(Agent03_Withdrawals!A14="","",Agent03_Withdrawals!G14)</f>
        <v/>
      </c>
      <c r="I407" s="40" t="str">
        <f>IF(Agent03_Withdrawals!A14="","",Agent03_Withdrawals!H14)</f>
        <v/>
      </c>
      <c r="J407" s="40" t="str">
        <f>IF(Agent03_Withdrawals!A14="","",Agent03_Withdrawals!J14)</f>
        <v/>
      </c>
      <c r="K407" s="40" t="str">
        <f>IF(Agent03_Withdrawals!A14="","",Agent03_Withdrawals!K14)</f>
        <v/>
      </c>
      <c r="L407" s="40" t="str">
        <f>IF(G407="","",IF(D407-G407&gt;=System_Config!$B$9,"✅ OK","⚠️ BREACH"))</f>
        <v/>
      </c>
      <c r="M407" s="40" t="str">
        <f>IFERROR(IF(Agent03_Withdrawals!A14="","",YEAR(Agent03_Withdrawals!D14)),"")</f>
        <v/>
      </c>
    </row>
    <row r="408" spans="1:13" ht="18" customHeight="1" x14ac:dyDescent="0.25">
      <c r="A408" s="40" t="str">
        <f>IF(Agent03_Withdrawals!A15="","",Agent03_Withdrawals!A15)</f>
        <v/>
      </c>
      <c r="B408" s="40" t="str">
        <f ca="1">IF(Agent03_Withdrawals!A15="","","WD"&amp;TEXT(408-3,"0000")&amp;"-"&amp;TEXT(TODAY(),"YYYYMMDD"))</f>
        <v/>
      </c>
      <c r="C408" s="40" t="str">
        <f>IF(Agent03_Withdrawals!A15="","",Agent03_Withdrawals!B15)</f>
        <v/>
      </c>
      <c r="D408" s="43" t="str">
        <f>IF(Agent03_Withdrawals!A15="","",Agent03_Withdrawals!C15)</f>
        <v/>
      </c>
      <c r="E408" s="41" t="str">
        <f>IF(Agent03_Withdrawals!A15="","",Agent03_Withdrawals!D15)</f>
        <v/>
      </c>
      <c r="F408" s="40" t="str">
        <f>IF(Agent03_Withdrawals!A15="","",Agent03_Withdrawals!F15)</f>
        <v/>
      </c>
      <c r="G408" s="42" t="str">
        <f>IF(Agent03_Withdrawals!A15="","",Agent03_Withdrawals!E15)</f>
        <v/>
      </c>
      <c r="H408" s="42" t="str">
        <f>IF(Agent03_Withdrawals!A15="","",Agent03_Withdrawals!G15)</f>
        <v/>
      </c>
      <c r="I408" s="40" t="str">
        <f>IF(Agent03_Withdrawals!A15="","",Agent03_Withdrawals!H15)</f>
        <v/>
      </c>
      <c r="J408" s="40" t="str">
        <f>IF(Agent03_Withdrawals!A15="","",Agent03_Withdrawals!J15)</f>
        <v/>
      </c>
      <c r="K408" s="40" t="str">
        <f>IF(Agent03_Withdrawals!A15="","",Agent03_Withdrawals!K15)</f>
        <v/>
      </c>
      <c r="L408" s="40" t="str">
        <f>IF(G408="","",IF(D408-G408&gt;=System_Config!$B$9,"✅ OK","⚠️ BREACH"))</f>
        <v/>
      </c>
      <c r="M408" s="40" t="str">
        <f>IFERROR(IF(Agent03_Withdrawals!A15="","",YEAR(Agent03_Withdrawals!D15)),"")</f>
        <v/>
      </c>
    </row>
    <row r="409" spans="1:13" ht="18" customHeight="1" x14ac:dyDescent="0.25">
      <c r="A409" s="40" t="str">
        <f>IF(Agent03_Withdrawals!A16="","",Agent03_Withdrawals!A16)</f>
        <v/>
      </c>
      <c r="B409" s="40" t="str">
        <f ca="1">IF(Agent03_Withdrawals!A16="","","WD"&amp;TEXT(409-3,"0000")&amp;"-"&amp;TEXT(TODAY(),"YYYYMMDD"))</f>
        <v/>
      </c>
      <c r="C409" s="40" t="str">
        <f>IF(Agent03_Withdrawals!A16="","",Agent03_Withdrawals!B16)</f>
        <v/>
      </c>
      <c r="D409" s="43" t="str">
        <f>IF(Agent03_Withdrawals!A16="","",Agent03_Withdrawals!C16)</f>
        <v/>
      </c>
      <c r="E409" s="41" t="str">
        <f>IF(Agent03_Withdrawals!A16="","",Agent03_Withdrawals!D16)</f>
        <v/>
      </c>
      <c r="F409" s="40" t="str">
        <f>IF(Agent03_Withdrawals!A16="","",Agent03_Withdrawals!F16)</f>
        <v/>
      </c>
      <c r="G409" s="42" t="str">
        <f>IF(Agent03_Withdrawals!A16="","",Agent03_Withdrawals!E16)</f>
        <v/>
      </c>
      <c r="H409" s="42" t="str">
        <f>IF(Agent03_Withdrawals!A16="","",Agent03_Withdrawals!G16)</f>
        <v/>
      </c>
      <c r="I409" s="40" t="str">
        <f>IF(Agent03_Withdrawals!A16="","",Agent03_Withdrawals!H16)</f>
        <v/>
      </c>
      <c r="J409" s="40" t="str">
        <f>IF(Agent03_Withdrawals!A16="","",Agent03_Withdrawals!J16)</f>
        <v/>
      </c>
      <c r="K409" s="40" t="str">
        <f>IF(Agent03_Withdrawals!A16="","",Agent03_Withdrawals!K16)</f>
        <v/>
      </c>
      <c r="L409" s="40" t="str">
        <f>IF(G409="","",IF(D409-G409&gt;=System_Config!$B$9,"✅ OK","⚠️ BREACH"))</f>
        <v/>
      </c>
      <c r="M409" s="40" t="str">
        <f>IFERROR(IF(Agent03_Withdrawals!A16="","",YEAR(Agent03_Withdrawals!D16)),"")</f>
        <v/>
      </c>
    </row>
    <row r="410" spans="1:13" ht="18" customHeight="1" x14ac:dyDescent="0.25">
      <c r="A410" s="40" t="str">
        <f>IF(Agent03_Withdrawals!A17="","",Agent03_Withdrawals!A17)</f>
        <v/>
      </c>
      <c r="B410" s="40" t="str">
        <f ca="1">IF(Agent03_Withdrawals!A17="","","WD"&amp;TEXT(410-3,"0000")&amp;"-"&amp;TEXT(TODAY(),"YYYYMMDD"))</f>
        <v/>
      </c>
      <c r="C410" s="40" t="str">
        <f>IF(Agent03_Withdrawals!A17="","",Agent03_Withdrawals!B17)</f>
        <v/>
      </c>
      <c r="D410" s="43" t="str">
        <f>IF(Agent03_Withdrawals!A17="","",Agent03_Withdrawals!C17)</f>
        <v/>
      </c>
      <c r="E410" s="41" t="str">
        <f>IF(Agent03_Withdrawals!A17="","",Agent03_Withdrawals!D17)</f>
        <v/>
      </c>
      <c r="F410" s="40" t="str">
        <f>IF(Agent03_Withdrawals!A17="","",Agent03_Withdrawals!F17)</f>
        <v/>
      </c>
      <c r="G410" s="42" t="str">
        <f>IF(Agent03_Withdrawals!A17="","",Agent03_Withdrawals!E17)</f>
        <v/>
      </c>
      <c r="H410" s="42" t="str">
        <f>IF(Agent03_Withdrawals!A17="","",Agent03_Withdrawals!G17)</f>
        <v/>
      </c>
      <c r="I410" s="40" t="str">
        <f>IF(Agent03_Withdrawals!A17="","",Agent03_Withdrawals!H17)</f>
        <v/>
      </c>
      <c r="J410" s="40" t="str">
        <f>IF(Agent03_Withdrawals!A17="","",Agent03_Withdrawals!J17)</f>
        <v/>
      </c>
      <c r="K410" s="40" t="str">
        <f>IF(Agent03_Withdrawals!A17="","",Agent03_Withdrawals!K17)</f>
        <v/>
      </c>
      <c r="L410" s="40" t="str">
        <f>IF(G410="","",IF(D410-G410&gt;=System_Config!$B$9,"✅ OK","⚠️ BREACH"))</f>
        <v/>
      </c>
      <c r="M410" s="40" t="str">
        <f>IFERROR(IF(Agent03_Withdrawals!A17="","",YEAR(Agent03_Withdrawals!D17)),"")</f>
        <v/>
      </c>
    </row>
    <row r="411" spans="1:13" ht="18" customHeight="1" x14ac:dyDescent="0.25">
      <c r="A411" s="40" t="str">
        <f>IF(Agent03_Withdrawals!A18="","",Agent03_Withdrawals!A18)</f>
        <v/>
      </c>
      <c r="B411" s="40" t="str">
        <f ca="1">IF(Agent03_Withdrawals!A18="","","WD"&amp;TEXT(411-3,"0000")&amp;"-"&amp;TEXT(TODAY(),"YYYYMMDD"))</f>
        <v/>
      </c>
      <c r="C411" s="40" t="str">
        <f>IF(Agent03_Withdrawals!A18="","",Agent03_Withdrawals!B18)</f>
        <v/>
      </c>
      <c r="D411" s="43" t="str">
        <f>IF(Agent03_Withdrawals!A18="","",Agent03_Withdrawals!C18)</f>
        <v/>
      </c>
      <c r="E411" s="41" t="str">
        <f>IF(Agent03_Withdrawals!A18="","",Agent03_Withdrawals!D18)</f>
        <v/>
      </c>
      <c r="F411" s="40" t="str">
        <f>IF(Agent03_Withdrawals!A18="","",Agent03_Withdrawals!F18)</f>
        <v/>
      </c>
      <c r="G411" s="42" t="str">
        <f>IF(Agent03_Withdrawals!A18="","",Agent03_Withdrawals!E18)</f>
        <v/>
      </c>
      <c r="H411" s="42" t="str">
        <f>IF(Agent03_Withdrawals!A18="","",Agent03_Withdrawals!G18)</f>
        <v/>
      </c>
      <c r="I411" s="40" t="str">
        <f>IF(Agent03_Withdrawals!A18="","",Agent03_Withdrawals!H18)</f>
        <v/>
      </c>
      <c r="J411" s="40" t="str">
        <f>IF(Agent03_Withdrawals!A18="","",Agent03_Withdrawals!J18)</f>
        <v/>
      </c>
      <c r="K411" s="40" t="str">
        <f>IF(Agent03_Withdrawals!A18="","",Agent03_Withdrawals!K18)</f>
        <v/>
      </c>
      <c r="L411" s="40" t="str">
        <f>IF(G411="","",IF(D411-G411&gt;=System_Config!$B$9,"✅ OK","⚠️ BREACH"))</f>
        <v/>
      </c>
      <c r="M411" s="40" t="str">
        <f>IFERROR(IF(Agent03_Withdrawals!A18="","",YEAR(Agent03_Withdrawals!D18)),"")</f>
        <v/>
      </c>
    </row>
    <row r="412" spans="1:13" ht="18" customHeight="1" x14ac:dyDescent="0.25">
      <c r="A412" s="40" t="str">
        <f>IF(Agent03_Withdrawals!A19="","",Agent03_Withdrawals!A19)</f>
        <v/>
      </c>
      <c r="B412" s="40" t="str">
        <f ca="1">IF(Agent03_Withdrawals!A19="","","WD"&amp;TEXT(412-3,"0000")&amp;"-"&amp;TEXT(TODAY(),"YYYYMMDD"))</f>
        <v/>
      </c>
      <c r="C412" s="40" t="str">
        <f>IF(Agent03_Withdrawals!A19="","",Agent03_Withdrawals!B19)</f>
        <v/>
      </c>
      <c r="D412" s="43" t="str">
        <f>IF(Agent03_Withdrawals!A19="","",Agent03_Withdrawals!C19)</f>
        <v/>
      </c>
      <c r="E412" s="41" t="str">
        <f>IF(Agent03_Withdrawals!A19="","",Agent03_Withdrawals!D19)</f>
        <v/>
      </c>
      <c r="F412" s="40" t="str">
        <f>IF(Agent03_Withdrawals!A19="","",Agent03_Withdrawals!F19)</f>
        <v/>
      </c>
      <c r="G412" s="42" t="str">
        <f>IF(Agent03_Withdrawals!A19="","",Agent03_Withdrawals!E19)</f>
        <v/>
      </c>
      <c r="H412" s="42" t="str">
        <f>IF(Agent03_Withdrawals!A19="","",Agent03_Withdrawals!G19)</f>
        <v/>
      </c>
      <c r="I412" s="40" t="str">
        <f>IF(Agent03_Withdrawals!A19="","",Agent03_Withdrawals!H19)</f>
        <v/>
      </c>
      <c r="J412" s="40" t="str">
        <f>IF(Agent03_Withdrawals!A19="","",Agent03_Withdrawals!J19)</f>
        <v/>
      </c>
      <c r="K412" s="40" t="str">
        <f>IF(Agent03_Withdrawals!A19="","",Agent03_Withdrawals!K19)</f>
        <v/>
      </c>
      <c r="L412" s="40" t="str">
        <f>IF(G412="","",IF(D412-G412&gt;=System_Config!$B$9,"✅ OK","⚠️ BREACH"))</f>
        <v/>
      </c>
      <c r="M412" s="40" t="str">
        <f>IFERROR(IF(Agent03_Withdrawals!A19="","",YEAR(Agent03_Withdrawals!D19)),"")</f>
        <v/>
      </c>
    </row>
    <row r="413" spans="1:13" ht="18" customHeight="1" x14ac:dyDescent="0.25">
      <c r="A413" s="40" t="str">
        <f>IF(Agent03_Withdrawals!A20="","",Agent03_Withdrawals!A20)</f>
        <v/>
      </c>
      <c r="B413" s="40" t="str">
        <f ca="1">IF(Agent03_Withdrawals!A20="","","WD"&amp;TEXT(413-3,"0000")&amp;"-"&amp;TEXT(TODAY(),"YYYYMMDD"))</f>
        <v/>
      </c>
      <c r="C413" s="40" t="str">
        <f>IF(Agent03_Withdrawals!A20="","",Agent03_Withdrawals!B20)</f>
        <v/>
      </c>
      <c r="D413" s="43" t="str">
        <f>IF(Agent03_Withdrawals!A20="","",Agent03_Withdrawals!C20)</f>
        <v/>
      </c>
      <c r="E413" s="41" t="str">
        <f>IF(Agent03_Withdrawals!A20="","",Agent03_Withdrawals!D20)</f>
        <v/>
      </c>
      <c r="F413" s="40" t="str">
        <f>IF(Agent03_Withdrawals!A20="","",Agent03_Withdrawals!F20)</f>
        <v/>
      </c>
      <c r="G413" s="42" t="str">
        <f>IF(Agent03_Withdrawals!A20="","",Agent03_Withdrawals!E20)</f>
        <v/>
      </c>
      <c r="H413" s="42" t="str">
        <f>IF(Agent03_Withdrawals!A20="","",Agent03_Withdrawals!G20)</f>
        <v/>
      </c>
      <c r="I413" s="40" t="str">
        <f>IF(Agent03_Withdrawals!A20="","",Agent03_Withdrawals!H20)</f>
        <v/>
      </c>
      <c r="J413" s="40" t="str">
        <f>IF(Agent03_Withdrawals!A20="","",Agent03_Withdrawals!J20)</f>
        <v/>
      </c>
      <c r="K413" s="40" t="str">
        <f>IF(Agent03_Withdrawals!A20="","",Agent03_Withdrawals!K20)</f>
        <v/>
      </c>
      <c r="L413" s="40" t="str">
        <f>IF(G413="","",IF(D413-G413&gt;=System_Config!$B$9,"✅ OK","⚠️ BREACH"))</f>
        <v/>
      </c>
      <c r="M413" s="40" t="str">
        <f>IFERROR(IF(Agent03_Withdrawals!A20="","",YEAR(Agent03_Withdrawals!D20)),"")</f>
        <v/>
      </c>
    </row>
    <row r="414" spans="1:13" ht="18" customHeight="1" x14ac:dyDescent="0.25">
      <c r="A414" s="40" t="str">
        <f>IF(Agent03_Withdrawals!A21="","",Agent03_Withdrawals!A21)</f>
        <v/>
      </c>
      <c r="B414" s="40" t="str">
        <f ca="1">IF(Agent03_Withdrawals!A21="","","WD"&amp;TEXT(414-3,"0000")&amp;"-"&amp;TEXT(TODAY(),"YYYYMMDD"))</f>
        <v/>
      </c>
      <c r="C414" s="40" t="str">
        <f>IF(Agent03_Withdrawals!A21="","",Agent03_Withdrawals!B21)</f>
        <v/>
      </c>
      <c r="D414" s="43" t="str">
        <f>IF(Agent03_Withdrawals!A21="","",Agent03_Withdrawals!C21)</f>
        <v/>
      </c>
      <c r="E414" s="41" t="str">
        <f>IF(Agent03_Withdrawals!A21="","",Agent03_Withdrawals!D21)</f>
        <v/>
      </c>
      <c r="F414" s="40" t="str">
        <f>IF(Agent03_Withdrawals!A21="","",Agent03_Withdrawals!F21)</f>
        <v/>
      </c>
      <c r="G414" s="42" t="str">
        <f>IF(Agent03_Withdrawals!A21="","",Agent03_Withdrawals!E21)</f>
        <v/>
      </c>
      <c r="H414" s="42" t="str">
        <f>IF(Agent03_Withdrawals!A21="","",Agent03_Withdrawals!G21)</f>
        <v/>
      </c>
      <c r="I414" s="40" t="str">
        <f>IF(Agent03_Withdrawals!A21="","",Agent03_Withdrawals!H21)</f>
        <v/>
      </c>
      <c r="J414" s="40" t="str">
        <f>IF(Agent03_Withdrawals!A21="","",Agent03_Withdrawals!J21)</f>
        <v/>
      </c>
      <c r="K414" s="40" t="str">
        <f>IF(Agent03_Withdrawals!A21="","",Agent03_Withdrawals!K21)</f>
        <v/>
      </c>
      <c r="L414" s="40" t="str">
        <f>IF(G414="","",IF(D414-G414&gt;=System_Config!$B$9,"✅ OK","⚠️ BREACH"))</f>
        <v/>
      </c>
      <c r="M414" s="40" t="str">
        <f>IFERROR(IF(Agent03_Withdrawals!A21="","",YEAR(Agent03_Withdrawals!D21)),"")</f>
        <v/>
      </c>
    </row>
    <row r="415" spans="1:13" ht="18" customHeight="1" x14ac:dyDescent="0.25">
      <c r="A415" s="40" t="str">
        <f>IF(Agent03_Withdrawals!A22="","",Agent03_Withdrawals!A22)</f>
        <v/>
      </c>
      <c r="B415" s="40" t="str">
        <f ca="1">IF(Agent03_Withdrawals!A22="","","WD"&amp;TEXT(415-3,"0000")&amp;"-"&amp;TEXT(TODAY(),"YYYYMMDD"))</f>
        <v/>
      </c>
      <c r="C415" s="40" t="str">
        <f>IF(Agent03_Withdrawals!A22="","",Agent03_Withdrawals!B22)</f>
        <v/>
      </c>
      <c r="D415" s="43" t="str">
        <f>IF(Agent03_Withdrawals!A22="","",Agent03_Withdrawals!C22)</f>
        <v/>
      </c>
      <c r="E415" s="41" t="str">
        <f>IF(Agent03_Withdrawals!A22="","",Agent03_Withdrawals!D22)</f>
        <v/>
      </c>
      <c r="F415" s="40" t="str">
        <f>IF(Agent03_Withdrawals!A22="","",Agent03_Withdrawals!F22)</f>
        <v/>
      </c>
      <c r="G415" s="42" t="str">
        <f>IF(Agent03_Withdrawals!A22="","",Agent03_Withdrawals!E22)</f>
        <v/>
      </c>
      <c r="H415" s="42" t="str">
        <f>IF(Agent03_Withdrawals!A22="","",Agent03_Withdrawals!G22)</f>
        <v/>
      </c>
      <c r="I415" s="40" t="str">
        <f>IF(Agent03_Withdrawals!A22="","",Agent03_Withdrawals!H22)</f>
        <v/>
      </c>
      <c r="J415" s="40" t="str">
        <f>IF(Agent03_Withdrawals!A22="","",Agent03_Withdrawals!J22)</f>
        <v/>
      </c>
      <c r="K415" s="40" t="str">
        <f>IF(Agent03_Withdrawals!A22="","",Agent03_Withdrawals!K22)</f>
        <v/>
      </c>
      <c r="L415" s="40" t="str">
        <f>IF(G415="","",IF(D415-G415&gt;=System_Config!$B$9,"✅ OK","⚠️ BREACH"))</f>
        <v/>
      </c>
      <c r="M415" s="40" t="str">
        <f>IFERROR(IF(Agent03_Withdrawals!A22="","",YEAR(Agent03_Withdrawals!D22)),"")</f>
        <v/>
      </c>
    </row>
    <row r="416" spans="1:13" ht="18" customHeight="1" x14ac:dyDescent="0.25">
      <c r="A416" s="40" t="str">
        <f>IF(Agent03_Withdrawals!A23="","",Agent03_Withdrawals!A23)</f>
        <v/>
      </c>
      <c r="B416" s="40" t="str">
        <f ca="1">IF(Agent03_Withdrawals!A23="","","WD"&amp;TEXT(416-3,"0000")&amp;"-"&amp;TEXT(TODAY(),"YYYYMMDD"))</f>
        <v/>
      </c>
      <c r="C416" s="40" t="str">
        <f>IF(Agent03_Withdrawals!A23="","",Agent03_Withdrawals!B23)</f>
        <v/>
      </c>
      <c r="D416" s="43" t="str">
        <f>IF(Agent03_Withdrawals!A23="","",Agent03_Withdrawals!C23)</f>
        <v/>
      </c>
      <c r="E416" s="41" t="str">
        <f>IF(Agent03_Withdrawals!A23="","",Agent03_Withdrawals!D23)</f>
        <v/>
      </c>
      <c r="F416" s="40" t="str">
        <f>IF(Agent03_Withdrawals!A23="","",Agent03_Withdrawals!F23)</f>
        <v/>
      </c>
      <c r="G416" s="42" t="str">
        <f>IF(Agent03_Withdrawals!A23="","",Agent03_Withdrawals!E23)</f>
        <v/>
      </c>
      <c r="H416" s="42" t="str">
        <f>IF(Agent03_Withdrawals!A23="","",Agent03_Withdrawals!G23)</f>
        <v/>
      </c>
      <c r="I416" s="40" t="str">
        <f>IF(Agent03_Withdrawals!A23="","",Agent03_Withdrawals!H23)</f>
        <v/>
      </c>
      <c r="J416" s="40" t="str">
        <f>IF(Agent03_Withdrawals!A23="","",Agent03_Withdrawals!J23)</f>
        <v/>
      </c>
      <c r="K416" s="40" t="str">
        <f>IF(Agent03_Withdrawals!A23="","",Agent03_Withdrawals!K23)</f>
        <v/>
      </c>
      <c r="L416" s="40" t="str">
        <f>IF(G416="","",IF(D416-G416&gt;=System_Config!$B$9,"✅ OK","⚠️ BREACH"))</f>
        <v/>
      </c>
      <c r="M416" s="40" t="str">
        <f>IFERROR(IF(Agent03_Withdrawals!A23="","",YEAR(Agent03_Withdrawals!D23)),"")</f>
        <v/>
      </c>
    </row>
    <row r="417" spans="1:13" ht="18" customHeight="1" x14ac:dyDescent="0.25">
      <c r="A417" s="40" t="str">
        <f>IF(Agent03_Withdrawals!A24="","",Agent03_Withdrawals!A24)</f>
        <v/>
      </c>
      <c r="B417" s="40" t="str">
        <f ca="1">IF(Agent03_Withdrawals!A24="","","WD"&amp;TEXT(417-3,"0000")&amp;"-"&amp;TEXT(TODAY(),"YYYYMMDD"))</f>
        <v/>
      </c>
      <c r="C417" s="40" t="str">
        <f>IF(Agent03_Withdrawals!A24="","",Agent03_Withdrawals!B24)</f>
        <v/>
      </c>
      <c r="D417" s="43" t="str">
        <f>IF(Agent03_Withdrawals!A24="","",Agent03_Withdrawals!C24)</f>
        <v/>
      </c>
      <c r="E417" s="41" t="str">
        <f>IF(Agent03_Withdrawals!A24="","",Agent03_Withdrawals!D24)</f>
        <v/>
      </c>
      <c r="F417" s="40" t="str">
        <f>IF(Agent03_Withdrawals!A24="","",Agent03_Withdrawals!F24)</f>
        <v/>
      </c>
      <c r="G417" s="42" t="str">
        <f>IF(Agent03_Withdrawals!A24="","",Agent03_Withdrawals!E24)</f>
        <v/>
      </c>
      <c r="H417" s="42" t="str">
        <f>IF(Agent03_Withdrawals!A24="","",Agent03_Withdrawals!G24)</f>
        <v/>
      </c>
      <c r="I417" s="40" t="str">
        <f>IF(Agent03_Withdrawals!A24="","",Agent03_Withdrawals!H24)</f>
        <v/>
      </c>
      <c r="J417" s="40" t="str">
        <f>IF(Agent03_Withdrawals!A24="","",Agent03_Withdrawals!J24)</f>
        <v/>
      </c>
      <c r="K417" s="40" t="str">
        <f>IF(Agent03_Withdrawals!A24="","",Agent03_Withdrawals!K24)</f>
        <v/>
      </c>
      <c r="L417" s="40" t="str">
        <f>IF(G417="","",IF(D417-G417&gt;=System_Config!$B$9,"✅ OK","⚠️ BREACH"))</f>
        <v/>
      </c>
      <c r="M417" s="40" t="str">
        <f>IFERROR(IF(Agent03_Withdrawals!A24="","",YEAR(Agent03_Withdrawals!D24)),"")</f>
        <v/>
      </c>
    </row>
    <row r="418" spans="1:13" ht="18" customHeight="1" x14ac:dyDescent="0.25">
      <c r="A418" s="40" t="str">
        <f>IF(Agent03_Withdrawals!A25="","",Agent03_Withdrawals!A25)</f>
        <v/>
      </c>
      <c r="B418" s="40" t="str">
        <f ca="1">IF(Agent03_Withdrawals!A25="","","WD"&amp;TEXT(418-3,"0000")&amp;"-"&amp;TEXT(TODAY(),"YYYYMMDD"))</f>
        <v/>
      </c>
      <c r="C418" s="40" t="str">
        <f>IF(Agent03_Withdrawals!A25="","",Agent03_Withdrawals!B25)</f>
        <v/>
      </c>
      <c r="D418" s="43" t="str">
        <f>IF(Agent03_Withdrawals!A25="","",Agent03_Withdrawals!C25)</f>
        <v/>
      </c>
      <c r="E418" s="41" t="str">
        <f>IF(Agent03_Withdrawals!A25="","",Agent03_Withdrawals!D25)</f>
        <v/>
      </c>
      <c r="F418" s="40" t="str">
        <f>IF(Agent03_Withdrawals!A25="","",Agent03_Withdrawals!F25)</f>
        <v/>
      </c>
      <c r="G418" s="42" t="str">
        <f>IF(Agent03_Withdrawals!A25="","",Agent03_Withdrawals!E25)</f>
        <v/>
      </c>
      <c r="H418" s="42" t="str">
        <f>IF(Agent03_Withdrawals!A25="","",Agent03_Withdrawals!G25)</f>
        <v/>
      </c>
      <c r="I418" s="40" t="str">
        <f>IF(Agent03_Withdrawals!A25="","",Agent03_Withdrawals!H25)</f>
        <v/>
      </c>
      <c r="J418" s="40" t="str">
        <f>IF(Agent03_Withdrawals!A25="","",Agent03_Withdrawals!J25)</f>
        <v/>
      </c>
      <c r="K418" s="40" t="str">
        <f>IF(Agent03_Withdrawals!A25="","",Agent03_Withdrawals!K25)</f>
        <v/>
      </c>
      <c r="L418" s="40" t="str">
        <f>IF(G418="","",IF(D418-G418&gt;=System_Config!$B$9,"✅ OK","⚠️ BREACH"))</f>
        <v/>
      </c>
      <c r="M418" s="40" t="str">
        <f>IFERROR(IF(Agent03_Withdrawals!A25="","",YEAR(Agent03_Withdrawals!D25)),"")</f>
        <v/>
      </c>
    </row>
    <row r="419" spans="1:13" ht="18" customHeight="1" x14ac:dyDescent="0.25">
      <c r="A419" s="40" t="str">
        <f>IF(Agent03_Withdrawals!A26="","",Agent03_Withdrawals!A26)</f>
        <v/>
      </c>
      <c r="B419" s="40" t="str">
        <f ca="1">IF(Agent03_Withdrawals!A26="","","WD"&amp;TEXT(419-3,"0000")&amp;"-"&amp;TEXT(TODAY(),"YYYYMMDD"))</f>
        <v/>
      </c>
      <c r="C419" s="40" t="str">
        <f>IF(Agent03_Withdrawals!A26="","",Agent03_Withdrawals!B26)</f>
        <v/>
      </c>
      <c r="D419" s="43" t="str">
        <f>IF(Agent03_Withdrawals!A26="","",Agent03_Withdrawals!C26)</f>
        <v/>
      </c>
      <c r="E419" s="41" t="str">
        <f>IF(Agent03_Withdrawals!A26="","",Agent03_Withdrawals!D26)</f>
        <v/>
      </c>
      <c r="F419" s="40" t="str">
        <f>IF(Agent03_Withdrawals!A26="","",Agent03_Withdrawals!F26)</f>
        <v/>
      </c>
      <c r="G419" s="42" t="str">
        <f>IF(Agent03_Withdrawals!A26="","",Agent03_Withdrawals!E26)</f>
        <v/>
      </c>
      <c r="H419" s="42" t="str">
        <f>IF(Agent03_Withdrawals!A26="","",Agent03_Withdrawals!G26)</f>
        <v/>
      </c>
      <c r="I419" s="40" t="str">
        <f>IF(Agent03_Withdrawals!A26="","",Agent03_Withdrawals!H26)</f>
        <v/>
      </c>
      <c r="J419" s="40" t="str">
        <f>IF(Agent03_Withdrawals!A26="","",Agent03_Withdrawals!J26)</f>
        <v/>
      </c>
      <c r="K419" s="40" t="str">
        <f>IF(Agent03_Withdrawals!A26="","",Agent03_Withdrawals!K26)</f>
        <v/>
      </c>
      <c r="L419" s="40" t="str">
        <f>IF(G419="","",IF(D419-G419&gt;=System_Config!$B$9,"✅ OK","⚠️ BREACH"))</f>
        <v/>
      </c>
      <c r="M419" s="40" t="str">
        <f>IFERROR(IF(Agent03_Withdrawals!A26="","",YEAR(Agent03_Withdrawals!D26)),"")</f>
        <v/>
      </c>
    </row>
    <row r="420" spans="1:13" ht="18" customHeight="1" x14ac:dyDescent="0.25">
      <c r="A420" s="40" t="str">
        <f>IF(Agent03_Withdrawals!A27="","",Agent03_Withdrawals!A27)</f>
        <v/>
      </c>
      <c r="B420" s="40" t="str">
        <f ca="1">IF(Agent03_Withdrawals!A27="","","WD"&amp;TEXT(420-3,"0000")&amp;"-"&amp;TEXT(TODAY(),"YYYYMMDD"))</f>
        <v/>
      </c>
      <c r="C420" s="40" t="str">
        <f>IF(Agent03_Withdrawals!A27="","",Agent03_Withdrawals!B27)</f>
        <v/>
      </c>
      <c r="D420" s="43" t="str">
        <f>IF(Agent03_Withdrawals!A27="","",Agent03_Withdrawals!C27)</f>
        <v/>
      </c>
      <c r="E420" s="41" t="str">
        <f>IF(Agent03_Withdrawals!A27="","",Agent03_Withdrawals!D27)</f>
        <v/>
      </c>
      <c r="F420" s="40" t="str">
        <f>IF(Agent03_Withdrawals!A27="","",Agent03_Withdrawals!F27)</f>
        <v/>
      </c>
      <c r="G420" s="42" t="str">
        <f>IF(Agent03_Withdrawals!A27="","",Agent03_Withdrawals!E27)</f>
        <v/>
      </c>
      <c r="H420" s="42" t="str">
        <f>IF(Agent03_Withdrawals!A27="","",Agent03_Withdrawals!G27)</f>
        <v/>
      </c>
      <c r="I420" s="40" t="str">
        <f>IF(Agent03_Withdrawals!A27="","",Agent03_Withdrawals!H27)</f>
        <v/>
      </c>
      <c r="J420" s="40" t="str">
        <f>IF(Agent03_Withdrawals!A27="","",Agent03_Withdrawals!J27)</f>
        <v/>
      </c>
      <c r="K420" s="40" t="str">
        <f>IF(Agent03_Withdrawals!A27="","",Agent03_Withdrawals!K27)</f>
        <v/>
      </c>
      <c r="L420" s="40" t="str">
        <f>IF(G420="","",IF(D420-G420&gt;=System_Config!$B$9,"✅ OK","⚠️ BREACH"))</f>
        <v/>
      </c>
      <c r="M420" s="40" t="str">
        <f>IFERROR(IF(Agent03_Withdrawals!A27="","",YEAR(Agent03_Withdrawals!D27)),"")</f>
        <v/>
      </c>
    </row>
    <row r="421" spans="1:13" ht="18" customHeight="1" x14ac:dyDescent="0.25">
      <c r="A421" s="40" t="str">
        <f>IF(Agent03_Withdrawals!A28="","",Agent03_Withdrawals!A28)</f>
        <v/>
      </c>
      <c r="B421" s="40" t="str">
        <f ca="1">IF(Agent03_Withdrawals!A28="","","WD"&amp;TEXT(421-3,"0000")&amp;"-"&amp;TEXT(TODAY(),"YYYYMMDD"))</f>
        <v/>
      </c>
      <c r="C421" s="40" t="str">
        <f>IF(Agent03_Withdrawals!A28="","",Agent03_Withdrawals!B28)</f>
        <v/>
      </c>
      <c r="D421" s="43" t="str">
        <f>IF(Agent03_Withdrawals!A28="","",Agent03_Withdrawals!C28)</f>
        <v/>
      </c>
      <c r="E421" s="41" t="str">
        <f>IF(Agent03_Withdrawals!A28="","",Agent03_Withdrawals!D28)</f>
        <v/>
      </c>
      <c r="F421" s="40" t="str">
        <f>IF(Agent03_Withdrawals!A28="","",Agent03_Withdrawals!F28)</f>
        <v/>
      </c>
      <c r="G421" s="42" t="str">
        <f>IF(Agent03_Withdrawals!A28="","",Agent03_Withdrawals!E28)</f>
        <v/>
      </c>
      <c r="H421" s="42" t="str">
        <f>IF(Agent03_Withdrawals!A28="","",Agent03_Withdrawals!G28)</f>
        <v/>
      </c>
      <c r="I421" s="40" t="str">
        <f>IF(Agent03_Withdrawals!A28="","",Agent03_Withdrawals!H28)</f>
        <v/>
      </c>
      <c r="J421" s="40" t="str">
        <f>IF(Agent03_Withdrawals!A28="","",Agent03_Withdrawals!J28)</f>
        <v/>
      </c>
      <c r="K421" s="40" t="str">
        <f>IF(Agent03_Withdrawals!A28="","",Agent03_Withdrawals!K28)</f>
        <v/>
      </c>
      <c r="L421" s="40" t="str">
        <f>IF(G421="","",IF(D421-G421&gt;=System_Config!$B$9,"✅ OK","⚠️ BREACH"))</f>
        <v/>
      </c>
      <c r="M421" s="40" t="str">
        <f>IFERROR(IF(Agent03_Withdrawals!A28="","",YEAR(Agent03_Withdrawals!D28)),"")</f>
        <v/>
      </c>
    </row>
    <row r="422" spans="1:13" ht="18" customHeight="1" x14ac:dyDescent="0.25">
      <c r="A422" s="40" t="str">
        <f>IF(Agent03_Withdrawals!A29="","",Agent03_Withdrawals!A29)</f>
        <v/>
      </c>
      <c r="B422" s="40" t="str">
        <f ca="1">IF(Agent03_Withdrawals!A29="","","WD"&amp;TEXT(422-3,"0000")&amp;"-"&amp;TEXT(TODAY(),"YYYYMMDD"))</f>
        <v/>
      </c>
      <c r="C422" s="40" t="str">
        <f>IF(Agent03_Withdrawals!A29="","",Agent03_Withdrawals!B29)</f>
        <v/>
      </c>
      <c r="D422" s="43" t="str">
        <f>IF(Agent03_Withdrawals!A29="","",Agent03_Withdrawals!C29)</f>
        <v/>
      </c>
      <c r="E422" s="41" t="str">
        <f>IF(Agent03_Withdrawals!A29="","",Agent03_Withdrawals!D29)</f>
        <v/>
      </c>
      <c r="F422" s="40" t="str">
        <f>IF(Agent03_Withdrawals!A29="","",Agent03_Withdrawals!F29)</f>
        <v/>
      </c>
      <c r="G422" s="42" t="str">
        <f>IF(Agent03_Withdrawals!A29="","",Agent03_Withdrawals!E29)</f>
        <v/>
      </c>
      <c r="H422" s="42" t="str">
        <f>IF(Agent03_Withdrawals!A29="","",Agent03_Withdrawals!G29)</f>
        <v/>
      </c>
      <c r="I422" s="40" t="str">
        <f>IF(Agent03_Withdrawals!A29="","",Agent03_Withdrawals!H29)</f>
        <v/>
      </c>
      <c r="J422" s="40" t="str">
        <f>IF(Agent03_Withdrawals!A29="","",Agent03_Withdrawals!J29)</f>
        <v/>
      </c>
      <c r="K422" s="40" t="str">
        <f>IF(Agent03_Withdrawals!A29="","",Agent03_Withdrawals!K29)</f>
        <v/>
      </c>
      <c r="L422" s="40" t="str">
        <f>IF(G422="","",IF(D422-G422&gt;=System_Config!$B$9,"✅ OK","⚠️ BREACH"))</f>
        <v/>
      </c>
      <c r="M422" s="40" t="str">
        <f>IFERROR(IF(Agent03_Withdrawals!A29="","",YEAR(Agent03_Withdrawals!D29)),"")</f>
        <v/>
      </c>
    </row>
    <row r="423" spans="1:13" ht="18" customHeight="1" x14ac:dyDescent="0.25">
      <c r="A423" s="40" t="str">
        <f>IF(Agent03_Withdrawals!A30="","",Agent03_Withdrawals!A30)</f>
        <v/>
      </c>
      <c r="B423" s="40" t="str">
        <f ca="1">IF(Agent03_Withdrawals!A30="","","WD"&amp;TEXT(423-3,"0000")&amp;"-"&amp;TEXT(TODAY(),"YYYYMMDD"))</f>
        <v/>
      </c>
      <c r="C423" s="40" t="str">
        <f>IF(Agent03_Withdrawals!A30="","",Agent03_Withdrawals!B30)</f>
        <v/>
      </c>
      <c r="D423" s="43" t="str">
        <f>IF(Agent03_Withdrawals!A30="","",Agent03_Withdrawals!C30)</f>
        <v/>
      </c>
      <c r="E423" s="41" t="str">
        <f>IF(Agent03_Withdrawals!A30="","",Agent03_Withdrawals!D30)</f>
        <v/>
      </c>
      <c r="F423" s="40" t="str">
        <f>IF(Agent03_Withdrawals!A30="","",Agent03_Withdrawals!F30)</f>
        <v/>
      </c>
      <c r="G423" s="42" t="str">
        <f>IF(Agent03_Withdrawals!A30="","",Agent03_Withdrawals!E30)</f>
        <v/>
      </c>
      <c r="H423" s="42" t="str">
        <f>IF(Agent03_Withdrawals!A30="","",Agent03_Withdrawals!G30)</f>
        <v/>
      </c>
      <c r="I423" s="40" t="str">
        <f>IF(Agent03_Withdrawals!A30="","",Agent03_Withdrawals!H30)</f>
        <v/>
      </c>
      <c r="J423" s="40" t="str">
        <f>IF(Agent03_Withdrawals!A30="","",Agent03_Withdrawals!J30)</f>
        <v/>
      </c>
      <c r="K423" s="40" t="str">
        <f>IF(Agent03_Withdrawals!A30="","",Agent03_Withdrawals!K30)</f>
        <v/>
      </c>
      <c r="L423" s="40" t="str">
        <f>IF(G423="","",IF(D423-G423&gt;=System_Config!$B$9,"✅ OK","⚠️ BREACH"))</f>
        <v/>
      </c>
      <c r="M423" s="40" t="str">
        <f>IFERROR(IF(Agent03_Withdrawals!A30="","",YEAR(Agent03_Withdrawals!D30)),"")</f>
        <v/>
      </c>
    </row>
    <row r="424" spans="1:13" ht="18" customHeight="1" x14ac:dyDescent="0.25">
      <c r="A424" s="40" t="str">
        <f>IF(Agent03_Withdrawals!A31="","",Agent03_Withdrawals!A31)</f>
        <v/>
      </c>
      <c r="B424" s="40" t="str">
        <f ca="1">IF(Agent03_Withdrawals!A31="","","WD"&amp;TEXT(424-3,"0000")&amp;"-"&amp;TEXT(TODAY(),"YYYYMMDD"))</f>
        <v/>
      </c>
      <c r="C424" s="40" t="str">
        <f>IF(Agent03_Withdrawals!A31="","",Agent03_Withdrawals!B31)</f>
        <v/>
      </c>
      <c r="D424" s="43" t="str">
        <f>IF(Agent03_Withdrawals!A31="","",Agent03_Withdrawals!C31)</f>
        <v/>
      </c>
      <c r="E424" s="41" t="str">
        <f>IF(Agent03_Withdrawals!A31="","",Agent03_Withdrawals!D31)</f>
        <v/>
      </c>
      <c r="F424" s="40" t="str">
        <f>IF(Agent03_Withdrawals!A31="","",Agent03_Withdrawals!F31)</f>
        <v/>
      </c>
      <c r="G424" s="42" t="str">
        <f>IF(Agent03_Withdrawals!A31="","",Agent03_Withdrawals!E31)</f>
        <v/>
      </c>
      <c r="H424" s="42" t="str">
        <f>IF(Agent03_Withdrawals!A31="","",Agent03_Withdrawals!G31)</f>
        <v/>
      </c>
      <c r="I424" s="40" t="str">
        <f>IF(Agent03_Withdrawals!A31="","",Agent03_Withdrawals!H31)</f>
        <v/>
      </c>
      <c r="J424" s="40" t="str">
        <f>IF(Agent03_Withdrawals!A31="","",Agent03_Withdrawals!J31)</f>
        <v/>
      </c>
      <c r="K424" s="40" t="str">
        <f>IF(Agent03_Withdrawals!A31="","",Agent03_Withdrawals!K31)</f>
        <v/>
      </c>
      <c r="L424" s="40" t="str">
        <f>IF(G424="","",IF(D424-G424&gt;=System_Config!$B$9,"✅ OK","⚠️ BREACH"))</f>
        <v/>
      </c>
      <c r="M424" s="40" t="str">
        <f>IFERROR(IF(Agent03_Withdrawals!A31="","",YEAR(Agent03_Withdrawals!D31)),"")</f>
        <v/>
      </c>
    </row>
    <row r="425" spans="1:13" ht="18" customHeight="1" x14ac:dyDescent="0.25">
      <c r="A425" s="40" t="str">
        <f>IF(Agent03_Withdrawals!A32="","",Agent03_Withdrawals!A32)</f>
        <v/>
      </c>
      <c r="B425" s="40" t="str">
        <f ca="1">IF(Agent03_Withdrawals!A32="","","WD"&amp;TEXT(425-3,"0000")&amp;"-"&amp;TEXT(TODAY(),"YYYYMMDD"))</f>
        <v/>
      </c>
      <c r="C425" s="40" t="str">
        <f>IF(Agent03_Withdrawals!A32="","",Agent03_Withdrawals!B32)</f>
        <v/>
      </c>
      <c r="D425" s="43" t="str">
        <f>IF(Agent03_Withdrawals!A32="","",Agent03_Withdrawals!C32)</f>
        <v/>
      </c>
      <c r="E425" s="41" t="str">
        <f>IF(Agent03_Withdrawals!A32="","",Agent03_Withdrawals!D32)</f>
        <v/>
      </c>
      <c r="F425" s="40" t="str">
        <f>IF(Agent03_Withdrawals!A32="","",Agent03_Withdrawals!F32)</f>
        <v/>
      </c>
      <c r="G425" s="42" t="str">
        <f>IF(Agent03_Withdrawals!A32="","",Agent03_Withdrawals!E32)</f>
        <v/>
      </c>
      <c r="H425" s="42" t="str">
        <f>IF(Agent03_Withdrawals!A32="","",Agent03_Withdrawals!G32)</f>
        <v/>
      </c>
      <c r="I425" s="40" t="str">
        <f>IF(Agent03_Withdrawals!A32="","",Agent03_Withdrawals!H32)</f>
        <v/>
      </c>
      <c r="J425" s="40" t="str">
        <f>IF(Agent03_Withdrawals!A32="","",Agent03_Withdrawals!J32)</f>
        <v/>
      </c>
      <c r="K425" s="40" t="str">
        <f>IF(Agent03_Withdrawals!A32="","",Agent03_Withdrawals!K32)</f>
        <v/>
      </c>
      <c r="L425" s="40" t="str">
        <f>IF(G425="","",IF(D425-G425&gt;=System_Config!$B$9,"✅ OK","⚠️ BREACH"))</f>
        <v/>
      </c>
      <c r="M425" s="40" t="str">
        <f>IFERROR(IF(Agent03_Withdrawals!A32="","",YEAR(Agent03_Withdrawals!D32)),"")</f>
        <v/>
      </c>
    </row>
    <row r="426" spans="1:13" ht="18" customHeight="1" x14ac:dyDescent="0.25">
      <c r="A426" s="40" t="str">
        <f>IF(Agent03_Withdrawals!A33="","",Agent03_Withdrawals!A33)</f>
        <v/>
      </c>
      <c r="B426" s="40" t="str">
        <f ca="1">IF(Agent03_Withdrawals!A33="","","WD"&amp;TEXT(426-3,"0000")&amp;"-"&amp;TEXT(TODAY(),"YYYYMMDD"))</f>
        <v/>
      </c>
      <c r="C426" s="40" t="str">
        <f>IF(Agent03_Withdrawals!A33="","",Agent03_Withdrawals!B33)</f>
        <v/>
      </c>
      <c r="D426" s="43" t="str">
        <f>IF(Agent03_Withdrawals!A33="","",Agent03_Withdrawals!C33)</f>
        <v/>
      </c>
      <c r="E426" s="41" t="str">
        <f>IF(Agent03_Withdrawals!A33="","",Agent03_Withdrawals!D33)</f>
        <v/>
      </c>
      <c r="F426" s="40" t="str">
        <f>IF(Agent03_Withdrawals!A33="","",Agent03_Withdrawals!F33)</f>
        <v/>
      </c>
      <c r="G426" s="42" t="str">
        <f>IF(Agent03_Withdrawals!A33="","",Agent03_Withdrawals!E33)</f>
        <v/>
      </c>
      <c r="H426" s="42" t="str">
        <f>IF(Agent03_Withdrawals!A33="","",Agent03_Withdrawals!G33)</f>
        <v/>
      </c>
      <c r="I426" s="40" t="str">
        <f>IF(Agent03_Withdrawals!A33="","",Agent03_Withdrawals!H33)</f>
        <v/>
      </c>
      <c r="J426" s="40" t="str">
        <f>IF(Agent03_Withdrawals!A33="","",Agent03_Withdrawals!J33)</f>
        <v/>
      </c>
      <c r="K426" s="40" t="str">
        <f>IF(Agent03_Withdrawals!A33="","",Agent03_Withdrawals!K33)</f>
        <v/>
      </c>
      <c r="L426" s="40" t="str">
        <f>IF(G426="","",IF(D426-G426&gt;=System_Config!$B$9,"✅ OK","⚠️ BREACH"))</f>
        <v/>
      </c>
      <c r="M426" s="40" t="str">
        <f>IFERROR(IF(Agent03_Withdrawals!A33="","",YEAR(Agent03_Withdrawals!D33)),"")</f>
        <v/>
      </c>
    </row>
    <row r="427" spans="1:13" ht="18" customHeight="1" x14ac:dyDescent="0.25">
      <c r="A427" s="40" t="str">
        <f>IF(Agent03_Withdrawals!A34="","",Agent03_Withdrawals!A34)</f>
        <v/>
      </c>
      <c r="B427" s="40" t="str">
        <f ca="1">IF(Agent03_Withdrawals!A34="","","WD"&amp;TEXT(427-3,"0000")&amp;"-"&amp;TEXT(TODAY(),"YYYYMMDD"))</f>
        <v/>
      </c>
      <c r="C427" s="40" t="str">
        <f>IF(Agent03_Withdrawals!A34="","",Agent03_Withdrawals!B34)</f>
        <v/>
      </c>
      <c r="D427" s="43" t="str">
        <f>IF(Agent03_Withdrawals!A34="","",Agent03_Withdrawals!C34)</f>
        <v/>
      </c>
      <c r="E427" s="41" t="str">
        <f>IF(Agent03_Withdrawals!A34="","",Agent03_Withdrawals!D34)</f>
        <v/>
      </c>
      <c r="F427" s="40" t="str">
        <f>IF(Agent03_Withdrawals!A34="","",Agent03_Withdrawals!F34)</f>
        <v/>
      </c>
      <c r="G427" s="42" t="str">
        <f>IF(Agent03_Withdrawals!A34="","",Agent03_Withdrawals!E34)</f>
        <v/>
      </c>
      <c r="H427" s="42" t="str">
        <f>IF(Agent03_Withdrawals!A34="","",Agent03_Withdrawals!G34)</f>
        <v/>
      </c>
      <c r="I427" s="40" t="str">
        <f>IF(Agent03_Withdrawals!A34="","",Agent03_Withdrawals!H34)</f>
        <v/>
      </c>
      <c r="J427" s="40" t="str">
        <f>IF(Agent03_Withdrawals!A34="","",Agent03_Withdrawals!J34)</f>
        <v/>
      </c>
      <c r="K427" s="40" t="str">
        <f>IF(Agent03_Withdrawals!A34="","",Agent03_Withdrawals!K34)</f>
        <v/>
      </c>
      <c r="L427" s="40" t="str">
        <f>IF(G427="","",IF(D427-G427&gt;=System_Config!$B$9,"✅ OK","⚠️ BREACH"))</f>
        <v/>
      </c>
      <c r="M427" s="40" t="str">
        <f>IFERROR(IF(Agent03_Withdrawals!A34="","",YEAR(Agent03_Withdrawals!D34)),"")</f>
        <v/>
      </c>
    </row>
    <row r="428" spans="1:13" ht="18" customHeight="1" x14ac:dyDescent="0.25">
      <c r="A428" s="40" t="str">
        <f>IF(Agent03_Withdrawals!A35="","",Agent03_Withdrawals!A35)</f>
        <v/>
      </c>
      <c r="B428" s="40" t="str">
        <f ca="1">IF(Agent03_Withdrawals!A35="","","WD"&amp;TEXT(428-3,"0000")&amp;"-"&amp;TEXT(TODAY(),"YYYYMMDD"))</f>
        <v/>
      </c>
      <c r="C428" s="40" t="str">
        <f>IF(Agent03_Withdrawals!A35="","",Agent03_Withdrawals!B35)</f>
        <v/>
      </c>
      <c r="D428" s="43" t="str">
        <f>IF(Agent03_Withdrawals!A35="","",Agent03_Withdrawals!C35)</f>
        <v/>
      </c>
      <c r="E428" s="41" t="str">
        <f>IF(Agent03_Withdrawals!A35="","",Agent03_Withdrawals!D35)</f>
        <v/>
      </c>
      <c r="F428" s="40" t="str">
        <f>IF(Agent03_Withdrawals!A35="","",Agent03_Withdrawals!F35)</f>
        <v/>
      </c>
      <c r="G428" s="42" t="str">
        <f>IF(Agent03_Withdrawals!A35="","",Agent03_Withdrawals!E35)</f>
        <v/>
      </c>
      <c r="H428" s="42" t="str">
        <f>IF(Agent03_Withdrawals!A35="","",Agent03_Withdrawals!G35)</f>
        <v/>
      </c>
      <c r="I428" s="40" t="str">
        <f>IF(Agent03_Withdrawals!A35="","",Agent03_Withdrawals!H35)</f>
        <v/>
      </c>
      <c r="J428" s="40" t="str">
        <f>IF(Agent03_Withdrawals!A35="","",Agent03_Withdrawals!J35)</f>
        <v/>
      </c>
      <c r="K428" s="40" t="str">
        <f>IF(Agent03_Withdrawals!A35="","",Agent03_Withdrawals!K35)</f>
        <v/>
      </c>
      <c r="L428" s="40" t="str">
        <f>IF(G428="","",IF(D428-G428&gt;=System_Config!$B$9,"✅ OK","⚠️ BREACH"))</f>
        <v/>
      </c>
      <c r="M428" s="40" t="str">
        <f>IFERROR(IF(Agent03_Withdrawals!A35="","",YEAR(Agent03_Withdrawals!D35)),"")</f>
        <v/>
      </c>
    </row>
    <row r="429" spans="1:13" ht="18" customHeight="1" x14ac:dyDescent="0.25">
      <c r="A429" s="40" t="str">
        <f>IF(Agent03_Withdrawals!A36="","",Agent03_Withdrawals!A36)</f>
        <v/>
      </c>
      <c r="B429" s="40" t="str">
        <f ca="1">IF(Agent03_Withdrawals!A36="","","WD"&amp;TEXT(429-3,"0000")&amp;"-"&amp;TEXT(TODAY(),"YYYYMMDD"))</f>
        <v/>
      </c>
      <c r="C429" s="40" t="str">
        <f>IF(Agent03_Withdrawals!A36="","",Agent03_Withdrawals!B36)</f>
        <v/>
      </c>
      <c r="D429" s="43" t="str">
        <f>IF(Agent03_Withdrawals!A36="","",Agent03_Withdrawals!C36)</f>
        <v/>
      </c>
      <c r="E429" s="41" t="str">
        <f>IF(Agent03_Withdrawals!A36="","",Agent03_Withdrawals!D36)</f>
        <v/>
      </c>
      <c r="F429" s="40" t="str">
        <f>IF(Agent03_Withdrawals!A36="","",Agent03_Withdrawals!F36)</f>
        <v/>
      </c>
      <c r="G429" s="42" t="str">
        <f>IF(Agent03_Withdrawals!A36="","",Agent03_Withdrawals!E36)</f>
        <v/>
      </c>
      <c r="H429" s="42" t="str">
        <f>IF(Agent03_Withdrawals!A36="","",Agent03_Withdrawals!G36)</f>
        <v/>
      </c>
      <c r="I429" s="40" t="str">
        <f>IF(Agent03_Withdrawals!A36="","",Agent03_Withdrawals!H36)</f>
        <v/>
      </c>
      <c r="J429" s="40" t="str">
        <f>IF(Agent03_Withdrawals!A36="","",Agent03_Withdrawals!J36)</f>
        <v/>
      </c>
      <c r="K429" s="40" t="str">
        <f>IF(Agent03_Withdrawals!A36="","",Agent03_Withdrawals!K36)</f>
        <v/>
      </c>
      <c r="L429" s="40" t="str">
        <f>IF(G429="","",IF(D429-G429&gt;=System_Config!$B$9,"✅ OK","⚠️ BREACH"))</f>
        <v/>
      </c>
      <c r="M429" s="40" t="str">
        <f>IFERROR(IF(Agent03_Withdrawals!A36="","",YEAR(Agent03_Withdrawals!D36)),"")</f>
        <v/>
      </c>
    </row>
    <row r="430" spans="1:13" ht="18" customHeight="1" x14ac:dyDescent="0.25">
      <c r="A430" s="40" t="str">
        <f>IF(Agent03_Withdrawals!A37="","",Agent03_Withdrawals!A37)</f>
        <v/>
      </c>
      <c r="B430" s="40" t="str">
        <f ca="1">IF(Agent03_Withdrawals!A37="","","WD"&amp;TEXT(430-3,"0000")&amp;"-"&amp;TEXT(TODAY(),"YYYYMMDD"))</f>
        <v/>
      </c>
      <c r="C430" s="40" t="str">
        <f>IF(Agent03_Withdrawals!A37="","",Agent03_Withdrawals!B37)</f>
        <v/>
      </c>
      <c r="D430" s="43" t="str">
        <f>IF(Agent03_Withdrawals!A37="","",Agent03_Withdrawals!C37)</f>
        <v/>
      </c>
      <c r="E430" s="41" t="str">
        <f>IF(Agent03_Withdrawals!A37="","",Agent03_Withdrawals!D37)</f>
        <v/>
      </c>
      <c r="F430" s="40" t="str">
        <f>IF(Agent03_Withdrawals!A37="","",Agent03_Withdrawals!F37)</f>
        <v/>
      </c>
      <c r="G430" s="42" t="str">
        <f>IF(Agent03_Withdrawals!A37="","",Agent03_Withdrawals!E37)</f>
        <v/>
      </c>
      <c r="H430" s="42" t="str">
        <f>IF(Agent03_Withdrawals!A37="","",Agent03_Withdrawals!G37)</f>
        <v/>
      </c>
      <c r="I430" s="40" t="str">
        <f>IF(Agent03_Withdrawals!A37="","",Agent03_Withdrawals!H37)</f>
        <v/>
      </c>
      <c r="J430" s="40" t="str">
        <f>IF(Agent03_Withdrawals!A37="","",Agent03_Withdrawals!J37)</f>
        <v/>
      </c>
      <c r="K430" s="40" t="str">
        <f>IF(Agent03_Withdrawals!A37="","",Agent03_Withdrawals!K37)</f>
        <v/>
      </c>
      <c r="L430" s="40" t="str">
        <f>IF(G430="","",IF(D430-G430&gt;=System_Config!$B$9,"✅ OK","⚠️ BREACH"))</f>
        <v/>
      </c>
      <c r="M430" s="40" t="str">
        <f>IFERROR(IF(Agent03_Withdrawals!A37="","",YEAR(Agent03_Withdrawals!D37)),"")</f>
        <v/>
      </c>
    </row>
    <row r="431" spans="1:13" ht="18" customHeight="1" x14ac:dyDescent="0.25">
      <c r="A431" s="40" t="str">
        <f>IF(Agent03_Withdrawals!A38="","",Agent03_Withdrawals!A38)</f>
        <v/>
      </c>
      <c r="B431" s="40" t="str">
        <f ca="1">IF(Agent03_Withdrawals!A38="","","WD"&amp;TEXT(431-3,"0000")&amp;"-"&amp;TEXT(TODAY(),"YYYYMMDD"))</f>
        <v/>
      </c>
      <c r="C431" s="40" t="str">
        <f>IF(Agent03_Withdrawals!A38="","",Agent03_Withdrawals!B38)</f>
        <v/>
      </c>
      <c r="D431" s="43" t="str">
        <f>IF(Agent03_Withdrawals!A38="","",Agent03_Withdrawals!C38)</f>
        <v/>
      </c>
      <c r="E431" s="41" t="str">
        <f>IF(Agent03_Withdrawals!A38="","",Agent03_Withdrawals!D38)</f>
        <v/>
      </c>
      <c r="F431" s="40" t="str">
        <f>IF(Agent03_Withdrawals!A38="","",Agent03_Withdrawals!F38)</f>
        <v/>
      </c>
      <c r="G431" s="42" t="str">
        <f>IF(Agent03_Withdrawals!A38="","",Agent03_Withdrawals!E38)</f>
        <v/>
      </c>
      <c r="H431" s="42" t="str">
        <f>IF(Agent03_Withdrawals!A38="","",Agent03_Withdrawals!G38)</f>
        <v/>
      </c>
      <c r="I431" s="40" t="str">
        <f>IF(Agent03_Withdrawals!A38="","",Agent03_Withdrawals!H38)</f>
        <v/>
      </c>
      <c r="J431" s="40" t="str">
        <f>IF(Agent03_Withdrawals!A38="","",Agent03_Withdrawals!J38)</f>
        <v/>
      </c>
      <c r="K431" s="40" t="str">
        <f>IF(Agent03_Withdrawals!A38="","",Agent03_Withdrawals!K38)</f>
        <v/>
      </c>
      <c r="L431" s="40" t="str">
        <f>IF(G431="","",IF(D431-G431&gt;=System_Config!$B$9,"✅ OK","⚠️ BREACH"))</f>
        <v/>
      </c>
      <c r="M431" s="40" t="str">
        <f>IFERROR(IF(Agent03_Withdrawals!A38="","",YEAR(Agent03_Withdrawals!D38)),"")</f>
        <v/>
      </c>
    </row>
    <row r="432" spans="1:13" ht="18" customHeight="1" x14ac:dyDescent="0.25">
      <c r="A432" s="40" t="str">
        <f>IF(Agent03_Withdrawals!A39="","",Agent03_Withdrawals!A39)</f>
        <v/>
      </c>
      <c r="B432" s="40" t="str">
        <f ca="1">IF(Agent03_Withdrawals!A39="","","WD"&amp;TEXT(432-3,"0000")&amp;"-"&amp;TEXT(TODAY(),"YYYYMMDD"))</f>
        <v/>
      </c>
      <c r="C432" s="40" t="str">
        <f>IF(Agent03_Withdrawals!A39="","",Agent03_Withdrawals!B39)</f>
        <v/>
      </c>
      <c r="D432" s="43" t="str">
        <f>IF(Agent03_Withdrawals!A39="","",Agent03_Withdrawals!C39)</f>
        <v/>
      </c>
      <c r="E432" s="41" t="str">
        <f>IF(Agent03_Withdrawals!A39="","",Agent03_Withdrawals!D39)</f>
        <v/>
      </c>
      <c r="F432" s="40" t="str">
        <f>IF(Agent03_Withdrawals!A39="","",Agent03_Withdrawals!F39)</f>
        <v/>
      </c>
      <c r="G432" s="42" t="str">
        <f>IF(Agent03_Withdrawals!A39="","",Agent03_Withdrawals!E39)</f>
        <v/>
      </c>
      <c r="H432" s="42" t="str">
        <f>IF(Agent03_Withdrawals!A39="","",Agent03_Withdrawals!G39)</f>
        <v/>
      </c>
      <c r="I432" s="40" t="str">
        <f>IF(Agent03_Withdrawals!A39="","",Agent03_Withdrawals!H39)</f>
        <v/>
      </c>
      <c r="J432" s="40" t="str">
        <f>IF(Agent03_Withdrawals!A39="","",Agent03_Withdrawals!J39)</f>
        <v/>
      </c>
      <c r="K432" s="40" t="str">
        <f>IF(Agent03_Withdrawals!A39="","",Agent03_Withdrawals!K39)</f>
        <v/>
      </c>
      <c r="L432" s="40" t="str">
        <f>IF(G432="","",IF(D432-G432&gt;=System_Config!$B$9,"✅ OK","⚠️ BREACH"))</f>
        <v/>
      </c>
      <c r="M432" s="40" t="str">
        <f>IFERROR(IF(Agent03_Withdrawals!A39="","",YEAR(Agent03_Withdrawals!D39)),"")</f>
        <v/>
      </c>
    </row>
    <row r="433" spans="1:13" ht="18" customHeight="1" x14ac:dyDescent="0.25">
      <c r="A433" s="40" t="str">
        <f>IF(Agent03_Withdrawals!A40="","",Agent03_Withdrawals!A40)</f>
        <v/>
      </c>
      <c r="B433" s="40" t="str">
        <f ca="1">IF(Agent03_Withdrawals!A40="","","WD"&amp;TEXT(433-3,"0000")&amp;"-"&amp;TEXT(TODAY(),"YYYYMMDD"))</f>
        <v/>
      </c>
      <c r="C433" s="40" t="str">
        <f>IF(Agent03_Withdrawals!A40="","",Agent03_Withdrawals!B40)</f>
        <v/>
      </c>
      <c r="D433" s="43" t="str">
        <f>IF(Agent03_Withdrawals!A40="","",Agent03_Withdrawals!C40)</f>
        <v/>
      </c>
      <c r="E433" s="41" t="str">
        <f>IF(Agent03_Withdrawals!A40="","",Agent03_Withdrawals!D40)</f>
        <v/>
      </c>
      <c r="F433" s="40" t="str">
        <f>IF(Agent03_Withdrawals!A40="","",Agent03_Withdrawals!F40)</f>
        <v/>
      </c>
      <c r="G433" s="42" t="str">
        <f>IF(Agent03_Withdrawals!A40="","",Agent03_Withdrawals!E40)</f>
        <v/>
      </c>
      <c r="H433" s="42" t="str">
        <f>IF(Agent03_Withdrawals!A40="","",Agent03_Withdrawals!G40)</f>
        <v/>
      </c>
      <c r="I433" s="40" t="str">
        <f>IF(Agent03_Withdrawals!A40="","",Agent03_Withdrawals!H40)</f>
        <v/>
      </c>
      <c r="J433" s="40" t="str">
        <f>IF(Agent03_Withdrawals!A40="","",Agent03_Withdrawals!J40)</f>
        <v/>
      </c>
      <c r="K433" s="40" t="str">
        <f>IF(Agent03_Withdrawals!A40="","",Agent03_Withdrawals!K40)</f>
        <v/>
      </c>
      <c r="L433" s="40" t="str">
        <f>IF(G433="","",IF(D433-G433&gt;=System_Config!$B$9,"✅ OK","⚠️ BREACH"))</f>
        <v/>
      </c>
      <c r="M433" s="40" t="str">
        <f>IFERROR(IF(Agent03_Withdrawals!A40="","",YEAR(Agent03_Withdrawals!D40)),"")</f>
        <v/>
      </c>
    </row>
    <row r="434" spans="1:13" ht="18" customHeight="1" x14ac:dyDescent="0.25">
      <c r="A434" s="40" t="str">
        <f>IF(Agent03_Withdrawals!A41="","",Agent03_Withdrawals!A41)</f>
        <v/>
      </c>
      <c r="B434" s="40" t="str">
        <f ca="1">IF(Agent03_Withdrawals!A41="","","WD"&amp;TEXT(434-3,"0000")&amp;"-"&amp;TEXT(TODAY(),"YYYYMMDD"))</f>
        <v/>
      </c>
      <c r="C434" s="40" t="str">
        <f>IF(Agent03_Withdrawals!A41="","",Agent03_Withdrawals!B41)</f>
        <v/>
      </c>
      <c r="D434" s="43" t="str">
        <f>IF(Agent03_Withdrawals!A41="","",Agent03_Withdrawals!C41)</f>
        <v/>
      </c>
      <c r="E434" s="41" t="str">
        <f>IF(Agent03_Withdrawals!A41="","",Agent03_Withdrawals!D41)</f>
        <v/>
      </c>
      <c r="F434" s="40" t="str">
        <f>IF(Agent03_Withdrawals!A41="","",Agent03_Withdrawals!F41)</f>
        <v/>
      </c>
      <c r="G434" s="42" t="str">
        <f>IF(Agent03_Withdrawals!A41="","",Agent03_Withdrawals!E41)</f>
        <v/>
      </c>
      <c r="H434" s="42" t="str">
        <f>IF(Agent03_Withdrawals!A41="","",Agent03_Withdrawals!G41)</f>
        <v/>
      </c>
      <c r="I434" s="40" t="str">
        <f>IF(Agent03_Withdrawals!A41="","",Agent03_Withdrawals!H41)</f>
        <v/>
      </c>
      <c r="J434" s="40" t="str">
        <f>IF(Agent03_Withdrawals!A41="","",Agent03_Withdrawals!J41)</f>
        <v/>
      </c>
      <c r="K434" s="40" t="str">
        <f>IF(Agent03_Withdrawals!A41="","",Agent03_Withdrawals!K41)</f>
        <v/>
      </c>
      <c r="L434" s="40" t="str">
        <f>IF(G434="","",IF(D434-G434&gt;=System_Config!$B$9,"✅ OK","⚠️ BREACH"))</f>
        <v/>
      </c>
      <c r="M434" s="40" t="str">
        <f>IFERROR(IF(Agent03_Withdrawals!A41="","",YEAR(Agent03_Withdrawals!D41)),"")</f>
        <v/>
      </c>
    </row>
    <row r="435" spans="1:13" ht="18" customHeight="1" x14ac:dyDescent="0.25">
      <c r="A435" s="40" t="str">
        <f>IF(Agent03_Withdrawals!A42="","",Agent03_Withdrawals!A42)</f>
        <v/>
      </c>
      <c r="B435" s="40" t="str">
        <f ca="1">IF(Agent03_Withdrawals!A42="","","WD"&amp;TEXT(435-3,"0000")&amp;"-"&amp;TEXT(TODAY(),"YYYYMMDD"))</f>
        <v/>
      </c>
      <c r="C435" s="40" t="str">
        <f>IF(Agent03_Withdrawals!A42="","",Agent03_Withdrawals!B42)</f>
        <v/>
      </c>
      <c r="D435" s="43" t="str">
        <f>IF(Agent03_Withdrawals!A42="","",Agent03_Withdrawals!C42)</f>
        <v/>
      </c>
      <c r="E435" s="41" t="str">
        <f>IF(Agent03_Withdrawals!A42="","",Agent03_Withdrawals!D42)</f>
        <v/>
      </c>
      <c r="F435" s="40" t="str">
        <f>IF(Agent03_Withdrawals!A42="","",Agent03_Withdrawals!F42)</f>
        <v/>
      </c>
      <c r="G435" s="42" t="str">
        <f>IF(Agent03_Withdrawals!A42="","",Agent03_Withdrawals!E42)</f>
        <v/>
      </c>
      <c r="H435" s="42" t="str">
        <f>IF(Agent03_Withdrawals!A42="","",Agent03_Withdrawals!G42)</f>
        <v/>
      </c>
      <c r="I435" s="40" t="str">
        <f>IF(Agent03_Withdrawals!A42="","",Agent03_Withdrawals!H42)</f>
        <v/>
      </c>
      <c r="J435" s="40" t="str">
        <f>IF(Agent03_Withdrawals!A42="","",Agent03_Withdrawals!J42)</f>
        <v/>
      </c>
      <c r="K435" s="40" t="str">
        <f>IF(Agent03_Withdrawals!A42="","",Agent03_Withdrawals!K42)</f>
        <v/>
      </c>
      <c r="L435" s="40" t="str">
        <f>IF(G435="","",IF(D435-G435&gt;=System_Config!$B$9,"✅ OK","⚠️ BREACH"))</f>
        <v/>
      </c>
      <c r="M435" s="40" t="str">
        <f>IFERROR(IF(Agent03_Withdrawals!A42="","",YEAR(Agent03_Withdrawals!D42)),"")</f>
        <v/>
      </c>
    </row>
    <row r="436" spans="1:13" ht="18" customHeight="1" x14ac:dyDescent="0.25">
      <c r="A436" s="40" t="str">
        <f>IF(Agent03_Withdrawals!A43="","",Agent03_Withdrawals!A43)</f>
        <v/>
      </c>
      <c r="B436" s="40" t="str">
        <f ca="1">IF(Agent03_Withdrawals!A43="","","WD"&amp;TEXT(436-3,"0000")&amp;"-"&amp;TEXT(TODAY(),"YYYYMMDD"))</f>
        <v/>
      </c>
      <c r="C436" s="40" t="str">
        <f>IF(Agent03_Withdrawals!A43="","",Agent03_Withdrawals!B43)</f>
        <v/>
      </c>
      <c r="D436" s="43" t="str">
        <f>IF(Agent03_Withdrawals!A43="","",Agent03_Withdrawals!C43)</f>
        <v/>
      </c>
      <c r="E436" s="41" t="str">
        <f>IF(Agent03_Withdrawals!A43="","",Agent03_Withdrawals!D43)</f>
        <v/>
      </c>
      <c r="F436" s="40" t="str">
        <f>IF(Agent03_Withdrawals!A43="","",Agent03_Withdrawals!F43)</f>
        <v/>
      </c>
      <c r="G436" s="42" t="str">
        <f>IF(Agent03_Withdrawals!A43="","",Agent03_Withdrawals!E43)</f>
        <v/>
      </c>
      <c r="H436" s="42" t="str">
        <f>IF(Agent03_Withdrawals!A43="","",Agent03_Withdrawals!G43)</f>
        <v/>
      </c>
      <c r="I436" s="40" t="str">
        <f>IF(Agent03_Withdrawals!A43="","",Agent03_Withdrawals!H43)</f>
        <v/>
      </c>
      <c r="J436" s="40" t="str">
        <f>IF(Agent03_Withdrawals!A43="","",Agent03_Withdrawals!J43)</f>
        <v/>
      </c>
      <c r="K436" s="40" t="str">
        <f>IF(Agent03_Withdrawals!A43="","",Agent03_Withdrawals!K43)</f>
        <v/>
      </c>
      <c r="L436" s="40" t="str">
        <f>IF(G436="","",IF(D436-G436&gt;=System_Config!$B$9,"✅ OK","⚠️ BREACH"))</f>
        <v/>
      </c>
      <c r="M436" s="40" t="str">
        <f>IFERROR(IF(Agent03_Withdrawals!A43="","",YEAR(Agent03_Withdrawals!D43)),"")</f>
        <v/>
      </c>
    </row>
    <row r="437" spans="1:13" ht="18" customHeight="1" x14ac:dyDescent="0.25">
      <c r="A437" s="40" t="str">
        <f>IF(Agent03_Withdrawals!A44="","",Agent03_Withdrawals!A44)</f>
        <v/>
      </c>
      <c r="B437" s="40" t="str">
        <f ca="1">IF(Agent03_Withdrawals!A44="","","WD"&amp;TEXT(437-3,"0000")&amp;"-"&amp;TEXT(TODAY(),"YYYYMMDD"))</f>
        <v/>
      </c>
      <c r="C437" s="40" t="str">
        <f>IF(Agent03_Withdrawals!A44="","",Agent03_Withdrawals!B44)</f>
        <v/>
      </c>
      <c r="D437" s="43" t="str">
        <f>IF(Agent03_Withdrawals!A44="","",Agent03_Withdrawals!C44)</f>
        <v/>
      </c>
      <c r="E437" s="41" t="str">
        <f>IF(Agent03_Withdrawals!A44="","",Agent03_Withdrawals!D44)</f>
        <v/>
      </c>
      <c r="F437" s="40" t="str">
        <f>IF(Agent03_Withdrawals!A44="","",Agent03_Withdrawals!F44)</f>
        <v/>
      </c>
      <c r="G437" s="42" t="str">
        <f>IF(Agent03_Withdrawals!A44="","",Agent03_Withdrawals!E44)</f>
        <v/>
      </c>
      <c r="H437" s="42" t="str">
        <f>IF(Agent03_Withdrawals!A44="","",Agent03_Withdrawals!G44)</f>
        <v/>
      </c>
      <c r="I437" s="40" t="str">
        <f>IF(Agent03_Withdrawals!A44="","",Agent03_Withdrawals!H44)</f>
        <v/>
      </c>
      <c r="J437" s="40" t="str">
        <f>IF(Agent03_Withdrawals!A44="","",Agent03_Withdrawals!J44)</f>
        <v/>
      </c>
      <c r="K437" s="40" t="str">
        <f>IF(Agent03_Withdrawals!A44="","",Agent03_Withdrawals!K44)</f>
        <v/>
      </c>
      <c r="L437" s="40" t="str">
        <f>IF(G437="","",IF(D437-G437&gt;=System_Config!$B$9,"✅ OK","⚠️ BREACH"))</f>
        <v/>
      </c>
      <c r="M437" s="40" t="str">
        <f>IFERROR(IF(Agent03_Withdrawals!A44="","",YEAR(Agent03_Withdrawals!D44)),"")</f>
        <v/>
      </c>
    </row>
    <row r="438" spans="1:13" ht="18" customHeight="1" x14ac:dyDescent="0.25">
      <c r="A438" s="40" t="str">
        <f>IF(Agent03_Withdrawals!A45="","",Agent03_Withdrawals!A45)</f>
        <v/>
      </c>
      <c r="B438" s="40" t="str">
        <f ca="1">IF(Agent03_Withdrawals!A45="","","WD"&amp;TEXT(438-3,"0000")&amp;"-"&amp;TEXT(TODAY(),"YYYYMMDD"))</f>
        <v/>
      </c>
      <c r="C438" s="40" t="str">
        <f>IF(Agent03_Withdrawals!A45="","",Agent03_Withdrawals!B45)</f>
        <v/>
      </c>
      <c r="D438" s="43" t="str">
        <f>IF(Agent03_Withdrawals!A45="","",Agent03_Withdrawals!C45)</f>
        <v/>
      </c>
      <c r="E438" s="41" t="str">
        <f>IF(Agent03_Withdrawals!A45="","",Agent03_Withdrawals!D45)</f>
        <v/>
      </c>
      <c r="F438" s="40" t="str">
        <f>IF(Agent03_Withdrawals!A45="","",Agent03_Withdrawals!F45)</f>
        <v/>
      </c>
      <c r="G438" s="42" t="str">
        <f>IF(Agent03_Withdrawals!A45="","",Agent03_Withdrawals!E45)</f>
        <v/>
      </c>
      <c r="H438" s="42" t="str">
        <f>IF(Agent03_Withdrawals!A45="","",Agent03_Withdrawals!G45)</f>
        <v/>
      </c>
      <c r="I438" s="40" t="str">
        <f>IF(Agent03_Withdrawals!A45="","",Agent03_Withdrawals!H45)</f>
        <v/>
      </c>
      <c r="J438" s="40" t="str">
        <f>IF(Agent03_Withdrawals!A45="","",Agent03_Withdrawals!J45)</f>
        <v/>
      </c>
      <c r="K438" s="40" t="str">
        <f>IF(Agent03_Withdrawals!A45="","",Agent03_Withdrawals!K45)</f>
        <v/>
      </c>
      <c r="L438" s="40" t="str">
        <f>IF(G438="","",IF(D438-G438&gt;=System_Config!$B$9,"✅ OK","⚠️ BREACH"))</f>
        <v/>
      </c>
      <c r="M438" s="40" t="str">
        <f>IFERROR(IF(Agent03_Withdrawals!A45="","",YEAR(Agent03_Withdrawals!D45)),"")</f>
        <v/>
      </c>
    </row>
    <row r="439" spans="1:13" ht="18" customHeight="1" x14ac:dyDescent="0.25">
      <c r="A439" s="40" t="str">
        <f>IF(Agent03_Withdrawals!A46="","",Agent03_Withdrawals!A46)</f>
        <v/>
      </c>
      <c r="B439" s="40" t="str">
        <f ca="1">IF(Agent03_Withdrawals!A46="","","WD"&amp;TEXT(439-3,"0000")&amp;"-"&amp;TEXT(TODAY(),"YYYYMMDD"))</f>
        <v/>
      </c>
      <c r="C439" s="40" t="str">
        <f>IF(Agent03_Withdrawals!A46="","",Agent03_Withdrawals!B46)</f>
        <v/>
      </c>
      <c r="D439" s="43" t="str">
        <f>IF(Agent03_Withdrawals!A46="","",Agent03_Withdrawals!C46)</f>
        <v/>
      </c>
      <c r="E439" s="41" t="str">
        <f>IF(Agent03_Withdrawals!A46="","",Agent03_Withdrawals!D46)</f>
        <v/>
      </c>
      <c r="F439" s="40" t="str">
        <f>IF(Agent03_Withdrawals!A46="","",Agent03_Withdrawals!F46)</f>
        <v/>
      </c>
      <c r="G439" s="42" t="str">
        <f>IF(Agent03_Withdrawals!A46="","",Agent03_Withdrawals!E46)</f>
        <v/>
      </c>
      <c r="H439" s="42" t="str">
        <f>IF(Agent03_Withdrawals!A46="","",Agent03_Withdrawals!G46)</f>
        <v/>
      </c>
      <c r="I439" s="40" t="str">
        <f>IF(Agent03_Withdrawals!A46="","",Agent03_Withdrawals!H46)</f>
        <v/>
      </c>
      <c r="J439" s="40" t="str">
        <f>IF(Agent03_Withdrawals!A46="","",Agent03_Withdrawals!J46)</f>
        <v/>
      </c>
      <c r="K439" s="40" t="str">
        <f>IF(Agent03_Withdrawals!A46="","",Agent03_Withdrawals!K46)</f>
        <v/>
      </c>
      <c r="L439" s="40" t="str">
        <f>IF(G439="","",IF(D439-G439&gt;=System_Config!$B$9,"✅ OK","⚠️ BREACH"))</f>
        <v/>
      </c>
      <c r="M439" s="40" t="str">
        <f>IFERROR(IF(Agent03_Withdrawals!A46="","",YEAR(Agent03_Withdrawals!D46)),"")</f>
        <v/>
      </c>
    </row>
    <row r="440" spans="1:13" ht="18" customHeight="1" x14ac:dyDescent="0.25">
      <c r="A440" s="40" t="str">
        <f>IF(Agent03_Withdrawals!A47="","",Agent03_Withdrawals!A47)</f>
        <v/>
      </c>
      <c r="B440" s="40" t="str">
        <f ca="1">IF(Agent03_Withdrawals!A47="","","WD"&amp;TEXT(440-3,"0000")&amp;"-"&amp;TEXT(TODAY(),"YYYYMMDD"))</f>
        <v/>
      </c>
      <c r="C440" s="40" t="str">
        <f>IF(Agent03_Withdrawals!A47="","",Agent03_Withdrawals!B47)</f>
        <v/>
      </c>
      <c r="D440" s="43" t="str">
        <f>IF(Agent03_Withdrawals!A47="","",Agent03_Withdrawals!C47)</f>
        <v/>
      </c>
      <c r="E440" s="41" t="str">
        <f>IF(Agent03_Withdrawals!A47="","",Agent03_Withdrawals!D47)</f>
        <v/>
      </c>
      <c r="F440" s="40" t="str">
        <f>IF(Agent03_Withdrawals!A47="","",Agent03_Withdrawals!F47)</f>
        <v/>
      </c>
      <c r="G440" s="42" t="str">
        <f>IF(Agent03_Withdrawals!A47="","",Agent03_Withdrawals!E47)</f>
        <v/>
      </c>
      <c r="H440" s="42" t="str">
        <f>IF(Agent03_Withdrawals!A47="","",Agent03_Withdrawals!G47)</f>
        <v/>
      </c>
      <c r="I440" s="40" t="str">
        <f>IF(Agent03_Withdrawals!A47="","",Agent03_Withdrawals!H47)</f>
        <v/>
      </c>
      <c r="J440" s="40" t="str">
        <f>IF(Agent03_Withdrawals!A47="","",Agent03_Withdrawals!J47)</f>
        <v/>
      </c>
      <c r="K440" s="40" t="str">
        <f>IF(Agent03_Withdrawals!A47="","",Agent03_Withdrawals!K47)</f>
        <v/>
      </c>
      <c r="L440" s="40" t="str">
        <f>IF(G440="","",IF(D440-G440&gt;=System_Config!$B$9,"✅ OK","⚠️ BREACH"))</f>
        <v/>
      </c>
      <c r="M440" s="40" t="str">
        <f>IFERROR(IF(Agent03_Withdrawals!A47="","",YEAR(Agent03_Withdrawals!D47)),"")</f>
        <v/>
      </c>
    </row>
    <row r="441" spans="1:13" ht="18" customHeight="1" x14ac:dyDescent="0.25">
      <c r="A441" s="40" t="str">
        <f>IF(Agent03_Withdrawals!A48="","",Agent03_Withdrawals!A48)</f>
        <v/>
      </c>
      <c r="B441" s="40" t="str">
        <f ca="1">IF(Agent03_Withdrawals!A48="","","WD"&amp;TEXT(441-3,"0000")&amp;"-"&amp;TEXT(TODAY(),"YYYYMMDD"))</f>
        <v/>
      </c>
      <c r="C441" s="40" t="str">
        <f>IF(Agent03_Withdrawals!A48="","",Agent03_Withdrawals!B48)</f>
        <v/>
      </c>
      <c r="D441" s="43" t="str">
        <f>IF(Agent03_Withdrawals!A48="","",Agent03_Withdrawals!C48)</f>
        <v/>
      </c>
      <c r="E441" s="41" t="str">
        <f>IF(Agent03_Withdrawals!A48="","",Agent03_Withdrawals!D48)</f>
        <v/>
      </c>
      <c r="F441" s="40" t="str">
        <f>IF(Agent03_Withdrawals!A48="","",Agent03_Withdrawals!F48)</f>
        <v/>
      </c>
      <c r="G441" s="42" t="str">
        <f>IF(Agent03_Withdrawals!A48="","",Agent03_Withdrawals!E48)</f>
        <v/>
      </c>
      <c r="H441" s="42" t="str">
        <f>IF(Agent03_Withdrawals!A48="","",Agent03_Withdrawals!G48)</f>
        <v/>
      </c>
      <c r="I441" s="40" t="str">
        <f>IF(Agent03_Withdrawals!A48="","",Agent03_Withdrawals!H48)</f>
        <v/>
      </c>
      <c r="J441" s="40" t="str">
        <f>IF(Agent03_Withdrawals!A48="","",Agent03_Withdrawals!J48)</f>
        <v/>
      </c>
      <c r="K441" s="40" t="str">
        <f>IF(Agent03_Withdrawals!A48="","",Agent03_Withdrawals!K48)</f>
        <v/>
      </c>
      <c r="L441" s="40" t="str">
        <f>IF(G441="","",IF(D441-G441&gt;=System_Config!$B$9,"✅ OK","⚠️ BREACH"))</f>
        <v/>
      </c>
      <c r="M441" s="40" t="str">
        <f>IFERROR(IF(Agent03_Withdrawals!A48="","",YEAR(Agent03_Withdrawals!D48)),"")</f>
        <v/>
      </c>
    </row>
    <row r="442" spans="1:13" ht="18" customHeight="1" x14ac:dyDescent="0.25">
      <c r="A442" s="40" t="str">
        <f>IF(Agent03_Withdrawals!A49="","",Agent03_Withdrawals!A49)</f>
        <v/>
      </c>
      <c r="B442" s="40" t="str">
        <f ca="1">IF(Agent03_Withdrawals!A49="","","WD"&amp;TEXT(442-3,"0000")&amp;"-"&amp;TEXT(TODAY(),"YYYYMMDD"))</f>
        <v/>
      </c>
      <c r="C442" s="40" t="str">
        <f>IF(Agent03_Withdrawals!A49="","",Agent03_Withdrawals!B49)</f>
        <v/>
      </c>
      <c r="D442" s="43" t="str">
        <f>IF(Agent03_Withdrawals!A49="","",Agent03_Withdrawals!C49)</f>
        <v/>
      </c>
      <c r="E442" s="41" t="str">
        <f>IF(Agent03_Withdrawals!A49="","",Agent03_Withdrawals!D49)</f>
        <v/>
      </c>
      <c r="F442" s="40" t="str">
        <f>IF(Agent03_Withdrawals!A49="","",Agent03_Withdrawals!F49)</f>
        <v/>
      </c>
      <c r="G442" s="42" t="str">
        <f>IF(Agent03_Withdrawals!A49="","",Agent03_Withdrawals!E49)</f>
        <v/>
      </c>
      <c r="H442" s="42" t="str">
        <f>IF(Agent03_Withdrawals!A49="","",Agent03_Withdrawals!G49)</f>
        <v/>
      </c>
      <c r="I442" s="40" t="str">
        <f>IF(Agent03_Withdrawals!A49="","",Agent03_Withdrawals!H49)</f>
        <v/>
      </c>
      <c r="J442" s="40" t="str">
        <f>IF(Agent03_Withdrawals!A49="","",Agent03_Withdrawals!J49)</f>
        <v/>
      </c>
      <c r="K442" s="40" t="str">
        <f>IF(Agent03_Withdrawals!A49="","",Agent03_Withdrawals!K49)</f>
        <v/>
      </c>
      <c r="L442" s="40" t="str">
        <f>IF(G442="","",IF(D442-G442&gt;=System_Config!$B$9,"✅ OK","⚠️ BREACH"))</f>
        <v/>
      </c>
      <c r="M442" s="40" t="str">
        <f>IFERROR(IF(Agent03_Withdrawals!A49="","",YEAR(Agent03_Withdrawals!D49)),"")</f>
        <v/>
      </c>
    </row>
    <row r="443" spans="1:13" ht="18" customHeight="1" x14ac:dyDescent="0.25">
      <c r="A443" s="40" t="str">
        <f>IF(Agent03_Withdrawals!A50="","",Agent03_Withdrawals!A50)</f>
        <v/>
      </c>
      <c r="B443" s="40" t="str">
        <f ca="1">IF(Agent03_Withdrawals!A50="","","WD"&amp;TEXT(443-3,"0000")&amp;"-"&amp;TEXT(TODAY(),"YYYYMMDD"))</f>
        <v/>
      </c>
      <c r="C443" s="40" t="str">
        <f>IF(Agent03_Withdrawals!A50="","",Agent03_Withdrawals!B50)</f>
        <v/>
      </c>
      <c r="D443" s="43" t="str">
        <f>IF(Agent03_Withdrawals!A50="","",Agent03_Withdrawals!C50)</f>
        <v/>
      </c>
      <c r="E443" s="41" t="str">
        <f>IF(Agent03_Withdrawals!A50="","",Agent03_Withdrawals!D50)</f>
        <v/>
      </c>
      <c r="F443" s="40" t="str">
        <f>IF(Agent03_Withdrawals!A50="","",Agent03_Withdrawals!F50)</f>
        <v/>
      </c>
      <c r="G443" s="42" t="str">
        <f>IF(Agent03_Withdrawals!A50="","",Agent03_Withdrawals!E50)</f>
        <v/>
      </c>
      <c r="H443" s="42" t="str">
        <f>IF(Agent03_Withdrawals!A50="","",Agent03_Withdrawals!G50)</f>
        <v/>
      </c>
      <c r="I443" s="40" t="str">
        <f>IF(Agent03_Withdrawals!A50="","",Agent03_Withdrawals!H50)</f>
        <v/>
      </c>
      <c r="J443" s="40" t="str">
        <f>IF(Agent03_Withdrawals!A50="","",Agent03_Withdrawals!J50)</f>
        <v/>
      </c>
      <c r="K443" s="40" t="str">
        <f>IF(Agent03_Withdrawals!A50="","",Agent03_Withdrawals!K50)</f>
        <v/>
      </c>
      <c r="L443" s="40" t="str">
        <f>IF(G443="","",IF(D443-G443&gt;=System_Config!$B$9,"✅ OK","⚠️ BREACH"))</f>
        <v/>
      </c>
      <c r="M443" s="40" t="str">
        <f>IFERROR(IF(Agent03_Withdrawals!A50="","",YEAR(Agent03_Withdrawals!D50)),"")</f>
        <v/>
      </c>
    </row>
    <row r="444" spans="1:13" ht="18" customHeight="1" x14ac:dyDescent="0.25">
      <c r="A444" s="40" t="str">
        <f>IF(Agent03_Withdrawals!A51="","",Agent03_Withdrawals!A51)</f>
        <v/>
      </c>
      <c r="B444" s="40" t="str">
        <f ca="1">IF(Agent03_Withdrawals!A51="","","WD"&amp;TEXT(444-3,"0000")&amp;"-"&amp;TEXT(TODAY(),"YYYYMMDD"))</f>
        <v/>
      </c>
      <c r="C444" s="40" t="str">
        <f>IF(Agent03_Withdrawals!A51="","",Agent03_Withdrawals!B51)</f>
        <v/>
      </c>
      <c r="D444" s="43" t="str">
        <f>IF(Agent03_Withdrawals!A51="","",Agent03_Withdrawals!C51)</f>
        <v/>
      </c>
      <c r="E444" s="41" t="str">
        <f>IF(Agent03_Withdrawals!A51="","",Agent03_Withdrawals!D51)</f>
        <v/>
      </c>
      <c r="F444" s="40" t="str">
        <f>IF(Agent03_Withdrawals!A51="","",Agent03_Withdrawals!F51)</f>
        <v/>
      </c>
      <c r="G444" s="42" t="str">
        <f>IF(Agent03_Withdrawals!A51="","",Agent03_Withdrawals!E51)</f>
        <v/>
      </c>
      <c r="H444" s="42" t="str">
        <f>IF(Agent03_Withdrawals!A51="","",Agent03_Withdrawals!G51)</f>
        <v/>
      </c>
      <c r="I444" s="40" t="str">
        <f>IF(Agent03_Withdrawals!A51="","",Agent03_Withdrawals!H51)</f>
        <v/>
      </c>
      <c r="J444" s="40" t="str">
        <f>IF(Agent03_Withdrawals!A51="","",Agent03_Withdrawals!J51)</f>
        <v/>
      </c>
      <c r="K444" s="40" t="str">
        <f>IF(Agent03_Withdrawals!A51="","",Agent03_Withdrawals!K51)</f>
        <v/>
      </c>
      <c r="L444" s="40" t="str">
        <f>IF(G444="","",IF(D444-G444&gt;=System_Config!$B$9,"✅ OK","⚠️ BREACH"))</f>
        <v/>
      </c>
      <c r="M444" s="40" t="str">
        <f>IFERROR(IF(Agent03_Withdrawals!A51="","",YEAR(Agent03_Withdrawals!D51)),"")</f>
        <v/>
      </c>
    </row>
    <row r="445" spans="1:13" ht="18" customHeight="1" x14ac:dyDescent="0.25">
      <c r="A445" s="40" t="str">
        <f>IF(Agent03_Withdrawals!A52="","",Agent03_Withdrawals!A52)</f>
        <v/>
      </c>
      <c r="B445" s="40" t="str">
        <f ca="1">IF(Agent03_Withdrawals!A52="","","WD"&amp;TEXT(445-3,"0000")&amp;"-"&amp;TEXT(TODAY(),"YYYYMMDD"))</f>
        <v/>
      </c>
      <c r="C445" s="40" t="str">
        <f>IF(Agent03_Withdrawals!A52="","",Agent03_Withdrawals!B52)</f>
        <v/>
      </c>
      <c r="D445" s="43" t="str">
        <f>IF(Agent03_Withdrawals!A52="","",Agent03_Withdrawals!C52)</f>
        <v/>
      </c>
      <c r="E445" s="41" t="str">
        <f>IF(Agent03_Withdrawals!A52="","",Agent03_Withdrawals!D52)</f>
        <v/>
      </c>
      <c r="F445" s="40" t="str">
        <f>IF(Agent03_Withdrawals!A52="","",Agent03_Withdrawals!F52)</f>
        <v/>
      </c>
      <c r="G445" s="42" t="str">
        <f>IF(Agent03_Withdrawals!A52="","",Agent03_Withdrawals!E52)</f>
        <v/>
      </c>
      <c r="H445" s="42" t="str">
        <f>IF(Agent03_Withdrawals!A52="","",Agent03_Withdrawals!G52)</f>
        <v/>
      </c>
      <c r="I445" s="40" t="str">
        <f>IF(Agent03_Withdrawals!A52="","",Agent03_Withdrawals!H52)</f>
        <v/>
      </c>
      <c r="J445" s="40" t="str">
        <f>IF(Agent03_Withdrawals!A52="","",Agent03_Withdrawals!J52)</f>
        <v/>
      </c>
      <c r="K445" s="40" t="str">
        <f>IF(Agent03_Withdrawals!A52="","",Agent03_Withdrawals!K52)</f>
        <v/>
      </c>
      <c r="L445" s="40" t="str">
        <f>IF(G445="","",IF(D445-G445&gt;=System_Config!$B$9,"✅ OK","⚠️ BREACH"))</f>
        <v/>
      </c>
      <c r="M445" s="40" t="str">
        <f>IFERROR(IF(Agent03_Withdrawals!A52="","",YEAR(Agent03_Withdrawals!D52)),"")</f>
        <v/>
      </c>
    </row>
    <row r="446" spans="1:13" ht="18" customHeight="1" x14ac:dyDescent="0.25">
      <c r="A446" s="40" t="str">
        <f>IF(Agent03_Withdrawals!A53="","",Agent03_Withdrawals!A53)</f>
        <v/>
      </c>
      <c r="B446" s="40" t="str">
        <f ca="1">IF(Agent03_Withdrawals!A53="","","WD"&amp;TEXT(446-3,"0000")&amp;"-"&amp;TEXT(TODAY(),"YYYYMMDD"))</f>
        <v/>
      </c>
      <c r="C446" s="40" t="str">
        <f>IF(Agent03_Withdrawals!A53="","",Agent03_Withdrawals!B53)</f>
        <v/>
      </c>
      <c r="D446" s="43" t="str">
        <f>IF(Agent03_Withdrawals!A53="","",Agent03_Withdrawals!C53)</f>
        <v/>
      </c>
      <c r="E446" s="41" t="str">
        <f>IF(Agent03_Withdrawals!A53="","",Agent03_Withdrawals!D53)</f>
        <v/>
      </c>
      <c r="F446" s="40" t="str">
        <f>IF(Agent03_Withdrawals!A53="","",Agent03_Withdrawals!F53)</f>
        <v/>
      </c>
      <c r="G446" s="42" t="str">
        <f>IF(Agent03_Withdrawals!A53="","",Agent03_Withdrawals!E53)</f>
        <v/>
      </c>
      <c r="H446" s="42" t="str">
        <f>IF(Agent03_Withdrawals!A53="","",Agent03_Withdrawals!G53)</f>
        <v/>
      </c>
      <c r="I446" s="40" t="str">
        <f>IF(Agent03_Withdrawals!A53="","",Agent03_Withdrawals!H53)</f>
        <v/>
      </c>
      <c r="J446" s="40" t="str">
        <f>IF(Agent03_Withdrawals!A53="","",Agent03_Withdrawals!J53)</f>
        <v/>
      </c>
      <c r="K446" s="40" t="str">
        <f>IF(Agent03_Withdrawals!A53="","",Agent03_Withdrawals!K53)</f>
        <v/>
      </c>
      <c r="L446" s="40" t="str">
        <f>IF(G446="","",IF(D446-G446&gt;=System_Config!$B$9,"✅ OK","⚠️ BREACH"))</f>
        <v/>
      </c>
      <c r="M446" s="40" t="str">
        <f>IFERROR(IF(Agent03_Withdrawals!A53="","",YEAR(Agent03_Withdrawals!D53)),"")</f>
        <v/>
      </c>
    </row>
    <row r="447" spans="1:13" ht="18" customHeight="1" x14ac:dyDescent="0.25">
      <c r="A447" s="40" t="str">
        <f>IF(Agent03_Withdrawals!A54="","",Agent03_Withdrawals!A54)</f>
        <v/>
      </c>
      <c r="B447" s="40" t="str">
        <f ca="1">IF(Agent03_Withdrawals!A54="","","WD"&amp;TEXT(447-3,"0000")&amp;"-"&amp;TEXT(TODAY(),"YYYYMMDD"))</f>
        <v/>
      </c>
      <c r="C447" s="40" t="str">
        <f>IF(Agent03_Withdrawals!A54="","",Agent03_Withdrawals!B54)</f>
        <v/>
      </c>
      <c r="D447" s="43" t="str">
        <f>IF(Agent03_Withdrawals!A54="","",Agent03_Withdrawals!C54)</f>
        <v/>
      </c>
      <c r="E447" s="41" t="str">
        <f>IF(Agent03_Withdrawals!A54="","",Agent03_Withdrawals!D54)</f>
        <v/>
      </c>
      <c r="F447" s="40" t="str">
        <f>IF(Agent03_Withdrawals!A54="","",Agent03_Withdrawals!F54)</f>
        <v/>
      </c>
      <c r="G447" s="42" t="str">
        <f>IF(Agent03_Withdrawals!A54="","",Agent03_Withdrawals!E54)</f>
        <v/>
      </c>
      <c r="H447" s="42" t="str">
        <f>IF(Agent03_Withdrawals!A54="","",Agent03_Withdrawals!G54)</f>
        <v/>
      </c>
      <c r="I447" s="40" t="str">
        <f>IF(Agent03_Withdrawals!A54="","",Agent03_Withdrawals!H54)</f>
        <v/>
      </c>
      <c r="J447" s="40" t="str">
        <f>IF(Agent03_Withdrawals!A54="","",Agent03_Withdrawals!J54)</f>
        <v/>
      </c>
      <c r="K447" s="40" t="str">
        <f>IF(Agent03_Withdrawals!A54="","",Agent03_Withdrawals!K54)</f>
        <v/>
      </c>
      <c r="L447" s="40" t="str">
        <f>IF(G447="","",IF(D447-G447&gt;=System_Config!$B$9,"✅ OK","⚠️ BREACH"))</f>
        <v/>
      </c>
      <c r="M447" s="40" t="str">
        <f>IFERROR(IF(Agent03_Withdrawals!A54="","",YEAR(Agent03_Withdrawals!D54)),"")</f>
        <v/>
      </c>
    </row>
    <row r="448" spans="1:13" ht="18" customHeight="1" x14ac:dyDescent="0.25">
      <c r="A448" s="40" t="str">
        <f>IF(Agent03_Withdrawals!A55="","",Agent03_Withdrawals!A55)</f>
        <v/>
      </c>
      <c r="B448" s="40" t="str">
        <f ca="1">IF(Agent03_Withdrawals!A55="","","WD"&amp;TEXT(448-3,"0000")&amp;"-"&amp;TEXT(TODAY(),"YYYYMMDD"))</f>
        <v/>
      </c>
      <c r="C448" s="40" t="str">
        <f>IF(Agent03_Withdrawals!A55="","",Agent03_Withdrawals!B55)</f>
        <v/>
      </c>
      <c r="D448" s="43" t="str">
        <f>IF(Agent03_Withdrawals!A55="","",Agent03_Withdrawals!C55)</f>
        <v/>
      </c>
      <c r="E448" s="41" t="str">
        <f>IF(Agent03_Withdrawals!A55="","",Agent03_Withdrawals!D55)</f>
        <v/>
      </c>
      <c r="F448" s="40" t="str">
        <f>IF(Agent03_Withdrawals!A55="","",Agent03_Withdrawals!F55)</f>
        <v/>
      </c>
      <c r="G448" s="42" t="str">
        <f>IF(Agent03_Withdrawals!A55="","",Agent03_Withdrawals!E55)</f>
        <v/>
      </c>
      <c r="H448" s="42" t="str">
        <f>IF(Agent03_Withdrawals!A55="","",Agent03_Withdrawals!G55)</f>
        <v/>
      </c>
      <c r="I448" s="40" t="str">
        <f>IF(Agent03_Withdrawals!A55="","",Agent03_Withdrawals!H55)</f>
        <v/>
      </c>
      <c r="J448" s="40" t="str">
        <f>IF(Agent03_Withdrawals!A55="","",Agent03_Withdrawals!J55)</f>
        <v/>
      </c>
      <c r="K448" s="40" t="str">
        <f>IF(Agent03_Withdrawals!A55="","",Agent03_Withdrawals!K55)</f>
        <v/>
      </c>
      <c r="L448" s="40" t="str">
        <f>IF(G448="","",IF(D448-G448&gt;=System_Config!$B$9,"✅ OK","⚠️ BREACH"))</f>
        <v/>
      </c>
      <c r="M448" s="40" t="str">
        <f>IFERROR(IF(Agent03_Withdrawals!A55="","",YEAR(Agent03_Withdrawals!D55)),"")</f>
        <v/>
      </c>
    </row>
    <row r="449" spans="1:13" ht="18" customHeight="1" x14ac:dyDescent="0.25">
      <c r="A449" s="40" t="str">
        <f>IF(Agent03_Withdrawals!A56="","",Agent03_Withdrawals!A56)</f>
        <v/>
      </c>
      <c r="B449" s="40" t="str">
        <f ca="1">IF(Agent03_Withdrawals!A56="","","WD"&amp;TEXT(449-3,"0000")&amp;"-"&amp;TEXT(TODAY(),"YYYYMMDD"))</f>
        <v/>
      </c>
      <c r="C449" s="40" t="str">
        <f>IF(Agent03_Withdrawals!A56="","",Agent03_Withdrawals!B56)</f>
        <v/>
      </c>
      <c r="D449" s="43" t="str">
        <f>IF(Agent03_Withdrawals!A56="","",Agent03_Withdrawals!C56)</f>
        <v/>
      </c>
      <c r="E449" s="41" t="str">
        <f>IF(Agent03_Withdrawals!A56="","",Agent03_Withdrawals!D56)</f>
        <v/>
      </c>
      <c r="F449" s="40" t="str">
        <f>IF(Agent03_Withdrawals!A56="","",Agent03_Withdrawals!F56)</f>
        <v/>
      </c>
      <c r="G449" s="42" t="str">
        <f>IF(Agent03_Withdrawals!A56="","",Agent03_Withdrawals!E56)</f>
        <v/>
      </c>
      <c r="H449" s="42" t="str">
        <f>IF(Agent03_Withdrawals!A56="","",Agent03_Withdrawals!G56)</f>
        <v/>
      </c>
      <c r="I449" s="40" t="str">
        <f>IF(Agent03_Withdrawals!A56="","",Agent03_Withdrawals!H56)</f>
        <v/>
      </c>
      <c r="J449" s="40" t="str">
        <f>IF(Agent03_Withdrawals!A56="","",Agent03_Withdrawals!J56)</f>
        <v/>
      </c>
      <c r="K449" s="40" t="str">
        <f>IF(Agent03_Withdrawals!A56="","",Agent03_Withdrawals!K56)</f>
        <v/>
      </c>
      <c r="L449" s="40" t="str">
        <f>IF(G449="","",IF(D449-G449&gt;=System_Config!$B$9,"✅ OK","⚠️ BREACH"))</f>
        <v/>
      </c>
      <c r="M449" s="40" t="str">
        <f>IFERROR(IF(Agent03_Withdrawals!A56="","",YEAR(Agent03_Withdrawals!D56)),"")</f>
        <v/>
      </c>
    </row>
    <row r="450" spans="1:13" ht="18" customHeight="1" x14ac:dyDescent="0.25">
      <c r="A450" s="40" t="str">
        <f>IF(Agent03_Withdrawals!A57="","",Agent03_Withdrawals!A57)</f>
        <v/>
      </c>
      <c r="B450" s="40" t="str">
        <f ca="1">IF(Agent03_Withdrawals!A57="","","WD"&amp;TEXT(450-3,"0000")&amp;"-"&amp;TEXT(TODAY(),"YYYYMMDD"))</f>
        <v/>
      </c>
      <c r="C450" s="40" t="str">
        <f>IF(Agent03_Withdrawals!A57="","",Agent03_Withdrawals!B57)</f>
        <v/>
      </c>
      <c r="D450" s="43" t="str">
        <f>IF(Agent03_Withdrawals!A57="","",Agent03_Withdrawals!C57)</f>
        <v/>
      </c>
      <c r="E450" s="41" t="str">
        <f>IF(Agent03_Withdrawals!A57="","",Agent03_Withdrawals!D57)</f>
        <v/>
      </c>
      <c r="F450" s="40" t="str">
        <f>IF(Agent03_Withdrawals!A57="","",Agent03_Withdrawals!F57)</f>
        <v/>
      </c>
      <c r="G450" s="42" t="str">
        <f>IF(Agent03_Withdrawals!A57="","",Agent03_Withdrawals!E57)</f>
        <v/>
      </c>
      <c r="H450" s="42" t="str">
        <f>IF(Agent03_Withdrawals!A57="","",Agent03_Withdrawals!G57)</f>
        <v/>
      </c>
      <c r="I450" s="40" t="str">
        <f>IF(Agent03_Withdrawals!A57="","",Agent03_Withdrawals!H57)</f>
        <v/>
      </c>
      <c r="J450" s="40" t="str">
        <f>IF(Agent03_Withdrawals!A57="","",Agent03_Withdrawals!J57)</f>
        <v/>
      </c>
      <c r="K450" s="40" t="str">
        <f>IF(Agent03_Withdrawals!A57="","",Agent03_Withdrawals!K57)</f>
        <v/>
      </c>
      <c r="L450" s="40" t="str">
        <f>IF(G450="","",IF(D450-G450&gt;=System_Config!$B$9,"✅ OK","⚠️ BREACH"))</f>
        <v/>
      </c>
      <c r="M450" s="40" t="str">
        <f>IFERROR(IF(Agent03_Withdrawals!A57="","",YEAR(Agent03_Withdrawals!D57)),"")</f>
        <v/>
      </c>
    </row>
    <row r="451" spans="1:13" ht="18" customHeight="1" x14ac:dyDescent="0.25">
      <c r="A451" s="40" t="str">
        <f>IF(Agent03_Withdrawals!A58="","",Agent03_Withdrawals!A58)</f>
        <v/>
      </c>
      <c r="B451" s="40" t="str">
        <f ca="1">IF(Agent03_Withdrawals!A58="","","WD"&amp;TEXT(451-3,"0000")&amp;"-"&amp;TEXT(TODAY(),"YYYYMMDD"))</f>
        <v/>
      </c>
      <c r="C451" s="40" t="str">
        <f>IF(Agent03_Withdrawals!A58="","",Agent03_Withdrawals!B58)</f>
        <v/>
      </c>
      <c r="D451" s="43" t="str">
        <f>IF(Agent03_Withdrawals!A58="","",Agent03_Withdrawals!C58)</f>
        <v/>
      </c>
      <c r="E451" s="41" t="str">
        <f>IF(Agent03_Withdrawals!A58="","",Agent03_Withdrawals!D58)</f>
        <v/>
      </c>
      <c r="F451" s="40" t="str">
        <f>IF(Agent03_Withdrawals!A58="","",Agent03_Withdrawals!F58)</f>
        <v/>
      </c>
      <c r="G451" s="42" t="str">
        <f>IF(Agent03_Withdrawals!A58="","",Agent03_Withdrawals!E58)</f>
        <v/>
      </c>
      <c r="H451" s="42" t="str">
        <f>IF(Agent03_Withdrawals!A58="","",Agent03_Withdrawals!G58)</f>
        <v/>
      </c>
      <c r="I451" s="40" t="str">
        <f>IF(Agent03_Withdrawals!A58="","",Agent03_Withdrawals!H58)</f>
        <v/>
      </c>
      <c r="J451" s="40" t="str">
        <f>IF(Agent03_Withdrawals!A58="","",Agent03_Withdrawals!J58)</f>
        <v/>
      </c>
      <c r="K451" s="40" t="str">
        <f>IF(Agent03_Withdrawals!A58="","",Agent03_Withdrawals!K58)</f>
        <v/>
      </c>
      <c r="L451" s="40" t="str">
        <f>IF(G451="","",IF(D451-G451&gt;=System_Config!$B$9,"✅ OK","⚠️ BREACH"))</f>
        <v/>
      </c>
      <c r="M451" s="40" t="str">
        <f>IFERROR(IF(Agent03_Withdrawals!A58="","",YEAR(Agent03_Withdrawals!D58)),"")</f>
        <v/>
      </c>
    </row>
    <row r="452" spans="1:13" ht="18" customHeight="1" x14ac:dyDescent="0.25">
      <c r="A452" s="40" t="str">
        <f>IF(Agent03_Withdrawals!A59="","",Agent03_Withdrawals!A59)</f>
        <v/>
      </c>
      <c r="B452" s="40" t="str">
        <f ca="1">IF(Agent03_Withdrawals!A59="","","WD"&amp;TEXT(452-3,"0000")&amp;"-"&amp;TEXT(TODAY(),"YYYYMMDD"))</f>
        <v/>
      </c>
      <c r="C452" s="40" t="str">
        <f>IF(Agent03_Withdrawals!A59="","",Agent03_Withdrawals!B59)</f>
        <v/>
      </c>
      <c r="D452" s="43" t="str">
        <f>IF(Agent03_Withdrawals!A59="","",Agent03_Withdrawals!C59)</f>
        <v/>
      </c>
      <c r="E452" s="41" t="str">
        <f>IF(Agent03_Withdrawals!A59="","",Agent03_Withdrawals!D59)</f>
        <v/>
      </c>
      <c r="F452" s="40" t="str">
        <f>IF(Agent03_Withdrawals!A59="","",Agent03_Withdrawals!F59)</f>
        <v/>
      </c>
      <c r="G452" s="42" t="str">
        <f>IF(Agent03_Withdrawals!A59="","",Agent03_Withdrawals!E59)</f>
        <v/>
      </c>
      <c r="H452" s="42" t="str">
        <f>IF(Agent03_Withdrawals!A59="","",Agent03_Withdrawals!G59)</f>
        <v/>
      </c>
      <c r="I452" s="40" t="str">
        <f>IF(Agent03_Withdrawals!A59="","",Agent03_Withdrawals!H59)</f>
        <v/>
      </c>
      <c r="J452" s="40" t="str">
        <f>IF(Agent03_Withdrawals!A59="","",Agent03_Withdrawals!J59)</f>
        <v/>
      </c>
      <c r="K452" s="40" t="str">
        <f>IF(Agent03_Withdrawals!A59="","",Agent03_Withdrawals!K59)</f>
        <v/>
      </c>
      <c r="L452" s="40" t="str">
        <f>IF(G452="","",IF(D452-G452&gt;=System_Config!$B$9,"✅ OK","⚠️ BREACH"))</f>
        <v/>
      </c>
      <c r="M452" s="40" t="str">
        <f>IFERROR(IF(Agent03_Withdrawals!A59="","",YEAR(Agent03_Withdrawals!D59)),"")</f>
        <v/>
      </c>
    </row>
    <row r="453" spans="1:13" ht="18" customHeight="1" x14ac:dyDescent="0.25">
      <c r="A453" s="40" t="str">
        <f>IF(Agent03_Withdrawals!A60="","",Agent03_Withdrawals!A60)</f>
        <v/>
      </c>
      <c r="B453" s="40" t="str">
        <f ca="1">IF(Agent03_Withdrawals!A60="","","WD"&amp;TEXT(453-3,"0000")&amp;"-"&amp;TEXT(TODAY(),"YYYYMMDD"))</f>
        <v/>
      </c>
      <c r="C453" s="40" t="str">
        <f>IF(Agent03_Withdrawals!A60="","",Agent03_Withdrawals!B60)</f>
        <v/>
      </c>
      <c r="D453" s="43" t="str">
        <f>IF(Agent03_Withdrawals!A60="","",Agent03_Withdrawals!C60)</f>
        <v/>
      </c>
      <c r="E453" s="41" t="str">
        <f>IF(Agent03_Withdrawals!A60="","",Agent03_Withdrawals!D60)</f>
        <v/>
      </c>
      <c r="F453" s="40" t="str">
        <f>IF(Agent03_Withdrawals!A60="","",Agent03_Withdrawals!F60)</f>
        <v/>
      </c>
      <c r="G453" s="42" t="str">
        <f>IF(Agent03_Withdrawals!A60="","",Agent03_Withdrawals!E60)</f>
        <v/>
      </c>
      <c r="H453" s="42" t="str">
        <f>IF(Agent03_Withdrawals!A60="","",Agent03_Withdrawals!G60)</f>
        <v/>
      </c>
      <c r="I453" s="40" t="str">
        <f>IF(Agent03_Withdrawals!A60="","",Agent03_Withdrawals!H60)</f>
        <v/>
      </c>
      <c r="J453" s="40" t="str">
        <f>IF(Agent03_Withdrawals!A60="","",Agent03_Withdrawals!J60)</f>
        <v/>
      </c>
      <c r="K453" s="40" t="str">
        <f>IF(Agent03_Withdrawals!A60="","",Agent03_Withdrawals!K60)</f>
        <v/>
      </c>
      <c r="L453" s="40" t="str">
        <f>IF(G453="","",IF(D453-G453&gt;=System_Config!$B$9,"✅ OK","⚠️ BREACH"))</f>
        <v/>
      </c>
      <c r="M453" s="40" t="str">
        <f>IFERROR(IF(Agent03_Withdrawals!A60="","",YEAR(Agent03_Withdrawals!D60)),"")</f>
        <v/>
      </c>
    </row>
    <row r="454" spans="1:13" ht="18" customHeight="1" x14ac:dyDescent="0.25">
      <c r="A454" s="40" t="str">
        <f>IF(Agent03_Withdrawals!A61="","",Agent03_Withdrawals!A61)</f>
        <v/>
      </c>
      <c r="B454" s="40" t="str">
        <f ca="1">IF(Agent03_Withdrawals!A61="","","WD"&amp;TEXT(454-3,"0000")&amp;"-"&amp;TEXT(TODAY(),"YYYYMMDD"))</f>
        <v/>
      </c>
      <c r="C454" s="40" t="str">
        <f>IF(Agent03_Withdrawals!A61="","",Agent03_Withdrawals!B61)</f>
        <v/>
      </c>
      <c r="D454" s="43" t="str">
        <f>IF(Agent03_Withdrawals!A61="","",Agent03_Withdrawals!C61)</f>
        <v/>
      </c>
      <c r="E454" s="41" t="str">
        <f>IF(Agent03_Withdrawals!A61="","",Agent03_Withdrawals!D61)</f>
        <v/>
      </c>
      <c r="F454" s="40" t="str">
        <f>IF(Agent03_Withdrawals!A61="","",Agent03_Withdrawals!F61)</f>
        <v/>
      </c>
      <c r="G454" s="42" t="str">
        <f>IF(Agent03_Withdrawals!A61="","",Agent03_Withdrawals!E61)</f>
        <v/>
      </c>
      <c r="H454" s="42" t="str">
        <f>IF(Agent03_Withdrawals!A61="","",Agent03_Withdrawals!G61)</f>
        <v/>
      </c>
      <c r="I454" s="40" t="str">
        <f>IF(Agent03_Withdrawals!A61="","",Agent03_Withdrawals!H61)</f>
        <v/>
      </c>
      <c r="J454" s="40" t="str">
        <f>IF(Agent03_Withdrawals!A61="","",Agent03_Withdrawals!J61)</f>
        <v/>
      </c>
      <c r="K454" s="40" t="str">
        <f>IF(Agent03_Withdrawals!A61="","",Agent03_Withdrawals!K61)</f>
        <v/>
      </c>
      <c r="L454" s="40" t="str">
        <f>IF(G454="","",IF(D454-G454&gt;=System_Config!$B$9,"✅ OK","⚠️ BREACH"))</f>
        <v/>
      </c>
      <c r="M454" s="40" t="str">
        <f>IFERROR(IF(Agent03_Withdrawals!A61="","",YEAR(Agent03_Withdrawals!D61)),"")</f>
        <v/>
      </c>
    </row>
    <row r="455" spans="1:13" ht="18" customHeight="1" x14ac:dyDescent="0.25">
      <c r="A455" s="40" t="str">
        <f>IF(Agent03_Withdrawals!A62="","",Agent03_Withdrawals!A62)</f>
        <v/>
      </c>
      <c r="B455" s="40" t="str">
        <f ca="1">IF(Agent03_Withdrawals!A62="","","WD"&amp;TEXT(455-3,"0000")&amp;"-"&amp;TEXT(TODAY(),"YYYYMMDD"))</f>
        <v/>
      </c>
      <c r="C455" s="40" t="str">
        <f>IF(Agent03_Withdrawals!A62="","",Agent03_Withdrawals!B62)</f>
        <v/>
      </c>
      <c r="D455" s="43" t="str">
        <f>IF(Agent03_Withdrawals!A62="","",Agent03_Withdrawals!C62)</f>
        <v/>
      </c>
      <c r="E455" s="41" t="str">
        <f>IF(Agent03_Withdrawals!A62="","",Agent03_Withdrawals!D62)</f>
        <v/>
      </c>
      <c r="F455" s="40" t="str">
        <f>IF(Agent03_Withdrawals!A62="","",Agent03_Withdrawals!F62)</f>
        <v/>
      </c>
      <c r="G455" s="42" t="str">
        <f>IF(Agent03_Withdrawals!A62="","",Agent03_Withdrawals!E62)</f>
        <v/>
      </c>
      <c r="H455" s="42" t="str">
        <f>IF(Agent03_Withdrawals!A62="","",Agent03_Withdrawals!G62)</f>
        <v/>
      </c>
      <c r="I455" s="40" t="str">
        <f>IF(Agent03_Withdrawals!A62="","",Agent03_Withdrawals!H62)</f>
        <v/>
      </c>
      <c r="J455" s="40" t="str">
        <f>IF(Agent03_Withdrawals!A62="","",Agent03_Withdrawals!J62)</f>
        <v/>
      </c>
      <c r="K455" s="40" t="str">
        <f>IF(Agent03_Withdrawals!A62="","",Agent03_Withdrawals!K62)</f>
        <v/>
      </c>
      <c r="L455" s="40" t="str">
        <f>IF(G455="","",IF(D455-G455&gt;=System_Config!$B$9,"✅ OK","⚠️ BREACH"))</f>
        <v/>
      </c>
      <c r="M455" s="40" t="str">
        <f>IFERROR(IF(Agent03_Withdrawals!A62="","",YEAR(Agent03_Withdrawals!D62)),"")</f>
        <v/>
      </c>
    </row>
    <row r="456" spans="1:13" ht="18" customHeight="1" x14ac:dyDescent="0.25">
      <c r="A456" s="40" t="str">
        <f>IF(Agent03_Withdrawals!A63="","",Agent03_Withdrawals!A63)</f>
        <v/>
      </c>
      <c r="B456" s="40" t="str">
        <f ca="1">IF(Agent03_Withdrawals!A63="","","WD"&amp;TEXT(456-3,"0000")&amp;"-"&amp;TEXT(TODAY(),"YYYYMMDD"))</f>
        <v/>
      </c>
      <c r="C456" s="40" t="str">
        <f>IF(Agent03_Withdrawals!A63="","",Agent03_Withdrawals!B63)</f>
        <v/>
      </c>
      <c r="D456" s="43" t="str">
        <f>IF(Agent03_Withdrawals!A63="","",Agent03_Withdrawals!C63)</f>
        <v/>
      </c>
      <c r="E456" s="41" t="str">
        <f>IF(Agent03_Withdrawals!A63="","",Agent03_Withdrawals!D63)</f>
        <v/>
      </c>
      <c r="F456" s="40" t="str">
        <f>IF(Agent03_Withdrawals!A63="","",Agent03_Withdrawals!F63)</f>
        <v/>
      </c>
      <c r="G456" s="42" t="str">
        <f>IF(Agent03_Withdrawals!A63="","",Agent03_Withdrawals!E63)</f>
        <v/>
      </c>
      <c r="H456" s="42" t="str">
        <f>IF(Agent03_Withdrawals!A63="","",Agent03_Withdrawals!G63)</f>
        <v/>
      </c>
      <c r="I456" s="40" t="str">
        <f>IF(Agent03_Withdrawals!A63="","",Agent03_Withdrawals!H63)</f>
        <v/>
      </c>
      <c r="J456" s="40" t="str">
        <f>IF(Agent03_Withdrawals!A63="","",Agent03_Withdrawals!J63)</f>
        <v/>
      </c>
      <c r="K456" s="40" t="str">
        <f>IF(Agent03_Withdrawals!A63="","",Agent03_Withdrawals!K63)</f>
        <v/>
      </c>
      <c r="L456" s="40" t="str">
        <f>IF(G456="","",IF(D456-G456&gt;=System_Config!$B$9,"✅ OK","⚠️ BREACH"))</f>
        <v/>
      </c>
      <c r="M456" s="40" t="str">
        <f>IFERROR(IF(Agent03_Withdrawals!A63="","",YEAR(Agent03_Withdrawals!D63)),"")</f>
        <v/>
      </c>
    </row>
    <row r="457" spans="1:13" ht="18" customHeight="1" x14ac:dyDescent="0.25">
      <c r="A457" s="40" t="str">
        <f>IF(Agent03_Withdrawals!A64="","",Agent03_Withdrawals!A64)</f>
        <v/>
      </c>
      <c r="B457" s="40" t="str">
        <f ca="1">IF(Agent03_Withdrawals!A64="","","WD"&amp;TEXT(457-3,"0000")&amp;"-"&amp;TEXT(TODAY(),"YYYYMMDD"))</f>
        <v/>
      </c>
      <c r="C457" s="40" t="str">
        <f>IF(Agent03_Withdrawals!A64="","",Agent03_Withdrawals!B64)</f>
        <v/>
      </c>
      <c r="D457" s="43" t="str">
        <f>IF(Agent03_Withdrawals!A64="","",Agent03_Withdrawals!C64)</f>
        <v/>
      </c>
      <c r="E457" s="41" t="str">
        <f>IF(Agent03_Withdrawals!A64="","",Agent03_Withdrawals!D64)</f>
        <v/>
      </c>
      <c r="F457" s="40" t="str">
        <f>IF(Agent03_Withdrawals!A64="","",Agent03_Withdrawals!F64)</f>
        <v/>
      </c>
      <c r="G457" s="42" t="str">
        <f>IF(Agent03_Withdrawals!A64="","",Agent03_Withdrawals!E64)</f>
        <v/>
      </c>
      <c r="H457" s="42" t="str">
        <f>IF(Agent03_Withdrawals!A64="","",Agent03_Withdrawals!G64)</f>
        <v/>
      </c>
      <c r="I457" s="40" t="str">
        <f>IF(Agent03_Withdrawals!A64="","",Agent03_Withdrawals!H64)</f>
        <v/>
      </c>
      <c r="J457" s="40" t="str">
        <f>IF(Agent03_Withdrawals!A64="","",Agent03_Withdrawals!J64)</f>
        <v/>
      </c>
      <c r="K457" s="40" t="str">
        <f>IF(Agent03_Withdrawals!A64="","",Agent03_Withdrawals!K64)</f>
        <v/>
      </c>
      <c r="L457" s="40" t="str">
        <f>IF(G457="","",IF(D457-G457&gt;=System_Config!$B$9,"✅ OK","⚠️ BREACH"))</f>
        <v/>
      </c>
      <c r="M457" s="40" t="str">
        <f>IFERROR(IF(Agent03_Withdrawals!A64="","",YEAR(Agent03_Withdrawals!D64)),"")</f>
        <v/>
      </c>
    </row>
    <row r="458" spans="1:13" ht="18" customHeight="1" x14ac:dyDescent="0.25">
      <c r="A458" s="40" t="str">
        <f>IF(Agent03_Withdrawals!A65="","",Agent03_Withdrawals!A65)</f>
        <v/>
      </c>
      <c r="B458" s="40" t="str">
        <f ca="1">IF(Agent03_Withdrawals!A65="","","WD"&amp;TEXT(458-3,"0000")&amp;"-"&amp;TEXT(TODAY(),"YYYYMMDD"))</f>
        <v/>
      </c>
      <c r="C458" s="40" t="str">
        <f>IF(Agent03_Withdrawals!A65="","",Agent03_Withdrawals!B65)</f>
        <v/>
      </c>
      <c r="D458" s="43" t="str">
        <f>IF(Agent03_Withdrawals!A65="","",Agent03_Withdrawals!C65)</f>
        <v/>
      </c>
      <c r="E458" s="41" t="str">
        <f>IF(Agent03_Withdrawals!A65="","",Agent03_Withdrawals!D65)</f>
        <v/>
      </c>
      <c r="F458" s="40" t="str">
        <f>IF(Agent03_Withdrawals!A65="","",Agent03_Withdrawals!F65)</f>
        <v/>
      </c>
      <c r="G458" s="42" t="str">
        <f>IF(Agent03_Withdrawals!A65="","",Agent03_Withdrawals!E65)</f>
        <v/>
      </c>
      <c r="H458" s="42" t="str">
        <f>IF(Agent03_Withdrawals!A65="","",Agent03_Withdrawals!G65)</f>
        <v/>
      </c>
      <c r="I458" s="40" t="str">
        <f>IF(Agent03_Withdrawals!A65="","",Agent03_Withdrawals!H65)</f>
        <v/>
      </c>
      <c r="J458" s="40" t="str">
        <f>IF(Agent03_Withdrawals!A65="","",Agent03_Withdrawals!J65)</f>
        <v/>
      </c>
      <c r="K458" s="40" t="str">
        <f>IF(Agent03_Withdrawals!A65="","",Agent03_Withdrawals!K65)</f>
        <v/>
      </c>
      <c r="L458" s="40" t="str">
        <f>IF(G458="","",IF(D458-G458&gt;=System_Config!$B$9,"✅ OK","⚠️ BREACH"))</f>
        <v/>
      </c>
      <c r="M458" s="40" t="str">
        <f>IFERROR(IF(Agent03_Withdrawals!A65="","",YEAR(Agent03_Withdrawals!D65)),"")</f>
        <v/>
      </c>
    </row>
    <row r="459" spans="1:13" ht="18" customHeight="1" x14ac:dyDescent="0.25">
      <c r="A459" s="40" t="str">
        <f>IF(Agent03_Withdrawals!A66="","",Agent03_Withdrawals!A66)</f>
        <v/>
      </c>
      <c r="B459" s="40" t="str">
        <f ca="1">IF(Agent03_Withdrawals!A66="","","WD"&amp;TEXT(459-3,"0000")&amp;"-"&amp;TEXT(TODAY(),"YYYYMMDD"))</f>
        <v/>
      </c>
      <c r="C459" s="40" t="str">
        <f>IF(Agent03_Withdrawals!A66="","",Agent03_Withdrawals!B66)</f>
        <v/>
      </c>
      <c r="D459" s="43" t="str">
        <f>IF(Agent03_Withdrawals!A66="","",Agent03_Withdrawals!C66)</f>
        <v/>
      </c>
      <c r="E459" s="41" t="str">
        <f>IF(Agent03_Withdrawals!A66="","",Agent03_Withdrawals!D66)</f>
        <v/>
      </c>
      <c r="F459" s="40" t="str">
        <f>IF(Agent03_Withdrawals!A66="","",Agent03_Withdrawals!F66)</f>
        <v/>
      </c>
      <c r="G459" s="42" t="str">
        <f>IF(Agent03_Withdrawals!A66="","",Agent03_Withdrawals!E66)</f>
        <v/>
      </c>
      <c r="H459" s="42" t="str">
        <f>IF(Agent03_Withdrawals!A66="","",Agent03_Withdrawals!G66)</f>
        <v/>
      </c>
      <c r="I459" s="40" t="str">
        <f>IF(Agent03_Withdrawals!A66="","",Agent03_Withdrawals!H66)</f>
        <v/>
      </c>
      <c r="J459" s="40" t="str">
        <f>IF(Agent03_Withdrawals!A66="","",Agent03_Withdrawals!J66)</f>
        <v/>
      </c>
      <c r="K459" s="40" t="str">
        <f>IF(Agent03_Withdrawals!A66="","",Agent03_Withdrawals!K66)</f>
        <v/>
      </c>
      <c r="L459" s="40" t="str">
        <f>IF(G459="","",IF(D459-G459&gt;=System_Config!$B$9,"✅ OK","⚠️ BREACH"))</f>
        <v/>
      </c>
      <c r="M459" s="40" t="str">
        <f>IFERROR(IF(Agent03_Withdrawals!A66="","",YEAR(Agent03_Withdrawals!D66)),"")</f>
        <v/>
      </c>
    </row>
    <row r="460" spans="1:13" ht="18" customHeight="1" x14ac:dyDescent="0.25">
      <c r="A460" s="40" t="str">
        <f>IF(Agent03_Withdrawals!A67="","",Agent03_Withdrawals!A67)</f>
        <v/>
      </c>
      <c r="B460" s="40" t="str">
        <f ca="1">IF(Agent03_Withdrawals!A67="","","WD"&amp;TEXT(460-3,"0000")&amp;"-"&amp;TEXT(TODAY(),"YYYYMMDD"))</f>
        <v/>
      </c>
      <c r="C460" s="40" t="str">
        <f>IF(Agent03_Withdrawals!A67="","",Agent03_Withdrawals!B67)</f>
        <v/>
      </c>
      <c r="D460" s="43" t="str">
        <f>IF(Agent03_Withdrawals!A67="","",Agent03_Withdrawals!C67)</f>
        <v/>
      </c>
      <c r="E460" s="41" t="str">
        <f>IF(Agent03_Withdrawals!A67="","",Agent03_Withdrawals!D67)</f>
        <v/>
      </c>
      <c r="F460" s="40" t="str">
        <f>IF(Agent03_Withdrawals!A67="","",Agent03_Withdrawals!F67)</f>
        <v/>
      </c>
      <c r="G460" s="42" t="str">
        <f>IF(Agent03_Withdrawals!A67="","",Agent03_Withdrawals!E67)</f>
        <v/>
      </c>
      <c r="H460" s="42" t="str">
        <f>IF(Agent03_Withdrawals!A67="","",Agent03_Withdrawals!G67)</f>
        <v/>
      </c>
      <c r="I460" s="40" t="str">
        <f>IF(Agent03_Withdrawals!A67="","",Agent03_Withdrawals!H67)</f>
        <v/>
      </c>
      <c r="J460" s="40" t="str">
        <f>IF(Agent03_Withdrawals!A67="","",Agent03_Withdrawals!J67)</f>
        <v/>
      </c>
      <c r="K460" s="40" t="str">
        <f>IF(Agent03_Withdrawals!A67="","",Agent03_Withdrawals!K67)</f>
        <v/>
      </c>
      <c r="L460" s="40" t="str">
        <f>IF(G460="","",IF(D460-G460&gt;=System_Config!$B$9,"✅ OK","⚠️ BREACH"))</f>
        <v/>
      </c>
      <c r="M460" s="40" t="str">
        <f>IFERROR(IF(Agent03_Withdrawals!A67="","",YEAR(Agent03_Withdrawals!D67)),"")</f>
        <v/>
      </c>
    </row>
    <row r="461" spans="1:13" ht="18" customHeight="1" x14ac:dyDescent="0.25">
      <c r="A461" s="40" t="str">
        <f>IF(Agent03_Withdrawals!A68="","",Agent03_Withdrawals!A68)</f>
        <v/>
      </c>
      <c r="B461" s="40" t="str">
        <f ca="1">IF(Agent03_Withdrawals!A68="","","WD"&amp;TEXT(461-3,"0000")&amp;"-"&amp;TEXT(TODAY(),"YYYYMMDD"))</f>
        <v/>
      </c>
      <c r="C461" s="40" t="str">
        <f>IF(Agent03_Withdrawals!A68="","",Agent03_Withdrawals!B68)</f>
        <v/>
      </c>
      <c r="D461" s="43" t="str">
        <f>IF(Agent03_Withdrawals!A68="","",Agent03_Withdrawals!C68)</f>
        <v/>
      </c>
      <c r="E461" s="41" t="str">
        <f>IF(Agent03_Withdrawals!A68="","",Agent03_Withdrawals!D68)</f>
        <v/>
      </c>
      <c r="F461" s="40" t="str">
        <f>IF(Agent03_Withdrawals!A68="","",Agent03_Withdrawals!F68)</f>
        <v/>
      </c>
      <c r="G461" s="42" t="str">
        <f>IF(Agent03_Withdrawals!A68="","",Agent03_Withdrawals!E68)</f>
        <v/>
      </c>
      <c r="H461" s="42" t="str">
        <f>IF(Agent03_Withdrawals!A68="","",Agent03_Withdrawals!G68)</f>
        <v/>
      </c>
      <c r="I461" s="40" t="str">
        <f>IF(Agent03_Withdrawals!A68="","",Agent03_Withdrawals!H68)</f>
        <v/>
      </c>
      <c r="J461" s="40" t="str">
        <f>IF(Agent03_Withdrawals!A68="","",Agent03_Withdrawals!J68)</f>
        <v/>
      </c>
      <c r="K461" s="40" t="str">
        <f>IF(Agent03_Withdrawals!A68="","",Agent03_Withdrawals!K68)</f>
        <v/>
      </c>
      <c r="L461" s="40" t="str">
        <f>IF(G461="","",IF(D461-G461&gt;=System_Config!$B$9,"✅ OK","⚠️ BREACH"))</f>
        <v/>
      </c>
      <c r="M461" s="40" t="str">
        <f>IFERROR(IF(Agent03_Withdrawals!A68="","",YEAR(Agent03_Withdrawals!D68)),"")</f>
        <v/>
      </c>
    </row>
    <row r="462" spans="1:13" ht="18" customHeight="1" x14ac:dyDescent="0.25">
      <c r="A462" s="40" t="str">
        <f>IF(Agent03_Withdrawals!A69="","",Agent03_Withdrawals!A69)</f>
        <v/>
      </c>
      <c r="B462" s="40" t="str">
        <f ca="1">IF(Agent03_Withdrawals!A69="","","WD"&amp;TEXT(462-3,"0000")&amp;"-"&amp;TEXT(TODAY(),"YYYYMMDD"))</f>
        <v/>
      </c>
      <c r="C462" s="40" t="str">
        <f>IF(Agent03_Withdrawals!A69="","",Agent03_Withdrawals!B69)</f>
        <v/>
      </c>
      <c r="D462" s="43" t="str">
        <f>IF(Agent03_Withdrawals!A69="","",Agent03_Withdrawals!C69)</f>
        <v/>
      </c>
      <c r="E462" s="41" t="str">
        <f>IF(Agent03_Withdrawals!A69="","",Agent03_Withdrawals!D69)</f>
        <v/>
      </c>
      <c r="F462" s="40" t="str">
        <f>IF(Agent03_Withdrawals!A69="","",Agent03_Withdrawals!F69)</f>
        <v/>
      </c>
      <c r="G462" s="42" t="str">
        <f>IF(Agent03_Withdrawals!A69="","",Agent03_Withdrawals!E69)</f>
        <v/>
      </c>
      <c r="H462" s="42" t="str">
        <f>IF(Agent03_Withdrawals!A69="","",Agent03_Withdrawals!G69)</f>
        <v/>
      </c>
      <c r="I462" s="40" t="str">
        <f>IF(Agent03_Withdrawals!A69="","",Agent03_Withdrawals!H69)</f>
        <v/>
      </c>
      <c r="J462" s="40" t="str">
        <f>IF(Agent03_Withdrawals!A69="","",Agent03_Withdrawals!J69)</f>
        <v/>
      </c>
      <c r="K462" s="40" t="str">
        <f>IF(Agent03_Withdrawals!A69="","",Agent03_Withdrawals!K69)</f>
        <v/>
      </c>
      <c r="L462" s="40" t="str">
        <f>IF(G462="","",IF(D462-G462&gt;=System_Config!$B$9,"✅ OK","⚠️ BREACH"))</f>
        <v/>
      </c>
      <c r="M462" s="40" t="str">
        <f>IFERROR(IF(Agent03_Withdrawals!A69="","",YEAR(Agent03_Withdrawals!D69)),"")</f>
        <v/>
      </c>
    </row>
    <row r="463" spans="1:13" ht="18" customHeight="1" x14ac:dyDescent="0.25">
      <c r="A463" s="40" t="str">
        <f>IF(Agent03_Withdrawals!A70="","",Agent03_Withdrawals!A70)</f>
        <v/>
      </c>
      <c r="B463" s="40" t="str">
        <f ca="1">IF(Agent03_Withdrawals!A70="","","WD"&amp;TEXT(463-3,"0000")&amp;"-"&amp;TEXT(TODAY(),"YYYYMMDD"))</f>
        <v/>
      </c>
      <c r="C463" s="40" t="str">
        <f>IF(Agent03_Withdrawals!A70="","",Agent03_Withdrawals!B70)</f>
        <v/>
      </c>
      <c r="D463" s="43" t="str">
        <f>IF(Agent03_Withdrawals!A70="","",Agent03_Withdrawals!C70)</f>
        <v/>
      </c>
      <c r="E463" s="41" t="str">
        <f>IF(Agent03_Withdrawals!A70="","",Agent03_Withdrawals!D70)</f>
        <v/>
      </c>
      <c r="F463" s="40" t="str">
        <f>IF(Agent03_Withdrawals!A70="","",Agent03_Withdrawals!F70)</f>
        <v/>
      </c>
      <c r="G463" s="42" t="str">
        <f>IF(Agent03_Withdrawals!A70="","",Agent03_Withdrawals!E70)</f>
        <v/>
      </c>
      <c r="H463" s="42" t="str">
        <f>IF(Agent03_Withdrawals!A70="","",Agent03_Withdrawals!G70)</f>
        <v/>
      </c>
      <c r="I463" s="40" t="str">
        <f>IF(Agent03_Withdrawals!A70="","",Agent03_Withdrawals!H70)</f>
        <v/>
      </c>
      <c r="J463" s="40" t="str">
        <f>IF(Agent03_Withdrawals!A70="","",Agent03_Withdrawals!J70)</f>
        <v/>
      </c>
      <c r="K463" s="40" t="str">
        <f>IF(Agent03_Withdrawals!A70="","",Agent03_Withdrawals!K70)</f>
        <v/>
      </c>
      <c r="L463" s="40" t="str">
        <f>IF(G463="","",IF(D463-G463&gt;=System_Config!$B$9,"✅ OK","⚠️ BREACH"))</f>
        <v/>
      </c>
      <c r="M463" s="40" t="str">
        <f>IFERROR(IF(Agent03_Withdrawals!A70="","",YEAR(Agent03_Withdrawals!D70)),"")</f>
        <v/>
      </c>
    </row>
    <row r="464" spans="1:13" ht="18" customHeight="1" x14ac:dyDescent="0.25">
      <c r="A464" s="40" t="str">
        <f>IF(Agent03_Withdrawals!A71="","",Agent03_Withdrawals!A71)</f>
        <v/>
      </c>
      <c r="B464" s="40" t="str">
        <f ca="1">IF(Agent03_Withdrawals!A71="","","WD"&amp;TEXT(464-3,"0000")&amp;"-"&amp;TEXT(TODAY(),"YYYYMMDD"))</f>
        <v/>
      </c>
      <c r="C464" s="40" t="str">
        <f>IF(Agent03_Withdrawals!A71="","",Agent03_Withdrawals!B71)</f>
        <v/>
      </c>
      <c r="D464" s="43" t="str">
        <f>IF(Agent03_Withdrawals!A71="","",Agent03_Withdrawals!C71)</f>
        <v/>
      </c>
      <c r="E464" s="41" t="str">
        <f>IF(Agent03_Withdrawals!A71="","",Agent03_Withdrawals!D71)</f>
        <v/>
      </c>
      <c r="F464" s="40" t="str">
        <f>IF(Agent03_Withdrawals!A71="","",Agent03_Withdrawals!F71)</f>
        <v/>
      </c>
      <c r="G464" s="42" t="str">
        <f>IF(Agent03_Withdrawals!A71="","",Agent03_Withdrawals!E71)</f>
        <v/>
      </c>
      <c r="H464" s="42" t="str">
        <f>IF(Agent03_Withdrawals!A71="","",Agent03_Withdrawals!G71)</f>
        <v/>
      </c>
      <c r="I464" s="40" t="str">
        <f>IF(Agent03_Withdrawals!A71="","",Agent03_Withdrawals!H71)</f>
        <v/>
      </c>
      <c r="J464" s="40" t="str">
        <f>IF(Agent03_Withdrawals!A71="","",Agent03_Withdrawals!J71)</f>
        <v/>
      </c>
      <c r="K464" s="40" t="str">
        <f>IF(Agent03_Withdrawals!A71="","",Agent03_Withdrawals!K71)</f>
        <v/>
      </c>
      <c r="L464" s="40" t="str">
        <f>IF(G464="","",IF(D464-G464&gt;=System_Config!$B$9,"✅ OK","⚠️ BREACH"))</f>
        <v/>
      </c>
      <c r="M464" s="40" t="str">
        <f>IFERROR(IF(Agent03_Withdrawals!A71="","",YEAR(Agent03_Withdrawals!D71)),"")</f>
        <v/>
      </c>
    </row>
    <row r="465" spans="1:13" ht="18" customHeight="1" x14ac:dyDescent="0.25">
      <c r="A465" s="40" t="str">
        <f>IF(Agent03_Withdrawals!A72="","",Agent03_Withdrawals!A72)</f>
        <v/>
      </c>
      <c r="B465" s="40" t="str">
        <f ca="1">IF(Agent03_Withdrawals!A72="","","WD"&amp;TEXT(465-3,"0000")&amp;"-"&amp;TEXT(TODAY(),"YYYYMMDD"))</f>
        <v/>
      </c>
      <c r="C465" s="40" t="str">
        <f>IF(Agent03_Withdrawals!A72="","",Agent03_Withdrawals!B72)</f>
        <v/>
      </c>
      <c r="D465" s="43" t="str">
        <f>IF(Agent03_Withdrawals!A72="","",Agent03_Withdrawals!C72)</f>
        <v/>
      </c>
      <c r="E465" s="41" t="str">
        <f>IF(Agent03_Withdrawals!A72="","",Agent03_Withdrawals!D72)</f>
        <v/>
      </c>
      <c r="F465" s="40" t="str">
        <f>IF(Agent03_Withdrawals!A72="","",Agent03_Withdrawals!F72)</f>
        <v/>
      </c>
      <c r="G465" s="42" t="str">
        <f>IF(Agent03_Withdrawals!A72="","",Agent03_Withdrawals!E72)</f>
        <v/>
      </c>
      <c r="H465" s="42" t="str">
        <f>IF(Agent03_Withdrawals!A72="","",Agent03_Withdrawals!G72)</f>
        <v/>
      </c>
      <c r="I465" s="40" t="str">
        <f>IF(Agent03_Withdrawals!A72="","",Agent03_Withdrawals!H72)</f>
        <v/>
      </c>
      <c r="J465" s="40" t="str">
        <f>IF(Agent03_Withdrawals!A72="","",Agent03_Withdrawals!J72)</f>
        <v/>
      </c>
      <c r="K465" s="40" t="str">
        <f>IF(Agent03_Withdrawals!A72="","",Agent03_Withdrawals!K72)</f>
        <v/>
      </c>
      <c r="L465" s="40" t="str">
        <f>IF(G465="","",IF(D465-G465&gt;=System_Config!$B$9,"✅ OK","⚠️ BREACH"))</f>
        <v/>
      </c>
      <c r="M465" s="40" t="str">
        <f>IFERROR(IF(Agent03_Withdrawals!A72="","",YEAR(Agent03_Withdrawals!D72)),"")</f>
        <v/>
      </c>
    </row>
    <row r="466" spans="1:13" ht="18" customHeight="1" x14ac:dyDescent="0.25">
      <c r="A466" s="40" t="str">
        <f>IF(Agent03_Withdrawals!A73="","",Agent03_Withdrawals!A73)</f>
        <v/>
      </c>
      <c r="B466" s="40" t="str">
        <f ca="1">IF(Agent03_Withdrawals!A73="","","WD"&amp;TEXT(466-3,"0000")&amp;"-"&amp;TEXT(TODAY(),"YYYYMMDD"))</f>
        <v/>
      </c>
      <c r="C466" s="40" t="str">
        <f>IF(Agent03_Withdrawals!A73="","",Agent03_Withdrawals!B73)</f>
        <v/>
      </c>
      <c r="D466" s="43" t="str">
        <f>IF(Agent03_Withdrawals!A73="","",Agent03_Withdrawals!C73)</f>
        <v/>
      </c>
      <c r="E466" s="41" t="str">
        <f>IF(Agent03_Withdrawals!A73="","",Agent03_Withdrawals!D73)</f>
        <v/>
      </c>
      <c r="F466" s="40" t="str">
        <f>IF(Agent03_Withdrawals!A73="","",Agent03_Withdrawals!F73)</f>
        <v/>
      </c>
      <c r="G466" s="42" t="str">
        <f>IF(Agent03_Withdrawals!A73="","",Agent03_Withdrawals!E73)</f>
        <v/>
      </c>
      <c r="H466" s="42" t="str">
        <f>IF(Agent03_Withdrawals!A73="","",Agent03_Withdrawals!G73)</f>
        <v/>
      </c>
      <c r="I466" s="40" t="str">
        <f>IF(Agent03_Withdrawals!A73="","",Agent03_Withdrawals!H73)</f>
        <v/>
      </c>
      <c r="J466" s="40" t="str">
        <f>IF(Agent03_Withdrawals!A73="","",Agent03_Withdrawals!J73)</f>
        <v/>
      </c>
      <c r="K466" s="40" t="str">
        <f>IF(Agent03_Withdrawals!A73="","",Agent03_Withdrawals!K73)</f>
        <v/>
      </c>
      <c r="L466" s="40" t="str">
        <f>IF(G466="","",IF(D466-G466&gt;=System_Config!$B$9,"✅ OK","⚠️ BREACH"))</f>
        <v/>
      </c>
      <c r="M466" s="40" t="str">
        <f>IFERROR(IF(Agent03_Withdrawals!A73="","",YEAR(Agent03_Withdrawals!D73)),"")</f>
        <v/>
      </c>
    </row>
    <row r="467" spans="1:13" ht="18" customHeight="1" x14ac:dyDescent="0.25">
      <c r="A467" s="40" t="str">
        <f>IF(Agent03_Withdrawals!A74="","",Agent03_Withdrawals!A74)</f>
        <v/>
      </c>
      <c r="B467" s="40" t="str">
        <f ca="1">IF(Agent03_Withdrawals!A74="","","WD"&amp;TEXT(467-3,"0000")&amp;"-"&amp;TEXT(TODAY(),"YYYYMMDD"))</f>
        <v/>
      </c>
      <c r="C467" s="40" t="str">
        <f>IF(Agent03_Withdrawals!A74="","",Agent03_Withdrawals!B74)</f>
        <v/>
      </c>
      <c r="D467" s="43" t="str">
        <f>IF(Agent03_Withdrawals!A74="","",Agent03_Withdrawals!C74)</f>
        <v/>
      </c>
      <c r="E467" s="41" t="str">
        <f>IF(Agent03_Withdrawals!A74="","",Agent03_Withdrawals!D74)</f>
        <v/>
      </c>
      <c r="F467" s="40" t="str">
        <f>IF(Agent03_Withdrawals!A74="","",Agent03_Withdrawals!F74)</f>
        <v/>
      </c>
      <c r="G467" s="42" t="str">
        <f>IF(Agent03_Withdrawals!A74="","",Agent03_Withdrawals!E74)</f>
        <v/>
      </c>
      <c r="H467" s="42" t="str">
        <f>IF(Agent03_Withdrawals!A74="","",Agent03_Withdrawals!G74)</f>
        <v/>
      </c>
      <c r="I467" s="40" t="str">
        <f>IF(Agent03_Withdrawals!A74="","",Agent03_Withdrawals!H74)</f>
        <v/>
      </c>
      <c r="J467" s="40" t="str">
        <f>IF(Agent03_Withdrawals!A74="","",Agent03_Withdrawals!J74)</f>
        <v/>
      </c>
      <c r="K467" s="40" t="str">
        <f>IF(Agent03_Withdrawals!A74="","",Agent03_Withdrawals!K74)</f>
        <v/>
      </c>
      <c r="L467" s="40" t="str">
        <f>IF(G467="","",IF(D467-G467&gt;=System_Config!$B$9,"✅ OK","⚠️ BREACH"))</f>
        <v/>
      </c>
      <c r="M467" s="40" t="str">
        <f>IFERROR(IF(Agent03_Withdrawals!A74="","",YEAR(Agent03_Withdrawals!D74)),"")</f>
        <v/>
      </c>
    </row>
    <row r="468" spans="1:13" ht="18" customHeight="1" x14ac:dyDescent="0.25">
      <c r="A468" s="40" t="str">
        <f>IF(Agent03_Withdrawals!A75="","",Agent03_Withdrawals!A75)</f>
        <v/>
      </c>
      <c r="B468" s="40" t="str">
        <f ca="1">IF(Agent03_Withdrawals!A75="","","WD"&amp;TEXT(468-3,"0000")&amp;"-"&amp;TEXT(TODAY(),"YYYYMMDD"))</f>
        <v/>
      </c>
      <c r="C468" s="40" t="str">
        <f>IF(Agent03_Withdrawals!A75="","",Agent03_Withdrawals!B75)</f>
        <v/>
      </c>
      <c r="D468" s="43" t="str">
        <f>IF(Agent03_Withdrawals!A75="","",Agent03_Withdrawals!C75)</f>
        <v/>
      </c>
      <c r="E468" s="41" t="str">
        <f>IF(Agent03_Withdrawals!A75="","",Agent03_Withdrawals!D75)</f>
        <v/>
      </c>
      <c r="F468" s="40" t="str">
        <f>IF(Agent03_Withdrawals!A75="","",Agent03_Withdrawals!F75)</f>
        <v/>
      </c>
      <c r="G468" s="42" t="str">
        <f>IF(Agent03_Withdrawals!A75="","",Agent03_Withdrawals!E75)</f>
        <v/>
      </c>
      <c r="H468" s="42" t="str">
        <f>IF(Agent03_Withdrawals!A75="","",Agent03_Withdrawals!G75)</f>
        <v/>
      </c>
      <c r="I468" s="40" t="str">
        <f>IF(Agent03_Withdrawals!A75="","",Agent03_Withdrawals!H75)</f>
        <v/>
      </c>
      <c r="J468" s="40" t="str">
        <f>IF(Agent03_Withdrawals!A75="","",Agent03_Withdrawals!J75)</f>
        <v/>
      </c>
      <c r="K468" s="40" t="str">
        <f>IF(Agent03_Withdrawals!A75="","",Agent03_Withdrawals!K75)</f>
        <v/>
      </c>
      <c r="L468" s="40" t="str">
        <f>IF(G468="","",IF(D468-G468&gt;=System_Config!$B$9,"✅ OK","⚠️ BREACH"))</f>
        <v/>
      </c>
      <c r="M468" s="40" t="str">
        <f>IFERROR(IF(Agent03_Withdrawals!A75="","",YEAR(Agent03_Withdrawals!D75)),"")</f>
        <v/>
      </c>
    </row>
    <row r="469" spans="1:13" ht="18" customHeight="1" x14ac:dyDescent="0.25">
      <c r="A469" s="40" t="str">
        <f>IF(Agent03_Withdrawals!A76="","",Agent03_Withdrawals!A76)</f>
        <v/>
      </c>
      <c r="B469" s="40" t="str">
        <f ca="1">IF(Agent03_Withdrawals!A76="","","WD"&amp;TEXT(469-3,"0000")&amp;"-"&amp;TEXT(TODAY(),"YYYYMMDD"))</f>
        <v/>
      </c>
      <c r="C469" s="40" t="str">
        <f>IF(Agent03_Withdrawals!A76="","",Agent03_Withdrawals!B76)</f>
        <v/>
      </c>
      <c r="D469" s="43" t="str">
        <f>IF(Agent03_Withdrawals!A76="","",Agent03_Withdrawals!C76)</f>
        <v/>
      </c>
      <c r="E469" s="41" t="str">
        <f>IF(Agent03_Withdrawals!A76="","",Agent03_Withdrawals!D76)</f>
        <v/>
      </c>
      <c r="F469" s="40" t="str">
        <f>IF(Agent03_Withdrawals!A76="","",Agent03_Withdrawals!F76)</f>
        <v/>
      </c>
      <c r="G469" s="42" t="str">
        <f>IF(Agent03_Withdrawals!A76="","",Agent03_Withdrawals!E76)</f>
        <v/>
      </c>
      <c r="H469" s="42" t="str">
        <f>IF(Agent03_Withdrawals!A76="","",Agent03_Withdrawals!G76)</f>
        <v/>
      </c>
      <c r="I469" s="40" t="str">
        <f>IF(Agent03_Withdrawals!A76="","",Agent03_Withdrawals!H76)</f>
        <v/>
      </c>
      <c r="J469" s="40" t="str">
        <f>IF(Agent03_Withdrawals!A76="","",Agent03_Withdrawals!J76)</f>
        <v/>
      </c>
      <c r="K469" s="40" t="str">
        <f>IF(Agent03_Withdrawals!A76="","",Agent03_Withdrawals!K76)</f>
        <v/>
      </c>
      <c r="L469" s="40" t="str">
        <f>IF(G469="","",IF(D469-G469&gt;=System_Config!$B$9,"✅ OK","⚠️ BREACH"))</f>
        <v/>
      </c>
      <c r="M469" s="40" t="str">
        <f>IFERROR(IF(Agent03_Withdrawals!A76="","",YEAR(Agent03_Withdrawals!D76)),"")</f>
        <v/>
      </c>
    </row>
    <row r="470" spans="1:13" ht="18" customHeight="1" x14ac:dyDescent="0.25">
      <c r="A470" s="40" t="str">
        <f>IF(Agent03_Withdrawals!A77="","",Agent03_Withdrawals!A77)</f>
        <v/>
      </c>
      <c r="B470" s="40" t="str">
        <f ca="1">IF(Agent03_Withdrawals!A77="","","WD"&amp;TEXT(470-3,"0000")&amp;"-"&amp;TEXT(TODAY(),"YYYYMMDD"))</f>
        <v/>
      </c>
      <c r="C470" s="40" t="str">
        <f>IF(Agent03_Withdrawals!A77="","",Agent03_Withdrawals!B77)</f>
        <v/>
      </c>
      <c r="D470" s="43" t="str">
        <f>IF(Agent03_Withdrawals!A77="","",Agent03_Withdrawals!C77)</f>
        <v/>
      </c>
      <c r="E470" s="41" t="str">
        <f>IF(Agent03_Withdrawals!A77="","",Agent03_Withdrawals!D77)</f>
        <v/>
      </c>
      <c r="F470" s="40" t="str">
        <f>IF(Agent03_Withdrawals!A77="","",Agent03_Withdrawals!F77)</f>
        <v/>
      </c>
      <c r="G470" s="42" t="str">
        <f>IF(Agent03_Withdrawals!A77="","",Agent03_Withdrawals!E77)</f>
        <v/>
      </c>
      <c r="H470" s="42" t="str">
        <f>IF(Agent03_Withdrawals!A77="","",Agent03_Withdrawals!G77)</f>
        <v/>
      </c>
      <c r="I470" s="40" t="str">
        <f>IF(Agent03_Withdrawals!A77="","",Agent03_Withdrawals!H77)</f>
        <v/>
      </c>
      <c r="J470" s="40" t="str">
        <f>IF(Agent03_Withdrawals!A77="","",Agent03_Withdrawals!J77)</f>
        <v/>
      </c>
      <c r="K470" s="40" t="str">
        <f>IF(Agent03_Withdrawals!A77="","",Agent03_Withdrawals!K77)</f>
        <v/>
      </c>
      <c r="L470" s="40" t="str">
        <f>IF(G470="","",IF(D470-G470&gt;=System_Config!$B$9,"✅ OK","⚠️ BREACH"))</f>
        <v/>
      </c>
      <c r="M470" s="40" t="str">
        <f>IFERROR(IF(Agent03_Withdrawals!A77="","",YEAR(Agent03_Withdrawals!D77)),"")</f>
        <v/>
      </c>
    </row>
    <row r="471" spans="1:13" ht="18" customHeight="1" x14ac:dyDescent="0.25">
      <c r="A471" s="40" t="str">
        <f>IF(Agent03_Withdrawals!A78="","",Agent03_Withdrawals!A78)</f>
        <v/>
      </c>
      <c r="B471" s="40" t="str">
        <f ca="1">IF(Agent03_Withdrawals!A78="","","WD"&amp;TEXT(471-3,"0000")&amp;"-"&amp;TEXT(TODAY(),"YYYYMMDD"))</f>
        <v/>
      </c>
      <c r="C471" s="40" t="str">
        <f>IF(Agent03_Withdrawals!A78="","",Agent03_Withdrawals!B78)</f>
        <v/>
      </c>
      <c r="D471" s="43" t="str">
        <f>IF(Agent03_Withdrawals!A78="","",Agent03_Withdrawals!C78)</f>
        <v/>
      </c>
      <c r="E471" s="41" t="str">
        <f>IF(Agent03_Withdrawals!A78="","",Agent03_Withdrawals!D78)</f>
        <v/>
      </c>
      <c r="F471" s="40" t="str">
        <f>IF(Agent03_Withdrawals!A78="","",Agent03_Withdrawals!F78)</f>
        <v/>
      </c>
      <c r="G471" s="42" t="str">
        <f>IF(Agent03_Withdrawals!A78="","",Agent03_Withdrawals!E78)</f>
        <v/>
      </c>
      <c r="H471" s="42" t="str">
        <f>IF(Agent03_Withdrawals!A78="","",Agent03_Withdrawals!G78)</f>
        <v/>
      </c>
      <c r="I471" s="40" t="str">
        <f>IF(Agent03_Withdrawals!A78="","",Agent03_Withdrawals!H78)</f>
        <v/>
      </c>
      <c r="J471" s="40" t="str">
        <f>IF(Agent03_Withdrawals!A78="","",Agent03_Withdrawals!J78)</f>
        <v/>
      </c>
      <c r="K471" s="40" t="str">
        <f>IF(Agent03_Withdrawals!A78="","",Agent03_Withdrawals!K78)</f>
        <v/>
      </c>
      <c r="L471" s="40" t="str">
        <f>IF(G471="","",IF(D471-G471&gt;=System_Config!$B$9,"✅ OK","⚠️ BREACH"))</f>
        <v/>
      </c>
      <c r="M471" s="40" t="str">
        <f>IFERROR(IF(Agent03_Withdrawals!A78="","",YEAR(Agent03_Withdrawals!D78)),"")</f>
        <v/>
      </c>
    </row>
    <row r="472" spans="1:13" ht="18" customHeight="1" x14ac:dyDescent="0.25">
      <c r="A472" s="40" t="str">
        <f>IF(Agent03_Withdrawals!A79="","",Agent03_Withdrawals!A79)</f>
        <v/>
      </c>
      <c r="B472" s="40" t="str">
        <f ca="1">IF(Agent03_Withdrawals!A79="","","WD"&amp;TEXT(472-3,"0000")&amp;"-"&amp;TEXT(TODAY(),"YYYYMMDD"))</f>
        <v/>
      </c>
      <c r="C472" s="40" t="str">
        <f>IF(Agent03_Withdrawals!A79="","",Agent03_Withdrawals!B79)</f>
        <v/>
      </c>
      <c r="D472" s="43" t="str">
        <f>IF(Agent03_Withdrawals!A79="","",Agent03_Withdrawals!C79)</f>
        <v/>
      </c>
      <c r="E472" s="41" t="str">
        <f>IF(Agent03_Withdrawals!A79="","",Agent03_Withdrawals!D79)</f>
        <v/>
      </c>
      <c r="F472" s="40" t="str">
        <f>IF(Agent03_Withdrawals!A79="","",Agent03_Withdrawals!F79)</f>
        <v/>
      </c>
      <c r="G472" s="42" t="str">
        <f>IF(Agent03_Withdrawals!A79="","",Agent03_Withdrawals!E79)</f>
        <v/>
      </c>
      <c r="H472" s="42" t="str">
        <f>IF(Agent03_Withdrawals!A79="","",Agent03_Withdrawals!G79)</f>
        <v/>
      </c>
      <c r="I472" s="40" t="str">
        <f>IF(Agent03_Withdrawals!A79="","",Agent03_Withdrawals!H79)</f>
        <v/>
      </c>
      <c r="J472" s="40" t="str">
        <f>IF(Agent03_Withdrawals!A79="","",Agent03_Withdrawals!J79)</f>
        <v/>
      </c>
      <c r="K472" s="40" t="str">
        <f>IF(Agent03_Withdrawals!A79="","",Agent03_Withdrawals!K79)</f>
        <v/>
      </c>
      <c r="L472" s="40" t="str">
        <f>IF(G472="","",IF(D472-G472&gt;=System_Config!$B$9,"✅ OK","⚠️ BREACH"))</f>
        <v/>
      </c>
      <c r="M472" s="40" t="str">
        <f>IFERROR(IF(Agent03_Withdrawals!A79="","",YEAR(Agent03_Withdrawals!D79)),"")</f>
        <v/>
      </c>
    </row>
    <row r="473" spans="1:13" ht="18" customHeight="1" x14ac:dyDescent="0.25">
      <c r="A473" s="40" t="str">
        <f>IF(Agent03_Withdrawals!A80="","",Agent03_Withdrawals!A80)</f>
        <v/>
      </c>
      <c r="B473" s="40" t="str">
        <f ca="1">IF(Agent03_Withdrawals!A80="","","WD"&amp;TEXT(473-3,"0000")&amp;"-"&amp;TEXT(TODAY(),"YYYYMMDD"))</f>
        <v/>
      </c>
      <c r="C473" s="40" t="str">
        <f>IF(Agent03_Withdrawals!A80="","",Agent03_Withdrawals!B80)</f>
        <v/>
      </c>
      <c r="D473" s="43" t="str">
        <f>IF(Agent03_Withdrawals!A80="","",Agent03_Withdrawals!C80)</f>
        <v/>
      </c>
      <c r="E473" s="41" t="str">
        <f>IF(Agent03_Withdrawals!A80="","",Agent03_Withdrawals!D80)</f>
        <v/>
      </c>
      <c r="F473" s="40" t="str">
        <f>IF(Agent03_Withdrawals!A80="","",Agent03_Withdrawals!F80)</f>
        <v/>
      </c>
      <c r="G473" s="42" t="str">
        <f>IF(Agent03_Withdrawals!A80="","",Agent03_Withdrawals!E80)</f>
        <v/>
      </c>
      <c r="H473" s="42" t="str">
        <f>IF(Agent03_Withdrawals!A80="","",Agent03_Withdrawals!G80)</f>
        <v/>
      </c>
      <c r="I473" s="40" t="str">
        <f>IF(Agent03_Withdrawals!A80="","",Agent03_Withdrawals!H80)</f>
        <v/>
      </c>
      <c r="J473" s="40" t="str">
        <f>IF(Agent03_Withdrawals!A80="","",Agent03_Withdrawals!J80)</f>
        <v/>
      </c>
      <c r="K473" s="40" t="str">
        <f>IF(Agent03_Withdrawals!A80="","",Agent03_Withdrawals!K80)</f>
        <v/>
      </c>
      <c r="L473" s="40" t="str">
        <f>IF(G473="","",IF(D473-G473&gt;=System_Config!$B$9,"✅ OK","⚠️ BREACH"))</f>
        <v/>
      </c>
      <c r="M473" s="40" t="str">
        <f>IFERROR(IF(Agent03_Withdrawals!A80="","",YEAR(Agent03_Withdrawals!D80)),"")</f>
        <v/>
      </c>
    </row>
    <row r="474" spans="1:13" ht="18" customHeight="1" x14ac:dyDescent="0.25">
      <c r="A474" s="40" t="str">
        <f>IF(Agent03_Withdrawals!A81="","",Agent03_Withdrawals!A81)</f>
        <v/>
      </c>
      <c r="B474" s="40" t="str">
        <f ca="1">IF(Agent03_Withdrawals!A81="","","WD"&amp;TEXT(474-3,"0000")&amp;"-"&amp;TEXT(TODAY(),"YYYYMMDD"))</f>
        <v/>
      </c>
      <c r="C474" s="40" t="str">
        <f>IF(Agent03_Withdrawals!A81="","",Agent03_Withdrawals!B81)</f>
        <v/>
      </c>
      <c r="D474" s="43" t="str">
        <f>IF(Agent03_Withdrawals!A81="","",Agent03_Withdrawals!C81)</f>
        <v/>
      </c>
      <c r="E474" s="41" t="str">
        <f>IF(Agent03_Withdrawals!A81="","",Agent03_Withdrawals!D81)</f>
        <v/>
      </c>
      <c r="F474" s="40" t="str">
        <f>IF(Agent03_Withdrawals!A81="","",Agent03_Withdrawals!F81)</f>
        <v/>
      </c>
      <c r="G474" s="42" t="str">
        <f>IF(Agent03_Withdrawals!A81="","",Agent03_Withdrawals!E81)</f>
        <v/>
      </c>
      <c r="H474" s="42" t="str">
        <f>IF(Agent03_Withdrawals!A81="","",Agent03_Withdrawals!G81)</f>
        <v/>
      </c>
      <c r="I474" s="40" t="str">
        <f>IF(Agent03_Withdrawals!A81="","",Agent03_Withdrawals!H81)</f>
        <v/>
      </c>
      <c r="J474" s="40" t="str">
        <f>IF(Agent03_Withdrawals!A81="","",Agent03_Withdrawals!J81)</f>
        <v/>
      </c>
      <c r="K474" s="40" t="str">
        <f>IF(Agent03_Withdrawals!A81="","",Agent03_Withdrawals!K81)</f>
        <v/>
      </c>
      <c r="L474" s="40" t="str">
        <f>IF(G474="","",IF(D474-G474&gt;=System_Config!$B$9,"✅ OK","⚠️ BREACH"))</f>
        <v/>
      </c>
      <c r="M474" s="40" t="str">
        <f>IFERROR(IF(Agent03_Withdrawals!A81="","",YEAR(Agent03_Withdrawals!D81)),"")</f>
        <v/>
      </c>
    </row>
    <row r="475" spans="1:13" ht="18" customHeight="1" x14ac:dyDescent="0.25">
      <c r="A475" s="40" t="str">
        <f>IF(Agent03_Withdrawals!A82="","",Agent03_Withdrawals!A82)</f>
        <v/>
      </c>
      <c r="B475" s="40" t="str">
        <f ca="1">IF(Agent03_Withdrawals!A82="","","WD"&amp;TEXT(475-3,"0000")&amp;"-"&amp;TEXT(TODAY(),"YYYYMMDD"))</f>
        <v/>
      </c>
      <c r="C475" s="40" t="str">
        <f>IF(Agent03_Withdrawals!A82="","",Agent03_Withdrawals!B82)</f>
        <v/>
      </c>
      <c r="D475" s="43" t="str">
        <f>IF(Agent03_Withdrawals!A82="","",Agent03_Withdrawals!C82)</f>
        <v/>
      </c>
      <c r="E475" s="41" t="str">
        <f>IF(Agent03_Withdrawals!A82="","",Agent03_Withdrawals!D82)</f>
        <v/>
      </c>
      <c r="F475" s="40" t="str">
        <f>IF(Agent03_Withdrawals!A82="","",Agent03_Withdrawals!F82)</f>
        <v/>
      </c>
      <c r="G475" s="42" t="str">
        <f>IF(Agent03_Withdrawals!A82="","",Agent03_Withdrawals!E82)</f>
        <v/>
      </c>
      <c r="H475" s="42" t="str">
        <f>IF(Agent03_Withdrawals!A82="","",Agent03_Withdrawals!G82)</f>
        <v/>
      </c>
      <c r="I475" s="40" t="str">
        <f>IF(Agent03_Withdrawals!A82="","",Agent03_Withdrawals!H82)</f>
        <v/>
      </c>
      <c r="J475" s="40" t="str">
        <f>IF(Agent03_Withdrawals!A82="","",Agent03_Withdrawals!J82)</f>
        <v/>
      </c>
      <c r="K475" s="40" t="str">
        <f>IF(Agent03_Withdrawals!A82="","",Agent03_Withdrawals!K82)</f>
        <v/>
      </c>
      <c r="L475" s="40" t="str">
        <f>IF(G475="","",IF(D475-G475&gt;=System_Config!$B$9,"✅ OK","⚠️ BREACH"))</f>
        <v/>
      </c>
      <c r="M475" s="40" t="str">
        <f>IFERROR(IF(Agent03_Withdrawals!A82="","",YEAR(Agent03_Withdrawals!D82)),"")</f>
        <v/>
      </c>
    </row>
    <row r="476" spans="1:13" ht="18" customHeight="1" x14ac:dyDescent="0.25">
      <c r="A476" s="40" t="str">
        <f>IF(Agent03_Withdrawals!A83="","",Agent03_Withdrawals!A83)</f>
        <v/>
      </c>
      <c r="B476" s="40" t="str">
        <f ca="1">IF(Agent03_Withdrawals!A83="","","WD"&amp;TEXT(476-3,"0000")&amp;"-"&amp;TEXT(TODAY(),"YYYYMMDD"))</f>
        <v/>
      </c>
      <c r="C476" s="40" t="str">
        <f>IF(Agent03_Withdrawals!A83="","",Agent03_Withdrawals!B83)</f>
        <v/>
      </c>
      <c r="D476" s="43" t="str">
        <f>IF(Agent03_Withdrawals!A83="","",Agent03_Withdrawals!C83)</f>
        <v/>
      </c>
      <c r="E476" s="41" t="str">
        <f>IF(Agent03_Withdrawals!A83="","",Agent03_Withdrawals!D83)</f>
        <v/>
      </c>
      <c r="F476" s="40" t="str">
        <f>IF(Agent03_Withdrawals!A83="","",Agent03_Withdrawals!F83)</f>
        <v/>
      </c>
      <c r="G476" s="42" t="str">
        <f>IF(Agent03_Withdrawals!A83="","",Agent03_Withdrawals!E83)</f>
        <v/>
      </c>
      <c r="H476" s="42" t="str">
        <f>IF(Agent03_Withdrawals!A83="","",Agent03_Withdrawals!G83)</f>
        <v/>
      </c>
      <c r="I476" s="40" t="str">
        <f>IF(Agent03_Withdrawals!A83="","",Agent03_Withdrawals!H83)</f>
        <v/>
      </c>
      <c r="J476" s="40" t="str">
        <f>IF(Agent03_Withdrawals!A83="","",Agent03_Withdrawals!J83)</f>
        <v/>
      </c>
      <c r="K476" s="40" t="str">
        <f>IF(Agent03_Withdrawals!A83="","",Agent03_Withdrawals!K83)</f>
        <v/>
      </c>
      <c r="L476" s="40" t="str">
        <f>IF(G476="","",IF(D476-G476&gt;=System_Config!$B$9,"✅ OK","⚠️ BREACH"))</f>
        <v/>
      </c>
      <c r="M476" s="40" t="str">
        <f>IFERROR(IF(Agent03_Withdrawals!A83="","",YEAR(Agent03_Withdrawals!D83)),"")</f>
        <v/>
      </c>
    </row>
    <row r="477" spans="1:13" ht="18" customHeight="1" x14ac:dyDescent="0.25">
      <c r="A477" s="40" t="str">
        <f>IF(Agent03_Withdrawals!A84="","",Agent03_Withdrawals!A84)</f>
        <v/>
      </c>
      <c r="B477" s="40" t="str">
        <f ca="1">IF(Agent03_Withdrawals!A84="","","WD"&amp;TEXT(477-3,"0000")&amp;"-"&amp;TEXT(TODAY(),"YYYYMMDD"))</f>
        <v/>
      </c>
      <c r="C477" s="40" t="str">
        <f>IF(Agent03_Withdrawals!A84="","",Agent03_Withdrawals!B84)</f>
        <v/>
      </c>
      <c r="D477" s="43" t="str">
        <f>IF(Agent03_Withdrawals!A84="","",Agent03_Withdrawals!C84)</f>
        <v/>
      </c>
      <c r="E477" s="41" t="str">
        <f>IF(Agent03_Withdrawals!A84="","",Agent03_Withdrawals!D84)</f>
        <v/>
      </c>
      <c r="F477" s="40" t="str">
        <f>IF(Agent03_Withdrawals!A84="","",Agent03_Withdrawals!F84)</f>
        <v/>
      </c>
      <c r="G477" s="42" t="str">
        <f>IF(Agent03_Withdrawals!A84="","",Agent03_Withdrawals!E84)</f>
        <v/>
      </c>
      <c r="H477" s="42" t="str">
        <f>IF(Agent03_Withdrawals!A84="","",Agent03_Withdrawals!G84)</f>
        <v/>
      </c>
      <c r="I477" s="40" t="str">
        <f>IF(Agent03_Withdrawals!A84="","",Agent03_Withdrawals!H84)</f>
        <v/>
      </c>
      <c r="J477" s="40" t="str">
        <f>IF(Agent03_Withdrawals!A84="","",Agent03_Withdrawals!J84)</f>
        <v/>
      </c>
      <c r="K477" s="40" t="str">
        <f>IF(Agent03_Withdrawals!A84="","",Agent03_Withdrawals!K84)</f>
        <v/>
      </c>
      <c r="L477" s="40" t="str">
        <f>IF(G477="","",IF(D477-G477&gt;=System_Config!$B$9,"✅ OK","⚠️ BREACH"))</f>
        <v/>
      </c>
      <c r="M477" s="40" t="str">
        <f>IFERROR(IF(Agent03_Withdrawals!A84="","",YEAR(Agent03_Withdrawals!D84)),"")</f>
        <v/>
      </c>
    </row>
    <row r="478" spans="1:13" ht="18" customHeight="1" x14ac:dyDescent="0.25">
      <c r="A478" s="40" t="str">
        <f>IF(Agent03_Withdrawals!A85="","",Agent03_Withdrawals!A85)</f>
        <v/>
      </c>
      <c r="B478" s="40" t="str">
        <f ca="1">IF(Agent03_Withdrawals!A85="","","WD"&amp;TEXT(478-3,"0000")&amp;"-"&amp;TEXT(TODAY(),"YYYYMMDD"))</f>
        <v/>
      </c>
      <c r="C478" s="40" t="str">
        <f>IF(Agent03_Withdrawals!A85="","",Agent03_Withdrawals!B85)</f>
        <v/>
      </c>
      <c r="D478" s="43" t="str">
        <f>IF(Agent03_Withdrawals!A85="","",Agent03_Withdrawals!C85)</f>
        <v/>
      </c>
      <c r="E478" s="41" t="str">
        <f>IF(Agent03_Withdrawals!A85="","",Agent03_Withdrawals!D85)</f>
        <v/>
      </c>
      <c r="F478" s="40" t="str">
        <f>IF(Agent03_Withdrawals!A85="","",Agent03_Withdrawals!F85)</f>
        <v/>
      </c>
      <c r="G478" s="42" t="str">
        <f>IF(Agent03_Withdrawals!A85="","",Agent03_Withdrawals!E85)</f>
        <v/>
      </c>
      <c r="H478" s="42" t="str">
        <f>IF(Agent03_Withdrawals!A85="","",Agent03_Withdrawals!G85)</f>
        <v/>
      </c>
      <c r="I478" s="40" t="str">
        <f>IF(Agent03_Withdrawals!A85="","",Agent03_Withdrawals!H85)</f>
        <v/>
      </c>
      <c r="J478" s="40" t="str">
        <f>IF(Agent03_Withdrawals!A85="","",Agent03_Withdrawals!J85)</f>
        <v/>
      </c>
      <c r="K478" s="40" t="str">
        <f>IF(Agent03_Withdrawals!A85="","",Agent03_Withdrawals!K85)</f>
        <v/>
      </c>
      <c r="L478" s="40" t="str">
        <f>IF(G478="","",IF(D478-G478&gt;=System_Config!$B$9,"✅ OK","⚠️ BREACH"))</f>
        <v/>
      </c>
      <c r="M478" s="40" t="str">
        <f>IFERROR(IF(Agent03_Withdrawals!A85="","",YEAR(Agent03_Withdrawals!D85)),"")</f>
        <v/>
      </c>
    </row>
    <row r="479" spans="1:13" ht="18" customHeight="1" x14ac:dyDescent="0.25">
      <c r="A479" s="40" t="str">
        <f>IF(Agent03_Withdrawals!A86="","",Agent03_Withdrawals!A86)</f>
        <v/>
      </c>
      <c r="B479" s="40" t="str">
        <f ca="1">IF(Agent03_Withdrawals!A86="","","WD"&amp;TEXT(479-3,"0000")&amp;"-"&amp;TEXT(TODAY(),"YYYYMMDD"))</f>
        <v/>
      </c>
      <c r="C479" s="40" t="str">
        <f>IF(Agent03_Withdrawals!A86="","",Agent03_Withdrawals!B86)</f>
        <v/>
      </c>
      <c r="D479" s="43" t="str">
        <f>IF(Agent03_Withdrawals!A86="","",Agent03_Withdrawals!C86)</f>
        <v/>
      </c>
      <c r="E479" s="41" t="str">
        <f>IF(Agent03_Withdrawals!A86="","",Agent03_Withdrawals!D86)</f>
        <v/>
      </c>
      <c r="F479" s="40" t="str">
        <f>IF(Agent03_Withdrawals!A86="","",Agent03_Withdrawals!F86)</f>
        <v/>
      </c>
      <c r="G479" s="42" t="str">
        <f>IF(Agent03_Withdrawals!A86="","",Agent03_Withdrawals!E86)</f>
        <v/>
      </c>
      <c r="H479" s="42" t="str">
        <f>IF(Agent03_Withdrawals!A86="","",Agent03_Withdrawals!G86)</f>
        <v/>
      </c>
      <c r="I479" s="40" t="str">
        <f>IF(Agent03_Withdrawals!A86="","",Agent03_Withdrawals!H86)</f>
        <v/>
      </c>
      <c r="J479" s="40" t="str">
        <f>IF(Agent03_Withdrawals!A86="","",Agent03_Withdrawals!J86)</f>
        <v/>
      </c>
      <c r="K479" s="40" t="str">
        <f>IF(Agent03_Withdrawals!A86="","",Agent03_Withdrawals!K86)</f>
        <v/>
      </c>
      <c r="L479" s="40" t="str">
        <f>IF(G479="","",IF(D479-G479&gt;=System_Config!$B$9,"✅ OK","⚠️ BREACH"))</f>
        <v/>
      </c>
      <c r="M479" s="40" t="str">
        <f>IFERROR(IF(Agent03_Withdrawals!A86="","",YEAR(Agent03_Withdrawals!D86)),"")</f>
        <v/>
      </c>
    </row>
    <row r="480" spans="1:13" ht="18" customHeight="1" x14ac:dyDescent="0.25">
      <c r="A480" s="40" t="str">
        <f>IF(Agent03_Withdrawals!A87="","",Agent03_Withdrawals!A87)</f>
        <v/>
      </c>
      <c r="B480" s="40" t="str">
        <f ca="1">IF(Agent03_Withdrawals!A87="","","WD"&amp;TEXT(480-3,"0000")&amp;"-"&amp;TEXT(TODAY(),"YYYYMMDD"))</f>
        <v/>
      </c>
      <c r="C480" s="40" t="str">
        <f>IF(Agent03_Withdrawals!A87="","",Agent03_Withdrawals!B87)</f>
        <v/>
      </c>
      <c r="D480" s="43" t="str">
        <f>IF(Agent03_Withdrawals!A87="","",Agent03_Withdrawals!C87)</f>
        <v/>
      </c>
      <c r="E480" s="41" t="str">
        <f>IF(Agent03_Withdrawals!A87="","",Agent03_Withdrawals!D87)</f>
        <v/>
      </c>
      <c r="F480" s="40" t="str">
        <f>IF(Agent03_Withdrawals!A87="","",Agent03_Withdrawals!F87)</f>
        <v/>
      </c>
      <c r="G480" s="42" t="str">
        <f>IF(Agent03_Withdrawals!A87="","",Agent03_Withdrawals!E87)</f>
        <v/>
      </c>
      <c r="H480" s="42" t="str">
        <f>IF(Agent03_Withdrawals!A87="","",Agent03_Withdrawals!G87)</f>
        <v/>
      </c>
      <c r="I480" s="40" t="str">
        <f>IF(Agent03_Withdrawals!A87="","",Agent03_Withdrawals!H87)</f>
        <v/>
      </c>
      <c r="J480" s="40" t="str">
        <f>IF(Agent03_Withdrawals!A87="","",Agent03_Withdrawals!J87)</f>
        <v/>
      </c>
      <c r="K480" s="40" t="str">
        <f>IF(Agent03_Withdrawals!A87="","",Agent03_Withdrawals!K87)</f>
        <v/>
      </c>
      <c r="L480" s="40" t="str">
        <f>IF(G480="","",IF(D480-G480&gt;=System_Config!$B$9,"✅ OK","⚠️ BREACH"))</f>
        <v/>
      </c>
      <c r="M480" s="40" t="str">
        <f>IFERROR(IF(Agent03_Withdrawals!A87="","",YEAR(Agent03_Withdrawals!D87)),"")</f>
        <v/>
      </c>
    </row>
    <row r="481" spans="1:13" ht="18" customHeight="1" x14ac:dyDescent="0.25">
      <c r="A481" s="40" t="str">
        <f>IF(Agent03_Withdrawals!A88="","",Agent03_Withdrawals!A88)</f>
        <v/>
      </c>
      <c r="B481" s="40" t="str">
        <f ca="1">IF(Agent03_Withdrawals!A88="","","WD"&amp;TEXT(481-3,"0000")&amp;"-"&amp;TEXT(TODAY(),"YYYYMMDD"))</f>
        <v/>
      </c>
      <c r="C481" s="40" t="str">
        <f>IF(Agent03_Withdrawals!A88="","",Agent03_Withdrawals!B88)</f>
        <v/>
      </c>
      <c r="D481" s="43" t="str">
        <f>IF(Agent03_Withdrawals!A88="","",Agent03_Withdrawals!C88)</f>
        <v/>
      </c>
      <c r="E481" s="41" t="str">
        <f>IF(Agent03_Withdrawals!A88="","",Agent03_Withdrawals!D88)</f>
        <v/>
      </c>
      <c r="F481" s="40" t="str">
        <f>IF(Agent03_Withdrawals!A88="","",Agent03_Withdrawals!F88)</f>
        <v/>
      </c>
      <c r="G481" s="42" t="str">
        <f>IF(Agent03_Withdrawals!A88="","",Agent03_Withdrawals!E88)</f>
        <v/>
      </c>
      <c r="H481" s="42" t="str">
        <f>IF(Agent03_Withdrawals!A88="","",Agent03_Withdrawals!G88)</f>
        <v/>
      </c>
      <c r="I481" s="40" t="str">
        <f>IF(Agent03_Withdrawals!A88="","",Agent03_Withdrawals!H88)</f>
        <v/>
      </c>
      <c r="J481" s="40" t="str">
        <f>IF(Agent03_Withdrawals!A88="","",Agent03_Withdrawals!J88)</f>
        <v/>
      </c>
      <c r="K481" s="40" t="str">
        <f>IF(Agent03_Withdrawals!A88="","",Agent03_Withdrawals!K88)</f>
        <v/>
      </c>
      <c r="L481" s="40" t="str">
        <f>IF(G481="","",IF(D481-G481&gt;=System_Config!$B$9,"✅ OK","⚠️ BREACH"))</f>
        <v/>
      </c>
      <c r="M481" s="40" t="str">
        <f>IFERROR(IF(Agent03_Withdrawals!A88="","",YEAR(Agent03_Withdrawals!D88)),"")</f>
        <v/>
      </c>
    </row>
    <row r="482" spans="1:13" ht="18" customHeight="1" x14ac:dyDescent="0.25">
      <c r="A482" s="40" t="str">
        <f>IF(Agent03_Withdrawals!A89="","",Agent03_Withdrawals!A89)</f>
        <v/>
      </c>
      <c r="B482" s="40" t="str">
        <f ca="1">IF(Agent03_Withdrawals!A89="","","WD"&amp;TEXT(482-3,"0000")&amp;"-"&amp;TEXT(TODAY(),"YYYYMMDD"))</f>
        <v/>
      </c>
      <c r="C482" s="40" t="str">
        <f>IF(Agent03_Withdrawals!A89="","",Agent03_Withdrawals!B89)</f>
        <v/>
      </c>
      <c r="D482" s="43" t="str">
        <f>IF(Agent03_Withdrawals!A89="","",Agent03_Withdrawals!C89)</f>
        <v/>
      </c>
      <c r="E482" s="41" t="str">
        <f>IF(Agent03_Withdrawals!A89="","",Agent03_Withdrawals!D89)</f>
        <v/>
      </c>
      <c r="F482" s="40" t="str">
        <f>IF(Agent03_Withdrawals!A89="","",Agent03_Withdrawals!F89)</f>
        <v/>
      </c>
      <c r="G482" s="42" t="str">
        <f>IF(Agent03_Withdrawals!A89="","",Agent03_Withdrawals!E89)</f>
        <v/>
      </c>
      <c r="H482" s="42" t="str">
        <f>IF(Agent03_Withdrawals!A89="","",Agent03_Withdrawals!G89)</f>
        <v/>
      </c>
      <c r="I482" s="40" t="str">
        <f>IF(Agent03_Withdrawals!A89="","",Agent03_Withdrawals!H89)</f>
        <v/>
      </c>
      <c r="J482" s="40" t="str">
        <f>IF(Agent03_Withdrawals!A89="","",Agent03_Withdrawals!J89)</f>
        <v/>
      </c>
      <c r="K482" s="40" t="str">
        <f>IF(Agent03_Withdrawals!A89="","",Agent03_Withdrawals!K89)</f>
        <v/>
      </c>
      <c r="L482" s="40" t="str">
        <f>IF(G482="","",IF(D482-G482&gt;=System_Config!$B$9,"✅ OK","⚠️ BREACH"))</f>
        <v/>
      </c>
      <c r="M482" s="40" t="str">
        <f>IFERROR(IF(Agent03_Withdrawals!A89="","",YEAR(Agent03_Withdrawals!D89)),"")</f>
        <v/>
      </c>
    </row>
    <row r="483" spans="1:13" ht="18" customHeight="1" x14ac:dyDescent="0.25">
      <c r="A483" s="40" t="str">
        <f>IF(Agent03_Withdrawals!A90="","",Agent03_Withdrawals!A90)</f>
        <v/>
      </c>
      <c r="B483" s="40" t="str">
        <f ca="1">IF(Agent03_Withdrawals!A90="","","WD"&amp;TEXT(483-3,"0000")&amp;"-"&amp;TEXT(TODAY(),"YYYYMMDD"))</f>
        <v/>
      </c>
      <c r="C483" s="40" t="str">
        <f>IF(Agent03_Withdrawals!A90="","",Agent03_Withdrawals!B90)</f>
        <v/>
      </c>
      <c r="D483" s="43" t="str">
        <f>IF(Agent03_Withdrawals!A90="","",Agent03_Withdrawals!C90)</f>
        <v/>
      </c>
      <c r="E483" s="41" t="str">
        <f>IF(Agent03_Withdrawals!A90="","",Agent03_Withdrawals!D90)</f>
        <v/>
      </c>
      <c r="F483" s="40" t="str">
        <f>IF(Agent03_Withdrawals!A90="","",Agent03_Withdrawals!F90)</f>
        <v/>
      </c>
      <c r="G483" s="42" t="str">
        <f>IF(Agent03_Withdrawals!A90="","",Agent03_Withdrawals!E90)</f>
        <v/>
      </c>
      <c r="H483" s="42" t="str">
        <f>IF(Agent03_Withdrawals!A90="","",Agent03_Withdrawals!G90)</f>
        <v/>
      </c>
      <c r="I483" s="40" t="str">
        <f>IF(Agent03_Withdrawals!A90="","",Agent03_Withdrawals!H90)</f>
        <v/>
      </c>
      <c r="J483" s="40" t="str">
        <f>IF(Agent03_Withdrawals!A90="","",Agent03_Withdrawals!J90)</f>
        <v/>
      </c>
      <c r="K483" s="40" t="str">
        <f>IF(Agent03_Withdrawals!A90="","",Agent03_Withdrawals!K90)</f>
        <v/>
      </c>
      <c r="L483" s="40" t="str">
        <f>IF(G483="","",IF(D483-G483&gt;=System_Config!$B$9,"✅ OK","⚠️ BREACH"))</f>
        <v/>
      </c>
      <c r="M483" s="40" t="str">
        <f>IFERROR(IF(Agent03_Withdrawals!A90="","",YEAR(Agent03_Withdrawals!D90)),"")</f>
        <v/>
      </c>
    </row>
    <row r="484" spans="1:13" ht="18" customHeight="1" x14ac:dyDescent="0.25">
      <c r="A484" s="40" t="str">
        <f>IF(Agent03_Withdrawals!A91="","",Agent03_Withdrawals!A91)</f>
        <v/>
      </c>
      <c r="B484" s="40" t="str">
        <f ca="1">IF(Agent03_Withdrawals!A91="","","WD"&amp;TEXT(484-3,"0000")&amp;"-"&amp;TEXT(TODAY(),"YYYYMMDD"))</f>
        <v/>
      </c>
      <c r="C484" s="40" t="str">
        <f>IF(Agent03_Withdrawals!A91="","",Agent03_Withdrawals!B91)</f>
        <v/>
      </c>
      <c r="D484" s="43" t="str">
        <f>IF(Agent03_Withdrawals!A91="","",Agent03_Withdrawals!C91)</f>
        <v/>
      </c>
      <c r="E484" s="41" t="str">
        <f>IF(Agent03_Withdrawals!A91="","",Agent03_Withdrawals!D91)</f>
        <v/>
      </c>
      <c r="F484" s="40" t="str">
        <f>IF(Agent03_Withdrawals!A91="","",Agent03_Withdrawals!F91)</f>
        <v/>
      </c>
      <c r="G484" s="42" t="str">
        <f>IF(Agent03_Withdrawals!A91="","",Agent03_Withdrawals!E91)</f>
        <v/>
      </c>
      <c r="H484" s="42" t="str">
        <f>IF(Agent03_Withdrawals!A91="","",Agent03_Withdrawals!G91)</f>
        <v/>
      </c>
      <c r="I484" s="40" t="str">
        <f>IF(Agent03_Withdrawals!A91="","",Agent03_Withdrawals!H91)</f>
        <v/>
      </c>
      <c r="J484" s="40" t="str">
        <f>IF(Agent03_Withdrawals!A91="","",Agent03_Withdrawals!J91)</f>
        <v/>
      </c>
      <c r="K484" s="40" t="str">
        <f>IF(Agent03_Withdrawals!A91="","",Agent03_Withdrawals!K91)</f>
        <v/>
      </c>
      <c r="L484" s="40" t="str">
        <f>IF(G484="","",IF(D484-G484&gt;=System_Config!$B$9,"✅ OK","⚠️ BREACH"))</f>
        <v/>
      </c>
      <c r="M484" s="40" t="str">
        <f>IFERROR(IF(Agent03_Withdrawals!A91="","",YEAR(Agent03_Withdrawals!D91)),"")</f>
        <v/>
      </c>
    </row>
    <row r="485" spans="1:13" ht="18" customHeight="1" x14ac:dyDescent="0.25">
      <c r="A485" s="40" t="str">
        <f>IF(Agent03_Withdrawals!A92="","",Agent03_Withdrawals!A92)</f>
        <v/>
      </c>
      <c r="B485" s="40" t="str">
        <f ca="1">IF(Agent03_Withdrawals!A92="","","WD"&amp;TEXT(485-3,"0000")&amp;"-"&amp;TEXT(TODAY(),"YYYYMMDD"))</f>
        <v/>
      </c>
      <c r="C485" s="40" t="str">
        <f>IF(Agent03_Withdrawals!A92="","",Agent03_Withdrawals!B92)</f>
        <v/>
      </c>
      <c r="D485" s="43" t="str">
        <f>IF(Agent03_Withdrawals!A92="","",Agent03_Withdrawals!C92)</f>
        <v/>
      </c>
      <c r="E485" s="41" t="str">
        <f>IF(Agent03_Withdrawals!A92="","",Agent03_Withdrawals!D92)</f>
        <v/>
      </c>
      <c r="F485" s="40" t="str">
        <f>IF(Agent03_Withdrawals!A92="","",Agent03_Withdrawals!F92)</f>
        <v/>
      </c>
      <c r="G485" s="42" t="str">
        <f>IF(Agent03_Withdrawals!A92="","",Agent03_Withdrawals!E92)</f>
        <v/>
      </c>
      <c r="H485" s="42" t="str">
        <f>IF(Agent03_Withdrawals!A92="","",Agent03_Withdrawals!G92)</f>
        <v/>
      </c>
      <c r="I485" s="40" t="str">
        <f>IF(Agent03_Withdrawals!A92="","",Agent03_Withdrawals!H92)</f>
        <v/>
      </c>
      <c r="J485" s="40" t="str">
        <f>IF(Agent03_Withdrawals!A92="","",Agent03_Withdrawals!J92)</f>
        <v/>
      </c>
      <c r="K485" s="40" t="str">
        <f>IF(Agent03_Withdrawals!A92="","",Agent03_Withdrawals!K92)</f>
        <v/>
      </c>
      <c r="L485" s="40" t="str">
        <f>IF(G485="","",IF(D485-G485&gt;=System_Config!$B$9,"✅ OK","⚠️ BREACH"))</f>
        <v/>
      </c>
      <c r="M485" s="40" t="str">
        <f>IFERROR(IF(Agent03_Withdrawals!A92="","",YEAR(Agent03_Withdrawals!D92)),"")</f>
        <v/>
      </c>
    </row>
    <row r="486" spans="1:13" ht="18" customHeight="1" x14ac:dyDescent="0.25">
      <c r="A486" s="40" t="str">
        <f>IF(Agent03_Withdrawals!A93="","",Agent03_Withdrawals!A93)</f>
        <v/>
      </c>
      <c r="B486" s="40" t="str">
        <f ca="1">IF(Agent03_Withdrawals!A93="","","WD"&amp;TEXT(486-3,"0000")&amp;"-"&amp;TEXT(TODAY(),"YYYYMMDD"))</f>
        <v/>
      </c>
      <c r="C486" s="40" t="str">
        <f>IF(Agent03_Withdrawals!A93="","",Agent03_Withdrawals!B93)</f>
        <v/>
      </c>
      <c r="D486" s="43" t="str">
        <f>IF(Agent03_Withdrawals!A93="","",Agent03_Withdrawals!C93)</f>
        <v/>
      </c>
      <c r="E486" s="41" t="str">
        <f>IF(Agent03_Withdrawals!A93="","",Agent03_Withdrawals!D93)</f>
        <v/>
      </c>
      <c r="F486" s="40" t="str">
        <f>IF(Agent03_Withdrawals!A93="","",Agent03_Withdrawals!F93)</f>
        <v/>
      </c>
      <c r="G486" s="42" t="str">
        <f>IF(Agent03_Withdrawals!A93="","",Agent03_Withdrawals!E93)</f>
        <v/>
      </c>
      <c r="H486" s="42" t="str">
        <f>IF(Agent03_Withdrawals!A93="","",Agent03_Withdrawals!G93)</f>
        <v/>
      </c>
      <c r="I486" s="40" t="str">
        <f>IF(Agent03_Withdrawals!A93="","",Agent03_Withdrawals!H93)</f>
        <v/>
      </c>
      <c r="J486" s="40" t="str">
        <f>IF(Agent03_Withdrawals!A93="","",Agent03_Withdrawals!J93)</f>
        <v/>
      </c>
      <c r="K486" s="40" t="str">
        <f>IF(Agent03_Withdrawals!A93="","",Agent03_Withdrawals!K93)</f>
        <v/>
      </c>
      <c r="L486" s="40" t="str">
        <f>IF(G486="","",IF(D486-G486&gt;=System_Config!$B$9,"✅ OK","⚠️ BREACH"))</f>
        <v/>
      </c>
      <c r="M486" s="40" t="str">
        <f>IFERROR(IF(Agent03_Withdrawals!A93="","",YEAR(Agent03_Withdrawals!D93)),"")</f>
        <v/>
      </c>
    </row>
    <row r="487" spans="1:13" ht="18" customHeight="1" x14ac:dyDescent="0.25">
      <c r="A487" s="40" t="str">
        <f>IF(Agent03_Withdrawals!A94="","",Agent03_Withdrawals!A94)</f>
        <v/>
      </c>
      <c r="B487" s="40" t="str">
        <f ca="1">IF(Agent03_Withdrawals!A94="","","WD"&amp;TEXT(487-3,"0000")&amp;"-"&amp;TEXT(TODAY(),"YYYYMMDD"))</f>
        <v/>
      </c>
      <c r="C487" s="40" t="str">
        <f>IF(Agent03_Withdrawals!A94="","",Agent03_Withdrawals!B94)</f>
        <v/>
      </c>
      <c r="D487" s="43" t="str">
        <f>IF(Agent03_Withdrawals!A94="","",Agent03_Withdrawals!C94)</f>
        <v/>
      </c>
      <c r="E487" s="41" t="str">
        <f>IF(Agent03_Withdrawals!A94="","",Agent03_Withdrawals!D94)</f>
        <v/>
      </c>
      <c r="F487" s="40" t="str">
        <f>IF(Agent03_Withdrawals!A94="","",Agent03_Withdrawals!F94)</f>
        <v/>
      </c>
      <c r="G487" s="42" t="str">
        <f>IF(Agent03_Withdrawals!A94="","",Agent03_Withdrawals!E94)</f>
        <v/>
      </c>
      <c r="H487" s="42" t="str">
        <f>IF(Agent03_Withdrawals!A94="","",Agent03_Withdrawals!G94)</f>
        <v/>
      </c>
      <c r="I487" s="40" t="str">
        <f>IF(Agent03_Withdrawals!A94="","",Agent03_Withdrawals!H94)</f>
        <v/>
      </c>
      <c r="J487" s="40" t="str">
        <f>IF(Agent03_Withdrawals!A94="","",Agent03_Withdrawals!J94)</f>
        <v/>
      </c>
      <c r="K487" s="40" t="str">
        <f>IF(Agent03_Withdrawals!A94="","",Agent03_Withdrawals!K94)</f>
        <v/>
      </c>
      <c r="L487" s="40" t="str">
        <f>IF(G487="","",IF(D487-G487&gt;=System_Config!$B$9,"✅ OK","⚠️ BREACH"))</f>
        <v/>
      </c>
      <c r="M487" s="40" t="str">
        <f>IFERROR(IF(Agent03_Withdrawals!A94="","",YEAR(Agent03_Withdrawals!D94)),"")</f>
        <v/>
      </c>
    </row>
    <row r="488" spans="1:13" ht="18" customHeight="1" x14ac:dyDescent="0.25">
      <c r="A488" s="40" t="str">
        <f>IF(Agent03_Withdrawals!A95="","",Agent03_Withdrawals!A95)</f>
        <v/>
      </c>
      <c r="B488" s="40" t="str">
        <f ca="1">IF(Agent03_Withdrawals!A95="","","WD"&amp;TEXT(488-3,"0000")&amp;"-"&amp;TEXT(TODAY(),"YYYYMMDD"))</f>
        <v/>
      </c>
      <c r="C488" s="40" t="str">
        <f>IF(Agent03_Withdrawals!A95="","",Agent03_Withdrawals!B95)</f>
        <v/>
      </c>
      <c r="D488" s="43" t="str">
        <f>IF(Agent03_Withdrawals!A95="","",Agent03_Withdrawals!C95)</f>
        <v/>
      </c>
      <c r="E488" s="41" t="str">
        <f>IF(Agent03_Withdrawals!A95="","",Agent03_Withdrawals!D95)</f>
        <v/>
      </c>
      <c r="F488" s="40" t="str">
        <f>IF(Agent03_Withdrawals!A95="","",Agent03_Withdrawals!F95)</f>
        <v/>
      </c>
      <c r="G488" s="42" t="str">
        <f>IF(Agent03_Withdrawals!A95="","",Agent03_Withdrawals!E95)</f>
        <v/>
      </c>
      <c r="H488" s="42" t="str">
        <f>IF(Agent03_Withdrawals!A95="","",Agent03_Withdrawals!G95)</f>
        <v/>
      </c>
      <c r="I488" s="40" t="str">
        <f>IF(Agent03_Withdrawals!A95="","",Agent03_Withdrawals!H95)</f>
        <v/>
      </c>
      <c r="J488" s="40" t="str">
        <f>IF(Agent03_Withdrawals!A95="","",Agent03_Withdrawals!J95)</f>
        <v/>
      </c>
      <c r="K488" s="40" t="str">
        <f>IF(Agent03_Withdrawals!A95="","",Agent03_Withdrawals!K95)</f>
        <v/>
      </c>
      <c r="L488" s="40" t="str">
        <f>IF(G488="","",IF(D488-G488&gt;=System_Config!$B$9,"✅ OK","⚠️ BREACH"))</f>
        <v/>
      </c>
      <c r="M488" s="40" t="str">
        <f>IFERROR(IF(Agent03_Withdrawals!A95="","",YEAR(Agent03_Withdrawals!D95)),"")</f>
        <v/>
      </c>
    </row>
    <row r="489" spans="1:13" ht="18" customHeight="1" x14ac:dyDescent="0.25">
      <c r="A489" s="40" t="str">
        <f>IF(Agent03_Withdrawals!A96="","",Agent03_Withdrawals!A96)</f>
        <v/>
      </c>
      <c r="B489" s="40" t="str">
        <f ca="1">IF(Agent03_Withdrawals!A96="","","WD"&amp;TEXT(489-3,"0000")&amp;"-"&amp;TEXT(TODAY(),"YYYYMMDD"))</f>
        <v/>
      </c>
      <c r="C489" s="40" t="str">
        <f>IF(Agent03_Withdrawals!A96="","",Agent03_Withdrawals!B96)</f>
        <v/>
      </c>
      <c r="D489" s="43" t="str">
        <f>IF(Agent03_Withdrawals!A96="","",Agent03_Withdrawals!C96)</f>
        <v/>
      </c>
      <c r="E489" s="41" t="str">
        <f>IF(Agent03_Withdrawals!A96="","",Agent03_Withdrawals!D96)</f>
        <v/>
      </c>
      <c r="F489" s="40" t="str">
        <f>IF(Agent03_Withdrawals!A96="","",Agent03_Withdrawals!F96)</f>
        <v/>
      </c>
      <c r="G489" s="42" t="str">
        <f>IF(Agent03_Withdrawals!A96="","",Agent03_Withdrawals!E96)</f>
        <v/>
      </c>
      <c r="H489" s="42" t="str">
        <f>IF(Agent03_Withdrawals!A96="","",Agent03_Withdrawals!G96)</f>
        <v/>
      </c>
      <c r="I489" s="40" t="str">
        <f>IF(Agent03_Withdrawals!A96="","",Agent03_Withdrawals!H96)</f>
        <v/>
      </c>
      <c r="J489" s="40" t="str">
        <f>IF(Agent03_Withdrawals!A96="","",Agent03_Withdrawals!J96)</f>
        <v/>
      </c>
      <c r="K489" s="40" t="str">
        <f>IF(Agent03_Withdrawals!A96="","",Agent03_Withdrawals!K96)</f>
        <v/>
      </c>
      <c r="L489" s="40" t="str">
        <f>IF(G489="","",IF(D489-G489&gt;=System_Config!$B$9,"✅ OK","⚠️ BREACH"))</f>
        <v/>
      </c>
      <c r="M489" s="40" t="str">
        <f>IFERROR(IF(Agent03_Withdrawals!A96="","",YEAR(Agent03_Withdrawals!D96)),"")</f>
        <v/>
      </c>
    </row>
    <row r="490" spans="1:13" ht="18" customHeight="1" x14ac:dyDescent="0.25">
      <c r="A490" s="40" t="str">
        <f>IF(Agent03_Withdrawals!A97="","",Agent03_Withdrawals!A97)</f>
        <v/>
      </c>
      <c r="B490" s="40" t="str">
        <f ca="1">IF(Agent03_Withdrawals!A97="","","WD"&amp;TEXT(490-3,"0000")&amp;"-"&amp;TEXT(TODAY(),"YYYYMMDD"))</f>
        <v/>
      </c>
      <c r="C490" s="40" t="str">
        <f>IF(Agent03_Withdrawals!A97="","",Agent03_Withdrawals!B97)</f>
        <v/>
      </c>
      <c r="D490" s="43" t="str">
        <f>IF(Agent03_Withdrawals!A97="","",Agent03_Withdrawals!C97)</f>
        <v/>
      </c>
      <c r="E490" s="41" t="str">
        <f>IF(Agent03_Withdrawals!A97="","",Agent03_Withdrawals!D97)</f>
        <v/>
      </c>
      <c r="F490" s="40" t="str">
        <f>IF(Agent03_Withdrawals!A97="","",Agent03_Withdrawals!F97)</f>
        <v/>
      </c>
      <c r="G490" s="42" t="str">
        <f>IF(Agent03_Withdrawals!A97="","",Agent03_Withdrawals!E97)</f>
        <v/>
      </c>
      <c r="H490" s="42" t="str">
        <f>IF(Agent03_Withdrawals!A97="","",Agent03_Withdrawals!G97)</f>
        <v/>
      </c>
      <c r="I490" s="40" t="str">
        <f>IF(Agent03_Withdrawals!A97="","",Agent03_Withdrawals!H97)</f>
        <v/>
      </c>
      <c r="J490" s="40" t="str">
        <f>IF(Agent03_Withdrawals!A97="","",Agent03_Withdrawals!J97)</f>
        <v/>
      </c>
      <c r="K490" s="40" t="str">
        <f>IF(Agent03_Withdrawals!A97="","",Agent03_Withdrawals!K97)</f>
        <v/>
      </c>
      <c r="L490" s="40" t="str">
        <f>IF(G490="","",IF(D490-G490&gt;=System_Config!$B$9,"✅ OK","⚠️ BREACH"))</f>
        <v/>
      </c>
      <c r="M490" s="40" t="str">
        <f>IFERROR(IF(Agent03_Withdrawals!A97="","",YEAR(Agent03_Withdrawals!D97)),"")</f>
        <v/>
      </c>
    </row>
    <row r="491" spans="1:13" ht="18" customHeight="1" x14ac:dyDescent="0.25">
      <c r="A491" s="40" t="str">
        <f>IF(Agent03_Withdrawals!A98="","",Agent03_Withdrawals!A98)</f>
        <v/>
      </c>
      <c r="B491" s="40" t="str">
        <f ca="1">IF(Agent03_Withdrawals!A98="","","WD"&amp;TEXT(491-3,"0000")&amp;"-"&amp;TEXT(TODAY(),"YYYYMMDD"))</f>
        <v/>
      </c>
      <c r="C491" s="40" t="str">
        <f>IF(Agent03_Withdrawals!A98="","",Agent03_Withdrawals!B98)</f>
        <v/>
      </c>
      <c r="D491" s="43" t="str">
        <f>IF(Agent03_Withdrawals!A98="","",Agent03_Withdrawals!C98)</f>
        <v/>
      </c>
      <c r="E491" s="41" t="str">
        <f>IF(Agent03_Withdrawals!A98="","",Agent03_Withdrawals!D98)</f>
        <v/>
      </c>
      <c r="F491" s="40" t="str">
        <f>IF(Agent03_Withdrawals!A98="","",Agent03_Withdrawals!F98)</f>
        <v/>
      </c>
      <c r="G491" s="42" t="str">
        <f>IF(Agent03_Withdrawals!A98="","",Agent03_Withdrawals!E98)</f>
        <v/>
      </c>
      <c r="H491" s="42" t="str">
        <f>IF(Agent03_Withdrawals!A98="","",Agent03_Withdrawals!G98)</f>
        <v/>
      </c>
      <c r="I491" s="40" t="str">
        <f>IF(Agent03_Withdrawals!A98="","",Agent03_Withdrawals!H98)</f>
        <v/>
      </c>
      <c r="J491" s="40" t="str">
        <f>IF(Agent03_Withdrawals!A98="","",Agent03_Withdrawals!J98)</f>
        <v/>
      </c>
      <c r="K491" s="40" t="str">
        <f>IF(Agent03_Withdrawals!A98="","",Agent03_Withdrawals!K98)</f>
        <v/>
      </c>
      <c r="L491" s="40" t="str">
        <f>IF(G491="","",IF(D491-G491&gt;=System_Config!$B$9,"✅ OK","⚠️ BREACH"))</f>
        <v/>
      </c>
      <c r="M491" s="40" t="str">
        <f>IFERROR(IF(Agent03_Withdrawals!A98="","",YEAR(Agent03_Withdrawals!D98)),"")</f>
        <v/>
      </c>
    </row>
    <row r="492" spans="1:13" ht="18" customHeight="1" x14ac:dyDescent="0.25">
      <c r="A492" s="40" t="str">
        <f>IF(Agent03_Withdrawals!A99="","",Agent03_Withdrawals!A99)</f>
        <v/>
      </c>
      <c r="B492" s="40" t="str">
        <f ca="1">IF(Agent03_Withdrawals!A99="","","WD"&amp;TEXT(492-3,"0000")&amp;"-"&amp;TEXT(TODAY(),"YYYYMMDD"))</f>
        <v/>
      </c>
      <c r="C492" s="40" t="str">
        <f>IF(Agent03_Withdrawals!A99="","",Agent03_Withdrawals!B99)</f>
        <v/>
      </c>
      <c r="D492" s="43" t="str">
        <f>IF(Agent03_Withdrawals!A99="","",Agent03_Withdrawals!C99)</f>
        <v/>
      </c>
      <c r="E492" s="41" t="str">
        <f>IF(Agent03_Withdrawals!A99="","",Agent03_Withdrawals!D99)</f>
        <v/>
      </c>
      <c r="F492" s="40" t="str">
        <f>IF(Agent03_Withdrawals!A99="","",Agent03_Withdrawals!F99)</f>
        <v/>
      </c>
      <c r="G492" s="42" t="str">
        <f>IF(Agent03_Withdrawals!A99="","",Agent03_Withdrawals!E99)</f>
        <v/>
      </c>
      <c r="H492" s="42" t="str">
        <f>IF(Agent03_Withdrawals!A99="","",Agent03_Withdrawals!G99)</f>
        <v/>
      </c>
      <c r="I492" s="40" t="str">
        <f>IF(Agent03_Withdrawals!A99="","",Agent03_Withdrawals!H99)</f>
        <v/>
      </c>
      <c r="J492" s="40" t="str">
        <f>IF(Agent03_Withdrawals!A99="","",Agent03_Withdrawals!J99)</f>
        <v/>
      </c>
      <c r="K492" s="40" t="str">
        <f>IF(Agent03_Withdrawals!A99="","",Agent03_Withdrawals!K99)</f>
        <v/>
      </c>
      <c r="L492" s="40" t="str">
        <f>IF(G492="","",IF(D492-G492&gt;=System_Config!$B$9,"✅ OK","⚠️ BREACH"))</f>
        <v/>
      </c>
      <c r="M492" s="40" t="str">
        <f>IFERROR(IF(Agent03_Withdrawals!A99="","",YEAR(Agent03_Withdrawals!D99)),"")</f>
        <v/>
      </c>
    </row>
    <row r="493" spans="1:13" ht="18" customHeight="1" x14ac:dyDescent="0.25">
      <c r="A493" s="40" t="str">
        <f>IF(Agent03_Withdrawals!A100="","",Agent03_Withdrawals!A100)</f>
        <v/>
      </c>
      <c r="B493" s="40" t="str">
        <f ca="1">IF(Agent03_Withdrawals!A100="","","WD"&amp;TEXT(493-3,"0000")&amp;"-"&amp;TEXT(TODAY(),"YYYYMMDD"))</f>
        <v/>
      </c>
      <c r="C493" s="40" t="str">
        <f>IF(Agent03_Withdrawals!A100="","",Agent03_Withdrawals!B100)</f>
        <v/>
      </c>
      <c r="D493" s="43" t="str">
        <f>IF(Agent03_Withdrawals!A100="","",Agent03_Withdrawals!C100)</f>
        <v/>
      </c>
      <c r="E493" s="41" t="str">
        <f>IF(Agent03_Withdrawals!A100="","",Agent03_Withdrawals!D100)</f>
        <v/>
      </c>
      <c r="F493" s="40" t="str">
        <f>IF(Agent03_Withdrawals!A100="","",Agent03_Withdrawals!F100)</f>
        <v/>
      </c>
      <c r="G493" s="42" t="str">
        <f>IF(Agent03_Withdrawals!A100="","",Agent03_Withdrawals!E100)</f>
        <v/>
      </c>
      <c r="H493" s="42" t="str">
        <f>IF(Agent03_Withdrawals!A100="","",Agent03_Withdrawals!G100)</f>
        <v/>
      </c>
      <c r="I493" s="40" t="str">
        <f>IF(Agent03_Withdrawals!A100="","",Agent03_Withdrawals!H100)</f>
        <v/>
      </c>
      <c r="J493" s="40" t="str">
        <f>IF(Agent03_Withdrawals!A100="","",Agent03_Withdrawals!J100)</f>
        <v/>
      </c>
      <c r="K493" s="40" t="str">
        <f>IF(Agent03_Withdrawals!A100="","",Agent03_Withdrawals!K100)</f>
        <v/>
      </c>
      <c r="L493" s="40" t="str">
        <f>IF(G493="","",IF(D493-G493&gt;=System_Config!$B$9,"✅ OK","⚠️ BREACH"))</f>
        <v/>
      </c>
      <c r="M493" s="40" t="str">
        <f>IFERROR(IF(Agent03_Withdrawals!A100="","",YEAR(Agent03_Withdrawals!D100)),"")</f>
        <v/>
      </c>
    </row>
    <row r="494" spans="1:13" ht="18" customHeight="1" x14ac:dyDescent="0.25">
      <c r="A494" s="40" t="str">
        <f>IF(Agent03_Withdrawals!A101="","",Agent03_Withdrawals!A101)</f>
        <v/>
      </c>
      <c r="B494" s="40" t="str">
        <f ca="1">IF(Agent03_Withdrawals!A101="","","WD"&amp;TEXT(494-3,"0000")&amp;"-"&amp;TEXT(TODAY(),"YYYYMMDD"))</f>
        <v/>
      </c>
      <c r="C494" s="40" t="str">
        <f>IF(Agent03_Withdrawals!A101="","",Agent03_Withdrawals!B101)</f>
        <v/>
      </c>
      <c r="D494" s="43" t="str">
        <f>IF(Agent03_Withdrawals!A101="","",Agent03_Withdrawals!C101)</f>
        <v/>
      </c>
      <c r="E494" s="41" t="str">
        <f>IF(Agent03_Withdrawals!A101="","",Agent03_Withdrawals!D101)</f>
        <v/>
      </c>
      <c r="F494" s="40" t="str">
        <f>IF(Agent03_Withdrawals!A101="","",Agent03_Withdrawals!F101)</f>
        <v/>
      </c>
      <c r="G494" s="42" t="str">
        <f>IF(Agent03_Withdrawals!A101="","",Agent03_Withdrawals!E101)</f>
        <v/>
      </c>
      <c r="H494" s="42" t="str">
        <f>IF(Agent03_Withdrawals!A101="","",Agent03_Withdrawals!G101)</f>
        <v/>
      </c>
      <c r="I494" s="40" t="str">
        <f>IF(Agent03_Withdrawals!A101="","",Agent03_Withdrawals!H101)</f>
        <v/>
      </c>
      <c r="J494" s="40" t="str">
        <f>IF(Agent03_Withdrawals!A101="","",Agent03_Withdrawals!J101)</f>
        <v/>
      </c>
      <c r="K494" s="40" t="str">
        <f>IF(Agent03_Withdrawals!A101="","",Agent03_Withdrawals!K101)</f>
        <v/>
      </c>
      <c r="L494" s="40" t="str">
        <f>IF(G494="","",IF(D494-G494&gt;=System_Config!$B$9,"✅ OK","⚠️ BREACH"))</f>
        <v/>
      </c>
      <c r="M494" s="40" t="str">
        <f>IFERROR(IF(Agent03_Withdrawals!A101="","",YEAR(Agent03_Withdrawals!D101)),"")</f>
        <v/>
      </c>
    </row>
    <row r="495" spans="1:13" ht="18" customHeight="1" x14ac:dyDescent="0.25">
      <c r="A495" s="40" t="str">
        <f>IF(Agent03_Withdrawals!A102="","",Agent03_Withdrawals!A102)</f>
        <v/>
      </c>
      <c r="B495" s="40" t="str">
        <f ca="1">IF(Agent03_Withdrawals!A102="","","WD"&amp;TEXT(495-3,"0000")&amp;"-"&amp;TEXT(TODAY(),"YYYYMMDD"))</f>
        <v/>
      </c>
      <c r="C495" s="40" t="str">
        <f>IF(Agent03_Withdrawals!A102="","",Agent03_Withdrawals!B102)</f>
        <v/>
      </c>
      <c r="D495" s="43" t="str">
        <f>IF(Agent03_Withdrawals!A102="","",Agent03_Withdrawals!C102)</f>
        <v/>
      </c>
      <c r="E495" s="41" t="str">
        <f>IF(Agent03_Withdrawals!A102="","",Agent03_Withdrawals!D102)</f>
        <v/>
      </c>
      <c r="F495" s="40" t="str">
        <f>IF(Agent03_Withdrawals!A102="","",Agent03_Withdrawals!F102)</f>
        <v/>
      </c>
      <c r="G495" s="42" t="str">
        <f>IF(Agent03_Withdrawals!A102="","",Agent03_Withdrawals!E102)</f>
        <v/>
      </c>
      <c r="H495" s="42" t="str">
        <f>IF(Agent03_Withdrawals!A102="","",Agent03_Withdrawals!G102)</f>
        <v/>
      </c>
      <c r="I495" s="40" t="str">
        <f>IF(Agent03_Withdrawals!A102="","",Agent03_Withdrawals!H102)</f>
        <v/>
      </c>
      <c r="J495" s="40" t="str">
        <f>IF(Agent03_Withdrawals!A102="","",Agent03_Withdrawals!J102)</f>
        <v/>
      </c>
      <c r="K495" s="40" t="str">
        <f>IF(Agent03_Withdrawals!A102="","",Agent03_Withdrawals!K102)</f>
        <v/>
      </c>
      <c r="L495" s="40" t="str">
        <f>IF(G495="","",IF(D495-G495&gt;=System_Config!$B$9,"✅ OK","⚠️ BREACH"))</f>
        <v/>
      </c>
      <c r="M495" s="40" t="str">
        <f>IFERROR(IF(Agent03_Withdrawals!A102="","",YEAR(Agent03_Withdrawals!D102)),"")</f>
        <v/>
      </c>
    </row>
    <row r="496" spans="1:13" ht="18" customHeight="1" x14ac:dyDescent="0.25">
      <c r="A496" s="40" t="str">
        <f>IF(Agent03_Withdrawals!A103="","",Agent03_Withdrawals!A103)</f>
        <v/>
      </c>
      <c r="B496" s="40" t="str">
        <f ca="1">IF(Agent03_Withdrawals!A103="","","WD"&amp;TEXT(496-3,"0000")&amp;"-"&amp;TEXT(TODAY(),"YYYYMMDD"))</f>
        <v/>
      </c>
      <c r="C496" s="40" t="str">
        <f>IF(Agent03_Withdrawals!A103="","",Agent03_Withdrawals!B103)</f>
        <v/>
      </c>
      <c r="D496" s="43" t="str">
        <f>IF(Agent03_Withdrawals!A103="","",Agent03_Withdrawals!C103)</f>
        <v/>
      </c>
      <c r="E496" s="41" t="str">
        <f>IF(Agent03_Withdrawals!A103="","",Agent03_Withdrawals!D103)</f>
        <v/>
      </c>
      <c r="F496" s="40" t="str">
        <f>IF(Agent03_Withdrawals!A103="","",Agent03_Withdrawals!F103)</f>
        <v/>
      </c>
      <c r="G496" s="42" t="str">
        <f>IF(Agent03_Withdrawals!A103="","",Agent03_Withdrawals!E103)</f>
        <v/>
      </c>
      <c r="H496" s="42" t="str">
        <f>IF(Agent03_Withdrawals!A103="","",Agent03_Withdrawals!G103)</f>
        <v/>
      </c>
      <c r="I496" s="40" t="str">
        <f>IF(Agent03_Withdrawals!A103="","",Agent03_Withdrawals!H103)</f>
        <v/>
      </c>
      <c r="J496" s="40" t="str">
        <f>IF(Agent03_Withdrawals!A103="","",Agent03_Withdrawals!J103)</f>
        <v/>
      </c>
      <c r="K496" s="40" t="str">
        <f>IF(Agent03_Withdrawals!A103="","",Agent03_Withdrawals!K103)</f>
        <v/>
      </c>
      <c r="L496" s="40" t="str">
        <f>IF(G496="","",IF(D496-G496&gt;=System_Config!$B$9,"✅ OK","⚠️ BREACH"))</f>
        <v/>
      </c>
      <c r="M496" s="40" t="str">
        <f>IFERROR(IF(Agent03_Withdrawals!A103="","",YEAR(Agent03_Withdrawals!D103)),"")</f>
        <v/>
      </c>
    </row>
    <row r="497" spans="1:13" ht="18" customHeight="1" x14ac:dyDescent="0.25">
      <c r="A497" s="40" t="str">
        <f>IF(Agent03_Withdrawals!A104="","",Agent03_Withdrawals!A104)</f>
        <v/>
      </c>
      <c r="B497" s="40" t="str">
        <f ca="1">IF(Agent03_Withdrawals!A104="","","WD"&amp;TEXT(497-3,"0000")&amp;"-"&amp;TEXT(TODAY(),"YYYYMMDD"))</f>
        <v/>
      </c>
      <c r="C497" s="40" t="str">
        <f>IF(Agent03_Withdrawals!A104="","",Agent03_Withdrawals!B104)</f>
        <v/>
      </c>
      <c r="D497" s="43" t="str">
        <f>IF(Agent03_Withdrawals!A104="","",Agent03_Withdrawals!C104)</f>
        <v/>
      </c>
      <c r="E497" s="41" t="str">
        <f>IF(Agent03_Withdrawals!A104="","",Agent03_Withdrawals!D104)</f>
        <v/>
      </c>
      <c r="F497" s="40" t="str">
        <f>IF(Agent03_Withdrawals!A104="","",Agent03_Withdrawals!F104)</f>
        <v/>
      </c>
      <c r="G497" s="42" t="str">
        <f>IF(Agent03_Withdrawals!A104="","",Agent03_Withdrawals!E104)</f>
        <v/>
      </c>
      <c r="H497" s="42" t="str">
        <f>IF(Agent03_Withdrawals!A104="","",Agent03_Withdrawals!G104)</f>
        <v/>
      </c>
      <c r="I497" s="40" t="str">
        <f>IF(Agent03_Withdrawals!A104="","",Agent03_Withdrawals!H104)</f>
        <v/>
      </c>
      <c r="J497" s="40" t="str">
        <f>IF(Agent03_Withdrawals!A104="","",Agent03_Withdrawals!J104)</f>
        <v/>
      </c>
      <c r="K497" s="40" t="str">
        <f>IF(Agent03_Withdrawals!A104="","",Agent03_Withdrawals!K104)</f>
        <v/>
      </c>
      <c r="L497" s="40" t="str">
        <f>IF(G497="","",IF(D497-G497&gt;=System_Config!$B$9,"✅ OK","⚠️ BREACH"))</f>
        <v/>
      </c>
      <c r="M497" s="40" t="str">
        <f>IFERROR(IF(Agent03_Withdrawals!A104="","",YEAR(Agent03_Withdrawals!D104)),"")</f>
        <v/>
      </c>
    </row>
    <row r="498" spans="1:13" ht="18" customHeight="1" x14ac:dyDescent="0.25">
      <c r="A498" s="40" t="str">
        <f>IF(Agent03_Withdrawals!A105="","",Agent03_Withdrawals!A105)</f>
        <v/>
      </c>
      <c r="B498" s="40" t="str">
        <f ca="1">IF(Agent03_Withdrawals!A105="","","WD"&amp;TEXT(498-3,"0000")&amp;"-"&amp;TEXT(TODAY(),"YYYYMMDD"))</f>
        <v/>
      </c>
      <c r="C498" s="40" t="str">
        <f>IF(Agent03_Withdrawals!A105="","",Agent03_Withdrawals!B105)</f>
        <v/>
      </c>
      <c r="D498" s="43" t="str">
        <f>IF(Agent03_Withdrawals!A105="","",Agent03_Withdrawals!C105)</f>
        <v/>
      </c>
      <c r="E498" s="41" t="str">
        <f>IF(Agent03_Withdrawals!A105="","",Agent03_Withdrawals!D105)</f>
        <v/>
      </c>
      <c r="F498" s="40" t="str">
        <f>IF(Agent03_Withdrawals!A105="","",Agent03_Withdrawals!F105)</f>
        <v/>
      </c>
      <c r="G498" s="42" t="str">
        <f>IF(Agent03_Withdrawals!A105="","",Agent03_Withdrawals!E105)</f>
        <v/>
      </c>
      <c r="H498" s="42" t="str">
        <f>IF(Agent03_Withdrawals!A105="","",Agent03_Withdrawals!G105)</f>
        <v/>
      </c>
      <c r="I498" s="40" t="str">
        <f>IF(Agent03_Withdrawals!A105="","",Agent03_Withdrawals!H105)</f>
        <v/>
      </c>
      <c r="J498" s="40" t="str">
        <f>IF(Agent03_Withdrawals!A105="","",Agent03_Withdrawals!J105)</f>
        <v/>
      </c>
      <c r="K498" s="40" t="str">
        <f>IF(Agent03_Withdrawals!A105="","",Agent03_Withdrawals!K105)</f>
        <v/>
      </c>
      <c r="L498" s="40" t="str">
        <f>IF(G498="","",IF(D498-G498&gt;=System_Config!$B$9,"✅ OK","⚠️ BREACH"))</f>
        <v/>
      </c>
      <c r="M498" s="40" t="str">
        <f>IFERROR(IF(Agent03_Withdrawals!A105="","",YEAR(Agent03_Withdrawals!D105)),"")</f>
        <v/>
      </c>
    </row>
    <row r="499" spans="1:13" ht="18" customHeight="1" x14ac:dyDescent="0.25">
      <c r="A499" s="40" t="str">
        <f>IF(Agent03_Withdrawals!A106="","",Agent03_Withdrawals!A106)</f>
        <v/>
      </c>
      <c r="B499" s="40" t="str">
        <f ca="1">IF(Agent03_Withdrawals!A106="","","WD"&amp;TEXT(499-3,"0000")&amp;"-"&amp;TEXT(TODAY(),"YYYYMMDD"))</f>
        <v/>
      </c>
      <c r="C499" s="40" t="str">
        <f>IF(Agent03_Withdrawals!A106="","",Agent03_Withdrawals!B106)</f>
        <v/>
      </c>
      <c r="D499" s="43" t="str">
        <f>IF(Agent03_Withdrawals!A106="","",Agent03_Withdrawals!C106)</f>
        <v/>
      </c>
      <c r="E499" s="41" t="str">
        <f>IF(Agent03_Withdrawals!A106="","",Agent03_Withdrawals!D106)</f>
        <v/>
      </c>
      <c r="F499" s="40" t="str">
        <f>IF(Agent03_Withdrawals!A106="","",Agent03_Withdrawals!F106)</f>
        <v/>
      </c>
      <c r="G499" s="42" t="str">
        <f>IF(Agent03_Withdrawals!A106="","",Agent03_Withdrawals!E106)</f>
        <v/>
      </c>
      <c r="H499" s="42" t="str">
        <f>IF(Agent03_Withdrawals!A106="","",Agent03_Withdrawals!G106)</f>
        <v/>
      </c>
      <c r="I499" s="40" t="str">
        <f>IF(Agent03_Withdrawals!A106="","",Agent03_Withdrawals!H106)</f>
        <v/>
      </c>
      <c r="J499" s="40" t="str">
        <f>IF(Agent03_Withdrawals!A106="","",Agent03_Withdrawals!J106)</f>
        <v/>
      </c>
      <c r="K499" s="40" t="str">
        <f>IF(Agent03_Withdrawals!A106="","",Agent03_Withdrawals!K106)</f>
        <v/>
      </c>
      <c r="L499" s="40" t="str">
        <f>IF(G499="","",IF(D499-G499&gt;=System_Config!$B$9,"✅ OK","⚠️ BREACH"))</f>
        <v/>
      </c>
      <c r="M499" s="40" t="str">
        <f>IFERROR(IF(Agent03_Withdrawals!A106="","",YEAR(Agent03_Withdrawals!D106)),"")</f>
        <v/>
      </c>
    </row>
    <row r="500" spans="1:13" ht="18" customHeight="1" x14ac:dyDescent="0.25">
      <c r="A500" s="40" t="str">
        <f>IF(Agent03_Withdrawals!A107="","",Agent03_Withdrawals!A107)</f>
        <v/>
      </c>
      <c r="B500" s="40" t="str">
        <f ca="1">IF(Agent03_Withdrawals!A107="","","WD"&amp;TEXT(500-3,"0000")&amp;"-"&amp;TEXT(TODAY(),"YYYYMMDD"))</f>
        <v/>
      </c>
      <c r="C500" s="40" t="str">
        <f>IF(Agent03_Withdrawals!A107="","",Agent03_Withdrawals!B107)</f>
        <v/>
      </c>
      <c r="D500" s="43" t="str">
        <f>IF(Agent03_Withdrawals!A107="","",Agent03_Withdrawals!C107)</f>
        <v/>
      </c>
      <c r="E500" s="41" t="str">
        <f>IF(Agent03_Withdrawals!A107="","",Agent03_Withdrawals!D107)</f>
        <v/>
      </c>
      <c r="F500" s="40" t="str">
        <f>IF(Agent03_Withdrawals!A107="","",Agent03_Withdrawals!F107)</f>
        <v/>
      </c>
      <c r="G500" s="42" t="str">
        <f>IF(Agent03_Withdrawals!A107="","",Agent03_Withdrawals!E107)</f>
        <v/>
      </c>
      <c r="H500" s="42" t="str">
        <f>IF(Agent03_Withdrawals!A107="","",Agent03_Withdrawals!G107)</f>
        <v/>
      </c>
      <c r="I500" s="40" t="str">
        <f>IF(Agent03_Withdrawals!A107="","",Agent03_Withdrawals!H107)</f>
        <v/>
      </c>
      <c r="J500" s="40" t="str">
        <f>IF(Agent03_Withdrawals!A107="","",Agent03_Withdrawals!J107)</f>
        <v/>
      </c>
      <c r="K500" s="40" t="str">
        <f>IF(Agent03_Withdrawals!A107="","",Agent03_Withdrawals!K107)</f>
        <v/>
      </c>
      <c r="L500" s="40" t="str">
        <f>IF(G500="","",IF(D500-G500&gt;=System_Config!$B$9,"✅ OK","⚠️ BREACH"))</f>
        <v/>
      </c>
      <c r="M500" s="40" t="str">
        <f>IFERROR(IF(Agent03_Withdrawals!A107="","",YEAR(Agent03_Withdrawals!D107)),"")</f>
        <v/>
      </c>
    </row>
    <row r="501" spans="1:13" ht="18" customHeight="1" x14ac:dyDescent="0.25">
      <c r="A501" s="40" t="str">
        <f>IF(Agent03_Withdrawals!A108="","",Agent03_Withdrawals!A108)</f>
        <v/>
      </c>
      <c r="B501" s="40" t="str">
        <f ca="1">IF(Agent03_Withdrawals!A108="","","WD"&amp;TEXT(501-3,"0000")&amp;"-"&amp;TEXT(TODAY(),"YYYYMMDD"))</f>
        <v/>
      </c>
      <c r="C501" s="40" t="str">
        <f>IF(Agent03_Withdrawals!A108="","",Agent03_Withdrawals!B108)</f>
        <v/>
      </c>
      <c r="D501" s="43" t="str">
        <f>IF(Agent03_Withdrawals!A108="","",Agent03_Withdrawals!C108)</f>
        <v/>
      </c>
      <c r="E501" s="41" t="str">
        <f>IF(Agent03_Withdrawals!A108="","",Agent03_Withdrawals!D108)</f>
        <v/>
      </c>
      <c r="F501" s="40" t="str">
        <f>IF(Agent03_Withdrawals!A108="","",Agent03_Withdrawals!F108)</f>
        <v/>
      </c>
      <c r="G501" s="42" t="str">
        <f>IF(Agent03_Withdrawals!A108="","",Agent03_Withdrawals!E108)</f>
        <v/>
      </c>
      <c r="H501" s="42" t="str">
        <f>IF(Agent03_Withdrawals!A108="","",Agent03_Withdrawals!G108)</f>
        <v/>
      </c>
      <c r="I501" s="40" t="str">
        <f>IF(Agent03_Withdrawals!A108="","",Agent03_Withdrawals!H108)</f>
        <v/>
      </c>
      <c r="J501" s="40" t="str">
        <f>IF(Agent03_Withdrawals!A108="","",Agent03_Withdrawals!J108)</f>
        <v/>
      </c>
      <c r="K501" s="40" t="str">
        <f>IF(Agent03_Withdrawals!A108="","",Agent03_Withdrawals!K108)</f>
        <v/>
      </c>
      <c r="L501" s="40" t="str">
        <f>IF(G501="","",IF(D501-G501&gt;=System_Config!$B$9,"✅ OK","⚠️ BREACH"))</f>
        <v/>
      </c>
      <c r="M501" s="40" t="str">
        <f>IFERROR(IF(Agent03_Withdrawals!A108="","",YEAR(Agent03_Withdrawals!D108)),"")</f>
        <v/>
      </c>
    </row>
    <row r="502" spans="1:13" ht="18" customHeight="1" x14ac:dyDescent="0.25">
      <c r="A502" s="40" t="str">
        <f>IF(Agent03_Withdrawals!A109="","",Agent03_Withdrawals!A109)</f>
        <v/>
      </c>
      <c r="B502" s="40" t="str">
        <f ca="1">IF(Agent03_Withdrawals!A109="","","WD"&amp;TEXT(502-3,"0000")&amp;"-"&amp;TEXT(TODAY(),"YYYYMMDD"))</f>
        <v/>
      </c>
      <c r="C502" s="40" t="str">
        <f>IF(Agent03_Withdrawals!A109="","",Agent03_Withdrawals!B109)</f>
        <v/>
      </c>
      <c r="D502" s="43" t="str">
        <f>IF(Agent03_Withdrawals!A109="","",Agent03_Withdrawals!C109)</f>
        <v/>
      </c>
      <c r="E502" s="41" t="str">
        <f>IF(Agent03_Withdrawals!A109="","",Agent03_Withdrawals!D109)</f>
        <v/>
      </c>
      <c r="F502" s="40" t="str">
        <f>IF(Agent03_Withdrawals!A109="","",Agent03_Withdrawals!F109)</f>
        <v/>
      </c>
      <c r="G502" s="42" t="str">
        <f>IF(Agent03_Withdrawals!A109="","",Agent03_Withdrawals!E109)</f>
        <v/>
      </c>
      <c r="H502" s="42" t="str">
        <f>IF(Agent03_Withdrawals!A109="","",Agent03_Withdrawals!G109)</f>
        <v/>
      </c>
      <c r="I502" s="40" t="str">
        <f>IF(Agent03_Withdrawals!A109="","",Agent03_Withdrawals!H109)</f>
        <v/>
      </c>
      <c r="J502" s="40" t="str">
        <f>IF(Agent03_Withdrawals!A109="","",Agent03_Withdrawals!J109)</f>
        <v/>
      </c>
      <c r="K502" s="40" t="str">
        <f>IF(Agent03_Withdrawals!A109="","",Agent03_Withdrawals!K109)</f>
        <v/>
      </c>
      <c r="L502" s="40" t="str">
        <f>IF(G502="","",IF(D502-G502&gt;=System_Config!$B$9,"✅ OK","⚠️ BREACH"))</f>
        <v/>
      </c>
      <c r="M502" s="40" t="str">
        <f>IFERROR(IF(Agent03_Withdrawals!A109="","",YEAR(Agent03_Withdrawals!D109)),"")</f>
        <v/>
      </c>
    </row>
    <row r="503" spans="1:13" ht="18" customHeight="1" x14ac:dyDescent="0.25">
      <c r="A503" s="40" t="str">
        <f>IF(Agent03_Withdrawals!A110="","",Agent03_Withdrawals!A110)</f>
        <v/>
      </c>
      <c r="B503" s="40" t="str">
        <f ca="1">IF(Agent03_Withdrawals!A110="","","WD"&amp;TEXT(503-3,"0000")&amp;"-"&amp;TEXT(TODAY(),"YYYYMMDD"))</f>
        <v/>
      </c>
      <c r="C503" s="40" t="str">
        <f>IF(Agent03_Withdrawals!A110="","",Agent03_Withdrawals!B110)</f>
        <v/>
      </c>
      <c r="D503" s="43" t="str">
        <f>IF(Agent03_Withdrawals!A110="","",Agent03_Withdrawals!C110)</f>
        <v/>
      </c>
      <c r="E503" s="41" t="str">
        <f>IF(Agent03_Withdrawals!A110="","",Agent03_Withdrawals!D110)</f>
        <v/>
      </c>
      <c r="F503" s="40" t="str">
        <f>IF(Agent03_Withdrawals!A110="","",Agent03_Withdrawals!F110)</f>
        <v/>
      </c>
      <c r="G503" s="42" t="str">
        <f>IF(Agent03_Withdrawals!A110="","",Agent03_Withdrawals!E110)</f>
        <v/>
      </c>
      <c r="H503" s="42" t="str">
        <f>IF(Agent03_Withdrawals!A110="","",Agent03_Withdrawals!G110)</f>
        <v/>
      </c>
      <c r="I503" s="40" t="str">
        <f>IF(Agent03_Withdrawals!A110="","",Agent03_Withdrawals!H110)</f>
        <v/>
      </c>
      <c r="J503" s="40" t="str">
        <f>IF(Agent03_Withdrawals!A110="","",Agent03_Withdrawals!J110)</f>
        <v/>
      </c>
      <c r="K503" s="40" t="str">
        <f>IF(Agent03_Withdrawals!A110="","",Agent03_Withdrawals!K110)</f>
        <v/>
      </c>
      <c r="L503" s="40" t="str">
        <f>IF(G503="","",IF(D503-G503&gt;=System_Config!$B$9,"✅ OK","⚠️ BREACH"))</f>
        <v/>
      </c>
      <c r="M503" s="40" t="str">
        <f>IFERROR(IF(Agent03_Withdrawals!A110="","",YEAR(Agent03_Withdrawals!D110)),"")</f>
        <v/>
      </c>
    </row>
    <row r="504" spans="1:13" ht="18" customHeight="1" x14ac:dyDescent="0.25">
      <c r="A504" s="40" t="str">
        <f>IF(Agent03_Withdrawals!A111="","",Agent03_Withdrawals!A111)</f>
        <v/>
      </c>
      <c r="B504" s="40" t="str">
        <f ca="1">IF(Agent03_Withdrawals!A111="","","WD"&amp;TEXT(504-3,"0000")&amp;"-"&amp;TEXT(TODAY(),"YYYYMMDD"))</f>
        <v/>
      </c>
      <c r="C504" s="40" t="str">
        <f>IF(Agent03_Withdrawals!A111="","",Agent03_Withdrawals!B111)</f>
        <v/>
      </c>
      <c r="D504" s="43" t="str">
        <f>IF(Agent03_Withdrawals!A111="","",Agent03_Withdrawals!C111)</f>
        <v/>
      </c>
      <c r="E504" s="41" t="str">
        <f>IF(Agent03_Withdrawals!A111="","",Agent03_Withdrawals!D111)</f>
        <v/>
      </c>
      <c r="F504" s="40" t="str">
        <f>IF(Agent03_Withdrawals!A111="","",Agent03_Withdrawals!F111)</f>
        <v/>
      </c>
      <c r="G504" s="42" t="str">
        <f>IF(Agent03_Withdrawals!A111="","",Agent03_Withdrawals!E111)</f>
        <v/>
      </c>
      <c r="H504" s="42" t="str">
        <f>IF(Agent03_Withdrawals!A111="","",Agent03_Withdrawals!G111)</f>
        <v/>
      </c>
      <c r="I504" s="40" t="str">
        <f>IF(Agent03_Withdrawals!A111="","",Agent03_Withdrawals!H111)</f>
        <v/>
      </c>
      <c r="J504" s="40" t="str">
        <f>IF(Agent03_Withdrawals!A111="","",Agent03_Withdrawals!J111)</f>
        <v/>
      </c>
      <c r="K504" s="40" t="str">
        <f>IF(Agent03_Withdrawals!A111="","",Agent03_Withdrawals!K111)</f>
        <v/>
      </c>
      <c r="L504" s="40" t="str">
        <f>IF(G504="","",IF(D504-G504&gt;=System_Config!$B$9,"✅ OK","⚠️ BREACH"))</f>
        <v/>
      </c>
      <c r="M504" s="40" t="str">
        <f>IFERROR(IF(Agent03_Withdrawals!A111="","",YEAR(Agent03_Withdrawals!D111)),"")</f>
        <v/>
      </c>
    </row>
    <row r="505" spans="1:13" ht="18" customHeight="1" x14ac:dyDescent="0.25">
      <c r="A505" s="40" t="str">
        <f>IF(Agent03_Withdrawals!A112="","",Agent03_Withdrawals!A112)</f>
        <v/>
      </c>
      <c r="B505" s="40" t="str">
        <f ca="1">IF(Agent03_Withdrawals!A112="","","WD"&amp;TEXT(505-3,"0000")&amp;"-"&amp;TEXT(TODAY(),"YYYYMMDD"))</f>
        <v/>
      </c>
      <c r="C505" s="40" t="str">
        <f>IF(Agent03_Withdrawals!A112="","",Agent03_Withdrawals!B112)</f>
        <v/>
      </c>
      <c r="D505" s="43" t="str">
        <f>IF(Agent03_Withdrawals!A112="","",Agent03_Withdrawals!C112)</f>
        <v/>
      </c>
      <c r="E505" s="41" t="str">
        <f>IF(Agent03_Withdrawals!A112="","",Agent03_Withdrawals!D112)</f>
        <v/>
      </c>
      <c r="F505" s="40" t="str">
        <f>IF(Agent03_Withdrawals!A112="","",Agent03_Withdrawals!F112)</f>
        <v/>
      </c>
      <c r="G505" s="42" t="str">
        <f>IF(Agent03_Withdrawals!A112="","",Agent03_Withdrawals!E112)</f>
        <v/>
      </c>
      <c r="H505" s="42" t="str">
        <f>IF(Agent03_Withdrawals!A112="","",Agent03_Withdrawals!G112)</f>
        <v/>
      </c>
      <c r="I505" s="40" t="str">
        <f>IF(Agent03_Withdrawals!A112="","",Agent03_Withdrawals!H112)</f>
        <v/>
      </c>
      <c r="J505" s="40" t="str">
        <f>IF(Agent03_Withdrawals!A112="","",Agent03_Withdrawals!J112)</f>
        <v/>
      </c>
      <c r="K505" s="40" t="str">
        <f>IF(Agent03_Withdrawals!A112="","",Agent03_Withdrawals!K112)</f>
        <v/>
      </c>
      <c r="L505" s="40" t="str">
        <f>IF(G505="","",IF(D505-G505&gt;=System_Config!$B$9,"✅ OK","⚠️ BREACH"))</f>
        <v/>
      </c>
      <c r="M505" s="40" t="str">
        <f>IFERROR(IF(Agent03_Withdrawals!A112="","",YEAR(Agent03_Withdrawals!D112)),"")</f>
        <v/>
      </c>
    </row>
    <row r="506" spans="1:13" ht="18" customHeight="1" x14ac:dyDescent="0.25">
      <c r="A506" s="40" t="str">
        <f>IF(Agent03_Withdrawals!A113="","",Agent03_Withdrawals!A113)</f>
        <v/>
      </c>
      <c r="B506" s="40" t="str">
        <f ca="1">IF(Agent03_Withdrawals!A113="","","WD"&amp;TEXT(506-3,"0000")&amp;"-"&amp;TEXT(TODAY(),"YYYYMMDD"))</f>
        <v/>
      </c>
      <c r="C506" s="40" t="str">
        <f>IF(Agent03_Withdrawals!A113="","",Agent03_Withdrawals!B113)</f>
        <v/>
      </c>
      <c r="D506" s="43" t="str">
        <f>IF(Agent03_Withdrawals!A113="","",Agent03_Withdrawals!C113)</f>
        <v/>
      </c>
      <c r="E506" s="41" t="str">
        <f>IF(Agent03_Withdrawals!A113="","",Agent03_Withdrawals!D113)</f>
        <v/>
      </c>
      <c r="F506" s="40" t="str">
        <f>IF(Agent03_Withdrawals!A113="","",Agent03_Withdrawals!F113)</f>
        <v/>
      </c>
      <c r="G506" s="42" t="str">
        <f>IF(Agent03_Withdrawals!A113="","",Agent03_Withdrawals!E113)</f>
        <v/>
      </c>
      <c r="H506" s="42" t="str">
        <f>IF(Agent03_Withdrawals!A113="","",Agent03_Withdrawals!G113)</f>
        <v/>
      </c>
      <c r="I506" s="40" t="str">
        <f>IF(Agent03_Withdrawals!A113="","",Agent03_Withdrawals!H113)</f>
        <v/>
      </c>
      <c r="J506" s="40" t="str">
        <f>IF(Agent03_Withdrawals!A113="","",Agent03_Withdrawals!J113)</f>
        <v/>
      </c>
      <c r="K506" s="40" t="str">
        <f>IF(Agent03_Withdrawals!A113="","",Agent03_Withdrawals!K113)</f>
        <v/>
      </c>
      <c r="L506" s="40" t="str">
        <f>IF(G506="","",IF(D506-G506&gt;=System_Config!$B$9,"✅ OK","⚠️ BREACH"))</f>
        <v/>
      </c>
      <c r="M506" s="40" t="str">
        <f>IFERROR(IF(Agent03_Withdrawals!A113="","",YEAR(Agent03_Withdrawals!D113)),"")</f>
        <v/>
      </c>
    </row>
    <row r="507" spans="1:13" ht="18" customHeight="1" x14ac:dyDescent="0.25">
      <c r="A507" s="40" t="str">
        <f>IF(Agent03_Withdrawals!A114="","",Agent03_Withdrawals!A114)</f>
        <v/>
      </c>
      <c r="B507" s="40" t="str">
        <f ca="1">IF(Agent03_Withdrawals!A114="","","WD"&amp;TEXT(507-3,"0000")&amp;"-"&amp;TEXT(TODAY(),"YYYYMMDD"))</f>
        <v/>
      </c>
      <c r="C507" s="40" t="str">
        <f>IF(Agent03_Withdrawals!A114="","",Agent03_Withdrawals!B114)</f>
        <v/>
      </c>
      <c r="D507" s="43" t="str">
        <f>IF(Agent03_Withdrawals!A114="","",Agent03_Withdrawals!C114)</f>
        <v/>
      </c>
      <c r="E507" s="41" t="str">
        <f>IF(Agent03_Withdrawals!A114="","",Agent03_Withdrawals!D114)</f>
        <v/>
      </c>
      <c r="F507" s="40" t="str">
        <f>IF(Agent03_Withdrawals!A114="","",Agent03_Withdrawals!F114)</f>
        <v/>
      </c>
      <c r="G507" s="42" t="str">
        <f>IF(Agent03_Withdrawals!A114="","",Agent03_Withdrawals!E114)</f>
        <v/>
      </c>
      <c r="H507" s="42" t="str">
        <f>IF(Agent03_Withdrawals!A114="","",Agent03_Withdrawals!G114)</f>
        <v/>
      </c>
      <c r="I507" s="40" t="str">
        <f>IF(Agent03_Withdrawals!A114="","",Agent03_Withdrawals!H114)</f>
        <v/>
      </c>
      <c r="J507" s="40" t="str">
        <f>IF(Agent03_Withdrawals!A114="","",Agent03_Withdrawals!J114)</f>
        <v/>
      </c>
      <c r="K507" s="40" t="str">
        <f>IF(Agent03_Withdrawals!A114="","",Agent03_Withdrawals!K114)</f>
        <v/>
      </c>
      <c r="L507" s="40" t="str">
        <f>IF(G507="","",IF(D507-G507&gt;=System_Config!$B$9,"✅ OK","⚠️ BREACH"))</f>
        <v/>
      </c>
      <c r="M507" s="40" t="str">
        <f>IFERROR(IF(Agent03_Withdrawals!A114="","",YEAR(Agent03_Withdrawals!D114)),"")</f>
        <v/>
      </c>
    </row>
    <row r="508" spans="1:13" ht="18" customHeight="1" x14ac:dyDescent="0.25">
      <c r="A508" s="40" t="str">
        <f>IF(Agent03_Withdrawals!A115="","",Agent03_Withdrawals!A115)</f>
        <v/>
      </c>
      <c r="B508" s="40" t="str">
        <f ca="1">IF(Agent03_Withdrawals!A115="","","WD"&amp;TEXT(508-3,"0000")&amp;"-"&amp;TEXT(TODAY(),"YYYYMMDD"))</f>
        <v/>
      </c>
      <c r="C508" s="40" t="str">
        <f>IF(Agent03_Withdrawals!A115="","",Agent03_Withdrawals!B115)</f>
        <v/>
      </c>
      <c r="D508" s="43" t="str">
        <f>IF(Agent03_Withdrawals!A115="","",Agent03_Withdrawals!C115)</f>
        <v/>
      </c>
      <c r="E508" s="41" t="str">
        <f>IF(Agent03_Withdrawals!A115="","",Agent03_Withdrawals!D115)</f>
        <v/>
      </c>
      <c r="F508" s="40" t="str">
        <f>IF(Agent03_Withdrawals!A115="","",Agent03_Withdrawals!F115)</f>
        <v/>
      </c>
      <c r="G508" s="42" t="str">
        <f>IF(Agent03_Withdrawals!A115="","",Agent03_Withdrawals!E115)</f>
        <v/>
      </c>
      <c r="H508" s="42" t="str">
        <f>IF(Agent03_Withdrawals!A115="","",Agent03_Withdrawals!G115)</f>
        <v/>
      </c>
      <c r="I508" s="40" t="str">
        <f>IF(Agent03_Withdrawals!A115="","",Agent03_Withdrawals!H115)</f>
        <v/>
      </c>
      <c r="J508" s="40" t="str">
        <f>IF(Agent03_Withdrawals!A115="","",Agent03_Withdrawals!J115)</f>
        <v/>
      </c>
      <c r="K508" s="40" t="str">
        <f>IF(Agent03_Withdrawals!A115="","",Agent03_Withdrawals!K115)</f>
        <v/>
      </c>
      <c r="L508" s="40" t="str">
        <f>IF(G508="","",IF(D508-G508&gt;=System_Config!$B$9,"✅ OK","⚠️ BREACH"))</f>
        <v/>
      </c>
      <c r="M508" s="40" t="str">
        <f>IFERROR(IF(Agent03_Withdrawals!A115="","",YEAR(Agent03_Withdrawals!D115)),"")</f>
        <v/>
      </c>
    </row>
    <row r="509" spans="1:13" ht="18" customHeight="1" x14ac:dyDescent="0.25">
      <c r="A509" s="40" t="str">
        <f>IF(Agent03_Withdrawals!A116="","",Agent03_Withdrawals!A116)</f>
        <v/>
      </c>
      <c r="B509" s="40" t="str">
        <f ca="1">IF(Agent03_Withdrawals!A116="","","WD"&amp;TEXT(509-3,"0000")&amp;"-"&amp;TEXT(TODAY(),"YYYYMMDD"))</f>
        <v/>
      </c>
      <c r="C509" s="40" t="str">
        <f>IF(Agent03_Withdrawals!A116="","",Agent03_Withdrawals!B116)</f>
        <v/>
      </c>
      <c r="D509" s="43" t="str">
        <f>IF(Agent03_Withdrawals!A116="","",Agent03_Withdrawals!C116)</f>
        <v/>
      </c>
      <c r="E509" s="41" t="str">
        <f>IF(Agent03_Withdrawals!A116="","",Agent03_Withdrawals!D116)</f>
        <v/>
      </c>
      <c r="F509" s="40" t="str">
        <f>IF(Agent03_Withdrawals!A116="","",Agent03_Withdrawals!F116)</f>
        <v/>
      </c>
      <c r="G509" s="42" t="str">
        <f>IF(Agent03_Withdrawals!A116="","",Agent03_Withdrawals!E116)</f>
        <v/>
      </c>
      <c r="H509" s="42" t="str">
        <f>IF(Agent03_Withdrawals!A116="","",Agent03_Withdrawals!G116)</f>
        <v/>
      </c>
      <c r="I509" s="40" t="str">
        <f>IF(Agent03_Withdrawals!A116="","",Agent03_Withdrawals!H116)</f>
        <v/>
      </c>
      <c r="J509" s="40" t="str">
        <f>IF(Agent03_Withdrawals!A116="","",Agent03_Withdrawals!J116)</f>
        <v/>
      </c>
      <c r="K509" s="40" t="str">
        <f>IF(Agent03_Withdrawals!A116="","",Agent03_Withdrawals!K116)</f>
        <v/>
      </c>
      <c r="L509" s="40" t="str">
        <f>IF(G509="","",IF(D509-G509&gt;=System_Config!$B$9,"✅ OK","⚠️ BREACH"))</f>
        <v/>
      </c>
      <c r="M509" s="40" t="str">
        <f>IFERROR(IF(Agent03_Withdrawals!A116="","",YEAR(Agent03_Withdrawals!D116)),"")</f>
        <v/>
      </c>
    </row>
    <row r="510" spans="1:13" ht="18" customHeight="1" x14ac:dyDescent="0.25">
      <c r="A510" s="40" t="str">
        <f>IF(Agent03_Withdrawals!A117="","",Agent03_Withdrawals!A117)</f>
        <v/>
      </c>
      <c r="B510" s="40" t="str">
        <f ca="1">IF(Agent03_Withdrawals!A117="","","WD"&amp;TEXT(510-3,"0000")&amp;"-"&amp;TEXT(TODAY(),"YYYYMMDD"))</f>
        <v/>
      </c>
      <c r="C510" s="40" t="str">
        <f>IF(Agent03_Withdrawals!A117="","",Agent03_Withdrawals!B117)</f>
        <v/>
      </c>
      <c r="D510" s="43" t="str">
        <f>IF(Agent03_Withdrawals!A117="","",Agent03_Withdrawals!C117)</f>
        <v/>
      </c>
      <c r="E510" s="41" t="str">
        <f>IF(Agent03_Withdrawals!A117="","",Agent03_Withdrawals!D117)</f>
        <v/>
      </c>
      <c r="F510" s="40" t="str">
        <f>IF(Agent03_Withdrawals!A117="","",Agent03_Withdrawals!F117)</f>
        <v/>
      </c>
      <c r="G510" s="42" t="str">
        <f>IF(Agent03_Withdrawals!A117="","",Agent03_Withdrawals!E117)</f>
        <v/>
      </c>
      <c r="H510" s="42" t="str">
        <f>IF(Agent03_Withdrawals!A117="","",Agent03_Withdrawals!G117)</f>
        <v/>
      </c>
      <c r="I510" s="40" t="str">
        <f>IF(Agent03_Withdrawals!A117="","",Agent03_Withdrawals!H117)</f>
        <v/>
      </c>
      <c r="J510" s="40" t="str">
        <f>IF(Agent03_Withdrawals!A117="","",Agent03_Withdrawals!J117)</f>
        <v/>
      </c>
      <c r="K510" s="40" t="str">
        <f>IF(Agent03_Withdrawals!A117="","",Agent03_Withdrawals!K117)</f>
        <v/>
      </c>
      <c r="L510" s="40" t="str">
        <f>IF(G510="","",IF(D510-G510&gt;=System_Config!$B$9,"✅ OK","⚠️ BREACH"))</f>
        <v/>
      </c>
      <c r="M510" s="40" t="str">
        <f>IFERROR(IF(Agent03_Withdrawals!A117="","",YEAR(Agent03_Withdrawals!D117)),"")</f>
        <v/>
      </c>
    </row>
    <row r="511" spans="1:13" ht="18" customHeight="1" x14ac:dyDescent="0.25">
      <c r="A511" s="40" t="str">
        <f>IF(Agent03_Withdrawals!A118="","",Agent03_Withdrawals!A118)</f>
        <v/>
      </c>
      <c r="B511" s="40" t="str">
        <f ca="1">IF(Agent03_Withdrawals!A118="","","WD"&amp;TEXT(511-3,"0000")&amp;"-"&amp;TEXT(TODAY(),"YYYYMMDD"))</f>
        <v/>
      </c>
      <c r="C511" s="40" t="str">
        <f>IF(Agent03_Withdrawals!A118="","",Agent03_Withdrawals!B118)</f>
        <v/>
      </c>
      <c r="D511" s="43" t="str">
        <f>IF(Agent03_Withdrawals!A118="","",Agent03_Withdrawals!C118)</f>
        <v/>
      </c>
      <c r="E511" s="41" t="str">
        <f>IF(Agent03_Withdrawals!A118="","",Agent03_Withdrawals!D118)</f>
        <v/>
      </c>
      <c r="F511" s="40" t="str">
        <f>IF(Agent03_Withdrawals!A118="","",Agent03_Withdrawals!F118)</f>
        <v/>
      </c>
      <c r="G511" s="42" t="str">
        <f>IF(Agent03_Withdrawals!A118="","",Agent03_Withdrawals!E118)</f>
        <v/>
      </c>
      <c r="H511" s="42" t="str">
        <f>IF(Agent03_Withdrawals!A118="","",Agent03_Withdrawals!G118)</f>
        <v/>
      </c>
      <c r="I511" s="40" t="str">
        <f>IF(Agent03_Withdrawals!A118="","",Agent03_Withdrawals!H118)</f>
        <v/>
      </c>
      <c r="J511" s="40" t="str">
        <f>IF(Agent03_Withdrawals!A118="","",Agent03_Withdrawals!J118)</f>
        <v/>
      </c>
      <c r="K511" s="40" t="str">
        <f>IF(Agent03_Withdrawals!A118="","",Agent03_Withdrawals!K118)</f>
        <v/>
      </c>
      <c r="L511" s="40" t="str">
        <f>IF(G511="","",IF(D511-G511&gt;=System_Config!$B$9,"✅ OK","⚠️ BREACH"))</f>
        <v/>
      </c>
      <c r="M511" s="40" t="str">
        <f>IFERROR(IF(Agent03_Withdrawals!A118="","",YEAR(Agent03_Withdrawals!D118)),"")</f>
        <v/>
      </c>
    </row>
    <row r="512" spans="1:13" ht="18" customHeight="1" x14ac:dyDescent="0.25">
      <c r="A512" s="40" t="str">
        <f>IF(Agent03_Withdrawals!A119="","",Agent03_Withdrawals!A119)</f>
        <v/>
      </c>
      <c r="B512" s="40" t="str">
        <f ca="1">IF(Agent03_Withdrawals!A119="","","WD"&amp;TEXT(512-3,"0000")&amp;"-"&amp;TEXT(TODAY(),"YYYYMMDD"))</f>
        <v/>
      </c>
      <c r="C512" s="40" t="str">
        <f>IF(Agent03_Withdrawals!A119="","",Agent03_Withdrawals!B119)</f>
        <v/>
      </c>
      <c r="D512" s="43" t="str">
        <f>IF(Agent03_Withdrawals!A119="","",Agent03_Withdrawals!C119)</f>
        <v/>
      </c>
      <c r="E512" s="41" t="str">
        <f>IF(Agent03_Withdrawals!A119="","",Agent03_Withdrawals!D119)</f>
        <v/>
      </c>
      <c r="F512" s="40" t="str">
        <f>IF(Agent03_Withdrawals!A119="","",Agent03_Withdrawals!F119)</f>
        <v/>
      </c>
      <c r="G512" s="42" t="str">
        <f>IF(Agent03_Withdrawals!A119="","",Agent03_Withdrawals!E119)</f>
        <v/>
      </c>
      <c r="H512" s="42" t="str">
        <f>IF(Agent03_Withdrawals!A119="","",Agent03_Withdrawals!G119)</f>
        <v/>
      </c>
      <c r="I512" s="40" t="str">
        <f>IF(Agent03_Withdrawals!A119="","",Agent03_Withdrawals!H119)</f>
        <v/>
      </c>
      <c r="J512" s="40" t="str">
        <f>IF(Agent03_Withdrawals!A119="","",Agent03_Withdrawals!J119)</f>
        <v/>
      </c>
      <c r="K512" s="40" t="str">
        <f>IF(Agent03_Withdrawals!A119="","",Agent03_Withdrawals!K119)</f>
        <v/>
      </c>
      <c r="L512" s="40" t="str">
        <f>IF(G512="","",IF(D512-G512&gt;=System_Config!$B$9,"✅ OK","⚠️ BREACH"))</f>
        <v/>
      </c>
      <c r="M512" s="40" t="str">
        <f>IFERROR(IF(Agent03_Withdrawals!A119="","",YEAR(Agent03_Withdrawals!D119)),"")</f>
        <v/>
      </c>
    </row>
    <row r="513" spans="1:13" ht="18" customHeight="1" x14ac:dyDescent="0.25">
      <c r="A513" s="40" t="str">
        <f>IF(Agent03_Withdrawals!A120="","",Agent03_Withdrawals!A120)</f>
        <v/>
      </c>
      <c r="B513" s="40" t="str">
        <f ca="1">IF(Agent03_Withdrawals!A120="","","WD"&amp;TEXT(513-3,"0000")&amp;"-"&amp;TEXT(TODAY(),"YYYYMMDD"))</f>
        <v/>
      </c>
      <c r="C513" s="40" t="str">
        <f>IF(Agent03_Withdrawals!A120="","",Agent03_Withdrawals!B120)</f>
        <v/>
      </c>
      <c r="D513" s="43" t="str">
        <f>IF(Agent03_Withdrawals!A120="","",Agent03_Withdrawals!C120)</f>
        <v/>
      </c>
      <c r="E513" s="41" t="str">
        <f>IF(Agent03_Withdrawals!A120="","",Agent03_Withdrawals!D120)</f>
        <v/>
      </c>
      <c r="F513" s="40" t="str">
        <f>IF(Agent03_Withdrawals!A120="","",Agent03_Withdrawals!F120)</f>
        <v/>
      </c>
      <c r="G513" s="42" t="str">
        <f>IF(Agent03_Withdrawals!A120="","",Agent03_Withdrawals!E120)</f>
        <v/>
      </c>
      <c r="H513" s="42" t="str">
        <f>IF(Agent03_Withdrawals!A120="","",Agent03_Withdrawals!G120)</f>
        <v/>
      </c>
      <c r="I513" s="40" t="str">
        <f>IF(Agent03_Withdrawals!A120="","",Agent03_Withdrawals!H120)</f>
        <v/>
      </c>
      <c r="J513" s="40" t="str">
        <f>IF(Agent03_Withdrawals!A120="","",Agent03_Withdrawals!J120)</f>
        <v/>
      </c>
      <c r="K513" s="40" t="str">
        <f>IF(Agent03_Withdrawals!A120="","",Agent03_Withdrawals!K120)</f>
        <v/>
      </c>
      <c r="L513" s="40" t="str">
        <f>IF(G513="","",IF(D513-G513&gt;=System_Config!$B$9,"✅ OK","⚠️ BREACH"))</f>
        <v/>
      </c>
      <c r="M513" s="40" t="str">
        <f>IFERROR(IF(Agent03_Withdrawals!A120="","",YEAR(Agent03_Withdrawals!D120)),"")</f>
        <v/>
      </c>
    </row>
    <row r="514" spans="1:13" ht="18" customHeight="1" x14ac:dyDescent="0.25">
      <c r="A514" s="40" t="str">
        <f>IF(Agent03_Withdrawals!A121="","",Agent03_Withdrawals!A121)</f>
        <v/>
      </c>
      <c r="B514" s="40" t="str">
        <f ca="1">IF(Agent03_Withdrawals!A121="","","WD"&amp;TEXT(514-3,"0000")&amp;"-"&amp;TEXT(TODAY(),"YYYYMMDD"))</f>
        <v/>
      </c>
      <c r="C514" s="40" t="str">
        <f>IF(Agent03_Withdrawals!A121="","",Agent03_Withdrawals!B121)</f>
        <v/>
      </c>
      <c r="D514" s="43" t="str">
        <f>IF(Agent03_Withdrawals!A121="","",Agent03_Withdrawals!C121)</f>
        <v/>
      </c>
      <c r="E514" s="41" t="str">
        <f>IF(Agent03_Withdrawals!A121="","",Agent03_Withdrawals!D121)</f>
        <v/>
      </c>
      <c r="F514" s="40" t="str">
        <f>IF(Agent03_Withdrawals!A121="","",Agent03_Withdrawals!F121)</f>
        <v/>
      </c>
      <c r="G514" s="42" t="str">
        <f>IF(Agent03_Withdrawals!A121="","",Agent03_Withdrawals!E121)</f>
        <v/>
      </c>
      <c r="H514" s="42" t="str">
        <f>IF(Agent03_Withdrawals!A121="","",Agent03_Withdrawals!G121)</f>
        <v/>
      </c>
      <c r="I514" s="40" t="str">
        <f>IF(Agent03_Withdrawals!A121="","",Agent03_Withdrawals!H121)</f>
        <v/>
      </c>
      <c r="J514" s="40" t="str">
        <f>IF(Agent03_Withdrawals!A121="","",Agent03_Withdrawals!J121)</f>
        <v/>
      </c>
      <c r="K514" s="40" t="str">
        <f>IF(Agent03_Withdrawals!A121="","",Agent03_Withdrawals!K121)</f>
        <v/>
      </c>
      <c r="L514" s="40" t="str">
        <f>IF(G514="","",IF(D514-G514&gt;=System_Config!$B$9,"✅ OK","⚠️ BREACH"))</f>
        <v/>
      </c>
      <c r="M514" s="40" t="str">
        <f>IFERROR(IF(Agent03_Withdrawals!A121="","",YEAR(Agent03_Withdrawals!D121)),"")</f>
        <v/>
      </c>
    </row>
    <row r="515" spans="1:13" ht="18" customHeight="1" x14ac:dyDescent="0.25">
      <c r="A515" s="40" t="str">
        <f>IF(Agent03_Withdrawals!A122="","",Agent03_Withdrawals!A122)</f>
        <v/>
      </c>
      <c r="B515" s="40" t="str">
        <f ca="1">IF(Agent03_Withdrawals!A122="","","WD"&amp;TEXT(515-3,"0000")&amp;"-"&amp;TEXT(TODAY(),"YYYYMMDD"))</f>
        <v/>
      </c>
      <c r="C515" s="40" t="str">
        <f>IF(Agent03_Withdrawals!A122="","",Agent03_Withdrawals!B122)</f>
        <v/>
      </c>
      <c r="D515" s="43" t="str">
        <f>IF(Agent03_Withdrawals!A122="","",Agent03_Withdrawals!C122)</f>
        <v/>
      </c>
      <c r="E515" s="41" t="str">
        <f>IF(Agent03_Withdrawals!A122="","",Agent03_Withdrawals!D122)</f>
        <v/>
      </c>
      <c r="F515" s="40" t="str">
        <f>IF(Agent03_Withdrawals!A122="","",Agent03_Withdrawals!F122)</f>
        <v/>
      </c>
      <c r="G515" s="42" t="str">
        <f>IF(Agent03_Withdrawals!A122="","",Agent03_Withdrawals!E122)</f>
        <v/>
      </c>
      <c r="H515" s="42" t="str">
        <f>IF(Agent03_Withdrawals!A122="","",Agent03_Withdrawals!G122)</f>
        <v/>
      </c>
      <c r="I515" s="40" t="str">
        <f>IF(Agent03_Withdrawals!A122="","",Agent03_Withdrawals!H122)</f>
        <v/>
      </c>
      <c r="J515" s="40" t="str">
        <f>IF(Agent03_Withdrawals!A122="","",Agent03_Withdrawals!J122)</f>
        <v/>
      </c>
      <c r="K515" s="40" t="str">
        <f>IF(Agent03_Withdrawals!A122="","",Agent03_Withdrawals!K122)</f>
        <v/>
      </c>
      <c r="L515" s="40" t="str">
        <f>IF(G515="","",IF(D515-G515&gt;=System_Config!$B$9,"✅ OK","⚠️ BREACH"))</f>
        <v/>
      </c>
      <c r="M515" s="40" t="str">
        <f>IFERROR(IF(Agent03_Withdrawals!A122="","",YEAR(Agent03_Withdrawals!D122)),"")</f>
        <v/>
      </c>
    </row>
    <row r="516" spans="1:13" ht="18" customHeight="1" x14ac:dyDescent="0.25">
      <c r="A516" s="40" t="str">
        <f>IF(Agent03_Withdrawals!A123="","",Agent03_Withdrawals!A123)</f>
        <v/>
      </c>
      <c r="B516" s="40" t="str">
        <f ca="1">IF(Agent03_Withdrawals!A123="","","WD"&amp;TEXT(516-3,"0000")&amp;"-"&amp;TEXT(TODAY(),"YYYYMMDD"))</f>
        <v/>
      </c>
      <c r="C516" s="40" t="str">
        <f>IF(Agent03_Withdrawals!A123="","",Agent03_Withdrawals!B123)</f>
        <v/>
      </c>
      <c r="D516" s="43" t="str">
        <f>IF(Agent03_Withdrawals!A123="","",Agent03_Withdrawals!C123)</f>
        <v/>
      </c>
      <c r="E516" s="41" t="str">
        <f>IF(Agent03_Withdrawals!A123="","",Agent03_Withdrawals!D123)</f>
        <v/>
      </c>
      <c r="F516" s="40" t="str">
        <f>IF(Agent03_Withdrawals!A123="","",Agent03_Withdrawals!F123)</f>
        <v/>
      </c>
      <c r="G516" s="42" t="str">
        <f>IF(Agent03_Withdrawals!A123="","",Agent03_Withdrawals!E123)</f>
        <v/>
      </c>
      <c r="H516" s="42" t="str">
        <f>IF(Agent03_Withdrawals!A123="","",Agent03_Withdrawals!G123)</f>
        <v/>
      </c>
      <c r="I516" s="40" t="str">
        <f>IF(Agent03_Withdrawals!A123="","",Agent03_Withdrawals!H123)</f>
        <v/>
      </c>
      <c r="J516" s="40" t="str">
        <f>IF(Agent03_Withdrawals!A123="","",Agent03_Withdrawals!J123)</f>
        <v/>
      </c>
      <c r="K516" s="40" t="str">
        <f>IF(Agent03_Withdrawals!A123="","",Agent03_Withdrawals!K123)</f>
        <v/>
      </c>
      <c r="L516" s="40" t="str">
        <f>IF(G516="","",IF(D516-G516&gt;=System_Config!$B$9,"✅ OK","⚠️ BREACH"))</f>
        <v/>
      </c>
      <c r="M516" s="40" t="str">
        <f>IFERROR(IF(Agent03_Withdrawals!A123="","",YEAR(Agent03_Withdrawals!D123)),"")</f>
        <v/>
      </c>
    </row>
    <row r="517" spans="1:13" ht="18" customHeight="1" x14ac:dyDescent="0.25">
      <c r="A517" s="40" t="str">
        <f>IF(Agent03_Withdrawals!A124="","",Agent03_Withdrawals!A124)</f>
        <v/>
      </c>
      <c r="B517" s="40" t="str">
        <f ca="1">IF(Agent03_Withdrawals!A124="","","WD"&amp;TEXT(517-3,"0000")&amp;"-"&amp;TEXT(TODAY(),"YYYYMMDD"))</f>
        <v/>
      </c>
      <c r="C517" s="40" t="str">
        <f>IF(Agent03_Withdrawals!A124="","",Agent03_Withdrawals!B124)</f>
        <v/>
      </c>
      <c r="D517" s="43" t="str">
        <f>IF(Agent03_Withdrawals!A124="","",Agent03_Withdrawals!C124)</f>
        <v/>
      </c>
      <c r="E517" s="41" t="str">
        <f>IF(Agent03_Withdrawals!A124="","",Agent03_Withdrawals!D124)</f>
        <v/>
      </c>
      <c r="F517" s="40" t="str">
        <f>IF(Agent03_Withdrawals!A124="","",Agent03_Withdrawals!F124)</f>
        <v/>
      </c>
      <c r="G517" s="42" t="str">
        <f>IF(Agent03_Withdrawals!A124="","",Agent03_Withdrawals!E124)</f>
        <v/>
      </c>
      <c r="H517" s="42" t="str">
        <f>IF(Agent03_Withdrawals!A124="","",Agent03_Withdrawals!G124)</f>
        <v/>
      </c>
      <c r="I517" s="40" t="str">
        <f>IF(Agent03_Withdrawals!A124="","",Agent03_Withdrawals!H124)</f>
        <v/>
      </c>
      <c r="J517" s="40" t="str">
        <f>IF(Agent03_Withdrawals!A124="","",Agent03_Withdrawals!J124)</f>
        <v/>
      </c>
      <c r="K517" s="40" t="str">
        <f>IF(Agent03_Withdrawals!A124="","",Agent03_Withdrawals!K124)</f>
        <v/>
      </c>
      <c r="L517" s="40" t="str">
        <f>IF(G517="","",IF(D517-G517&gt;=System_Config!$B$9,"✅ OK","⚠️ BREACH"))</f>
        <v/>
      </c>
      <c r="M517" s="40" t="str">
        <f>IFERROR(IF(Agent03_Withdrawals!A124="","",YEAR(Agent03_Withdrawals!D124)),"")</f>
        <v/>
      </c>
    </row>
    <row r="518" spans="1:13" ht="18" customHeight="1" x14ac:dyDescent="0.25">
      <c r="A518" s="40" t="str">
        <f>IF(Agent03_Withdrawals!A125="","",Agent03_Withdrawals!A125)</f>
        <v/>
      </c>
      <c r="B518" s="40" t="str">
        <f ca="1">IF(Agent03_Withdrawals!A125="","","WD"&amp;TEXT(518-3,"0000")&amp;"-"&amp;TEXT(TODAY(),"YYYYMMDD"))</f>
        <v/>
      </c>
      <c r="C518" s="40" t="str">
        <f>IF(Agent03_Withdrawals!A125="","",Agent03_Withdrawals!B125)</f>
        <v/>
      </c>
      <c r="D518" s="43" t="str">
        <f>IF(Agent03_Withdrawals!A125="","",Agent03_Withdrawals!C125)</f>
        <v/>
      </c>
      <c r="E518" s="41" t="str">
        <f>IF(Agent03_Withdrawals!A125="","",Agent03_Withdrawals!D125)</f>
        <v/>
      </c>
      <c r="F518" s="40" t="str">
        <f>IF(Agent03_Withdrawals!A125="","",Agent03_Withdrawals!F125)</f>
        <v/>
      </c>
      <c r="G518" s="42" t="str">
        <f>IF(Agent03_Withdrawals!A125="","",Agent03_Withdrawals!E125)</f>
        <v/>
      </c>
      <c r="H518" s="42" t="str">
        <f>IF(Agent03_Withdrawals!A125="","",Agent03_Withdrawals!G125)</f>
        <v/>
      </c>
      <c r="I518" s="40" t="str">
        <f>IF(Agent03_Withdrawals!A125="","",Agent03_Withdrawals!H125)</f>
        <v/>
      </c>
      <c r="J518" s="40" t="str">
        <f>IF(Agent03_Withdrawals!A125="","",Agent03_Withdrawals!J125)</f>
        <v/>
      </c>
      <c r="K518" s="40" t="str">
        <f>IF(Agent03_Withdrawals!A125="","",Agent03_Withdrawals!K125)</f>
        <v/>
      </c>
      <c r="L518" s="40" t="str">
        <f>IF(G518="","",IF(D518-G518&gt;=System_Config!$B$9,"✅ OK","⚠️ BREACH"))</f>
        <v/>
      </c>
      <c r="M518" s="40" t="str">
        <f>IFERROR(IF(Agent03_Withdrawals!A125="","",YEAR(Agent03_Withdrawals!D125)),"")</f>
        <v/>
      </c>
    </row>
    <row r="519" spans="1:13" ht="18" customHeight="1" x14ac:dyDescent="0.25">
      <c r="A519" s="40" t="str">
        <f>IF(Agent03_Withdrawals!A126="","",Agent03_Withdrawals!A126)</f>
        <v/>
      </c>
      <c r="B519" s="40" t="str">
        <f ca="1">IF(Agent03_Withdrawals!A126="","","WD"&amp;TEXT(519-3,"0000")&amp;"-"&amp;TEXT(TODAY(),"YYYYMMDD"))</f>
        <v/>
      </c>
      <c r="C519" s="40" t="str">
        <f>IF(Agent03_Withdrawals!A126="","",Agent03_Withdrawals!B126)</f>
        <v/>
      </c>
      <c r="D519" s="43" t="str">
        <f>IF(Agent03_Withdrawals!A126="","",Agent03_Withdrawals!C126)</f>
        <v/>
      </c>
      <c r="E519" s="41" t="str">
        <f>IF(Agent03_Withdrawals!A126="","",Agent03_Withdrawals!D126)</f>
        <v/>
      </c>
      <c r="F519" s="40" t="str">
        <f>IF(Agent03_Withdrawals!A126="","",Agent03_Withdrawals!F126)</f>
        <v/>
      </c>
      <c r="G519" s="42" t="str">
        <f>IF(Agent03_Withdrawals!A126="","",Agent03_Withdrawals!E126)</f>
        <v/>
      </c>
      <c r="H519" s="42" t="str">
        <f>IF(Agent03_Withdrawals!A126="","",Agent03_Withdrawals!G126)</f>
        <v/>
      </c>
      <c r="I519" s="40" t="str">
        <f>IF(Agent03_Withdrawals!A126="","",Agent03_Withdrawals!H126)</f>
        <v/>
      </c>
      <c r="J519" s="40" t="str">
        <f>IF(Agent03_Withdrawals!A126="","",Agent03_Withdrawals!J126)</f>
        <v/>
      </c>
      <c r="K519" s="40" t="str">
        <f>IF(Agent03_Withdrawals!A126="","",Agent03_Withdrawals!K126)</f>
        <v/>
      </c>
      <c r="L519" s="40" t="str">
        <f>IF(G519="","",IF(D519-G519&gt;=System_Config!$B$9,"✅ OK","⚠️ BREACH"))</f>
        <v/>
      </c>
      <c r="M519" s="40" t="str">
        <f>IFERROR(IF(Agent03_Withdrawals!A126="","",YEAR(Agent03_Withdrawals!D126)),"")</f>
        <v/>
      </c>
    </row>
    <row r="520" spans="1:13" ht="18" customHeight="1" x14ac:dyDescent="0.25">
      <c r="A520" s="40" t="str">
        <f>IF(Agent03_Withdrawals!A127="","",Agent03_Withdrawals!A127)</f>
        <v/>
      </c>
      <c r="B520" s="40" t="str">
        <f ca="1">IF(Agent03_Withdrawals!A127="","","WD"&amp;TEXT(520-3,"0000")&amp;"-"&amp;TEXT(TODAY(),"YYYYMMDD"))</f>
        <v/>
      </c>
      <c r="C520" s="40" t="str">
        <f>IF(Agent03_Withdrawals!A127="","",Agent03_Withdrawals!B127)</f>
        <v/>
      </c>
      <c r="D520" s="43" t="str">
        <f>IF(Agent03_Withdrawals!A127="","",Agent03_Withdrawals!C127)</f>
        <v/>
      </c>
      <c r="E520" s="41" t="str">
        <f>IF(Agent03_Withdrawals!A127="","",Agent03_Withdrawals!D127)</f>
        <v/>
      </c>
      <c r="F520" s="40" t="str">
        <f>IF(Agent03_Withdrawals!A127="","",Agent03_Withdrawals!F127)</f>
        <v/>
      </c>
      <c r="G520" s="42" t="str">
        <f>IF(Agent03_Withdrawals!A127="","",Agent03_Withdrawals!E127)</f>
        <v/>
      </c>
      <c r="H520" s="42" t="str">
        <f>IF(Agent03_Withdrawals!A127="","",Agent03_Withdrawals!G127)</f>
        <v/>
      </c>
      <c r="I520" s="40" t="str">
        <f>IF(Agent03_Withdrawals!A127="","",Agent03_Withdrawals!H127)</f>
        <v/>
      </c>
      <c r="J520" s="40" t="str">
        <f>IF(Agent03_Withdrawals!A127="","",Agent03_Withdrawals!J127)</f>
        <v/>
      </c>
      <c r="K520" s="40" t="str">
        <f>IF(Agent03_Withdrawals!A127="","",Agent03_Withdrawals!K127)</f>
        <v/>
      </c>
      <c r="L520" s="40" t="str">
        <f>IF(G520="","",IF(D520-G520&gt;=System_Config!$B$9,"✅ OK","⚠️ BREACH"))</f>
        <v/>
      </c>
      <c r="M520" s="40" t="str">
        <f>IFERROR(IF(Agent03_Withdrawals!A127="","",YEAR(Agent03_Withdrawals!D127)),"")</f>
        <v/>
      </c>
    </row>
    <row r="521" spans="1:13" ht="18" customHeight="1" x14ac:dyDescent="0.25">
      <c r="A521" s="40" t="str">
        <f>IF(Agent03_Withdrawals!A128="","",Agent03_Withdrawals!A128)</f>
        <v/>
      </c>
      <c r="B521" s="40" t="str">
        <f ca="1">IF(Agent03_Withdrawals!A128="","","WD"&amp;TEXT(521-3,"0000")&amp;"-"&amp;TEXT(TODAY(),"YYYYMMDD"))</f>
        <v/>
      </c>
      <c r="C521" s="40" t="str">
        <f>IF(Agent03_Withdrawals!A128="","",Agent03_Withdrawals!B128)</f>
        <v/>
      </c>
      <c r="D521" s="43" t="str">
        <f>IF(Agent03_Withdrawals!A128="","",Agent03_Withdrawals!C128)</f>
        <v/>
      </c>
      <c r="E521" s="41" t="str">
        <f>IF(Agent03_Withdrawals!A128="","",Agent03_Withdrawals!D128)</f>
        <v/>
      </c>
      <c r="F521" s="40" t="str">
        <f>IF(Agent03_Withdrawals!A128="","",Agent03_Withdrawals!F128)</f>
        <v/>
      </c>
      <c r="G521" s="42" t="str">
        <f>IF(Agent03_Withdrawals!A128="","",Agent03_Withdrawals!E128)</f>
        <v/>
      </c>
      <c r="H521" s="42" t="str">
        <f>IF(Agent03_Withdrawals!A128="","",Agent03_Withdrawals!G128)</f>
        <v/>
      </c>
      <c r="I521" s="40" t="str">
        <f>IF(Agent03_Withdrawals!A128="","",Agent03_Withdrawals!H128)</f>
        <v/>
      </c>
      <c r="J521" s="40" t="str">
        <f>IF(Agent03_Withdrawals!A128="","",Agent03_Withdrawals!J128)</f>
        <v/>
      </c>
      <c r="K521" s="40" t="str">
        <f>IF(Agent03_Withdrawals!A128="","",Agent03_Withdrawals!K128)</f>
        <v/>
      </c>
      <c r="L521" s="40" t="str">
        <f>IF(G521="","",IF(D521-G521&gt;=System_Config!$B$9,"✅ OK","⚠️ BREACH"))</f>
        <v/>
      </c>
      <c r="M521" s="40" t="str">
        <f>IFERROR(IF(Agent03_Withdrawals!A128="","",YEAR(Agent03_Withdrawals!D128)),"")</f>
        <v/>
      </c>
    </row>
    <row r="522" spans="1:13" ht="18" customHeight="1" x14ac:dyDescent="0.25">
      <c r="A522" s="40" t="str">
        <f>IF(Agent03_Withdrawals!A129="","",Agent03_Withdrawals!A129)</f>
        <v/>
      </c>
      <c r="B522" s="40" t="str">
        <f ca="1">IF(Agent03_Withdrawals!A129="","","WD"&amp;TEXT(522-3,"0000")&amp;"-"&amp;TEXT(TODAY(),"YYYYMMDD"))</f>
        <v/>
      </c>
      <c r="C522" s="40" t="str">
        <f>IF(Agent03_Withdrawals!A129="","",Agent03_Withdrawals!B129)</f>
        <v/>
      </c>
      <c r="D522" s="43" t="str">
        <f>IF(Agent03_Withdrawals!A129="","",Agent03_Withdrawals!C129)</f>
        <v/>
      </c>
      <c r="E522" s="41" t="str">
        <f>IF(Agent03_Withdrawals!A129="","",Agent03_Withdrawals!D129)</f>
        <v/>
      </c>
      <c r="F522" s="40" t="str">
        <f>IF(Agent03_Withdrawals!A129="","",Agent03_Withdrawals!F129)</f>
        <v/>
      </c>
      <c r="G522" s="42" t="str">
        <f>IF(Agent03_Withdrawals!A129="","",Agent03_Withdrawals!E129)</f>
        <v/>
      </c>
      <c r="H522" s="42" t="str">
        <f>IF(Agent03_Withdrawals!A129="","",Agent03_Withdrawals!G129)</f>
        <v/>
      </c>
      <c r="I522" s="40" t="str">
        <f>IF(Agent03_Withdrawals!A129="","",Agent03_Withdrawals!H129)</f>
        <v/>
      </c>
      <c r="J522" s="40" t="str">
        <f>IF(Agent03_Withdrawals!A129="","",Agent03_Withdrawals!J129)</f>
        <v/>
      </c>
      <c r="K522" s="40" t="str">
        <f>IF(Agent03_Withdrawals!A129="","",Agent03_Withdrawals!K129)</f>
        <v/>
      </c>
      <c r="L522" s="40" t="str">
        <f>IF(G522="","",IF(D522-G522&gt;=System_Config!$B$9,"✅ OK","⚠️ BREACH"))</f>
        <v/>
      </c>
      <c r="M522" s="40" t="str">
        <f>IFERROR(IF(Agent03_Withdrawals!A129="","",YEAR(Agent03_Withdrawals!D129)),"")</f>
        <v/>
      </c>
    </row>
    <row r="523" spans="1:13" ht="18" customHeight="1" x14ac:dyDescent="0.25">
      <c r="A523" s="40" t="str">
        <f>IF(Agent03_Withdrawals!A130="","",Agent03_Withdrawals!A130)</f>
        <v/>
      </c>
      <c r="B523" s="40" t="str">
        <f ca="1">IF(Agent03_Withdrawals!A130="","","WD"&amp;TEXT(523-3,"0000")&amp;"-"&amp;TEXT(TODAY(),"YYYYMMDD"))</f>
        <v/>
      </c>
      <c r="C523" s="40" t="str">
        <f>IF(Agent03_Withdrawals!A130="","",Agent03_Withdrawals!B130)</f>
        <v/>
      </c>
      <c r="D523" s="43" t="str">
        <f>IF(Agent03_Withdrawals!A130="","",Agent03_Withdrawals!C130)</f>
        <v/>
      </c>
      <c r="E523" s="41" t="str">
        <f>IF(Agent03_Withdrawals!A130="","",Agent03_Withdrawals!D130)</f>
        <v/>
      </c>
      <c r="F523" s="40" t="str">
        <f>IF(Agent03_Withdrawals!A130="","",Agent03_Withdrawals!F130)</f>
        <v/>
      </c>
      <c r="G523" s="42" t="str">
        <f>IF(Agent03_Withdrawals!A130="","",Agent03_Withdrawals!E130)</f>
        <v/>
      </c>
      <c r="H523" s="42" t="str">
        <f>IF(Agent03_Withdrawals!A130="","",Agent03_Withdrawals!G130)</f>
        <v/>
      </c>
      <c r="I523" s="40" t="str">
        <f>IF(Agent03_Withdrawals!A130="","",Agent03_Withdrawals!H130)</f>
        <v/>
      </c>
      <c r="J523" s="40" t="str">
        <f>IF(Agent03_Withdrawals!A130="","",Agent03_Withdrawals!J130)</f>
        <v/>
      </c>
      <c r="K523" s="40" t="str">
        <f>IF(Agent03_Withdrawals!A130="","",Agent03_Withdrawals!K130)</f>
        <v/>
      </c>
      <c r="L523" s="40" t="str">
        <f>IF(G523="","",IF(D523-G523&gt;=System_Config!$B$9,"✅ OK","⚠️ BREACH"))</f>
        <v/>
      </c>
      <c r="M523" s="40" t="str">
        <f>IFERROR(IF(Agent03_Withdrawals!A130="","",YEAR(Agent03_Withdrawals!D130)),"")</f>
        <v/>
      </c>
    </row>
    <row r="524" spans="1:13" ht="18" customHeight="1" x14ac:dyDescent="0.25">
      <c r="A524" s="40" t="str">
        <f>IF(Agent03_Withdrawals!A131="","",Agent03_Withdrawals!A131)</f>
        <v/>
      </c>
      <c r="B524" s="40" t="str">
        <f ca="1">IF(Agent03_Withdrawals!A131="","","WD"&amp;TEXT(524-3,"0000")&amp;"-"&amp;TEXT(TODAY(),"YYYYMMDD"))</f>
        <v/>
      </c>
      <c r="C524" s="40" t="str">
        <f>IF(Agent03_Withdrawals!A131="","",Agent03_Withdrawals!B131)</f>
        <v/>
      </c>
      <c r="D524" s="43" t="str">
        <f>IF(Agent03_Withdrawals!A131="","",Agent03_Withdrawals!C131)</f>
        <v/>
      </c>
      <c r="E524" s="41" t="str">
        <f>IF(Agent03_Withdrawals!A131="","",Agent03_Withdrawals!D131)</f>
        <v/>
      </c>
      <c r="F524" s="40" t="str">
        <f>IF(Agent03_Withdrawals!A131="","",Agent03_Withdrawals!F131)</f>
        <v/>
      </c>
      <c r="G524" s="42" t="str">
        <f>IF(Agent03_Withdrawals!A131="","",Agent03_Withdrawals!E131)</f>
        <v/>
      </c>
      <c r="H524" s="42" t="str">
        <f>IF(Agent03_Withdrawals!A131="","",Agent03_Withdrawals!G131)</f>
        <v/>
      </c>
      <c r="I524" s="40" t="str">
        <f>IF(Agent03_Withdrawals!A131="","",Agent03_Withdrawals!H131)</f>
        <v/>
      </c>
      <c r="J524" s="40" t="str">
        <f>IF(Agent03_Withdrawals!A131="","",Agent03_Withdrawals!J131)</f>
        <v/>
      </c>
      <c r="K524" s="40" t="str">
        <f>IF(Agent03_Withdrawals!A131="","",Agent03_Withdrawals!K131)</f>
        <v/>
      </c>
      <c r="L524" s="40" t="str">
        <f>IF(G524="","",IF(D524-G524&gt;=System_Config!$B$9,"✅ OK","⚠️ BREACH"))</f>
        <v/>
      </c>
      <c r="M524" s="40" t="str">
        <f>IFERROR(IF(Agent03_Withdrawals!A131="","",YEAR(Agent03_Withdrawals!D131)),"")</f>
        <v/>
      </c>
    </row>
    <row r="525" spans="1:13" ht="18" customHeight="1" x14ac:dyDescent="0.25">
      <c r="A525" s="40" t="str">
        <f>IF(Agent03_Withdrawals!A132="","",Agent03_Withdrawals!A132)</f>
        <v/>
      </c>
      <c r="B525" s="40" t="str">
        <f ca="1">IF(Agent03_Withdrawals!A132="","","WD"&amp;TEXT(525-3,"0000")&amp;"-"&amp;TEXT(TODAY(),"YYYYMMDD"))</f>
        <v/>
      </c>
      <c r="C525" s="40" t="str">
        <f>IF(Agent03_Withdrawals!A132="","",Agent03_Withdrawals!B132)</f>
        <v/>
      </c>
      <c r="D525" s="43" t="str">
        <f>IF(Agent03_Withdrawals!A132="","",Agent03_Withdrawals!C132)</f>
        <v/>
      </c>
      <c r="E525" s="41" t="str">
        <f>IF(Agent03_Withdrawals!A132="","",Agent03_Withdrawals!D132)</f>
        <v/>
      </c>
      <c r="F525" s="40" t="str">
        <f>IF(Agent03_Withdrawals!A132="","",Agent03_Withdrawals!F132)</f>
        <v/>
      </c>
      <c r="G525" s="42" t="str">
        <f>IF(Agent03_Withdrawals!A132="","",Agent03_Withdrawals!E132)</f>
        <v/>
      </c>
      <c r="H525" s="42" t="str">
        <f>IF(Agent03_Withdrawals!A132="","",Agent03_Withdrawals!G132)</f>
        <v/>
      </c>
      <c r="I525" s="40" t="str">
        <f>IF(Agent03_Withdrawals!A132="","",Agent03_Withdrawals!H132)</f>
        <v/>
      </c>
      <c r="J525" s="40" t="str">
        <f>IF(Agent03_Withdrawals!A132="","",Agent03_Withdrawals!J132)</f>
        <v/>
      </c>
      <c r="K525" s="40" t="str">
        <f>IF(Agent03_Withdrawals!A132="","",Agent03_Withdrawals!K132)</f>
        <v/>
      </c>
      <c r="L525" s="40" t="str">
        <f>IF(G525="","",IF(D525-G525&gt;=System_Config!$B$9,"✅ OK","⚠️ BREACH"))</f>
        <v/>
      </c>
      <c r="M525" s="40" t="str">
        <f>IFERROR(IF(Agent03_Withdrawals!A132="","",YEAR(Agent03_Withdrawals!D132)),"")</f>
        <v/>
      </c>
    </row>
    <row r="526" spans="1:13" ht="18" customHeight="1" x14ac:dyDescent="0.25">
      <c r="A526" s="40" t="str">
        <f>IF(Agent03_Withdrawals!A133="","",Agent03_Withdrawals!A133)</f>
        <v/>
      </c>
      <c r="B526" s="40" t="str">
        <f ca="1">IF(Agent03_Withdrawals!A133="","","WD"&amp;TEXT(526-3,"0000")&amp;"-"&amp;TEXT(TODAY(),"YYYYMMDD"))</f>
        <v/>
      </c>
      <c r="C526" s="40" t="str">
        <f>IF(Agent03_Withdrawals!A133="","",Agent03_Withdrawals!B133)</f>
        <v/>
      </c>
      <c r="D526" s="43" t="str">
        <f>IF(Agent03_Withdrawals!A133="","",Agent03_Withdrawals!C133)</f>
        <v/>
      </c>
      <c r="E526" s="41" t="str">
        <f>IF(Agent03_Withdrawals!A133="","",Agent03_Withdrawals!D133)</f>
        <v/>
      </c>
      <c r="F526" s="40" t="str">
        <f>IF(Agent03_Withdrawals!A133="","",Agent03_Withdrawals!F133)</f>
        <v/>
      </c>
      <c r="G526" s="42" t="str">
        <f>IF(Agent03_Withdrawals!A133="","",Agent03_Withdrawals!E133)</f>
        <v/>
      </c>
      <c r="H526" s="42" t="str">
        <f>IF(Agent03_Withdrawals!A133="","",Agent03_Withdrawals!G133)</f>
        <v/>
      </c>
      <c r="I526" s="40" t="str">
        <f>IF(Agent03_Withdrawals!A133="","",Agent03_Withdrawals!H133)</f>
        <v/>
      </c>
      <c r="J526" s="40" t="str">
        <f>IF(Agent03_Withdrawals!A133="","",Agent03_Withdrawals!J133)</f>
        <v/>
      </c>
      <c r="K526" s="40" t="str">
        <f>IF(Agent03_Withdrawals!A133="","",Agent03_Withdrawals!K133)</f>
        <v/>
      </c>
      <c r="L526" s="40" t="str">
        <f>IF(G526="","",IF(D526-G526&gt;=System_Config!$B$9,"✅ OK","⚠️ BREACH"))</f>
        <v/>
      </c>
      <c r="M526" s="40" t="str">
        <f>IFERROR(IF(Agent03_Withdrawals!A133="","",YEAR(Agent03_Withdrawals!D133)),"")</f>
        <v/>
      </c>
    </row>
    <row r="527" spans="1:13" ht="18" customHeight="1" x14ac:dyDescent="0.25">
      <c r="A527" s="40" t="str">
        <f>IF(Agent03_Withdrawals!A134="","",Agent03_Withdrawals!A134)</f>
        <v/>
      </c>
      <c r="B527" s="40" t="str">
        <f ca="1">IF(Agent03_Withdrawals!A134="","","WD"&amp;TEXT(527-3,"0000")&amp;"-"&amp;TEXT(TODAY(),"YYYYMMDD"))</f>
        <v/>
      </c>
      <c r="C527" s="40" t="str">
        <f>IF(Agent03_Withdrawals!A134="","",Agent03_Withdrawals!B134)</f>
        <v/>
      </c>
      <c r="D527" s="43" t="str">
        <f>IF(Agent03_Withdrawals!A134="","",Agent03_Withdrawals!C134)</f>
        <v/>
      </c>
      <c r="E527" s="41" t="str">
        <f>IF(Agent03_Withdrawals!A134="","",Agent03_Withdrawals!D134)</f>
        <v/>
      </c>
      <c r="F527" s="40" t="str">
        <f>IF(Agent03_Withdrawals!A134="","",Agent03_Withdrawals!F134)</f>
        <v/>
      </c>
      <c r="G527" s="42" t="str">
        <f>IF(Agent03_Withdrawals!A134="","",Agent03_Withdrawals!E134)</f>
        <v/>
      </c>
      <c r="H527" s="42" t="str">
        <f>IF(Agent03_Withdrawals!A134="","",Agent03_Withdrawals!G134)</f>
        <v/>
      </c>
      <c r="I527" s="40" t="str">
        <f>IF(Agent03_Withdrawals!A134="","",Agent03_Withdrawals!H134)</f>
        <v/>
      </c>
      <c r="J527" s="40" t="str">
        <f>IF(Agent03_Withdrawals!A134="","",Agent03_Withdrawals!J134)</f>
        <v/>
      </c>
      <c r="K527" s="40" t="str">
        <f>IF(Agent03_Withdrawals!A134="","",Agent03_Withdrawals!K134)</f>
        <v/>
      </c>
      <c r="L527" s="40" t="str">
        <f>IF(G527="","",IF(D527-G527&gt;=System_Config!$B$9,"✅ OK","⚠️ BREACH"))</f>
        <v/>
      </c>
      <c r="M527" s="40" t="str">
        <f>IFERROR(IF(Agent03_Withdrawals!A134="","",YEAR(Agent03_Withdrawals!D134)),"")</f>
        <v/>
      </c>
    </row>
    <row r="528" spans="1:13" ht="18" customHeight="1" x14ac:dyDescent="0.25">
      <c r="A528" s="40" t="str">
        <f>IF(Agent03_Withdrawals!A135="","",Agent03_Withdrawals!A135)</f>
        <v/>
      </c>
      <c r="B528" s="40" t="str">
        <f ca="1">IF(Agent03_Withdrawals!A135="","","WD"&amp;TEXT(528-3,"0000")&amp;"-"&amp;TEXT(TODAY(),"YYYYMMDD"))</f>
        <v/>
      </c>
      <c r="C528" s="40" t="str">
        <f>IF(Agent03_Withdrawals!A135="","",Agent03_Withdrawals!B135)</f>
        <v/>
      </c>
      <c r="D528" s="43" t="str">
        <f>IF(Agent03_Withdrawals!A135="","",Agent03_Withdrawals!C135)</f>
        <v/>
      </c>
      <c r="E528" s="41" t="str">
        <f>IF(Agent03_Withdrawals!A135="","",Agent03_Withdrawals!D135)</f>
        <v/>
      </c>
      <c r="F528" s="40" t="str">
        <f>IF(Agent03_Withdrawals!A135="","",Agent03_Withdrawals!F135)</f>
        <v/>
      </c>
      <c r="G528" s="42" t="str">
        <f>IF(Agent03_Withdrawals!A135="","",Agent03_Withdrawals!E135)</f>
        <v/>
      </c>
      <c r="H528" s="42" t="str">
        <f>IF(Agent03_Withdrawals!A135="","",Agent03_Withdrawals!G135)</f>
        <v/>
      </c>
      <c r="I528" s="40" t="str">
        <f>IF(Agent03_Withdrawals!A135="","",Agent03_Withdrawals!H135)</f>
        <v/>
      </c>
      <c r="J528" s="40" t="str">
        <f>IF(Agent03_Withdrawals!A135="","",Agent03_Withdrawals!J135)</f>
        <v/>
      </c>
      <c r="K528" s="40" t="str">
        <f>IF(Agent03_Withdrawals!A135="","",Agent03_Withdrawals!K135)</f>
        <v/>
      </c>
      <c r="L528" s="40" t="str">
        <f>IF(G528="","",IF(D528-G528&gt;=System_Config!$B$9,"✅ OK","⚠️ BREACH"))</f>
        <v/>
      </c>
      <c r="M528" s="40" t="str">
        <f>IFERROR(IF(Agent03_Withdrawals!A135="","",YEAR(Agent03_Withdrawals!D135)),"")</f>
        <v/>
      </c>
    </row>
    <row r="529" spans="1:13" ht="18" customHeight="1" x14ac:dyDescent="0.25">
      <c r="A529" s="40" t="str">
        <f>IF(Agent03_Withdrawals!A136="","",Agent03_Withdrawals!A136)</f>
        <v/>
      </c>
      <c r="B529" s="40" t="str">
        <f ca="1">IF(Agent03_Withdrawals!A136="","","WD"&amp;TEXT(529-3,"0000")&amp;"-"&amp;TEXT(TODAY(),"YYYYMMDD"))</f>
        <v/>
      </c>
      <c r="C529" s="40" t="str">
        <f>IF(Agent03_Withdrawals!A136="","",Agent03_Withdrawals!B136)</f>
        <v/>
      </c>
      <c r="D529" s="43" t="str">
        <f>IF(Agent03_Withdrawals!A136="","",Agent03_Withdrawals!C136)</f>
        <v/>
      </c>
      <c r="E529" s="41" t="str">
        <f>IF(Agent03_Withdrawals!A136="","",Agent03_Withdrawals!D136)</f>
        <v/>
      </c>
      <c r="F529" s="40" t="str">
        <f>IF(Agent03_Withdrawals!A136="","",Agent03_Withdrawals!F136)</f>
        <v/>
      </c>
      <c r="G529" s="42" t="str">
        <f>IF(Agent03_Withdrawals!A136="","",Agent03_Withdrawals!E136)</f>
        <v/>
      </c>
      <c r="H529" s="42" t="str">
        <f>IF(Agent03_Withdrawals!A136="","",Agent03_Withdrawals!G136)</f>
        <v/>
      </c>
      <c r="I529" s="40" t="str">
        <f>IF(Agent03_Withdrawals!A136="","",Agent03_Withdrawals!H136)</f>
        <v/>
      </c>
      <c r="J529" s="40" t="str">
        <f>IF(Agent03_Withdrawals!A136="","",Agent03_Withdrawals!J136)</f>
        <v/>
      </c>
      <c r="K529" s="40" t="str">
        <f>IF(Agent03_Withdrawals!A136="","",Agent03_Withdrawals!K136)</f>
        <v/>
      </c>
      <c r="L529" s="40" t="str">
        <f>IF(G529="","",IF(D529-G529&gt;=System_Config!$B$9,"✅ OK","⚠️ BREACH"))</f>
        <v/>
      </c>
      <c r="M529" s="40" t="str">
        <f>IFERROR(IF(Agent03_Withdrawals!A136="","",YEAR(Agent03_Withdrawals!D136)),"")</f>
        <v/>
      </c>
    </row>
    <row r="530" spans="1:13" ht="18" customHeight="1" x14ac:dyDescent="0.25">
      <c r="A530" s="40" t="str">
        <f>IF(Agent03_Withdrawals!A137="","",Agent03_Withdrawals!A137)</f>
        <v/>
      </c>
      <c r="B530" s="40" t="str">
        <f ca="1">IF(Agent03_Withdrawals!A137="","","WD"&amp;TEXT(530-3,"0000")&amp;"-"&amp;TEXT(TODAY(),"YYYYMMDD"))</f>
        <v/>
      </c>
      <c r="C530" s="40" t="str">
        <f>IF(Agent03_Withdrawals!A137="","",Agent03_Withdrawals!B137)</f>
        <v/>
      </c>
      <c r="D530" s="43" t="str">
        <f>IF(Agent03_Withdrawals!A137="","",Agent03_Withdrawals!C137)</f>
        <v/>
      </c>
      <c r="E530" s="41" t="str">
        <f>IF(Agent03_Withdrawals!A137="","",Agent03_Withdrawals!D137)</f>
        <v/>
      </c>
      <c r="F530" s="40" t="str">
        <f>IF(Agent03_Withdrawals!A137="","",Agent03_Withdrawals!F137)</f>
        <v/>
      </c>
      <c r="G530" s="42" t="str">
        <f>IF(Agent03_Withdrawals!A137="","",Agent03_Withdrawals!E137)</f>
        <v/>
      </c>
      <c r="H530" s="42" t="str">
        <f>IF(Agent03_Withdrawals!A137="","",Agent03_Withdrawals!G137)</f>
        <v/>
      </c>
      <c r="I530" s="40" t="str">
        <f>IF(Agent03_Withdrawals!A137="","",Agent03_Withdrawals!H137)</f>
        <v/>
      </c>
      <c r="J530" s="40" t="str">
        <f>IF(Agent03_Withdrawals!A137="","",Agent03_Withdrawals!J137)</f>
        <v/>
      </c>
      <c r="K530" s="40" t="str">
        <f>IF(Agent03_Withdrawals!A137="","",Agent03_Withdrawals!K137)</f>
        <v/>
      </c>
      <c r="L530" s="40" t="str">
        <f>IF(G530="","",IF(D530-G530&gt;=System_Config!$B$9,"✅ OK","⚠️ BREACH"))</f>
        <v/>
      </c>
      <c r="M530" s="40" t="str">
        <f>IFERROR(IF(Agent03_Withdrawals!A137="","",YEAR(Agent03_Withdrawals!D137)),"")</f>
        <v/>
      </c>
    </row>
    <row r="531" spans="1:13" ht="18" customHeight="1" x14ac:dyDescent="0.25">
      <c r="A531" s="40" t="str">
        <f>IF(Agent03_Withdrawals!A138="","",Agent03_Withdrawals!A138)</f>
        <v/>
      </c>
      <c r="B531" s="40" t="str">
        <f ca="1">IF(Agent03_Withdrawals!A138="","","WD"&amp;TEXT(531-3,"0000")&amp;"-"&amp;TEXT(TODAY(),"YYYYMMDD"))</f>
        <v/>
      </c>
      <c r="C531" s="40" t="str">
        <f>IF(Agent03_Withdrawals!A138="","",Agent03_Withdrawals!B138)</f>
        <v/>
      </c>
      <c r="D531" s="43" t="str">
        <f>IF(Agent03_Withdrawals!A138="","",Agent03_Withdrawals!C138)</f>
        <v/>
      </c>
      <c r="E531" s="41" t="str">
        <f>IF(Agent03_Withdrawals!A138="","",Agent03_Withdrawals!D138)</f>
        <v/>
      </c>
      <c r="F531" s="40" t="str">
        <f>IF(Agent03_Withdrawals!A138="","",Agent03_Withdrawals!F138)</f>
        <v/>
      </c>
      <c r="G531" s="42" t="str">
        <f>IF(Agent03_Withdrawals!A138="","",Agent03_Withdrawals!E138)</f>
        <v/>
      </c>
      <c r="H531" s="42" t="str">
        <f>IF(Agent03_Withdrawals!A138="","",Agent03_Withdrawals!G138)</f>
        <v/>
      </c>
      <c r="I531" s="40" t="str">
        <f>IF(Agent03_Withdrawals!A138="","",Agent03_Withdrawals!H138)</f>
        <v/>
      </c>
      <c r="J531" s="40" t="str">
        <f>IF(Agent03_Withdrawals!A138="","",Agent03_Withdrawals!J138)</f>
        <v/>
      </c>
      <c r="K531" s="40" t="str">
        <f>IF(Agent03_Withdrawals!A138="","",Agent03_Withdrawals!K138)</f>
        <v/>
      </c>
      <c r="L531" s="40" t="str">
        <f>IF(G531="","",IF(D531-G531&gt;=System_Config!$B$9,"✅ OK","⚠️ BREACH"))</f>
        <v/>
      </c>
      <c r="M531" s="40" t="str">
        <f>IFERROR(IF(Agent03_Withdrawals!A138="","",YEAR(Agent03_Withdrawals!D138)),"")</f>
        <v/>
      </c>
    </row>
    <row r="532" spans="1:13" ht="18" customHeight="1" x14ac:dyDescent="0.25">
      <c r="A532" s="40" t="str">
        <f>IF(Agent03_Withdrawals!A139="","",Agent03_Withdrawals!A139)</f>
        <v/>
      </c>
      <c r="B532" s="40" t="str">
        <f ca="1">IF(Agent03_Withdrawals!A139="","","WD"&amp;TEXT(532-3,"0000")&amp;"-"&amp;TEXT(TODAY(),"YYYYMMDD"))</f>
        <v/>
      </c>
      <c r="C532" s="40" t="str">
        <f>IF(Agent03_Withdrawals!A139="","",Agent03_Withdrawals!B139)</f>
        <v/>
      </c>
      <c r="D532" s="43" t="str">
        <f>IF(Agent03_Withdrawals!A139="","",Agent03_Withdrawals!C139)</f>
        <v/>
      </c>
      <c r="E532" s="41" t="str">
        <f>IF(Agent03_Withdrawals!A139="","",Agent03_Withdrawals!D139)</f>
        <v/>
      </c>
      <c r="F532" s="40" t="str">
        <f>IF(Agent03_Withdrawals!A139="","",Agent03_Withdrawals!F139)</f>
        <v/>
      </c>
      <c r="G532" s="42" t="str">
        <f>IF(Agent03_Withdrawals!A139="","",Agent03_Withdrawals!E139)</f>
        <v/>
      </c>
      <c r="H532" s="42" t="str">
        <f>IF(Agent03_Withdrawals!A139="","",Agent03_Withdrawals!G139)</f>
        <v/>
      </c>
      <c r="I532" s="40" t="str">
        <f>IF(Agent03_Withdrawals!A139="","",Agent03_Withdrawals!H139)</f>
        <v/>
      </c>
      <c r="J532" s="40" t="str">
        <f>IF(Agent03_Withdrawals!A139="","",Agent03_Withdrawals!J139)</f>
        <v/>
      </c>
      <c r="K532" s="40" t="str">
        <f>IF(Agent03_Withdrawals!A139="","",Agent03_Withdrawals!K139)</f>
        <v/>
      </c>
      <c r="L532" s="40" t="str">
        <f>IF(G532="","",IF(D532-G532&gt;=System_Config!$B$9,"✅ OK","⚠️ BREACH"))</f>
        <v/>
      </c>
      <c r="M532" s="40" t="str">
        <f>IFERROR(IF(Agent03_Withdrawals!A139="","",YEAR(Agent03_Withdrawals!D139)),"")</f>
        <v/>
      </c>
    </row>
    <row r="533" spans="1:13" ht="18" customHeight="1" x14ac:dyDescent="0.25">
      <c r="A533" s="40" t="str">
        <f>IF(Agent03_Withdrawals!A140="","",Agent03_Withdrawals!A140)</f>
        <v/>
      </c>
      <c r="B533" s="40" t="str">
        <f ca="1">IF(Agent03_Withdrawals!A140="","","WD"&amp;TEXT(533-3,"0000")&amp;"-"&amp;TEXT(TODAY(),"YYYYMMDD"))</f>
        <v/>
      </c>
      <c r="C533" s="40" t="str">
        <f>IF(Agent03_Withdrawals!A140="","",Agent03_Withdrawals!B140)</f>
        <v/>
      </c>
      <c r="D533" s="43" t="str">
        <f>IF(Agent03_Withdrawals!A140="","",Agent03_Withdrawals!C140)</f>
        <v/>
      </c>
      <c r="E533" s="41" t="str">
        <f>IF(Agent03_Withdrawals!A140="","",Agent03_Withdrawals!D140)</f>
        <v/>
      </c>
      <c r="F533" s="40" t="str">
        <f>IF(Agent03_Withdrawals!A140="","",Agent03_Withdrawals!F140)</f>
        <v/>
      </c>
      <c r="G533" s="42" t="str">
        <f>IF(Agent03_Withdrawals!A140="","",Agent03_Withdrawals!E140)</f>
        <v/>
      </c>
      <c r="H533" s="42" t="str">
        <f>IF(Agent03_Withdrawals!A140="","",Agent03_Withdrawals!G140)</f>
        <v/>
      </c>
      <c r="I533" s="40" t="str">
        <f>IF(Agent03_Withdrawals!A140="","",Agent03_Withdrawals!H140)</f>
        <v/>
      </c>
      <c r="J533" s="40" t="str">
        <f>IF(Agent03_Withdrawals!A140="","",Agent03_Withdrawals!J140)</f>
        <v/>
      </c>
      <c r="K533" s="40" t="str">
        <f>IF(Agent03_Withdrawals!A140="","",Agent03_Withdrawals!K140)</f>
        <v/>
      </c>
      <c r="L533" s="40" t="str">
        <f>IF(G533="","",IF(D533-G533&gt;=System_Config!$B$9,"✅ OK","⚠️ BREACH"))</f>
        <v/>
      </c>
      <c r="M533" s="40" t="str">
        <f>IFERROR(IF(Agent03_Withdrawals!A140="","",YEAR(Agent03_Withdrawals!D140)),"")</f>
        <v/>
      </c>
    </row>
    <row r="534" spans="1:13" ht="18" customHeight="1" x14ac:dyDescent="0.25">
      <c r="A534" s="40" t="str">
        <f>IF(Agent03_Withdrawals!A141="","",Agent03_Withdrawals!A141)</f>
        <v/>
      </c>
      <c r="B534" s="40" t="str">
        <f ca="1">IF(Agent03_Withdrawals!A141="","","WD"&amp;TEXT(534-3,"0000")&amp;"-"&amp;TEXT(TODAY(),"YYYYMMDD"))</f>
        <v/>
      </c>
      <c r="C534" s="40" t="str">
        <f>IF(Agent03_Withdrawals!A141="","",Agent03_Withdrawals!B141)</f>
        <v/>
      </c>
      <c r="D534" s="43" t="str">
        <f>IF(Agent03_Withdrawals!A141="","",Agent03_Withdrawals!C141)</f>
        <v/>
      </c>
      <c r="E534" s="41" t="str">
        <f>IF(Agent03_Withdrawals!A141="","",Agent03_Withdrawals!D141)</f>
        <v/>
      </c>
      <c r="F534" s="40" t="str">
        <f>IF(Agent03_Withdrawals!A141="","",Agent03_Withdrawals!F141)</f>
        <v/>
      </c>
      <c r="G534" s="42" t="str">
        <f>IF(Agent03_Withdrawals!A141="","",Agent03_Withdrawals!E141)</f>
        <v/>
      </c>
      <c r="H534" s="42" t="str">
        <f>IF(Agent03_Withdrawals!A141="","",Agent03_Withdrawals!G141)</f>
        <v/>
      </c>
      <c r="I534" s="40" t="str">
        <f>IF(Agent03_Withdrawals!A141="","",Agent03_Withdrawals!H141)</f>
        <v/>
      </c>
      <c r="J534" s="40" t="str">
        <f>IF(Agent03_Withdrawals!A141="","",Agent03_Withdrawals!J141)</f>
        <v/>
      </c>
      <c r="K534" s="40" t="str">
        <f>IF(Agent03_Withdrawals!A141="","",Agent03_Withdrawals!K141)</f>
        <v/>
      </c>
      <c r="L534" s="40" t="str">
        <f>IF(G534="","",IF(D534-G534&gt;=System_Config!$B$9,"✅ OK","⚠️ BREACH"))</f>
        <v/>
      </c>
      <c r="M534" s="40" t="str">
        <f>IFERROR(IF(Agent03_Withdrawals!A141="","",YEAR(Agent03_Withdrawals!D141)),"")</f>
        <v/>
      </c>
    </row>
    <row r="535" spans="1:13" ht="18" customHeight="1" x14ac:dyDescent="0.25">
      <c r="A535" s="40" t="str">
        <f>IF(Agent03_Withdrawals!A142="","",Agent03_Withdrawals!A142)</f>
        <v/>
      </c>
      <c r="B535" s="40" t="str">
        <f ca="1">IF(Agent03_Withdrawals!A142="","","WD"&amp;TEXT(535-3,"0000")&amp;"-"&amp;TEXT(TODAY(),"YYYYMMDD"))</f>
        <v/>
      </c>
      <c r="C535" s="40" t="str">
        <f>IF(Agent03_Withdrawals!A142="","",Agent03_Withdrawals!B142)</f>
        <v/>
      </c>
      <c r="D535" s="43" t="str">
        <f>IF(Agent03_Withdrawals!A142="","",Agent03_Withdrawals!C142)</f>
        <v/>
      </c>
      <c r="E535" s="41" t="str">
        <f>IF(Agent03_Withdrawals!A142="","",Agent03_Withdrawals!D142)</f>
        <v/>
      </c>
      <c r="F535" s="40" t="str">
        <f>IF(Agent03_Withdrawals!A142="","",Agent03_Withdrawals!F142)</f>
        <v/>
      </c>
      <c r="G535" s="42" t="str">
        <f>IF(Agent03_Withdrawals!A142="","",Agent03_Withdrawals!E142)</f>
        <v/>
      </c>
      <c r="H535" s="42" t="str">
        <f>IF(Agent03_Withdrawals!A142="","",Agent03_Withdrawals!G142)</f>
        <v/>
      </c>
      <c r="I535" s="40" t="str">
        <f>IF(Agent03_Withdrawals!A142="","",Agent03_Withdrawals!H142)</f>
        <v/>
      </c>
      <c r="J535" s="40" t="str">
        <f>IF(Agent03_Withdrawals!A142="","",Agent03_Withdrawals!J142)</f>
        <v/>
      </c>
      <c r="K535" s="40" t="str">
        <f>IF(Agent03_Withdrawals!A142="","",Agent03_Withdrawals!K142)</f>
        <v/>
      </c>
      <c r="L535" s="40" t="str">
        <f>IF(G535="","",IF(D535-G535&gt;=System_Config!$B$9,"✅ OK","⚠️ BREACH"))</f>
        <v/>
      </c>
      <c r="M535" s="40" t="str">
        <f>IFERROR(IF(Agent03_Withdrawals!A142="","",YEAR(Agent03_Withdrawals!D142)),"")</f>
        <v/>
      </c>
    </row>
    <row r="536" spans="1:13" ht="18" customHeight="1" x14ac:dyDescent="0.25">
      <c r="A536" s="40" t="str">
        <f>IF(Agent03_Withdrawals!A143="","",Agent03_Withdrawals!A143)</f>
        <v/>
      </c>
      <c r="B536" s="40" t="str">
        <f ca="1">IF(Agent03_Withdrawals!A143="","","WD"&amp;TEXT(536-3,"0000")&amp;"-"&amp;TEXT(TODAY(),"YYYYMMDD"))</f>
        <v/>
      </c>
      <c r="C536" s="40" t="str">
        <f>IF(Agent03_Withdrawals!A143="","",Agent03_Withdrawals!B143)</f>
        <v/>
      </c>
      <c r="D536" s="43" t="str">
        <f>IF(Agent03_Withdrawals!A143="","",Agent03_Withdrawals!C143)</f>
        <v/>
      </c>
      <c r="E536" s="41" t="str">
        <f>IF(Agent03_Withdrawals!A143="","",Agent03_Withdrawals!D143)</f>
        <v/>
      </c>
      <c r="F536" s="40" t="str">
        <f>IF(Agent03_Withdrawals!A143="","",Agent03_Withdrawals!F143)</f>
        <v/>
      </c>
      <c r="G536" s="42" t="str">
        <f>IF(Agent03_Withdrawals!A143="","",Agent03_Withdrawals!E143)</f>
        <v/>
      </c>
      <c r="H536" s="42" t="str">
        <f>IF(Agent03_Withdrawals!A143="","",Agent03_Withdrawals!G143)</f>
        <v/>
      </c>
      <c r="I536" s="40" t="str">
        <f>IF(Agent03_Withdrawals!A143="","",Agent03_Withdrawals!H143)</f>
        <v/>
      </c>
      <c r="J536" s="40" t="str">
        <f>IF(Agent03_Withdrawals!A143="","",Agent03_Withdrawals!J143)</f>
        <v/>
      </c>
      <c r="K536" s="40" t="str">
        <f>IF(Agent03_Withdrawals!A143="","",Agent03_Withdrawals!K143)</f>
        <v/>
      </c>
      <c r="L536" s="40" t="str">
        <f>IF(G536="","",IF(D536-G536&gt;=System_Config!$B$9,"✅ OK","⚠️ BREACH"))</f>
        <v/>
      </c>
      <c r="M536" s="40" t="str">
        <f>IFERROR(IF(Agent03_Withdrawals!A143="","",YEAR(Agent03_Withdrawals!D143)),"")</f>
        <v/>
      </c>
    </row>
    <row r="537" spans="1:13" ht="18" customHeight="1" x14ac:dyDescent="0.25">
      <c r="A537" s="40" t="str">
        <f>IF(Agent03_Withdrawals!A144="","",Agent03_Withdrawals!A144)</f>
        <v/>
      </c>
      <c r="B537" s="40" t="str">
        <f ca="1">IF(Agent03_Withdrawals!A144="","","WD"&amp;TEXT(537-3,"0000")&amp;"-"&amp;TEXT(TODAY(),"YYYYMMDD"))</f>
        <v/>
      </c>
      <c r="C537" s="40" t="str">
        <f>IF(Agent03_Withdrawals!A144="","",Agent03_Withdrawals!B144)</f>
        <v/>
      </c>
      <c r="D537" s="43" t="str">
        <f>IF(Agent03_Withdrawals!A144="","",Agent03_Withdrawals!C144)</f>
        <v/>
      </c>
      <c r="E537" s="41" t="str">
        <f>IF(Agent03_Withdrawals!A144="","",Agent03_Withdrawals!D144)</f>
        <v/>
      </c>
      <c r="F537" s="40" t="str">
        <f>IF(Agent03_Withdrawals!A144="","",Agent03_Withdrawals!F144)</f>
        <v/>
      </c>
      <c r="G537" s="42" t="str">
        <f>IF(Agent03_Withdrawals!A144="","",Agent03_Withdrawals!E144)</f>
        <v/>
      </c>
      <c r="H537" s="42" t="str">
        <f>IF(Agent03_Withdrawals!A144="","",Agent03_Withdrawals!G144)</f>
        <v/>
      </c>
      <c r="I537" s="40" t="str">
        <f>IF(Agent03_Withdrawals!A144="","",Agent03_Withdrawals!H144)</f>
        <v/>
      </c>
      <c r="J537" s="40" t="str">
        <f>IF(Agent03_Withdrawals!A144="","",Agent03_Withdrawals!J144)</f>
        <v/>
      </c>
      <c r="K537" s="40" t="str">
        <f>IF(Agent03_Withdrawals!A144="","",Agent03_Withdrawals!K144)</f>
        <v/>
      </c>
      <c r="L537" s="40" t="str">
        <f>IF(G537="","",IF(D537-G537&gt;=System_Config!$B$9,"✅ OK","⚠️ BREACH"))</f>
        <v/>
      </c>
      <c r="M537" s="40" t="str">
        <f>IFERROR(IF(Agent03_Withdrawals!A144="","",YEAR(Agent03_Withdrawals!D144)),"")</f>
        <v/>
      </c>
    </row>
    <row r="538" spans="1:13" ht="18" customHeight="1" x14ac:dyDescent="0.25">
      <c r="A538" s="40" t="str">
        <f>IF(Agent03_Withdrawals!A145="","",Agent03_Withdrawals!A145)</f>
        <v/>
      </c>
      <c r="B538" s="40" t="str">
        <f ca="1">IF(Agent03_Withdrawals!A145="","","WD"&amp;TEXT(538-3,"0000")&amp;"-"&amp;TEXT(TODAY(),"YYYYMMDD"))</f>
        <v/>
      </c>
      <c r="C538" s="40" t="str">
        <f>IF(Agent03_Withdrawals!A145="","",Agent03_Withdrawals!B145)</f>
        <v/>
      </c>
      <c r="D538" s="43" t="str">
        <f>IF(Agent03_Withdrawals!A145="","",Agent03_Withdrawals!C145)</f>
        <v/>
      </c>
      <c r="E538" s="41" t="str">
        <f>IF(Agent03_Withdrawals!A145="","",Agent03_Withdrawals!D145)</f>
        <v/>
      </c>
      <c r="F538" s="40" t="str">
        <f>IF(Agent03_Withdrawals!A145="","",Agent03_Withdrawals!F145)</f>
        <v/>
      </c>
      <c r="G538" s="42" t="str">
        <f>IF(Agent03_Withdrawals!A145="","",Agent03_Withdrawals!E145)</f>
        <v/>
      </c>
      <c r="H538" s="42" t="str">
        <f>IF(Agent03_Withdrawals!A145="","",Agent03_Withdrawals!G145)</f>
        <v/>
      </c>
      <c r="I538" s="40" t="str">
        <f>IF(Agent03_Withdrawals!A145="","",Agent03_Withdrawals!H145)</f>
        <v/>
      </c>
      <c r="J538" s="40" t="str">
        <f>IF(Agent03_Withdrawals!A145="","",Agent03_Withdrawals!J145)</f>
        <v/>
      </c>
      <c r="K538" s="40" t="str">
        <f>IF(Agent03_Withdrawals!A145="","",Agent03_Withdrawals!K145)</f>
        <v/>
      </c>
      <c r="L538" s="40" t="str">
        <f>IF(G538="","",IF(D538-G538&gt;=System_Config!$B$9,"✅ OK","⚠️ BREACH"))</f>
        <v/>
      </c>
      <c r="M538" s="40" t="str">
        <f>IFERROR(IF(Agent03_Withdrawals!A145="","",YEAR(Agent03_Withdrawals!D145)),"")</f>
        <v/>
      </c>
    </row>
    <row r="539" spans="1:13" ht="18" customHeight="1" x14ac:dyDescent="0.25">
      <c r="A539" s="40" t="str">
        <f>IF(Agent03_Withdrawals!A146="","",Agent03_Withdrawals!A146)</f>
        <v/>
      </c>
      <c r="B539" s="40" t="str">
        <f ca="1">IF(Agent03_Withdrawals!A146="","","WD"&amp;TEXT(539-3,"0000")&amp;"-"&amp;TEXT(TODAY(),"YYYYMMDD"))</f>
        <v/>
      </c>
      <c r="C539" s="40" t="str">
        <f>IF(Agent03_Withdrawals!A146="","",Agent03_Withdrawals!B146)</f>
        <v/>
      </c>
      <c r="D539" s="43" t="str">
        <f>IF(Agent03_Withdrawals!A146="","",Agent03_Withdrawals!C146)</f>
        <v/>
      </c>
      <c r="E539" s="41" t="str">
        <f>IF(Agent03_Withdrawals!A146="","",Agent03_Withdrawals!D146)</f>
        <v/>
      </c>
      <c r="F539" s="40" t="str">
        <f>IF(Agent03_Withdrawals!A146="","",Agent03_Withdrawals!F146)</f>
        <v/>
      </c>
      <c r="G539" s="42" t="str">
        <f>IF(Agent03_Withdrawals!A146="","",Agent03_Withdrawals!E146)</f>
        <v/>
      </c>
      <c r="H539" s="42" t="str">
        <f>IF(Agent03_Withdrawals!A146="","",Agent03_Withdrawals!G146)</f>
        <v/>
      </c>
      <c r="I539" s="40" t="str">
        <f>IF(Agent03_Withdrawals!A146="","",Agent03_Withdrawals!H146)</f>
        <v/>
      </c>
      <c r="J539" s="40" t="str">
        <f>IF(Agent03_Withdrawals!A146="","",Agent03_Withdrawals!J146)</f>
        <v/>
      </c>
      <c r="K539" s="40" t="str">
        <f>IF(Agent03_Withdrawals!A146="","",Agent03_Withdrawals!K146)</f>
        <v/>
      </c>
      <c r="L539" s="40" t="str">
        <f>IF(G539="","",IF(D539-G539&gt;=System_Config!$B$9,"✅ OK","⚠️ BREACH"))</f>
        <v/>
      </c>
      <c r="M539" s="40" t="str">
        <f>IFERROR(IF(Agent03_Withdrawals!A146="","",YEAR(Agent03_Withdrawals!D146)),"")</f>
        <v/>
      </c>
    </row>
    <row r="540" spans="1:13" ht="18" customHeight="1" x14ac:dyDescent="0.25">
      <c r="A540" s="40" t="str">
        <f>IF(Agent03_Withdrawals!A147="","",Agent03_Withdrawals!A147)</f>
        <v/>
      </c>
      <c r="B540" s="40" t="str">
        <f ca="1">IF(Agent03_Withdrawals!A147="","","WD"&amp;TEXT(540-3,"0000")&amp;"-"&amp;TEXT(TODAY(),"YYYYMMDD"))</f>
        <v/>
      </c>
      <c r="C540" s="40" t="str">
        <f>IF(Agent03_Withdrawals!A147="","",Agent03_Withdrawals!B147)</f>
        <v/>
      </c>
      <c r="D540" s="43" t="str">
        <f>IF(Agent03_Withdrawals!A147="","",Agent03_Withdrawals!C147)</f>
        <v/>
      </c>
      <c r="E540" s="41" t="str">
        <f>IF(Agent03_Withdrawals!A147="","",Agent03_Withdrawals!D147)</f>
        <v/>
      </c>
      <c r="F540" s="40" t="str">
        <f>IF(Agent03_Withdrawals!A147="","",Agent03_Withdrawals!F147)</f>
        <v/>
      </c>
      <c r="G540" s="42" t="str">
        <f>IF(Agent03_Withdrawals!A147="","",Agent03_Withdrawals!E147)</f>
        <v/>
      </c>
      <c r="H540" s="42" t="str">
        <f>IF(Agent03_Withdrawals!A147="","",Agent03_Withdrawals!G147)</f>
        <v/>
      </c>
      <c r="I540" s="40" t="str">
        <f>IF(Agent03_Withdrawals!A147="","",Agent03_Withdrawals!H147)</f>
        <v/>
      </c>
      <c r="J540" s="40" t="str">
        <f>IF(Agent03_Withdrawals!A147="","",Agent03_Withdrawals!J147)</f>
        <v/>
      </c>
      <c r="K540" s="40" t="str">
        <f>IF(Agent03_Withdrawals!A147="","",Agent03_Withdrawals!K147)</f>
        <v/>
      </c>
      <c r="L540" s="40" t="str">
        <f>IF(G540="","",IF(D540-G540&gt;=System_Config!$B$9,"✅ OK","⚠️ BREACH"))</f>
        <v/>
      </c>
      <c r="M540" s="40" t="str">
        <f>IFERROR(IF(Agent03_Withdrawals!A147="","",YEAR(Agent03_Withdrawals!D147)),"")</f>
        <v/>
      </c>
    </row>
    <row r="541" spans="1:13" ht="18" customHeight="1" x14ac:dyDescent="0.25">
      <c r="A541" s="40" t="str">
        <f>IF(Agent03_Withdrawals!A148="","",Agent03_Withdrawals!A148)</f>
        <v/>
      </c>
      <c r="B541" s="40" t="str">
        <f ca="1">IF(Agent03_Withdrawals!A148="","","WD"&amp;TEXT(541-3,"0000")&amp;"-"&amp;TEXT(TODAY(),"YYYYMMDD"))</f>
        <v/>
      </c>
      <c r="C541" s="40" t="str">
        <f>IF(Agent03_Withdrawals!A148="","",Agent03_Withdrawals!B148)</f>
        <v/>
      </c>
      <c r="D541" s="43" t="str">
        <f>IF(Agent03_Withdrawals!A148="","",Agent03_Withdrawals!C148)</f>
        <v/>
      </c>
      <c r="E541" s="41" t="str">
        <f>IF(Agent03_Withdrawals!A148="","",Agent03_Withdrawals!D148)</f>
        <v/>
      </c>
      <c r="F541" s="40" t="str">
        <f>IF(Agent03_Withdrawals!A148="","",Agent03_Withdrawals!F148)</f>
        <v/>
      </c>
      <c r="G541" s="42" t="str">
        <f>IF(Agent03_Withdrawals!A148="","",Agent03_Withdrawals!E148)</f>
        <v/>
      </c>
      <c r="H541" s="42" t="str">
        <f>IF(Agent03_Withdrawals!A148="","",Agent03_Withdrawals!G148)</f>
        <v/>
      </c>
      <c r="I541" s="40" t="str">
        <f>IF(Agent03_Withdrawals!A148="","",Agent03_Withdrawals!H148)</f>
        <v/>
      </c>
      <c r="J541" s="40" t="str">
        <f>IF(Agent03_Withdrawals!A148="","",Agent03_Withdrawals!J148)</f>
        <v/>
      </c>
      <c r="K541" s="40" t="str">
        <f>IF(Agent03_Withdrawals!A148="","",Agent03_Withdrawals!K148)</f>
        <v/>
      </c>
      <c r="L541" s="40" t="str">
        <f>IF(G541="","",IF(D541-G541&gt;=System_Config!$B$9,"✅ OK","⚠️ BREACH"))</f>
        <v/>
      </c>
      <c r="M541" s="40" t="str">
        <f>IFERROR(IF(Agent03_Withdrawals!A148="","",YEAR(Agent03_Withdrawals!D148)),"")</f>
        <v/>
      </c>
    </row>
    <row r="542" spans="1:13" ht="18" customHeight="1" x14ac:dyDescent="0.25">
      <c r="A542" s="40" t="str">
        <f>IF(Agent03_Withdrawals!A149="","",Agent03_Withdrawals!A149)</f>
        <v/>
      </c>
      <c r="B542" s="40" t="str">
        <f ca="1">IF(Agent03_Withdrawals!A149="","","WD"&amp;TEXT(542-3,"0000")&amp;"-"&amp;TEXT(TODAY(),"YYYYMMDD"))</f>
        <v/>
      </c>
      <c r="C542" s="40" t="str">
        <f>IF(Agent03_Withdrawals!A149="","",Agent03_Withdrawals!B149)</f>
        <v/>
      </c>
      <c r="D542" s="43" t="str">
        <f>IF(Agent03_Withdrawals!A149="","",Agent03_Withdrawals!C149)</f>
        <v/>
      </c>
      <c r="E542" s="41" t="str">
        <f>IF(Agent03_Withdrawals!A149="","",Agent03_Withdrawals!D149)</f>
        <v/>
      </c>
      <c r="F542" s="40" t="str">
        <f>IF(Agent03_Withdrawals!A149="","",Agent03_Withdrawals!F149)</f>
        <v/>
      </c>
      <c r="G542" s="42" t="str">
        <f>IF(Agent03_Withdrawals!A149="","",Agent03_Withdrawals!E149)</f>
        <v/>
      </c>
      <c r="H542" s="42" t="str">
        <f>IF(Agent03_Withdrawals!A149="","",Agent03_Withdrawals!G149)</f>
        <v/>
      </c>
      <c r="I542" s="40" t="str">
        <f>IF(Agent03_Withdrawals!A149="","",Agent03_Withdrawals!H149)</f>
        <v/>
      </c>
      <c r="J542" s="40" t="str">
        <f>IF(Agent03_Withdrawals!A149="","",Agent03_Withdrawals!J149)</f>
        <v/>
      </c>
      <c r="K542" s="40" t="str">
        <f>IF(Agent03_Withdrawals!A149="","",Agent03_Withdrawals!K149)</f>
        <v/>
      </c>
      <c r="L542" s="40" t="str">
        <f>IF(G542="","",IF(D542-G542&gt;=System_Config!$B$9,"✅ OK","⚠️ BREACH"))</f>
        <v/>
      </c>
      <c r="M542" s="40" t="str">
        <f>IFERROR(IF(Agent03_Withdrawals!A149="","",YEAR(Agent03_Withdrawals!D149)),"")</f>
        <v/>
      </c>
    </row>
    <row r="543" spans="1:13" ht="18" customHeight="1" x14ac:dyDescent="0.25">
      <c r="A543" s="40" t="str">
        <f>IF(Agent03_Withdrawals!A150="","",Agent03_Withdrawals!A150)</f>
        <v/>
      </c>
      <c r="B543" s="40" t="str">
        <f ca="1">IF(Agent03_Withdrawals!A150="","","WD"&amp;TEXT(543-3,"0000")&amp;"-"&amp;TEXT(TODAY(),"YYYYMMDD"))</f>
        <v/>
      </c>
      <c r="C543" s="40" t="str">
        <f>IF(Agent03_Withdrawals!A150="","",Agent03_Withdrawals!B150)</f>
        <v/>
      </c>
      <c r="D543" s="43" t="str">
        <f>IF(Agent03_Withdrawals!A150="","",Agent03_Withdrawals!C150)</f>
        <v/>
      </c>
      <c r="E543" s="41" t="str">
        <f>IF(Agent03_Withdrawals!A150="","",Agent03_Withdrawals!D150)</f>
        <v/>
      </c>
      <c r="F543" s="40" t="str">
        <f>IF(Agent03_Withdrawals!A150="","",Agent03_Withdrawals!F150)</f>
        <v/>
      </c>
      <c r="G543" s="42" t="str">
        <f>IF(Agent03_Withdrawals!A150="","",Agent03_Withdrawals!E150)</f>
        <v/>
      </c>
      <c r="H543" s="42" t="str">
        <f>IF(Agent03_Withdrawals!A150="","",Agent03_Withdrawals!G150)</f>
        <v/>
      </c>
      <c r="I543" s="40" t="str">
        <f>IF(Agent03_Withdrawals!A150="","",Agent03_Withdrawals!H150)</f>
        <v/>
      </c>
      <c r="J543" s="40" t="str">
        <f>IF(Agent03_Withdrawals!A150="","",Agent03_Withdrawals!J150)</f>
        <v/>
      </c>
      <c r="K543" s="40" t="str">
        <f>IF(Agent03_Withdrawals!A150="","",Agent03_Withdrawals!K150)</f>
        <v/>
      </c>
      <c r="L543" s="40" t="str">
        <f>IF(G543="","",IF(D543-G543&gt;=System_Config!$B$9,"✅ OK","⚠️ BREACH"))</f>
        <v/>
      </c>
      <c r="M543" s="40" t="str">
        <f>IFERROR(IF(Agent03_Withdrawals!A150="","",YEAR(Agent03_Withdrawals!D150)),"")</f>
        <v/>
      </c>
    </row>
    <row r="544" spans="1:13" ht="18" customHeight="1" x14ac:dyDescent="0.25">
      <c r="A544" s="40" t="str">
        <f>IF(Agent03_Withdrawals!A151="","",Agent03_Withdrawals!A151)</f>
        <v/>
      </c>
      <c r="B544" s="40" t="str">
        <f ca="1">IF(Agent03_Withdrawals!A151="","","WD"&amp;TEXT(544-3,"0000")&amp;"-"&amp;TEXT(TODAY(),"YYYYMMDD"))</f>
        <v/>
      </c>
      <c r="C544" s="40" t="str">
        <f>IF(Agent03_Withdrawals!A151="","",Agent03_Withdrawals!B151)</f>
        <v/>
      </c>
      <c r="D544" s="43" t="str">
        <f>IF(Agent03_Withdrawals!A151="","",Agent03_Withdrawals!C151)</f>
        <v/>
      </c>
      <c r="E544" s="41" t="str">
        <f>IF(Agent03_Withdrawals!A151="","",Agent03_Withdrawals!D151)</f>
        <v/>
      </c>
      <c r="F544" s="40" t="str">
        <f>IF(Agent03_Withdrawals!A151="","",Agent03_Withdrawals!F151)</f>
        <v/>
      </c>
      <c r="G544" s="42" t="str">
        <f>IF(Agent03_Withdrawals!A151="","",Agent03_Withdrawals!E151)</f>
        <v/>
      </c>
      <c r="H544" s="42" t="str">
        <f>IF(Agent03_Withdrawals!A151="","",Agent03_Withdrawals!G151)</f>
        <v/>
      </c>
      <c r="I544" s="40" t="str">
        <f>IF(Agent03_Withdrawals!A151="","",Agent03_Withdrawals!H151)</f>
        <v/>
      </c>
      <c r="J544" s="40" t="str">
        <f>IF(Agent03_Withdrawals!A151="","",Agent03_Withdrawals!J151)</f>
        <v/>
      </c>
      <c r="K544" s="40" t="str">
        <f>IF(Agent03_Withdrawals!A151="","",Agent03_Withdrawals!K151)</f>
        <v/>
      </c>
      <c r="L544" s="40" t="str">
        <f>IF(G544="","",IF(D544-G544&gt;=System_Config!$B$9,"✅ OK","⚠️ BREACH"))</f>
        <v/>
      </c>
      <c r="M544" s="40" t="str">
        <f>IFERROR(IF(Agent03_Withdrawals!A151="","",YEAR(Agent03_Withdrawals!D151)),"")</f>
        <v/>
      </c>
    </row>
    <row r="545" spans="1:13" ht="18" customHeight="1" x14ac:dyDescent="0.25">
      <c r="A545" s="40" t="str">
        <f>IF(Agent03_Withdrawals!A152="","",Agent03_Withdrawals!A152)</f>
        <v/>
      </c>
      <c r="B545" s="40" t="str">
        <f ca="1">IF(Agent03_Withdrawals!A152="","","WD"&amp;TEXT(545-3,"0000")&amp;"-"&amp;TEXT(TODAY(),"YYYYMMDD"))</f>
        <v/>
      </c>
      <c r="C545" s="40" t="str">
        <f>IF(Agent03_Withdrawals!A152="","",Agent03_Withdrawals!B152)</f>
        <v/>
      </c>
      <c r="D545" s="43" t="str">
        <f>IF(Agent03_Withdrawals!A152="","",Agent03_Withdrawals!C152)</f>
        <v/>
      </c>
      <c r="E545" s="41" t="str">
        <f>IF(Agent03_Withdrawals!A152="","",Agent03_Withdrawals!D152)</f>
        <v/>
      </c>
      <c r="F545" s="40" t="str">
        <f>IF(Agent03_Withdrawals!A152="","",Agent03_Withdrawals!F152)</f>
        <v/>
      </c>
      <c r="G545" s="42" t="str">
        <f>IF(Agent03_Withdrawals!A152="","",Agent03_Withdrawals!E152)</f>
        <v/>
      </c>
      <c r="H545" s="42" t="str">
        <f>IF(Agent03_Withdrawals!A152="","",Agent03_Withdrawals!G152)</f>
        <v/>
      </c>
      <c r="I545" s="40" t="str">
        <f>IF(Agent03_Withdrawals!A152="","",Agent03_Withdrawals!H152)</f>
        <v/>
      </c>
      <c r="J545" s="40" t="str">
        <f>IF(Agent03_Withdrawals!A152="","",Agent03_Withdrawals!J152)</f>
        <v/>
      </c>
      <c r="K545" s="40" t="str">
        <f>IF(Agent03_Withdrawals!A152="","",Agent03_Withdrawals!K152)</f>
        <v/>
      </c>
      <c r="L545" s="40" t="str">
        <f>IF(G545="","",IF(D545-G545&gt;=System_Config!$B$9,"✅ OK","⚠️ BREACH"))</f>
        <v/>
      </c>
      <c r="M545" s="40" t="str">
        <f>IFERROR(IF(Agent03_Withdrawals!A152="","",YEAR(Agent03_Withdrawals!D152)),"")</f>
        <v/>
      </c>
    </row>
    <row r="546" spans="1:13" ht="18" customHeight="1" x14ac:dyDescent="0.25">
      <c r="A546" s="40" t="str">
        <f>IF(Agent03_Withdrawals!A153="","",Agent03_Withdrawals!A153)</f>
        <v/>
      </c>
      <c r="B546" s="40" t="str">
        <f ca="1">IF(Agent03_Withdrawals!A153="","","WD"&amp;TEXT(546-3,"0000")&amp;"-"&amp;TEXT(TODAY(),"YYYYMMDD"))</f>
        <v/>
      </c>
      <c r="C546" s="40" t="str">
        <f>IF(Agent03_Withdrawals!A153="","",Agent03_Withdrawals!B153)</f>
        <v/>
      </c>
      <c r="D546" s="43" t="str">
        <f>IF(Agent03_Withdrawals!A153="","",Agent03_Withdrawals!C153)</f>
        <v/>
      </c>
      <c r="E546" s="41" t="str">
        <f>IF(Agent03_Withdrawals!A153="","",Agent03_Withdrawals!D153)</f>
        <v/>
      </c>
      <c r="F546" s="40" t="str">
        <f>IF(Agent03_Withdrawals!A153="","",Agent03_Withdrawals!F153)</f>
        <v/>
      </c>
      <c r="G546" s="42" t="str">
        <f>IF(Agent03_Withdrawals!A153="","",Agent03_Withdrawals!E153)</f>
        <v/>
      </c>
      <c r="H546" s="42" t="str">
        <f>IF(Agent03_Withdrawals!A153="","",Agent03_Withdrawals!G153)</f>
        <v/>
      </c>
      <c r="I546" s="40" t="str">
        <f>IF(Agent03_Withdrawals!A153="","",Agent03_Withdrawals!H153)</f>
        <v/>
      </c>
      <c r="J546" s="40" t="str">
        <f>IF(Agent03_Withdrawals!A153="","",Agent03_Withdrawals!J153)</f>
        <v/>
      </c>
      <c r="K546" s="40" t="str">
        <f>IF(Agent03_Withdrawals!A153="","",Agent03_Withdrawals!K153)</f>
        <v/>
      </c>
      <c r="L546" s="40" t="str">
        <f>IF(G546="","",IF(D546-G546&gt;=System_Config!$B$9,"✅ OK","⚠️ BREACH"))</f>
        <v/>
      </c>
      <c r="M546" s="40" t="str">
        <f>IFERROR(IF(Agent03_Withdrawals!A153="","",YEAR(Agent03_Withdrawals!D153)),"")</f>
        <v/>
      </c>
    </row>
    <row r="547" spans="1:13" ht="18" customHeight="1" x14ac:dyDescent="0.25">
      <c r="A547" s="40" t="str">
        <f>IF(Agent03_Withdrawals!A154="","",Agent03_Withdrawals!A154)</f>
        <v/>
      </c>
      <c r="B547" s="40" t="str">
        <f ca="1">IF(Agent03_Withdrawals!A154="","","WD"&amp;TEXT(547-3,"0000")&amp;"-"&amp;TEXT(TODAY(),"YYYYMMDD"))</f>
        <v/>
      </c>
      <c r="C547" s="40" t="str">
        <f>IF(Agent03_Withdrawals!A154="","",Agent03_Withdrawals!B154)</f>
        <v/>
      </c>
      <c r="D547" s="43" t="str">
        <f>IF(Agent03_Withdrawals!A154="","",Agent03_Withdrawals!C154)</f>
        <v/>
      </c>
      <c r="E547" s="41" t="str">
        <f>IF(Agent03_Withdrawals!A154="","",Agent03_Withdrawals!D154)</f>
        <v/>
      </c>
      <c r="F547" s="40" t="str">
        <f>IF(Agent03_Withdrawals!A154="","",Agent03_Withdrawals!F154)</f>
        <v/>
      </c>
      <c r="G547" s="42" t="str">
        <f>IF(Agent03_Withdrawals!A154="","",Agent03_Withdrawals!E154)</f>
        <v/>
      </c>
      <c r="H547" s="42" t="str">
        <f>IF(Agent03_Withdrawals!A154="","",Agent03_Withdrawals!G154)</f>
        <v/>
      </c>
      <c r="I547" s="40" t="str">
        <f>IF(Agent03_Withdrawals!A154="","",Agent03_Withdrawals!H154)</f>
        <v/>
      </c>
      <c r="J547" s="40" t="str">
        <f>IF(Agent03_Withdrawals!A154="","",Agent03_Withdrawals!J154)</f>
        <v/>
      </c>
      <c r="K547" s="40" t="str">
        <f>IF(Agent03_Withdrawals!A154="","",Agent03_Withdrawals!K154)</f>
        <v/>
      </c>
      <c r="L547" s="40" t="str">
        <f>IF(G547="","",IF(D547-G547&gt;=System_Config!$B$9,"✅ OK","⚠️ BREACH"))</f>
        <v/>
      </c>
      <c r="M547" s="40" t="str">
        <f>IFERROR(IF(Agent03_Withdrawals!A154="","",YEAR(Agent03_Withdrawals!D154)),"")</f>
        <v/>
      </c>
    </row>
    <row r="548" spans="1:13" ht="18" customHeight="1" x14ac:dyDescent="0.25">
      <c r="A548" s="40" t="str">
        <f>IF(Agent03_Withdrawals!A155="","",Agent03_Withdrawals!A155)</f>
        <v/>
      </c>
      <c r="B548" s="40" t="str">
        <f ca="1">IF(Agent03_Withdrawals!A155="","","WD"&amp;TEXT(548-3,"0000")&amp;"-"&amp;TEXT(TODAY(),"YYYYMMDD"))</f>
        <v/>
      </c>
      <c r="C548" s="40" t="str">
        <f>IF(Agent03_Withdrawals!A155="","",Agent03_Withdrawals!B155)</f>
        <v/>
      </c>
      <c r="D548" s="43" t="str">
        <f>IF(Agent03_Withdrawals!A155="","",Agent03_Withdrawals!C155)</f>
        <v/>
      </c>
      <c r="E548" s="41" t="str">
        <f>IF(Agent03_Withdrawals!A155="","",Agent03_Withdrawals!D155)</f>
        <v/>
      </c>
      <c r="F548" s="40" t="str">
        <f>IF(Agent03_Withdrawals!A155="","",Agent03_Withdrawals!F155)</f>
        <v/>
      </c>
      <c r="G548" s="42" t="str">
        <f>IF(Agent03_Withdrawals!A155="","",Agent03_Withdrawals!E155)</f>
        <v/>
      </c>
      <c r="H548" s="42" t="str">
        <f>IF(Agent03_Withdrawals!A155="","",Agent03_Withdrawals!G155)</f>
        <v/>
      </c>
      <c r="I548" s="40" t="str">
        <f>IF(Agent03_Withdrawals!A155="","",Agent03_Withdrawals!H155)</f>
        <v/>
      </c>
      <c r="J548" s="40" t="str">
        <f>IF(Agent03_Withdrawals!A155="","",Agent03_Withdrawals!J155)</f>
        <v/>
      </c>
      <c r="K548" s="40" t="str">
        <f>IF(Agent03_Withdrawals!A155="","",Agent03_Withdrawals!K155)</f>
        <v/>
      </c>
      <c r="L548" s="40" t="str">
        <f>IF(G548="","",IF(D548-G548&gt;=System_Config!$B$9,"✅ OK","⚠️ BREACH"))</f>
        <v/>
      </c>
      <c r="M548" s="40" t="str">
        <f>IFERROR(IF(Agent03_Withdrawals!A155="","",YEAR(Agent03_Withdrawals!D155)),"")</f>
        <v/>
      </c>
    </row>
    <row r="549" spans="1:13" ht="18" customHeight="1" x14ac:dyDescent="0.25">
      <c r="A549" s="40" t="str">
        <f>IF(Agent03_Withdrawals!A156="","",Agent03_Withdrawals!A156)</f>
        <v/>
      </c>
      <c r="B549" s="40" t="str">
        <f ca="1">IF(Agent03_Withdrawals!A156="","","WD"&amp;TEXT(549-3,"0000")&amp;"-"&amp;TEXT(TODAY(),"YYYYMMDD"))</f>
        <v/>
      </c>
      <c r="C549" s="40" t="str">
        <f>IF(Agent03_Withdrawals!A156="","",Agent03_Withdrawals!B156)</f>
        <v/>
      </c>
      <c r="D549" s="43" t="str">
        <f>IF(Agent03_Withdrawals!A156="","",Agent03_Withdrawals!C156)</f>
        <v/>
      </c>
      <c r="E549" s="41" t="str">
        <f>IF(Agent03_Withdrawals!A156="","",Agent03_Withdrawals!D156)</f>
        <v/>
      </c>
      <c r="F549" s="40" t="str">
        <f>IF(Agent03_Withdrawals!A156="","",Agent03_Withdrawals!F156)</f>
        <v/>
      </c>
      <c r="G549" s="42" t="str">
        <f>IF(Agent03_Withdrawals!A156="","",Agent03_Withdrawals!E156)</f>
        <v/>
      </c>
      <c r="H549" s="42" t="str">
        <f>IF(Agent03_Withdrawals!A156="","",Agent03_Withdrawals!G156)</f>
        <v/>
      </c>
      <c r="I549" s="40" t="str">
        <f>IF(Agent03_Withdrawals!A156="","",Agent03_Withdrawals!H156)</f>
        <v/>
      </c>
      <c r="J549" s="40" t="str">
        <f>IF(Agent03_Withdrawals!A156="","",Agent03_Withdrawals!J156)</f>
        <v/>
      </c>
      <c r="K549" s="40" t="str">
        <f>IF(Agent03_Withdrawals!A156="","",Agent03_Withdrawals!K156)</f>
        <v/>
      </c>
      <c r="L549" s="40" t="str">
        <f>IF(G549="","",IF(D549-G549&gt;=System_Config!$B$9,"✅ OK","⚠️ BREACH"))</f>
        <v/>
      </c>
      <c r="M549" s="40" t="str">
        <f>IFERROR(IF(Agent03_Withdrawals!A156="","",YEAR(Agent03_Withdrawals!D156)),"")</f>
        <v/>
      </c>
    </row>
    <row r="550" spans="1:13" ht="18" customHeight="1" x14ac:dyDescent="0.25">
      <c r="A550" s="40" t="str">
        <f>IF(Agent03_Withdrawals!A157="","",Agent03_Withdrawals!A157)</f>
        <v/>
      </c>
      <c r="B550" s="40" t="str">
        <f ca="1">IF(Agent03_Withdrawals!A157="","","WD"&amp;TEXT(550-3,"0000")&amp;"-"&amp;TEXT(TODAY(),"YYYYMMDD"))</f>
        <v/>
      </c>
      <c r="C550" s="40" t="str">
        <f>IF(Agent03_Withdrawals!A157="","",Agent03_Withdrawals!B157)</f>
        <v/>
      </c>
      <c r="D550" s="43" t="str">
        <f>IF(Agent03_Withdrawals!A157="","",Agent03_Withdrawals!C157)</f>
        <v/>
      </c>
      <c r="E550" s="41" t="str">
        <f>IF(Agent03_Withdrawals!A157="","",Agent03_Withdrawals!D157)</f>
        <v/>
      </c>
      <c r="F550" s="40" t="str">
        <f>IF(Agent03_Withdrawals!A157="","",Agent03_Withdrawals!F157)</f>
        <v/>
      </c>
      <c r="G550" s="42" t="str">
        <f>IF(Agent03_Withdrawals!A157="","",Agent03_Withdrawals!E157)</f>
        <v/>
      </c>
      <c r="H550" s="42" t="str">
        <f>IF(Agent03_Withdrawals!A157="","",Agent03_Withdrawals!G157)</f>
        <v/>
      </c>
      <c r="I550" s="40" t="str">
        <f>IF(Agent03_Withdrawals!A157="","",Agent03_Withdrawals!H157)</f>
        <v/>
      </c>
      <c r="J550" s="40" t="str">
        <f>IF(Agent03_Withdrawals!A157="","",Agent03_Withdrawals!J157)</f>
        <v/>
      </c>
      <c r="K550" s="40" t="str">
        <f>IF(Agent03_Withdrawals!A157="","",Agent03_Withdrawals!K157)</f>
        <v/>
      </c>
      <c r="L550" s="40" t="str">
        <f>IF(G550="","",IF(D550-G550&gt;=System_Config!$B$9,"✅ OK","⚠️ BREACH"))</f>
        <v/>
      </c>
      <c r="M550" s="40" t="str">
        <f>IFERROR(IF(Agent03_Withdrawals!A157="","",YEAR(Agent03_Withdrawals!D157)),"")</f>
        <v/>
      </c>
    </row>
    <row r="551" spans="1:13" ht="18" customHeight="1" x14ac:dyDescent="0.25">
      <c r="A551" s="40" t="str">
        <f>IF(Agent03_Withdrawals!A158="","",Agent03_Withdrawals!A158)</f>
        <v/>
      </c>
      <c r="B551" s="40" t="str">
        <f ca="1">IF(Agent03_Withdrawals!A158="","","WD"&amp;TEXT(551-3,"0000")&amp;"-"&amp;TEXT(TODAY(),"YYYYMMDD"))</f>
        <v/>
      </c>
      <c r="C551" s="40" t="str">
        <f>IF(Agent03_Withdrawals!A158="","",Agent03_Withdrawals!B158)</f>
        <v/>
      </c>
      <c r="D551" s="43" t="str">
        <f>IF(Agent03_Withdrawals!A158="","",Agent03_Withdrawals!C158)</f>
        <v/>
      </c>
      <c r="E551" s="41" t="str">
        <f>IF(Agent03_Withdrawals!A158="","",Agent03_Withdrawals!D158)</f>
        <v/>
      </c>
      <c r="F551" s="40" t="str">
        <f>IF(Agent03_Withdrawals!A158="","",Agent03_Withdrawals!F158)</f>
        <v/>
      </c>
      <c r="G551" s="42" t="str">
        <f>IF(Agent03_Withdrawals!A158="","",Agent03_Withdrawals!E158)</f>
        <v/>
      </c>
      <c r="H551" s="42" t="str">
        <f>IF(Agent03_Withdrawals!A158="","",Agent03_Withdrawals!G158)</f>
        <v/>
      </c>
      <c r="I551" s="40" t="str">
        <f>IF(Agent03_Withdrawals!A158="","",Agent03_Withdrawals!H158)</f>
        <v/>
      </c>
      <c r="J551" s="40" t="str">
        <f>IF(Agent03_Withdrawals!A158="","",Agent03_Withdrawals!J158)</f>
        <v/>
      </c>
      <c r="K551" s="40" t="str">
        <f>IF(Agent03_Withdrawals!A158="","",Agent03_Withdrawals!K158)</f>
        <v/>
      </c>
      <c r="L551" s="40" t="str">
        <f>IF(G551="","",IF(D551-G551&gt;=System_Config!$B$9,"✅ OK","⚠️ BREACH"))</f>
        <v/>
      </c>
      <c r="M551" s="40" t="str">
        <f>IFERROR(IF(Agent03_Withdrawals!A158="","",YEAR(Agent03_Withdrawals!D158)),"")</f>
        <v/>
      </c>
    </row>
    <row r="552" spans="1:13" ht="18" customHeight="1" x14ac:dyDescent="0.25">
      <c r="A552" s="40" t="str">
        <f>IF(Agent03_Withdrawals!A159="","",Agent03_Withdrawals!A159)</f>
        <v/>
      </c>
      <c r="B552" s="40" t="str">
        <f ca="1">IF(Agent03_Withdrawals!A159="","","WD"&amp;TEXT(552-3,"0000")&amp;"-"&amp;TEXT(TODAY(),"YYYYMMDD"))</f>
        <v/>
      </c>
      <c r="C552" s="40" t="str">
        <f>IF(Agent03_Withdrawals!A159="","",Agent03_Withdrawals!B159)</f>
        <v/>
      </c>
      <c r="D552" s="43" t="str">
        <f>IF(Agent03_Withdrawals!A159="","",Agent03_Withdrawals!C159)</f>
        <v/>
      </c>
      <c r="E552" s="41" t="str">
        <f>IF(Agent03_Withdrawals!A159="","",Agent03_Withdrawals!D159)</f>
        <v/>
      </c>
      <c r="F552" s="40" t="str">
        <f>IF(Agent03_Withdrawals!A159="","",Agent03_Withdrawals!F159)</f>
        <v/>
      </c>
      <c r="G552" s="42" t="str">
        <f>IF(Agent03_Withdrawals!A159="","",Agent03_Withdrawals!E159)</f>
        <v/>
      </c>
      <c r="H552" s="42" t="str">
        <f>IF(Agent03_Withdrawals!A159="","",Agent03_Withdrawals!G159)</f>
        <v/>
      </c>
      <c r="I552" s="40" t="str">
        <f>IF(Agent03_Withdrawals!A159="","",Agent03_Withdrawals!H159)</f>
        <v/>
      </c>
      <c r="J552" s="40" t="str">
        <f>IF(Agent03_Withdrawals!A159="","",Agent03_Withdrawals!J159)</f>
        <v/>
      </c>
      <c r="K552" s="40" t="str">
        <f>IF(Agent03_Withdrawals!A159="","",Agent03_Withdrawals!K159)</f>
        <v/>
      </c>
      <c r="L552" s="40" t="str">
        <f>IF(G552="","",IF(D552-G552&gt;=System_Config!$B$9,"✅ OK","⚠️ BREACH"))</f>
        <v/>
      </c>
      <c r="M552" s="40" t="str">
        <f>IFERROR(IF(Agent03_Withdrawals!A159="","",YEAR(Agent03_Withdrawals!D159)),"")</f>
        <v/>
      </c>
    </row>
    <row r="553" spans="1:13" ht="18" customHeight="1" x14ac:dyDescent="0.25">
      <c r="A553" s="40" t="str">
        <f>IF(Agent03_Withdrawals!A160="","",Agent03_Withdrawals!A160)</f>
        <v/>
      </c>
      <c r="B553" s="40" t="str">
        <f ca="1">IF(Agent03_Withdrawals!A160="","","WD"&amp;TEXT(553-3,"0000")&amp;"-"&amp;TEXT(TODAY(),"YYYYMMDD"))</f>
        <v/>
      </c>
      <c r="C553" s="40" t="str">
        <f>IF(Agent03_Withdrawals!A160="","",Agent03_Withdrawals!B160)</f>
        <v/>
      </c>
      <c r="D553" s="43" t="str">
        <f>IF(Agent03_Withdrawals!A160="","",Agent03_Withdrawals!C160)</f>
        <v/>
      </c>
      <c r="E553" s="41" t="str">
        <f>IF(Agent03_Withdrawals!A160="","",Agent03_Withdrawals!D160)</f>
        <v/>
      </c>
      <c r="F553" s="40" t="str">
        <f>IF(Agent03_Withdrawals!A160="","",Agent03_Withdrawals!F160)</f>
        <v/>
      </c>
      <c r="G553" s="42" t="str">
        <f>IF(Agent03_Withdrawals!A160="","",Agent03_Withdrawals!E160)</f>
        <v/>
      </c>
      <c r="H553" s="42" t="str">
        <f>IF(Agent03_Withdrawals!A160="","",Agent03_Withdrawals!G160)</f>
        <v/>
      </c>
      <c r="I553" s="40" t="str">
        <f>IF(Agent03_Withdrawals!A160="","",Agent03_Withdrawals!H160)</f>
        <v/>
      </c>
      <c r="J553" s="40" t="str">
        <f>IF(Agent03_Withdrawals!A160="","",Agent03_Withdrawals!J160)</f>
        <v/>
      </c>
      <c r="K553" s="40" t="str">
        <f>IF(Agent03_Withdrawals!A160="","",Agent03_Withdrawals!K160)</f>
        <v/>
      </c>
      <c r="L553" s="40" t="str">
        <f>IF(G553="","",IF(D553-G553&gt;=System_Config!$B$9,"✅ OK","⚠️ BREACH"))</f>
        <v/>
      </c>
      <c r="M553" s="40" t="str">
        <f>IFERROR(IF(Agent03_Withdrawals!A160="","",YEAR(Agent03_Withdrawals!D160)),"")</f>
        <v/>
      </c>
    </row>
    <row r="554" spans="1:13" ht="18" customHeight="1" x14ac:dyDescent="0.25">
      <c r="A554" s="40" t="str">
        <f>IF(Agent03_Withdrawals!A161="","",Agent03_Withdrawals!A161)</f>
        <v/>
      </c>
      <c r="B554" s="40" t="str">
        <f ca="1">IF(Agent03_Withdrawals!A161="","","WD"&amp;TEXT(554-3,"0000")&amp;"-"&amp;TEXT(TODAY(),"YYYYMMDD"))</f>
        <v/>
      </c>
      <c r="C554" s="40" t="str">
        <f>IF(Agent03_Withdrawals!A161="","",Agent03_Withdrawals!B161)</f>
        <v/>
      </c>
      <c r="D554" s="43" t="str">
        <f>IF(Agent03_Withdrawals!A161="","",Agent03_Withdrawals!C161)</f>
        <v/>
      </c>
      <c r="E554" s="41" t="str">
        <f>IF(Agent03_Withdrawals!A161="","",Agent03_Withdrawals!D161)</f>
        <v/>
      </c>
      <c r="F554" s="40" t="str">
        <f>IF(Agent03_Withdrawals!A161="","",Agent03_Withdrawals!F161)</f>
        <v/>
      </c>
      <c r="G554" s="42" t="str">
        <f>IF(Agent03_Withdrawals!A161="","",Agent03_Withdrawals!E161)</f>
        <v/>
      </c>
      <c r="H554" s="42" t="str">
        <f>IF(Agent03_Withdrawals!A161="","",Agent03_Withdrawals!G161)</f>
        <v/>
      </c>
      <c r="I554" s="40" t="str">
        <f>IF(Agent03_Withdrawals!A161="","",Agent03_Withdrawals!H161)</f>
        <v/>
      </c>
      <c r="J554" s="40" t="str">
        <f>IF(Agent03_Withdrawals!A161="","",Agent03_Withdrawals!J161)</f>
        <v/>
      </c>
      <c r="K554" s="40" t="str">
        <f>IF(Agent03_Withdrawals!A161="","",Agent03_Withdrawals!K161)</f>
        <v/>
      </c>
      <c r="L554" s="40" t="str">
        <f>IF(G554="","",IF(D554-G554&gt;=System_Config!$B$9,"✅ OK","⚠️ BREACH"))</f>
        <v/>
      </c>
      <c r="M554" s="40" t="str">
        <f>IFERROR(IF(Agent03_Withdrawals!A161="","",YEAR(Agent03_Withdrawals!D161)),"")</f>
        <v/>
      </c>
    </row>
    <row r="555" spans="1:13" ht="18" customHeight="1" x14ac:dyDescent="0.25">
      <c r="A555" s="40" t="str">
        <f>IF(Agent03_Withdrawals!A162="","",Agent03_Withdrawals!A162)</f>
        <v/>
      </c>
      <c r="B555" s="40" t="str">
        <f ca="1">IF(Agent03_Withdrawals!A162="","","WD"&amp;TEXT(555-3,"0000")&amp;"-"&amp;TEXT(TODAY(),"YYYYMMDD"))</f>
        <v/>
      </c>
      <c r="C555" s="40" t="str">
        <f>IF(Agent03_Withdrawals!A162="","",Agent03_Withdrawals!B162)</f>
        <v/>
      </c>
      <c r="D555" s="43" t="str">
        <f>IF(Agent03_Withdrawals!A162="","",Agent03_Withdrawals!C162)</f>
        <v/>
      </c>
      <c r="E555" s="41" t="str">
        <f>IF(Agent03_Withdrawals!A162="","",Agent03_Withdrawals!D162)</f>
        <v/>
      </c>
      <c r="F555" s="40" t="str">
        <f>IF(Agent03_Withdrawals!A162="","",Agent03_Withdrawals!F162)</f>
        <v/>
      </c>
      <c r="G555" s="42" t="str">
        <f>IF(Agent03_Withdrawals!A162="","",Agent03_Withdrawals!E162)</f>
        <v/>
      </c>
      <c r="H555" s="42" t="str">
        <f>IF(Agent03_Withdrawals!A162="","",Agent03_Withdrawals!G162)</f>
        <v/>
      </c>
      <c r="I555" s="40" t="str">
        <f>IF(Agent03_Withdrawals!A162="","",Agent03_Withdrawals!H162)</f>
        <v/>
      </c>
      <c r="J555" s="40" t="str">
        <f>IF(Agent03_Withdrawals!A162="","",Agent03_Withdrawals!J162)</f>
        <v/>
      </c>
      <c r="K555" s="40" t="str">
        <f>IF(Agent03_Withdrawals!A162="","",Agent03_Withdrawals!K162)</f>
        <v/>
      </c>
      <c r="L555" s="40" t="str">
        <f>IF(G555="","",IF(D555-G555&gt;=System_Config!$B$9,"✅ OK","⚠️ BREACH"))</f>
        <v/>
      </c>
      <c r="M555" s="40" t="str">
        <f>IFERROR(IF(Agent03_Withdrawals!A162="","",YEAR(Agent03_Withdrawals!D162)),"")</f>
        <v/>
      </c>
    </row>
    <row r="556" spans="1:13" ht="18" customHeight="1" x14ac:dyDescent="0.25">
      <c r="A556" s="40" t="str">
        <f>IF(Agent03_Withdrawals!A163="","",Agent03_Withdrawals!A163)</f>
        <v/>
      </c>
      <c r="B556" s="40" t="str">
        <f ca="1">IF(Agent03_Withdrawals!A163="","","WD"&amp;TEXT(556-3,"0000")&amp;"-"&amp;TEXT(TODAY(),"YYYYMMDD"))</f>
        <v/>
      </c>
      <c r="C556" s="40" t="str">
        <f>IF(Agent03_Withdrawals!A163="","",Agent03_Withdrawals!B163)</f>
        <v/>
      </c>
      <c r="D556" s="43" t="str">
        <f>IF(Agent03_Withdrawals!A163="","",Agent03_Withdrawals!C163)</f>
        <v/>
      </c>
      <c r="E556" s="41" t="str">
        <f>IF(Agent03_Withdrawals!A163="","",Agent03_Withdrawals!D163)</f>
        <v/>
      </c>
      <c r="F556" s="40" t="str">
        <f>IF(Agent03_Withdrawals!A163="","",Agent03_Withdrawals!F163)</f>
        <v/>
      </c>
      <c r="G556" s="42" t="str">
        <f>IF(Agent03_Withdrawals!A163="","",Agent03_Withdrawals!E163)</f>
        <v/>
      </c>
      <c r="H556" s="42" t="str">
        <f>IF(Agent03_Withdrawals!A163="","",Agent03_Withdrawals!G163)</f>
        <v/>
      </c>
      <c r="I556" s="40" t="str">
        <f>IF(Agent03_Withdrawals!A163="","",Agent03_Withdrawals!H163)</f>
        <v/>
      </c>
      <c r="J556" s="40" t="str">
        <f>IF(Agent03_Withdrawals!A163="","",Agent03_Withdrawals!J163)</f>
        <v/>
      </c>
      <c r="K556" s="40" t="str">
        <f>IF(Agent03_Withdrawals!A163="","",Agent03_Withdrawals!K163)</f>
        <v/>
      </c>
      <c r="L556" s="40" t="str">
        <f>IF(G556="","",IF(D556-G556&gt;=System_Config!$B$9,"✅ OK","⚠️ BREACH"))</f>
        <v/>
      </c>
      <c r="M556" s="40" t="str">
        <f>IFERROR(IF(Agent03_Withdrawals!A163="","",YEAR(Agent03_Withdrawals!D163)),"")</f>
        <v/>
      </c>
    </row>
    <row r="557" spans="1:13" ht="18" customHeight="1" x14ac:dyDescent="0.25">
      <c r="A557" s="40" t="str">
        <f>IF(Agent03_Withdrawals!A164="","",Agent03_Withdrawals!A164)</f>
        <v/>
      </c>
      <c r="B557" s="40" t="str">
        <f ca="1">IF(Agent03_Withdrawals!A164="","","WD"&amp;TEXT(557-3,"0000")&amp;"-"&amp;TEXT(TODAY(),"YYYYMMDD"))</f>
        <v/>
      </c>
      <c r="C557" s="40" t="str">
        <f>IF(Agent03_Withdrawals!A164="","",Agent03_Withdrawals!B164)</f>
        <v/>
      </c>
      <c r="D557" s="43" t="str">
        <f>IF(Agent03_Withdrawals!A164="","",Agent03_Withdrawals!C164)</f>
        <v/>
      </c>
      <c r="E557" s="41" t="str">
        <f>IF(Agent03_Withdrawals!A164="","",Agent03_Withdrawals!D164)</f>
        <v/>
      </c>
      <c r="F557" s="40" t="str">
        <f>IF(Agent03_Withdrawals!A164="","",Agent03_Withdrawals!F164)</f>
        <v/>
      </c>
      <c r="G557" s="42" t="str">
        <f>IF(Agent03_Withdrawals!A164="","",Agent03_Withdrawals!E164)</f>
        <v/>
      </c>
      <c r="H557" s="42" t="str">
        <f>IF(Agent03_Withdrawals!A164="","",Agent03_Withdrawals!G164)</f>
        <v/>
      </c>
      <c r="I557" s="40" t="str">
        <f>IF(Agent03_Withdrawals!A164="","",Agent03_Withdrawals!H164)</f>
        <v/>
      </c>
      <c r="J557" s="40" t="str">
        <f>IF(Agent03_Withdrawals!A164="","",Agent03_Withdrawals!J164)</f>
        <v/>
      </c>
      <c r="K557" s="40" t="str">
        <f>IF(Agent03_Withdrawals!A164="","",Agent03_Withdrawals!K164)</f>
        <v/>
      </c>
      <c r="L557" s="40" t="str">
        <f>IF(G557="","",IF(D557-G557&gt;=System_Config!$B$9,"✅ OK","⚠️ BREACH"))</f>
        <v/>
      </c>
      <c r="M557" s="40" t="str">
        <f>IFERROR(IF(Agent03_Withdrawals!A164="","",YEAR(Agent03_Withdrawals!D164)),"")</f>
        <v/>
      </c>
    </row>
    <row r="558" spans="1:13" ht="18" customHeight="1" x14ac:dyDescent="0.25">
      <c r="A558" s="40" t="str">
        <f>IF(Agent03_Withdrawals!A165="","",Agent03_Withdrawals!A165)</f>
        <v/>
      </c>
      <c r="B558" s="40" t="str">
        <f ca="1">IF(Agent03_Withdrawals!A165="","","WD"&amp;TEXT(558-3,"0000")&amp;"-"&amp;TEXT(TODAY(),"YYYYMMDD"))</f>
        <v/>
      </c>
      <c r="C558" s="40" t="str">
        <f>IF(Agent03_Withdrawals!A165="","",Agent03_Withdrawals!B165)</f>
        <v/>
      </c>
      <c r="D558" s="43" t="str">
        <f>IF(Agent03_Withdrawals!A165="","",Agent03_Withdrawals!C165)</f>
        <v/>
      </c>
      <c r="E558" s="41" t="str">
        <f>IF(Agent03_Withdrawals!A165="","",Agent03_Withdrawals!D165)</f>
        <v/>
      </c>
      <c r="F558" s="40" t="str">
        <f>IF(Agent03_Withdrawals!A165="","",Agent03_Withdrawals!F165)</f>
        <v/>
      </c>
      <c r="G558" s="42" t="str">
        <f>IF(Agent03_Withdrawals!A165="","",Agent03_Withdrawals!E165)</f>
        <v/>
      </c>
      <c r="H558" s="42" t="str">
        <f>IF(Agent03_Withdrawals!A165="","",Agent03_Withdrawals!G165)</f>
        <v/>
      </c>
      <c r="I558" s="40" t="str">
        <f>IF(Agent03_Withdrawals!A165="","",Agent03_Withdrawals!H165)</f>
        <v/>
      </c>
      <c r="J558" s="40" t="str">
        <f>IF(Agent03_Withdrawals!A165="","",Agent03_Withdrawals!J165)</f>
        <v/>
      </c>
      <c r="K558" s="40" t="str">
        <f>IF(Agent03_Withdrawals!A165="","",Agent03_Withdrawals!K165)</f>
        <v/>
      </c>
      <c r="L558" s="40" t="str">
        <f>IF(G558="","",IF(D558-G558&gt;=System_Config!$B$9,"✅ OK","⚠️ BREACH"))</f>
        <v/>
      </c>
      <c r="M558" s="40" t="str">
        <f>IFERROR(IF(Agent03_Withdrawals!A165="","",YEAR(Agent03_Withdrawals!D165)),"")</f>
        <v/>
      </c>
    </row>
    <row r="559" spans="1:13" ht="18" customHeight="1" x14ac:dyDescent="0.25">
      <c r="A559" s="40" t="str">
        <f>IF(Agent03_Withdrawals!A166="","",Agent03_Withdrawals!A166)</f>
        <v/>
      </c>
      <c r="B559" s="40" t="str">
        <f ca="1">IF(Agent03_Withdrawals!A166="","","WD"&amp;TEXT(559-3,"0000")&amp;"-"&amp;TEXT(TODAY(),"YYYYMMDD"))</f>
        <v/>
      </c>
      <c r="C559" s="40" t="str">
        <f>IF(Agent03_Withdrawals!A166="","",Agent03_Withdrawals!B166)</f>
        <v/>
      </c>
      <c r="D559" s="43" t="str">
        <f>IF(Agent03_Withdrawals!A166="","",Agent03_Withdrawals!C166)</f>
        <v/>
      </c>
      <c r="E559" s="41" t="str">
        <f>IF(Agent03_Withdrawals!A166="","",Agent03_Withdrawals!D166)</f>
        <v/>
      </c>
      <c r="F559" s="40" t="str">
        <f>IF(Agent03_Withdrawals!A166="","",Agent03_Withdrawals!F166)</f>
        <v/>
      </c>
      <c r="G559" s="42" t="str">
        <f>IF(Agent03_Withdrawals!A166="","",Agent03_Withdrawals!E166)</f>
        <v/>
      </c>
      <c r="H559" s="42" t="str">
        <f>IF(Agent03_Withdrawals!A166="","",Agent03_Withdrawals!G166)</f>
        <v/>
      </c>
      <c r="I559" s="40" t="str">
        <f>IF(Agent03_Withdrawals!A166="","",Agent03_Withdrawals!H166)</f>
        <v/>
      </c>
      <c r="J559" s="40" t="str">
        <f>IF(Agent03_Withdrawals!A166="","",Agent03_Withdrawals!J166)</f>
        <v/>
      </c>
      <c r="K559" s="40" t="str">
        <f>IF(Agent03_Withdrawals!A166="","",Agent03_Withdrawals!K166)</f>
        <v/>
      </c>
      <c r="L559" s="40" t="str">
        <f>IF(G559="","",IF(D559-G559&gt;=System_Config!$B$9,"✅ OK","⚠️ BREACH"))</f>
        <v/>
      </c>
      <c r="M559" s="40" t="str">
        <f>IFERROR(IF(Agent03_Withdrawals!A166="","",YEAR(Agent03_Withdrawals!D166)),"")</f>
        <v/>
      </c>
    </row>
    <row r="560" spans="1:13" ht="18" customHeight="1" x14ac:dyDescent="0.25">
      <c r="A560" s="40" t="str">
        <f>IF(Agent03_Withdrawals!A167="","",Agent03_Withdrawals!A167)</f>
        <v/>
      </c>
      <c r="B560" s="40" t="str">
        <f ca="1">IF(Agent03_Withdrawals!A167="","","WD"&amp;TEXT(560-3,"0000")&amp;"-"&amp;TEXT(TODAY(),"YYYYMMDD"))</f>
        <v/>
      </c>
      <c r="C560" s="40" t="str">
        <f>IF(Agent03_Withdrawals!A167="","",Agent03_Withdrawals!B167)</f>
        <v/>
      </c>
      <c r="D560" s="43" t="str">
        <f>IF(Agent03_Withdrawals!A167="","",Agent03_Withdrawals!C167)</f>
        <v/>
      </c>
      <c r="E560" s="41" t="str">
        <f>IF(Agent03_Withdrawals!A167="","",Agent03_Withdrawals!D167)</f>
        <v/>
      </c>
      <c r="F560" s="40" t="str">
        <f>IF(Agent03_Withdrawals!A167="","",Agent03_Withdrawals!F167)</f>
        <v/>
      </c>
      <c r="G560" s="42" t="str">
        <f>IF(Agent03_Withdrawals!A167="","",Agent03_Withdrawals!E167)</f>
        <v/>
      </c>
      <c r="H560" s="42" t="str">
        <f>IF(Agent03_Withdrawals!A167="","",Agent03_Withdrawals!G167)</f>
        <v/>
      </c>
      <c r="I560" s="40" t="str">
        <f>IF(Agent03_Withdrawals!A167="","",Agent03_Withdrawals!H167)</f>
        <v/>
      </c>
      <c r="J560" s="40" t="str">
        <f>IF(Agent03_Withdrawals!A167="","",Agent03_Withdrawals!J167)</f>
        <v/>
      </c>
      <c r="K560" s="40" t="str">
        <f>IF(Agent03_Withdrawals!A167="","",Agent03_Withdrawals!K167)</f>
        <v/>
      </c>
      <c r="L560" s="40" t="str">
        <f>IF(G560="","",IF(D560-G560&gt;=System_Config!$B$9,"✅ OK","⚠️ BREACH"))</f>
        <v/>
      </c>
      <c r="M560" s="40" t="str">
        <f>IFERROR(IF(Agent03_Withdrawals!A167="","",YEAR(Agent03_Withdrawals!D167)),"")</f>
        <v/>
      </c>
    </row>
    <row r="561" spans="1:13" ht="18" customHeight="1" x14ac:dyDescent="0.25">
      <c r="A561" s="40" t="str">
        <f>IF(Agent03_Withdrawals!A168="","",Agent03_Withdrawals!A168)</f>
        <v/>
      </c>
      <c r="B561" s="40" t="str">
        <f ca="1">IF(Agent03_Withdrawals!A168="","","WD"&amp;TEXT(561-3,"0000")&amp;"-"&amp;TEXT(TODAY(),"YYYYMMDD"))</f>
        <v/>
      </c>
      <c r="C561" s="40" t="str">
        <f>IF(Agent03_Withdrawals!A168="","",Agent03_Withdrawals!B168)</f>
        <v/>
      </c>
      <c r="D561" s="43" t="str">
        <f>IF(Agent03_Withdrawals!A168="","",Agent03_Withdrawals!C168)</f>
        <v/>
      </c>
      <c r="E561" s="41" t="str">
        <f>IF(Agent03_Withdrawals!A168="","",Agent03_Withdrawals!D168)</f>
        <v/>
      </c>
      <c r="F561" s="40" t="str">
        <f>IF(Agent03_Withdrawals!A168="","",Agent03_Withdrawals!F168)</f>
        <v/>
      </c>
      <c r="G561" s="42" t="str">
        <f>IF(Agent03_Withdrawals!A168="","",Agent03_Withdrawals!E168)</f>
        <v/>
      </c>
      <c r="H561" s="42" t="str">
        <f>IF(Agent03_Withdrawals!A168="","",Agent03_Withdrawals!G168)</f>
        <v/>
      </c>
      <c r="I561" s="40" t="str">
        <f>IF(Agent03_Withdrawals!A168="","",Agent03_Withdrawals!H168)</f>
        <v/>
      </c>
      <c r="J561" s="40" t="str">
        <f>IF(Agent03_Withdrawals!A168="","",Agent03_Withdrawals!J168)</f>
        <v/>
      </c>
      <c r="K561" s="40" t="str">
        <f>IF(Agent03_Withdrawals!A168="","",Agent03_Withdrawals!K168)</f>
        <v/>
      </c>
      <c r="L561" s="40" t="str">
        <f>IF(G561="","",IF(D561-G561&gt;=System_Config!$B$9,"✅ OK","⚠️ BREACH"))</f>
        <v/>
      </c>
      <c r="M561" s="40" t="str">
        <f>IFERROR(IF(Agent03_Withdrawals!A168="","",YEAR(Agent03_Withdrawals!D168)),"")</f>
        <v/>
      </c>
    </row>
    <row r="562" spans="1:13" ht="18" customHeight="1" x14ac:dyDescent="0.25">
      <c r="A562" s="40" t="str">
        <f>IF(Agent03_Withdrawals!A169="","",Agent03_Withdrawals!A169)</f>
        <v/>
      </c>
      <c r="B562" s="40" t="str">
        <f ca="1">IF(Agent03_Withdrawals!A169="","","WD"&amp;TEXT(562-3,"0000")&amp;"-"&amp;TEXT(TODAY(),"YYYYMMDD"))</f>
        <v/>
      </c>
      <c r="C562" s="40" t="str">
        <f>IF(Agent03_Withdrawals!A169="","",Agent03_Withdrawals!B169)</f>
        <v/>
      </c>
      <c r="D562" s="43" t="str">
        <f>IF(Agent03_Withdrawals!A169="","",Agent03_Withdrawals!C169)</f>
        <v/>
      </c>
      <c r="E562" s="41" t="str">
        <f>IF(Agent03_Withdrawals!A169="","",Agent03_Withdrawals!D169)</f>
        <v/>
      </c>
      <c r="F562" s="40" t="str">
        <f>IF(Agent03_Withdrawals!A169="","",Agent03_Withdrawals!F169)</f>
        <v/>
      </c>
      <c r="G562" s="42" t="str">
        <f>IF(Agent03_Withdrawals!A169="","",Agent03_Withdrawals!E169)</f>
        <v/>
      </c>
      <c r="H562" s="42" t="str">
        <f>IF(Agent03_Withdrawals!A169="","",Agent03_Withdrawals!G169)</f>
        <v/>
      </c>
      <c r="I562" s="40" t="str">
        <f>IF(Agent03_Withdrawals!A169="","",Agent03_Withdrawals!H169)</f>
        <v/>
      </c>
      <c r="J562" s="40" t="str">
        <f>IF(Agent03_Withdrawals!A169="","",Agent03_Withdrawals!J169)</f>
        <v/>
      </c>
      <c r="K562" s="40" t="str">
        <f>IF(Agent03_Withdrawals!A169="","",Agent03_Withdrawals!K169)</f>
        <v/>
      </c>
      <c r="L562" s="40" t="str">
        <f>IF(G562="","",IF(D562-G562&gt;=System_Config!$B$9,"✅ OK","⚠️ BREACH"))</f>
        <v/>
      </c>
      <c r="M562" s="40" t="str">
        <f>IFERROR(IF(Agent03_Withdrawals!A169="","",YEAR(Agent03_Withdrawals!D169)),"")</f>
        <v/>
      </c>
    </row>
    <row r="563" spans="1:13" ht="18" customHeight="1" x14ac:dyDescent="0.25">
      <c r="A563" s="40" t="str">
        <f>IF(Agent03_Withdrawals!A170="","",Agent03_Withdrawals!A170)</f>
        <v/>
      </c>
      <c r="B563" s="40" t="str">
        <f ca="1">IF(Agent03_Withdrawals!A170="","","WD"&amp;TEXT(563-3,"0000")&amp;"-"&amp;TEXT(TODAY(),"YYYYMMDD"))</f>
        <v/>
      </c>
      <c r="C563" s="40" t="str">
        <f>IF(Agent03_Withdrawals!A170="","",Agent03_Withdrawals!B170)</f>
        <v/>
      </c>
      <c r="D563" s="43" t="str">
        <f>IF(Agent03_Withdrawals!A170="","",Agent03_Withdrawals!C170)</f>
        <v/>
      </c>
      <c r="E563" s="41" t="str">
        <f>IF(Agent03_Withdrawals!A170="","",Agent03_Withdrawals!D170)</f>
        <v/>
      </c>
      <c r="F563" s="40" t="str">
        <f>IF(Agent03_Withdrawals!A170="","",Agent03_Withdrawals!F170)</f>
        <v/>
      </c>
      <c r="G563" s="42" t="str">
        <f>IF(Agent03_Withdrawals!A170="","",Agent03_Withdrawals!E170)</f>
        <v/>
      </c>
      <c r="H563" s="42" t="str">
        <f>IF(Agent03_Withdrawals!A170="","",Agent03_Withdrawals!G170)</f>
        <v/>
      </c>
      <c r="I563" s="40" t="str">
        <f>IF(Agent03_Withdrawals!A170="","",Agent03_Withdrawals!H170)</f>
        <v/>
      </c>
      <c r="J563" s="40" t="str">
        <f>IF(Agent03_Withdrawals!A170="","",Agent03_Withdrawals!J170)</f>
        <v/>
      </c>
      <c r="K563" s="40" t="str">
        <f>IF(Agent03_Withdrawals!A170="","",Agent03_Withdrawals!K170)</f>
        <v/>
      </c>
      <c r="L563" s="40" t="str">
        <f>IF(G563="","",IF(D563-G563&gt;=System_Config!$B$9,"✅ OK","⚠️ BREACH"))</f>
        <v/>
      </c>
      <c r="M563" s="40" t="str">
        <f>IFERROR(IF(Agent03_Withdrawals!A170="","",YEAR(Agent03_Withdrawals!D170)),"")</f>
        <v/>
      </c>
    </row>
    <row r="564" spans="1:13" ht="18" customHeight="1" x14ac:dyDescent="0.25">
      <c r="A564" s="40" t="str">
        <f>IF(Agent03_Withdrawals!A171="","",Agent03_Withdrawals!A171)</f>
        <v/>
      </c>
      <c r="B564" s="40" t="str">
        <f ca="1">IF(Agent03_Withdrawals!A171="","","WD"&amp;TEXT(564-3,"0000")&amp;"-"&amp;TEXT(TODAY(),"YYYYMMDD"))</f>
        <v/>
      </c>
      <c r="C564" s="40" t="str">
        <f>IF(Agent03_Withdrawals!A171="","",Agent03_Withdrawals!B171)</f>
        <v/>
      </c>
      <c r="D564" s="43" t="str">
        <f>IF(Agent03_Withdrawals!A171="","",Agent03_Withdrawals!C171)</f>
        <v/>
      </c>
      <c r="E564" s="41" t="str">
        <f>IF(Agent03_Withdrawals!A171="","",Agent03_Withdrawals!D171)</f>
        <v/>
      </c>
      <c r="F564" s="40" t="str">
        <f>IF(Agent03_Withdrawals!A171="","",Agent03_Withdrawals!F171)</f>
        <v/>
      </c>
      <c r="G564" s="42" t="str">
        <f>IF(Agent03_Withdrawals!A171="","",Agent03_Withdrawals!E171)</f>
        <v/>
      </c>
      <c r="H564" s="42" t="str">
        <f>IF(Agent03_Withdrawals!A171="","",Agent03_Withdrawals!G171)</f>
        <v/>
      </c>
      <c r="I564" s="40" t="str">
        <f>IF(Agent03_Withdrawals!A171="","",Agent03_Withdrawals!H171)</f>
        <v/>
      </c>
      <c r="J564" s="40" t="str">
        <f>IF(Agent03_Withdrawals!A171="","",Agent03_Withdrawals!J171)</f>
        <v/>
      </c>
      <c r="K564" s="40" t="str">
        <f>IF(Agent03_Withdrawals!A171="","",Agent03_Withdrawals!K171)</f>
        <v/>
      </c>
      <c r="L564" s="40" t="str">
        <f>IF(G564="","",IF(D564-G564&gt;=System_Config!$B$9,"✅ OK","⚠️ BREACH"))</f>
        <v/>
      </c>
      <c r="M564" s="40" t="str">
        <f>IFERROR(IF(Agent03_Withdrawals!A171="","",YEAR(Agent03_Withdrawals!D171)),"")</f>
        <v/>
      </c>
    </row>
    <row r="565" spans="1:13" ht="18" customHeight="1" x14ac:dyDescent="0.25">
      <c r="A565" s="40" t="str">
        <f>IF(Agent03_Withdrawals!A172="","",Agent03_Withdrawals!A172)</f>
        <v/>
      </c>
      <c r="B565" s="40" t="str">
        <f ca="1">IF(Agent03_Withdrawals!A172="","","WD"&amp;TEXT(565-3,"0000")&amp;"-"&amp;TEXT(TODAY(),"YYYYMMDD"))</f>
        <v/>
      </c>
      <c r="C565" s="40" t="str">
        <f>IF(Agent03_Withdrawals!A172="","",Agent03_Withdrawals!B172)</f>
        <v/>
      </c>
      <c r="D565" s="43" t="str">
        <f>IF(Agent03_Withdrawals!A172="","",Agent03_Withdrawals!C172)</f>
        <v/>
      </c>
      <c r="E565" s="41" t="str">
        <f>IF(Agent03_Withdrawals!A172="","",Agent03_Withdrawals!D172)</f>
        <v/>
      </c>
      <c r="F565" s="40" t="str">
        <f>IF(Agent03_Withdrawals!A172="","",Agent03_Withdrawals!F172)</f>
        <v/>
      </c>
      <c r="G565" s="42" t="str">
        <f>IF(Agent03_Withdrawals!A172="","",Agent03_Withdrawals!E172)</f>
        <v/>
      </c>
      <c r="H565" s="42" t="str">
        <f>IF(Agent03_Withdrawals!A172="","",Agent03_Withdrawals!G172)</f>
        <v/>
      </c>
      <c r="I565" s="40" t="str">
        <f>IF(Agent03_Withdrawals!A172="","",Agent03_Withdrawals!H172)</f>
        <v/>
      </c>
      <c r="J565" s="40" t="str">
        <f>IF(Agent03_Withdrawals!A172="","",Agent03_Withdrawals!J172)</f>
        <v/>
      </c>
      <c r="K565" s="40" t="str">
        <f>IF(Agent03_Withdrawals!A172="","",Agent03_Withdrawals!K172)</f>
        <v/>
      </c>
      <c r="L565" s="40" t="str">
        <f>IF(G565="","",IF(D565-G565&gt;=System_Config!$B$9,"✅ OK","⚠️ BREACH"))</f>
        <v/>
      </c>
      <c r="M565" s="40" t="str">
        <f>IFERROR(IF(Agent03_Withdrawals!A172="","",YEAR(Agent03_Withdrawals!D172)),"")</f>
        <v/>
      </c>
    </row>
    <row r="566" spans="1:13" ht="18" customHeight="1" x14ac:dyDescent="0.25">
      <c r="A566" s="40" t="str">
        <f>IF(Agent03_Withdrawals!A173="","",Agent03_Withdrawals!A173)</f>
        <v/>
      </c>
      <c r="B566" s="40" t="str">
        <f ca="1">IF(Agent03_Withdrawals!A173="","","WD"&amp;TEXT(566-3,"0000")&amp;"-"&amp;TEXT(TODAY(),"YYYYMMDD"))</f>
        <v/>
      </c>
      <c r="C566" s="40" t="str">
        <f>IF(Agent03_Withdrawals!A173="","",Agent03_Withdrawals!B173)</f>
        <v/>
      </c>
      <c r="D566" s="43" t="str">
        <f>IF(Agent03_Withdrawals!A173="","",Agent03_Withdrawals!C173)</f>
        <v/>
      </c>
      <c r="E566" s="41" t="str">
        <f>IF(Agent03_Withdrawals!A173="","",Agent03_Withdrawals!D173)</f>
        <v/>
      </c>
      <c r="F566" s="40" t="str">
        <f>IF(Agent03_Withdrawals!A173="","",Agent03_Withdrawals!F173)</f>
        <v/>
      </c>
      <c r="G566" s="42" t="str">
        <f>IF(Agent03_Withdrawals!A173="","",Agent03_Withdrawals!E173)</f>
        <v/>
      </c>
      <c r="H566" s="42" t="str">
        <f>IF(Agent03_Withdrawals!A173="","",Agent03_Withdrawals!G173)</f>
        <v/>
      </c>
      <c r="I566" s="40" t="str">
        <f>IF(Agent03_Withdrawals!A173="","",Agent03_Withdrawals!H173)</f>
        <v/>
      </c>
      <c r="J566" s="40" t="str">
        <f>IF(Agent03_Withdrawals!A173="","",Agent03_Withdrawals!J173)</f>
        <v/>
      </c>
      <c r="K566" s="40" t="str">
        <f>IF(Agent03_Withdrawals!A173="","",Agent03_Withdrawals!K173)</f>
        <v/>
      </c>
      <c r="L566" s="40" t="str">
        <f>IF(G566="","",IF(D566-G566&gt;=System_Config!$B$9,"✅ OK","⚠️ BREACH"))</f>
        <v/>
      </c>
      <c r="M566" s="40" t="str">
        <f>IFERROR(IF(Agent03_Withdrawals!A173="","",YEAR(Agent03_Withdrawals!D173)),"")</f>
        <v/>
      </c>
    </row>
    <row r="567" spans="1:13" ht="18" customHeight="1" x14ac:dyDescent="0.25">
      <c r="A567" s="40" t="str">
        <f>IF(Agent03_Withdrawals!A174="","",Agent03_Withdrawals!A174)</f>
        <v/>
      </c>
      <c r="B567" s="40" t="str">
        <f ca="1">IF(Agent03_Withdrawals!A174="","","WD"&amp;TEXT(567-3,"0000")&amp;"-"&amp;TEXT(TODAY(),"YYYYMMDD"))</f>
        <v/>
      </c>
      <c r="C567" s="40" t="str">
        <f>IF(Agent03_Withdrawals!A174="","",Agent03_Withdrawals!B174)</f>
        <v/>
      </c>
      <c r="D567" s="43" t="str">
        <f>IF(Agent03_Withdrawals!A174="","",Agent03_Withdrawals!C174)</f>
        <v/>
      </c>
      <c r="E567" s="41" t="str">
        <f>IF(Agent03_Withdrawals!A174="","",Agent03_Withdrawals!D174)</f>
        <v/>
      </c>
      <c r="F567" s="40" t="str">
        <f>IF(Agent03_Withdrawals!A174="","",Agent03_Withdrawals!F174)</f>
        <v/>
      </c>
      <c r="G567" s="42" t="str">
        <f>IF(Agent03_Withdrawals!A174="","",Agent03_Withdrawals!E174)</f>
        <v/>
      </c>
      <c r="H567" s="42" t="str">
        <f>IF(Agent03_Withdrawals!A174="","",Agent03_Withdrawals!G174)</f>
        <v/>
      </c>
      <c r="I567" s="40" t="str">
        <f>IF(Agent03_Withdrawals!A174="","",Agent03_Withdrawals!H174)</f>
        <v/>
      </c>
      <c r="J567" s="40" t="str">
        <f>IF(Agent03_Withdrawals!A174="","",Agent03_Withdrawals!J174)</f>
        <v/>
      </c>
      <c r="K567" s="40" t="str">
        <f>IF(Agent03_Withdrawals!A174="","",Agent03_Withdrawals!K174)</f>
        <v/>
      </c>
      <c r="L567" s="40" t="str">
        <f>IF(G567="","",IF(D567-G567&gt;=System_Config!$B$9,"✅ OK","⚠️ BREACH"))</f>
        <v/>
      </c>
      <c r="M567" s="40" t="str">
        <f>IFERROR(IF(Agent03_Withdrawals!A174="","",YEAR(Agent03_Withdrawals!D174)),"")</f>
        <v/>
      </c>
    </row>
    <row r="568" spans="1:13" ht="18" customHeight="1" x14ac:dyDescent="0.25">
      <c r="A568" s="40" t="str">
        <f>IF(Agent03_Withdrawals!A175="","",Agent03_Withdrawals!A175)</f>
        <v/>
      </c>
      <c r="B568" s="40" t="str">
        <f ca="1">IF(Agent03_Withdrawals!A175="","","WD"&amp;TEXT(568-3,"0000")&amp;"-"&amp;TEXT(TODAY(),"YYYYMMDD"))</f>
        <v/>
      </c>
      <c r="C568" s="40" t="str">
        <f>IF(Agent03_Withdrawals!A175="","",Agent03_Withdrawals!B175)</f>
        <v/>
      </c>
      <c r="D568" s="43" t="str">
        <f>IF(Agent03_Withdrawals!A175="","",Agent03_Withdrawals!C175)</f>
        <v/>
      </c>
      <c r="E568" s="41" t="str">
        <f>IF(Agent03_Withdrawals!A175="","",Agent03_Withdrawals!D175)</f>
        <v/>
      </c>
      <c r="F568" s="40" t="str">
        <f>IF(Agent03_Withdrawals!A175="","",Agent03_Withdrawals!F175)</f>
        <v/>
      </c>
      <c r="G568" s="42" t="str">
        <f>IF(Agent03_Withdrawals!A175="","",Agent03_Withdrawals!E175)</f>
        <v/>
      </c>
      <c r="H568" s="42" t="str">
        <f>IF(Agent03_Withdrawals!A175="","",Agent03_Withdrawals!G175)</f>
        <v/>
      </c>
      <c r="I568" s="40" t="str">
        <f>IF(Agent03_Withdrawals!A175="","",Agent03_Withdrawals!H175)</f>
        <v/>
      </c>
      <c r="J568" s="40" t="str">
        <f>IF(Agent03_Withdrawals!A175="","",Agent03_Withdrawals!J175)</f>
        <v/>
      </c>
      <c r="K568" s="40" t="str">
        <f>IF(Agent03_Withdrawals!A175="","",Agent03_Withdrawals!K175)</f>
        <v/>
      </c>
      <c r="L568" s="40" t="str">
        <f>IF(G568="","",IF(D568-G568&gt;=System_Config!$B$9,"✅ OK","⚠️ BREACH"))</f>
        <v/>
      </c>
      <c r="M568" s="40" t="str">
        <f>IFERROR(IF(Agent03_Withdrawals!A175="","",YEAR(Agent03_Withdrawals!D175)),"")</f>
        <v/>
      </c>
    </row>
    <row r="569" spans="1:13" ht="18" customHeight="1" x14ac:dyDescent="0.25">
      <c r="A569" s="40" t="str">
        <f>IF(Agent03_Withdrawals!A176="","",Agent03_Withdrawals!A176)</f>
        <v/>
      </c>
      <c r="B569" s="40" t="str">
        <f ca="1">IF(Agent03_Withdrawals!A176="","","WD"&amp;TEXT(569-3,"0000")&amp;"-"&amp;TEXT(TODAY(),"YYYYMMDD"))</f>
        <v/>
      </c>
      <c r="C569" s="40" t="str">
        <f>IF(Agent03_Withdrawals!A176="","",Agent03_Withdrawals!B176)</f>
        <v/>
      </c>
      <c r="D569" s="43" t="str">
        <f>IF(Agent03_Withdrawals!A176="","",Agent03_Withdrawals!C176)</f>
        <v/>
      </c>
      <c r="E569" s="41" t="str">
        <f>IF(Agent03_Withdrawals!A176="","",Agent03_Withdrawals!D176)</f>
        <v/>
      </c>
      <c r="F569" s="40" t="str">
        <f>IF(Agent03_Withdrawals!A176="","",Agent03_Withdrawals!F176)</f>
        <v/>
      </c>
      <c r="G569" s="42" t="str">
        <f>IF(Agent03_Withdrawals!A176="","",Agent03_Withdrawals!E176)</f>
        <v/>
      </c>
      <c r="H569" s="42" t="str">
        <f>IF(Agent03_Withdrawals!A176="","",Agent03_Withdrawals!G176)</f>
        <v/>
      </c>
      <c r="I569" s="40" t="str">
        <f>IF(Agent03_Withdrawals!A176="","",Agent03_Withdrawals!H176)</f>
        <v/>
      </c>
      <c r="J569" s="40" t="str">
        <f>IF(Agent03_Withdrawals!A176="","",Agent03_Withdrawals!J176)</f>
        <v/>
      </c>
      <c r="K569" s="40" t="str">
        <f>IF(Agent03_Withdrawals!A176="","",Agent03_Withdrawals!K176)</f>
        <v/>
      </c>
      <c r="L569" s="40" t="str">
        <f>IF(G569="","",IF(D569-G569&gt;=System_Config!$B$9,"✅ OK","⚠️ BREACH"))</f>
        <v/>
      </c>
      <c r="M569" s="40" t="str">
        <f>IFERROR(IF(Agent03_Withdrawals!A176="","",YEAR(Agent03_Withdrawals!D176)),"")</f>
        <v/>
      </c>
    </row>
    <row r="570" spans="1:13" ht="18" customHeight="1" x14ac:dyDescent="0.25">
      <c r="A570" s="40" t="str">
        <f>IF(Agent03_Withdrawals!A177="","",Agent03_Withdrawals!A177)</f>
        <v/>
      </c>
      <c r="B570" s="40" t="str">
        <f ca="1">IF(Agent03_Withdrawals!A177="","","WD"&amp;TEXT(570-3,"0000")&amp;"-"&amp;TEXT(TODAY(),"YYYYMMDD"))</f>
        <v/>
      </c>
      <c r="C570" s="40" t="str">
        <f>IF(Agent03_Withdrawals!A177="","",Agent03_Withdrawals!B177)</f>
        <v/>
      </c>
      <c r="D570" s="43" t="str">
        <f>IF(Agent03_Withdrawals!A177="","",Agent03_Withdrawals!C177)</f>
        <v/>
      </c>
      <c r="E570" s="41" t="str">
        <f>IF(Agent03_Withdrawals!A177="","",Agent03_Withdrawals!D177)</f>
        <v/>
      </c>
      <c r="F570" s="40" t="str">
        <f>IF(Agent03_Withdrawals!A177="","",Agent03_Withdrawals!F177)</f>
        <v/>
      </c>
      <c r="G570" s="42" t="str">
        <f>IF(Agent03_Withdrawals!A177="","",Agent03_Withdrawals!E177)</f>
        <v/>
      </c>
      <c r="H570" s="42" t="str">
        <f>IF(Agent03_Withdrawals!A177="","",Agent03_Withdrawals!G177)</f>
        <v/>
      </c>
      <c r="I570" s="40" t="str">
        <f>IF(Agent03_Withdrawals!A177="","",Agent03_Withdrawals!H177)</f>
        <v/>
      </c>
      <c r="J570" s="40" t="str">
        <f>IF(Agent03_Withdrawals!A177="","",Agent03_Withdrawals!J177)</f>
        <v/>
      </c>
      <c r="K570" s="40" t="str">
        <f>IF(Agent03_Withdrawals!A177="","",Agent03_Withdrawals!K177)</f>
        <v/>
      </c>
      <c r="L570" s="40" t="str">
        <f>IF(G570="","",IF(D570-G570&gt;=System_Config!$B$9,"✅ OK","⚠️ BREACH"))</f>
        <v/>
      </c>
      <c r="M570" s="40" t="str">
        <f>IFERROR(IF(Agent03_Withdrawals!A177="","",YEAR(Agent03_Withdrawals!D177)),"")</f>
        <v/>
      </c>
    </row>
    <row r="571" spans="1:13" ht="18" customHeight="1" x14ac:dyDescent="0.25">
      <c r="A571" s="40" t="str">
        <f>IF(Agent03_Withdrawals!A178="","",Agent03_Withdrawals!A178)</f>
        <v/>
      </c>
      <c r="B571" s="40" t="str">
        <f ca="1">IF(Agent03_Withdrawals!A178="","","WD"&amp;TEXT(571-3,"0000")&amp;"-"&amp;TEXT(TODAY(),"YYYYMMDD"))</f>
        <v/>
      </c>
      <c r="C571" s="40" t="str">
        <f>IF(Agent03_Withdrawals!A178="","",Agent03_Withdrawals!B178)</f>
        <v/>
      </c>
      <c r="D571" s="43" t="str">
        <f>IF(Agent03_Withdrawals!A178="","",Agent03_Withdrawals!C178)</f>
        <v/>
      </c>
      <c r="E571" s="41" t="str">
        <f>IF(Agent03_Withdrawals!A178="","",Agent03_Withdrawals!D178)</f>
        <v/>
      </c>
      <c r="F571" s="40" t="str">
        <f>IF(Agent03_Withdrawals!A178="","",Agent03_Withdrawals!F178)</f>
        <v/>
      </c>
      <c r="G571" s="42" t="str">
        <f>IF(Agent03_Withdrawals!A178="","",Agent03_Withdrawals!E178)</f>
        <v/>
      </c>
      <c r="H571" s="42" t="str">
        <f>IF(Agent03_Withdrawals!A178="","",Agent03_Withdrawals!G178)</f>
        <v/>
      </c>
      <c r="I571" s="40" t="str">
        <f>IF(Agent03_Withdrawals!A178="","",Agent03_Withdrawals!H178)</f>
        <v/>
      </c>
      <c r="J571" s="40" t="str">
        <f>IF(Agent03_Withdrawals!A178="","",Agent03_Withdrawals!J178)</f>
        <v/>
      </c>
      <c r="K571" s="40" t="str">
        <f>IF(Agent03_Withdrawals!A178="","",Agent03_Withdrawals!K178)</f>
        <v/>
      </c>
      <c r="L571" s="40" t="str">
        <f>IF(G571="","",IF(D571-G571&gt;=System_Config!$B$9,"✅ OK","⚠️ BREACH"))</f>
        <v/>
      </c>
      <c r="M571" s="40" t="str">
        <f>IFERROR(IF(Agent03_Withdrawals!A178="","",YEAR(Agent03_Withdrawals!D178)),"")</f>
        <v/>
      </c>
    </row>
    <row r="572" spans="1:13" ht="18" customHeight="1" x14ac:dyDescent="0.25">
      <c r="A572" s="40" t="str">
        <f>IF(Agent03_Withdrawals!A179="","",Agent03_Withdrawals!A179)</f>
        <v/>
      </c>
      <c r="B572" s="40" t="str">
        <f ca="1">IF(Agent03_Withdrawals!A179="","","WD"&amp;TEXT(572-3,"0000")&amp;"-"&amp;TEXT(TODAY(),"YYYYMMDD"))</f>
        <v/>
      </c>
      <c r="C572" s="40" t="str">
        <f>IF(Agent03_Withdrawals!A179="","",Agent03_Withdrawals!B179)</f>
        <v/>
      </c>
      <c r="D572" s="43" t="str">
        <f>IF(Agent03_Withdrawals!A179="","",Agent03_Withdrawals!C179)</f>
        <v/>
      </c>
      <c r="E572" s="41" t="str">
        <f>IF(Agent03_Withdrawals!A179="","",Agent03_Withdrawals!D179)</f>
        <v/>
      </c>
      <c r="F572" s="40" t="str">
        <f>IF(Agent03_Withdrawals!A179="","",Agent03_Withdrawals!F179)</f>
        <v/>
      </c>
      <c r="G572" s="42" t="str">
        <f>IF(Agent03_Withdrawals!A179="","",Agent03_Withdrawals!E179)</f>
        <v/>
      </c>
      <c r="H572" s="42" t="str">
        <f>IF(Agent03_Withdrawals!A179="","",Agent03_Withdrawals!G179)</f>
        <v/>
      </c>
      <c r="I572" s="40" t="str">
        <f>IF(Agent03_Withdrawals!A179="","",Agent03_Withdrawals!H179)</f>
        <v/>
      </c>
      <c r="J572" s="40" t="str">
        <f>IF(Agent03_Withdrawals!A179="","",Agent03_Withdrawals!J179)</f>
        <v/>
      </c>
      <c r="K572" s="40" t="str">
        <f>IF(Agent03_Withdrawals!A179="","",Agent03_Withdrawals!K179)</f>
        <v/>
      </c>
      <c r="L572" s="40" t="str">
        <f>IF(G572="","",IF(D572-G572&gt;=System_Config!$B$9,"✅ OK","⚠️ BREACH"))</f>
        <v/>
      </c>
      <c r="M572" s="40" t="str">
        <f>IFERROR(IF(Agent03_Withdrawals!A179="","",YEAR(Agent03_Withdrawals!D179)),"")</f>
        <v/>
      </c>
    </row>
    <row r="573" spans="1:13" ht="18" customHeight="1" x14ac:dyDescent="0.25">
      <c r="A573" s="40" t="str">
        <f>IF(Agent03_Withdrawals!A180="","",Agent03_Withdrawals!A180)</f>
        <v/>
      </c>
      <c r="B573" s="40" t="str">
        <f ca="1">IF(Agent03_Withdrawals!A180="","","WD"&amp;TEXT(573-3,"0000")&amp;"-"&amp;TEXT(TODAY(),"YYYYMMDD"))</f>
        <v/>
      </c>
      <c r="C573" s="40" t="str">
        <f>IF(Agent03_Withdrawals!A180="","",Agent03_Withdrawals!B180)</f>
        <v/>
      </c>
      <c r="D573" s="43" t="str">
        <f>IF(Agent03_Withdrawals!A180="","",Agent03_Withdrawals!C180)</f>
        <v/>
      </c>
      <c r="E573" s="41" t="str">
        <f>IF(Agent03_Withdrawals!A180="","",Agent03_Withdrawals!D180)</f>
        <v/>
      </c>
      <c r="F573" s="40" t="str">
        <f>IF(Agent03_Withdrawals!A180="","",Agent03_Withdrawals!F180)</f>
        <v/>
      </c>
      <c r="G573" s="42" t="str">
        <f>IF(Agent03_Withdrawals!A180="","",Agent03_Withdrawals!E180)</f>
        <v/>
      </c>
      <c r="H573" s="42" t="str">
        <f>IF(Agent03_Withdrawals!A180="","",Agent03_Withdrawals!G180)</f>
        <v/>
      </c>
      <c r="I573" s="40" t="str">
        <f>IF(Agent03_Withdrawals!A180="","",Agent03_Withdrawals!H180)</f>
        <v/>
      </c>
      <c r="J573" s="40" t="str">
        <f>IF(Agent03_Withdrawals!A180="","",Agent03_Withdrawals!J180)</f>
        <v/>
      </c>
      <c r="K573" s="40" t="str">
        <f>IF(Agent03_Withdrawals!A180="","",Agent03_Withdrawals!K180)</f>
        <v/>
      </c>
      <c r="L573" s="40" t="str">
        <f>IF(G573="","",IF(D573-G573&gt;=System_Config!$B$9,"✅ OK","⚠️ BREACH"))</f>
        <v/>
      </c>
      <c r="M573" s="40" t="str">
        <f>IFERROR(IF(Agent03_Withdrawals!A180="","",YEAR(Agent03_Withdrawals!D180)),"")</f>
        <v/>
      </c>
    </row>
    <row r="574" spans="1:13" ht="18" customHeight="1" x14ac:dyDescent="0.25">
      <c r="A574" s="40" t="str">
        <f>IF(Agent03_Withdrawals!A181="","",Agent03_Withdrawals!A181)</f>
        <v/>
      </c>
      <c r="B574" s="40" t="str">
        <f ca="1">IF(Agent03_Withdrawals!A181="","","WD"&amp;TEXT(574-3,"0000")&amp;"-"&amp;TEXT(TODAY(),"YYYYMMDD"))</f>
        <v/>
      </c>
      <c r="C574" s="40" t="str">
        <f>IF(Agent03_Withdrawals!A181="","",Agent03_Withdrawals!B181)</f>
        <v/>
      </c>
      <c r="D574" s="43" t="str">
        <f>IF(Agent03_Withdrawals!A181="","",Agent03_Withdrawals!C181)</f>
        <v/>
      </c>
      <c r="E574" s="41" t="str">
        <f>IF(Agent03_Withdrawals!A181="","",Agent03_Withdrawals!D181)</f>
        <v/>
      </c>
      <c r="F574" s="40" t="str">
        <f>IF(Agent03_Withdrawals!A181="","",Agent03_Withdrawals!F181)</f>
        <v/>
      </c>
      <c r="G574" s="42" t="str">
        <f>IF(Agent03_Withdrawals!A181="","",Agent03_Withdrawals!E181)</f>
        <v/>
      </c>
      <c r="H574" s="42" t="str">
        <f>IF(Agent03_Withdrawals!A181="","",Agent03_Withdrawals!G181)</f>
        <v/>
      </c>
      <c r="I574" s="40" t="str">
        <f>IF(Agent03_Withdrawals!A181="","",Agent03_Withdrawals!H181)</f>
        <v/>
      </c>
      <c r="J574" s="40" t="str">
        <f>IF(Agent03_Withdrawals!A181="","",Agent03_Withdrawals!J181)</f>
        <v/>
      </c>
      <c r="K574" s="40" t="str">
        <f>IF(Agent03_Withdrawals!A181="","",Agent03_Withdrawals!K181)</f>
        <v/>
      </c>
      <c r="L574" s="40" t="str">
        <f>IF(G574="","",IF(D574-G574&gt;=System_Config!$B$9,"✅ OK","⚠️ BREACH"))</f>
        <v/>
      </c>
      <c r="M574" s="40" t="str">
        <f>IFERROR(IF(Agent03_Withdrawals!A181="","",YEAR(Agent03_Withdrawals!D181)),"")</f>
        <v/>
      </c>
    </row>
    <row r="575" spans="1:13" ht="18" customHeight="1" x14ac:dyDescent="0.25">
      <c r="A575" s="40" t="str">
        <f>IF(Agent03_Withdrawals!A182="","",Agent03_Withdrawals!A182)</f>
        <v/>
      </c>
      <c r="B575" s="40" t="str">
        <f ca="1">IF(Agent03_Withdrawals!A182="","","WD"&amp;TEXT(575-3,"0000")&amp;"-"&amp;TEXT(TODAY(),"YYYYMMDD"))</f>
        <v/>
      </c>
      <c r="C575" s="40" t="str">
        <f>IF(Agent03_Withdrawals!A182="","",Agent03_Withdrawals!B182)</f>
        <v/>
      </c>
      <c r="D575" s="43" t="str">
        <f>IF(Agent03_Withdrawals!A182="","",Agent03_Withdrawals!C182)</f>
        <v/>
      </c>
      <c r="E575" s="41" t="str">
        <f>IF(Agent03_Withdrawals!A182="","",Agent03_Withdrawals!D182)</f>
        <v/>
      </c>
      <c r="F575" s="40" t="str">
        <f>IF(Agent03_Withdrawals!A182="","",Agent03_Withdrawals!F182)</f>
        <v/>
      </c>
      <c r="G575" s="42" t="str">
        <f>IF(Agent03_Withdrawals!A182="","",Agent03_Withdrawals!E182)</f>
        <v/>
      </c>
      <c r="H575" s="42" t="str">
        <f>IF(Agent03_Withdrawals!A182="","",Agent03_Withdrawals!G182)</f>
        <v/>
      </c>
      <c r="I575" s="40" t="str">
        <f>IF(Agent03_Withdrawals!A182="","",Agent03_Withdrawals!H182)</f>
        <v/>
      </c>
      <c r="J575" s="40" t="str">
        <f>IF(Agent03_Withdrawals!A182="","",Agent03_Withdrawals!J182)</f>
        <v/>
      </c>
      <c r="K575" s="40" t="str">
        <f>IF(Agent03_Withdrawals!A182="","",Agent03_Withdrawals!K182)</f>
        <v/>
      </c>
      <c r="L575" s="40" t="str">
        <f>IF(G575="","",IF(D575-G575&gt;=System_Config!$B$9,"✅ OK","⚠️ BREACH"))</f>
        <v/>
      </c>
      <c r="M575" s="40" t="str">
        <f>IFERROR(IF(Agent03_Withdrawals!A182="","",YEAR(Agent03_Withdrawals!D182)),"")</f>
        <v/>
      </c>
    </row>
    <row r="576" spans="1:13" ht="18" customHeight="1" x14ac:dyDescent="0.25">
      <c r="A576" s="40" t="str">
        <f>IF(Agent03_Withdrawals!A183="","",Agent03_Withdrawals!A183)</f>
        <v/>
      </c>
      <c r="B576" s="40" t="str">
        <f ca="1">IF(Agent03_Withdrawals!A183="","","WD"&amp;TEXT(576-3,"0000")&amp;"-"&amp;TEXT(TODAY(),"YYYYMMDD"))</f>
        <v/>
      </c>
      <c r="C576" s="40" t="str">
        <f>IF(Agent03_Withdrawals!A183="","",Agent03_Withdrawals!B183)</f>
        <v/>
      </c>
      <c r="D576" s="43" t="str">
        <f>IF(Agent03_Withdrawals!A183="","",Agent03_Withdrawals!C183)</f>
        <v/>
      </c>
      <c r="E576" s="41" t="str">
        <f>IF(Agent03_Withdrawals!A183="","",Agent03_Withdrawals!D183)</f>
        <v/>
      </c>
      <c r="F576" s="40" t="str">
        <f>IF(Agent03_Withdrawals!A183="","",Agent03_Withdrawals!F183)</f>
        <v/>
      </c>
      <c r="G576" s="42" t="str">
        <f>IF(Agent03_Withdrawals!A183="","",Agent03_Withdrawals!E183)</f>
        <v/>
      </c>
      <c r="H576" s="42" t="str">
        <f>IF(Agent03_Withdrawals!A183="","",Agent03_Withdrawals!G183)</f>
        <v/>
      </c>
      <c r="I576" s="40" t="str">
        <f>IF(Agent03_Withdrawals!A183="","",Agent03_Withdrawals!H183)</f>
        <v/>
      </c>
      <c r="J576" s="40" t="str">
        <f>IF(Agent03_Withdrawals!A183="","",Agent03_Withdrawals!J183)</f>
        <v/>
      </c>
      <c r="K576" s="40" t="str">
        <f>IF(Agent03_Withdrawals!A183="","",Agent03_Withdrawals!K183)</f>
        <v/>
      </c>
      <c r="L576" s="40" t="str">
        <f>IF(G576="","",IF(D576-G576&gt;=System_Config!$B$9,"✅ OK","⚠️ BREACH"))</f>
        <v/>
      </c>
      <c r="M576" s="40" t="str">
        <f>IFERROR(IF(Agent03_Withdrawals!A183="","",YEAR(Agent03_Withdrawals!D183)),"")</f>
        <v/>
      </c>
    </row>
    <row r="577" spans="1:13" ht="18" customHeight="1" x14ac:dyDescent="0.25">
      <c r="A577" s="40" t="str">
        <f>IF(Agent03_Withdrawals!A184="","",Agent03_Withdrawals!A184)</f>
        <v/>
      </c>
      <c r="B577" s="40" t="str">
        <f ca="1">IF(Agent03_Withdrawals!A184="","","WD"&amp;TEXT(577-3,"0000")&amp;"-"&amp;TEXT(TODAY(),"YYYYMMDD"))</f>
        <v/>
      </c>
      <c r="C577" s="40" t="str">
        <f>IF(Agent03_Withdrawals!A184="","",Agent03_Withdrawals!B184)</f>
        <v/>
      </c>
      <c r="D577" s="43" t="str">
        <f>IF(Agent03_Withdrawals!A184="","",Agent03_Withdrawals!C184)</f>
        <v/>
      </c>
      <c r="E577" s="41" t="str">
        <f>IF(Agent03_Withdrawals!A184="","",Agent03_Withdrawals!D184)</f>
        <v/>
      </c>
      <c r="F577" s="40" t="str">
        <f>IF(Agent03_Withdrawals!A184="","",Agent03_Withdrawals!F184)</f>
        <v/>
      </c>
      <c r="G577" s="42" t="str">
        <f>IF(Agent03_Withdrawals!A184="","",Agent03_Withdrawals!E184)</f>
        <v/>
      </c>
      <c r="H577" s="42" t="str">
        <f>IF(Agent03_Withdrawals!A184="","",Agent03_Withdrawals!G184)</f>
        <v/>
      </c>
      <c r="I577" s="40" t="str">
        <f>IF(Agent03_Withdrawals!A184="","",Agent03_Withdrawals!H184)</f>
        <v/>
      </c>
      <c r="J577" s="40" t="str">
        <f>IF(Agent03_Withdrawals!A184="","",Agent03_Withdrawals!J184)</f>
        <v/>
      </c>
      <c r="K577" s="40" t="str">
        <f>IF(Agent03_Withdrawals!A184="","",Agent03_Withdrawals!K184)</f>
        <v/>
      </c>
      <c r="L577" s="40" t="str">
        <f>IF(G577="","",IF(D577-G577&gt;=System_Config!$B$9,"✅ OK","⚠️ BREACH"))</f>
        <v/>
      </c>
      <c r="M577" s="40" t="str">
        <f>IFERROR(IF(Agent03_Withdrawals!A184="","",YEAR(Agent03_Withdrawals!D184)),"")</f>
        <v/>
      </c>
    </row>
    <row r="578" spans="1:13" ht="18" customHeight="1" x14ac:dyDescent="0.25">
      <c r="A578" s="40" t="str">
        <f>IF(Agent03_Withdrawals!A185="","",Agent03_Withdrawals!A185)</f>
        <v/>
      </c>
      <c r="B578" s="40" t="str">
        <f ca="1">IF(Agent03_Withdrawals!A185="","","WD"&amp;TEXT(578-3,"0000")&amp;"-"&amp;TEXT(TODAY(),"YYYYMMDD"))</f>
        <v/>
      </c>
      <c r="C578" s="40" t="str">
        <f>IF(Agent03_Withdrawals!A185="","",Agent03_Withdrawals!B185)</f>
        <v/>
      </c>
      <c r="D578" s="43" t="str">
        <f>IF(Agent03_Withdrawals!A185="","",Agent03_Withdrawals!C185)</f>
        <v/>
      </c>
      <c r="E578" s="41" t="str">
        <f>IF(Agent03_Withdrawals!A185="","",Agent03_Withdrawals!D185)</f>
        <v/>
      </c>
      <c r="F578" s="40" t="str">
        <f>IF(Agent03_Withdrawals!A185="","",Agent03_Withdrawals!F185)</f>
        <v/>
      </c>
      <c r="G578" s="42" t="str">
        <f>IF(Agent03_Withdrawals!A185="","",Agent03_Withdrawals!E185)</f>
        <v/>
      </c>
      <c r="H578" s="42" t="str">
        <f>IF(Agent03_Withdrawals!A185="","",Agent03_Withdrawals!G185)</f>
        <v/>
      </c>
      <c r="I578" s="40" t="str">
        <f>IF(Agent03_Withdrawals!A185="","",Agent03_Withdrawals!H185)</f>
        <v/>
      </c>
      <c r="J578" s="40" t="str">
        <f>IF(Agent03_Withdrawals!A185="","",Agent03_Withdrawals!J185)</f>
        <v/>
      </c>
      <c r="K578" s="40" t="str">
        <f>IF(Agent03_Withdrawals!A185="","",Agent03_Withdrawals!K185)</f>
        <v/>
      </c>
      <c r="L578" s="40" t="str">
        <f>IF(G578="","",IF(D578-G578&gt;=System_Config!$B$9,"✅ OK","⚠️ BREACH"))</f>
        <v/>
      </c>
      <c r="M578" s="40" t="str">
        <f>IFERROR(IF(Agent03_Withdrawals!A185="","",YEAR(Agent03_Withdrawals!D185)),"")</f>
        <v/>
      </c>
    </row>
    <row r="579" spans="1:13" ht="18" customHeight="1" x14ac:dyDescent="0.25">
      <c r="A579" s="40" t="str">
        <f>IF(Agent03_Withdrawals!A186="","",Agent03_Withdrawals!A186)</f>
        <v/>
      </c>
      <c r="B579" s="40" t="str">
        <f ca="1">IF(Agent03_Withdrawals!A186="","","WD"&amp;TEXT(579-3,"0000")&amp;"-"&amp;TEXT(TODAY(),"YYYYMMDD"))</f>
        <v/>
      </c>
      <c r="C579" s="40" t="str">
        <f>IF(Agent03_Withdrawals!A186="","",Agent03_Withdrawals!B186)</f>
        <v/>
      </c>
      <c r="D579" s="43" t="str">
        <f>IF(Agent03_Withdrawals!A186="","",Agent03_Withdrawals!C186)</f>
        <v/>
      </c>
      <c r="E579" s="41" t="str">
        <f>IF(Agent03_Withdrawals!A186="","",Agent03_Withdrawals!D186)</f>
        <v/>
      </c>
      <c r="F579" s="40" t="str">
        <f>IF(Agent03_Withdrawals!A186="","",Agent03_Withdrawals!F186)</f>
        <v/>
      </c>
      <c r="G579" s="42" t="str">
        <f>IF(Agent03_Withdrawals!A186="","",Agent03_Withdrawals!E186)</f>
        <v/>
      </c>
      <c r="H579" s="42" t="str">
        <f>IF(Agent03_Withdrawals!A186="","",Agent03_Withdrawals!G186)</f>
        <v/>
      </c>
      <c r="I579" s="40" t="str">
        <f>IF(Agent03_Withdrawals!A186="","",Agent03_Withdrawals!H186)</f>
        <v/>
      </c>
      <c r="J579" s="40" t="str">
        <f>IF(Agent03_Withdrawals!A186="","",Agent03_Withdrawals!J186)</f>
        <v/>
      </c>
      <c r="K579" s="40" t="str">
        <f>IF(Agent03_Withdrawals!A186="","",Agent03_Withdrawals!K186)</f>
        <v/>
      </c>
      <c r="L579" s="40" t="str">
        <f>IF(G579="","",IF(D579-G579&gt;=System_Config!$B$9,"✅ OK","⚠️ BREACH"))</f>
        <v/>
      </c>
      <c r="M579" s="40" t="str">
        <f>IFERROR(IF(Agent03_Withdrawals!A186="","",YEAR(Agent03_Withdrawals!D186)),"")</f>
        <v/>
      </c>
    </row>
    <row r="580" spans="1:13" ht="18" customHeight="1" x14ac:dyDescent="0.25">
      <c r="A580" s="40" t="str">
        <f>IF(Agent03_Withdrawals!A187="","",Agent03_Withdrawals!A187)</f>
        <v/>
      </c>
      <c r="B580" s="40" t="str">
        <f ca="1">IF(Agent03_Withdrawals!A187="","","WD"&amp;TEXT(580-3,"0000")&amp;"-"&amp;TEXT(TODAY(),"YYYYMMDD"))</f>
        <v/>
      </c>
      <c r="C580" s="40" t="str">
        <f>IF(Agent03_Withdrawals!A187="","",Agent03_Withdrawals!B187)</f>
        <v/>
      </c>
      <c r="D580" s="43" t="str">
        <f>IF(Agent03_Withdrawals!A187="","",Agent03_Withdrawals!C187)</f>
        <v/>
      </c>
      <c r="E580" s="41" t="str">
        <f>IF(Agent03_Withdrawals!A187="","",Agent03_Withdrawals!D187)</f>
        <v/>
      </c>
      <c r="F580" s="40" t="str">
        <f>IF(Agent03_Withdrawals!A187="","",Agent03_Withdrawals!F187)</f>
        <v/>
      </c>
      <c r="G580" s="42" t="str">
        <f>IF(Agent03_Withdrawals!A187="","",Agent03_Withdrawals!E187)</f>
        <v/>
      </c>
      <c r="H580" s="42" t="str">
        <f>IF(Agent03_Withdrawals!A187="","",Agent03_Withdrawals!G187)</f>
        <v/>
      </c>
      <c r="I580" s="40" t="str">
        <f>IF(Agent03_Withdrawals!A187="","",Agent03_Withdrawals!H187)</f>
        <v/>
      </c>
      <c r="J580" s="40" t="str">
        <f>IF(Agent03_Withdrawals!A187="","",Agent03_Withdrawals!J187)</f>
        <v/>
      </c>
      <c r="K580" s="40" t="str">
        <f>IF(Agent03_Withdrawals!A187="","",Agent03_Withdrawals!K187)</f>
        <v/>
      </c>
      <c r="L580" s="40" t="str">
        <f>IF(G580="","",IF(D580-G580&gt;=System_Config!$B$9,"✅ OK","⚠️ BREACH"))</f>
        <v/>
      </c>
      <c r="M580" s="40" t="str">
        <f>IFERROR(IF(Agent03_Withdrawals!A187="","",YEAR(Agent03_Withdrawals!D187)),"")</f>
        <v/>
      </c>
    </row>
    <row r="581" spans="1:13" ht="18" customHeight="1" x14ac:dyDescent="0.25">
      <c r="A581" s="40" t="str">
        <f>IF(Agent03_Withdrawals!A188="","",Agent03_Withdrawals!A188)</f>
        <v/>
      </c>
      <c r="B581" s="40" t="str">
        <f ca="1">IF(Agent03_Withdrawals!A188="","","WD"&amp;TEXT(581-3,"0000")&amp;"-"&amp;TEXT(TODAY(),"YYYYMMDD"))</f>
        <v/>
      </c>
      <c r="C581" s="40" t="str">
        <f>IF(Agent03_Withdrawals!A188="","",Agent03_Withdrawals!B188)</f>
        <v/>
      </c>
      <c r="D581" s="43" t="str">
        <f>IF(Agent03_Withdrawals!A188="","",Agent03_Withdrawals!C188)</f>
        <v/>
      </c>
      <c r="E581" s="41" t="str">
        <f>IF(Agent03_Withdrawals!A188="","",Agent03_Withdrawals!D188)</f>
        <v/>
      </c>
      <c r="F581" s="40" t="str">
        <f>IF(Agent03_Withdrawals!A188="","",Agent03_Withdrawals!F188)</f>
        <v/>
      </c>
      <c r="G581" s="42" t="str">
        <f>IF(Agent03_Withdrawals!A188="","",Agent03_Withdrawals!E188)</f>
        <v/>
      </c>
      <c r="H581" s="42" t="str">
        <f>IF(Agent03_Withdrawals!A188="","",Agent03_Withdrawals!G188)</f>
        <v/>
      </c>
      <c r="I581" s="40" t="str">
        <f>IF(Agent03_Withdrawals!A188="","",Agent03_Withdrawals!H188)</f>
        <v/>
      </c>
      <c r="J581" s="40" t="str">
        <f>IF(Agent03_Withdrawals!A188="","",Agent03_Withdrawals!J188)</f>
        <v/>
      </c>
      <c r="K581" s="40" t="str">
        <f>IF(Agent03_Withdrawals!A188="","",Agent03_Withdrawals!K188)</f>
        <v/>
      </c>
      <c r="L581" s="40" t="str">
        <f>IF(G581="","",IF(D581-G581&gt;=System_Config!$B$9,"✅ OK","⚠️ BREACH"))</f>
        <v/>
      </c>
      <c r="M581" s="40" t="str">
        <f>IFERROR(IF(Agent03_Withdrawals!A188="","",YEAR(Agent03_Withdrawals!D188)),"")</f>
        <v/>
      </c>
    </row>
    <row r="582" spans="1:13" ht="18" customHeight="1" x14ac:dyDescent="0.25">
      <c r="A582" s="40" t="str">
        <f>IF(Agent03_Withdrawals!A189="","",Agent03_Withdrawals!A189)</f>
        <v/>
      </c>
      <c r="B582" s="40" t="str">
        <f ca="1">IF(Agent03_Withdrawals!A189="","","WD"&amp;TEXT(582-3,"0000")&amp;"-"&amp;TEXT(TODAY(),"YYYYMMDD"))</f>
        <v/>
      </c>
      <c r="C582" s="40" t="str">
        <f>IF(Agent03_Withdrawals!A189="","",Agent03_Withdrawals!B189)</f>
        <v/>
      </c>
      <c r="D582" s="43" t="str">
        <f>IF(Agent03_Withdrawals!A189="","",Agent03_Withdrawals!C189)</f>
        <v/>
      </c>
      <c r="E582" s="41" t="str">
        <f>IF(Agent03_Withdrawals!A189="","",Agent03_Withdrawals!D189)</f>
        <v/>
      </c>
      <c r="F582" s="40" t="str">
        <f>IF(Agent03_Withdrawals!A189="","",Agent03_Withdrawals!F189)</f>
        <v/>
      </c>
      <c r="G582" s="42" t="str">
        <f>IF(Agent03_Withdrawals!A189="","",Agent03_Withdrawals!E189)</f>
        <v/>
      </c>
      <c r="H582" s="42" t="str">
        <f>IF(Agent03_Withdrawals!A189="","",Agent03_Withdrawals!G189)</f>
        <v/>
      </c>
      <c r="I582" s="40" t="str">
        <f>IF(Agent03_Withdrawals!A189="","",Agent03_Withdrawals!H189)</f>
        <v/>
      </c>
      <c r="J582" s="40" t="str">
        <f>IF(Agent03_Withdrawals!A189="","",Agent03_Withdrawals!J189)</f>
        <v/>
      </c>
      <c r="K582" s="40" t="str">
        <f>IF(Agent03_Withdrawals!A189="","",Agent03_Withdrawals!K189)</f>
        <v/>
      </c>
      <c r="L582" s="40" t="str">
        <f>IF(G582="","",IF(D582-G582&gt;=System_Config!$B$9,"✅ OK","⚠️ BREACH"))</f>
        <v/>
      </c>
      <c r="M582" s="40" t="str">
        <f>IFERROR(IF(Agent03_Withdrawals!A189="","",YEAR(Agent03_Withdrawals!D189)),"")</f>
        <v/>
      </c>
    </row>
    <row r="583" spans="1:13" ht="18" customHeight="1" x14ac:dyDescent="0.25">
      <c r="A583" s="40" t="str">
        <f>IF(Agent03_Withdrawals!A190="","",Agent03_Withdrawals!A190)</f>
        <v/>
      </c>
      <c r="B583" s="40" t="str">
        <f ca="1">IF(Agent03_Withdrawals!A190="","","WD"&amp;TEXT(583-3,"0000")&amp;"-"&amp;TEXT(TODAY(),"YYYYMMDD"))</f>
        <v/>
      </c>
      <c r="C583" s="40" t="str">
        <f>IF(Agent03_Withdrawals!A190="","",Agent03_Withdrawals!B190)</f>
        <v/>
      </c>
      <c r="D583" s="43" t="str">
        <f>IF(Agent03_Withdrawals!A190="","",Agent03_Withdrawals!C190)</f>
        <v/>
      </c>
      <c r="E583" s="41" t="str">
        <f>IF(Agent03_Withdrawals!A190="","",Agent03_Withdrawals!D190)</f>
        <v/>
      </c>
      <c r="F583" s="40" t="str">
        <f>IF(Agent03_Withdrawals!A190="","",Agent03_Withdrawals!F190)</f>
        <v/>
      </c>
      <c r="G583" s="42" t="str">
        <f>IF(Agent03_Withdrawals!A190="","",Agent03_Withdrawals!E190)</f>
        <v/>
      </c>
      <c r="H583" s="42" t="str">
        <f>IF(Agent03_Withdrawals!A190="","",Agent03_Withdrawals!G190)</f>
        <v/>
      </c>
      <c r="I583" s="40" t="str">
        <f>IF(Agent03_Withdrawals!A190="","",Agent03_Withdrawals!H190)</f>
        <v/>
      </c>
      <c r="J583" s="40" t="str">
        <f>IF(Agent03_Withdrawals!A190="","",Agent03_Withdrawals!J190)</f>
        <v/>
      </c>
      <c r="K583" s="40" t="str">
        <f>IF(Agent03_Withdrawals!A190="","",Agent03_Withdrawals!K190)</f>
        <v/>
      </c>
      <c r="L583" s="40" t="str">
        <f>IF(G583="","",IF(D583-G583&gt;=System_Config!$B$9,"✅ OK","⚠️ BREACH"))</f>
        <v/>
      </c>
      <c r="M583" s="40" t="str">
        <f>IFERROR(IF(Agent03_Withdrawals!A190="","",YEAR(Agent03_Withdrawals!D190)),"")</f>
        <v/>
      </c>
    </row>
    <row r="584" spans="1:13" ht="18" customHeight="1" x14ac:dyDescent="0.25">
      <c r="A584" s="40" t="str">
        <f>IF(Agent03_Withdrawals!A191="","",Agent03_Withdrawals!A191)</f>
        <v/>
      </c>
      <c r="B584" s="40" t="str">
        <f ca="1">IF(Agent03_Withdrawals!A191="","","WD"&amp;TEXT(584-3,"0000")&amp;"-"&amp;TEXT(TODAY(),"YYYYMMDD"))</f>
        <v/>
      </c>
      <c r="C584" s="40" t="str">
        <f>IF(Agent03_Withdrawals!A191="","",Agent03_Withdrawals!B191)</f>
        <v/>
      </c>
      <c r="D584" s="43" t="str">
        <f>IF(Agent03_Withdrawals!A191="","",Agent03_Withdrawals!C191)</f>
        <v/>
      </c>
      <c r="E584" s="41" t="str">
        <f>IF(Agent03_Withdrawals!A191="","",Agent03_Withdrawals!D191)</f>
        <v/>
      </c>
      <c r="F584" s="40" t="str">
        <f>IF(Agent03_Withdrawals!A191="","",Agent03_Withdrawals!F191)</f>
        <v/>
      </c>
      <c r="G584" s="42" t="str">
        <f>IF(Agent03_Withdrawals!A191="","",Agent03_Withdrawals!E191)</f>
        <v/>
      </c>
      <c r="H584" s="42" t="str">
        <f>IF(Agent03_Withdrawals!A191="","",Agent03_Withdrawals!G191)</f>
        <v/>
      </c>
      <c r="I584" s="40" t="str">
        <f>IF(Agent03_Withdrawals!A191="","",Agent03_Withdrawals!H191)</f>
        <v/>
      </c>
      <c r="J584" s="40" t="str">
        <f>IF(Agent03_Withdrawals!A191="","",Agent03_Withdrawals!J191)</f>
        <v/>
      </c>
      <c r="K584" s="40" t="str">
        <f>IF(Agent03_Withdrawals!A191="","",Agent03_Withdrawals!K191)</f>
        <v/>
      </c>
      <c r="L584" s="40" t="str">
        <f>IF(G584="","",IF(D584-G584&gt;=System_Config!$B$9,"✅ OK","⚠️ BREACH"))</f>
        <v/>
      </c>
      <c r="M584" s="40" t="str">
        <f>IFERROR(IF(Agent03_Withdrawals!A191="","",YEAR(Agent03_Withdrawals!D191)),"")</f>
        <v/>
      </c>
    </row>
    <row r="585" spans="1:13" ht="18" customHeight="1" x14ac:dyDescent="0.25">
      <c r="A585" s="40" t="str">
        <f>IF(Agent03_Withdrawals!A192="","",Agent03_Withdrawals!A192)</f>
        <v/>
      </c>
      <c r="B585" s="40" t="str">
        <f ca="1">IF(Agent03_Withdrawals!A192="","","WD"&amp;TEXT(585-3,"0000")&amp;"-"&amp;TEXT(TODAY(),"YYYYMMDD"))</f>
        <v/>
      </c>
      <c r="C585" s="40" t="str">
        <f>IF(Agent03_Withdrawals!A192="","",Agent03_Withdrawals!B192)</f>
        <v/>
      </c>
      <c r="D585" s="43" t="str">
        <f>IF(Agent03_Withdrawals!A192="","",Agent03_Withdrawals!C192)</f>
        <v/>
      </c>
      <c r="E585" s="41" t="str">
        <f>IF(Agent03_Withdrawals!A192="","",Agent03_Withdrawals!D192)</f>
        <v/>
      </c>
      <c r="F585" s="40" t="str">
        <f>IF(Agent03_Withdrawals!A192="","",Agent03_Withdrawals!F192)</f>
        <v/>
      </c>
      <c r="G585" s="42" t="str">
        <f>IF(Agent03_Withdrawals!A192="","",Agent03_Withdrawals!E192)</f>
        <v/>
      </c>
      <c r="H585" s="42" t="str">
        <f>IF(Agent03_Withdrawals!A192="","",Agent03_Withdrawals!G192)</f>
        <v/>
      </c>
      <c r="I585" s="40" t="str">
        <f>IF(Agent03_Withdrawals!A192="","",Agent03_Withdrawals!H192)</f>
        <v/>
      </c>
      <c r="J585" s="40" t="str">
        <f>IF(Agent03_Withdrawals!A192="","",Agent03_Withdrawals!J192)</f>
        <v/>
      </c>
      <c r="K585" s="40" t="str">
        <f>IF(Agent03_Withdrawals!A192="","",Agent03_Withdrawals!K192)</f>
        <v/>
      </c>
      <c r="L585" s="40" t="str">
        <f>IF(G585="","",IF(D585-G585&gt;=System_Config!$B$9,"✅ OK","⚠️ BREACH"))</f>
        <v/>
      </c>
      <c r="M585" s="40" t="str">
        <f>IFERROR(IF(Agent03_Withdrawals!A192="","",YEAR(Agent03_Withdrawals!D192)),"")</f>
        <v/>
      </c>
    </row>
    <row r="586" spans="1:13" ht="18" customHeight="1" x14ac:dyDescent="0.25">
      <c r="A586" s="40" t="str">
        <f>IF(Agent03_Withdrawals!A193="","",Agent03_Withdrawals!A193)</f>
        <v/>
      </c>
      <c r="B586" s="40" t="str">
        <f ca="1">IF(Agent03_Withdrawals!A193="","","WD"&amp;TEXT(586-3,"0000")&amp;"-"&amp;TEXT(TODAY(),"YYYYMMDD"))</f>
        <v/>
      </c>
      <c r="C586" s="40" t="str">
        <f>IF(Agent03_Withdrawals!A193="","",Agent03_Withdrawals!B193)</f>
        <v/>
      </c>
      <c r="D586" s="43" t="str">
        <f>IF(Agent03_Withdrawals!A193="","",Agent03_Withdrawals!C193)</f>
        <v/>
      </c>
      <c r="E586" s="41" t="str">
        <f>IF(Agent03_Withdrawals!A193="","",Agent03_Withdrawals!D193)</f>
        <v/>
      </c>
      <c r="F586" s="40" t="str">
        <f>IF(Agent03_Withdrawals!A193="","",Agent03_Withdrawals!F193)</f>
        <v/>
      </c>
      <c r="G586" s="42" t="str">
        <f>IF(Agent03_Withdrawals!A193="","",Agent03_Withdrawals!E193)</f>
        <v/>
      </c>
      <c r="H586" s="42" t="str">
        <f>IF(Agent03_Withdrawals!A193="","",Agent03_Withdrawals!G193)</f>
        <v/>
      </c>
      <c r="I586" s="40" t="str">
        <f>IF(Agent03_Withdrawals!A193="","",Agent03_Withdrawals!H193)</f>
        <v/>
      </c>
      <c r="J586" s="40" t="str">
        <f>IF(Agent03_Withdrawals!A193="","",Agent03_Withdrawals!J193)</f>
        <v/>
      </c>
      <c r="K586" s="40" t="str">
        <f>IF(Agent03_Withdrawals!A193="","",Agent03_Withdrawals!K193)</f>
        <v/>
      </c>
      <c r="L586" s="40" t="str">
        <f>IF(G586="","",IF(D586-G586&gt;=System_Config!$B$9,"✅ OK","⚠️ BREACH"))</f>
        <v/>
      </c>
      <c r="M586" s="40" t="str">
        <f>IFERROR(IF(Agent03_Withdrawals!A193="","",YEAR(Agent03_Withdrawals!D193)),"")</f>
        <v/>
      </c>
    </row>
    <row r="587" spans="1:13" ht="18" customHeight="1" x14ac:dyDescent="0.25">
      <c r="A587" s="40" t="str">
        <f>IF(Agent03_Withdrawals!A194="","",Agent03_Withdrawals!A194)</f>
        <v/>
      </c>
      <c r="B587" s="40" t="str">
        <f ca="1">IF(Agent03_Withdrawals!A194="","","WD"&amp;TEXT(587-3,"0000")&amp;"-"&amp;TEXT(TODAY(),"YYYYMMDD"))</f>
        <v/>
      </c>
      <c r="C587" s="40" t="str">
        <f>IF(Agent03_Withdrawals!A194="","",Agent03_Withdrawals!B194)</f>
        <v/>
      </c>
      <c r="D587" s="43" t="str">
        <f>IF(Agent03_Withdrawals!A194="","",Agent03_Withdrawals!C194)</f>
        <v/>
      </c>
      <c r="E587" s="41" t="str">
        <f>IF(Agent03_Withdrawals!A194="","",Agent03_Withdrawals!D194)</f>
        <v/>
      </c>
      <c r="F587" s="40" t="str">
        <f>IF(Agent03_Withdrawals!A194="","",Agent03_Withdrawals!F194)</f>
        <v/>
      </c>
      <c r="G587" s="42" t="str">
        <f>IF(Agent03_Withdrawals!A194="","",Agent03_Withdrawals!E194)</f>
        <v/>
      </c>
      <c r="H587" s="42" t="str">
        <f>IF(Agent03_Withdrawals!A194="","",Agent03_Withdrawals!G194)</f>
        <v/>
      </c>
      <c r="I587" s="40" t="str">
        <f>IF(Agent03_Withdrawals!A194="","",Agent03_Withdrawals!H194)</f>
        <v/>
      </c>
      <c r="J587" s="40" t="str">
        <f>IF(Agent03_Withdrawals!A194="","",Agent03_Withdrawals!J194)</f>
        <v/>
      </c>
      <c r="K587" s="40" t="str">
        <f>IF(Agent03_Withdrawals!A194="","",Agent03_Withdrawals!K194)</f>
        <v/>
      </c>
      <c r="L587" s="40" t="str">
        <f>IF(G587="","",IF(D587-G587&gt;=System_Config!$B$9,"✅ OK","⚠️ BREACH"))</f>
        <v/>
      </c>
      <c r="M587" s="40" t="str">
        <f>IFERROR(IF(Agent03_Withdrawals!A194="","",YEAR(Agent03_Withdrawals!D194)),"")</f>
        <v/>
      </c>
    </row>
    <row r="588" spans="1:13" ht="18" customHeight="1" x14ac:dyDescent="0.25">
      <c r="A588" s="40" t="str">
        <f>IF(Agent03_Withdrawals!A195="","",Agent03_Withdrawals!A195)</f>
        <v/>
      </c>
      <c r="B588" s="40" t="str">
        <f ca="1">IF(Agent03_Withdrawals!A195="","","WD"&amp;TEXT(588-3,"0000")&amp;"-"&amp;TEXT(TODAY(),"YYYYMMDD"))</f>
        <v/>
      </c>
      <c r="C588" s="40" t="str">
        <f>IF(Agent03_Withdrawals!A195="","",Agent03_Withdrawals!B195)</f>
        <v/>
      </c>
      <c r="D588" s="43" t="str">
        <f>IF(Agent03_Withdrawals!A195="","",Agent03_Withdrawals!C195)</f>
        <v/>
      </c>
      <c r="E588" s="41" t="str">
        <f>IF(Agent03_Withdrawals!A195="","",Agent03_Withdrawals!D195)</f>
        <v/>
      </c>
      <c r="F588" s="40" t="str">
        <f>IF(Agent03_Withdrawals!A195="","",Agent03_Withdrawals!F195)</f>
        <v/>
      </c>
      <c r="G588" s="42" t="str">
        <f>IF(Agent03_Withdrawals!A195="","",Agent03_Withdrawals!E195)</f>
        <v/>
      </c>
      <c r="H588" s="42" t="str">
        <f>IF(Agent03_Withdrawals!A195="","",Agent03_Withdrawals!G195)</f>
        <v/>
      </c>
      <c r="I588" s="40" t="str">
        <f>IF(Agent03_Withdrawals!A195="","",Agent03_Withdrawals!H195)</f>
        <v/>
      </c>
      <c r="J588" s="40" t="str">
        <f>IF(Agent03_Withdrawals!A195="","",Agent03_Withdrawals!J195)</f>
        <v/>
      </c>
      <c r="K588" s="40" t="str">
        <f>IF(Agent03_Withdrawals!A195="","",Agent03_Withdrawals!K195)</f>
        <v/>
      </c>
      <c r="L588" s="40" t="str">
        <f>IF(G588="","",IF(D588-G588&gt;=System_Config!$B$9,"✅ OK","⚠️ BREACH"))</f>
        <v/>
      </c>
      <c r="M588" s="40" t="str">
        <f>IFERROR(IF(Agent03_Withdrawals!A195="","",YEAR(Agent03_Withdrawals!D195)),"")</f>
        <v/>
      </c>
    </row>
    <row r="589" spans="1:13" ht="18" customHeight="1" x14ac:dyDescent="0.25">
      <c r="A589" s="40" t="str">
        <f>IF(Agent03_Withdrawals!A196="","",Agent03_Withdrawals!A196)</f>
        <v/>
      </c>
      <c r="B589" s="40" t="str">
        <f ca="1">IF(Agent03_Withdrawals!A196="","","WD"&amp;TEXT(589-3,"0000")&amp;"-"&amp;TEXT(TODAY(),"YYYYMMDD"))</f>
        <v/>
      </c>
      <c r="C589" s="40" t="str">
        <f>IF(Agent03_Withdrawals!A196="","",Agent03_Withdrawals!B196)</f>
        <v/>
      </c>
      <c r="D589" s="43" t="str">
        <f>IF(Agent03_Withdrawals!A196="","",Agent03_Withdrawals!C196)</f>
        <v/>
      </c>
      <c r="E589" s="41" t="str">
        <f>IF(Agent03_Withdrawals!A196="","",Agent03_Withdrawals!D196)</f>
        <v/>
      </c>
      <c r="F589" s="40" t="str">
        <f>IF(Agent03_Withdrawals!A196="","",Agent03_Withdrawals!F196)</f>
        <v/>
      </c>
      <c r="G589" s="42" t="str">
        <f>IF(Agent03_Withdrawals!A196="","",Agent03_Withdrawals!E196)</f>
        <v/>
      </c>
      <c r="H589" s="42" t="str">
        <f>IF(Agent03_Withdrawals!A196="","",Agent03_Withdrawals!G196)</f>
        <v/>
      </c>
      <c r="I589" s="40" t="str">
        <f>IF(Agent03_Withdrawals!A196="","",Agent03_Withdrawals!H196)</f>
        <v/>
      </c>
      <c r="J589" s="40" t="str">
        <f>IF(Agent03_Withdrawals!A196="","",Agent03_Withdrawals!J196)</f>
        <v/>
      </c>
      <c r="K589" s="40" t="str">
        <f>IF(Agent03_Withdrawals!A196="","",Agent03_Withdrawals!K196)</f>
        <v/>
      </c>
      <c r="L589" s="40" t="str">
        <f>IF(G589="","",IF(D589-G589&gt;=System_Config!$B$9,"✅ OK","⚠️ BREACH"))</f>
        <v/>
      </c>
      <c r="M589" s="40" t="str">
        <f>IFERROR(IF(Agent03_Withdrawals!A196="","",YEAR(Agent03_Withdrawals!D196)),"")</f>
        <v/>
      </c>
    </row>
    <row r="590" spans="1:13" ht="18" customHeight="1" x14ac:dyDescent="0.25">
      <c r="A590" s="40" t="str">
        <f>IF(Agent03_Withdrawals!A197="","",Agent03_Withdrawals!A197)</f>
        <v/>
      </c>
      <c r="B590" s="40" t="str">
        <f ca="1">IF(Agent03_Withdrawals!A197="","","WD"&amp;TEXT(590-3,"0000")&amp;"-"&amp;TEXT(TODAY(),"YYYYMMDD"))</f>
        <v/>
      </c>
      <c r="C590" s="40" t="str">
        <f>IF(Agent03_Withdrawals!A197="","",Agent03_Withdrawals!B197)</f>
        <v/>
      </c>
      <c r="D590" s="43" t="str">
        <f>IF(Agent03_Withdrawals!A197="","",Agent03_Withdrawals!C197)</f>
        <v/>
      </c>
      <c r="E590" s="41" t="str">
        <f>IF(Agent03_Withdrawals!A197="","",Agent03_Withdrawals!D197)</f>
        <v/>
      </c>
      <c r="F590" s="40" t="str">
        <f>IF(Agent03_Withdrawals!A197="","",Agent03_Withdrawals!F197)</f>
        <v/>
      </c>
      <c r="G590" s="42" t="str">
        <f>IF(Agent03_Withdrawals!A197="","",Agent03_Withdrawals!E197)</f>
        <v/>
      </c>
      <c r="H590" s="42" t="str">
        <f>IF(Agent03_Withdrawals!A197="","",Agent03_Withdrawals!G197)</f>
        <v/>
      </c>
      <c r="I590" s="40" t="str">
        <f>IF(Agent03_Withdrawals!A197="","",Agent03_Withdrawals!H197)</f>
        <v/>
      </c>
      <c r="J590" s="40" t="str">
        <f>IF(Agent03_Withdrawals!A197="","",Agent03_Withdrawals!J197)</f>
        <v/>
      </c>
      <c r="K590" s="40" t="str">
        <f>IF(Agent03_Withdrawals!A197="","",Agent03_Withdrawals!K197)</f>
        <v/>
      </c>
      <c r="L590" s="40" t="str">
        <f>IF(G590="","",IF(D590-G590&gt;=System_Config!$B$9,"✅ OK","⚠️ BREACH"))</f>
        <v/>
      </c>
      <c r="M590" s="40" t="str">
        <f>IFERROR(IF(Agent03_Withdrawals!A197="","",YEAR(Agent03_Withdrawals!D197)),"")</f>
        <v/>
      </c>
    </row>
    <row r="591" spans="1:13" ht="18" customHeight="1" x14ac:dyDescent="0.25">
      <c r="A591" s="40" t="str">
        <f>IF(Agent03_Withdrawals!A198="","",Agent03_Withdrawals!A198)</f>
        <v/>
      </c>
      <c r="B591" s="40" t="str">
        <f ca="1">IF(Agent03_Withdrawals!A198="","","WD"&amp;TEXT(591-3,"0000")&amp;"-"&amp;TEXT(TODAY(),"YYYYMMDD"))</f>
        <v/>
      </c>
      <c r="C591" s="40" t="str">
        <f>IF(Agent03_Withdrawals!A198="","",Agent03_Withdrawals!B198)</f>
        <v/>
      </c>
      <c r="D591" s="43" t="str">
        <f>IF(Agent03_Withdrawals!A198="","",Agent03_Withdrawals!C198)</f>
        <v/>
      </c>
      <c r="E591" s="41" t="str">
        <f>IF(Agent03_Withdrawals!A198="","",Agent03_Withdrawals!D198)</f>
        <v/>
      </c>
      <c r="F591" s="40" t="str">
        <f>IF(Agent03_Withdrawals!A198="","",Agent03_Withdrawals!F198)</f>
        <v/>
      </c>
      <c r="G591" s="42" t="str">
        <f>IF(Agent03_Withdrawals!A198="","",Agent03_Withdrawals!E198)</f>
        <v/>
      </c>
      <c r="H591" s="42" t="str">
        <f>IF(Agent03_Withdrawals!A198="","",Agent03_Withdrawals!G198)</f>
        <v/>
      </c>
      <c r="I591" s="40" t="str">
        <f>IF(Agent03_Withdrawals!A198="","",Agent03_Withdrawals!H198)</f>
        <v/>
      </c>
      <c r="J591" s="40" t="str">
        <f>IF(Agent03_Withdrawals!A198="","",Agent03_Withdrawals!J198)</f>
        <v/>
      </c>
      <c r="K591" s="40" t="str">
        <f>IF(Agent03_Withdrawals!A198="","",Agent03_Withdrawals!K198)</f>
        <v/>
      </c>
      <c r="L591" s="40" t="str">
        <f>IF(G591="","",IF(D591-G591&gt;=System_Config!$B$9,"✅ OK","⚠️ BREACH"))</f>
        <v/>
      </c>
      <c r="M591" s="40" t="str">
        <f>IFERROR(IF(Agent03_Withdrawals!A198="","",YEAR(Agent03_Withdrawals!D198)),"")</f>
        <v/>
      </c>
    </row>
    <row r="592" spans="1:13" ht="18" customHeight="1" x14ac:dyDescent="0.25">
      <c r="A592" s="40" t="str">
        <f>IF(Agent03_Withdrawals!A199="","",Agent03_Withdrawals!A199)</f>
        <v/>
      </c>
      <c r="B592" s="40" t="str">
        <f ca="1">IF(Agent03_Withdrawals!A199="","","WD"&amp;TEXT(592-3,"0000")&amp;"-"&amp;TEXT(TODAY(),"YYYYMMDD"))</f>
        <v/>
      </c>
      <c r="C592" s="40" t="str">
        <f>IF(Agent03_Withdrawals!A199="","",Agent03_Withdrawals!B199)</f>
        <v/>
      </c>
      <c r="D592" s="43" t="str">
        <f>IF(Agent03_Withdrawals!A199="","",Agent03_Withdrawals!C199)</f>
        <v/>
      </c>
      <c r="E592" s="41" t="str">
        <f>IF(Agent03_Withdrawals!A199="","",Agent03_Withdrawals!D199)</f>
        <v/>
      </c>
      <c r="F592" s="40" t="str">
        <f>IF(Agent03_Withdrawals!A199="","",Agent03_Withdrawals!F199)</f>
        <v/>
      </c>
      <c r="G592" s="42" t="str">
        <f>IF(Agent03_Withdrawals!A199="","",Agent03_Withdrawals!E199)</f>
        <v/>
      </c>
      <c r="H592" s="42" t="str">
        <f>IF(Agent03_Withdrawals!A199="","",Agent03_Withdrawals!G199)</f>
        <v/>
      </c>
      <c r="I592" s="40" t="str">
        <f>IF(Agent03_Withdrawals!A199="","",Agent03_Withdrawals!H199)</f>
        <v/>
      </c>
      <c r="J592" s="40" t="str">
        <f>IF(Agent03_Withdrawals!A199="","",Agent03_Withdrawals!J199)</f>
        <v/>
      </c>
      <c r="K592" s="40" t="str">
        <f>IF(Agent03_Withdrawals!A199="","",Agent03_Withdrawals!K199)</f>
        <v/>
      </c>
      <c r="L592" s="40" t="str">
        <f>IF(G592="","",IF(D592-G592&gt;=System_Config!$B$9,"✅ OK","⚠️ BREACH"))</f>
        <v/>
      </c>
      <c r="M592" s="40" t="str">
        <f>IFERROR(IF(Agent03_Withdrawals!A199="","",YEAR(Agent03_Withdrawals!D199)),"")</f>
        <v/>
      </c>
    </row>
    <row r="593" spans="1:13" ht="18" customHeight="1" x14ac:dyDescent="0.25">
      <c r="A593" s="40" t="str">
        <f>IF(Agent03_Withdrawals!A200="","",Agent03_Withdrawals!A200)</f>
        <v/>
      </c>
      <c r="B593" s="40" t="str">
        <f ca="1">IF(Agent03_Withdrawals!A200="","","WD"&amp;TEXT(593-3,"0000")&amp;"-"&amp;TEXT(TODAY(),"YYYYMMDD"))</f>
        <v/>
      </c>
      <c r="C593" s="40" t="str">
        <f>IF(Agent03_Withdrawals!A200="","",Agent03_Withdrawals!B200)</f>
        <v/>
      </c>
      <c r="D593" s="43" t="str">
        <f>IF(Agent03_Withdrawals!A200="","",Agent03_Withdrawals!C200)</f>
        <v/>
      </c>
      <c r="E593" s="41" t="str">
        <f>IF(Agent03_Withdrawals!A200="","",Agent03_Withdrawals!D200)</f>
        <v/>
      </c>
      <c r="F593" s="40" t="str">
        <f>IF(Agent03_Withdrawals!A200="","",Agent03_Withdrawals!F200)</f>
        <v/>
      </c>
      <c r="G593" s="42" t="str">
        <f>IF(Agent03_Withdrawals!A200="","",Agent03_Withdrawals!E200)</f>
        <v/>
      </c>
      <c r="H593" s="42" t="str">
        <f>IF(Agent03_Withdrawals!A200="","",Agent03_Withdrawals!G200)</f>
        <v/>
      </c>
      <c r="I593" s="40" t="str">
        <f>IF(Agent03_Withdrawals!A200="","",Agent03_Withdrawals!H200)</f>
        <v/>
      </c>
      <c r="J593" s="40" t="str">
        <f>IF(Agent03_Withdrawals!A200="","",Agent03_Withdrawals!J200)</f>
        <v/>
      </c>
      <c r="K593" s="40" t="str">
        <f>IF(Agent03_Withdrawals!A200="","",Agent03_Withdrawals!K200)</f>
        <v/>
      </c>
      <c r="L593" s="40" t="str">
        <f>IF(G593="","",IF(D593-G593&gt;=System_Config!$B$9,"✅ OK","⚠️ BREACH"))</f>
        <v/>
      </c>
      <c r="M593" s="40" t="str">
        <f>IFERROR(IF(Agent03_Withdrawals!A200="","",YEAR(Agent03_Withdrawals!D200)),"")</f>
        <v/>
      </c>
    </row>
    <row r="594" spans="1:13" ht="18" customHeight="1" x14ac:dyDescent="0.25">
      <c r="A594" s="40" t="str">
        <f>IF(Agent03_Withdrawals!A201="","",Agent03_Withdrawals!A201)</f>
        <v/>
      </c>
      <c r="B594" s="40" t="str">
        <f ca="1">IF(Agent03_Withdrawals!A201="","","WD"&amp;TEXT(594-3,"0000")&amp;"-"&amp;TEXT(TODAY(),"YYYYMMDD"))</f>
        <v/>
      </c>
      <c r="C594" s="40" t="str">
        <f>IF(Agent03_Withdrawals!A201="","",Agent03_Withdrawals!B201)</f>
        <v/>
      </c>
      <c r="D594" s="43" t="str">
        <f>IF(Agent03_Withdrawals!A201="","",Agent03_Withdrawals!C201)</f>
        <v/>
      </c>
      <c r="E594" s="41" t="str">
        <f>IF(Agent03_Withdrawals!A201="","",Agent03_Withdrawals!D201)</f>
        <v/>
      </c>
      <c r="F594" s="40" t="str">
        <f>IF(Agent03_Withdrawals!A201="","",Agent03_Withdrawals!F201)</f>
        <v/>
      </c>
      <c r="G594" s="42" t="str">
        <f>IF(Agent03_Withdrawals!A201="","",Agent03_Withdrawals!E201)</f>
        <v/>
      </c>
      <c r="H594" s="42" t="str">
        <f>IF(Agent03_Withdrawals!A201="","",Agent03_Withdrawals!G201)</f>
        <v/>
      </c>
      <c r="I594" s="40" t="str">
        <f>IF(Agent03_Withdrawals!A201="","",Agent03_Withdrawals!H201)</f>
        <v/>
      </c>
      <c r="J594" s="40" t="str">
        <f>IF(Agent03_Withdrawals!A201="","",Agent03_Withdrawals!J201)</f>
        <v/>
      </c>
      <c r="K594" s="40" t="str">
        <f>IF(Agent03_Withdrawals!A201="","",Agent03_Withdrawals!K201)</f>
        <v/>
      </c>
      <c r="L594" s="40" t="str">
        <f>IF(G594="","",IF(D594-G594&gt;=System_Config!$B$9,"✅ OK","⚠️ BREACH"))</f>
        <v/>
      </c>
      <c r="M594" s="40" t="str">
        <f>IFERROR(IF(Agent03_Withdrawals!A201="","",YEAR(Agent03_Withdrawals!D201)),"")</f>
        <v/>
      </c>
    </row>
    <row r="595" spans="1:13" ht="18" customHeight="1" x14ac:dyDescent="0.25">
      <c r="A595" s="40" t="str">
        <f>IF(Agent03_Withdrawals!A202="","",Agent03_Withdrawals!A202)</f>
        <v/>
      </c>
      <c r="B595" s="40" t="str">
        <f ca="1">IF(Agent03_Withdrawals!A202="","","WD"&amp;TEXT(595-3,"0000")&amp;"-"&amp;TEXT(TODAY(),"YYYYMMDD"))</f>
        <v/>
      </c>
      <c r="C595" s="40" t="str">
        <f>IF(Agent03_Withdrawals!A202="","",Agent03_Withdrawals!B202)</f>
        <v/>
      </c>
      <c r="D595" s="43" t="str">
        <f>IF(Agent03_Withdrawals!A202="","",Agent03_Withdrawals!C202)</f>
        <v/>
      </c>
      <c r="E595" s="41" t="str">
        <f>IF(Agent03_Withdrawals!A202="","",Agent03_Withdrawals!D202)</f>
        <v/>
      </c>
      <c r="F595" s="40" t="str">
        <f>IF(Agent03_Withdrawals!A202="","",Agent03_Withdrawals!F202)</f>
        <v/>
      </c>
      <c r="G595" s="42" t="str">
        <f>IF(Agent03_Withdrawals!A202="","",Agent03_Withdrawals!E202)</f>
        <v/>
      </c>
      <c r="H595" s="42" t="str">
        <f>IF(Agent03_Withdrawals!A202="","",Agent03_Withdrawals!G202)</f>
        <v/>
      </c>
      <c r="I595" s="40" t="str">
        <f>IF(Agent03_Withdrawals!A202="","",Agent03_Withdrawals!H202)</f>
        <v/>
      </c>
      <c r="J595" s="40" t="str">
        <f>IF(Agent03_Withdrawals!A202="","",Agent03_Withdrawals!J202)</f>
        <v/>
      </c>
      <c r="K595" s="40" t="str">
        <f>IF(Agent03_Withdrawals!A202="","",Agent03_Withdrawals!K202)</f>
        <v/>
      </c>
      <c r="L595" s="40" t="str">
        <f>IF(G595="","",IF(D595-G595&gt;=System_Config!$B$9,"✅ OK","⚠️ BREACH"))</f>
        <v/>
      </c>
      <c r="M595" s="40" t="str">
        <f>IFERROR(IF(Agent03_Withdrawals!A202="","",YEAR(Agent03_Withdrawals!D202)),"")</f>
        <v/>
      </c>
    </row>
    <row r="596" spans="1:13" ht="18" customHeight="1" x14ac:dyDescent="0.25">
      <c r="A596" s="40" t="str">
        <f>IF(Agent03_Withdrawals!A203="","",Agent03_Withdrawals!A203)</f>
        <v/>
      </c>
      <c r="B596" s="40" t="str">
        <f ca="1">IF(Agent03_Withdrawals!A203="","","WD"&amp;TEXT(596-3,"0000")&amp;"-"&amp;TEXT(TODAY(),"YYYYMMDD"))</f>
        <v/>
      </c>
      <c r="C596" s="40" t="str">
        <f>IF(Agent03_Withdrawals!A203="","",Agent03_Withdrawals!B203)</f>
        <v/>
      </c>
      <c r="D596" s="43" t="str">
        <f>IF(Agent03_Withdrawals!A203="","",Agent03_Withdrawals!C203)</f>
        <v/>
      </c>
      <c r="E596" s="41" t="str">
        <f>IF(Agent03_Withdrawals!A203="","",Agent03_Withdrawals!D203)</f>
        <v/>
      </c>
      <c r="F596" s="40" t="str">
        <f>IF(Agent03_Withdrawals!A203="","",Agent03_Withdrawals!F203)</f>
        <v/>
      </c>
      <c r="G596" s="42" t="str">
        <f>IF(Agent03_Withdrawals!A203="","",Agent03_Withdrawals!E203)</f>
        <v/>
      </c>
      <c r="H596" s="42" t="str">
        <f>IF(Agent03_Withdrawals!A203="","",Agent03_Withdrawals!G203)</f>
        <v/>
      </c>
      <c r="I596" s="40" t="str">
        <f>IF(Agent03_Withdrawals!A203="","",Agent03_Withdrawals!H203)</f>
        <v/>
      </c>
      <c r="J596" s="40" t="str">
        <f>IF(Agent03_Withdrawals!A203="","",Agent03_Withdrawals!J203)</f>
        <v/>
      </c>
      <c r="K596" s="40" t="str">
        <f>IF(Agent03_Withdrawals!A203="","",Agent03_Withdrawals!K203)</f>
        <v/>
      </c>
      <c r="L596" s="40" t="str">
        <f>IF(G596="","",IF(D596-G596&gt;=System_Config!$B$9,"✅ OK","⚠️ BREACH"))</f>
        <v/>
      </c>
      <c r="M596" s="40" t="str">
        <f>IFERROR(IF(Agent03_Withdrawals!A203="","",YEAR(Agent03_Withdrawals!D203)),"")</f>
        <v/>
      </c>
    </row>
    <row r="597" spans="1:13" ht="18" customHeight="1" x14ac:dyDescent="0.25">
      <c r="A597" s="40" t="str">
        <f>IF(Agent03_Withdrawals!A204="","",Agent03_Withdrawals!A204)</f>
        <v/>
      </c>
      <c r="B597" s="40" t="str">
        <f ca="1">IF(Agent03_Withdrawals!A204="","","WD"&amp;TEXT(597-3,"0000")&amp;"-"&amp;TEXT(TODAY(),"YYYYMMDD"))</f>
        <v/>
      </c>
      <c r="C597" s="40" t="str">
        <f>IF(Agent03_Withdrawals!A204="","",Agent03_Withdrawals!B204)</f>
        <v/>
      </c>
      <c r="D597" s="43" t="str">
        <f>IF(Agent03_Withdrawals!A204="","",Agent03_Withdrawals!C204)</f>
        <v/>
      </c>
      <c r="E597" s="41" t="str">
        <f>IF(Agent03_Withdrawals!A204="","",Agent03_Withdrawals!D204)</f>
        <v/>
      </c>
      <c r="F597" s="40" t="str">
        <f>IF(Agent03_Withdrawals!A204="","",Agent03_Withdrawals!F204)</f>
        <v/>
      </c>
      <c r="G597" s="42" t="str">
        <f>IF(Agent03_Withdrawals!A204="","",Agent03_Withdrawals!E204)</f>
        <v/>
      </c>
      <c r="H597" s="42" t="str">
        <f>IF(Agent03_Withdrawals!A204="","",Agent03_Withdrawals!G204)</f>
        <v/>
      </c>
      <c r="I597" s="40" t="str">
        <f>IF(Agent03_Withdrawals!A204="","",Agent03_Withdrawals!H204)</f>
        <v/>
      </c>
      <c r="J597" s="40" t="str">
        <f>IF(Agent03_Withdrawals!A204="","",Agent03_Withdrawals!J204)</f>
        <v/>
      </c>
      <c r="K597" s="40" t="str">
        <f>IF(Agent03_Withdrawals!A204="","",Agent03_Withdrawals!K204)</f>
        <v/>
      </c>
      <c r="L597" s="40" t="str">
        <f>IF(G597="","",IF(D597-G597&gt;=System_Config!$B$9,"✅ OK","⚠️ BREACH"))</f>
        <v/>
      </c>
      <c r="M597" s="40" t="str">
        <f>IFERROR(IF(Agent03_Withdrawals!A204="","",YEAR(Agent03_Withdrawals!D204)),"")</f>
        <v/>
      </c>
    </row>
    <row r="598" spans="1:13" ht="18" customHeight="1" x14ac:dyDescent="0.25">
      <c r="A598" s="40" t="str">
        <f>IF(Agent03_Withdrawals!A205="","",Agent03_Withdrawals!A205)</f>
        <v/>
      </c>
      <c r="B598" s="40" t="str">
        <f ca="1">IF(Agent03_Withdrawals!A205="","","WD"&amp;TEXT(598-3,"0000")&amp;"-"&amp;TEXT(TODAY(),"YYYYMMDD"))</f>
        <v/>
      </c>
      <c r="C598" s="40" t="str">
        <f>IF(Agent03_Withdrawals!A205="","",Agent03_Withdrawals!B205)</f>
        <v/>
      </c>
      <c r="D598" s="43" t="str">
        <f>IF(Agent03_Withdrawals!A205="","",Agent03_Withdrawals!C205)</f>
        <v/>
      </c>
      <c r="E598" s="41" t="str">
        <f>IF(Agent03_Withdrawals!A205="","",Agent03_Withdrawals!D205)</f>
        <v/>
      </c>
      <c r="F598" s="40" t="str">
        <f>IF(Agent03_Withdrawals!A205="","",Agent03_Withdrawals!F205)</f>
        <v/>
      </c>
      <c r="G598" s="42" t="str">
        <f>IF(Agent03_Withdrawals!A205="","",Agent03_Withdrawals!E205)</f>
        <v/>
      </c>
      <c r="H598" s="42" t="str">
        <f>IF(Agent03_Withdrawals!A205="","",Agent03_Withdrawals!G205)</f>
        <v/>
      </c>
      <c r="I598" s="40" t="str">
        <f>IF(Agent03_Withdrawals!A205="","",Agent03_Withdrawals!H205)</f>
        <v/>
      </c>
      <c r="J598" s="40" t="str">
        <f>IF(Agent03_Withdrawals!A205="","",Agent03_Withdrawals!J205)</f>
        <v/>
      </c>
      <c r="K598" s="40" t="str">
        <f>IF(Agent03_Withdrawals!A205="","",Agent03_Withdrawals!K205)</f>
        <v/>
      </c>
      <c r="L598" s="40" t="str">
        <f>IF(G598="","",IF(D598-G598&gt;=System_Config!$B$9,"✅ OK","⚠️ BREACH"))</f>
        <v/>
      </c>
      <c r="M598" s="40" t="str">
        <f>IFERROR(IF(Agent03_Withdrawals!A205="","",YEAR(Agent03_Withdrawals!D205)),"")</f>
        <v/>
      </c>
    </row>
    <row r="599" spans="1:13" ht="18" customHeight="1" x14ac:dyDescent="0.25">
      <c r="A599" s="40" t="str">
        <f>IF(Agent03_Withdrawals!A206="","",Agent03_Withdrawals!A206)</f>
        <v/>
      </c>
      <c r="B599" s="40" t="str">
        <f ca="1">IF(Agent03_Withdrawals!A206="","","WD"&amp;TEXT(599-3,"0000")&amp;"-"&amp;TEXT(TODAY(),"YYYYMMDD"))</f>
        <v/>
      </c>
      <c r="C599" s="40" t="str">
        <f>IF(Agent03_Withdrawals!A206="","",Agent03_Withdrawals!B206)</f>
        <v/>
      </c>
      <c r="D599" s="43" t="str">
        <f>IF(Agent03_Withdrawals!A206="","",Agent03_Withdrawals!C206)</f>
        <v/>
      </c>
      <c r="E599" s="41" t="str">
        <f>IF(Agent03_Withdrawals!A206="","",Agent03_Withdrawals!D206)</f>
        <v/>
      </c>
      <c r="F599" s="40" t="str">
        <f>IF(Agent03_Withdrawals!A206="","",Agent03_Withdrawals!F206)</f>
        <v/>
      </c>
      <c r="G599" s="42" t="str">
        <f>IF(Agent03_Withdrawals!A206="","",Agent03_Withdrawals!E206)</f>
        <v/>
      </c>
      <c r="H599" s="42" t="str">
        <f>IF(Agent03_Withdrawals!A206="","",Agent03_Withdrawals!G206)</f>
        <v/>
      </c>
      <c r="I599" s="40" t="str">
        <f>IF(Agent03_Withdrawals!A206="","",Agent03_Withdrawals!H206)</f>
        <v/>
      </c>
      <c r="J599" s="40" t="str">
        <f>IF(Agent03_Withdrawals!A206="","",Agent03_Withdrawals!J206)</f>
        <v/>
      </c>
      <c r="K599" s="40" t="str">
        <f>IF(Agent03_Withdrawals!A206="","",Agent03_Withdrawals!K206)</f>
        <v/>
      </c>
      <c r="L599" s="40" t="str">
        <f>IF(G599="","",IF(D599-G599&gt;=System_Config!$B$9,"✅ OK","⚠️ BREACH"))</f>
        <v/>
      </c>
      <c r="M599" s="40" t="str">
        <f>IFERROR(IF(Agent03_Withdrawals!A206="","",YEAR(Agent03_Withdrawals!D206)),"")</f>
        <v/>
      </c>
    </row>
    <row r="600" spans="1:13" ht="18" customHeight="1" x14ac:dyDescent="0.25">
      <c r="A600" s="40" t="str">
        <f>IF(Agent03_Withdrawals!A207="","",Agent03_Withdrawals!A207)</f>
        <v/>
      </c>
      <c r="B600" s="40" t="str">
        <f ca="1">IF(Agent03_Withdrawals!A207="","","WD"&amp;TEXT(600-3,"0000")&amp;"-"&amp;TEXT(TODAY(),"YYYYMMDD"))</f>
        <v/>
      </c>
      <c r="C600" s="40" t="str">
        <f>IF(Agent03_Withdrawals!A207="","",Agent03_Withdrawals!B207)</f>
        <v/>
      </c>
      <c r="D600" s="43" t="str">
        <f>IF(Agent03_Withdrawals!A207="","",Agent03_Withdrawals!C207)</f>
        <v/>
      </c>
      <c r="E600" s="41" t="str">
        <f>IF(Agent03_Withdrawals!A207="","",Agent03_Withdrawals!D207)</f>
        <v/>
      </c>
      <c r="F600" s="40" t="str">
        <f>IF(Agent03_Withdrawals!A207="","",Agent03_Withdrawals!F207)</f>
        <v/>
      </c>
      <c r="G600" s="42" t="str">
        <f>IF(Agent03_Withdrawals!A207="","",Agent03_Withdrawals!E207)</f>
        <v/>
      </c>
      <c r="H600" s="42" t="str">
        <f>IF(Agent03_Withdrawals!A207="","",Agent03_Withdrawals!G207)</f>
        <v/>
      </c>
      <c r="I600" s="40" t="str">
        <f>IF(Agent03_Withdrawals!A207="","",Agent03_Withdrawals!H207)</f>
        <v/>
      </c>
      <c r="J600" s="40" t="str">
        <f>IF(Agent03_Withdrawals!A207="","",Agent03_Withdrawals!J207)</f>
        <v/>
      </c>
      <c r="K600" s="40" t="str">
        <f>IF(Agent03_Withdrawals!A207="","",Agent03_Withdrawals!K207)</f>
        <v/>
      </c>
      <c r="L600" s="40" t="str">
        <f>IF(G600="","",IF(D600-G600&gt;=System_Config!$B$9,"✅ OK","⚠️ BREACH"))</f>
        <v/>
      </c>
      <c r="M600" s="40" t="str">
        <f>IFERROR(IF(Agent03_Withdrawals!A207="","",YEAR(Agent03_Withdrawals!D207)),"")</f>
        <v/>
      </c>
    </row>
    <row r="601" spans="1:13" ht="18" customHeight="1" x14ac:dyDescent="0.25">
      <c r="A601" s="40" t="str">
        <f>IF(Agent03_Withdrawals!A208="","",Agent03_Withdrawals!A208)</f>
        <v/>
      </c>
      <c r="B601" s="40" t="str">
        <f ca="1">IF(Agent03_Withdrawals!A208="","","WD"&amp;TEXT(601-3,"0000")&amp;"-"&amp;TEXT(TODAY(),"YYYYMMDD"))</f>
        <v/>
      </c>
      <c r="C601" s="40" t="str">
        <f>IF(Agent03_Withdrawals!A208="","",Agent03_Withdrawals!B208)</f>
        <v/>
      </c>
      <c r="D601" s="43" t="str">
        <f>IF(Agent03_Withdrawals!A208="","",Agent03_Withdrawals!C208)</f>
        <v/>
      </c>
      <c r="E601" s="41" t="str">
        <f>IF(Agent03_Withdrawals!A208="","",Agent03_Withdrawals!D208)</f>
        <v/>
      </c>
      <c r="F601" s="40" t="str">
        <f>IF(Agent03_Withdrawals!A208="","",Agent03_Withdrawals!F208)</f>
        <v/>
      </c>
      <c r="G601" s="42" t="str">
        <f>IF(Agent03_Withdrawals!A208="","",Agent03_Withdrawals!E208)</f>
        <v/>
      </c>
      <c r="H601" s="42" t="str">
        <f>IF(Agent03_Withdrawals!A208="","",Agent03_Withdrawals!G208)</f>
        <v/>
      </c>
      <c r="I601" s="40" t="str">
        <f>IF(Agent03_Withdrawals!A208="","",Agent03_Withdrawals!H208)</f>
        <v/>
      </c>
      <c r="J601" s="40" t="str">
        <f>IF(Agent03_Withdrawals!A208="","",Agent03_Withdrawals!J208)</f>
        <v/>
      </c>
      <c r="K601" s="40" t="str">
        <f>IF(Agent03_Withdrawals!A208="","",Agent03_Withdrawals!K208)</f>
        <v/>
      </c>
      <c r="L601" s="40" t="str">
        <f>IF(G601="","",IF(D601-G601&gt;=System_Config!$B$9,"✅ OK","⚠️ BREACH"))</f>
        <v/>
      </c>
      <c r="M601" s="40" t="str">
        <f>IFERROR(IF(Agent03_Withdrawals!A208="","",YEAR(Agent03_Withdrawals!D208)),"")</f>
        <v/>
      </c>
    </row>
    <row r="602" spans="1:13" ht="18" customHeight="1" x14ac:dyDescent="0.25">
      <c r="A602" s="40" t="str">
        <f>IF(Agent03_Withdrawals!A209="","",Agent03_Withdrawals!A209)</f>
        <v/>
      </c>
      <c r="B602" s="40" t="str">
        <f ca="1">IF(Agent03_Withdrawals!A209="","","WD"&amp;TEXT(602-3,"0000")&amp;"-"&amp;TEXT(TODAY(),"YYYYMMDD"))</f>
        <v/>
      </c>
      <c r="C602" s="40" t="str">
        <f>IF(Agent03_Withdrawals!A209="","",Agent03_Withdrawals!B209)</f>
        <v/>
      </c>
      <c r="D602" s="43" t="str">
        <f>IF(Agent03_Withdrawals!A209="","",Agent03_Withdrawals!C209)</f>
        <v/>
      </c>
      <c r="E602" s="41" t="str">
        <f>IF(Agent03_Withdrawals!A209="","",Agent03_Withdrawals!D209)</f>
        <v/>
      </c>
      <c r="F602" s="40" t="str">
        <f>IF(Agent03_Withdrawals!A209="","",Agent03_Withdrawals!F209)</f>
        <v/>
      </c>
      <c r="G602" s="42" t="str">
        <f>IF(Agent03_Withdrawals!A209="","",Agent03_Withdrawals!E209)</f>
        <v/>
      </c>
      <c r="H602" s="42" t="str">
        <f>IF(Agent03_Withdrawals!A209="","",Agent03_Withdrawals!G209)</f>
        <v/>
      </c>
      <c r="I602" s="40" t="str">
        <f>IF(Agent03_Withdrawals!A209="","",Agent03_Withdrawals!H209)</f>
        <v/>
      </c>
      <c r="J602" s="40" t="str">
        <f>IF(Agent03_Withdrawals!A209="","",Agent03_Withdrawals!J209)</f>
        <v/>
      </c>
      <c r="K602" s="40" t="str">
        <f>IF(Agent03_Withdrawals!A209="","",Agent03_Withdrawals!K209)</f>
        <v/>
      </c>
      <c r="L602" s="40" t="str">
        <f>IF(G602="","",IF(D602-G602&gt;=System_Config!$B$9,"✅ OK","⚠️ BREACH"))</f>
        <v/>
      </c>
      <c r="M602" s="40" t="str">
        <f>IFERROR(IF(Agent03_Withdrawals!A209="","",YEAR(Agent03_Withdrawals!D209)),"")</f>
        <v/>
      </c>
    </row>
    <row r="603" spans="1:13" ht="18" customHeight="1" x14ac:dyDescent="0.25">
      <c r="A603" s="40" t="str">
        <f>IF(Agent03_Withdrawals!A210="","",Agent03_Withdrawals!A210)</f>
        <v/>
      </c>
      <c r="B603" s="40" t="str">
        <f ca="1">IF(Agent03_Withdrawals!A210="","","WD"&amp;TEXT(603-3,"0000")&amp;"-"&amp;TEXT(TODAY(),"YYYYMMDD"))</f>
        <v/>
      </c>
      <c r="C603" s="40" t="str">
        <f>IF(Agent03_Withdrawals!A210="","",Agent03_Withdrawals!B210)</f>
        <v/>
      </c>
      <c r="D603" s="43" t="str">
        <f>IF(Agent03_Withdrawals!A210="","",Agent03_Withdrawals!C210)</f>
        <v/>
      </c>
      <c r="E603" s="41" t="str">
        <f>IF(Agent03_Withdrawals!A210="","",Agent03_Withdrawals!D210)</f>
        <v/>
      </c>
      <c r="F603" s="40" t="str">
        <f>IF(Agent03_Withdrawals!A210="","",Agent03_Withdrawals!F210)</f>
        <v/>
      </c>
      <c r="G603" s="42" t="str">
        <f>IF(Agent03_Withdrawals!A210="","",Agent03_Withdrawals!E210)</f>
        <v/>
      </c>
      <c r="H603" s="42" t="str">
        <f>IF(Agent03_Withdrawals!A210="","",Agent03_Withdrawals!G210)</f>
        <v/>
      </c>
      <c r="I603" s="40" t="str">
        <f>IF(Agent03_Withdrawals!A210="","",Agent03_Withdrawals!H210)</f>
        <v/>
      </c>
      <c r="J603" s="40" t="str">
        <f>IF(Agent03_Withdrawals!A210="","",Agent03_Withdrawals!J210)</f>
        <v/>
      </c>
      <c r="K603" s="40" t="str">
        <f>IF(Agent03_Withdrawals!A210="","",Agent03_Withdrawals!K210)</f>
        <v/>
      </c>
      <c r="L603" s="40" t="str">
        <f>IF(G603="","",IF(D603-G603&gt;=System_Config!$B$9,"✅ OK","⚠️ BREACH"))</f>
        <v/>
      </c>
      <c r="M603" s="40" t="str">
        <f>IFERROR(IF(Agent03_Withdrawals!A210="","",YEAR(Agent03_Withdrawals!D210)),"")</f>
        <v/>
      </c>
    </row>
    <row r="604" spans="1:13" ht="18" customHeight="1" x14ac:dyDescent="0.25">
      <c r="A604" s="40" t="str">
        <f>IF(Agent04_Withdrawals!A11="","",Agent04_Withdrawals!A11)</f>
        <v/>
      </c>
      <c r="B604" s="40" t="str">
        <f ca="1">IF(Agent04_Withdrawals!A11="","","WD"&amp;TEXT(604-3,"0000")&amp;"-"&amp;TEXT(TODAY(),"YYYYMMDD"))</f>
        <v/>
      </c>
      <c r="C604" s="40" t="str">
        <f>IF(Agent04_Withdrawals!A11="","",Agent04_Withdrawals!B11)</f>
        <v/>
      </c>
      <c r="D604" s="43" t="str">
        <f>IF(Agent04_Withdrawals!A11="","",Agent04_Withdrawals!C11)</f>
        <v/>
      </c>
      <c r="E604" s="41" t="str">
        <f>IF(Agent04_Withdrawals!A11="","",Agent04_Withdrawals!D11)</f>
        <v/>
      </c>
      <c r="F604" s="40" t="str">
        <f>IF(Agent04_Withdrawals!A11="","",Agent04_Withdrawals!F11)</f>
        <v/>
      </c>
      <c r="G604" s="42" t="str">
        <f>IF(Agent04_Withdrawals!A11="","",Agent04_Withdrawals!E11)</f>
        <v/>
      </c>
      <c r="H604" s="42" t="str">
        <f>IF(Agent04_Withdrawals!A11="","",Agent04_Withdrawals!G11)</f>
        <v/>
      </c>
      <c r="I604" s="40" t="str">
        <f>IF(Agent04_Withdrawals!A11="","",Agent04_Withdrawals!H11)</f>
        <v/>
      </c>
      <c r="J604" s="40" t="str">
        <f>IF(Agent04_Withdrawals!A11="","",Agent04_Withdrawals!J11)</f>
        <v/>
      </c>
      <c r="K604" s="40" t="str">
        <f>IF(Agent04_Withdrawals!A11="","",Agent04_Withdrawals!K11)</f>
        <v/>
      </c>
      <c r="L604" s="40" t="str">
        <f>IF(G604="","",IF(D604-G604&gt;=System_Config!$B$9,"✅ OK","⚠️ BREACH"))</f>
        <v/>
      </c>
      <c r="M604" s="40" t="str">
        <f>IFERROR(IF(Agent04_Withdrawals!A11="","",YEAR(Agent04_Withdrawals!D11)),"")</f>
        <v/>
      </c>
    </row>
    <row r="605" spans="1:13" ht="18" customHeight="1" x14ac:dyDescent="0.25">
      <c r="A605" s="40" t="str">
        <f>IF(Agent04_Withdrawals!A12="","",Agent04_Withdrawals!A12)</f>
        <v/>
      </c>
      <c r="B605" s="40" t="str">
        <f ca="1">IF(Agent04_Withdrawals!A12="","","WD"&amp;TEXT(605-3,"0000")&amp;"-"&amp;TEXT(TODAY(),"YYYYMMDD"))</f>
        <v/>
      </c>
      <c r="C605" s="40" t="str">
        <f>IF(Agent04_Withdrawals!A12="","",Agent04_Withdrawals!B12)</f>
        <v/>
      </c>
      <c r="D605" s="43" t="str">
        <f>IF(Agent04_Withdrawals!A12="","",Agent04_Withdrawals!C12)</f>
        <v/>
      </c>
      <c r="E605" s="41" t="str">
        <f>IF(Agent04_Withdrawals!A12="","",Agent04_Withdrawals!D12)</f>
        <v/>
      </c>
      <c r="F605" s="40" t="str">
        <f>IF(Agent04_Withdrawals!A12="","",Agent04_Withdrawals!F12)</f>
        <v/>
      </c>
      <c r="G605" s="42" t="str">
        <f>IF(Agent04_Withdrawals!A12="","",Agent04_Withdrawals!E12)</f>
        <v/>
      </c>
      <c r="H605" s="42" t="str">
        <f>IF(Agent04_Withdrawals!A12="","",Agent04_Withdrawals!G12)</f>
        <v/>
      </c>
      <c r="I605" s="40" t="str">
        <f>IF(Agent04_Withdrawals!A12="","",Agent04_Withdrawals!H12)</f>
        <v/>
      </c>
      <c r="J605" s="40" t="str">
        <f>IF(Agent04_Withdrawals!A12="","",Agent04_Withdrawals!J12)</f>
        <v/>
      </c>
      <c r="K605" s="40" t="str">
        <f>IF(Agent04_Withdrawals!A12="","",Agent04_Withdrawals!K12)</f>
        <v/>
      </c>
      <c r="L605" s="40" t="str">
        <f>IF(G605="","",IF(D605-G605&gt;=System_Config!$B$9,"✅ OK","⚠️ BREACH"))</f>
        <v/>
      </c>
      <c r="M605" s="40" t="str">
        <f>IFERROR(IF(Agent04_Withdrawals!A12="","",YEAR(Agent04_Withdrawals!D12)),"")</f>
        <v/>
      </c>
    </row>
    <row r="606" spans="1:13" ht="18" customHeight="1" x14ac:dyDescent="0.25">
      <c r="A606" s="40" t="str">
        <f>IF(Agent04_Withdrawals!A13="","",Agent04_Withdrawals!A13)</f>
        <v/>
      </c>
      <c r="B606" s="40" t="str">
        <f ca="1">IF(Agent04_Withdrawals!A13="","","WD"&amp;TEXT(606-3,"0000")&amp;"-"&amp;TEXT(TODAY(),"YYYYMMDD"))</f>
        <v/>
      </c>
      <c r="C606" s="40" t="str">
        <f>IF(Agent04_Withdrawals!A13="","",Agent04_Withdrawals!B13)</f>
        <v/>
      </c>
      <c r="D606" s="43" t="str">
        <f>IF(Agent04_Withdrawals!A13="","",Agent04_Withdrawals!C13)</f>
        <v/>
      </c>
      <c r="E606" s="41" t="str">
        <f>IF(Agent04_Withdrawals!A13="","",Agent04_Withdrawals!D13)</f>
        <v/>
      </c>
      <c r="F606" s="40" t="str">
        <f>IF(Agent04_Withdrawals!A13="","",Agent04_Withdrawals!F13)</f>
        <v/>
      </c>
      <c r="G606" s="42" t="str">
        <f>IF(Agent04_Withdrawals!A13="","",Agent04_Withdrawals!E13)</f>
        <v/>
      </c>
      <c r="H606" s="42" t="str">
        <f>IF(Agent04_Withdrawals!A13="","",Agent04_Withdrawals!G13)</f>
        <v/>
      </c>
      <c r="I606" s="40" t="str">
        <f>IF(Agent04_Withdrawals!A13="","",Agent04_Withdrawals!H13)</f>
        <v/>
      </c>
      <c r="J606" s="40" t="str">
        <f>IF(Agent04_Withdrawals!A13="","",Agent04_Withdrawals!J13)</f>
        <v/>
      </c>
      <c r="K606" s="40" t="str">
        <f>IF(Agent04_Withdrawals!A13="","",Agent04_Withdrawals!K13)</f>
        <v/>
      </c>
      <c r="L606" s="40" t="str">
        <f>IF(G606="","",IF(D606-G606&gt;=System_Config!$B$9,"✅ OK","⚠️ BREACH"))</f>
        <v/>
      </c>
      <c r="M606" s="40" t="str">
        <f>IFERROR(IF(Agent04_Withdrawals!A13="","",YEAR(Agent04_Withdrawals!D13)),"")</f>
        <v/>
      </c>
    </row>
    <row r="607" spans="1:13" ht="18" customHeight="1" x14ac:dyDescent="0.25">
      <c r="A607" s="40" t="str">
        <f>IF(Agent04_Withdrawals!A14="","",Agent04_Withdrawals!A14)</f>
        <v/>
      </c>
      <c r="B607" s="40" t="str">
        <f ca="1">IF(Agent04_Withdrawals!A14="","","WD"&amp;TEXT(607-3,"0000")&amp;"-"&amp;TEXT(TODAY(),"YYYYMMDD"))</f>
        <v/>
      </c>
      <c r="C607" s="40" t="str">
        <f>IF(Agent04_Withdrawals!A14="","",Agent04_Withdrawals!B14)</f>
        <v/>
      </c>
      <c r="D607" s="43" t="str">
        <f>IF(Agent04_Withdrawals!A14="","",Agent04_Withdrawals!C14)</f>
        <v/>
      </c>
      <c r="E607" s="41" t="str">
        <f>IF(Agent04_Withdrawals!A14="","",Agent04_Withdrawals!D14)</f>
        <v/>
      </c>
      <c r="F607" s="40" t="str">
        <f>IF(Agent04_Withdrawals!A14="","",Agent04_Withdrawals!F14)</f>
        <v/>
      </c>
      <c r="G607" s="42" t="str">
        <f>IF(Agent04_Withdrawals!A14="","",Agent04_Withdrawals!E14)</f>
        <v/>
      </c>
      <c r="H607" s="42" t="str">
        <f>IF(Agent04_Withdrawals!A14="","",Agent04_Withdrawals!G14)</f>
        <v/>
      </c>
      <c r="I607" s="40" t="str">
        <f>IF(Agent04_Withdrawals!A14="","",Agent04_Withdrawals!H14)</f>
        <v/>
      </c>
      <c r="J607" s="40" t="str">
        <f>IF(Agent04_Withdrawals!A14="","",Agent04_Withdrawals!J14)</f>
        <v/>
      </c>
      <c r="K607" s="40" t="str">
        <f>IF(Agent04_Withdrawals!A14="","",Agent04_Withdrawals!K14)</f>
        <v/>
      </c>
      <c r="L607" s="40" t="str">
        <f>IF(G607="","",IF(D607-G607&gt;=System_Config!$B$9,"✅ OK","⚠️ BREACH"))</f>
        <v/>
      </c>
      <c r="M607" s="40" t="str">
        <f>IFERROR(IF(Agent04_Withdrawals!A14="","",YEAR(Agent04_Withdrawals!D14)),"")</f>
        <v/>
      </c>
    </row>
    <row r="608" spans="1:13" ht="18" customHeight="1" x14ac:dyDescent="0.25">
      <c r="A608" s="40" t="str">
        <f>IF(Agent04_Withdrawals!A15="","",Agent04_Withdrawals!A15)</f>
        <v/>
      </c>
      <c r="B608" s="40" t="str">
        <f ca="1">IF(Agent04_Withdrawals!A15="","","WD"&amp;TEXT(608-3,"0000")&amp;"-"&amp;TEXT(TODAY(),"YYYYMMDD"))</f>
        <v/>
      </c>
      <c r="C608" s="40" t="str">
        <f>IF(Agent04_Withdrawals!A15="","",Agent04_Withdrawals!B15)</f>
        <v/>
      </c>
      <c r="D608" s="43" t="str">
        <f>IF(Agent04_Withdrawals!A15="","",Agent04_Withdrawals!C15)</f>
        <v/>
      </c>
      <c r="E608" s="41" t="str">
        <f>IF(Agent04_Withdrawals!A15="","",Agent04_Withdrawals!D15)</f>
        <v/>
      </c>
      <c r="F608" s="40" t="str">
        <f>IF(Agent04_Withdrawals!A15="","",Agent04_Withdrawals!F15)</f>
        <v/>
      </c>
      <c r="G608" s="42" t="str">
        <f>IF(Agent04_Withdrawals!A15="","",Agent04_Withdrawals!E15)</f>
        <v/>
      </c>
      <c r="H608" s="42" t="str">
        <f>IF(Agent04_Withdrawals!A15="","",Agent04_Withdrawals!G15)</f>
        <v/>
      </c>
      <c r="I608" s="40" t="str">
        <f>IF(Agent04_Withdrawals!A15="","",Agent04_Withdrawals!H15)</f>
        <v/>
      </c>
      <c r="J608" s="40" t="str">
        <f>IF(Agent04_Withdrawals!A15="","",Agent04_Withdrawals!J15)</f>
        <v/>
      </c>
      <c r="K608" s="40" t="str">
        <f>IF(Agent04_Withdrawals!A15="","",Agent04_Withdrawals!K15)</f>
        <v/>
      </c>
      <c r="L608" s="40" t="str">
        <f>IF(G608="","",IF(D608-G608&gt;=System_Config!$B$9,"✅ OK","⚠️ BREACH"))</f>
        <v/>
      </c>
      <c r="M608" s="40" t="str">
        <f>IFERROR(IF(Agent04_Withdrawals!A15="","",YEAR(Agent04_Withdrawals!D15)),"")</f>
        <v/>
      </c>
    </row>
    <row r="609" spans="1:13" ht="18" customHeight="1" x14ac:dyDescent="0.25">
      <c r="A609" s="40" t="str">
        <f>IF(Agent04_Withdrawals!A16="","",Agent04_Withdrawals!A16)</f>
        <v/>
      </c>
      <c r="B609" s="40" t="str">
        <f ca="1">IF(Agent04_Withdrawals!A16="","","WD"&amp;TEXT(609-3,"0000")&amp;"-"&amp;TEXT(TODAY(),"YYYYMMDD"))</f>
        <v/>
      </c>
      <c r="C609" s="40" t="str">
        <f>IF(Agent04_Withdrawals!A16="","",Agent04_Withdrawals!B16)</f>
        <v/>
      </c>
      <c r="D609" s="43" t="str">
        <f>IF(Agent04_Withdrawals!A16="","",Agent04_Withdrawals!C16)</f>
        <v/>
      </c>
      <c r="E609" s="41" t="str">
        <f>IF(Agent04_Withdrawals!A16="","",Agent04_Withdrawals!D16)</f>
        <v/>
      </c>
      <c r="F609" s="40" t="str">
        <f>IF(Agent04_Withdrawals!A16="","",Agent04_Withdrawals!F16)</f>
        <v/>
      </c>
      <c r="G609" s="42" t="str">
        <f>IF(Agent04_Withdrawals!A16="","",Agent04_Withdrawals!E16)</f>
        <v/>
      </c>
      <c r="H609" s="42" t="str">
        <f>IF(Agent04_Withdrawals!A16="","",Agent04_Withdrawals!G16)</f>
        <v/>
      </c>
      <c r="I609" s="40" t="str">
        <f>IF(Agent04_Withdrawals!A16="","",Agent04_Withdrawals!H16)</f>
        <v/>
      </c>
      <c r="J609" s="40" t="str">
        <f>IF(Agent04_Withdrawals!A16="","",Agent04_Withdrawals!J16)</f>
        <v/>
      </c>
      <c r="K609" s="40" t="str">
        <f>IF(Agent04_Withdrawals!A16="","",Agent04_Withdrawals!K16)</f>
        <v/>
      </c>
      <c r="L609" s="40" t="str">
        <f>IF(G609="","",IF(D609-G609&gt;=System_Config!$B$9,"✅ OK","⚠️ BREACH"))</f>
        <v/>
      </c>
      <c r="M609" s="40" t="str">
        <f>IFERROR(IF(Agent04_Withdrawals!A16="","",YEAR(Agent04_Withdrawals!D16)),"")</f>
        <v/>
      </c>
    </row>
    <row r="610" spans="1:13" ht="18" customHeight="1" x14ac:dyDescent="0.25">
      <c r="A610" s="40" t="str">
        <f>IF(Agent04_Withdrawals!A17="","",Agent04_Withdrawals!A17)</f>
        <v/>
      </c>
      <c r="B610" s="40" t="str">
        <f ca="1">IF(Agent04_Withdrawals!A17="","","WD"&amp;TEXT(610-3,"0000")&amp;"-"&amp;TEXT(TODAY(),"YYYYMMDD"))</f>
        <v/>
      </c>
      <c r="C610" s="40" t="str">
        <f>IF(Agent04_Withdrawals!A17="","",Agent04_Withdrawals!B17)</f>
        <v/>
      </c>
      <c r="D610" s="43" t="str">
        <f>IF(Agent04_Withdrawals!A17="","",Agent04_Withdrawals!C17)</f>
        <v/>
      </c>
      <c r="E610" s="41" t="str">
        <f>IF(Agent04_Withdrawals!A17="","",Agent04_Withdrawals!D17)</f>
        <v/>
      </c>
      <c r="F610" s="40" t="str">
        <f>IF(Agent04_Withdrawals!A17="","",Agent04_Withdrawals!F17)</f>
        <v/>
      </c>
      <c r="G610" s="42" t="str">
        <f>IF(Agent04_Withdrawals!A17="","",Agent04_Withdrawals!E17)</f>
        <v/>
      </c>
      <c r="H610" s="42" t="str">
        <f>IF(Agent04_Withdrawals!A17="","",Agent04_Withdrawals!G17)</f>
        <v/>
      </c>
      <c r="I610" s="40" t="str">
        <f>IF(Agent04_Withdrawals!A17="","",Agent04_Withdrawals!H17)</f>
        <v/>
      </c>
      <c r="J610" s="40" t="str">
        <f>IF(Agent04_Withdrawals!A17="","",Agent04_Withdrawals!J17)</f>
        <v/>
      </c>
      <c r="K610" s="40" t="str">
        <f>IF(Agent04_Withdrawals!A17="","",Agent04_Withdrawals!K17)</f>
        <v/>
      </c>
      <c r="L610" s="40" t="str">
        <f>IF(G610="","",IF(D610-G610&gt;=System_Config!$B$9,"✅ OK","⚠️ BREACH"))</f>
        <v/>
      </c>
      <c r="M610" s="40" t="str">
        <f>IFERROR(IF(Agent04_Withdrawals!A17="","",YEAR(Agent04_Withdrawals!D17)),"")</f>
        <v/>
      </c>
    </row>
    <row r="611" spans="1:13" ht="18" customHeight="1" x14ac:dyDescent="0.25">
      <c r="A611" s="40" t="str">
        <f>IF(Agent04_Withdrawals!A18="","",Agent04_Withdrawals!A18)</f>
        <v/>
      </c>
      <c r="B611" s="40" t="str">
        <f ca="1">IF(Agent04_Withdrawals!A18="","","WD"&amp;TEXT(611-3,"0000")&amp;"-"&amp;TEXT(TODAY(),"YYYYMMDD"))</f>
        <v/>
      </c>
      <c r="C611" s="40" t="str">
        <f>IF(Agent04_Withdrawals!A18="","",Agent04_Withdrawals!B18)</f>
        <v/>
      </c>
      <c r="D611" s="43" t="str">
        <f>IF(Agent04_Withdrawals!A18="","",Agent04_Withdrawals!C18)</f>
        <v/>
      </c>
      <c r="E611" s="41" t="str">
        <f>IF(Agent04_Withdrawals!A18="","",Agent04_Withdrawals!D18)</f>
        <v/>
      </c>
      <c r="F611" s="40" t="str">
        <f>IF(Agent04_Withdrawals!A18="","",Agent04_Withdrawals!F18)</f>
        <v/>
      </c>
      <c r="G611" s="42" t="str">
        <f>IF(Agent04_Withdrawals!A18="","",Agent04_Withdrawals!E18)</f>
        <v/>
      </c>
      <c r="H611" s="42" t="str">
        <f>IF(Agent04_Withdrawals!A18="","",Agent04_Withdrawals!G18)</f>
        <v/>
      </c>
      <c r="I611" s="40" t="str">
        <f>IF(Agent04_Withdrawals!A18="","",Agent04_Withdrawals!H18)</f>
        <v/>
      </c>
      <c r="J611" s="40" t="str">
        <f>IF(Agent04_Withdrawals!A18="","",Agent04_Withdrawals!J18)</f>
        <v/>
      </c>
      <c r="K611" s="40" t="str">
        <f>IF(Agent04_Withdrawals!A18="","",Agent04_Withdrawals!K18)</f>
        <v/>
      </c>
      <c r="L611" s="40" t="str">
        <f>IF(G611="","",IF(D611-G611&gt;=System_Config!$B$9,"✅ OK","⚠️ BREACH"))</f>
        <v/>
      </c>
      <c r="M611" s="40" t="str">
        <f>IFERROR(IF(Agent04_Withdrawals!A18="","",YEAR(Agent04_Withdrawals!D18)),"")</f>
        <v/>
      </c>
    </row>
    <row r="612" spans="1:13" ht="18" customHeight="1" x14ac:dyDescent="0.25">
      <c r="A612" s="40" t="str">
        <f>IF(Agent04_Withdrawals!A19="","",Agent04_Withdrawals!A19)</f>
        <v/>
      </c>
      <c r="B612" s="40" t="str">
        <f ca="1">IF(Agent04_Withdrawals!A19="","","WD"&amp;TEXT(612-3,"0000")&amp;"-"&amp;TEXT(TODAY(),"YYYYMMDD"))</f>
        <v/>
      </c>
      <c r="C612" s="40" t="str">
        <f>IF(Agent04_Withdrawals!A19="","",Agent04_Withdrawals!B19)</f>
        <v/>
      </c>
      <c r="D612" s="43" t="str">
        <f>IF(Agent04_Withdrawals!A19="","",Agent04_Withdrawals!C19)</f>
        <v/>
      </c>
      <c r="E612" s="41" t="str">
        <f>IF(Agent04_Withdrawals!A19="","",Agent04_Withdrawals!D19)</f>
        <v/>
      </c>
      <c r="F612" s="40" t="str">
        <f>IF(Agent04_Withdrawals!A19="","",Agent04_Withdrawals!F19)</f>
        <v/>
      </c>
      <c r="G612" s="42" t="str">
        <f>IF(Agent04_Withdrawals!A19="","",Agent04_Withdrawals!E19)</f>
        <v/>
      </c>
      <c r="H612" s="42" t="str">
        <f>IF(Agent04_Withdrawals!A19="","",Agent04_Withdrawals!G19)</f>
        <v/>
      </c>
      <c r="I612" s="40" t="str">
        <f>IF(Agent04_Withdrawals!A19="","",Agent04_Withdrawals!H19)</f>
        <v/>
      </c>
      <c r="J612" s="40" t="str">
        <f>IF(Agent04_Withdrawals!A19="","",Agent04_Withdrawals!J19)</f>
        <v/>
      </c>
      <c r="K612" s="40" t="str">
        <f>IF(Agent04_Withdrawals!A19="","",Agent04_Withdrawals!K19)</f>
        <v/>
      </c>
      <c r="L612" s="40" t="str">
        <f>IF(G612="","",IF(D612-G612&gt;=System_Config!$B$9,"✅ OK","⚠️ BREACH"))</f>
        <v/>
      </c>
      <c r="M612" s="40" t="str">
        <f>IFERROR(IF(Agent04_Withdrawals!A19="","",YEAR(Agent04_Withdrawals!D19)),"")</f>
        <v/>
      </c>
    </row>
    <row r="613" spans="1:13" ht="18" customHeight="1" x14ac:dyDescent="0.25">
      <c r="A613" s="40" t="str">
        <f>IF(Agent04_Withdrawals!A20="","",Agent04_Withdrawals!A20)</f>
        <v/>
      </c>
      <c r="B613" s="40" t="str">
        <f ca="1">IF(Agent04_Withdrawals!A20="","","WD"&amp;TEXT(613-3,"0000")&amp;"-"&amp;TEXT(TODAY(),"YYYYMMDD"))</f>
        <v/>
      </c>
      <c r="C613" s="40" t="str">
        <f>IF(Agent04_Withdrawals!A20="","",Agent04_Withdrawals!B20)</f>
        <v/>
      </c>
      <c r="D613" s="43" t="str">
        <f>IF(Agent04_Withdrawals!A20="","",Agent04_Withdrawals!C20)</f>
        <v/>
      </c>
      <c r="E613" s="41" t="str">
        <f>IF(Agent04_Withdrawals!A20="","",Agent04_Withdrawals!D20)</f>
        <v/>
      </c>
      <c r="F613" s="40" t="str">
        <f>IF(Agent04_Withdrawals!A20="","",Agent04_Withdrawals!F20)</f>
        <v/>
      </c>
      <c r="G613" s="42" t="str">
        <f>IF(Agent04_Withdrawals!A20="","",Agent04_Withdrawals!E20)</f>
        <v/>
      </c>
      <c r="H613" s="42" t="str">
        <f>IF(Agent04_Withdrawals!A20="","",Agent04_Withdrawals!G20)</f>
        <v/>
      </c>
      <c r="I613" s="40" t="str">
        <f>IF(Agent04_Withdrawals!A20="","",Agent04_Withdrawals!H20)</f>
        <v/>
      </c>
      <c r="J613" s="40" t="str">
        <f>IF(Agent04_Withdrawals!A20="","",Agent04_Withdrawals!J20)</f>
        <v/>
      </c>
      <c r="K613" s="40" t="str">
        <f>IF(Agent04_Withdrawals!A20="","",Agent04_Withdrawals!K20)</f>
        <v/>
      </c>
      <c r="L613" s="40" t="str">
        <f>IF(G613="","",IF(D613-G613&gt;=System_Config!$B$9,"✅ OK","⚠️ BREACH"))</f>
        <v/>
      </c>
      <c r="M613" s="40" t="str">
        <f>IFERROR(IF(Agent04_Withdrawals!A20="","",YEAR(Agent04_Withdrawals!D20)),"")</f>
        <v/>
      </c>
    </row>
    <row r="614" spans="1:13" ht="18" customHeight="1" x14ac:dyDescent="0.25">
      <c r="A614" s="40" t="str">
        <f>IF(Agent04_Withdrawals!A21="","",Agent04_Withdrawals!A21)</f>
        <v/>
      </c>
      <c r="B614" s="40" t="str">
        <f ca="1">IF(Agent04_Withdrawals!A21="","","WD"&amp;TEXT(614-3,"0000")&amp;"-"&amp;TEXT(TODAY(),"YYYYMMDD"))</f>
        <v/>
      </c>
      <c r="C614" s="40" t="str">
        <f>IF(Agent04_Withdrawals!A21="","",Agent04_Withdrawals!B21)</f>
        <v/>
      </c>
      <c r="D614" s="43" t="str">
        <f>IF(Agent04_Withdrawals!A21="","",Agent04_Withdrawals!C21)</f>
        <v/>
      </c>
      <c r="E614" s="41" t="str">
        <f>IF(Agent04_Withdrawals!A21="","",Agent04_Withdrawals!D21)</f>
        <v/>
      </c>
      <c r="F614" s="40" t="str">
        <f>IF(Agent04_Withdrawals!A21="","",Agent04_Withdrawals!F21)</f>
        <v/>
      </c>
      <c r="G614" s="42" t="str">
        <f>IF(Agent04_Withdrawals!A21="","",Agent04_Withdrawals!E21)</f>
        <v/>
      </c>
      <c r="H614" s="42" t="str">
        <f>IF(Agent04_Withdrawals!A21="","",Agent04_Withdrawals!G21)</f>
        <v/>
      </c>
      <c r="I614" s="40" t="str">
        <f>IF(Agent04_Withdrawals!A21="","",Agent04_Withdrawals!H21)</f>
        <v/>
      </c>
      <c r="J614" s="40" t="str">
        <f>IF(Agent04_Withdrawals!A21="","",Agent04_Withdrawals!J21)</f>
        <v/>
      </c>
      <c r="K614" s="40" t="str">
        <f>IF(Agent04_Withdrawals!A21="","",Agent04_Withdrawals!K21)</f>
        <v/>
      </c>
      <c r="L614" s="40" t="str">
        <f>IF(G614="","",IF(D614-G614&gt;=System_Config!$B$9,"✅ OK","⚠️ BREACH"))</f>
        <v/>
      </c>
      <c r="M614" s="40" t="str">
        <f>IFERROR(IF(Agent04_Withdrawals!A21="","",YEAR(Agent04_Withdrawals!D21)),"")</f>
        <v/>
      </c>
    </row>
    <row r="615" spans="1:13" ht="18" customHeight="1" x14ac:dyDescent="0.25">
      <c r="A615" s="40" t="str">
        <f>IF(Agent04_Withdrawals!A22="","",Agent04_Withdrawals!A22)</f>
        <v/>
      </c>
      <c r="B615" s="40" t="str">
        <f ca="1">IF(Agent04_Withdrawals!A22="","","WD"&amp;TEXT(615-3,"0000")&amp;"-"&amp;TEXT(TODAY(),"YYYYMMDD"))</f>
        <v/>
      </c>
      <c r="C615" s="40" t="str">
        <f>IF(Agent04_Withdrawals!A22="","",Agent04_Withdrawals!B22)</f>
        <v/>
      </c>
      <c r="D615" s="43" t="str">
        <f>IF(Agent04_Withdrawals!A22="","",Agent04_Withdrawals!C22)</f>
        <v/>
      </c>
      <c r="E615" s="41" t="str">
        <f>IF(Agent04_Withdrawals!A22="","",Agent04_Withdrawals!D22)</f>
        <v/>
      </c>
      <c r="F615" s="40" t="str">
        <f>IF(Agent04_Withdrawals!A22="","",Agent04_Withdrawals!F22)</f>
        <v/>
      </c>
      <c r="G615" s="42" t="str">
        <f>IF(Agent04_Withdrawals!A22="","",Agent04_Withdrawals!E22)</f>
        <v/>
      </c>
      <c r="H615" s="42" t="str">
        <f>IF(Agent04_Withdrawals!A22="","",Agent04_Withdrawals!G22)</f>
        <v/>
      </c>
      <c r="I615" s="40" t="str">
        <f>IF(Agent04_Withdrawals!A22="","",Agent04_Withdrawals!H22)</f>
        <v/>
      </c>
      <c r="J615" s="40" t="str">
        <f>IF(Agent04_Withdrawals!A22="","",Agent04_Withdrawals!J22)</f>
        <v/>
      </c>
      <c r="K615" s="40" t="str">
        <f>IF(Agent04_Withdrawals!A22="","",Agent04_Withdrawals!K22)</f>
        <v/>
      </c>
      <c r="L615" s="40" t="str">
        <f>IF(G615="","",IF(D615-G615&gt;=System_Config!$B$9,"✅ OK","⚠️ BREACH"))</f>
        <v/>
      </c>
      <c r="M615" s="40" t="str">
        <f>IFERROR(IF(Agent04_Withdrawals!A22="","",YEAR(Agent04_Withdrawals!D22)),"")</f>
        <v/>
      </c>
    </row>
    <row r="616" spans="1:13" ht="18" customHeight="1" x14ac:dyDescent="0.25">
      <c r="A616" s="40" t="str">
        <f>IF(Agent04_Withdrawals!A23="","",Agent04_Withdrawals!A23)</f>
        <v/>
      </c>
      <c r="B616" s="40" t="str">
        <f ca="1">IF(Agent04_Withdrawals!A23="","","WD"&amp;TEXT(616-3,"0000")&amp;"-"&amp;TEXT(TODAY(),"YYYYMMDD"))</f>
        <v/>
      </c>
      <c r="C616" s="40" t="str">
        <f>IF(Agent04_Withdrawals!A23="","",Agent04_Withdrawals!B23)</f>
        <v/>
      </c>
      <c r="D616" s="43" t="str">
        <f>IF(Agent04_Withdrawals!A23="","",Agent04_Withdrawals!C23)</f>
        <v/>
      </c>
      <c r="E616" s="41" t="str">
        <f>IF(Agent04_Withdrawals!A23="","",Agent04_Withdrawals!D23)</f>
        <v/>
      </c>
      <c r="F616" s="40" t="str">
        <f>IF(Agent04_Withdrawals!A23="","",Agent04_Withdrawals!F23)</f>
        <v/>
      </c>
      <c r="G616" s="42" t="str">
        <f>IF(Agent04_Withdrawals!A23="","",Agent04_Withdrawals!E23)</f>
        <v/>
      </c>
      <c r="H616" s="42" t="str">
        <f>IF(Agent04_Withdrawals!A23="","",Agent04_Withdrawals!G23)</f>
        <v/>
      </c>
      <c r="I616" s="40" t="str">
        <f>IF(Agent04_Withdrawals!A23="","",Agent04_Withdrawals!H23)</f>
        <v/>
      </c>
      <c r="J616" s="40" t="str">
        <f>IF(Agent04_Withdrawals!A23="","",Agent04_Withdrawals!J23)</f>
        <v/>
      </c>
      <c r="K616" s="40" t="str">
        <f>IF(Agent04_Withdrawals!A23="","",Agent04_Withdrawals!K23)</f>
        <v/>
      </c>
      <c r="L616" s="40" t="str">
        <f>IF(G616="","",IF(D616-G616&gt;=System_Config!$B$9,"✅ OK","⚠️ BREACH"))</f>
        <v/>
      </c>
      <c r="M616" s="40" t="str">
        <f>IFERROR(IF(Agent04_Withdrawals!A23="","",YEAR(Agent04_Withdrawals!D23)),"")</f>
        <v/>
      </c>
    </row>
    <row r="617" spans="1:13" ht="18" customHeight="1" x14ac:dyDescent="0.25">
      <c r="A617" s="40" t="str">
        <f>IF(Agent04_Withdrawals!A24="","",Agent04_Withdrawals!A24)</f>
        <v/>
      </c>
      <c r="B617" s="40" t="str">
        <f ca="1">IF(Agent04_Withdrawals!A24="","","WD"&amp;TEXT(617-3,"0000")&amp;"-"&amp;TEXT(TODAY(),"YYYYMMDD"))</f>
        <v/>
      </c>
      <c r="C617" s="40" t="str">
        <f>IF(Agent04_Withdrawals!A24="","",Agent04_Withdrawals!B24)</f>
        <v/>
      </c>
      <c r="D617" s="43" t="str">
        <f>IF(Agent04_Withdrawals!A24="","",Agent04_Withdrawals!C24)</f>
        <v/>
      </c>
      <c r="E617" s="41" t="str">
        <f>IF(Agent04_Withdrawals!A24="","",Agent04_Withdrawals!D24)</f>
        <v/>
      </c>
      <c r="F617" s="40" t="str">
        <f>IF(Agent04_Withdrawals!A24="","",Agent04_Withdrawals!F24)</f>
        <v/>
      </c>
      <c r="G617" s="42" t="str">
        <f>IF(Agent04_Withdrawals!A24="","",Agent04_Withdrawals!E24)</f>
        <v/>
      </c>
      <c r="H617" s="42" t="str">
        <f>IF(Agent04_Withdrawals!A24="","",Agent04_Withdrawals!G24)</f>
        <v/>
      </c>
      <c r="I617" s="40" t="str">
        <f>IF(Agent04_Withdrawals!A24="","",Agent04_Withdrawals!H24)</f>
        <v/>
      </c>
      <c r="J617" s="40" t="str">
        <f>IF(Agent04_Withdrawals!A24="","",Agent04_Withdrawals!J24)</f>
        <v/>
      </c>
      <c r="K617" s="40" t="str">
        <f>IF(Agent04_Withdrawals!A24="","",Agent04_Withdrawals!K24)</f>
        <v/>
      </c>
      <c r="L617" s="40" t="str">
        <f>IF(G617="","",IF(D617-G617&gt;=System_Config!$B$9,"✅ OK","⚠️ BREACH"))</f>
        <v/>
      </c>
      <c r="M617" s="40" t="str">
        <f>IFERROR(IF(Agent04_Withdrawals!A24="","",YEAR(Agent04_Withdrawals!D24)),"")</f>
        <v/>
      </c>
    </row>
    <row r="618" spans="1:13" ht="18" customHeight="1" x14ac:dyDescent="0.25">
      <c r="A618" s="40" t="str">
        <f>IF(Agent04_Withdrawals!A25="","",Agent04_Withdrawals!A25)</f>
        <v/>
      </c>
      <c r="B618" s="40" t="str">
        <f ca="1">IF(Agent04_Withdrawals!A25="","","WD"&amp;TEXT(618-3,"0000")&amp;"-"&amp;TEXT(TODAY(),"YYYYMMDD"))</f>
        <v/>
      </c>
      <c r="C618" s="40" t="str">
        <f>IF(Agent04_Withdrawals!A25="","",Agent04_Withdrawals!B25)</f>
        <v/>
      </c>
      <c r="D618" s="43" t="str">
        <f>IF(Agent04_Withdrawals!A25="","",Agent04_Withdrawals!C25)</f>
        <v/>
      </c>
      <c r="E618" s="41" t="str">
        <f>IF(Agent04_Withdrawals!A25="","",Agent04_Withdrawals!D25)</f>
        <v/>
      </c>
      <c r="F618" s="40" t="str">
        <f>IF(Agent04_Withdrawals!A25="","",Agent04_Withdrawals!F25)</f>
        <v/>
      </c>
      <c r="G618" s="42" t="str">
        <f>IF(Agent04_Withdrawals!A25="","",Agent04_Withdrawals!E25)</f>
        <v/>
      </c>
      <c r="H618" s="42" t="str">
        <f>IF(Agent04_Withdrawals!A25="","",Agent04_Withdrawals!G25)</f>
        <v/>
      </c>
      <c r="I618" s="40" t="str">
        <f>IF(Agent04_Withdrawals!A25="","",Agent04_Withdrawals!H25)</f>
        <v/>
      </c>
      <c r="J618" s="40" t="str">
        <f>IF(Agent04_Withdrawals!A25="","",Agent04_Withdrawals!J25)</f>
        <v/>
      </c>
      <c r="K618" s="40" t="str">
        <f>IF(Agent04_Withdrawals!A25="","",Agent04_Withdrawals!K25)</f>
        <v/>
      </c>
      <c r="L618" s="40" t="str">
        <f>IF(G618="","",IF(D618-G618&gt;=System_Config!$B$9,"✅ OK","⚠️ BREACH"))</f>
        <v/>
      </c>
      <c r="M618" s="40" t="str">
        <f>IFERROR(IF(Agent04_Withdrawals!A25="","",YEAR(Agent04_Withdrawals!D25)),"")</f>
        <v/>
      </c>
    </row>
    <row r="619" spans="1:13" ht="18" customHeight="1" x14ac:dyDescent="0.25">
      <c r="A619" s="40" t="str">
        <f>IF(Agent04_Withdrawals!A26="","",Agent04_Withdrawals!A26)</f>
        <v/>
      </c>
      <c r="B619" s="40" t="str">
        <f ca="1">IF(Agent04_Withdrawals!A26="","","WD"&amp;TEXT(619-3,"0000")&amp;"-"&amp;TEXT(TODAY(),"YYYYMMDD"))</f>
        <v/>
      </c>
      <c r="C619" s="40" t="str">
        <f>IF(Agent04_Withdrawals!A26="","",Agent04_Withdrawals!B26)</f>
        <v/>
      </c>
      <c r="D619" s="43" t="str">
        <f>IF(Agent04_Withdrawals!A26="","",Agent04_Withdrawals!C26)</f>
        <v/>
      </c>
      <c r="E619" s="41" t="str">
        <f>IF(Agent04_Withdrawals!A26="","",Agent04_Withdrawals!D26)</f>
        <v/>
      </c>
      <c r="F619" s="40" t="str">
        <f>IF(Agent04_Withdrawals!A26="","",Agent04_Withdrawals!F26)</f>
        <v/>
      </c>
      <c r="G619" s="42" t="str">
        <f>IF(Agent04_Withdrawals!A26="","",Agent04_Withdrawals!E26)</f>
        <v/>
      </c>
      <c r="H619" s="42" t="str">
        <f>IF(Agent04_Withdrawals!A26="","",Agent04_Withdrawals!G26)</f>
        <v/>
      </c>
      <c r="I619" s="40" t="str">
        <f>IF(Agent04_Withdrawals!A26="","",Agent04_Withdrawals!H26)</f>
        <v/>
      </c>
      <c r="J619" s="40" t="str">
        <f>IF(Agent04_Withdrawals!A26="","",Agent04_Withdrawals!J26)</f>
        <v/>
      </c>
      <c r="K619" s="40" t="str">
        <f>IF(Agent04_Withdrawals!A26="","",Agent04_Withdrawals!K26)</f>
        <v/>
      </c>
      <c r="L619" s="40" t="str">
        <f>IF(G619="","",IF(D619-G619&gt;=System_Config!$B$9,"✅ OK","⚠️ BREACH"))</f>
        <v/>
      </c>
      <c r="M619" s="40" t="str">
        <f>IFERROR(IF(Agent04_Withdrawals!A26="","",YEAR(Agent04_Withdrawals!D26)),"")</f>
        <v/>
      </c>
    </row>
    <row r="620" spans="1:13" ht="18" customHeight="1" x14ac:dyDescent="0.25">
      <c r="A620" s="40" t="str">
        <f>IF(Agent04_Withdrawals!A27="","",Agent04_Withdrawals!A27)</f>
        <v/>
      </c>
      <c r="B620" s="40" t="str">
        <f ca="1">IF(Agent04_Withdrawals!A27="","","WD"&amp;TEXT(620-3,"0000")&amp;"-"&amp;TEXT(TODAY(),"YYYYMMDD"))</f>
        <v/>
      </c>
      <c r="C620" s="40" t="str">
        <f>IF(Agent04_Withdrawals!A27="","",Agent04_Withdrawals!B27)</f>
        <v/>
      </c>
      <c r="D620" s="43" t="str">
        <f>IF(Agent04_Withdrawals!A27="","",Agent04_Withdrawals!C27)</f>
        <v/>
      </c>
      <c r="E620" s="41" t="str">
        <f>IF(Agent04_Withdrawals!A27="","",Agent04_Withdrawals!D27)</f>
        <v/>
      </c>
      <c r="F620" s="40" t="str">
        <f>IF(Agent04_Withdrawals!A27="","",Agent04_Withdrawals!F27)</f>
        <v/>
      </c>
      <c r="G620" s="42" t="str">
        <f>IF(Agent04_Withdrawals!A27="","",Agent04_Withdrawals!E27)</f>
        <v/>
      </c>
      <c r="H620" s="42" t="str">
        <f>IF(Agent04_Withdrawals!A27="","",Agent04_Withdrawals!G27)</f>
        <v/>
      </c>
      <c r="I620" s="40" t="str">
        <f>IF(Agent04_Withdrawals!A27="","",Agent04_Withdrawals!H27)</f>
        <v/>
      </c>
      <c r="J620" s="40" t="str">
        <f>IF(Agent04_Withdrawals!A27="","",Agent04_Withdrawals!J27)</f>
        <v/>
      </c>
      <c r="K620" s="40" t="str">
        <f>IF(Agent04_Withdrawals!A27="","",Agent04_Withdrawals!K27)</f>
        <v/>
      </c>
      <c r="L620" s="40" t="str">
        <f>IF(G620="","",IF(D620-G620&gt;=System_Config!$B$9,"✅ OK","⚠️ BREACH"))</f>
        <v/>
      </c>
      <c r="M620" s="40" t="str">
        <f>IFERROR(IF(Agent04_Withdrawals!A27="","",YEAR(Agent04_Withdrawals!D27)),"")</f>
        <v/>
      </c>
    </row>
    <row r="621" spans="1:13" ht="18" customHeight="1" x14ac:dyDescent="0.25">
      <c r="A621" s="40" t="str">
        <f>IF(Agent04_Withdrawals!A28="","",Agent04_Withdrawals!A28)</f>
        <v/>
      </c>
      <c r="B621" s="40" t="str">
        <f ca="1">IF(Agent04_Withdrawals!A28="","","WD"&amp;TEXT(621-3,"0000")&amp;"-"&amp;TEXT(TODAY(),"YYYYMMDD"))</f>
        <v/>
      </c>
      <c r="C621" s="40" t="str">
        <f>IF(Agent04_Withdrawals!A28="","",Agent04_Withdrawals!B28)</f>
        <v/>
      </c>
      <c r="D621" s="43" t="str">
        <f>IF(Agent04_Withdrawals!A28="","",Agent04_Withdrawals!C28)</f>
        <v/>
      </c>
      <c r="E621" s="41" t="str">
        <f>IF(Agent04_Withdrawals!A28="","",Agent04_Withdrawals!D28)</f>
        <v/>
      </c>
      <c r="F621" s="40" t="str">
        <f>IF(Agent04_Withdrawals!A28="","",Agent04_Withdrawals!F28)</f>
        <v/>
      </c>
      <c r="G621" s="42" t="str">
        <f>IF(Agent04_Withdrawals!A28="","",Agent04_Withdrawals!E28)</f>
        <v/>
      </c>
      <c r="H621" s="42" t="str">
        <f>IF(Agent04_Withdrawals!A28="","",Agent04_Withdrawals!G28)</f>
        <v/>
      </c>
      <c r="I621" s="40" t="str">
        <f>IF(Agent04_Withdrawals!A28="","",Agent04_Withdrawals!H28)</f>
        <v/>
      </c>
      <c r="J621" s="40" t="str">
        <f>IF(Agent04_Withdrawals!A28="","",Agent04_Withdrawals!J28)</f>
        <v/>
      </c>
      <c r="K621" s="40" t="str">
        <f>IF(Agent04_Withdrawals!A28="","",Agent04_Withdrawals!K28)</f>
        <v/>
      </c>
      <c r="L621" s="40" t="str">
        <f>IF(G621="","",IF(D621-G621&gt;=System_Config!$B$9,"✅ OK","⚠️ BREACH"))</f>
        <v/>
      </c>
      <c r="M621" s="40" t="str">
        <f>IFERROR(IF(Agent04_Withdrawals!A28="","",YEAR(Agent04_Withdrawals!D28)),"")</f>
        <v/>
      </c>
    </row>
    <row r="622" spans="1:13" ht="18" customHeight="1" x14ac:dyDescent="0.25">
      <c r="A622" s="40" t="str">
        <f>IF(Agent04_Withdrawals!A29="","",Agent04_Withdrawals!A29)</f>
        <v/>
      </c>
      <c r="B622" s="40" t="str">
        <f ca="1">IF(Agent04_Withdrawals!A29="","","WD"&amp;TEXT(622-3,"0000")&amp;"-"&amp;TEXT(TODAY(),"YYYYMMDD"))</f>
        <v/>
      </c>
      <c r="C622" s="40" t="str">
        <f>IF(Agent04_Withdrawals!A29="","",Agent04_Withdrawals!B29)</f>
        <v/>
      </c>
      <c r="D622" s="43" t="str">
        <f>IF(Agent04_Withdrawals!A29="","",Agent04_Withdrawals!C29)</f>
        <v/>
      </c>
      <c r="E622" s="41" t="str">
        <f>IF(Agent04_Withdrawals!A29="","",Agent04_Withdrawals!D29)</f>
        <v/>
      </c>
      <c r="F622" s="40" t="str">
        <f>IF(Agent04_Withdrawals!A29="","",Agent04_Withdrawals!F29)</f>
        <v/>
      </c>
      <c r="G622" s="42" t="str">
        <f>IF(Agent04_Withdrawals!A29="","",Agent04_Withdrawals!E29)</f>
        <v/>
      </c>
      <c r="H622" s="42" t="str">
        <f>IF(Agent04_Withdrawals!A29="","",Agent04_Withdrawals!G29)</f>
        <v/>
      </c>
      <c r="I622" s="40" t="str">
        <f>IF(Agent04_Withdrawals!A29="","",Agent04_Withdrawals!H29)</f>
        <v/>
      </c>
      <c r="J622" s="40" t="str">
        <f>IF(Agent04_Withdrawals!A29="","",Agent04_Withdrawals!J29)</f>
        <v/>
      </c>
      <c r="K622" s="40" t="str">
        <f>IF(Agent04_Withdrawals!A29="","",Agent04_Withdrawals!K29)</f>
        <v/>
      </c>
      <c r="L622" s="40" t="str">
        <f>IF(G622="","",IF(D622-G622&gt;=System_Config!$B$9,"✅ OK","⚠️ BREACH"))</f>
        <v/>
      </c>
      <c r="M622" s="40" t="str">
        <f>IFERROR(IF(Agent04_Withdrawals!A29="","",YEAR(Agent04_Withdrawals!D29)),"")</f>
        <v/>
      </c>
    </row>
    <row r="623" spans="1:13" ht="18" customHeight="1" x14ac:dyDescent="0.25">
      <c r="A623" s="40" t="str">
        <f>IF(Agent04_Withdrawals!A30="","",Agent04_Withdrawals!A30)</f>
        <v/>
      </c>
      <c r="B623" s="40" t="str">
        <f ca="1">IF(Agent04_Withdrawals!A30="","","WD"&amp;TEXT(623-3,"0000")&amp;"-"&amp;TEXT(TODAY(),"YYYYMMDD"))</f>
        <v/>
      </c>
      <c r="C623" s="40" t="str">
        <f>IF(Agent04_Withdrawals!A30="","",Agent04_Withdrawals!B30)</f>
        <v/>
      </c>
      <c r="D623" s="43" t="str">
        <f>IF(Agent04_Withdrawals!A30="","",Agent04_Withdrawals!C30)</f>
        <v/>
      </c>
      <c r="E623" s="41" t="str">
        <f>IF(Agent04_Withdrawals!A30="","",Agent04_Withdrawals!D30)</f>
        <v/>
      </c>
      <c r="F623" s="40" t="str">
        <f>IF(Agent04_Withdrawals!A30="","",Agent04_Withdrawals!F30)</f>
        <v/>
      </c>
      <c r="G623" s="42" t="str">
        <f>IF(Agent04_Withdrawals!A30="","",Agent04_Withdrawals!E30)</f>
        <v/>
      </c>
      <c r="H623" s="42" t="str">
        <f>IF(Agent04_Withdrawals!A30="","",Agent04_Withdrawals!G30)</f>
        <v/>
      </c>
      <c r="I623" s="40" t="str">
        <f>IF(Agent04_Withdrawals!A30="","",Agent04_Withdrawals!H30)</f>
        <v/>
      </c>
      <c r="J623" s="40" t="str">
        <f>IF(Agent04_Withdrawals!A30="","",Agent04_Withdrawals!J30)</f>
        <v/>
      </c>
      <c r="K623" s="40" t="str">
        <f>IF(Agent04_Withdrawals!A30="","",Agent04_Withdrawals!K30)</f>
        <v/>
      </c>
      <c r="L623" s="40" t="str">
        <f>IF(G623="","",IF(D623-G623&gt;=System_Config!$B$9,"✅ OK","⚠️ BREACH"))</f>
        <v/>
      </c>
      <c r="M623" s="40" t="str">
        <f>IFERROR(IF(Agent04_Withdrawals!A30="","",YEAR(Agent04_Withdrawals!D30)),"")</f>
        <v/>
      </c>
    </row>
    <row r="624" spans="1:13" ht="18" customHeight="1" x14ac:dyDescent="0.25">
      <c r="A624" s="40" t="str">
        <f>IF(Agent04_Withdrawals!A31="","",Agent04_Withdrawals!A31)</f>
        <v/>
      </c>
      <c r="B624" s="40" t="str">
        <f ca="1">IF(Agent04_Withdrawals!A31="","","WD"&amp;TEXT(624-3,"0000")&amp;"-"&amp;TEXT(TODAY(),"YYYYMMDD"))</f>
        <v/>
      </c>
      <c r="C624" s="40" t="str">
        <f>IF(Agent04_Withdrawals!A31="","",Agent04_Withdrawals!B31)</f>
        <v/>
      </c>
      <c r="D624" s="43" t="str">
        <f>IF(Agent04_Withdrawals!A31="","",Agent04_Withdrawals!C31)</f>
        <v/>
      </c>
      <c r="E624" s="41" t="str">
        <f>IF(Agent04_Withdrawals!A31="","",Agent04_Withdrawals!D31)</f>
        <v/>
      </c>
      <c r="F624" s="40" t="str">
        <f>IF(Agent04_Withdrawals!A31="","",Agent04_Withdrawals!F31)</f>
        <v/>
      </c>
      <c r="G624" s="42" t="str">
        <f>IF(Agent04_Withdrawals!A31="","",Agent04_Withdrawals!E31)</f>
        <v/>
      </c>
      <c r="H624" s="42" t="str">
        <f>IF(Agent04_Withdrawals!A31="","",Agent04_Withdrawals!G31)</f>
        <v/>
      </c>
      <c r="I624" s="40" t="str">
        <f>IF(Agent04_Withdrawals!A31="","",Agent04_Withdrawals!H31)</f>
        <v/>
      </c>
      <c r="J624" s="40" t="str">
        <f>IF(Agent04_Withdrawals!A31="","",Agent04_Withdrawals!J31)</f>
        <v/>
      </c>
      <c r="K624" s="40" t="str">
        <f>IF(Agent04_Withdrawals!A31="","",Agent04_Withdrawals!K31)</f>
        <v/>
      </c>
      <c r="L624" s="40" t="str">
        <f>IF(G624="","",IF(D624-G624&gt;=System_Config!$B$9,"✅ OK","⚠️ BREACH"))</f>
        <v/>
      </c>
      <c r="M624" s="40" t="str">
        <f>IFERROR(IF(Agent04_Withdrawals!A31="","",YEAR(Agent04_Withdrawals!D31)),"")</f>
        <v/>
      </c>
    </row>
    <row r="625" spans="1:13" ht="18" customHeight="1" x14ac:dyDescent="0.25">
      <c r="A625" s="40" t="str">
        <f>IF(Agent04_Withdrawals!A32="","",Agent04_Withdrawals!A32)</f>
        <v/>
      </c>
      <c r="B625" s="40" t="str">
        <f ca="1">IF(Agent04_Withdrawals!A32="","","WD"&amp;TEXT(625-3,"0000")&amp;"-"&amp;TEXT(TODAY(),"YYYYMMDD"))</f>
        <v/>
      </c>
      <c r="C625" s="40" t="str">
        <f>IF(Agent04_Withdrawals!A32="","",Agent04_Withdrawals!B32)</f>
        <v/>
      </c>
      <c r="D625" s="43" t="str">
        <f>IF(Agent04_Withdrawals!A32="","",Agent04_Withdrawals!C32)</f>
        <v/>
      </c>
      <c r="E625" s="41" t="str">
        <f>IF(Agent04_Withdrawals!A32="","",Agent04_Withdrawals!D32)</f>
        <v/>
      </c>
      <c r="F625" s="40" t="str">
        <f>IF(Agent04_Withdrawals!A32="","",Agent04_Withdrawals!F32)</f>
        <v/>
      </c>
      <c r="G625" s="42" t="str">
        <f>IF(Agent04_Withdrawals!A32="","",Agent04_Withdrawals!E32)</f>
        <v/>
      </c>
      <c r="H625" s="42" t="str">
        <f>IF(Agent04_Withdrawals!A32="","",Agent04_Withdrawals!G32)</f>
        <v/>
      </c>
      <c r="I625" s="40" t="str">
        <f>IF(Agent04_Withdrawals!A32="","",Agent04_Withdrawals!H32)</f>
        <v/>
      </c>
      <c r="J625" s="40" t="str">
        <f>IF(Agent04_Withdrawals!A32="","",Agent04_Withdrawals!J32)</f>
        <v/>
      </c>
      <c r="K625" s="40" t="str">
        <f>IF(Agent04_Withdrawals!A32="","",Agent04_Withdrawals!K32)</f>
        <v/>
      </c>
      <c r="L625" s="40" t="str">
        <f>IF(G625="","",IF(D625-G625&gt;=System_Config!$B$9,"✅ OK","⚠️ BREACH"))</f>
        <v/>
      </c>
      <c r="M625" s="40" t="str">
        <f>IFERROR(IF(Agent04_Withdrawals!A32="","",YEAR(Agent04_Withdrawals!D32)),"")</f>
        <v/>
      </c>
    </row>
    <row r="626" spans="1:13" ht="18" customHeight="1" x14ac:dyDescent="0.25">
      <c r="A626" s="40" t="str">
        <f>IF(Agent04_Withdrawals!A33="","",Agent04_Withdrawals!A33)</f>
        <v/>
      </c>
      <c r="B626" s="40" t="str">
        <f ca="1">IF(Agent04_Withdrawals!A33="","","WD"&amp;TEXT(626-3,"0000")&amp;"-"&amp;TEXT(TODAY(),"YYYYMMDD"))</f>
        <v/>
      </c>
      <c r="C626" s="40" t="str">
        <f>IF(Agent04_Withdrawals!A33="","",Agent04_Withdrawals!B33)</f>
        <v/>
      </c>
      <c r="D626" s="43" t="str">
        <f>IF(Agent04_Withdrawals!A33="","",Agent04_Withdrawals!C33)</f>
        <v/>
      </c>
      <c r="E626" s="41" t="str">
        <f>IF(Agent04_Withdrawals!A33="","",Agent04_Withdrawals!D33)</f>
        <v/>
      </c>
      <c r="F626" s="40" t="str">
        <f>IF(Agent04_Withdrawals!A33="","",Agent04_Withdrawals!F33)</f>
        <v/>
      </c>
      <c r="G626" s="42" t="str">
        <f>IF(Agent04_Withdrawals!A33="","",Agent04_Withdrawals!E33)</f>
        <v/>
      </c>
      <c r="H626" s="42" t="str">
        <f>IF(Agent04_Withdrawals!A33="","",Agent04_Withdrawals!G33)</f>
        <v/>
      </c>
      <c r="I626" s="40" t="str">
        <f>IF(Agent04_Withdrawals!A33="","",Agent04_Withdrawals!H33)</f>
        <v/>
      </c>
      <c r="J626" s="40" t="str">
        <f>IF(Agent04_Withdrawals!A33="","",Agent04_Withdrawals!J33)</f>
        <v/>
      </c>
      <c r="K626" s="40" t="str">
        <f>IF(Agent04_Withdrawals!A33="","",Agent04_Withdrawals!K33)</f>
        <v/>
      </c>
      <c r="L626" s="40" t="str">
        <f>IF(G626="","",IF(D626-G626&gt;=System_Config!$B$9,"✅ OK","⚠️ BREACH"))</f>
        <v/>
      </c>
      <c r="M626" s="40" t="str">
        <f>IFERROR(IF(Agent04_Withdrawals!A33="","",YEAR(Agent04_Withdrawals!D33)),"")</f>
        <v/>
      </c>
    </row>
    <row r="627" spans="1:13" ht="18" customHeight="1" x14ac:dyDescent="0.25">
      <c r="A627" s="40" t="str">
        <f>IF(Agent04_Withdrawals!A34="","",Agent04_Withdrawals!A34)</f>
        <v/>
      </c>
      <c r="B627" s="40" t="str">
        <f ca="1">IF(Agent04_Withdrawals!A34="","","WD"&amp;TEXT(627-3,"0000")&amp;"-"&amp;TEXT(TODAY(),"YYYYMMDD"))</f>
        <v/>
      </c>
      <c r="C627" s="40" t="str">
        <f>IF(Agent04_Withdrawals!A34="","",Agent04_Withdrawals!B34)</f>
        <v/>
      </c>
      <c r="D627" s="43" t="str">
        <f>IF(Agent04_Withdrawals!A34="","",Agent04_Withdrawals!C34)</f>
        <v/>
      </c>
      <c r="E627" s="41" t="str">
        <f>IF(Agent04_Withdrawals!A34="","",Agent04_Withdrawals!D34)</f>
        <v/>
      </c>
      <c r="F627" s="40" t="str">
        <f>IF(Agent04_Withdrawals!A34="","",Agent04_Withdrawals!F34)</f>
        <v/>
      </c>
      <c r="G627" s="42" t="str">
        <f>IF(Agent04_Withdrawals!A34="","",Agent04_Withdrawals!E34)</f>
        <v/>
      </c>
      <c r="H627" s="42" t="str">
        <f>IF(Agent04_Withdrawals!A34="","",Agent04_Withdrawals!G34)</f>
        <v/>
      </c>
      <c r="I627" s="40" t="str">
        <f>IF(Agent04_Withdrawals!A34="","",Agent04_Withdrawals!H34)</f>
        <v/>
      </c>
      <c r="J627" s="40" t="str">
        <f>IF(Agent04_Withdrawals!A34="","",Agent04_Withdrawals!J34)</f>
        <v/>
      </c>
      <c r="K627" s="40" t="str">
        <f>IF(Agent04_Withdrawals!A34="","",Agent04_Withdrawals!K34)</f>
        <v/>
      </c>
      <c r="L627" s="40" t="str">
        <f>IF(G627="","",IF(D627-G627&gt;=System_Config!$B$9,"✅ OK","⚠️ BREACH"))</f>
        <v/>
      </c>
      <c r="M627" s="40" t="str">
        <f>IFERROR(IF(Agent04_Withdrawals!A34="","",YEAR(Agent04_Withdrawals!D34)),"")</f>
        <v/>
      </c>
    </row>
    <row r="628" spans="1:13" ht="18" customHeight="1" x14ac:dyDescent="0.25">
      <c r="A628" s="40" t="str">
        <f>IF(Agent04_Withdrawals!A35="","",Agent04_Withdrawals!A35)</f>
        <v/>
      </c>
      <c r="B628" s="40" t="str">
        <f ca="1">IF(Agent04_Withdrawals!A35="","","WD"&amp;TEXT(628-3,"0000")&amp;"-"&amp;TEXT(TODAY(),"YYYYMMDD"))</f>
        <v/>
      </c>
      <c r="C628" s="40" t="str">
        <f>IF(Agent04_Withdrawals!A35="","",Agent04_Withdrawals!B35)</f>
        <v/>
      </c>
      <c r="D628" s="43" t="str">
        <f>IF(Agent04_Withdrawals!A35="","",Agent04_Withdrawals!C35)</f>
        <v/>
      </c>
      <c r="E628" s="41" t="str">
        <f>IF(Agent04_Withdrawals!A35="","",Agent04_Withdrawals!D35)</f>
        <v/>
      </c>
      <c r="F628" s="40" t="str">
        <f>IF(Agent04_Withdrawals!A35="","",Agent04_Withdrawals!F35)</f>
        <v/>
      </c>
      <c r="G628" s="42" t="str">
        <f>IF(Agent04_Withdrawals!A35="","",Agent04_Withdrawals!E35)</f>
        <v/>
      </c>
      <c r="H628" s="42" t="str">
        <f>IF(Agent04_Withdrawals!A35="","",Agent04_Withdrawals!G35)</f>
        <v/>
      </c>
      <c r="I628" s="40" t="str">
        <f>IF(Agent04_Withdrawals!A35="","",Agent04_Withdrawals!H35)</f>
        <v/>
      </c>
      <c r="J628" s="40" t="str">
        <f>IF(Agent04_Withdrawals!A35="","",Agent04_Withdrawals!J35)</f>
        <v/>
      </c>
      <c r="K628" s="40" t="str">
        <f>IF(Agent04_Withdrawals!A35="","",Agent04_Withdrawals!K35)</f>
        <v/>
      </c>
      <c r="L628" s="40" t="str">
        <f>IF(G628="","",IF(D628-G628&gt;=System_Config!$B$9,"✅ OK","⚠️ BREACH"))</f>
        <v/>
      </c>
      <c r="M628" s="40" t="str">
        <f>IFERROR(IF(Agent04_Withdrawals!A35="","",YEAR(Agent04_Withdrawals!D35)),"")</f>
        <v/>
      </c>
    </row>
    <row r="629" spans="1:13" ht="18" customHeight="1" x14ac:dyDescent="0.25">
      <c r="A629" s="40" t="str">
        <f>IF(Agent04_Withdrawals!A36="","",Agent04_Withdrawals!A36)</f>
        <v/>
      </c>
      <c r="B629" s="40" t="str">
        <f ca="1">IF(Agent04_Withdrawals!A36="","","WD"&amp;TEXT(629-3,"0000")&amp;"-"&amp;TEXT(TODAY(),"YYYYMMDD"))</f>
        <v/>
      </c>
      <c r="C629" s="40" t="str">
        <f>IF(Agent04_Withdrawals!A36="","",Agent04_Withdrawals!B36)</f>
        <v/>
      </c>
      <c r="D629" s="43" t="str">
        <f>IF(Agent04_Withdrawals!A36="","",Agent04_Withdrawals!C36)</f>
        <v/>
      </c>
      <c r="E629" s="41" t="str">
        <f>IF(Agent04_Withdrawals!A36="","",Agent04_Withdrawals!D36)</f>
        <v/>
      </c>
      <c r="F629" s="40" t="str">
        <f>IF(Agent04_Withdrawals!A36="","",Agent04_Withdrawals!F36)</f>
        <v/>
      </c>
      <c r="G629" s="42" t="str">
        <f>IF(Agent04_Withdrawals!A36="","",Agent04_Withdrawals!E36)</f>
        <v/>
      </c>
      <c r="H629" s="42" t="str">
        <f>IF(Agent04_Withdrawals!A36="","",Agent04_Withdrawals!G36)</f>
        <v/>
      </c>
      <c r="I629" s="40" t="str">
        <f>IF(Agent04_Withdrawals!A36="","",Agent04_Withdrawals!H36)</f>
        <v/>
      </c>
      <c r="J629" s="40" t="str">
        <f>IF(Agent04_Withdrawals!A36="","",Agent04_Withdrawals!J36)</f>
        <v/>
      </c>
      <c r="K629" s="40" t="str">
        <f>IF(Agent04_Withdrawals!A36="","",Agent04_Withdrawals!K36)</f>
        <v/>
      </c>
      <c r="L629" s="40" t="str">
        <f>IF(G629="","",IF(D629-G629&gt;=System_Config!$B$9,"✅ OK","⚠️ BREACH"))</f>
        <v/>
      </c>
      <c r="M629" s="40" t="str">
        <f>IFERROR(IF(Agent04_Withdrawals!A36="","",YEAR(Agent04_Withdrawals!D36)),"")</f>
        <v/>
      </c>
    </row>
    <row r="630" spans="1:13" ht="18" customHeight="1" x14ac:dyDescent="0.25">
      <c r="A630" s="40" t="str">
        <f>IF(Agent04_Withdrawals!A37="","",Agent04_Withdrawals!A37)</f>
        <v/>
      </c>
      <c r="B630" s="40" t="str">
        <f ca="1">IF(Agent04_Withdrawals!A37="","","WD"&amp;TEXT(630-3,"0000")&amp;"-"&amp;TEXT(TODAY(),"YYYYMMDD"))</f>
        <v/>
      </c>
      <c r="C630" s="40" t="str">
        <f>IF(Agent04_Withdrawals!A37="","",Agent04_Withdrawals!B37)</f>
        <v/>
      </c>
      <c r="D630" s="43" t="str">
        <f>IF(Agent04_Withdrawals!A37="","",Agent04_Withdrawals!C37)</f>
        <v/>
      </c>
      <c r="E630" s="41" t="str">
        <f>IF(Agent04_Withdrawals!A37="","",Agent04_Withdrawals!D37)</f>
        <v/>
      </c>
      <c r="F630" s="40" t="str">
        <f>IF(Agent04_Withdrawals!A37="","",Agent04_Withdrawals!F37)</f>
        <v/>
      </c>
      <c r="G630" s="42" t="str">
        <f>IF(Agent04_Withdrawals!A37="","",Agent04_Withdrawals!E37)</f>
        <v/>
      </c>
      <c r="H630" s="42" t="str">
        <f>IF(Agent04_Withdrawals!A37="","",Agent04_Withdrawals!G37)</f>
        <v/>
      </c>
      <c r="I630" s="40" t="str">
        <f>IF(Agent04_Withdrawals!A37="","",Agent04_Withdrawals!H37)</f>
        <v/>
      </c>
      <c r="J630" s="40" t="str">
        <f>IF(Agent04_Withdrawals!A37="","",Agent04_Withdrawals!J37)</f>
        <v/>
      </c>
      <c r="K630" s="40" t="str">
        <f>IF(Agent04_Withdrawals!A37="","",Agent04_Withdrawals!K37)</f>
        <v/>
      </c>
      <c r="L630" s="40" t="str">
        <f>IF(G630="","",IF(D630-G630&gt;=System_Config!$B$9,"✅ OK","⚠️ BREACH"))</f>
        <v/>
      </c>
      <c r="M630" s="40" t="str">
        <f>IFERROR(IF(Agent04_Withdrawals!A37="","",YEAR(Agent04_Withdrawals!D37)),"")</f>
        <v/>
      </c>
    </row>
    <row r="631" spans="1:13" ht="18" customHeight="1" x14ac:dyDescent="0.25">
      <c r="A631" s="40" t="str">
        <f>IF(Agent04_Withdrawals!A38="","",Agent04_Withdrawals!A38)</f>
        <v/>
      </c>
      <c r="B631" s="40" t="str">
        <f ca="1">IF(Agent04_Withdrawals!A38="","","WD"&amp;TEXT(631-3,"0000")&amp;"-"&amp;TEXT(TODAY(),"YYYYMMDD"))</f>
        <v/>
      </c>
      <c r="C631" s="40" t="str">
        <f>IF(Agent04_Withdrawals!A38="","",Agent04_Withdrawals!B38)</f>
        <v/>
      </c>
      <c r="D631" s="43" t="str">
        <f>IF(Agent04_Withdrawals!A38="","",Agent04_Withdrawals!C38)</f>
        <v/>
      </c>
      <c r="E631" s="41" t="str">
        <f>IF(Agent04_Withdrawals!A38="","",Agent04_Withdrawals!D38)</f>
        <v/>
      </c>
      <c r="F631" s="40" t="str">
        <f>IF(Agent04_Withdrawals!A38="","",Agent04_Withdrawals!F38)</f>
        <v/>
      </c>
      <c r="G631" s="42" t="str">
        <f>IF(Agent04_Withdrawals!A38="","",Agent04_Withdrawals!E38)</f>
        <v/>
      </c>
      <c r="H631" s="42" t="str">
        <f>IF(Agent04_Withdrawals!A38="","",Agent04_Withdrawals!G38)</f>
        <v/>
      </c>
      <c r="I631" s="40" t="str">
        <f>IF(Agent04_Withdrawals!A38="","",Agent04_Withdrawals!H38)</f>
        <v/>
      </c>
      <c r="J631" s="40" t="str">
        <f>IF(Agent04_Withdrawals!A38="","",Agent04_Withdrawals!J38)</f>
        <v/>
      </c>
      <c r="K631" s="40" t="str">
        <f>IF(Agent04_Withdrawals!A38="","",Agent04_Withdrawals!K38)</f>
        <v/>
      </c>
      <c r="L631" s="40" t="str">
        <f>IF(G631="","",IF(D631-G631&gt;=System_Config!$B$9,"✅ OK","⚠️ BREACH"))</f>
        <v/>
      </c>
      <c r="M631" s="40" t="str">
        <f>IFERROR(IF(Agent04_Withdrawals!A38="","",YEAR(Agent04_Withdrawals!D38)),"")</f>
        <v/>
      </c>
    </row>
    <row r="632" spans="1:13" ht="18" customHeight="1" x14ac:dyDescent="0.25">
      <c r="A632" s="40" t="str">
        <f>IF(Agent04_Withdrawals!A39="","",Agent04_Withdrawals!A39)</f>
        <v/>
      </c>
      <c r="B632" s="40" t="str">
        <f ca="1">IF(Agent04_Withdrawals!A39="","","WD"&amp;TEXT(632-3,"0000")&amp;"-"&amp;TEXT(TODAY(),"YYYYMMDD"))</f>
        <v/>
      </c>
      <c r="C632" s="40" t="str">
        <f>IF(Agent04_Withdrawals!A39="","",Agent04_Withdrawals!B39)</f>
        <v/>
      </c>
      <c r="D632" s="43" t="str">
        <f>IF(Agent04_Withdrawals!A39="","",Agent04_Withdrawals!C39)</f>
        <v/>
      </c>
      <c r="E632" s="41" t="str">
        <f>IF(Agent04_Withdrawals!A39="","",Agent04_Withdrawals!D39)</f>
        <v/>
      </c>
      <c r="F632" s="40" t="str">
        <f>IF(Agent04_Withdrawals!A39="","",Agent04_Withdrawals!F39)</f>
        <v/>
      </c>
      <c r="G632" s="42" t="str">
        <f>IF(Agent04_Withdrawals!A39="","",Agent04_Withdrawals!E39)</f>
        <v/>
      </c>
      <c r="H632" s="42" t="str">
        <f>IF(Agent04_Withdrawals!A39="","",Agent04_Withdrawals!G39)</f>
        <v/>
      </c>
      <c r="I632" s="40" t="str">
        <f>IF(Agent04_Withdrawals!A39="","",Agent04_Withdrawals!H39)</f>
        <v/>
      </c>
      <c r="J632" s="40" t="str">
        <f>IF(Agent04_Withdrawals!A39="","",Agent04_Withdrawals!J39)</f>
        <v/>
      </c>
      <c r="K632" s="40" t="str">
        <f>IF(Agent04_Withdrawals!A39="","",Agent04_Withdrawals!K39)</f>
        <v/>
      </c>
      <c r="L632" s="40" t="str">
        <f>IF(G632="","",IF(D632-G632&gt;=System_Config!$B$9,"✅ OK","⚠️ BREACH"))</f>
        <v/>
      </c>
      <c r="M632" s="40" t="str">
        <f>IFERROR(IF(Agent04_Withdrawals!A39="","",YEAR(Agent04_Withdrawals!D39)),"")</f>
        <v/>
      </c>
    </row>
    <row r="633" spans="1:13" ht="18" customHeight="1" x14ac:dyDescent="0.25">
      <c r="A633" s="40" t="str">
        <f>IF(Agent04_Withdrawals!A40="","",Agent04_Withdrawals!A40)</f>
        <v/>
      </c>
      <c r="B633" s="40" t="str">
        <f ca="1">IF(Agent04_Withdrawals!A40="","","WD"&amp;TEXT(633-3,"0000")&amp;"-"&amp;TEXT(TODAY(),"YYYYMMDD"))</f>
        <v/>
      </c>
      <c r="C633" s="40" t="str">
        <f>IF(Agent04_Withdrawals!A40="","",Agent04_Withdrawals!B40)</f>
        <v/>
      </c>
      <c r="D633" s="43" t="str">
        <f>IF(Agent04_Withdrawals!A40="","",Agent04_Withdrawals!C40)</f>
        <v/>
      </c>
      <c r="E633" s="41" t="str">
        <f>IF(Agent04_Withdrawals!A40="","",Agent04_Withdrawals!D40)</f>
        <v/>
      </c>
      <c r="F633" s="40" t="str">
        <f>IF(Agent04_Withdrawals!A40="","",Agent04_Withdrawals!F40)</f>
        <v/>
      </c>
      <c r="G633" s="42" t="str">
        <f>IF(Agent04_Withdrawals!A40="","",Agent04_Withdrawals!E40)</f>
        <v/>
      </c>
      <c r="H633" s="42" t="str">
        <f>IF(Agent04_Withdrawals!A40="","",Agent04_Withdrawals!G40)</f>
        <v/>
      </c>
      <c r="I633" s="40" t="str">
        <f>IF(Agent04_Withdrawals!A40="","",Agent04_Withdrawals!H40)</f>
        <v/>
      </c>
      <c r="J633" s="40" t="str">
        <f>IF(Agent04_Withdrawals!A40="","",Agent04_Withdrawals!J40)</f>
        <v/>
      </c>
      <c r="K633" s="40" t="str">
        <f>IF(Agent04_Withdrawals!A40="","",Agent04_Withdrawals!K40)</f>
        <v/>
      </c>
      <c r="L633" s="40" t="str">
        <f>IF(G633="","",IF(D633-G633&gt;=System_Config!$B$9,"✅ OK","⚠️ BREACH"))</f>
        <v/>
      </c>
      <c r="M633" s="40" t="str">
        <f>IFERROR(IF(Agent04_Withdrawals!A40="","",YEAR(Agent04_Withdrawals!D40)),"")</f>
        <v/>
      </c>
    </row>
    <row r="634" spans="1:13" ht="18" customHeight="1" x14ac:dyDescent="0.25">
      <c r="A634" s="40" t="str">
        <f>IF(Agent04_Withdrawals!A41="","",Agent04_Withdrawals!A41)</f>
        <v/>
      </c>
      <c r="B634" s="40" t="str">
        <f ca="1">IF(Agent04_Withdrawals!A41="","","WD"&amp;TEXT(634-3,"0000")&amp;"-"&amp;TEXT(TODAY(),"YYYYMMDD"))</f>
        <v/>
      </c>
      <c r="C634" s="40" t="str">
        <f>IF(Agent04_Withdrawals!A41="","",Agent04_Withdrawals!B41)</f>
        <v/>
      </c>
      <c r="D634" s="43" t="str">
        <f>IF(Agent04_Withdrawals!A41="","",Agent04_Withdrawals!C41)</f>
        <v/>
      </c>
      <c r="E634" s="41" t="str">
        <f>IF(Agent04_Withdrawals!A41="","",Agent04_Withdrawals!D41)</f>
        <v/>
      </c>
      <c r="F634" s="40" t="str">
        <f>IF(Agent04_Withdrawals!A41="","",Agent04_Withdrawals!F41)</f>
        <v/>
      </c>
      <c r="G634" s="42" t="str">
        <f>IF(Agent04_Withdrawals!A41="","",Agent04_Withdrawals!E41)</f>
        <v/>
      </c>
      <c r="H634" s="42" t="str">
        <f>IF(Agent04_Withdrawals!A41="","",Agent04_Withdrawals!G41)</f>
        <v/>
      </c>
      <c r="I634" s="40" t="str">
        <f>IF(Agent04_Withdrawals!A41="","",Agent04_Withdrawals!H41)</f>
        <v/>
      </c>
      <c r="J634" s="40" t="str">
        <f>IF(Agent04_Withdrawals!A41="","",Agent04_Withdrawals!J41)</f>
        <v/>
      </c>
      <c r="K634" s="40" t="str">
        <f>IF(Agent04_Withdrawals!A41="","",Agent04_Withdrawals!K41)</f>
        <v/>
      </c>
      <c r="L634" s="40" t="str">
        <f>IF(G634="","",IF(D634-G634&gt;=System_Config!$B$9,"✅ OK","⚠️ BREACH"))</f>
        <v/>
      </c>
      <c r="M634" s="40" t="str">
        <f>IFERROR(IF(Agent04_Withdrawals!A41="","",YEAR(Agent04_Withdrawals!D41)),"")</f>
        <v/>
      </c>
    </row>
    <row r="635" spans="1:13" ht="18" customHeight="1" x14ac:dyDescent="0.25">
      <c r="A635" s="40" t="str">
        <f>IF(Agent04_Withdrawals!A42="","",Agent04_Withdrawals!A42)</f>
        <v/>
      </c>
      <c r="B635" s="40" t="str">
        <f ca="1">IF(Agent04_Withdrawals!A42="","","WD"&amp;TEXT(635-3,"0000")&amp;"-"&amp;TEXT(TODAY(),"YYYYMMDD"))</f>
        <v/>
      </c>
      <c r="C635" s="40" t="str">
        <f>IF(Agent04_Withdrawals!A42="","",Agent04_Withdrawals!B42)</f>
        <v/>
      </c>
      <c r="D635" s="43" t="str">
        <f>IF(Agent04_Withdrawals!A42="","",Agent04_Withdrawals!C42)</f>
        <v/>
      </c>
      <c r="E635" s="41" t="str">
        <f>IF(Agent04_Withdrawals!A42="","",Agent04_Withdrawals!D42)</f>
        <v/>
      </c>
      <c r="F635" s="40" t="str">
        <f>IF(Agent04_Withdrawals!A42="","",Agent04_Withdrawals!F42)</f>
        <v/>
      </c>
      <c r="G635" s="42" t="str">
        <f>IF(Agent04_Withdrawals!A42="","",Agent04_Withdrawals!E42)</f>
        <v/>
      </c>
      <c r="H635" s="42" t="str">
        <f>IF(Agent04_Withdrawals!A42="","",Agent04_Withdrawals!G42)</f>
        <v/>
      </c>
      <c r="I635" s="40" t="str">
        <f>IF(Agent04_Withdrawals!A42="","",Agent04_Withdrawals!H42)</f>
        <v/>
      </c>
      <c r="J635" s="40" t="str">
        <f>IF(Agent04_Withdrawals!A42="","",Agent04_Withdrawals!J42)</f>
        <v/>
      </c>
      <c r="K635" s="40" t="str">
        <f>IF(Agent04_Withdrawals!A42="","",Agent04_Withdrawals!K42)</f>
        <v/>
      </c>
      <c r="L635" s="40" t="str">
        <f>IF(G635="","",IF(D635-G635&gt;=System_Config!$B$9,"✅ OK","⚠️ BREACH"))</f>
        <v/>
      </c>
      <c r="M635" s="40" t="str">
        <f>IFERROR(IF(Agent04_Withdrawals!A42="","",YEAR(Agent04_Withdrawals!D42)),"")</f>
        <v/>
      </c>
    </row>
    <row r="636" spans="1:13" ht="18" customHeight="1" x14ac:dyDescent="0.25">
      <c r="A636" s="40" t="str">
        <f>IF(Agent04_Withdrawals!A43="","",Agent04_Withdrawals!A43)</f>
        <v/>
      </c>
      <c r="B636" s="40" t="str">
        <f ca="1">IF(Agent04_Withdrawals!A43="","","WD"&amp;TEXT(636-3,"0000")&amp;"-"&amp;TEXT(TODAY(),"YYYYMMDD"))</f>
        <v/>
      </c>
      <c r="C636" s="40" t="str">
        <f>IF(Agent04_Withdrawals!A43="","",Agent04_Withdrawals!B43)</f>
        <v/>
      </c>
      <c r="D636" s="43" t="str">
        <f>IF(Agent04_Withdrawals!A43="","",Agent04_Withdrawals!C43)</f>
        <v/>
      </c>
      <c r="E636" s="41" t="str">
        <f>IF(Agent04_Withdrawals!A43="","",Agent04_Withdrawals!D43)</f>
        <v/>
      </c>
      <c r="F636" s="40" t="str">
        <f>IF(Agent04_Withdrawals!A43="","",Agent04_Withdrawals!F43)</f>
        <v/>
      </c>
      <c r="G636" s="42" t="str">
        <f>IF(Agent04_Withdrawals!A43="","",Agent04_Withdrawals!E43)</f>
        <v/>
      </c>
      <c r="H636" s="42" t="str">
        <f>IF(Agent04_Withdrawals!A43="","",Agent04_Withdrawals!G43)</f>
        <v/>
      </c>
      <c r="I636" s="40" t="str">
        <f>IF(Agent04_Withdrawals!A43="","",Agent04_Withdrawals!H43)</f>
        <v/>
      </c>
      <c r="J636" s="40" t="str">
        <f>IF(Agent04_Withdrawals!A43="","",Agent04_Withdrawals!J43)</f>
        <v/>
      </c>
      <c r="K636" s="40" t="str">
        <f>IF(Agent04_Withdrawals!A43="","",Agent04_Withdrawals!K43)</f>
        <v/>
      </c>
      <c r="L636" s="40" t="str">
        <f>IF(G636="","",IF(D636-G636&gt;=System_Config!$B$9,"✅ OK","⚠️ BREACH"))</f>
        <v/>
      </c>
      <c r="M636" s="40" t="str">
        <f>IFERROR(IF(Agent04_Withdrawals!A43="","",YEAR(Agent04_Withdrawals!D43)),"")</f>
        <v/>
      </c>
    </row>
    <row r="637" spans="1:13" ht="18" customHeight="1" x14ac:dyDescent="0.25">
      <c r="A637" s="40" t="str">
        <f>IF(Agent04_Withdrawals!A44="","",Agent04_Withdrawals!A44)</f>
        <v/>
      </c>
      <c r="B637" s="40" t="str">
        <f ca="1">IF(Agent04_Withdrawals!A44="","","WD"&amp;TEXT(637-3,"0000")&amp;"-"&amp;TEXT(TODAY(),"YYYYMMDD"))</f>
        <v/>
      </c>
      <c r="C637" s="40" t="str">
        <f>IF(Agent04_Withdrawals!A44="","",Agent04_Withdrawals!B44)</f>
        <v/>
      </c>
      <c r="D637" s="43" t="str">
        <f>IF(Agent04_Withdrawals!A44="","",Agent04_Withdrawals!C44)</f>
        <v/>
      </c>
      <c r="E637" s="41" t="str">
        <f>IF(Agent04_Withdrawals!A44="","",Agent04_Withdrawals!D44)</f>
        <v/>
      </c>
      <c r="F637" s="40" t="str">
        <f>IF(Agent04_Withdrawals!A44="","",Agent04_Withdrawals!F44)</f>
        <v/>
      </c>
      <c r="G637" s="42" t="str">
        <f>IF(Agent04_Withdrawals!A44="","",Agent04_Withdrawals!E44)</f>
        <v/>
      </c>
      <c r="H637" s="42" t="str">
        <f>IF(Agent04_Withdrawals!A44="","",Agent04_Withdrawals!G44)</f>
        <v/>
      </c>
      <c r="I637" s="40" t="str">
        <f>IF(Agent04_Withdrawals!A44="","",Agent04_Withdrawals!H44)</f>
        <v/>
      </c>
      <c r="J637" s="40" t="str">
        <f>IF(Agent04_Withdrawals!A44="","",Agent04_Withdrawals!J44)</f>
        <v/>
      </c>
      <c r="K637" s="40" t="str">
        <f>IF(Agent04_Withdrawals!A44="","",Agent04_Withdrawals!K44)</f>
        <v/>
      </c>
      <c r="L637" s="40" t="str">
        <f>IF(G637="","",IF(D637-G637&gt;=System_Config!$B$9,"✅ OK","⚠️ BREACH"))</f>
        <v/>
      </c>
      <c r="M637" s="40" t="str">
        <f>IFERROR(IF(Agent04_Withdrawals!A44="","",YEAR(Agent04_Withdrawals!D44)),"")</f>
        <v/>
      </c>
    </row>
    <row r="638" spans="1:13" ht="18" customHeight="1" x14ac:dyDescent="0.25">
      <c r="A638" s="40" t="str">
        <f>IF(Agent04_Withdrawals!A45="","",Agent04_Withdrawals!A45)</f>
        <v/>
      </c>
      <c r="B638" s="40" t="str">
        <f ca="1">IF(Agent04_Withdrawals!A45="","","WD"&amp;TEXT(638-3,"0000")&amp;"-"&amp;TEXT(TODAY(),"YYYYMMDD"))</f>
        <v/>
      </c>
      <c r="C638" s="40" t="str">
        <f>IF(Agent04_Withdrawals!A45="","",Agent04_Withdrawals!B45)</f>
        <v/>
      </c>
      <c r="D638" s="43" t="str">
        <f>IF(Agent04_Withdrawals!A45="","",Agent04_Withdrawals!C45)</f>
        <v/>
      </c>
      <c r="E638" s="41" t="str">
        <f>IF(Agent04_Withdrawals!A45="","",Agent04_Withdrawals!D45)</f>
        <v/>
      </c>
      <c r="F638" s="40" t="str">
        <f>IF(Agent04_Withdrawals!A45="","",Agent04_Withdrawals!F45)</f>
        <v/>
      </c>
      <c r="G638" s="42" t="str">
        <f>IF(Agent04_Withdrawals!A45="","",Agent04_Withdrawals!E45)</f>
        <v/>
      </c>
      <c r="H638" s="42" t="str">
        <f>IF(Agent04_Withdrawals!A45="","",Agent04_Withdrawals!G45)</f>
        <v/>
      </c>
      <c r="I638" s="40" t="str">
        <f>IF(Agent04_Withdrawals!A45="","",Agent04_Withdrawals!H45)</f>
        <v/>
      </c>
      <c r="J638" s="40" t="str">
        <f>IF(Agent04_Withdrawals!A45="","",Agent04_Withdrawals!J45)</f>
        <v/>
      </c>
      <c r="K638" s="40" t="str">
        <f>IF(Agent04_Withdrawals!A45="","",Agent04_Withdrawals!K45)</f>
        <v/>
      </c>
      <c r="L638" s="40" t="str">
        <f>IF(G638="","",IF(D638-G638&gt;=System_Config!$B$9,"✅ OK","⚠️ BREACH"))</f>
        <v/>
      </c>
      <c r="M638" s="40" t="str">
        <f>IFERROR(IF(Agent04_Withdrawals!A45="","",YEAR(Agent04_Withdrawals!D45)),"")</f>
        <v/>
      </c>
    </row>
    <row r="639" spans="1:13" ht="18" customHeight="1" x14ac:dyDescent="0.25">
      <c r="A639" s="40" t="str">
        <f>IF(Agent04_Withdrawals!A46="","",Agent04_Withdrawals!A46)</f>
        <v/>
      </c>
      <c r="B639" s="40" t="str">
        <f ca="1">IF(Agent04_Withdrawals!A46="","","WD"&amp;TEXT(639-3,"0000")&amp;"-"&amp;TEXT(TODAY(),"YYYYMMDD"))</f>
        <v/>
      </c>
      <c r="C639" s="40" t="str">
        <f>IF(Agent04_Withdrawals!A46="","",Agent04_Withdrawals!B46)</f>
        <v/>
      </c>
      <c r="D639" s="43" t="str">
        <f>IF(Agent04_Withdrawals!A46="","",Agent04_Withdrawals!C46)</f>
        <v/>
      </c>
      <c r="E639" s="41" t="str">
        <f>IF(Agent04_Withdrawals!A46="","",Agent04_Withdrawals!D46)</f>
        <v/>
      </c>
      <c r="F639" s="40" t="str">
        <f>IF(Agent04_Withdrawals!A46="","",Agent04_Withdrawals!F46)</f>
        <v/>
      </c>
      <c r="G639" s="42" t="str">
        <f>IF(Agent04_Withdrawals!A46="","",Agent04_Withdrawals!E46)</f>
        <v/>
      </c>
      <c r="H639" s="42" t="str">
        <f>IF(Agent04_Withdrawals!A46="","",Agent04_Withdrawals!G46)</f>
        <v/>
      </c>
      <c r="I639" s="40" t="str">
        <f>IF(Agent04_Withdrawals!A46="","",Agent04_Withdrawals!H46)</f>
        <v/>
      </c>
      <c r="J639" s="40" t="str">
        <f>IF(Agent04_Withdrawals!A46="","",Agent04_Withdrawals!J46)</f>
        <v/>
      </c>
      <c r="K639" s="40" t="str">
        <f>IF(Agent04_Withdrawals!A46="","",Agent04_Withdrawals!K46)</f>
        <v/>
      </c>
      <c r="L639" s="40" t="str">
        <f>IF(G639="","",IF(D639-G639&gt;=System_Config!$B$9,"✅ OK","⚠️ BREACH"))</f>
        <v/>
      </c>
      <c r="M639" s="40" t="str">
        <f>IFERROR(IF(Agent04_Withdrawals!A46="","",YEAR(Agent04_Withdrawals!D46)),"")</f>
        <v/>
      </c>
    </row>
    <row r="640" spans="1:13" ht="18" customHeight="1" x14ac:dyDescent="0.25">
      <c r="A640" s="40" t="str">
        <f>IF(Agent04_Withdrawals!A47="","",Agent04_Withdrawals!A47)</f>
        <v/>
      </c>
      <c r="B640" s="40" t="str">
        <f ca="1">IF(Agent04_Withdrawals!A47="","","WD"&amp;TEXT(640-3,"0000")&amp;"-"&amp;TEXT(TODAY(),"YYYYMMDD"))</f>
        <v/>
      </c>
      <c r="C640" s="40" t="str">
        <f>IF(Agent04_Withdrawals!A47="","",Agent04_Withdrawals!B47)</f>
        <v/>
      </c>
      <c r="D640" s="43" t="str">
        <f>IF(Agent04_Withdrawals!A47="","",Agent04_Withdrawals!C47)</f>
        <v/>
      </c>
      <c r="E640" s="41" t="str">
        <f>IF(Agent04_Withdrawals!A47="","",Agent04_Withdrawals!D47)</f>
        <v/>
      </c>
      <c r="F640" s="40" t="str">
        <f>IF(Agent04_Withdrawals!A47="","",Agent04_Withdrawals!F47)</f>
        <v/>
      </c>
      <c r="G640" s="42" t="str">
        <f>IF(Agent04_Withdrawals!A47="","",Agent04_Withdrawals!E47)</f>
        <v/>
      </c>
      <c r="H640" s="42" t="str">
        <f>IF(Agent04_Withdrawals!A47="","",Agent04_Withdrawals!G47)</f>
        <v/>
      </c>
      <c r="I640" s="40" t="str">
        <f>IF(Agent04_Withdrawals!A47="","",Agent04_Withdrawals!H47)</f>
        <v/>
      </c>
      <c r="J640" s="40" t="str">
        <f>IF(Agent04_Withdrawals!A47="","",Agent04_Withdrawals!J47)</f>
        <v/>
      </c>
      <c r="K640" s="40" t="str">
        <f>IF(Agent04_Withdrawals!A47="","",Agent04_Withdrawals!K47)</f>
        <v/>
      </c>
      <c r="L640" s="40" t="str">
        <f>IF(G640="","",IF(D640-G640&gt;=System_Config!$B$9,"✅ OK","⚠️ BREACH"))</f>
        <v/>
      </c>
      <c r="M640" s="40" t="str">
        <f>IFERROR(IF(Agent04_Withdrawals!A47="","",YEAR(Agent04_Withdrawals!D47)),"")</f>
        <v/>
      </c>
    </row>
    <row r="641" spans="1:13" ht="18" customHeight="1" x14ac:dyDescent="0.25">
      <c r="A641" s="40" t="str">
        <f>IF(Agent04_Withdrawals!A48="","",Agent04_Withdrawals!A48)</f>
        <v/>
      </c>
      <c r="B641" s="40" t="str">
        <f ca="1">IF(Agent04_Withdrawals!A48="","","WD"&amp;TEXT(641-3,"0000")&amp;"-"&amp;TEXT(TODAY(),"YYYYMMDD"))</f>
        <v/>
      </c>
      <c r="C641" s="40" t="str">
        <f>IF(Agent04_Withdrawals!A48="","",Agent04_Withdrawals!B48)</f>
        <v/>
      </c>
      <c r="D641" s="43" t="str">
        <f>IF(Agent04_Withdrawals!A48="","",Agent04_Withdrawals!C48)</f>
        <v/>
      </c>
      <c r="E641" s="41" t="str">
        <f>IF(Agent04_Withdrawals!A48="","",Agent04_Withdrawals!D48)</f>
        <v/>
      </c>
      <c r="F641" s="40" t="str">
        <f>IF(Agent04_Withdrawals!A48="","",Agent04_Withdrawals!F48)</f>
        <v/>
      </c>
      <c r="G641" s="42" t="str">
        <f>IF(Agent04_Withdrawals!A48="","",Agent04_Withdrawals!E48)</f>
        <v/>
      </c>
      <c r="H641" s="42" t="str">
        <f>IF(Agent04_Withdrawals!A48="","",Agent04_Withdrawals!G48)</f>
        <v/>
      </c>
      <c r="I641" s="40" t="str">
        <f>IF(Agent04_Withdrawals!A48="","",Agent04_Withdrawals!H48)</f>
        <v/>
      </c>
      <c r="J641" s="40" t="str">
        <f>IF(Agent04_Withdrawals!A48="","",Agent04_Withdrawals!J48)</f>
        <v/>
      </c>
      <c r="K641" s="40" t="str">
        <f>IF(Agent04_Withdrawals!A48="","",Agent04_Withdrawals!K48)</f>
        <v/>
      </c>
      <c r="L641" s="40" t="str">
        <f>IF(G641="","",IF(D641-G641&gt;=System_Config!$B$9,"✅ OK","⚠️ BREACH"))</f>
        <v/>
      </c>
      <c r="M641" s="40" t="str">
        <f>IFERROR(IF(Agent04_Withdrawals!A48="","",YEAR(Agent04_Withdrawals!D48)),"")</f>
        <v/>
      </c>
    </row>
    <row r="642" spans="1:13" ht="18" customHeight="1" x14ac:dyDescent="0.25">
      <c r="A642" s="40" t="str">
        <f>IF(Agent04_Withdrawals!A49="","",Agent04_Withdrawals!A49)</f>
        <v/>
      </c>
      <c r="B642" s="40" t="str">
        <f ca="1">IF(Agent04_Withdrawals!A49="","","WD"&amp;TEXT(642-3,"0000")&amp;"-"&amp;TEXT(TODAY(),"YYYYMMDD"))</f>
        <v/>
      </c>
      <c r="C642" s="40" t="str">
        <f>IF(Agent04_Withdrawals!A49="","",Agent04_Withdrawals!B49)</f>
        <v/>
      </c>
      <c r="D642" s="43" t="str">
        <f>IF(Agent04_Withdrawals!A49="","",Agent04_Withdrawals!C49)</f>
        <v/>
      </c>
      <c r="E642" s="41" t="str">
        <f>IF(Agent04_Withdrawals!A49="","",Agent04_Withdrawals!D49)</f>
        <v/>
      </c>
      <c r="F642" s="40" t="str">
        <f>IF(Agent04_Withdrawals!A49="","",Agent04_Withdrawals!F49)</f>
        <v/>
      </c>
      <c r="G642" s="42" t="str">
        <f>IF(Agent04_Withdrawals!A49="","",Agent04_Withdrawals!E49)</f>
        <v/>
      </c>
      <c r="H642" s="42" t="str">
        <f>IF(Agent04_Withdrawals!A49="","",Agent04_Withdrawals!G49)</f>
        <v/>
      </c>
      <c r="I642" s="40" t="str">
        <f>IF(Agent04_Withdrawals!A49="","",Agent04_Withdrawals!H49)</f>
        <v/>
      </c>
      <c r="J642" s="40" t="str">
        <f>IF(Agent04_Withdrawals!A49="","",Agent04_Withdrawals!J49)</f>
        <v/>
      </c>
      <c r="K642" s="40" t="str">
        <f>IF(Agent04_Withdrawals!A49="","",Agent04_Withdrawals!K49)</f>
        <v/>
      </c>
      <c r="L642" s="40" t="str">
        <f>IF(G642="","",IF(D642-G642&gt;=System_Config!$B$9,"✅ OK","⚠️ BREACH"))</f>
        <v/>
      </c>
      <c r="M642" s="40" t="str">
        <f>IFERROR(IF(Agent04_Withdrawals!A49="","",YEAR(Agent04_Withdrawals!D49)),"")</f>
        <v/>
      </c>
    </row>
    <row r="643" spans="1:13" ht="18" customHeight="1" x14ac:dyDescent="0.25">
      <c r="A643" s="40" t="str">
        <f>IF(Agent04_Withdrawals!A50="","",Agent04_Withdrawals!A50)</f>
        <v/>
      </c>
      <c r="B643" s="40" t="str">
        <f ca="1">IF(Agent04_Withdrawals!A50="","","WD"&amp;TEXT(643-3,"0000")&amp;"-"&amp;TEXT(TODAY(),"YYYYMMDD"))</f>
        <v/>
      </c>
      <c r="C643" s="40" t="str">
        <f>IF(Agent04_Withdrawals!A50="","",Agent04_Withdrawals!B50)</f>
        <v/>
      </c>
      <c r="D643" s="43" t="str">
        <f>IF(Agent04_Withdrawals!A50="","",Agent04_Withdrawals!C50)</f>
        <v/>
      </c>
      <c r="E643" s="41" t="str">
        <f>IF(Agent04_Withdrawals!A50="","",Agent04_Withdrawals!D50)</f>
        <v/>
      </c>
      <c r="F643" s="40" t="str">
        <f>IF(Agent04_Withdrawals!A50="","",Agent04_Withdrawals!F50)</f>
        <v/>
      </c>
      <c r="G643" s="42" t="str">
        <f>IF(Agent04_Withdrawals!A50="","",Agent04_Withdrawals!E50)</f>
        <v/>
      </c>
      <c r="H643" s="42" t="str">
        <f>IF(Agent04_Withdrawals!A50="","",Agent04_Withdrawals!G50)</f>
        <v/>
      </c>
      <c r="I643" s="40" t="str">
        <f>IF(Agent04_Withdrawals!A50="","",Agent04_Withdrawals!H50)</f>
        <v/>
      </c>
      <c r="J643" s="40" t="str">
        <f>IF(Agent04_Withdrawals!A50="","",Agent04_Withdrawals!J50)</f>
        <v/>
      </c>
      <c r="K643" s="40" t="str">
        <f>IF(Agent04_Withdrawals!A50="","",Agent04_Withdrawals!K50)</f>
        <v/>
      </c>
      <c r="L643" s="40" t="str">
        <f>IF(G643="","",IF(D643-G643&gt;=System_Config!$B$9,"✅ OK","⚠️ BREACH"))</f>
        <v/>
      </c>
      <c r="M643" s="40" t="str">
        <f>IFERROR(IF(Agent04_Withdrawals!A50="","",YEAR(Agent04_Withdrawals!D50)),"")</f>
        <v/>
      </c>
    </row>
    <row r="644" spans="1:13" ht="18" customHeight="1" x14ac:dyDescent="0.25">
      <c r="A644" s="40" t="str">
        <f>IF(Agent04_Withdrawals!A51="","",Agent04_Withdrawals!A51)</f>
        <v/>
      </c>
      <c r="B644" s="40" t="str">
        <f ca="1">IF(Agent04_Withdrawals!A51="","","WD"&amp;TEXT(644-3,"0000")&amp;"-"&amp;TEXT(TODAY(),"YYYYMMDD"))</f>
        <v/>
      </c>
      <c r="C644" s="40" t="str">
        <f>IF(Agent04_Withdrawals!A51="","",Agent04_Withdrawals!B51)</f>
        <v/>
      </c>
      <c r="D644" s="43" t="str">
        <f>IF(Agent04_Withdrawals!A51="","",Agent04_Withdrawals!C51)</f>
        <v/>
      </c>
      <c r="E644" s="41" t="str">
        <f>IF(Agent04_Withdrawals!A51="","",Agent04_Withdrawals!D51)</f>
        <v/>
      </c>
      <c r="F644" s="40" t="str">
        <f>IF(Agent04_Withdrawals!A51="","",Agent04_Withdrawals!F51)</f>
        <v/>
      </c>
      <c r="G644" s="42" t="str">
        <f>IF(Agent04_Withdrawals!A51="","",Agent04_Withdrawals!E51)</f>
        <v/>
      </c>
      <c r="H644" s="42" t="str">
        <f>IF(Agent04_Withdrawals!A51="","",Agent04_Withdrawals!G51)</f>
        <v/>
      </c>
      <c r="I644" s="40" t="str">
        <f>IF(Agent04_Withdrawals!A51="","",Agent04_Withdrawals!H51)</f>
        <v/>
      </c>
      <c r="J644" s="40" t="str">
        <f>IF(Agent04_Withdrawals!A51="","",Agent04_Withdrawals!J51)</f>
        <v/>
      </c>
      <c r="K644" s="40" t="str">
        <f>IF(Agent04_Withdrawals!A51="","",Agent04_Withdrawals!K51)</f>
        <v/>
      </c>
      <c r="L644" s="40" t="str">
        <f>IF(G644="","",IF(D644-G644&gt;=System_Config!$B$9,"✅ OK","⚠️ BREACH"))</f>
        <v/>
      </c>
      <c r="M644" s="40" t="str">
        <f>IFERROR(IF(Agent04_Withdrawals!A51="","",YEAR(Agent04_Withdrawals!D51)),"")</f>
        <v/>
      </c>
    </row>
    <row r="645" spans="1:13" ht="18" customHeight="1" x14ac:dyDescent="0.25">
      <c r="A645" s="40" t="str">
        <f>IF(Agent04_Withdrawals!A52="","",Agent04_Withdrawals!A52)</f>
        <v/>
      </c>
      <c r="B645" s="40" t="str">
        <f ca="1">IF(Agent04_Withdrawals!A52="","","WD"&amp;TEXT(645-3,"0000")&amp;"-"&amp;TEXT(TODAY(),"YYYYMMDD"))</f>
        <v/>
      </c>
      <c r="C645" s="40" t="str">
        <f>IF(Agent04_Withdrawals!A52="","",Agent04_Withdrawals!B52)</f>
        <v/>
      </c>
      <c r="D645" s="43" t="str">
        <f>IF(Agent04_Withdrawals!A52="","",Agent04_Withdrawals!C52)</f>
        <v/>
      </c>
      <c r="E645" s="41" t="str">
        <f>IF(Agent04_Withdrawals!A52="","",Agent04_Withdrawals!D52)</f>
        <v/>
      </c>
      <c r="F645" s="40" t="str">
        <f>IF(Agent04_Withdrawals!A52="","",Agent04_Withdrawals!F52)</f>
        <v/>
      </c>
      <c r="G645" s="42" t="str">
        <f>IF(Agent04_Withdrawals!A52="","",Agent04_Withdrawals!E52)</f>
        <v/>
      </c>
      <c r="H645" s="42" t="str">
        <f>IF(Agent04_Withdrawals!A52="","",Agent04_Withdrawals!G52)</f>
        <v/>
      </c>
      <c r="I645" s="40" t="str">
        <f>IF(Agent04_Withdrawals!A52="","",Agent04_Withdrawals!H52)</f>
        <v/>
      </c>
      <c r="J645" s="40" t="str">
        <f>IF(Agent04_Withdrawals!A52="","",Agent04_Withdrawals!J52)</f>
        <v/>
      </c>
      <c r="K645" s="40" t="str">
        <f>IF(Agent04_Withdrawals!A52="","",Agent04_Withdrawals!K52)</f>
        <v/>
      </c>
      <c r="L645" s="40" t="str">
        <f>IF(G645="","",IF(D645-G645&gt;=System_Config!$B$9,"✅ OK","⚠️ BREACH"))</f>
        <v/>
      </c>
      <c r="M645" s="40" t="str">
        <f>IFERROR(IF(Agent04_Withdrawals!A52="","",YEAR(Agent04_Withdrawals!D52)),"")</f>
        <v/>
      </c>
    </row>
    <row r="646" spans="1:13" ht="18" customHeight="1" x14ac:dyDescent="0.25">
      <c r="A646" s="40" t="str">
        <f>IF(Agent04_Withdrawals!A53="","",Agent04_Withdrawals!A53)</f>
        <v/>
      </c>
      <c r="B646" s="40" t="str">
        <f ca="1">IF(Agent04_Withdrawals!A53="","","WD"&amp;TEXT(646-3,"0000")&amp;"-"&amp;TEXT(TODAY(),"YYYYMMDD"))</f>
        <v/>
      </c>
      <c r="C646" s="40" t="str">
        <f>IF(Agent04_Withdrawals!A53="","",Agent04_Withdrawals!B53)</f>
        <v/>
      </c>
      <c r="D646" s="43" t="str">
        <f>IF(Agent04_Withdrawals!A53="","",Agent04_Withdrawals!C53)</f>
        <v/>
      </c>
      <c r="E646" s="41" t="str">
        <f>IF(Agent04_Withdrawals!A53="","",Agent04_Withdrawals!D53)</f>
        <v/>
      </c>
      <c r="F646" s="40" t="str">
        <f>IF(Agent04_Withdrawals!A53="","",Agent04_Withdrawals!F53)</f>
        <v/>
      </c>
      <c r="G646" s="42" t="str">
        <f>IF(Agent04_Withdrawals!A53="","",Agent04_Withdrawals!E53)</f>
        <v/>
      </c>
      <c r="H646" s="42" t="str">
        <f>IF(Agent04_Withdrawals!A53="","",Agent04_Withdrawals!G53)</f>
        <v/>
      </c>
      <c r="I646" s="40" t="str">
        <f>IF(Agent04_Withdrawals!A53="","",Agent04_Withdrawals!H53)</f>
        <v/>
      </c>
      <c r="J646" s="40" t="str">
        <f>IF(Agent04_Withdrawals!A53="","",Agent04_Withdrawals!J53)</f>
        <v/>
      </c>
      <c r="K646" s="40" t="str">
        <f>IF(Agent04_Withdrawals!A53="","",Agent04_Withdrawals!K53)</f>
        <v/>
      </c>
      <c r="L646" s="40" t="str">
        <f>IF(G646="","",IF(D646-G646&gt;=System_Config!$B$9,"✅ OK","⚠️ BREACH"))</f>
        <v/>
      </c>
      <c r="M646" s="40" t="str">
        <f>IFERROR(IF(Agent04_Withdrawals!A53="","",YEAR(Agent04_Withdrawals!D53)),"")</f>
        <v/>
      </c>
    </row>
    <row r="647" spans="1:13" ht="18" customHeight="1" x14ac:dyDescent="0.25">
      <c r="A647" s="40" t="str">
        <f>IF(Agent04_Withdrawals!A54="","",Agent04_Withdrawals!A54)</f>
        <v/>
      </c>
      <c r="B647" s="40" t="str">
        <f ca="1">IF(Agent04_Withdrawals!A54="","","WD"&amp;TEXT(647-3,"0000")&amp;"-"&amp;TEXT(TODAY(),"YYYYMMDD"))</f>
        <v/>
      </c>
      <c r="C647" s="40" t="str">
        <f>IF(Agent04_Withdrawals!A54="","",Agent04_Withdrawals!B54)</f>
        <v/>
      </c>
      <c r="D647" s="43" t="str">
        <f>IF(Agent04_Withdrawals!A54="","",Agent04_Withdrawals!C54)</f>
        <v/>
      </c>
      <c r="E647" s="41" t="str">
        <f>IF(Agent04_Withdrawals!A54="","",Agent04_Withdrawals!D54)</f>
        <v/>
      </c>
      <c r="F647" s="40" t="str">
        <f>IF(Agent04_Withdrawals!A54="","",Agent04_Withdrawals!F54)</f>
        <v/>
      </c>
      <c r="G647" s="42" t="str">
        <f>IF(Agent04_Withdrawals!A54="","",Agent04_Withdrawals!E54)</f>
        <v/>
      </c>
      <c r="H647" s="42" t="str">
        <f>IF(Agent04_Withdrawals!A54="","",Agent04_Withdrawals!G54)</f>
        <v/>
      </c>
      <c r="I647" s="40" t="str">
        <f>IF(Agent04_Withdrawals!A54="","",Agent04_Withdrawals!H54)</f>
        <v/>
      </c>
      <c r="J647" s="40" t="str">
        <f>IF(Agent04_Withdrawals!A54="","",Agent04_Withdrawals!J54)</f>
        <v/>
      </c>
      <c r="K647" s="40" t="str">
        <f>IF(Agent04_Withdrawals!A54="","",Agent04_Withdrawals!K54)</f>
        <v/>
      </c>
      <c r="L647" s="40" t="str">
        <f>IF(G647="","",IF(D647-G647&gt;=System_Config!$B$9,"✅ OK","⚠️ BREACH"))</f>
        <v/>
      </c>
      <c r="M647" s="40" t="str">
        <f>IFERROR(IF(Agent04_Withdrawals!A54="","",YEAR(Agent04_Withdrawals!D54)),"")</f>
        <v/>
      </c>
    </row>
    <row r="648" spans="1:13" ht="18" customHeight="1" x14ac:dyDescent="0.25">
      <c r="A648" s="40" t="str">
        <f>IF(Agent04_Withdrawals!A55="","",Agent04_Withdrawals!A55)</f>
        <v/>
      </c>
      <c r="B648" s="40" t="str">
        <f ca="1">IF(Agent04_Withdrawals!A55="","","WD"&amp;TEXT(648-3,"0000")&amp;"-"&amp;TEXT(TODAY(),"YYYYMMDD"))</f>
        <v/>
      </c>
      <c r="C648" s="40" t="str">
        <f>IF(Agent04_Withdrawals!A55="","",Agent04_Withdrawals!B55)</f>
        <v/>
      </c>
      <c r="D648" s="43" t="str">
        <f>IF(Agent04_Withdrawals!A55="","",Agent04_Withdrawals!C55)</f>
        <v/>
      </c>
      <c r="E648" s="41" t="str">
        <f>IF(Agent04_Withdrawals!A55="","",Agent04_Withdrawals!D55)</f>
        <v/>
      </c>
      <c r="F648" s="40" t="str">
        <f>IF(Agent04_Withdrawals!A55="","",Agent04_Withdrawals!F55)</f>
        <v/>
      </c>
      <c r="G648" s="42" t="str">
        <f>IF(Agent04_Withdrawals!A55="","",Agent04_Withdrawals!E55)</f>
        <v/>
      </c>
      <c r="H648" s="42" t="str">
        <f>IF(Agent04_Withdrawals!A55="","",Agent04_Withdrawals!G55)</f>
        <v/>
      </c>
      <c r="I648" s="40" t="str">
        <f>IF(Agent04_Withdrawals!A55="","",Agent04_Withdrawals!H55)</f>
        <v/>
      </c>
      <c r="J648" s="40" t="str">
        <f>IF(Agent04_Withdrawals!A55="","",Agent04_Withdrawals!J55)</f>
        <v/>
      </c>
      <c r="K648" s="40" t="str">
        <f>IF(Agent04_Withdrawals!A55="","",Agent04_Withdrawals!K55)</f>
        <v/>
      </c>
      <c r="L648" s="40" t="str">
        <f>IF(G648="","",IF(D648-G648&gt;=System_Config!$B$9,"✅ OK","⚠️ BREACH"))</f>
        <v/>
      </c>
      <c r="M648" s="40" t="str">
        <f>IFERROR(IF(Agent04_Withdrawals!A55="","",YEAR(Agent04_Withdrawals!D55)),"")</f>
        <v/>
      </c>
    </row>
    <row r="649" spans="1:13" ht="18" customHeight="1" x14ac:dyDescent="0.25">
      <c r="A649" s="40" t="str">
        <f>IF(Agent04_Withdrawals!A56="","",Agent04_Withdrawals!A56)</f>
        <v/>
      </c>
      <c r="B649" s="40" t="str">
        <f ca="1">IF(Agent04_Withdrawals!A56="","","WD"&amp;TEXT(649-3,"0000")&amp;"-"&amp;TEXT(TODAY(),"YYYYMMDD"))</f>
        <v/>
      </c>
      <c r="C649" s="40" t="str">
        <f>IF(Agent04_Withdrawals!A56="","",Agent04_Withdrawals!B56)</f>
        <v/>
      </c>
      <c r="D649" s="43" t="str">
        <f>IF(Agent04_Withdrawals!A56="","",Agent04_Withdrawals!C56)</f>
        <v/>
      </c>
      <c r="E649" s="41" t="str">
        <f>IF(Agent04_Withdrawals!A56="","",Agent04_Withdrawals!D56)</f>
        <v/>
      </c>
      <c r="F649" s="40" t="str">
        <f>IF(Agent04_Withdrawals!A56="","",Agent04_Withdrawals!F56)</f>
        <v/>
      </c>
      <c r="G649" s="42" t="str">
        <f>IF(Agent04_Withdrawals!A56="","",Agent04_Withdrawals!E56)</f>
        <v/>
      </c>
      <c r="H649" s="42" t="str">
        <f>IF(Agent04_Withdrawals!A56="","",Agent04_Withdrawals!G56)</f>
        <v/>
      </c>
      <c r="I649" s="40" t="str">
        <f>IF(Agent04_Withdrawals!A56="","",Agent04_Withdrawals!H56)</f>
        <v/>
      </c>
      <c r="J649" s="40" t="str">
        <f>IF(Agent04_Withdrawals!A56="","",Agent04_Withdrawals!J56)</f>
        <v/>
      </c>
      <c r="K649" s="40" t="str">
        <f>IF(Agent04_Withdrawals!A56="","",Agent04_Withdrawals!K56)</f>
        <v/>
      </c>
      <c r="L649" s="40" t="str">
        <f>IF(G649="","",IF(D649-G649&gt;=System_Config!$B$9,"✅ OK","⚠️ BREACH"))</f>
        <v/>
      </c>
      <c r="M649" s="40" t="str">
        <f>IFERROR(IF(Agent04_Withdrawals!A56="","",YEAR(Agent04_Withdrawals!D56)),"")</f>
        <v/>
      </c>
    </row>
    <row r="650" spans="1:13" ht="18" customHeight="1" x14ac:dyDescent="0.25">
      <c r="A650" s="40" t="str">
        <f>IF(Agent04_Withdrawals!A57="","",Agent04_Withdrawals!A57)</f>
        <v/>
      </c>
      <c r="B650" s="40" t="str">
        <f ca="1">IF(Agent04_Withdrawals!A57="","","WD"&amp;TEXT(650-3,"0000")&amp;"-"&amp;TEXT(TODAY(),"YYYYMMDD"))</f>
        <v/>
      </c>
      <c r="C650" s="40" t="str">
        <f>IF(Agent04_Withdrawals!A57="","",Agent04_Withdrawals!B57)</f>
        <v/>
      </c>
      <c r="D650" s="43" t="str">
        <f>IF(Agent04_Withdrawals!A57="","",Agent04_Withdrawals!C57)</f>
        <v/>
      </c>
      <c r="E650" s="41" t="str">
        <f>IF(Agent04_Withdrawals!A57="","",Agent04_Withdrawals!D57)</f>
        <v/>
      </c>
      <c r="F650" s="40" t="str">
        <f>IF(Agent04_Withdrawals!A57="","",Agent04_Withdrawals!F57)</f>
        <v/>
      </c>
      <c r="G650" s="42" t="str">
        <f>IF(Agent04_Withdrawals!A57="","",Agent04_Withdrawals!E57)</f>
        <v/>
      </c>
      <c r="H650" s="42" t="str">
        <f>IF(Agent04_Withdrawals!A57="","",Agent04_Withdrawals!G57)</f>
        <v/>
      </c>
      <c r="I650" s="40" t="str">
        <f>IF(Agent04_Withdrawals!A57="","",Agent04_Withdrawals!H57)</f>
        <v/>
      </c>
      <c r="J650" s="40" t="str">
        <f>IF(Agent04_Withdrawals!A57="","",Agent04_Withdrawals!J57)</f>
        <v/>
      </c>
      <c r="K650" s="40" t="str">
        <f>IF(Agent04_Withdrawals!A57="","",Agent04_Withdrawals!K57)</f>
        <v/>
      </c>
      <c r="L650" s="40" t="str">
        <f>IF(G650="","",IF(D650-G650&gt;=System_Config!$B$9,"✅ OK","⚠️ BREACH"))</f>
        <v/>
      </c>
      <c r="M650" s="40" t="str">
        <f>IFERROR(IF(Agent04_Withdrawals!A57="","",YEAR(Agent04_Withdrawals!D57)),"")</f>
        <v/>
      </c>
    </row>
    <row r="651" spans="1:13" ht="18" customHeight="1" x14ac:dyDescent="0.25">
      <c r="A651" s="40" t="str">
        <f>IF(Agent04_Withdrawals!A58="","",Agent04_Withdrawals!A58)</f>
        <v/>
      </c>
      <c r="B651" s="40" t="str">
        <f ca="1">IF(Agent04_Withdrawals!A58="","","WD"&amp;TEXT(651-3,"0000")&amp;"-"&amp;TEXT(TODAY(),"YYYYMMDD"))</f>
        <v/>
      </c>
      <c r="C651" s="40" t="str">
        <f>IF(Agent04_Withdrawals!A58="","",Agent04_Withdrawals!B58)</f>
        <v/>
      </c>
      <c r="D651" s="43" t="str">
        <f>IF(Agent04_Withdrawals!A58="","",Agent04_Withdrawals!C58)</f>
        <v/>
      </c>
      <c r="E651" s="41" t="str">
        <f>IF(Agent04_Withdrawals!A58="","",Agent04_Withdrawals!D58)</f>
        <v/>
      </c>
      <c r="F651" s="40" t="str">
        <f>IF(Agent04_Withdrawals!A58="","",Agent04_Withdrawals!F58)</f>
        <v/>
      </c>
      <c r="G651" s="42" t="str">
        <f>IF(Agent04_Withdrawals!A58="","",Agent04_Withdrawals!E58)</f>
        <v/>
      </c>
      <c r="H651" s="42" t="str">
        <f>IF(Agent04_Withdrawals!A58="","",Agent04_Withdrawals!G58)</f>
        <v/>
      </c>
      <c r="I651" s="40" t="str">
        <f>IF(Agent04_Withdrawals!A58="","",Agent04_Withdrawals!H58)</f>
        <v/>
      </c>
      <c r="J651" s="40" t="str">
        <f>IF(Agent04_Withdrawals!A58="","",Agent04_Withdrawals!J58)</f>
        <v/>
      </c>
      <c r="K651" s="40" t="str">
        <f>IF(Agent04_Withdrawals!A58="","",Agent04_Withdrawals!K58)</f>
        <v/>
      </c>
      <c r="L651" s="40" t="str">
        <f>IF(G651="","",IF(D651-G651&gt;=System_Config!$B$9,"✅ OK","⚠️ BREACH"))</f>
        <v/>
      </c>
      <c r="M651" s="40" t="str">
        <f>IFERROR(IF(Agent04_Withdrawals!A58="","",YEAR(Agent04_Withdrawals!D58)),"")</f>
        <v/>
      </c>
    </row>
    <row r="652" spans="1:13" ht="18" customHeight="1" x14ac:dyDescent="0.25">
      <c r="A652" s="40" t="str">
        <f>IF(Agent04_Withdrawals!A59="","",Agent04_Withdrawals!A59)</f>
        <v/>
      </c>
      <c r="B652" s="40" t="str">
        <f ca="1">IF(Agent04_Withdrawals!A59="","","WD"&amp;TEXT(652-3,"0000")&amp;"-"&amp;TEXT(TODAY(),"YYYYMMDD"))</f>
        <v/>
      </c>
      <c r="C652" s="40" t="str">
        <f>IF(Agent04_Withdrawals!A59="","",Agent04_Withdrawals!B59)</f>
        <v/>
      </c>
      <c r="D652" s="43" t="str">
        <f>IF(Agent04_Withdrawals!A59="","",Agent04_Withdrawals!C59)</f>
        <v/>
      </c>
      <c r="E652" s="41" t="str">
        <f>IF(Agent04_Withdrawals!A59="","",Agent04_Withdrawals!D59)</f>
        <v/>
      </c>
      <c r="F652" s="40" t="str">
        <f>IF(Agent04_Withdrawals!A59="","",Agent04_Withdrawals!F59)</f>
        <v/>
      </c>
      <c r="G652" s="42" t="str">
        <f>IF(Agent04_Withdrawals!A59="","",Agent04_Withdrawals!E59)</f>
        <v/>
      </c>
      <c r="H652" s="42" t="str">
        <f>IF(Agent04_Withdrawals!A59="","",Agent04_Withdrawals!G59)</f>
        <v/>
      </c>
      <c r="I652" s="40" t="str">
        <f>IF(Agent04_Withdrawals!A59="","",Agent04_Withdrawals!H59)</f>
        <v/>
      </c>
      <c r="J652" s="40" t="str">
        <f>IF(Agent04_Withdrawals!A59="","",Agent04_Withdrawals!J59)</f>
        <v/>
      </c>
      <c r="K652" s="40" t="str">
        <f>IF(Agent04_Withdrawals!A59="","",Agent04_Withdrawals!K59)</f>
        <v/>
      </c>
      <c r="L652" s="40" t="str">
        <f>IF(G652="","",IF(D652-G652&gt;=System_Config!$B$9,"✅ OK","⚠️ BREACH"))</f>
        <v/>
      </c>
      <c r="M652" s="40" t="str">
        <f>IFERROR(IF(Agent04_Withdrawals!A59="","",YEAR(Agent04_Withdrawals!D59)),"")</f>
        <v/>
      </c>
    </row>
    <row r="653" spans="1:13" ht="18" customHeight="1" x14ac:dyDescent="0.25">
      <c r="A653" s="40" t="str">
        <f>IF(Agent04_Withdrawals!A60="","",Agent04_Withdrawals!A60)</f>
        <v/>
      </c>
      <c r="B653" s="40" t="str">
        <f ca="1">IF(Agent04_Withdrawals!A60="","","WD"&amp;TEXT(653-3,"0000")&amp;"-"&amp;TEXT(TODAY(),"YYYYMMDD"))</f>
        <v/>
      </c>
      <c r="C653" s="40" t="str">
        <f>IF(Agent04_Withdrawals!A60="","",Agent04_Withdrawals!B60)</f>
        <v/>
      </c>
      <c r="D653" s="43" t="str">
        <f>IF(Agent04_Withdrawals!A60="","",Agent04_Withdrawals!C60)</f>
        <v/>
      </c>
      <c r="E653" s="41" t="str">
        <f>IF(Agent04_Withdrawals!A60="","",Agent04_Withdrawals!D60)</f>
        <v/>
      </c>
      <c r="F653" s="40" t="str">
        <f>IF(Agent04_Withdrawals!A60="","",Agent04_Withdrawals!F60)</f>
        <v/>
      </c>
      <c r="G653" s="42" t="str">
        <f>IF(Agent04_Withdrawals!A60="","",Agent04_Withdrawals!E60)</f>
        <v/>
      </c>
      <c r="H653" s="42" t="str">
        <f>IF(Agent04_Withdrawals!A60="","",Agent04_Withdrawals!G60)</f>
        <v/>
      </c>
      <c r="I653" s="40" t="str">
        <f>IF(Agent04_Withdrawals!A60="","",Agent04_Withdrawals!H60)</f>
        <v/>
      </c>
      <c r="J653" s="40" t="str">
        <f>IF(Agent04_Withdrawals!A60="","",Agent04_Withdrawals!J60)</f>
        <v/>
      </c>
      <c r="K653" s="40" t="str">
        <f>IF(Agent04_Withdrawals!A60="","",Agent04_Withdrawals!K60)</f>
        <v/>
      </c>
      <c r="L653" s="40" t="str">
        <f>IF(G653="","",IF(D653-G653&gt;=System_Config!$B$9,"✅ OK","⚠️ BREACH"))</f>
        <v/>
      </c>
      <c r="M653" s="40" t="str">
        <f>IFERROR(IF(Agent04_Withdrawals!A60="","",YEAR(Agent04_Withdrawals!D60)),"")</f>
        <v/>
      </c>
    </row>
    <row r="654" spans="1:13" ht="18" customHeight="1" x14ac:dyDescent="0.25">
      <c r="A654" s="40" t="str">
        <f>IF(Agent04_Withdrawals!A61="","",Agent04_Withdrawals!A61)</f>
        <v/>
      </c>
      <c r="B654" s="40" t="str">
        <f ca="1">IF(Agent04_Withdrawals!A61="","","WD"&amp;TEXT(654-3,"0000")&amp;"-"&amp;TEXT(TODAY(),"YYYYMMDD"))</f>
        <v/>
      </c>
      <c r="C654" s="40" t="str">
        <f>IF(Agent04_Withdrawals!A61="","",Agent04_Withdrawals!B61)</f>
        <v/>
      </c>
      <c r="D654" s="43" t="str">
        <f>IF(Agent04_Withdrawals!A61="","",Agent04_Withdrawals!C61)</f>
        <v/>
      </c>
      <c r="E654" s="41" t="str">
        <f>IF(Agent04_Withdrawals!A61="","",Agent04_Withdrawals!D61)</f>
        <v/>
      </c>
      <c r="F654" s="40" t="str">
        <f>IF(Agent04_Withdrawals!A61="","",Agent04_Withdrawals!F61)</f>
        <v/>
      </c>
      <c r="G654" s="42" t="str">
        <f>IF(Agent04_Withdrawals!A61="","",Agent04_Withdrawals!E61)</f>
        <v/>
      </c>
      <c r="H654" s="42" t="str">
        <f>IF(Agent04_Withdrawals!A61="","",Agent04_Withdrawals!G61)</f>
        <v/>
      </c>
      <c r="I654" s="40" t="str">
        <f>IF(Agent04_Withdrawals!A61="","",Agent04_Withdrawals!H61)</f>
        <v/>
      </c>
      <c r="J654" s="40" t="str">
        <f>IF(Agent04_Withdrawals!A61="","",Agent04_Withdrawals!J61)</f>
        <v/>
      </c>
      <c r="K654" s="40" t="str">
        <f>IF(Agent04_Withdrawals!A61="","",Agent04_Withdrawals!K61)</f>
        <v/>
      </c>
      <c r="L654" s="40" t="str">
        <f>IF(G654="","",IF(D654-G654&gt;=System_Config!$B$9,"✅ OK","⚠️ BREACH"))</f>
        <v/>
      </c>
      <c r="M654" s="40" t="str">
        <f>IFERROR(IF(Agent04_Withdrawals!A61="","",YEAR(Agent04_Withdrawals!D61)),"")</f>
        <v/>
      </c>
    </row>
    <row r="655" spans="1:13" ht="18" customHeight="1" x14ac:dyDescent="0.25">
      <c r="A655" s="40" t="str">
        <f>IF(Agent04_Withdrawals!A62="","",Agent04_Withdrawals!A62)</f>
        <v/>
      </c>
      <c r="B655" s="40" t="str">
        <f ca="1">IF(Agent04_Withdrawals!A62="","","WD"&amp;TEXT(655-3,"0000")&amp;"-"&amp;TEXT(TODAY(),"YYYYMMDD"))</f>
        <v/>
      </c>
      <c r="C655" s="40" t="str">
        <f>IF(Agent04_Withdrawals!A62="","",Agent04_Withdrawals!B62)</f>
        <v/>
      </c>
      <c r="D655" s="43" t="str">
        <f>IF(Agent04_Withdrawals!A62="","",Agent04_Withdrawals!C62)</f>
        <v/>
      </c>
      <c r="E655" s="41" t="str">
        <f>IF(Agent04_Withdrawals!A62="","",Agent04_Withdrawals!D62)</f>
        <v/>
      </c>
      <c r="F655" s="40" t="str">
        <f>IF(Agent04_Withdrawals!A62="","",Agent04_Withdrawals!F62)</f>
        <v/>
      </c>
      <c r="G655" s="42" t="str">
        <f>IF(Agent04_Withdrawals!A62="","",Agent04_Withdrawals!E62)</f>
        <v/>
      </c>
      <c r="H655" s="42" t="str">
        <f>IF(Agent04_Withdrawals!A62="","",Agent04_Withdrawals!G62)</f>
        <v/>
      </c>
      <c r="I655" s="40" t="str">
        <f>IF(Agent04_Withdrawals!A62="","",Agent04_Withdrawals!H62)</f>
        <v/>
      </c>
      <c r="J655" s="40" t="str">
        <f>IF(Agent04_Withdrawals!A62="","",Agent04_Withdrawals!J62)</f>
        <v/>
      </c>
      <c r="K655" s="40" t="str">
        <f>IF(Agent04_Withdrawals!A62="","",Agent04_Withdrawals!K62)</f>
        <v/>
      </c>
      <c r="L655" s="40" t="str">
        <f>IF(G655="","",IF(D655-G655&gt;=System_Config!$B$9,"✅ OK","⚠️ BREACH"))</f>
        <v/>
      </c>
      <c r="M655" s="40" t="str">
        <f>IFERROR(IF(Agent04_Withdrawals!A62="","",YEAR(Agent04_Withdrawals!D62)),"")</f>
        <v/>
      </c>
    </row>
    <row r="656" spans="1:13" ht="18" customHeight="1" x14ac:dyDescent="0.25">
      <c r="A656" s="40" t="str">
        <f>IF(Agent04_Withdrawals!A63="","",Agent04_Withdrawals!A63)</f>
        <v/>
      </c>
      <c r="B656" s="40" t="str">
        <f ca="1">IF(Agent04_Withdrawals!A63="","","WD"&amp;TEXT(656-3,"0000")&amp;"-"&amp;TEXT(TODAY(),"YYYYMMDD"))</f>
        <v/>
      </c>
      <c r="C656" s="40" t="str">
        <f>IF(Agent04_Withdrawals!A63="","",Agent04_Withdrawals!B63)</f>
        <v/>
      </c>
      <c r="D656" s="43" t="str">
        <f>IF(Agent04_Withdrawals!A63="","",Agent04_Withdrawals!C63)</f>
        <v/>
      </c>
      <c r="E656" s="41" t="str">
        <f>IF(Agent04_Withdrawals!A63="","",Agent04_Withdrawals!D63)</f>
        <v/>
      </c>
      <c r="F656" s="40" t="str">
        <f>IF(Agent04_Withdrawals!A63="","",Agent04_Withdrawals!F63)</f>
        <v/>
      </c>
      <c r="G656" s="42" t="str">
        <f>IF(Agent04_Withdrawals!A63="","",Agent04_Withdrawals!E63)</f>
        <v/>
      </c>
      <c r="H656" s="42" t="str">
        <f>IF(Agent04_Withdrawals!A63="","",Agent04_Withdrawals!G63)</f>
        <v/>
      </c>
      <c r="I656" s="40" t="str">
        <f>IF(Agent04_Withdrawals!A63="","",Agent04_Withdrawals!H63)</f>
        <v/>
      </c>
      <c r="J656" s="40" t="str">
        <f>IF(Agent04_Withdrawals!A63="","",Agent04_Withdrawals!J63)</f>
        <v/>
      </c>
      <c r="K656" s="40" t="str">
        <f>IF(Agent04_Withdrawals!A63="","",Agent04_Withdrawals!K63)</f>
        <v/>
      </c>
      <c r="L656" s="40" t="str">
        <f>IF(G656="","",IF(D656-G656&gt;=System_Config!$B$9,"✅ OK","⚠️ BREACH"))</f>
        <v/>
      </c>
      <c r="M656" s="40" t="str">
        <f>IFERROR(IF(Agent04_Withdrawals!A63="","",YEAR(Agent04_Withdrawals!D63)),"")</f>
        <v/>
      </c>
    </row>
    <row r="657" spans="1:13" ht="18" customHeight="1" x14ac:dyDescent="0.25">
      <c r="A657" s="40" t="str">
        <f>IF(Agent04_Withdrawals!A64="","",Agent04_Withdrawals!A64)</f>
        <v/>
      </c>
      <c r="B657" s="40" t="str">
        <f ca="1">IF(Agent04_Withdrawals!A64="","","WD"&amp;TEXT(657-3,"0000")&amp;"-"&amp;TEXT(TODAY(),"YYYYMMDD"))</f>
        <v/>
      </c>
      <c r="C657" s="40" t="str">
        <f>IF(Agent04_Withdrawals!A64="","",Agent04_Withdrawals!B64)</f>
        <v/>
      </c>
      <c r="D657" s="43" t="str">
        <f>IF(Agent04_Withdrawals!A64="","",Agent04_Withdrawals!C64)</f>
        <v/>
      </c>
      <c r="E657" s="41" t="str">
        <f>IF(Agent04_Withdrawals!A64="","",Agent04_Withdrawals!D64)</f>
        <v/>
      </c>
      <c r="F657" s="40" t="str">
        <f>IF(Agent04_Withdrawals!A64="","",Agent04_Withdrawals!F64)</f>
        <v/>
      </c>
      <c r="G657" s="42" t="str">
        <f>IF(Agent04_Withdrawals!A64="","",Agent04_Withdrawals!E64)</f>
        <v/>
      </c>
      <c r="H657" s="42" t="str">
        <f>IF(Agent04_Withdrawals!A64="","",Agent04_Withdrawals!G64)</f>
        <v/>
      </c>
      <c r="I657" s="40" t="str">
        <f>IF(Agent04_Withdrawals!A64="","",Agent04_Withdrawals!H64)</f>
        <v/>
      </c>
      <c r="J657" s="40" t="str">
        <f>IF(Agent04_Withdrawals!A64="","",Agent04_Withdrawals!J64)</f>
        <v/>
      </c>
      <c r="K657" s="40" t="str">
        <f>IF(Agent04_Withdrawals!A64="","",Agent04_Withdrawals!K64)</f>
        <v/>
      </c>
      <c r="L657" s="40" t="str">
        <f>IF(G657="","",IF(D657-G657&gt;=System_Config!$B$9,"✅ OK","⚠️ BREACH"))</f>
        <v/>
      </c>
      <c r="M657" s="40" t="str">
        <f>IFERROR(IF(Agent04_Withdrawals!A64="","",YEAR(Agent04_Withdrawals!D64)),"")</f>
        <v/>
      </c>
    </row>
    <row r="658" spans="1:13" ht="18" customHeight="1" x14ac:dyDescent="0.25">
      <c r="A658" s="40" t="str">
        <f>IF(Agent04_Withdrawals!A65="","",Agent04_Withdrawals!A65)</f>
        <v/>
      </c>
      <c r="B658" s="40" t="str">
        <f ca="1">IF(Agent04_Withdrawals!A65="","","WD"&amp;TEXT(658-3,"0000")&amp;"-"&amp;TEXT(TODAY(),"YYYYMMDD"))</f>
        <v/>
      </c>
      <c r="C658" s="40" t="str">
        <f>IF(Agent04_Withdrawals!A65="","",Agent04_Withdrawals!B65)</f>
        <v/>
      </c>
      <c r="D658" s="43" t="str">
        <f>IF(Agent04_Withdrawals!A65="","",Agent04_Withdrawals!C65)</f>
        <v/>
      </c>
      <c r="E658" s="41" t="str">
        <f>IF(Agent04_Withdrawals!A65="","",Agent04_Withdrawals!D65)</f>
        <v/>
      </c>
      <c r="F658" s="40" t="str">
        <f>IF(Agent04_Withdrawals!A65="","",Agent04_Withdrawals!F65)</f>
        <v/>
      </c>
      <c r="G658" s="42" t="str">
        <f>IF(Agent04_Withdrawals!A65="","",Agent04_Withdrawals!E65)</f>
        <v/>
      </c>
      <c r="H658" s="42" t="str">
        <f>IF(Agent04_Withdrawals!A65="","",Agent04_Withdrawals!G65)</f>
        <v/>
      </c>
      <c r="I658" s="40" t="str">
        <f>IF(Agent04_Withdrawals!A65="","",Agent04_Withdrawals!H65)</f>
        <v/>
      </c>
      <c r="J658" s="40" t="str">
        <f>IF(Agent04_Withdrawals!A65="","",Agent04_Withdrawals!J65)</f>
        <v/>
      </c>
      <c r="K658" s="40" t="str">
        <f>IF(Agent04_Withdrawals!A65="","",Agent04_Withdrawals!K65)</f>
        <v/>
      </c>
      <c r="L658" s="40" t="str">
        <f>IF(G658="","",IF(D658-G658&gt;=System_Config!$B$9,"✅ OK","⚠️ BREACH"))</f>
        <v/>
      </c>
      <c r="M658" s="40" t="str">
        <f>IFERROR(IF(Agent04_Withdrawals!A65="","",YEAR(Agent04_Withdrawals!D65)),"")</f>
        <v/>
      </c>
    </row>
    <row r="659" spans="1:13" ht="18" customHeight="1" x14ac:dyDescent="0.25">
      <c r="A659" s="40" t="str">
        <f>IF(Agent04_Withdrawals!A66="","",Agent04_Withdrawals!A66)</f>
        <v/>
      </c>
      <c r="B659" s="40" t="str">
        <f ca="1">IF(Agent04_Withdrawals!A66="","","WD"&amp;TEXT(659-3,"0000")&amp;"-"&amp;TEXT(TODAY(),"YYYYMMDD"))</f>
        <v/>
      </c>
      <c r="C659" s="40" t="str">
        <f>IF(Agent04_Withdrawals!A66="","",Agent04_Withdrawals!B66)</f>
        <v/>
      </c>
      <c r="D659" s="43" t="str">
        <f>IF(Agent04_Withdrawals!A66="","",Agent04_Withdrawals!C66)</f>
        <v/>
      </c>
      <c r="E659" s="41" t="str">
        <f>IF(Agent04_Withdrawals!A66="","",Agent04_Withdrawals!D66)</f>
        <v/>
      </c>
      <c r="F659" s="40" t="str">
        <f>IF(Agent04_Withdrawals!A66="","",Agent04_Withdrawals!F66)</f>
        <v/>
      </c>
      <c r="G659" s="42" t="str">
        <f>IF(Agent04_Withdrawals!A66="","",Agent04_Withdrawals!E66)</f>
        <v/>
      </c>
      <c r="H659" s="42" t="str">
        <f>IF(Agent04_Withdrawals!A66="","",Agent04_Withdrawals!G66)</f>
        <v/>
      </c>
      <c r="I659" s="40" t="str">
        <f>IF(Agent04_Withdrawals!A66="","",Agent04_Withdrawals!H66)</f>
        <v/>
      </c>
      <c r="J659" s="40" t="str">
        <f>IF(Agent04_Withdrawals!A66="","",Agent04_Withdrawals!J66)</f>
        <v/>
      </c>
      <c r="K659" s="40" t="str">
        <f>IF(Agent04_Withdrawals!A66="","",Agent04_Withdrawals!K66)</f>
        <v/>
      </c>
      <c r="L659" s="40" t="str">
        <f>IF(G659="","",IF(D659-G659&gt;=System_Config!$B$9,"✅ OK","⚠️ BREACH"))</f>
        <v/>
      </c>
      <c r="M659" s="40" t="str">
        <f>IFERROR(IF(Agent04_Withdrawals!A66="","",YEAR(Agent04_Withdrawals!D66)),"")</f>
        <v/>
      </c>
    </row>
    <row r="660" spans="1:13" ht="18" customHeight="1" x14ac:dyDescent="0.25">
      <c r="A660" s="40" t="str">
        <f>IF(Agent04_Withdrawals!A67="","",Agent04_Withdrawals!A67)</f>
        <v/>
      </c>
      <c r="B660" s="40" t="str">
        <f ca="1">IF(Agent04_Withdrawals!A67="","","WD"&amp;TEXT(660-3,"0000")&amp;"-"&amp;TEXT(TODAY(),"YYYYMMDD"))</f>
        <v/>
      </c>
      <c r="C660" s="40" t="str">
        <f>IF(Agent04_Withdrawals!A67="","",Agent04_Withdrawals!B67)</f>
        <v/>
      </c>
      <c r="D660" s="43" t="str">
        <f>IF(Agent04_Withdrawals!A67="","",Agent04_Withdrawals!C67)</f>
        <v/>
      </c>
      <c r="E660" s="41" t="str">
        <f>IF(Agent04_Withdrawals!A67="","",Agent04_Withdrawals!D67)</f>
        <v/>
      </c>
      <c r="F660" s="40" t="str">
        <f>IF(Agent04_Withdrawals!A67="","",Agent04_Withdrawals!F67)</f>
        <v/>
      </c>
      <c r="G660" s="42" t="str">
        <f>IF(Agent04_Withdrawals!A67="","",Agent04_Withdrawals!E67)</f>
        <v/>
      </c>
      <c r="H660" s="42" t="str">
        <f>IF(Agent04_Withdrawals!A67="","",Agent04_Withdrawals!G67)</f>
        <v/>
      </c>
      <c r="I660" s="40" t="str">
        <f>IF(Agent04_Withdrawals!A67="","",Agent04_Withdrawals!H67)</f>
        <v/>
      </c>
      <c r="J660" s="40" t="str">
        <f>IF(Agent04_Withdrawals!A67="","",Agent04_Withdrawals!J67)</f>
        <v/>
      </c>
      <c r="K660" s="40" t="str">
        <f>IF(Agent04_Withdrawals!A67="","",Agent04_Withdrawals!K67)</f>
        <v/>
      </c>
      <c r="L660" s="40" t="str">
        <f>IF(G660="","",IF(D660-G660&gt;=System_Config!$B$9,"✅ OK","⚠️ BREACH"))</f>
        <v/>
      </c>
      <c r="M660" s="40" t="str">
        <f>IFERROR(IF(Agent04_Withdrawals!A67="","",YEAR(Agent04_Withdrawals!D67)),"")</f>
        <v/>
      </c>
    </row>
    <row r="661" spans="1:13" ht="18" customHeight="1" x14ac:dyDescent="0.25">
      <c r="A661" s="40" t="str">
        <f>IF(Agent04_Withdrawals!A68="","",Agent04_Withdrawals!A68)</f>
        <v/>
      </c>
      <c r="B661" s="40" t="str">
        <f ca="1">IF(Agent04_Withdrawals!A68="","","WD"&amp;TEXT(661-3,"0000")&amp;"-"&amp;TEXT(TODAY(),"YYYYMMDD"))</f>
        <v/>
      </c>
      <c r="C661" s="40" t="str">
        <f>IF(Agent04_Withdrawals!A68="","",Agent04_Withdrawals!B68)</f>
        <v/>
      </c>
      <c r="D661" s="43" t="str">
        <f>IF(Agent04_Withdrawals!A68="","",Agent04_Withdrawals!C68)</f>
        <v/>
      </c>
      <c r="E661" s="41" t="str">
        <f>IF(Agent04_Withdrawals!A68="","",Agent04_Withdrawals!D68)</f>
        <v/>
      </c>
      <c r="F661" s="40" t="str">
        <f>IF(Agent04_Withdrawals!A68="","",Agent04_Withdrawals!F68)</f>
        <v/>
      </c>
      <c r="G661" s="42" t="str">
        <f>IF(Agent04_Withdrawals!A68="","",Agent04_Withdrawals!E68)</f>
        <v/>
      </c>
      <c r="H661" s="42" t="str">
        <f>IF(Agent04_Withdrawals!A68="","",Agent04_Withdrawals!G68)</f>
        <v/>
      </c>
      <c r="I661" s="40" t="str">
        <f>IF(Agent04_Withdrawals!A68="","",Agent04_Withdrawals!H68)</f>
        <v/>
      </c>
      <c r="J661" s="40" t="str">
        <f>IF(Agent04_Withdrawals!A68="","",Agent04_Withdrawals!J68)</f>
        <v/>
      </c>
      <c r="K661" s="40" t="str">
        <f>IF(Agent04_Withdrawals!A68="","",Agent04_Withdrawals!K68)</f>
        <v/>
      </c>
      <c r="L661" s="40" t="str">
        <f>IF(G661="","",IF(D661-G661&gt;=System_Config!$B$9,"✅ OK","⚠️ BREACH"))</f>
        <v/>
      </c>
      <c r="M661" s="40" t="str">
        <f>IFERROR(IF(Agent04_Withdrawals!A68="","",YEAR(Agent04_Withdrawals!D68)),"")</f>
        <v/>
      </c>
    </row>
    <row r="662" spans="1:13" ht="18" customHeight="1" x14ac:dyDescent="0.25">
      <c r="A662" s="40" t="str">
        <f>IF(Agent04_Withdrawals!A69="","",Agent04_Withdrawals!A69)</f>
        <v/>
      </c>
      <c r="B662" s="40" t="str">
        <f ca="1">IF(Agent04_Withdrawals!A69="","","WD"&amp;TEXT(662-3,"0000")&amp;"-"&amp;TEXT(TODAY(),"YYYYMMDD"))</f>
        <v/>
      </c>
      <c r="C662" s="40" t="str">
        <f>IF(Agent04_Withdrawals!A69="","",Agent04_Withdrawals!B69)</f>
        <v/>
      </c>
      <c r="D662" s="43" t="str">
        <f>IF(Agent04_Withdrawals!A69="","",Agent04_Withdrawals!C69)</f>
        <v/>
      </c>
      <c r="E662" s="41" t="str">
        <f>IF(Agent04_Withdrawals!A69="","",Agent04_Withdrawals!D69)</f>
        <v/>
      </c>
      <c r="F662" s="40" t="str">
        <f>IF(Agent04_Withdrawals!A69="","",Agent04_Withdrawals!F69)</f>
        <v/>
      </c>
      <c r="G662" s="42" t="str">
        <f>IF(Agent04_Withdrawals!A69="","",Agent04_Withdrawals!E69)</f>
        <v/>
      </c>
      <c r="H662" s="42" t="str">
        <f>IF(Agent04_Withdrawals!A69="","",Agent04_Withdrawals!G69)</f>
        <v/>
      </c>
      <c r="I662" s="40" t="str">
        <f>IF(Agent04_Withdrawals!A69="","",Agent04_Withdrawals!H69)</f>
        <v/>
      </c>
      <c r="J662" s="40" t="str">
        <f>IF(Agent04_Withdrawals!A69="","",Agent04_Withdrawals!J69)</f>
        <v/>
      </c>
      <c r="K662" s="40" t="str">
        <f>IF(Agent04_Withdrawals!A69="","",Agent04_Withdrawals!K69)</f>
        <v/>
      </c>
      <c r="L662" s="40" t="str">
        <f>IF(G662="","",IF(D662-G662&gt;=System_Config!$B$9,"✅ OK","⚠️ BREACH"))</f>
        <v/>
      </c>
      <c r="M662" s="40" t="str">
        <f>IFERROR(IF(Agent04_Withdrawals!A69="","",YEAR(Agent04_Withdrawals!D69)),"")</f>
        <v/>
      </c>
    </row>
    <row r="663" spans="1:13" ht="18" customHeight="1" x14ac:dyDescent="0.25">
      <c r="A663" s="40" t="str">
        <f>IF(Agent04_Withdrawals!A70="","",Agent04_Withdrawals!A70)</f>
        <v/>
      </c>
      <c r="B663" s="40" t="str">
        <f ca="1">IF(Agent04_Withdrawals!A70="","","WD"&amp;TEXT(663-3,"0000")&amp;"-"&amp;TEXT(TODAY(),"YYYYMMDD"))</f>
        <v/>
      </c>
      <c r="C663" s="40" t="str">
        <f>IF(Agent04_Withdrawals!A70="","",Agent04_Withdrawals!B70)</f>
        <v/>
      </c>
      <c r="D663" s="43" t="str">
        <f>IF(Agent04_Withdrawals!A70="","",Agent04_Withdrawals!C70)</f>
        <v/>
      </c>
      <c r="E663" s="41" t="str">
        <f>IF(Agent04_Withdrawals!A70="","",Agent04_Withdrawals!D70)</f>
        <v/>
      </c>
      <c r="F663" s="40" t="str">
        <f>IF(Agent04_Withdrawals!A70="","",Agent04_Withdrawals!F70)</f>
        <v/>
      </c>
      <c r="G663" s="42" t="str">
        <f>IF(Agent04_Withdrawals!A70="","",Agent04_Withdrawals!E70)</f>
        <v/>
      </c>
      <c r="H663" s="42" t="str">
        <f>IF(Agent04_Withdrawals!A70="","",Agent04_Withdrawals!G70)</f>
        <v/>
      </c>
      <c r="I663" s="40" t="str">
        <f>IF(Agent04_Withdrawals!A70="","",Agent04_Withdrawals!H70)</f>
        <v/>
      </c>
      <c r="J663" s="40" t="str">
        <f>IF(Agent04_Withdrawals!A70="","",Agent04_Withdrawals!J70)</f>
        <v/>
      </c>
      <c r="K663" s="40" t="str">
        <f>IF(Agent04_Withdrawals!A70="","",Agent04_Withdrawals!K70)</f>
        <v/>
      </c>
      <c r="L663" s="40" t="str">
        <f>IF(G663="","",IF(D663-G663&gt;=System_Config!$B$9,"✅ OK","⚠️ BREACH"))</f>
        <v/>
      </c>
      <c r="M663" s="40" t="str">
        <f>IFERROR(IF(Agent04_Withdrawals!A70="","",YEAR(Agent04_Withdrawals!D70)),"")</f>
        <v/>
      </c>
    </row>
    <row r="664" spans="1:13" ht="18" customHeight="1" x14ac:dyDescent="0.25">
      <c r="A664" s="40" t="str">
        <f>IF(Agent04_Withdrawals!A71="","",Agent04_Withdrawals!A71)</f>
        <v/>
      </c>
      <c r="B664" s="40" t="str">
        <f ca="1">IF(Agent04_Withdrawals!A71="","","WD"&amp;TEXT(664-3,"0000")&amp;"-"&amp;TEXT(TODAY(),"YYYYMMDD"))</f>
        <v/>
      </c>
      <c r="C664" s="40" t="str">
        <f>IF(Agent04_Withdrawals!A71="","",Agent04_Withdrawals!B71)</f>
        <v/>
      </c>
      <c r="D664" s="43" t="str">
        <f>IF(Agent04_Withdrawals!A71="","",Agent04_Withdrawals!C71)</f>
        <v/>
      </c>
      <c r="E664" s="41" t="str">
        <f>IF(Agent04_Withdrawals!A71="","",Agent04_Withdrawals!D71)</f>
        <v/>
      </c>
      <c r="F664" s="40" t="str">
        <f>IF(Agent04_Withdrawals!A71="","",Agent04_Withdrawals!F71)</f>
        <v/>
      </c>
      <c r="G664" s="42" t="str">
        <f>IF(Agent04_Withdrawals!A71="","",Agent04_Withdrawals!E71)</f>
        <v/>
      </c>
      <c r="H664" s="42" t="str">
        <f>IF(Agent04_Withdrawals!A71="","",Agent04_Withdrawals!G71)</f>
        <v/>
      </c>
      <c r="I664" s="40" t="str">
        <f>IF(Agent04_Withdrawals!A71="","",Agent04_Withdrawals!H71)</f>
        <v/>
      </c>
      <c r="J664" s="40" t="str">
        <f>IF(Agent04_Withdrawals!A71="","",Agent04_Withdrawals!J71)</f>
        <v/>
      </c>
      <c r="K664" s="40" t="str">
        <f>IF(Agent04_Withdrawals!A71="","",Agent04_Withdrawals!K71)</f>
        <v/>
      </c>
      <c r="L664" s="40" t="str">
        <f>IF(G664="","",IF(D664-G664&gt;=System_Config!$B$9,"✅ OK","⚠️ BREACH"))</f>
        <v/>
      </c>
      <c r="M664" s="40" t="str">
        <f>IFERROR(IF(Agent04_Withdrawals!A71="","",YEAR(Agent04_Withdrawals!D71)),"")</f>
        <v/>
      </c>
    </row>
    <row r="665" spans="1:13" ht="18" customHeight="1" x14ac:dyDescent="0.25">
      <c r="A665" s="40" t="str">
        <f>IF(Agent04_Withdrawals!A72="","",Agent04_Withdrawals!A72)</f>
        <v/>
      </c>
      <c r="B665" s="40" t="str">
        <f ca="1">IF(Agent04_Withdrawals!A72="","","WD"&amp;TEXT(665-3,"0000")&amp;"-"&amp;TEXT(TODAY(),"YYYYMMDD"))</f>
        <v/>
      </c>
      <c r="C665" s="40" t="str">
        <f>IF(Agent04_Withdrawals!A72="","",Agent04_Withdrawals!B72)</f>
        <v/>
      </c>
      <c r="D665" s="43" t="str">
        <f>IF(Agent04_Withdrawals!A72="","",Agent04_Withdrawals!C72)</f>
        <v/>
      </c>
      <c r="E665" s="41" t="str">
        <f>IF(Agent04_Withdrawals!A72="","",Agent04_Withdrawals!D72)</f>
        <v/>
      </c>
      <c r="F665" s="40" t="str">
        <f>IF(Agent04_Withdrawals!A72="","",Agent04_Withdrawals!F72)</f>
        <v/>
      </c>
      <c r="G665" s="42" t="str">
        <f>IF(Agent04_Withdrawals!A72="","",Agent04_Withdrawals!E72)</f>
        <v/>
      </c>
      <c r="H665" s="42" t="str">
        <f>IF(Agent04_Withdrawals!A72="","",Agent04_Withdrawals!G72)</f>
        <v/>
      </c>
      <c r="I665" s="40" t="str">
        <f>IF(Agent04_Withdrawals!A72="","",Agent04_Withdrawals!H72)</f>
        <v/>
      </c>
      <c r="J665" s="40" t="str">
        <f>IF(Agent04_Withdrawals!A72="","",Agent04_Withdrawals!J72)</f>
        <v/>
      </c>
      <c r="K665" s="40" t="str">
        <f>IF(Agent04_Withdrawals!A72="","",Agent04_Withdrawals!K72)</f>
        <v/>
      </c>
      <c r="L665" s="40" t="str">
        <f>IF(G665="","",IF(D665-G665&gt;=System_Config!$B$9,"✅ OK","⚠️ BREACH"))</f>
        <v/>
      </c>
      <c r="M665" s="40" t="str">
        <f>IFERROR(IF(Agent04_Withdrawals!A72="","",YEAR(Agent04_Withdrawals!D72)),"")</f>
        <v/>
      </c>
    </row>
    <row r="666" spans="1:13" ht="18" customHeight="1" x14ac:dyDescent="0.25">
      <c r="A666" s="40" t="str">
        <f>IF(Agent04_Withdrawals!A73="","",Agent04_Withdrawals!A73)</f>
        <v/>
      </c>
      <c r="B666" s="40" t="str">
        <f ca="1">IF(Agent04_Withdrawals!A73="","","WD"&amp;TEXT(666-3,"0000")&amp;"-"&amp;TEXT(TODAY(),"YYYYMMDD"))</f>
        <v/>
      </c>
      <c r="C666" s="40" t="str">
        <f>IF(Agent04_Withdrawals!A73="","",Agent04_Withdrawals!B73)</f>
        <v/>
      </c>
      <c r="D666" s="43" t="str">
        <f>IF(Agent04_Withdrawals!A73="","",Agent04_Withdrawals!C73)</f>
        <v/>
      </c>
      <c r="E666" s="41" t="str">
        <f>IF(Agent04_Withdrawals!A73="","",Agent04_Withdrawals!D73)</f>
        <v/>
      </c>
      <c r="F666" s="40" t="str">
        <f>IF(Agent04_Withdrawals!A73="","",Agent04_Withdrawals!F73)</f>
        <v/>
      </c>
      <c r="G666" s="42" t="str">
        <f>IF(Agent04_Withdrawals!A73="","",Agent04_Withdrawals!E73)</f>
        <v/>
      </c>
      <c r="H666" s="42" t="str">
        <f>IF(Agent04_Withdrawals!A73="","",Agent04_Withdrawals!G73)</f>
        <v/>
      </c>
      <c r="I666" s="40" t="str">
        <f>IF(Agent04_Withdrawals!A73="","",Agent04_Withdrawals!H73)</f>
        <v/>
      </c>
      <c r="J666" s="40" t="str">
        <f>IF(Agent04_Withdrawals!A73="","",Agent04_Withdrawals!J73)</f>
        <v/>
      </c>
      <c r="K666" s="40" t="str">
        <f>IF(Agent04_Withdrawals!A73="","",Agent04_Withdrawals!K73)</f>
        <v/>
      </c>
      <c r="L666" s="40" t="str">
        <f>IF(G666="","",IF(D666-G666&gt;=System_Config!$B$9,"✅ OK","⚠️ BREACH"))</f>
        <v/>
      </c>
      <c r="M666" s="40" t="str">
        <f>IFERROR(IF(Agent04_Withdrawals!A73="","",YEAR(Agent04_Withdrawals!D73)),"")</f>
        <v/>
      </c>
    </row>
    <row r="667" spans="1:13" ht="18" customHeight="1" x14ac:dyDescent="0.25">
      <c r="A667" s="40" t="str">
        <f>IF(Agent04_Withdrawals!A74="","",Agent04_Withdrawals!A74)</f>
        <v/>
      </c>
      <c r="B667" s="40" t="str">
        <f ca="1">IF(Agent04_Withdrawals!A74="","","WD"&amp;TEXT(667-3,"0000")&amp;"-"&amp;TEXT(TODAY(),"YYYYMMDD"))</f>
        <v/>
      </c>
      <c r="C667" s="40" t="str">
        <f>IF(Agent04_Withdrawals!A74="","",Agent04_Withdrawals!B74)</f>
        <v/>
      </c>
      <c r="D667" s="43" t="str">
        <f>IF(Agent04_Withdrawals!A74="","",Agent04_Withdrawals!C74)</f>
        <v/>
      </c>
      <c r="E667" s="41" t="str">
        <f>IF(Agent04_Withdrawals!A74="","",Agent04_Withdrawals!D74)</f>
        <v/>
      </c>
      <c r="F667" s="40" t="str">
        <f>IF(Agent04_Withdrawals!A74="","",Agent04_Withdrawals!F74)</f>
        <v/>
      </c>
      <c r="G667" s="42" t="str">
        <f>IF(Agent04_Withdrawals!A74="","",Agent04_Withdrawals!E74)</f>
        <v/>
      </c>
      <c r="H667" s="42" t="str">
        <f>IF(Agent04_Withdrawals!A74="","",Agent04_Withdrawals!G74)</f>
        <v/>
      </c>
      <c r="I667" s="40" t="str">
        <f>IF(Agent04_Withdrawals!A74="","",Agent04_Withdrawals!H74)</f>
        <v/>
      </c>
      <c r="J667" s="40" t="str">
        <f>IF(Agent04_Withdrawals!A74="","",Agent04_Withdrawals!J74)</f>
        <v/>
      </c>
      <c r="K667" s="40" t="str">
        <f>IF(Agent04_Withdrawals!A74="","",Agent04_Withdrawals!K74)</f>
        <v/>
      </c>
      <c r="L667" s="40" t="str">
        <f>IF(G667="","",IF(D667-G667&gt;=System_Config!$B$9,"✅ OK","⚠️ BREACH"))</f>
        <v/>
      </c>
      <c r="M667" s="40" t="str">
        <f>IFERROR(IF(Agent04_Withdrawals!A74="","",YEAR(Agent04_Withdrawals!D74)),"")</f>
        <v/>
      </c>
    </row>
    <row r="668" spans="1:13" ht="18" customHeight="1" x14ac:dyDescent="0.25">
      <c r="A668" s="40" t="str">
        <f>IF(Agent04_Withdrawals!A75="","",Agent04_Withdrawals!A75)</f>
        <v/>
      </c>
      <c r="B668" s="40" t="str">
        <f ca="1">IF(Agent04_Withdrawals!A75="","","WD"&amp;TEXT(668-3,"0000")&amp;"-"&amp;TEXT(TODAY(),"YYYYMMDD"))</f>
        <v/>
      </c>
      <c r="C668" s="40" t="str">
        <f>IF(Agent04_Withdrawals!A75="","",Agent04_Withdrawals!B75)</f>
        <v/>
      </c>
      <c r="D668" s="43" t="str">
        <f>IF(Agent04_Withdrawals!A75="","",Agent04_Withdrawals!C75)</f>
        <v/>
      </c>
      <c r="E668" s="41" t="str">
        <f>IF(Agent04_Withdrawals!A75="","",Agent04_Withdrawals!D75)</f>
        <v/>
      </c>
      <c r="F668" s="40" t="str">
        <f>IF(Agent04_Withdrawals!A75="","",Agent04_Withdrawals!F75)</f>
        <v/>
      </c>
      <c r="G668" s="42" t="str">
        <f>IF(Agent04_Withdrawals!A75="","",Agent04_Withdrawals!E75)</f>
        <v/>
      </c>
      <c r="H668" s="42" t="str">
        <f>IF(Agent04_Withdrawals!A75="","",Agent04_Withdrawals!G75)</f>
        <v/>
      </c>
      <c r="I668" s="40" t="str">
        <f>IF(Agent04_Withdrawals!A75="","",Agent04_Withdrawals!H75)</f>
        <v/>
      </c>
      <c r="J668" s="40" t="str">
        <f>IF(Agent04_Withdrawals!A75="","",Agent04_Withdrawals!J75)</f>
        <v/>
      </c>
      <c r="K668" s="40" t="str">
        <f>IF(Agent04_Withdrawals!A75="","",Agent04_Withdrawals!K75)</f>
        <v/>
      </c>
      <c r="L668" s="40" t="str">
        <f>IF(G668="","",IF(D668-G668&gt;=System_Config!$B$9,"✅ OK","⚠️ BREACH"))</f>
        <v/>
      </c>
      <c r="M668" s="40" t="str">
        <f>IFERROR(IF(Agent04_Withdrawals!A75="","",YEAR(Agent04_Withdrawals!D75)),"")</f>
        <v/>
      </c>
    </row>
    <row r="669" spans="1:13" ht="18" customHeight="1" x14ac:dyDescent="0.25">
      <c r="A669" s="40" t="str">
        <f>IF(Agent04_Withdrawals!A76="","",Agent04_Withdrawals!A76)</f>
        <v/>
      </c>
      <c r="B669" s="40" t="str">
        <f ca="1">IF(Agent04_Withdrawals!A76="","","WD"&amp;TEXT(669-3,"0000")&amp;"-"&amp;TEXT(TODAY(),"YYYYMMDD"))</f>
        <v/>
      </c>
      <c r="C669" s="40" t="str">
        <f>IF(Agent04_Withdrawals!A76="","",Agent04_Withdrawals!B76)</f>
        <v/>
      </c>
      <c r="D669" s="43" t="str">
        <f>IF(Agent04_Withdrawals!A76="","",Agent04_Withdrawals!C76)</f>
        <v/>
      </c>
      <c r="E669" s="41" t="str">
        <f>IF(Agent04_Withdrawals!A76="","",Agent04_Withdrawals!D76)</f>
        <v/>
      </c>
      <c r="F669" s="40" t="str">
        <f>IF(Agent04_Withdrawals!A76="","",Agent04_Withdrawals!F76)</f>
        <v/>
      </c>
      <c r="G669" s="42" t="str">
        <f>IF(Agent04_Withdrawals!A76="","",Agent04_Withdrawals!E76)</f>
        <v/>
      </c>
      <c r="H669" s="42" t="str">
        <f>IF(Agent04_Withdrawals!A76="","",Agent04_Withdrawals!G76)</f>
        <v/>
      </c>
      <c r="I669" s="40" t="str">
        <f>IF(Agent04_Withdrawals!A76="","",Agent04_Withdrawals!H76)</f>
        <v/>
      </c>
      <c r="J669" s="40" t="str">
        <f>IF(Agent04_Withdrawals!A76="","",Agent04_Withdrawals!J76)</f>
        <v/>
      </c>
      <c r="K669" s="40" t="str">
        <f>IF(Agent04_Withdrawals!A76="","",Agent04_Withdrawals!K76)</f>
        <v/>
      </c>
      <c r="L669" s="40" t="str">
        <f>IF(G669="","",IF(D669-G669&gt;=System_Config!$B$9,"✅ OK","⚠️ BREACH"))</f>
        <v/>
      </c>
      <c r="M669" s="40" t="str">
        <f>IFERROR(IF(Agent04_Withdrawals!A76="","",YEAR(Agent04_Withdrawals!D76)),"")</f>
        <v/>
      </c>
    </row>
    <row r="670" spans="1:13" ht="18" customHeight="1" x14ac:dyDescent="0.25">
      <c r="A670" s="40" t="str">
        <f>IF(Agent04_Withdrawals!A77="","",Agent04_Withdrawals!A77)</f>
        <v/>
      </c>
      <c r="B670" s="40" t="str">
        <f ca="1">IF(Agent04_Withdrawals!A77="","","WD"&amp;TEXT(670-3,"0000")&amp;"-"&amp;TEXT(TODAY(),"YYYYMMDD"))</f>
        <v/>
      </c>
      <c r="C670" s="40" t="str">
        <f>IF(Agent04_Withdrawals!A77="","",Agent04_Withdrawals!B77)</f>
        <v/>
      </c>
      <c r="D670" s="43" t="str">
        <f>IF(Agent04_Withdrawals!A77="","",Agent04_Withdrawals!C77)</f>
        <v/>
      </c>
      <c r="E670" s="41" t="str">
        <f>IF(Agent04_Withdrawals!A77="","",Agent04_Withdrawals!D77)</f>
        <v/>
      </c>
      <c r="F670" s="40" t="str">
        <f>IF(Agent04_Withdrawals!A77="","",Agent04_Withdrawals!F77)</f>
        <v/>
      </c>
      <c r="G670" s="42" t="str">
        <f>IF(Agent04_Withdrawals!A77="","",Agent04_Withdrawals!E77)</f>
        <v/>
      </c>
      <c r="H670" s="42" t="str">
        <f>IF(Agent04_Withdrawals!A77="","",Agent04_Withdrawals!G77)</f>
        <v/>
      </c>
      <c r="I670" s="40" t="str">
        <f>IF(Agent04_Withdrawals!A77="","",Agent04_Withdrawals!H77)</f>
        <v/>
      </c>
      <c r="J670" s="40" t="str">
        <f>IF(Agent04_Withdrawals!A77="","",Agent04_Withdrawals!J77)</f>
        <v/>
      </c>
      <c r="K670" s="40" t="str">
        <f>IF(Agent04_Withdrawals!A77="","",Agent04_Withdrawals!K77)</f>
        <v/>
      </c>
      <c r="L670" s="40" t="str">
        <f>IF(G670="","",IF(D670-G670&gt;=System_Config!$B$9,"✅ OK","⚠️ BREACH"))</f>
        <v/>
      </c>
      <c r="M670" s="40" t="str">
        <f>IFERROR(IF(Agent04_Withdrawals!A77="","",YEAR(Agent04_Withdrawals!D77)),"")</f>
        <v/>
      </c>
    </row>
    <row r="671" spans="1:13" ht="18" customHeight="1" x14ac:dyDescent="0.25">
      <c r="A671" s="40" t="str">
        <f>IF(Agent04_Withdrawals!A78="","",Agent04_Withdrawals!A78)</f>
        <v/>
      </c>
      <c r="B671" s="40" t="str">
        <f ca="1">IF(Agent04_Withdrawals!A78="","","WD"&amp;TEXT(671-3,"0000")&amp;"-"&amp;TEXT(TODAY(),"YYYYMMDD"))</f>
        <v/>
      </c>
      <c r="C671" s="40" t="str">
        <f>IF(Agent04_Withdrawals!A78="","",Agent04_Withdrawals!B78)</f>
        <v/>
      </c>
      <c r="D671" s="43" t="str">
        <f>IF(Agent04_Withdrawals!A78="","",Agent04_Withdrawals!C78)</f>
        <v/>
      </c>
      <c r="E671" s="41" t="str">
        <f>IF(Agent04_Withdrawals!A78="","",Agent04_Withdrawals!D78)</f>
        <v/>
      </c>
      <c r="F671" s="40" t="str">
        <f>IF(Agent04_Withdrawals!A78="","",Agent04_Withdrawals!F78)</f>
        <v/>
      </c>
      <c r="G671" s="42" t="str">
        <f>IF(Agent04_Withdrawals!A78="","",Agent04_Withdrawals!E78)</f>
        <v/>
      </c>
      <c r="H671" s="42" t="str">
        <f>IF(Agent04_Withdrawals!A78="","",Agent04_Withdrawals!G78)</f>
        <v/>
      </c>
      <c r="I671" s="40" t="str">
        <f>IF(Agent04_Withdrawals!A78="","",Agent04_Withdrawals!H78)</f>
        <v/>
      </c>
      <c r="J671" s="40" t="str">
        <f>IF(Agent04_Withdrawals!A78="","",Agent04_Withdrawals!J78)</f>
        <v/>
      </c>
      <c r="K671" s="40" t="str">
        <f>IF(Agent04_Withdrawals!A78="","",Agent04_Withdrawals!K78)</f>
        <v/>
      </c>
      <c r="L671" s="40" t="str">
        <f>IF(G671="","",IF(D671-G671&gt;=System_Config!$B$9,"✅ OK","⚠️ BREACH"))</f>
        <v/>
      </c>
      <c r="M671" s="40" t="str">
        <f>IFERROR(IF(Agent04_Withdrawals!A78="","",YEAR(Agent04_Withdrawals!D78)),"")</f>
        <v/>
      </c>
    </row>
    <row r="672" spans="1:13" ht="18" customHeight="1" x14ac:dyDescent="0.25">
      <c r="A672" s="40" t="str">
        <f>IF(Agent04_Withdrawals!A79="","",Agent04_Withdrawals!A79)</f>
        <v/>
      </c>
      <c r="B672" s="40" t="str">
        <f ca="1">IF(Agent04_Withdrawals!A79="","","WD"&amp;TEXT(672-3,"0000")&amp;"-"&amp;TEXT(TODAY(),"YYYYMMDD"))</f>
        <v/>
      </c>
      <c r="C672" s="40" t="str">
        <f>IF(Agent04_Withdrawals!A79="","",Agent04_Withdrawals!B79)</f>
        <v/>
      </c>
      <c r="D672" s="43" t="str">
        <f>IF(Agent04_Withdrawals!A79="","",Agent04_Withdrawals!C79)</f>
        <v/>
      </c>
      <c r="E672" s="41" t="str">
        <f>IF(Agent04_Withdrawals!A79="","",Agent04_Withdrawals!D79)</f>
        <v/>
      </c>
      <c r="F672" s="40" t="str">
        <f>IF(Agent04_Withdrawals!A79="","",Agent04_Withdrawals!F79)</f>
        <v/>
      </c>
      <c r="G672" s="42" t="str">
        <f>IF(Agent04_Withdrawals!A79="","",Agent04_Withdrawals!E79)</f>
        <v/>
      </c>
      <c r="H672" s="42" t="str">
        <f>IF(Agent04_Withdrawals!A79="","",Agent04_Withdrawals!G79)</f>
        <v/>
      </c>
      <c r="I672" s="40" t="str">
        <f>IF(Agent04_Withdrawals!A79="","",Agent04_Withdrawals!H79)</f>
        <v/>
      </c>
      <c r="J672" s="40" t="str">
        <f>IF(Agent04_Withdrawals!A79="","",Agent04_Withdrawals!J79)</f>
        <v/>
      </c>
      <c r="K672" s="40" t="str">
        <f>IF(Agent04_Withdrawals!A79="","",Agent04_Withdrawals!K79)</f>
        <v/>
      </c>
      <c r="L672" s="40" t="str">
        <f>IF(G672="","",IF(D672-G672&gt;=System_Config!$B$9,"✅ OK","⚠️ BREACH"))</f>
        <v/>
      </c>
      <c r="M672" s="40" t="str">
        <f>IFERROR(IF(Agent04_Withdrawals!A79="","",YEAR(Agent04_Withdrawals!D79)),"")</f>
        <v/>
      </c>
    </row>
    <row r="673" spans="1:13" ht="18" customHeight="1" x14ac:dyDescent="0.25">
      <c r="A673" s="40" t="str">
        <f>IF(Agent04_Withdrawals!A80="","",Agent04_Withdrawals!A80)</f>
        <v/>
      </c>
      <c r="B673" s="40" t="str">
        <f ca="1">IF(Agent04_Withdrawals!A80="","","WD"&amp;TEXT(673-3,"0000")&amp;"-"&amp;TEXT(TODAY(),"YYYYMMDD"))</f>
        <v/>
      </c>
      <c r="C673" s="40" t="str">
        <f>IF(Agent04_Withdrawals!A80="","",Agent04_Withdrawals!B80)</f>
        <v/>
      </c>
      <c r="D673" s="43" t="str">
        <f>IF(Agent04_Withdrawals!A80="","",Agent04_Withdrawals!C80)</f>
        <v/>
      </c>
      <c r="E673" s="41" t="str">
        <f>IF(Agent04_Withdrawals!A80="","",Agent04_Withdrawals!D80)</f>
        <v/>
      </c>
      <c r="F673" s="40" t="str">
        <f>IF(Agent04_Withdrawals!A80="","",Agent04_Withdrawals!F80)</f>
        <v/>
      </c>
      <c r="G673" s="42" t="str">
        <f>IF(Agent04_Withdrawals!A80="","",Agent04_Withdrawals!E80)</f>
        <v/>
      </c>
      <c r="H673" s="42" t="str">
        <f>IF(Agent04_Withdrawals!A80="","",Agent04_Withdrawals!G80)</f>
        <v/>
      </c>
      <c r="I673" s="40" t="str">
        <f>IF(Agent04_Withdrawals!A80="","",Agent04_Withdrawals!H80)</f>
        <v/>
      </c>
      <c r="J673" s="40" t="str">
        <f>IF(Agent04_Withdrawals!A80="","",Agent04_Withdrawals!J80)</f>
        <v/>
      </c>
      <c r="K673" s="40" t="str">
        <f>IF(Agent04_Withdrawals!A80="","",Agent04_Withdrawals!K80)</f>
        <v/>
      </c>
      <c r="L673" s="40" t="str">
        <f>IF(G673="","",IF(D673-G673&gt;=System_Config!$B$9,"✅ OK","⚠️ BREACH"))</f>
        <v/>
      </c>
      <c r="M673" s="40" t="str">
        <f>IFERROR(IF(Agent04_Withdrawals!A80="","",YEAR(Agent04_Withdrawals!D80)),"")</f>
        <v/>
      </c>
    </row>
    <row r="674" spans="1:13" ht="18" customHeight="1" x14ac:dyDescent="0.25">
      <c r="A674" s="40" t="str">
        <f>IF(Agent04_Withdrawals!A81="","",Agent04_Withdrawals!A81)</f>
        <v/>
      </c>
      <c r="B674" s="40" t="str">
        <f ca="1">IF(Agent04_Withdrawals!A81="","","WD"&amp;TEXT(674-3,"0000")&amp;"-"&amp;TEXT(TODAY(),"YYYYMMDD"))</f>
        <v/>
      </c>
      <c r="C674" s="40" t="str">
        <f>IF(Agent04_Withdrawals!A81="","",Agent04_Withdrawals!B81)</f>
        <v/>
      </c>
      <c r="D674" s="43" t="str">
        <f>IF(Agent04_Withdrawals!A81="","",Agent04_Withdrawals!C81)</f>
        <v/>
      </c>
      <c r="E674" s="41" t="str">
        <f>IF(Agent04_Withdrawals!A81="","",Agent04_Withdrawals!D81)</f>
        <v/>
      </c>
      <c r="F674" s="40" t="str">
        <f>IF(Agent04_Withdrawals!A81="","",Agent04_Withdrawals!F81)</f>
        <v/>
      </c>
      <c r="G674" s="42" t="str">
        <f>IF(Agent04_Withdrawals!A81="","",Agent04_Withdrawals!E81)</f>
        <v/>
      </c>
      <c r="H674" s="42" t="str">
        <f>IF(Agent04_Withdrawals!A81="","",Agent04_Withdrawals!G81)</f>
        <v/>
      </c>
      <c r="I674" s="40" t="str">
        <f>IF(Agent04_Withdrawals!A81="","",Agent04_Withdrawals!H81)</f>
        <v/>
      </c>
      <c r="J674" s="40" t="str">
        <f>IF(Agent04_Withdrawals!A81="","",Agent04_Withdrawals!J81)</f>
        <v/>
      </c>
      <c r="K674" s="40" t="str">
        <f>IF(Agent04_Withdrawals!A81="","",Agent04_Withdrawals!K81)</f>
        <v/>
      </c>
      <c r="L674" s="40" t="str">
        <f>IF(G674="","",IF(D674-G674&gt;=System_Config!$B$9,"✅ OK","⚠️ BREACH"))</f>
        <v/>
      </c>
      <c r="M674" s="40" t="str">
        <f>IFERROR(IF(Agent04_Withdrawals!A81="","",YEAR(Agent04_Withdrawals!D81)),"")</f>
        <v/>
      </c>
    </row>
    <row r="675" spans="1:13" ht="18" customHeight="1" x14ac:dyDescent="0.25">
      <c r="A675" s="40" t="str">
        <f>IF(Agent04_Withdrawals!A82="","",Agent04_Withdrawals!A82)</f>
        <v/>
      </c>
      <c r="B675" s="40" t="str">
        <f ca="1">IF(Agent04_Withdrawals!A82="","","WD"&amp;TEXT(675-3,"0000")&amp;"-"&amp;TEXT(TODAY(),"YYYYMMDD"))</f>
        <v/>
      </c>
      <c r="C675" s="40" t="str">
        <f>IF(Agent04_Withdrawals!A82="","",Agent04_Withdrawals!B82)</f>
        <v/>
      </c>
      <c r="D675" s="43" t="str">
        <f>IF(Agent04_Withdrawals!A82="","",Agent04_Withdrawals!C82)</f>
        <v/>
      </c>
      <c r="E675" s="41" t="str">
        <f>IF(Agent04_Withdrawals!A82="","",Agent04_Withdrawals!D82)</f>
        <v/>
      </c>
      <c r="F675" s="40" t="str">
        <f>IF(Agent04_Withdrawals!A82="","",Agent04_Withdrawals!F82)</f>
        <v/>
      </c>
      <c r="G675" s="42" t="str">
        <f>IF(Agent04_Withdrawals!A82="","",Agent04_Withdrawals!E82)</f>
        <v/>
      </c>
      <c r="H675" s="42" t="str">
        <f>IF(Agent04_Withdrawals!A82="","",Agent04_Withdrawals!G82)</f>
        <v/>
      </c>
      <c r="I675" s="40" t="str">
        <f>IF(Agent04_Withdrawals!A82="","",Agent04_Withdrawals!H82)</f>
        <v/>
      </c>
      <c r="J675" s="40" t="str">
        <f>IF(Agent04_Withdrawals!A82="","",Agent04_Withdrawals!J82)</f>
        <v/>
      </c>
      <c r="K675" s="40" t="str">
        <f>IF(Agent04_Withdrawals!A82="","",Agent04_Withdrawals!K82)</f>
        <v/>
      </c>
      <c r="L675" s="40" t="str">
        <f>IF(G675="","",IF(D675-G675&gt;=System_Config!$B$9,"✅ OK","⚠️ BREACH"))</f>
        <v/>
      </c>
      <c r="M675" s="40" t="str">
        <f>IFERROR(IF(Agent04_Withdrawals!A82="","",YEAR(Agent04_Withdrawals!D82)),"")</f>
        <v/>
      </c>
    </row>
    <row r="676" spans="1:13" ht="18" customHeight="1" x14ac:dyDescent="0.25">
      <c r="A676" s="40" t="str">
        <f>IF(Agent04_Withdrawals!A83="","",Agent04_Withdrawals!A83)</f>
        <v/>
      </c>
      <c r="B676" s="40" t="str">
        <f ca="1">IF(Agent04_Withdrawals!A83="","","WD"&amp;TEXT(676-3,"0000")&amp;"-"&amp;TEXT(TODAY(),"YYYYMMDD"))</f>
        <v/>
      </c>
      <c r="C676" s="40" t="str">
        <f>IF(Agent04_Withdrawals!A83="","",Agent04_Withdrawals!B83)</f>
        <v/>
      </c>
      <c r="D676" s="43" t="str">
        <f>IF(Agent04_Withdrawals!A83="","",Agent04_Withdrawals!C83)</f>
        <v/>
      </c>
      <c r="E676" s="41" t="str">
        <f>IF(Agent04_Withdrawals!A83="","",Agent04_Withdrawals!D83)</f>
        <v/>
      </c>
      <c r="F676" s="40" t="str">
        <f>IF(Agent04_Withdrawals!A83="","",Agent04_Withdrawals!F83)</f>
        <v/>
      </c>
      <c r="G676" s="42" t="str">
        <f>IF(Agent04_Withdrawals!A83="","",Agent04_Withdrawals!E83)</f>
        <v/>
      </c>
      <c r="H676" s="42" t="str">
        <f>IF(Agent04_Withdrawals!A83="","",Agent04_Withdrawals!G83)</f>
        <v/>
      </c>
      <c r="I676" s="40" t="str">
        <f>IF(Agent04_Withdrawals!A83="","",Agent04_Withdrawals!H83)</f>
        <v/>
      </c>
      <c r="J676" s="40" t="str">
        <f>IF(Agent04_Withdrawals!A83="","",Agent04_Withdrawals!J83)</f>
        <v/>
      </c>
      <c r="K676" s="40" t="str">
        <f>IF(Agent04_Withdrawals!A83="","",Agent04_Withdrawals!K83)</f>
        <v/>
      </c>
      <c r="L676" s="40" t="str">
        <f>IF(G676="","",IF(D676-G676&gt;=System_Config!$B$9,"✅ OK","⚠️ BREACH"))</f>
        <v/>
      </c>
      <c r="M676" s="40" t="str">
        <f>IFERROR(IF(Agent04_Withdrawals!A83="","",YEAR(Agent04_Withdrawals!D83)),"")</f>
        <v/>
      </c>
    </row>
    <row r="677" spans="1:13" ht="18" customHeight="1" x14ac:dyDescent="0.25">
      <c r="A677" s="40" t="str">
        <f>IF(Agent04_Withdrawals!A84="","",Agent04_Withdrawals!A84)</f>
        <v/>
      </c>
      <c r="B677" s="40" t="str">
        <f ca="1">IF(Agent04_Withdrawals!A84="","","WD"&amp;TEXT(677-3,"0000")&amp;"-"&amp;TEXT(TODAY(),"YYYYMMDD"))</f>
        <v/>
      </c>
      <c r="C677" s="40" t="str">
        <f>IF(Agent04_Withdrawals!A84="","",Agent04_Withdrawals!B84)</f>
        <v/>
      </c>
      <c r="D677" s="43" t="str">
        <f>IF(Agent04_Withdrawals!A84="","",Agent04_Withdrawals!C84)</f>
        <v/>
      </c>
      <c r="E677" s="41" t="str">
        <f>IF(Agent04_Withdrawals!A84="","",Agent04_Withdrawals!D84)</f>
        <v/>
      </c>
      <c r="F677" s="40" t="str">
        <f>IF(Agent04_Withdrawals!A84="","",Agent04_Withdrawals!F84)</f>
        <v/>
      </c>
      <c r="G677" s="42" t="str">
        <f>IF(Agent04_Withdrawals!A84="","",Agent04_Withdrawals!E84)</f>
        <v/>
      </c>
      <c r="H677" s="42" t="str">
        <f>IF(Agent04_Withdrawals!A84="","",Agent04_Withdrawals!G84)</f>
        <v/>
      </c>
      <c r="I677" s="40" t="str">
        <f>IF(Agent04_Withdrawals!A84="","",Agent04_Withdrawals!H84)</f>
        <v/>
      </c>
      <c r="J677" s="40" t="str">
        <f>IF(Agent04_Withdrawals!A84="","",Agent04_Withdrawals!J84)</f>
        <v/>
      </c>
      <c r="K677" s="40" t="str">
        <f>IF(Agent04_Withdrawals!A84="","",Agent04_Withdrawals!K84)</f>
        <v/>
      </c>
      <c r="L677" s="40" t="str">
        <f>IF(G677="","",IF(D677-G677&gt;=System_Config!$B$9,"✅ OK","⚠️ BREACH"))</f>
        <v/>
      </c>
      <c r="M677" s="40" t="str">
        <f>IFERROR(IF(Agent04_Withdrawals!A84="","",YEAR(Agent04_Withdrawals!D84)),"")</f>
        <v/>
      </c>
    </row>
    <row r="678" spans="1:13" ht="18" customHeight="1" x14ac:dyDescent="0.25">
      <c r="A678" s="40" t="str">
        <f>IF(Agent04_Withdrawals!A85="","",Agent04_Withdrawals!A85)</f>
        <v/>
      </c>
      <c r="B678" s="40" t="str">
        <f ca="1">IF(Agent04_Withdrawals!A85="","","WD"&amp;TEXT(678-3,"0000")&amp;"-"&amp;TEXT(TODAY(),"YYYYMMDD"))</f>
        <v/>
      </c>
      <c r="C678" s="40" t="str">
        <f>IF(Agent04_Withdrawals!A85="","",Agent04_Withdrawals!B85)</f>
        <v/>
      </c>
      <c r="D678" s="43" t="str">
        <f>IF(Agent04_Withdrawals!A85="","",Agent04_Withdrawals!C85)</f>
        <v/>
      </c>
      <c r="E678" s="41" t="str">
        <f>IF(Agent04_Withdrawals!A85="","",Agent04_Withdrawals!D85)</f>
        <v/>
      </c>
      <c r="F678" s="40" t="str">
        <f>IF(Agent04_Withdrawals!A85="","",Agent04_Withdrawals!F85)</f>
        <v/>
      </c>
      <c r="G678" s="42" t="str">
        <f>IF(Agent04_Withdrawals!A85="","",Agent04_Withdrawals!E85)</f>
        <v/>
      </c>
      <c r="H678" s="42" t="str">
        <f>IF(Agent04_Withdrawals!A85="","",Agent04_Withdrawals!G85)</f>
        <v/>
      </c>
      <c r="I678" s="40" t="str">
        <f>IF(Agent04_Withdrawals!A85="","",Agent04_Withdrawals!H85)</f>
        <v/>
      </c>
      <c r="J678" s="40" t="str">
        <f>IF(Agent04_Withdrawals!A85="","",Agent04_Withdrawals!J85)</f>
        <v/>
      </c>
      <c r="K678" s="40" t="str">
        <f>IF(Agent04_Withdrawals!A85="","",Agent04_Withdrawals!K85)</f>
        <v/>
      </c>
      <c r="L678" s="40" t="str">
        <f>IF(G678="","",IF(D678-G678&gt;=System_Config!$B$9,"✅ OK","⚠️ BREACH"))</f>
        <v/>
      </c>
      <c r="M678" s="40" t="str">
        <f>IFERROR(IF(Agent04_Withdrawals!A85="","",YEAR(Agent04_Withdrawals!D85)),"")</f>
        <v/>
      </c>
    </row>
    <row r="679" spans="1:13" ht="18" customHeight="1" x14ac:dyDescent="0.25">
      <c r="A679" s="40" t="str">
        <f>IF(Agent04_Withdrawals!A86="","",Agent04_Withdrawals!A86)</f>
        <v/>
      </c>
      <c r="B679" s="40" t="str">
        <f ca="1">IF(Agent04_Withdrawals!A86="","","WD"&amp;TEXT(679-3,"0000")&amp;"-"&amp;TEXT(TODAY(),"YYYYMMDD"))</f>
        <v/>
      </c>
      <c r="C679" s="40" t="str">
        <f>IF(Agent04_Withdrawals!A86="","",Agent04_Withdrawals!B86)</f>
        <v/>
      </c>
      <c r="D679" s="43" t="str">
        <f>IF(Agent04_Withdrawals!A86="","",Agent04_Withdrawals!C86)</f>
        <v/>
      </c>
      <c r="E679" s="41" t="str">
        <f>IF(Agent04_Withdrawals!A86="","",Agent04_Withdrawals!D86)</f>
        <v/>
      </c>
      <c r="F679" s="40" t="str">
        <f>IF(Agent04_Withdrawals!A86="","",Agent04_Withdrawals!F86)</f>
        <v/>
      </c>
      <c r="G679" s="42" t="str">
        <f>IF(Agent04_Withdrawals!A86="","",Agent04_Withdrawals!E86)</f>
        <v/>
      </c>
      <c r="H679" s="42" t="str">
        <f>IF(Agent04_Withdrawals!A86="","",Agent04_Withdrawals!G86)</f>
        <v/>
      </c>
      <c r="I679" s="40" t="str">
        <f>IF(Agent04_Withdrawals!A86="","",Agent04_Withdrawals!H86)</f>
        <v/>
      </c>
      <c r="J679" s="40" t="str">
        <f>IF(Agent04_Withdrawals!A86="","",Agent04_Withdrawals!J86)</f>
        <v/>
      </c>
      <c r="K679" s="40" t="str">
        <f>IF(Agent04_Withdrawals!A86="","",Agent04_Withdrawals!K86)</f>
        <v/>
      </c>
      <c r="L679" s="40" t="str">
        <f>IF(G679="","",IF(D679-G679&gt;=System_Config!$B$9,"✅ OK","⚠️ BREACH"))</f>
        <v/>
      </c>
      <c r="M679" s="40" t="str">
        <f>IFERROR(IF(Agent04_Withdrawals!A86="","",YEAR(Agent04_Withdrawals!D86)),"")</f>
        <v/>
      </c>
    </row>
    <row r="680" spans="1:13" ht="18" customHeight="1" x14ac:dyDescent="0.25">
      <c r="A680" s="40" t="str">
        <f>IF(Agent04_Withdrawals!A87="","",Agent04_Withdrawals!A87)</f>
        <v/>
      </c>
      <c r="B680" s="40" t="str">
        <f ca="1">IF(Agent04_Withdrawals!A87="","","WD"&amp;TEXT(680-3,"0000")&amp;"-"&amp;TEXT(TODAY(),"YYYYMMDD"))</f>
        <v/>
      </c>
      <c r="C680" s="40" t="str">
        <f>IF(Agent04_Withdrawals!A87="","",Agent04_Withdrawals!B87)</f>
        <v/>
      </c>
      <c r="D680" s="43" t="str">
        <f>IF(Agent04_Withdrawals!A87="","",Agent04_Withdrawals!C87)</f>
        <v/>
      </c>
      <c r="E680" s="41" t="str">
        <f>IF(Agent04_Withdrawals!A87="","",Agent04_Withdrawals!D87)</f>
        <v/>
      </c>
      <c r="F680" s="40" t="str">
        <f>IF(Agent04_Withdrawals!A87="","",Agent04_Withdrawals!F87)</f>
        <v/>
      </c>
      <c r="G680" s="42" t="str">
        <f>IF(Agent04_Withdrawals!A87="","",Agent04_Withdrawals!E87)</f>
        <v/>
      </c>
      <c r="H680" s="42" t="str">
        <f>IF(Agent04_Withdrawals!A87="","",Agent04_Withdrawals!G87)</f>
        <v/>
      </c>
      <c r="I680" s="40" t="str">
        <f>IF(Agent04_Withdrawals!A87="","",Agent04_Withdrawals!H87)</f>
        <v/>
      </c>
      <c r="J680" s="40" t="str">
        <f>IF(Agent04_Withdrawals!A87="","",Agent04_Withdrawals!J87)</f>
        <v/>
      </c>
      <c r="K680" s="40" t="str">
        <f>IF(Agent04_Withdrawals!A87="","",Agent04_Withdrawals!K87)</f>
        <v/>
      </c>
      <c r="L680" s="40" t="str">
        <f>IF(G680="","",IF(D680-G680&gt;=System_Config!$B$9,"✅ OK","⚠️ BREACH"))</f>
        <v/>
      </c>
      <c r="M680" s="40" t="str">
        <f>IFERROR(IF(Agent04_Withdrawals!A87="","",YEAR(Agent04_Withdrawals!D87)),"")</f>
        <v/>
      </c>
    </row>
    <row r="681" spans="1:13" ht="18" customHeight="1" x14ac:dyDescent="0.25">
      <c r="A681" s="40" t="str">
        <f>IF(Agent04_Withdrawals!A88="","",Agent04_Withdrawals!A88)</f>
        <v/>
      </c>
      <c r="B681" s="40" t="str">
        <f ca="1">IF(Agent04_Withdrawals!A88="","","WD"&amp;TEXT(681-3,"0000")&amp;"-"&amp;TEXT(TODAY(),"YYYYMMDD"))</f>
        <v/>
      </c>
      <c r="C681" s="40" t="str">
        <f>IF(Agent04_Withdrawals!A88="","",Agent04_Withdrawals!B88)</f>
        <v/>
      </c>
      <c r="D681" s="43" t="str">
        <f>IF(Agent04_Withdrawals!A88="","",Agent04_Withdrawals!C88)</f>
        <v/>
      </c>
      <c r="E681" s="41" t="str">
        <f>IF(Agent04_Withdrawals!A88="","",Agent04_Withdrawals!D88)</f>
        <v/>
      </c>
      <c r="F681" s="40" t="str">
        <f>IF(Agent04_Withdrawals!A88="","",Agent04_Withdrawals!F88)</f>
        <v/>
      </c>
      <c r="G681" s="42" t="str">
        <f>IF(Agent04_Withdrawals!A88="","",Agent04_Withdrawals!E88)</f>
        <v/>
      </c>
      <c r="H681" s="42" t="str">
        <f>IF(Agent04_Withdrawals!A88="","",Agent04_Withdrawals!G88)</f>
        <v/>
      </c>
      <c r="I681" s="40" t="str">
        <f>IF(Agent04_Withdrawals!A88="","",Agent04_Withdrawals!H88)</f>
        <v/>
      </c>
      <c r="J681" s="40" t="str">
        <f>IF(Agent04_Withdrawals!A88="","",Agent04_Withdrawals!J88)</f>
        <v/>
      </c>
      <c r="K681" s="40" t="str">
        <f>IF(Agent04_Withdrawals!A88="","",Agent04_Withdrawals!K88)</f>
        <v/>
      </c>
      <c r="L681" s="40" t="str">
        <f>IF(G681="","",IF(D681-G681&gt;=System_Config!$B$9,"✅ OK","⚠️ BREACH"))</f>
        <v/>
      </c>
      <c r="M681" s="40" t="str">
        <f>IFERROR(IF(Agent04_Withdrawals!A88="","",YEAR(Agent04_Withdrawals!D88)),"")</f>
        <v/>
      </c>
    </row>
    <row r="682" spans="1:13" ht="18" customHeight="1" x14ac:dyDescent="0.25">
      <c r="A682" s="40" t="str">
        <f>IF(Agent04_Withdrawals!A89="","",Agent04_Withdrawals!A89)</f>
        <v/>
      </c>
      <c r="B682" s="40" t="str">
        <f ca="1">IF(Agent04_Withdrawals!A89="","","WD"&amp;TEXT(682-3,"0000")&amp;"-"&amp;TEXT(TODAY(),"YYYYMMDD"))</f>
        <v/>
      </c>
      <c r="C682" s="40" t="str">
        <f>IF(Agent04_Withdrawals!A89="","",Agent04_Withdrawals!B89)</f>
        <v/>
      </c>
      <c r="D682" s="43" t="str">
        <f>IF(Agent04_Withdrawals!A89="","",Agent04_Withdrawals!C89)</f>
        <v/>
      </c>
      <c r="E682" s="41" t="str">
        <f>IF(Agent04_Withdrawals!A89="","",Agent04_Withdrawals!D89)</f>
        <v/>
      </c>
      <c r="F682" s="40" t="str">
        <f>IF(Agent04_Withdrawals!A89="","",Agent04_Withdrawals!F89)</f>
        <v/>
      </c>
      <c r="G682" s="42" t="str">
        <f>IF(Agent04_Withdrawals!A89="","",Agent04_Withdrawals!E89)</f>
        <v/>
      </c>
      <c r="H682" s="42" t="str">
        <f>IF(Agent04_Withdrawals!A89="","",Agent04_Withdrawals!G89)</f>
        <v/>
      </c>
      <c r="I682" s="40" t="str">
        <f>IF(Agent04_Withdrawals!A89="","",Agent04_Withdrawals!H89)</f>
        <v/>
      </c>
      <c r="J682" s="40" t="str">
        <f>IF(Agent04_Withdrawals!A89="","",Agent04_Withdrawals!J89)</f>
        <v/>
      </c>
      <c r="K682" s="40" t="str">
        <f>IF(Agent04_Withdrawals!A89="","",Agent04_Withdrawals!K89)</f>
        <v/>
      </c>
      <c r="L682" s="40" t="str">
        <f>IF(G682="","",IF(D682-G682&gt;=System_Config!$B$9,"✅ OK","⚠️ BREACH"))</f>
        <v/>
      </c>
      <c r="M682" s="40" t="str">
        <f>IFERROR(IF(Agent04_Withdrawals!A89="","",YEAR(Agent04_Withdrawals!D89)),"")</f>
        <v/>
      </c>
    </row>
    <row r="683" spans="1:13" ht="18" customHeight="1" x14ac:dyDescent="0.25">
      <c r="A683" s="40" t="str">
        <f>IF(Agent04_Withdrawals!A90="","",Agent04_Withdrawals!A90)</f>
        <v/>
      </c>
      <c r="B683" s="40" t="str">
        <f ca="1">IF(Agent04_Withdrawals!A90="","","WD"&amp;TEXT(683-3,"0000")&amp;"-"&amp;TEXT(TODAY(),"YYYYMMDD"))</f>
        <v/>
      </c>
      <c r="C683" s="40" t="str">
        <f>IF(Agent04_Withdrawals!A90="","",Agent04_Withdrawals!B90)</f>
        <v/>
      </c>
      <c r="D683" s="43" t="str">
        <f>IF(Agent04_Withdrawals!A90="","",Agent04_Withdrawals!C90)</f>
        <v/>
      </c>
      <c r="E683" s="41" t="str">
        <f>IF(Agent04_Withdrawals!A90="","",Agent04_Withdrawals!D90)</f>
        <v/>
      </c>
      <c r="F683" s="40" t="str">
        <f>IF(Agent04_Withdrawals!A90="","",Agent04_Withdrawals!F90)</f>
        <v/>
      </c>
      <c r="G683" s="42" t="str">
        <f>IF(Agent04_Withdrawals!A90="","",Agent04_Withdrawals!E90)</f>
        <v/>
      </c>
      <c r="H683" s="42" t="str">
        <f>IF(Agent04_Withdrawals!A90="","",Agent04_Withdrawals!G90)</f>
        <v/>
      </c>
      <c r="I683" s="40" t="str">
        <f>IF(Agent04_Withdrawals!A90="","",Agent04_Withdrawals!H90)</f>
        <v/>
      </c>
      <c r="J683" s="40" t="str">
        <f>IF(Agent04_Withdrawals!A90="","",Agent04_Withdrawals!J90)</f>
        <v/>
      </c>
      <c r="K683" s="40" t="str">
        <f>IF(Agent04_Withdrawals!A90="","",Agent04_Withdrawals!K90)</f>
        <v/>
      </c>
      <c r="L683" s="40" t="str">
        <f>IF(G683="","",IF(D683-G683&gt;=System_Config!$B$9,"✅ OK","⚠️ BREACH"))</f>
        <v/>
      </c>
      <c r="M683" s="40" t="str">
        <f>IFERROR(IF(Agent04_Withdrawals!A90="","",YEAR(Agent04_Withdrawals!D90)),"")</f>
        <v/>
      </c>
    </row>
    <row r="684" spans="1:13" ht="18" customHeight="1" x14ac:dyDescent="0.25">
      <c r="A684" s="40" t="str">
        <f>IF(Agent04_Withdrawals!A91="","",Agent04_Withdrawals!A91)</f>
        <v/>
      </c>
      <c r="B684" s="40" t="str">
        <f ca="1">IF(Agent04_Withdrawals!A91="","","WD"&amp;TEXT(684-3,"0000")&amp;"-"&amp;TEXT(TODAY(),"YYYYMMDD"))</f>
        <v/>
      </c>
      <c r="C684" s="40" t="str">
        <f>IF(Agent04_Withdrawals!A91="","",Agent04_Withdrawals!B91)</f>
        <v/>
      </c>
      <c r="D684" s="43" t="str">
        <f>IF(Agent04_Withdrawals!A91="","",Agent04_Withdrawals!C91)</f>
        <v/>
      </c>
      <c r="E684" s="41" t="str">
        <f>IF(Agent04_Withdrawals!A91="","",Agent04_Withdrawals!D91)</f>
        <v/>
      </c>
      <c r="F684" s="40" t="str">
        <f>IF(Agent04_Withdrawals!A91="","",Agent04_Withdrawals!F91)</f>
        <v/>
      </c>
      <c r="G684" s="42" t="str">
        <f>IF(Agent04_Withdrawals!A91="","",Agent04_Withdrawals!E91)</f>
        <v/>
      </c>
      <c r="H684" s="42" t="str">
        <f>IF(Agent04_Withdrawals!A91="","",Agent04_Withdrawals!G91)</f>
        <v/>
      </c>
      <c r="I684" s="40" t="str">
        <f>IF(Agent04_Withdrawals!A91="","",Agent04_Withdrawals!H91)</f>
        <v/>
      </c>
      <c r="J684" s="40" t="str">
        <f>IF(Agent04_Withdrawals!A91="","",Agent04_Withdrawals!J91)</f>
        <v/>
      </c>
      <c r="K684" s="40" t="str">
        <f>IF(Agent04_Withdrawals!A91="","",Agent04_Withdrawals!K91)</f>
        <v/>
      </c>
      <c r="L684" s="40" t="str">
        <f>IF(G684="","",IF(D684-G684&gt;=System_Config!$B$9,"✅ OK","⚠️ BREACH"))</f>
        <v/>
      </c>
      <c r="M684" s="40" t="str">
        <f>IFERROR(IF(Agent04_Withdrawals!A91="","",YEAR(Agent04_Withdrawals!D91)),"")</f>
        <v/>
      </c>
    </row>
    <row r="685" spans="1:13" ht="18" customHeight="1" x14ac:dyDescent="0.25">
      <c r="A685" s="40" t="str">
        <f>IF(Agent04_Withdrawals!A92="","",Agent04_Withdrawals!A92)</f>
        <v/>
      </c>
      <c r="B685" s="40" t="str">
        <f ca="1">IF(Agent04_Withdrawals!A92="","","WD"&amp;TEXT(685-3,"0000")&amp;"-"&amp;TEXT(TODAY(),"YYYYMMDD"))</f>
        <v/>
      </c>
      <c r="C685" s="40" t="str">
        <f>IF(Agent04_Withdrawals!A92="","",Agent04_Withdrawals!B92)</f>
        <v/>
      </c>
      <c r="D685" s="43" t="str">
        <f>IF(Agent04_Withdrawals!A92="","",Agent04_Withdrawals!C92)</f>
        <v/>
      </c>
      <c r="E685" s="41" t="str">
        <f>IF(Agent04_Withdrawals!A92="","",Agent04_Withdrawals!D92)</f>
        <v/>
      </c>
      <c r="F685" s="40" t="str">
        <f>IF(Agent04_Withdrawals!A92="","",Agent04_Withdrawals!F92)</f>
        <v/>
      </c>
      <c r="G685" s="42" t="str">
        <f>IF(Agent04_Withdrawals!A92="","",Agent04_Withdrawals!E92)</f>
        <v/>
      </c>
      <c r="H685" s="42" t="str">
        <f>IF(Agent04_Withdrawals!A92="","",Agent04_Withdrawals!G92)</f>
        <v/>
      </c>
      <c r="I685" s="40" t="str">
        <f>IF(Agent04_Withdrawals!A92="","",Agent04_Withdrawals!H92)</f>
        <v/>
      </c>
      <c r="J685" s="40" t="str">
        <f>IF(Agent04_Withdrawals!A92="","",Agent04_Withdrawals!J92)</f>
        <v/>
      </c>
      <c r="K685" s="40" t="str">
        <f>IF(Agent04_Withdrawals!A92="","",Agent04_Withdrawals!K92)</f>
        <v/>
      </c>
      <c r="L685" s="40" t="str">
        <f>IF(G685="","",IF(D685-G685&gt;=System_Config!$B$9,"✅ OK","⚠️ BREACH"))</f>
        <v/>
      </c>
      <c r="M685" s="40" t="str">
        <f>IFERROR(IF(Agent04_Withdrawals!A92="","",YEAR(Agent04_Withdrawals!D92)),"")</f>
        <v/>
      </c>
    </row>
    <row r="686" spans="1:13" ht="18" customHeight="1" x14ac:dyDescent="0.25">
      <c r="A686" s="40" t="str">
        <f>IF(Agent04_Withdrawals!A93="","",Agent04_Withdrawals!A93)</f>
        <v/>
      </c>
      <c r="B686" s="40" t="str">
        <f ca="1">IF(Agent04_Withdrawals!A93="","","WD"&amp;TEXT(686-3,"0000")&amp;"-"&amp;TEXT(TODAY(),"YYYYMMDD"))</f>
        <v/>
      </c>
      <c r="C686" s="40" t="str">
        <f>IF(Agent04_Withdrawals!A93="","",Agent04_Withdrawals!B93)</f>
        <v/>
      </c>
      <c r="D686" s="43" t="str">
        <f>IF(Agent04_Withdrawals!A93="","",Agent04_Withdrawals!C93)</f>
        <v/>
      </c>
      <c r="E686" s="41" t="str">
        <f>IF(Agent04_Withdrawals!A93="","",Agent04_Withdrawals!D93)</f>
        <v/>
      </c>
      <c r="F686" s="40" t="str">
        <f>IF(Agent04_Withdrawals!A93="","",Agent04_Withdrawals!F93)</f>
        <v/>
      </c>
      <c r="G686" s="42" t="str">
        <f>IF(Agent04_Withdrawals!A93="","",Agent04_Withdrawals!E93)</f>
        <v/>
      </c>
      <c r="H686" s="42" t="str">
        <f>IF(Agent04_Withdrawals!A93="","",Agent04_Withdrawals!G93)</f>
        <v/>
      </c>
      <c r="I686" s="40" t="str">
        <f>IF(Agent04_Withdrawals!A93="","",Agent04_Withdrawals!H93)</f>
        <v/>
      </c>
      <c r="J686" s="40" t="str">
        <f>IF(Agent04_Withdrawals!A93="","",Agent04_Withdrawals!J93)</f>
        <v/>
      </c>
      <c r="K686" s="40" t="str">
        <f>IF(Agent04_Withdrawals!A93="","",Agent04_Withdrawals!K93)</f>
        <v/>
      </c>
      <c r="L686" s="40" t="str">
        <f>IF(G686="","",IF(D686-G686&gt;=System_Config!$B$9,"✅ OK","⚠️ BREACH"))</f>
        <v/>
      </c>
      <c r="M686" s="40" t="str">
        <f>IFERROR(IF(Agent04_Withdrawals!A93="","",YEAR(Agent04_Withdrawals!D93)),"")</f>
        <v/>
      </c>
    </row>
    <row r="687" spans="1:13" ht="18" customHeight="1" x14ac:dyDescent="0.25">
      <c r="A687" s="40" t="str">
        <f>IF(Agent04_Withdrawals!A94="","",Agent04_Withdrawals!A94)</f>
        <v/>
      </c>
      <c r="B687" s="40" t="str">
        <f ca="1">IF(Agent04_Withdrawals!A94="","","WD"&amp;TEXT(687-3,"0000")&amp;"-"&amp;TEXT(TODAY(),"YYYYMMDD"))</f>
        <v/>
      </c>
      <c r="C687" s="40" t="str">
        <f>IF(Agent04_Withdrawals!A94="","",Agent04_Withdrawals!B94)</f>
        <v/>
      </c>
      <c r="D687" s="43" t="str">
        <f>IF(Agent04_Withdrawals!A94="","",Agent04_Withdrawals!C94)</f>
        <v/>
      </c>
      <c r="E687" s="41" t="str">
        <f>IF(Agent04_Withdrawals!A94="","",Agent04_Withdrawals!D94)</f>
        <v/>
      </c>
      <c r="F687" s="40" t="str">
        <f>IF(Agent04_Withdrawals!A94="","",Agent04_Withdrawals!F94)</f>
        <v/>
      </c>
      <c r="G687" s="42" t="str">
        <f>IF(Agent04_Withdrawals!A94="","",Agent04_Withdrawals!E94)</f>
        <v/>
      </c>
      <c r="H687" s="42" t="str">
        <f>IF(Agent04_Withdrawals!A94="","",Agent04_Withdrawals!G94)</f>
        <v/>
      </c>
      <c r="I687" s="40" t="str">
        <f>IF(Agent04_Withdrawals!A94="","",Agent04_Withdrawals!H94)</f>
        <v/>
      </c>
      <c r="J687" s="40" t="str">
        <f>IF(Agent04_Withdrawals!A94="","",Agent04_Withdrawals!J94)</f>
        <v/>
      </c>
      <c r="K687" s="40" t="str">
        <f>IF(Agent04_Withdrawals!A94="","",Agent04_Withdrawals!K94)</f>
        <v/>
      </c>
      <c r="L687" s="40" t="str">
        <f>IF(G687="","",IF(D687-G687&gt;=System_Config!$B$9,"✅ OK","⚠️ BREACH"))</f>
        <v/>
      </c>
      <c r="M687" s="40" t="str">
        <f>IFERROR(IF(Agent04_Withdrawals!A94="","",YEAR(Agent04_Withdrawals!D94)),"")</f>
        <v/>
      </c>
    </row>
    <row r="688" spans="1:13" ht="18" customHeight="1" x14ac:dyDescent="0.25">
      <c r="A688" s="40" t="str">
        <f>IF(Agent04_Withdrawals!A95="","",Agent04_Withdrawals!A95)</f>
        <v/>
      </c>
      <c r="B688" s="40" t="str">
        <f ca="1">IF(Agent04_Withdrawals!A95="","","WD"&amp;TEXT(688-3,"0000")&amp;"-"&amp;TEXT(TODAY(),"YYYYMMDD"))</f>
        <v/>
      </c>
      <c r="C688" s="40" t="str">
        <f>IF(Agent04_Withdrawals!A95="","",Agent04_Withdrawals!B95)</f>
        <v/>
      </c>
      <c r="D688" s="43" t="str">
        <f>IF(Agent04_Withdrawals!A95="","",Agent04_Withdrawals!C95)</f>
        <v/>
      </c>
      <c r="E688" s="41" t="str">
        <f>IF(Agent04_Withdrawals!A95="","",Agent04_Withdrawals!D95)</f>
        <v/>
      </c>
      <c r="F688" s="40" t="str">
        <f>IF(Agent04_Withdrawals!A95="","",Agent04_Withdrawals!F95)</f>
        <v/>
      </c>
      <c r="G688" s="42" t="str">
        <f>IF(Agent04_Withdrawals!A95="","",Agent04_Withdrawals!E95)</f>
        <v/>
      </c>
      <c r="H688" s="42" t="str">
        <f>IF(Agent04_Withdrawals!A95="","",Agent04_Withdrawals!G95)</f>
        <v/>
      </c>
      <c r="I688" s="40" t="str">
        <f>IF(Agent04_Withdrawals!A95="","",Agent04_Withdrawals!H95)</f>
        <v/>
      </c>
      <c r="J688" s="40" t="str">
        <f>IF(Agent04_Withdrawals!A95="","",Agent04_Withdrawals!J95)</f>
        <v/>
      </c>
      <c r="K688" s="40" t="str">
        <f>IF(Agent04_Withdrawals!A95="","",Agent04_Withdrawals!K95)</f>
        <v/>
      </c>
      <c r="L688" s="40" t="str">
        <f>IF(G688="","",IF(D688-G688&gt;=System_Config!$B$9,"✅ OK","⚠️ BREACH"))</f>
        <v/>
      </c>
      <c r="M688" s="40" t="str">
        <f>IFERROR(IF(Agent04_Withdrawals!A95="","",YEAR(Agent04_Withdrawals!D95)),"")</f>
        <v/>
      </c>
    </row>
    <row r="689" spans="1:13" ht="18" customHeight="1" x14ac:dyDescent="0.25">
      <c r="A689" s="40" t="str">
        <f>IF(Agent04_Withdrawals!A96="","",Agent04_Withdrawals!A96)</f>
        <v/>
      </c>
      <c r="B689" s="40" t="str">
        <f ca="1">IF(Agent04_Withdrawals!A96="","","WD"&amp;TEXT(689-3,"0000")&amp;"-"&amp;TEXT(TODAY(),"YYYYMMDD"))</f>
        <v/>
      </c>
      <c r="C689" s="40" t="str">
        <f>IF(Agent04_Withdrawals!A96="","",Agent04_Withdrawals!B96)</f>
        <v/>
      </c>
      <c r="D689" s="43" t="str">
        <f>IF(Agent04_Withdrawals!A96="","",Agent04_Withdrawals!C96)</f>
        <v/>
      </c>
      <c r="E689" s="41" t="str">
        <f>IF(Agent04_Withdrawals!A96="","",Agent04_Withdrawals!D96)</f>
        <v/>
      </c>
      <c r="F689" s="40" t="str">
        <f>IF(Agent04_Withdrawals!A96="","",Agent04_Withdrawals!F96)</f>
        <v/>
      </c>
      <c r="G689" s="42" t="str">
        <f>IF(Agent04_Withdrawals!A96="","",Agent04_Withdrawals!E96)</f>
        <v/>
      </c>
      <c r="H689" s="42" t="str">
        <f>IF(Agent04_Withdrawals!A96="","",Agent04_Withdrawals!G96)</f>
        <v/>
      </c>
      <c r="I689" s="40" t="str">
        <f>IF(Agent04_Withdrawals!A96="","",Agent04_Withdrawals!H96)</f>
        <v/>
      </c>
      <c r="J689" s="40" t="str">
        <f>IF(Agent04_Withdrawals!A96="","",Agent04_Withdrawals!J96)</f>
        <v/>
      </c>
      <c r="K689" s="40" t="str">
        <f>IF(Agent04_Withdrawals!A96="","",Agent04_Withdrawals!K96)</f>
        <v/>
      </c>
      <c r="L689" s="40" t="str">
        <f>IF(G689="","",IF(D689-G689&gt;=System_Config!$B$9,"✅ OK","⚠️ BREACH"))</f>
        <v/>
      </c>
      <c r="M689" s="40" t="str">
        <f>IFERROR(IF(Agent04_Withdrawals!A96="","",YEAR(Agent04_Withdrawals!D96)),"")</f>
        <v/>
      </c>
    </row>
    <row r="690" spans="1:13" ht="18" customHeight="1" x14ac:dyDescent="0.25">
      <c r="A690" s="40" t="str">
        <f>IF(Agent04_Withdrawals!A97="","",Agent04_Withdrawals!A97)</f>
        <v/>
      </c>
      <c r="B690" s="40" t="str">
        <f ca="1">IF(Agent04_Withdrawals!A97="","","WD"&amp;TEXT(690-3,"0000")&amp;"-"&amp;TEXT(TODAY(),"YYYYMMDD"))</f>
        <v/>
      </c>
      <c r="C690" s="40" t="str">
        <f>IF(Agent04_Withdrawals!A97="","",Agent04_Withdrawals!B97)</f>
        <v/>
      </c>
      <c r="D690" s="43" t="str">
        <f>IF(Agent04_Withdrawals!A97="","",Agent04_Withdrawals!C97)</f>
        <v/>
      </c>
      <c r="E690" s="41" t="str">
        <f>IF(Agent04_Withdrawals!A97="","",Agent04_Withdrawals!D97)</f>
        <v/>
      </c>
      <c r="F690" s="40" t="str">
        <f>IF(Agent04_Withdrawals!A97="","",Agent04_Withdrawals!F97)</f>
        <v/>
      </c>
      <c r="G690" s="42" t="str">
        <f>IF(Agent04_Withdrawals!A97="","",Agent04_Withdrawals!E97)</f>
        <v/>
      </c>
      <c r="H690" s="42" t="str">
        <f>IF(Agent04_Withdrawals!A97="","",Agent04_Withdrawals!G97)</f>
        <v/>
      </c>
      <c r="I690" s="40" t="str">
        <f>IF(Agent04_Withdrawals!A97="","",Agent04_Withdrawals!H97)</f>
        <v/>
      </c>
      <c r="J690" s="40" t="str">
        <f>IF(Agent04_Withdrawals!A97="","",Agent04_Withdrawals!J97)</f>
        <v/>
      </c>
      <c r="K690" s="40" t="str">
        <f>IF(Agent04_Withdrawals!A97="","",Agent04_Withdrawals!K97)</f>
        <v/>
      </c>
      <c r="L690" s="40" t="str">
        <f>IF(G690="","",IF(D690-G690&gt;=System_Config!$B$9,"✅ OK","⚠️ BREACH"))</f>
        <v/>
      </c>
      <c r="M690" s="40" t="str">
        <f>IFERROR(IF(Agent04_Withdrawals!A97="","",YEAR(Agent04_Withdrawals!D97)),"")</f>
        <v/>
      </c>
    </row>
    <row r="691" spans="1:13" ht="18" customHeight="1" x14ac:dyDescent="0.25">
      <c r="A691" s="40" t="str">
        <f>IF(Agent04_Withdrawals!A98="","",Agent04_Withdrawals!A98)</f>
        <v/>
      </c>
      <c r="B691" s="40" t="str">
        <f ca="1">IF(Agent04_Withdrawals!A98="","","WD"&amp;TEXT(691-3,"0000")&amp;"-"&amp;TEXT(TODAY(),"YYYYMMDD"))</f>
        <v/>
      </c>
      <c r="C691" s="40" t="str">
        <f>IF(Agent04_Withdrawals!A98="","",Agent04_Withdrawals!B98)</f>
        <v/>
      </c>
      <c r="D691" s="43" t="str">
        <f>IF(Agent04_Withdrawals!A98="","",Agent04_Withdrawals!C98)</f>
        <v/>
      </c>
      <c r="E691" s="41" t="str">
        <f>IF(Agent04_Withdrawals!A98="","",Agent04_Withdrawals!D98)</f>
        <v/>
      </c>
      <c r="F691" s="40" t="str">
        <f>IF(Agent04_Withdrawals!A98="","",Agent04_Withdrawals!F98)</f>
        <v/>
      </c>
      <c r="G691" s="42" t="str">
        <f>IF(Agent04_Withdrawals!A98="","",Agent04_Withdrawals!E98)</f>
        <v/>
      </c>
      <c r="H691" s="42" t="str">
        <f>IF(Agent04_Withdrawals!A98="","",Agent04_Withdrawals!G98)</f>
        <v/>
      </c>
      <c r="I691" s="40" t="str">
        <f>IF(Agent04_Withdrawals!A98="","",Agent04_Withdrawals!H98)</f>
        <v/>
      </c>
      <c r="J691" s="40" t="str">
        <f>IF(Agent04_Withdrawals!A98="","",Agent04_Withdrawals!J98)</f>
        <v/>
      </c>
      <c r="K691" s="40" t="str">
        <f>IF(Agent04_Withdrawals!A98="","",Agent04_Withdrawals!K98)</f>
        <v/>
      </c>
      <c r="L691" s="40" t="str">
        <f>IF(G691="","",IF(D691-G691&gt;=System_Config!$B$9,"✅ OK","⚠️ BREACH"))</f>
        <v/>
      </c>
      <c r="M691" s="40" t="str">
        <f>IFERROR(IF(Agent04_Withdrawals!A98="","",YEAR(Agent04_Withdrawals!D98)),"")</f>
        <v/>
      </c>
    </row>
    <row r="692" spans="1:13" ht="18" customHeight="1" x14ac:dyDescent="0.25">
      <c r="A692" s="40" t="str">
        <f>IF(Agent04_Withdrawals!A99="","",Agent04_Withdrawals!A99)</f>
        <v/>
      </c>
      <c r="B692" s="40" t="str">
        <f ca="1">IF(Agent04_Withdrawals!A99="","","WD"&amp;TEXT(692-3,"0000")&amp;"-"&amp;TEXT(TODAY(),"YYYYMMDD"))</f>
        <v/>
      </c>
      <c r="C692" s="40" t="str">
        <f>IF(Agent04_Withdrawals!A99="","",Agent04_Withdrawals!B99)</f>
        <v/>
      </c>
      <c r="D692" s="43" t="str">
        <f>IF(Agent04_Withdrawals!A99="","",Agent04_Withdrawals!C99)</f>
        <v/>
      </c>
      <c r="E692" s="41" t="str">
        <f>IF(Agent04_Withdrawals!A99="","",Agent04_Withdrawals!D99)</f>
        <v/>
      </c>
      <c r="F692" s="40" t="str">
        <f>IF(Agent04_Withdrawals!A99="","",Agent04_Withdrawals!F99)</f>
        <v/>
      </c>
      <c r="G692" s="42" t="str">
        <f>IF(Agent04_Withdrawals!A99="","",Agent04_Withdrawals!E99)</f>
        <v/>
      </c>
      <c r="H692" s="42" t="str">
        <f>IF(Agent04_Withdrawals!A99="","",Agent04_Withdrawals!G99)</f>
        <v/>
      </c>
      <c r="I692" s="40" t="str">
        <f>IF(Agent04_Withdrawals!A99="","",Agent04_Withdrawals!H99)</f>
        <v/>
      </c>
      <c r="J692" s="40" t="str">
        <f>IF(Agent04_Withdrawals!A99="","",Agent04_Withdrawals!J99)</f>
        <v/>
      </c>
      <c r="K692" s="40" t="str">
        <f>IF(Agent04_Withdrawals!A99="","",Agent04_Withdrawals!K99)</f>
        <v/>
      </c>
      <c r="L692" s="40" t="str">
        <f>IF(G692="","",IF(D692-G692&gt;=System_Config!$B$9,"✅ OK","⚠️ BREACH"))</f>
        <v/>
      </c>
      <c r="M692" s="40" t="str">
        <f>IFERROR(IF(Agent04_Withdrawals!A99="","",YEAR(Agent04_Withdrawals!D99)),"")</f>
        <v/>
      </c>
    </row>
    <row r="693" spans="1:13" ht="18" customHeight="1" x14ac:dyDescent="0.25">
      <c r="A693" s="40" t="str">
        <f>IF(Agent04_Withdrawals!A100="","",Agent04_Withdrawals!A100)</f>
        <v/>
      </c>
      <c r="B693" s="40" t="str">
        <f ca="1">IF(Agent04_Withdrawals!A100="","","WD"&amp;TEXT(693-3,"0000")&amp;"-"&amp;TEXT(TODAY(),"YYYYMMDD"))</f>
        <v/>
      </c>
      <c r="C693" s="40" t="str">
        <f>IF(Agent04_Withdrawals!A100="","",Agent04_Withdrawals!B100)</f>
        <v/>
      </c>
      <c r="D693" s="43" t="str">
        <f>IF(Agent04_Withdrawals!A100="","",Agent04_Withdrawals!C100)</f>
        <v/>
      </c>
      <c r="E693" s="41" t="str">
        <f>IF(Agent04_Withdrawals!A100="","",Agent04_Withdrawals!D100)</f>
        <v/>
      </c>
      <c r="F693" s="40" t="str">
        <f>IF(Agent04_Withdrawals!A100="","",Agent04_Withdrawals!F100)</f>
        <v/>
      </c>
      <c r="G693" s="42" t="str">
        <f>IF(Agent04_Withdrawals!A100="","",Agent04_Withdrawals!E100)</f>
        <v/>
      </c>
      <c r="H693" s="42" t="str">
        <f>IF(Agent04_Withdrawals!A100="","",Agent04_Withdrawals!G100)</f>
        <v/>
      </c>
      <c r="I693" s="40" t="str">
        <f>IF(Agent04_Withdrawals!A100="","",Agent04_Withdrawals!H100)</f>
        <v/>
      </c>
      <c r="J693" s="40" t="str">
        <f>IF(Agent04_Withdrawals!A100="","",Agent04_Withdrawals!J100)</f>
        <v/>
      </c>
      <c r="K693" s="40" t="str">
        <f>IF(Agent04_Withdrawals!A100="","",Agent04_Withdrawals!K100)</f>
        <v/>
      </c>
      <c r="L693" s="40" t="str">
        <f>IF(G693="","",IF(D693-G693&gt;=System_Config!$B$9,"✅ OK","⚠️ BREACH"))</f>
        <v/>
      </c>
      <c r="M693" s="40" t="str">
        <f>IFERROR(IF(Agent04_Withdrawals!A100="","",YEAR(Agent04_Withdrawals!D100)),"")</f>
        <v/>
      </c>
    </row>
    <row r="694" spans="1:13" ht="18" customHeight="1" x14ac:dyDescent="0.25">
      <c r="A694" s="40" t="str">
        <f>IF(Agent04_Withdrawals!A101="","",Agent04_Withdrawals!A101)</f>
        <v/>
      </c>
      <c r="B694" s="40" t="str">
        <f ca="1">IF(Agent04_Withdrawals!A101="","","WD"&amp;TEXT(694-3,"0000")&amp;"-"&amp;TEXT(TODAY(),"YYYYMMDD"))</f>
        <v/>
      </c>
      <c r="C694" s="40" t="str">
        <f>IF(Agent04_Withdrawals!A101="","",Agent04_Withdrawals!B101)</f>
        <v/>
      </c>
      <c r="D694" s="43" t="str">
        <f>IF(Agent04_Withdrawals!A101="","",Agent04_Withdrawals!C101)</f>
        <v/>
      </c>
      <c r="E694" s="41" t="str">
        <f>IF(Agent04_Withdrawals!A101="","",Agent04_Withdrawals!D101)</f>
        <v/>
      </c>
      <c r="F694" s="40" t="str">
        <f>IF(Agent04_Withdrawals!A101="","",Agent04_Withdrawals!F101)</f>
        <v/>
      </c>
      <c r="G694" s="42" t="str">
        <f>IF(Agent04_Withdrawals!A101="","",Agent04_Withdrawals!E101)</f>
        <v/>
      </c>
      <c r="H694" s="42" t="str">
        <f>IF(Agent04_Withdrawals!A101="","",Agent04_Withdrawals!G101)</f>
        <v/>
      </c>
      <c r="I694" s="40" t="str">
        <f>IF(Agent04_Withdrawals!A101="","",Agent04_Withdrawals!H101)</f>
        <v/>
      </c>
      <c r="J694" s="40" t="str">
        <f>IF(Agent04_Withdrawals!A101="","",Agent04_Withdrawals!J101)</f>
        <v/>
      </c>
      <c r="K694" s="40" t="str">
        <f>IF(Agent04_Withdrawals!A101="","",Agent04_Withdrawals!K101)</f>
        <v/>
      </c>
      <c r="L694" s="40" t="str">
        <f>IF(G694="","",IF(D694-G694&gt;=System_Config!$B$9,"✅ OK","⚠️ BREACH"))</f>
        <v/>
      </c>
      <c r="M694" s="40" t="str">
        <f>IFERROR(IF(Agent04_Withdrawals!A101="","",YEAR(Agent04_Withdrawals!D101)),"")</f>
        <v/>
      </c>
    </row>
    <row r="695" spans="1:13" ht="18" customHeight="1" x14ac:dyDescent="0.25">
      <c r="A695" s="40" t="str">
        <f>IF(Agent04_Withdrawals!A102="","",Agent04_Withdrawals!A102)</f>
        <v/>
      </c>
      <c r="B695" s="40" t="str">
        <f ca="1">IF(Agent04_Withdrawals!A102="","","WD"&amp;TEXT(695-3,"0000")&amp;"-"&amp;TEXT(TODAY(),"YYYYMMDD"))</f>
        <v/>
      </c>
      <c r="C695" s="40" t="str">
        <f>IF(Agent04_Withdrawals!A102="","",Agent04_Withdrawals!B102)</f>
        <v/>
      </c>
      <c r="D695" s="43" t="str">
        <f>IF(Agent04_Withdrawals!A102="","",Agent04_Withdrawals!C102)</f>
        <v/>
      </c>
      <c r="E695" s="41" t="str">
        <f>IF(Agent04_Withdrawals!A102="","",Agent04_Withdrawals!D102)</f>
        <v/>
      </c>
      <c r="F695" s="40" t="str">
        <f>IF(Agent04_Withdrawals!A102="","",Agent04_Withdrawals!F102)</f>
        <v/>
      </c>
      <c r="G695" s="42" t="str">
        <f>IF(Agent04_Withdrawals!A102="","",Agent04_Withdrawals!E102)</f>
        <v/>
      </c>
      <c r="H695" s="42" t="str">
        <f>IF(Agent04_Withdrawals!A102="","",Agent04_Withdrawals!G102)</f>
        <v/>
      </c>
      <c r="I695" s="40" t="str">
        <f>IF(Agent04_Withdrawals!A102="","",Agent04_Withdrawals!H102)</f>
        <v/>
      </c>
      <c r="J695" s="40" t="str">
        <f>IF(Agent04_Withdrawals!A102="","",Agent04_Withdrawals!J102)</f>
        <v/>
      </c>
      <c r="K695" s="40" t="str">
        <f>IF(Agent04_Withdrawals!A102="","",Agent04_Withdrawals!K102)</f>
        <v/>
      </c>
      <c r="L695" s="40" t="str">
        <f>IF(G695="","",IF(D695-G695&gt;=System_Config!$B$9,"✅ OK","⚠️ BREACH"))</f>
        <v/>
      </c>
      <c r="M695" s="40" t="str">
        <f>IFERROR(IF(Agent04_Withdrawals!A102="","",YEAR(Agent04_Withdrawals!D102)),"")</f>
        <v/>
      </c>
    </row>
    <row r="696" spans="1:13" ht="18" customHeight="1" x14ac:dyDescent="0.25">
      <c r="A696" s="40" t="str">
        <f>IF(Agent04_Withdrawals!A103="","",Agent04_Withdrawals!A103)</f>
        <v/>
      </c>
      <c r="B696" s="40" t="str">
        <f ca="1">IF(Agent04_Withdrawals!A103="","","WD"&amp;TEXT(696-3,"0000")&amp;"-"&amp;TEXT(TODAY(),"YYYYMMDD"))</f>
        <v/>
      </c>
      <c r="C696" s="40" t="str">
        <f>IF(Agent04_Withdrawals!A103="","",Agent04_Withdrawals!B103)</f>
        <v/>
      </c>
      <c r="D696" s="43" t="str">
        <f>IF(Agent04_Withdrawals!A103="","",Agent04_Withdrawals!C103)</f>
        <v/>
      </c>
      <c r="E696" s="41" t="str">
        <f>IF(Agent04_Withdrawals!A103="","",Agent04_Withdrawals!D103)</f>
        <v/>
      </c>
      <c r="F696" s="40" t="str">
        <f>IF(Agent04_Withdrawals!A103="","",Agent04_Withdrawals!F103)</f>
        <v/>
      </c>
      <c r="G696" s="42" t="str">
        <f>IF(Agent04_Withdrawals!A103="","",Agent04_Withdrawals!E103)</f>
        <v/>
      </c>
      <c r="H696" s="42" t="str">
        <f>IF(Agent04_Withdrawals!A103="","",Agent04_Withdrawals!G103)</f>
        <v/>
      </c>
      <c r="I696" s="40" t="str">
        <f>IF(Agent04_Withdrawals!A103="","",Agent04_Withdrawals!H103)</f>
        <v/>
      </c>
      <c r="J696" s="40" t="str">
        <f>IF(Agent04_Withdrawals!A103="","",Agent04_Withdrawals!J103)</f>
        <v/>
      </c>
      <c r="K696" s="40" t="str">
        <f>IF(Agent04_Withdrawals!A103="","",Agent04_Withdrawals!K103)</f>
        <v/>
      </c>
      <c r="L696" s="40" t="str">
        <f>IF(G696="","",IF(D696-G696&gt;=System_Config!$B$9,"✅ OK","⚠️ BREACH"))</f>
        <v/>
      </c>
      <c r="M696" s="40" t="str">
        <f>IFERROR(IF(Agent04_Withdrawals!A103="","",YEAR(Agent04_Withdrawals!D103)),"")</f>
        <v/>
      </c>
    </row>
    <row r="697" spans="1:13" ht="18" customHeight="1" x14ac:dyDescent="0.25">
      <c r="A697" s="40" t="str">
        <f>IF(Agent04_Withdrawals!A104="","",Agent04_Withdrawals!A104)</f>
        <v/>
      </c>
      <c r="B697" s="40" t="str">
        <f ca="1">IF(Agent04_Withdrawals!A104="","","WD"&amp;TEXT(697-3,"0000")&amp;"-"&amp;TEXT(TODAY(),"YYYYMMDD"))</f>
        <v/>
      </c>
      <c r="C697" s="40" t="str">
        <f>IF(Agent04_Withdrawals!A104="","",Agent04_Withdrawals!B104)</f>
        <v/>
      </c>
      <c r="D697" s="43" t="str">
        <f>IF(Agent04_Withdrawals!A104="","",Agent04_Withdrawals!C104)</f>
        <v/>
      </c>
      <c r="E697" s="41" t="str">
        <f>IF(Agent04_Withdrawals!A104="","",Agent04_Withdrawals!D104)</f>
        <v/>
      </c>
      <c r="F697" s="40" t="str">
        <f>IF(Agent04_Withdrawals!A104="","",Agent04_Withdrawals!F104)</f>
        <v/>
      </c>
      <c r="G697" s="42" t="str">
        <f>IF(Agent04_Withdrawals!A104="","",Agent04_Withdrawals!E104)</f>
        <v/>
      </c>
      <c r="H697" s="42" t="str">
        <f>IF(Agent04_Withdrawals!A104="","",Agent04_Withdrawals!G104)</f>
        <v/>
      </c>
      <c r="I697" s="40" t="str">
        <f>IF(Agent04_Withdrawals!A104="","",Agent04_Withdrawals!H104)</f>
        <v/>
      </c>
      <c r="J697" s="40" t="str">
        <f>IF(Agent04_Withdrawals!A104="","",Agent04_Withdrawals!J104)</f>
        <v/>
      </c>
      <c r="K697" s="40" t="str">
        <f>IF(Agent04_Withdrawals!A104="","",Agent04_Withdrawals!K104)</f>
        <v/>
      </c>
      <c r="L697" s="40" t="str">
        <f>IF(G697="","",IF(D697-G697&gt;=System_Config!$B$9,"✅ OK","⚠️ BREACH"))</f>
        <v/>
      </c>
      <c r="M697" s="40" t="str">
        <f>IFERROR(IF(Agent04_Withdrawals!A104="","",YEAR(Agent04_Withdrawals!D104)),"")</f>
        <v/>
      </c>
    </row>
    <row r="698" spans="1:13" ht="18" customHeight="1" x14ac:dyDescent="0.25">
      <c r="A698" s="40" t="str">
        <f>IF(Agent04_Withdrawals!A105="","",Agent04_Withdrawals!A105)</f>
        <v/>
      </c>
      <c r="B698" s="40" t="str">
        <f ca="1">IF(Agent04_Withdrawals!A105="","","WD"&amp;TEXT(698-3,"0000")&amp;"-"&amp;TEXT(TODAY(),"YYYYMMDD"))</f>
        <v/>
      </c>
      <c r="C698" s="40" t="str">
        <f>IF(Agent04_Withdrawals!A105="","",Agent04_Withdrawals!B105)</f>
        <v/>
      </c>
      <c r="D698" s="43" t="str">
        <f>IF(Agent04_Withdrawals!A105="","",Agent04_Withdrawals!C105)</f>
        <v/>
      </c>
      <c r="E698" s="41" t="str">
        <f>IF(Agent04_Withdrawals!A105="","",Agent04_Withdrawals!D105)</f>
        <v/>
      </c>
      <c r="F698" s="40" t="str">
        <f>IF(Agent04_Withdrawals!A105="","",Agent04_Withdrawals!F105)</f>
        <v/>
      </c>
      <c r="G698" s="42" t="str">
        <f>IF(Agent04_Withdrawals!A105="","",Agent04_Withdrawals!E105)</f>
        <v/>
      </c>
      <c r="H698" s="42" t="str">
        <f>IF(Agent04_Withdrawals!A105="","",Agent04_Withdrawals!G105)</f>
        <v/>
      </c>
      <c r="I698" s="40" t="str">
        <f>IF(Agent04_Withdrawals!A105="","",Agent04_Withdrawals!H105)</f>
        <v/>
      </c>
      <c r="J698" s="40" t="str">
        <f>IF(Agent04_Withdrawals!A105="","",Agent04_Withdrawals!J105)</f>
        <v/>
      </c>
      <c r="K698" s="40" t="str">
        <f>IF(Agent04_Withdrawals!A105="","",Agent04_Withdrawals!K105)</f>
        <v/>
      </c>
      <c r="L698" s="40" t="str">
        <f>IF(G698="","",IF(D698-G698&gt;=System_Config!$B$9,"✅ OK","⚠️ BREACH"))</f>
        <v/>
      </c>
      <c r="M698" s="40" t="str">
        <f>IFERROR(IF(Agent04_Withdrawals!A105="","",YEAR(Agent04_Withdrawals!D105)),"")</f>
        <v/>
      </c>
    </row>
    <row r="699" spans="1:13" ht="18" customHeight="1" x14ac:dyDescent="0.25">
      <c r="A699" s="40" t="str">
        <f>IF(Agent04_Withdrawals!A106="","",Agent04_Withdrawals!A106)</f>
        <v/>
      </c>
      <c r="B699" s="40" t="str">
        <f ca="1">IF(Agent04_Withdrawals!A106="","","WD"&amp;TEXT(699-3,"0000")&amp;"-"&amp;TEXT(TODAY(),"YYYYMMDD"))</f>
        <v/>
      </c>
      <c r="C699" s="40" t="str">
        <f>IF(Agent04_Withdrawals!A106="","",Agent04_Withdrawals!B106)</f>
        <v/>
      </c>
      <c r="D699" s="43" t="str">
        <f>IF(Agent04_Withdrawals!A106="","",Agent04_Withdrawals!C106)</f>
        <v/>
      </c>
      <c r="E699" s="41" t="str">
        <f>IF(Agent04_Withdrawals!A106="","",Agent04_Withdrawals!D106)</f>
        <v/>
      </c>
      <c r="F699" s="40" t="str">
        <f>IF(Agent04_Withdrawals!A106="","",Agent04_Withdrawals!F106)</f>
        <v/>
      </c>
      <c r="G699" s="42" t="str">
        <f>IF(Agent04_Withdrawals!A106="","",Agent04_Withdrawals!E106)</f>
        <v/>
      </c>
      <c r="H699" s="42" t="str">
        <f>IF(Agent04_Withdrawals!A106="","",Agent04_Withdrawals!G106)</f>
        <v/>
      </c>
      <c r="I699" s="40" t="str">
        <f>IF(Agent04_Withdrawals!A106="","",Agent04_Withdrawals!H106)</f>
        <v/>
      </c>
      <c r="J699" s="40" t="str">
        <f>IF(Agent04_Withdrawals!A106="","",Agent04_Withdrawals!J106)</f>
        <v/>
      </c>
      <c r="K699" s="40" t="str">
        <f>IF(Agent04_Withdrawals!A106="","",Agent04_Withdrawals!K106)</f>
        <v/>
      </c>
      <c r="L699" s="40" t="str">
        <f>IF(G699="","",IF(D699-G699&gt;=System_Config!$B$9,"✅ OK","⚠️ BREACH"))</f>
        <v/>
      </c>
      <c r="M699" s="40" t="str">
        <f>IFERROR(IF(Agent04_Withdrawals!A106="","",YEAR(Agent04_Withdrawals!D106)),"")</f>
        <v/>
      </c>
    </row>
    <row r="700" spans="1:13" ht="18" customHeight="1" x14ac:dyDescent="0.25">
      <c r="A700" s="40" t="str">
        <f>IF(Agent04_Withdrawals!A107="","",Agent04_Withdrawals!A107)</f>
        <v/>
      </c>
      <c r="B700" s="40" t="str">
        <f ca="1">IF(Agent04_Withdrawals!A107="","","WD"&amp;TEXT(700-3,"0000")&amp;"-"&amp;TEXT(TODAY(),"YYYYMMDD"))</f>
        <v/>
      </c>
      <c r="C700" s="40" t="str">
        <f>IF(Agent04_Withdrawals!A107="","",Agent04_Withdrawals!B107)</f>
        <v/>
      </c>
      <c r="D700" s="43" t="str">
        <f>IF(Agent04_Withdrawals!A107="","",Agent04_Withdrawals!C107)</f>
        <v/>
      </c>
      <c r="E700" s="41" t="str">
        <f>IF(Agent04_Withdrawals!A107="","",Agent04_Withdrawals!D107)</f>
        <v/>
      </c>
      <c r="F700" s="40" t="str">
        <f>IF(Agent04_Withdrawals!A107="","",Agent04_Withdrawals!F107)</f>
        <v/>
      </c>
      <c r="G700" s="42" t="str">
        <f>IF(Agent04_Withdrawals!A107="","",Agent04_Withdrawals!E107)</f>
        <v/>
      </c>
      <c r="H700" s="42" t="str">
        <f>IF(Agent04_Withdrawals!A107="","",Agent04_Withdrawals!G107)</f>
        <v/>
      </c>
      <c r="I700" s="40" t="str">
        <f>IF(Agent04_Withdrawals!A107="","",Agent04_Withdrawals!H107)</f>
        <v/>
      </c>
      <c r="J700" s="40" t="str">
        <f>IF(Agent04_Withdrawals!A107="","",Agent04_Withdrawals!J107)</f>
        <v/>
      </c>
      <c r="K700" s="40" t="str">
        <f>IF(Agent04_Withdrawals!A107="","",Agent04_Withdrawals!K107)</f>
        <v/>
      </c>
      <c r="L700" s="40" t="str">
        <f>IF(G700="","",IF(D700-G700&gt;=System_Config!$B$9,"✅ OK","⚠️ BREACH"))</f>
        <v/>
      </c>
      <c r="M700" s="40" t="str">
        <f>IFERROR(IF(Agent04_Withdrawals!A107="","",YEAR(Agent04_Withdrawals!D107)),"")</f>
        <v/>
      </c>
    </row>
    <row r="701" spans="1:13" ht="18" customHeight="1" x14ac:dyDescent="0.25">
      <c r="A701" s="40" t="str">
        <f>IF(Agent04_Withdrawals!A108="","",Agent04_Withdrawals!A108)</f>
        <v/>
      </c>
      <c r="B701" s="40" t="str">
        <f ca="1">IF(Agent04_Withdrawals!A108="","","WD"&amp;TEXT(701-3,"0000")&amp;"-"&amp;TEXT(TODAY(),"YYYYMMDD"))</f>
        <v/>
      </c>
      <c r="C701" s="40" t="str">
        <f>IF(Agent04_Withdrawals!A108="","",Agent04_Withdrawals!B108)</f>
        <v/>
      </c>
      <c r="D701" s="43" t="str">
        <f>IF(Agent04_Withdrawals!A108="","",Agent04_Withdrawals!C108)</f>
        <v/>
      </c>
      <c r="E701" s="41" t="str">
        <f>IF(Agent04_Withdrawals!A108="","",Agent04_Withdrawals!D108)</f>
        <v/>
      </c>
      <c r="F701" s="40" t="str">
        <f>IF(Agent04_Withdrawals!A108="","",Agent04_Withdrawals!F108)</f>
        <v/>
      </c>
      <c r="G701" s="42" t="str">
        <f>IF(Agent04_Withdrawals!A108="","",Agent04_Withdrawals!E108)</f>
        <v/>
      </c>
      <c r="H701" s="42" t="str">
        <f>IF(Agent04_Withdrawals!A108="","",Agent04_Withdrawals!G108)</f>
        <v/>
      </c>
      <c r="I701" s="40" t="str">
        <f>IF(Agent04_Withdrawals!A108="","",Agent04_Withdrawals!H108)</f>
        <v/>
      </c>
      <c r="J701" s="40" t="str">
        <f>IF(Agent04_Withdrawals!A108="","",Agent04_Withdrawals!J108)</f>
        <v/>
      </c>
      <c r="K701" s="40" t="str">
        <f>IF(Agent04_Withdrawals!A108="","",Agent04_Withdrawals!K108)</f>
        <v/>
      </c>
      <c r="L701" s="40" t="str">
        <f>IF(G701="","",IF(D701-G701&gt;=System_Config!$B$9,"✅ OK","⚠️ BREACH"))</f>
        <v/>
      </c>
      <c r="M701" s="40" t="str">
        <f>IFERROR(IF(Agent04_Withdrawals!A108="","",YEAR(Agent04_Withdrawals!D108)),"")</f>
        <v/>
      </c>
    </row>
    <row r="702" spans="1:13" ht="18" customHeight="1" x14ac:dyDescent="0.25">
      <c r="A702" s="40" t="str">
        <f>IF(Agent04_Withdrawals!A109="","",Agent04_Withdrawals!A109)</f>
        <v/>
      </c>
      <c r="B702" s="40" t="str">
        <f ca="1">IF(Agent04_Withdrawals!A109="","","WD"&amp;TEXT(702-3,"0000")&amp;"-"&amp;TEXT(TODAY(),"YYYYMMDD"))</f>
        <v/>
      </c>
      <c r="C702" s="40" t="str">
        <f>IF(Agent04_Withdrawals!A109="","",Agent04_Withdrawals!B109)</f>
        <v/>
      </c>
      <c r="D702" s="43" t="str">
        <f>IF(Agent04_Withdrawals!A109="","",Agent04_Withdrawals!C109)</f>
        <v/>
      </c>
      <c r="E702" s="41" t="str">
        <f>IF(Agent04_Withdrawals!A109="","",Agent04_Withdrawals!D109)</f>
        <v/>
      </c>
      <c r="F702" s="40" t="str">
        <f>IF(Agent04_Withdrawals!A109="","",Agent04_Withdrawals!F109)</f>
        <v/>
      </c>
      <c r="G702" s="42" t="str">
        <f>IF(Agent04_Withdrawals!A109="","",Agent04_Withdrawals!E109)</f>
        <v/>
      </c>
      <c r="H702" s="42" t="str">
        <f>IF(Agent04_Withdrawals!A109="","",Agent04_Withdrawals!G109)</f>
        <v/>
      </c>
      <c r="I702" s="40" t="str">
        <f>IF(Agent04_Withdrawals!A109="","",Agent04_Withdrawals!H109)</f>
        <v/>
      </c>
      <c r="J702" s="40" t="str">
        <f>IF(Agent04_Withdrawals!A109="","",Agent04_Withdrawals!J109)</f>
        <v/>
      </c>
      <c r="K702" s="40" t="str">
        <f>IF(Agent04_Withdrawals!A109="","",Agent04_Withdrawals!K109)</f>
        <v/>
      </c>
      <c r="L702" s="40" t="str">
        <f>IF(G702="","",IF(D702-G702&gt;=System_Config!$B$9,"✅ OK","⚠️ BREACH"))</f>
        <v/>
      </c>
      <c r="M702" s="40" t="str">
        <f>IFERROR(IF(Agent04_Withdrawals!A109="","",YEAR(Agent04_Withdrawals!D109)),"")</f>
        <v/>
      </c>
    </row>
    <row r="703" spans="1:13" ht="18" customHeight="1" x14ac:dyDescent="0.25">
      <c r="A703" s="40" t="str">
        <f>IF(Agent04_Withdrawals!A110="","",Agent04_Withdrawals!A110)</f>
        <v/>
      </c>
      <c r="B703" s="40" t="str">
        <f ca="1">IF(Agent04_Withdrawals!A110="","","WD"&amp;TEXT(703-3,"0000")&amp;"-"&amp;TEXT(TODAY(),"YYYYMMDD"))</f>
        <v/>
      </c>
      <c r="C703" s="40" t="str">
        <f>IF(Agent04_Withdrawals!A110="","",Agent04_Withdrawals!B110)</f>
        <v/>
      </c>
      <c r="D703" s="43" t="str">
        <f>IF(Agent04_Withdrawals!A110="","",Agent04_Withdrawals!C110)</f>
        <v/>
      </c>
      <c r="E703" s="41" t="str">
        <f>IF(Agent04_Withdrawals!A110="","",Agent04_Withdrawals!D110)</f>
        <v/>
      </c>
      <c r="F703" s="40" t="str">
        <f>IF(Agent04_Withdrawals!A110="","",Agent04_Withdrawals!F110)</f>
        <v/>
      </c>
      <c r="G703" s="42" t="str">
        <f>IF(Agent04_Withdrawals!A110="","",Agent04_Withdrawals!E110)</f>
        <v/>
      </c>
      <c r="H703" s="42" t="str">
        <f>IF(Agent04_Withdrawals!A110="","",Agent04_Withdrawals!G110)</f>
        <v/>
      </c>
      <c r="I703" s="40" t="str">
        <f>IF(Agent04_Withdrawals!A110="","",Agent04_Withdrawals!H110)</f>
        <v/>
      </c>
      <c r="J703" s="40" t="str">
        <f>IF(Agent04_Withdrawals!A110="","",Agent04_Withdrawals!J110)</f>
        <v/>
      </c>
      <c r="K703" s="40" t="str">
        <f>IF(Agent04_Withdrawals!A110="","",Agent04_Withdrawals!K110)</f>
        <v/>
      </c>
      <c r="L703" s="40" t="str">
        <f>IF(G703="","",IF(D703-G703&gt;=System_Config!$B$9,"✅ OK","⚠️ BREACH"))</f>
        <v/>
      </c>
      <c r="M703" s="40" t="str">
        <f>IFERROR(IF(Agent04_Withdrawals!A110="","",YEAR(Agent04_Withdrawals!D110)),"")</f>
        <v/>
      </c>
    </row>
    <row r="704" spans="1:13" ht="18" customHeight="1" x14ac:dyDescent="0.25">
      <c r="A704" s="40" t="str">
        <f>IF(Agent04_Withdrawals!A111="","",Agent04_Withdrawals!A111)</f>
        <v/>
      </c>
      <c r="B704" s="40" t="str">
        <f ca="1">IF(Agent04_Withdrawals!A111="","","WD"&amp;TEXT(704-3,"0000")&amp;"-"&amp;TEXT(TODAY(),"YYYYMMDD"))</f>
        <v/>
      </c>
      <c r="C704" s="40" t="str">
        <f>IF(Agent04_Withdrawals!A111="","",Agent04_Withdrawals!B111)</f>
        <v/>
      </c>
      <c r="D704" s="43" t="str">
        <f>IF(Agent04_Withdrawals!A111="","",Agent04_Withdrawals!C111)</f>
        <v/>
      </c>
      <c r="E704" s="41" t="str">
        <f>IF(Agent04_Withdrawals!A111="","",Agent04_Withdrawals!D111)</f>
        <v/>
      </c>
      <c r="F704" s="40" t="str">
        <f>IF(Agent04_Withdrawals!A111="","",Agent04_Withdrawals!F111)</f>
        <v/>
      </c>
      <c r="G704" s="42" t="str">
        <f>IF(Agent04_Withdrawals!A111="","",Agent04_Withdrawals!E111)</f>
        <v/>
      </c>
      <c r="H704" s="42" t="str">
        <f>IF(Agent04_Withdrawals!A111="","",Agent04_Withdrawals!G111)</f>
        <v/>
      </c>
      <c r="I704" s="40" t="str">
        <f>IF(Agent04_Withdrawals!A111="","",Agent04_Withdrawals!H111)</f>
        <v/>
      </c>
      <c r="J704" s="40" t="str">
        <f>IF(Agent04_Withdrawals!A111="","",Agent04_Withdrawals!J111)</f>
        <v/>
      </c>
      <c r="K704" s="40" t="str">
        <f>IF(Agent04_Withdrawals!A111="","",Agent04_Withdrawals!K111)</f>
        <v/>
      </c>
      <c r="L704" s="40" t="str">
        <f>IF(G704="","",IF(D704-G704&gt;=System_Config!$B$9,"✅ OK","⚠️ BREACH"))</f>
        <v/>
      </c>
      <c r="M704" s="40" t="str">
        <f>IFERROR(IF(Agent04_Withdrawals!A111="","",YEAR(Agent04_Withdrawals!D111)),"")</f>
        <v/>
      </c>
    </row>
    <row r="705" spans="1:13" ht="18" customHeight="1" x14ac:dyDescent="0.25">
      <c r="A705" s="40" t="str">
        <f>IF(Agent04_Withdrawals!A112="","",Agent04_Withdrawals!A112)</f>
        <v/>
      </c>
      <c r="B705" s="40" t="str">
        <f ca="1">IF(Agent04_Withdrawals!A112="","","WD"&amp;TEXT(705-3,"0000")&amp;"-"&amp;TEXT(TODAY(),"YYYYMMDD"))</f>
        <v/>
      </c>
      <c r="C705" s="40" t="str">
        <f>IF(Agent04_Withdrawals!A112="","",Agent04_Withdrawals!B112)</f>
        <v/>
      </c>
      <c r="D705" s="43" t="str">
        <f>IF(Agent04_Withdrawals!A112="","",Agent04_Withdrawals!C112)</f>
        <v/>
      </c>
      <c r="E705" s="41" t="str">
        <f>IF(Agent04_Withdrawals!A112="","",Agent04_Withdrawals!D112)</f>
        <v/>
      </c>
      <c r="F705" s="40" t="str">
        <f>IF(Agent04_Withdrawals!A112="","",Agent04_Withdrawals!F112)</f>
        <v/>
      </c>
      <c r="G705" s="42" t="str">
        <f>IF(Agent04_Withdrawals!A112="","",Agent04_Withdrawals!E112)</f>
        <v/>
      </c>
      <c r="H705" s="42" t="str">
        <f>IF(Agent04_Withdrawals!A112="","",Agent04_Withdrawals!G112)</f>
        <v/>
      </c>
      <c r="I705" s="40" t="str">
        <f>IF(Agent04_Withdrawals!A112="","",Agent04_Withdrawals!H112)</f>
        <v/>
      </c>
      <c r="J705" s="40" t="str">
        <f>IF(Agent04_Withdrawals!A112="","",Agent04_Withdrawals!J112)</f>
        <v/>
      </c>
      <c r="K705" s="40" t="str">
        <f>IF(Agent04_Withdrawals!A112="","",Agent04_Withdrawals!K112)</f>
        <v/>
      </c>
      <c r="L705" s="40" t="str">
        <f>IF(G705="","",IF(D705-G705&gt;=System_Config!$B$9,"✅ OK","⚠️ BREACH"))</f>
        <v/>
      </c>
      <c r="M705" s="40" t="str">
        <f>IFERROR(IF(Agent04_Withdrawals!A112="","",YEAR(Agent04_Withdrawals!D112)),"")</f>
        <v/>
      </c>
    </row>
    <row r="706" spans="1:13" ht="18" customHeight="1" x14ac:dyDescent="0.25">
      <c r="A706" s="40" t="str">
        <f>IF(Agent04_Withdrawals!A113="","",Agent04_Withdrawals!A113)</f>
        <v/>
      </c>
      <c r="B706" s="40" t="str">
        <f ca="1">IF(Agent04_Withdrawals!A113="","","WD"&amp;TEXT(706-3,"0000")&amp;"-"&amp;TEXT(TODAY(),"YYYYMMDD"))</f>
        <v/>
      </c>
      <c r="C706" s="40" t="str">
        <f>IF(Agent04_Withdrawals!A113="","",Agent04_Withdrawals!B113)</f>
        <v/>
      </c>
      <c r="D706" s="43" t="str">
        <f>IF(Agent04_Withdrawals!A113="","",Agent04_Withdrawals!C113)</f>
        <v/>
      </c>
      <c r="E706" s="41" t="str">
        <f>IF(Agent04_Withdrawals!A113="","",Agent04_Withdrawals!D113)</f>
        <v/>
      </c>
      <c r="F706" s="40" t="str">
        <f>IF(Agent04_Withdrawals!A113="","",Agent04_Withdrawals!F113)</f>
        <v/>
      </c>
      <c r="G706" s="42" t="str">
        <f>IF(Agent04_Withdrawals!A113="","",Agent04_Withdrawals!E113)</f>
        <v/>
      </c>
      <c r="H706" s="42" t="str">
        <f>IF(Agent04_Withdrawals!A113="","",Agent04_Withdrawals!G113)</f>
        <v/>
      </c>
      <c r="I706" s="40" t="str">
        <f>IF(Agent04_Withdrawals!A113="","",Agent04_Withdrawals!H113)</f>
        <v/>
      </c>
      <c r="J706" s="40" t="str">
        <f>IF(Agent04_Withdrawals!A113="","",Agent04_Withdrawals!J113)</f>
        <v/>
      </c>
      <c r="K706" s="40" t="str">
        <f>IF(Agent04_Withdrawals!A113="","",Agent04_Withdrawals!K113)</f>
        <v/>
      </c>
      <c r="L706" s="40" t="str">
        <f>IF(G706="","",IF(D706-G706&gt;=System_Config!$B$9,"✅ OK","⚠️ BREACH"))</f>
        <v/>
      </c>
      <c r="M706" s="40" t="str">
        <f>IFERROR(IF(Agent04_Withdrawals!A113="","",YEAR(Agent04_Withdrawals!D113)),"")</f>
        <v/>
      </c>
    </row>
    <row r="707" spans="1:13" ht="18" customHeight="1" x14ac:dyDescent="0.25">
      <c r="A707" s="40" t="str">
        <f>IF(Agent04_Withdrawals!A114="","",Agent04_Withdrawals!A114)</f>
        <v/>
      </c>
      <c r="B707" s="40" t="str">
        <f ca="1">IF(Agent04_Withdrawals!A114="","","WD"&amp;TEXT(707-3,"0000")&amp;"-"&amp;TEXT(TODAY(),"YYYYMMDD"))</f>
        <v/>
      </c>
      <c r="C707" s="40" t="str">
        <f>IF(Agent04_Withdrawals!A114="","",Agent04_Withdrawals!B114)</f>
        <v/>
      </c>
      <c r="D707" s="43" t="str">
        <f>IF(Agent04_Withdrawals!A114="","",Agent04_Withdrawals!C114)</f>
        <v/>
      </c>
      <c r="E707" s="41" t="str">
        <f>IF(Agent04_Withdrawals!A114="","",Agent04_Withdrawals!D114)</f>
        <v/>
      </c>
      <c r="F707" s="40" t="str">
        <f>IF(Agent04_Withdrawals!A114="","",Agent04_Withdrawals!F114)</f>
        <v/>
      </c>
      <c r="G707" s="42" t="str">
        <f>IF(Agent04_Withdrawals!A114="","",Agent04_Withdrawals!E114)</f>
        <v/>
      </c>
      <c r="H707" s="42" t="str">
        <f>IF(Agent04_Withdrawals!A114="","",Agent04_Withdrawals!G114)</f>
        <v/>
      </c>
      <c r="I707" s="40" t="str">
        <f>IF(Agent04_Withdrawals!A114="","",Agent04_Withdrawals!H114)</f>
        <v/>
      </c>
      <c r="J707" s="40" t="str">
        <f>IF(Agent04_Withdrawals!A114="","",Agent04_Withdrawals!J114)</f>
        <v/>
      </c>
      <c r="K707" s="40" t="str">
        <f>IF(Agent04_Withdrawals!A114="","",Agent04_Withdrawals!K114)</f>
        <v/>
      </c>
      <c r="L707" s="40" t="str">
        <f>IF(G707="","",IF(D707-G707&gt;=System_Config!$B$9,"✅ OK","⚠️ BREACH"))</f>
        <v/>
      </c>
      <c r="M707" s="40" t="str">
        <f>IFERROR(IF(Agent04_Withdrawals!A114="","",YEAR(Agent04_Withdrawals!D114)),"")</f>
        <v/>
      </c>
    </row>
    <row r="708" spans="1:13" ht="18" customHeight="1" x14ac:dyDescent="0.25">
      <c r="A708" s="40" t="str">
        <f>IF(Agent04_Withdrawals!A115="","",Agent04_Withdrawals!A115)</f>
        <v/>
      </c>
      <c r="B708" s="40" t="str">
        <f ca="1">IF(Agent04_Withdrawals!A115="","","WD"&amp;TEXT(708-3,"0000")&amp;"-"&amp;TEXT(TODAY(),"YYYYMMDD"))</f>
        <v/>
      </c>
      <c r="C708" s="40" t="str">
        <f>IF(Agent04_Withdrawals!A115="","",Agent04_Withdrawals!B115)</f>
        <v/>
      </c>
      <c r="D708" s="43" t="str">
        <f>IF(Agent04_Withdrawals!A115="","",Agent04_Withdrawals!C115)</f>
        <v/>
      </c>
      <c r="E708" s="41" t="str">
        <f>IF(Agent04_Withdrawals!A115="","",Agent04_Withdrawals!D115)</f>
        <v/>
      </c>
      <c r="F708" s="40" t="str">
        <f>IF(Agent04_Withdrawals!A115="","",Agent04_Withdrawals!F115)</f>
        <v/>
      </c>
      <c r="G708" s="42" t="str">
        <f>IF(Agent04_Withdrawals!A115="","",Agent04_Withdrawals!E115)</f>
        <v/>
      </c>
      <c r="H708" s="42" t="str">
        <f>IF(Agent04_Withdrawals!A115="","",Agent04_Withdrawals!G115)</f>
        <v/>
      </c>
      <c r="I708" s="40" t="str">
        <f>IF(Agent04_Withdrawals!A115="","",Agent04_Withdrawals!H115)</f>
        <v/>
      </c>
      <c r="J708" s="40" t="str">
        <f>IF(Agent04_Withdrawals!A115="","",Agent04_Withdrawals!J115)</f>
        <v/>
      </c>
      <c r="K708" s="40" t="str">
        <f>IF(Agent04_Withdrawals!A115="","",Agent04_Withdrawals!K115)</f>
        <v/>
      </c>
      <c r="L708" s="40" t="str">
        <f>IF(G708="","",IF(D708-G708&gt;=System_Config!$B$9,"✅ OK","⚠️ BREACH"))</f>
        <v/>
      </c>
      <c r="M708" s="40" t="str">
        <f>IFERROR(IF(Agent04_Withdrawals!A115="","",YEAR(Agent04_Withdrawals!D115)),"")</f>
        <v/>
      </c>
    </row>
    <row r="709" spans="1:13" ht="18" customHeight="1" x14ac:dyDescent="0.25">
      <c r="A709" s="40" t="str">
        <f>IF(Agent04_Withdrawals!A116="","",Agent04_Withdrawals!A116)</f>
        <v/>
      </c>
      <c r="B709" s="40" t="str">
        <f ca="1">IF(Agent04_Withdrawals!A116="","","WD"&amp;TEXT(709-3,"0000")&amp;"-"&amp;TEXT(TODAY(),"YYYYMMDD"))</f>
        <v/>
      </c>
      <c r="C709" s="40" t="str">
        <f>IF(Agent04_Withdrawals!A116="","",Agent04_Withdrawals!B116)</f>
        <v/>
      </c>
      <c r="D709" s="43" t="str">
        <f>IF(Agent04_Withdrawals!A116="","",Agent04_Withdrawals!C116)</f>
        <v/>
      </c>
      <c r="E709" s="41" t="str">
        <f>IF(Agent04_Withdrawals!A116="","",Agent04_Withdrawals!D116)</f>
        <v/>
      </c>
      <c r="F709" s="40" t="str">
        <f>IF(Agent04_Withdrawals!A116="","",Agent04_Withdrawals!F116)</f>
        <v/>
      </c>
      <c r="G709" s="42" t="str">
        <f>IF(Agent04_Withdrawals!A116="","",Agent04_Withdrawals!E116)</f>
        <v/>
      </c>
      <c r="H709" s="42" t="str">
        <f>IF(Agent04_Withdrawals!A116="","",Agent04_Withdrawals!G116)</f>
        <v/>
      </c>
      <c r="I709" s="40" t="str">
        <f>IF(Agent04_Withdrawals!A116="","",Agent04_Withdrawals!H116)</f>
        <v/>
      </c>
      <c r="J709" s="40" t="str">
        <f>IF(Agent04_Withdrawals!A116="","",Agent04_Withdrawals!J116)</f>
        <v/>
      </c>
      <c r="K709" s="40" t="str">
        <f>IF(Agent04_Withdrawals!A116="","",Agent04_Withdrawals!K116)</f>
        <v/>
      </c>
      <c r="L709" s="40" t="str">
        <f>IF(G709="","",IF(D709-G709&gt;=System_Config!$B$9,"✅ OK","⚠️ BREACH"))</f>
        <v/>
      </c>
      <c r="M709" s="40" t="str">
        <f>IFERROR(IF(Agent04_Withdrawals!A116="","",YEAR(Agent04_Withdrawals!D116)),"")</f>
        <v/>
      </c>
    </row>
    <row r="710" spans="1:13" ht="18" customHeight="1" x14ac:dyDescent="0.25">
      <c r="A710" s="40" t="str">
        <f>IF(Agent04_Withdrawals!A117="","",Agent04_Withdrawals!A117)</f>
        <v/>
      </c>
      <c r="B710" s="40" t="str">
        <f ca="1">IF(Agent04_Withdrawals!A117="","","WD"&amp;TEXT(710-3,"0000")&amp;"-"&amp;TEXT(TODAY(),"YYYYMMDD"))</f>
        <v/>
      </c>
      <c r="C710" s="40" t="str">
        <f>IF(Agent04_Withdrawals!A117="","",Agent04_Withdrawals!B117)</f>
        <v/>
      </c>
      <c r="D710" s="43" t="str">
        <f>IF(Agent04_Withdrawals!A117="","",Agent04_Withdrawals!C117)</f>
        <v/>
      </c>
      <c r="E710" s="41" t="str">
        <f>IF(Agent04_Withdrawals!A117="","",Agent04_Withdrawals!D117)</f>
        <v/>
      </c>
      <c r="F710" s="40" t="str">
        <f>IF(Agent04_Withdrawals!A117="","",Agent04_Withdrawals!F117)</f>
        <v/>
      </c>
      <c r="G710" s="42" t="str">
        <f>IF(Agent04_Withdrawals!A117="","",Agent04_Withdrawals!E117)</f>
        <v/>
      </c>
      <c r="H710" s="42" t="str">
        <f>IF(Agent04_Withdrawals!A117="","",Agent04_Withdrawals!G117)</f>
        <v/>
      </c>
      <c r="I710" s="40" t="str">
        <f>IF(Agent04_Withdrawals!A117="","",Agent04_Withdrawals!H117)</f>
        <v/>
      </c>
      <c r="J710" s="40" t="str">
        <f>IF(Agent04_Withdrawals!A117="","",Agent04_Withdrawals!J117)</f>
        <v/>
      </c>
      <c r="K710" s="40" t="str">
        <f>IF(Agent04_Withdrawals!A117="","",Agent04_Withdrawals!K117)</f>
        <v/>
      </c>
      <c r="L710" s="40" t="str">
        <f>IF(G710="","",IF(D710-G710&gt;=System_Config!$B$9,"✅ OK","⚠️ BREACH"))</f>
        <v/>
      </c>
      <c r="M710" s="40" t="str">
        <f>IFERROR(IF(Agent04_Withdrawals!A117="","",YEAR(Agent04_Withdrawals!D117)),"")</f>
        <v/>
      </c>
    </row>
    <row r="711" spans="1:13" ht="18" customHeight="1" x14ac:dyDescent="0.25">
      <c r="A711" s="40" t="str">
        <f>IF(Agent04_Withdrawals!A118="","",Agent04_Withdrawals!A118)</f>
        <v/>
      </c>
      <c r="B711" s="40" t="str">
        <f ca="1">IF(Agent04_Withdrawals!A118="","","WD"&amp;TEXT(711-3,"0000")&amp;"-"&amp;TEXT(TODAY(),"YYYYMMDD"))</f>
        <v/>
      </c>
      <c r="C711" s="40" t="str">
        <f>IF(Agent04_Withdrawals!A118="","",Agent04_Withdrawals!B118)</f>
        <v/>
      </c>
      <c r="D711" s="43" t="str">
        <f>IF(Agent04_Withdrawals!A118="","",Agent04_Withdrawals!C118)</f>
        <v/>
      </c>
      <c r="E711" s="41" t="str">
        <f>IF(Agent04_Withdrawals!A118="","",Agent04_Withdrawals!D118)</f>
        <v/>
      </c>
      <c r="F711" s="40" t="str">
        <f>IF(Agent04_Withdrawals!A118="","",Agent04_Withdrawals!F118)</f>
        <v/>
      </c>
      <c r="G711" s="42" t="str">
        <f>IF(Agent04_Withdrawals!A118="","",Agent04_Withdrawals!E118)</f>
        <v/>
      </c>
      <c r="H711" s="42" t="str">
        <f>IF(Agent04_Withdrawals!A118="","",Agent04_Withdrawals!G118)</f>
        <v/>
      </c>
      <c r="I711" s="40" t="str">
        <f>IF(Agent04_Withdrawals!A118="","",Agent04_Withdrawals!H118)</f>
        <v/>
      </c>
      <c r="J711" s="40" t="str">
        <f>IF(Agent04_Withdrawals!A118="","",Agent04_Withdrawals!J118)</f>
        <v/>
      </c>
      <c r="K711" s="40" t="str">
        <f>IF(Agent04_Withdrawals!A118="","",Agent04_Withdrawals!K118)</f>
        <v/>
      </c>
      <c r="L711" s="40" t="str">
        <f>IF(G711="","",IF(D711-G711&gt;=System_Config!$B$9,"✅ OK","⚠️ BREACH"))</f>
        <v/>
      </c>
      <c r="M711" s="40" t="str">
        <f>IFERROR(IF(Agent04_Withdrawals!A118="","",YEAR(Agent04_Withdrawals!D118)),"")</f>
        <v/>
      </c>
    </row>
    <row r="712" spans="1:13" ht="18" customHeight="1" x14ac:dyDescent="0.25">
      <c r="A712" s="40" t="str">
        <f>IF(Agent04_Withdrawals!A119="","",Agent04_Withdrawals!A119)</f>
        <v/>
      </c>
      <c r="B712" s="40" t="str">
        <f ca="1">IF(Agent04_Withdrawals!A119="","","WD"&amp;TEXT(712-3,"0000")&amp;"-"&amp;TEXT(TODAY(),"YYYYMMDD"))</f>
        <v/>
      </c>
      <c r="C712" s="40" t="str">
        <f>IF(Agent04_Withdrawals!A119="","",Agent04_Withdrawals!B119)</f>
        <v/>
      </c>
      <c r="D712" s="43" t="str">
        <f>IF(Agent04_Withdrawals!A119="","",Agent04_Withdrawals!C119)</f>
        <v/>
      </c>
      <c r="E712" s="41" t="str">
        <f>IF(Agent04_Withdrawals!A119="","",Agent04_Withdrawals!D119)</f>
        <v/>
      </c>
      <c r="F712" s="40" t="str">
        <f>IF(Agent04_Withdrawals!A119="","",Agent04_Withdrawals!F119)</f>
        <v/>
      </c>
      <c r="G712" s="42" t="str">
        <f>IF(Agent04_Withdrawals!A119="","",Agent04_Withdrawals!E119)</f>
        <v/>
      </c>
      <c r="H712" s="42" t="str">
        <f>IF(Agent04_Withdrawals!A119="","",Agent04_Withdrawals!G119)</f>
        <v/>
      </c>
      <c r="I712" s="40" t="str">
        <f>IF(Agent04_Withdrawals!A119="","",Agent04_Withdrawals!H119)</f>
        <v/>
      </c>
      <c r="J712" s="40" t="str">
        <f>IF(Agent04_Withdrawals!A119="","",Agent04_Withdrawals!J119)</f>
        <v/>
      </c>
      <c r="K712" s="40" t="str">
        <f>IF(Agent04_Withdrawals!A119="","",Agent04_Withdrawals!K119)</f>
        <v/>
      </c>
      <c r="L712" s="40" t="str">
        <f>IF(G712="","",IF(D712-G712&gt;=System_Config!$B$9,"✅ OK","⚠️ BREACH"))</f>
        <v/>
      </c>
      <c r="M712" s="40" t="str">
        <f>IFERROR(IF(Agent04_Withdrawals!A119="","",YEAR(Agent04_Withdrawals!D119)),"")</f>
        <v/>
      </c>
    </row>
    <row r="713" spans="1:13" ht="18" customHeight="1" x14ac:dyDescent="0.25">
      <c r="A713" s="40" t="str">
        <f>IF(Agent04_Withdrawals!A120="","",Agent04_Withdrawals!A120)</f>
        <v/>
      </c>
      <c r="B713" s="40" t="str">
        <f ca="1">IF(Agent04_Withdrawals!A120="","","WD"&amp;TEXT(713-3,"0000")&amp;"-"&amp;TEXT(TODAY(),"YYYYMMDD"))</f>
        <v/>
      </c>
      <c r="C713" s="40" t="str">
        <f>IF(Agent04_Withdrawals!A120="","",Agent04_Withdrawals!B120)</f>
        <v/>
      </c>
      <c r="D713" s="43" t="str">
        <f>IF(Agent04_Withdrawals!A120="","",Agent04_Withdrawals!C120)</f>
        <v/>
      </c>
      <c r="E713" s="41" t="str">
        <f>IF(Agent04_Withdrawals!A120="","",Agent04_Withdrawals!D120)</f>
        <v/>
      </c>
      <c r="F713" s="40" t="str">
        <f>IF(Agent04_Withdrawals!A120="","",Agent04_Withdrawals!F120)</f>
        <v/>
      </c>
      <c r="G713" s="42" t="str">
        <f>IF(Agent04_Withdrawals!A120="","",Agent04_Withdrawals!E120)</f>
        <v/>
      </c>
      <c r="H713" s="42" t="str">
        <f>IF(Agent04_Withdrawals!A120="","",Agent04_Withdrawals!G120)</f>
        <v/>
      </c>
      <c r="I713" s="40" t="str">
        <f>IF(Agent04_Withdrawals!A120="","",Agent04_Withdrawals!H120)</f>
        <v/>
      </c>
      <c r="J713" s="40" t="str">
        <f>IF(Agent04_Withdrawals!A120="","",Agent04_Withdrawals!J120)</f>
        <v/>
      </c>
      <c r="K713" s="40" t="str">
        <f>IF(Agent04_Withdrawals!A120="","",Agent04_Withdrawals!K120)</f>
        <v/>
      </c>
      <c r="L713" s="40" t="str">
        <f>IF(G713="","",IF(D713-G713&gt;=System_Config!$B$9,"✅ OK","⚠️ BREACH"))</f>
        <v/>
      </c>
      <c r="M713" s="40" t="str">
        <f>IFERROR(IF(Agent04_Withdrawals!A120="","",YEAR(Agent04_Withdrawals!D120)),"")</f>
        <v/>
      </c>
    </row>
    <row r="714" spans="1:13" ht="18" customHeight="1" x14ac:dyDescent="0.25">
      <c r="A714" s="40" t="str">
        <f>IF(Agent04_Withdrawals!A121="","",Agent04_Withdrawals!A121)</f>
        <v/>
      </c>
      <c r="B714" s="40" t="str">
        <f ca="1">IF(Agent04_Withdrawals!A121="","","WD"&amp;TEXT(714-3,"0000")&amp;"-"&amp;TEXT(TODAY(),"YYYYMMDD"))</f>
        <v/>
      </c>
      <c r="C714" s="40" t="str">
        <f>IF(Agent04_Withdrawals!A121="","",Agent04_Withdrawals!B121)</f>
        <v/>
      </c>
      <c r="D714" s="43" t="str">
        <f>IF(Agent04_Withdrawals!A121="","",Agent04_Withdrawals!C121)</f>
        <v/>
      </c>
      <c r="E714" s="41" t="str">
        <f>IF(Agent04_Withdrawals!A121="","",Agent04_Withdrawals!D121)</f>
        <v/>
      </c>
      <c r="F714" s="40" t="str">
        <f>IF(Agent04_Withdrawals!A121="","",Agent04_Withdrawals!F121)</f>
        <v/>
      </c>
      <c r="G714" s="42" t="str">
        <f>IF(Agent04_Withdrawals!A121="","",Agent04_Withdrawals!E121)</f>
        <v/>
      </c>
      <c r="H714" s="42" t="str">
        <f>IF(Agent04_Withdrawals!A121="","",Agent04_Withdrawals!G121)</f>
        <v/>
      </c>
      <c r="I714" s="40" t="str">
        <f>IF(Agent04_Withdrawals!A121="","",Agent04_Withdrawals!H121)</f>
        <v/>
      </c>
      <c r="J714" s="40" t="str">
        <f>IF(Agent04_Withdrawals!A121="","",Agent04_Withdrawals!J121)</f>
        <v/>
      </c>
      <c r="K714" s="40" t="str">
        <f>IF(Agent04_Withdrawals!A121="","",Agent04_Withdrawals!K121)</f>
        <v/>
      </c>
      <c r="L714" s="40" t="str">
        <f>IF(G714="","",IF(D714-G714&gt;=System_Config!$B$9,"✅ OK","⚠️ BREACH"))</f>
        <v/>
      </c>
      <c r="M714" s="40" t="str">
        <f>IFERROR(IF(Agent04_Withdrawals!A121="","",YEAR(Agent04_Withdrawals!D121)),"")</f>
        <v/>
      </c>
    </row>
    <row r="715" spans="1:13" ht="18" customHeight="1" x14ac:dyDescent="0.25">
      <c r="A715" s="40" t="str">
        <f>IF(Agent04_Withdrawals!A122="","",Agent04_Withdrawals!A122)</f>
        <v/>
      </c>
      <c r="B715" s="40" t="str">
        <f ca="1">IF(Agent04_Withdrawals!A122="","","WD"&amp;TEXT(715-3,"0000")&amp;"-"&amp;TEXT(TODAY(),"YYYYMMDD"))</f>
        <v/>
      </c>
      <c r="C715" s="40" t="str">
        <f>IF(Agent04_Withdrawals!A122="","",Agent04_Withdrawals!B122)</f>
        <v/>
      </c>
      <c r="D715" s="43" t="str">
        <f>IF(Agent04_Withdrawals!A122="","",Agent04_Withdrawals!C122)</f>
        <v/>
      </c>
      <c r="E715" s="41" t="str">
        <f>IF(Agent04_Withdrawals!A122="","",Agent04_Withdrawals!D122)</f>
        <v/>
      </c>
      <c r="F715" s="40" t="str">
        <f>IF(Agent04_Withdrawals!A122="","",Agent04_Withdrawals!F122)</f>
        <v/>
      </c>
      <c r="G715" s="42" t="str">
        <f>IF(Agent04_Withdrawals!A122="","",Agent04_Withdrawals!E122)</f>
        <v/>
      </c>
      <c r="H715" s="42" t="str">
        <f>IF(Agent04_Withdrawals!A122="","",Agent04_Withdrawals!G122)</f>
        <v/>
      </c>
      <c r="I715" s="40" t="str">
        <f>IF(Agent04_Withdrawals!A122="","",Agent04_Withdrawals!H122)</f>
        <v/>
      </c>
      <c r="J715" s="40" t="str">
        <f>IF(Agent04_Withdrawals!A122="","",Agent04_Withdrawals!J122)</f>
        <v/>
      </c>
      <c r="K715" s="40" t="str">
        <f>IF(Agent04_Withdrawals!A122="","",Agent04_Withdrawals!K122)</f>
        <v/>
      </c>
      <c r="L715" s="40" t="str">
        <f>IF(G715="","",IF(D715-G715&gt;=System_Config!$B$9,"✅ OK","⚠️ BREACH"))</f>
        <v/>
      </c>
      <c r="M715" s="40" t="str">
        <f>IFERROR(IF(Agent04_Withdrawals!A122="","",YEAR(Agent04_Withdrawals!D122)),"")</f>
        <v/>
      </c>
    </row>
    <row r="716" spans="1:13" ht="18" customHeight="1" x14ac:dyDescent="0.25">
      <c r="A716" s="40" t="str">
        <f>IF(Agent04_Withdrawals!A123="","",Agent04_Withdrawals!A123)</f>
        <v/>
      </c>
      <c r="B716" s="40" t="str">
        <f ca="1">IF(Agent04_Withdrawals!A123="","","WD"&amp;TEXT(716-3,"0000")&amp;"-"&amp;TEXT(TODAY(),"YYYYMMDD"))</f>
        <v/>
      </c>
      <c r="C716" s="40" t="str">
        <f>IF(Agent04_Withdrawals!A123="","",Agent04_Withdrawals!B123)</f>
        <v/>
      </c>
      <c r="D716" s="43" t="str">
        <f>IF(Agent04_Withdrawals!A123="","",Agent04_Withdrawals!C123)</f>
        <v/>
      </c>
      <c r="E716" s="41" t="str">
        <f>IF(Agent04_Withdrawals!A123="","",Agent04_Withdrawals!D123)</f>
        <v/>
      </c>
      <c r="F716" s="40" t="str">
        <f>IF(Agent04_Withdrawals!A123="","",Agent04_Withdrawals!F123)</f>
        <v/>
      </c>
      <c r="G716" s="42" t="str">
        <f>IF(Agent04_Withdrawals!A123="","",Agent04_Withdrawals!E123)</f>
        <v/>
      </c>
      <c r="H716" s="42" t="str">
        <f>IF(Agent04_Withdrawals!A123="","",Agent04_Withdrawals!G123)</f>
        <v/>
      </c>
      <c r="I716" s="40" t="str">
        <f>IF(Agent04_Withdrawals!A123="","",Agent04_Withdrawals!H123)</f>
        <v/>
      </c>
      <c r="J716" s="40" t="str">
        <f>IF(Agent04_Withdrawals!A123="","",Agent04_Withdrawals!J123)</f>
        <v/>
      </c>
      <c r="K716" s="40" t="str">
        <f>IF(Agent04_Withdrawals!A123="","",Agent04_Withdrawals!K123)</f>
        <v/>
      </c>
      <c r="L716" s="40" t="str">
        <f>IF(G716="","",IF(D716-G716&gt;=System_Config!$B$9,"✅ OK","⚠️ BREACH"))</f>
        <v/>
      </c>
      <c r="M716" s="40" t="str">
        <f>IFERROR(IF(Agent04_Withdrawals!A123="","",YEAR(Agent04_Withdrawals!D123)),"")</f>
        <v/>
      </c>
    </row>
    <row r="717" spans="1:13" ht="18" customHeight="1" x14ac:dyDescent="0.25">
      <c r="A717" s="40" t="str">
        <f>IF(Agent04_Withdrawals!A124="","",Agent04_Withdrawals!A124)</f>
        <v/>
      </c>
      <c r="B717" s="40" t="str">
        <f ca="1">IF(Agent04_Withdrawals!A124="","","WD"&amp;TEXT(717-3,"0000")&amp;"-"&amp;TEXT(TODAY(),"YYYYMMDD"))</f>
        <v/>
      </c>
      <c r="C717" s="40" t="str">
        <f>IF(Agent04_Withdrawals!A124="","",Agent04_Withdrawals!B124)</f>
        <v/>
      </c>
      <c r="D717" s="43" t="str">
        <f>IF(Agent04_Withdrawals!A124="","",Agent04_Withdrawals!C124)</f>
        <v/>
      </c>
      <c r="E717" s="41" t="str">
        <f>IF(Agent04_Withdrawals!A124="","",Agent04_Withdrawals!D124)</f>
        <v/>
      </c>
      <c r="F717" s="40" t="str">
        <f>IF(Agent04_Withdrawals!A124="","",Agent04_Withdrawals!F124)</f>
        <v/>
      </c>
      <c r="G717" s="42" t="str">
        <f>IF(Agent04_Withdrawals!A124="","",Agent04_Withdrawals!E124)</f>
        <v/>
      </c>
      <c r="H717" s="42" t="str">
        <f>IF(Agent04_Withdrawals!A124="","",Agent04_Withdrawals!G124)</f>
        <v/>
      </c>
      <c r="I717" s="40" t="str">
        <f>IF(Agent04_Withdrawals!A124="","",Agent04_Withdrawals!H124)</f>
        <v/>
      </c>
      <c r="J717" s="40" t="str">
        <f>IF(Agent04_Withdrawals!A124="","",Agent04_Withdrawals!J124)</f>
        <v/>
      </c>
      <c r="K717" s="40" t="str">
        <f>IF(Agent04_Withdrawals!A124="","",Agent04_Withdrawals!K124)</f>
        <v/>
      </c>
      <c r="L717" s="40" t="str">
        <f>IF(G717="","",IF(D717-G717&gt;=System_Config!$B$9,"✅ OK","⚠️ BREACH"))</f>
        <v/>
      </c>
      <c r="M717" s="40" t="str">
        <f>IFERROR(IF(Agent04_Withdrawals!A124="","",YEAR(Agent04_Withdrawals!D124)),"")</f>
        <v/>
      </c>
    </row>
    <row r="718" spans="1:13" ht="18" customHeight="1" x14ac:dyDescent="0.25">
      <c r="A718" s="40" t="str">
        <f>IF(Agent04_Withdrawals!A125="","",Agent04_Withdrawals!A125)</f>
        <v/>
      </c>
      <c r="B718" s="40" t="str">
        <f ca="1">IF(Agent04_Withdrawals!A125="","","WD"&amp;TEXT(718-3,"0000")&amp;"-"&amp;TEXT(TODAY(),"YYYYMMDD"))</f>
        <v/>
      </c>
      <c r="C718" s="40" t="str">
        <f>IF(Agent04_Withdrawals!A125="","",Agent04_Withdrawals!B125)</f>
        <v/>
      </c>
      <c r="D718" s="43" t="str">
        <f>IF(Agent04_Withdrawals!A125="","",Agent04_Withdrawals!C125)</f>
        <v/>
      </c>
      <c r="E718" s="41" t="str">
        <f>IF(Agent04_Withdrawals!A125="","",Agent04_Withdrawals!D125)</f>
        <v/>
      </c>
      <c r="F718" s="40" t="str">
        <f>IF(Agent04_Withdrawals!A125="","",Agent04_Withdrawals!F125)</f>
        <v/>
      </c>
      <c r="G718" s="42" t="str">
        <f>IF(Agent04_Withdrawals!A125="","",Agent04_Withdrawals!E125)</f>
        <v/>
      </c>
      <c r="H718" s="42" t="str">
        <f>IF(Agent04_Withdrawals!A125="","",Agent04_Withdrawals!G125)</f>
        <v/>
      </c>
      <c r="I718" s="40" t="str">
        <f>IF(Agent04_Withdrawals!A125="","",Agent04_Withdrawals!H125)</f>
        <v/>
      </c>
      <c r="J718" s="40" t="str">
        <f>IF(Agent04_Withdrawals!A125="","",Agent04_Withdrawals!J125)</f>
        <v/>
      </c>
      <c r="K718" s="40" t="str">
        <f>IF(Agent04_Withdrawals!A125="","",Agent04_Withdrawals!K125)</f>
        <v/>
      </c>
      <c r="L718" s="40" t="str">
        <f>IF(G718="","",IF(D718-G718&gt;=System_Config!$B$9,"✅ OK","⚠️ BREACH"))</f>
        <v/>
      </c>
      <c r="M718" s="40" t="str">
        <f>IFERROR(IF(Agent04_Withdrawals!A125="","",YEAR(Agent04_Withdrawals!D125)),"")</f>
        <v/>
      </c>
    </row>
    <row r="719" spans="1:13" ht="18" customHeight="1" x14ac:dyDescent="0.25">
      <c r="A719" s="40" t="str">
        <f>IF(Agent04_Withdrawals!A126="","",Agent04_Withdrawals!A126)</f>
        <v/>
      </c>
      <c r="B719" s="40" t="str">
        <f ca="1">IF(Agent04_Withdrawals!A126="","","WD"&amp;TEXT(719-3,"0000")&amp;"-"&amp;TEXT(TODAY(),"YYYYMMDD"))</f>
        <v/>
      </c>
      <c r="C719" s="40" t="str">
        <f>IF(Agent04_Withdrawals!A126="","",Agent04_Withdrawals!B126)</f>
        <v/>
      </c>
      <c r="D719" s="43" t="str">
        <f>IF(Agent04_Withdrawals!A126="","",Agent04_Withdrawals!C126)</f>
        <v/>
      </c>
      <c r="E719" s="41" t="str">
        <f>IF(Agent04_Withdrawals!A126="","",Agent04_Withdrawals!D126)</f>
        <v/>
      </c>
      <c r="F719" s="40" t="str">
        <f>IF(Agent04_Withdrawals!A126="","",Agent04_Withdrawals!F126)</f>
        <v/>
      </c>
      <c r="G719" s="42" t="str">
        <f>IF(Agent04_Withdrawals!A126="","",Agent04_Withdrawals!E126)</f>
        <v/>
      </c>
      <c r="H719" s="42" t="str">
        <f>IF(Agent04_Withdrawals!A126="","",Agent04_Withdrawals!G126)</f>
        <v/>
      </c>
      <c r="I719" s="40" t="str">
        <f>IF(Agent04_Withdrawals!A126="","",Agent04_Withdrawals!H126)</f>
        <v/>
      </c>
      <c r="J719" s="40" t="str">
        <f>IF(Agent04_Withdrawals!A126="","",Agent04_Withdrawals!J126)</f>
        <v/>
      </c>
      <c r="K719" s="40" t="str">
        <f>IF(Agent04_Withdrawals!A126="","",Agent04_Withdrawals!K126)</f>
        <v/>
      </c>
      <c r="L719" s="40" t="str">
        <f>IF(G719="","",IF(D719-G719&gt;=System_Config!$B$9,"✅ OK","⚠️ BREACH"))</f>
        <v/>
      </c>
      <c r="M719" s="40" t="str">
        <f>IFERROR(IF(Agent04_Withdrawals!A126="","",YEAR(Agent04_Withdrawals!D126)),"")</f>
        <v/>
      </c>
    </row>
    <row r="720" spans="1:13" ht="18" customHeight="1" x14ac:dyDescent="0.25">
      <c r="A720" s="40" t="str">
        <f>IF(Agent04_Withdrawals!A127="","",Agent04_Withdrawals!A127)</f>
        <v/>
      </c>
      <c r="B720" s="40" t="str">
        <f ca="1">IF(Agent04_Withdrawals!A127="","","WD"&amp;TEXT(720-3,"0000")&amp;"-"&amp;TEXT(TODAY(),"YYYYMMDD"))</f>
        <v/>
      </c>
      <c r="C720" s="40" t="str">
        <f>IF(Agent04_Withdrawals!A127="","",Agent04_Withdrawals!B127)</f>
        <v/>
      </c>
      <c r="D720" s="43" t="str">
        <f>IF(Agent04_Withdrawals!A127="","",Agent04_Withdrawals!C127)</f>
        <v/>
      </c>
      <c r="E720" s="41" t="str">
        <f>IF(Agent04_Withdrawals!A127="","",Agent04_Withdrawals!D127)</f>
        <v/>
      </c>
      <c r="F720" s="40" t="str">
        <f>IF(Agent04_Withdrawals!A127="","",Agent04_Withdrawals!F127)</f>
        <v/>
      </c>
      <c r="G720" s="42" t="str">
        <f>IF(Agent04_Withdrawals!A127="","",Agent04_Withdrawals!E127)</f>
        <v/>
      </c>
      <c r="H720" s="42" t="str">
        <f>IF(Agent04_Withdrawals!A127="","",Agent04_Withdrawals!G127)</f>
        <v/>
      </c>
      <c r="I720" s="40" t="str">
        <f>IF(Agent04_Withdrawals!A127="","",Agent04_Withdrawals!H127)</f>
        <v/>
      </c>
      <c r="J720" s="40" t="str">
        <f>IF(Agent04_Withdrawals!A127="","",Agent04_Withdrawals!J127)</f>
        <v/>
      </c>
      <c r="K720" s="40" t="str">
        <f>IF(Agent04_Withdrawals!A127="","",Agent04_Withdrawals!K127)</f>
        <v/>
      </c>
      <c r="L720" s="40" t="str">
        <f>IF(G720="","",IF(D720-G720&gt;=System_Config!$B$9,"✅ OK","⚠️ BREACH"))</f>
        <v/>
      </c>
      <c r="M720" s="40" t="str">
        <f>IFERROR(IF(Agent04_Withdrawals!A127="","",YEAR(Agent04_Withdrawals!D127)),"")</f>
        <v/>
      </c>
    </row>
    <row r="721" spans="1:13" ht="18" customHeight="1" x14ac:dyDescent="0.25">
      <c r="A721" s="40" t="str">
        <f>IF(Agent04_Withdrawals!A128="","",Agent04_Withdrawals!A128)</f>
        <v/>
      </c>
      <c r="B721" s="40" t="str">
        <f ca="1">IF(Agent04_Withdrawals!A128="","","WD"&amp;TEXT(721-3,"0000")&amp;"-"&amp;TEXT(TODAY(),"YYYYMMDD"))</f>
        <v/>
      </c>
      <c r="C721" s="40" t="str">
        <f>IF(Agent04_Withdrawals!A128="","",Agent04_Withdrawals!B128)</f>
        <v/>
      </c>
      <c r="D721" s="43" t="str">
        <f>IF(Agent04_Withdrawals!A128="","",Agent04_Withdrawals!C128)</f>
        <v/>
      </c>
      <c r="E721" s="41" t="str">
        <f>IF(Agent04_Withdrawals!A128="","",Agent04_Withdrawals!D128)</f>
        <v/>
      </c>
      <c r="F721" s="40" t="str">
        <f>IF(Agent04_Withdrawals!A128="","",Agent04_Withdrawals!F128)</f>
        <v/>
      </c>
      <c r="G721" s="42" t="str">
        <f>IF(Agent04_Withdrawals!A128="","",Agent04_Withdrawals!E128)</f>
        <v/>
      </c>
      <c r="H721" s="42" t="str">
        <f>IF(Agent04_Withdrawals!A128="","",Agent04_Withdrawals!G128)</f>
        <v/>
      </c>
      <c r="I721" s="40" t="str">
        <f>IF(Agent04_Withdrawals!A128="","",Agent04_Withdrawals!H128)</f>
        <v/>
      </c>
      <c r="J721" s="40" t="str">
        <f>IF(Agent04_Withdrawals!A128="","",Agent04_Withdrawals!J128)</f>
        <v/>
      </c>
      <c r="K721" s="40" t="str">
        <f>IF(Agent04_Withdrawals!A128="","",Agent04_Withdrawals!K128)</f>
        <v/>
      </c>
      <c r="L721" s="40" t="str">
        <f>IF(G721="","",IF(D721-G721&gt;=System_Config!$B$9,"✅ OK","⚠️ BREACH"))</f>
        <v/>
      </c>
      <c r="M721" s="40" t="str">
        <f>IFERROR(IF(Agent04_Withdrawals!A128="","",YEAR(Agent04_Withdrawals!D128)),"")</f>
        <v/>
      </c>
    </row>
    <row r="722" spans="1:13" ht="18" customHeight="1" x14ac:dyDescent="0.25">
      <c r="A722" s="40" t="str">
        <f>IF(Agent04_Withdrawals!A129="","",Agent04_Withdrawals!A129)</f>
        <v/>
      </c>
      <c r="B722" s="40" t="str">
        <f ca="1">IF(Agent04_Withdrawals!A129="","","WD"&amp;TEXT(722-3,"0000")&amp;"-"&amp;TEXT(TODAY(),"YYYYMMDD"))</f>
        <v/>
      </c>
      <c r="C722" s="40" t="str">
        <f>IF(Agent04_Withdrawals!A129="","",Agent04_Withdrawals!B129)</f>
        <v/>
      </c>
      <c r="D722" s="43" t="str">
        <f>IF(Agent04_Withdrawals!A129="","",Agent04_Withdrawals!C129)</f>
        <v/>
      </c>
      <c r="E722" s="41" t="str">
        <f>IF(Agent04_Withdrawals!A129="","",Agent04_Withdrawals!D129)</f>
        <v/>
      </c>
      <c r="F722" s="40" t="str">
        <f>IF(Agent04_Withdrawals!A129="","",Agent04_Withdrawals!F129)</f>
        <v/>
      </c>
      <c r="G722" s="42" t="str">
        <f>IF(Agent04_Withdrawals!A129="","",Agent04_Withdrawals!E129)</f>
        <v/>
      </c>
      <c r="H722" s="42" t="str">
        <f>IF(Agent04_Withdrawals!A129="","",Agent04_Withdrawals!G129)</f>
        <v/>
      </c>
      <c r="I722" s="40" t="str">
        <f>IF(Agent04_Withdrawals!A129="","",Agent04_Withdrawals!H129)</f>
        <v/>
      </c>
      <c r="J722" s="40" t="str">
        <f>IF(Agent04_Withdrawals!A129="","",Agent04_Withdrawals!J129)</f>
        <v/>
      </c>
      <c r="K722" s="40" t="str">
        <f>IF(Agent04_Withdrawals!A129="","",Agent04_Withdrawals!K129)</f>
        <v/>
      </c>
      <c r="L722" s="40" t="str">
        <f>IF(G722="","",IF(D722-G722&gt;=System_Config!$B$9,"✅ OK","⚠️ BREACH"))</f>
        <v/>
      </c>
      <c r="M722" s="40" t="str">
        <f>IFERROR(IF(Agent04_Withdrawals!A129="","",YEAR(Agent04_Withdrawals!D129)),"")</f>
        <v/>
      </c>
    </row>
    <row r="723" spans="1:13" ht="18" customHeight="1" x14ac:dyDescent="0.25">
      <c r="A723" s="40" t="str">
        <f>IF(Agent04_Withdrawals!A130="","",Agent04_Withdrawals!A130)</f>
        <v/>
      </c>
      <c r="B723" s="40" t="str">
        <f ca="1">IF(Agent04_Withdrawals!A130="","","WD"&amp;TEXT(723-3,"0000")&amp;"-"&amp;TEXT(TODAY(),"YYYYMMDD"))</f>
        <v/>
      </c>
      <c r="C723" s="40" t="str">
        <f>IF(Agent04_Withdrawals!A130="","",Agent04_Withdrawals!B130)</f>
        <v/>
      </c>
      <c r="D723" s="43" t="str">
        <f>IF(Agent04_Withdrawals!A130="","",Agent04_Withdrawals!C130)</f>
        <v/>
      </c>
      <c r="E723" s="41" t="str">
        <f>IF(Agent04_Withdrawals!A130="","",Agent04_Withdrawals!D130)</f>
        <v/>
      </c>
      <c r="F723" s="40" t="str">
        <f>IF(Agent04_Withdrawals!A130="","",Agent04_Withdrawals!F130)</f>
        <v/>
      </c>
      <c r="G723" s="42" t="str">
        <f>IF(Agent04_Withdrawals!A130="","",Agent04_Withdrawals!E130)</f>
        <v/>
      </c>
      <c r="H723" s="42" t="str">
        <f>IF(Agent04_Withdrawals!A130="","",Agent04_Withdrawals!G130)</f>
        <v/>
      </c>
      <c r="I723" s="40" t="str">
        <f>IF(Agent04_Withdrawals!A130="","",Agent04_Withdrawals!H130)</f>
        <v/>
      </c>
      <c r="J723" s="40" t="str">
        <f>IF(Agent04_Withdrawals!A130="","",Agent04_Withdrawals!J130)</f>
        <v/>
      </c>
      <c r="K723" s="40" t="str">
        <f>IF(Agent04_Withdrawals!A130="","",Agent04_Withdrawals!K130)</f>
        <v/>
      </c>
      <c r="L723" s="40" t="str">
        <f>IF(G723="","",IF(D723-G723&gt;=System_Config!$B$9,"✅ OK","⚠️ BREACH"))</f>
        <v/>
      </c>
      <c r="M723" s="40" t="str">
        <f>IFERROR(IF(Agent04_Withdrawals!A130="","",YEAR(Agent04_Withdrawals!D130)),"")</f>
        <v/>
      </c>
    </row>
    <row r="724" spans="1:13" ht="18" customHeight="1" x14ac:dyDescent="0.25">
      <c r="A724" s="40" t="str">
        <f>IF(Agent04_Withdrawals!A131="","",Agent04_Withdrawals!A131)</f>
        <v/>
      </c>
      <c r="B724" s="40" t="str">
        <f ca="1">IF(Agent04_Withdrawals!A131="","","WD"&amp;TEXT(724-3,"0000")&amp;"-"&amp;TEXT(TODAY(),"YYYYMMDD"))</f>
        <v/>
      </c>
      <c r="C724" s="40" t="str">
        <f>IF(Agent04_Withdrawals!A131="","",Agent04_Withdrawals!B131)</f>
        <v/>
      </c>
      <c r="D724" s="43" t="str">
        <f>IF(Agent04_Withdrawals!A131="","",Agent04_Withdrawals!C131)</f>
        <v/>
      </c>
      <c r="E724" s="41" t="str">
        <f>IF(Agent04_Withdrawals!A131="","",Agent04_Withdrawals!D131)</f>
        <v/>
      </c>
      <c r="F724" s="40" t="str">
        <f>IF(Agent04_Withdrawals!A131="","",Agent04_Withdrawals!F131)</f>
        <v/>
      </c>
      <c r="G724" s="42" t="str">
        <f>IF(Agent04_Withdrawals!A131="","",Agent04_Withdrawals!E131)</f>
        <v/>
      </c>
      <c r="H724" s="42" t="str">
        <f>IF(Agent04_Withdrawals!A131="","",Agent04_Withdrawals!G131)</f>
        <v/>
      </c>
      <c r="I724" s="40" t="str">
        <f>IF(Agent04_Withdrawals!A131="","",Agent04_Withdrawals!H131)</f>
        <v/>
      </c>
      <c r="J724" s="40" t="str">
        <f>IF(Agent04_Withdrawals!A131="","",Agent04_Withdrawals!J131)</f>
        <v/>
      </c>
      <c r="K724" s="40" t="str">
        <f>IF(Agent04_Withdrawals!A131="","",Agent04_Withdrawals!K131)</f>
        <v/>
      </c>
      <c r="L724" s="40" t="str">
        <f>IF(G724="","",IF(D724-G724&gt;=System_Config!$B$9,"✅ OK","⚠️ BREACH"))</f>
        <v/>
      </c>
      <c r="M724" s="40" t="str">
        <f>IFERROR(IF(Agent04_Withdrawals!A131="","",YEAR(Agent04_Withdrawals!D131)),"")</f>
        <v/>
      </c>
    </row>
    <row r="725" spans="1:13" ht="18" customHeight="1" x14ac:dyDescent="0.25">
      <c r="A725" s="40" t="str">
        <f>IF(Agent04_Withdrawals!A132="","",Agent04_Withdrawals!A132)</f>
        <v/>
      </c>
      <c r="B725" s="40" t="str">
        <f ca="1">IF(Agent04_Withdrawals!A132="","","WD"&amp;TEXT(725-3,"0000")&amp;"-"&amp;TEXT(TODAY(),"YYYYMMDD"))</f>
        <v/>
      </c>
      <c r="C725" s="40" t="str">
        <f>IF(Agent04_Withdrawals!A132="","",Agent04_Withdrawals!B132)</f>
        <v/>
      </c>
      <c r="D725" s="43" t="str">
        <f>IF(Agent04_Withdrawals!A132="","",Agent04_Withdrawals!C132)</f>
        <v/>
      </c>
      <c r="E725" s="41" t="str">
        <f>IF(Agent04_Withdrawals!A132="","",Agent04_Withdrawals!D132)</f>
        <v/>
      </c>
      <c r="F725" s="40" t="str">
        <f>IF(Agent04_Withdrawals!A132="","",Agent04_Withdrawals!F132)</f>
        <v/>
      </c>
      <c r="G725" s="42" t="str">
        <f>IF(Agent04_Withdrawals!A132="","",Agent04_Withdrawals!E132)</f>
        <v/>
      </c>
      <c r="H725" s="42" t="str">
        <f>IF(Agent04_Withdrawals!A132="","",Agent04_Withdrawals!G132)</f>
        <v/>
      </c>
      <c r="I725" s="40" t="str">
        <f>IF(Agent04_Withdrawals!A132="","",Agent04_Withdrawals!H132)</f>
        <v/>
      </c>
      <c r="J725" s="40" t="str">
        <f>IF(Agent04_Withdrawals!A132="","",Agent04_Withdrawals!J132)</f>
        <v/>
      </c>
      <c r="K725" s="40" t="str">
        <f>IF(Agent04_Withdrawals!A132="","",Agent04_Withdrawals!K132)</f>
        <v/>
      </c>
      <c r="L725" s="40" t="str">
        <f>IF(G725="","",IF(D725-G725&gt;=System_Config!$B$9,"✅ OK","⚠️ BREACH"))</f>
        <v/>
      </c>
      <c r="M725" s="40" t="str">
        <f>IFERROR(IF(Agent04_Withdrawals!A132="","",YEAR(Agent04_Withdrawals!D132)),"")</f>
        <v/>
      </c>
    </row>
    <row r="726" spans="1:13" ht="18" customHeight="1" x14ac:dyDescent="0.25">
      <c r="A726" s="40" t="str">
        <f>IF(Agent04_Withdrawals!A133="","",Agent04_Withdrawals!A133)</f>
        <v/>
      </c>
      <c r="B726" s="40" t="str">
        <f ca="1">IF(Agent04_Withdrawals!A133="","","WD"&amp;TEXT(726-3,"0000")&amp;"-"&amp;TEXT(TODAY(),"YYYYMMDD"))</f>
        <v/>
      </c>
      <c r="C726" s="40" t="str">
        <f>IF(Agent04_Withdrawals!A133="","",Agent04_Withdrawals!B133)</f>
        <v/>
      </c>
      <c r="D726" s="43" t="str">
        <f>IF(Agent04_Withdrawals!A133="","",Agent04_Withdrawals!C133)</f>
        <v/>
      </c>
      <c r="E726" s="41" t="str">
        <f>IF(Agent04_Withdrawals!A133="","",Agent04_Withdrawals!D133)</f>
        <v/>
      </c>
      <c r="F726" s="40" t="str">
        <f>IF(Agent04_Withdrawals!A133="","",Agent04_Withdrawals!F133)</f>
        <v/>
      </c>
      <c r="G726" s="42" t="str">
        <f>IF(Agent04_Withdrawals!A133="","",Agent04_Withdrawals!E133)</f>
        <v/>
      </c>
      <c r="H726" s="42" t="str">
        <f>IF(Agent04_Withdrawals!A133="","",Agent04_Withdrawals!G133)</f>
        <v/>
      </c>
      <c r="I726" s="40" t="str">
        <f>IF(Agent04_Withdrawals!A133="","",Agent04_Withdrawals!H133)</f>
        <v/>
      </c>
      <c r="J726" s="40" t="str">
        <f>IF(Agent04_Withdrawals!A133="","",Agent04_Withdrawals!J133)</f>
        <v/>
      </c>
      <c r="K726" s="40" t="str">
        <f>IF(Agent04_Withdrawals!A133="","",Agent04_Withdrawals!K133)</f>
        <v/>
      </c>
      <c r="L726" s="40" t="str">
        <f>IF(G726="","",IF(D726-G726&gt;=System_Config!$B$9,"✅ OK","⚠️ BREACH"))</f>
        <v/>
      </c>
      <c r="M726" s="40" t="str">
        <f>IFERROR(IF(Agent04_Withdrawals!A133="","",YEAR(Agent04_Withdrawals!D133)),"")</f>
        <v/>
      </c>
    </row>
    <row r="727" spans="1:13" ht="18" customHeight="1" x14ac:dyDescent="0.25">
      <c r="A727" s="40" t="str">
        <f>IF(Agent04_Withdrawals!A134="","",Agent04_Withdrawals!A134)</f>
        <v/>
      </c>
      <c r="B727" s="40" t="str">
        <f ca="1">IF(Agent04_Withdrawals!A134="","","WD"&amp;TEXT(727-3,"0000")&amp;"-"&amp;TEXT(TODAY(),"YYYYMMDD"))</f>
        <v/>
      </c>
      <c r="C727" s="40" t="str">
        <f>IF(Agent04_Withdrawals!A134="","",Agent04_Withdrawals!B134)</f>
        <v/>
      </c>
      <c r="D727" s="43" t="str">
        <f>IF(Agent04_Withdrawals!A134="","",Agent04_Withdrawals!C134)</f>
        <v/>
      </c>
      <c r="E727" s="41" t="str">
        <f>IF(Agent04_Withdrawals!A134="","",Agent04_Withdrawals!D134)</f>
        <v/>
      </c>
      <c r="F727" s="40" t="str">
        <f>IF(Agent04_Withdrawals!A134="","",Agent04_Withdrawals!F134)</f>
        <v/>
      </c>
      <c r="G727" s="42" t="str">
        <f>IF(Agent04_Withdrawals!A134="","",Agent04_Withdrawals!E134)</f>
        <v/>
      </c>
      <c r="H727" s="42" t="str">
        <f>IF(Agent04_Withdrawals!A134="","",Agent04_Withdrawals!G134)</f>
        <v/>
      </c>
      <c r="I727" s="40" t="str">
        <f>IF(Agent04_Withdrawals!A134="","",Agent04_Withdrawals!H134)</f>
        <v/>
      </c>
      <c r="J727" s="40" t="str">
        <f>IF(Agent04_Withdrawals!A134="","",Agent04_Withdrawals!J134)</f>
        <v/>
      </c>
      <c r="K727" s="40" t="str">
        <f>IF(Agent04_Withdrawals!A134="","",Agent04_Withdrawals!K134)</f>
        <v/>
      </c>
      <c r="L727" s="40" t="str">
        <f>IF(G727="","",IF(D727-G727&gt;=System_Config!$B$9,"✅ OK","⚠️ BREACH"))</f>
        <v/>
      </c>
      <c r="M727" s="40" t="str">
        <f>IFERROR(IF(Agent04_Withdrawals!A134="","",YEAR(Agent04_Withdrawals!D134)),"")</f>
        <v/>
      </c>
    </row>
    <row r="728" spans="1:13" ht="18" customHeight="1" x14ac:dyDescent="0.25">
      <c r="A728" s="40" t="str">
        <f>IF(Agent04_Withdrawals!A135="","",Agent04_Withdrawals!A135)</f>
        <v/>
      </c>
      <c r="B728" s="40" t="str">
        <f ca="1">IF(Agent04_Withdrawals!A135="","","WD"&amp;TEXT(728-3,"0000")&amp;"-"&amp;TEXT(TODAY(),"YYYYMMDD"))</f>
        <v/>
      </c>
      <c r="C728" s="40" t="str">
        <f>IF(Agent04_Withdrawals!A135="","",Agent04_Withdrawals!B135)</f>
        <v/>
      </c>
      <c r="D728" s="43" t="str">
        <f>IF(Agent04_Withdrawals!A135="","",Agent04_Withdrawals!C135)</f>
        <v/>
      </c>
      <c r="E728" s="41" t="str">
        <f>IF(Agent04_Withdrawals!A135="","",Agent04_Withdrawals!D135)</f>
        <v/>
      </c>
      <c r="F728" s="40" t="str">
        <f>IF(Agent04_Withdrawals!A135="","",Agent04_Withdrawals!F135)</f>
        <v/>
      </c>
      <c r="G728" s="42" t="str">
        <f>IF(Agent04_Withdrawals!A135="","",Agent04_Withdrawals!E135)</f>
        <v/>
      </c>
      <c r="H728" s="42" t="str">
        <f>IF(Agent04_Withdrawals!A135="","",Agent04_Withdrawals!G135)</f>
        <v/>
      </c>
      <c r="I728" s="40" t="str">
        <f>IF(Agent04_Withdrawals!A135="","",Agent04_Withdrawals!H135)</f>
        <v/>
      </c>
      <c r="J728" s="40" t="str">
        <f>IF(Agent04_Withdrawals!A135="","",Agent04_Withdrawals!J135)</f>
        <v/>
      </c>
      <c r="K728" s="40" t="str">
        <f>IF(Agent04_Withdrawals!A135="","",Agent04_Withdrawals!K135)</f>
        <v/>
      </c>
      <c r="L728" s="40" t="str">
        <f>IF(G728="","",IF(D728-G728&gt;=System_Config!$B$9,"✅ OK","⚠️ BREACH"))</f>
        <v/>
      </c>
      <c r="M728" s="40" t="str">
        <f>IFERROR(IF(Agent04_Withdrawals!A135="","",YEAR(Agent04_Withdrawals!D135)),"")</f>
        <v/>
      </c>
    </row>
    <row r="729" spans="1:13" ht="18" customHeight="1" x14ac:dyDescent="0.25">
      <c r="A729" s="40" t="str">
        <f>IF(Agent04_Withdrawals!A136="","",Agent04_Withdrawals!A136)</f>
        <v/>
      </c>
      <c r="B729" s="40" t="str">
        <f ca="1">IF(Agent04_Withdrawals!A136="","","WD"&amp;TEXT(729-3,"0000")&amp;"-"&amp;TEXT(TODAY(),"YYYYMMDD"))</f>
        <v/>
      </c>
      <c r="C729" s="40" t="str">
        <f>IF(Agent04_Withdrawals!A136="","",Agent04_Withdrawals!B136)</f>
        <v/>
      </c>
      <c r="D729" s="43" t="str">
        <f>IF(Agent04_Withdrawals!A136="","",Agent04_Withdrawals!C136)</f>
        <v/>
      </c>
      <c r="E729" s="41" t="str">
        <f>IF(Agent04_Withdrawals!A136="","",Agent04_Withdrawals!D136)</f>
        <v/>
      </c>
      <c r="F729" s="40" t="str">
        <f>IF(Agent04_Withdrawals!A136="","",Agent04_Withdrawals!F136)</f>
        <v/>
      </c>
      <c r="G729" s="42" t="str">
        <f>IF(Agent04_Withdrawals!A136="","",Agent04_Withdrawals!E136)</f>
        <v/>
      </c>
      <c r="H729" s="42" t="str">
        <f>IF(Agent04_Withdrawals!A136="","",Agent04_Withdrawals!G136)</f>
        <v/>
      </c>
      <c r="I729" s="40" t="str">
        <f>IF(Agent04_Withdrawals!A136="","",Agent04_Withdrawals!H136)</f>
        <v/>
      </c>
      <c r="J729" s="40" t="str">
        <f>IF(Agent04_Withdrawals!A136="","",Agent04_Withdrawals!J136)</f>
        <v/>
      </c>
      <c r="K729" s="40" t="str">
        <f>IF(Agent04_Withdrawals!A136="","",Agent04_Withdrawals!K136)</f>
        <v/>
      </c>
      <c r="L729" s="40" t="str">
        <f>IF(G729="","",IF(D729-G729&gt;=System_Config!$B$9,"✅ OK","⚠️ BREACH"))</f>
        <v/>
      </c>
      <c r="M729" s="40" t="str">
        <f>IFERROR(IF(Agent04_Withdrawals!A136="","",YEAR(Agent04_Withdrawals!D136)),"")</f>
        <v/>
      </c>
    </row>
    <row r="730" spans="1:13" ht="18" customHeight="1" x14ac:dyDescent="0.25">
      <c r="A730" s="40" t="str">
        <f>IF(Agent04_Withdrawals!A137="","",Agent04_Withdrawals!A137)</f>
        <v/>
      </c>
      <c r="B730" s="40" t="str">
        <f ca="1">IF(Agent04_Withdrawals!A137="","","WD"&amp;TEXT(730-3,"0000")&amp;"-"&amp;TEXT(TODAY(),"YYYYMMDD"))</f>
        <v/>
      </c>
      <c r="C730" s="40" t="str">
        <f>IF(Agent04_Withdrawals!A137="","",Agent04_Withdrawals!B137)</f>
        <v/>
      </c>
      <c r="D730" s="43" t="str">
        <f>IF(Agent04_Withdrawals!A137="","",Agent04_Withdrawals!C137)</f>
        <v/>
      </c>
      <c r="E730" s="41" t="str">
        <f>IF(Agent04_Withdrawals!A137="","",Agent04_Withdrawals!D137)</f>
        <v/>
      </c>
      <c r="F730" s="40" t="str">
        <f>IF(Agent04_Withdrawals!A137="","",Agent04_Withdrawals!F137)</f>
        <v/>
      </c>
      <c r="G730" s="42" t="str">
        <f>IF(Agent04_Withdrawals!A137="","",Agent04_Withdrawals!E137)</f>
        <v/>
      </c>
      <c r="H730" s="42" t="str">
        <f>IF(Agent04_Withdrawals!A137="","",Agent04_Withdrawals!G137)</f>
        <v/>
      </c>
      <c r="I730" s="40" t="str">
        <f>IF(Agent04_Withdrawals!A137="","",Agent04_Withdrawals!H137)</f>
        <v/>
      </c>
      <c r="J730" s="40" t="str">
        <f>IF(Agent04_Withdrawals!A137="","",Agent04_Withdrawals!J137)</f>
        <v/>
      </c>
      <c r="K730" s="40" t="str">
        <f>IF(Agent04_Withdrawals!A137="","",Agent04_Withdrawals!K137)</f>
        <v/>
      </c>
      <c r="L730" s="40" t="str">
        <f>IF(G730="","",IF(D730-G730&gt;=System_Config!$B$9,"✅ OK","⚠️ BREACH"))</f>
        <v/>
      </c>
      <c r="M730" s="40" t="str">
        <f>IFERROR(IF(Agent04_Withdrawals!A137="","",YEAR(Agent04_Withdrawals!D137)),"")</f>
        <v/>
      </c>
    </row>
    <row r="731" spans="1:13" ht="18" customHeight="1" x14ac:dyDescent="0.25">
      <c r="A731" s="40" t="str">
        <f>IF(Agent04_Withdrawals!A138="","",Agent04_Withdrawals!A138)</f>
        <v/>
      </c>
      <c r="B731" s="40" t="str">
        <f ca="1">IF(Agent04_Withdrawals!A138="","","WD"&amp;TEXT(731-3,"0000")&amp;"-"&amp;TEXT(TODAY(),"YYYYMMDD"))</f>
        <v/>
      </c>
      <c r="C731" s="40" t="str">
        <f>IF(Agent04_Withdrawals!A138="","",Agent04_Withdrawals!B138)</f>
        <v/>
      </c>
      <c r="D731" s="43" t="str">
        <f>IF(Agent04_Withdrawals!A138="","",Agent04_Withdrawals!C138)</f>
        <v/>
      </c>
      <c r="E731" s="41" t="str">
        <f>IF(Agent04_Withdrawals!A138="","",Agent04_Withdrawals!D138)</f>
        <v/>
      </c>
      <c r="F731" s="40" t="str">
        <f>IF(Agent04_Withdrawals!A138="","",Agent04_Withdrawals!F138)</f>
        <v/>
      </c>
      <c r="G731" s="42" t="str">
        <f>IF(Agent04_Withdrawals!A138="","",Agent04_Withdrawals!E138)</f>
        <v/>
      </c>
      <c r="H731" s="42" t="str">
        <f>IF(Agent04_Withdrawals!A138="","",Agent04_Withdrawals!G138)</f>
        <v/>
      </c>
      <c r="I731" s="40" t="str">
        <f>IF(Agent04_Withdrawals!A138="","",Agent04_Withdrawals!H138)</f>
        <v/>
      </c>
      <c r="J731" s="40" t="str">
        <f>IF(Agent04_Withdrawals!A138="","",Agent04_Withdrawals!J138)</f>
        <v/>
      </c>
      <c r="K731" s="40" t="str">
        <f>IF(Agent04_Withdrawals!A138="","",Agent04_Withdrawals!K138)</f>
        <v/>
      </c>
      <c r="L731" s="40" t="str">
        <f>IF(G731="","",IF(D731-G731&gt;=System_Config!$B$9,"✅ OK","⚠️ BREACH"))</f>
        <v/>
      </c>
      <c r="M731" s="40" t="str">
        <f>IFERROR(IF(Agent04_Withdrawals!A138="","",YEAR(Agent04_Withdrawals!D138)),"")</f>
        <v/>
      </c>
    </row>
    <row r="732" spans="1:13" ht="18" customHeight="1" x14ac:dyDescent="0.25">
      <c r="A732" s="40" t="str">
        <f>IF(Agent04_Withdrawals!A139="","",Agent04_Withdrawals!A139)</f>
        <v/>
      </c>
      <c r="B732" s="40" t="str">
        <f ca="1">IF(Agent04_Withdrawals!A139="","","WD"&amp;TEXT(732-3,"0000")&amp;"-"&amp;TEXT(TODAY(),"YYYYMMDD"))</f>
        <v/>
      </c>
      <c r="C732" s="40" t="str">
        <f>IF(Agent04_Withdrawals!A139="","",Agent04_Withdrawals!B139)</f>
        <v/>
      </c>
      <c r="D732" s="43" t="str">
        <f>IF(Agent04_Withdrawals!A139="","",Agent04_Withdrawals!C139)</f>
        <v/>
      </c>
      <c r="E732" s="41" t="str">
        <f>IF(Agent04_Withdrawals!A139="","",Agent04_Withdrawals!D139)</f>
        <v/>
      </c>
      <c r="F732" s="40" t="str">
        <f>IF(Agent04_Withdrawals!A139="","",Agent04_Withdrawals!F139)</f>
        <v/>
      </c>
      <c r="G732" s="42" t="str">
        <f>IF(Agent04_Withdrawals!A139="","",Agent04_Withdrawals!E139)</f>
        <v/>
      </c>
      <c r="H732" s="42" t="str">
        <f>IF(Agent04_Withdrawals!A139="","",Agent04_Withdrawals!G139)</f>
        <v/>
      </c>
      <c r="I732" s="40" t="str">
        <f>IF(Agent04_Withdrawals!A139="","",Agent04_Withdrawals!H139)</f>
        <v/>
      </c>
      <c r="J732" s="40" t="str">
        <f>IF(Agent04_Withdrawals!A139="","",Agent04_Withdrawals!J139)</f>
        <v/>
      </c>
      <c r="K732" s="40" t="str">
        <f>IF(Agent04_Withdrawals!A139="","",Agent04_Withdrawals!K139)</f>
        <v/>
      </c>
      <c r="L732" s="40" t="str">
        <f>IF(G732="","",IF(D732-G732&gt;=System_Config!$B$9,"✅ OK","⚠️ BREACH"))</f>
        <v/>
      </c>
      <c r="M732" s="40" t="str">
        <f>IFERROR(IF(Agent04_Withdrawals!A139="","",YEAR(Agent04_Withdrawals!D139)),"")</f>
        <v/>
      </c>
    </row>
    <row r="733" spans="1:13" ht="18" customHeight="1" x14ac:dyDescent="0.25">
      <c r="A733" s="40" t="str">
        <f>IF(Agent04_Withdrawals!A140="","",Agent04_Withdrawals!A140)</f>
        <v/>
      </c>
      <c r="B733" s="40" t="str">
        <f ca="1">IF(Agent04_Withdrawals!A140="","","WD"&amp;TEXT(733-3,"0000")&amp;"-"&amp;TEXT(TODAY(),"YYYYMMDD"))</f>
        <v/>
      </c>
      <c r="C733" s="40" t="str">
        <f>IF(Agent04_Withdrawals!A140="","",Agent04_Withdrawals!B140)</f>
        <v/>
      </c>
      <c r="D733" s="43" t="str">
        <f>IF(Agent04_Withdrawals!A140="","",Agent04_Withdrawals!C140)</f>
        <v/>
      </c>
      <c r="E733" s="41" t="str">
        <f>IF(Agent04_Withdrawals!A140="","",Agent04_Withdrawals!D140)</f>
        <v/>
      </c>
      <c r="F733" s="40" t="str">
        <f>IF(Agent04_Withdrawals!A140="","",Agent04_Withdrawals!F140)</f>
        <v/>
      </c>
      <c r="G733" s="42" t="str">
        <f>IF(Agent04_Withdrawals!A140="","",Agent04_Withdrawals!E140)</f>
        <v/>
      </c>
      <c r="H733" s="42" t="str">
        <f>IF(Agent04_Withdrawals!A140="","",Agent04_Withdrawals!G140)</f>
        <v/>
      </c>
      <c r="I733" s="40" t="str">
        <f>IF(Agent04_Withdrawals!A140="","",Agent04_Withdrawals!H140)</f>
        <v/>
      </c>
      <c r="J733" s="40" t="str">
        <f>IF(Agent04_Withdrawals!A140="","",Agent04_Withdrawals!J140)</f>
        <v/>
      </c>
      <c r="K733" s="40" t="str">
        <f>IF(Agent04_Withdrawals!A140="","",Agent04_Withdrawals!K140)</f>
        <v/>
      </c>
      <c r="L733" s="40" t="str">
        <f>IF(G733="","",IF(D733-G733&gt;=System_Config!$B$9,"✅ OK","⚠️ BREACH"))</f>
        <v/>
      </c>
      <c r="M733" s="40" t="str">
        <f>IFERROR(IF(Agent04_Withdrawals!A140="","",YEAR(Agent04_Withdrawals!D140)),"")</f>
        <v/>
      </c>
    </row>
    <row r="734" spans="1:13" ht="18" customHeight="1" x14ac:dyDescent="0.25">
      <c r="A734" s="40" t="str">
        <f>IF(Agent04_Withdrawals!A141="","",Agent04_Withdrawals!A141)</f>
        <v/>
      </c>
      <c r="B734" s="40" t="str">
        <f ca="1">IF(Agent04_Withdrawals!A141="","","WD"&amp;TEXT(734-3,"0000")&amp;"-"&amp;TEXT(TODAY(),"YYYYMMDD"))</f>
        <v/>
      </c>
      <c r="C734" s="40" t="str">
        <f>IF(Agent04_Withdrawals!A141="","",Agent04_Withdrawals!B141)</f>
        <v/>
      </c>
      <c r="D734" s="43" t="str">
        <f>IF(Agent04_Withdrawals!A141="","",Agent04_Withdrawals!C141)</f>
        <v/>
      </c>
      <c r="E734" s="41" t="str">
        <f>IF(Agent04_Withdrawals!A141="","",Agent04_Withdrawals!D141)</f>
        <v/>
      </c>
      <c r="F734" s="40" t="str">
        <f>IF(Agent04_Withdrawals!A141="","",Agent04_Withdrawals!F141)</f>
        <v/>
      </c>
      <c r="G734" s="42" t="str">
        <f>IF(Agent04_Withdrawals!A141="","",Agent04_Withdrawals!E141)</f>
        <v/>
      </c>
      <c r="H734" s="42" t="str">
        <f>IF(Agent04_Withdrawals!A141="","",Agent04_Withdrawals!G141)</f>
        <v/>
      </c>
      <c r="I734" s="40" t="str">
        <f>IF(Agent04_Withdrawals!A141="","",Agent04_Withdrawals!H141)</f>
        <v/>
      </c>
      <c r="J734" s="40" t="str">
        <f>IF(Agent04_Withdrawals!A141="","",Agent04_Withdrawals!J141)</f>
        <v/>
      </c>
      <c r="K734" s="40" t="str">
        <f>IF(Agent04_Withdrawals!A141="","",Agent04_Withdrawals!K141)</f>
        <v/>
      </c>
      <c r="L734" s="40" t="str">
        <f>IF(G734="","",IF(D734-G734&gt;=System_Config!$B$9,"✅ OK","⚠️ BREACH"))</f>
        <v/>
      </c>
      <c r="M734" s="40" t="str">
        <f>IFERROR(IF(Agent04_Withdrawals!A141="","",YEAR(Agent04_Withdrawals!D141)),"")</f>
        <v/>
      </c>
    </row>
    <row r="735" spans="1:13" ht="18" customHeight="1" x14ac:dyDescent="0.25">
      <c r="A735" s="40" t="str">
        <f>IF(Agent04_Withdrawals!A142="","",Agent04_Withdrawals!A142)</f>
        <v/>
      </c>
      <c r="B735" s="40" t="str">
        <f ca="1">IF(Agent04_Withdrawals!A142="","","WD"&amp;TEXT(735-3,"0000")&amp;"-"&amp;TEXT(TODAY(),"YYYYMMDD"))</f>
        <v/>
      </c>
      <c r="C735" s="40" t="str">
        <f>IF(Agent04_Withdrawals!A142="","",Agent04_Withdrawals!B142)</f>
        <v/>
      </c>
      <c r="D735" s="43" t="str">
        <f>IF(Agent04_Withdrawals!A142="","",Agent04_Withdrawals!C142)</f>
        <v/>
      </c>
      <c r="E735" s="41" t="str">
        <f>IF(Agent04_Withdrawals!A142="","",Agent04_Withdrawals!D142)</f>
        <v/>
      </c>
      <c r="F735" s="40" t="str">
        <f>IF(Agent04_Withdrawals!A142="","",Agent04_Withdrawals!F142)</f>
        <v/>
      </c>
      <c r="G735" s="42" t="str">
        <f>IF(Agent04_Withdrawals!A142="","",Agent04_Withdrawals!E142)</f>
        <v/>
      </c>
      <c r="H735" s="42" t="str">
        <f>IF(Agent04_Withdrawals!A142="","",Agent04_Withdrawals!G142)</f>
        <v/>
      </c>
      <c r="I735" s="40" t="str">
        <f>IF(Agent04_Withdrawals!A142="","",Agent04_Withdrawals!H142)</f>
        <v/>
      </c>
      <c r="J735" s="40" t="str">
        <f>IF(Agent04_Withdrawals!A142="","",Agent04_Withdrawals!J142)</f>
        <v/>
      </c>
      <c r="K735" s="40" t="str">
        <f>IF(Agent04_Withdrawals!A142="","",Agent04_Withdrawals!K142)</f>
        <v/>
      </c>
      <c r="L735" s="40" t="str">
        <f>IF(G735="","",IF(D735-G735&gt;=System_Config!$B$9,"✅ OK","⚠️ BREACH"))</f>
        <v/>
      </c>
      <c r="M735" s="40" t="str">
        <f>IFERROR(IF(Agent04_Withdrawals!A142="","",YEAR(Agent04_Withdrawals!D142)),"")</f>
        <v/>
      </c>
    </row>
    <row r="736" spans="1:13" ht="18" customHeight="1" x14ac:dyDescent="0.25">
      <c r="A736" s="40" t="str">
        <f>IF(Agent04_Withdrawals!A143="","",Agent04_Withdrawals!A143)</f>
        <v/>
      </c>
      <c r="B736" s="40" t="str">
        <f ca="1">IF(Agent04_Withdrawals!A143="","","WD"&amp;TEXT(736-3,"0000")&amp;"-"&amp;TEXT(TODAY(),"YYYYMMDD"))</f>
        <v/>
      </c>
      <c r="C736" s="40" t="str">
        <f>IF(Agent04_Withdrawals!A143="","",Agent04_Withdrawals!B143)</f>
        <v/>
      </c>
      <c r="D736" s="43" t="str">
        <f>IF(Agent04_Withdrawals!A143="","",Agent04_Withdrawals!C143)</f>
        <v/>
      </c>
      <c r="E736" s="41" t="str">
        <f>IF(Agent04_Withdrawals!A143="","",Agent04_Withdrawals!D143)</f>
        <v/>
      </c>
      <c r="F736" s="40" t="str">
        <f>IF(Agent04_Withdrawals!A143="","",Agent04_Withdrawals!F143)</f>
        <v/>
      </c>
      <c r="G736" s="42" t="str">
        <f>IF(Agent04_Withdrawals!A143="","",Agent04_Withdrawals!E143)</f>
        <v/>
      </c>
      <c r="H736" s="42" t="str">
        <f>IF(Agent04_Withdrawals!A143="","",Agent04_Withdrawals!G143)</f>
        <v/>
      </c>
      <c r="I736" s="40" t="str">
        <f>IF(Agent04_Withdrawals!A143="","",Agent04_Withdrawals!H143)</f>
        <v/>
      </c>
      <c r="J736" s="40" t="str">
        <f>IF(Agent04_Withdrawals!A143="","",Agent04_Withdrawals!J143)</f>
        <v/>
      </c>
      <c r="K736" s="40" t="str">
        <f>IF(Agent04_Withdrawals!A143="","",Agent04_Withdrawals!K143)</f>
        <v/>
      </c>
      <c r="L736" s="40" t="str">
        <f>IF(G736="","",IF(D736-G736&gt;=System_Config!$B$9,"✅ OK","⚠️ BREACH"))</f>
        <v/>
      </c>
      <c r="M736" s="40" t="str">
        <f>IFERROR(IF(Agent04_Withdrawals!A143="","",YEAR(Agent04_Withdrawals!D143)),"")</f>
        <v/>
      </c>
    </row>
    <row r="737" spans="1:13" ht="18" customHeight="1" x14ac:dyDescent="0.25">
      <c r="A737" s="40" t="str">
        <f>IF(Agent04_Withdrawals!A144="","",Agent04_Withdrawals!A144)</f>
        <v/>
      </c>
      <c r="B737" s="40" t="str">
        <f ca="1">IF(Agent04_Withdrawals!A144="","","WD"&amp;TEXT(737-3,"0000")&amp;"-"&amp;TEXT(TODAY(),"YYYYMMDD"))</f>
        <v/>
      </c>
      <c r="C737" s="40" t="str">
        <f>IF(Agent04_Withdrawals!A144="","",Agent04_Withdrawals!B144)</f>
        <v/>
      </c>
      <c r="D737" s="43" t="str">
        <f>IF(Agent04_Withdrawals!A144="","",Agent04_Withdrawals!C144)</f>
        <v/>
      </c>
      <c r="E737" s="41" t="str">
        <f>IF(Agent04_Withdrawals!A144="","",Agent04_Withdrawals!D144)</f>
        <v/>
      </c>
      <c r="F737" s="40" t="str">
        <f>IF(Agent04_Withdrawals!A144="","",Agent04_Withdrawals!F144)</f>
        <v/>
      </c>
      <c r="G737" s="42" t="str">
        <f>IF(Agent04_Withdrawals!A144="","",Agent04_Withdrawals!E144)</f>
        <v/>
      </c>
      <c r="H737" s="42" t="str">
        <f>IF(Agent04_Withdrawals!A144="","",Agent04_Withdrawals!G144)</f>
        <v/>
      </c>
      <c r="I737" s="40" t="str">
        <f>IF(Agent04_Withdrawals!A144="","",Agent04_Withdrawals!H144)</f>
        <v/>
      </c>
      <c r="J737" s="40" t="str">
        <f>IF(Agent04_Withdrawals!A144="","",Agent04_Withdrawals!J144)</f>
        <v/>
      </c>
      <c r="K737" s="40" t="str">
        <f>IF(Agent04_Withdrawals!A144="","",Agent04_Withdrawals!K144)</f>
        <v/>
      </c>
      <c r="L737" s="40" t="str">
        <f>IF(G737="","",IF(D737-G737&gt;=System_Config!$B$9,"✅ OK","⚠️ BREACH"))</f>
        <v/>
      </c>
      <c r="M737" s="40" t="str">
        <f>IFERROR(IF(Agent04_Withdrawals!A144="","",YEAR(Agent04_Withdrawals!D144)),"")</f>
        <v/>
      </c>
    </row>
    <row r="738" spans="1:13" ht="18" customHeight="1" x14ac:dyDescent="0.25">
      <c r="A738" s="40" t="str">
        <f>IF(Agent04_Withdrawals!A145="","",Agent04_Withdrawals!A145)</f>
        <v/>
      </c>
      <c r="B738" s="40" t="str">
        <f ca="1">IF(Agent04_Withdrawals!A145="","","WD"&amp;TEXT(738-3,"0000")&amp;"-"&amp;TEXT(TODAY(),"YYYYMMDD"))</f>
        <v/>
      </c>
      <c r="C738" s="40" t="str">
        <f>IF(Agent04_Withdrawals!A145="","",Agent04_Withdrawals!B145)</f>
        <v/>
      </c>
      <c r="D738" s="43" t="str">
        <f>IF(Agent04_Withdrawals!A145="","",Agent04_Withdrawals!C145)</f>
        <v/>
      </c>
      <c r="E738" s="41" t="str">
        <f>IF(Agent04_Withdrawals!A145="","",Agent04_Withdrawals!D145)</f>
        <v/>
      </c>
      <c r="F738" s="40" t="str">
        <f>IF(Agent04_Withdrawals!A145="","",Agent04_Withdrawals!F145)</f>
        <v/>
      </c>
      <c r="G738" s="42" t="str">
        <f>IF(Agent04_Withdrawals!A145="","",Agent04_Withdrawals!E145)</f>
        <v/>
      </c>
      <c r="H738" s="42" t="str">
        <f>IF(Agent04_Withdrawals!A145="","",Agent04_Withdrawals!G145)</f>
        <v/>
      </c>
      <c r="I738" s="40" t="str">
        <f>IF(Agent04_Withdrawals!A145="","",Agent04_Withdrawals!H145)</f>
        <v/>
      </c>
      <c r="J738" s="40" t="str">
        <f>IF(Agent04_Withdrawals!A145="","",Agent04_Withdrawals!J145)</f>
        <v/>
      </c>
      <c r="K738" s="40" t="str">
        <f>IF(Agent04_Withdrawals!A145="","",Agent04_Withdrawals!K145)</f>
        <v/>
      </c>
      <c r="L738" s="40" t="str">
        <f>IF(G738="","",IF(D738-G738&gt;=System_Config!$B$9,"✅ OK","⚠️ BREACH"))</f>
        <v/>
      </c>
      <c r="M738" s="40" t="str">
        <f>IFERROR(IF(Agent04_Withdrawals!A145="","",YEAR(Agent04_Withdrawals!D145)),"")</f>
        <v/>
      </c>
    </row>
    <row r="739" spans="1:13" ht="18" customHeight="1" x14ac:dyDescent="0.25">
      <c r="A739" s="40" t="str">
        <f>IF(Agent04_Withdrawals!A146="","",Agent04_Withdrawals!A146)</f>
        <v/>
      </c>
      <c r="B739" s="40" t="str">
        <f ca="1">IF(Agent04_Withdrawals!A146="","","WD"&amp;TEXT(739-3,"0000")&amp;"-"&amp;TEXT(TODAY(),"YYYYMMDD"))</f>
        <v/>
      </c>
      <c r="C739" s="40" t="str">
        <f>IF(Agent04_Withdrawals!A146="","",Agent04_Withdrawals!B146)</f>
        <v/>
      </c>
      <c r="D739" s="43" t="str">
        <f>IF(Agent04_Withdrawals!A146="","",Agent04_Withdrawals!C146)</f>
        <v/>
      </c>
      <c r="E739" s="41" t="str">
        <f>IF(Agent04_Withdrawals!A146="","",Agent04_Withdrawals!D146)</f>
        <v/>
      </c>
      <c r="F739" s="40" t="str">
        <f>IF(Agent04_Withdrawals!A146="","",Agent04_Withdrawals!F146)</f>
        <v/>
      </c>
      <c r="G739" s="42" t="str">
        <f>IF(Agent04_Withdrawals!A146="","",Agent04_Withdrawals!E146)</f>
        <v/>
      </c>
      <c r="H739" s="42" t="str">
        <f>IF(Agent04_Withdrawals!A146="","",Agent04_Withdrawals!G146)</f>
        <v/>
      </c>
      <c r="I739" s="40" t="str">
        <f>IF(Agent04_Withdrawals!A146="","",Agent04_Withdrawals!H146)</f>
        <v/>
      </c>
      <c r="J739" s="40" t="str">
        <f>IF(Agent04_Withdrawals!A146="","",Agent04_Withdrawals!J146)</f>
        <v/>
      </c>
      <c r="K739" s="40" t="str">
        <f>IF(Agent04_Withdrawals!A146="","",Agent04_Withdrawals!K146)</f>
        <v/>
      </c>
      <c r="L739" s="40" t="str">
        <f>IF(G739="","",IF(D739-G739&gt;=System_Config!$B$9,"✅ OK","⚠️ BREACH"))</f>
        <v/>
      </c>
      <c r="M739" s="40" t="str">
        <f>IFERROR(IF(Agent04_Withdrawals!A146="","",YEAR(Agent04_Withdrawals!D146)),"")</f>
        <v/>
      </c>
    </row>
    <row r="740" spans="1:13" ht="18" customHeight="1" x14ac:dyDescent="0.25">
      <c r="A740" s="40" t="str">
        <f>IF(Agent04_Withdrawals!A147="","",Agent04_Withdrawals!A147)</f>
        <v/>
      </c>
      <c r="B740" s="40" t="str">
        <f ca="1">IF(Agent04_Withdrawals!A147="","","WD"&amp;TEXT(740-3,"0000")&amp;"-"&amp;TEXT(TODAY(),"YYYYMMDD"))</f>
        <v/>
      </c>
      <c r="C740" s="40" t="str">
        <f>IF(Agent04_Withdrawals!A147="","",Agent04_Withdrawals!B147)</f>
        <v/>
      </c>
      <c r="D740" s="43" t="str">
        <f>IF(Agent04_Withdrawals!A147="","",Agent04_Withdrawals!C147)</f>
        <v/>
      </c>
      <c r="E740" s="41" t="str">
        <f>IF(Agent04_Withdrawals!A147="","",Agent04_Withdrawals!D147)</f>
        <v/>
      </c>
      <c r="F740" s="40" t="str">
        <f>IF(Agent04_Withdrawals!A147="","",Agent04_Withdrawals!F147)</f>
        <v/>
      </c>
      <c r="G740" s="42" t="str">
        <f>IF(Agent04_Withdrawals!A147="","",Agent04_Withdrawals!E147)</f>
        <v/>
      </c>
      <c r="H740" s="42" t="str">
        <f>IF(Agent04_Withdrawals!A147="","",Agent04_Withdrawals!G147)</f>
        <v/>
      </c>
      <c r="I740" s="40" t="str">
        <f>IF(Agent04_Withdrawals!A147="","",Agent04_Withdrawals!H147)</f>
        <v/>
      </c>
      <c r="J740" s="40" t="str">
        <f>IF(Agent04_Withdrawals!A147="","",Agent04_Withdrawals!J147)</f>
        <v/>
      </c>
      <c r="K740" s="40" t="str">
        <f>IF(Agent04_Withdrawals!A147="","",Agent04_Withdrawals!K147)</f>
        <v/>
      </c>
      <c r="L740" s="40" t="str">
        <f>IF(G740="","",IF(D740-G740&gt;=System_Config!$B$9,"✅ OK","⚠️ BREACH"))</f>
        <v/>
      </c>
      <c r="M740" s="40" t="str">
        <f>IFERROR(IF(Agent04_Withdrawals!A147="","",YEAR(Agent04_Withdrawals!D147)),"")</f>
        <v/>
      </c>
    </row>
    <row r="741" spans="1:13" ht="18" customHeight="1" x14ac:dyDescent="0.25">
      <c r="A741" s="40" t="str">
        <f>IF(Agent04_Withdrawals!A148="","",Agent04_Withdrawals!A148)</f>
        <v/>
      </c>
      <c r="B741" s="40" t="str">
        <f ca="1">IF(Agent04_Withdrawals!A148="","","WD"&amp;TEXT(741-3,"0000")&amp;"-"&amp;TEXT(TODAY(),"YYYYMMDD"))</f>
        <v/>
      </c>
      <c r="C741" s="40" t="str">
        <f>IF(Agent04_Withdrawals!A148="","",Agent04_Withdrawals!B148)</f>
        <v/>
      </c>
      <c r="D741" s="43" t="str">
        <f>IF(Agent04_Withdrawals!A148="","",Agent04_Withdrawals!C148)</f>
        <v/>
      </c>
      <c r="E741" s="41" t="str">
        <f>IF(Agent04_Withdrawals!A148="","",Agent04_Withdrawals!D148)</f>
        <v/>
      </c>
      <c r="F741" s="40" t="str">
        <f>IF(Agent04_Withdrawals!A148="","",Agent04_Withdrawals!F148)</f>
        <v/>
      </c>
      <c r="G741" s="42" t="str">
        <f>IF(Agent04_Withdrawals!A148="","",Agent04_Withdrawals!E148)</f>
        <v/>
      </c>
      <c r="H741" s="42" t="str">
        <f>IF(Agent04_Withdrawals!A148="","",Agent04_Withdrawals!G148)</f>
        <v/>
      </c>
      <c r="I741" s="40" t="str">
        <f>IF(Agent04_Withdrawals!A148="","",Agent04_Withdrawals!H148)</f>
        <v/>
      </c>
      <c r="J741" s="40" t="str">
        <f>IF(Agent04_Withdrawals!A148="","",Agent04_Withdrawals!J148)</f>
        <v/>
      </c>
      <c r="K741" s="40" t="str">
        <f>IF(Agent04_Withdrawals!A148="","",Agent04_Withdrawals!K148)</f>
        <v/>
      </c>
      <c r="L741" s="40" t="str">
        <f>IF(G741="","",IF(D741-G741&gt;=System_Config!$B$9,"✅ OK","⚠️ BREACH"))</f>
        <v/>
      </c>
      <c r="M741" s="40" t="str">
        <f>IFERROR(IF(Agent04_Withdrawals!A148="","",YEAR(Agent04_Withdrawals!D148)),"")</f>
        <v/>
      </c>
    </row>
    <row r="742" spans="1:13" ht="18" customHeight="1" x14ac:dyDescent="0.25">
      <c r="A742" s="40" t="str">
        <f>IF(Agent04_Withdrawals!A149="","",Agent04_Withdrawals!A149)</f>
        <v/>
      </c>
      <c r="B742" s="40" t="str">
        <f ca="1">IF(Agent04_Withdrawals!A149="","","WD"&amp;TEXT(742-3,"0000")&amp;"-"&amp;TEXT(TODAY(),"YYYYMMDD"))</f>
        <v/>
      </c>
      <c r="C742" s="40" t="str">
        <f>IF(Agent04_Withdrawals!A149="","",Agent04_Withdrawals!B149)</f>
        <v/>
      </c>
      <c r="D742" s="43" t="str">
        <f>IF(Agent04_Withdrawals!A149="","",Agent04_Withdrawals!C149)</f>
        <v/>
      </c>
      <c r="E742" s="41" t="str">
        <f>IF(Agent04_Withdrawals!A149="","",Agent04_Withdrawals!D149)</f>
        <v/>
      </c>
      <c r="F742" s="40" t="str">
        <f>IF(Agent04_Withdrawals!A149="","",Agent04_Withdrawals!F149)</f>
        <v/>
      </c>
      <c r="G742" s="42" t="str">
        <f>IF(Agent04_Withdrawals!A149="","",Agent04_Withdrawals!E149)</f>
        <v/>
      </c>
      <c r="H742" s="42" t="str">
        <f>IF(Agent04_Withdrawals!A149="","",Agent04_Withdrawals!G149)</f>
        <v/>
      </c>
      <c r="I742" s="40" t="str">
        <f>IF(Agent04_Withdrawals!A149="","",Agent04_Withdrawals!H149)</f>
        <v/>
      </c>
      <c r="J742" s="40" t="str">
        <f>IF(Agent04_Withdrawals!A149="","",Agent04_Withdrawals!J149)</f>
        <v/>
      </c>
      <c r="K742" s="40" t="str">
        <f>IF(Agent04_Withdrawals!A149="","",Agent04_Withdrawals!K149)</f>
        <v/>
      </c>
      <c r="L742" s="40" t="str">
        <f>IF(G742="","",IF(D742-G742&gt;=System_Config!$B$9,"✅ OK","⚠️ BREACH"))</f>
        <v/>
      </c>
      <c r="M742" s="40" t="str">
        <f>IFERROR(IF(Agent04_Withdrawals!A149="","",YEAR(Agent04_Withdrawals!D149)),"")</f>
        <v/>
      </c>
    </row>
    <row r="743" spans="1:13" ht="18" customHeight="1" x14ac:dyDescent="0.25">
      <c r="A743" s="40" t="str">
        <f>IF(Agent04_Withdrawals!A150="","",Agent04_Withdrawals!A150)</f>
        <v/>
      </c>
      <c r="B743" s="40" t="str">
        <f ca="1">IF(Agent04_Withdrawals!A150="","","WD"&amp;TEXT(743-3,"0000")&amp;"-"&amp;TEXT(TODAY(),"YYYYMMDD"))</f>
        <v/>
      </c>
      <c r="C743" s="40" t="str">
        <f>IF(Agent04_Withdrawals!A150="","",Agent04_Withdrawals!B150)</f>
        <v/>
      </c>
      <c r="D743" s="43" t="str">
        <f>IF(Agent04_Withdrawals!A150="","",Agent04_Withdrawals!C150)</f>
        <v/>
      </c>
      <c r="E743" s="41" t="str">
        <f>IF(Agent04_Withdrawals!A150="","",Agent04_Withdrawals!D150)</f>
        <v/>
      </c>
      <c r="F743" s="40" t="str">
        <f>IF(Agent04_Withdrawals!A150="","",Agent04_Withdrawals!F150)</f>
        <v/>
      </c>
      <c r="G743" s="42" t="str">
        <f>IF(Agent04_Withdrawals!A150="","",Agent04_Withdrawals!E150)</f>
        <v/>
      </c>
      <c r="H743" s="42" t="str">
        <f>IF(Agent04_Withdrawals!A150="","",Agent04_Withdrawals!G150)</f>
        <v/>
      </c>
      <c r="I743" s="40" t="str">
        <f>IF(Agent04_Withdrawals!A150="","",Agent04_Withdrawals!H150)</f>
        <v/>
      </c>
      <c r="J743" s="40" t="str">
        <f>IF(Agent04_Withdrawals!A150="","",Agent04_Withdrawals!J150)</f>
        <v/>
      </c>
      <c r="K743" s="40" t="str">
        <f>IF(Agent04_Withdrawals!A150="","",Agent04_Withdrawals!K150)</f>
        <v/>
      </c>
      <c r="L743" s="40" t="str">
        <f>IF(G743="","",IF(D743-G743&gt;=System_Config!$B$9,"✅ OK","⚠️ BREACH"))</f>
        <v/>
      </c>
      <c r="M743" s="40" t="str">
        <f>IFERROR(IF(Agent04_Withdrawals!A150="","",YEAR(Agent04_Withdrawals!D150)),"")</f>
        <v/>
      </c>
    </row>
    <row r="744" spans="1:13" ht="18" customHeight="1" x14ac:dyDescent="0.25">
      <c r="A744" s="40" t="str">
        <f>IF(Agent04_Withdrawals!A151="","",Agent04_Withdrawals!A151)</f>
        <v/>
      </c>
      <c r="B744" s="40" t="str">
        <f ca="1">IF(Agent04_Withdrawals!A151="","","WD"&amp;TEXT(744-3,"0000")&amp;"-"&amp;TEXT(TODAY(),"YYYYMMDD"))</f>
        <v/>
      </c>
      <c r="C744" s="40" t="str">
        <f>IF(Agent04_Withdrawals!A151="","",Agent04_Withdrawals!B151)</f>
        <v/>
      </c>
      <c r="D744" s="43" t="str">
        <f>IF(Agent04_Withdrawals!A151="","",Agent04_Withdrawals!C151)</f>
        <v/>
      </c>
      <c r="E744" s="41" t="str">
        <f>IF(Agent04_Withdrawals!A151="","",Agent04_Withdrawals!D151)</f>
        <v/>
      </c>
      <c r="F744" s="40" t="str">
        <f>IF(Agent04_Withdrawals!A151="","",Agent04_Withdrawals!F151)</f>
        <v/>
      </c>
      <c r="G744" s="42" t="str">
        <f>IF(Agent04_Withdrawals!A151="","",Agent04_Withdrawals!E151)</f>
        <v/>
      </c>
      <c r="H744" s="42" t="str">
        <f>IF(Agent04_Withdrawals!A151="","",Agent04_Withdrawals!G151)</f>
        <v/>
      </c>
      <c r="I744" s="40" t="str">
        <f>IF(Agent04_Withdrawals!A151="","",Agent04_Withdrawals!H151)</f>
        <v/>
      </c>
      <c r="J744" s="40" t="str">
        <f>IF(Agent04_Withdrawals!A151="","",Agent04_Withdrawals!J151)</f>
        <v/>
      </c>
      <c r="K744" s="40" t="str">
        <f>IF(Agent04_Withdrawals!A151="","",Agent04_Withdrawals!K151)</f>
        <v/>
      </c>
      <c r="L744" s="40" t="str">
        <f>IF(G744="","",IF(D744-G744&gt;=System_Config!$B$9,"✅ OK","⚠️ BREACH"))</f>
        <v/>
      </c>
      <c r="M744" s="40" t="str">
        <f>IFERROR(IF(Agent04_Withdrawals!A151="","",YEAR(Agent04_Withdrawals!D151)),"")</f>
        <v/>
      </c>
    </row>
    <row r="745" spans="1:13" ht="18" customHeight="1" x14ac:dyDescent="0.25">
      <c r="A745" s="40" t="str">
        <f>IF(Agent04_Withdrawals!A152="","",Agent04_Withdrawals!A152)</f>
        <v/>
      </c>
      <c r="B745" s="40" t="str">
        <f ca="1">IF(Agent04_Withdrawals!A152="","","WD"&amp;TEXT(745-3,"0000")&amp;"-"&amp;TEXT(TODAY(),"YYYYMMDD"))</f>
        <v/>
      </c>
      <c r="C745" s="40" t="str">
        <f>IF(Agent04_Withdrawals!A152="","",Agent04_Withdrawals!B152)</f>
        <v/>
      </c>
      <c r="D745" s="43" t="str">
        <f>IF(Agent04_Withdrawals!A152="","",Agent04_Withdrawals!C152)</f>
        <v/>
      </c>
      <c r="E745" s="41" t="str">
        <f>IF(Agent04_Withdrawals!A152="","",Agent04_Withdrawals!D152)</f>
        <v/>
      </c>
      <c r="F745" s="40" t="str">
        <f>IF(Agent04_Withdrawals!A152="","",Agent04_Withdrawals!F152)</f>
        <v/>
      </c>
      <c r="G745" s="42" t="str">
        <f>IF(Agent04_Withdrawals!A152="","",Agent04_Withdrawals!E152)</f>
        <v/>
      </c>
      <c r="H745" s="42" t="str">
        <f>IF(Agent04_Withdrawals!A152="","",Agent04_Withdrawals!G152)</f>
        <v/>
      </c>
      <c r="I745" s="40" t="str">
        <f>IF(Agent04_Withdrawals!A152="","",Agent04_Withdrawals!H152)</f>
        <v/>
      </c>
      <c r="J745" s="40" t="str">
        <f>IF(Agent04_Withdrawals!A152="","",Agent04_Withdrawals!J152)</f>
        <v/>
      </c>
      <c r="K745" s="40" t="str">
        <f>IF(Agent04_Withdrawals!A152="","",Agent04_Withdrawals!K152)</f>
        <v/>
      </c>
      <c r="L745" s="40" t="str">
        <f>IF(G745="","",IF(D745-G745&gt;=System_Config!$B$9,"✅ OK","⚠️ BREACH"))</f>
        <v/>
      </c>
      <c r="M745" s="40" t="str">
        <f>IFERROR(IF(Agent04_Withdrawals!A152="","",YEAR(Agent04_Withdrawals!D152)),"")</f>
        <v/>
      </c>
    </row>
    <row r="746" spans="1:13" ht="18" customHeight="1" x14ac:dyDescent="0.25">
      <c r="A746" s="40" t="str">
        <f>IF(Agent04_Withdrawals!A153="","",Agent04_Withdrawals!A153)</f>
        <v/>
      </c>
      <c r="B746" s="40" t="str">
        <f ca="1">IF(Agent04_Withdrawals!A153="","","WD"&amp;TEXT(746-3,"0000")&amp;"-"&amp;TEXT(TODAY(),"YYYYMMDD"))</f>
        <v/>
      </c>
      <c r="C746" s="40" t="str">
        <f>IF(Agent04_Withdrawals!A153="","",Agent04_Withdrawals!B153)</f>
        <v/>
      </c>
      <c r="D746" s="43" t="str">
        <f>IF(Agent04_Withdrawals!A153="","",Agent04_Withdrawals!C153)</f>
        <v/>
      </c>
      <c r="E746" s="41" t="str">
        <f>IF(Agent04_Withdrawals!A153="","",Agent04_Withdrawals!D153)</f>
        <v/>
      </c>
      <c r="F746" s="40" t="str">
        <f>IF(Agent04_Withdrawals!A153="","",Agent04_Withdrawals!F153)</f>
        <v/>
      </c>
      <c r="G746" s="42" t="str">
        <f>IF(Agent04_Withdrawals!A153="","",Agent04_Withdrawals!E153)</f>
        <v/>
      </c>
      <c r="H746" s="42" t="str">
        <f>IF(Agent04_Withdrawals!A153="","",Agent04_Withdrawals!G153)</f>
        <v/>
      </c>
      <c r="I746" s="40" t="str">
        <f>IF(Agent04_Withdrawals!A153="","",Agent04_Withdrawals!H153)</f>
        <v/>
      </c>
      <c r="J746" s="40" t="str">
        <f>IF(Agent04_Withdrawals!A153="","",Agent04_Withdrawals!J153)</f>
        <v/>
      </c>
      <c r="K746" s="40" t="str">
        <f>IF(Agent04_Withdrawals!A153="","",Agent04_Withdrawals!K153)</f>
        <v/>
      </c>
      <c r="L746" s="40" t="str">
        <f>IF(G746="","",IF(D746-G746&gt;=System_Config!$B$9,"✅ OK","⚠️ BREACH"))</f>
        <v/>
      </c>
      <c r="M746" s="40" t="str">
        <f>IFERROR(IF(Agent04_Withdrawals!A153="","",YEAR(Agent04_Withdrawals!D153)),"")</f>
        <v/>
      </c>
    </row>
    <row r="747" spans="1:13" ht="18" customHeight="1" x14ac:dyDescent="0.25">
      <c r="A747" s="40" t="str">
        <f>IF(Agent04_Withdrawals!A154="","",Agent04_Withdrawals!A154)</f>
        <v/>
      </c>
      <c r="B747" s="40" t="str">
        <f ca="1">IF(Agent04_Withdrawals!A154="","","WD"&amp;TEXT(747-3,"0000")&amp;"-"&amp;TEXT(TODAY(),"YYYYMMDD"))</f>
        <v/>
      </c>
      <c r="C747" s="40" t="str">
        <f>IF(Agent04_Withdrawals!A154="","",Agent04_Withdrawals!B154)</f>
        <v/>
      </c>
      <c r="D747" s="43" t="str">
        <f>IF(Agent04_Withdrawals!A154="","",Agent04_Withdrawals!C154)</f>
        <v/>
      </c>
      <c r="E747" s="41" t="str">
        <f>IF(Agent04_Withdrawals!A154="","",Agent04_Withdrawals!D154)</f>
        <v/>
      </c>
      <c r="F747" s="40" t="str">
        <f>IF(Agent04_Withdrawals!A154="","",Agent04_Withdrawals!F154)</f>
        <v/>
      </c>
      <c r="G747" s="42" t="str">
        <f>IF(Agent04_Withdrawals!A154="","",Agent04_Withdrawals!E154)</f>
        <v/>
      </c>
      <c r="H747" s="42" t="str">
        <f>IF(Agent04_Withdrawals!A154="","",Agent04_Withdrawals!G154)</f>
        <v/>
      </c>
      <c r="I747" s="40" t="str">
        <f>IF(Agent04_Withdrawals!A154="","",Agent04_Withdrawals!H154)</f>
        <v/>
      </c>
      <c r="J747" s="40" t="str">
        <f>IF(Agent04_Withdrawals!A154="","",Agent04_Withdrawals!J154)</f>
        <v/>
      </c>
      <c r="K747" s="40" t="str">
        <f>IF(Agent04_Withdrawals!A154="","",Agent04_Withdrawals!K154)</f>
        <v/>
      </c>
      <c r="L747" s="40" t="str">
        <f>IF(G747="","",IF(D747-G747&gt;=System_Config!$B$9,"✅ OK","⚠️ BREACH"))</f>
        <v/>
      </c>
      <c r="M747" s="40" t="str">
        <f>IFERROR(IF(Agent04_Withdrawals!A154="","",YEAR(Agent04_Withdrawals!D154)),"")</f>
        <v/>
      </c>
    </row>
    <row r="748" spans="1:13" ht="18" customHeight="1" x14ac:dyDescent="0.25">
      <c r="A748" s="40" t="str">
        <f>IF(Agent04_Withdrawals!A155="","",Agent04_Withdrawals!A155)</f>
        <v/>
      </c>
      <c r="B748" s="40" t="str">
        <f ca="1">IF(Agent04_Withdrawals!A155="","","WD"&amp;TEXT(748-3,"0000")&amp;"-"&amp;TEXT(TODAY(),"YYYYMMDD"))</f>
        <v/>
      </c>
      <c r="C748" s="40" t="str">
        <f>IF(Agent04_Withdrawals!A155="","",Agent04_Withdrawals!B155)</f>
        <v/>
      </c>
      <c r="D748" s="43" t="str">
        <f>IF(Agent04_Withdrawals!A155="","",Agent04_Withdrawals!C155)</f>
        <v/>
      </c>
      <c r="E748" s="41" t="str">
        <f>IF(Agent04_Withdrawals!A155="","",Agent04_Withdrawals!D155)</f>
        <v/>
      </c>
      <c r="F748" s="40" t="str">
        <f>IF(Agent04_Withdrawals!A155="","",Agent04_Withdrawals!F155)</f>
        <v/>
      </c>
      <c r="G748" s="42" t="str">
        <f>IF(Agent04_Withdrawals!A155="","",Agent04_Withdrawals!E155)</f>
        <v/>
      </c>
      <c r="H748" s="42" t="str">
        <f>IF(Agent04_Withdrawals!A155="","",Agent04_Withdrawals!G155)</f>
        <v/>
      </c>
      <c r="I748" s="40" t="str">
        <f>IF(Agent04_Withdrawals!A155="","",Agent04_Withdrawals!H155)</f>
        <v/>
      </c>
      <c r="J748" s="40" t="str">
        <f>IF(Agent04_Withdrawals!A155="","",Agent04_Withdrawals!J155)</f>
        <v/>
      </c>
      <c r="K748" s="40" t="str">
        <f>IF(Agent04_Withdrawals!A155="","",Agent04_Withdrawals!K155)</f>
        <v/>
      </c>
      <c r="L748" s="40" t="str">
        <f>IF(G748="","",IF(D748-G748&gt;=System_Config!$B$9,"✅ OK","⚠️ BREACH"))</f>
        <v/>
      </c>
      <c r="M748" s="40" t="str">
        <f>IFERROR(IF(Agent04_Withdrawals!A155="","",YEAR(Agent04_Withdrawals!D155)),"")</f>
        <v/>
      </c>
    </row>
    <row r="749" spans="1:13" ht="18" customHeight="1" x14ac:dyDescent="0.25">
      <c r="A749" s="40" t="str">
        <f>IF(Agent04_Withdrawals!A156="","",Agent04_Withdrawals!A156)</f>
        <v/>
      </c>
      <c r="B749" s="40" t="str">
        <f ca="1">IF(Agent04_Withdrawals!A156="","","WD"&amp;TEXT(749-3,"0000")&amp;"-"&amp;TEXT(TODAY(),"YYYYMMDD"))</f>
        <v/>
      </c>
      <c r="C749" s="40" t="str">
        <f>IF(Agent04_Withdrawals!A156="","",Agent04_Withdrawals!B156)</f>
        <v/>
      </c>
      <c r="D749" s="43" t="str">
        <f>IF(Agent04_Withdrawals!A156="","",Agent04_Withdrawals!C156)</f>
        <v/>
      </c>
      <c r="E749" s="41" t="str">
        <f>IF(Agent04_Withdrawals!A156="","",Agent04_Withdrawals!D156)</f>
        <v/>
      </c>
      <c r="F749" s="40" t="str">
        <f>IF(Agent04_Withdrawals!A156="","",Agent04_Withdrawals!F156)</f>
        <v/>
      </c>
      <c r="G749" s="42" t="str">
        <f>IF(Agent04_Withdrawals!A156="","",Agent04_Withdrawals!E156)</f>
        <v/>
      </c>
      <c r="H749" s="42" t="str">
        <f>IF(Agent04_Withdrawals!A156="","",Agent04_Withdrawals!G156)</f>
        <v/>
      </c>
      <c r="I749" s="40" t="str">
        <f>IF(Agent04_Withdrawals!A156="","",Agent04_Withdrawals!H156)</f>
        <v/>
      </c>
      <c r="J749" s="40" t="str">
        <f>IF(Agent04_Withdrawals!A156="","",Agent04_Withdrawals!J156)</f>
        <v/>
      </c>
      <c r="K749" s="40" t="str">
        <f>IF(Agent04_Withdrawals!A156="","",Agent04_Withdrawals!K156)</f>
        <v/>
      </c>
      <c r="L749" s="40" t="str">
        <f>IF(G749="","",IF(D749-G749&gt;=System_Config!$B$9,"✅ OK","⚠️ BREACH"))</f>
        <v/>
      </c>
      <c r="M749" s="40" t="str">
        <f>IFERROR(IF(Agent04_Withdrawals!A156="","",YEAR(Agent04_Withdrawals!D156)),"")</f>
        <v/>
      </c>
    </row>
    <row r="750" spans="1:13" ht="18" customHeight="1" x14ac:dyDescent="0.25">
      <c r="A750" s="40" t="str">
        <f>IF(Agent04_Withdrawals!A157="","",Agent04_Withdrawals!A157)</f>
        <v/>
      </c>
      <c r="B750" s="40" t="str">
        <f ca="1">IF(Agent04_Withdrawals!A157="","","WD"&amp;TEXT(750-3,"0000")&amp;"-"&amp;TEXT(TODAY(),"YYYYMMDD"))</f>
        <v/>
      </c>
      <c r="C750" s="40" t="str">
        <f>IF(Agent04_Withdrawals!A157="","",Agent04_Withdrawals!B157)</f>
        <v/>
      </c>
      <c r="D750" s="43" t="str">
        <f>IF(Agent04_Withdrawals!A157="","",Agent04_Withdrawals!C157)</f>
        <v/>
      </c>
      <c r="E750" s="41" t="str">
        <f>IF(Agent04_Withdrawals!A157="","",Agent04_Withdrawals!D157)</f>
        <v/>
      </c>
      <c r="F750" s="40" t="str">
        <f>IF(Agent04_Withdrawals!A157="","",Agent04_Withdrawals!F157)</f>
        <v/>
      </c>
      <c r="G750" s="42" t="str">
        <f>IF(Agent04_Withdrawals!A157="","",Agent04_Withdrawals!E157)</f>
        <v/>
      </c>
      <c r="H750" s="42" t="str">
        <f>IF(Agent04_Withdrawals!A157="","",Agent04_Withdrawals!G157)</f>
        <v/>
      </c>
      <c r="I750" s="40" t="str">
        <f>IF(Agent04_Withdrawals!A157="","",Agent04_Withdrawals!H157)</f>
        <v/>
      </c>
      <c r="J750" s="40" t="str">
        <f>IF(Agent04_Withdrawals!A157="","",Agent04_Withdrawals!J157)</f>
        <v/>
      </c>
      <c r="K750" s="40" t="str">
        <f>IF(Agent04_Withdrawals!A157="","",Agent04_Withdrawals!K157)</f>
        <v/>
      </c>
      <c r="L750" s="40" t="str">
        <f>IF(G750="","",IF(D750-G750&gt;=System_Config!$B$9,"✅ OK","⚠️ BREACH"))</f>
        <v/>
      </c>
      <c r="M750" s="40" t="str">
        <f>IFERROR(IF(Agent04_Withdrawals!A157="","",YEAR(Agent04_Withdrawals!D157)),"")</f>
        <v/>
      </c>
    </row>
    <row r="751" spans="1:13" ht="18" customHeight="1" x14ac:dyDescent="0.25">
      <c r="A751" s="40" t="str">
        <f>IF(Agent04_Withdrawals!A158="","",Agent04_Withdrawals!A158)</f>
        <v/>
      </c>
      <c r="B751" s="40" t="str">
        <f ca="1">IF(Agent04_Withdrawals!A158="","","WD"&amp;TEXT(751-3,"0000")&amp;"-"&amp;TEXT(TODAY(),"YYYYMMDD"))</f>
        <v/>
      </c>
      <c r="C751" s="40" t="str">
        <f>IF(Agent04_Withdrawals!A158="","",Agent04_Withdrawals!B158)</f>
        <v/>
      </c>
      <c r="D751" s="43" t="str">
        <f>IF(Agent04_Withdrawals!A158="","",Agent04_Withdrawals!C158)</f>
        <v/>
      </c>
      <c r="E751" s="41" t="str">
        <f>IF(Agent04_Withdrawals!A158="","",Agent04_Withdrawals!D158)</f>
        <v/>
      </c>
      <c r="F751" s="40" t="str">
        <f>IF(Agent04_Withdrawals!A158="","",Agent04_Withdrawals!F158)</f>
        <v/>
      </c>
      <c r="G751" s="42" t="str">
        <f>IF(Agent04_Withdrawals!A158="","",Agent04_Withdrawals!E158)</f>
        <v/>
      </c>
      <c r="H751" s="42" t="str">
        <f>IF(Agent04_Withdrawals!A158="","",Agent04_Withdrawals!G158)</f>
        <v/>
      </c>
      <c r="I751" s="40" t="str">
        <f>IF(Agent04_Withdrawals!A158="","",Agent04_Withdrawals!H158)</f>
        <v/>
      </c>
      <c r="J751" s="40" t="str">
        <f>IF(Agent04_Withdrawals!A158="","",Agent04_Withdrawals!J158)</f>
        <v/>
      </c>
      <c r="K751" s="40" t="str">
        <f>IF(Agent04_Withdrawals!A158="","",Agent04_Withdrawals!K158)</f>
        <v/>
      </c>
      <c r="L751" s="40" t="str">
        <f>IF(G751="","",IF(D751-G751&gt;=System_Config!$B$9,"✅ OK","⚠️ BREACH"))</f>
        <v/>
      </c>
      <c r="M751" s="40" t="str">
        <f>IFERROR(IF(Agent04_Withdrawals!A158="","",YEAR(Agent04_Withdrawals!D158)),"")</f>
        <v/>
      </c>
    </row>
    <row r="752" spans="1:13" ht="18" customHeight="1" x14ac:dyDescent="0.25">
      <c r="A752" s="40" t="str">
        <f>IF(Agent04_Withdrawals!A159="","",Agent04_Withdrawals!A159)</f>
        <v/>
      </c>
      <c r="B752" s="40" t="str">
        <f ca="1">IF(Agent04_Withdrawals!A159="","","WD"&amp;TEXT(752-3,"0000")&amp;"-"&amp;TEXT(TODAY(),"YYYYMMDD"))</f>
        <v/>
      </c>
      <c r="C752" s="40" t="str">
        <f>IF(Agent04_Withdrawals!A159="","",Agent04_Withdrawals!B159)</f>
        <v/>
      </c>
      <c r="D752" s="43" t="str">
        <f>IF(Agent04_Withdrawals!A159="","",Agent04_Withdrawals!C159)</f>
        <v/>
      </c>
      <c r="E752" s="41" t="str">
        <f>IF(Agent04_Withdrawals!A159="","",Agent04_Withdrawals!D159)</f>
        <v/>
      </c>
      <c r="F752" s="40" t="str">
        <f>IF(Agent04_Withdrawals!A159="","",Agent04_Withdrawals!F159)</f>
        <v/>
      </c>
      <c r="G752" s="42" t="str">
        <f>IF(Agent04_Withdrawals!A159="","",Agent04_Withdrawals!E159)</f>
        <v/>
      </c>
      <c r="H752" s="42" t="str">
        <f>IF(Agent04_Withdrawals!A159="","",Agent04_Withdrawals!G159)</f>
        <v/>
      </c>
      <c r="I752" s="40" t="str">
        <f>IF(Agent04_Withdrawals!A159="","",Agent04_Withdrawals!H159)</f>
        <v/>
      </c>
      <c r="J752" s="40" t="str">
        <f>IF(Agent04_Withdrawals!A159="","",Agent04_Withdrawals!J159)</f>
        <v/>
      </c>
      <c r="K752" s="40" t="str">
        <f>IF(Agent04_Withdrawals!A159="","",Agent04_Withdrawals!K159)</f>
        <v/>
      </c>
      <c r="L752" s="40" t="str">
        <f>IF(G752="","",IF(D752-G752&gt;=System_Config!$B$9,"✅ OK","⚠️ BREACH"))</f>
        <v/>
      </c>
      <c r="M752" s="40" t="str">
        <f>IFERROR(IF(Agent04_Withdrawals!A159="","",YEAR(Agent04_Withdrawals!D159)),"")</f>
        <v/>
      </c>
    </row>
    <row r="753" spans="1:13" ht="18" customHeight="1" x14ac:dyDescent="0.25">
      <c r="A753" s="40" t="str">
        <f>IF(Agent04_Withdrawals!A160="","",Agent04_Withdrawals!A160)</f>
        <v/>
      </c>
      <c r="B753" s="40" t="str">
        <f ca="1">IF(Agent04_Withdrawals!A160="","","WD"&amp;TEXT(753-3,"0000")&amp;"-"&amp;TEXT(TODAY(),"YYYYMMDD"))</f>
        <v/>
      </c>
      <c r="C753" s="40" t="str">
        <f>IF(Agent04_Withdrawals!A160="","",Agent04_Withdrawals!B160)</f>
        <v/>
      </c>
      <c r="D753" s="43" t="str">
        <f>IF(Agent04_Withdrawals!A160="","",Agent04_Withdrawals!C160)</f>
        <v/>
      </c>
      <c r="E753" s="41" t="str">
        <f>IF(Agent04_Withdrawals!A160="","",Agent04_Withdrawals!D160)</f>
        <v/>
      </c>
      <c r="F753" s="40" t="str">
        <f>IF(Agent04_Withdrawals!A160="","",Agent04_Withdrawals!F160)</f>
        <v/>
      </c>
      <c r="G753" s="42" t="str">
        <f>IF(Agent04_Withdrawals!A160="","",Agent04_Withdrawals!E160)</f>
        <v/>
      </c>
      <c r="H753" s="42" t="str">
        <f>IF(Agent04_Withdrawals!A160="","",Agent04_Withdrawals!G160)</f>
        <v/>
      </c>
      <c r="I753" s="40" t="str">
        <f>IF(Agent04_Withdrawals!A160="","",Agent04_Withdrawals!H160)</f>
        <v/>
      </c>
      <c r="J753" s="40" t="str">
        <f>IF(Agent04_Withdrawals!A160="","",Agent04_Withdrawals!J160)</f>
        <v/>
      </c>
      <c r="K753" s="40" t="str">
        <f>IF(Agent04_Withdrawals!A160="","",Agent04_Withdrawals!K160)</f>
        <v/>
      </c>
      <c r="L753" s="40" t="str">
        <f>IF(G753="","",IF(D753-G753&gt;=System_Config!$B$9,"✅ OK","⚠️ BREACH"))</f>
        <v/>
      </c>
      <c r="M753" s="40" t="str">
        <f>IFERROR(IF(Agent04_Withdrawals!A160="","",YEAR(Agent04_Withdrawals!D160)),"")</f>
        <v/>
      </c>
    </row>
    <row r="754" spans="1:13" ht="18" customHeight="1" x14ac:dyDescent="0.25">
      <c r="A754" s="40" t="str">
        <f>IF(Agent04_Withdrawals!A161="","",Agent04_Withdrawals!A161)</f>
        <v/>
      </c>
      <c r="B754" s="40" t="str">
        <f ca="1">IF(Agent04_Withdrawals!A161="","","WD"&amp;TEXT(754-3,"0000")&amp;"-"&amp;TEXT(TODAY(),"YYYYMMDD"))</f>
        <v/>
      </c>
      <c r="C754" s="40" t="str">
        <f>IF(Agent04_Withdrawals!A161="","",Agent04_Withdrawals!B161)</f>
        <v/>
      </c>
      <c r="D754" s="43" t="str">
        <f>IF(Agent04_Withdrawals!A161="","",Agent04_Withdrawals!C161)</f>
        <v/>
      </c>
      <c r="E754" s="41" t="str">
        <f>IF(Agent04_Withdrawals!A161="","",Agent04_Withdrawals!D161)</f>
        <v/>
      </c>
      <c r="F754" s="40" t="str">
        <f>IF(Agent04_Withdrawals!A161="","",Agent04_Withdrawals!F161)</f>
        <v/>
      </c>
      <c r="G754" s="42" t="str">
        <f>IF(Agent04_Withdrawals!A161="","",Agent04_Withdrawals!E161)</f>
        <v/>
      </c>
      <c r="H754" s="42" t="str">
        <f>IF(Agent04_Withdrawals!A161="","",Agent04_Withdrawals!G161)</f>
        <v/>
      </c>
      <c r="I754" s="40" t="str">
        <f>IF(Agent04_Withdrawals!A161="","",Agent04_Withdrawals!H161)</f>
        <v/>
      </c>
      <c r="J754" s="40" t="str">
        <f>IF(Agent04_Withdrawals!A161="","",Agent04_Withdrawals!J161)</f>
        <v/>
      </c>
      <c r="K754" s="40" t="str">
        <f>IF(Agent04_Withdrawals!A161="","",Agent04_Withdrawals!K161)</f>
        <v/>
      </c>
      <c r="L754" s="40" t="str">
        <f>IF(G754="","",IF(D754-G754&gt;=System_Config!$B$9,"✅ OK","⚠️ BREACH"))</f>
        <v/>
      </c>
      <c r="M754" s="40" t="str">
        <f>IFERROR(IF(Agent04_Withdrawals!A161="","",YEAR(Agent04_Withdrawals!D161)),"")</f>
        <v/>
      </c>
    </row>
    <row r="755" spans="1:13" ht="18" customHeight="1" x14ac:dyDescent="0.25">
      <c r="A755" s="40" t="str">
        <f>IF(Agent04_Withdrawals!A162="","",Agent04_Withdrawals!A162)</f>
        <v/>
      </c>
      <c r="B755" s="40" t="str">
        <f ca="1">IF(Agent04_Withdrawals!A162="","","WD"&amp;TEXT(755-3,"0000")&amp;"-"&amp;TEXT(TODAY(),"YYYYMMDD"))</f>
        <v/>
      </c>
      <c r="C755" s="40" t="str">
        <f>IF(Agent04_Withdrawals!A162="","",Agent04_Withdrawals!B162)</f>
        <v/>
      </c>
      <c r="D755" s="43" t="str">
        <f>IF(Agent04_Withdrawals!A162="","",Agent04_Withdrawals!C162)</f>
        <v/>
      </c>
      <c r="E755" s="41" t="str">
        <f>IF(Agent04_Withdrawals!A162="","",Agent04_Withdrawals!D162)</f>
        <v/>
      </c>
      <c r="F755" s="40" t="str">
        <f>IF(Agent04_Withdrawals!A162="","",Agent04_Withdrawals!F162)</f>
        <v/>
      </c>
      <c r="G755" s="42" t="str">
        <f>IF(Agent04_Withdrawals!A162="","",Agent04_Withdrawals!E162)</f>
        <v/>
      </c>
      <c r="H755" s="42" t="str">
        <f>IF(Agent04_Withdrawals!A162="","",Agent04_Withdrawals!G162)</f>
        <v/>
      </c>
      <c r="I755" s="40" t="str">
        <f>IF(Agent04_Withdrawals!A162="","",Agent04_Withdrawals!H162)</f>
        <v/>
      </c>
      <c r="J755" s="40" t="str">
        <f>IF(Agent04_Withdrawals!A162="","",Agent04_Withdrawals!J162)</f>
        <v/>
      </c>
      <c r="K755" s="40" t="str">
        <f>IF(Agent04_Withdrawals!A162="","",Agent04_Withdrawals!K162)</f>
        <v/>
      </c>
      <c r="L755" s="40" t="str">
        <f>IF(G755="","",IF(D755-G755&gt;=System_Config!$B$9,"✅ OK","⚠️ BREACH"))</f>
        <v/>
      </c>
      <c r="M755" s="40" t="str">
        <f>IFERROR(IF(Agent04_Withdrawals!A162="","",YEAR(Agent04_Withdrawals!D162)),"")</f>
        <v/>
      </c>
    </row>
    <row r="756" spans="1:13" ht="18" customHeight="1" x14ac:dyDescent="0.25">
      <c r="A756" s="40" t="str">
        <f>IF(Agent04_Withdrawals!A163="","",Agent04_Withdrawals!A163)</f>
        <v/>
      </c>
      <c r="B756" s="40" t="str">
        <f ca="1">IF(Agent04_Withdrawals!A163="","","WD"&amp;TEXT(756-3,"0000")&amp;"-"&amp;TEXT(TODAY(),"YYYYMMDD"))</f>
        <v/>
      </c>
      <c r="C756" s="40" t="str">
        <f>IF(Agent04_Withdrawals!A163="","",Agent04_Withdrawals!B163)</f>
        <v/>
      </c>
      <c r="D756" s="43" t="str">
        <f>IF(Agent04_Withdrawals!A163="","",Agent04_Withdrawals!C163)</f>
        <v/>
      </c>
      <c r="E756" s="41" t="str">
        <f>IF(Agent04_Withdrawals!A163="","",Agent04_Withdrawals!D163)</f>
        <v/>
      </c>
      <c r="F756" s="40" t="str">
        <f>IF(Agent04_Withdrawals!A163="","",Agent04_Withdrawals!F163)</f>
        <v/>
      </c>
      <c r="G756" s="42" t="str">
        <f>IF(Agent04_Withdrawals!A163="","",Agent04_Withdrawals!E163)</f>
        <v/>
      </c>
      <c r="H756" s="42" t="str">
        <f>IF(Agent04_Withdrawals!A163="","",Agent04_Withdrawals!G163)</f>
        <v/>
      </c>
      <c r="I756" s="40" t="str">
        <f>IF(Agent04_Withdrawals!A163="","",Agent04_Withdrawals!H163)</f>
        <v/>
      </c>
      <c r="J756" s="40" t="str">
        <f>IF(Agent04_Withdrawals!A163="","",Agent04_Withdrawals!J163)</f>
        <v/>
      </c>
      <c r="K756" s="40" t="str">
        <f>IF(Agent04_Withdrawals!A163="","",Agent04_Withdrawals!K163)</f>
        <v/>
      </c>
      <c r="L756" s="40" t="str">
        <f>IF(G756="","",IF(D756-G756&gt;=System_Config!$B$9,"✅ OK","⚠️ BREACH"))</f>
        <v/>
      </c>
      <c r="M756" s="40" t="str">
        <f>IFERROR(IF(Agent04_Withdrawals!A163="","",YEAR(Agent04_Withdrawals!D163)),"")</f>
        <v/>
      </c>
    </row>
    <row r="757" spans="1:13" ht="18" customHeight="1" x14ac:dyDescent="0.25">
      <c r="A757" s="40" t="str">
        <f>IF(Agent04_Withdrawals!A164="","",Agent04_Withdrawals!A164)</f>
        <v/>
      </c>
      <c r="B757" s="40" t="str">
        <f ca="1">IF(Agent04_Withdrawals!A164="","","WD"&amp;TEXT(757-3,"0000")&amp;"-"&amp;TEXT(TODAY(),"YYYYMMDD"))</f>
        <v/>
      </c>
      <c r="C757" s="40" t="str">
        <f>IF(Agent04_Withdrawals!A164="","",Agent04_Withdrawals!B164)</f>
        <v/>
      </c>
      <c r="D757" s="43" t="str">
        <f>IF(Agent04_Withdrawals!A164="","",Agent04_Withdrawals!C164)</f>
        <v/>
      </c>
      <c r="E757" s="41" t="str">
        <f>IF(Agent04_Withdrawals!A164="","",Agent04_Withdrawals!D164)</f>
        <v/>
      </c>
      <c r="F757" s="40" t="str">
        <f>IF(Agent04_Withdrawals!A164="","",Agent04_Withdrawals!F164)</f>
        <v/>
      </c>
      <c r="G757" s="42" t="str">
        <f>IF(Agent04_Withdrawals!A164="","",Agent04_Withdrawals!E164)</f>
        <v/>
      </c>
      <c r="H757" s="42" t="str">
        <f>IF(Agent04_Withdrawals!A164="","",Agent04_Withdrawals!G164)</f>
        <v/>
      </c>
      <c r="I757" s="40" t="str">
        <f>IF(Agent04_Withdrawals!A164="","",Agent04_Withdrawals!H164)</f>
        <v/>
      </c>
      <c r="J757" s="40" t="str">
        <f>IF(Agent04_Withdrawals!A164="","",Agent04_Withdrawals!J164)</f>
        <v/>
      </c>
      <c r="K757" s="40" t="str">
        <f>IF(Agent04_Withdrawals!A164="","",Agent04_Withdrawals!K164)</f>
        <v/>
      </c>
      <c r="L757" s="40" t="str">
        <f>IF(G757="","",IF(D757-G757&gt;=System_Config!$B$9,"✅ OK","⚠️ BREACH"))</f>
        <v/>
      </c>
      <c r="M757" s="40" t="str">
        <f>IFERROR(IF(Agent04_Withdrawals!A164="","",YEAR(Agent04_Withdrawals!D164)),"")</f>
        <v/>
      </c>
    </row>
    <row r="758" spans="1:13" ht="18" customHeight="1" x14ac:dyDescent="0.25">
      <c r="A758" s="40" t="str">
        <f>IF(Agent04_Withdrawals!A165="","",Agent04_Withdrawals!A165)</f>
        <v/>
      </c>
      <c r="B758" s="40" t="str">
        <f ca="1">IF(Agent04_Withdrawals!A165="","","WD"&amp;TEXT(758-3,"0000")&amp;"-"&amp;TEXT(TODAY(),"YYYYMMDD"))</f>
        <v/>
      </c>
      <c r="C758" s="40" t="str">
        <f>IF(Agent04_Withdrawals!A165="","",Agent04_Withdrawals!B165)</f>
        <v/>
      </c>
      <c r="D758" s="43" t="str">
        <f>IF(Agent04_Withdrawals!A165="","",Agent04_Withdrawals!C165)</f>
        <v/>
      </c>
      <c r="E758" s="41" t="str">
        <f>IF(Agent04_Withdrawals!A165="","",Agent04_Withdrawals!D165)</f>
        <v/>
      </c>
      <c r="F758" s="40" t="str">
        <f>IF(Agent04_Withdrawals!A165="","",Agent04_Withdrawals!F165)</f>
        <v/>
      </c>
      <c r="G758" s="42" t="str">
        <f>IF(Agent04_Withdrawals!A165="","",Agent04_Withdrawals!E165)</f>
        <v/>
      </c>
      <c r="H758" s="42" t="str">
        <f>IF(Agent04_Withdrawals!A165="","",Agent04_Withdrawals!G165)</f>
        <v/>
      </c>
      <c r="I758" s="40" t="str">
        <f>IF(Agent04_Withdrawals!A165="","",Agent04_Withdrawals!H165)</f>
        <v/>
      </c>
      <c r="J758" s="40" t="str">
        <f>IF(Agent04_Withdrawals!A165="","",Agent04_Withdrawals!J165)</f>
        <v/>
      </c>
      <c r="K758" s="40" t="str">
        <f>IF(Agent04_Withdrawals!A165="","",Agent04_Withdrawals!K165)</f>
        <v/>
      </c>
      <c r="L758" s="40" t="str">
        <f>IF(G758="","",IF(D758-G758&gt;=System_Config!$B$9,"✅ OK","⚠️ BREACH"))</f>
        <v/>
      </c>
      <c r="M758" s="40" t="str">
        <f>IFERROR(IF(Agent04_Withdrawals!A165="","",YEAR(Agent04_Withdrawals!D165)),"")</f>
        <v/>
      </c>
    </row>
    <row r="759" spans="1:13" ht="18" customHeight="1" x14ac:dyDescent="0.25">
      <c r="A759" s="40" t="str">
        <f>IF(Agent04_Withdrawals!A166="","",Agent04_Withdrawals!A166)</f>
        <v/>
      </c>
      <c r="B759" s="40" t="str">
        <f ca="1">IF(Agent04_Withdrawals!A166="","","WD"&amp;TEXT(759-3,"0000")&amp;"-"&amp;TEXT(TODAY(),"YYYYMMDD"))</f>
        <v/>
      </c>
      <c r="C759" s="40" t="str">
        <f>IF(Agent04_Withdrawals!A166="","",Agent04_Withdrawals!B166)</f>
        <v/>
      </c>
      <c r="D759" s="43" t="str">
        <f>IF(Agent04_Withdrawals!A166="","",Agent04_Withdrawals!C166)</f>
        <v/>
      </c>
      <c r="E759" s="41" t="str">
        <f>IF(Agent04_Withdrawals!A166="","",Agent04_Withdrawals!D166)</f>
        <v/>
      </c>
      <c r="F759" s="40" t="str">
        <f>IF(Agent04_Withdrawals!A166="","",Agent04_Withdrawals!F166)</f>
        <v/>
      </c>
      <c r="G759" s="42" t="str">
        <f>IF(Agent04_Withdrawals!A166="","",Agent04_Withdrawals!E166)</f>
        <v/>
      </c>
      <c r="H759" s="42" t="str">
        <f>IF(Agent04_Withdrawals!A166="","",Agent04_Withdrawals!G166)</f>
        <v/>
      </c>
      <c r="I759" s="40" t="str">
        <f>IF(Agent04_Withdrawals!A166="","",Agent04_Withdrawals!H166)</f>
        <v/>
      </c>
      <c r="J759" s="40" t="str">
        <f>IF(Agent04_Withdrawals!A166="","",Agent04_Withdrawals!J166)</f>
        <v/>
      </c>
      <c r="K759" s="40" t="str">
        <f>IF(Agent04_Withdrawals!A166="","",Agent04_Withdrawals!K166)</f>
        <v/>
      </c>
      <c r="L759" s="40" t="str">
        <f>IF(G759="","",IF(D759-G759&gt;=System_Config!$B$9,"✅ OK","⚠️ BREACH"))</f>
        <v/>
      </c>
      <c r="M759" s="40" t="str">
        <f>IFERROR(IF(Agent04_Withdrawals!A166="","",YEAR(Agent04_Withdrawals!D166)),"")</f>
        <v/>
      </c>
    </row>
    <row r="760" spans="1:13" ht="18" customHeight="1" x14ac:dyDescent="0.25">
      <c r="A760" s="40" t="str">
        <f>IF(Agent04_Withdrawals!A167="","",Agent04_Withdrawals!A167)</f>
        <v/>
      </c>
      <c r="B760" s="40" t="str">
        <f ca="1">IF(Agent04_Withdrawals!A167="","","WD"&amp;TEXT(760-3,"0000")&amp;"-"&amp;TEXT(TODAY(),"YYYYMMDD"))</f>
        <v/>
      </c>
      <c r="C760" s="40" t="str">
        <f>IF(Agent04_Withdrawals!A167="","",Agent04_Withdrawals!B167)</f>
        <v/>
      </c>
      <c r="D760" s="43" t="str">
        <f>IF(Agent04_Withdrawals!A167="","",Agent04_Withdrawals!C167)</f>
        <v/>
      </c>
      <c r="E760" s="41" t="str">
        <f>IF(Agent04_Withdrawals!A167="","",Agent04_Withdrawals!D167)</f>
        <v/>
      </c>
      <c r="F760" s="40" t="str">
        <f>IF(Agent04_Withdrawals!A167="","",Agent04_Withdrawals!F167)</f>
        <v/>
      </c>
      <c r="G760" s="42" t="str">
        <f>IF(Agent04_Withdrawals!A167="","",Agent04_Withdrawals!E167)</f>
        <v/>
      </c>
      <c r="H760" s="42" t="str">
        <f>IF(Agent04_Withdrawals!A167="","",Agent04_Withdrawals!G167)</f>
        <v/>
      </c>
      <c r="I760" s="40" t="str">
        <f>IF(Agent04_Withdrawals!A167="","",Agent04_Withdrawals!H167)</f>
        <v/>
      </c>
      <c r="J760" s="40" t="str">
        <f>IF(Agent04_Withdrawals!A167="","",Agent04_Withdrawals!J167)</f>
        <v/>
      </c>
      <c r="K760" s="40" t="str">
        <f>IF(Agent04_Withdrawals!A167="","",Agent04_Withdrawals!K167)</f>
        <v/>
      </c>
      <c r="L760" s="40" t="str">
        <f>IF(G760="","",IF(D760-G760&gt;=System_Config!$B$9,"✅ OK","⚠️ BREACH"))</f>
        <v/>
      </c>
      <c r="M760" s="40" t="str">
        <f>IFERROR(IF(Agent04_Withdrawals!A167="","",YEAR(Agent04_Withdrawals!D167)),"")</f>
        <v/>
      </c>
    </row>
    <row r="761" spans="1:13" ht="18" customHeight="1" x14ac:dyDescent="0.25">
      <c r="A761" s="40" t="str">
        <f>IF(Agent04_Withdrawals!A168="","",Agent04_Withdrawals!A168)</f>
        <v/>
      </c>
      <c r="B761" s="40" t="str">
        <f ca="1">IF(Agent04_Withdrawals!A168="","","WD"&amp;TEXT(761-3,"0000")&amp;"-"&amp;TEXT(TODAY(),"YYYYMMDD"))</f>
        <v/>
      </c>
      <c r="C761" s="40" t="str">
        <f>IF(Agent04_Withdrawals!A168="","",Agent04_Withdrawals!B168)</f>
        <v/>
      </c>
      <c r="D761" s="43" t="str">
        <f>IF(Agent04_Withdrawals!A168="","",Agent04_Withdrawals!C168)</f>
        <v/>
      </c>
      <c r="E761" s="41" t="str">
        <f>IF(Agent04_Withdrawals!A168="","",Agent04_Withdrawals!D168)</f>
        <v/>
      </c>
      <c r="F761" s="40" t="str">
        <f>IF(Agent04_Withdrawals!A168="","",Agent04_Withdrawals!F168)</f>
        <v/>
      </c>
      <c r="G761" s="42" t="str">
        <f>IF(Agent04_Withdrawals!A168="","",Agent04_Withdrawals!E168)</f>
        <v/>
      </c>
      <c r="H761" s="42" t="str">
        <f>IF(Agent04_Withdrawals!A168="","",Agent04_Withdrawals!G168)</f>
        <v/>
      </c>
      <c r="I761" s="40" t="str">
        <f>IF(Agent04_Withdrawals!A168="","",Agent04_Withdrawals!H168)</f>
        <v/>
      </c>
      <c r="J761" s="40" t="str">
        <f>IF(Agent04_Withdrawals!A168="","",Agent04_Withdrawals!J168)</f>
        <v/>
      </c>
      <c r="K761" s="40" t="str">
        <f>IF(Agent04_Withdrawals!A168="","",Agent04_Withdrawals!K168)</f>
        <v/>
      </c>
      <c r="L761" s="40" t="str">
        <f>IF(G761="","",IF(D761-G761&gt;=System_Config!$B$9,"✅ OK","⚠️ BREACH"))</f>
        <v/>
      </c>
      <c r="M761" s="40" t="str">
        <f>IFERROR(IF(Agent04_Withdrawals!A168="","",YEAR(Agent04_Withdrawals!D168)),"")</f>
        <v/>
      </c>
    </row>
    <row r="762" spans="1:13" ht="18" customHeight="1" x14ac:dyDescent="0.25">
      <c r="A762" s="40" t="str">
        <f>IF(Agent04_Withdrawals!A169="","",Agent04_Withdrawals!A169)</f>
        <v/>
      </c>
      <c r="B762" s="40" t="str">
        <f ca="1">IF(Agent04_Withdrawals!A169="","","WD"&amp;TEXT(762-3,"0000")&amp;"-"&amp;TEXT(TODAY(),"YYYYMMDD"))</f>
        <v/>
      </c>
      <c r="C762" s="40" t="str">
        <f>IF(Agent04_Withdrawals!A169="","",Agent04_Withdrawals!B169)</f>
        <v/>
      </c>
      <c r="D762" s="43" t="str">
        <f>IF(Agent04_Withdrawals!A169="","",Agent04_Withdrawals!C169)</f>
        <v/>
      </c>
      <c r="E762" s="41" t="str">
        <f>IF(Agent04_Withdrawals!A169="","",Agent04_Withdrawals!D169)</f>
        <v/>
      </c>
      <c r="F762" s="40" t="str">
        <f>IF(Agent04_Withdrawals!A169="","",Agent04_Withdrawals!F169)</f>
        <v/>
      </c>
      <c r="G762" s="42" t="str">
        <f>IF(Agent04_Withdrawals!A169="","",Agent04_Withdrawals!E169)</f>
        <v/>
      </c>
      <c r="H762" s="42" t="str">
        <f>IF(Agent04_Withdrawals!A169="","",Agent04_Withdrawals!G169)</f>
        <v/>
      </c>
      <c r="I762" s="40" t="str">
        <f>IF(Agent04_Withdrawals!A169="","",Agent04_Withdrawals!H169)</f>
        <v/>
      </c>
      <c r="J762" s="40" t="str">
        <f>IF(Agent04_Withdrawals!A169="","",Agent04_Withdrawals!J169)</f>
        <v/>
      </c>
      <c r="K762" s="40" t="str">
        <f>IF(Agent04_Withdrawals!A169="","",Agent04_Withdrawals!K169)</f>
        <v/>
      </c>
      <c r="L762" s="40" t="str">
        <f>IF(G762="","",IF(D762-G762&gt;=System_Config!$B$9,"✅ OK","⚠️ BREACH"))</f>
        <v/>
      </c>
      <c r="M762" s="40" t="str">
        <f>IFERROR(IF(Agent04_Withdrawals!A169="","",YEAR(Agent04_Withdrawals!D169)),"")</f>
        <v/>
      </c>
    </row>
    <row r="763" spans="1:13" ht="18" customHeight="1" x14ac:dyDescent="0.25">
      <c r="A763" s="40" t="str">
        <f>IF(Agent04_Withdrawals!A170="","",Agent04_Withdrawals!A170)</f>
        <v/>
      </c>
      <c r="B763" s="40" t="str">
        <f ca="1">IF(Agent04_Withdrawals!A170="","","WD"&amp;TEXT(763-3,"0000")&amp;"-"&amp;TEXT(TODAY(),"YYYYMMDD"))</f>
        <v/>
      </c>
      <c r="C763" s="40" t="str">
        <f>IF(Agent04_Withdrawals!A170="","",Agent04_Withdrawals!B170)</f>
        <v/>
      </c>
      <c r="D763" s="43" t="str">
        <f>IF(Agent04_Withdrawals!A170="","",Agent04_Withdrawals!C170)</f>
        <v/>
      </c>
      <c r="E763" s="41" t="str">
        <f>IF(Agent04_Withdrawals!A170="","",Agent04_Withdrawals!D170)</f>
        <v/>
      </c>
      <c r="F763" s="40" t="str">
        <f>IF(Agent04_Withdrawals!A170="","",Agent04_Withdrawals!F170)</f>
        <v/>
      </c>
      <c r="G763" s="42" t="str">
        <f>IF(Agent04_Withdrawals!A170="","",Agent04_Withdrawals!E170)</f>
        <v/>
      </c>
      <c r="H763" s="42" t="str">
        <f>IF(Agent04_Withdrawals!A170="","",Agent04_Withdrawals!G170)</f>
        <v/>
      </c>
      <c r="I763" s="40" t="str">
        <f>IF(Agent04_Withdrawals!A170="","",Agent04_Withdrawals!H170)</f>
        <v/>
      </c>
      <c r="J763" s="40" t="str">
        <f>IF(Agent04_Withdrawals!A170="","",Agent04_Withdrawals!J170)</f>
        <v/>
      </c>
      <c r="K763" s="40" t="str">
        <f>IF(Agent04_Withdrawals!A170="","",Agent04_Withdrawals!K170)</f>
        <v/>
      </c>
      <c r="L763" s="40" t="str">
        <f>IF(G763="","",IF(D763-G763&gt;=System_Config!$B$9,"✅ OK","⚠️ BREACH"))</f>
        <v/>
      </c>
      <c r="M763" s="40" t="str">
        <f>IFERROR(IF(Agent04_Withdrawals!A170="","",YEAR(Agent04_Withdrawals!D170)),"")</f>
        <v/>
      </c>
    </row>
    <row r="764" spans="1:13" ht="18" customHeight="1" x14ac:dyDescent="0.25">
      <c r="A764" s="40" t="str">
        <f>IF(Agent04_Withdrawals!A171="","",Agent04_Withdrawals!A171)</f>
        <v/>
      </c>
      <c r="B764" s="40" t="str">
        <f ca="1">IF(Agent04_Withdrawals!A171="","","WD"&amp;TEXT(764-3,"0000")&amp;"-"&amp;TEXT(TODAY(),"YYYYMMDD"))</f>
        <v/>
      </c>
      <c r="C764" s="40" t="str">
        <f>IF(Agent04_Withdrawals!A171="","",Agent04_Withdrawals!B171)</f>
        <v/>
      </c>
      <c r="D764" s="43" t="str">
        <f>IF(Agent04_Withdrawals!A171="","",Agent04_Withdrawals!C171)</f>
        <v/>
      </c>
      <c r="E764" s="41" t="str">
        <f>IF(Agent04_Withdrawals!A171="","",Agent04_Withdrawals!D171)</f>
        <v/>
      </c>
      <c r="F764" s="40" t="str">
        <f>IF(Agent04_Withdrawals!A171="","",Agent04_Withdrawals!F171)</f>
        <v/>
      </c>
      <c r="G764" s="42" t="str">
        <f>IF(Agent04_Withdrawals!A171="","",Agent04_Withdrawals!E171)</f>
        <v/>
      </c>
      <c r="H764" s="42" t="str">
        <f>IF(Agent04_Withdrawals!A171="","",Agent04_Withdrawals!G171)</f>
        <v/>
      </c>
      <c r="I764" s="40" t="str">
        <f>IF(Agent04_Withdrawals!A171="","",Agent04_Withdrawals!H171)</f>
        <v/>
      </c>
      <c r="J764" s="40" t="str">
        <f>IF(Agent04_Withdrawals!A171="","",Agent04_Withdrawals!J171)</f>
        <v/>
      </c>
      <c r="K764" s="40" t="str">
        <f>IF(Agent04_Withdrawals!A171="","",Agent04_Withdrawals!K171)</f>
        <v/>
      </c>
      <c r="L764" s="40" t="str">
        <f>IF(G764="","",IF(D764-G764&gt;=System_Config!$B$9,"✅ OK","⚠️ BREACH"))</f>
        <v/>
      </c>
      <c r="M764" s="40" t="str">
        <f>IFERROR(IF(Agent04_Withdrawals!A171="","",YEAR(Agent04_Withdrawals!D171)),"")</f>
        <v/>
      </c>
    </row>
    <row r="765" spans="1:13" ht="18" customHeight="1" x14ac:dyDescent="0.25">
      <c r="A765" s="40" t="str">
        <f>IF(Agent04_Withdrawals!A172="","",Agent04_Withdrawals!A172)</f>
        <v/>
      </c>
      <c r="B765" s="40" t="str">
        <f ca="1">IF(Agent04_Withdrawals!A172="","","WD"&amp;TEXT(765-3,"0000")&amp;"-"&amp;TEXT(TODAY(),"YYYYMMDD"))</f>
        <v/>
      </c>
      <c r="C765" s="40" t="str">
        <f>IF(Agent04_Withdrawals!A172="","",Agent04_Withdrawals!B172)</f>
        <v/>
      </c>
      <c r="D765" s="43" t="str">
        <f>IF(Agent04_Withdrawals!A172="","",Agent04_Withdrawals!C172)</f>
        <v/>
      </c>
      <c r="E765" s="41" t="str">
        <f>IF(Agent04_Withdrawals!A172="","",Agent04_Withdrawals!D172)</f>
        <v/>
      </c>
      <c r="F765" s="40" t="str">
        <f>IF(Agent04_Withdrawals!A172="","",Agent04_Withdrawals!F172)</f>
        <v/>
      </c>
      <c r="G765" s="42" t="str">
        <f>IF(Agent04_Withdrawals!A172="","",Agent04_Withdrawals!E172)</f>
        <v/>
      </c>
      <c r="H765" s="42" t="str">
        <f>IF(Agent04_Withdrawals!A172="","",Agent04_Withdrawals!G172)</f>
        <v/>
      </c>
      <c r="I765" s="40" t="str">
        <f>IF(Agent04_Withdrawals!A172="","",Agent04_Withdrawals!H172)</f>
        <v/>
      </c>
      <c r="J765" s="40" t="str">
        <f>IF(Agent04_Withdrawals!A172="","",Agent04_Withdrawals!J172)</f>
        <v/>
      </c>
      <c r="K765" s="40" t="str">
        <f>IF(Agent04_Withdrawals!A172="","",Agent04_Withdrawals!K172)</f>
        <v/>
      </c>
      <c r="L765" s="40" t="str">
        <f>IF(G765="","",IF(D765-G765&gt;=System_Config!$B$9,"✅ OK","⚠️ BREACH"))</f>
        <v/>
      </c>
      <c r="M765" s="40" t="str">
        <f>IFERROR(IF(Agent04_Withdrawals!A172="","",YEAR(Agent04_Withdrawals!D172)),"")</f>
        <v/>
      </c>
    </row>
    <row r="766" spans="1:13" ht="18" customHeight="1" x14ac:dyDescent="0.25">
      <c r="A766" s="40" t="str">
        <f>IF(Agent04_Withdrawals!A173="","",Agent04_Withdrawals!A173)</f>
        <v/>
      </c>
      <c r="B766" s="40" t="str">
        <f ca="1">IF(Agent04_Withdrawals!A173="","","WD"&amp;TEXT(766-3,"0000")&amp;"-"&amp;TEXT(TODAY(),"YYYYMMDD"))</f>
        <v/>
      </c>
      <c r="C766" s="40" t="str">
        <f>IF(Agent04_Withdrawals!A173="","",Agent04_Withdrawals!B173)</f>
        <v/>
      </c>
      <c r="D766" s="43" t="str">
        <f>IF(Agent04_Withdrawals!A173="","",Agent04_Withdrawals!C173)</f>
        <v/>
      </c>
      <c r="E766" s="41" t="str">
        <f>IF(Agent04_Withdrawals!A173="","",Agent04_Withdrawals!D173)</f>
        <v/>
      </c>
      <c r="F766" s="40" t="str">
        <f>IF(Agent04_Withdrawals!A173="","",Agent04_Withdrawals!F173)</f>
        <v/>
      </c>
      <c r="G766" s="42" t="str">
        <f>IF(Agent04_Withdrawals!A173="","",Agent04_Withdrawals!E173)</f>
        <v/>
      </c>
      <c r="H766" s="42" t="str">
        <f>IF(Agent04_Withdrawals!A173="","",Agent04_Withdrawals!G173)</f>
        <v/>
      </c>
      <c r="I766" s="40" t="str">
        <f>IF(Agent04_Withdrawals!A173="","",Agent04_Withdrawals!H173)</f>
        <v/>
      </c>
      <c r="J766" s="40" t="str">
        <f>IF(Agent04_Withdrawals!A173="","",Agent04_Withdrawals!J173)</f>
        <v/>
      </c>
      <c r="K766" s="40" t="str">
        <f>IF(Agent04_Withdrawals!A173="","",Agent04_Withdrawals!K173)</f>
        <v/>
      </c>
      <c r="L766" s="40" t="str">
        <f>IF(G766="","",IF(D766-G766&gt;=System_Config!$B$9,"✅ OK","⚠️ BREACH"))</f>
        <v/>
      </c>
      <c r="M766" s="40" t="str">
        <f>IFERROR(IF(Agent04_Withdrawals!A173="","",YEAR(Agent04_Withdrawals!D173)),"")</f>
        <v/>
      </c>
    </row>
    <row r="767" spans="1:13" ht="18" customHeight="1" x14ac:dyDescent="0.25">
      <c r="A767" s="40" t="str">
        <f>IF(Agent04_Withdrawals!A174="","",Agent04_Withdrawals!A174)</f>
        <v/>
      </c>
      <c r="B767" s="40" t="str">
        <f ca="1">IF(Agent04_Withdrawals!A174="","","WD"&amp;TEXT(767-3,"0000")&amp;"-"&amp;TEXT(TODAY(),"YYYYMMDD"))</f>
        <v/>
      </c>
      <c r="C767" s="40" t="str">
        <f>IF(Agent04_Withdrawals!A174="","",Agent04_Withdrawals!B174)</f>
        <v/>
      </c>
      <c r="D767" s="43" t="str">
        <f>IF(Agent04_Withdrawals!A174="","",Agent04_Withdrawals!C174)</f>
        <v/>
      </c>
      <c r="E767" s="41" t="str">
        <f>IF(Agent04_Withdrawals!A174="","",Agent04_Withdrawals!D174)</f>
        <v/>
      </c>
      <c r="F767" s="40" t="str">
        <f>IF(Agent04_Withdrawals!A174="","",Agent04_Withdrawals!F174)</f>
        <v/>
      </c>
      <c r="G767" s="42" t="str">
        <f>IF(Agent04_Withdrawals!A174="","",Agent04_Withdrawals!E174)</f>
        <v/>
      </c>
      <c r="H767" s="42" t="str">
        <f>IF(Agent04_Withdrawals!A174="","",Agent04_Withdrawals!G174)</f>
        <v/>
      </c>
      <c r="I767" s="40" t="str">
        <f>IF(Agent04_Withdrawals!A174="","",Agent04_Withdrawals!H174)</f>
        <v/>
      </c>
      <c r="J767" s="40" t="str">
        <f>IF(Agent04_Withdrawals!A174="","",Agent04_Withdrawals!J174)</f>
        <v/>
      </c>
      <c r="K767" s="40" t="str">
        <f>IF(Agent04_Withdrawals!A174="","",Agent04_Withdrawals!K174)</f>
        <v/>
      </c>
      <c r="L767" s="40" t="str">
        <f>IF(G767="","",IF(D767-G767&gt;=System_Config!$B$9,"✅ OK","⚠️ BREACH"))</f>
        <v/>
      </c>
      <c r="M767" s="40" t="str">
        <f>IFERROR(IF(Agent04_Withdrawals!A174="","",YEAR(Agent04_Withdrawals!D174)),"")</f>
        <v/>
      </c>
    </row>
    <row r="768" spans="1:13" ht="18" customHeight="1" x14ac:dyDescent="0.25">
      <c r="A768" s="40" t="str">
        <f>IF(Agent04_Withdrawals!A175="","",Agent04_Withdrawals!A175)</f>
        <v/>
      </c>
      <c r="B768" s="40" t="str">
        <f ca="1">IF(Agent04_Withdrawals!A175="","","WD"&amp;TEXT(768-3,"0000")&amp;"-"&amp;TEXT(TODAY(),"YYYYMMDD"))</f>
        <v/>
      </c>
      <c r="C768" s="40" t="str">
        <f>IF(Agent04_Withdrawals!A175="","",Agent04_Withdrawals!B175)</f>
        <v/>
      </c>
      <c r="D768" s="43" t="str">
        <f>IF(Agent04_Withdrawals!A175="","",Agent04_Withdrawals!C175)</f>
        <v/>
      </c>
      <c r="E768" s="41" t="str">
        <f>IF(Agent04_Withdrawals!A175="","",Agent04_Withdrawals!D175)</f>
        <v/>
      </c>
      <c r="F768" s="40" t="str">
        <f>IF(Agent04_Withdrawals!A175="","",Agent04_Withdrawals!F175)</f>
        <v/>
      </c>
      <c r="G768" s="42" t="str">
        <f>IF(Agent04_Withdrawals!A175="","",Agent04_Withdrawals!E175)</f>
        <v/>
      </c>
      <c r="H768" s="42" t="str">
        <f>IF(Agent04_Withdrawals!A175="","",Agent04_Withdrawals!G175)</f>
        <v/>
      </c>
      <c r="I768" s="40" t="str">
        <f>IF(Agent04_Withdrawals!A175="","",Agent04_Withdrawals!H175)</f>
        <v/>
      </c>
      <c r="J768" s="40" t="str">
        <f>IF(Agent04_Withdrawals!A175="","",Agent04_Withdrawals!J175)</f>
        <v/>
      </c>
      <c r="K768" s="40" t="str">
        <f>IF(Agent04_Withdrawals!A175="","",Agent04_Withdrawals!K175)</f>
        <v/>
      </c>
      <c r="L768" s="40" t="str">
        <f>IF(G768="","",IF(D768-G768&gt;=System_Config!$B$9,"✅ OK","⚠️ BREACH"))</f>
        <v/>
      </c>
      <c r="M768" s="40" t="str">
        <f>IFERROR(IF(Agent04_Withdrawals!A175="","",YEAR(Agent04_Withdrawals!D175)),"")</f>
        <v/>
      </c>
    </row>
    <row r="769" spans="1:13" ht="18" customHeight="1" x14ac:dyDescent="0.25">
      <c r="A769" s="40" t="str">
        <f>IF(Agent04_Withdrawals!A176="","",Agent04_Withdrawals!A176)</f>
        <v/>
      </c>
      <c r="B769" s="40" t="str">
        <f ca="1">IF(Agent04_Withdrawals!A176="","","WD"&amp;TEXT(769-3,"0000")&amp;"-"&amp;TEXT(TODAY(),"YYYYMMDD"))</f>
        <v/>
      </c>
      <c r="C769" s="40" t="str">
        <f>IF(Agent04_Withdrawals!A176="","",Agent04_Withdrawals!B176)</f>
        <v/>
      </c>
      <c r="D769" s="43" t="str">
        <f>IF(Agent04_Withdrawals!A176="","",Agent04_Withdrawals!C176)</f>
        <v/>
      </c>
      <c r="E769" s="41" t="str">
        <f>IF(Agent04_Withdrawals!A176="","",Agent04_Withdrawals!D176)</f>
        <v/>
      </c>
      <c r="F769" s="40" t="str">
        <f>IF(Agent04_Withdrawals!A176="","",Agent04_Withdrawals!F176)</f>
        <v/>
      </c>
      <c r="G769" s="42" t="str">
        <f>IF(Agent04_Withdrawals!A176="","",Agent04_Withdrawals!E176)</f>
        <v/>
      </c>
      <c r="H769" s="42" t="str">
        <f>IF(Agent04_Withdrawals!A176="","",Agent04_Withdrawals!G176)</f>
        <v/>
      </c>
      <c r="I769" s="40" t="str">
        <f>IF(Agent04_Withdrawals!A176="","",Agent04_Withdrawals!H176)</f>
        <v/>
      </c>
      <c r="J769" s="40" t="str">
        <f>IF(Agent04_Withdrawals!A176="","",Agent04_Withdrawals!J176)</f>
        <v/>
      </c>
      <c r="K769" s="40" t="str">
        <f>IF(Agent04_Withdrawals!A176="","",Agent04_Withdrawals!K176)</f>
        <v/>
      </c>
      <c r="L769" s="40" t="str">
        <f>IF(G769="","",IF(D769-G769&gt;=System_Config!$B$9,"✅ OK","⚠️ BREACH"))</f>
        <v/>
      </c>
      <c r="M769" s="40" t="str">
        <f>IFERROR(IF(Agent04_Withdrawals!A176="","",YEAR(Agent04_Withdrawals!D176)),"")</f>
        <v/>
      </c>
    </row>
    <row r="770" spans="1:13" ht="18" customHeight="1" x14ac:dyDescent="0.25">
      <c r="A770" s="40" t="str">
        <f>IF(Agent04_Withdrawals!A177="","",Agent04_Withdrawals!A177)</f>
        <v/>
      </c>
      <c r="B770" s="40" t="str">
        <f ca="1">IF(Agent04_Withdrawals!A177="","","WD"&amp;TEXT(770-3,"0000")&amp;"-"&amp;TEXT(TODAY(),"YYYYMMDD"))</f>
        <v/>
      </c>
      <c r="C770" s="40" t="str">
        <f>IF(Agent04_Withdrawals!A177="","",Agent04_Withdrawals!B177)</f>
        <v/>
      </c>
      <c r="D770" s="43" t="str">
        <f>IF(Agent04_Withdrawals!A177="","",Agent04_Withdrawals!C177)</f>
        <v/>
      </c>
      <c r="E770" s="41" t="str">
        <f>IF(Agent04_Withdrawals!A177="","",Agent04_Withdrawals!D177)</f>
        <v/>
      </c>
      <c r="F770" s="40" t="str">
        <f>IF(Agent04_Withdrawals!A177="","",Agent04_Withdrawals!F177)</f>
        <v/>
      </c>
      <c r="G770" s="42" t="str">
        <f>IF(Agent04_Withdrawals!A177="","",Agent04_Withdrawals!E177)</f>
        <v/>
      </c>
      <c r="H770" s="42" t="str">
        <f>IF(Agent04_Withdrawals!A177="","",Agent04_Withdrawals!G177)</f>
        <v/>
      </c>
      <c r="I770" s="40" t="str">
        <f>IF(Agent04_Withdrawals!A177="","",Agent04_Withdrawals!H177)</f>
        <v/>
      </c>
      <c r="J770" s="40" t="str">
        <f>IF(Agent04_Withdrawals!A177="","",Agent04_Withdrawals!J177)</f>
        <v/>
      </c>
      <c r="K770" s="40" t="str">
        <f>IF(Agent04_Withdrawals!A177="","",Agent04_Withdrawals!K177)</f>
        <v/>
      </c>
      <c r="L770" s="40" t="str">
        <f>IF(G770="","",IF(D770-G770&gt;=System_Config!$B$9,"✅ OK","⚠️ BREACH"))</f>
        <v/>
      </c>
      <c r="M770" s="40" t="str">
        <f>IFERROR(IF(Agent04_Withdrawals!A177="","",YEAR(Agent04_Withdrawals!D177)),"")</f>
        <v/>
      </c>
    </row>
    <row r="771" spans="1:13" ht="18" customHeight="1" x14ac:dyDescent="0.25">
      <c r="A771" s="40" t="str">
        <f>IF(Agent04_Withdrawals!A178="","",Agent04_Withdrawals!A178)</f>
        <v/>
      </c>
      <c r="B771" s="40" t="str">
        <f ca="1">IF(Agent04_Withdrawals!A178="","","WD"&amp;TEXT(771-3,"0000")&amp;"-"&amp;TEXT(TODAY(),"YYYYMMDD"))</f>
        <v/>
      </c>
      <c r="C771" s="40" t="str">
        <f>IF(Agent04_Withdrawals!A178="","",Agent04_Withdrawals!B178)</f>
        <v/>
      </c>
      <c r="D771" s="43" t="str">
        <f>IF(Agent04_Withdrawals!A178="","",Agent04_Withdrawals!C178)</f>
        <v/>
      </c>
      <c r="E771" s="41" t="str">
        <f>IF(Agent04_Withdrawals!A178="","",Agent04_Withdrawals!D178)</f>
        <v/>
      </c>
      <c r="F771" s="40" t="str">
        <f>IF(Agent04_Withdrawals!A178="","",Agent04_Withdrawals!F178)</f>
        <v/>
      </c>
      <c r="G771" s="42" t="str">
        <f>IF(Agent04_Withdrawals!A178="","",Agent04_Withdrawals!E178)</f>
        <v/>
      </c>
      <c r="H771" s="42" t="str">
        <f>IF(Agent04_Withdrawals!A178="","",Agent04_Withdrawals!G178)</f>
        <v/>
      </c>
      <c r="I771" s="40" t="str">
        <f>IF(Agent04_Withdrawals!A178="","",Agent04_Withdrawals!H178)</f>
        <v/>
      </c>
      <c r="J771" s="40" t="str">
        <f>IF(Agent04_Withdrawals!A178="","",Agent04_Withdrawals!J178)</f>
        <v/>
      </c>
      <c r="K771" s="40" t="str">
        <f>IF(Agent04_Withdrawals!A178="","",Agent04_Withdrawals!K178)</f>
        <v/>
      </c>
      <c r="L771" s="40" t="str">
        <f>IF(G771="","",IF(D771-G771&gt;=System_Config!$B$9,"✅ OK","⚠️ BREACH"))</f>
        <v/>
      </c>
      <c r="M771" s="40" t="str">
        <f>IFERROR(IF(Agent04_Withdrawals!A178="","",YEAR(Agent04_Withdrawals!D178)),"")</f>
        <v/>
      </c>
    </row>
    <row r="772" spans="1:13" ht="18" customHeight="1" x14ac:dyDescent="0.25">
      <c r="A772" s="40" t="str">
        <f>IF(Agent04_Withdrawals!A179="","",Agent04_Withdrawals!A179)</f>
        <v/>
      </c>
      <c r="B772" s="40" t="str">
        <f ca="1">IF(Agent04_Withdrawals!A179="","","WD"&amp;TEXT(772-3,"0000")&amp;"-"&amp;TEXT(TODAY(),"YYYYMMDD"))</f>
        <v/>
      </c>
      <c r="C772" s="40" t="str">
        <f>IF(Agent04_Withdrawals!A179="","",Agent04_Withdrawals!B179)</f>
        <v/>
      </c>
      <c r="D772" s="43" t="str">
        <f>IF(Agent04_Withdrawals!A179="","",Agent04_Withdrawals!C179)</f>
        <v/>
      </c>
      <c r="E772" s="41" t="str">
        <f>IF(Agent04_Withdrawals!A179="","",Agent04_Withdrawals!D179)</f>
        <v/>
      </c>
      <c r="F772" s="40" t="str">
        <f>IF(Agent04_Withdrawals!A179="","",Agent04_Withdrawals!F179)</f>
        <v/>
      </c>
      <c r="G772" s="42" t="str">
        <f>IF(Agent04_Withdrawals!A179="","",Agent04_Withdrawals!E179)</f>
        <v/>
      </c>
      <c r="H772" s="42" t="str">
        <f>IF(Agent04_Withdrawals!A179="","",Agent04_Withdrawals!G179)</f>
        <v/>
      </c>
      <c r="I772" s="40" t="str">
        <f>IF(Agent04_Withdrawals!A179="","",Agent04_Withdrawals!H179)</f>
        <v/>
      </c>
      <c r="J772" s="40" t="str">
        <f>IF(Agent04_Withdrawals!A179="","",Agent04_Withdrawals!J179)</f>
        <v/>
      </c>
      <c r="K772" s="40" t="str">
        <f>IF(Agent04_Withdrawals!A179="","",Agent04_Withdrawals!K179)</f>
        <v/>
      </c>
      <c r="L772" s="40" t="str">
        <f>IF(G772="","",IF(D772-G772&gt;=System_Config!$B$9,"✅ OK","⚠️ BREACH"))</f>
        <v/>
      </c>
      <c r="M772" s="40" t="str">
        <f>IFERROR(IF(Agent04_Withdrawals!A179="","",YEAR(Agent04_Withdrawals!D179)),"")</f>
        <v/>
      </c>
    </row>
    <row r="773" spans="1:13" ht="18" customHeight="1" x14ac:dyDescent="0.25">
      <c r="A773" s="40" t="str">
        <f>IF(Agent04_Withdrawals!A180="","",Agent04_Withdrawals!A180)</f>
        <v/>
      </c>
      <c r="B773" s="40" t="str">
        <f ca="1">IF(Agent04_Withdrawals!A180="","","WD"&amp;TEXT(773-3,"0000")&amp;"-"&amp;TEXT(TODAY(),"YYYYMMDD"))</f>
        <v/>
      </c>
      <c r="C773" s="40" t="str">
        <f>IF(Agent04_Withdrawals!A180="","",Agent04_Withdrawals!B180)</f>
        <v/>
      </c>
      <c r="D773" s="43" t="str">
        <f>IF(Agent04_Withdrawals!A180="","",Agent04_Withdrawals!C180)</f>
        <v/>
      </c>
      <c r="E773" s="41" t="str">
        <f>IF(Agent04_Withdrawals!A180="","",Agent04_Withdrawals!D180)</f>
        <v/>
      </c>
      <c r="F773" s="40" t="str">
        <f>IF(Agent04_Withdrawals!A180="","",Agent04_Withdrawals!F180)</f>
        <v/>
      </c>
      <c r="G773" s="42" t="str">
        <f>IF(Agent04_Withdrawals!A180="","",Agent04_Withdrawals!E180)</f>
        <v/>
      </c>
      <c r="H773" s="42" t="str">
        <f>IF(Agent04_Withdrawals!A180="","",Agent04_Withdrawals!G180)</f>
        <v/>
      </c>
      <c r="I773" s="40" t="str">
        <f>IF(Agent04_Withdrawals!A180="","",Agent04_Withdrawals!H180)</f>
        <v/>
      </c>
      <c r="J773" s="40" t="str">
        <f>IF(Agent04_Withdrawals!A180="","",Agent04_Withdrawals!J180)</f>
        <v/>
      </c>
      <c r="K773" s="40" t="str">
        <f>IF(Agent04_Withdrawals!A180="","",Agent04_Withdrawals!K180)</f>
        <v/>
      </c>
      <c r="L773" s="40" t="str">
        <f>IF(G773="","",IF(D773-G773&gt;=System_Config!$B$9,"✅ OK","⚠️ BREACH"))</f>
        <v/>
      </c>
      <c r="M773" s="40" t="str">
        <f>IFERROR(IF(Agent04_Withdrawals!A180="","",YEAR(Agent04_Withdrawals!D180)),"")</f>
        <v/>
      </c>
    </row>
    <row r="774" spans="1:13" ht="18" customHeight="1" x14ac:dyDescent="0.25">
      <c r="A774" s="40" t="str">
        <f>IF(Agent04_Withdrawals!A181="","",Agent04_Withdrawals!A181)</f>
        <v/>
      </c>
      <c r="B774" s="40" t="str">
        <f ca="1">IF(Agent04_Withdrawals!A181="","","WD"&amp;TEXT(774-3,"0000")&amp;"-"&amp;TEXT(TODAY(),"YYYYMMDD"))</f>
        <v/>
      </c>
      <c r="C774" s="40" t="str">
        <f>IF(Agent04_Withdrawals!A181="","",Agent04_Withdrawals!B181)</f>
        <v/>
      </c>
      <c r="D774" s="43" t="str">
        <f>IF(Agent04_Withdrawals!A181="","",Agent04_Withdrawals!C181)</f>
        <v/>
      </c>
      <c r="E774" s="41" t="str">
        <f>IF(Agent04_Withdrawals!A181="","",Agent04_Withdrawals!D181)</f>
        <v/>
      </c>
      <c r="F774" s="40" t="str">
        <f>IF(Agent04_Withdrawals!A181="","",Agent04_Withdrawals!F181)</f>
        <v/>
      </c>
      <c r="G774" s="42" t="str">
        <f>IF(Agent04_Withdrawals!A181="","",Agent04_Withdrawals!E181)</f>
        <v/>
      </c>
      <c r="H774" s="42" t="str">
        <f>IF(Agent04_Withdrawals!A181="","",Agent04_Withdrawals!G181)</f>
        <v/>
      </c>
      <c r="I774" s="40" t="str">
        <f>IF(Agent04_Withdrawals!A181="","",Agent04_Withdrawals!H181)</f>
        <v/>
      </c>
      <c r="J774" s="40" t="str">
        <f>IF(Agent04_Withdrawals!A181="","",Agent04_Withdrawals!J181)</f>
        <v/>
      </c>
      <c r="K774" s="40" t="str">
        <f>IF(Agent04_Withdrawals!A181="","",Agent04_Withdrawals!K181)</f>
        <v/>
      </c>
      <c r="L774" s="40" t="str">
        <f>IF(G774="","",IF(D774-G774&gt;=System_Config!$B$9,"✅ OK","⚠️ BREACH"))</f>
        <v/>
      </c>
      <c r="M774" s="40" t="str">
        <f>IFERROR(IF(Agent04_Withdrawals!A181="","",YEAR(Agent04_Withdrawals!D181)),"")</f>
        <v/>
      </c>
    </row>
    <row r="775" spans="1:13" ht="18" customHeight="1" x14ac:dyDescent="0.25">
      <c r="A775" s="40" t="str">
        <f>IF(Agent04_Withdrawals!A182="","",Agent04_Withdrawals!A182)</f>
        <v/>
      </c>
      <c r="B775" s="40" t="str">
        <f ca="1">IF(Agent04_Withdrawals!A182="","","WD"&amp;TEXT(775-3,"0000")&amp;"-"&amp;TEXT(TODAY(),"YYYYMMDD"))</f>
        <v/>
      </c>
      <c r="C775" s="40" t="str">
        <f>IF(Agent04_Withdrawals!A182="","",Agent04_Withdrawals!B182)</f>
        <v/>
      </c>
      <c r="D775" s="43" t="str">
        <f>IF(Agent04_Withdrawals!A182="","",Agent04_Withdrawals!C182)</f>
        <v/>
      </c>
      <c r="E775" s="41" t="str">
        <f>IF(Agent04_Withdrawals!A182="","",Agent04_Withdrawals!D182)</f>
        <v/>
      </c>
      <c r="F775" s="40" t="str">
        <f>IF(Agent04_Withdrawals!A182="","",Agent04_Withdrawals!F182)</f>
        <v/>
      </c>
      <c r="G775" s="42" t="str">
        <f>IF(Agent04_Withdrawals!A182="","",Agent04_Withdrawals!E182)</f>
        <v/>
      </c>
      <c r="H775" s="42" t="str">
        <f>IF(Agent04_Withdrawals!A182="","",Agent04_Withdrawals!G182)</f>
        <v/>
      </c>
      <c r="I775" s="40" t="str">
        <f>IF(Agent04_Withdrawals!A182="","",Agent04_Withdrawals!H182)</f>
        <v/>
      </c>
      <c r="J775" s="40" t="str">
        <f>IF(Agent04_Withdrawals!A182="","",Agent04_Withdrawals!J182)</f>
        <v/>
      </c>
      <c r="K775" s="40" t="str">
        <f>IF(Agent04_Withdrawals!A182="","",Agent04_Withdrawals!K182)</f>
        <v/>
      </c>
      <c r="L775" s="40" t="str">
        <f>IF(G775="","",IF(D775-G775&gt;=System_Config!$B$9,"✅ OK","⚠️ BREACH"))</f>
        <v/>
      </c>
      <c r="M775" s="40" t="str">
        <f>IFERROR(IF(Agent04_Withdrawals!A182="","",YEAR(Agent04_Withdrawals!D182)),"")</f>
        <v/>
      </c>
    </row>
    <row r="776" spans="1:13" ht="18" customHeight="1" x14ac:dyDescent="0.25">
      <c r="A776" s="40" t="str">
        <f>IF(Agent04_Withdrawals!A183="","",Agent04_Withdrawals!A183)</f>
        <v/>
      </c>
      <c r="B776" s="40" t="str">
        <f ca="1">IF(Agent04_Withdrawals!A183="","","WD"&amp;TEXT(776-3,"0000")&amp;"-"&amp;TEXT(TODAY(),"YYYYMMDD"))</f>
        <v/>
      </c>
      <c r="C776" s="40" t="str">
        <f>IF(Agent04_Withdrawals!A183="","",Agent04_Withdrawals!B183)</f>
        <v/>
      </c>
      <c r="D776" s="43" t="str">
        <f>IF(Agent04_Withdrawals!A183="","",Agent04_Withdrawals!C183)</f>
        <v/>
      </c>
      <c r="E776" s="41" t="str">
        <f>IF(Agent04_Withdrawals!A183="","",Agent04_Withdrawals!D183)</f>
        <v/>
      </c>
      <c r="F776" s="40" t="str">
        <f>IF(Agent04_Withdrawals!A183="","",Agent04_Withdrawals!F183)</f>
        <v/>
      </c>
      <c r="G776" s="42" t="str">
        <f>IF(Agent04_Withdrawals!A183="","",Agent04_Withdrawals!E183)</f>
        <v/>
      </c>
      <c r="H776" s="42" t="str">
        <f>IF(Agent04_Withdrawals!A183="","",Agent04_Withdrawals!G183)</f>
        <v/>
      </c>
      <c r="I776" s="40" t="str">
        <f>IF(Agent04_Withdrawals!A183="","",Agent04_Withdrawals!H183)</f>
        <v/>
      </c>
      <c r="J776" s="40" t="str">
        <f>IF(Agent04_Withdrawals!A183="","",Agent04_Withdrawals!J183)</f>
        <v/>
      </c>
      <c r="K776" s="40" t="str">
        <f>IF(Agent04_Withdrawals!A183="","",Agent04_Withdrawals!K183)</f>
        <v/>
      </c>
      <c r="L776" s="40" t="str">
        <f>IF(G776="","",IF(D776-G776&gt;=System_Config!$B$9,"✅ OK","⚠️ BREACH"))</f>
        <v/>
      </c>
      <c r="M776" s="40" t="str">
        <f>IFERROR(IF(Agent04_Withdrawals!A183="","",YEAR(Agent04_Withdrawals!D183)),"")</f>
        <v/>
      </c>
    </row>
    <row r="777" spans="1:13" ht="18" customHeight="1" x14ac:dyDescent="0.25">
      <c r="A777" s="40" t="str">
        <f>IF(Agent04_Withdrawals!A184="","",Agent04_Withdrawals!A184)</f>
        <v/>
      </c>
      <c r="B777" s="40" t="str">
        <f ca="1">IF(Agent04_Withdrawals!A184="","","WD"&amp;TEXT(777-3,"0000")&amp;"-"&amp;TEXT(TODAY(),"YYYYMMDD"))</f>
        <v/>
      </c>
      <c r="C777" s="40" t="str">
        <f>IF(Agent04_Withdrawals!A184="","",Agent04_Withdrawals!B184)</f>
        <v/>
      </c>
      <c r="D777" s="43" t="str">
        <f>IF(Agent04_Withdrawals!A184="","",Agent04_Withdrawals!C184)</f>
        <v/>
      </c>
      <c r="E777" s="41" t="str">
        <f>IF(Agent04_Withdrawals!A184="","",Agent04_Withdrawals!D184)</f>
        <v/>
      </c>
      <c r="F777" s="40" t="str">
        <f>IF(Agent04_Withdrawals!A184="","",Agent04_Withdrawals!F184)</f>
        <v/>
      </c>
      <c r="G777" s="42" t="str">
        <f>IF(Agent04_Withdrawals!A184="","",Agent04_Withdrawals!E184)</f>
        <v/>
      </c>
      <c r="H777" s="42" t="str">
        <f>IF(Agent04_Withdrawals!A184="","",Agent04_Withdrawals!G184)</f>
        <v/>
      </c>
      <c r="I777" s="40" t="str">
        <f>IF(Agent04_Withdrawals!A184="","",Agent04_Withdrawals!H184)</f>
        <v/>
      </c>
      <c r="J777" s="40" t="str">
        <f>IF(Agent04_Withdrawals!A184="","",Agent04_Withdrawals!J184)</f>
        <v/>
      </c>
      <c r="K777" s="40" t="str">
        <f>IF(Agent04_Withdrawals!A184="","",Agent04_Withdrawals!K184)</f>
        <v/>
      </c>
      <c r="L777" s="40" t="str">
        <f>IF(G777="","",IF(D777-G777&gt;=System_Config!$B$9,"✅ OK","⚠️ BREACH"))</f>
        <v/>
      </c>
      <c r="M777" s="40" t="str">
        <f>IFERROR(IF(Agent04_Withdrawals!A184="","",YEAR(Agent04_Withdrawals!D184)),"")</f>
        <v/>
      </c>
    </row>
    <row r="778" spans="1:13" ht="18" customHeight="1" x14ac:dyDescent="0.25">
      <c r="A778" s="40" t="str">
        <f>IF(Agent04_Withdrawals!A185="","",Agent04_Withdrawals!A185)</f>
        <v/>
      </c>
      <c r="B778" s="40" t="str">
        <f ca="1">IF(Agent04_Withdrawals!A185="","","WD"&amp;TEXT(778-3,"0000")&amp;"-"&amp;TEXT(TODAY(),"YYYYMMDD"))</f>
        <v/>
      </c>
      <c r="C778" s="40" t="str">
        <f>IF(Agent04_Withdrawals!A185="","",Agent04_Withdrawals!B185)</f>
        <v/>
      </c>
      <c r="D778" s="43" t="str">
        <f>IF(Agent04_Withdrawals!A185="","",Agent04_Withdrawals!C185)</f>
        <v/>
      </c>
      <c r="E778" s="41" t="str">
        <f>IF(Agent04_Withdrawals!A185="","",Agent04_Withdrawals!D185)</f>
        <v/>
      </c>
      <c r="F778" s="40" t="str">
        <f>IF(Agent04_Withdrawals!A185="","",Agent04_Withdrawals!F185)</f>
        <v/>
      </c>
      <c r="G778" s="42" t="str">
        <f>IF(Agent04_Withdrawals!A185="","",Agent04_Withdrawals!E185)</f>
        <v/>
      </c>
      <c r="H778" s="42" t="str">
        <f>IF(Agent04_Withdrawals!A185="","",Agent04_Withdrawals!G185)</f>
        <v/>
      </c>
      <c r="I778" s="40" t="str">
        <f>IF(Agent04_Withdrawals!A185="","",Agent04_Withdrawals!H185)</f>
        <v/>
      </c>
      <c r="J778" s="40" t="str">
        <f>IF(Agent04_Withdrawals!A185="","",Agent04_Withdrawals!J185)</f>
        <v/>
      </c>
      <c r="K778" s="40" t="str">
        <f>IF(Agent04_Withdrawals!A185="","",Agent04_Withdrawals!K185)</f>
        <v/>
      </c>
      <c r="L778" s="40" t="str">
        <f>IF(G778="","",IF(D778-G778&gt;=System_Config!$B$9,"✅ OK","⚠️ BREACH"))</f>
        <v/>
      </c>
      <c r="M778" s="40" t="str">
        <f>IFERROR(IF(Agent04_Withdrawals!A185="","",YEAR(Agent04_Withdrawals!D185)),"")</f>
        <v/>
      </c>
    </row>
    <row r="779" spans="1:13" ht="18" customHeight="1" x14ac:dyDescent="0.25">
      <c r="A779" s="40" t="str">
        <f>IF(Agent04_Withdrawals!A186="","",Agent04_Withdrawals!A186)</f>
        <v/>
      </c>
      <c r="B779" s="40" t="str">
        <f ca="1">IF(Agent04_Withdrawals!A186="","","WD"&amp;TEXT(779-3,"0000")&amp;"-"&amp;TEXT(TODAY(),"YYYYMMDD"))</f>
        <v/>
      </c>
      <c r="C779" s="40" t="str">
        <f>IF(Agent04_Withdrawals!A186="","",Agent04_Withdrawals!B186)</f>
        <v/>
      </c>
      <c r="D779" s="43" t="str">
        <f>IF(Agent04_Withdrawals!A186="","",Agent04_Withdrawals!C186)</f>
        <v/>
      </c>
      <c r="E779" s="41" t="str">
        <f>IF(Agent04_Withdrawals!A186="","",Agent04_Withdrawals!D186)</f>
        <v/>
      </c>
      <c r="F779" s="40" t="str">
        <f>IF(Agent04_Withdrawals!A186="","",Agent04_Withdrawals!F186)</f>
        <v/>
      </c>
      <c r="G779" s="42" t="str">
        <f>IF(Agent04_Withdrawals!A186="","",Agent04_Withdrawals!E186)</f>
        <v/>
      </c>
      <c r="H779" s="42" t="str">
        <f>IF(Agent04_Withdrawals!A186="","",Agent04_Withdrawals!G186)</f>
        <v/>
      </c>
      <c r="I779" s="40" t="str">
        <f>IF(Agent04_Withdrawals!A186="","",Agent04_Withdrawals!H186)</f>
        <v/>
      </c>
      <c r="J779" s="40" t="str">
        <f>IF(Agent04_Withdrawals!A186="","",Agent04_Withdrawals!J186)</f>
        <v/>
      </c>
      <c r="K779" s="40" t="str">
        <f>IF(Agent04_Withdrawals!A186="","",Agent04_Withdrawals!K186)</f>
        <v/>
      </c>
      <c r="L779" s="40" t="str">
        <f>IF(G779="","",IF(D779-G779&gt;=System_Config!$B$9,"✅ OK","⚠️ BREACH"))</f>
        <v/>
      </c>
      <c r="M779" s="40" t="str">
        <f>IFERROR(IF(Agent04_Withdrawals!A186="","",YEAR(Agent04_Withdrawals!D186)),"")</f>
        <v/>
      </c>
    </row>
    <row r="780" spans="1:13" ht="18" customHeight="1" x14ac:dyDescent="0.25">
      <c r="A780" s="40" t="str">
        <f>IF(Agent04_Withdrawals!A187="","",Agent04_Withdrawals!A187)</f>
        <v/>
      </c>
      <c r="B780" s="40" t="str">
        <f ca="1">IF(Agent04_Withdrawals!A187="","","WD"&amp;TEXT(780-3,"0000")&amp;"-"&amp;TEXT(TODAY(),"YYYYMMDD"))</f>
        <v/>
      </c>
      <c r="C780" s="40" t="str">
        <f>IF(Agent04_Withdrawals!A187="","",Agent04_Withdrawals!B187)</f>
        <v/>
      </c>
      <c r="D780" s="43" t="str">
        <f>IF(Agent04_Withdrawals!A187="","",Agent04_Withdrawals!C187)</f>
        <v/>
      </c>
      <c r="E780" s="41" t="str">
        <f>IF(Agent04_Withdrawals!A187="","",Agent04_Withdrawals!D187)</f>
        <v/>
      </c>
      <c r="F780" s="40" t="str">
        <f>IF(Agent04_Withdrawals!A187="","",Agent04_Withdrawals!F187)</f>
        <v/>
      </c>
      <c r="G780" s="42" t="str">
        <f>IF(Agent04_Withdrawals!A187="","",Agent04_Withdrawals!E187)</f>
        <v/>
      </c>
      <c r="H780" s="42" t="str">
        <f>IF(Agent04_Withdrawals!A187="","",Agent04_Withdrawals!G187)</f>
        <v/>
      </c>
      <c r="I780" s="40" t="str">
        <f>IF(Agent04_Withdrawals!A187="","",Agent04_Withdrawals!H187)</f>
        <v/>
      </c>
      <c r="J780" s="40" t="str">
        <f>IF(Agent04_Withdrawals!A187="","",Agent04_Withdrawals!J187)</f>
        <v/>
      </c>
      <c r="K780" s="40" t="str">
        <f>IF(Agent04_Withdrawals!A187="","",Agent04_Withdrawals!K187)</f>
        <v/>
      </c>
      <c r="L780" s="40" t="str">
        <f>IF(G780="","",IF(D780-G780&gt;=System_Config!$B$9,"✅ OK","⚠️ BREACH"))</f>
        <v/>
      </c>
      <c r="M780" s="40" t="str">
        <f>IFERROR(IF(Agent04_Withdrawals!A187="","",YEAR(Agent04_Withdrawals!D187)),"")</f>
        <v/>
      </c>
    </row>
    <row r="781" spans="1:13" ht="18" customHeight="1" x14ac:dyDescent="0.25">
      <c r="A781" s="40" t="str">
        <f>IF(Agent04_Withdrawals!A188="","",Agent04_Withdrawals!A188)</f>
        <v/>
      </c>
      <c r="B781" s="40" t="str">
        <f ca="1">IF(Agent04_Withdrawals!A188="","","WD"&amp;TEXT(781-3,"0000")&amp;"-"&amp;TEXT(TODAY(),"YYYYMMDD"))</f>
        <v/>
      </c>
      <c r="C781" s="40" t="str">
        <f>IF(Agent04_Withdrawals!A188="","",Agent04_Withdrawals!B188)</f>
        <v/>
      </c>
      <c r="D781" s="43" t="str">
        <f>IF(Agent04_Withdrawals!A188="","",Agent04_Withdrawals!C188)</f>
        <v/>
      </c>
      <c r="E781" s="41" t="str">
        <f>IF(Agent04_Withdrawals!A188="","",Agent04_Withdrawals!D188)</f>
        <v/>
      </c>
      <c r="F781" s="40" t="str">
        <f>IF(Agent04_Withdrawals!A188="","",Agent04_Withdrawals!F188)</f>
        <v/>
      </c>
      <c r="G781" s="42" t="str">
        <f>IF(Agent04_Withdrawals!A188="","",Agent04_Withdrawals!E188)</f>
        <v/>
      </c>
      <c r="H781" s="42" t="str">
        <f>IF(Agent04_Withdrawals!A188="","",Agent04_Withdrawals!G188)</f>
        <v/>
      </c>
      <c r="I781" s="40" t="str">
        <f>IF(Agent04_Withdrawals!A188="","",Agent04_Withdrawals!H188)</f>
        <v/>
      </c>
      <c r="J781" s="40" t="str">
        <f>IF(Agent04_Withdrawals!A188="","",Agent04_Withdrawals!J188)</f>
        <v/>
      </c>
      <c r="K781" s="40" t="str">
        <f>IF(Agent04_Withdrawals!A188="","",Agent04_Withdrawals!K188)</f>
        <v/>
      </c>
      <c r="L781" s="40" t="str">
        <f>IF(G781="","",IF(D781-G781&gt;=System_Config!$B$9,"✅ OK","⚠️ BREACH"))</f>
        <v/>
      </c>
      <c r="M781" s="40" t="str">
        <f>IFERROR(IF(Agent04_Withdrawals!A188="","",YEAR(Agent04_Withdrawals!D188)),"")</f>
        <v/>
      </c>
    </row>
    <row r="782" spans="1:13" ht="18" customHeight="1" x14ac:dyDescent="0.25">
      <c r="A782" s="40" t="str">
        <f>IF(Agent04_Withdrawals!A189="","",Agent04_Withdrawals!A189)</f>
        <v/>
      </c>
      <c r="B782" s="40" t="str">
        <f ca="1">IF(Agent04_Withdrawals!A189="","","WD"&amp;TEXT(782-3,"0000")&amp;"-"&amp;TEXT(TODAY(),"YYYYMMDD"))</f>
        <v/>
      </c>
      <c r="C782" s="40" t="str">
        <f>IF(Agent04_Withdrawals!A189="","",Agent04_Withdrawals!B189)</f>
        <v/>
      </c>
      <c r="D782" s="43" t="str">
        <f>IF(Agent04_Withdrawals!A189="","",Agent04_Withdrawals!C189)</f>
        <v/>
      </c>
      <c r="E782" s="41" t="str">
        <f>IF(Agent04_Withdrawals!A189="","",Agent04_Withdrawals!D189)</f>
        <v/>
      </c>
      <c r="F782" s="40" t="str">
        <f>IF(Agent04_Withdrawals!A189="","",Agent04_Withdrawals!F189)</f>
        <v/>
      </c>
      <c r="G782" s="42" t="str">
        <f>IF(Agent04_Withdrawals!A189="","",Agent04_Withdrawals!E189)</f>
        <v/>
      </c>
      <c r="H782" s="42" t="str">
        <f>IF(Agent04_Withdrawals!A189="","",Agent04_Withdrawals!G189)</f>
        <v/>
      </c>
      <c r="I782" s="40" t="str">
        <f>IF(Agent04_Withdrawals!A189="","",Agent04_Withdrawals!H189)</f>
        <v/>
      </c>
      <c r="J782" s="40" t="str">
        <f>IF(Agent04_Withdrawals!A189="","",Agent04_Withdrawals!J189)</f>
        <v/>
      </c>
      <c r="K782" s="40" t="str">
        <f>IF(Agent04_Withdrawals!A189="","",Agent04_Withdrawals!K189)</f>
        <v/>
      </c>
      <c r="L782" s="40" t="str">
        <f>IF(G782="","",IF(D782-G782&gt;=System_Config!$B$9,"✅ OK","⚠️ BREACH"))</f>
        <v/>
      </c>
      <c r="M782" s="40" t="str">
        <f>IFERROR(IF(Agent04_Withdrawals!A189="","",YEAR(Agent04_Withdrawals!D189)),"")</f>
        <v/>
      </c>
    </row>
    <row r="783" spans="1:13" ht="18" customHeight="1" x14ac:dyDescent="0.25">
      <c r="A783" s="40" t="str">
        <f>IF(Agent04_Withdrawals!A190="","",Agent04_Withdrawals!A190)</f>
        <v/>
      </c>
      <c r="B783" s="40" t="str">
        <f ca="1">IF(Agent04_Withdrawals!A190="","","WD"&amp;TEXT(783-3,"0000")&amp;"-"&amp;TEXT(TODAY(),"YYYYMMDD"))</f>
        <v/>
      </c>
      <c r="C783" s="40" t="str">
        <f>IF(Agent04_Withdrawals!A190="","",Agent04_Withdrawals!B190)</f>
        <v/>
      </c>
      <c r="D783" s="43" t="str">
        <f>IF(Agent04_Withdrawals!A190="","",Agent04_Withdrawals!C190)</f>
        <v/>
      </c>
      <c r="E783" s="41" t="str">
        <f>IF(Agent04_Withdrawals!A190="","",Agent04_Withdrawals!D190)</f>
        <v/>
      </c>
      <c r="F783" s="40" t="str">
        <f>IF(Agent04_Withdrawals!A190="","",Agent04_Withdrawals!F190)</f>
        <v/>
      </c>
      <c r="G783" s="42" t="str">
        <f>IF(Agent04_Withdrawals!A190="","",Agent04_Withdrawals!E190)</f>
        <v/>
      </c>
      <c r="H783" s="42" t="str">
        <f>IF(Agent04_Withdrawals!A190="","",Agent04_Withdrawals!G190)</f>
        <v/>
      </c>
      <c r="I783" s="40" t="str">
        <f>IF(Agent04_Withdrawals!A190="","",Agent04_Withdrawals!H190)</f>
        <v/>
      </c>
      <c r="J783" s="40" t="str">
        <f>IF(Agent04_Withdrawals!A190="","",Agent04_Withdrawals!J190)</f>
        <v/>
      </c>
      <c r="K783" s="40" t="str">
        <f>IF(Agent04_Withdrawals!A190="","",Agent04_Withdrawals!K190)</f>
        <v/>
      </c>
      <c r="L783" s="40" t="str">
        <f>IF(G783="","",IF(D783-G783&gt;=System_Config!$B$9,"✅ OK","⚠️ BREACH"))</f>
        <v/>
      </c>
      <c r="M783" s="40" t="str">
        <f>IFERROR(IF(Agent04_Withdrawals!A190="","",YEAR(Agent04_Withdrawals!D190)),"")</f>
        <v/>
      </c>
    </row>
    <row r="784" spans="1:13" ht="18" customHeight="1" x14ac:dyDescent="0.25">
      <c r="A784" s="40" t="str">
        <f>IF(Agent04_Withdrawals!A191="","",Agent04_Withdrawals!A191)</f>
        <v/>
      </c>
      <c r="B784" s="40" t="str">
        <f ca="1">IF(Agent04_Withdrawals!A191="","","WD"&amp;TEXT(784-3,"0000")&amp;"-"&amp;TEXT(TODAY(),"YYYYMMDD"))</f>
        <v/>
      </c>
      <c r="C784" s="40" t="str">
        <f>IF(Agent04_Withdrawals!A191="","",Agent04_Withdrawals!B191)</f>
        <v/>
      </c>
      <c r="D784" s="43" t="str">
        <f>IF(Agent04_Withdrawals!A191="","",Agent04_Withdrawals!C191)</f>
        <v/>
      </c>
      <c r="E784" s="41" t="str">
        <f>IF(Agent04_Withdrawals!A191="","",Agent04_Withdrawals!D191)</f>
        <v/>
      </c>
      <c r="F784" s="40" t="str">
        <f>IF(Agent04_Withdrawals!A191="","",Agent04_Withdrawals!F191)</f>
        <v/>
      </c>
      <c r="G784" s="42" t="str">
        <f>IF(Agent04_Withdrawals!A191="","",Agent04_Withdrawals!E191)</f>
        <v/>
      </c>
      <c r="H784" s="42" t="str">
        <f>IF(Agent04_Withdrawals!A191="","",Agent04_Withdrawals!G191)</f>
        <v/>
      </c>
      <c r="I784" s="40" t="str">
        <f>IF(Agent04_Withdrawals!A191="","",Agent04_Withdrawals!H191)</f>
        <v/>
      </c>
      <c r="J784" s="40" t="str">
        <f>IF(Agent04_Withdrawals!A191="","",Agent04_Withdrawals!J191)</f>
        <v/>
      </c>
      <c r="K784" s="40" t="str">
        <f>IF(Agent04_Withdrawals!A191="","",Agent04_Withdrawals!K191)</f>
        <v/>
      </c>
      <c r="L784" s="40" t="str">
        <f>IF(G784="","",IF(D784-G784&gt;=System_Config!$B$9,"✅ OK","⚠️ BREACH"))</f>
        <v/>
      </c>
      <c r="M784" s="40" t="str">
        <f>IFERROR(IF(Agent04_Withdrawals!A191="","",YEAR(Agent04_Withdrawals!D191)),"")</f>
        <v/>
      </c>
    </row>
    <row r="785" spans="1:13" ht="18" customHeight="1" x14ac:dyDescent="0.25">
      <c r="A785" s="40" t="str">
        <f>IF(Agent04_Withdrawals!A192="","",Agent04_Withdrawals!A192)</f>
        <v/>
      </c>
      <c r="B785" s="40" t="str">
        <f ca="1">IF(Agent04_Withdrawals!A192="","","WD"&amp;TEXT(785-3,"0000")&amp;"-"&amp;TEXT(TODAY(),"YYYYMMDD"))</f>
        <v/>
      </c>
      <c r="C785" s="40" t="str">
        <f>IF(Agent04_Withdrawals!A192="","",Agent04_Withdrawals!B192)</f>
        <v/>
      </c>
      <c r="D785" s="43" t="str">
        <f>IF(Agent04_Withdrawals!A192="","",Agent04_Withdrawals!C192)</f>
        <v/>
      </c>
      <c r="E785" s="41" t="str">
        <f>IF(Agent04_Withdrawals!A192="","",Agent04_Withdrawals!D192)</f>
        <v/>
      </c>
      <c r="F785" s="40" t="str">
        <f>IF(Agent04_Withdrawals!A192="","",Agent04_Withdrawals!F192)</f>
        <v/>
      </c>
      <c r="G785" s="42" t="str">
        <f>IF(Agent04_Withdrawals!A192="","",Agent04_Withdrawals!E192)</f>
        <v/>
      </c>
      <c r="H785" s="42" t="str">
        <f>IF(Agent04_Withdrawals!A192="","",Agent04_Withdrawals!G192)</f>
        <v/>
      </c>
      <c r="I785" s="40" t="str">
        <f>IF(Agent04_Withdrawals!A192="","",Agent04_Withdrawals!H192)</f>
        <v/>
      </c>
      <c r="J785" s="40" t="str">
        <f>IF(Agent04_Withdrawals!A192="","",Agent04_Withdrawals!J192)</f>
        <v/>
      </c>
      <c r="K785" s="40" t="str">
        <f>IF(Agent04_Withdrawals!A192="","",Agent04_Withdrawals!K192)</f>
        <v/>
      </c>
      <c r="L785" s="40" t="str">
        <f>IF(G785="","",IF(D785-G785&gt;=System_Config!$B$9,"✅ OK","⚠️ BREACH"))</f>
        <v/>
      </c>
      <c r="M785" s="40" t="str">
        <f>IFERROR(IF(Agent04_Withdrawals!A192="","",YEAR(Agent04_Withdrawals!D192)),"")</f>
        <v/>
      </c>
    </row>
    <row r="786" spans="1:13" ht="18" customHeight="1" x14ac:dyDescent="0.25">
      <c r="A786" s="40" t="str">
        <f>IF(Agent04_Withdrawals!A193="","",Agent04_Withdrawals!A193)</f>
        <v/>
      </c>
      <c r="B786" s="40" t="str">
        <f ca="1">IF(Agent04_Withdrawals!A193="","","WD"&amp;TEXT(786-3,"0000")&amp;"-"&amp;TEXT(TODAY(),"YYYYMMDD"))</f>
        <v/>
      </c>
      <c r="C786" s="40" t="str">
        <f>IF(Agent04_Withdrawals!A193="","",Agent04_Withdrawals!B193)</f>
        <v/>
      </c>
      <c r="D786" s="43" t="str">
        <f>IF(Agent04_Withdrawals!A193="","",Agent04_Withdrawals!C193)</f>
        <v/>
      </c>
      <c r="E786" s="41" t="str">
        <f>IF(Agent04_Withdrawals!A193="","",Agent04_Withdrawals!D193)</f>
        <v/>
      </c>
      <c r="F786" s="40" t="str">
        <f>IF(Agent04_Withdrawals!A193="","",Agent04_Withdrawals!F193)</f>
        <v/>
      </c>
      <c r="G786" s="42" t="str">
        <f>IF(Agent04_Withdrawals!A193="","",Agent04_Withdrawals!E193)</f>
        <v/>
      </c>
      <c r="H786" s="42" t="str">
        <f>IF(Agent04_Withdrawals!A193="","",Agent04_Withdrawals!G193)</f>
        <v/>
      </c>
      <c r="I786" s="40" t="str">
        <f>IF(Agent04_Withdrawals!A193="","",Agent04_Withdrawals!H193)</f>
        <v/>
      </c>
      <c r="J786" s="40" t="str">
        <f>IF(Agent04_Withdrawals!A193="","",Agent04_Withdrawals!J193)</f>
        <v/>
      </c>
      <c r="K786" s="40" t="str">
        <f>IF(Agent04_Withdrawals!A193="","",Agent04_Withdrawals!K193)</f>
        <v/>
      </c>
      <c r="L786" s="40" t="str">
        <f>IF(G786="","",IF(D786-G786&gt;=System_Config!$B$9,"✅ OK","⚠️ BREACH"))</f>
        <v/>
      </c>
      <c r="M786" s="40" t="str">
        <f>IFERROR(IF(Agent04_Withdrawals!A193="","",YEAR(Agent04_Withdrawals!D193)),"")</f>
        <v/>
      </c>
    </row>
    <row r="787" spans="1:13" ht="18" customHeight="1" x14ac:dyDescent="0.25">
      <c r="A787" s="40" t="str">
        <f>IF(Agent04_Withdrawals!A194="","",Agent04_Withdrawals!A194)</f>
        <v/>
      </c>
      <c r="B787" s="40" t="str">
        <f ca="1">IF(Agent04_Withdrawals!A194="","","WD"&amp;TEXT(787-3,"0000")&amp;"-"&amp;TEXT(TODAY(),"YYYYMMDD"))</f>
        <v/>
      </c>
      <c r="C787" s="40" t="str">
        <f>IF(Agent04_Withdrawals!A194="","",Agent04_Withdrawals!B194)</f>
        <v/>
      </c>
      <c r="D787" s="43" t="str">
        <f>IF(Agent04_Withdrawals!A194="","",Agent04_Withdrawals!C194)</f>
        <v/>
      </c>
      <c r="E787" s="41" t="str">
        <f>IF(Agent04_Withdrawals!A194="","",Agent04_Withdrawals!D194)</f>
        <v/>
      </c>
      <c r="F787" s="40" t="str">
        <f>IF(Agent04_Withdrawals!A194="","",Agent04_Withdrawals!F194)</f>
        <v/>
      </c>
      <c r="G787" s="42" t="str">
        <f>IF(Agent04_Withdrawals!A194="","",Agent04_Withdrawals!E194)</f>
        <v/>
      </c>
      <c r="H787" s="42" t="str">
        <f>IF(Agent04_Withdrawals!A194="","",Agent04_Withdrawals!G194)</f>
        <v/>
      </c>
      <c r="I787" s="40" t="str">
        <f>IF(Agent04_Withdrawals!A194="","",Agent04_Withdrawals!H194)</f>
        <v/>
      </c>
      <c r="J787" s="40" t="str">
        <f>IF(Agent04_Withdrawals!A194="","",Agent04_Withdrawals!J194)</f>
        <v/>
      </c>
      <c r="K787" s="40" t="str">
        <f>IF(Agent04_Withdrawals!A194="","",Agent04_Withdrawals!K194)</f>
        <v/>
      </c>
      <c r="L787" s="40" t="str">
        <f>IF(G787="","",IF(D787-G787&gt;=System_Config!$B$9,"✅ OK","⚠️ BREACH"))</f>
        <v/>
      </c>
      <c r="M787" s="40" t="str">
        <f>IFERROR(IF(Agent04_Withdrawals!A194="","",YEAR(Agent04_Withdrawals!D194)),"")</f>
        <v/>
      </c>
    </row>
    <row r="788" spans="1:13" ht="18" customHeight="1" x14ac:dyDescent="0.25">
      <c r="A788" s="40" t="str">
        <f>IF(Agent04_Withdrawals!A195="","",Agent04_Withdrawals!A195)</f>
        <v/>
      </c>
      <c r="B788" s="40" t="str">
        <f ca="1">IF(Agent04_Withdrawals!A195="","","WD"&amp;TEXT(788-3,"0000")&amp;"-"&amp;TEXT(TODAY(),"YYYYMMDD"))</f>
        <v/>
      </c>
      <c r="C788" s="40" t="str">
        <f>IF(Agent04_Withdrawals!A195="","",Agent04_Withdrawals!B195)</f>
        <v/>
      </c>
      <c r="D788" s="43" t="str">
        <f>IF(Agent04_Withdrawals!A195="","",Agent04_Withdrawals!C195)</f>
        <v/>
      </c>
      <c r="E788" s="41" t="str">
        <f>IF(Agent04_Withdrawals!A195="","",Agent04_Withdrawals!D195)</f>
        <v/>
      </c>
      <c r="F788" s="40" t="str">
        <f>IF(Agent04_Withdrawals!A195="","",Agent04_Withdrawals!F195)</f>
        <v/>
      </c>
      <c r="G788" s="42" t="str">
        <f>IF(Agent04_Withdrawals!A195="","",Agent04_Withdrawals!E195)</f>
        <v/>
      </c>
      <c r="H788" s="42" t="str">
        <f>IF(Agent04_Withdrawals!A195="","",Agent04_Withdrawals!G195)</f>
        <v/>
      </c>
      <c r="I788" s="40" t="str">
        <f>IF(Agent04_Withdrawals!A195="","",Agent04_Withdrawals!H195)</f>
        <v/>
      </c>
      <c r="J788" s="40" t="str">
        <f>IF(Agent04_Withdrawals!A195="","",Agent04_Withdrawals!J195)</f>
        <v/>
      </c>
      <c r="K788" s="40" t="str">
        <f>IF(Agent04_Withdrawals!A195="","",Agent04_Withdrawals!K195)</f>
        <v/>
      </c>
      <c r="L788" s="40" t="str">
        <f>IF(G788="","",IF(D788-G788&gt;=System_Config!$B$9,"✅ OK","⚠️ BREACH"))</f>
        <v/>
      </c>
      <c r="M788" s="40" t="str">
        <f>IFERROR(IF(Agent04_Withdrawals!A195="","",YEAR(Agent04_Withdrawals!D195)),"")</f>
        <v/>
      </c>
    </row>
    <row r="789" spans="1:13" ht="18" customHeight="1" x14ac:dyDescent="0.25">
      <c r="A789" s="40" t="str">
        <f>IF(Agent04_Withdrawals!A196="","",Agent04_Withdrawals!A196)</f>
        <v/>
      </c>
      <c r="B789" s="40" t="str">
        <f ca="1">IF(Agent04_Withdrawals!A196="","","WD"&amp;TEXT(789-3,"0000")&amp;"-"&amp;TEXT(TODAY(),"YYYYMMDD"))</f>
        <v/>
      </c>
      <c r="C789" s="40" t="str">
        <f>IF(Agent04_Withdrawals!A196="","",Agent04_Withdrawals!B196)</f>
        <v/>
      </c>
      <c r="D789" s="43" t="str">
        <f>IF(Agent04_Withdrawals!A196="","",Agent04_Withdrawals!C196)</f>
        <v/>
      </c>
      <c r="E789" s="41" t="str">
        <f>IF(Agent04_Withdrawals!A196="","",Agent04_Withdrawals!D196)</f>
        <v/>
      </c>
      <c r="F789" s="40" t="str">
        <f>IF(Agent04_Withdrawals!A196="","",Agent04_Withdrawals!F196)</f>
        <v/>
      </c>
      <c r="G789" s="42" t="str">
        <f>IF(Agent04_Withdrawals!A196="","",Agent04_Withdrawals!E196)</f>
        <v/>
      </c>
      <c r="H789" s="42" t="str">
        <f>IF(Agent04_Withdrawals!A196="","",Agent04_Withdrawals!G196)</f>
        <v/>
      </c>
      <c r="I789" s="40" t="str">
        <f>IF(Agent04_Withdrawals!A196="","",Agent04_Withdrawals!H196)</f>
        <v/>
      </c>
      <c r="J789" s="40" t="str">
        <f>IF(Agent04_Withdrawals!A196="","",Agent04_Withdrawals!J196)</f>
        <v/>
      </c>
      <c r="K789" s="40" t="str">
        <f>IF(Agent04_Withdrawals!A196="","",Agent04_Withdrawals!K196)</f>
        <v/>
      </c>
      <c r="L789" s="40" t="str">
        <f>IF(G789="","",IF(D789-G789&gt;=System_Config!$B$9,"✅ OK","⚠️ BREACH"))</f>
        <v/>
      </c>
      <c r="M789" s="40" t="str">
        <f>IFERROR(IF(Agent04_Withdrawals!A196="","",YEAR(Agent04_Withdrawals!D196)),"")</f>
        <v/>
      </c>
    </row>
    <row r="790" spans="1:13" ht="18" customHeight="1" x14ac:dyDescent="0.25">
      <c r="A790" s="40" t="str">
        <f>IF(Agent04_Withdrawals!A197="","",Agent04_Withdrawals!A197)</f>
        <v/>
      </c>
      <c r="B790" s="40" t="str">
        <f ca="1">IF(Agent04_Withdrawals!A197="","","WD"&amp;TEXT(790-3,"0000")&amp;"-"&amp;TEXT(TODAY(),"YYYYMMDD"))</f>
        <v/>
      </c>
      <c r="C790" s="40" t="str">
        <f>IF(Agent04_Withdrawals!A197="","",Agent04_Withdrawals!B197)</f>
        <v/>
      </c>
      <c r="D790" s="43" t="str">
        <f>IF(Agent04_Withdrawals!A197="","",Agent04_Withdrawals!C197)</f>
        <v/>
      </c>
      <c r="E790" s="41" t="str">
        <f>IF(Agent04_Withdrawals!A197="","",Agent04_Withdrawals!D197)</f>
        <v/>
      </c>
      <c r="F790" s="40" t="str">
        <f>IF(Agent04_Withdrawals!A197="","",Agent04_Withdrawals!F197)</f>
        <v/>
      </c>
      <c r="G790" s="42" t="str">
        <f>IF(Agent04_Withdrawals!A197="","",Agent04_Withdrawals!E197)</f>
        <v/>
      </c>
      <c r="H790" s="42" t="str">
        <f>IF(Agent04_Withdrawals!A197="","",Agent04_Withdrawals!G197)</f>
        <v/>
      </c>
      <c r="I790" s="40" t="str">
        <f>IF(Agent04_Withdrawals!A197="","",Agent04_Withdrawals!H197)</f>
        <v/>
      </c>
      <c r="J790" s="40" t="str">
        <f>IF(Agent04_Withdrawals!A197="","",Agent04_Withdrawals!J197)</f>
        <v/>
      </c>
      <c r="K790" s="40" t="str">
        <f>IF(Agent04_Withdrawals!A197="","",Agent04_Withdrawals!K197)</f>
        <v/>
      </c>
      <c r="L790" s="40" t="str">
        <f>IF(G790="","",IF(D790-G790&gt;=System_Config!$B$9,"✅ OK","⚠️ BREACH"))</f>
        <v/>
      </c>
      <c r="M790" s="40" t="str">
        <f>IFERROR(IF(Agent04_Withdrawals!A197="","",YEAR(Agent04_Withdrawals!D197)),"")</f>
        <v/>
      </c>
    </row>
    <row r="791" spans="1:13" ht="18" customHeight="1" x14ac:dyDescent="0.25">
      <c r="A791" s="40" t="str">
        <f>IF(Agent04_Withdrawals!A198="","",Agent04_Withdrawals!A198)</f>
        <v/>
      </c>
      <c r="B791" s="40" t="str">
        <f ca="1">IF(Agent04_Withdrawals!A198="","","WD"&amp;TEXT(791-3,"0000")&amp;"-"&amp;TEXT(TODAY(),"YYYYMMDD"))</f>
        <v/>
      </c>
      <c r="C791" s="40" t="str">
        <f>IF(Agent04_Withdrawals!A198="","",Agent04_Withdrawals!B198)</f>
        <v/>
      </c>
      <c r="D791" s="43" t="str">
        <f>IF(Agent04_Withdrawals!A198="","",Agent04_Withdrawals!C198)</f>
        <v/>
      </c>
      <c r="E791" s="41" t="str">
        <f>IF(Agent04_Withdrawals!A198="","",Agent04_Withdrawals!D198)</f>
        <v/>
      </c>
      <c r="F791" s="40" t="str">
        <f>IF(Agent04_Withdrawals!A198="","",Agent04_Withdrawals!F198)</f>
        <v/>
      </c>
      <c r="G791" s="42" t="str">
        <f>IF(Agent04_Withdrawals!A198="","",Agent04_Withdrawals!E198)</f>
        <v/>
      </c>
      <c r="H791" s="42" t="str">
        <f>IF(Agent04_Withdrawals!A198="","",Agent04_Withdrawals!G198)</f>
        <v/>
      </c>
      <c r="I791" s="40" t="str">
        <f>IF(Agent04_Withdrawals!A198="","",Agent04_Withdrawals!H198)</f>
        <v/>
      </c>
      <c r="J791" s="40" t="str">
        <f>IF(Agent04_Withdrawals!A198="","",Agent04_Withdrawals!J198)</f>
        <v/>
      </c>
      <c r="K791" s="40" t="str">
        <f>IF(Agent04_Withdrawals!A198="","",Agent04_Withdrawals!K198)</f>
        <v/>
      </c>
      <c r="L791" s="40" t="str">
        <f>IF(G791="","",IF(D791-G791&gt;=System_Config!$B$9,"✅ OK","⚠️ BREACH"))</f>
        <v/>
      </c>
      <c r="M791" s="40" t="str">
        <f>IFERROR(IF(Agent04_Withdrawals!A198="","",YEAR(Agent04_Withdrawals!D198)),"")</f>
        <v/>
      </c>
    </row>
    <row r="792" spans="1:13" ht="18" customHeight="1" x14ac:dyDescent="0.25">
      <c r="A792" s="40" t="str">
        <f>IF(Agent04_Withdrawals!A199="","",Agent04_Withdrawals!A199)</f>
        <v/>
      </c>
      <c r="B792" s="40" t="str">
        <f ca="1">IF(Agent04_Withdrawals!A199="","","WD"&amp;TEXT(792-3,"0000")&amp;"-"&amp;TEXT(TODAY(),"YYYYMMDD"))</f>
        <v/>
      </c>
      <c r="C792" s="40" t="str">
        <f>IF(Agent04_Withdrawals!A199="","",Agent04_Withdrawals!B199)</f>
        <v/>
      </c>
      <c r="D792" s="43" t="str">
        <f>IF(Agent04_Withdrawals!A199="","",Agent04_Withdrawals!C199)</f>
        <v/>
      </c>
      <c r="E792" s="41" t="str">
        <f>IF(Agent04_Withdrawals!A199="","",Agent04_Withdrawals!D199)</f>
        <v/>
      </c>
      <c r="F792" s="40" t="str">
        <f>IF(Agent04_Withdrawals!A199="","",Agent04_Withdrawals!F199)</f>
        <v/>
      </c>
      <c r="G792" s="42" t="str">
        <f>IF(Agent04_Withdrawals!A199="","",Agent04_Withdrawals!E199)</f>
        <v/>
      </c>
      <c r="H792" s="42" t="str">
        <f>IF(Agent04_Withdrawals!A199="","",Agent04_Withdrawals!G199)</f>
        <v/>
      </c>
      <c r="I792" s="40" t="str">
        <f>IF(Agent04_Withdrawals!A199="","",Agent04_Withdrawals!H199)</f>
        <v/>
      </c>
      <c r="J792" s="40" t="str">
        <f>IF(Agent04_Withdrawals!A199="","",Agent04_Withdrawals!J199)</f>
        <v/>
      </c>
      <c r="K792" s="40" t="str">
        <f>IF(Agent04_Withdrawals!A199="","",Agent04_Withdrawals!K199)</f>
        <v/>
      </c>
      <c r="L792" s="40" t="str">
        <f>IF(G792="","",IF(D792-G792&gt;=System_Config!$B$9,"✅ OK","⚠️ BREACH"))</f>
        <v/>
      </c>
      <c r="M792" s="40" t="str">
        <f>IFERROR(IF(Agent04_Withdrawals!A199="","",YEAR(Agent04_Withdrawals!D199)),"")</f>
        <v/>
      </c>
    </row>
    <row r="793" spans="1:13" ht="18" customHeight="1" x14ac:dyDescent="0.25">
      <c r="A793" s="40" t="str">
        <f>IF(Agent04_Withdrawals!A200="","",Agent04_Withdrawals!A200)</f>
        <v/>
      </c>
      <c r="B793" s="40" t="str">
        <f ca="1">IF(Agent04_Withdrawals!A200="","","WD"&amp;TEXT(793-3,"0000")&amp;"-"&amp;TEXT(TODAY(),"YYYYMMDD"))</f>
        <v/>
      </c>
      <c r="C793" s="40" t="str">
        <f>IF(Agent04_Withdrawals!A200="","",Agent04_Withdrawals!B200)</f>
        <v/>
      </c>
      <c r="D793" s="43" t="str">
        <f>IF(Agent04_Withdrawals!A200="","",Agent04_Withdrawals!C200)</f>
        <v/>
      </c>
      <c r="E793" s="41" t="str">
        <f>IF(Agent04_Withdrawals!A200="","",Agent04_Withdrawals!D200)</f>
        <v/>
      </c>
      <c r="F793" s="40" t="str">
        <f>IF(Agent04_Withdrawals!A200="","",Agent04_Withdrawals!F200)</f>
        <v/>
      </c>
      <c r="G793" s="42" t="str">
        <f>IF(Agent04_Withdrawals!A200="","",Agent04_Withdrawals!E200)</f>
        <v/>
      </c>
      <c r="H793" s="42" t="str">
        <f>IF(Agent04_Withdrawals!A200="","",Agent04_Withdrawals!G200)</f>
        <v/>
      </c>
      <c r="I793" s="40" t="str">
        <f>IF(Agent04_Withdrawals!A200="","",Agent04_Withdrawals!H200)</f>
        <v/>
      </c>
      <c r="J793" s="40" t="str">
        <f>IF(Agent04_Withdrawals!A200="","",Agent04_Withdrawals!J200)</f>
        <v/>
      </c>
      <c r="K793" s="40" t="str">
        <f>IF(Agent04_Withdrawals!A200="","",Agent04_Withdrawals!K200)</f>
        <v/>
      </c>
      <c r="L793" s="40" t="str">
        <f>IF(G793="","",IF(D793-G793&gt;=System_Config!$B$9,"✅ OK","⚠️ BREACH"))</f>
        <v/>
      </c>
      <c r="M793" s="40" t="str">
        <f>IFERROR(IF(Agent04_Withdrawals!A200="","",YEAR(Agent04_Withdrawals!D200)),"")</f>
        <v/>
      </c>
    </row>
    <row r="794" spans="1:13" ht="18" customHeight="1" x14ac:dyDescent="0.25">
      <c r="A794" s="40" t="str">
        <f>IF(Agent04_Withdrawals!A201="","",Agent04_Withdrawals!A201)</f>
        <v/>
      </c>
      <c r="B794" s="40" t="str">
        <f ca="1">IF(Agent04_Withdrawals!A201="","","WD"&amp;TEXT(794-3,"0000")&amp;"-"&amp;TEXT(TODAY(),"YYYYMMDD"))</f>
        <v/>
      </c>
      <c r="C794" s="40" t="str">
        <f>IF(Agent04_Withdrawals!A201="","",Agent04_Withdrawals!B201)</f>
        <v/>
      </c>
      <c r="D794" s="43" t="str">
        <f>IF(Agent04_Withdrawals!A201="","",Agent04_Withdrawals!C201)</f>
        <v/>
      </c>
      <c r="E794" s="41" t="str">
        <f>IF(Agent04_Withdrawals!A201="","",Agent04_Withdrawals!D201)</f>
        <v/>
      </c>
      <c r="F794" s="40" t="str">
        <f>IF(Agent04_Withdrawals!A201="","",Agent04_Withdrawals!F201)</f>
        <v/>
      </c>
      <c r="G794" s="42" t="str">
        <f>IF(Agent04_Withdrawals!A201="","",Agent04_Withdrawals!E201)</f>
        <v/>
      </c>
      <c r="H794" s="42" t="str">
        <f>IF(Agent04_Withdrawals!A201="","",Agent04_Withdrawals!G201)</f>
        <v/>
      </c>
      <c r="I794" s="40" t="str">
        <f>IF(Agent04_Withdrawals!A201="","",Agent04_Withdrawals!H201)</f>
        <v/>
      </c>
      <c r="J794" s="40" t="str">
        <f>IF(Agent04_Withdrawals!A201="","",Agent04_Withdrawals!J201)</f>
        <v/>
      </c>
      <c r="K794" s="40" t="str">
        <f>IF(Agent04_Withdrawals!A201="","",Agent04_Withdrawals!K201)</f>
        <v/>
      </c>
      <c r="L794" s="40" t="str">
        <f>IF(G794="","",IF(D794-G794&gt;=System_Config!$B$9,"✅ OK","⚠️ BREACH"))</f>
        <v/>
      </c>
      <c r="M794" s="40" t="str">
        <f>IFERROR(IF(Agent04_Withdrawals!A201="","",YEAR(Agent04_Withdrawals!D201)),"")</f>
        <v/>
      </c>
    </row>
    <row r="795" spans="1:13" ht="18" customHeight="1" x14ac:dyDescent="0.25">
      <c r="A795" s="40" t="str">
        <f>IF(Agent04_Withdrawals!A202="","",Agent04_Withdrawals!A202)</f>
        <v/>
      </c>
      <c r="B795" s="40" t="str">
        <f ca="1">IF(Agent04_Withdrawals!A202="","","WD"&amp;TEXT(795-3,"0000")&amp;"-"&amp;TEXT(TODAY(),"YYYYMMDD"))</f>
        <v/>
      </c>
      <c r="C795" s="40" t="str">
        <f>IF(Agent04_Withdrawals!A202="","",Agent04_Withdrawals!B202)</f>
        <v/>
      </c>
      <c r="D795" s="43" t="str">
        <f>IF(Agent04_Withdrawals!A202="","",Agent04_Withdrawals!C202)</f>
        <v/>
      </c>
      <c r="E795" s="41" t="str">
        <f>IF(Agent04_Withdrawals!A202="","",Agent04_Withdrawals!D202)</f>
        <v/>
      </c>
      <c r="F795" s="40" t="str">
        <f>IF(Agent04_Withdrawals!A202="","",Agent04_Withdrawals!F202)</f>
        <v/>
      </c>
      <c r="G795" s="42" t="str">
        <f>IF(Agent04_Withdrawals!A202="","",Agent04_Withdrawals!E202)</f>
        <v/>
      </c>
      <c r="H795" s="42" t="str">
        <f>IF(Agent04_Withdrawals!A202="","",Agent04_Withdrawals!G202)</f>
        <v/>
      </c>
      <c r="I795" s="40" t="str">
        <f>IF(Agent04_Withdrawals!A202="","",Agent04_Withdrawals!H202)</f>
        <v/>
      </c>
      <c r="J795" s="40" t="str">
        <f>IF(Agent04_Withdrawals!A202="","",Agent04_Withdrawals!J202)</f>
        <v/>
      </c>
      <c r="K795" s="40" t="str">
        <f>IF(Agent04_Withdrawals!A202="","",Agent04_Withdrawals!K202)</f>
        <v/>
      </c>
      <c r="L795" s="40" t="str">
        <f>IF(G795="","",IF(D795-G795&gt;=System_Config!$B$9,"✅ OK","⚠️ BREACH"))</f>
        <v/>
      </c>
      <c r="M795" s="40" t="str">
        <f>IFERROR(IF(Agent04_Withdrawals!A202="","",YEAR(Agent04_Withdrawals!D202)),"")</f>
        <v/>
      </c>
    </row>
    <row r="796" spans="1:13" ht="18" customHeight="1" x14ac:dyDescent="0.25">
      <c r="A796" s="40" t="str">
        <f>IF(Agent04_Withdrawals!A203="","",Agent04_Withdrawals!A203)</f>
        <v/>
      </c>
      <c r="B796" s="40" t="str">
        <f ca="1">IF(Agent04_Withdrawals!A203="","","WD"&amp;TEXT(796-3,"0000")&amp;"-"&amp;TEXT(TODAY(),"YYYYMMDD"))</f>
        <v/>
      </c>
      <c r="C796" s="40" t="str">
        <f>IF(Agent04_Withdrawals!A203="","",Agent04_Withdrawals!B203)</f>
        <v/>
      </c>
      <c r="D796" s="43" t="str">
        <f>IF(Agent04_Withdrawals!A203="","",Agent04_Withdrawals!C203)</f>
        <v/>
      </c>
      <c r="E796" s="41" t="str">
        <f>IF(Agent04_Withdrawals!A203="","",Agent04_Withdrawals!D203)</f>
        <v/>
      </c>
      <c r="F796" s="40" t="str">
        <f>IF(Agent04_Withdrawals!A203="","",Agent04_Withdrawals!F203)</f>
        <v/>
      </c>
      <c r="G796" s="42" t="str">
        <f>IF(Agent04_Withdrawals!A203="","",Agent04_Withdrawals!E203)</f>
        <v/>
      </c>
      <c r="H796" s="42" t="str">
        <f>IF(Agent04_Withdrawals!A203="","",Agent04_Withdrawals!G203)</f>
        <v/>
      </c>
      <c r="I796" s="40" t="str">
        <f>IF(Agent04_Withdrawals!A203="","",Agent04_Withdrawals!H203)</f>
        <v/>
      </c>
      <c r="J796" s="40" t="str">
        <f>IF(Agent04_Withdrawals!A203="","",Agent04_Withdrawals!J203)</f>
        <v/>
      </c>
      <c r="K796" s="40" t="str">
        <f>IF(Agent04_Withdrawals!A203="","",Agent04_Withdrawals!K203)</f>
        <v/>
      </c>
      <c r="L796" s="40" t="str">
        <f>IF(G796="","",IF(D796-G796&gt;=System_Config!$B$9,"✅ OK","⚠️ BREACH"))</f>
        <v/>
      </c>
      <c r="M796" s="40" t="str">
        <f>IFERROR(IF(Agent04_Withdrawals!A203="","",YEAR(Agent04_Withdrawals!D203)),"")</f>
        <v/>
      </c>
    </row>
    <row r="797" spans="1:13" ht="18" customHeight="1" x14ac:dyDescent="0.25">
      <c r="A797" s="40" t="str">
        <f>IF(Agent04_Withdrawals!A204="","",Agent04_Withdrawals!A204)</f>
        <v/>
      </c>
      <c r="B797" s="40" t="str">
        <f ca="1">IF(Agent04_Withdrawals!A204="","","WD"&amp;TEXT(797-3,"0000")&amp;"-"&amp;TEXT(TODAY(),"YYYYMMDD"))</f>
        <v/>
      </c>
      <c r="C797" s="40" t="str">
        <f>IF(Agent04_Withdrawals!A204="","",Agent04_Withdrawals!B204)</f>
        <v/>
      </c>
      <c r="D797" s="43" t="str">
        <f>IF(Agent04_Withdrawals!A204="","",Agent04_Withdrawals!C204)</f>
        <v/>
      </c>
      <c r="E797" s="41" t="str">
        <f>IF(Agent04_Withdrawals!A204="","",Agent04_Withdrawals!D204)</f>
        <v/>
      </c>
      <c r="F797" s="40" t="str">
        <f>IF(Agent04_Withdrawals!A204="","",Agent04_Withdrawals!F204)</f>
        <v/>
      </c>
      <c r="G797" s="42" t="str">
        <f>IF(Agent04_Withdrawals!A204="","",Agent04_Withdrawals!E204)</f>
        <v/>
      </c>
      <c r="H797" s="42" t="str">
        <f>IF(Agent04_Withdrawals!A204="","",Agent04_Withdrawals!G204)</f>
        <v/>
      </c>
      <c r="I797" s="40" t="str">
        <f>IF(Agent04_Withdrawals!A204="","",Agent04_Withdrawals!H204)</f>
        <v/>
      </c>
      <c r="J797" s="40" t="str">
        <f>IF(Agent04_Withdrawals!A204="","",Agent04_Withdrawals!J204)</f>
        <v/>
      </c>
      <c r="K797" s="40" t="str">
        <f>IF(Agent04_Withdrawals!A204="","",Agent04_Withdrawals!K204)</f>
        <v/>
      </c>
      <c r="L797" s="40" t="str">
        <f>IF(G797="","",IF(D797-G797&gt;=System_Config!$B$9,"✅ OK","⚠️ BREACH"))</f>
        <v/>
      </c>
      <c r="M797" s="40" t="str">
        <f>IFERROR(IF(Agent04_Withdrawals!A204="","",YEAR(Agent04_Withdrawals!D204)),"")</f>
        <v/>
      </c>
    </row>
    <row r="798" spans="1:13" ht="18" customHeight="1" x14ac:dyDescent="0.25">
      <c r="A798" s="40" t="str">
        <f>IF(Agent04_Withdrawals!A205="","",Agent04_Withdrawals!A205)</f>
        <v/>
      </c>
      <c r="B798" s="40" t="str">
        <f ca="1">IF(Agent04_Withdrawals!A205="","","WD"&amp;TEXT(798-3,"0000")&amp;"-"&amp;TEXT(TODAY(),"YYYYMMDD"))</f>
        <v/>
      </c>
      <c r="C798" s="40" t="str">
        <f>IF(Agent04_Withdrawals!A205="","",Agent04_Withdrawals!B205)</f>
        <v/>
      </c>
      <c r="D798" s="43" t="str">
        <f>IF(Agent04_Withdrawals!A205="","",Agent04_Withdrawals!C205)</f>
        <v/>
      </c>
      <c r="E798" s="41" t="str">
        <f>IF(Agent04_Withdrawals!A205="","",Agent04_Withdrawals!D205)</f>
        <v/>
      </c>
      <c r="F798" s="40" t="str">
        <f>IF(Agent04_Withdrawals!A205="","",Agent04_Withdrawals!F205)</f>
        <v/>
      </c>
      <c r="G798" s="42" t="str">
        <f>IF(Agent04_Withdrawals!A205="","",Agent04_Withdrawals!E205)</f>
        <v/>
      </c>
      <c r="H798" s="42" t="str">
        <f>IF(Agent04_Withdrawals!A205="","",Agent04_Withdrawals!G205)</f>
        <v/>
      </c>
      <c r="I798" s="40" t="str">
        <f>IF(Agent04_Withdrawals!A205="","",Agent04_Withdrawals!H205)</f>
        <v/>
      </c>
      <c r="J798" s="40" t="str">
        <f>IF(Agent04_Withdrawals!A205="","",Agent04_Withdrawals!J205)</f>
        <v/>
      </c>
      <c r="K798" s="40" t="str">
        <f>IF(Agent04_Withdrawals!A205="","",Agent04_Withdrawals!K205)</f>
        <v/>
      </c>
      <c r="L798" s="40" t="str">
        <f>IF(G798="","",IF(D798-G798&gt;=System_Config!$B$9,"✅ OK","⚠️ BREACH"))</f>
        <v/>
      </c>
      <c r="M798" s="40" t="str">
        <f>IFERROR(IF(Agent04_Withdrawals!A205="","",YEAR(Agent04_Withdrawals!D205)),"")</f>
        <v/>
      </c>
    </row>
    <row r="799" spans="1:13" ht="18" customHeight="1" x14ac:dyDescent="0.25">
      <c r="A799" s="40" t="str">
        <f>IF(Agent04_Withdrawals!A206="","",Agent04_Withdrawals!A206)</f>
        <v/>
      </c>
      <c r="B799" s="40" t="str">
        <f ca="1">IF(Agent04_Withdrawals!A206="","","WD"&amp;TEXT(799-3,"0000")&amp;"-"&amp;TEXT(TODAY(),"YYYYMMDD"))</f>
        <v/>
      </c>
      <c r="C799" s="40" t="str">
        <f>IF(Agent04_Withdrawals!A206="","",Agent04_Withdrawals!B206)</f>
        <v/>
      </c>
      <c r="D799" s="43" t="str">
        <f>IF(Agent04_Withdrawals!A206="","",Agent04_Withdrawals!C206)</f>
        <v/>
      </c>
      <c r="E799" s="41" t="str">
        <f>IF(Agent04_Withdrawals!A206="","",Agent04_Withdrawals!D206)</f>
        <v/>
      </c>
      <c r="F799" s="40" t="str">
        <f>IF(Agent04_Withdrawals!A206="","",Agent04_Withdrawals!F206)</f>
        <v/>
      </c>
      <c r="G799" s="42" t="str">
        <f>IF(Agent04_Withdrawals!A206="","",Agent04_Withdrawals!E206)</f>
        <v/>
      </c>
      <c r="H799" s="42" t="str">
        <f>IF(Agent04_Withdrawals!A206="","",Agent04_Withdrawals!G206)</f>
        <v/>
      </c>
      <c r="I799" s="40" t="str">
        <f>IF(Agent04_Withdrawals!A206="","",Agent04_Withdrawals!H206)</f>
        <v/>
      </c>
      <c r="J799" s="40" t="str">
        <f>IF(Agent04_Withdrawals!A206="","",Agent04_Withdrawals!J206)</f>
        <v/>
      </c>
      <c r="K799" s="40" t="str">
        <f>IF(Agent04_Withdrawals!A206="","",Agent04_Withdrawals!K206)</f>
        <v/>
      </c>
      <c r="L799" s="40" t="str">
        <f>IF(G799="","",IF(D799-G799&gt;=System_Config!$B$9,"✅ OK","⚠️ BREACH"))</f>
        <v/>
      </c>
      <c r="M799" s="40" t="str">
        <f>IFERROR(IF(Agent04_Withdrawals!A206="","",YEAR(Agent04_Withdrawals!D206)),"")</f>
        <v/>
      </c>
    </row>
    <row r="800" spans="1:13" ht="18" customHeight="1" x14ac:dyDescent="0.25">
      <c r="A800" s="40" t="str">
        <f>IF(Agent04_Withdrawals!A207="","",Agent04_Withdrawals!A207)</f>
        <v/>
      </c>
      <c r="B800" s="40" t="str">
        <f ca="1">IF(Agent04_Withdrawals!A207="","","WD"&amp;TEXT(800-3,"0000")&amp;"-"&amp;TEXT(TODAY(),"YYYYMMDD"))</f>
        <v/>
      </c>
      <c r="C800" s="40" t="str">
        <f>IF(Agent04_Withdrawals!A207="","",Agent04_Withdrawals!B207)</f>
        <v/>
      </c>
      <c r="D800" s="43" t="str">
        <f>IF(Agent04_Withdrawals!A207="","",Agent04_Withdrawals!C207)</f>
        <v/>
      </c>
      <c r="E800" s="41" t="str">
        <f>IF(Agent04_Withdrawals!A207="","",Agent04_Withdrawals!D207)</f>
        <v/>
      </c>
      <c r="F800" s="40" t="str">
        <f>IF(Agent04_Withdrawals!A207="","",Agent04_Withdrawals!F207)</f>
        <v/>
      </c>
      <c r="G800" s="42" t="str">
        <f>IF(Agent04_Withdrawals!A207="","",Agent04_Withdrawals!E207)</f>
        <v/>
      </c>
      <c r="H800" s="42" t="str">
        <f>IF(Agent04_Withdrawals!A207="","",Agent04_Withdrawals!G207)</f>
        <v/>
      </c>
      <c r="I800" s="40" t="str">
        <f>IF(Agent04_Withdrawals!A207="","",Agent04_Withdrawals!H207)</f>
        <v/>
      </c>
      <c r="J800" s="40" t="str">
        <f>IF(Agent04_Withdrawals!A207="","",Agent04_Withdrawals!J207)</f>
        <v/>
      </c>
      <c r="K800" s="40" t="str">
        <f>IF(Agent04_Withdrawals!A207="","",Agent04_Withdrawals!K207)</f>
        <v/>
      </c>
      <c r="L800" s="40" t="str">
        <f>IF(G800="","",IF(D800-G800&gt;=System_Config!$B$9,"✅ OK","⚠️ BREACH"))</f>
        <v/>
      </c>
      <c r="M800" s="40" t="str">
        <f>IFERROR(IF(Agent04_Withdrawals!A207="","",YEAR(Agent04_Withdrawals!D207)),"")</f>
        <v/>
      </c>
    </row>
    <row r="801" spans="1:13" ht="18" customHeight="1" x14ac:dyDescent="0.25">
      <c r="A801" s="40" t="str">
        <f>IF(Agent04_Withdrawals!A208="","",Agent04_Withdrawals!A208)</f>
        <v/>
      </c>
      <c r="B801" s="40" t="str">
        <f ca="1">IF(Agent04_Withdrawals!A208="","","WD"&amp;TEXT(801-3,"0000")&amp;"-"&amp;TEXT(TODAY(),"YYYYMMDD"))</f>
        <v/>
      </c>
      <c r="C801" s="40" t="str">
        <f>IF(Agent04_Withdrawals!A208="","",Agent04_Withdrawals!B208)</f>
        <v/>
      </c>
      <c r="D801" s="43" t="str">
        <f>IF(Agent04_Withdrawals!A208="","",Agent04_Withdrawals!C208)</f>
        <v/>
      </c>
      <c r="E801" s="41" t="str">
        <f>IF(Agent04_Withdrawals!A208="","",Agent04_Withdrawals!D208)</f>
        <v/>
      </c>
      <c r="F801" s="40" t="str">
        <f>IF(Agent04_Withdrawals!A208="","",Agent04_Withdrawals!F208)</f>
        <v/>
      </c>
      <c r="G801" s="42" t="str">
        <f>IF(Agent04_Withdrawals!A208="","",Agent04_Withdrawals!E208)</f>
        <v/>
      </c>
      <c r="H801" s="42" t="str">
        <f>IF(Agent04_Withdrawals!A208="","",Agent04_Withdrawals!G208)</f>
        <v/>
      </c>
      <c r="I801" s="40" t="str">
        <f>IF(Agent04_Withdrawals!A208="","",Agent04_Withdrawals!H208)</f>
        <v/>
      </c>
      <c r="J801" s="40" t="str">
        <f>IF(Agent04_Withdrawals!A208="","",Agent04_Withdrawals!J208)</f>
        <v/>
      </c>
      <c r="K801" s="40" t="str">
        <f>IF(Agent04_Withdrawals!A208="","",Agent04_Withdrawals!K208)</f>
        <v/>
      </c>
      <c r="L801" s="40" t="str">
        <f>IF(G801="","",IF(D801-G801&gt;=System_Config!$B$9,"✅ OK","⚠️ BREACH"))</f>
        <v/>
      </c>
      <c r="M801" s="40" t="str">
        <f>IFERROR(IF(Agent04_Withdrawals!A208="","",YEAR(Agent04_Withdrawals!D208)),"")</f>
        <v/>
      </c>
    </row>
    <row r="802" spans="1:13" ht="18" customHeight="1" x14ac:dyDescent="0.25">
      <c r="A802" s="40" t="str">
        <f>IF(Agent04_Withdrawals!A209="","",Agent04_Withdrawals!A209)</f>
        <v/>
      </c>
      <c r="B802" s="40" t="str">
        <f ca="1">IF(Agent04_Withdrawals!A209="","","WD"&amp;TEXT(802-3,"0000")&amp;"-"&amp;TEXT(TODAY(),"YYYYMMDD"))</f>
        <v/>
      </c>
      <c r="C802" s="40" t="str">
        <f>IF(Agent04_Withdrawals!A209="","",Agent04_Withdrawals!B209)</f>
        <v/>
      </c>
      <c r="D802" s="43" t="str">
        <f>IF(Agent04_Withdrawals!A209="","",Agent04_Withdrawals!C209)</f>
        <v/>
      </c>
      <c r="E802" s="41" t="str">
        <f>IF(Agent04_Withdrawals!A209="","",Agent04_Withdrawals!D209)</f>
        <v/>
      </c>
      <c r="F802" s="40" t="str">
        <f>IF(Agent04_Withdrawals!A209="","",Agent04_Withdrawals!F209)</f>
        <v/>
      </c>
      <c r="G802" s="42" t="str">
        <f>IF(Agent04_Withdrawals!A209="","",Agent04_Withdrawals!E209)</f>
        <v/>
      </c>
      <c r="H802" s="42" t="str">
        <f>IF(Agent04_Withdrawals!A209="","",Agent04_Withdrawals!G209)</f>
        <v/>
      </c>
      <c r="I802" s="40" t="str">
        <f>IF(Agent04_Withdrawals!A209="","",Agent04_Withdrawals!H209)</f>
        <v/>
      </c>
      <c r="J802" s="40" t="str">
        <f>IF(Agent04_Withdrawals!A209="","",Agent04_Withdrawals!J209)</f>
        <v/>
      </c>
      <c r="K802" s="40" t="str">
        <f>IF(Agent04_Withdrawals!A209="","",Agent04_Withdrawals!K209)</f>
        <v/>
      </c>
      <c r="L802" s="40" t="str">
        <f>IF(G802="","",IF(D802-G802&gt;=System_Config!$B$9,"✅ OK","⚠️ BREACH"))</f>
        <v/>
      </c>
      <c r="M802" s="40" t="str">
        <f>IFERROR(IF(Agent04_Withdrawals!A209="","",YEAR(Agent04_Withdrawals!D209)),"")</f>
        <v/>
      </c>
    </row>
    <row r="803" spans="1:13" ht="18" customHeight="1" x14ac:dyDescent="0.25">
      <c r="A803" s="40" t="str">
        <f>IF(Agent04_Withdrawals!A210="","",Agent04_Withdrawals!A210)</f>
        <v/>
      </c>
      <c r="B803" s="40" t="str">
        <f ca="1">IF(Agent04_Withdrawals!A210="","","WD"&amp;TEXT(803-3,"0000")&amp;"-"&amp;TEXT(TODAY(),"YYYYMMDD"))</f>
        <v/>
      </c>
      <c r="C803" s="40" t="str">
        <f>IF(Agent04_Withdrawals!A210="","",Agent04_Withdrawals!B210)</f>
        <v/>
      </c>
      <c r="D803" s="43" t="str">
        <f>IF(Agent04_Withdrawals!A210="","",Agent04_Withdrawals!C210)</f>
        <v/>
      </c>
      <c r="E803" s="41" t="str">
        <f>IF(Agent04_Withdrawals!A210="","",Agent04_Withdrawals!D210)</f>
        <v/>
      </c>
      <c r="F803" s="40" t="str">
        <f>IF(Agent04_Withdrawals!A210="","",Agent04_Withdrawals!F210)</f>
        <v/>
      </c>
      <c r="G803" s="42" t="str">
        <f>IF(Agent04_Withdrawals!A210="","",Agent04_Withdrawals!E210)</f>
        <v/>
      </c>
      <c r="H803" s="42" t="str">
        <f>IF(Agent04_Withdrawals!A210="","",Agent04_Withdrawals!G210)</f>
        <v/>
      </c>
      <c r="I803" s="40" t="str">
        <f>IF(Agent04_Withdrawals!A210="","",Agent04_Withdrawals!H210)</f>
        <v/>
      </c>
      <c r="J803" s="40" t="str">
        <f>IF(Agent04_Withdrawals!A210="","",Agent04_Withdrawals!J210)</f>
        <v/>
      </c>
      <c r="K803" s="40" t="str">
        <f>IF(Agent04_Withdrawals!A210="","",Agent04_Withdrawals!K210)</f>
        <v/>
      </c>
      <c r="L803" s="40" t="str">
        <f>IF(G803="","",IF(D803-G803&gt;=System_Config!$B$9,"✅ OK","⚠️ BREACH"))</f>
        <v/>
      </c>
      <c r="M803" s="40" t="str">
        <f>IFERROR(IF(Agent04_Withdrawals!A210="","",YEAR(Agent04_Withdrawals!D210)),"")</f>
        <v/>
      </c>
    </row>
    <row r="804" spans="1:13" ht="18" customHeight="1" x14ac:dyDescent="0.25">
      <c r="A804" s="40" t="str">
        <f>IF(Agent05_Withdrawals!A11="","",Agent05_Withdrawals!A11)</f>
        <v/>
      </c>
      <c r="B804" s="40" t="str">
        <f ca="1">IF(Agent05_Withdrawals!A11="","","WD"&amp;TEXT(804-3,"0000")&amp;"-"&amp;TEXT(TODAY(),"YYYYMMDD"))</f>
        <v/>
      </c>
      <c r="C804" s="40" t="str">
        <f>IF(Agent05_Withdrawals!A11="","",Agent05_Withdrawals!B11)</f>
        <v/>
      </c>
      <c r="D804" s="43" t="str">
        <f>IF(Agent05_Withdrawals!A11="","",Agent05_Withdrawals!C11)</f>
        <v/>
      </c>
      <c r="E804" s="41" t="str">
        <f>IF(Agent05_Withdrawals!A11="","",Agent05_Withdrawals!D11)</f>
        <v/>
      </c>
      <c r="F804" s="40" t="str">
        <f>IF(Agent05_Withdrawals!A11="","",Agent05_Withdrawals!F11)</f>
        <v/>
      </c>
      <c r="G804" s="42" t="str">
        <f>IF(Agent05_Withdrawals!A11="","",Agent05_Withdrawals!E11)</f>
        <v/>
      </c>
      <c r="H804" s="42" t="str">
        <f>IF(Agent05_Withdrawals!A11="","",Agent05_Withdrawals!G11)</f>
        <v/>
      </c>
      <c r="I804" s="40" t="str">
        <f>IF(Agent05_Withdrawals!A11="","",Agent05_Withdrawals!H11)</f>
        <v/>
      </c>
      <c r="J804" s="40" t="str">
        <f>IF(Agent05_Withdrawals!A11="","",Agent05_Withdrawals!J11)</f>
        <v/>
      </c>
      <c r="K804" s="40" t="str">
        <f>IF(Agent05_Withdrawals!A11="","",Agent05_Withdrawals!K11)</f>
        <v/>
      </c>
      <c r="L804" s="40" t="str">
        <f>IF(G804="","",IF(D804-G804&gt;=System_Config!$B$9,"✅ OK","⚠️ BREACH"))</f>
        <v/>
      </c>
      <c r="M804" s="40" t="str">
        <f>IFERROR(IF(Agent05_Withdrawals!A11="","",YEAR(Agent05_Withdrawals!D11)),"")</f>
        <v/>
      </c>
    </row>
    <row r="805" spans="1:13" ht="18" customHeight="1" x14ac:dyDescent="0.25">
      <c r="A805" s="40" t="str">
        <f>IF(Agent05_Withdrawals!A12="","",Agent05_Withdrawals!A12)</f>
        <v/>
      </c>
      <c r="B805" s="40" t="str">
        <f ca="1">IF(Agent05_Withdrawals!A12="","","WD"&amp;TEXT(805-3,"0000")&amp;"-"&amp;TEXT(TODAY(),"YYYYMMDD"))</f>
        <v/>
      </c>
      <c r="C805" s="40" t="str">
        <f>IF(Agent05_Withdrawals!A12="","",Agent05_Withdrawals!B12)</f>
        <v/>
      </c>
      <c r="D805" s="43" t="str">
        <f>IF(Agent05_Withdrawals!A12="","",Agent05_Withdrawals!C12)</f>
        <v/>
      </c>
      <c r="E805" s="41" t="str">
        <f>IF(Agent05_Withdrawals!A12="","",Agent05_Withdrawals!D12)</f>
        <v/>
      </c>
      <c r="F805" s="40" t="str">
        <f>IF(Agent05_Withdrawals!A12="","",Agent05_Withdrawals!F12)</f>
        <v/>
      </c>
      <c r="G805" s="42" t="str">
        <f>IF(Agent05_Withdrawals!A12="","",Agent05_Withdrawals!E12)</f>
        <v/>
      </c>
      <c r="H805" s="42" t="str">
        <f>IF(Agent05_Withdrawals!A12="","",Agent05_Withdrawals!G12)</f>
        <v/>
      </c>
      <c r="I805" s="40" t="str">
        <f>IF(Agent05_Withdrawals!A12="","",Agent05_Withdrawals!H12)</f>
        <v/>
      </c>
      <c r="J805" s="40" t="str">
        <f>IF(Agent05_Withdrawals!A12="","",Agent05_Withdrawals!J12)</f>
        <v/>
      </c>
      <c r="K805" s="40" t="str">
        <f>IF(Agent05_Withdrawals!A12="","",Agent05_Withdrawals!K12)</f>
        <v/>
      </c>
      <c r="L805" s="40" t="str">
        <f>IF(G805="","",IF(D805-G805&gt;=System_Config!$B$9,"✅ OK","⚠️ BREACH"))</f>
        <v/>
      </c>
      <c r="M805" s="40" t="str">
        <f>IFERROR(IF(Agent05_Withdrawals!A12="","",YEAR(Agent05_Withdrawals!D12)),"")</f>
        <v/>
      </c>
    </row>
    <row r="806" spans="1:13" ht="18" customHeight="1" x14ac:dyDescent="0.25">
      <c r="A806" s="40" t="str">
        <f>IF(Agent05_Withdrawals!A13="","",Agent05_Withdrawals!A13)</f>
        <v/>
      </c>
      <c r="B806" s="40" t="str">
        <f ca="1">IF(Agent05_Withdrawals!A13="","","WD"&amp;TEXT(806-3,"0000")&amp;"-"&amp;TEXT(TODAY(),"YYYYMMDD"))</f>
        <v/>
      </c>
      <c r="C806" s="40" t="str">
        <f>IF(Agent05_Withdrawals!A13="","",Agent05_Withdrawals!B13)</f>
        <v/>
      </c>
      <c r="D806" s="43" t="str">
        <f>IF(Agent05_Withdrawals!A13="","",Agent05_Withdrawals!C13)</f>
        <v/>
      </c>
      <c r="E806" s="41" t="str">
        <f>IF(Agent05_Withdrawals!A13="","",Agent05_Withdrawals!D13)</f>
        <v/>
      </c>
      <c r="F806" s="40" t="str">
        <f>IF(Agent05_Withdrawals!A13="","",Agent05_Withdrawals!F13)</f>
        <v/>
      </c>
      <c r="G806" s="42" t="str">
        <f>IF(Agent05_Withdrawals!A13="","",Agent05_Withdrawals!E13)</f>
        <v/>
      </c>
      <c r="H806" s="42" t="str">
        <f>IF(Agent05_Withdrawals!A13="","",Agent05_Withdrawals!G13)</f>
        <v/>
      </c>
      <c r="I806" s="40" t="str">
        <f>IF(Agent05_Withdrawals!A13="","",Agent05_Withdrawals!H13)</f>
        <v/>
      </c>
      <c r="J806" s="40" t="str">
        <f>IF(Agent05_Withdrawals!A13="","",Agent05_Withdrawals!J13)</f>
        <v/>
      </c>
      <c r="K806" s="40" t="str">
        <f>IF(Agent05_Withdrawals!A13="","",Agent05_Withdrawals!K13)</f>
        <v/>
      </c>
      <c r="L806" s="40" t="str">
        <f>IF(G806="","",IF(D806-G806&gt;=System_Config!$B$9,"✅ OK","⚠️ BREACH"))</f>
        <v/>
      </c>
      <c r="M806" s="40" t="str">
        <f>IFERROR(IF(Agent05_Withdrawals!A13="","",YEAR(Agent05_Withdrawals!D13)),"")</f>
        <v/>
      </c>
    </row>
    <row r="807" spans="1:13" ht="18" customHeight="1" x14ac:dyDescent="0.25">
      <c r="A807" s="40" t="str">
        <f>IF(Agent05_Withdrawals!A14="","",Agent05_Withdrawals!A14)</f>
        <v/>
      </c>
      <c r="B807" s="40" t="str">
        <f ca="1">IF(Agent05_Withdrawals!A14="","","WD"&amp;TEXT(807-3,"0000")&amp;"-"&amp;TEXT(TODAY(),"YYYYMMDD"))</f>
        <v/>
      </c>
      <c r="C807" s="40" t="str">
        <f>IF(Agent05_Withdrawals!A14="","",Agent05_Withdrawals!B14)</f>
        <v/>
      </c>
      <c r="D807" s="43" t="str">
        <f>IF(Agent05_Withdrawals!A14="","",Agent05_Withdrawals!C14)</f>
        <v/>
      </c>
      <c r="E807" s="41" t="str">
        <f>IF(Agent05_Withdrawals!A14="","",Agent05_Withdrawals!D14)</f>
        <v/>
      </c>
      <c r="F807" s="40" t="str">
        <f>IF(Agent05_Withdrawals!A14="","",Agent05_Withdrawals!F14)</f>
        <v/>
      </c>
      <c r="G807" s="42" t="str">
        <f>IF(Agent05_Withdrawals!A14="","",Agent05_Withdrawals!E14)</f>
        <v/>
      </c>
      <c r="H807" s="42" t="str">
        <f>IF(Agent05_Withdrawals!A14="","",Agent05_Withdrawals!G14)</f>
        <v/>
      </c>
      <c r="I807" s="40" t="str">
        <f>IF(Agent05_Withdrawals!A14="","",Agent05_Withdrawals!H14)</f>
        <v/>
      </c>
      <c r="J807" s="40" t="str">
        <f>IF(Agent05_Withdrawals!A14="","",Agent05_Withdrawals!J14)</f>
        <v/>
      </c>
      <c r="K807" s="40" t="str">
        <f>IF(Agent05_Withdrawals!A14="","",Agent05_Withdrawals!K14)</f>
        <v/>
      </c>
      <c r="L807" s="40" t="str">
        <f>IF(G807="","",IF(D807-G807&gt;=System_Config!$B$9,"✅ OK","⚠️ BREACH"))</f>
        <v/>
      </c>
      <c r="M807" s="40" t="str">
        <f>IFERROR(IF(Agent05_Withdrawals!A14="","",YEAR(Agent05_Withdrawals!D14)),"")</f>
        <v/>
      </c>
    </row>
    <row r="808" spans="1:13" ht="18" customHeight="1" x14ac:dyDescent="0.25">
      <c r="A808" s="40" t="str">
        <f>IF(Agent05_Withdrawals!A15="","",Agent05_Withdrawals!A15)</f>
        <v/>
      </c>
      <c r="B808" s="40" t="str">
        <f ca="1">IF(Agent05_Withdrawals!A15="","","WD"&amp;TEXT(808-3,"0000")&amp;"-"&amp;TEXT(TODAY(),"YYYYMMDD"))</f>
        <v/>
      </c>
      <c r="C808" s="40" t="str">
        <f>IF(Agent05_Withdrawals!A15="","",Agent05_Withdrawals!B15)</f>
        <v/>
      </c>
      <c r="D808" s="43" t="str">
        <f>IF(Agent05_Withdrawals!A15="","",Agent05_Withdrawals!C15)</f>
        <v/>
      </c>
      <c r="E808" s="41" t="str">
        <f>IF(Agent05_Withdrawals!A15="","",Agent05_Withdrawals!D15)</f>
        <v/>
      </c>
      <c r="F808" s="40" t="str">
        <f>IF(Agent05_Withdrawals!A15="","",Agent05_Withdrawals!F15)</f>
        <v/>
      </c>
      <c r="G808" s="42" t="str">
        <f>IF(Agent05_Withdrawals!A15="","",Agent05_Withdrawals!E15)</f>
        <v/>
      </c>
      <c r="H808" s="42" t="str">
        <f>IF(Agent05_Withdrawals!A15="","",Agent05_Withdrawals!G15)</f>
        <v/>
      </c>
      <c r="I808" s="40" t="str">
        <f>IF(Agent05_Withdrawals!A15="","",Agent05_Withdrawals!H15)</f>
        <v/>
      </c>
      <c r="J808" s="40" t="str">
        <f>IF(Agent05_Withdrawals!A15="","",Agent05_Withdrawals!J15)</f>
        <v/>
      </c>
      <c r="K808" s="40" t="str">
        <f>IF(Agent05_Withdrawals!A15="","",Agent05_Withdrawals!K15)</f>
        <v/>
      </c>
      <c r="L808" s="40" t="str">
        <f>IF(G808="","",IF(D808-G808&gt;=System_Config!$B$9,"✅ OK","⚠️ BREACH"))</f>
        <v/>
      </c>
      <c r="M808" s="40" t="str">
        <f>IFERROR(IF(Agent05_Withdrawals!A15="","",YEAR(Agent05_Withdrawals!D15)),"")</f>
        <v/>
      </c>
    </row>
    <row r="809" spans="1:13" ht="18" customHeight="1" x14ac:dyDescent="0.25">
      <c r="A809" s="40" t="str">
        <f>IF(Agent05_Withdrawals!A16="","",Agent05_Withdrawals!A16)</f>
        <v/>
      </c>
      <c r="B809" s="40" t="str">
        <f ca="1">IF(Agent05_Withdrawals!A16="","","WD"&amp;TEXT(809-3,"0000")&amp;"-"&amp;TEXT(TODAY(),"YYYYMMDD"))</f>
        <v/>
      </c>
      <c r="C809" s="40" t="str">
        <f>IF(Agent05_Withdrawals!A16="","",Agent05_Withdrawals!B16)</f>
        <v/>
      </c>
      <c r="D809" s="43" t="str">
        <f>IF(Agent05_Withdrawals!A16="","",Agent05_Withdrawals!C16)</f>
        <v/>
      </c>
      <c r="E809" s="41" t="str">
        <f>IF(Agent05_Withdrawals!A16="","",Agent05_Withdrawals!D16)</f>
        <v/>
      </c>
      <c r="F809" s="40" t="str">
        <f>IF(Agent05_Withdrawals!A16="","",Agent05_Withdrawals!F16)</f>
        <v/>
      </c>
      <c r="G809" s="42" t="str">
        <f>IF(Agent05_Withdrawals!A16="","",Agent05_Withdrawals!E16)</f>
        <v/>
      </c>
      <c r="H809" s="42" t="str">
        <f>IF(Agent05_Withdrawals!A16="","",Agent05_Withdrawals!G16)</f>
        <v/>
      </c>
      <c r="I809" s="40" t="str">
        <f>IF(Agent05_Withdrawals!A16="","",Agent05_Withdrawals!H16)</f>
        <v/>
      </c>
      <c r="J809" s="40" t="str">
        <f>IF(Agent05_Withdrawals!A16="","",Agent05_Withdrawals!J16)</f>
        <v/>
      </c>
      <c r="K809" s="40" t="str">
        <f>IF(Agent05_Withdrawals!A16="","",Agent05_Withdrawals!K16)</f>
        <v/>
      </c>
      <c r="L809" s="40" t="str">
        <f>IF(G809="","",IF(D809-G809&gt;=System_Config!$B$9,"✅ OK","⚠️ BREACH"))</f>
        <v/>
      </c>
      <c r="M809" s="40" t="str">
        <f>IFERROR(IF(Agent05_Withdrawals!A16="","",YEAR(Agent05_Withdrawals!D16)),"")</f>
        <v/>
      </c>
    </row>
    <row r="810" spans="1:13" ht="18" customHeight="1" x14ac:dyDescent="0.25">
      <c r="A810" s="40" t="str">
        <f>IF(Agent05_Withdrawals!A17="","",Agent05_Withdrawals!A17)</f>
        <v/>
      </c>
      <c r="B810" s="40" t="str">
        <f ca="1">IF(Agent05_Withdrawals!A17="","","WD"&amp;TEXT(810-3,"0000")&amp;"-"&amp;TEXT(TODAY(),"YYYYMMDD"))</f>
        <v/>
      </c>
      <c r="C810" s="40" t="str">
        <f>IF(Agent05_Withdrawals!A17="","",Agent05_Withdrawals!B17)</f>
        <v/>
      </c>
      <c r="D810" s="43" t="str">
        <f>IF(Agent05_Withdrawals!A17="","",Agent05_Withdrawals!C17)</f>
        <v/>
      </c>
      <c r="E810" s="41" t="str">
        <f>IF(Agent05_Withdrawals!A17="","",Agent05_Withdrawals!D17)</f>
        <v/>
      </c>
      <c r="F810" s="40" t="str">
        <f>IF(Agent05_Withdrawals!A17="","",Agent05_Withdrawals!F17)</f>
        <v/>
      </c>
      <c r="G810" s="42" t="str">
        <f>IF(Agent05_Withdrawals!A17="","",Agent05_Withdrawals!E17)</f>
        <v/>
      </c>
      <c r="H810" s="42" t="str">
        <f>IF(Agent05_Withdrawals!A17="","",Agent05_Withdrawals!G17)</f>
        <v/>
      </c>
      <c r="I810" s="40" t="str">
        <f>IF(Agent05_Withdrawals!A17="","",Agent05_Withdrawals!H17)</f>
        <v/>
      </c>
      <c r="J810" s="40" t="str">
        <f>IF(Agent05_Withdrawals!A17="","",Agent05_Withdrawals!J17)</f>
        <v/>
      </c>
      <c r="K810" s="40" t="str">
        <f>IF(Agent05_Withdrawals!A17="","",Agent05_Withdrawals!K17)</f>
        <v/>
      </c>
      <c r="L810" s="40" t="str">
        <f>IF(G810="","",IF(D810-G810&gt;=System_Config!$B$9,"✅ OK","⚠️ BREACH"))</f>
        <v/>
      </c>
      <c r="M810" s="40" t="str">
        <f>IFERROR(IF(Agent05_Withdrawals!A17="","",YEAR(Agent05_Withdrawals!D17)),"")</f>
        <v/>
      </c>
    </row>
    <row r="811" spans="1:13" ht="18" customHeight="1" x14ac:dyDescent="0.25">
      <c r="A811" s="40" t="str">
        <f>IF(Agent05_Withdrawals!A18="","",Agent05_Withdrawals!A18)</f>
        <v/>
      </c>
      <c r="B811" s="40" t="str">
        <f ca="1">IF(Agent05_Withdrawals!A18="","","WD"&amp;TEXT(811-3,"0000")&amp;"-"&amp;TEXT(TODAY(),"YYYYMMDD"))</f>
        <v/>
      </c>
      <c r="C811" s="40" t="str">
        <f>IF(Agent05_Withdrawals!A18="","",Agent05_Withdrawals!B18)</f>
        <v/>
      </c>
      <c r="D811" s="43" t="str">
        <f>IF(Agent05_Withdrawals!A18="","",Agent05_Withdrawals!C18)</f>
        <v/>
      </c>
      <c r="E811" s="41" t="str">
        <f>IF(Agent05_Withdrawals!A18="","",Agent05_Withdrawals!D18)</f>
        <v/>
      </c>
      <c r="F811" s="40" t="str">
        <f>IF(Agent05_Withdrawals!A18="","",Agent05_Withdrawals!F18)</f>
        <v/>
      </c>
      <c r="G811" s="42" t="str">
        <f>IF(Agent05_Withdrawals!A18="","",Agent05_Withdrawals!E18)</f>
        <v/>
      </c>
      <c r="H811" s="42" t="str">
        <f>IF(Agent05_Withdrawals!A18="","",Agent05_Withdrawals!G18)</f>
        <v/>
      </c>
      <c r="I811" s="40" t="str">
        <f>IF(Agent05_Withdrawals!A18="","",Agent05_Withdrawals!H18)</f>
        <v/>
      </c>
      <c r="J811" s="40" t="str">
        <f>IF(Agent05_Withdrawals!A18="","",Agent05_Withdrawals!J18)</f>
        <v/>
      </c>
      <c r="K811" s="40" t="str">
        <f>IF(Agent05_Withdrawals!A18="","",Agent05_Withdrawals!K18)</f>
        <v/>
      </c>
      <c r="L811" s="40" t="str">
        <f>IF(G811="","",IF(D811-G811&gt;=System_Config!$B$9,"✅ OK","⚠️ BREACH"))</f>
        <v/>
      </c>
      <c r="M811" s="40" t="str">
        <f>IFERROR(IF(Agent05_Withdrawals!A18="","",YEAR(Agent05_Withdrawals!D18)),"")</f>
        <v/>
      </c>
    </row>
    <row r="812" spans="1:13" ht="18" customHeight="1" x14ac:dyDescent="0.25">
      <c r="A812" s="40" t="str">
        <f>IF(Agent05_Withdrawals!A19="","",Agent05_Withdrawals!A19)</f>
        <v/>
      </c>
      <c r="B812" s="40" t="str">
        <f ca="1">IF(Agent05_Withdrawals!A19="","","WD"&amp;TEXT(812-3,"0000")&amp;"-"&amp;TEXT(TODAY(),"YYYYMMDD"))</f>
        <v/>
      </c>
      <c r="C812" s="40" t="str">
        <f>IF(Agent05_Withdrawals!A19="","",Agent05_Withdrawals!B19)</f>
        <v/>
      </c>
      <c r="D812" s="43" t="str">
        <f>IF(Agent05_Withdrawals!A19="","",Agent05_Withdrawals!C19)</f>
        <v/>
      </c>
      <c r="E812" s="41" t="str">
        <f>IF(Agent05_Withdrawals!A19="","",Agent05_Withdrawals!D19)</f>
        <v/>
      </c>
      <c r="F812" s="40" t="str">
        <f>IF(Agent05_Withdrawals!A19="","",Agent05_Withdrawals!F19)</f>
        <v/>
      </c>
      <c r="G812" s="42" t="str">
        <f>IF(Agent05_Withdrawals!A19="","",Agent05_Withdrawals!E19)</f>
        <v/>
      </c>
      <c r="H812" s="42" t="str">
        <f>IF(Agent05_Withdrawals!A19="","",Agent05_Withdrawals!G19)</f>
        <v/>
      </c>
      <c r="I812" s="40" t="str">
        <f>IF(Agent05_Withdrawals!A19="","",Agent05_Withdrawals!H19)</f>
        <v/>
      </c>
      <c r="J812" s="40" t="str">
        <f>IF(Agent05_Withdrawals!A19="","",Agent05_Withdrawals!J19)</f>
        <v/>
      </c>
      <c r="K812" s="40" t="str">
        <f>IF(Agent05_Withdrawals!A19="","",Agent05_Withdrawals!K19)</f>
        <v/>
      </c>
      <c r="L812" s="40" t="str">
        <f>IF(G812="","",IF(D812-G812&gt;=System_Config!$B$9,"✅ OK","⚠️ BREACH"))</f>
        <v/>
      </c>
      <c r="M812" s="40" t="str">
        <f>IFERROR(IF(Agent05_Withdrawals!A19="","",YEAR(Agent05_Withdrawals!D19)),"")</f>
        <v/>
      </c>
    </row>
    <row r="813" spans="1:13" ht="18" customHeight="1" x14ac:dyDescent="0.25">
      <c r="A813" s="40" t="str">
        <f>IF(Agent05_Withdrawals!A20="","",Agent05_Withdrawals!A20)</f>
        <v/>
      </c>
      <c r="B813" s="40" t="str">
        <f ca="1">IF(Agent05_Withdrawals!A20="","","WD"&amp;TEXT(813-3,"0000")&amp;"-"&amp;TEXT(TODAY(),"YYYYMMDD"))</f>
        <v/>
      </c>
      <c r="C813" s="40" t="str">
        <f>IF(Agent05_Withdrawals!A20="","",Agent05_Withdrawals!B20)</f>
        <v/>
      </c>
      <c r="D813" s="43" t="str">
        <f>IF(Agent05_Withdrawals!A20="","",Agent05_Withdrawals!C20)</f>
        <v/>
      </c>
      <c r="E813" s="41" t="str">
        <f>IF(Agent05_Withdrawals!A20="","",Agent05_Withdrawals!D20)</f>
        <v/>
      </c>
      <c r="F813" s="40" t="str">
        <f>IF(Agent05_Withdrawals!A20="","",Agent05_Withdrawals!F20)</f>
        <v/>
      </c>
      <c r="G813" s="42" t="str">
        <f>IF(Agent05_Withdrawals!A20="","",Agent05_Withdrawals!E20)</f>
        <v/>
      </c>
      <c r="H813" s="42" t="str">
        <f>IF(Agent05_Withdrawals!A20="","",Agent05_Withdrawals!G20)</f>
        <v/>
      </c>
      <c r="I813" s="40" t="str">
        <f>IF(Agent05_Withdrawals!A20="","",Agent05_Withdrawals!H20)</f>
        <v/>
      </c>
      <c r="J813" s="40" t="str">
        <f>IF(Agent05_Withdrawals!A20="","",Agent05_Withdrawals!J20)</f>
        <v/>
      </c>
      <c r="K813" s="40" t="str">
        <f>IF(Agent05_Withdrawals!A20="","",Agent05_Withdrawals!K20)</f>
        <v/>
      </c>
      <c r="L813" s="40" t="str">
        <f>IF(G813="","",IF(D813-G813&gt;=System_Config!$B$9,"✅ OK","⚠️ BREACH"))</f>
        <v/>
      </c>
      <c r="M813" s="40" t="str">
        <f>IFERROR(IF(Agent05_Withdrawals!A20="","",YEAR(Agent05_Withdrawals!D20)),"")</f>
        <v/>
      </c>
    </row>
    <row r="814" spans="1:13" ht="18" customHeight="1" x14ac:dyDescent="0.25">
      <c r="A814" s="40" t="str">
        <f>IF(Agent05_Withdrawals!A21="","",Agent05_Withdrawals!A21)</f>
        <v/>
      </c>
      <c r="B814" s="40" t="str">
        <f ca="1">IF(Agent05_Withdrawals!A21="","","WD"&amp;TEXT(814-3,"0000")&amp;"-"&amp;TEXT(TODAY(),"YYYYMMDD"))</f>
        <v/>
      </c>
      <c r="C814" s="40" t="str">
        <f>IF(Agent05_Withdrawals!A21="","",Agent05_Withdrawals!B21)</f>
        <v/>
      </c>
      <c r="D814" s="43" t="str">
        <f>IF(Agent05_Withdrawals!A21="","",Agent05_Withdrawals!C21)</f>
        <v/>
      </c>
      <c r="E814" s="41" t="str">
        <f>IF(Agent05_Withdrawals!A21="","",Agent05_Withdrawals!D21)</f>
        <v/>
      </c>
      <c r="F814" s="40" t="str">
        <f>IF(Agent05_Withdrawals!A21="","",Agent05_Withdrawals!F21)</f>
        <v/>
      </c>
      <c r="G814" s="42" t="str">
        <f>IF(Agent05_Withdrawals!A21="","",Agent05_Withdrawals!E21)</f>
        <v/>
      </c>
      <c r="H814" s="42" t="str">
        <f>IF(Agent05_Withdrawals!A21="","",Agent05_Withdrawals!G21)</f>
        <v/>
      </c>
      <c r="I814" s="40" t="str">
        <f>IF(Agent05_Withdrawals!A21="","",Agent05_Withdrawals!H21)</f>
        <v/>
      </c>
      <c r="J814" s="40" t="str">
        <f>IF(Agent05_Withdrawals!A21="","",Agent05_Withdrawals!J21)</f>
        <v/>
      </c>
      <c r="K814" s="40" t="str">
        <f>IF(Agent05_Withdrawals!A21="","",Agent05_Withdrawals!K21)</f>
        <v/>
      </c>
      <c r="L814" s="40" t="str">
        <f>IF(G814="","",IF(D814-G814&gt;=System_Config!$B$9,"✅ OK","⚠️ BREACH"))</f>
        <v/>
      </c>
      <c r="M814" s="40" t="str">
        <f>IFERROR(IF(Agent05_Withdrawals!A21="","",YEAR(Agent05_Withdrawals!D21)),"")</f>
        <v/>
      </c>
    </row>
    <row r="815" spans="1:13" ht="18" customHeight="1" x14ac:dyDescent="0.25">
      <c r="A815" s="40" t="str">
        <f>IF(Agent05_Withdrawals!A22="","",Agent05_Withdrawals!A22)</f>
        <v/>
      </c>
      <c r="B815" s="40" t="str">
        <f ca="1">IF(Agent05_Withdrawals!A22="","","WD"&amp;TEXT(815-3,"0000")&amp;"-"&amp;TEXT(TODAY(),"YYYYMMDD"))</f>
        <v/>
      </c>
      <c r="C815" s="40" t="str">
        <f>IF(Agent05_Withdrawals!A22="","",Agent05_Withdrawals!B22)</f>
        <v/>
      </c>
      <c r="D815" s="43" t="str">
        <f>IF(Agent05_Withdrawals!A22="","",Agent05_Withdrawals!C22)</f>
        <v/>
      </c>
      <c r="E815" s="41" t="str">
        <f>IF(Agent05_Withdrawals!A22="","",Agent05_Withdrawals!D22)</f>
        <v/>
      </c>
      <c r="F815" s="40" t="str">
        <f>IF(Agent05_Withdrawals!A22="","",Agent05_Withdrawals!F22)</f>
        <v/>
      </c>
      <c r="G815" s="42" t="str">
        <f>IF(Agent05_Withdrawals!A22="","",Agent05_Withdrawals!E22)</f>
        <v/>
      </c>
      <c r="H815" s="42" t="str">
        <f>IF(Agent05_Withdrawals!A22="","",Agent05_Withdrawals!G22)</f>
        <v/>
      </c>
      <c r="I815" s="40" t="str">
        <f>IF(Agent05_Withdrawals!A22="","",Agent05_Withdrawals!H22)</f>
        <v/>
      </c>
      <c r="J815" s="40" t="str">
        <f>IF(Agent05_Withdrawals!A22="","",Agent05_Withdrawals!J22)</f>
        <v/>
      </c>
      <c r="K815" s="40" t="str">
        <f>IF(Agent05_Withdrawals!A22="","",Agent05_Withdrawals!K22)</f>
        <v/>
      </c>
      <c r="L815" s="40" t="str">
        <f>IF(G815="","",IF(D815-G815&gt;=System_Config!$B$9,"✅ OK","⚠️ BREACH"))</f>
        <v/>
      </c>
      <c r="M815" s="40" t="str">
        <f>IFERROR(IF(Agent05_Withdrawals!A22="","",YEAR(Agent05_Withdrawals!D22)),"")</f>
        <v/>
      </c>
    </row>
    <row r="816" spans="1:13" ht="18" customHeight="1" x14ac:dyDescent="0.25">
      <c r="A816" s="40" t="str">
        <f>IF(Agent05_Withdrawals!A23="","",Agent05_Withdrawals!A23)</f>
        <v/>
      </c>
      <c r="B816" s="40" t="str">
        <f ca="1">IF(Agent05_Withdrawals!A23="","","WD"&amp;TEXT(816-3,"0000")&amp;"-"&amp;TEXT(TODAY(),"YYYYMMDD"))</f>
        <v/>
      </c>
      <c r="C816" s="40" t="str">
        <f>IF(Agent05_Withdrawals!A23="","",Agent05_Withdrawals!B23)</f>
        <v/>
      </c>
      <c r="D816" s="43" t="str">
        <f>IF(Agent05_Withdrawals!A23="","",Agent05_Withdrawals!C23)</f>
        <v/>
      </c>
      <c r="E816" s="41" t="str">
        <f>IF(Agent05_Withdrawals!A23="","",Agent05_Withdrawals!D23)</f>
        <v/>
      </c>
      <c r="F816" s="40" t="str">
        <f>IF(Agent05_Withdrawals!A23="","",Agent05_Withdrawals!F23)</f>
        <v/>
      </c>
      <c r="G816" s="42" t="str">
        <f>IF(Agent05_Withdrawals!A23="","",Agent05_Withdrawals!E23)</f>
        <v/>
      </c>
      <c r="H816" s="42" t="str">
        <f>IF(Agent05_Withdrawals!A23="","",Agent05_Withdrawals!G23)</f>
        <v/>
      </c>
      <c r="I816" s="40" t="str">
        <f>IF(Agent05_Withdrawals!A23="","",Agent05_Withdrawals!H23)</f>
        <v/>
      </c>
      <c r="J816" s="40" t="str">
        <f>IF(Agent05_Withdrawals!A23="","",Agent05_Withdrawals!J23)</f>
        <v/>
      </c>
      <c r="K816" s="40" t="str">
        <f>IF(Agent05_Withdrawals!A23="","",Agent05_Withdrawals!K23)</f>
        <v/>
      </c>
      <c r="L816" s="40" t="str">
        <f>IF(G816="","",IF(D816-G816&gt;=System_Config!$B$9,"✅ OK","⚠️ BREACH"))</f>
        <v/>
      </c>
      <c r="M816" s="40" t="str">
        <f>IFERROR(IF(Agent05_Withdrawals!A23="","",YEAR(Agent05_Withdrawals!D23)),"")</f>
        <v/>
      </c>
    </row>
    <row r="817" spans="1:13" ht="18" customHeight="1" x14ac:dyDescent="0.25">
      <c r="A817" s="40" t="str">
        <f>IF(Agent05_Withdrawals!A24="","",Agent05_Withdrawals!A24)</f>
        <v/>
      </c>
      <c r="B817" s="40" t="str">
        <f ca="1">IF(Agent05_Withdrawals!A24="","","WD"&amp;TEXT(817-3,"0000")&amp;"-"&amp;TEXT(TODAY(),"YYYYMMDD"))</f>
        <v/>
      </c>
      <c r="C817" s="40" t="str">
        <f>IF(Agent05_Withdrawals!A24="","",Agent05_Withdrawals!B24)</f>
        <v/>
      </c>
      <c r="D817" s="43" t="str">
        <f>IF(Agent05_Withdrawals!A24="","",Agent05_Withdrawals!C24)</f>
        <v/>
      </c>
      <c r="E817" s="41" t="str">
        <f>IF(Agent05_Withdrawals!A24="","",Agent05_Withdrawals!D24)</f>
        <v/>
      </c>
      <c r="F817" s="40" t="str">
        <f>IF(Agent05_Withdrawals!A24="","",Agent05_Withdrawals!F24)</f>
        <v/>
      </c>
      <c r="G817" s="42" t="str">
        <f>IF(Agent05_Withdrawals!A24="","",Agent05_Withdrawals!E24)</f>
        <v/>
      </c>
      <c r="H817" s="42" t="str">
        <f>IF(Agent05_Withdrawals!A24="","",Agent05_Withdrawals!G24)</f>
        <v/>
      </c>
      <c r="I817" s="40" t="str">
        <f>IF(Agent05_Withdrawals!A24="","",Agent05_Withdrawals!H24)</f>
        <v/>
      </c>
      <c r="J817" s="40" t="str">
        <f>IF(Agent05_Withdrawals!A24="","",Agent05_Withdrawals!J24)</f>
        <v/>
      </c>
      <c r="K817" s="40" t="str">
        <f>IF(Agent05_Withdrawals!A24="","",Agent05_Withdrawals!K24)</f>
        <v/>
      </c>
      <c r="L817" s="40" t="str">
        <f>IF(G817="","",IF(D817-G817&gt;=System_Config!$B$9,"✅ OK","⚠️ BREACH"))</f>
        <v/>
      </c>
      <c r="M817" s="40" t="str">
        <f>IFERROR(IF(Agent05_Withdrawals!A24="","",YEAR(Agent05_Withdrawals!D24)),"")</f>
        <v/>
      </c>
    </row>
    <row r="818" spans="1:13" ht="18" customHeight="1" x14ac:dyDescent="0.25">
      <c r="A818" s="40" t="str">
        <f>IF(Agent05_Withdrawals!A25="","",Agent05_Withdrawals!A25)</f>
        <v/>
      </c>
      <c r="B818" s="40" t="str">
        <f ca="1">IF(Agent05_Withdrawals!A25="","","WD"&amp;TEXT(818-3,"0000")&amp;"-"&amp;TEXT(TODAY(),"YYYYMMDD"))</f>
        <v/>
      </c>
      <c r="C818" s="40" t="str">
        <f>IF(Agent05_Withdrawals!A25="","",Agent05_Withdrawals!B25)</f>
        <v/>
      </c>
      <c r="D818" s="43" t="str">
        <f>IF(Agent05_Withdrawals!A25="","",Agent05_Withdrawals!C25)</f>
        <v/>
      </c>
      <c r="E818" s="41" t="str">
        <f>IF(Agent05_Withdrawals!A25="","",Agent05_Withdrawals!D25)</f>
        <v/>
      </c>
      <c r="F818" s="40" t="str">
        <f>IF(Agent05_Withdrawals!A25="","",Agent05_Withdrawals!F25)</f>
        <v/>
      </c>
      <c r="G818" s="42" t="str">
        <f>IF(Agent05_Withdrawals!A25="","",Agent05_Withdrawals!E25)</f>
        <v/>
      </c>
      <c r="H818" s="42" t="str">
        <f>IF(Agent05_Withdrawals!A25="","",Agent05_Withdrawals!G25)</f>
        <v/>
      </c>
      <c r="I818" s="40" t="str">
        <f>IF(Agent05_Withdrawals!A25="","",Agent05_Withdrawals!H25)</f>
        <v/>
      </c>
      <c r="J818" s="40" t="str">
        <f>IF(Agent05_Withdrawals!A25="","",Agent05_Withdrawals!J25)</f>
        <v/>
      </c>
      <c r="K818" s="40" t="str">
        <f>IF(Agent05_Withdrawals!A25="","",Agent05_Withdrawals!K25)</f>
        <v/>
      </c>
      <c r="L818" s="40" t="str">
        <f>IF(G818="","",IF(D818-G818&gt;=System_Config!$B$9,"✅ OK","⚠️ BREACH"))</f>
        <v/>
      </c>
      <c r="M818" s="40" t="str">
        <f>IFERROR(IF(Agent05_Withdrawals!A25="","",YEAR(Agent05_Withdrawals!D25)),"")</f>
        <v/>
      </c>
    </row>
    <row r="819" spans="1:13" ht="18" customHeight="1" x14ac:dyDescent="0.25">
      <c r="A819" s="40" t="str">
        <f>IF(Agent05_Withdrawals!A26="","",Agent05_Withdrawals!A26)</f>
        <v/>
      </c>
      <c r="B819" s="40" t="str">
        <f ca="1">IF(Agent05_Withdrawals!A26="","","WD"&amp;TEXT(819-3,"0000")&amp;"-"&amp;TEXT(TODAY(),"YYYYMMDD"))</f>
        <v/>
      </c>
      <c r="C819" s="40" t="str">
        <f>IF(Agent05_Withdrawals!A26="","",Agent05_Withdrawals!B26)</f>
        <v/>
      </c>
      <c r="D819" s="43" t="str">
        <f>IF(Agent05_Withdrawals!A26="","",Agent05_Withdrawals!C26)</f>
        <v/>
      </c>
      <c r="E819" s="41" t="str">
        <f>IF(Agent05_Withdrawals!A26="","",Agent05_Withdrawals!D26)</f>
        <v/>
      </c>
      <c r="F819" s="40" t="str">
        <f>IF(Agent05_Withdrawals!A26="","",Agent05_Withdrawals!F26)</f>
        <v/>
      </c>
      <c r="G819" s="42" t="str">
        <f>IF(Agent05_Withdrawals!A26="","",Agent05_Withdrawals!E26)</f>
        <v/>
      </c>
      <c r="H819" s="42" t="str">
        <f>IF(Agent05_Withdrawals!A26="","",Agent05_Withdrawals!G26)</f>
        <v/>
      </c>
      <c r="I819" s="40" t="str">
        <f>IF(Agent05_Withdrawals!A26="","",Agent05_Withdrawals!H26)</f>
        <v/>
      </c>
      <c r="J819" s="40" t="str">
        <f>IF(Agent05_Withdrawals!A26="","",Agent05_Withdrawals!J26)</f>
        <v/>
      </c>
      <c r="K819" s="40" t="str">
        <f>IF(Agent05_Withdrawals!A26="","",Agent05_Withdrawals!K26)</f>
        <v/>
      </c>
      <c r="L819" s="40" t="str">
        <f>IF(G819="","",IF(D819-G819&gt;=System_Config!$B$9,"✅ OK","⚠️ BREACH"))</f>
        <v/>
      </c>
      <c r="M819" s="40" t="str">
        <f>IFERROR(IF(Agent05_Withdrawals!A26="","",YEAR(Agent05_Withdrawals!D26)),"")</f>
        <v/>
      </c>
    </row>
    <row r="820" spans="1:13" ht="18" customHeight="1" x14ac:dyDescent="0.25">
      <c r="A820" s="40" t="str">
        <f>IF(Agent05_Withdrawals!A27="","",Agent05_Withdrawals!A27)</f>
        <v/>
      </c>
      <c r="B820" s="40" t="str">
        <f ca="1">IF(Agent05_Withdrawals!A27="","","WD"&amp;TEXT(820-3,"0000")&amp;"-"&amp;TEXT(TODAY(),"YYYYMMDD"))</f>
        <v/>
      </c>
      <c r="C820" s="40" t="str">
        <f>IF(Agent05_Withdrawals!A27="","",Agent05_Withdrawals!B27)</f>
        <v/>
      </c>
      <c r="D820" s="43" t="str">
        <f>IF(Agent05_Withdrawals!A27="","",Agent05_Withdrawals!C27)</f>
        <v/>
      </c>
      <c r="E820" s="41" t="str">
        <f>IF(Agent05_Withdrawals!A27="","",Agent05_Withdrawals!D27)</f>
        <v/>
      </c>
      <c r="F820" s="40" t="str">
        <f>IF(Agent05_Withdrawals!A27="","",Agent05_Withdrawals!F27)</f>
        <v/>
      </c>
      <c r="G820" s="42" t="str">
        <f>IF(Agent05_Withdrawals!A27="","",Agent05_Withdrawals!E27)</f>
        <v/>
      </c>
      <c r="H820" s="42" t="str">
        <f>IF(Agent05_Withdrawals!A27="","",Agent05_Withdrawals!G27)</f>
        <v/>
      </c>
      <c r="I820" s="40" t="str">
        <f>IF(Agent05_Withdrawals!A27="","",Agent05_Withdrawals!H27)</f>
        <v/>
      </c>
      <c r="J820" s="40" t="str">
        <f>IF(Agent05_Withdrawals!A27="","",Agent05_Withdrawals!J27)</f>
        <v/>
      </c>
      <c r="K820" s="40" t="str">
        <f>IF(Agent05_Withdrawals!A27="","",Agent05_Withdrawals!K27)</f>
        <v/>
      </c>
      <c r="L820" s="40" t="str">
        <f>IF(G820="","",IF(D820-G820&gt;=System_Config!$B$9,"✅ OK","⚠️ BREACH"))</f>
        <v/>
      </c>
      <c r="M820" s="40" t="str">
        <f>IFERROR(IF(Agent05_Withdrawals!A27="","",YEAR(Agent05_Withdrawals!D27)),"")</f>
        <v/>
      </c>
    </row>
    <row r="821" spans="1:13" ht="18" customHeight="1" x14ac:dyDescent="0.25">
      <c r="A821" s="40" t="str">
        <f>IF(Agent05_Withdrawals!A28="","",Agent05_Withdrawals!A28)</f>
        <v/>
      </c>
      <c r="B821" s="40" t="str">
        <f ca="1">IF(Agent05_Withdrawals!A28="","","WD"&amp;TEXT(821-3,"0000")&amp;"-"&amp;TEXT(TODAY(),"YYYYMMDD"))</f>
        <v/>
      </c>
      <c r="C821" s="40" t="str">
        <f>IF(Agent05_Withdrawals!A28="","",Agent05_Withdrawals!B28)</f>
        <v/>
      </c>
      <c r="D821" s="43" t="str">
        <f>IF(Agent05_Withdrawals!A28="","",Agent05_Withdrawals!C28)</f>
        <v/>
      </c>
      <c r="E821" s="41" t="str">
        <f>IF(Agent05_Withdrawals!A28="","",Agent05_Withdrawals!D28)</f>
        <v/>
      </c>
      <c r="F821" s="40" t="str">
        <f>IF(Agent05_Withdrawals!A28="","",Agent05_Withdrawals!F28)</f>
        <v/>
      </c>
      <c r="G821" s="42" t="str">
        <f>IF(Agent05_Withdrawals!A28="","",Agent05_Withdrawals!E28)</f>
        <v/>
      </c>
      <c r="H821" s="42" t="str">
        <f>IF(Agent05_Withdrawals!A28="","",Agent05_Withdrawals!G28)</f>
        <v/>
      </c>
      <c r="I821" s="40" t="str">
        <f>IF(Agent05_Withdrawals!A28="","",Agent05_Withdrawals!H28)</f>
        <v/>
      </c>
      <c r="J821" s="40" t="str">
        <f>IF(Agent05_Withdrawals!A28="","",Agent05_Withdrawals!J28)</f>
        <v/>
      </c>
      <c r="K821" s="40" t="str">
        <f>IF(Agent05_Withdrawals!A28="","",Agent05_Withdrawals!K28)</f>
        <v/>
      </c>
      <c r="L821" s="40" t="str">
        <f>IF(G821="","",IF(D821-G821&gt;=System_Config!$B$9,"✅ OK","⚠️ BREACH"))</f>
        <v/>
      </c>
      <c r="M821" s="40" t="str">
        <f>IFERROR(IF(Agent05_Withdrawals!A28="","",YEAR(Agent05_Withdrawals!D28)),"")</f>
        <v/>
      </c>
    </row>
    <row r="822" spans="1:13" ht="18" customHeight="1" x14ac:dyDescent="0.25">
      <c r="A822" s="40" t="str">
        <f>IF(Agent05_Withdrawals!A29="","",Agent05_Withdrawals!A29)</f>
        <v/>
      </c>
      <c r="B822" s="40" t="str">
        <f ca="1">IF(Agent05_Withdrawals!A29="","","WD"&amp;TEXT(822-3,"0000")&amp;"-"&amp;TEXT(TODAY(),"YYYYMMDD"))</f>
        <v/>
      </c>
      <c r="C822" s="40" t="str">
        <f>IF(Agent05_Withdrawals!A29="","",Agent05_Withdrawals!B29)</f>
        <v/>
      </c>
      <c r="D822" s="43" t="str">
        <f>IF(Agent05_Withdrawals!A29="","",Agent05_Withdrawals!C29)</f>
        <v/>
      </c>
      <c r="E822" s="41" t="str">
        <f>IF(Agent05_Withdrawals!A29="","",Agent05_Withdrawals!D29)</f>
        <v/>
      </c>
      <c r="F822" s="40" t="str">
        <f>IF(Agent05_Withdrawals!A29="","",Agent05_Withdrawals!F29)</f>
        <v/>
      </c>
      <c r="G822" s="42" t="str">
        <f>IF(Agent05_Withdrawals!A29="","",Agent05_Withdrawals!E29)</f>
        <v/>
      </c>
      <c r="H822" s="42" t="str">
        <f>IF(Agent05_Withdrawals!A29="","",Agent05_Withdrawals!G29)</f>
        <v/>
      </c>
      <c r="I822" s="40" t="str">
        <f>IF(Agent05_Withdrawals!A29="","",Agent05_Withdrawals!H29)</f>
        <v/>
      </c>
      <c r="J822" s="40" t="str">
        <f>IF(Agent05_Withdrawals!A29="","",Agent05_Withdrawals!J29)</f>
        <v/>
      </c>
      <c r="K822" s="40" t="str">
        <f>IF(Agent05_Withdrawals!A29="","",Agent05_Withdrawals!K29)</f>
        <v/>
      </c>
      <c r="L822" s="40" t="str">
        <f>IF(G822="","",IF(D822-G822&gt;=System_Config!$B$9,"✅ OK","⚠️ BREACH"))</f>
        <v/>
      </c>
      <c r="M822" s="40" t="str">
        <f>IFERROR(IF(Agent05_Withdrawals!A29="","",YEAR(Agent05_Withdrawals!D29)),"")</f>
        <v/>
      </c>
    </row>
    <row r="823" spans="1:13" ht="18" customHeight="1" x14ac:dyDescent="0.25">
      <c r="A823" s="40" t="str">
        <f>IF(Agent05_Withdrawals!A30="","",Agent05_Withdrawals!A30)</f>
        <v/>
      </c>
      <c r="B823" s="40" t="str">
        <f ca="1">IF(Agent05_Withdrawals!A30="","","WD"&amp;TEXT(823-3,"0000")&amp;"-"&amp;TEXT(TODAY(),"YYYYMMDD"))</f>
        <v/>
      </c>
      <c r="C823" s="40" t="str">
        <f>IF(Agent05_Withdrawals!A30="","",Agent05_Withdrawals!B30)</f>
        <v/>
      </c>
      <c r="D823" s="43" t="str">
        <f>IF(Agent05_Withdrawals!A30="","",Agent05_Withdrawals!C30)</f>
        <v/>
      </c>
      <c r="E823" s="41" t="str">
        <f>IF(Agent05_Withdrawals!A30="","",Agent05_Withdrawals!D30)</f>
        <v/>
      </c>
      <c r="F823" s="40" t="str">
        <f>IF(Agent05_Withdrawals!A30="","",Agent05_Withdrawals!F30)</f>
        <v/>
      </c>
      <c r="G823" s="42" t="str">
        <f>IF(Agent05_Withdrawals!A30="","",Agent05_Withdrawals!E30)</f>
        <v/>
      </c>
      <c r="H823" s="42" t="str">
        <f>IF(Agent05_Withdrawals!A30="","",Agent05_Withdrawals!G30)</f>
        <v/>
      </c>
      <c r="I823" s="40" t="str">
        <f>IF(Agent05_Withdrawals!A30="","",Agent05_Withdrawals!H30)</f>
        <v/>
      </c>
      <c r="J823" s="40" t="str">
        <f>IF(Agent05_Withdrawals!A30="","",Agent05_Withdrawals!J30)</f>
        <v/>
      </c>
      <c r="K823" s="40" t="str">
        <f>IF(Agent05_Withdrawals!A30="","",Agent05_Withdrawals!K30)</f>
        <v/>
      </c>
      <c r="L823" s="40" t="str">
        <f>IF(G823="","",IF(D823-G823&gt;=System_Config!$B$9,"✅ OK","⚠️ BREACH"))</f>
        <v/>
      </c>
      <c r="M823" s="40" t="str">
        <f>IFERROR(IF(Agent05_Withdrawals!A30="","",YEAR(Agent05_Withdrawals!D30)),"")</f>
        <v/>
      </c>
    </row>
    <row r="824" spans="1:13" ht="18" customHeight="1" x14ac:dyDescent="0.25">
      <c r="A824" s="40" t="str">
        <f>IF(Agent05_Withdrawals!A31="","",Agent05_Withdrawals!A31)</f>
        <v/>
      </c>
      <c r="B824" s="40" t="str">
        <f ca="1">IF(Agent05_Withdrawals!A31="","","WD"&amp;TEXT(824-3,"0000")&amp;"-"&amp;TEXT(TODAY(),"YYYYMMDD"))</f>
        <v/>
      </c>
      <c r="C824" s="40" t="str">
        <f>IF(Agent05_Withdrawals!A31="","",Agent05_Withdrawals!B31)</f>
        <v/>
      </c>
      <c r="D824" s="43" t="str">
        <f>IF(Agent05_Withdrawals!A31="","",Agent05_Withdrawals!C31)</f>
        <v/>
      </c>
      <c r="E824" s="41" t="str">
        <f>IF(Agent05_Withdrawals!A31="","",Agent05_Withdrawals!D31)</f>
        <v/>
      </c>
      <c r="F824" s="40" t="str">
        <f>IF(Agent05_Withdrawals!A31="","",Agent05_Withdrawals!F31)</f>
        <v/>
      </c>
      <c r="G824" s="42" t="str">
        <f>IF(Agent05_Withdrawals!A31="","",Agent05_Withdrawals!E31)</f>
        <v/>
      </c>
      <c r="H824" s="42" t="str">
        <f>IF(Agent05_Withdrawals!A31="","",Agent05_Withdrawals!G31)</f>
        <v/>
      </c>
      <c r="I824" s="40" t="str">
        <f>IF(Agent05_Withdrawals!A31="","",Agent05_Withdrawals!H31)</f>
        <v/>
      </c>
      <c r="J824" s="40" t="str">
        <f>IF(Agent05_Withdrawals!A31="","",Agent05_Withdrawals!J31)</f>
        <v/>
      </c>
      <c r="K824" s="40" t="str">
        <f>IF(Agent05_Withdrawals!A31="","",Agent05_Withdrawals!K31)</f>
        <v/>
      </c>
      <c r="L824" s="40" t="str">
        <f>IF(G824="","",IF(D824-G824&gt;=System_Config!$B$9,"✅ OK","⚠️ BREACH"))</f>
        <v/>
      </c>
      <c r="M824" s="40" t="str">
        <f>IFERROR(IF(Agent05_Withdrawals!A31="","",YEAR(Agent05_Withdrawals!D31)),"")</f>
        <v/>
      </c>
    </row>
    <row r="825" spans="1:13" ht="18" customHeight="1" x14ac:dyDescent="0.25">
      <c r="A825" s="40" t="str">
        <f>IF(Agent05_Withdrawals!A32="","",Agent05_Withdrawals!A32)</f>
        <v/>
      </c>
      <c r="B825" s="40" t="str">
        <f ca="1">IF(Agent05_Withdrawals!A32="","","WD"&amp;TEXT(825-3,"0000")&amp;"-"&amp;TEXT(TODAY(),"YYYYMMDD"))</f>
        <v/>
      </c>
      <c r="C825" s="40" t="str">
        <f>IF(Agent05_Withdrawals!A32="","",Agent05_Withdrawals!B32)</f>
        <v/>
      </c>
      <c r="D825" s="43" t="str">
        <f>IF(Agent05_Withdrawals!A32="","",Agent05_Withdrawals!C32)</f>
        <v/>
      </c>
      <c r="E825" s="41" t="str">
        <f>IF(Agent05_Withdrawals!A32="","",Agent05_Withdrawals!D32)</f>
        <v/>
      </c>
      <c r="F825" s="40" t="str">
        <f>IF(Agent05_Withdrawals!A32="","",Agent05_Withdrawals!F32)</f>
        <v/>
      </c>
      <c r="G825" s="42" t="str">
        <f>IF(Agent05_Withdrawals!A32="","",Agent05_Withdrawals!E32)</f>
        <v/>
      </c>
      <c r="H825" s="42" t="str">
        <f>IF(Agent05_Withdrawals!A32="","",Agent05_Withdrawals!G32)</f>
        <v/>
      </c>
      <c r="I825" s="40" t="str">
        <f>IF(Agent05_Withdrawals!A32="","",Agent05_Withdrawals!H32)</f>
        <v/>
      </c>
      <c r="J825" s="40" t="str">
        <f>IF(Agent05_Withdrawals!A32="","",Agent05_Withdrawals!J32)</f>
        <v/>
      </c>
      <c r="K825" s="40" t="str">
        <f>IF(Agent05_Withdrawals!A32="","",Agent05_Withdrawals!K32)</f>
        <v/>
      </c>
      <c r="L825" s="40" t="str">
        <f>IF(G825="","",IF(D825-G825&gt;=System_Config!$B$9,"✅ OK","⚠️ BREACH"))</f>
        <v/>
      </c>
      <c r="M825" s="40" t="str">
        <f>IFERROR(IF(Agent05_Withdrawals!A32="","",YEAR(Agent05_Withdrawals!D32)),"")</f>
        <v/>
      </c>
    </row>
    <row r="826" spans="1:13" ht="18" customHeight="1" x14ac:dyDescent="0.25">
      <c r="A826" s="40" t="str">
        <f>IF(Agent05_Withdrawals!A33="","",Agent05_Withdrawals!A33)</f>
        <v/>
      </c>
      <c r="B826" s="40" t="str">
        <f ca="1">IF(Agent05_Withdrawals!A33="","","WD"&amp;TEXT(826-3,"0000")&amp;"-"&amp;TEXT(TODAY(),"YYYYMMDD"))</f>
        <v/>
      </c>
      <c r="C826" s="40" t="str">
        <f>IF(Agent05_Withdrawals!A33="","",Agent05_Withdrawals!B33)</f>
        <v/>
      </c>
      <c r="D826" s="43" t="str">
        <f>IF(Agent05_Withdrawals!A33="","",Agent05_Withdrawals!C33)</f>
        <v/>
      </c>
      <c r="E826" s="41" t="str">
        <f>IF(Agent05_Withdrawals!A33="","",Agent05_Withdrawals!D33)</f>
        <v/>
      </c>
      <c r="F826" s="40" t="str">
        <f>IF(Agent05_Withdrawals!A33="","",Agent05_Withdrawals!F33)</f>
        <v/>
      </c>
      <c r="G826" s="42" t="str">
        <f>IF(Agent05_Withdrawals!A33="","",Agent05_Withdrawals!E33)</f>
        <v/>
      </c>
      <c r="H826" s="42" t="str">
        <f>IF(Agent05_Withdrawals!A33="","",Agent05_Withdrawals!G33)</f>
        <v/>
      </c>
      <c r="I826" s="40" t="str">
        <f>IF(Agent05_Withdrawals!A33="","",Agent05_Withdrawals!H33)</f>
        <v/>
      </c>
      <c r="J826" s="40" t="str">
        <f>IF(Agent05_Withdrawals!A33="","",Agent05_Withdrawals!J33)</f>
        <v/>
      </c>
      <c r="K826" s="40" t="str">
        <f>IF(Agent05_Withdrawals!A33="","",Agent05_Withdrawals!K33)</f>
        <v/>
      </c>
      <c r="L826" s="40" t="str">
        <f>IF(G826="","",IF(D826-G826&gt;=System_Config!$B$9,"✅ OK","⚠️ BREACH"))</f>
        <v/>
      </c>
      <c r="M826" s="40" t="str">
        <f>IFERROR(IF(Agent05_Withdrawals!A33="","",YEAR(Agent05_Withdrawals!D33)),"")</f>
        <v/>
      </c>
    </row>
    <row r="827" spans="1:13" ht="18" customHeight="1" x14ac:dyDescent="0.25">
      <c r="A827" s="40" t="str">
        <f>IF(Agent05_Withdrawals!A34="","",Agent05_Withdrawals!A34)</f>
        <v/>
      </c>
      <c r="B827" s="40" t="str">
        <f ca="1">IF(Agent05_Withdrawals!A34="","","WD"&amp;TEXT(827-3,"0000")&amp;"-"&amp;TEXT(TODAY(),"YYYYMMDD"))</f>
        <v/>
      </c>
      <c r="C827" s="40" t="str">
        <f>IF(Agent05_Withdrawals!A34="","",Agent05_Withdrawals!B34)</f>
        <v/>
      </c>
      <c r="D827" s="43" t="str">
        <f>IF(Agent05_Withdrawals!A34="","",Agent05_Withdrawals!C34)</f>
        <v/>
      </c>
      <c r="E827" s="41" t="str">
        <f>IF(Agent05_Withdrawals!A34="","",Agent05_Withdrawals!D34)</f>
        <v/>
      </c>
      <c r="F827" s="40" t="str">
        <f>IF(Agent05_Withdrawals!A34="","",Agent05_Withdrawals!F34)</f>
        <v/>
      </c>
      <c r="G827" s="42" t="str">
        <f>IF(Agent05_Withdrawals!A34="","",Agent05_Withdrawals!E34)</f>
        <v/>
      </c>
      <c r="H827" s="42" t="str">
        <f>IF(Agent05_Withdrawals!A34="","",Agent05_Withdrawals!G34)</f>
        <v/>
      </c>
      <c r="I827" s="40" t="str">
        <f>IF(Agent05_Withdrawals!A34="","",Agent05_Withdrawals!H34)</f>
        <v/>
      </c>
      <c r="J827" s="40" t="str">
        <f>IF(Agent05_Withdrawals!A34="","",Agent05_Withdrawals!J34)</f>
        <v/>
      </c>
      <c r="K827" s="40" t="str">
        <f>IF(Agent05_Withdrawals!A34="","",Agent05_Withdrawals!K34)</f>
        <v/>
      </c>
      <c r="L827" s="40" t="str">
        <f>IF(G827="","",IF(D827-G827&gt;=System_Config!$B$9,"✅ OK","⚠️ BREACH"))</f>
        <v/>
      </c>
      <c r="M827" s="40" t="str">
        <f>IFERROR(IF(Agent05_Withdrawals!A34="","",YEAR(Agent05_Withdrawals!D34)),"")</f>
        <v/>
      </c>
    </row>
    <row r="828" spans="1:13" ht="18" customHeight="1" x14ac:dyDescent="0.25">
      <c r="A828" s="40" t="str">
        <f>IF(Agent05_Withdrawals!A35="","",Agent05_Withdrawals!A35)</f>
        <v/>
      </c>
      <c r="B828" s="40" t="str">
        <f ca="1">IF(Agent05_Withdrawals!A35="","","WD"&amp;TEXT(828-3,"0000")&amp;"-"&amp;TEXT(TODAY(),"YYYYMMDD"))</f>
        <v/>
      </c>
      <c r="C828" s="40" t="str">
        <f>IF(Agent05_Withdrawals!A35="","",Agent05_Withdrawals!B35)</f>
        <v/>
      </c>
      <c r="D828" s="43" t="str">
        <f>IF(Agent05_Withdrawals!A35="","",Agent05_Withdrawals!C35)</f>
        <v/>
      </c>
      <c r="E828" s="41" t="str">
        <f>IF(Agent05_Withdrawals!A35="","",Agent05_Withdrawals!D35)</f>
        <v/>
      </c>
      <c r="F828" s="40" t="str">
        <f>IF(Agent05_Withdrawals!A35="","",Agent05_Withdrawals!F35)</f>
        <v/>
      </c>
      <c r="G828" s="42" t="str">
        <f>IF(Agent05_Withdrawals!A35="","",Agent05_Withdrawals!E35)</f>
        <v/>
      </c>
      <c r="H828" s="42" t="str">
        <f>IF(Agent05_Withdrawals!A35="","",Agent05_Withdrawals!G35)</f>
        <v/>
      </c>
      <c r="I828" s="40" t="str">
        <f>IF(Agent05_Withdrawals!A35="","",Agent05_Withdrawals!H35)</f>
        <v/>
      </c>
      <c r="J828" s="40" t="str">
        <f>IF(Agent05_Withdrawals!A35="","",Agent05_Withdrawals!J35)</f>
        <v/>
      </c>
      <c r="K828" s="40" t="str">
        <f>IF(Agent05_Withdrawals!A35="","",Agent05_Withdrawals!K35)</f>
        <v/>
      </c>
      <c r="L828" s="40" t="str">
        <f>IF(G828="","",IF(D828-G828&gt;=System_Config!$B$9,"✅ OK","⚠️ BREACH"))</f>
        <v/>
      </c>
      <c r="M828" s="40" t="str">
        <f>IFERROR(IF(Agent05_Withdrawals!A35="","",YEAR(Agent05_Withdrawals!D35)),"")</f>
        <v/>
      </c>
    </row>
    <row r="829" spans="1:13" ht="18" customHeight="1" x14ac:dyDescent="0.25">
      <c r="A829" s="40" t="str">
        <f>IF(Agent05_Withdrawals!A36="","",Agent05_Withdrawals!A36)</f>
        <v/>
      </c>
      <c r="B829" s="40" t="str">
        <f ca="1">IF(Agent05_Withdrawals!A36="","","WD"&amp;TEXT(829-3,"0000")&amp;"-"&amp;TEXT(TODAY(),"YYYYMMDD"))</f>
        <v/>
      </c>
      <c r="C829" s="40" t="str">
        <f>IF(Agent05_Withdrawals!A36="","",Agent05_Withdrawals!B36)</f>
        <v/>
      </c>
      <c r="D829" s="43" t="str">
        <f>IF(Agent05_Withdrawals!A36="","",Agent05_Withdrawals!C36)</f>
        <v/>
      </c>
      <c r="E829" s="41" t="str">
        <f>IF(Agent05_Withdrawals!A36="","",Agent05_Withdrawals!D36)</f>
        <v/>
      </c>
      <c r="F829" s="40" t="str">
        <f>IF(Agent05_Withdrawals!A36="","",Agent05_Withdrawals!F36)</f>
        <v/>
      </c>
      <c r="G829" s="42" t="str">
        <f>IF(Agent05_Withdrawals!A36="","",Agent05_Withdrawals!E36)</f>
        <v/>
      </c>
      <c r="H829" s="42" t="str">
        <f>IF(Agent05_Withdrawals!A36="","",Agent05_Withdrawals!G36)</f>
        <v/>
      </c>
      <c r="I829" s="40" t="str">
        <f>IF(Agent05_Withdrawals!A36="","",Agent05_Withdrawals!H36)</f>
        <v/>
      </c>
      <c r="J829" s="40" t="str">
        <f>IF(Agent05_Withdrawals!A36="","",Agent05_Withdrawals!J36)</f>
        <v/>
      </c>
      <c r="K829" s="40" t="str">
        <f>IF(Agent05_Withdrawals!A36="","",Agent05_Withdrawals!K36)</f>
        <v/>
      </c>
      <c r="L829" s="40" t="str">
        <f>IF(G829="","",IF(D829-G829&gt;=System_Config!$B$9,"✅ OK","⚠️ BREACH"))</f>
        <v/>
      </c>
      <c r="M829" s="40" t="str">
        <f>IFERROR(IF(Agent05_Withdrawals!A36="","",YEAR(Agent05_Withdrawals!D36)),"")</f>
        <v/>
      </c>
    </row>
    <row r="830" spans="1:13" ht="18" customHeight="1" x14ac:dyDescent="0.25">
      <c r="A830" s="40" t="str">
        <f>IF(Agent05_Withdrawals!A37="","",Agent05_Withdrawals!A37)</f>
        <v/>
      </c>
      <c r="B830" s="40" t="str">
        <f ca="1">IF(Agent05_Withdrawals!A37="","","WD"&amp;TEXT(830-3,"0000")&amp;"-"&amp;TEXT(TODAY(),"YYYYMMDD"))</f>
        <v/>
      </c>
      <c r="C830" s="40" t="str">
        <f>IF(Agent05_Withdrawals!A37="","",Agent05_Withdrawals!B37)</f>
        <v/>
      </c>
      <c r="D830" s="43" t="str">
        <f>IF(Agent05_Withdrawals!A37="","",Agent05_Withdrawals!C37)</f>
        <v/>
      </c>
      <c r="E830" s="41" t="str">
        <f>IF(Agent05_Withdrawals!A37="","",Agent05_Withdrawals!D37)</f>
        <v/>
      </c>
      <c r="F830" s="40" t="str">
        <f>IF(Agent05_Withdrawals!A37="","",Agent05_Withdrawals!F37)</f>
        <v/>
      </c>
      <c r="G830" s="42" t="str">
        <f>IF(Agent05_Withdrawals!A37="","",Agent05_Withdrawals!E37)</f>
        <v/>
      </c>
      <c r="H830" s="42" t="str">
        <f>IF(Agent05_Withdrawals!A37="","",Agent05_Withdrawals!G37)</f>
        <v/>
      </c>
      <c r="I830" s="40" t="str">
        <f>IF(Agent05_Withdrawals!A37="","",Agent05_Withdrawals!H37)</f>
        <v/>
      </c>
      <c r="J830" s="40" t="str">
        <f>IF(Agent05_Withdrawals!A37="","",Agent05_Withdrawals!J37)</f>
        <v/>
      </c>
      <c r="K830" s="40" t="str">
        <f>IF(Agent05_Withdrawals!A37="","",Agent05_Withdrawals!K37)</f>
        <v/>
      </c>
      <c r="L830" s="40" t="str">
        <f>IF(G830="","",IF(D830-G830&gt;=System_Config!$B$9,"✅ OK","⚠️ BREACH"))</f>
        <v/>
      </c>
      <c r="M830" s="40" t="str">
        <f>IFERROR(IF(Agent05_Withdrawals!A37="","",YEAR(Agent05_Withdrawals!D37)),"")</f>
        <v/>
      </c>
    </row>
    <row r="831" spans="1:13" ht="18" customHeight="1" x14ac:dyDescent="0.25">
      <c r="A831" s="40" t="str">
        <f>IF(Agent05_Withdrawals!A38="","",Agent05_Withdrawals!A38)</f>
        <v/>
      </c>
      <c r="B831" s="40" t="str">
        <f ca="1">IF(Agent05_Withdrawals!A38="","","WD"&amp;TEXT(831-3,"0000")&amp;"-"&amp;TEXT(TODAY(),"YYYYMMDD"))</f>
        <v/>
      </c>
      <c r="C831" s="40" t="str">
        <f>IF(Agent05_Withdrawals!A38="","",Agent05_Withdrawals!B38)</f>
        <v/>
      </c>
      <c r="D831" s="43" t="str">
        <f>IF(Agent05_Withdrawals!A38="","",Agent05_Withdrawals!C38)</f>
        <v/>
      </c>
      <c r="E831" s="41" t="str">
        <f>IF(Agent05_Withdrawals!A38="","",Agent05_Withdrawals!D38)</f>
        <v/>
      </c>
      <c r="F831" s="40" t="str">
        <f>IF(Agent05_Withdrawals!A38="","",Agent05_Withdrawals!F38)</f>
        <v/>
      </c>
      <c r="G831" s="42" t="str">
        <f>IF(Agent05_Withdrawals!A38="","",Agent05_Withdrawals!E38)</f>
        <v/>
      </c>
      <c r="H831" s="42" t="str">
        <f>IF(Agent05_Withdrawals!A38="","",Agent05_Withdrawals!G38)</f>
        <v/>
      </c>
      <c r="I831" s="40" t="str">
        <f>IF(Agent05_Withdrawals!A38="","",Agent05_Withdrawals!H38)</f>
        <v/>
      </c>
      <c r="J831" s="40" t="str">
        <f>IF(Agent05_Withdrawals!A38="","",Agent05_Withdrawals!J38)</f>
        <v/>
      </c>
      <c r="K831" s="40" t="str">
        <f>IF(Agent05_Withdrawals!A38="","",Agent05_Withdrawals!K38)</f>
        <v/>
      </c>
      <c r="L831" s="40" t="str">
        <f>IF(G831="","",IF(D831-G831&gt;=System_Config!$B$9,"✅ OK","⚠️ BREACH"))</f>
        <v/>
      </c>
      <c r="M831" s="40" t="str">
        <f>IFERROR(IF(Agent05_Withdrawals!A38="","",YEAR(Agent05_Withdrawals!D38)),"")</f>
        <v/>
      </c>
    </row>
    <row r="832" spans="1:13" ht="18" customHeight="1" x14ac:dyDescent="0.25">
      <c r="A832" s="40" t="str">
        <f>IF(Agent05_Withdrawals!A39="","",Agent05_Withdrawals!A39)</f>
        <v/>
      </c>
      <c r="B832" s="40" t="str">
        <f ca="1">IF(Agent05_Withdrawals!A39="","","WD"&amp;TEXT(832-3,"0000")&amp;"-"&amp;TEXT(TODAY(),"YYYYMMDD"))</f>
        <v/>
      </c>
      <c r="C832" s="40" t="str">
        <f>IF(Agent05_Withdrawals!A39="","",Agent05_Withdrawals!B39)</f>
        <v/>
      </c>
      <c r="D832" s="43" t="str">
        <f>IF(Agent05_Withdrawals!A39="","",Agent05_Withdrawals!C39)</f>
        <v/>
      </c>
      <c r="E832" s="41" t="str">
        <f>IF(Agent05_Withdrawals!A39="","",Agent05_Withdrawals!D39)</f>
        <v/>
      </c>
      <c r="F832" s="40" t="str">
        <f>IF(Agent05_Withdrawals!A39="","",Agent05_Withdrawals!F39)</f>
        <v/>
      </c>
      <c r="G832" s="42" t="str">
        <f>IF(Agent05_Withdrawals!A39="","",Agent05_Withdrawals!E39)</f>
        <v/>
      </c>
      <c r="H832" s="42" t="str">
        <f>IF(Agent05_Withdrawals!A39="","",Agent05_Withdrawals!G39)</f>
        <v/>
      </c>
      <c r="I832" s="40" t="str">
        <f>IF(Agent05_Withdrawals!A39="","",Agent05_Withdrawals!H39)</f>
        <v/>
      </c>
      <c r="J832" s="40" t="str">
        <f>IF(Agent05_Withdrawals!A39="","",Agent05_Withdrawals!J39)</f>
        <v/>
      </c>
      <c r="K832" s="40" t="str">
        <f>IF(Agent05_Withdrawals!A39="","",Agent05_Withdrawals!K39)</f>
        <v/>
      </c>
      <c r="L832" s="40" t="str">
        <f>IF(G832="","",IF(D832-G832&gt;=System_Config!$B$9,"✅ OK","⚠️ BREACH"))</f>
        <v/>
      </c>
      <c r="M832" s="40" t="str">
        <f>IFERROR(IF(Agent05_Withdrawals!A39="","",YEAR(Agent05_Withdrawals!D39)),"")</f>
        <v/>
      </c>
    </row>
    <row r="833" spans="1:13" ht="18" customHeight="1" x14ac:dyDescent="0.25">
      <c r="A833" s="40" t="str">
        <f>IF(Agent05_Withdrawals!A40="","",Agent05_Withdrawals!A40)</f>
        <v/>
      </c>
      <c r="B833" s="40" t="str">
        <f ca="1">IF(Agent05_Withdrawals!A40="","","WD"&amp;TEXT(833-3,"0000")&amp;"-"&amp;TEXT(TODAY(),"YYYYMMDD"))</f>
        <v/>
      </c>
      <c r="C833" s="40" t="str">
        <f>IF(Agent05_Withdrawals!A40="","",Agent05_Withdrawals!B40)</f>
        <v/>
      </c>
      <c r="D833" s="43" t="str">
        <f>IF(Agent05_Withdrawals!A40="","",Agent05_Withdrawals!C40)</f>
        <v/>
      </c>
      <c r="E833" s="41" t="str">
        <f>IF(Agent05_Withdrawals!A40="","",Agent05_Withdrawals!D40)</f>
        <v/>
      </c>
      <c r="F833" s="40" t="str">
        <f>IF(Agent05_Withdrawals!A40="","",Agent05_Withdrawals!F40)</f>
        <v/>
      </c>
      <c r="G833" s="42" t="str">
        <f>IF(Agent05_Withdrawals!A40="","",Agent05_Withdrawals!E40)</f>
        <v/>
      </c>
      <c r="H833" s="42" t="str">
        <f>IF(Agent05_Withdrawals!A40="","",Agent05_Withdrawals!G40)</f>
        <v/>
      </c>
      <c r="I833" s="40" t="str">
        <f>IF(Agent05_Withdrawals!A40="","",Agent05_Withdrawals!H40)</f>
        <v/>
      </c>
      <c r="J833" s="40" t="str">
        <f>IF(Agent05_Withdrawals!A40="","",Agent05_Withdrawals!J40)</f>
        <v/>
      </c>
      <c r="K833" s="40" t="str">
        <f>IF(Agent05_Withdrawals!A40="","",Agent05_Withdrawals!K40)</f>
        <v/>
      </c>
      <c r="L833" s="40" t="str">
        <f>IF(G833="","",IF(D833-G833&gt;=System_Config!$B$9,"✅ OK","⚠️ BREACH"))</f>
        <v/>
      </c>
      <c r="M833" s="40" t="str">
        <f>IFERROR(IF(Agent05_Withdrawals!A40="","",YEAR(Agent05_Withdrawals!D40)),"")</f>
        <v/>
      </c>
    </row>
    <row r="834" spans="1:13" ht="18" customHeight="1" x14ac:dyDescent="0.25">
      <c r="A834" s="40" t="str">
        <f>IF(Agent05_Withdrawals!A41="","",Agent05_Withdrawals!A41)</f>
        <v/>
      </c>
      <c r="B834" s="40" t="str">
        <f ca="1">IF(Agent05_Withdrawals!A41="","","WD"&amp;TEXT(834-3,"0000")&amp;"-"&amp;TEXT(TODAY(),"YYYYMMDD"))</f>
        <v/>
      </c>
      <c r="C834" s="40" t="str">
        <f>IF(Agent05_Withdrawals!A41="","",Agent05_Withdrawals!B41)</f>
        <v/>
      </c>
      <c r="D834" s="43" t="str">
        <f>IF(Agent05_Withdrawals!A41="","",Agent05_Withdrawals!C41)</f>
        <v/>
      </c>
      <c r="E834" s="41" t="str">
        <f>IF(Agent05_Withdrawals!A41="","",Agent05_Withdrawals!D41)</f>
        <v/>
      </c>
      <c r="F834" s="40" t="str">
        <f>IF(Agent05_Withdrawals!A41="","",Agent05_Withdrawals!F41)</f>
        <v/>
      </c>
      <c r="G834" s="42" t="str">
        <f>IF(Agent05_Withdrawals!A41="","",Agent05_Withdrawals!E41)</f>
        <v/>
      </c>
      <c r="H834" s="42" t="str">
        <f>IF(Agent05_Withdrawals!A41="","",Agent05_Withdrawals!G41)</f>
        <v/>
      </c>
      <c r="I834" s="40" t="str">
        <f>IF(Agent05_Withdrawals!A41="","",Agent05_Withdrawals!H41)</f>
        <v/>
      </c>
      <c r="J834" s="40" t="str">
        <f>IF(Agent05_Withdrawals!A41="","",Agent05_Withdrawals!J41)</f>
        <v/>
      </c>
      <c r="K834" s="40" t="str">
        <f>IF(Agent05_Withdrawals!A41="","",Agent05_Withdrawals!K41)</f>
        <v/>
      </c>
      <c r="L834" s="40" t="str">
        <f>IF(G834="","",IF(D834-G834&gt;=System_Config!$B$9,"✅ OK","⚠️ BREACH"))</f>
        <v/>
      </c>
      <c r="M834" s="40" t="str">
        <f>IFERROR(IF(Agent05_Withdrawals!A41="","",YEAR(Agent05_Withdrawals!D41)),"")</f>
        <v/>
      </c>
    </row>
    <row r="835" spans="1:13" ht="18" customHeight="1" x14ac:dyDescent="0.25">
      <c r="A835" s="40" t="str">
        <f>IF(Agent05_Withdrawals!A42="","",Agent05_Withdrawals!A42)</f>
        <v/>
      </c>
      <c r="B835" s="40" t="str">
        <f ca="1">IF(Agent05_Withdrawals!A42="","","WD"&amp;TEXT(835-3,"0000")&amp;"-"&amp;TEXT(TODAY(),"YYYYMMDD"))</f>
        <v/>
      </c>
      <c r="C835" s="40" t="str">
        <f>IF(Agent05_Withdrawals!A42="","",Agent05_Withdrawals!B42)</f>
        <v/>
      </c>
      <c r="D835" s="43" t="str">
        <f>IF(Agent05_Withdrawals!A42="","",Agent05_Withdrawals!C42)</f>
        <v/>
      </c>
      <c r="E835" s="41" t="str">
        <f>IF(Agent05_Withdrawals!A42="","",Agent05_Withdrawals!D42)</f>
        <v/>
      </c>
      <c r="F835" s="40" t="str">
        <f>IF(Agent05_Withdrawals!A42="","",Agent05_Withdrawals!F42)</f>
        <v/>
      </c>
      <c r="G835" s="42" t="str">
        <f>IF(Agent05_Withdrawals!A42="","",Agent05_Withdrawals!E42)</f>
        <v/>
      </c>
      <c r="H835" s="42" t="str">
        <f>IF(Agent05_Withdrawals!A42="","",Agent05_Withdrawals!G42)</f>
        <v/>
      </c>
      <c r="I835" s="40" t="str">
        <f>IF(Agent05_Withdrawals!A42="","",Agent05_Withdrawals!H42)</f>
        <v/>
      </c>
      <c r="J835" s="40" t="str">
        <f>IF(Agent05_Withdrawals!A42="","",Agent05_Withdrawals!J42)</f>
        <v/>
      </c>
      <c r="K835" s="40" t="str">
        <f>IF(Agent05_Withdrawals!A42="","",Agent05_Withdrawals!K42)</f>
        <v/>
      </c>
      <c r="L835" s="40" t="str">
        <f>IF(G835="","",IF(D835-G835&gt;=System_Config!$B$9,"✅ OK","⚠️ BREACH"))</f>
        <v/>
      </c>
      <c r="M835" s="40" t="str">
        <f>IFERROR(IF(Agent05_Withdrawals!A42="","",YEAR(Agent05_Withdrawals!D42)),"")</f>
        <v/>
      </c>
    </row>
    <row r="836" spans="1:13" ht="18" customHeight="1" x14ac:dyDescent="0.25">
      <c r="A836" s="40" t="str">
        <f>IF(Agent05_Withdrawals!A43="","",Agent05_Withdrawals!A43)</f>
        <v/>
      </c>
      <c r="B836" s="40" t="str">
        <f ca="1">IF(Agent05_Withdrawals!A43="","","WD"&amp;TEXT(836-3,"0000")&amp;"-"&amp;TEXT(TODAY(),"YYYYMMDD"))</f>
        <v/>
      </c>
      <c r="C836" s="40" t="str">
        <f>IF(Agent05_Withdrawals!A43="","",Agent05_Withdrawals!B43)</f>
        <v/>
      </c>
      <c r="D836" s="43" t="str">
        <f>IF(Agent05_Withdrawals!A43="","",Agent05_Withdrawals!C43)</f>
        <v/>
      </c>
      <c r="E836" s="41" t="str">
        <f>IF(Agent05_Withdrawals!A43="","",Agent05_Withdrawals!D43)</f>
        <v/>
      </c>
      <c r="F836" s="40" t="str">
        <f>IF(Agent05_Withdrawals!A43="","",Agent05_Withdrawals!F43)</f>
        <v/>
      </c>
      <c r="G836" s="42" t="str">
        <f>IF(Agent05_Withdrawals!A43="","",Agent05_Withdrawals!E43)</f>
        <v/>
      </c>
      <c r="H836" s="42" t="str">
        <f>IF(Agent05_Withdrawals!A43="","",Agent05_Withdrawals!G43)</f>
        <v/>
      </c>
      <c r="I836" s="40" t="str">
        <f>IF(Agent05_Withdrawals!A43="","",Agent05_Withdrawals!H43)</f>
        <v/>
      </c>
      <c r="J836" s="40" t="str">
        <f>IF(Agent05_Withdrawals!A43="","",Agent05_Withdrawals!J43)</f>
        <v/>
      </c>
      <c r="K836" s="40" t="str">
        <f>IF(Agent05_Withdrawals!A43="","",Agent05_Withdrawals!K43)</f>
        <v/>
      </c>
      <c r="L836" s="40" t="str">
        <f>IF(G836="","",IF(D836-G836&gt;=System_Config!$B$9,"✅ OK","⚠️ BREACH"))</f>
        <v/>
      </c>
      <c r="M836" s="40" t="str">
        <f>IFERROR(IF(Agent05_Withdrawals!A43="","",YEAR(Agent05_Withdrawals!D43)),"")</f>
        <v/>
      </c>
    </row>
    <row r="837" spans="1:13" ht="18" customHeight="1" x14ac:dyDescent="0.25">
      <c r="A837" s="40" t="str">
        <f>IF(Agent05_Withdrawals!A44="","",Agent05_Withdrawals!A44)</f>
        <v/>
      </c>
      <c r="B837" s="40" t="str">
        <f ca="1">IF(Agent05_Withdrawals!A44="","","WD"&amp;TEXT(837-3,"0000")&amp;"-"&amp;TEXT(TODAY(),"YYYYMMDD"))</f>
        <v/>
      </c>
      <c r="C837" s="40" t="str">
        <f>IF(Agent05_Withdrawals!A44="","",Agent05_Withdrawals!B44)</f>
        <v/>
      </c>
      <c r="D837" s="43" t="str">
        <f>IF(Agent05_Withdrawals!A44="","",Agent05_Withdrawals!C44)</f>
        <v/>
      </c>
      <c r="E837" s="41" t="str">
        <f>IF(Agent05_Withdrawals!A44="","",Agent05_Withdrawals!D44)</f>
        <v/>
      </c>
      <c r="F837" s="40" t="str">
        <f>IF(Agent05_Withdrawals!A44="","",Agent05_Withdrawals!F44)</f>
        <v/>
      </c>
      <c r="G837" s="42" t="str">
        <f>IF(Agent05_Withdrawals!A44="","",Agent05_Withdrawals!E44)</f>
        <v/>
      </c>
      <c r="H837" s="42" t="str">
        <f>IF(Agent05_Withdrawals!A44="","",Agent05_Withdrawals!G44)</f>
        <v/>
      </c>
      <c r="I837" s="40" t="str">
        <f>IF(Agent05_Withdrawals!A44="","",Agent05_Withdrawals!H44)</f>
        <v/>
      </c>
      <c r="J837" s="40" t="str">
        <f>IF(Agent05_Withdrawals!A44="","",Agent05_Withdrawals!J44)</f>
        <v/>
      </c>
      <c r="K837" s="40" t="str">
        <f>IF(Agent05_Withdrawals!A44="","",Agent05_Withdrawals!K44)</f>
        <v/>
      </c>
      <c r="L837" s="40" t="str">
        <f>IF(G837="","",IF(D837-G837&gt;=System_Config!$B$9,"✅ OK","⚠️ BREACH"))</f>
        <v/>
      </c>
      <c r="M837" s="40" t="str">
        <f>IFERROR(IF(Agent05_Withdrawals!A44="","",YEAR(Agent05_Withdrawals!D44)),"")</f>
        <v/>
      </c>
    </row>
    <row r="838" spans="1:13" ht="18" customHeight="1" x14ac:dyDescent="0.25">
      <c r="A838" s="40" t="str">
        <f>IF(Agent05_Withdrawals!A45="","",Agent05_Withdrawals!A45)</f>
        <v/>
      </c>
      <c r="B838" s="40" t="str">
        <f ca="1">IF(Agent05_Withdrawals!A45="","","WD"&amp;TEXT(838-3,"0000")&amp;"-"&amp;TEXT(TODAY(),"YYYYMMDD"))</f>
        <v/>
      </c>
      <c r="C838" s="40" t="str">
        <f>IF(Agent05_Withdrawals!A45="","",Agent05_Withdrawals!B45)</f>
        <v/>
      </c>
      <c r="D838" s="43" t="str">
        <f>IF(Agent05_Withdrawals!A45="","",Agent05_Withdrawals!C45)</f>
        <v/>
      </c>
      <c r="E838" s="41" t="str">
        <f>IF(Agent05_Withdrawals!A45="","",Agent05_Withdrawals!D45)</f>
        <v/>
      </c>
      <c r="F838" s="40" t="str">
        <f>IF(Agent05_Withdrawals!A45="","",Agent05_Withdrawals!F45)</f>
        <v/>
      </c>
      <c r="G838" s="42" t="str">
        <f>IF(Agent05_Withdrawals!A45="","",Agent05_Withdrawals!E45)</f>
        <v/>
      </c>
      <c r="H838" s="42" t="str">
        <f>IF(Agent05_Withdrawals!A45="","",Agent05_Withdrawals!G45)</f>
        <v/>
      </c>
      <c r="I838" s="40" t="str">
        <f>IF(Agent05_Withdrawals!A45="","",Agent05_Withdrawals!H45)</f>
        <v/>
      </c>
      <c r="J838" s="40" t="str">
        <f>IF(Agent05_Withdrawals!A45="","",Agent05_Withdrawals!J45)</f>
        <v/>
      </c>
      <c r="K838" s="40" t="str">
        <f>IF(Agent05_Withdrawals!A45="","",Agent05_Withdrawals!K45)</f>
        <v/>
      </c>
      <c r="L838" s="40" t="str">
        <f>IF(G838="","",IF(D838-G838&gt;=System_Config!$B$9,"✅ OK","⚠️ BREACH"))</f>
        <v/>
      </c>
      <c r="M838" s="40" t="str">
        <f>IFERROR(IF(Agent05_Withdrawals!A45="","",YEAR(Agent05_Withdrawals!D45)),"")</f>
        <v/>
      </c>
    </row>
    <row r="839" spans="1:13" ht="18" customHeight="1" x14ac:dyDescent="0.25">
      <c r="A839" s="40" t="str">
        <f>IF(Agent05_Withdrawals!A46="","",Agent05_Withdrawals!A46)</f>
        <v/>
      </c>
      <c r="B839" s="40" t="str">
        <f ca="1">IF(Agent05_Withdrawals!A46="","","WD"&amp;TEXT(839-3,"0000")&amp;"-"&amp;TEXT(TODAY(),"YYYYMMDD"))</f>
        <v/>
      </c>
      <c r="C839" s="40" t="str">
        <f>IF(Agent05_Withdrawals!A46="","",Agent05_Withdrawals!B46)</f>
        <v/>
      </c>
      <c r="D839" s="43" t="str">
        <f>IF(Agent05_Withdrawals!A46="","",Agent05_Withdrawals!C46)</f>
        <v/>
      </c>
      <c r="E839" s="41" t="str">
        <f>IF(Agent05_Withdrawals!A46="","",Agent05_Withdrawals!D46)</f>
        <v/>
      </c>
      <c r="F839" s="40" t="str">
        <f>IF(Agent05_Withdrawals!A46="","",Agent05_Withdrawals!F46)</f>
        <v/>
      </c>
      <c r="G839" s="42" t="str">
        <f>IF(Agent05_Withdrawals!A46="","",Agent05_Withdrawals!E46)</f>
        <v/>
      </c>
      <c r="H839" s="42" t="str">
        <f>IF(Agent05_Withdrawals!A46="","",Agent05_Withdrawals!G46)</f>
        <v/>
      </c>
      <c r="I839" s="40" t="str">
        <f>IF(Agent05_Withdrawals!A46="","",Agent05_Withdrawals!H46)</f>
        <v/>
      </c>
      <c r="J839" s="40" t="str">
        <f>IF(Agent05_Withdrawals!A46="","",Agent05_Withdrawals!J46)</f>
        <v/>
      </c>
      <c r="K839" s="40" t="str">
        <f>IF(Agent05_Withdrawals!A46="","",Agent05_Withdrawals!K46)</f>
        <v/>
      </c>
      <c r="L839" s="40" t="str">
        <f>IF(G839="","",IF(D839-G839&gt;=System_Config!$B$9,"✅ OK","⚠️ BREACH"))</f>
        <v/>
      </c>
      <c r="M839" s="40" t="str">
        <f>IFERROR(IF(Agent05_Withdrawals!A46="","",YEAR(Agent05_Withdrawals!D46)),"")</f>
        <v/>
      </c>
    </row>
    <row r="840" spans="1:13" ht="18" customHeight="1" x14ac:dyDescent="0.25">
      <c r="A840" s="40" t="str">
        <f>IF(Agent05_Withdrawals!A47="","",Agent05_Withdrawals!A47)</f>
        <v/>
      </c>
      <c r="B840" s="40" t="str">
        <f ca="1">IF(Agent05_Withdrawals!A47="","","WD"&amp;TEXT(840-3,"0000")&amp;"-"&amp;TEXT(TODAY(),"YYYYMMDD"))</f>
        <v/>
      </c>
      <c r="C840" s="40" t="str">
        <f>IF(Agent05_Withdrawals!A47="","",Agent05_Withdrawals!B47)</f>
        <v/>
      </c>
      <c r="D840" s="43" t="str">
        <f>IF(Agent05_Withdrawals!A47="","",Agent05_Withdrawals!C47)</f>
        <v/>
      </c>
      <c r="E840" s="41" t="str">
        <f>IF(Agent05_Withdrawals!A47="","",Agent05_Withdrawals!D47)</f>
        <v/>
      </c>
      <c r="F840" s="40" t="str">
        <f>IF(Agent05_Withdrawals!A47="","",Agent05_Withdrawals!F47)</f>
        <v/>
      </c>
      <c r="G840" s="42" t="str">
        <f>IF(Agent05_Withdrawals!A47="","",Agent05_Withdrawals!E47)</f>
        <v/>
      </c>
      <c r="H840" s="42" t="str">
        <f>IF(Agent05_Withdrawals!A47="","",Agent05_Withdrawals!G47)</f>
        <v/>
      </c>
      <c r="I840" s="40" t="str">
        <f>IF(Agent05_Withdrawals!A47="","",Agent05_Withdrawals!H47)</f>
        <v/>
      </c>
      <c r="J840" s="40" t="str">
        <f>IF(Agent05_Withdrawals!A47="","",Agent05_Withdrawals!J47)</f>
        <v/>
      </c>
      <c r="K840" s="40" t="str">
        <f>IF(Agent05_Withdrawals!A47="","",Agent05_Withdrawals!K47)</f>
        <v/>
      </c>
      <c r="L840" s="40" t="str">
        <f>IF(G840="","",IF(D840-G840&gt;=System_Config!$B$9,"✅ OK","⚠️ BREACH"))</f>
        <v/>
      </c>
      <c r="M840" s="40" t="str">
        <f>IFERROR(IF(Agent05_Withdrawals!A47="","",YEAR(Agent05_Withdrawals!D47)),"")</f>
        <v/>
      </c>
    </row>
    <row r="841" spans="1:13" ht="18" customHeight="1" x14ac:dyDescent="0.25">
      <c r="A841" s="40" t="str">
        <f>IF(Agent05_Withdrawals!A48="","",Agent05_Withdrawals!A48)</f>
        <v/>
      </c>
      <c r="B841" s="40" t="str">
        <f ca="1">IF(Agent05_Withdrawals!A48="","","WD"&amp;TEXT(841-3,"0000")&amp;"-"&amp;TEXT(TODAY(),"YYYYMMDD"))</f>
        <v/>
      </c>
      <c r="C841" s="40" t="str">
        <f>IF(Agent05_Withdrawals!A48="","",Agent05_Withdrawals!B48)</f>
        <v/>
      </c>
      <c r="D841" s="43" t="str">
        <f>IF(Agent05_Withdrawals!A48="","",Agent05_Withdrawals!C48)</f>
        <v/>
      </c>
      <c r="E841" s="41" t="str">
        <f>IF(Agent05_Withdrawals!A48="","",Agent05_Withdrawals!D48)</f>
        <v/>
      </c>
      <c r="F841" s="40" t="str">
        <f>IF(Agent05_Withdrawals!A48="","",Agent05_Withdrawals!F48)</f>
        <v/>
      </c>
      <c r="G841" s="42" t="str">
        <f>IF(Agent05_Withdrawals!A48="","",Agent05_Withdrawals!E48)</f>
        <v/>
      </c>
      <c r="H841" s="42" t="str">
        <f>IF(Agent05_Withdrawals!A48="","",Agent05_Withdrawals!G48)</f>
        <v/>
      </c>
      <c r="I841" s="40" t="str">
        <f>IF(Agent05_Withdrawals!A48="","",Agent05_Withdrawals!H48)</f>
        <v/>
      </c>
      <c r="J841" s="40" t="str">
        <f>IF(Agent05_Withdrawals!A48="","",Agent05_Withdrawals!J48)</f>
        <v/>
      </c>
      <c r="K841" s="40" t="str">
        <f>IF(Agent05_Withdrawals!A48="","",Agent05_Withdrawals!K48)</f>
        <v/>
      </c>
      <c r="L841" s="40" t="str">
        <f>IF(G841="","",IF(D841-G841&gt;=System_Config!$B$9,"✅ OK","⚠️ BREACH"))</f>
        <v/>
      </c>
      <c r="M841" s="40" t="str">
        <f>IFERROR(IF(Agent05_Withdrawals!A48="","",YEAR(Agent05_Withdrawals!D48)),"")</f>
        <v/>
      </c>
    </row>
    <row r="842" spans="1:13" ht="18" customHeight="1" x14ac:dyDescent="0.25">
      <c r="A842" s="40" t="str">
        <f>IF(Agent05_Withdrawals!A49="","",Agent05_Withdrawals!A49)</f>
        <v/>
      </c>
      <c r="B842" s="40" t="str">
        <f ca="1">IF(Agent05_Withdrawals!A49="","","WD"&amp;TEXT(842-3,"0000")&amp;"-"&amp;TEXT(TODAY(),"YYYYMMDD"))</f>
        <v/>
      </c>
      <c r="C842" s="40" t="str">
        <f>IF(Agent05_Withdrawals!A49="","",Agent05_Withdrawals!B49)</f>
        <v/>
      </c>
      <c r="D842" s="43" t="str">
        <f>IF(Agent05_Withdrawals!A49="","",Agent05_Withdrawals!C49)</f>
        <v/>
      </c>
      <c r="E842" s="41" t="str">
        <f>IF(Agent05_Withdrawals!A49="","",Agent05_Withdrawals!D49)</f>
        <v/>
      </c>
      <c r="F842" s="40" t="str">
        <f>IF(Agent05_Withdrawals!A49="","",Agent05_Withdrawals!F49)</f>
        <v/>
      </c>
      <c r="G842" s="42" t="str">
        <f>IF(Agent05_Withdrawals!A49="","",Agent05_Withdrawals!E49)</f>
        <v/>
      </c>
      <c r="H842" s="42" t="str">
        <f>IF(Agent05_Withdrawals!A49="","",Agent05_Withdrawals!G49)</f>
        <v/>
      </c>
      <c r="I842" s="40" t="str">
        <f>IF(Agent05_Withdrawals!A49="","",Agent05_Withdrawals!H49)</f>
        <v/>
      </c>
      <c r="J842" s="40" t="str">
        <f>IF(Agent05_Withdrawals!A49="","",Agent05_Withdrawals!J49)</f>
        <v/>
      </c>
      <c r="K842" s="40" t="str">
        <f>IF(Agent05_Withdrawals!A49="","",Agent05_Withdrawals!K49)</f>
        <v/>
      </c>
      <c r="L842" s="40" t="str">
        <f>IF(G842="","",IF(D842-G842&gt;=System_Config!$B$9,"✅ OK","⚠️ BREACH"))</f>
        <v/>
      </c>
      <c r="M842" s="40" t="str">
        <f>IFERROR(IF(Agent05_Withdrawals!A49="","",YEAR(Agent05_Withdrawals!D49)),"")</f>
        <v/>
      </c>
    </row>
    <row r="843" spans="1:13" ht="18" customHeight="1" x14ac:dyDescent="0.25">
      <c r="A843" s="40" t="str">
        <f>IF(Agent05_Withdrawals!A50="","",Agent05_Withdrawals!A50)</f>
        <v/>
      </c>
      <c r="B843" s="40" t="str">
        <f ca="1">IF(Agent05_Withdrawals!A50="","","WD"&amp;TEXT(843-3,"0000")&amp;"-"&amp;TEXT(TODAY(),"YYYYMMDD"))</f>
        <v/>
      </c>
      <c r="C843" s="40" t="str">
        <f>IF(Agent05_Withdrawals!A50="","",Agent05_Withdrawals!B50)</f>
        <v/>
      </c>
      <c r="D843" s="43" t="str">
        <f>IF(Agent05_Withdrawals!A50="","",Agent05_Withdrawals!C50)</f>
        <v/>
      </c>
      <c r="E843" s="41" t="str">
        <f>IF(Agent05_Withdrawals!A50="","",Agent05_Withdrawals!D50)</f>
        <v/>
      </c>
      <c r="F843" s="40" t="str">
        <f>IF(Agent05_Withdrawals!A50="","",Agent05_Withdrawals!F50)</f>
        <v/>
      </c>
      <c r="G843" s="42" t="str">
        <f>IF(Agent05_Withdrawals!A50="","",Agent05_Withdrawals!E50)</f>
        <v/>
      </c>
      <c r="H843" s="42" t="str">
        <f>IF(Agent05_Withdrawals!A50="","",Agent05_Withdrawals!G50)</f>
        <v/>
      </c>
      <c r="I843" s="40" t="str">
        <f>IF(Agent05_Withdrawals!A50="","",Agent05_Withdrawals!H50)</f>
        <v/>
      </c>
      <c r="J843" s="40" t="str">
        <f>IF(Agent05_Withdrawals!A50="","",Agent05_Withdrawals!J50)</f>
        <v/>
      </c>
      <c r="K843" s="40" t="str">
        <f>IF(Agent05_Withdrawals!A50="","",Agent05_Withdrawals!K50)</f>
        <v/>
      </c>
      <c r="L843" s="40" t="str">
        <f>IF(G843="","",IF(D843-G843&gt;=System_Config!$B$9,"✅ OK","⚠️ BREACH"))</f>
        <v/>
      </c>
      <c r="M843" s="40" t="str">
        <f>IFERROR(IF(Agent05_Withdrawals!A50="","",YEAR(Agent05_Withdrawals!D50)),"")</f>
        <v/>
      </c>
    </row>
    <row r="844" spans="1:13" ht="18" customHeight="1" x14ac:dyDescent="0.25">
      <c r="A844" s="40" t="str">
        <f>IF(Agent05_Withdrawals!A51="","",Agent05_Withdrawals!A51)</f>
        <v/>
      </c>
      <c r="B844" s="40" t="str">
        <f ca="1">IF(Agent05_Withdrawals!A51="","","WD"&amp;TEXT(844-3,"0000")&amp;"-"&amp;TEXT(TODAY(),"YYYYMMDD"))</f>
        <v/>
      </c>
      <c r="C844" s="40" t="str">
        <f>IF(Agent05_Withdrawals!A51="","",Agent05_Withdrawals!B51)</f>
        <v/>
      </c>
      <c r="D844" s="43" t="str">
        <f>IF(Agent05_Withdrawals!A51="","",Agent05_Withdrawals!C51)</f>
        <v/>
      </c>
      <c r="E844" s="41" t="str">
        <f>IF(Agent05_Withdrawals!A51="","",Agent05_Withdrawals!D51)</f>
        <v/>
      </c>
      <c r="F844" s="40" t="str">
        <f>IF(Agent05_Withdrawals!A51="","",Agent05_Withdrawals!F51)</f>
        <v/>
      </c>
      <c r="G844" s="42" t="str">
        <f>IF(Agent05_Withdrawals!A51="","",Agent05_Withdrawals!E51)</f>
        <v/>
      </c>
      <c r="H844" s="42" t="str">
        <f>IF(Agent05_Withdrawals!A51="","",Agent05_Withdrawals!G51)</f>
        <v/>
      </c>
      <c r="I844" s="40" t="str">
        <f>IF(Agent05_Withdrawals!A51="","",Agent05_Withdrawals!H51)</f>
        <v/>
      </c>
      <c r="J844" s="40" t="str">
        <f>IF(Agent05_Withdrawals!A51="","",Agent05_Withdrawals!J51)</f>
        <v/>
      </c>
      <c r="K844" s="40" t="str">
        <f>IF(Agent05_Withdrawals!A51="","",Agent05_Withdrawals!K51)</f>
        <v/>
      </c>
      <c r="L844" s="40" t="str">
        <f>IF(G844="","",IF(D844-G844&gt;=System_Config!$B$9,"✅ OK","⚠️ BREACH"))</f>
        <v/>
      </c>
      <c r="M844" s="40" t="str">
        <f>IFERROR(IF(Agent05_Withdrawals!A51="","",YEAR(Agent05_Withdrawals!D51)),"")</f>
        <v/>
      </c>
    </row>
    <row r="845" spans="1:13" ht="18" customHeight="1" x14ac:dyDescent="0.25">
      <c r="A845" s="40" t="str">
        <f>IF(Agent05_Withdrawals!A52="","",Agent05_Withdrawals!A52)</f>
        <v/>
      </c>
      <c r="B845" s="40" t="str">
        <f ca="1">IF(Agent05_Withdrawals!A52="","","WD"&amp;TEXT(845-3,"0000")&amp;"-"&amp;TEXT(TODAY(),"YYYYMMDD"))</f>
        <v/>
      </c>
      <c r="C845" s="40" t="str">
        <f>IF(Agent05_Withdrawals!A52="","",Agent05_Withdrawals!B52)</f>
        <v/>
      </c>
      <c r="D845" s="43" t="str">
        <f>IF(Agent05_Withdrawals!A52="","",Agent05_Withdrawals!C52)</f>
        <v/>
      </c>
      <c r="E845" s="41" t="str">
        <f>IF(Agent05_Withdrawals!A52="","",Agent05_Withdrawals!D52)</f>
        <v/>
      </c>
      <c r="F845" s="40" t="str">
        <f>IF(Agent05_Withdrawals!A52="","",Agent05_Withdrawals!F52)</f>
        <v/>
      </c>
      <c r="G845" s="42" t="str">
        <f>IF(Agent05_Withdrawals!A52="","",Agent05_Withdrawals!E52)</f>
        <v/>
      </c>
      <c r="H845" s="42" t="str">
        <f>IF(Agent05_Withdrawals!A52="","",Agent05_Withdrawals!G52)</f>
        <v/>
      </c>
      <c r="I845" s="40" t="str">
        <f>IF(Agent05_Withdrawals!A52="","",Agent05_Withdrawals!H52)</f>
        <v/>
      </c>
      <c r="J845" s="40" t="str">
        <f>IF(Agent05_Withdrawals!A52="","",Agent05_Withdrawals!J52)</f>
        <v/>
      </c>
      <c r="K845" s="40" t="str">
        <f>IF(Agent05_Withdrawals!A52="","",Agent05_Withdrawals!K52)</f>
        <v/>
      </c>
      <c r="L845" s="40" t="str">
        <f>IF(G845="","",IF(D845-G845&gt;=System_Config!$B$9,"✅ OK","⚠️ BREACH"))</f>
        <v/>
      </c>
      <c r="M845" s="40" t="str">
        <f>IFERROR(IF(Agent05_Withdrawals!A52="","",YEAR(Agent05_Withdrawals!D52)),"")</f>
        <v/>
      </c>
    </row>
    <row r="846" spans="1:13" ht="18" customHeight="1" x14ac:dyDescent="0.25">
      <c r="A846" s="40" t="str">
        <f>IF(Agent05_Withdrawals!A53="","",Agent05_Withdrawals!A53)</f>
        <v/>
      </c>
      <c r="B846" s="40" t="str">
        <f ca="1">IF(Agent05_Withdrawals!A53="","","WD"&amp;TEXT(846-3,"0000")&amp;"-"&amp;TEXT(TODAY(),"YYYYMMDD"))</f>
        <v/>
      </c>
      <c r="C846" s="40" t="str">
        <f>IF(Agent05_Withdrawals!A53="","",Agent05_Withdrawals!B53)</f>
        <v/>
      </c>
      <c r="D846" s="43" t="str">
        <f>IF(Agent05_Withdrawals!A53="","",Agent05_Withdrawals!C53)</f>
        <v/>
      </c>
      <c r="E846" s="41" t="str">
        <f>IF(Agent05_Withdrawals!A53="","",Agent05_Withdrawals!D53)</f>
        <v/>
      </c>
      <c r="F846" s="40" t="str">
        <f>IF(Agent05_Withdrawals!A53="","",Agent05_Withdrawals!F53)</f>
        <v/>
      </c>
      <c r="G846" s="42" t="str">
        <f>IF(Agent05_Withdrawals!A53="","",Agent05_Withdrawals!E53)</f>
        <v/>
      </c>
      <c r="H846" s="42" t="str">
        <f>IF(Agent05_Withdrawals!A53="","",Agent05_Withdrawals!G53)</f>
        <v/>
      </c>
      <c r="I846" s="40" t="str">
        <f>IF(Agent05_Withdrawals!A53="","",Agent05_Withdrawals!H53)</f>
        <v/>
      </c>
      <c r="J846" s="40" t="str">
        <f>IF(Agent05_Withdrawals!A53="","",Agent05_Withdrawals!J53)</f>
        <v/>
      </c>
      <c r="K846" s="40" t="str">
        <f>IF(Agent05_Withdrawals!A53="","",Agent05_Withdrawals!K53)</f>
        <v/>
      </c>
      <c r="L846" s="40" t="str">
        <f>IF(G846="","",IF(D846-G846&gt;=System_Config!$B$9,"✅ OK","⚠️ BREACH"))</f>
        <v/>
      </c>
      <c r="M846" s="40" t="str">
        <f>IFERROR(IF(Agent05_Withdrawals!A53="","",YEAR(Agent05_Withdrawals!D53)),"")</f>
        <v/>
      </c>
    </row>
    <row r="847" spans="1:13" ht="18" customHeight="1" x14ac:dyDescent="0.25">
      <c r="A847" s="40" t="str">
        <f>IF(Agent05_Withdrawals!A54="","",Agent05_Withdrawals!A54)</f>
        <v/>
      </c>
      <c r="B847" s="40" t="str">
        <f ca="1">IF(Agent05_Withdrawals!A54="","","WD"&amp;TEXT(847-3,"0000")&amp;"-"&amp;TEXT(TODAY(),"YYYYMMDD"))</f>
        <v/>
      </c>
      <c r="C847" s="40" t="str">
        <f>IF(Agent05_Withdrawals!A54="","",Agent05_Withdrawals!B54)</f>
        <v/>
      </c>
      <c r="D847" s="43" t="str">
        <f>IF(Agent05_Withdrawals!A54="","",Agent05_Withdrawals!C54)</f>
        <v/>
      </c>
      <c r="E847" s="41" t="str">
        <f>IF(Agent05_Withdrawals!A54="","",Agent05_Withdrawals!D54)</f>
        <v/>
      </c>
      <c r="F847" s="40" t="str">
        <f>IF(Agent05_Withdrawals!A54="","",Agent05_Withdrawals!F54)</f>
        <v/>
      </c>
      <c r="G847" s="42" t="str">
        <f>IF(Agent05_Withdrawals!A54="","",Agent05_Withdrawals!E54)</f>
        <v/>
      </c>
      <c r="H847" s="42" t="str">
        <f>IF(Agent05_Withdrawals!A54="","",Agent05_Withdrawals!G54)</f>
        <v/>
      </c>
      <c r="I847" s="40" t="str">
        <f>IF(Agent05_Withdrawals!A54="","",Agent05_Withdrawals!H54)</f>
        <v/>
      </c>
      <c r="J847" s="40" t="str">
        <f>IF(Agent05_Withdrawals!A54="","",Agent05_Withdrawals!J54)</f>
        <v/>
      </c>
      <c r="K847" s="40" t="str">
        <f>IF(Agent05_Withdrawals!A54="","",Agent05_Withdrawals!K54)</f>
        <v/>
      </c>
      <c r="L847" s="40" t="str">
        <f>IF(G847="","",IF(D847-G847&gt;=System_Config!$B$9,"✅ OK","⚠️ BREACH"))</f>
        <v/>
      </c>
      <c r="M847" s="40" t="str">
        <f>IFERROR(IF(Agent05_Withdrawals!A54="","",YEAR(Agent05_Withdrawals!D54)),"")</f>
        <v/>
      </c>
    </row>
    <row r="848" spans="1:13" ht="18" customHeight="1" x14ac:dyDescent="0.25">
      <c r="A848" s="40" t="str">
        <f>IF(Agent05_Withdrawals!A55="","",Agent05_Withdrawals!A55)</f>
        <v/>
      </c>
      <c r="B848" s="40" t="str">
        <f ca="1">IF(Agent05_Withdrawals!A55="","","WD"&amp;TEXT(848-3,"0000")&amp;"-"&amp;TEXT(TODAY(),"YYYYMMDD"))</f>
        <v/>
      </c>
      <c r="C848" s="40" t="str">
        <f>IF(Agent05_Withdrawals!A55="","",Agent05_Withdrawals!B55)</f>
        <v/>
      </c>
      <c r="D848" s="43" t="str">
        <f>IF(Agent05_Withdrawals!A55="","",Agent05_Withdrawals!C55)</f>
        <v/>
      </c>
      <c r="E848" s="41" t="str">
        <f>IF(Agent05_Withdrawals!A55="","",Agent05_Withdrawals!D55)</f>
        <v/>
      </c>
      <c r="F848" s="40" t="str">
        <f>IF(Agent05_Withdrawals!A55="","",Agent05_Withdrawals!F55)</f>
        <v/>
      </c>
      <c r="G848" s="42" t="str">
        <f>IF(Agent05_Withdrawals!A55="","",Agent05_Withdrawals!E55)</f>
        <v/>
      </c>
      <c r="H848" s="42" t="str">
        <f>IF(Agent05_Withdrawals!A55="","",Agent05_Withdrawals!G55)</f>
        <v/>
      </c>
      <c r="I848" s="40" t="str">
        <f>IF(Agent05_Withdrawals!A55="","",Agent05_Withdrawals!H55)</f>
        <v/>
      </c>
      <c r="J848" s="40" t="str">
        <f>IF(Agent05_Withdrawals!A55="","",Agent05_Withdrawals!J55)</f>
        <v/>
      </c>
      <c r="K848" s="40" t="str">
        <f>IF(Agent05_Withdrawals!A55="","",Agent05_Withdrawals!K55)</f>
        <v/>
      </c>
      <c r="L848" s="40" t="str">
        <f>IF(G848="","",IF(D848-G848&gt;=System_Config!$B$9,"✅ OK","⚠️ BREACH"))</f>
        <v/>
      </c>
      <c r="M848" s="40" t="str">
        <f>IFERROR(IF(Agent05_Withdrawals!A55="","",YEAR(Agent05_Withdrawals!D55)),"")</f>
        <v/>
      </c>
    </row>
    <row r="849" spans="1:13" ht="18" customHeight="1" x14ac:dyDescent="0.25">
      <c r="A849" s="40" t="str">
        <f>IF(Agent05_Withdrawals!A56="","",Agent05_Withdrawals!A56)</f>
        <v/>
      </c>
      <c r="B849" s="40" t="str">
        <f ca="1">IF(Agent05_Withdrawals!A56="","","WD"&amp;TEXT(849-3,"0000")&amp;"-"&amp;TEXT(TODAY(),"YYYYMMDD"))</f>
        <v/>
      </c>
      <c r="C849" s="40" t="str">
        <f>IF(Agent05_Withdrawals!A56="","",Agent05_Withdrawals!B56)</f>
        <v/>
      </c>
      <c r="D849" s="43" t="str">
        <f>IF(Agent05_Withdrawals!A56="","",Agent05_Withdrawals!C56)</f>
        <v/>
      </c>
      <c r="E849" s="41" t="str">
        <f>IF(Agent05_Withdrawals!A56="","",Agent05_Withdrawals!D56)</f>
        <v/>
      </c>
      <c r="F849" s="40" t="str">
        <f>IF(Agent05_Withdrawals!A56="","",Agent05_Withdrawals!F56)</f>
        <v/>
      </c>
      <c r="G849" s="42" t="str">
        <f>IF(Agent05_Withdrawals!A56="","",Agent05_Withdrawals!E56)</f>
        <v/>
      </c>
      <c r="H849" s="42" t="str">
        <f>IF(Agent05_Withdrawals!A56="","",Agent05_Withdrawals!G56)</f>
        <v/>
      </c>
      <c r="I849" s="40" t="str">
        <f>IF(Agent05_Withdrawals!A56="","",Agent05_Withdrawals!H56)</f>
        <v/>
      </c>
      <c r="J849" s="40" t="str">
        <f>IF(Agent05_Withdrawals!A56="","",Agent05_Withdrawals!J56)</f>
        <v/>
      </c>
      <c r="K849" s="40" t="str">
        <f>IF(Agent05_Withdrawals!A56="","",Agent05_Withdrawals!K56)</f>
        <v/>
      </c>
      <c r="L849" s="40" t="str">
        <f>IF(G849="","",IF(D849-G849&gt;=System_Config!$B$9,"✅ OK","⚠️ BREACH"))</f>
        <v/>
      </c>
      <c r="M849" s="40" t="str">
        <f>IFERROR(IF(Agent05_Withdrawals!A56="","",YEAR(Agent05_Withdrawals!D56)),"")</f>
        <v/>
      </c>
    </row>
    <row r="850" spans="1:13" ht="18" customHeight="1" x14ac:dyDescent="0.25">
      <c r="A850" s="40" t="str">
        <f>IF(Agent05_Withdrawals!A57="","",Agent05_Withdrawals!A57)</f>
        <v/>
      </c>
      <c r="B850" s="40" t="str">
        <f ca="1">IF(Agent05_Withdrawals!A57="","","WD"&amp;TEXT(850-3,"0000")&amp;"-"&amp;TEXT(TODAY(),"YYYYMMDD"))</f>
        <v/>
      </c>
      <c r="C850" s="40" t="str">
        <f>IF(Agent05_Withdrawals!A57="","",Agent05_Withdrawals!B57)</f>
        <v/>
      </c>
      <c r="D850" s="43" t="str">
        <f>IF(Agent05_Withdrawals!A57="","",Agent05_Withdrawals!C57)</f>
        <v/>
      </c>
      <c r="E850" s="41" t="str">
        <f>IF(Agent05_Withdrawals!A57="","",Agent05_Withdrawals!D57)</f>
        <v/>
      </c>
      <c r="F850" s="40" t="str">
        <f>IF(Agent05_Withdrawals!A57="","",Agent05_Withdrawals!F57)</f>
        <v/>
      </c>
      <c r="G850" s="42" t="str">
        <f>IF(Agent05_Withdrawals!A57="","",Agent05_Withdrawals!E57)</f>
        <v/>
      </c>
      <c r="H850" s="42" t="str">
        <f>IF(Agent05_Withdrawals!A57="","",Agent05_Withdrawals!G57)</f>
        <v/>
      </c>
      <c r="I850" s="40" t="str">
        <f>IF(Agent05_Withdrawals!A57="","",Agent05_Withdrawals!H57)</f>
        <v/>
      </c>
      <c r="J850" s="40" t="str">
        <f>IF(Agent05_Withdrawals!A57="","",Agent05_Withdrawals!J57)</f>
        <v/>
      </c>
      <c r="K850" s="40" t="str">
        <f>IF(Agent05_Withdrawals!A57="","",Agent05_Withdrawals!K57)</f>
        <v/>
      </c>
      <c r="L850" s="40" t="str">
        <f>IF(G850="","",IF(D850-G850&gt;=System_Config!$B$9,"✅ OK","⚠️ BREACH"))</f>
        <v/>
      </c>
      <c r="M850" s="40" t="str">
        <f>IFERROR(IF(Agent05_Withdrawals!A57="","",YEAR(Agent05_Withdrawals!D57)),"")</f>
        <v/>
      </c>
    </row>
    <row r="851" spans="1:13" ht="18" customHeight="1" x14ac:dyDescent="0.25">
      <c r="A851" s="40" t="str">
        <f>IF(Agent05_Withdrawals!A58="","",Agent05_Withdrawals!A58)</f>
        <v/>
      </c>
      <c r="B851" s="40" t="str">
        <f ca="1">IF(Agent05_Withdrawals!A58="","","WD"&amp;TEXT(851-3,"0000")&amp;"-"&amp;TEXT(TODAY(),"YYYYMMDD"))</f>
        <v/>
      </c>
      <c r="C851" s="40" t="str">
        <f>IF(Agent05_Withdrawals!A58="","",Agent05_Withdrawals!B58)</f>
        <v/>
      </c>
      <c r="D851" s="43" t="str">
        <f>IF(Agent05_Withdrawals!A58="","",Agent05_Withdrawals!C58)</f>
        <v/>
      </c>
      <c r="E851" s="41" t="str">
        <f>IF(Agent05_Withdrawals!A58="","",Agent05_Withdrawals!D58)</f>
        <v/>
      </c>
      <c r="F851" s="40" t="str">
        <f>IF(Agent05_Withdrawals!A58="","",Agent05_Withdrawals!F58)</f>
        <v/>
      </c>
      <c r="G851" s="42" t="str">
        <f>IF(Agent05_Withdrawals!A58="","",Agent05_Withdrawals!E58)</f>
        <v/>
      </c>
      <c r="H851" s="42" t="str">
        <f>IF(Agent05_Withdrawals!A58="","",Agent05_Withdrawals!G58)</f>
        <v/>
      </c>
      <c r="I851" s="40" t="str">
        <f>IF(Agent05_Withdrawals!A58="","",Agent05_Withdrawals!H58)</f>
        <v/>
      </c>
      <c r="J851" s="40" t="str">
        <f>IF(Agent05_Withdrawals!A58="","",Agent05_Withdrawals!J58)</f>
        <v/>
      </c>
      <c r="K851" s="40" t="str">
        <f>IF(Agent05_Withdrawals!A58="","",Agent05_Withdrawals!K58)</f>
        <v/>
      </c>
      <c r="L851" s="40" t="str">
        <f>IF(G851="","",IF(D851-G851&gt;=System_Config!$B$9,"✅ OK","⚠️ BREACH"))</f>
        <v/>
      </c>
      <c r="M851" s="40" t="str">
        <f>IFERROR(IF(Agent05_Withdrawals!A58="","",YEAR(Agent05_Withdrawals!D58)),"")</f>
        <v/>
      </c>
    </row>
    <row r="852" spans="1:13" ht="18" customHeight="1" x14ac:dyDescent="0.25">
      <c r="A852" s="40" t="str">
        <f>IF(Agent05_Withdrawals!A59="","",Agent05_Withdrawals!A59)</f>
        <v/>
      </c>
      <c r="B852" s="40" t="str">
        <f ca="1">IF(Agent05_Withdrawals!A59="","","WD"&amp;TEXT(852-3,"0000")&amp;"-"&amp;TEXT(TODAY(),"YYYYMMDD"))</f>
        <v/>
      </c>
      <c r="C852" s="40" t="str">
        <f>IF(Agent05_Withdrawals!A59="","",Agent05_Withdrawals!B59)</f>
        <v/>
      </c>
      <c r="D852" s="43" t="str">
        <f>IF(Agent05_Withdrawals!A59="","",Agent05_Withdrawals!C59)</f>
        <v/>
      </c>
      <c r="E852" s="41" t="str">
        <f>IF(Agent05_Withdrawals!A59="","",Agent05_Withdrawals!D59)</f>
        <v/>
      </c>
      <c r="F852" s="40" t="str">
        <f>IF(Agent05_Withdrawals!A59="","",Agent05_Withdrawals!F59)</f>
        <v/>
      </c>
      <c r="G852" s="42" t="str">
        <f>IF(Agent05_Withdrawals!A59="","",Agent05_Withdrawals!E59)</f>
        <v/>
      </c>
      <c r="H852" s="42" t="str">
        <f>IF(Agent05_Withdrawals!A59="","",Agent05_Withdrawals!G59)</f>
        <v/>
      </c>
      <c r="I852" s="40" t="str">
        <f>IF(Agent05_Withdrawals!A59="","",Agent05_Withdrawals!H59)</f>
        <v/>
      </c>
      <c r="J852" s="40" t="str">
        <f>IF(Agent05_Withdrawals!A59="","",Agent05_Withdrawals!J59)</f>
        <v/>
      </c>
      <c r="K852" s="40" t="str">
        <f>IF(Agent05_Withdrawals!A59="","",Agent05_Withdrawals!K59)</f>
        <v/>
      </c>
      <c r="L852" s="40" t="str">
        <f>IF(G852="","",IF(D852-G852&gt;=System_Config!$B$9,"✅ OK","⚠️ BREACH"))</f>
        <v/>
      </c>
      <c r="M852" s="40" t="str">
        <f>IFERROR(IF(Agent05_Withdrawals!A59="","",YEAR(Agent05_Withdrawals!D59)),"")</f>
        <v/>
      </c>
    </row>
    <row r="853" spans="1:13" ht="18" customHeight="1" x14ac:dyDescent="0.25">
      <c r="A853" s="40" t="str">
        <f>IF(Agent05_Withdrawals!A60="","",Agent05_Withdrawals!A60)</f>
        <v/>
      </c>
      <c r="B853" s="40" t="str">
        <f ca="1">IF(Agent05_Withdrawals!A60="","","WD"&amp;TEXT(853-3,"0000")&amp;"-"&amp;TEXT(TODAY(),"YYYYMMDD"))</f>
        <v/>
      </c>
      <c r="C853" s="40" t="str">
        <f>IF(Agent05_Withdrawals!A60="","",Agent05_Withdrawals!B60)</f>
        <v/>
      </c>
      <c r="D853" s="43" t="str">
        <f>IF(Agent05_Withdrawals!A60="","",Agent05_Withdrawals!C60)</f>
        <v/>
      </c>
      <c r="E853" s="41" t="str">
        <f>IF(Agent05_Withdrawals!A60="","",Agent05_Withdrawals!D60)</f>
        <v/>
      </c>
      <c r="F853" s="40" t="str">
        <f>IF(Agent05_Withdrawals!A60="","",Agent05_Withdrawals!F60)</f>
        <v/>
      </c>
      <c r="G853" s="42" t="str">
        <f>IF(Agent05_Withdrawals!A60="","",Agent05_Withdrawals!E60)</f>
        <v/>
      </c>
      <c r="H853" s="42" t="str">
        <f>IF(Agent05_Withdrawals!A60="","",Agent05_Withdrawals!G60)</f>
        <v/>
      </c>
      <c r="I853" s="40" t="str">
        <f>IF(Agent05_Withdrawals!A60="","",Agent05_Withdrawals!H60)</f>
        <v/>
      </c>
      <c r="J853" s="40" t="str">
        <f>IF(Agent05_Withdrawals!A60="","",Agent05_Withdrawals!J60)</f>
        <v/>
      </c>
      <c r="K853" s="40" t="str">
        <f>IF(Agent05_Withdrawals!A60="","",Agent05_Withdrawals!K60)</f>
        <v/>
      </c>
      <c r="L853" s="40" t="str">
        <f>IF(G853="","",IF(D853-G853&gt;=System_Config!$B$9,"✅ OK","⚠️ BREACH"))</f>
        <v/>
      </c>
      <c r="M853" s="40" t="str">
        <f>IFERROR(IF(Agent05_Withdrawals!A60="","",YEAR(Agent05_Withdrawals!D60)),"")</f>
        <v/>
      </c>
    </row>
    <row r="854" spans="1:13" ht="18" customHeight="1" x14ac:dyDescent="0.25">
      <c r="A854" s="40" t="str">
        <f>IF(Agent05_Withdrawals!A61="","",Agent05_Withdrawals!A61)</f>
        <v/>
      </c>
      <c r="B854" s="40" t="str">
        <f ca="1">IF(Agent05_Withdrawals!A61="","","WD"&amp;TEXT(854-3,"0000")&amp;"-"&amp;TEXT(TODAY(),"YYYYMMDD"))</f>
        <v/>
      </c>
      <c r="C854" s="40" t="str">
        <f>IF(Agent05_Withdrawals!A61="","",Agent05_Withdrawals!B61)</f>
        <v/>
      </c>
      <c r="D854" s="43" t="str">
        <f>IF(Agent05_Withdrawals!A61="","",Agent05_Withdrawals!C61)</f>
        <v/>
      </c>
      <c r="E854" s="41" t="str">
        <f>IF(Agent05_Withdrawals!A61="","",Agent05_Withdrawals!D61)</f>
        <v/>
      </c>
      <c r="F854" s="40" t="str">
        <f>IF(Agent05_Withdrawals!A61="","",Agent05_Withdrawals!F61)</f>
        <v/>
      </c>
      <c r="G854" s="42" t="str">
        <f>IF(Agent05_Withdrawals!A61="","",Agent05_Withdrawals!E61)</f>
        <v/>
      </c>
      <c r="H854" s="42" t="str">
        <f>IF(Agent05_Withdrawals!A61="","",Agent05_Withdrawals!G61)</f>
        <v/>
      </c>
      <c r="I854" s="40" t="str">
        <f>IF(Agent05_Withdrawals!A61="","",Agent05_Withdrawals!H61)</f>
        <v/>
      </c>
      <c r="J854" s="40" t="str">
        <f>IF(Agent05_Withdrawals!A61="","",Agent05_Withdrawals!J61)</f>
        <v/>
      </c>
      <c r="K854" s="40" t="str">
        <f>IF(Agent05_Withdrawals!A61="","",Agent05_Withdrawals!K61)</f>
        <v/>
      </c>
      <c r="L854" s="40" t="str">
        <f>IF(G854="","",IF(D854-G854&gt;=System_Config!$B$9,"✅ OK","⚠️ BREACH"))</f>
        <v/>
      </c>
      <c r="M854" s="40" t="str">
        <f>IFERROR(IF(Agent05_Withdrawals!A61="","",YEAR(Agent05_Withdrawals!D61)),"")</f>
        <v/>
      </c>
    </row>
    <row r="855" spans="1:13" ht="18" customHeight="1" x14ac:dyDescent="0.25">
      <c r="A855" s="40" t="str">
        <f>IF(Agent05_Withdrawals!A62="","",Agent05_Withdrawals!A62)</f>
        <v/>
      </c>
      <c r="B855" s="40" t="str">
        <f ca="1">IF(Agent05_Withdrawals!A62="","","WD"&amp;TEXT(855-3,"0000")&amp;"-"&amp;TEXT(TODAY(),"YYYYMMDD"))</f>
        <v/>
      </c>
      <c r="C855" s="40" t="str">
        <f>IF(Agent05_Withdrawals!A62="","",Agent05_Withdrawals!B62)</f>
        <v/>
      </c>
      <c r="D855" s="43" t="str">
        <f>IF(Agent05_Withdrawals!A62="","",Agent05_Withdrawals!C62)</f>
        <v/>
      </c>
      <c r="E855" s="41" t="str">
        <f>IF(Agent05_Withdrawals!A62="","",Agent05_Withdrawals!D62)</f>
        <v/>
      </c>
      <c r="F855" s="40" t="str">
        <f>IF(Agent05_Withdrawals!A62="","",Agent05_Withdrawals!F62)</f>
        <v/>
      </c>
      <c r="G855" s="42" t="str">
        <f>IF(Agent05_Withdrawals!A62="","",Agent05_Withdrawals!E62)</f>
        <v/>
      </c>
      <c r="H855" s="42" t="str">
        <f>IF(Agent05_Withdrawals!A62="","",Agent05_Withdrawals!G62)</f>
        <v/>
      </c>
      <c r="I855" s="40" t="str">
        <f>IF(Agent05_Withdrawals!A62="","",Agent05_Withdrawals!H62)</f>
        <v/>
      </c>
      <c r="J855" s="40" t="str">
        <f>IF(Agent05_Withdrawals!A62="","",Agent05_Withdrawals!J62)</f>
        <v/>
      </c>
      <c r="K855" s="40" t="str">
        <f>IF(Agent05_Withdrawals!A62="","",Agent05_Withdrawals!K62)</f>
        <v/>
      </c>
      <c r="L855" s="40" t="str">
        <f>IF(G855="","",IF(D855-G855&gt;=System_Config!$B$9,"✅ OK","⚠️ BREACH"))</f>
        <v/>
      </c>
      <c r="M855" s="40" t="str">
        <f>IFERROR(IF(Agent05_Withdrawals!A62="","",YEAR(Agent05_Withdrawals!D62)),"")</f>
        <v/>
      </c>
    </row>
    <row r="856" spans="1:13" ht="18" customHeight="1" x14ac:dyDescent="0.25">
      <c r="A856" s="40" t="str">
        <f>IF(Agent05_Withdrawals!A63="","",Agent05_Withdrawals!A63)</f>
        <v/>
      </c>
      <c r="B856" s="40" t="str">
        <f ca="1">IF(Agent05_Withdrawals!A63="","","WD"&amp;TEXT(856-3,"0000")&amp;"-"&amp;TEXT(TODAY(),"YYYYMMDD"))</f>
        <v/>
      </c>
      <c r="C856" s="40" t="str">
        <f>IF(Agent05_Withdrawals!A63="","",Agent05_Withdrawals!B63)</f>
        <v/>
      </c>
      <c r="D856" s="43" t="str">
        <f>IF(Agent05_Withdrawals!A63="","",Agent05_Withdrawals!C63)</f>
        <v/>
      </c>
      <c r="E856" s="41" t="str">
        <f>IF(Agent05_Withdrawals!A63="","",Agent05_Withdrawals!D63)</f>
        <v/>
      </c>
      <c r="F856" s="40" t="str">
        <f>IF(Agent05_Withdrawals!A63="","",Agent05_Withdrawals!F63)</f>
        <v/>
      </c>
      <c r="G856" s="42" t="str">
        <f>IF(Agent05_Withdrawals!A63="","",Agent05_Withdrawals!E63)</f>
        <v/>
      </c>
      <c r="H856" s="42" t="str">
        <f>IF(Agent05_Withdrawals!A63="","",Agent05_Withdrawals!G63)</f>
        <v/>
      </c>
      <c r="I856" s="40" t="str">
        <f>IF(Agent05_Withdrawals!A63="","",Agent05_Withdrawals!H63)</f>
        <v/>
      </c>
      <c r="J856" s="40" t="str">
        <f>IF(Agent05_Withdrawals!A63="","",Agent05_Withdrawals!J63)</f>
        <v/>
      </c>
      <c r="K856" s="40" t="str">
        <f>IF(Agent05_Withdrawals!A63="","",Agent05_Withdrawals!K63)</f>
        <v/>
      </c>
      <c r="L856" s="40" t="str">
        <f>IF(G856="","",IF(D856-G856&gt;=System_Config!$B$9,"✅ OK","⚠️ BREACH"))</f>
        <v/>
      </c>
      <c r="M856" s="40" t="str">
        <f>IFERROR(IF(Agent05_Withdrawals!A63="","",YEAR(Agent05_Withdrawals!D63)),"")</f>
        <v/>
      </c>
    </row>
    <row r="857" spans="1:13" ht="18" customHeight="1" x14ac:dyDescent="0.25">
      <c r="A857" s="40" t="str">
        <f>IF(Agent05_Withdrawals!A64="","",Agent05_Withdrawals!A64)</f>
        <v/>
      </c>
      <c r="B857" s="40" t="str">
        <f ca="1">IF(Agent05_Withdrawals!A64="","","WD"&amp;TEXT(857-3,"0000")&amp;"-"&amp;TEXT(TODAY(),"YYYYMMDD"))</f>
        <v/>
      </c>
      <c r="C857" s="40" t="str">
        <f>IF(Agent05_Withdrawals!A64="","",Agent05_Withdrawals!B64)</f>
        <v/>
      </c>
      <c r="D857" s="43" t="str">
        <f>IF(Agent05_Withdrawals!A64="","",Agent05_Withdrawals!C64)</f>
        <v/>
      </c>
      <c r="E857" s="41" t="str">
        <f>IF(Agent05_Withdrawals!A64="","",Agent05_Withdrawals!D64)</f>
        <v/>
      </c>
      <c r="F857" s="40" t="str">
        <f>IF(Agent05_Withdrawals!A64="","",Agent05_Withdrawals!F64)</f>
        <v/>
      </c>
      <c r="G857" s="42" t="str">
        <f>IF(Agent05_Withdrawals!A64="","",Agent05_Withdrawals!E64)</f>
        <v/>
      </c>
      <c r="H857" s="42" t="str">
        <f>IF(Agent05_Withdrawals!A64="","",Agent05_Withdrawals!G64)</f>
        <v/>
      </c>
      <c r="I857" s="40" t="str">
        <f>IF(Agent05_Withdrawals!A64="","",Agent05_Withdrawals!H64)</f>
        <v/>
      </c>
      <c r="J857" s="40" t="str">
        <f>IF(Agent05_Withdrawals!A64="","",Agent05_Withdrawals!J64)</f>
        <v/>
      </c>
      <c r="K857" s="40" t="str">
        <f>IF(Agent05_Withdrawals!A64="","",Agent05_Withdrawals!K64)</f>
        <v/>
      </c>
      <c r="L857" s="40" t="str">
        <f>IF(G857="","",IF(D857-G857&gt;=System_Config!$B$9,"✅ OK","⚠️ BREACH"))</f>
        <v/>
      </c>
      <c r="M857" s="40" t="str">
        <f>IFERROR(IF(Agent05_Withdrawals!A64="","",YEAR(Agent05_Withdrawals!D64)),"")</f>
        <v/>
      </c>
    </row>
    <row r="858" spans="1:13" ht="18" customHeight="1" x14ac:dyDescent="0.25">
      <c r="A858" s="40" t="str">
        <f>IF(Agent05_Withdrawals!A65="","",Agent05_Withdrawals!A65)</f>
        <v/>
      </c>
      <c r="B858" s="40" t="str">
        <f ca="1">IF(Agent05_Withdrawals!A65="","","WD"&amp;TEXT(858-3,"0000")&amp;"-"&amp;TEXT(TODAY(),"YYYYMMDD"))</f>
        <v/>
      </c>
      <c r="C858" s="40" t="str">
        <f>IF(Agent05_Withdrawals!A65="","",Agent05_Withdrawals!B65)</f>
        <v/>
      </c>
      <c r="D858" s="43" t="str">
        <f>IF(Agent05_Withdrawals!A65="","",Agent05_Withdrawals!C65)</f>
        <v/>
      </c>
      <c r="E858" s="41" t="str">
        <f>IF(Agent05_Withdrawals!A65="","",Agent05_Withdrawals!D65)</f>
        <v/>
      </c>
      <c r="F858" s="40" t="str">
        <f>IF(Agent05_Withdrawals!A65="","",Agent05_Withdrawals!F65)</f>
        <v/>
      </c>
      <c r="G858" s="42" t="str">
        <f>IF(Agent05_Withdrawals!A65="","",Agent05_Withdrawals!E65)</f>
        <v/>
      </c>
      <c r="H858" s="42" t="str">
        <f>IF(Agent05_Withdrawals!A65="","",Agent05_Withdrawals!G65)</f>
        <v/>
      </c>
      <c r="I858" s="40" t="str">
        <f>IF(Agent05_Withdrawals!A65="","",Agent05_Withdrawals!H65)</f>
        <v/>
      </c>
      <c r="J858" s="40" t="str">
        <f>IF(Agent05_Withdrawals!A65="","",Agent05_Withdrawals!J65)</f>
        <v/>
      </c>
      <c r="K858" s="40" t="str">
        <f>IF(Agent05_Withdrawals!A65="","",Agent05_Withdrawals!K65)</f>
        <v/>
      </c>
      <c r="L858" s="40" t="str">
        <f>IF(G858="","",IF(D858-G858&gt;=System_Config!$B$9,"✅ OK","⚠️ BREACH"))</f>
        <v/>
      </c>
      <c r="M858" s="40" t="str">
        <f>IFERROR(IF(Agent05_Withdrawals!A65="","",YEAR(Agent05_Withdrawals!D65)),"")</f>
        <v/>
      </c>
    </row>
    <row r="859" spans="1:13" ht="18" customHeight="1" x14ac:dyDescent="0.25">
      <c r="A859" s="40" t="str">
        <f>IF(Agent05_Withdrawals!A66="","",Agent05_Withdrawals!A66)</f>
        <v/>
      </c>
      <c r="B859" s="40" t="str">
        <f ca="1">IF(Agent05_Withdrawals!A66="","","WD"&amp;TEXT(859-3,"0000")&amp;"-"&amp;TEXT(TODAY(),"YYYYMMDD"))</f>
        <v/>
      </c>
      <c r="C859" s="40" t="str">
        <f>IF(Agent05_Withdrawals!A66="","",Agent05_Withdrawals!B66)</f>
        <v/>
      </c>
      <c r="D859" s="43" t="str">
        <f>IF(Agent05_Withdrawals!A66="","",Agent05_Withdrawals!C66)</f>
        <v/>
      </c>
      <c r="E859" s="41" t="str">
        <f>IF(Agent05_Withdrawals!A66="","",Agent05_Withdrawals!D66)</f>
        <v/>
      </c>
      <c r="F859" s="40" t="str">
        <f>IF(Agent05_Withdrawals!A66="","",Agent05_Withdrawals!F66)</f>
        <v/>
      </c>
      <c r="G859" s="42" t="str">
        <f>IF(Agent05_Withdrawals!A66="","",Agent05_Withdrawals!E66)</f>
        <v/>
      </c>
      <c r="H859" s="42" t="str">
        <f>IF(Agent05_Withdrawals!A66="","",Agent05_Withdrawals!G66)</f>
        <v/>
      </c>
      <c r="I859" s="40" t="str">
        <f>IF(Agent05_Withdrawals!A66="","",Agent05_Withdrawals!H66)</f>
        <v/>
      </c>
      <c r="J859" s="40" t="str">
        <f>IF(Agent05_Withdrawals!A66="","",Agent05_Withdrawals!J66)</f>
        <v/>
      </c>
      <c r="K859" s="40" t="str">
        <f>IF(Agent05_Withdrawals!A66="","",Agent05_Withdrawals!K66)</f>
        <v/>
      </c>
      <c r="L859" s="40" t="str">
        <f>IF(G859="","",IF(D859-G859&gt;=System_Config!$B$9,"✅ OK","⚠️ BREACH"))</f>
        <v/>
      </c>
      <c r="M859" s="40" t="str">
        <f>IFERROR(IF(Agent05_Withdrawals!A66="","",YEAR(Agent05_Withdrawals!D66)),"")</f>
        <v/>
      </c>
    </row>
    <row r="860" spans="1:13" ht="18" customHeight="1" x14ac:dyDescent="0.25">
      <c r="A860" s="40" t="str">
        <f>IF(Agent05_Withdrawals!A67="","",Agent05_Withdrawals!A67)</f>
        <v/>
      </c>
      <c r="B860" s="40" t="str">
        <f ca="1">IF(Agent05_Withdrawals!A67="","","WD"&amp;TEXT(860-3,"0000")&amp;"-"&amp;TEXT(TODAY(),"YYYYMMDD"))</f>
        <v/>
      </c>
      <c r="C860" s="40" t="str">
        <f>IF(Agent05_Withdrawals!A67="","",Agent05_Withdrawals!B67)</f>
        <v/>
      </c>
      <c r="D860" s="43" t="str">
        <f>IF(Agent05_Withdrawals!A67="","",Agent05_Withdrawals!C67)</f>
        <v/>
      </c>
      <c r="E860" s="41" t="str">
        <f>IF(Agent05_Withdrawals!A67="","",Agent05_Withdrawals!D67)</f>
        <v/>
      </c>
      <c r="F860" s="40" t="str">
        <f>IF(Agent05_Withdrawals!A67="","",Agent05_Withdrawals!F67)</f>
        <v/>
      </c>
      <c r="G860" s="42" t="str">
        <f>IF(Agent05_Withdrawals!A67="","",Agent05_Withdrawals!E67)</f>
        <v/>
      </c>
      <c r="H860" s="42" t="str">
        <f>IF(Agent05_Withdrawals!A67="","",Agent05_Withdrawals!G67)</f>
        <v/>
      </c>
      <c r="I860" s="40" t="str">
        <f>IF(Agent05_Withdrawals!A67="","",Agent05_Withdrawals!H67)</f>
        <v/>
      </c>
      <c r="J860" s="40" t="str">
        <f>IF(Agent05_Withdrawals!A67="","",Agent05_Withdrawals!J67)</f>
        <v/>
      </c>
      <c r="K860" s="40" t="str">
        <f>IF(Agent05_Withdrawals!A67="","",Agent05_Withdrawals!K67)</f>
        <v/>
      </c>
      <c r="L860" s="40" t="str">
        <f>IF(G860="","",IF(D860-G860&gt;=System_Config!$B$9,"✅ OK","⚠️ BREACH"))</f>
        <v/>
      </c>
      <c r="M860" s="40" t="str">
        <f>IFERROR(IF(Agent05_Withdrawals!A67="","",YEAR(Agent05_Withdrawals!D67)),"")</f>
        <v/>
      </c>
    </row>
    <row r="861" spans="1:13" ht="18" customHeight="1" x14ac:dyDescent="0.25">
      <c r="A861" s="40" t="str">
        <f>IF(Agent05_Withdrawals!A68="","",Agent05_Withdrawals!A68)</f>
        <v/>
      </c>
      <c r="B861" s="40" t="str">
        <f ca="1">IF(Agent05_Withdrawals!A68="","","WD"&amp;TEXT(861-3,"0000")&amp;"-"&amp;TEXT(TODAY(),"YYYYMMDD"))</f>
        <v/>
      </c>
      <c r="C861" s="40" t="str">
        <f>IF(Agent05_Withdrawals!A68="","",Agent05_Withdrawals!B68)</f>
        <v/>
      </c>
      <c r="D861" s="43" t="str">
        <f>IF(Agent05_Withdrawals!A68="","",Agent05_Withdrawals!C68)</f>
        <v/>
      </c>
      <c r="E861" s="41" t="str">
        <f>IF(Agent05_Withdrawals!A68="","",Agent05_Withdrawals!D68)</f>
        <v/>
      </c>
      <c r="F861" s="40" t="str">
        <f>IF(Agent05_Withdrawals!A68="","",Agent05_Withdrawals!F68)</f>
        <v/>
      </c>
      <c r="G861" s="42" t="str">
        <f>IF(Agent05_Withdrawals!A68="","",Agent05_Withdrawals!E68)</f>
        <v/>
      </c>
      <c r="H861" s="42" t="str">
        <f>IF(Agent05_Withdrawals!A68="","",Agent05_Withdrawals!G68)</f>
        <v/>
      </c>
      <c r="I861" s="40" t="str">
        <f>IF(Agent05_Withdrawals!A68="","",Agent05_Withdrawals!H68)</f>
        <v/>
      </c>
      <c r="J861" s="40" t="str">
        <f>IF(Agent05_Withdrawals!A68="","",Agent05_Withdrawals!J68)</f>
        <v/>
      </c>
      <c r="K861" s="40" t="str">
        <f>IF(Agent05_Withdrawals!A68="","",Agent05_Withdrawals!K68)</f>
        <v/>
      </c>
      <c r="L861" s="40" t="str">
        <f>IF(G861="","",IF(D861-G861&gt;=System_Config!$B$9,"✅ OK","⚠️ BREACH"))</f>
        <v/>
      </c>
      <c r="M861" s="40" t="str">
        <f>IFERROR(IF(Agent05_Withdrawals!A68="","",YEAR(Agent05_Withdrawals!D68)),"")</f>
        <v/>
      </c>
    </row>
    <row r="862" spans="1:13" ht="18" customHeight="1" x14ac:dyDescent="0.25">
      <c r="A862" s="40" t="str">
        <f>IF(Agent05_Withdrawals!A69="","",Agent05_Withdrawals!A69)</f>
        <v/>
      </c>
      <c r="B862" s="40" t="str">
        <f ca="1">IF(Agent05_Withdrawals!A69="","","WD"&amp;TEXT(862-3,"0000")&amp;"-"&amp;TEXT(TODAY(),"YYYYMMDD"))</f>
        <v/>
      </c>
      <c r="C862" s="40" t="str">
        <f>IF(Agent05_Withdrawals!A69="","",Agent05_Withdrawals!B69)</f>
        <v/>
      </c>
      <c r="D862" s="43" t="str">
        <f>IF(Agent05_Withdrawals!A69="","",Agent05_Withdrawals!C69)</f>
        <v/>
      </c>
      <c r="E862" s="41" t="str">
        <f>IF(Agent05_Withdrawals!A69="","",Agent05_Withdrawals!D69)</f>
        <v/>
      </c>
      <c r="F862" s="40" t="str">
        <f>IF(Agent05_Withdrawals!A69="","",Agent05_Withdrawals!F69)</f>
        <v/>
      </c>
      <c r="G862" s="42" t="str">
        <f>IF(Agent05_Withdrawals!A69="","",Agent05_Withdrawals!E69)</f>
        <v/>
      </c>
      <c r="H862" s="42" t="str">
        <f>IF(Agent05_Withdrawals!A69="","",Agent05_Withdrawals!G69)</f>
        <v/>
      </c>
      <c r="I862" s="40" t="str">
        <f>IF(Agent05_Withdrawals!A69="","",Agent05_Withdrawals!H69)</f>
        <v/>
      </c>
      <c r="J862" s="40" t="str">
        <f>IF(Agent05_Withdrawals!A69="","",Agent05_Withdrawals!J69)</f>
        <v/>
      </c>
      <c r="K862" s="40" t="str">
        <f>IF(Agent05_Withdrawals!A69="","",Agent05_Withdrawals!K69)</f>
        <v/>
      </c>
      <c r="L862" s="40" t="str">
        <f>IF(G862="","",IF(D862-G862&gt;=System_Config!$B$9,"✅ OK","⚠️ BREACH"))</f>
        <v/>
      </c>
      <c r="M862" s="40" t="str">
        <f>IFERROR(IF(Agent05_Withdrawals!A69="","",YEAR(Agent05_Withdrawals!D69)),"")</f>
        <v/>
      </c>
    </row>
    <row r="863" spans="1:13" ht="18" customHeight="1" x14ac:dyDescent="0.25">
      <c r="A863" s="40" t="str">
        <f>IF(Agent05_Withdrawals!A70="","",Agent05_Withdrawals!A70)</f>
        <v/>
      </c>
      <c r="B863" s="40" t="str">
        <f ca="1">IF(Agent05_Withdrawals!A70="","","WD"&amp;TEXT(863-3,"0000")&amp;"-"&amp;TEXT(TODAY(),"YYYYMMDD"))</f>
        <v/>
      </c>
      <c r="C863" s="40" t="str">
        <f>IF(Agent05_Withdrawals!A70="","",Agent05_Withdrawals!B70)</f>
        <v/>
      </c>
      <c r="D863" s="43" t="str">
        <f>IF(Agent05_Withdrawals!A70="","",Agent05_Withdrawals!C70)</f>
        <v/>
      </c>
      <c r="E863" s="41" t="str">
        <f>IF(Agent05_Withdrawals!A70="","",Agent05_Withdrawals!D70)</f>
        <v/>
      </c>
      <c r="F863" s="40" t="str">
        <f>IF(Agent05_Withdrawals!A70="","",Agent05_Withdrawals!F70)</f>
        <v/>
      </c>
      <c r="G863" s="42" t="str">
        <f>IF(Agent05_Withdrawals!A70="","",Agent05_Withdrawals!E70)</f>
        <v/>
      </c>
      <c r="H863" s="42" t="str">
        <f>IF(Agent05_Withdrawals!A70="","",Agent05_Withdrawals!G70)</f>
        <v/>
      </c>
      <c r="I863" s="40" t="str">
        <f>IF(Agent05_Withdrawals!A70="","",Agent05_Withdrawals!H70)</f>
        <v/>
      </c>
      <c r="J863" s="40" t="str">
        <f>IF(Agent05_Withdrawals!A70="","",Agent05_Withdrawals!J70)</f>
        <v/>
      </c>
      <c r="K863" s="40" t="str">
        <f>IF(Agent05_Withdrawals!A70="","",Agent05_Withdrawals!K70)</f>
        <v/>
      </c>
      <c r="L863" s="40" t="str">
        <f>IF(G863="","",IF(D863-G863&gt;=System_Config!$B$9,"✅ OK","⚠️ BREACH"))</f>
        <v/>
      </c>
      <c r="M863" s="40" t="str">
        <f>IFERROR(IF(Agent05_Withdrawals!A70="","",YEAR(Agent05_Withdrawals!D70)),"")</f>
        <v/>
      </c>
    </row>
    <row r="864" spans="1:13" ht="18" customHeight="1" x14ac:dyDescent="0.25">
      <c r="A864" s="40" t="str">
        <f>IF(Agent05_Withdrawals!A71="","",Agent05_Withdrawals!A71)</f>
        <v/>
      </c>
      <c r="B864" s="40" t="str">
        <f ca="1">IF(Agent05_Withdrawals!A71="","","WD"&amp;TEXT(864-3,"0000")&amp;"-"&amp;TEXT(TODAY(),"YYYYMMDD"))</f>
        <v/>
      </c>
      <c r="C864" s="40" t="str">
        <f>IF(Agent05_Withdrawals!A71="","",Agent05_Withdrawals!B71)</f>
        <v/>
      </c>
      <c r="D864" s="43" t="str">
        <f>IF(Agent05_Withdrawals!A71="","",Agent05_Withdrawals!C71)</f>
        <v/>
      </c>
      <c r="E864" s="41" t="str">
        <f>IF(Agent05_Withdrawals!A71="","",Agent05_Withdrawals!D71)</f>
        <v/>
      </c>
      <c r="F864" s="40" t="str">
        <f>IF(Agent05_Withdrawals!A71="","",Agent05_Withdrawals!F71)</f>
        <v/>
      </c>
      <c r="G864" s="42" t="str">
        <f>IF(Agent05_Withdrawals!A71="","",Agent05_Withdrawals!E71)</f>
        <v/>
      </c>
      <c r="H864" s="42" t="str">
        <f>IF(Agent05_Withdrawals!A71="","",Agent05_Withdrawals!G71)</f>
        <v/>
      </c>
      <c r="I864" s="40" t="str">
        <f>IF(Agent05_Withdrawals!A71="","",Agent05_Withdrawals!H71)</f>
        <v/>
      </c>
      <c r="J864" s="40" t="str">
        <f>IF(Agent05_Withdrawals!A71="","",Agent05_Withdrawals!J71)</f>
        <v/>
      </c>
      <c r="K864" s="40" t="str">
        <f>IF(Agent05_Withdrawals!A71="","",Agent05_Withdrawals!K71)</f>
        <v/>
      </c>
      <c r="L864" s="40" t="str">
        <f>IF(G864="","",IF(D864-G864&gt;=System_Config!$B$9,"✅ OK","⚠️ BREACH"))</f>
        <v/>
      </c>
      <c r="M864" s="40" t="str">
        <f>IFERROR(IF(Agent05_Withdrawals!A71="","",YEAR(Agent05_Withdrawals!D71)),"")</f>
        <v/>
      </c>
    </row>
    <row r="865" spans="1:13" ht="18" customHeight="1" x14ac:dyDescent="0.25">
      <c r="A865" s="40" t="str">
        <f>IF(Agent05_Withdrawals!A72="","",Agent05_Withdrawals!A72)</f>
        <v/>
      </c>
      <c r="B865" s="40" t="str">
        <f ca="1">IF(Agent05_Withdrawals!A72="","","WD"&amp;TEXT(865-3,"0000")&amp;"-"&amp;TEXT(TODAY(),"YYYYMMDD"))</f>
        <v/>
      </c>
      <c r="C865" s="40" t="str">
        <f>IF(Agent05_Withdrawals!A72="","",Agent05_Withdrawals!B72)</f>
        <v/>
      </c>
      <c r="D865" s="43" t="str">
        <f>IF(Agent05_Withdrawals!A72="","",Agent05_Withdrawals!C72)</f>
        <v/>
      </c>
      <c r="E865" s="41" t="str">
        <f>IF(Agent05_Withdrawals!A72="","",Agent05_Withdrawals!D72)</f>
        <v/>
      </c>
      <c r="F865" s="40" t="str">
        <f>IF(Agent05_Withdrawals!A72="","",Agent05_Withdrawals!F72)</f>
        <v/>
      </c>
      <c r="G865" s="42" t="str">
        <f>IF(Agent05_Withdrawals!A72="","",Agent05_Withdrawals!E72)</f>
        <v/>
      </c>
      <c r="H865" s="42" t="str">
        <f>IF(Agent05_Withdrawals!A72="","",Agent05_Withdrawals!G72)</f>
        <v/>
      </c>
      <c r="I865" s="40" t="str">
        <f>IF(Agent05_Withdrawals!A72="","",Agent05_Withdrawals!H72)</f>
        <v/>
      </c>
      <c r="J865" s="40" t="str">
        <f>IF(Agent05_Withdrawals!A72="","",Agent05_Withdrawals!J72)</f>
        <v/>
      </c>
      <c r="K865" s="40" t="str">
        <f>IF(Agent05_Withdrawals!A72="","",Agent05_Withdrawals!K72)</f>
        <v/>
      </c>
      <c r="L865" s="40" t="str">
        <f>IF(G865="","",IF(D865-G865&gt;=System_Config!$B$9,"✅ OK","⚠️ BREACH"))</f>
        <v/>
      </c>
      <c r="M865" s="40" t="str">
        <f>IFERROR(IF(Agent05_Withdrawals!A72="","",YEAR(Agent05_Withdrawals!D72)),"")</f>
        <v/>
      </c>
    </row>
    <row r="866" spans="1:13" ht="18" customHeight="1" x14ac:dyDescent="0.25">
      <c r="A866" s="40" t="str">
        <f>IF(Agent05_Withdrawals!A73="","",Agent05_Withdrawals!A73)</f>
        <v/>
      </c>
      <c r="B866" s="40" t="str">
        <f ca="1">IF(Agent05_Withdrawals!A73="","","WD"&amp;TEXT(866-3,"0000")&amp;"-"&amp;TEXT(TODAY(),"YYYYMMDD"))</f>
        <v/>
      </c>
      <c r="C866" s="40" t="str">
        <f>IF(Agent05_Withdrawals!A73="","",Agent05_Withdrawals!B73)</f>
        <v/>
      </c>
      <c r="D866" s="43" t="str">
        <f>IF(Agent05_Withdrawals!A73="","",Agent05_Withdrawals!C73)</f>
        <v/>
      </c>
      <c r="E866" s="41" t="str">
        <f>IF(Agent05_Withdrawals!A73="","",Agent05_Withdrawals!D73)</f>
        <v/>
      </c>
      <c r="F866" s="40" t="str">
        <f>IF(Agent05_Withdrawals!A73="","",Agent05_Withdrawals!F73)</f>
        <v/>
      </c>
      <c r="G866" s="42" t="str">
        <f>IF(Agent05_Withdrawals!A73="","",Agent05_Withdrawals!E73)</f>
        <v/>
      </c>
      <c r="H866" s="42" t="str">
        <f>IF(Agent05_Withdrawals!A73="","",Agent05_Withdrawals!G73)</f>
        <v/>
      </c>
      <c r="I866" s="40" t="str">
        <f>IF(Agent05_Withdrawals!A73="","",Agent05_Withdrawals!H73)</f>
        <v/>
      </c>
      <c r="J866" s="40" t="str">
        <f>IF(Agent05_Withdrawals!A73="","",Agent05_Withdrawals!J73)</f>
        <v/>
      </c>
      <c r="K866" s="40" t="str">
        <f>IF(Agent05_Withdrawals!A73="","",Agent05_Withdrawals!K73)</f>
        <v/>
      </c>
      <c r="L866" s="40" t="str">
        <f>IF(G866="","",IF(D866-G866&gt;=System_Config!$B$9,"✅ OK","⚠️ BREACH"))</f>
        <v/>
      </c>
      <c r="M866" s="40" t="str">
        <f>IFERROR(IF(Agent05_Withdrawals!A73="","",YEAR(Agent05_Withdrawals!D73)),"")</f>
        <v/>
      </c>
    </row>
    <row r="867" spans="1:13" ht="18" customHeight="1" x14ac:dyDescent="0.25">
      <c r="A867" s="40" t="str">
        <f>IF(Agent05_Withdrawals!A74="","",Agent05_Withdrawals!A74)</f>
        <v/>
      </c>
      <c r="B867" s="40" t="str">
        <f ca="1">IF(Agent05_Withdrawals!A74="","","WD"&amp;TEXT(867-3,"0000")&amp;"-"&amp;TEXT(TODAY(),"YYYYMMDD"))</f>
        <v/>
      </c>
      <c r="C867" s="40" t="str">
        <f>IF(Agent05_Withdrawals!A74="","",Agent05_Withdrawals!B74)</f>
        <v/>
      </c>
      <c r="D867" s="43" t="str">
        <f>IF(Agent05_Withdrawals!A74="","",Agent05_Withdrawals!C74)</f>
        <v/>
      </c>
      <c r="E867" s="41" t="str">
        <f>IF(Agent05_Withdrawals!A74="","",Agent05_Withdrawals!D74)</f>
        <v/>
      </c>
      <c r="F867" s="40" t="str">
        <f>IF(Agent05_Withdrawals!A74="","",Agent05_Withdrawals!F74)</f>
        <v/>
      </c>
      <c r="G867" s="42" t="str">
        <f>IF(Agent05_Withdrawals!A74="","",Agent05_Withdrawals!E74)</f>
        <v/>
      </c>
      <c r="H867" s="42" t="str">
        <f>IF(Agent05_Withdrawals!A74="","",Agent05_Withdrawals!G74)</f>
        <v/>
      </c>
      <c r="I867" s="40" t="str">
        <f>IF(Agent05_Withdrawals!A74="","",Agent05_Withdrawals!H74)</f>
        <v/>
      </c>
      <c r="J867" s="40" t="str">
        <f>IF(Agent05_Withdrawals!A74="","",Agent05_Withdrawals!J74)</f>
        <v/>
      </c>
      <c r="K867" s="40" t="str">
        <f>IF(Agent05_Withdrawals!A74="","",Agent05_Withdrawals!K74)</f>
        <v/>
      </c>
      <c r="L867" s="40" t="str">
        <f>IF(G867="","",IF(D867-G867&gt;=System_Config!$B$9,"✅ OK","⚠️ BREACH"))</f>
        <v/>
      </c>
      <c r="M867" s="40" t="str">
        <f>IFERROR(IF(Agent05_Withdrawals!A74="","",YEAR(Agent05_Withdrawals!D74)),"")</f>
        <v/>
      </c>
    </row>
    <row r="868" spans="1:13" ht="18" customHeight="1" x14ac:dyDescent="0.25">
      <c r="A868" s="40" t="str">
        <f>IF(Agent05_Withdrawals!A75="","",Agent05_Withdrawals!A75)</f>
        <v/>
      </c>
      <c r="B868" s="40" t="str">
        <f ca="1">IF(Agent05_Withdrawals!A75="","","WD"&amp;TEXT(868-3,"0000")&amp;"-"&amp;TEXT(TODAY(),"YYYYMMDD"))</f>
        <v/>
      </c>
      <c r="C868" s="40" t="str">
        <f>IF(Agent05_Withdrawals!A75="","",Agent05_Withdrawals!B75)</f>
        <v/>
      </c>
      <c r="D868" s="43" t="str">
        <f>IF(Agent05_Withdrawals!A75="","",Agent05_Withdrawals!C75)</f>
        <v/>
      </c>
      <c r="E868" s="41" t="str">
        <f>IF(Agent05_Withdrawals!A75="","",Agent05_Withdrawals!D75)</f>
        <v/>
      </c>
      <c r="F868" s="40" t="str">
        <f>IF(Agent05_Withdrawals!A75="","",Agent05_Withdrawals!F75)</f>
        <v/>
      </c>
      <c r="G868" s="42" t="str">
        <f>IF(Agent05_Withdrawals!A75="","",Agent05_Withdrawals!E75)</f>
        <v/>
      </c>
      <c r="H868" s="42" t="str">
        <f>IF(Agent05_Withdrawals!A75="","",Agent05_Withdrawals!G75)</f>
        <v/>
      </c>
      <c r="I868" s="40" t="str">
        <f>IF(Agent05_Withdrawals!A75="","",Agent05_Withdrawals!H75)</f>
        <v/>
      </c>
      <c r="J868" s="40" t="str">
        <f>IF(Agent05_Withdrawals!A75="","",Agent05_Withdrawals!J75)</f>
        <v/>
      </c>
      <c r="K868" s="40" t="str">
        <f>IF(Agent05_Withdrawals!A75="","",Agent05_Withdrawals!K75)</f>
        <v/>
      </c>
      <c r="L868" s="40" t="str">
        <f>IF(G868="","",IF(D868-G868&gt;=System_Config!$B$9,"✅ OK","⚠️ BREACH"))</f>
        <v/>
      </c>
      <c r="M868" s="40" t="str">
        <f>IFERROR(IF(Agent05_Withdrawals!A75="","",YEAR(Agent05_Withdrawals!D75)),"")</f>
        <v/>
      </c>
    </row>
    <row r="869" spans="1:13" ht="18" customHeight="1" x14ac:dyDescent="0.25">
      <c r="A869" s="40" t="str">
        <f>IF(Agent05_Withdrawals!A76="","",Agent05_Withdrawals!A76)</f>
        <v/>
      </c>
      <c r="B869" s="40" t="str">
        <f ca="1">IF(Agent05_Withdrawals!A76="","","WD"&amp;TEXT(869-3,"0000")&amp;"-"&amp;TEXT(TODAY(),"YYYYMMDD"))</f>
        <v/>
      </c>
      <c r="C869" s="40" t="str">
        <f>IF(Agent05_Withdrawals!A76="","",Agent05_Withdrawals!B76)</f>
        <v/>
      </c>
      <c r="D869" s="43" t="str">
        <f>IF(Agent05_Withdrawals!A76="","",Agent05_Withdrawals!C76)</f>
        <v/>
      </c>
      <c r="E869" s="41" t="str">
        <f>IF(Agent05_Withdrawals!A76="","",Agent05_Withdrawals!D76)</f>
        <v/>
      </c>
      <c r="F869" s="40" t="str">
        <f>IF(Agent05_Withdrawals!A76="","",Agent05_Withdrawals!F76)</f>
        <v/>
      </c>
      <c r="G869" s="42" t="str">
        <f>IF(Agent05_Withdrawals!A76="","",Agent05_Withdrawals!E76)</f>
        <v/>
      </c>
      <c r="H869" s="42" t="str">
        <f>IF(Agent05_Withdrawals!A76="","",Agent05_Withdrawals!G76)</f>
        <v/>
      </c>
      <c r="I869" s="40" t="str">
        <f>IF(Agent05_Withdrawals!A76="","",Agent05_Withdrawals!H76)</f>
        <v/>
      </c>
      <c r="J869" s="40" t="str">
        <f>IF(Agent05_Withdrawals!A76="","",Agent05_Withdrawals!J76)</f>
        <v/>
      </c>
      <c r="K869" s="40" t="str">
        <f>IF(Agent05_Withdrawals!A76="","",Agent05_Withdrawals!K76)</f>
        <v/>
      </c>
      <c r="L869" s="40" t="str">
        <f>IF(G869="","",IF(D869-G869&gt;=System_Config!$B$9,"✅ OK","⚠️ BREACH"))</f>
        <v/>
      </c>
      <c r="M869" s="40" t="str">
        <f>IFERROR(IF(Agent05_Withdrawals!A76="","",YEAR(Agent05_Withdrawals!D76)),"")</f>
        <v/>
      </c>
    </row>
    <row r="870" spans="1:13" ht="18" customHeight="1" x14ac:dyDescent="0.25">
      <c r="A870" s="40" t="str">
        <f>IF(Agent05_Withdrawals!A77="","",Agent05_Withdrawals!A77)</f>
        <v/>
      </c>
      <c r="B870" s="40" t="str">
        <f ca="1">IF(Agent05_Withdrawals!A77="","","WD"&amp;TEXT(870-3,"0000")&amp;"-"&amp;TEXT(TODAY(),"YYYYMMDD"))</f>
        <v/>
      </c>
      <c r="C870" s="40" t="str">
        <f>IF(Agent05_Withdrawals!A77="","",Agent05_Withdrawals!B77)</f>
        <v/>
      </c>
      <c r="D870" s="43" t="str">
        <f>IF(Agent05_Withdrawals!A77="","",Agent05_Withdrawals!C77)</f>
        <v/>
      </c>
      <c r="E870" s="41" t="str">
        <f>IF(Agent05_Withdrawals!A77="","",Agent05_Withdrawals!D77)</f>
        <v/>
      </c>
      <c r="F870" s="40" t="str">
        <f>IF(Agent05_Withdrawals!A77="","",Agent05_Withdrawals!F77)</f>
        <v/>
      </c>
      <c r="G870" s="42" t="str">
        <f>IF(Agent05_Withdrawals!A77="","",Agent05_Withdrawals!E77)</f>
        <v/>
      </c>
      <c r="H870" s="42" t="str">
        <f>IF(Agent05_Withdrawals!A77="","",Agent05_Withdrawals!G77)</f>
        <v/>
      </c>
      <c r="I870" s="40" t="str">
        <f>IF(Agent05_Withdrawals!A77="","",Agent05_Withdrawals!H77)</f>
        <v/>
      </c>
      <c r="J870" s="40" t="str">
        <f>IF(Agent05_Withdrawals!A77="","",Agent05_Withdrawals!J77)</f>
        <v/>
      </c>
      <c r="K870" s="40" t="str">
        <f>IF(Agent05_Withdrawals!A77="","",Agent05_Withdrawals!K77)</f>
        <v/>
      </c>
      <c r="L870" s="40" t="str">
        <f>IF(G870="","",IF(D870-G870&gt;=System_Config!$B$9,"✅ OK","⚠️ BREACH"))</f>
        <v/>
      </c>
      <c r="M870" s="40" t="str">
        <f>IFERROR(IF(Agent05_Withdrawals!A77="","",YEAR(Agent05_Withdrawals!D77)),"")</f>
        <v/>
      </c>
    </row>
    <row r="871" spans="1:13" ht="18" customHeight="1" x14ac:dyDescent="0.25">
      <c r="A871" s="40" t="str">
        <f>IF(Agent05_Withdrawals!A78="","",Agent05_Withdrawals!A78)</f>
        <v/>
      </c>
      <c r="B871" s="40" t="str">
        <f ca="1">IF(Agent05_Withdrawals!A78="","","WD"&amp;TEXT(871-3,"0000")&amp;"-"&amp;TEXT(TODAY(),"YYYYMMDD"))</f>
        <v/>
      </c>
      <c r="C871" s="40" t="str">
        <f>IF(Agent05_Withdrawals!A78="","",Agent05_Withdrawals!B78)</f>
        <v/>
      </c>
      <c r="D871" s="43" t="str">
        <f>IF(Agent05_Withdrawals!A78="","",Agent05_Withdrawals!C78)</f>
        <v/>
      </c>
      <c r="E871" s="41" t="str">
        <f>IF(Agent05_Withdrawals!A78="","",Agent05_Withdrawals!D78)</f>
        <v/>
      </c>
      <c r="F871" s="40" t="str">
        <f>IF(Agent05_Withdrawals!A78="","",Agent05_Withdrawals!F78)</f>
        <v/>
      </c>
      <c r="G871" s="42" t="str">
        <f>IF(Agent05_Withdrawals!A78="","",Agent05_Withdrawals!E78)</f>
        <v/>
      </c>
      <c r="H871" s="42" t="str">
        <f>IF(Agent05_Withdrawals!A78="","",Agent05_Withdrawals!G78)</f>
        <v/>
      </c>
      <c r="I871" s="40" t="str">
        <f>IF(Agent05_Withdrawals!A78="","",Agent05_Withdrawals!H78)</f>
        <v/>
      </c>
      <c r="J871" s="40" t="str">
        <f>IF(Agent05_Withdrawals!A78="","",Agent05_Withdrawals!J78)</f>
        <v/>
      </c>
      <c r="K871" s="40" t="str">
        <f>IF(Agent05_Withdrawals!A78="","",Agent05_Withdrawals!K78)</f>
        <v/>
      </c>
      <c r="L871" s="40" t="str">
        <f>IF(G871="","",IF(D871-G871&gt;=System_Config!$B$9,"✅ OK","⚠️ BREACH"))</f>
        <v/>
      </c>
      <c r="M871" s="40" t="str">
        <f>IFERROR(IF(Agent05_Withdrawals!A78="","",YEAR(Agent05_Withdrawals!D78)),"")</f>
        <v/>
      </c>
    </row>
    <row r="872" spans="1:13" ht="18" customHeight="1" x14ac:dyDescent="0.25">
      <c r="A872" s="40" t="str">
        <f>IF(Agent05_Withdrawals!A79="","",Agent05_Withdrawals!A79)</f>
        <v/>
      </c>
      <c r="B872" s="40" t="str">
        <f ca="1">IF(Agent05_Withdrawals!A79="","","WD"&amp;TEXT(872-3,"0000")&amp;"-"&amp;TEXT(TODAY(),"YYYYMMDD"))</f>
        <v/>
      </c>
      <c r="C872" s="40" t="str">
        <f>IF(Agent05_Withdrawals!A79="","",Agent05_Withdrawals!B79)</f>
        <v/>
      </c>
      <c r="D872" s="43" t="str">
        <f>IF(Agent05_Withdrawals!A79="","",Agent05_Withdrawals!C79)</f>
        <v/>
      </c>
      <c r="E872" s="41" t="str">
        <f>IF(Agent05_Withdrawals!A79="","",Agent05_Withdrawals!D79)</f>
        <v/>
      </c>
      <c r="F872" s="40" t="str">
        <f>IF(Agent05_Withdrawals!A79="","",Agent05_Withdrawals!F79)</f>
        <v/>
      </c>
      <c r="G872" s="42" t="str">
        <f>IF(Agent05_Withdrawals!A79="","",Agent05_Withdrawals!E79)</f>
        <v/>
      </c>
      <c r="H872" s="42" t="str">
        <f>IF(Agent05_Withdrawals!A79="","",Agent05_Withdrawals!G79)</f>
        <v/>
      </c>
      <c r="I872" s="40" t="str">
        <f>IF(Agent05_Withdrawals!A79="","",Agent05_Withdrawals!H79)</f>
        <v/>
      </c>
      <c r="J872" s="40" t="str">
        <f>IF(Agent05_Withdrawals!A79="","",Agent05_Withdrawals!J79)</f>
        <v/>
      </c>
      <c r="K872" s="40" t="str">
        <f>IF(Agent05_Withdrawals!A79="","",Agent05_Withdrawals!K79)</f>
        <v/>
      </c>
      <c r="L872" s="40" t="str">
        <f>IF(G872="","",IF(D872-G872&gt;=System_Config!$B$9,"✅ OK","⚠️ BREACH"))</f>
        <v/>
      </c>
      <c r="M872" s="40" t="str">
        <f>IFERROR(IF(Agent05_Withdrawals!A79="","",YEAR(Agent05_Withdrawals!D79)),"")</f>
        <v/>
      </c>
    </row>
    <row r="873" spans="1:13" ht="18" customHeight="1" x14ac:dyDescent="0.25">
      <c r="A873" s="40" t="str">
        <f>IF(Agent05_Withdrawals!A80="","",Agent05_Withdrawals!A80)</f>
        <v/>
      </c>
      <c r="B873" s="40" t="str">
        <f ca="1">IF(Agent05_Withdrawals!A80="","","WD"&amp;TEXT(873-3,"0000")&amp;"-"&amp;TEXT(TODAY(),"YYYYMMDD"))</f>
        <v/>
      </c>
      <c r="C873" s="40" t="str">
        <f>IF(Agent05_Withdrawals!A80="","",Agent05_Withdrawals!B80)</f>
        <v/>
      </c>
      <c r="D873" s="43" t="str">
        <f>IF(Agent05_Withdrawals!A80="","",Agent05_Withdrawals!C80)</f>
        <v/>
      </c>
      <c r="E873" s="41" t="str">
        <f>IF(Agent05_Withdrawals!A80="","",Agent05_Withdrawals!D80)</f>
        <v/>
      </c>
      <c r="F873" s="40" t="str">
        <f>IF(Agent05_Withdrawals!A80="","",Agent05_Withdrawals!F80)</f>
        <v/>
      </c>
      <c r="G873" s="42" t="str">
        <f>IF(Agent05_Withdrawals!A80="","",Agent05_Withdrawals!E80)</f>
        <v/>
      </c>
      <c r="H873" s="42" t="str">
        <f>IF(Agent05_Withdrawals!A80="","",Agent05_Withdrawals!G80)</f>
        <v/>
      </c>
      <c r="I873" s="40" t="str">
        <f>IF(Agent05_Withdrawals!A80="","",Agent05_Withdrawals!H80)</f>
        <v/>
      </c>
      <c r="J873" s="40" t="str">
        <f>IF(Agent05_Withdrawals!A80="","",Agent05_Withdrawals!J80)</f>
        <v/>
      </c>
      <c r="K873" s="40" t="str">
        <f>IF(Agent05_Withdrawals!A80="","",Agent05_Withdrawals!K80)</f>
        <v/>
      </c>
      <c r="L873" s="40" t="str">
        <f>IF(G873="","",IF(D873-G873&gt;=System_Config!$B$9,"✅ OK","⚠️ BREACH"))</f>
        <v/>
      </c>
      <c r="M873" s="40" t="str">
        <f>IFERROR(IF(Agent05_Withdrawals!A80="","",YEAR(Agent05_Withdrawals!D80)),"")</f>
        <v/>
      </c>
    </row>
    <row r="874" spans="1:13" ht="18" customHeight="1" x14ac:dyDescent="0.25">
      <c r="A874" s="40" t="str">
        <f>IF(Agent05_Withdrawals!A81="","",Agent05_Withdrawals!A81)</f>
        <v/>
      </c>
      <c r="B874" s="40" t="str">
        <f ca="1">IF(Agent05_Withdrawals!A81="","","WD"&amp;TEXT(874-3,"0000")&amp;"-"&amp;TEXT(TODAY(),"YYYYMMDD"))</f>
        <v/>
      </c>
      <c r="C874" s="40" t="str">
        <f>IF(Agent05_Withdrawals!A81="","",Agent05_Withdrawals!B81)</f>
        <v/>
      </c>
      <c r="D874" s="43" t="str">
        <f>IF(Agent05_Withdrawals!A81="","",Agent05_Withdrawals!C81)</f>
        <v/>
      </c>
      <c r="E874" s="41" t="str">
        <f>IF(Agent05_Withdrawals!A81="","",Agent05_Withdrawals!D81)</f>
        <v/>
      </c>
      <c r="F874" s="40" t="str">
        <f>IF(Agent05_Withdrawals!A81="","",Agent05_Withdrawals!F81)</f>
        <v/>
      </c>
      <c r="G874" s="42" t="str">
        <f>IF(Agent05_Withdrawals!A81="","",Agent05_Withdrawals!E81)</f>
        <v/>
      </c>
      <c r="H874" s="42" t="str">
        <f>IF(Agent05_Withdrawals!A81="","",Agent05_Withdrawals!G81)</f>
        <v/>
      </c>
      <c r="I874" s="40" t="str">
        <f>IF(Agent05_Withdrawals!A81="","",Agent05_Withdrawals!H81)</f>
        <v/>
      </c>
      <c r="J874" s="40" t="str">
        <f>IF(Agent05_Withdrawals!A81="","",Agent05_Withdrawals!J81)</f>
        <v/>
      </c>
      <c r="K874" s="40" t="str">
        <f>IF(Agent05_Withdrawals!A81="","",Agent05_Withdrawals!K81)</f>
        <v/>
      </c>
      <c r="L874" s="40" t="str">
        <f>IF(G874="","",IF(D874-G874&gt;=System_Config!$B$9,"✅ OK","⚠️ BREACH"))</f>
        <v/>
      </c>
      <c r="M874" s="40" t="str">
        <f>IFERROR(IF(Agent05_Withdrawals!A81="","",YEAR(Agent05_Withdrawals!D81)),"")</f>
        <v/>
      </c>
    </row>
    <row r="875" spans="1:13" ht="18" customHeight="1" x14ac:dyDescent="0.25">
      <c r="A875" s="40" t="str">
        <f>IF(Agent05_Withdrawals!A82="","",Agent05_Withdrawals!A82)</f>
        <v/>
      </c>
      <c r="B875" s="40" t="str">
        <f ca="1">IF(Agent05_Withdrawals!A82="","","WD"&amp;TEXT(875-3,"0000")&amp;"-"&amp;TEXT(TODAY(),"YYYYMMDD"))</f>
        <v/>
      </c>
      <c r="C875" s="40" t="str">
        <f>IF(Agent05_Withdrawals!A82="","",Agent05_Withdrawals!B82)</f>
        <v/>
      </c>
      <c r="D875" s="43" t="str">
        <f>IF(Agent05_Withdrawals!A82="","",Agent05_Withdrawals!C82)</f>
        <v/>
      </c>
      <c r="E875" s="41" t="str">
        <f>IF(Agent05_Withdrawals!A82="","",Agent05_Withdrawals!D82)</f>
        <v/>
      </c>
      <c r="F875" s="40" t="str">
        <f>IF(Agent05_Withdrawals!A82="","",Agent05_Withdrawals!F82)</f>
        <v/>
      </c>
      <c r="G875" s="42" t="str">
        <f>IF(Agent05_Withdrawals!A82="","",Agent05_Withdrawals!E82)</f>
        <v/>
      </c>
      <c r="H875" s="42" t="str">
        <f>IF(Agent05_Withdrawals!A82="","",Agent05_Withdrawals!G82)</f>
        <v/>
      </c>
      <c r="I875" s="40" t="str">
        <f>IF(Agent05_Withdrawals!A82="","",Agent05_Withdrawals!H82)</f>
        <v/>
      </c>
      <c r="J875" s="40" t="str">
        <f>IF(Agent05_Withdrawals!A82="","",Agent05_Withdrawals!J82)</f>
        <v/>
      </c>
      <c r="K875" s="40" t="str">
        <f>IF(Agent05_Withdrawals!A82="","",Agent05_Withdrawals!K82)</f>
        <v/>
      </c>
      <c r="L875" s="40" t="str">
        <f>IF(G875="","",IF(D875-G875&gt;=System_Config!$B$9,"✅ OK","⚠️ BREACH"))</f>
        <v/>
      </c>
      <c r="M875" s="40" t="str">
        <f>IFERROR(IF(Agent05_Withdrawals!A82="","",YEAR(Agent05_Withdrawals!D82)),"")</f>
        <v/>
      </c>
    </row>
    <row r="876" spans="1:13" ht="18" customHeight="1" x14ac:dyDescent="0.25">
      <c r="A876" s="40" t="str">
        <f>IF(Agent05_Withdrawals!A83="","",Agent05_Withdrawals!A83)</f>
        <v/>
      </c>
      <c r="B876" s="40" t="str">
        <f ca="1">IF(Agent05_Withdrawals!A83="","","WD"&amp;TEXT(876-3,"0000")&amp;"-"&amp;TEXT(TODAY(),"YYYYMMDD"))</f>
        <v/>
      </c>
      <c r="C876" s="40" t="str">
        <f>IF(Agent05_Withdrawals!A83="","",Agent05_Withdrawals!B83)</f>
        <v/>
      </c>
      <c r="D876" s="43" t="str">
        <f>IF(Agent05_Withdrawals!A83="","",Agent05_Withdrawals!C83)</f>
        <v/>
      </c>
      <c r="E876" s="41" t="str">
        <f>IF(Agent05_Withdrawals!A83="","",Agent05_Withdrawals!D83)</f>
        <v/>
      </c>
      <c r="F876" s="40" t="str">
        <f>IF(Agent05_Withdrawals!A83="","",Agent05_Withdrawals!F83)</f>
        <v/>
      </c>
      <c r="G876" s="42" t="str">
        <f>IF(Agent05_Withdrawals!A83="","",Agent05_Withdrawals!E83)</f>
        <v/>
      </c>
      <c r="H876" s="42" t="str">
        <f>IF(Agent05_Withdrawals!A83="","",Agent05_Withdrawals!G83)</f>
        <v/>
      </c>
      <c r="I876" s="40" t="str">
        <f>IF(Agent05_Withdrawals!A83="","",Agent05_Withdrawals!H83)</f>
        <v/>
      </c>
      <c r="J876" s="40" t="str">
        <f>IF(Agent05_Withdrawals!A83="","",Agent05_Withdrawals!J83)</f>
        <v/>
      </c>
      <c r="K876" s="40" t="str">
        <f>IF(Agent05_Withdrawals!A83="","",Agent05_Withdrawals!K83)</f>
        <v/>
      </c>
      <c r="L876" s="40" t="str">
        <f>IF(G876="","",IF(D876-G876&gt;=System_Config!$B$9,"✅ OK","⚠️ BREACH"))</f>
        <v/>
      </c>
      <c r="M876" s="40" t="str">
        <f>IFERROR(IF(Agent05_Withdrawals!A83="","",YEAR(Agent05_Withdrawals!D83)),"")</f>
        <v/>
      </c>
    </row>
    <row r="877" spans="1:13" ht="18" customHeight="1" x14ac:dyDescent="0.25">
      <c r="A877" s="40" t="str">
        <f>IF(Agent05_Withdrawals!A84="","",Agent05_Withdrawals!A84)</f>
        <v/>
      </c>
      <c r="B877" s="40" t="str">
        <f ca="1">IF(Agent05_Withdrawals!A84="","","WD"&amp;TEXT(877-3,"0000")&amp;"-"&amp;TEXT(TODAY(),"YYYYMMDD"))</f>
        <v/>
      </c>
      <c r="C877" s="40" t="str">
        <f>IF(Agent05_Withdrawals!A84="","",Agent05_Withdrawals!B84)</f>
        <v/>
      </c>
      <c r="D877" s="43" t="str">
        <f>IF(Agent05_Withdrawals!A84="","",Agent05_Withdrawals!C84)</f>
        <v/>
      </c>
      <c r="E877" s="41" t="str">
        <f>IF(Agent05_Withdrawals!A84="","",Agent05_Withdrawals!D84)</f>
        <v/>
      </c>
      <c r="F877" s="40" t="str">
        <f>IF(Agent05_Withdrawals!A84="","",Agent05_Withdrawals!F84)</f>
        <v/>
      </c>
      <c r="G877" s="42" t="str">
        <f>IF(Agent05_Withdrawals!A84="","",Agent05_Withdrawals!E84)</f>
        <v/>
      </c>
      <c r="H877" s="42" t="str">
        <f>IF(Agent05_Withdrawals!A84="","",Agent05_Withdrawals!G84)</f>
        <v/>
      </c>
      <c r="I877" s="40" t="str">
        <f>IF(Agent05_Withdrawals!A84="","",Agent05_Withdrawals!H84)</f>
        <v/>
      </c>
      <c r="J877" s="40" t="str">
        <f>IF(Agent05_Withdrawals!A84="","",Agent05_Withdrawals!J84)</f>
        <v/>
      </c>
      <c r="K877" s="40" t="str">
        <f>IF(Agent05_Withdrawals!A84="","",Agent05_Withdrawals!K84)</f>
        <v/>
      </c>
      <c r="L877" s="40" t="str">
        <f>IF(G877="","",IF(D877-G877&gt;=System_Config!$B$9,"✅ OK","⚠️ BREACH"))</f>
        <v/>
      </c>
      <c r="M877" s="40" t="str">
        <f>IFERROR(IF(Agent05_Withdrawals!A84="","",YEAR(Agent05_Withdrawals!D84)),"")</f>
        <v/>
      </c>
    </row>
    <row r="878" spans="1:13" ht="18" customHeight="1" x14ac:dyDescent="0.25">
      <c r="A878" s="40" t="str">
        <f>IF(Agent05_Withdrawals!A85="","",Agent05_Withdrawals!A85)</f>
        <v/>
      </c>
      <c r="B878" s="40" t="str">
        <f ca="1">IF(Agent05_Withdrawals!A85="","","WD"&amp;TEXT(878-3,"0000")&amp;"-"&amp;TEXT(TODAY(),"YYYYMMDD"))</f>
        <v/>
      </c>
      <c r="C878" s="40" t="str">
        <f>IF(Agent05_Withdrawals!A85="","",Agent05_Withdrawals!B85)</f>
        <v/>
      </c>
      <c r="D878" s="43" t="str">
        <f>IF(Agent05_Withdrawals!A85="","",Agent05_Withdrawals!C85)</f>
        <v/>
      </c>
      <c r="E878" s="41" t="str">
        <f>IF(Agent05_Withdrawals!A85="","",Agent05_Withdrawals!D85)</f>
        <v/>
      </c>
      <c r="F878" s="40" t="str">
        <f>IF(Agent05_Withdrawals!A85="","",Agent05_Withdrawals!F85)</f>
        <v/>
      </c>
      <c r="G878" s="42" t="str">
        <f>IF(Agent05_Withdrawals!A85="","",Agent05_Withdrawals!E85)</f>
        <v/>
      </c>
      <c r="H878" s="42" t="str">
        <f>IF(Agent05_Withdrawals!A85="","",Agent05_Withdrawals!G85)</f>
        <v/>
      </c>
      <c r="I878" s="40" t="str">
        <f>IF(Agent05_Withdrawals!A85="","",Agent05_Withdrawals!H85)</f>
        <v/>
      </c>
      <c r="J878" s="40" t="str">
        <f>IF(Agent05_Withdrawals!A85="","",Agent05_Withdrawals!J85)</f>
        <v/>
      </c>
      <c r="K878" s="40" t="str">
        <f>IF(Agent05_Withdrawals!A85="","",Agent05_Withdrawals!K85)</f>
        <v/>
      </c>
      <c r="L878" s="40" t="str">
        <f>IF(G878="","",IF(D878-G878&gt;=System_Config!$B$9,"✅ OK","⚠️ BREACH"))</f>
        <v/>
      </c>
      <c r="M878" s="40" t="str">
        <f>IFERROR(IF(Agent05_Withdrawals!A85="","",YEAR(Agent05_Withdrawals!D85)),"")</f>
        <v/>
      </c>
    </row>
    <row r="879" spans="1:13" ht="18" customHeight="1" x14ac:dyDescent="0.25">
      <c r="A879" s="40" t="str">
        <f>IF(Agent05_Withdrawals!A86="","",Agent05_Withdrawals!A86)</f>
        <v/>
      </c>
      <c r="B879" s="40" t="str">
        <f ca="1">IF(Agent05_Withdrawals!A86="","","WD"&amp;TEXT(879-3,"0000")&amp;"-"&amp;TEXT(TODAY(),"YYYYMMDD"))</f>
        <v/>
      </c>
      <c r="C879" s="40" t="str">
        <f>IF(Agent05_Withdrawals!A86="","",Agent05_Withdrawals!B86)</f>
        <v/>
      </c>
      <c r="D879" s="43" t="str">
        <f>IF(Agent05_Withdrawals!A86="","",Agent05_Withdrawals!C86)</f>
        <v/>
      </c>
      <c r="E879" s="41" t="str">
        <f>IF(Agent05_Withdrawals!A86="","",Agent05_Withdrawals!D86)</f>
        <v/>
      </c>
      <c r="F879" s="40" t="str">
        <f>IF(Agent05_Withdrawals!A86="","",Agent05_Withdrawals!F86)</f>
        <v/>
      </c>
      <c r="G879" s="42" t="str">
        <f>IF(Agent05_Withdrawals!A86="","",Agent05_Withdrawals!E86)</f>
        <v/>
      </c>
      <c r="H879" s="42" t="str">
        <f>IF(Agent05_Withdrawals!A86="","",Agent05_Withdrawals!G86)</f>
        <v/>
      </c>
      <c r="I879" s="40" t="str">
        <f>IF(Agent05_Withdrawals!A86="","",Agent05_Withdrawals!H86)</f>
        <v/>
      </c>
      <c r="J879" s="40" t="str">
        <f>IF(Agent05_Withdrawals!A86="","",Agent05_Withdrawals!J86)</f>
        <v/>
      </c>
      <c r="K879" s="40" t="str">
        <f>IF(Agent05_Withdrawals!A86="","",Agent05_Withdrawals!K86)</f>
        <v/>
      </c>
      <c r="L879" s="40" t="str">
        <f>IF(G879="","",IF(D879-G879&gt;=System_Config!$B$9,"✅ OK","⚠️ BREACH"))</f>
        <v/>
      </c>
      <c r="M879" s="40" t="str">
        <f>IFERROR(IF(Agent05_Withdrawals!A86="","",YEAR(Agent05_Withdrawals!D86)),"")</f>
        <v/>
      </c>
    </row>
    <row r="880" spans="1:13" ht="18" customHeight="1" x14ac:dyDescent="0.25">
      <c r="A880" s="40" t="str">
        <f>IF(Agent05_Withdrawals!A87="","",Agent05_Withdrawals!A87)</f>
        <v/>
      </c>
      <c r="B880" s="40" t="str">
        <f ca="1">IF(Agent05_Withdrawals!A87="","","WD"&amp;TEXT(880-3,"0000")&amp;"-"&amp;TEXT(TODAY(),"YYYYMMDD"))</f>
        <v/>
      </c>
      <c r="C880" s="40" t="str">
        <f>IF(Agent05_Withdrawals!A87="","",Agent05_Withdrawals!B87)</f>
        <v/>
      </c>
      <c r="D880" s="43" t="str">
        <f>IF(Agent05_Withdrawals!A87="","",Agent05_Withdrawals!C87)</f>
        <v/>
      </c>
      <c r="E880" s="41" t="str">
        <f>IF(Agent05_Withdrawals!A87="","",Agent05_Withdrawals!D87)</f>
        <v/>
      </c>
      <c r="F880" s="40" t="str">
        <f>IF(Agent05_Withdrawals!A87="","",Agent05_Withdrawals!F87)</f>
        <v/>
      </c>
      <c r="G880" s="42" t="str">
        <f>IF(Agent05_Withdrawals!A87="","",Agent05_Withdrawals!E87)</f>
        <v/>
      </c>
      <c r="H880" s="42" t="str">
        <f>IF(Agent05_Withdrawals!A87="","",Agent05_Withdrawals!G87)</f>
        <v/>
      </c>
      <c r="I880" s="40" t="str">
        <f>IF(Agent05_Withdrawals!A87="","",Agent05_Withdrawals!H87)</f>
        <v/>
      </c>
      <c r="J880" s="40" t="str">
        <f>IF(Agent05_Withdrawals!A87="","",Agent05_Withdrawals!J87)</f>
        <v/>
      </c>
      <c r="K880" s="40" t="str">
        <f>IF(Agent05_Withdrawals!A87="","",Agent05_Withdrawals!K87)</f>
        <v/>
      </c>
      <c r="L880" s="40" t="str">
        <f>IF(G880="","",IF(D880-G880&gt;=System_Config!$B$9,"✅ OK","⚠️ BREACH"))</f>
        <v/>
      </c>
      <c r="M880" s="40" t="str">
        <f>IFERROR(IF(Agent05_Withdrawals!A87="","",YEAR(Agent05_Withdrawals!D87)),"")</f>
        <v/>
      </c>
    </row>
    <row r="881" spans="1:13" ht="18" customHeight="1" x14ac:dyDescent="0.25">
      <c r="A881" s="40" t="str">
        <f>IF(Agent05_Withdrawals!A88="","",Agent05_Withdrawals!A88)</f>
        <v/>
      </c>
      <c r="B881" s="40" t="str">
        <f ca="1">IF(Agent05_Withdrawals!A88="","","WD"&amp;TEXT(881-3,"0000")&amp;"-"&amp;TEXT(TODAY(),"YYYYMMDD"))</f>
        <v/>
      </c>
      <c r="C881" s="40" t="str">
        <f>IF(Agent05_Withdrawals!A88="","",Agent05_Withdrawals!B88)</f>
        <v/>
      </c>
      <c r="D881" s="43" t="str">
        <f>IF(Agent05_Withdrawals!A88="","",Agent05_Withdrawals!C88)</f>
        <v/>
      </c>
      <c r="E881" s="41" t="str">
        <f>IF(Agent05_Withdrawals!A88="","",Agent05_Withdrawals!D88)</f>
        <v/>
      </c>
      <c r="F881" s="40" t="str">
        <f>IF(Agent05_Withdrawals!A88="","",Agent05_Withdrawals!F88)</f>
        <v/>
      </c>
      <c r="G881" s="42" t="str">
        <f>IF(Agent05_Withdrawals!A88="","",Agent05_Withdrawals!E88)</f>
        <v/>
      </c>
      <c r="H881" s="42" t="str">
        <f>IF(Agent05_Withdrawals!A88="","",Agent05_Withdrawals!G88)</f>
        <v/>
      </c>
      <c r="I881" s="40" t="str">
        <f>IF(Agent05_Withdrawals!A88="","",Agent05_Withdrawals!H88)</f>
        <v/>
      </c>
      <c r="J881" s="40" t="str">
        <f>IF(Agent05_Withdrawals!A88="","",Agent05_Withdrawals!J88)</f>
        <v/>
      </c>
      <c r="K881" s="40" t="str">
        <f>IF(Agent05_Withdrawals!A88="","",Agent05_Withdrawals!K88)</f>
        <v/>
      </c>
      <c r="L881" s="40" t="str">
        <f>IF(G881="","",IF(D881-G881&gt;=System_Config!$B$9,"✅ OK","⚠️ BREACH"))</f>
        <v/>
      </c>
      <c r="M881" s="40" t="str">
        <f>IFERROR(IF(Agent05_Withdrawals!A88="","",YEAR(Agent05_Withdrawals!D88)),"")</f>
        <v/>
      </c>
    </row>
    <row r="882" spans="1:13" ht="18" customHeight="1" x14ac:dyDescent="0.25">
      <c r="A882" s="40" t="str">
        <f>IF(Agent05_Withdrawals!A89="","",Agent05_Withdrawals!A89)</f>
        <v/>
      </c>
      <c r="B882" s="40" t="str">
        <f ca="1">IF(Agent05_Withdrawals!A89="","","WD"&amp;TEXT(882-3,"0000")&amp;"-"&amp;TEXT(TODAY(),"YYYYMMDD"))</f>
        <v/>
      </c>
      <c r="C882" s="40" t="str">
        <f>IF(Agent05_Withdrawals!A89="","",Agent05_Withdrawals!B89)</f>
        <v/>
      </c>
      <c r="D882" s="43" t="str">
        <f>IF(Agent05_Withdrawals!A89="","",Agent05_Withdrawals!C89)</f>
        <v/>
      </c>
      <c r="E882" s="41" t="str">
        <f>IF(Agent05_Withdrawals!A89="","",Agent05_Withdrawals!D89)</f>
        <v/>
      </c>
      <c r="F882" s="40" t="str">
        <f>IF(Agent05_Withdrawals!A89="","",Agent05_Withdrawals!F89)</f>
        <v/>
      </c>
      <c r="G882" s="42" t="str">
        <f>IF(Agent05_Withdrawals!A89="","",Agent05_Withdrawals!E89)</f>
        <v/>
      </c>
      <c r="H882" s="42" t="str">
        <f>IF(Agent05_Withdrawals!A89="","",Agent05_Withdrawals!G89)</f>
        <v/>
      </c>
      <c r="I882" s="40" t="str">
        <f>IF(Agent05_Withdrawals!A89="","",Agent05_Withdrawals!H89)</f>
        <v/>
      </c>
      <c r="J882" s="40" t="str">
        <f>IF(Agent05_Withdrawals!A89="","",Agent05_Withdrawals!J89)</f>
        <v/>
      </c>
      <c r="K882" s="40" t="str">
        <f>IF(Agent05_Withdrawals!A89="","",Agent05_Withdrawals!K89)</f>
        <v/>
      </c>
      <c r="L882" s="40" t="str">
        <f>IF(G882="","",IF(D882-G882&gt;=System_Config!$B$9,"✅ OK","⚠️ BREACH"))</f>
        <v/>
      </c>
      <c r="M882" s="40" t="str">
        <f>IFERROR(IF(Agent05_Withdrawals!A89="","",YEAR(Agent05_Withdrawals!D89)),"")</f>
        <v/>
      </c>
    </row>
    <row r="883" spans="1:13" ht="18" customHeight="1" x14ac:dyDescent="0.25">
      <c r="A883" s="40" t="str">
        <f>IF(Agent05_Withdrawals!A90="","",Agent05_Withdrawals!A90)</f>
        <v/>
      </c>
      <c r="B883" s="40" t="str">
        <f ca="1">IF(Agent05_Withdrawals!A90="","","WD"&amp;TEXT(883-3,"0000")&amp;"-"&amp;TEXT(TODAY(),"YYYYMMDD"))</f>
        <v/>
      </c>
      <c r="C883" s="40" t="str">
        <f>IF(Agent05_Withdrawals!A90="","",Agent05_Withdrawals!B90)</f>
        <v/>
      </c>
      <c r="D883" s="43" t="str">
        <f>IF(Agent05_Withdrawals!A90="","",Agent05_Withdrawals!C90)</f>
        <v/>
      </c>
      <c r="E883" s="41" t="str">
        <f>IF(Agent05_Withdrawals!A90="","",Agent05_Withdrawals!D90)</f>
        <v/>
      </c>
      <c r="F883" s="40" t="str">
        <f>IF(Agent05_Withdrawals!A90="","",Agent05_Withdrawals!F90)</f>
        <v/>
      </c>
      <c r="G883" s="42" t="str">
        <f>IF(Agent05_Withdrawals!A90="","",Agent05_Withdrawals!E90)</f>
        <v/>
      </c>
      <c r="H883" s="42" t="str">
        <f>IF(Agent05_Withdrawals!A90="","",Agent05_Withdrawals!G90)</f>
        <v/>
      </c>
      <c r="I883" s="40" t="str">
        <f>IF(Agent05_Withdrawals!A90="","",Agent05_Withdrawals!H90)</f>
        <v/>
      </c>
      <c r="J883" s="40" t="str">
        <f>IF(Agent05_Withdrawals!A90="","",Agent05_Withdrawals!J90)</f>
        <v/>
      </c>
      <c r="K883" s="40" t="str">
        <f>IF(Agent05_Withdrawals!A90="","",Agent05_Withdrawals!K90)</f>
        <v/>
      </c>
      <c r="L883" s="40" t="str">
        <f>IF(G883="","",IF(D883-G883&gt;=System_Config!$B$9,"✅ OK","⚠️ BREACH"))</f>
        <v/>
      </c>
      <c r="M883" s="40" t="str">
        <f>IFERROR(IF(Agent05_Withdrawals!A90="","",YEAR(Agent05_Withdrawals!D90)),"")</f>
        <v/>
      </c>
    </row>
    <row r="884" spans="1:13" ht="18" customHeight="1" x14ac:dyDescent="0.25">
      <c r="A884" s="40" t="str">
        <f>IF(Agent05_Withdrawals!A91="","",Agent05_Withdrawals!A91)</f>
        <v/>
      </c>
      <c r="B884" s="40" t="str">
        <f ca="1">IF(Agent05_Withdrawals!A91="","","WD"&amp;TEXT(884-3,"0000")&amp;"-"&amp;TEXT(TODAY(),"YYYYMMDD"))</f>
        <v/>
      </c>
      <c r="C884" s="40" t="str">
        <f>IF(Agent05_Withdrawals!A91="","",Agent05_Withdrawals!B91)</f>
        <v/>
      </c>
      <c r="D884" s="43" t="str">
        <f>IF(Agent05_Withdrawals!A91="","",Agent05_Withdrawals!C91)</f>
        <v/>
      </c>
      <c r="E884" s="41" t="str">
        <f>IF(Agent05_Withdrawals!A91="","",Agent05_Withdrawals!D91)</f>
        <v/>
      </c>
      <c r="F884" s="40" t="str">
        <f>IF(Agent05_Withdrawals!A91="","",Agent05_Withdrawals!F91)</f>
        <v/>
      </c>
      <c r="G884" s="42" t="str">
        <f>IF(Agent05_Withdrawals!A91="","",Agent05_Withdrawals!E91)</f>
        <v/>
      </c>
      <c r="H884" s="42" t="str">
        <f>IF(Agent05_Withdrawals!A91="","",Agent05_Withdrawals!G91)</f>
        <v/>
      </c>
      <c r="I884" s="40" t="str">
        <f>IF(Agent05_Withdrawals!A91="","",Agent05_Withdrawals!H91)</f>
        <v/>
      </c>
      <c r="J884" s="40" t="str">
        <f>IF(Agent05_Withdrawals!A91="","",Agent05_Withdrawals!J91)</f>
        <v/>
      </c>
      <c r="K884" s="40" t="str">
        <f>IF(Agent05_Withdrawals!A91="","",Agent05_Withdrawals!K91)</f>
        <v/>
      </c>
      <c r="L884" s="40" t="str">
        <f>IF(G884="","",IF(D884-G884&gt;=System_Config!$B$9,"✅ OK","⚠️ BREACH"))</f>
        <v/>
      </c>
      <c r="M884" s="40" t="str">
        <f>IFERROR(IF(Agent05_Withdrawals!A91="","",YEAR(Agent05_Withdrawals!D91)),"")</f>
        <v/>
      </c>
    </row>
    <row r="885" spans="1:13" ht="18" customHeight="1" x14ac:dyDescent="0.25">
      <c r="A885" s="40" t="str">
        <f>IF(Agent05_Withdrawals!A92="","",Agent05_Withdrawals!A92)</f>
        <v/>
      </c>
      <c r="B885" s="40" t="str">
        <f ca="1">IF(Agent05_Withdrawals!A92="","","WD"&amp;TEXT(885-3,"0000")&amp;"-"&amp;TEXT(TODAY(),"YYYYMMDD"))</f>
        <v/>
      </c>
      <c r="C885" s="40" t="str">
        <f>IF(Agent05_Withdrawals!A92="","",Agent05_Withdrawals!B92)</f>
        <v/>
      </c>
      <c r="D885" s="43" t="str">
        <f>IF(Agent05_Withdrawals!A92="","",Agent05_Withdrawals!C92)</f>
        <v/>
      </c>
      <c r="E885" s="41" t="str">
        <f>IF(Agent05_Withdrawals!A92="","",Agent05_Withdrawals!D92)</f>
        <v/>
      </c>
      <c r="F885" s="40" t="str">
        <f>IF(Agent05_Withdrawals!A92="","",Agent05_Withdrawals!F92)</f>
        <v/>
      </c>
      <c r="G885" s="42" t="str">
        <f>IF(Agent05_Withdrawals!A92="","",Agent05_Withdrawals!E92)</f>
        <v/>
      </c>
      <c r="H885" s="42" t="str">
        <f>IF(Agent05_Withdrawals!A92="","",Agent05_Withdrawals!G92)</f>
        <v/>
      </c>
      <c r="I885" s="40" t="str">
        <f>IF(Agent05_Withdrawals!A92="","",Agent05_Withdrawals!H92)</f>
        <v/>
      </c>
      <c r="J885" s="40" t="str">
        <f>IF(Agent05_Withdrawals!A92="","",Agent05_Withdrawals!J92)</f>
        <v/>
      </c>
      <c r="K885" s="40" t="str">
        <f>IF(Agent05_Withdrawals!A92="","",Agent05_Withdrawals!K92)</f>
        <v/>
      </c>
      <c r="L885" s="40" t="str">
        <f>IF(G885="","",IF(D885-G885&gt;=System_Config!$B$9,"✅ OK","⚠️ BREACH"))</f>
        <v/>
      </c>
      <c r="M885" s="40" t="str">
        <f>IFERROR(IF(Agent05_Withdrawals!A92="","",YEAR(Agent05_Withdrawals!D92)),"")</f>
        <v/>
      </c>
    </row>
    <row r="886" spans="1:13" ht="18" customHeight="1" x14ac:dyDescent="0.25">
      <c r="A886" s="40" t="str">
        <f>IF(Agent05_Withdrawals!A93="","",Agent05_Withdrawals!A93)</f>
        <v/>
      </c>
      <c r="B886" s="40" t="str">
        <f ca="1">IF(Agent05_Withdrawals!A93="","","WD"&amp;TEXT(886-3,"0000")&amp;"-"&amp;TEXT(TODAY(),"YYYYMMDD"))</f>
        <v/>
      </c>
      <c r="C886" s="40" t="str">
        <f>IF(Agent05_Withdrawals!A93="","",Agent05_Withdrawals!B93)</f>
        <v/>
      </c>
      <c r="D886" s="43" t="str">
        <f>IF(Agent05_Withdrawals!A93="","",Agent05_Withdrawals!C93)</f>
        <v/>
      </c>
      <c r="E886" s="41" t="str">
        <f>IF(Agent05_Withdrawals!A93="","",Agent05_Withdrawals!D93)</f>
        <v/>
      </c>
      <c r="F886" s="40" t="str">
        <f>IF(Agent05_Withdrawals!A93="","",Agent05_Withdrawals!F93)</f>
        <v/>
      </c>
      <c r="G886" s="42" t="str">
        <f>IF(Agent05_Withdrawals!A93="","",Agent05_Withdrawals!E93)</f>
        <v/>
      </c>
      <c r="H886" s="42" t="str">
        <f>IF(Agent05_Withdrawals!A93="","",Agent05_Withdrawals!G93)</f>
        <v/>
      </c>
      <c r="I886" s="40" t="str">
        <f>IF(Agent05_Withdrawals!A93="","",Agent05_Withdrawals!H93)</f>
        <v/>
      </c>
      <c r="J886" s="40" t="str">
        <f>IF(Agent05_Withdrawals!A93="","",Agent05_Withdrawals!J93)</f>
        <v/>
      </c>
      <c r="K886" s="40" t="str">
        <f>IF(Agent05_Withdrawals!A93="","",Agent05_Withdrawals!K93)</f>
        <v/>
      </c>
      <c r="L886" s="40" t="str">
        <f>IF(G886="","",IF(D886-G886&gt;=System_Config!$B$9,"✅ OK","⚠️ BREACH"))</f>
        <v/>
      </c>
      <c r="M886" s="40" t="str">
        <f>IFERROR(IF(Agent05_Withdrawals!A93="","",YEAR(Agent05_Withdrawals!D93)),"")</f>
        <v/>
      </c>
    </row>
    <row r="887" spans="1:13" ht="18" customHeight="1" x14ac:dyDescent="0.25">
      <c r="A887" s="40" t="str">
        <f>IF(Agent05_Withdrawals!A94="","",Agent05_Withdrawals!A94)</f>
        <v/>
      </c>
      <c r="B887" s="40" t="str">
        <f ca="1">IF(Agent05_Withdrawals!A94="","","WD"&amp;TEXT(887-3,"0000")&amp;"-"&amp;TEXT(TODAY(),"YYYYMMDD"))</f>
        <v/>
      </c>
      <c r="C887" s="40" t="str">
        <f>IF(Agent05_Withdrawals!A94="","",Agent05_Withdrawals!B94)</f>
        <v/>
      </c>
      <c r="D887" s="43" t="str">
        <f>IF(Agent05_Withdrawals!A94="","",Agent05_Withdrawals!C94)</f>
        <v/>
      </c>
      <c r="E887" s="41" t="str">
        <f>IF(Agent05_Withdrawals!A94="","",Agent05_Withdrawals!D94)</f>
        <v/>
      </c>
      <c r="F887" s="40" t="str">
        <f>IF(Agent05_Withdrawals!A94="","",Agent05_Withdrawals!F94)</f>
        <v/>
      </c>
      <c r="G887" s="42" t="str">
        <f>IF(Agent05_Withdrawals!A94="","",Agent05_Withdrawals!E94)</f>
        <v/>
      </c>
      <c r="H887" s="42" t="str">
        <f>IF(Agent05_Withdrawals!A94="","",Agent05_Withdrawals!G94)</f>
        <v/>
      </c>
      <c r="I887" s="40" t="str">
        <f>IF(Agent05_Withdrawals!A94="","",Agent05_Withdrawals!H94)</f>
        <v/>
      </c>
      <c r="J887" s="40" t="str">
        <f>IF(Agent05_Withdrawals!A94="","",Agent05_Withdrawals!J94)</f>
        <v/>
      </c>
      <c r="K887" s="40" t="str">
        <f>IF(Agent05_Withdrawals!A94="","",Agent05_Withdrawals!K94)</f>
        <v/>
      </c>
      <c r="L887" s="40" t="str">
        <f>IF(G887="","",IF(D887-G887&gt;=System_Config!$B$9,"✅ OK","⚠️ BREACH"))</f>
        <v/>
      </c>
      <c r="M887" s="40" t="str">
        <f>IFERROR(IF(Agent05_Withdrawals!A94="","",YEAR(Agent05_Withdrawals!D94)),"")</f>
        <v/>
      </c>
    </row>
    <row r="888" spans="1:13" ht="18" customHeight="1" x14ac:dyDescent="0.25">
      <c r="A888" s="40" t="str">
        <f>IF(Agent05_Withdrawals!A95="","",Agent05_Withdrawals!A95)</f>
        <v/>
      </c>
      <c r="B888" s="40" t="str">
        <f ca="1">IF(Agent05_Withdrawals!A95="","","WD"&amp;TEXT(888-3,"0000")&amp;"-"&amp;TEXT(TODAY(),"YYYYMMDD"))</f>
        <v/>
      </c>
      <c r="C888" s="40" t="str">
        <f>IF(Agent05_Withdrawals!A95="","",Agent05_Withdrawals!B95)</f>
        <v/>
      </c>
      <c r="D888" s="43" t="str">
        <f>IF(Agent05_Withdrawals!A95="","",Agent05_Withdrawals!C95)</f>
        <v/>
      </c>
      <c r="E888" s="41" t="str">
        <f>IF(Agent05_Withdrawals!A95="","",Agent05_Withdrawals!D95)</f>
        <v/>
      </c>
      <c r="F888" s="40" t="str">
        <f>IF(Agent05_Withdrawals!A95="","",Agent05_Withdrawals!F95)</f>
        <v/>
      </c>
      <c r="G888" s="42" t="str">
        <f>IF(Agent05_Withdrawals!A95="","",Agent05_Withdrawals!E95)</f>
        <v/>
      </c>
      <c r="H888" s="42" t="str">
        <f>IF(Agent05_Withdrawals!A95="","",Agent05_Withdrawals!G95)</f>
        <v/>
      </c>
      <c r="I888" s="40" t="str">
        <f>IF(Agent05_Withdrawals!A95="","",Agent05_Withdrawals!H95)</f>
        <v/>
      </c>
      <c r="J888" s="40" t="str">
        <f>IF(Agent05_Withdrawals!A95="","",Agent05_Withdrawals!J95)</f>
        <v/>
      </c>
      <c r="K888" s="40" t="str">
        <f>IF(Agent05_Withdrawals!A95="","",Agent05_Withdrawals!K95)</f>
        <v/>
      </c>
      <c r="L888" s="40" t="str">
        <f>IF(G888="","",IF(D888-G888&gt;=System_Config!$B$9,"✅ OK","⚠️ BREACH"))</f>
        <v/>
      </c>
      <c r="M888" s="40" t="str">
        <f>IFERROR(IF(Agent05_Withdrawals!A95="","",YEAR(Agent05_Withdrawals!D95)),"")</f>
        <v/>
      </c>
    </row>
    <row r="889" spans="1:13" ht="18" customHeight="1" x14ac:dyDescent="0.25">
      <c r="A889" s="40" t="str">
        <f>IF(Agent05_Withdrawals!A96="","",Agent05_Withdrawals!A96)</f>
        <v/>
      </c>
      <c r="B889" s="40" t="str">
        <f ca="1">IF(Agent05_Withdrawals!A96="","","WD"&amp;TEXT(889-3,"0000")&amp;"-"&amp;TEXT(TODAY(),"YYYYMMDD"))</f>
        <v/>
      </c>
      <c r="C889" s="40" t="str">
        <f>IF(Agent05_Withdrawals!A96="","",Agent05_Withdrawals!B96)</f>
        <v/>
      </c>
      <c r="D889" s="43" t="str">
        <f>IF(Agent05_Withdrawals!A96="","",Agent05_Withdrawals!C96)</f>
        <v/>
      </c>
      <c r="E889" s="41" t="str">
        <f>IF(Agent05_Withdrawals!A96="","",Agent05_Withdrawals!D96)</f>
        <v/>
      </c>
      <c r="F889" s="40" t="str">
        <f>IF(Agent05_Withdrawals!A96="","",Agent05_Withdrawals!F96)</f>
        <v/>
      </c>
      <c r="G889" s="42" t="str">
        <f>IF(Agent05_Withdrawals!A96="","",Agent05_Withdrawals!E96)</f>
        <v/>
      </c>
      <c r="H889" s="42" t="str">
        <f>IF(Agent05_Withdrawals!A96="","",Agent05_Withdrawals!G96)</f>
        <v/>
      </c>
      <c r="I889" s="40" t="str">
        <f>IF(Agent05_Withdrawals!A96="","",Agent05_Withdrawals!H96)</f>
        <v/>
      </c>
      <c r="J889" s="40" t="str">
        <f>IF(Agent05_Withdrawals!A96="","",Agent05_Withdrawals!J96)</f>
        <v/>
      </c>
      <c r="K889" s="40" t="str">
        <f>IF(Agent05_Withdrawals!A96="","",Agent05_Withdrawals!K96)</f>
        <v/>
      </c>
      <c r="L889" s="40" t="str">
        <f>IF(G889="","",IF(D889-G889&gt;=System_Config!$B$9,"✅ OK","⚠️ BREACH"))</f>
        <v/>
      </c>
      <c r="M889" s="40" t="str">
        <f>IFERROR(IF(Agent05_Withdrawals!A96="","",YEAR(Agent05_Withdrawals!D96)),"")</f>
        <v/>
      </c>
    </row>
    <row r="890" spans="1:13" ht="18" customHeight="1" x14ac:dyDescent="0.25">
      <c r="A890" s="40" t="str">
        <f>IF(Agent05_Withdrawals!A97="","",Agent05_Withdrawals!A97)</f>
        <v/>
      </c>
      <c r="B890" s="40" t="str">
        <f ca="1">IF(Agent05_Withdrawals!A97="","","WD"&amp;TEXT(890-3,"0000")&amp;"-"&amp;TEXT(TODAY(),"YYYYMMDD"))</f>
        <v/>
      </c>
      <c r="C890" s="40" t="str">
        <f>IF(Agent05_Withdrawals!A97="","",Agent05_Withdrawals!B97)</f>
        <v/>
      </c>
      <c r="D890" s="43" t="str">
        <f>IF(Agent05_Withdrawals!A97="","",Agent05_Withdrawals!C97)</f>
        <v/>
      </c>
      <c r="E890" s="41" t="str">
        <f>IF(Agent05_Withdrawals!A97="","",Agent05_Withdrawals!D97)</f>
        <v/>
      </c>
      <c r="F890" s="40" t="str">
        <f>IF(Agent05_Withdrawals!A97="","",Agent05_Withdrawals!F97)</f>
        <v/>
      </c>
      <c r="G890" s="42" t="str">
        <f>IF(Agent05_Withdrawals!A97="","",Agent05_Withdrawals!E97)</f>
        <v/>
      </c>
      <c r="H890" s="42" t="str">
        <f>IF(Agent05_Withdrawals!A97="","",Agent05_Withdrawals!G97)</f>
        <v/>
      </c>
      <c r="I890" s="40" t="str">
        <f>IF(Agent05_Withdrawals!A97="","",Agent05_Withdrawals!H97)</f>
        <v/>
      </c>
      <c r="J890" s="40" t="str">
        <f>IF(Agent05_Withdrawals!A97="","",Agent05_Withdrawals!J97)</f>
        <v/>
      </c>
      <c r="K890" s="40" t="str">
        <f>IF(Agent05_Withdrawals!A97="","",Agent05_Withdrawals!K97)</f>
        <v/>
      </c>
      <c r="L890" s="40" t="str">
        <f>IF(G890="","",IF(D890-G890&gt;=System_Config!$B$9,"✅ OK","⚠️ BREACH"))</f>
        <v/>
      </c>
      <c r="M890" s="40" t="str">
        <f>IFERROR(IF(Agent05_Withdrawals!A97="","",YEAR(Agent05_Withdrawals!D97)),"")</f>
        <v/>
      </c>
    </row>
    <row r="891" spans="1:13" ht="18" customHeight="1" x14ac:dyDescent="0.25">
      <c r="A891" s="40" t="str">
        <f>IF(Agent05_Withdrawals!A98="","",Agent05_Withdrawals!A98)</f>
        <v/>
      </c>
      <c r="B891" s="40" t="str">
        <f ca="1">IF(Agent05_Withdrawals!A98="","","WD"&amp;TEXT(891-3,"0000")&amp;"-"&amp;TEXT(TODAY(),"YYYYMMDD"))</f>
        <v/>
      </c>
      <c r="C891" s="40" t="str">
        <f>IF(Agent05_Withdrawals!A98="","",Agent05_Withdrawals!B98)</f>
        <v/>
      </c>
      <c r="D891" s="43" t="str">
        <f>IF(Agent05_Withdrawals!A98="","",Agent05_Withdrawals!C98)</f>
        <v/>
      </c>
      <c r="E891" s="41" t="str">
        <f>IF(Agent05_Withdrawals!A98="","",Agent05_Withdrawals!D98)</f>
        <v/>
      </c>
      <c r="F891" s="40" t="str">
        <f>IF(Agent05_Withdrawals!A98="","",Agent05_Withdrawals!F98)</f>
        <v/>
      </c>
      <c r="G891" s="42" t="str">
        <f>IF(Agent05_Withdrawals!A98="","",Agent05_Withdrawals!E98)</f>
        <v/>
      </c>
      <c r="H891" s="42" t="str">
        <f>IF(Agent05_Withdrawals!A98="","",Agent05_Withdrawals!G98)</f>
        <v/>
      </c>
      <c r="I891" s="40" t="str">
        <f>IF(Agent05_Withdrawals!A98="","",Agent05_Withdrawals!H98)</f>
        <v/>
      </c>
      <c r="J891" s="40" t="str">
        <f>IF(Agent05_Withdrawals!A98="","",Agent05_Withdrawals!J98)</f>
        <v/>
      </c>
      <c r="K891" s="40" t="str">
        <f>IF(Agent05_Withdrawals!A98="","",Agent05_Withdrawals!K98)</f>
        <v/>
      </c>
      <c r="L891" s="40" t="str">
        <f>IF(G891="","",IF(D891-G891&gt;=System_Config!$B$9,"✅ OK","⚠️ BREACH"))</f>
        <v/>
      </c>
      <c r="M891" s="40" t="str">
        <f>IFERROR(IF(Agent05_Withdrawals!A98="","",YEAR(Agent05_Withdrawals!D98)),"")</f>
        <v/>
      </c>
    </row>
    <row r="892" spans="1:13" ht="18" customHeight="1" x14ac:dyDescent="0.25">
      <c r="A892" s="40" t="str">
        <f>IF(Agent05_Withdrawals!A99="","",Agent05_Withdrawals!A99)</f>
        <v/>
      </c>
      <c r="B892" s="40" t="str">
        <f ca="1">IF(Agent05_Withdrawals!A99="","","WD"&amp;TEXT(892-3,"0000")&amp;"-"&amp;TEXT(TODAY(),"YYYYMMDD"))</f>
        <v/>
      </c>
      <c r="C892" s="40" t="str">
        <f>IF(Agent05_Withdrawals!A99="","",Agent05_Withdrawals!B99)</f>
        <v/>
      </c>
      <c r="D892" s="43" t="str">
        <f>IF(Agent05_Withdrawals!A99="","",Agent05_Withdrawals!C99)</f>
        <v/>
      </c>
      <c r="E892" s="41" t="str">
        <f>IF(Agent05_Withdrawals!A99="","",Agent05_Withdrawals!D99)</f>
        <v/>
      </c>
      <c r="F892" s="40" t="str">
        <f>IF(Agent05_Withdrawals!A99="","",Agent05_Withdrawals!F99)</f>
        <v/>
      </c>
      <c r="G892" s="42" t="str">
        <f>IF(Agent05_Withdrawals!A99="","",Agent05_Withdrawals!E99)</f>
        <v/>
      </c>
      <c r="H892" s="42" t="str">
        <f>IF(Agent05_Withdrawals!A99="","",Agent05_Withdrawals!G99)</f>
        <v/>
      </c>
      <c r="I892" s="40" t="str">
        <f>IF(Agent05_Withdrawals!A99="","",Agent05_Withdrawals!H99)</f>
        <v/>
      </c>
      <c r="J892" s="40" t="str">
        <f>IF(Agent05_Withdrawals!A99="","",Agent05_Withdrawals!J99)</f>
        <v/>
      </c>
      <c r="K892" s="40" t="str">
        <f>IF(Agent05_Withdrawals!A99="","",Agent05_Withdrawals!K99)</f>
        <v/>
      </c>
      <c r="L892" s="40" t="str">
        <f>IF(G892="","",IF(D892-G892&gt;=System_Config!$B$9,"✅ OK","⚠️ BREACH"))</f>
        <v/>
      </c>
      <c r="M892" s="40" t="str">
        <f>IFERROR(IF(Agent05_Withdrawals!A99="","",YEAR(Agent05_Withdrawals!D99)),"")</f>
        <v/>
      </c>
    </row>
    <row r="893" spans="1:13" ht="18" customHeight="1" x14ac:dyDescent="0.25">
      <c r="A893" s="40" t="str">
        <f>IF(Agent05_Withdrawals!A100="","",Agent05_Withdrawals!A100)</f>
        <v/>
      </c>
      <c r="B893" s="40" t="str">
        <f ca="1">IF(Agent05_Withdrawals!A100="","","WD"&amp;TEXT(893-3,"0000")&amp;"-"&amp;TEXT(TODAY(),"YYYYMMDD"))</f>
        <v/>
      </c>
      <c r="C893" s="40" t="str">
        <f>IF(Agent05_Withdrawals!A100="","",Agent05_Withdrawals!B100)</f>
        <v/>
      </c>
      <c r="D893" s="43" t="str">
        <f>IF(Agent05_Withdrawals!A100="","",Agent05_Withdrawals!C100)</f>
        <v/>
      </c>
      <c r="E893" s="41" t="str">
        <f>IF(Agent05_Withdrawals!A100="","",Agent05_Withdrawals!D100)</f>
        <v/>
      </c>
      <c r="F893" s="40" t="str">
        <f>IF(Agent05_Withdrawals!A100="","",Agent05_Withdrawals!F100)</f>
        <v/>
      </c>
      <c r="G893" s="42" t="str">
        <f>IF(Agent05_Withdrawals!A100="","",Agent05_Withdrawals!E100)</f>
        <v/>
      </c>
      <c r="H893" s="42" t="str">
        <f>IF(Agent05_Withdrawals!A100="","",Agent05_Withdrawals!G100)</f>
        <v/>
      </c>
      <c r="I893" s="40" t="str">
        <f>IF(Agent05_Withdrawals!A100="","",Agent05_Withdrawals!H100)</f>
        <v/>
      </c>
      <c r="J893" s="40" t="str">
        <f>IF(Agent05_Withdrawals!A100="","",Agent05_Withdrawals!J100)</f>
        <v/>
      </c>
      <c r="K893" s="40" t="str">
        <f>IF(Agent05_Withdrawals!A100="","",Agent05_Withdrawals!K100)</f>
        <v/>
      </c>
      <c r="L893" s="40" t="str">
        <f>IF(G893="","",IF(D893-G893&gt;=System_Config!$B$9,"✅ OK","⚠️ BREACH"))</f>
        <v/>
      </c>
      <c r="M893" s="40" t="str">
        <f>IFERROR(IF(Agent05_Withdrawals!A100="","",YEAR(Agent05_Withdrawals!D100)),"")</f>
        <v/>
      </c>
    </row>
    <row r="894" spans="1:13" ht="18" customHeight="1" x14ac:dyDescent="0.25">
      <c r="A894" s="40" t="str">
        <f>IF(Agent05_Withdrawals!A101="","",Agent05_Withdrawals!A101)</f>
        <v/>
      </c>
      <c r="B894" s="40" t="str">
        <f ca="1">IF(Agent05_Withdrawals!A101="","","WD"&amp;TEXT(894-3,"0000")&amp;"-"&amp;TEXT(TODAY(),"YYYYMMDD"))</f>
        <v/>
      </c>
      <c r="C894" s="40" t="str">
        <f>IF(Agent05_Withdrawals!A101="","",Agent05_Withdrawals!B101)</f>
        <v/>
      </c>
      <c r="D894" s="43" t="str">
        <f>IF(Agent05_Withdrawals!A101="","",Agent05_Withdrawals!C101)</f>
        <v/>
      </c>
      <c r="E894" s="41" t="str">
        <f>IF(Agent05_Withdrawals!A101="","",Agent05_Withdrawals!D101)</f>
        <v/>
      </c>
      <c r="F894" s="40" t="str">
        <f>IF(Agent05_Withdrawals!A101="","",Agent05_Withdrawals!F101)</f>
        <v/>
      </c>
      <c r="G894" s="42" t="str">
        <f>IF(Agent05_Withdrawals!A101="","",Agent05_Withdrawals!E101)</f>
        <v/>
      </c>
      <c r="H894" s="42" t="str">
        <f>IF(Agent05_Withdrawals!A101="","",Agent05_Withdrawals!G101)</f>
        <v/>
      </c>
      <c r="I894" s="40" t="str">
        <f>IF(Agent05_Withdrawals!A101="","",Agent05_Withdrawals!H101)</f>
        <v/>
      </c>
      <c r="J894" s="40" t="str">
        <f>IF(Agent05_Withdrawals!A101="","",Agent05_Withdrawals!J101)</f>
        <v/>
      </c>
      <c r="K894" s="40" t="str">
        <f>IF(Agent05_Withdrawals!A101="","",Agent05_Withdrawals!K101)</f>
        <v/>
      </c>
      <c r="L894" s="40" t="str">
        <f>IF(G894="","",IF(D894-G894&gt;=System_Config!$B$9,"✅ OK","⚠️ BREACH"))</f>
        <v/>
      </c>
      <c r="M894" s="40" t="str">
        <f>IFERROR(IF(Agent05_Withdrawals!A101="","",YEAR(Agent05_Withdrawals!D101)),"")</f>
        <v/>
      </c>
    </row>
    <row r="895" spans="1:13" ht="18" customHeight="1" x14ac:dyDescent="0.25">
      <c r="A895" s="40" t="str">
        <f>IF(Agent05_Withdrawals!A102="","",Agent05_Withdrawals!A102)</f>
        <v/>
      </c>
      <c r="B895" s="40" t="str">
        <f ca="1">IF(Agent05_Withdrawals!A102="","","WD"&amp;TEXT(895-3,"0000")&amp;"-"&amp;TEXT(TODAY(),"YYYYMMDD"))</f>
        <v/>
      </c>
      <c r="C895" s="40" t="str">
        <f>IF(Agent05_Withdrawals!A102="","",Agent05_Withdrawals!B102)</f>
        <v/>
      </c>
      <c r="D895" s="43" t="str">
        <f>IF(Agent05_Withdrawals!A102="","",Agent05_Withdrawals!C102)</f>
        <v/>
      </c>
      <c r="E895" s="41" t="str">
        <f>IF(Agent05_Withdrawals!A102="","",Agent05_Withdrawals!D102)</f>
        <v/>
      </c>
      <c r="F895" s="40" t="str">
        <f>IF(Agent05_Withdrawals!A102="","",Agent05_Withdrawals!F102)</f>
        <v/>
      </c>
      <c r="G895" s="42" t="str">
        <f>IF(Agent05_Withdrawals!A102="","",Agent05_Withdrawals!E102)</f>
        <v/>
      </c>
      <c r="H895" s="42" t="str">
        <f>IF(Agent05_Withdrawals!A102="","",Agent05_Withdrawals!G102)</f>
        <v/>
      </c>
      <c r="I895" s="40" t="str">
        <f>IF(Agent05_Withdrawals!A102="","",Agent05_Withdrawals!H102)</f>
        <v/>
      </c>
      <c r="J895" s="40" t="str">
        <f>IF(Agent05_Withdrawals!A102="","",Agent05_Withdrawals!J102)</f>
        <v/>
      </c>
      <c r="K895" s="40" t="str">
        <f>IF(Agent05_Withdrawals!A102="","",Agent05_Withdrawals!K102)</f>
        <v/>
      </c>
      <c r="L895" s="40" t="str">
        <f>IF(G895="","",IF(D895-G895&gt;=System_Config!$B$9,"✅ OK","⚠️ BREACH"))</f>
        <v/>
      </c>
      <c r="M895" s="40" t="str">
        <f>IFERROR(IF(Agent05_Withdrawals!A102="","",YEAR(Agent05_Withdrawals!D102)),"")</f>
        <v/>
      </c>
    </row>
    <row r="896" spans="1:13" ht="18" customHeight="1" x14ac:dyDescent="0.25">
      <c r="A896" s="40" t="str">
        <f>IF(Agent05_Withdrawals!A103="","",Agent05_Withdrawals!A103)</f>
        <v/>
      </c>
      <c r="B896" s="40" t="str">
        <f ca="1">IF(Agent05_Withdrawals!A103="","","WD"&amp;TEXT(896-3,"0000")&amp;"-"&amp;TEXT(TODAY(),"YYYYMMDD"))</f>
        <v/>
      </c>
      <c r="C896" s="40" t="str">
        <f>IF(Agent05_Withdrawals!A103="","",Agent05_Withdrawals!B103)</f>
        <v/>
      </c>
      <c r="D896" s="43" t="str">
        <f>IF(Agent05_Withdrawals!A103="","",Agent05_Withdrawals!C103)</f>
        <v/>
      </c>
      <c r="E896" s="41" t="str">
        <f>IF(Agent05_Withdrawals!A103="","",Agent05_Withdrawals!D103)</f>
        <v/>
      </c>
      <c r="F896" s="40" t="str">
        <f>IF(Agent05_Withdrawals!A103="","",Agent05_Withdrawals!F103)</f>
        <v/>
      </c>
      <c r="G896" s="42" t="str">
        <f>IF(Agent05_Withdrawals!A103="","",Agent05_Withdrawals!E103)</f>
        <v/>
      </c>
      <c r="H896" s="42" t="str">
        <f>IF(Agent05_Withdrawals!A103="","",Agent05_Withdrawals!G103)</f>
        <v/>
      </c>
      <c r="I896" s="40" t="str">
        <f>IF(Agent05_Withdrawals!A103="","",Agent05_Withdrawals!H103)</f>
        <v/>
      </c>
      <c r="J896" s="40" t="str">
        <f>IF(Agent05_Withdrawals!A103="","",Agent05_Withdrawals!J103)</f>
        <v/>
      </c>
      <c r="K896" s="40" t="str">
        <f>IF(Agent05_Withdrawals!A103="","",Agent05_Withdrawals!K103)</f>
        <v/>
      </c>
      <c r="L896" s="40" t="str">
        <f>IF(G896="","",IF(D896-G896&gt;=System_Config!$B$9,"✅ OK","⚠️ BREACH"))</f>
        <v/>
      </c>
      <c r="M896" s="40" t="str">
        <f>IFERROR(IF(Agent05_Withdrawals!A103="","",YEAR(Agent05_Withdrawals!D103)),"")</f>
        <v/>
      </c>
    </row>
    <row r="897" spans="1:13" ht="18" customHeight="1" x14ac:dyDescent="0.25">
      <c r="A897" s="40" t="str">
        <f>IF(Agent05_Withdrawals!A104="","",Agent05_Withdrawals!A104)</f>
        <v/>
      </c>
      <c r="B897" s="40" t="str">
        <f ca="1">IF(Agent05_Withdrawals!A104="","","WD"&amp;TEXT(897-3,"0000")&amp;"-"&amp;TEXT(TODAY(),"YYYYMMDD"))</f>
        <v/>
      </c>
      <c r="C897" s="40" t="str">
        <f>IF(Agent05_Withdrawals!A104="","",Agent05_Withdrawals!B104)</f>
        <v/>
      </c>
      <c r="D897" s="43" t="str">
        <f>IF(Agent05_Withdrawals!A104="","",Agent05_Withdrawals!C104)</f>
        <v/>
      </c>
      <c r="E897" s="41" t="str">
        <f>IF(Agent05_Withdrawals!A104="","",Agent05_Withdrawals!D104)</f>
        <v/>
      </c>
      <c r="F897" s="40" t="str">
        <f>IF(Agent05_Withdrawals!A104="","",Agent05_Withdrawals!F104)</f>
        <v/>
      </c>
      <c r="G897" s="42" t="str">
        <f>IF(Agent05_Withdrawals!A104="","",Agent05_Withdrawals!E104)</f>
        <v/>
      </c>
      <c r="H897" s="42" t="str">
        <f>IF(Agent05_Withdrawals!A104="","",Agent05_Withdrawals!G104)</f>
        <v/>
      </c>
      <c r="I897" s="40" t="str">
        <f>IF(Agent05_Withdrawals!A104="","",Agent05_Withdrawals!H104)</f>
        <v/>
      </c>
      <c r="J897" s="40" t="str">
        <f>IF(Agent05_Withdrawals!A104="","",Agent05_Withdrawals!J104)</f>
        <v/>
      </c>
      <c r="K897" s="40" t="str">
        <f>IF(Agent05_Withdrawals!A104="","",Agent05_Withdrawals!K104)</f>
        <v/>
      </c>
      <c r="L897" s="40" t="str">
        <f>IF(G897="","",IF(D897-G897&gt;=System_Config!$B$9,"✅ OK","⚠️ BREACH"))</f>
        <v/>
      </c>
      <c r="M897" s="40" t="str">
        <f>IFERROR(IF(Agent05_Withdrawals!A104="","",YEAR(Agent05_Withdrawals!D104)),"")</f>
        <v/>
      </c>
    </row>
    <row r="898" spans="1:13" ht="18" customHeight="1" x14ac:dyDescent="0.25">
      <c r="A898" s="40" t="str">
        <f>IF(Agent05_Withdrawals!A105="","",Agent05_Withdrawals!A105)</f>
        <v/>
      </c>
      <c r="B898" s="40" t="str">
        <f ca="1">IF(Agent05_Withdrawals!A105="","","WD"&amp;TEXT(898-3,"0000")&amp;"-"&amp;TEXT(TODAY(),"YYYYMMDD"))</f>
        <v/>
      </c>
      <c r="C898" s="40" t="str">
        <f>IF(Agent05_Withdrawals!A105="","",Agent05_Withdrawals!B105)</f>
        <v/>
      </c>
      <c r="D898" s="43" t="str">
        <f>IF(Agent05_Withdrawals!A105="","",Agent05_Withdrawals!C105)</f>
        <v/>
      </c>
      <c r="E898" s="41" t="str">
        <f>IF(Agent05_Withdrawals!A105="","",Agent05_Withdrawals!D105)</f>
        <v/>
      </c>
      <c r="F898" s="40" t="str">
        <f>IF(Agent05_Withdrawals!A105="","",Agent05_Withdrawals!F105)</f>
        <v/>
      </c>
      <c r="G898" s="42" t="str">
        <f>IF(Agent05_Withdrawals!A105="","",Agent05_Withdrawals!E105)</f>
        <v/>
      </c>
      <c r="H898" s="42" t="str">
        <f>IF(Agent05_Withdrawals!A105="","",Agent05_Withdrawals!G105)</f>
        <v/>
      </c>
      <c r="I898" s="40" t="str">
        <f>IF(Agent05_Withdrawals!A105="","",Agent05_Withdrawals!H105)</f>
        <v/>
      </c>
      <c r="J898" s="40" t="str">
        <f>IF(Agent05_Withdrawals!A105="","",Agent05_Withdrawals!J105)</f>
        <v/>
      </c>
      <c r="K898" s="40" t="str">
        <f>IF(Agent05_Withdrawals!A105="","",Agent05_Withdrawals!K105)</f>
        <v/>
      </c>
      <c r="L898" s="40" t="str">
        <f>IF(G898="","",IF(D898-G898&gt;=System_Config!$B$9,"✅ OK","⚠️ BREACH"))</f>
        <v/>
      </c>
      <c r="M898" s="40" t="str">
        <f>IFERROR(IF(Agent05_Withdrawals!A105="","",YEAR(Agent05_Withdrawals!D105)),"")</f>
        <v/>
      </c>
    </row>
    <row r="899" spans="1:13" ht="18" customHeight="1" x14ac:dyDescent="0.25">
      <c r="A899" s="40" t="str">
        <f>IF(Agent05_Withdrawals!A106="","",Agent05_Withdrawals!A106)</f>
        <v/>
      </c>
      <c r="B899" s="40" t="str">
        <f ca="1">IF(Agent05_Withdrawals!A106="","","WD"&amp;TEXT(899-3,"0000")&amp;"-"&amp;TEXT(TODAY(),"YYYYMMDD"))</f>
        <v/>
      </c>
      <c r="C899" s="40" t="str">
        <f>IF(Agent05_Withdrawals!A106="","",Agent05_Withdrawals!B106)</f>
        <v/>
      </c>
      <c r="D899" s="43" t="str">
        <f>IF(Agent05_Withdrawals!A106="","",Agent05_Withdrawals!C106)</f>
        <v/>
      </c>
      <c r="E899" s="41" t="str">
        <f>IF(Agent05_Withdrawals!A106="","",Agent05_Withdrawals!D106)</f>
        <v/>
      </c>
      <c r="F899" s="40" t="str">
        <f>IF(Agent05_Withdrawals!A106="","",Agent05_Withdrawals!F106)</f>
        <v/>
      </c>
      <c r="G899" s="42" t="str">
        <f>IF(Agent05_Withdrawals!A106="","",Agent05_Withdrawals!E106)</f>
        <v/>
      </c>
      <c r="H899" s="42" t="str">
        <f>IF(Agent05_Withdrawals!A106="","",Agent05_Withdrawals!G106)</f>
        <v/>
      </c>
      <c r="I899" s="40" t="str">
        <f>IF(Agent05_Withdrawals!A106="","",Agent05_Withdrawals!H106)</f>
        <v/>
      </c>
      <c r="J899" s="40" t="str">
        <f>IF(Agent05_Withdrawals!A106="","",Agent05_Withdrawals!J106)</f>
        <v/>
      </c>
      <c r="K899" s="40" t="str">
        <f>IF(Agent05_Withdrawals!A106="","",Agent05_Withdrawals!K106)</f>
        <v/>
      </c>
      <c r="L899" s="40" t="str">
        <f>IF(G899="","",IF(D899-G899&gt;=System_Config!$B$9,"✅ OK","⚠️ BREACH"))</f>
        <v/>
      </c>
      <c r="M899" s="40" t="str">
        <f>IFERROR(IF(Agent05_Withdrawals!A106="","",YEAR(Agent05_Withdrawals!D106)),"")</f>
        <v/>
      </c>
    </row>
    <row r="900" spans="1:13" ht="18" customHeight="1" x14ac:dyDescent="0.25">
      <c r="A900" s="40" t="str">
        <f>IF(Agent05_Withdrawals!A107="","",Agent05_Withdrawals!A107)</f>
        <v/>
      </c>
      <c r="B900" s="40" t="str">
        <f ca="1">IF(Agent05_Withdrawals!A107="","","WD"&amp;TEXT(900-3,"0000")&amp;"-"&amp;TEXT(TODAY(),"YYYYMMDD"))</f>
        <v/>
      </c>
      <c r="C900" s="40" t="str">
        <f>IF(Agent05_Withdrawals!A107="","",Agent05_Withdrawals!B107)</f>
        <v/>
      </c>
      <c r="D900" s="43" t="str">
        <f>IF(Agent05_Withdrawals!A107="","",Agent05_Withdrawals!C107)</f>
        <v/>
      </c>
      <c r="E900" s="41" t="str">
        <f>IF(Agent05_Withdrawals!A107="","",Agent05_Withdrawals!D107)</f>
        <v/>
      </c>
      <c r="F900" s="40" t="str">
        <f>IF(Agent05_Withdrawals!A107="","",Agent05_Withdrawals!F107)</f>
        <v/>
      </c>
      <c r="G900" s="42" t="str">
        <f>IF(Agent05_Withdrawals!A107="","",Agent05_Withdrawals!E107)</f>
        <v/>
      </c>
      <c r="H900" s="42" t="str">
        <f>IF(Agent05_Withdrawals!A107="","",Agent05_Withdrawals!G107)</f>
        <v/>
      </c>
      <c r="I900" s="40" t="str">
        <f>IF(Agent05_Withdrawals!A107="","",Agent05_Withdrawals!H107)</f>
        <v/>
      </c>
      <c r="J900" s="40" t="str">
        <f>IF(Agent05_Withdrawals!A107="","",Agent05_Withdrawals!J107)</f>
        <v/>
      </c>
      <c r="K900" s="40" t="str">
        <f>IF(Agent05_Withdrawals!A107="","",Agent05_Withdrawals!K107)</f>
        <v/>
      </c>
      <c r="L900" s="40" t="str">
        <f>IF(G900="","",IF(D900-G900&gt;=System_Config!$B$9,"✅ OK","⚠️ BREACH"))</f>
        <v/>
      </c>
      <c r="M900" s="40" t="str">
        <f>IFERROR(IF(Agent05_Withdrawals!A107="","",YEAR(Agent05_Withdrawals!D107)),"")</f>
        <v/>
      </c>
    </row>
    <row r="901" spans="1:13" ht="18" customHeight="1" x14ac:dyDescent="0.25">
      <c r="A901" s="40" t="str">
        <f>IF(Agent05_Withdrawals!A108="","",Agent05_Withdrawals!A108)</f>
        <v/>
      </c>
      <c r="B901" s="40" t="str">
        <f ca="1">IF(Agent05_Withdrawals!A108="","","WD"&amp;TEXT(901-3,"0000")&amp;"-"&amp;TEXT(TODAY(),"YYYYMMDD"))</f>
        <v/>
      </c>
      <c r="C901" s="40" t="str">
        <f>IF(Agent05_Withdrawals!A108="","",Agent05_Withdrawals!B108)</f>
        <v/>
      </c>
      <c r="D901" s="43" t="str">
        <f>IF(Agent05_Withdrawals!A108="","",Agent05_Withdrawals!C108)</f>
        <v/>
      </c>
      <c r="E901" s="41" t="str">
        <f>IF(Agent05_Withdrawals!A108="","",Agent05_Withdrawals!D108)</f>
        <v/>
      </c>
      <c r="F901" s="40" t="str">
        <f>IF(Agent05_Withdrawals!A108="","",Agent05_Withdrawals!F108)</f>
        <v/>
      </c>
      <c r="G901" s="42" t="str">
        <f>IF(Agent05_Withdrawals!A108="","",Agent05_Withdrawals!E108)</f>
        <v/>
      </c>
      <c r="H901" s="42" t="str">
        <f>IF(Agent05_Withdrawals!A108="","",Agent05_Withdrawals!G108)</f>
        <v/>
      </c>
      <c r="I901" s="40" t="str">
        <f>IF(Agent05_Withdrawals!A108="","",Agent05_Withdrawals!H108)</f>
        <v/>
      </c>
      <c r="J901" s="40" t="str">
        <f>IF(Agent05_Withdrawals!A108="","",Agent05_Withdrawals!J108)</f>
        <v/>
      </c>
      <c r="K901" s="40" t="str">
        <f>IF(Agent05_Withdrawals!A108="","",Agent05_Withdrawals!K108)</f>
        <v/>
      </c>
      <c r="L901" s="40" t="str">
        <f>IF(G901="","",IF(D901-G901&gt;=System_Config!$B$9,"✅ OK","⚠️ BREACH"))</f>
        <v/>
      </c>
      <c r="M901" s="40" t="str">
        <f>IFERROR(IF(Agent05_Withdrawals!A108="","",YEAR(Agent05_Withdrawals!D108)),"")</f>
        <v/>
      </c>
    </row>
    <row r="902" spans="1:13" ht="18" customHeight="1" x14ac:dyDescent="0.25">
      <c r="A902" s="40" t="str">
        <f>IF(Agent05_Withdrawals!A109="","",Agent05_Withdrawals!A109)</f>
        <v/>
      </c>
      <c r="B902" s="40" t="str">
        <f ca="1">IF(Agent05_Withdrawals!A109="","","WD"&amp;TEXT(902-3,"0000")&amp;"-"&amp;TEXT(TODAY(),"YYYYMMDD"))</f>
        <v/>
      </c>
      <c r="C902" s="40" t="str">
        <f>IF(Agent05_Withdrawals!A109="","",Agent05_Withdrawals!B109)</f>
        <v/>
      </c>
      <c r="D902" s="43" t="str">
        <f>IF(Agent05_Withdrawals!A109="","",Agent05_Withdrawals!C109)</f>
        <v/>
      </c>
      <c r="E902" s="41" t="str">
        <f>IF(Agent05_Withdrawals!A109="","",Agent05_Withdrawals!D109)</f>
        <v/>
      </c>
      <c r="F902" s="40" t="str">
        <f>IF(Agent05_Withdrawals!A109="","",Agent05_Withdrawals!F109)</f>
        <v/>
      </c>
      <c r="G902" s="42" t="str">
        <f>IF(Agent05_Withdrawals!A109="","",Agent05_Withdrawals!E109)</f>
        <v/>
      </c>
      <c r="H902" s="42" t="str">
        <f>IF(Agent05_Withdrawals!A109="","",Agent05_Withdrawals!G109)</f>
        <v/>
      </c>
      <c r="I902" s="40" t="str">
        <f>IF(Agent05_Withdrawals!A109="","",Agent05_Withdrawals!H109)</f>
        <v/>
      </c>
      <c r="J902" s="40" t="str">
        <f>IF(Agent05_Withdrawals!A109="","",Agent05_Withdrawals!J109)</f>
        <v/>
      </c>
      <c r="K902" s="40" t="str">
        <f>IF(Agent05_Withdrawals!A109="","",Agent05_Withdrawals!K109)</f>
        <v/>
      </c>
      <c r="L902" s="40" t="str">
        <f>IF(G902="","",IF(D902-G902&gt;=System_Config!$B$9,"✅ OK","⚠️ BREACH"))</f>
        <v/>
      </c>
      <c r="M902" s="40" t="str">
        <f>IFERROR(IF(Agent05_Withdrawals!A109="","",YEAR(Agent05_Withdrawals!D109)),"")</f>
        <v/>
      </c>
    </row>
    <row r="903" spans="1:13" ht="18" customHeight="1" x14ac:dyDescent="0.25">
      <c r="A903" s="40" t="str">
        <f>IF(Agent05_Withdrawals!A110="","",Agent05_Withdrawals!A110)</f>
        <v/>
      </c>
      <c r="B903" s="40" t="str">
        <f ca="1">IF(Agent05_Withdrawals!A110="","","WD"&amp;TEXT(903-3,"0000")&amp;"-"&amp;TEXT(TODAY(),"YYYYMMDD"))</f>
        <v/>
      </c>
      <c r="C903" s="40" t="str">
        <f>IF(Agent05_Withdrawals!A110="","",Agent05_Withdrawals!B110)</f>
        <v/>
      </c>
      <c r="D903" s="43" t="str">
        <f>IF(Agent05_Withdrawals!A110="","",Agent05_Withdrawals!C110)</f>
        <v/>
      </c>
      <c r="E903" s="41" t="str">
        <f>IF(Agent05_Withdrawals!A110="","",Agent05_Withdrawals!D110)</f>
        <v/>
      </c>
      <c r="F903" s="40" t="str">
        <f>IF(Agent05_Withdrawals!A110="","",Agent05_Withdrawals!F110)</f>
        <v/>
      </c>
      <c r="G903" s="42" t="str">
        <f>IF(Agent05_Withdrawals!A110="","",Agent05_Withdrawals!E110)</f>
        <v/>
      </c>
      <c r="H903" s="42" t="str">
        <f>IF(Agent05_Withdrawals!A110="","",Agent05_Withdrawals!G110)</f>
        <v/>
      </c>
      <c r="I903" s="40" t="str">
        <f>IF(Agent05_Withdrawals!A110="","",Agent05_Withdrawals!H110)</f>
        <v/>
      </c>
      <c r="J903" s="40" t="str">
        <f>IF(Agent05_Withdrawals!A110="","",Agent05_Withdrawals!J110)</f>
        <v/>
      </c>
      <c r="K903" s="40" t="str">
        <f>IF(Agent05_Withdrawals!A110="","",Agent05_Withdrawals!K110)</f>
        <v/>
      </c>
      <c r="L903" s="40" t="str">
        <f>IF(G903="","",IF(D903-G903&gt;=System_Config!$B$9,"✅ OK","⚠️ BREACH"))</f>
        <v/>
      </c>
      <c r="M903" s="40" t="str">
        <f>IFERROR(IF(Agent05_Withdrawals!A110="","",YEAR(Agent05_Withdrawals!D110)),"")</f>
        <v/>
      </c>
    </row>
    <row r="904" spans="1:13" ht="18" customHeight="1" x14ac:dyDescent="0.25">
      <c r="A904" s="40" t="str">
        <f>IF(Agent05_Withdrawals!A111="","",Agent05_Withdrawals!A111)</f>
        <v/>
      </c>
      <c r="B904" s="40" t="str">
        <f ca="1">IF(Agent05_Withdrawals!A111="","","WD"&amp;TEXT(904-3,"0000")&amp;"-"&amp;TEXT(TODAY(),"YYYYMMDD"))</f>
        <v/>
      </c>
      <c r="C904" s="40" t="str">
        <f>IF(Agent05_Withdrawals!A111="","",Agent05_Withdrawals!B111)</f>
        <v/>
      </c>
      <c r="D904" s="43" t="str">
        <f>IF(Agent05_Withdrawals!A111="","",Agent05_Withdrawals!C111)</f>
        <v/>
      </c>
      <c r="E904" s="41" t="str">
        <f>IF(Agent05_Withdrawals!A111="","",Agent05_Withdrawals!D111)</f>
        <v/>
      </c>
      <c r="F904" s="40" t="str">
        <f>IF(Agent05_Withdrawals!A111="","",Agent05_Withdrawals!F111)</f>
        <v/>
      </c>
      <c r="G904" s="42" t="str">
        <f>IF(Agent05_Withdrawals!A111="","",Agent05_Withdrawals!E111)</f>
        <v/>
      </c>
      <c r="H904" s="42" t="str">
        <f>IF(Agent05_Withdrawals!A111="","",Agent05_Withdrawals!G111)</f>
        <v/>
      </c>
      <c r="I904" s="40" t="str">
        <f>IF(Agent05_Withdrawals!A111="","",Agent05_Withdrawals!H111)</f>
        <v/>
      </c>
      <c r="J904" s="40" t="str">
        <f>IF(Agent05_Withdrawals!A111="","",Agent05_Withdrawals!J111)</f>
        <v/>
      </c>
      <c r="K904" s="40" t="str">
        <f>IF(Agent05_Withdrawals!A111="","",Agent05_Withdrawals!K111)</f>
        <v/>
      </c>
      <c r="L904" s="40" t="str">
        <f>IF(G904="","",IF(D904-G904&gt;=System_Config!$B$9,"✅ OK","⚠️ BREACH"))</f>
        <v/>
      </c>
      <c r="M904" s="40" t="str">
        <f>IFERROR(IF(Agent05_Withdrawals!A111="","",YEAR(Agent05_Withdrawals!D111)),"")</f>
        <v/>
      </c>
    </row>
    <row r="905" spans="1:13" ht="18" customHeight="1" x14ac:dyDescent="0.25">
      <c r="A905" s="40" t="str">
        <f>IF(Agent05_Withdrawals!A112="","",Agent05_Withdrawals!A112)</f>
        <v/>
      </c>
      <c r="B905" s="40" t="str">
        <f ca="1">IF(Agent05_Withdrawals!A112="","","WD"&amp;TEXT(905-3,"0000")&amp;"-"&amp;TEXT(TODAY(),"YYYYMMDD"))</f>
        <v/>
      </c>
      <c r="C905" s="40" t="str">
        <f>IF(Agent05_Withdrawals!A112="","",Agent05_Withdrawals!B112)</f>
        <v/>
      </c>
      <c r="D905" s="43" t="str">
        <f>IF(Agent05_Withdrawals!A112="","",Agent05_Withdrawals!C112)</f>
        <v/>
      </c>
      <c r="E905" s="41" t="str">
        <f>IF(Agent05_Withdrawals!A112="","",Agent05_Withdrawals!D112)</f>
        <v/>
      </c>
      <c r="F905" s="40" t="str">
        <f>IF(Agent05_Withdrawals!A112="","",Agent05_Withdrawals!F112)</f>
        <v/>
      </c>
      <c r="G905" s="42" t="str">
        <f>IF(Agent05_Withdrawals!A112="","",Agent05_Withdrawals!E112)</f>
        <v/>
      </c>
      <c r="H905" s="42" t="str">
        <f>IF(Agent05_Withdrawals!A112="","",Agent05_Withdrawals!G112)</f>
        <v/>
      </c>
      <c r="I905" s="40" t="str">
        <f>IF(Agent05_Withdrawals!A112="","",Agent05_Withdrawals!H112)</f>
        <v/>
      </c>
      <c r="J905" s="40" t="str">
        <f>IF(Agent05_Withdrawals!A112="","",Agent05_Withdrawals!J112)</f>
        <v/>
      </c>
      <c r="K905" s="40" t="str">
        <f>IF(Agent05_Withdrawals!A112="","",Agent05_Withdrawals!K112)</f>
        <v/>
      </c>
      <c r="L905" s="40" t="str">
        <f>IF(G905="","",IF(D905-G905&gt;=System_Config!$B$9,"✅ OK","⚠️ BREACH"))</f>
        <v/>
      </c>
      <c r="M905" s="40" t="str">
        <f>IFERROR(IF(Agent05_Withdrawals!A112="","",YEAR(Agent05_Withdrawals!D112)),"")</f>
        <v/>
      </c>
    </row>
    <row r="906" spans="1:13" ht="18" customHeight="1" x14ac:dyDescent="0.25">
      <c r="A906" s="40" t="str">
        <f>IF(Agent05_Withdrawals!A113="","",Agent05_Withdrawals!A113)</f>
        <v/>
      </c>
      <c r="B906" s="40" t="str">
        <f ca="1">IF(Agent05_Withdrawals!A113="","","WD"&amp;TEXT(906-3,"0000")&amp;"-"&amp;TEXT(TODAY(),"YYYYMMDD"))</f>
        <v/>
      </c>
      <c r="C906" s="40" t="str">
        <f>IF(Agent05_Withdrawals!A113="","",Agent05_Withdrawals!B113)</f>
        <v/>
      </c>
      <c r="D906" s="43" t="str">
        <f>IF(Agent05_Withdrawals!A113="","",Agent05_Withdrawals!C113)</f>
        <v/>
      </c>
      <c r="E906" s="41" t="str">
        <f>IF(Agent05_Withdrawals!A113="","",Agent05_Withdrawals!D113)</f>
        <v/>
      </c>
      <c r="F906" s="40" t="str">
        <f>IF(Agent05_Withdrawals!A113="","",Agent05_Withdrawals!F113)</f>
        <v/>
      </c>
      <c r="G906" s="42" t="str">
        <f>IF(Agent05_Withdrawals!A113="","",Agent05_Withdrawals!E113)</f>
        <v/>
      </c>
      <c r="H906" s="42" t="str">
        <f>IF(Agent05_Withdrawals!A113="","",Agent05_Withdrawals!G113)</f>
        <v/>
      </c>
      <c r="I906" s="40" t="str">
        <f>IF(Agent05_Withdrawals!A113="","",Agent05_Withdrawals!H113)</f>
        <v/>
      </c>
      <c r="J906" s="40" t="str">
        <f>IF(Agent05_Withdrawals!A113="","",Agent05_Withdrawals!J113)</f>
        <v/>
      </c>
      <c r="K906" s="40" t="str">
        <f>IF(Agent05_Withdrawals!A113="","",Agent05_Withdrawals!K113)</f>
        <v/>
      </c>
      <c r="L906" s="40" t="str">
        <f>IF(G906="","",IF(D906-G906&gt;=System_Config!$B$9,"✅ OK","⚠️ BREACH"))</f>
        <v/>
      </c>
      <c r="M906" s="40" t="str">
        <f>IFERROR(IF(Agent05_Withdrawals!A113="","",YEAR(Agent05_Withdrawals!D113)),"")</f>
        <v/>
      </c>
    </row>
    <row r="907" spans="1:13" ht="18" customHeight="1" x14ac:dyDescent="0.25">
      <c r="A907" s="40" t="str">
        <f>IF(Agent05_Withdrawals!A114="","",Agent05_Withdrawals!A114)</f>
        <v/>
      </c>
      <c r="B907" s="40" t="str">
        <f ca="1">IF(Agent05_Withdrawals!A114="","","WD"&amp;TEXT(907-3,"0000")&amp;"-"&amp;TEXT(TODAY(),"YYYYMMDD"))</f>
        <v/>
      </c>
      <c r="C907" s="40" t="str">
        <f>IF(Agent05_Withdrawals!A114="","",Agent05_Withdrawals!B114)</f>
        <v/>
      </c>
      <c r="D907" s="43" t="str">
        <f>IF(Agent05_Withdrawals!A114="","",Agent05_Withdrawals!C114)</f>
        <v/>
      </c>
      <c r="E907" s="41" t="str">
        <f>IF(Agent05_Withdrawals!A114="","",Agent05_Withdrawals!D114)</f>
        <v/>
      </c>
      <c r="F907" s="40" t="str">
        <f>IF(Agent05_Withdrawals!A114="","",Agent05_Withdrawals!F114)</f>
        <v/>
      </c>
      <c r="G907" s="42" t="str">
        <f>IF(Agent05_Withdrawals!A114="","",Agent05_Withdrawals!E114)</f>
        <v/>
      </c>
      <c r="H907" s="42" t="str">
        <f>IF(Agent05_Withdrawals!A114="","",Agent05_Withdrawals!G114)</f>
        <v/>
      </c>
      <c r="I907" s="40" t="str">
        <f>IF(Agent05_Withdrawals!A114="","",Agent05_Withdrawals!H114)</f>
        <v/>
      </c>
      <c r="J907" s="40" t="str">
        <f>IF(Agent05_Withdrawals!A114="","",Agent05_Withdrawals!J114)</f>
        <v/>
      </c>
      <c r="K907" s="40" t="str">
        <f>IF(Agent05_Withdrawals!A114="","",Agent05_Withdrawals!K114)</f>
        <v/>
      </c>
      <c r="L907" s="40" t="str">
        <f>IF(G907="","",IF(D907-G907&gt;=System_Config!$B$9,"✅ OK","⚠️ BREACH"))</f>
        <v/>
      </c>
      <c r="M907" s="40" t="str">
        <f>IFERROR(IF(Agent05_Withdrawals!A114="","",YEAR(Agent05_Withdrawals!D114)),"")</f>
        <v/>
      </c>
    </row>
    <row r="908" spans="1:13" ht="18" customHeight="1" x14ac:dyDescent="0.25">
      <c r="A908" s="40" t="str">
        <f>IF(Agent05_Withdrawals!A115="","",Agent05_Withdrawals!A115)</f>
        <v/>
      </c>
      <c r="B908" s="40" t="str">
        <f ca="1">IF(Agent05_Withdrawals!A115="","","WD"&amp;TEXT(908-3,"0000")&amp;"-"&amp;TEXT(TODAY(),"YYYYMMDD"))</f>
        <v/>
      </c>
      <c r="C908" s="40" t="str">
        <f>IF(Agent05_Withdrawals!A115="","",Agent05_Withdrawals!B115)</f>
        <v/>
      </c>
      <c r="D908" s="43" t="str">
        <f>IF(Agent05_Withdrawals!A115="","",Agent05_Withdrawals!C115)</f>
        <v/>
      </c>
      <c r="E908" s="41" t="str">
        <f>IF(Agent05_Withdrawals!A115="","",Agent05_Withdrawals!D115)</f>
        <v/>
      </c>
      <c r="F908" s="40" t="str">
        <f>IF(Agent05_Withdrawals!A115="","",Agent05_Withdrawals!F115)</f>
        <v/>
      </c>
      <c r="G908" s="42" t="str">
        <f>IF(Agent05_Withdrawals!A115="","",Agent05_Withdrawals!E115)</f>
        <v/>
      </c>
      <c r="H908" s="42" t="str">
        <f>IF(Agent05_Withdrawals!A115="","",Agent05_Withdrawals!G115)</f>
        <v/>
      </c>
      <c r="I908" s="40" t="str">
        <f>IF(Agent05_Withdrawals!A115="","",Agent05_Withdrawals!H115)</f>
        <v/>
      </c>
      <c r="J908" s="40" t="str">
        <f>IF(Agent05_Withdrawals!A115="","",Agent05_Withdrawals!J115)</f>
        <v/>
      </c>
      <c r="K908" s="40" t="str">
        <f>IF(Agent05_Withdrawals!A115="","",Agent05_Withdrawals!K115)</f>
        <v/>
      </c>
      <c r="L908" s="40" t="str">
        <f>IF(G908="","",IF(D908-G908&gt;=System_Config!$B$9,"✅ OK","⚠️ BREACH"))</f>
        <v/>
      </c>
      <c r="M908" s="40" t="str">
        <f>IFERROR(IF(Agent05_Withdrawals!A115="","",YEAR(Agent05_Withdrawals!D115)),"")</f>
        <v/>
      </c>
    </row>
    <row r="909" spans="1:13" ht="18" customHeight="1" x14ac:dyDescent="0.25">
      <c r="A909" s="40" t="str">
        <f>IF(Agent05_Withdrawals!A116="","",Agent05_Withdrawals!A116)</f>
        <v/>
      </c>
      <c r="B909" s="40" t="str">
        <f ca="1">IF(Agent05_Withdrawals!A116="","","WD"&amp;TEXT(909-3,"0000")&amp;"-"&amp;TEXT(TODAY(),"YYYYMMDD"))</f>
        <v/>
      </c>
      <c r="C909" s="40" t="str">
        <f>IF(Agent05_Withdrawals!A116="","",Agent05_Withdrawals!B116)</f>
        <v/>
      </c>
      <c r="D909" s="43" t="str">
        <f>IF(Agent05_Withdrawals!A116="","",Agent05_Withdrawals!C116)</f>
        <v/>
      </c>
      <c r="E909" s="41" t="str">
        <f>IF(Agent05_Withdrawals!A116="","",Agent05_Withdrawals!D116)</f>
        <v/>
      </c>
      <c r="F909" s="40" t="str">
        <f>IF(Agent05_Withdrawals!A116="","",Agent05_Withdrawals!F116)</f>
        <v/>
      </c>
      <c r="G909" s="42" t="str">
        <f>IF(Agent05_Withdrawals!A116="","",Agent05_Withdrawals!E116)</f>
        <v/>
      </c>
      <c r="H909" s="42" t="str">
        <f>IF(Agent05_Withdrawals!A116="","",Agent05_Withdrawals!G116)</f>
        <v/>
      </c>
      <c r="I909" s="40" t="str">
        <f>IF(Agent05_Withdrawals!A116="","",Agent05_Withdrawals!H116)</f>
        <v/>
      </c>
      <c r="J909" s="40" t="str">
        <f>IF(Agent05_Withdrawals!A116="","",Agent05_Withdrawals!J116)</f>
        <v/>
      </c>
      <c r="K909" s="40" t="str">
        <f>IF(Agent05_Withdrawals!A116="","",Agent05_Withdrawals!K116)</f>
        <v/>
      </c>
      <c r="L909" s="40" t="str">
        <f>IF(G909="","",IF(D909-G909&gt;=System_Config!$B$9,"✅ OK","⚠️ BREACH"))</f>
        <v/>
      </c>
      <c r="M909" s="40" t="str">
        <f>IFERROR(IF(Agent05_Withdrawals!A116="","",YEAR(Agent05_Withdrawals!D116)),"")</f>
        <v/>
      </c>
    </row>
    <row r="910" spans="1:13" ht="18" customHeight="1" x14ac:dyDescent="0.25">
      <c r="A910" s="40" t="str">
        <f>IF(Agent05_Withdrawals!A117="","",Agent05_Withdrawals!A117)</f>
        <v/>
      </c>
      <c r="B910" s="40" t="str">
        <f ca="1">IF(Agent05_Withdrawals!A117="","","WD"&amp;TEXT(910-3,"0000")&amp;"-"&amp;TEXT(TODAY(),"YYYYMMDD"))</f>
        <v/>
      </c>
      <c r="C910" s="40" t="str">
        <f>IF(Agent05_Withdrawals!A117="","",Agent05_Withdrawals!B117)</f>
        <v/>
      </c>
      <c r="D910" s="43" t="str">
        <f>IF(Agent05_Withdrawals!A117="","",Agent05_Withdrawals!C117)</f>
        <v/>
      </c>
      <c r="E910" s="41" t="str">
        <f>IF(Agent05_Withdrawals!A117="","",Agent05_Withdrawals!D117)</f>
        <v/>
      </c>
      <c r="F910" s="40" t="str">
        <f>IF(Agent05_Withdrawals!A117="","",Agent05_Withdrawals!F117)</f>
        <v/>
      </c>
      <c r="G910" s="42" t="str">
        <f>IF(Agent05_Withdrawals!A117="","",Agent05_Withdrawals!E117)</f>
        <v/>
      </c>
      <c r="H910" s="42" t="str">
        <f>IF(Agent05_Withdrawals!A117="","",Agent05_Withdrawals!G117)</f>
        <v/>
      </c>
      <c r="I910" s="40" t="str">
        <f>IF(Agent05_Withdrawals!A117="","",Agent05_Withdrawals!H117)</f>
        <v/>
      </c>
      <c r="J910" s="40" t="str">
        <f>IF(Agent05_Withdrawals!A117="","",Agent05_Withdrawals!J117)</f>
        <v/>
      </c>
      <c r="K910" s="40" t="str">
        <f>IF(Agent05_Withdrawals!A117="","",Agent05_Withdrawals!K117)</f>
        <v/>
      </c>
      <c r="L910" s="40" t="str">
        <f>IF(G910="","",IF(D910-G910&gt;=System_Config!$B$9,"✅ OK","⚠️ BREACH"))</f>
        <v/>
      </c>
      <c r="M910" s="40" t="str">
        <f>IFERROR(IF(Agent05_Withdrawals!A117="","",YEAR(Agent05_Withdrawals!D117)),"")</f>
        <v/>
      </c>
    </row>
    <row r="911" spans="1:13" ht="18" customHeight="1" x14ac:dyDescent="0.25">
      <c r="A911" s="40" t="str">
        <f>IF(Agent05_Withdrawals!A118="","",Agent05_Withdrawals!A118)</f>
        <v/>
      </c>
      <c r="B911" s="40" t="str">
        <f ca="1">IF(Agent05_Withdrawals!A118="","","WD"&amp;TEXT(911-3,"0000")&amp;"-"&amp;TEXT(TODAY(),"YYYYMMDD"))</f>
        <v/>
      </c>
      <c r="C911" s="40" t="str">
        <f>IF(Agent05_Withdrawals!A118="","",Agent05_Withdrawals!B118)</f>
        <v/>
      </c>
      <c r="D911" s="43" t="str">
        <f>IF(Agent05_Withdrawals!A118="","",Agent05_Withdrawals!C118)</f>
        <v/>
      </c>
      <c r="E911" s="41" t="str">
        <f>IF(Agent05_Withdrawals!A118="","",Agent05_Withdrawals!D118)</f>
        <v/>
      </c>
      <c r="F911" s="40" t="str">
        <f>IF(Agent05_Withdrawals!A118="","",Agent05_Withdrawals!F118)</f>
        <v/>
      </c>
      <c r="G911" s="42" t="str">
        <f>IF(Agent05_Withdrawals!A118="","",Agent05_Withdrawals!E118)</f>
        <v/>
      </c>
      <c r="H911" s="42" t="str">
        <f>IF(Agent05_Withdrawals!A118="","",Agent05_Withdrawals!G118)</f>
        <v/>
      </c>
      <c r="I911" s="40" t="str">
        <f>IF(Agent05_Withdrawals!A118="","",Agent05_Withdrawals!H118)</f>
        <v/>
      </c>
      <c r="J911" s="40" t="str">
        <f>IF(Agent05_Withdrawals!A118="","",Agent05_Withdrawals!J118)</f>
        <v/>
      </c>
      <c r="K911" s="40" t="str">
        <f>IF(Agent05_Withdrawals!A118="","",Agent05_Withdrawals!K118)</f>
        <v/>
      </c>
      <c r="L911" s="40" t="str">
        <f>IF(G911="","",IF(D911-G911&gt;=System_Config!$B$9,"✅ OK","⚠️ BREACH"))</f>
        <v/>
      </c>
      <c r="M911" s="40" t="str">
        <f>IFERROR(IF(Agent05_Withdrawals!A118="","",YEAR(Agent05_Withdrawals!D118)),"")</f>
        <v/>
      </c>
    </row>
    <row r="912" spans="1:13" ht="18" customHeight="1" x14ac:dyDescent="0.25">
      <c r="A912" s="40" t="str">
        <f>IF(Agent05_Withdrawals!A119="","",Agent05_Withdrawals!A119)</f>
        <v/>
      </c>
      <c r="B912" s="40" t="str">
        <f ca="1">IF(Agent05_Withdrawals!A119="","","WD"&amp;TEXT(912-3,"0000")&amp;"-"&amp;TEXT(TODAY(),"YYYYMMDD"))</f>
        <v/>
      </c>
      <c r="C912" s="40" t="str">
        <f>IF(Agent05_Withdrawals!A119="","",Agent05_Withdrawals!B119)</f>
        <v/>
      </c>
      <c r="D912" s="43" t="str">
        <f>IF(Agent05_Withdrawals!A119="","",Agent05_Withdrawals!C119)</f>
        <v/>
      </c>
      <c r="E912" s="41" t="str">
        <f>IF(Agent05_Withdrawals!A119="","",Agent05_Withdrawals!D119)</f>
        <v/>
      </c>
      <c r="F912" s="40" t="str">
        <f>IF(Agent05_Withdrawals!A119="","",Agent05_Withdrawals!F119)</f>
        <v/>
      </c>
      <c r="G912" s="42" t="str">
        <f>IF(Agent05_Withdrawals!A119="","",Agent05_Withdrawals!E119)</f>
        <v/>
      </c>
      <c r="H912" s="42" t="str">
        <f>IF(Agent05_Withdrawals!A119="","",Agent05_Withdrawals!G119)</f>
        <v/>
      </c>
      <c r="I912" s="40" t="str">
        <f>IF(Agent05_Withdrawals!A119="","",Agent05_Withdrawals!H119)</f>
        <v/>
      </c>
      <c r="J912" s="40" t="str">
        <f>IF(Agent05_Withdrawals!A119="","",Agent05_Withdrawals!J119)</f>
        <v/>
      </c>
      <c r="K912" s="40" t="str">
        <f>IF(Agent05_Withdrawals!A119="","",Agent05_Withdrawals!K119)</f>
        <v/>
      </c>
      <c r="L912" s="40" t="str">
        <f>IF(G912="","",IF(D912-G912&gt;=System_Config!$B$9,"✅ OK","⚠️ BREACH"))</f>
        <v/>
      </c>
      <c r="M912" s="40" t="str">
        <f>IFERROR(IF(Agent05_Withdrawals!A119="","",YEAR(Agent05_Withdrawals!D119)),"")</f>
        <v/>
      </c>
    </row>
    <row r="913" spans="1:13" ht="18" customHeight="1" x14ac:dyDescent="0.25">
      <c r="A913" s="40" t="str">
        <f>IF(Agent05_Withdrawals!A120="","",Agent05_Withdrawals!A120)</f>
        <v/>
      </c>
      <c r="B913" s="40" t="str">
        <f ca="1">IF(Agent05_Withdrawals!A120="","","WD"&amp;TEXT(913-3,"0000")&amp;"-"&amp;TEXT(TODAY(),"YYYYMMDD"))</f>
        <v/>
      </c>
      <c r="C913" s="40" t="str">
        <f>IF(Agent05_Withdrawals!A120="","",Agent05_Withdrawals!B120)</f>
        <v/>
      </c>
      <c r="D913" s="43" t="str">
        <f>IF(Agent05_Withdrawals!A120="","",Agent05_Withdrawals!C120)</f>
        <v/>
      </c>
      <c r="E913" s="41" t="str">
        <f>IF(Agent05_Withdrawals!A120="","",Agent05_Withdrawals!D120)</f>
        <v/>
      </c>
      <c r="F913" s="40" t="str">
        <f>IF(Agent05_Withdrawals!A120="","",Agent05_Withdrawals!F120)</f>
        <v/>
      </c>
      <c r="G913" s="42" t="str">
        <f>IF(Agent05_Withdrawals!A120="","",Agent05_Withdrawals!E120)</f>
        <v/>
      </c>
      <c r="H913" s="42" t="str">
        <f>IF(Agent05_Withdrawals!A120="","",Agent05_Withdrawals!G120)</f>
        <v/>
      </c>
      <c r="I913" s="40" t="str">
        <f>IF(Agent05_Withdrawals!A120="","",Agent05_Withdrawals!H120)</f>
        <v/>
      </c>
      <c r="J913" s="40" t="str">
        <f>IF(Agent05_Withdrawals!A120="","",Agent05_Withdrawals!J120)</f>
        <v/>
      </c>
      <c r="K913" s="40" t="str">
        <f>IF(Agent05_Withdrawals!A120="","",Agent05_Withdrawals!K120)</f>
        <v/>
      </c>
      <c r="L913" s="40" t="str">
        <f>IF(G913="","",IF(D913-G913&gt;=System_Config!$B$9,"✅ OK","⚠️ BREACH"))</f>
        <v/>
      </c>
      <c r="M913" s="40" t="str">
        <f>IFERROR(IF(Agent05_Withdrawals!A120="","",YEAR(Agent05_Withdrawals!D120)),"")</f>
        <v/>
      </c>
    </row>
    <row r="914" spans="1:13" ht="18" customHeight="1" x14ac:dyDescent="0.25">
      <c r="A914" s="40" t="str">
        <f>IF(Agent05_Withdrawals!A121="","",Agent05_Withdrawals!A121)</f>
        <v/>
      </c>
      <c r="B914" s="40" t="str">
        <f ca="1">IF(Agent05_Withdrawals!A121="","","WD"&amp;TEXT(914-3,"0000")&amp;"-"&amp;TEXT(TODAY(),"YYYYMMDD"))</f>
        <v/>
      </c>
      <c r="C914" s="40" t="str">
        <f>IF(Agent05_Withdrawals!A121="","",Agent05_Withdrawals!B121)</f>
        <v/>
      </c>
      <c r="D914" s="43" t="str">
        <f>IF(Agent05_Withdrawals!A121="","",Agent05_Withdrawals!C121)</f>
        <v/>
      </c>
      <c r="E914" s="41" t="str">
        <f>IF(Agent05_Withdrawals!A121="","",Agent05_Withdrawals!D121)</f>
        <v/>
      </c>
      <c r="F914" s="40" t="str">
        <f>IF(Agent05_Withdrawals!A121="","",Agent05_Withdrawals!F121)</f>
        <v/>
      </c>
      <c r="G914" s="42" t="str">
        <f>IF(Agent05_Withdrawals!A121="","",Agent05_Withdrawals!E121)</f>
        <v/>
      </c>
      <c r="H914" s="42" t="str">
        <f>IF(Agent05_Withdrawals!A121="","",Agent05_Withdrawals!G121)</f>
        <v/>
      </c>
      <c r="I914" s="40" t="str">
        <f>IF(Agent05_Withdrawals!A121="","",Agent05_Withdrawals!H121)</f>
        <v/>
      </c>
      <c r="J914" s="40" t="str">
        <f>IF(Agent05_Withdrawals!A121="","",Agent05_Withdrawals!J121)</f>
        <v/>
      </c>
      <c r="K914" s="40" t="str">
        <f>IF(Agent05_Withdrawals!A121="","",Agent05_Withdrawals!K121)</f>
        <v/>
      </c>
      <c r="L914" s="40" t="str">
        <f>IF(G914="","",IF(D914-G914&gt;=System_Config!$B$9,"✅ OK","⚠️ BREACH"))</f>
        <v/>
      </c>
      <c r="M914" s="40" t="str">
        <f>IFERROR(IF(Agent05_Withdrawals!A121="","",YEAR(Agent05_Withdrawals!D121)),"")</f>
        <v/>
      </c>
    </row>
    <row r="915" spans="1:13" ht="18" customHeight="1" x14ac:dyDescent="0.25">
      <c r="A915" s="40" t="str">
        <f>IF(Agent05_Withdrawals!A122="","",Agent05_Withdrawals!A122)</f>
        <v/>
      </c>
      <c r="B915" s="40" t="str">
        <f ca="1">IF(Agent05_Withdrawals!A122="","","WD"&amp;TEXT(915-3,"0000")&amp;"-"&amp;TEXT(TODAY(),"YYYYMMDD"))</f>
        <v/>
      </c>
      <c r="C915" s="40" t="str">
        <f>IF(Agent05_Withdrawals!A122="","",Agent05_Withdrawals!B122)</f>
        <v/>
      </c>
      <c r="D915" s="43" t="str">
        <f>IF(Agent05_Withdrawals!A122="","",Agent05_Withdrawals!C122)</f>
        <v/>
      </c>
      <c r="E915" s="41" t="str">
        <f>IF(Agent05_Withdrawals!A122="","",Agent05_Withdrawals!D122)</f>
        <v/>
      </c>
      <c r="F915" s="40" t="str">
        <f>IF(Agent05_Withdrawals!A122="","",Agent05_Withdrawals!F122)</f>
        <v/>
      </c>
      <c r="G915" s="42" t="str">
        <f>IF(Agent05_Withdrawals!A122="","",Agent05_Withdrawals!E122)</f>
        <v/>
      </c>
      <c r="H915" s="42" t="str">
        <f>IF(Agent05_Withdrawals!A122="","",Agent05_Withdrawals!G122)</f>
        <v/>
      </c>
      <c r="I915" s="40" t="str">
        <f>IF(Agent05_Withdrawals!A122="","",Agent05_Withdrawals!H122)</f>
        <v/>
      </c>
      <c r="J915" s="40" t="str">
        <f>IF(Agent05_Withdrawals!A122="","",Agent05_Withdrawals!J122)</f>
        <v/>
      </c>
      <c r="K915" s="40" t="str">
        <f>IF(Agent05_Withdrawals!A122="","",Agent05_Withdrawals!K122)</f>
        <v/>
      </c>
      <c r="L915" s="40" t="str">
        <f>IF(G915="","",IF(D915-G915&gt;=System_Config!$B$9,"✅ OK","⚠️ BREACH"))</f>
        <v/>
      </c>
      <c r="M915" s="40" t="str">
        <f>IFERROR(IF(Agent05_Withdrawals!A122="","",YEAR(Agent05_Withdrawals!D122)),"")</f>
        <v/>
      </c>
    </row>
    <row r="916" spans="1:13" ht="18" customHeight="1" x14ac:dyDescent="0.25">
      <c r="A916" s="40" t="str">
        <f>IF(Agent05_Withdrawals!A123="","",Agent05_Withdrawals!A123)</f>
        <v/>
      </c>
      <c r="B916" s="40" t="str">
        <f ca="1">IF(Agent05_Withdrawals!A123="","","WD"&amp;TEXT(916-3,"0000")&amp;"-"&amp;TEXT(TODAY(),"YYYYMMDD"))</f>
        <v/>
      </c>
      <c r="C916" s="40" t="str">
        <f>IF(Agent05_Withdrawals!A123="","",Agent05_Withdrawals!B123)</f>
        <v/>
      </c>
      <c r="D916" s="43" t="str">
        <f>IF(Agent05_Withdrawals!A123="","",Agent05_Withdrawals!C123)</f>
        <v/>
      </c>
      <c r="E916" s="41" t="str">
        <f>IF(Agent05_Withdrawals!A123="","",Agent05_Withdrawals!D123)</f>
        <v/>
      </c>
      <c r="F916" s="40" t="str">
        <f>IF(Agent05_Withdrawals!A123="","",Agent05_Withdrawals!F123)</f>
        <v/>
      </c>
      <c r="G916" s="42" t="str">
        <f>IF(Agent05_Withdrawals!A123="","",Agent05_Withdrawals!E123)</f>
        <v/>
      </c>
      <c r="H916" s="42" t="str">
        <f>IF(Agent05_Withdrawals!A123="","",Agent05_Withdrawals!G123)</f>
        <v/>
      </c>
      <c r="I916" s="40" t="str">
        <f>IF(Agent05_Withdrawals!A123="","",Agent05_Withdrawals!H123)</f>
        <v/>
      </c>
      <c r="J916" s="40" t="str">
        <f>IF(Agent05_Withdrawals!A123="","",Agent05_Withdrawals!J123)</f>
        <v/>
      </c>
      <c r="K916" s="40" t="str">
        <f>IF(Agent05_Withdrawals!A123="","",Agent05_Withdrawals!K123)</f>
        <v/>
      </c>
      <c r="L916" s="40" t="str">
        <f>IF(G916="","",IF(D916-G916&gt;=System_Config!$B$9,"✅ OK","⚠️ BREACH"))</f>
        <v/>
      </c>
      <c r="M916" s="40" t="str">
        <f>IFERROR(IF(Agent05_Withdrawals!A123="","",YEAR(Agent05_Withdrawals!D123)),"")</f>
        <v/>
      </c>
    </row>
    <row r="917" spans="1:13" ht="18" customHeight="1" x14ac:dyDescent="0.25">
      <c r="A917" s="40" t="str">
        <f>IF(Agent05_Withdrawals!A124="","",Agent05_Withdrawals!A124)</f>
        <v/>
      </c>
      <c r="B917" s="40" t="str">
        <f ca="1">IF(Agent05_Withdrawals!A124="","","WD"&amp;TEXT(917-3,"0000")&amp;"-"&amp;TEXT(TODAY(),"YYYYMMDD"))</f>
        <v/>
      </c>
      <c r="C917" s="40" t="str">
        <f>IF(Agent05_Withdrawals!A124="","",Agent05_Withdrawals!B124)</f>
        <v/>
      </c>
      <c r="D917" s="43" t="str">
        <f>IF(Agent05_Withdrawals!A124="","",Agent05_Withdrawals!C124)</f>
        <v/>
      </c>
      <c r="E917" s="41" t="str">
        <f>IF(Agent05_Withdrawals!A124="","",Agent05_Withdrawals!D124)</f>
        <v/>
      </c>
      <c r="F917" s="40" t="str">
        <f>IF(Agent05_Withdrawals!A124="","",Agent05_Withdrawals!F124)</f>
        <v/>
      </c>
      <c r="G917" s="42" t="str">
        <f>IF(Agent05_Withdrawals!A124="","",Agent05_Withdrawals!E124)</f>
        <v/>
      </c>
      <c r="H917" s="42" t="str">
        <f>IF(Agent05_Withdrawals!A124="","",Agent05_Withdrawals!G124)</f>
        <v/>
      </c>
      <c r="I917" s="40" t="str">
        <f>IF(Agent05_Withdrawals!A124="","",Agent05_Withdrawals!H124)</f>
        <v/>
      </c>
      <c r="J917" s="40" t="str">
        <f>IF(Agent05_Withdrawals!A124="","",Agent05_Withdrawals!J124)</f>
        <v/>
      </c>
      <c r="K917" s="40" t="str">
        <f>IF(Agent05_Withdrawals!A124="","",Agent05_Withdrawals!K124)</f>
        <v/>
      </c>
      <c r="L917" s="40" t="str">
        <f>IF(G917="","",IF(D917-G917&gt;=System_Config!$B$9,"✅ OK","⚠️ BREACH"))</f>
        <v/>
      </c>
      <c r="M917" s="40" t="str">
        <f>IFERROR(IF(Agent05_Withdrawals!A124="","",YEAR(Agent05_Withdrawals!D124)),"")</f>
        <v/>
      </c>
    </row>
    <row r="918" spans="1:13" ht="18" customHeight="1" x14ac:dyDescent="0.25">
      <c r="A918" s="40" t="str">
        <f>IF(Agent05_Withdrawals!A125="","",Agent05_Withdrawals!A125)</f>
        <v/>
      </c>
      <c r="B918" s="40" t="str">
        <f ca="1">IF(Agent05_Withdrawals!A125="","","WD"&amp;TEXT(918-3,"0000")&amp;"-"&amp;TEXT(TODAY(),"YYYYMMDD"))</f>
        <v/>
      </c>
      <c r="C918" s="40" t="str">
        <f>IF(Agent05_Withdrawals!A125="","",Agent05_Withdrawals!B125)</f>
        <v/>
      </c>
      <c r="D918" s="43" t="str">
        <f>IF(Agent05_Withdrawals!A125="","",Agent05_Withdrawals!C125)</f>
        <v/>
      </c>
      <c r="E918" s="41" t="str">
        <f>IF(Agent05_Withdrawals!A125="","",Agent05_Withdrawals!D125)</f>
        <v/>
      </c>
      <c r="F918" s="40" t="str">
        <f>IF(Agent05_Withdrawals!A125="","",Agent05_Withdrawals!F125)</f>
        <v/>
      </c>
      <c r="G918" s="42" t="str">
        <f>IF(Agent05_Withdrawals!A125="","",Agent05_Withdrawals!E125)</f>
        <v/>
      </c>
      <c r="H918" s="42" t="str">
        <f>IF(Agent05_Withdrawals!A125="","",Agent05_Withdrawals!G125)</f>
        <v/>
      </c>
      <c r="I918" s="40" t="str">
        <f>IF(Agent05_Withdrawals!A125="","",Agent05_Withdrawals!H125)</f>
        <v/>
      </c>
      <c r="J918" s="40" t="str">
        <f>IF(Agent05_Withdrawals!A125="","",Agent05_Withdrawals!J125)</f>
        <v/>
      </c>
      <c r="K918" s="40" t="str">
        <f>IF(Agent05_Withdrawals!A125="","",Agent05_Withdrawals!K125)</f>
        <v/>
      </c>
      <c r="L918" s="40" t="str">
        <f>IF(G918="","",IF(D918-G918&gt;=System_Config!$B$9,"✅ OK","⚠️ BREACH"))</f>
        <v/>
      </c>
      <c r="M918" s="40" t="str">
        <f>IFERROR(IF(Agent05_Withdrawals!A125="","",YEAR(Agent05_Withdrawals!D125)),"")</f>
        <v/>
      </c>
    </row>
    <row r="919" spans="1:13" ht="18" customHeight="1" x14ac:dyDescent="0.25">
      <c r="A919" s="40" t="str">
        <f>IF(Agent05_Withdrawals!A126="","",Agent05_Withdrawals!A126)</f>
        <v/>
      </c>
      <c r="B919" s="40" t="str">
        <f ca="1">IF(Agent05_Withdrawals!A126="","","WD"&amp;TEXT(919-3,"0000")&amp;"-"&amp;TEXT(TODAY(),"YYYYMMDD"))</f>
        <v/>
      </c>
      <c r="C919" s="40" t="str">
        <f>IF(Agent05_Withdrawals!A126="","",Agent05_Withdrawals!B126)</f>
        <v/>
      </c>
      <c r="D919" s="43" t="str">
        <f>IF(Agent05_Withdrawals!A126="","",Agent05_Withdrawals!C126)</f>
        <v/>
      </c>
      <c r="E919" s="41" t="str">
        <f>IF(Agent05_Withdrawals!A126="","",Agent05_Withdrawals!D126)</f>
        <v/>
      </c>
      <c r="F919" s="40" t="str">
        <f>IF(Agent05_Withdrawals!A126="","",Agent05_Withdrawals!F126)</f>
        <v/>
      </c>
      <c r="G919" s="42" t="str">
        <f>IF(Agent05_Withdrawals!A126="","",Agent05_Withdrawals!E126)</f>
        <v/>
      </c>
      <c r="H919" s="42" t="str">
        <f>IF(Agent05_Withdrawals!A126="","",Agent05_Withdrawals!G126)</f>
        <v/>
      </c>
      <c r="I919" s="40" t="str">
        <f>IF(Agent05_Withdrawals!A126="","",Agent05_Withdrawals!H126)</f>
        <v/>
      </c>
      <c r="J919" s="40" t="str">
        <f>IF(Agent05_Withdrawals!A126="","",Agent05_Withdrawals!J126)</f>
        <v/>
      </c>
      <c r="K919" s="40" t="str">
        <f>IF(Agent05_Withdrawals!A126="","",Agent05_Withdrawals!K126)</f>
        <v/>
      </c>
      <c r="L919" s="40" t="str">
        <f>IF(G919="","",IF(D919-G919&gt;=System_Config!$B$9,"✅ OK","⚠️ BREACH"))</f>
        <v/>
      </c>
      <c r="M919" s="40" t="str">
        <f>IFERROR(IF(Agent05_Withdrawals!A126="","",YEAR(Agent05_Withdrawals!D126)),"")</f>
        <v/>
      </c>
    </row>
    <row r="920" spans="1:13" ht="18" customHeight="1" x14ac:dyDescent="0.25">
      <c r="A920" s="40" t="str">
        <f>IF(Agent05_Withdrawals!A127="","",Agent05_Withdrawals!A127)</f>
        <v/>
      </c>
      <c r="B920" s="40" t="str">
        <f ca="1">IF(Agent05_Withdrawals!A127="","","WD"&amp;TEXT(920-3,"0000")&amp;"-"&amp;TEXT(TODAY(),"YYYYMMDD"))</f>
        <v/>
      </c>
      <c r="C920" s="40" t="str">
        <f>IF(Agent05_Withdrawals!A127="","",Agent05_Withdrawals!B127)</f>
        <v/>
      </c>
      <c r="D920" s="43" t="str">
        <f>IF(Agent05_Withdrawals!A127="","",Agent05_Withdrawals!C127)</f>
        <v/>
      </c>
      <c r="E920" s="41" t="str">
        <f>IF(Agent05_Withdrawals!A127="","",Agent05_Withdrawals!D127)</f>
        <v/>
      </c>
      <c r="F920" s="40" t="str">
        <f>IF(Agent05_Withdrawals!A127="","",Agent05_Withdrawals!F127)</f>
        <v/>
      </c>
      <c r="G920" s="42" t="str">
        <f>IF(Agent05_Withdrawals!A127="","",Agent05_Withdrawals!E127)</f>
        <v/>
      </c>
      <c r="H920" s="42" t="str">
        <f>IF(Agent05_Withdrawals!A127="","",Agent05_Withdrawals!G127)</f>
        <v/>
      </c>
      <c r="I920" s="40" t="str">
        <f>IF(Agent05_Withdrawals!A127="","",Agent05_Withdrawals!H127)</f>
        <v/>
      </c>
      <c r="J920" s="40" t="str">
        <f>IF(Agent05_Withdrawals!A127="","",Agent05_Withdrawals!J127)</f>
        <v/>
      </c>
      <c r="K920" s="40" t="str">
        <f>IF(Agent05_Withdrawals!A127="","",Agent05_Withdrawals!K127)</f>
        <v/>
      </c>
      <c r="L920" s="40" t="str">
        <f>IF(G920="","",IF(D920-G920&gt;=System_Config!$B$9,"✅ OK","⚠️ BREACH"))</f>
        <v/>
      </c>
      <c r="M920" s="40" t="str">
        <f>IFERROR(IF(Agent05_Withdrawals!A127="","",YEAR(Agent05_Withdrawals!D127)),"")</f>
        <v/>
      </c>
    </row>
    <row r="921" spans="1:13" ht="18" customHeight="1" x14ac:dyDescent="0.25">
      <c r="A921" s="40" t="str">
        <f>IF(Agent05_Withdrawals!A128="","",Agent05_Withdrawals!A128)</f>
        <v/>
      </c>
      <c r="B921" s="40" t="str">
        <f ca="1">IF(Agent05_Withdrawals!A128="","","WD"&amp;TEXT(921-3,"0000")&amp;"-"&amp;TEXT(TODAY(),"YYYYMMDD"))</f>
        <v/>
      </c>
      <c r="C921" s="40" t="str">
        <f>IF(Agent05_Withdrawals!A128="","",Agent05_Withdrawals!B128)</f>
        <v/>
      </c>
      <c r="D921" s="43" t="str">
        <f>IF(Agent05_Withdrawals!A128="","",Agent05_Withdrawals!C128)</f>
        <v/>
      </c>
      <c r="E921" s="41" t="str">
        <f>IF(Agent05_Withdrawals!A128="","",Agent05_Withdrawals!D128)</f>
        <v/>
      </c>
      <c r="F921" s="40" t="str">
        <f>IF(Agent05_Withdrawals!A128="","",Agent05_Withdrawals!F128)</f>
        <v/>
      </c>
      <c r="G921" s="42" t="str">
        <f>IF(Agent05_Withdrawals!A128="","",Agent05_Withdrawals!E128)</f>
        <v/>
      </c>
      <c r="H921" s="42" t="str">
        <f>IF(Agent05_Withdrawals!A128="","",Agent05_Withdrawals!G128)</f>
        <v/>
      </c>
      <c r="I921" s="40" t="str">
        <f>IF(Agent05_Withdrawals!A128="","",Agent05_Withdrawals!H128)</f>
        <v/>
      </c>
      <c r="J921" s="40" t="str">
        <f>IF(Agent05_Withdrawals!A128="","",Agent05_Withdrawals!J128)</f>
        <v/>
      </c>
      <c r="K921" s="40" t="str">
        <f>IF(Agent05_Withdrawals!A128="","",Agent05_Withdrawals!K128)</f>
        <v/>
      </c>
      <c r="L921" s="40" t="str">
        <f>IF(G921="","",IF(D921-G921&gt;=System_Config!$B$9,"✅ OK","⚠️ BREACH"))</f>
        <v/>
      </c>
      <c r="M921" s="40" t="str">
        <f>IFERROR(IF(Agent05_Withdrawals!A128="","",YEAR(Agent05_Withdrawals!D128)),"")</f>
        <v/>
      </c>
    </row>
    <row r="922" spans="1:13" ht="18" customHeight="1" x14ac:dyDescent="0.25">
      <c r="A922" s="40" t="str">
        <f>IF(Agent05_Withdrawals!A129="","",Agent05_Withdrawals!A129)</f>
        <v/>
      </c>
      <c r="B922" s="40" t="str">
        <f ca="1">IF(Agent05_Withdrawals!A129="","","WD"&amp;TEXT(922-3,"0000")&amp;"-"&amp;TEXT(TODAY(),"YYYYMMDD"))</f>
        <v/>
      </c>
      <c r="C922" s="40" t="str">
        <f>IF(Agent05_Withdrawals!A129="","",Agent05_Withdrawals!B129)</f>
        <v/>
      </c>
      <c r="D922" s="43" t="str">
        <f>IF(Agent05_Withdrawals!A129="","",Agent05_Withdrawals!C129)</f>
        <v/>
      </c>
      <c r="E922" s="41" t="str">
        <f>IF(Agent05_Withdrawals!A129="","",Agent05_Withdrawals!D129)</f>
        <v/>
      </c>
      <c r="F922" s="40" t="str">
        <f>IF(Agent05_Withdrawals!A129="","",Agent05_Withdrawals!F129)</f>
        <v/>
      </c>
      <c r="G922" s="42" t="str">
        <f>IF(Agent05_Withdrawals!A129="","",Agent05_Withdrawals!E129)</f>
        <v/>
      </c>
      <c r="H922" s="42" t="str">
        <f>IF(Agent05_Withdrawals!A129="","",Agent05_Withdrawals!G129)</f>
        <v/>
      </c>
      <c r="I922" s="40" t="str">
        <f>IF(Agent05_Withdrawals!A129="","",Agent05_Withdrawals!H129)</f>
        <v/>
      </c>
      <c r="J922" s="40" t="str">
        <f>IF(Agent05_Withdrawals!A129="","",Agent05_Withdrawals!J129)</f>
        <v/>
      </c>
      <c r="K922" s="40" t="str">
        <f>IF(Agent05_Withdrawals!A129="","",Agent05_Withdrawals!K129)</f>
        <v/>
      </c>
      <c r="L922" s="40" t="str">
        <f>IF(G922="","",IF(D922-G922&gt;=System_Config!$B$9,"✅ OK","⚠️ BREACH"))</f>
        <v/>
      </c>
      <c r="M922" s="40" t="str">
        <f>IFERROR(IF(Agent05_Withdrawals!A129="","",YEAR(Agent05_Withdrawals!D129)),"")</f>
        <v/>
      </c>
    </row>
    <row r="923" spans="1:13" ht="18" customHeight="1" x14ac:dyDescent="0.25">
      <c r="A923" s="40" t="str">
        <f>IF(Agent05_Withdrawals!A130="","",Agent05_Withdrawals!A130)</f>
        <v/>
      </c>
      <c r="B923" s="40" t="str">
        <f ca="1">IF(Agent05_Withdrawals!A130="","","WD"&amp;TEXT(923-3,"0000")&amp;"-"&amp;TEXT(TODAY(),"YYYYMMDD"))</f>
        <v/>
      </c>
      <c r="C923" s="40" t="str">
        <f>IF(Agent05_Withdrawals!A130="","",Agent05_Withdrawals!B130)</f>
        <v/>
      </c>
      <c r="D923" s="43" t="str">
        <f>IF(Agent05_Withdrawals!A130="","",Agent05_Withdrawals!C130)</f>
        <v/>
      </c>
      <c r="E923" s="41" t="str">
        <f>IF(Agent05_Withdrawals!A130="","",Agent05_Withdrawals!D130)</f>
        <v/>
      </c>
      <c r="F923" s="40" t="str">
        <f>IF(Agent05_Withdrawals!A130="","",Agent05_Withdrawals!F130)</f>
        <v/>
      </c>
      <c r="G923" s="42" t="str">
        <f>IF(Agent05_Withdrawals!A130="","",Agent05_Withdrawals!E130)</f>
        <v/>
      </c>
      <c r="H923" s="42" t="str">
        <f>IF(Agent05_Withdrawals!A130="","",Agent05_Withdrawals!G130)</f>
        <v/>
      </c>
      <c r="I923" s="40" t="str">
        <f>IF(Agent05_Withdrawals!A130="","",Agent05_Withdrawals!H130)</f>
        <v/>
      </c>
      <c r="J923" s="40" t="str">
        <f>IF(Agent05_Withdrawals!A130="","",Agent05_Withdrawals!J130)</f>
        <v/>
      </c>
      <c r="K923" s="40" t="str">
        <f>IF(Agent05_Withdrawals!A130="","",Agent05_Withdrawals!K130)</f>
        <v/>
      </c>
      <c r="L923" s="40" t="str">
        <f>IF(G923="","",IF(D923-G923&gt;=System_Config!$B$9,"✅ OK","⚠️ BREACH"))</f>
        <v/>
      </c>
      <c r="M923" s="40" t="str">
        <f>IFERROR(IF(Agent05_Withdrawals!A130="","",YEAR(Agent05_Withdrawals!D130)),"")</f>
        <v/>
      </c>
    </row>
    <row r="924" spans="1:13" ht="18" customHeight="1" x14ac:dyDescent="0.25">
      <c r="A924" s="40" t="str">
        <f>IF(Agent05_Withdrawals!A131="","",Agent05_Withdrawals!A131)</f>
        <v/>
      </c>
      <c r="B924" s="40" t="str">
        <f ca="1">IF(Agent05_Withdrawals!A131="","","WD"&amp;TEXT(924-3,"0000")&amp;"-"&amp;TEXT(TODAY(),"YYYYMMDD"))</f>
        <v/>
      </c>
      <c r="C924" s="40" t="str">
        <f>IF(Agent05_Withdrawals!A131="","",Agent05_Withdrawals!B131)</f>
        <v/>
      </c>
      <c r="D924" s="43" t="str">
        <f>IF(Agent05_Withdrawals!A131="","",Agent05_Withdrawals!C131)</f>
        <v/>
      </c>
      <c r="E924" s="41" t="str">
        <f>IF(Agent05_Withdrawals!A131="","",Agent05_Withdrawals!D131)</f>
        <v/>
      </c>
      <c r="F924" s="40" t="str">
        <f>IF(Agent05_Withdrawals!A131="","",Agent05_Withdrawals!F131)</f>
        <v/>
      </c>
      <c r="G924" s="42" t="str">
        <f>IF(Agent05_Withdrawals!A131="","",Agent05_Withdrawals!E131)</f>
        <v/>
      </c>
      <c r="H924" s="42" t="str">
        <f>IF(Agent05_Withdrawals!A131="","",Agent05_Withdrawals!G131)</f>
        <v/>
      </c>
      <c r="I924" s="40" t="str">
        <f>IF(Agent05_Withdrawals!A131="","",Agent05_Withdrawals!H131)</f>
        <v/>
      </c>
      <c r="J924" s="40" t="str">
        <f>IF(Agent05_Withdrawals!A131="","",Agent05_Withdrawals!J131)</f>
        <v/>
      </c>
      <c r="K924" s="40" t="str">
        <f>IF(Agent05_Withdrawals!A131="","",Agent05_Withdrawals!K131)</f>
        <v/>
      </c>
      <c r="L924" s="40" t="str">
        <f>IF(G924="","",IF(D924-G924&gt;=System_Config!$B$9,"✅ OK","⚠️ BREACH"))</f>
        <v/>
      </c>
      <c r="M924" s="40" t="str">
        <f>IFERROR(IF(Agent05_Withdrawals!A131="","",YEAR(Agent05_Withdrawals!D131)),"")</f>
        <v/>
      </c>
    </row>
    <row r="925" spans="1:13" ht="18" customHeight="1" x14ac:dyDescent="0.25">
      <c r="A925" s="40" t="str">
        <f>IF(Agent05_Withdrawals!A132="","",Agent05_Withdrawals!A132)</f>
        <v/>
      </c>
      <c r="B925" s="40" t="str">
        <f ca="1">IF(Agent05_Withdrawals!A132="","","WD"&amp;TEXT(925-3,"0000")&amp;"-"&amp;TEXT(TODAY(),"YYYYMMDD"))</f>
        <v/>
      </c>
      <c r="C925" s="40" t="str">
        <f>IF(Agent05_Withdrawals!A132="","",Agent05_Withdrawals!B132)</f>
        <v/>
      </c>
      <c r="D925" s="43" t="str">
        <f>IF(Agent05_Withdrawals!A132="","",Agent05_Withdrawals!C132)</f>
        <v/>
      </c>
      <c r="E925" s="41" t="str">
        <f>IF(Agent05_Withdrawals!A132="","",Agent05_Withdrawals!D132)</f>
        <v/>
      </c>
      <c r="F925" s="40" t="str">
        <f>IF(Agent05_Withdrawals!A132="","",Agent05_Withdrawals!F132)</f>
        <v/>
      </c>
      <c r="G925" s="42" t="str">
        <f>IF(Agent05_Withdrawals!A132="","",Agent05_Withdrawals!E132)</f>
        <v/>
      </c>
      <c r="H925" s="42" t="str">
        <f>IF(Agent05_Withdrawals!A132="","",Agent05_Withdrawals!G132)</f>
        <v/>
      </c>
      <c r="I925" s="40" t="str">
        <f>IF(Agent05_Withdrawals!A132="","",Agent05_Withdrawals!H132)</f>
        <v/>
      </c>
      <c r="J925" s="40" t="str">
        <f>IF(Agent05_Withdrawals!A132="","",Agent05_Withdrawals!J132)</f>
        <v/>
      </c>
      <c r="K925" s="40" t="str">
        <f>IF(Agent05_Withdrawals!A132="","",Agent05_Withdrawals!K132)</f>
        <v/>
      </c>
      <c r="L925" s="40" t="str">
        <f>IF(G925="","",IF(D925-G925&gt;=System_Config!$B$9,"✅ OK","⚠️ BREACH"))</f>
        <v/>
      </c>
      <c r="M925" s="40" t="str">
        <f>IFERROR(IF(Agent05_Withdrawals!A132="","",YEAR(Agent05_Withdrawals!D132)),"")</f>
        <v/>
      </c>
    </row>
    <row r="926" spans="1:13" ht="18" customHeight="1" x14ac:dyDescent="0.25">
      <c r="A926" s="40" t="str">
        <f>IF(Agent05_Withdrawals!A133="","",Agent05_Withdrawals!A133)</f>
        <v/>
      </c>
      <c r="B926" s="40" t="str">
        <f ca="1">IF(Agent05_Withdrawals!A133="","","WD"&amp;TEXT(926-3,"0000")&amp;"-"&amp;TEXT(TODAY(),"YYYYMMDD"))</f>
        <v/>
      </c>
      <c r="C926" s="40" t="str">
        <f>IF(Agent05_Withdrawals!A133="","",Agent05_Withdrawals!B133)</f>
        <v/>
      </c>
      <c r="D926" s="43" t="str">
        <f>IF(Agent05_Withdrawals!A133="","",Agent05_Withdrawals!C133)</f>
        <v/>
      </c>
      <c r="E926" s="41" t="str">
        <f>IF(Agent05_Withdrawals!A133="","",Agent05_Withdrawals!D133)</f>
        <v/>
      </c>
      <c r="F926" s="40" t="str">
        <f>IF(Agent05_Withdrawals!A133="","",Agent05_Withdrawals!F133)</f>
        <v/>
      </c>
      <c r="G926" s="42" t="str">
        <f>IF(Agent05_Withdrawals!A133="","",Agent05_Withdrawals!E133)</f>
        <v/>
      </c>
      <c r="H926" s="42" t="str">
        <f>IF(Agent05_Withdrawals!A133="","",Agent05_Withdrawals!G133)</f>
        <v/>
      </c>
      <c r="I926" s="40" t="str">
        <f>IF(Agent05_Withdrawals!A133="","",Agent05_Withdrawals!H133)</f>
        <v/>
      </c>
      <c r="J926" s="40" t="str">
        <f>IF(Agent05_Withdrawals!A133="","",Agent05_Withdrawals!J133)</f>
        <v/>
      </c>
      <c r="K926" s="40" t="str">
        <f>IF(Agent05_Withdrawals!A133="","",Agent05_Withdrawals!K133)</f>
        <v/>
      </c>
      <c r="L926" s="40" t="str">
        <f>IF(G926="","",IF(D926-G926&gt;=System_Config!$B$9,"✅ OK","⚠️ BREACH"))</f>
        <v/>
      </c>
      <c r="M926" s="40" t="str">
        <f>IFERROR(IF(Agent05_Withdrawals!A133="","",YEAR(Agent05_Withdrawals!D133)),"")</f>
        <v/>
      </c>
    </row>
    <row r="927" spans="1:13" ht="18" customHeight="1" x14ac:dyDescent="0.25">
      <c r="A927" s="40" t="str">
        <f>IF(Agent05_Withdrawals!A134="","",Agent05_Withdrawals!A134)</f>
        <v/>
      </c>
      <c r="B927" s="40" t="str">
        <f ca="1">IF(Agent05_Withdrawals!A134="","","WD"&amp;TEXT(927-3,"0000")&amp;"-"&amp;TEXT(TODAY(),"YYYYMMDD"))</f>
        <v/>
      </c>
      <c r="C927" s="40" t="str">
        <f>IF(Agent05_Withdrawals!A134="","",Agent05_Withdrawals!B134)</f>
        <v/>
      </c>
      <c r="D927" s="43" t="str">
        <f>IF(Agent05_Withdrawals!A134="","",Agent05_Withdrawals!C134)</f>
        <v/>
      </c>
      <c r="E927" s="41" t="str">
        <f>IF(Agent05_Withdrawals!A134="","",Agent05_Withdrawals!D134)</f>
        <v/>
      </c>
      <c r="F927" s="40" t="str">
        <f>IF(Agent05_Withdrawals!A134="","",Agent05_Withdrawals!F134)</f>
        <v/>
      </c>
      <c r="G927" s="42" t="str">
        <f>IF(Agent05_Withdrawals!A134="","",Agent05_Withdrawals!E134)</f>
        <v/>
      </c>
      <c r="H927" s="42" t="str">
        <f>IF(Agent05_Withdrawals!A134="","",Agent05_Withdrawals!G134)</f>
        <v/>
      </c>
      <c r="I927" s="40" t="str">
        <f>IF(Agent05_Withdrawals!A134="","",Agent05_Withdrawals!H134)</f>
        <v/>
      </c>
      <c r="J927" s="40" t="str">
        <f>IF(Agent05_Withdrawals!A134="","",Agent05_Withdrawals!J134)</f>
        <v/>
      </c>
      <c r="K927" s="40" t="str">
        <f>IF(Agent05_Withdrawals!A134="","",Agent05_Withdrawals!K134)</f>
        <v/>
      </c>
      <c r="L927" s="40" t="str">
        <f>IF(G927="","",IF(D927-G927&gt;=System_Config!$B$9,"✅ OK","⚠️ BREACH"))</f>
        <v/>
      </c>
      <c r="M927" s="40" t="str">
        <f>IFERROR(IF(Agent05_Withdrawals!A134="","",YEAR(Agent05_Withdrawals!D134)),"")</f>
        <v/>
      </c>
    </row>
    <row r="928" spans="1:13" ht="18" customHeight="1" x14ac:dyDescent="0.25">
      <c r="A928" s="40" t="str">
        <f>IF(Agent05_Withdrawals!A135="","",Agent05_Withdrawals!A135)</f>
        <v/>
      </c>
      <c r="B928" s="40" t="str">
        <f ca="1">IF(Agent05_Withdrawals!A135="","","WD"&amp;TEXT(928-3,"0000")&amp;"-"&amp;TEXT(TODAY(),"YYYYMMDD"))</f>
        <v/>
      </c>
      <c r="C928" s="40" t="str">
        <f>IF(Agent05_Withdrawals!A135="","",Agent05_Withdrawals!B135)</f>
        <v/>
      </c>
      <c r="D928" s="43" t="str">
        <f>IF(Agent05_Withdrawals!A135="","",Agent05_Withdrawals!C135)</f>
        <v/>
      </c>
      <c r="E928" s="41" t="str">
        <f>IF(Agent05_Withdrawals!A135="","",Agent05_Withdrawals!D135)</f>
        <v/>
      </c>
      <c r="F928" s="40" t="str">
        <f>IF(Agent05_Withdrawals!A135="","",Agent05_Withdrawals!F135)</f>
        <v/>
      </c>
      <c r="G928" s="42" t="str">
        <f>IF(Agent05_Withdrawals!A135="","",Agent05_Withdrawals!E135)</f>
        <v/>
      </c>
      <c r="H928" s="42" t="str">
        <f>IF(Agent05_Withdrawals!A135="","",Agent05_Withdrawals!G135)</f>
        <v/>
      </c>
      <c r="I928" s="40" t="str">
        <f>IF(Agent05_Withdrawals!A135="","",Agent05_Withdrawals!H135)</f>
        <v/>
      </c>
      <c r="J928" s="40" t="str">
        <f>IF(Agent05_Withdrawals!A135="","",Agent05_Withdrawals!J135)</f>
        <v/>
      </c>
      <c r="K928" s="40" t="str">
        <f>IF(Agent05_Withdrawals!A135="","",Agent05_Withdrawals!K135)</f>
        <v/>
      </c>
      <c r="L928" s="40" t="str">
        <f>IF(G928="","",IF(D928-G928&gt;=System_Config!$B$9,"✅ OK","⚠️ BREACH"))</f>
        <v/>
      </c>
      <c r="M928" s="40" t="str">
        <f>IFERROR(IF(Agent05_Withdrawals!A135="","",YEAR(Agent05_Withdrawals!D135)),"")</f>
        <v/>
      </c>
    </row>
    <row r="929" spans="1:13" ht="18" customHeight="1" x14ac:dyDescent="0.25">
      <c r="A929" s="40" t="str">
        <f>IF(Agent05_Withdrawals!A136="","",Agent05_Withdrawals!A136)</f>
        <v/>
      </c>
      <c r="B929" s="40" t="str">
        <f ca="1">IF(Agent05_Withdrawals!A136="","","WD"&amp;TEXT(929-3,"0000")&amp;"-"&amp;TEXT(TODAY(),"YYYYMMDD"))</f>
        <v/>
      </c>
      <c r="C929" s="40" t="str">
        <f>IF(Agent05_Withdrawals!A136="","",Agent05_Withdrawals!B136)</f>
        <v/>
      </c>
      <c r="D929" s="43" t="str">
        <f>IF(Agent05_Withdrawals!A136="","",Agent05_Withdrawals!C136)</f>
        <v/>
      </c>
      <c r="E929" s="41" t="str">
        <f>IF(Agent05_Withdrawals!A136="","",Agent05_Withdrawals!D136)</f>
        <v/>
      </c>
      <c r="F929" s="40" t="str">
        <f>IF(Agent05_Withdrawals!A136="","",Agent05_Withdrawals!F136)</f>
        <v/>
      </c>
      <c r="G929" s="42" t="str">
        <f>IF(Agent05_Withdrawals!A136="","",Agent05_Withdrawals!E136)</f>
        <v/>
      </c>
      <c r="H929" s="42" t="str">
        <f>IF(Agent05_Withdrawals!A136="","",Agent05_Withdrawals!G136)</f>
        <v/>
      </c>
      <c r="I929" s="40" t="str">
        <f>IF(Agent05_Withdrawals!A136="","",Agent05_Withdrawals!H136)</f>
        <v/>
      </c>
      <c r="J929" s="40" t="str">
        <f>IF(Agent05_Withdrawals!A136="","",Agent05_Withdrawals!J136)</f>
        <v/>
      </c>
      <c r="K929" s="40" t="str">
        <f>IF(Agent05_Withdrawals!A136="","",Agent05_Withdrawals!K136)</f>
        <v/>
      </c>
      <c r="L929" s="40" t="str">
        <f>IF(G929="","",IF(D929-G929&gt;=System_Config!$B$9,"✅ OK","⚠️ BREACH"))</f>
        <v/>
      </c>
      <c r="M929" s="40" t="str">
        <f>IFERROR(IF(Agent05_Withdrawals!A136="","",YEAR(Agent05_Withdrawals!D136)),"")</f>
        <v/>
      </c>
    </row>
    <row r="930" spans="1:13" ht="18" customHeight="1" x14ac:dyDescent="0.25">
      <c r="A930" s="40" t="str">
        <f>IF(Agent05_Withdrawals!A137="","",Agent05_Withdrawals!A137)</f>
        <v/>
      </c>
      <c r="B930" s="40" t="str">
        <f ca="1">IF(Agent05_Withdrawals!A137="","","WD"&amp;TEXT(930-3,"0000")&amp;"-"&amp;TEXT(TODAY(),"YYYYMMDD"))</f>
        <v/>
      </c>
      <c r="C930" s="40" t="str">
        <f>IF(Agent05_Withdrawals!A137="","",Agent05_Withdrawals!B137)</f>
        <v/>
      </c>
      <c r="D930" s="43" t="str">
        <f>IF(Agent05_Withdrawals!A137="","",Agent05_Withdrawals!C137)</f>
        <v/>
      </c>
      <c r="E930" s="41" t="str">
        <f>IF(Agent05_Withdrawals!A137="","",Agent05_Withdrawals!D137)</f>
        <v/>
      </c>
      <c r="F930" s="40" t="str">
        <f>IF(Agent05_Withdrawals!A137="","",Agent05_Withdrawals!F137)</f>
        <v/>
      </c>
      <c r="G930" s="42" t="str">
        <f>IF(Agent05_Withdrawals!A137="","",Agent05_Withdrawals!E137)</f>
        <v/>
      </c>
      <c r="H930" s="42" t="str">
        <f>IF(Agent05_Withdrawals!A137="","",Agent05_Withdrawals!G137)</f>
        <v/>
      </c>
      <c r="I930" s="40" t="str">
        <f>IF(Agent05_Withdrawals!A137="","",Agent05_Withdrawals!H137)</f>
        <v/>
      </c>
      <c r="J930" s="40" t="str">
        <f>IF(Agent05_Withdrawals!A137="","",Agent05_Withdrawals!J137)</f>
        <v/>
      </c>
      <c r="K930" s="40" t="str">
        <f>IF(Agent05_Withdrawals!A137="","",Agent05_Withdrawals!K137)</f>
        <v/>
      </c>
      <c r="L930" s="40" t="str">
        <f>IF(G930="","",IF(D930-G930&gt;=System_Config!$B$9,"✅ OK","⚠️ BREACH"))</f>
        <v/>
      </c>
      <c r="M930" s="40" t="str">
        <f>IFERROR(IF(Agent05_Withdrawals!A137="","",YEAR(Agent05_Withdrawals!D137)),"")</f>
        <v/>
      </c>
    </row>
    <row r="931" spans="1:13" ht="18" customHeight="1" x14ac:dyDescent="0.25">
      <c r="A931" s="40" t="str">
        <f>IF(Agent05_Withdrawals!A138="","",Agent05_Withdrawals!A138)</f>
        <v/>
      </c>
      <c r="B931" s="40" t="str">
        <f ca="1">IF(Agent05_Withdrawals!A138="","","WD"&amp;TEXT(931-3,"0000")&amp;"-"&amp;TEXT(TODAY(),"YYYYMMDD"))</f>
        <v/>
      </c>
      <c r="C931" s="40" t="str">
        <f>IF(Agent05_Withdrawals!A138="","",Agent05_Withdrawals!B138)</f>
        <v/>
      </c>
      <c r="D931" s="43" t="str">
        <f>IF(Agent05_Withdrawals!A138="","",Agent05_Withdrawals!C138)</f>
        <v/>
      </c>
      <c r="E931" s="41" t="str">
        <f>IF(Agent05_Withdrawals!A138="","",Agent05_Withdrawals!D138)</f>
        <v/>
      </c>
      <c r="F931" s="40" t="str">
        <f>IF(Agent05_Withdrawals!A138="","",Agent05_Withdrawals!F138)</f>
        <v/>
      </c>
      <c r="G931" s="42" t="str">
        <f>IF(Agent05_Withdrawals!A138="","",Agent05_Withdrawals!E138)</f>
        <v/>
      </c>
      <c r="H931" s="42" t="str">
        <f>IF(Agent05_Withdrawals!A138="","",Agent05_Withdrawals!G138)</f>
        <v/>
      </c>
      <c r="I931" s="40" t="str">
        <f>IF(Agent05_Withdrawals!A138="","",Agent05_Withdrawals!H138)</f>
        <v/>
      </c>
      <c r="J931" s="40" t="str">
        <f>IF(Agent05_Withdrawals!A138="","",Agent05_Withdrawals!J138)</f>
        <v/>
      </c>
      <c r="K931" s="40" t="str">
        <f>IF(Agent05_Withdrawals!A138="","",Agent05_Withdrawals!K138)</f>
        <v/>
      </c>
      <c r="L931" s="40" t="str">
        <f>IF(G931="","",IF(D931-G931&gt;=System_Config!$B$9,"✅ OK","⚠️ BREACH"))</f>
        <v/>
      </c>
      <c r="M931" s="40" t="str">
        <f>IFERROR(IF(Agent05_Withdrawals!A138="","",YEAR(Agent05_Withdrawals!D138)),"")</f>
        <v/>
      </c>
    </row>
    <row r="932" spans="1:13" ht="18" customHeight="1" x14ac:dyDescent="0.25">
      <c r="A932" s="40" t="str">
        <f>IF(Agent05_Withdrawals!A139="","",Agent05_Withdrawals!A139)</f>
        <v/>
      </c>
      <c r="B932" s="40" t="str">
        <f ca="1">IF(Agent05_Withdrawals!A139="","","WD"&amp;TEXT(932-3,"0000")&amp;"-"&amp;TEXT(TODAY(),"YYYYMMDD"))</f>
        <v/>
      </c>
      <c r="C932" s="40" t="str">
        <f>IF(Agent05_Withdrawals!A139="","",Agent05_Withdrawals!B139)</f>
        <v/>
      </c>
      <c r="D932" s="43" t="str">
        <f>IF(Agent05_Withdrawals!A139="","",Agent05_Withdrawals!C139)</f>
        <v/>
      </c>
      <c r="E932" s="41" t="str">
        <f>IF(Agent05_Withdrawals!A139="","",Agent05_Withdrawals!D139)</f>
        <v/>
      </c>
      <c r="F932" s="40" t="str">
        <f>IF(Agent05_Withdrawals!A139="","",Agent05_Withdrawals!F139)</f>
        <v/>
      </c>
      <c r="G932" s="42" t="str">
        <f>IF(Agent05_Withdrawals!A139="","",Agent05_Withdrawals!E139)</f>
        <v/>
      </c>
      <c r="H932" s="42" t="str">
        <f>IF(Agent05_Withdrawals!A139="","",Agent05_Withdrawals!G139)</f>
        <v/>
      </c>
      <c r="I932" s="40" t="str">
        <f>IF(Agent05_Withdrawals!A139="","",Agent05_Withdrawals!H139)</f>
        <v/>
      </c>
      <c r="J932" s="40" t="str">
        <f>IF(Agent05_Withdrawals!A139="","",Agent05_Withdrawals!J139)</f>
        <v/>
      </c>
      <c r="K932" s="40" t="str">
        <f>IF(Agent05_Withdrawals!A139="","",Agent05_Withdrawals!K139)</f>
        <v/>
      </c>
      <c r="L932" s="40" t="str">
        <f>IF(G932="","",IF(D932-G932&gt;=System_Config!$B$9,"✅ OK","⚠️ BREACH"))</f>
        <v/>
      </c>
      <c r="M932" s="40" t="str">
        <f>IFERROR(IF(Agent05_Withdrawals!A139="","",YEAR(Agent05_Withdrawals!D139)),"")</f>
        <v/>
      </c>
    </row>
    <row r="933" spans="1:13" ht="18" customHeight="1" x14ac:dyDescent="0.25">
      <c r="A933" s="40" t="str">
        <f>IF(Agent05_Withdrawals!A140="","",Agent05_Withdrawals!A140)</f>
        <v/>
      </c>
      <c r="B933" s="40" t="str">
        <f ca="1">IF(Agent05_Withdrawals!A140="","","WD"&amp;TEXT(933-3,"0000")&amp;"-"&amp;TEXT(TODAY(),"YYYYMMDD"))</f>
        <v/>
      </c>
      <c r="C933" s="40" t="str">
        <f>IF(Agent05_Withdrawals!A140="","",Agent05_Withdrawals!B140)</f>
        <v/>
      </c>
      <c r="D933" s="43" t="str">
        <f>IF(Agent05_Withdrawals!A140="","",Agent05_Withdrawals!C140)</f>
        <v/>
      </c>
      <c r="E933" s="41" t="str">
        <f>IF(Agent05_Withdrawals!A140="","",Agent05_Withdrawals!D140)</f>
        <v/>
      </c>
      <c r="F933" s="40" t="str">
        <f>IF(Agent05_Withdrawals!A140="","",Agent05_Withdrawals!F140)</f>
        <v/>
      </c>
      <c r="G933" s="42" t="str">
        <f>IF(Agent05_Withdrawals!A140="","",Agent05_Withdrawals!E140)</f>
        <v/>
      </c>
      <c r="H933" s="42" t="str">
        <f>IF(Agent05_Withdrawals!A140="","",Agent05_Withdrawals!G140)</f>
        <v/>
      </c>
      <c r="I933" s="40" t="str">
        <f>IF(Agent05_Withdrawals!A140="","",Agent05_Withdrawals!H140)</f>
        <v/>
      </c>
      <c r="J933" s="40" t="str">
        <f>IF(Agent05_Withdrawals!A140="","",Agent05_Withdrawals!J140)</f>
        <v/>
      </c>
      <c r="K933" s="40" t="str">
        <f>IF(Agent05_Withdrawals!A140="","",Agent05_Withdrawals!K140)</f>
        <v/>
      </c>
      <c r="L933" s="40" t="str">
        <f>IF(G933="","",IF(D933-G933&gt;=System_Config!$B$9,"✅ OK","⚠️ BREACH"))</f>
        <v/>
      </c>
      <c r="M933" s="40" t="str">
        <f>IFERROR(IF(Agent05_Withdrawals!A140="","",YEAR(Agent05_Withdrawals!D140)),"")</f>
        <v/>
      </c>
    </row>
    <row r="934" spans="1:13" ht="18" customHeight="1" x14ac:dyDescent="0.25">
      <c r="A934" s="40" t="str">
        <f>IF(Agent05_Withdrawals!A141="","",Agent05_Withdrawals!A141)</f>
        <v/>
      </c>
      <c r="B934" s="40" t="str">
        <f ca="1">IF(Agent05_Withdrawals!A141="","","WD"&amp;TEXT(934-3,"0000")&amp;"-"&amp;TEXT(TODAY(),"YYYYMMDD"))</f>
        <v/>
      </c>
      <c r="C934" s="40" t="str">
        <f>IF(Agent05_Withdrawals!A141="","",Agent05_Withdrawals!B141)</f>
        <v/>
      </c>
      <c r="D934" s="43" t="str">
        <f>IF(Agent05_Withdrawals!A141="","",Agent05_Withdrawals!C141)</f>
        <v/>
      </c>
      <c r="E934" s="41" t="str">
        <f>IF(Agent05_Withdrawals!A141="","",Agent05_Withdrawals!D141)</f>
        <v/>
      </c>
      <c r="F934" s="40" t="str">
        <f>IF(Agent05_Withdrawals!A141="","",Agent05_Withdrawals!F141)</f>
        <v/>
      </c>
      <c r="G934" s="42" t="str">
        <f>IF(Agent05_Withdrawals!A141="","",Agent05_Withdrawals!E141)</f>
        <v/>
      </c>
      <c r="H934" s="42" t="str">
        <f>IF(Agent05_Withdrawals!A141="","",Agent05_Withdrawals!G141)</f>
        <v/>
      </c>
      <c r="I934" s="40" t="str">
        <f>IF(Agent05_Withdrawals!A141="","",Agent05_Withdrawals!H141)</f>
        <v/>
      </c>
      <c r="J934" s="40" t="str">
        <f>IF(Agent05_Withdrawals!A141="","",Agent05_Withdrawals!J141)</f>
        <v/>
      </c>
      <c r="K934" s="40" t="str">
        <f>IF(Agent05_Withdrawals!A141="","",Agent05_Withdrawals!K141)</f>
        <v/>
      </c>
      <c r="L934" s="40" t="str">
        <f>IF(G934="","",IF(D934-G934&gt;=System_Config!$B$9,"✅ OK","⚠️ BREACH"))</f>
        <v/>
      </c>
      <c r="M934" s="40" t="str">
        <f>IFERROR(IF(Agent05_Withdrawals!A141="","",YEAR(Agent05_Withdrawals!D141)),"")</f>
        <v/>
      </c>
    </row>
    <row r="935" spans="1:13" ht="18" customHeight="1" x14ac:dyDescent="0.25">
      <c r="A935" s="40" t="str">
        <f>IF(Agent05_Withdrawals!A142="","",Agent05_Withdrawals!A142)</f>
        <v/>
      </c>
      <c r="B935" s="40" t="str">
        <f ca="1">IF(Agent05_Withdrawals!A142="","","WD"&amp;TEXT(935-3,"0000")&amp;"-"&amp;TEXT(TODAY(),"YYYYMMDD"))</f>
        <v/>
      </c>
      <c r="C935" s="40" t="str">
        <f>IF(Agent05_Withdrawals!A142="","",Agent05_Withdrawals!B142)</f>
        <v/>
      </c>
      <c r="D935" s="43" t="str">
        <f>IF(Agent05_Withdrawals!A142="","",Agent05_Withdrawals!C142)</f>
        <v/>
      </c>
      <c r="E935" s="41" t="str">
        <f>IF(Agent05_Withdrawals!A142="","",Agent05_Withdrawals!D142)</f>
        <v/>
      </c>
      <c r="F935" s="40" t="str">
        <f>IF(Agent05_Withdrawals!A142="","",Agent05_Withdrawals!F142)</f>
        <v/>
      </c>
      <c r="G935" s="42" t="str">
        <f>IF(Agent05_Withdrawals!A142="","",Agent05_Withdrawals!E142)</f>
        <v/>
      </c>
      <c r="H935" s="42" t="str">
        <f>IF(Agent05_Withdrawals!A142="","",Agent05_Withdrawals!G142)</f>
        <v/>
      </c>
      <c r="I935" s="40" t="str">
        <f>IF(Agent05_Withdrawals!A142="","",Agent05_Withdrawals!H142)</f>
        <v/>
      </c>
      <c r="J935" s="40" t="str">
        <f>IF(Agent05_Withdrawals!A142="","",Agent05_Withdrawals!J142)</f>
        <v/>
      </c>
      <c r="K935" s="40" t="str">
        <f>IF(Agent05_Withdrawals!A142="","",Agent05_Withdrawals!K142)</f>
        <v/>
      </c>
      <c r="L935" s="40" t="str">
        <f>IF(G935="","",IF(D935-G935&gt;=System_Config!$B$9,"✅ OK","⚠️ BREACH"))</f>
        <v/>
      </c>
      <c r="M935" s="40" t="str">
        <f>IFERROR(IF(Agent05_Withdrawals!A142="","",YEAR(Agent05_Withdrawals!D142)),"")</f>
        <v/>
      </c>
    </row>
    <row r="936" spans="1:13" ht="18" customHeight="1" x14ac:dyDescent="0.25">
      <c r="A936" s="40" t="str">
        <f>IF(Agent05_Withdrawals!A143="","",Agent05_Withdrawals!A143)</f>
        <v/>
      </c>
      <c r="B936" s="40" t="str">
        <f ca="1">IF(Agent05_Withdrawals!A143="","","WD"&amp;TEXT(936-3,"0000")&amp;"-"&amp;TEXT(TODAY(),"YYYYMMDD"))</f>
        <v/>
      </c>
      <c r="C936" s="40" t="str">
        <f>IF(Agent05_Withdrawals!A143="","",Agent05_Withdrawals!B143)</f>
        <v/>
      </c>
      <c r="D936" s="43" t="str">
        <f>IF(Agent05_Withdrawals!A143="","",Agent05_Withdrawals!C143)</f>
        <v/>
      </c>
      <c r="E936" s="41" t="str">
        <f>IF(Agent05_Withdrawals!A143="","",Agent05_Withdrawals!D143)</f>
        <v/>
      </c>
      <c r="F936" s="40" t="str">
        <f>IF(Agent05_Withdrawals!A143="","",Agent05_Withdrawals!F143)</f>
        <v/>
      </c>
      <c r="G936" s="42" t="str">
        <f>IF(Agent05_Withdrawals!A143="","",Agent05_Withdrawals!E143)</f>
        <v/>
      </c>
      <c r="H936" s="42" t="str">
        <f>IF(Agent05_Withdrawals!A143="","",Agent05_Withdrawals!G143)</f>
        <v/>
      </c>
      <c r="I936" s="40" t="str">
        <f>IF(Agent05_Withdrawals!A143="","",Agent05_Withdrawals!H143)</f>
        <v/>
      </c>
      <c r="J936" s="40" t="str">
        <f>IF(Agent05_Withdrawals!A143="","",Agent05_Withdrawals!J143)</f>
        <v/>
      </c>
      <c r="K936" s="40" t="str">
        <f>IF(Agent05_Withdrawals!A143="","",Agent05_Withdrawals!K143)</f>
        <v/>
      </c>
      <c r="L936" s="40" t="str">
        <f>IF(G936="","",IF(D936-G936&gt;=System_Config!$B$9,"✅ OK","⚠️ BREACH"))</f>
        <v/>
      </c>
      <c r="M936" s="40" t="str">
        <f>IFERROR(IF(Agent05_Withdrawals!A143="","",YEAR(Agent05_Withdrawals!D143)),"")</f>
        <v/>
      </c>
    </row>
    <row r="937" spans="1:13" ht="18" customHeight="1" x14ac:dyDescent="0.25">
      <c r="A937" s="40" t="str">
        <f>IF(Agent05_Withdrawals!A144="","",Agent05_Withdrawals!A144)</f>
        <v/>
      </c>
      <c r="B937" s="40" t="str">
        <f ca="1">IF(Agent05_Withdrawals!A144="","","WD"&amp;TEXT(937-3,"0000")&amp;"-"&amp;TEXT(TODAY(),"YYYYMMDD"))</f>
        <v/>
      </c>
      <c r="C937" s="40" t="str">
        <f>IF(Agent05_Withdrawals!A144="","",Agent05_Withdrawals!B144)</f>
        <v/>
      </c>
      <c r="D937" s="43" t="str">
        <f>IF(Agent05_Withdrawals!A144="","",Agent05_Withdrawals!C144)</f>
        <v/>
      </c>
      <c r="E937" s="41" t="str">
        <f>IF(Agent05_Withdrawals!A144="","",Agent05_Withdrawals!D144)</f>
        <v/>
      </c>
      <c r="F937" s="40" t="str">
        <f>IF(Agent05_Withdrawals!A144="","",Agent05_Withdrawals!F144)</f>
        <v/>
      </c>
      <c r="G937" s="42" t="str">
        <f>IF(Agent05_Withdrawals!A144="","",Agent05_Withdrawals!E144)</f>
        <v/>
      </c>
      <c r="H937" s="42" t="str">
        <f>IF(Agent05_Withdrawals!A144="","",Agent05_Withdrawals!G144)</f>
        <v/>
      </c>
      <c r="I937" s="40" t="str">
        <f>IF(Agent05_Withdrawals!A144="","",Agent05_Withdrawals!H144)</f>
        <v/>
      </c>
      <c r="J937" s="40" t="str">
        <f>IF(Agent05_Withdrawals!A144="","",Agent05_Withdrawals!J144)</f>
        <v/>
      </c>
      <c r="K937" s="40" t="str">
        <f>IF(Agent05_Withdrawals!A144="","",Agent05_Withdrawals!K144)</f>
        <v/>
      </c>
      <c r="L937" s="40" t="str">
        <f>IF(G937="","",IF(D937-G937&gt;=System_Config!$B$9,"✅ OK","⚠️ BREACH"))</f>
        <v/>
      </c>
      <c r="M937" s="40" t="str">
        <f>IFERROR(IF(Agent05_Withdrawals!A144="","",YEAR(Agent05_Withdrawals!D144)),"")</f>
        <v/>
      </c>
    </row>
    <row r="938" spans="1:13" ht="18" customHeight="1" x14ac:dyDescent="0.25">
      <c r="A938" s="40" t="str">
        <f>IF(Agent05_Withdrawals!A145="","",Agent05_Withdrawals!A145)</f>
        <v/>
      </c>
      <c r="B938" s="40" t="str">
        <f ca="1">IF(Agent05_Withdrawals!A145="","","WD"&amp;TEXT(938-3,"0000")&amp;"-"&amp;TEXT(TODAY(),"YYYYMMDD"))</f>
        <v/>
      </c>
      <c r="C938" s="40" t="str">
        <f>IF(Agent05_Withdrawals!A145="","",Agent05_Withdrawals!B145)</f>
        <v/>
      </c>
      <c r="D938" s="43" t="str">
        <f>IF(Agent05_Withdrawals!A145="","",Agent05_Withdrawals!C145)</f>
        <v/>
      </c>
      <c r="E938" s="41" t="str">
        <f>IF(Agent05_Withdrawals!A145="","",Agent05_Withdrawals!D145)</f>
        <v/>
      </c>
      <c r="F938" s="40" t="str">
        <f>IF(Agent05_Withdrawals!A145="","",Agent05_Withdrawals!F145)</f>
        <v/>
      </c>
      <c r="G938" s="42" t="str">
        <f>IF(Agent05_Withdrawals!A145="","",Agent05_Withdrawals!E145)</f>
        <v/>
      </c>
      <c r="H938" s="42" t="str">
        <f>IF(Agent05_Withdrawals!A145="","",Agent05_Withdrawals!G145)</f>
        <v/>
      </c>
      <c r="I938" s="40" t="str">
        <f>IF(Agent05_Withdrawals!A145="","",Agent05_Withdrawals!H145)</f>
        <v/>
      </c>
      <c r="J938" s="40" t="str">
        <f>IF(Agent05_Withdrawals!A145="","",Agent05_Withdrawals!J145)</f>
        <v/>
      </c>
      <c r="K938" s="40" t="str">
        <f>IF(Agent05_Withdrawals!A145="","",Agent05_Withdrawals!K145)</f>
        <v/>
      </c>
      <c r="L938" s="40" t="str">
        <f>IF(G938="","",IF(D938-G938&gt;=System_Config!$B$9,"✅ OK","⚠️ BREACH"))</f>
        <v/>
      </c>
      <c r="M938" s="40" t="str">
        <f>IFERROR(IF(Agent05_Withdrawals!A145="","",YEAR(Agent05_Withdrawals!D145)),"")</f>
        <v/>
      </c>
    </row>
    <row r="939" spans="1:13" ht="18" customHeight="1" x14ac:dyDescent="0.25">
      <c r="A939" s="40" t="str">
        <f>IF(Agent05_Withdrawals!A146="","",Agent05_Withdrawals!A146)</f>
        <v/>
      </c>
      <c r="B939" s="40" t="str">
        <f ca="1">IF(Agent05_Withdrawals!A146="","","WD"&amp;TEXT(939-3,"0000")&amp;"-"&amp;TEXT(TODAY(),"YYYYMMDD"))</f>
        <v/>
      </c>
      <c r="C939" s="40" t="str">
        <f>IF(Agent05_Withdrawals!A146="","",Agent05_Withdrawals!B146)</f>
        <v/>
      </c>
      <c r="D939" s="43" t="str">
        <f>IF(Agent05_Withdrawals!A146="","",Agent05_Withdrawals!C146)</f>
        <v/>
      </c>
      <c r="E939" s="41" t="str">
        <f>IF(Agent05_Withdrawals!A146="","",Agent05_Withdrawals!D146)</f>
        <v/>
      </c>
      <c r="F939" s="40" t="str">
        <f>IF(Agent05_Withdrawals!A146="","",Agent05_Withdrawals!F146)</f>
        <v/>
      </c>
      <c r="G939" s="42" t="str">
        <f>IF(Agent05_Withdrawals!A146="","",Agent05_Withdrawals!E146)</f>
        <v/>
      </c>
      <c r="H939" s="42" t="str">
        <f>IF(Agent05_Withdrawals!A146="","",Agent05_Withdrawals!G146)</f>
        <v/>
      </c>
      <c r="I939" s="40" t="str">
        <f>IF(Agent05_Withdrawals!A146="","",Agent05_Withdrawals!H146)</f>
        <v/>
      </c>
      <c r="J939" s="40" t="str">
        <f>IF(Agent05_Withdrawals!A146="","",Agent05_Withdrawals!J146)</f>
        <v/>
      </c>
      <c r="K939" s="40" t="str">
        <f>IF(Agent05_Withdrawals!A146="","",Agent05_Withdrawals!K146)</f>
        <v/>
      </c>
      <c r="L939" s="40" t="str">
        <f>IF(G939="","",IF(D939-G939&gt;=System_Config!$B$9,"✅ OK","⚠️ BREACH"))</f>
        <v/>
      </c>
      <c r="M939" s="40" t="str">
        <f>IFERROR(IF(Agent05_Withdrawals!A146="","",YEAR(Agent05_Withdrawals!D146)),"")</f>
        <v/>
      </c>
    </row>
    <row r="940" spans="1:13" ht="18" customHeight="1" x14ac:dyDescent="0.25">
      <c r="A940" s="40" t="str">
        <f>IF(Agent05_Withdrawals!A147="","",Agent05_Withdrawals!A147)</f>
        <v/>
      </c>
      <c r="B940" s="40" t="str">
        <f ca="1">IF(Agent05_Withdrawals!A147="","","WD"&amp;TEXT(940-3,"0000")&amp;"-"&amp;TEXT(TODAY(),"YYYYMMDD"))</f>
        <v/>
      </c>
      <c r="C940" s="40" t="str">
        <f>IF(Agent05_Withdrawals!A147="","",Agent05_Withdrawals!B147)</f>
        <v/>
      </c>
      <c r="D940" s="43" t="str">
        <f>IF(Agent05_Withdrawals!A147="","",Agent05_Withdrawals!C147)</f>
        <v/>
      </c>
      <c r="E940" s="41" t="str">
        <f>IF(Agent05_Withdrawals!A147="","",Agent05_Withdrawals!D147)</f>
        <v/>
      </c>
      <c r="F940" s="40" t="str">
        <f>IF(Agent05_Withdrawals!A147="","",Agent05_Withdrawals!F147)</f>
        <v/>
      </c>
      <c r="G940" s="42" t="str">
        <f>IF(Agent05_Withdrawals!A147="","",Agent05_Withdrawals!E147)</f>
        <v/>
      </c>
      <c r="H940" s="42" t="str">
        <f>IF(Agent05_Withdrawals!A147="","",Agent05_Withdrawals!G147)</f>
        <v/>
      </c>
      <c r="I940" s="40" t="str">
        <f>IF(Agent05_Withdrawals!A147="","",Agent05_Withdrawals!H147)</f>
        <v/>
      </c>
      <c r="J940" s="40" t="str">
        <f>IF(Agent05_Withdrawals!A147="","",Agent05_Withdrawals!J147)</f>
        <v/>
      </c>
      <c r="K940" s="40" t="str">
        <f>IF(Agent05_Withdrawals!A147="","",Agent05_Withdrawals!K147)</f>
        <v/>
      </c>
      <c r="L940" s="40" t="str">
        <f>IF(G940="","",IF(D940-G940&gt;=System_Config!$B$9,"✅ OK","⚠️ BREACH"))</f>
        <v/>
      </c>
      <c r="M940" s="40" t="str">
        <f>IFERROR(IF(Agent05_Withdrawals!A147="","",YEAR(Agent05_Withdrawals!D147)),"")</f>
        <v/>
      </c>
    </row>
    <row r="941" spans="1:13" ht="18" customHeight="1" x14ac:dyDescent="0.25">
      <c r="A941" s="40" t="str">
        <f>IF(Agent05_Withdrawals!A148="","",Agent05_Withdrawals!A148)</f>
        <v/>
      </c>
      <c r="B941" s="40" t="str">
        <f ca="1">IF(Agent05_Withdrawals!A148="","","WD"&amp;TEXT(941-3,"0000")&amp;"-"&amp;TEXT(TODAY(),"YYYYMMDD"))</f>
        <v/>
      </c>
      <c r="C941" s="40" t="str">
        <f>IF(Agent05_Withdrawals!A148="","",Agent05_Withdrawals!B148)</f>
        <v/>
      </c>
      <c r="D941" s="43" t="str">
        <f>IF(Agent05_Withdrawals!A148="","",Agent05_Withdrawals!C148)</f>
        <v/>
      </c>
      <c r="E941" s="41" t="str">
        <f>IF(Agent05_Withdrawals!A148="","",Agent05_Withdrawals!D148)</f>
        <v/>
      </c>
      <c r="F941" s="40" t="str">
        <f>IF(Agent05_Withdrawals!A148="","",Agent05_Withdrawals!F148)</f>
        <v/>
      </c>
      <c r="G941" s="42" t="str">
        <f>IF(Agent05_Withdrawals!A148="","",Agent05_Withdrawals!E148)</f>
        <v/>
      </c>
      <c r="H941" s="42" t="str">
        <f>IF(Agent05_Withdrawals!A148="","",Agent05_Withdrawals!G148)</f>
        <v/>
      </c>
      <c r="I941" s="40" t="str">
        <f>IF(Agent05_Withdrawals!A148="","",Agent05_Withdrawals!H148)</f>
        <v/>
      </c>
      <c r="J941" s="40" t="str">
        <f>IF(Agent05_Withdrawals!A148="","",Agent05_Withdrawals!J148)</f>
        <v/>
      </c>
      <c r="K941" s="40" t="str">
        <f>IF(Agent05_Withdrawals!A148="","",Agent05_Withdrawals!K148)</f>
        <v/>
      </c>
      <c r="L941" s="40" t="str">
        <f>IF(G941="","",IF(D941-G941&gt;=System_Config!$B$9,"✅ OK","⚠️ BREACH"))</f>
        <v/>
      </c>
      <c r="M941" s="40" t="str">
        <f>IFERROR(IF(Agent05_Withdrawals!A148="","",YEAR(Agent05_Withdrawals!D148)),"")</f>
        <v/>
      </c>
    </row>
    <row r="942" spans="1:13" ht="18" customHeight="1" x14ac:dyDescent="0.25">
      <c r="A942" s="40" t="str">
        <f>IF(Agent05_Withdrawals!A149="","",Agent05_Withdrawals!A149)</f>
        <v/>
      </c>
      <c r="B942" s="40" t="str">
        <f ca="1">IF(Agent05_Withdrawals!A149="","","WD"&amp;TEXT(942-3,"0000")&amp;"-"&amp;TEXT(TODAY(),"YYYYMMDD"))</f>
        <v/>
      </c>
      <c r="C942" s="40" t="str">
        <f>IF(Agent05_Withdrawals!A149="","",Agent05_Withdrawals!B149)</f>
        <v/>
      </c>
      <c r="D942" s="43" t="str">
        <f>IF(Agent05_Withdrawals!A149="","",Agent05_Withdrawals!C149)</f>
        <v/>
      </c>
      <c r="E942" s="41" t="str">
        <f>IF(Agent05_Withdrawals!A149="","",Agent05_Withdrawals!D149)</f>
        <v/>
      </c>
      <c r="F942" s="40" t="str">
        <f>IF(Agent05_Withdrawals!A149="","",Agent05_Withdrawals!F149)</f>
        <v/>
      </c>
      <c r="G942" s="42" t="str">
        <f>IF(Agent05_Withdrawals!A149="","",Agent05_Withdrawals!E149)</f>
        <v/>
      </c>
      <c r="H942" s="42" t="str">
        <f>IF(Agent05_Withdrawals!A149="","",Agent05_Withdrawals!G149)</f>
        <v/>
      </c>
      <c r="I942" s="40" t="str">
        <f>IF(Agent05_Withdrawals!A149="","",Agent05_Withdrawals!H149)</f>
        <v/>
      </c>
      <c r="J942" s="40" t="str">
        <f>IF(Agent05_Withdrawals!A149="","",Agent05_Withdrawals!J149)</f>
        <v/>
      </c>
      <c r="K942" s="40" t="str">
        <f>IF(Agent05_Withdrawals!A149="","",Agent05_Withdrawals!K149)</f>
        <v/>
      </c>
      <c r="L942" s="40" t="str">
        <f>IF(G942="","",IF(D942-G942&gt;=System_Config!$B$9,"✅ OK","⚠️ BREACH"))</f>
        <v/>
      </c>
      <c r="M942" s="40" t="str">
        <f>IFERROR(IF(Agent05_Withdrawals!A149="","",YEAR(Agent05_Withdrawals!D149)),"")</f>
        <v/>
      </c>
    </row>
    <row r="943" spans="1:13" ht="18" customHeight="1" x14ac:dyDescent="0.25">
      <c r="A943" s="40" t="str">
        <f>IF(Agent05_Withdrawals!A150="","",Agent05_Withdrawals!A150)</f>
        <v/>
      </c>
      <c r="B943" s="40" t="str">
        <f ca="1">IF(Agent05_Withdrawals!A150="","","WD"&amp;TEXT(943-3,"0000")&amp;"-"&amp;TEXT(TODAY(),"YYYYMMDD"))</f>
        <v/>
      </c>
      <c r="C943" s="40" t="str">
        <f>IF(Agent05_Withdrawals!A150="","",Agent05_Withdrawals!B150)</f>
        <v/>
      </c>
      <c r="D943" s="43" t="str">
        <f>IF(Agent05_Withdrawals!A150="","",Agent05_Withdrawals!C150)</f>
        <v/>
      </c>
      <c r="E943" s="41" t="str">
        <f>IF(Agent05_Withdrawals!A150="","",Agent05_Withdrawals!D150)</f>
        <v/>
      </c>
      <c r="F943" s="40" t="str">
        <f>IF(Agent05_Withdrawals!A150="","",Agent05_Withdrawals!F150)</f>
        <v/>
      </c>
      <c r="G943" s="42" t="str">
        <f>IF(Agent05_Withdrawals!A150="","",Agent05_Withdrawals!E150)</f>
        <v/>
      </c>
      <c r="H943" s="42" t="str">
        <f>IF(Agent05_Withdrawals!A150="","",Agent05_Withdrawals!G150)</f>
        <v/>
      </c>
      <c r="I943" s="40" t="str">
        <f>IF(Agent05_Withdrawals!A150="","",Agent05_Withdrawals!H150)</f>
        <v/>
      </c>
      <c r="J943" s="40" t="str">
        <f>IF(Agent05_Withdrawals!A150="","",Agent05_Withdrawals!J150)</f>
        <v/>
      </c>
      <c r="K943" s="40" t="str">
        <f>IF(Agent05_Withdrawals!A150="","",Agent05_Withdrawals!K150)</f>
        <v/>
      </c>
      <c r="L943" s="40" t="str">
        <f>IF(G943="","",IF(D943-G943&gt;=System_Config!$B$9,"✅ OK","⚠️ BREACH"))</f>
        <v/>
      </c>
      <c r="M943" s="40" t="str">
        <f>IFERROR(IF(Agent05_Withdrawals!A150="","",YEAR(Agent05_Withdrawals!D150)),"")</f>
        <v/>
      </c>
    </row>
    <row r="944" spans="1:13" ht="18" customHeight="1" x14ac:dyDescent="0.25">
      <c r="A944" s="40" t="str">
        <f>IF(Agent05_Withdrawals!A151="","",Agent05_Withdrawals!A151)</f>
        <v/>
      </c>
      <c r="B944" s="40" t="str">
        <f ca="1">IF(Agent05_Withdrawals!A151="","","WD"&amp;TEXT(944-3,"0000")&amp;"-"&amp;TEXT(TODAY(),"YYYYMMDD"))</f>
        <v/>
      </c>
      <c r="C944" s="40" t="str">
        <f>IF(Agent05_Withdrawals!A151="","",Agent05_Withdrawals!B151)</f>
        <v/>
      </c>
      <c r="D944" s="43" t="str">
        <f>IF(Agent05_Withdrawals!A151="","",Agent05_Withdrawals!C151)</f>
        <v/>
      </c>
      <c r="E944" s="41" t="str">
        <f>IF(Agent05_Withdrawals!A151="","",Agent05_Withdrawals!D151)</f>
        <v/>
      </c>
      <c r="F944" s="40" t="str">
        <f>IF(Agent05_Withdrawals!A151="","",Agent05_Withdrawals!F151)</f>
        <v/>
      </c>
      <c r="G944" s="42" t="str">
        <f>IF(Agent05_Withdrawals!A151="","",Agent05_Withdrawals!E151)</f>
        <v/>
      </c>
      <c r="H944" s="42" t="str">
        <f>IF(Agent05_Withdrawals!A151="","",Agent05_Withdrawals!G151)</f>
        <v/>
      </c>
      <c r="I944" s="40" t="str">
        <f>IF(Agent05_Withdrawals!A151="","",Agent05_Withdrawals!H151)</f>
        <v/>
      </c>
      <c r="J944" s="40" t="str">
        <f>IF(Agent05_Withdrawals!A151="","",Agent05_Withdrawals!J151)</f>
        <v/>
      </c>
      <c r="K944" s="40" t="str">
        <f>IF(Agent05_Withdrawals!A151="","",Agent05_Withdrawals!K151)</f>
        <v/>
      </c>
      <c r="L944" s="40" t="str">
        <f>IF(G944="","",IF(D944-G944&gt;=System_Config!$B$9,"✅ OK","⚠️ BREACH"))</f>
        <v/>
      </c>
      <c r="M944" s="40" t="str">
        <f>IFERROR(IF(Agent05_Withdrawals!A151="","",YEAR(Agent05_Withdrawals!D151)),"")</f>
        <v/>
      </c>
    </row>
    <row r="945" spans="1:13" ht="18" customHeight="1" x14ac:dyDescent="0.25">
      <c r="A945" s="40" t="str">
        <f>IF(Agent05_Withdrawals!A152="","",Agent05_Withdrawals!A152)</f>
        <v/>
      </c>
      <c r="B945" s="40" t="str">
        <f ca="1">IF(Agent05_Withdrawals!A152="","","WD"&amp;TEXT(945-3,"0000")&amp;"-"&amp;TEXT(TODAY(),"YYYYMMDD"))</f>
        <v/>
      </c>
      <c r="C945" s="40" t="str">
        <f>IF(Agent05_Withdrawals!A152="","",Agent05_Withdrawals!B152)</f>
        <v/>
      </c>
      <c r="D945" s="43" t="str">
        <f>IF(Agent05_Withdrawals!A152="","",Agent05_Withdrawals!C152)</f>
        <v/>
      </c>
      <c r="E945" s="41" t="str">
        <f>IF(Agent05_Withdrawals!A152="","",Agent05_Withdrawals!D152)</f>
        <v/>
      </c>
      <c r="F945" s="40" t="str">
        <f>IF(Agent05_Withdrawals!A152="","",Agent05_Withdrawals!F152)</f>
        <v/>
      </c>
      <c r="G945" s="42" t="str">
        <f>IF(Agent05_Withdrawals!A152="","",Agent05_Withdrawals!E152)</f>
        <v/>
      </c>
      <c r="H945" s="42" t="str">
        <f>IF(Agent05_Withdrawals!A152="","",Agent05_Withdrawals!G152)</f>
        <v/>
      </c>
      <c r="I945" s="40" t="str">
        <f>IF(Agent05_Withdrawals!A152="","",Agent05_Withdrawals!H152)</f>
        <v/>
      </c>
      <c r="J945" s="40" t="str">
        <f>IF(Agent05_Withdrawals!A152="","",Agent05_Withdrawals!J152)</f>
        <v/>
      </c>
      <c r="K945" s="40" t="str">
        <f>IF(Agent05_Withdrawals!A152="","",Agent05_Withdrawals!K152)</f>
        <v/>
      </c>
      <c r="L945" s="40" t="str">
        <f>IF(G945="","",IF(D945-G945&gt;=System_Config!$B$9,"✅ OK","⚠️ BREACH"))</f>
        <v/>
      </c>
      <c r="M945" s="40" t="str">
        <f>IFERROR(IF(Agent05_Withdrawals!A152="","",YEAR(Agent05_Withdrawals!D152)),"")</f>
        <v/>
      </c>
    </row>
    <row r="946" spans="1:13" ht="18" customHeight="1" x14ac:dyDescent="0.25">
      <c r="A946" s="40" t="str">
        <f>IF(Agent05_Withdrawals!A153="","",Agent05_Withdrawals!A153)</f>
        <v/>
      </c>
      <c r="B946" s="40" t="str">
        <f ca="1">IF(Agent05_Withdrawals!A153="","","WD"&amp;TEXT(946-3,"0000")&amp;"-"&amp;TEXT(TODAY(),"YYYYMMDD"))</f>
        <v/>
      </c>
      <c r="C946" s="40" t="str">
        <f>IF(Agent05_Withdrawals!A153="","",Agent05_Withdrawals!B153)</f>
        <v/>
      </c>
      <c r="D946" s="43" t="str">
        <f>IF(Agent05_Withdrawals!A153="","",Agent05_Withdrawals!C153)</f>
        <v/>
      </c>
      <c r="E946" s="41" t="str">
        <f>IF(Agent05_Withdrawals!A153="","",Agent05_Withdrawals!D153)</f>
        <v/>
      </c>
      <c r="F946" s="40" t="str">
        <f>IF(Agent05_Withdrawals!A153="","",Agent05_Withdrawals!F153)</f>
        <v/>
      </c>
      <c r="G946" s="42" t="str">
        <f>IF(Agent05_Withdrawals!A153="","",Agent05_Withdrawals!E153)</f>
        <v/>
      </c>
      <c r="H946" s="42" t="str">
        <f>IF(Agent05_Withdrawals!A153="","",Agent05_Withdrawals!G153)</f>
        <v/>
      </c>
      <c r="I946" s="40" t="str">
        <f>IF(Agent05_Withdrawals!A153="","",Agent05_Withdrawals!H153)</f>
        <v/>
      </c>
      <c r="J946" s="40" t="str">
        <f>IF(Agent05_Withdrawals!A153="","",Agent05_Withdrawals!J153)</f>
        <v/>
      </c>
      <c r="K946" s="40" t="str">
        <f>IF(Agent05_Withdrawals!A153="","",Agent05_Withdrawals!K153)</f>
        <v/>
      </c>
      <c r="L946" s="40" t="str">
        <f>IF(G946="","",IF(D946-G946&gt;=System_Config!$B$9,"✅ OK","⚠️ BREACH"))</f>
        <v/>
      </c>
      <c r="M946" s="40" t="str">
        <f>IFERROR(IF(Agent05_Withdrawals!A153="","",YEAR(Agent05_Withdrawals!D153)),"")</f>
        <v/>
      </c>
    </row>
    <row r="947" spans="1:13" ht="18" customHeight="1" x14ac:dyDescent="0.25">
      <c r="A947" s="40" t="str">
        <f>IF(Agent05_Withdrawals!A154="","",Agent05_Withdrawals!A154)</f>
        <v/>
      </c>
      <c r="B947" s="40" t="str">
        <f ca="1">IF(Agent05_Withdrawals!A154="","","WD"&amp;TEXT(947-3,"0000")&amp;"-"&amp;TEXT(TODAY(),"YYYYMMDD"))</f>
        <v/>
      </c>
      <c r="C947" s="40" t="str">
        <f>IF(Agent05_Withdrawals!A154="","",Agent05_Withdrawals!B154)</f>
        <v/>
      </c>
      <c r="D947" s="43" t="str">
        <f>IF(Agent05_Withdrawals!A154="","",Agent05_Withdrawals!C154)</f>
        <v/>
      </c>
      <c r="E947" s="41" t="str">
        <f>IF(Agent05_Withdrawals!A154="","",Agent05_Withdrawals!D154)</f>
        <v/>
      </c>
      <c r="F947" s="40" t="str">
        <f>IF(Agent05_Withdrawals!A154="","",Agent05_Withdrawals!F154)</f>
        <v/>
      </c>
      <c r="G947" s="42" t="str">
        <f>IF(Agent05_Withdrawals!A154="","",Agent05_Withdrawals!E154)</f>
        <v/>
      </c>
      <c r="H947" s="42" t="str">
        <f>IF(Agent05_Withdrawals!A154="","",Agent05_Withdrawals!G154)</f>
        <v/>
      </c>
      <c r="I947" s="40" t="str">
        <f>IF(Agent05_Withdrawals!A154="","",Agent05_Withdrawals!H154)</f>
        <v/>
      </c>
      <c r="J947" s="40" t="str">
        <f>IF(Agent05_Withdrawals!A154="","",Agent05_Withdrawals!J154)</f>
        <v/>
      </c>
      <c r="K947" s="40" t="str">
        <f>IF(Agent05_Withdrawals!A154="","",Agent05_Withdrawals!K154)</f>
        <v/>
      </c>
      <c r="L947" s="40" t="str">
        <f>IF(G947="","",IF(D947-G947&gt;=System_Config!$B$9,"✅ OK","⚠️ BREACH"))</f>
        <v/>
      </c>
      <c r="M947" s="40" t="str">
        <f>IFERROR(IF(Agent05_Withdrawals!A154="","",YEAR(Agent05_Withdrawals!D154)),"")</f>
        <v/>
      </c>
    </row>
    <row r="948" spans="1:13" ht="18" customHeight="1" x14ac:dyDescent="0.25">
      <c r="A948" s="40" t="str">
        <f>IF(Agent05_Withdrawals!A155="","",Agent05_Withdrawals!A155)</f>
        <v/>
      </c>
      <c r="B948" s="40" t="str">
        <f ca="1">IF(Agent05_Withdrawals!A155="","","WD"&amp;TEXT(948-3,"0000")&amp;"-"&amp;TEXT(TODAY(),"YYYYMMDD"))</f>
        <v/>
      </c>
      <c r="C948" s="40" t="str">
        <f>IF(Agent05_Withdrawals!A155="","",Agent05_Withdrawals!B155)</f>
        <v/>
      </c>
      <c r="D948" s="43" t="str">
        <f>IF(Agent05_Withdrawals!A155="","",Agent05_Withdrawals!C155)</f>
        <v/>
      </c>
      <c r="E948" s="41" t="str">
        <f>IF(Agent05_Withdrawals!A155="","",Agent05_Withdrawals!D155)</f>
        <v/>
      </c>
      <c r="F948" s="40" t="str">
        <f>IF(Agent05_Withdrawals!A155="","",Agent05_Withdrawals!F155)</f>
        <v/>
      </c>
      <c r="G948" s="42" t="str">
        <f>IF(Agent05_Withdrawals!A155="","",Agent05_Withdrawals!E155)</f>
        <v/>
      </c>
      <c r="H948" s="42" t="str">
        <f>IF(Agent05_Withdrawals!A155="","",Agent05_Withdrawals!G155)</f>
        <v/>
      </c>
      <c r="I948" s="40" t="str">
        <f>IF(Agent05_Withdrawals!A155="","",Agent05_Withdrawals!H155)</f>
        <v/>
      </c>
      <c r="J948" s="40" t="str">
        <f>IF(Agent05_Withdrawals!A155="","",Agent05_Withdrawals!J155)</f>
        <v/>
      </c>
      <c r="K948" s="40" t="str">
        <f>IF(Agent05_Withdrawals!A155="","",Agent05_Withdrawals!K155)</f>
        <v/>
      </c>
      <c r="L948" s="40" t="str">
        <f>IF(G948="","",IF(D948-G948&gt;=System_Config!$B$9,"✅ OK","⚠️ BREACH"))</f>
        <v/>
      </c>
      <c r="M948" s="40" t="str">
        <f>IFERROR(IF(Agent05_Withdrawals!A155="","",YEAR(Agent05_Withdrawals!D155)),"")</f>
        <v/>
      </c>
    </row>
    <row r="949" spans="1:13" ht="18" customHeight="1" x14ac:dyDescent="0.25">
      <c r="A949" s="40" t="str">
        <f>IF(Agent05_Withdrawals!A156="","",Agent05_Withdrawals!A156)</f>
        <v/>
      </c>
      <c r="B949" s="40" t="str">
        <f ca="1">IF(Agent05_Withdrawals!A156="","","WD"&amp;TEXT(949-3,"0000")&amp;"-"&amp;TEXT(TODAY(),"YYYYMMDD"))</f>
        <v/>
      </c>
      <c r="C949" s="40" t="str">
        <f>IF(Agent05_Withdrawals!A156="","",Agent05_Withdrawals!B156)</f>
        <v/>
      </c>
      <c r="D949" s="43" t="str">
        <f>IF(Agent05_Withdrawals!A156="","",Agent05_Withdrawals!C156)</f>
        <v/>
      </c>
      <c r="E949" s="41" t="str">
        <f>IF(Agent05_Withdrawals!A156="","",Agent05_Withdrawals!D156)</f>
        <v/>
      </c>
      <c r="F949" s="40" t="str">
        <f>IF(Agent05_Withdrawals!A156="","",Agent05_Withdrawals!F156)</f>
        <v/>
      </c>
      <c r="G949" s="42" t="str">
        <f>IF(Agent05_Withdrawals!A156="","",Agent05_Withdrawals!E156)</f>
        <v/>
      </c>
      <c r="H949" s="42" t="str">
        <f>IF(Agent05_Withdrawals!A156="","",Agent05_Withdrawals!G156)</f>
        <v/>
      </c>
      <c r="I949" s="40" t="str">
        <f>IF(Agent05_Withdrawals!A156="","",Agent05_Withdrawals!H156)</f>
        <v/>
      </c>
      <c r="J949" s="40" t="str">
        <f>IF(Agent05_Withdrawals!A156="","",Agent05_Withdrawals!J156)</f>
        <v/>
      </c>
      <c r="K949" s="40" t="str">
        <f>IF(Agent05_Withdrawals!A156="","",Agent05_Withdrawals!K156)</f>
        <v/>
      </c>
      <c r="L949" s="40" t="str">
        <f>IF(G949="","",IF(D949-G949&gt;=System_Config!$B$9,"✅ OK","⚠️ BREACH"))</f>
        <v/>
      </c>
      <c r="M949" s="40" t="str">
        <f>IFERROR(IF(Agent05_Withdrawals!A156="","",YEAR(Agent05_Withdrawals!D156)),"")</f>
        <v/>
      </c>
    </row>
    <row r="950" spans="1:13" ht="18" customHeight="1" x14ac:dyDescent="0.25">
      <c r="A950" s="40" t="str">
        <f>IF(Agent05_Withdrawals!A157="","",Agent05_Withdrawals!A157)</f>
        <v/>
      </c>
      <c r="B950" s="40" t="str">
        <f ca="1">IF(Agent05_Withdrawals!A157="","","WD"&amp;TEXT(950-3,"0000")&amp;"-"&amp;TEXT(TODAY(),"YYYYMMDD"))</f>
        <v/>
      </c>
      <c r="C950" s="40" t="str">
        <f>IF(Agent05_Withdrawals!A157="","",Agent05_Withdrawals!B157)</f>
        <v/>
      </c>
      <c r="D950" s="43" t="str">
        <f>IF(Agent05_Withdrawals!A157="","",Agent05_Withdrawals!C157)</f>
        <v/>
      </c>
      <c r="E950" s="41" t="str">
        <f>IF(Agent05_Withdrawals!A157="","",Agent05_Withdrawals!D157)</f>
        <v/>
      </c>
      <c r="F950" s="40" t="str">
        <f>IF(Agent05_Withdrawals!A157="","",Agent05_Withdrawals!F157)</f>
        <v/>
      </c>
      <c r="G950" s="42" t="str">
        <f>IF(Agent05_Withdrawals!A157="","",Agent05_Withdrawals!E157)</f>
        <v/>
      </c>
      <c r="H950" s="42" t="str">
        <f>IF(Agent05_Withdrawals!A157="","",Agent05_Withdrawals!G157)</f>
        <v/>
      </c>
      <c r="I950" s="40" t="str">
        <f>IF(Agent05_Withdrawals!A157="","",Agent05_Withdrawals!H157)</f>
        <v/>
      </c>
      <c r="J950" s="40" t="str">
        <f>IF(Agent05_Withdrawals!A157="","",Agent05_Withdrawals!J157)</f>
        <v/>
      </c>
      <c r="K950" s="40" t="str">
        <f>IF(Agent05_Withdrawals!A157="","",Agent05_Withdrawals!K157)</f>
        <v/>
      </c>
      <c r="L950" s="40" t="str">
        <f>IF(G950="","",IF(D950-G950&gt;=System_Config!$B$9,"✅ OK","⚠️ BREACH"))</f>
        <v/>
      </c>
      <c r="M950" s="40" t="str">
        <f>IFERROR(IF(Agent05_Withdrawals!A157="","",YEAR(Agent05_Withdrawals!D157)),"")</f>
        <v/>
      </c>
    </row>
    <row r="951" spans="1:13" ht="18" customHeight="1" x14ac:dyDescent="0.25">
      <c r="A951" s="40" t="str">
        <f>IF(Agent05_Withdrawals!A158="","",Agent05_Withdrawals!A158)</f>
        <v/>
      </c>
      <c r="B951" s="40" t="str">
        <f ca="1">IF(Agent05_Withdrawals!A158="","","WD"&amp;TEXT(951-3,"0000")&amp;"-"&amp;TEXT(TODAY(),"YYYYMMDD"))</f>
        <v/>
      </c>
      <c r="C951" s="40" t="str">
        <f>IF(Agent05_Withdrawals!A158="","",Agent05_Withdrawals!B158)</f>
        <v/>
      </c>
      <c r="D951" s="43" t="str">
        <f>IF(Agent05_Withdrawals!A158="","",Agent05_Withdrawals!C158)</f>
        <v/>
      </c>
      <c r="E951" s="41" t="str">
        <f>IF(Agent05_Withdrawals!A158="","",Agent05_Withdrawals!D158)</f>
        <v/>
      </c>
      <c r="F951" s="40" t="str">
        <f>IF(Agent05_Withdrawals!A158="","",Agent05_Withdrawals!F158)</f>
        <v/>
      </c>
      <c r="G951" s="42" t="str">
        <f>IF(Agent05_Withdrawals!A158="","",Agent05_Withdrawals!E158)</f>
        <v/>
      </c>
      <c r="H951" s="42" t="str">
        <f>IF(Agent05_Withdrawals!A158="","",Agent05_Withdrawals!G158)</f>
        <v/>
      </c>
      <c r="I951" s="40" t="str">
        <f>IF(Agent05_Withdrawals!A158="","",Agent05_Withdrawals!H158)</f>
        <v/>
      </c>
      <c r="J951" s="40" t="str">
        <f>IF(Agent05_Withdrawals!A158="","",Agent05_Withdrawals!J158)</f>
        <v/>
      </c>
      <c r="K951" s="40" t="str">
        <f>IF(Agent05_Withdrawals!A158="","",Agent05_Withdrawals!K158)</f>
        <v/>
      </c>
      <c r="L951" s="40" t="str">
        <f>IF(G951="","",IF(D951-G951&gt;=System_Config!$B$9,"✅ OK","⚠️ BREACH"))</f>
        <v/>
      </c>
      <c r="M951" s="40" t="str">
        <f>IFERROR(IF(Agent05_Withdrawals!A158="","",YEAR(Agent05_Withdrawals!D158)),"")</f>
        <v/>
      </c>
    </row>
    <row r="952" spans="1:13" ht="18" customHeight="1" x14ac:dyDescent="0.25">
      <c r="A952" s="40" t="str">
        <f>IF(Agent05_Withdrawals!A159="","",Agent05_Withdrawals!A159)</f>
        <v/>
      </c>
      <c r="B952" s="40" t="str">
        <f ca="1">IF(Agent05_Withdrawals!A159="","","WD"&amp;TEXT(952-3,"0000")&amp;"-"&amp;TEXT(TODAY(),"YYYYMMDD"))</f>
        <v/>
      </c>
      <c r="C952" s="40" t="str">
        <f>IF(Agent05_Withdrawals!A159="","",Agent05_Withdrawals!B159)</f>
        <v/>
      </c>
      <c r="D952" s="43" t="str">
        <f>IF(Agent05_Withdrawals!A159="","",Agent05_Withdrawals!C159)</f>
        <v/>
      </c>
      <c r="E952" s="41" t="str">
        <f>IF(Agent05_Withdrawals!A159="","",Agent05_Withdrawals!D159)</f>
        <v/>
      </c>
      <c r="F952" s="40" t="str">
        <f>IF(Agent05_Withdrawals!A159="","",Agent05_Withdrawals!F159)</f>
        <v/>
      </c>
      <c r="G952" s="42" t="str">
        <f>IF(Agent05_Withdrawals!A159="","",Agent05_Withdrawals!E159)</f>
        <v/>
      </c>
      <c r="H952" s="42" t="str">
        <f>IF(Agent05_Withdrawals!A159="","",Agent05_Withdrawals!G159)</f>
        <v/>
      </c>
      <c r="I952" s="40" t="str">
        <f>IF(Agent05_Withdrawals!A159="","",Agent05_Withdrawals!H159)</f>
        <v/>
      </c>
      <c r="J952" s="40" t="str">
        <f>IF(Agent05_Withdrawals!A159="","",Agent05_Withdrawals!J159)</f>
        <v/>
      </c>
      <c r="K952" s="40" t="str">
        <f>IF(Agent05_Withdrawals!A159="","",Agent05_Withdrawals!K159)</f>
        <v/>
      </c>
      <c r="L952" s="40" t="str">
        <f>IF(G952="","",IF(D952-G952&gt;=System_Config!$B$9,"✅ OK","⚠️ BREACH"))</f>
        <v/>
      </c>
      <c r="M952" s="40" t="str">
        <f>IFERROR(IF(Agent05_Withdrawals!A159="","",YEAR(Agent05_Withdrawals!D159)),"")</f>
        <v/>
      </c>
    </row>
    <row r="953" spans="1:13" ht="18" customHeight="1" x14ac:dyDescent="0.25">
      <c r="A953" s="40" t="str">
        <f>IF(Agent05_Withdrawals!A160="","",Agent05_Withdrawals!A160)</f>
        <v/>
      </c>
      <c r="B953" s="40" t="str">
        <f ca="1">IF(Agent05_Withdrawals!A160="","","WD"&amp;TEXT(953-3,"0000")&amp;"-"&amp;TEXT(TODAY(),"YYYYMMDD"))</f>
        <v/>
      </c>
      <c r="C953" s="40" t="str">
        <f>IF(Agent05_Withdrawals!A160="","",Agent05_Withdrawals!B160)</f>
        <v/>
      </c>
      <c r="D953" s="43" t="str">
        <f>IF(Agent05_Withdrawals!A160="","",Agent05_Withdrawals!C160)</f>
        <v/>
      </c>
      <c r="E953" s="41" t="str">
        <f>IF(Agent05_Withdrawals!A160="","",Agent05_Withdrawals!D160)</f>
        <v/>
      </c>
      <c r="F953" s="40" t="str">
        <f>IF(Agent05_Withdrawals!A160="","",Agent05_Withdrawals!F160)</f>
        <v/>
      </c>
      <c r="G953" s="42" t="str">
        <f>IF(Agent05_Withdrawals!A160="","",Agent05_Withdrawals!E160)</f>
        <v/>
      </c>
      <c r="H953" s="42" t="str">
        <f>IF(Agent05_Withdrawals!A160="","",Agent05_Withdrawals!G160)</f>
        <v/>
      </c>
      <c r="I953" s="40" t="str">
        <f>IF(Agent05_Withdrawals!A160="","",Agent05_Withdrawals!H160)</f>
        <v/>
      </c>
      <c r="J953" s="40" t="str">
        <f>IF(Agent05_Withdrawals!A160="","",Agent05_Withdrawals!J160)</f>
        <v/>
      </c>
      <c r="K953" s="40" t="str">
        <f>IF(Agent05_Withdrawals!A160="","",Agent05_Withdrawals!K160)</f>
        <v/>
      </c>
      <c r="L953" s="40" t="str">
        <f>IF(G953="","",IF(D953-G953&gt;=System_Config!$B$9,"✅ OK","⚠️ BREACH"))</f>
        <v/>
      </c>
      <c r="M953" s="40" t="str">
        <f>IFERROR(IF(Agent05_Withdrawals!A160="","",YEAR(Agent05_Withdrawals!D160)),"")</f>
        <v/>
      </c>
    </row>
    <row r="954" spans="1:13" ht="18" customHeight="1" x14ac:dyDescent="0.25">
      <c r="A954" s="40" t="str">
        <f>IF(Agent05_Withdrawals!A161="","",Agent05_Withdrawals!A161)</f>
        <v/>
      </c>
      <c r="B954" s="40" t="str">
        <f ca="1">IF(Agent05_Withdrawals!A161="","","WD"&amp;TEXT(954-3,"0000")&amp;"-"&amp;TEXT(TODAY(),"YYYYMMDD"))</f>
        <v/>
      </c>
      <c r="C954" s="40" t="str">
        <f>IF(Agent05_Withdrawals!A161="","",Agent05_Withdrawals!B161)</f>
        <v/>
      </c>
      <c r="D954" s="43" t="str">
        <f>IF(Agent05_Withdrawals!A161="","",Agent05_Withdrawals!C161)</f>
        <v/>
      </c>
      <c r="E954" s="41" t="str">
        <f>IF(Agent05_Withdrawals!A161="","",Agent05_Withdrawals!D161)</f>
        <v/>
      </c>
      <c r="F954" s="40" t="str">
        <f>IF(Agent05_Withdrawals!A161="","",Agent05_Withdrawals!F161)</f>
        <v/>
      </c>
      <c r="G954" s="42" t="str">
        <f>IF(Agent05_Withdrawals!A161="","",Agent05_Withdrawals!E161)</f>
        <v/>
      </c>
      <c r="H954" s="42" t="str">
        <f>IF(Agent05_Withdrawals!A161="","",Agent05_Withdrawals!G161)</f>
        <v/>
      </c>
      <c r="I954" s="40" t="str">
        <f>IF(Agent05_Withdrawals!A161="","",Agent05_Withdrawals!H161)</f>
        <v/>
      </c>
      <c r="J954" s="40" t="str">
        <f>IF(Agent05_Withdrawals!A161="","",Agent05_Withdrawals!J161)</f>
        <v/>
      </c>
      <c r="K954" s="40" t="str">
        <f>IF(Agent05_Withdrawals!A161="","",Agent05_Withdrawals!K161)</f>
        <v/>
      </c>
      <c r="L954" s="40" t="str">
        <f>IF(G954="","",IF(D954-G954&gt;=System_Config!$B$9,"✅ OK","⚠️ BREACH"))</f>
        <v/>
      </c>
      <c r="M954" s="40" t="str">
        <f>IFERROR(IF(Agent05_Withdrawals!A161="","",YEAR(Agent05_Withdrawals!D161)),"")</f>
        <v/>
      </c>
    </row>
    <row r="955" spans="1:13" ht="18" customHeight="1" x14ac:dyDescent="0.25">
      <c r="A955" s="40" t="str">
        <f>IF(Agent05_Withdrawals!A162="","",Agent05_Withdrawals!A162)</f>
        <v/>
      </c>
      <c r="B955" s="40" t="str">
        <f ca="1">IF(Agent05_Withdrawals!A162="","","WD"&amp;TEXT(955-3,"0000")&amp;"-"&amp;TEXT(TODAY(),"YYYYMMDD"))</f>
        <v/>
      </c>
      <c r="C955" s="40" t="str">
        <f>IF(Agent05_Withdrawals!A162="","",Agent05_Withdrawals!B162)</f>
        <v/>
      </c>
      <c r="D955" s="43" t="str">
        <f>IF(Agent05_Withdrawals!A162="","",Agent05_Withdrawals!C162)</f>
        <v/>
      </c>
      <c r="E955" s="41" t="str">
        <f>IF(Agent05_Withdrawals!A162="","",Agent05_Withdrawals!D162)</f>
        <v/>
      </c>
      <c r="F955" s="40" t="str">
        <f>IF(Agent05_Withdrawals!A162="","",Agent05_Withdrawals!F162)</f>
        <v/>
      </c>
      <c r="G955" s="42" t="str">
        <f>IF(Agent05_Withdrawals!A162="","",Agent05_Withdrawals!E162)</f>
        <v/>
      </c>
      <c r="H955" s="42" t="str">
        <f>IF(Agent05_Withdrawals!A162="","",Agent05_Withdrawals!G162)</f>
        <v/>
      </c>
      <c r="I955" s="40" t="str">
        <f>IF(Agent05_Withdrawals!A162="","",Agent05_Withdrawals!H162)</f>
        <v/>
      </c>
      <c r="J955" s="40" t="str">
        <f>IF(Agent05_Withdrawals!A162="","",Agent05_Withdrawals!J162)</f>
        <v/>
      </c>
      <c r="K955" s="40" t="str">
        <f>IF(Agent05_Withdrawals!A162="","",Agent05_Withdrawals!K162)</f>
        <v/>
      </c>
      <c r="L955" s="40" t="str">
        <f>IF(G955="","",IF(D955-G955&gt;=System_Config!$B$9,"✅ OK","⚠️ BREACH"))</f>
        <v/>
      </c>
      <c r="M955" s="40" t="str">
        <f>IFERROR(IF(Agent05_Withdrawals!A162="","",YEAR(Agent05_Withdrawals!D162)),"")</f>
        <v/>
      </c>
    </row>
    <row r="956" spans="1:13" ht="18" customHeight="1" x14ac:dyDescent="0.25">
      <c r="A956" s="40" t="str">
        <f>IF(Agent05_Withdrawals!A163="","",Agent05_Withdrawals!A163)</f>
        <v/>
      </c>
      <c r="B956" s="40" t="str">
        <f ca="1">IF(Agent05_Withdrawals!A163="","","WD"&amp;TEXT(956-3,"0000")&amp;"-"&amp;TEXT(TODAY(),"YYYYMMDD"))</f>
        <v/>
      </c>
      <c r="C956" s="40" t="str">
        <f>IF(Agent05_Withdrawals!A163="","",Agent05_Withdrawals!B163)</f>
        <v/>
      </c>
      <c r="D956" s="43" t="str">
        <f>IF(Agent05_Withdrawals!A163="","",Agent05_Withdrawals!C163)</f>
        <v/>
      </c>
      <c r="E956" s="41" t="str">
        <f>IF(Agent05_Withdrawals!A163="","",Agent05_Withdrawals!D163)</f>
        <v/>
      </c>
      <c r="F956" s="40" t="str">
        <f>IF(Agent05_Withdrawals!A163="","",Agent05_Withdrawals!F163)</f>
        <v/>
      </c>
      <c r="G956" s="42" t="str">
        <f>IF(Agent05_Withdrawals!A163="","",Agent05_Withdrawals!E163)</f>
        <v/>
      </c>
      <c r="H956" s="42" t="str">
        <f>IF(Agent05_Withdrawals!A163="","",Agent05_Withdrawals!G163)</f>
        <v/>
      </c>
      <c r="I956" s="40" t="str">
        <f>IF(Agent05_Withdrawals!A163="","",Agent05_Withdrawals!H163)</f>
        <v/>
      </c>
      <c r="J956" s="40" t="str">
        <f>IF(Agent05_Withdrawals!A163="","",Agent05_Withdrawals!J163)</f>
        <v/>
      </c>
      <c r="K956" s="40" t="str">
        <f>IF(Agent05_Withdrawals!A163="","",Agent05_Withdrawals!K163)</f>
        <v/>
      </c>
      <c r="L956" s="40" t="str">
        <f>IF(G956="","",IF(D956-G956&gt;=System_Config!$B$9,"✅ OK","⚠️ BREACH"))</f>
        <v/>
      </c>
      <c r="M956" s="40" t="str">
        <f>IFERROR(IF(Agent05_Withdrawals!A163="","",YEAR(Agent05_Withdrawals!D163)),"")</f>
        <v/>
      </c>
    </row>
    <row r="957" spans="1:13" ht="18" customHeight="1" x14ac:dyDescent="0.25">
      <c r="A957" s="40" t="str">
        <f>IF(Agent05_Withdrawals!A164="","",Agent05_Withdrawals!A164)</f>
        <v/>
      </c>
      <c r="B957" s="40" t="str">
        <f ca="1">IF(Agent05_Withdrawals!A164="","","WD"&amp;TEXT(957-3,"0000")&amp;"-"&amp;TEXT(TODAY(),"YYYYMMDD"))</f>
        <v/>
      </c>
      <c r="C957" s="40" t="str">
        <f>IF(Agent05_Withdrawals!A164="","",Agent05_Withdrawals!B164)</f>
        <v/>
      </c>
      <c r="D957" s="43" t="str">
        <f>IF(Agent05_Withdrawals!A164="","",Agent05_Withdrawals!C164)</f>
        <v/>
      </c>
      <c r="E957" s="41" t="str">
        <f>IF(Agent05_Withdrawals!A164="","",Agent05_Withdrawals!D164)</f>
        <v/>
      </c>
      <c r="F957" s="40" t="str">
        <f>IF(Agent05_Withdrawals!A164="","",Agent05_Withdrawals!F164)</f>
        <v/>
      </c>
      <c r="G957" s="42" t="str">
        <f>IF(Agent05_Withdrawals!A164="","",Agent05_Withdrawals!E164)</f>
        <v/>
      </c>
      <c r="H957" s="42" t="str">
        <f>IF(Agent05_Withdrawals!A164="","",Agent05_Withdrawals!G164)</f>
        <v/>
      </c>
      <c r="I957" s="40" t="str">
        <f>IF(Agent05_Withdrawals!A164="","",Agent05_Withdrawals!H164)</f>
        <v/>
      </c>
      <c r="J957" s="40" t="str">
        <f>IF(Agent05_Withdrawals!A164="","",Agent05_Withdrawals!J164)</f>
        <v/>
      </c>
      <c r="K957" s="40" t="str">
        <f>IF(Agent05_Withdrawals!A164="","",Agent05_Withdrawals!K164)</f>
        <v/>
      </c>
      <c r="L957" s="40" t="str">
        <f>IF(G957="","",IF(D957-G957&gt;=System_Config!$B$9,"✅ OK","⚠️ BREACH"))</f>
        <v/>
      </c>
      <c r="M957" s="40" t="str">
        <f>IFERROR(IF(Agent05_Withdrawals!A164="","",YEAR(Agent05_Withdrawals!D164)),"")</f>
        <v/>
      </c>
    </row>
    <row r="958" spans="1:13" ht="18" customHeight="1" x14ac:dyDescent="0.25">
      <c r="A958" s="40" t="str">
        <f>IF(Agent05_Withdrawals!A165="","",Agent05_Withdrawals!A165)</f>
        <v/>
      </c>
      <c r="B958" s="40" t="str">
        <f ca="1">IF(Agent05_Withdrawals!A165="","","WD"&amp;TEXT(958-3,"0000")&amp;"-"&amp;TEXT(TODAY(),"YYYYMMDD"))</f>
        <v/>
      </c>
      <c r="C958" s="40" t="str">
        <f>IF(Agent05_Withdrawals!A165="","",Agent05_Withdrawals!B165)</f>
        <v/>
      </c>
      <c r="D958" s="43" t="str">
        <f>IF(Agent05_Withdrawals!A165="","",Agent05_Withdrawals!C165)</f>
        <v/>
      </c>
      <c r="E958" s="41" t="str">
        <f>IF(Agent05_Withdrawals!A165="","",Agent05_Withdrawals!D165)</f>
        <v/>
      </c>
      <c r="F958" s="40" t="str">
        <f>IF(Agent05_Withdrawals!A165="","",Agent05_Withdrawals!F165)</f>
        <v/>
      </c>
      <c r="G958" s="42" t="str">
        <f>IF(Agent05_Withdrawals!A165="","",Agent05_Withdrawals!E165)</f>
        <v/>
      </c>
      <c r="H958" s="42" t="str">
        <f>IF(Agent05_Withdrawals!A165="","",Agent05_Withdrawals!G165)</f>
        <v/>
      </c>
      <c r="I958" s="40" t="str">
        <f>IF(Agent05_Withdrawals!A165="","",Agent05_Withdrawals!H165)</f>
        <v/>
      </c>
      <c r="J958" s="40" t="str">
        <f>IF(Agent05_Withdrawals!A165="","",Agent05_Withdrawals!J165)</f>
        <v/>
      </c>
      <c r="K958" s="40" t="str">
        <f>IF(Agent05_Withdrawals!A165="","",Agent05_Withdrawals!K165)</f>
        <v/>
      </c>
      <c r="L958" s="40" t="str">
        <f>IF(G958="","",IF(D958-G958&gt;=System_Config!$B$9,"✅ OK","⚠️ BREACH"))</f>
        <v/>
      </c>
      <c r="M958" s="40" t="str">
        <f>IFERROR(IF(Agent05_Withdrawals!A165="","",YEAR(Agent05_Withdrawals!D165)),"")</f>
        <v/>
      </c>
    </row>
    <row r="959" spans="1:13" ht="18" customHeight="1" x14ac:dyDescent="0.25">
      <c r="A959" s="40" t="str">
        <f>IF(Agent05_Withdrawals!A166="","",Agent05_Withdrawals!A166)</f>
        <v/>
      </c>
      <c r="B959" s="40" t="str">
        <f ca="1">IF(Agent05_Withdrawals!A166="","","WD"&amp;TEXT(959-3,"0000")&amp;"-"&amp;TEXT(TODAY(),"YYYYMMDD"))</f>
        <v/>
      </c>
      <c r="C959" s="40" t="str">
        <f>IF(Agent05_Withdrawals!A166="","",Agent05_Withdrawals!B166)</f>
        <v/>
      </c>
      <c r="D959" s="43" t="str">
        <f>IF(Agent05_Withdrawals!A166="","",Agent05_Withdrawals!C166)</f>
        <v/>
      </c>
      <c r="E959" s="41" t="str">
        <f>IF(Agent05_Withdrawals!A166="","",Agent05_Withdrawals!D166)</f>
        <v/>
      </c>
      <c r="F959" s="40" t="str">
        <f>IF(Agent05_Withdrawals!A166="","",Agent05_Withdrawals!F166)</f>
        <v/>
      </c>
      <c r="G959" s="42" t="str">
        <f>IF(Agent05_Withdrawals!A166="","",Agent05_Withdrawals!E166)</f>
        <v/>
      </c>
      <c r="H959" s="42" t="str">
        <f>IF(Agent05_Withdrawals!A166="","",Agent05_Withdrawals!G166)</f>
        <v/>
      </c>
      <c r="I959" s="40" t="str">
        <f>IF(Agent05_Withdrawals!A166="","",Agent05_Withdrawals!H166)</f>
        <v/>
      </c>
      <c r="J959" s="40" t="str">
        <f>IF(Agent05_Withdrawals!A166="","",Agent05_Withdrawals!J166)</f>
        <v/>
      </c>
      <c r="K959" s="40" t="str">
        <f>IF(Agent05_Withdrawals!A166="","",Agent05_Withdrawals!K166)</f>
        <v/>
      </c>
      <c r="L959" s="40" t="str">
        <f>IF(G959="","",IF(D959-G959&gt;=System_Config!$B$9,"✅ OK","⚠️ BREACH"))</f>
        <v/>
      </c>
      <c r="M959" s="40" t="str">
        <f>IFERROR(IF(Agent05_Withdrawals!A166="","",YEAR(Agent05_Withdrawals!D166)),"")</f>
        <v/>
      </c>
    </row>
    <row r="960" spans="1:13" ht="18" customHeight="1" x14ac:dyDescent="0.25">
      <c r="A960" s="40" t="str">
        <f>IF(Agent05_Withdrawals!A167="","",Agent05_Withdrawals!A167)</f>
        <v/>
      </c>
      <c r="B960" s="40" t="str">
        <f ca="1">IF(Agent05_Withdrawals!A167="","","WD"&amp;TEXT(960-3,"0000")&amp;"-"&amp;TEXT(TODAY(),"YYYYMMDD"))</f>
        <v/>
      </c>
      <c r="C960" s="40" t="str">
        <f>IF(Agent05_Withdrawals!A167="","",Agent05_Withdrawals!B167)</f>
        <v/>
      </c>
      <c r="D960" s="43" t="str">
        <f>IF(Agent05_Withdrawals!A167="","",Agent05_Withdrawals!C167)</f>
        <v/>
      </c>
      <c r="E960" s="41" t="str">
        <f>IF(Agent05_Withdrawals!A167="","",Agent05_Withdrawals!D167)</f>
        <v/>
      </c>
      <c r="F960" s="40" t="str">
        <f>IF(Agent05_Withdrawals!A167="","",Agent05_Withdrawals!F167)</f>
        <v/>
      </c>
      <c r="G960" s="42" t="str">
        <f>IF(Agent05_Withdrawals!A167="","",Agent05_Withdrawals!E167)</f>
        <v/>
      </c>
      <c r="H960" s="42" t="str">
        <f>IF(Agent05_Withdrawals!A167="","",Agent05_Withdrawals!G167)</f>
        <v/>
      </c>
      <c r="I960" s="40" t="str">
        <f>IF(Agent05_Withdrawals!A167="","",Agent05_Withdrawals!H167)</f>
        <v/>
      </c>
      <c r="J960" s="40" t="str">
        <f>IF(Agent05_Withdrawals!A167="","",Agent05_Withdrawals!J167)</f>
        <v/>
      </c>
      <c r="K960" s="40" t="str">
        <f>IF(Agent05_Withdrawals!A167="","",Agent05_Withdrawals!K167)</f>
        <v/>
      </c>
      <c r="L960" s="40" t="str">
        <f>IF(G960="","",IF(D960-G960&gt;=System_Config!$B$9,"✅ OK","⚠️ BREACH"))</f>
        <v/>
      </c>
      <c r="M960" s="40" t="str">
        <f>IFERROR(IF(Agent05_Withdrawals!A167="","",YEAR(Agent05_Withdrawals!D167)),"")</f>
        <v/>
      </c>
    </row>
    <row r="961" spans="1:13" ht="18" customHeight="1" x14ac:dyDescent="0.25">
      <c r="A961" s="40" t="str">
        <f>IF(Agent05_Withdrawals!A168="","",Agent05_Withdrawals!A168)</f>
        <v/>
      </c>
      <c r="B961" s="40" t="str">
        <f ca="1">IF(Agent05_Withdrawals!A168="","","WD"&amp;TEXT(961-3,"0000")&amp;"-"&amp;TEXT(TODAY(),"YYYYMMDD"))</f>
        <v/>
      </c>
      <c r="C961" s="40" t="str">
        <f>IF(Agent05_Withdrawals!A168="","",Agent05_Withdrawals!B168)</f>
        <v/>
      </c>
      <c r="D961" s="43" t="str">
        <f>IF(Agent05_Withdrawals!A168="","",Agent05_Withdrawals!C168)</f>
        <v/>
      </c>
      <c r="E961" s="41" t="str">
        <f>IF(Agent05_Withdrawals!A168="","",Agent05_Withdrawals!D168)</f>
        <v/>
      </c>
      <c r="F961" s="40" t="str">
        <f>IF(Agent05_Withdrawals!A168="","",Agent05_Withdrawals!F168)</f>
        <v/>
      </c>
      <c r="G961" s="42" t="str">
        <f>IF(Agent05_Withdrawals!A168="","",Agent05_Withdrawals!E168)</f>
        <v/>
      </c>
      <c r="H961" s="42" t="str">
        <f>IF(Agent05_Withdrawals!A168="","",Agent05_Withdrawals!G168)</f>
        <v/>
      </c>
      <c r="I961" s="40" t="str">
        <f>IF(Agent05_Withdrawals!A168="","",Agent05_Withdrawals!H168)</f>
        <v/>
      </c>
      <c r="J961" s="40" t="str">
        <f>IF(Agent05_Withdrawals!A168="","",Agent05_Withdrawals!J168)</f>
        <v/>
      </c>
      <c r="K961" s="40" t="str">
        <f>IF(Agent05_Withdrawals!A168="","",Agent05_Withdrawals!K168)</f>
        <v/>
      </c>
      <c r="L961" s="40" t="str">
        <f>IF(G961="","",IF(D961-G961&gt;=System_Config!$B$9,"✅ OK","⚠️ BREACH"))</f>
        <v/>
      </c>
      <c r="M961" s="40" t="str">
        <f>IFERROR(IF(Agent05_Withdrawals!A168="","",YEAR(Agent05_Withdrawals!D168)),"")</f>
        <v/>
      </c>
    </row>
    <row r="962" spans="1:13" ht="18" customHeight="1" x14ac:dyDescent="0.25">
      <c r="A962" s="40" t="str">
        <f>IF(Agent05_Withdrawals!A169="","",Agent05_Withdrawals!A169)</f>
        <v/>
      </c>
      <c r="B962" s="40" t="str">
        <f ca="1">IF(Agent05_Withdrawals!A169="","","WD"&amp;TEXT(962-3,"0000")&amp;"-"&amp;TEXT(TODAY(),"YYYYMMDD"))</f>
        <v/>
      </c>
      <c r="C962" s="40" t="str">
        <f>IF(Agent05_Withdrawals!A169="","",Agent05_Withdrawals!B169)</f>
        <v/>
      </c>
      <c r="D962" s="43" t="str">
        <f>IF(Agent05_Withdrawals!A169="","",Agent05_Withdrawals!C169)</f>
        <v/>
      </c>
      <c r="E962" s="41" t="str">
        <f>IF(Agent05_Withdrawals!A169="","",Agent05_Withdrawals!D169)</f>
        <v/>
      </c>
      <c r="F962" s="40" t="str">
        <f>IF(Agent05_Withdrawals!A169="","",Agent05_Withdrawals!F169)</f>
        <v/>
      </c>
      <c r="G962" s="42" t="str">
        <f>IF(Agent05_Withdrawals!A169="","",Agent05_Withdrawals!E169)</f>
        <v/>
      </c>
      <c r="H962" s="42" t="str">
        <f>IF(Agent05_Withdrawals!A169="","",Agent05_Withdrawals!G169)</f>
        <v/>
      </c>
      <c r="I962" s="40" t="str">
        <f>IF(Agent05_Withdrawals!A169="","",Agent05_Withdrawals!H169)</f>
        <v/>
      </c>
      <c r="J962" s="40" t="str">
        <f>IF(Agent05_Withdrawals!A169="","",Agent05_Withdrawals!J169)</f>
        <v/>
      </c>
      <c r="K962" s="40" t="str">
        <f>IF(Agent05_Withdrawals!A169="","",Agent05_Withdrawals!K169)</f>
        <v/>
      </c>
      <c r="L962" s="40" t="str">
        <f>IF(G962="","",IF(D962-G962&gt;=System_Config!$B$9,"✅ OK","⚠️ BREACH"))</f>
        <v/>
      </c>
      <c r="M962" s="40" t="str">
        <f>IFERROR(IF(Agent05_Withdrawals!A169="","",YEAR(Agent05_Withdrawals!D169)),"")</f>
        <v/>
      </c>
    </row>
    <row r="963" spans="1:13" ht="18" customHeight="1" x14ac:dyDescent="0.25">
      <c r="A963" s="40" t="str">
        <f>IF(Agent05_Withdrawals!A170="","",Agent05_Withdrawals!A170)</f>
        <v/>
      </c>
      <c r="B963" s="40" t="str">
        <f ca="1">IF(Agent05_Withdrawals!A170="","","WD"&amp;TEXT(963-3,"0000")&amp;"-"&amp;TEXT(TODAY(),"YYYYMMDD"))</f>
        <v/>
      </c>
      <c r="C963" s="40" t="str">
        <f>IF(Agent05_Withdrawals!A170="","",Agent05_Withdrawals!B170)</f>
        <v/>
      </c>
      <c r="D963" s="43" t="str">
        <f>IF(Agent05_Withdrawals!A170="","",Agent05_Withdrawals!C170)</f>
        <v/>
      </c>
      <c r="E963" s="41" t="str">
        <f>IF(Agent05_Withdrawals!A170="","",Agent05_Withdrawals!D170)</f>
        <v/>
      </c>
      <c r="F963" s="40" t="str">
        <f>IF(Agent05_Withdrawals!A170="","",Agent05_Withdrawals!F170)</f>
        <v/>
      </c>
      <c r="G963" s="42" t="str">
        <f>IF(Agent05_Withdrawals!A170="","",Agent05_Withdrawals!E170)</f>
        <v/>
      </c>
      <c r="H963" s="42" t="str">
        <f>IF(Agent05_Withdrawals!A170="","",Agent05_Withdrawals!G170)</f>
        <v/>
      </c>
      <c r="I963" s="40" t="str">
        <f>IF(Agent05_Withdrawals!A170="","",Agent05_Withdrawals!H170)</f>
        <v/>
      </c>
      <c r="J963" s="40" t="str">
        <f>IF(Agent05_Withdrawals!A170="","",Agent05_Withdrawals!J170)</f>
        <v/>
      </c>
      <c r="K963" s="40" t="str">
        <f>IF(Agent05_Withdrawals!A170="","",Agent05_Withdrawals!K170)</f>
        <v/>
      </c>
      <c r="L963" s="40" t="str">
        <f>IF(G963="","",IF(D963-G963&gt;=System_Config!$B$9,"✅ OK","⚠️ BREACH"))</f>
        <v/>
      </c>
      <c r="M963" s="40" t="str">
        <f>IFERROR(IF(Agent05_Withdrawals!A170="","",YEAR(Agent05_Withdrawals!D170)),"")</f>
        <v/>
      </c>
    </row>
    <row r="964" spans="1:13" ht="18" customHeight="1" x14ac:dyDescent="0.25">
      <c r="A964" s="40" t="str">
        <f>IF(Agent05_Withdrawals!A171="","",Agent05_Withdrawals!A171)</f>
        <v/>
      </c>
      <c r="B964" s="40" t="str">
        <f ca="1">IF(Agent05_Withdrawals!A171="","","WD"&amp;TEXT(964-3,"0000")&amp;"-"&amp;TEXT(TODAY(),"YYYYMMDD"))</f>
        <v/>
      </c>
      <c r="C964" s="40" t="str">
        <f>IF(Agent05_Withdrawals!A171="","",Agent05_Withdrawals!B171)</f>
        <v/>
      </c>
      <c r="D964" s="43" t="str">
        <f>IF(Agent05_Withdrawals!A171="","",Agent05_Withdrawals!C171)</f>
        <v/>
      </c>
      <c r="E964" s="41" t="str">
        <f>IF(Agent05_Withdrawals!A171="","",Agent05_Withdrawals!D171)</f>
        <v/>
      </c>
      <c r="F964" s="40" t="str">
        <f>IF(Agent05_Withdrawals!A171="","",Agent05_Withdrawals!F171)</f>
        <v/>
      </c>
      <c r="G964" s="42" t="str">
        <f>IF(Agent05_Withdrawals!A171="","",Agent05_Withdrawals!E171)</f>
        <v/>
      </c>
      <c r="H964" s="42" t="str">
        <f>IF(Agent05_Withdrawals!A171="","",Agent05_Withdrawals!G171)</f>
        <v/>
      </c>
      <c r="I964" s="40" t="str">
        <f>IF(Agent05_Withdrawals!A171="","",Agent05_Withdrawals!H171)</f>
        <v/>
      </c>
      <c r="J964" s="40" t="str">
        <f>IF(Agent05_Withdrawals!A171="","",Agent05_Withdrawals!J171)</f>
        <v/>
      </c>
      <c r="K964" s="40" t="str">
        <f>IF(Agent05_Withdrawals!A171="","",Agent05_Withdrawals!K171)</f>
        <v/>
      </c>
      <c r="L964" s="40" t="str">
        <f>IF(G964="","",IF(D964-G964&gt;=System_Config!$B$9,"✅ OK","⚠️ BREACH"))</f>
        <v/>
      </c>
      <c r="M964" s="40" t="str">
        <f>IFERROR(IF(Agent05_Withdrawals!A171="","",YEAR(Agent05_Withdrawals!D171)),"")</f>
        <v/>
      </c>
    </row>
    <row r="965" spans="1:13" ht="18" customHeight="1" x14ac:dyDescent="0.25">
      <c r="A965" s="40" t="str">
        <f>IF(Agent05_Withdrawals!A172="","",Agent05_Withdrawals!A172)</f>
        <v/>
      </c>
      <c r="B965" s="40" t="str">
        <f ca="1">IF(Agent05_Withdrawals!A172="","","WD"&amp;TEXT(965-3,"0000")&amp;"-"&amp;TEXT(TODAY(),"YYYYMMDD"))</f>
        <v/>
      </c>
      <c r="C965" s="40" t="str">
        <f>IF(Agent05_Withdrawals!A172="","",Agent05_Withdrawals!B172)</f>
        <v/>
      </c>
      <c r="D965" s="43" t="str">
        <f>IF(Agent05_Withdrawals!A172="","",Agent05_Withdrawals!C172)</f>
        <v/>
      </c>
      <c r="E965" s="41" t="str">
        <f>IF(Agent05_Withdrawals!A172="","",Agent05_Withdrawals!D172)</f>
        <v/>
      </c>
      <c r="F965" s="40" t="str">
        <f>IF(Agent05_Withdrawals!A172="","",Agent05_Withdrawals!F172)</f>
        <v/>
      </c>
      <c r="G965" s="42" t="str">
        <f>IF(Agent05_Withdrawals!A172="","",Agent05_Withdrawals!E172)</f>
        <v/>
      </c>
      <c r="H965" s="42" t="str">
        <f>IF(Agent05_Withdrawals!A172="","",Agent05_Withdrawals!G172)</f>
        <v/>
      </c>
      <c r="I965" s="40" t="str">
        <f>IF(Agent05_Withdrawals!A172="","",Agent05_Withdrawals!H172)</f>
        <v/>
      </c>
      <c r="J965" s="40" t="str">
        <f>IF(Agent05_Withdrawals!A172="","",Agent05_Withdrawals!J172)</f>
        <v/>
      </c>
      <c r="K965" s="40" t="str">
        <f>IF(Agent05_Withdrawals!A172="","",Agent05_Withdrawals!K172)</f>
        <v/>
      </c>
      <c r="L965" s="40" t="str">
        <f>IF(G965="","",IF(D965-G965&gt;=System_Config!$B$9,"✅ OK","⚠️ BREACH"))</f>
        <v/>
      </c>
      <c r="M965" s="40" t="str">
        <f>IFERROR(IF(Agent05_Withdrawals!A172="","",YEAR(Agent05_Withdrawals!D172)),"")</f>
        <v/>
      </c>
    </row>
    <row r="966" spans="1:13" ht="18" customHeight="1" x14ac:dyDescent="0.25">
      <c r="A966" s="40" t="str">
        <f>IF(Agent05_Withdrawals!A173="","",Agent05_Withdrawals!A173)</f>
        <v/>
      </c>
      <c r="B966" s="40" t="str">
        <f ca="1">IF(Agent05_Withdrawals!A173="","","WD"&amp;TEXT(966-3,"0000")&amp;"-"&amp;TEXT(TODAY(),"YYYYMMDD"))</f>
        <v/>
      </c>
      <c r="C966" s="40" t="str">
        <f>IF(Agent05_Withdrawals!A173="","",Agent05_Withdrawals!B173)</f>
        <v/>
      </c>
      <c r="D966" s="43" t="str">
        <f>IF(Agent05_Withdrawals!A173="","",Agent05_Withdrawals!C173)</f>
        <v/>
      </c>
      <c r="E966" s="41" t="str">
        <f>IF(Agent05_Withdrawals!A173="","",Agent05_Withdrawals!D173)</f>
        <v/>
      </c>
      <c r="F966" s="40" t="str">
        <f>IF(Agent05_Withdrawals!A173="","",Agent05_Withdrawals!F173)</f>
        <v/>
      </c>
      <c r="G966" s="42" t="str">
        <f>IF(Agent05_Withdrawals!A173="","",Agent05_Withdrawals!E173)</f>
        <v/>
      </c>
      <c r="H966" s="42" t="str">
        <f>IF(Agent05_Withdrawals!A173="","",Agent05_Withdrawals!G173)</f>
        <v/>
      </c>
      <c r="I966" s="40" t="str">
        <f>IF(Agent05_Withdrawals!A173="","",Agent05_Withdrawals!H173)</f>
        <v/>
      </c>
      <c r="J966" s="40" t="str">
        <f>IF(Agent05_Withdrawals!A173="","",Agent05_Withdrawals!J173)</f>
        <v/>
      </c>
      <c r="K966" s="40" t="str">
        <f>IF(Agent05_Withdrawals!A173="","",Agent05_Withdrawals!K173)</f>
        <v/>
      </c>
      <c r="L966" s="40" t="str">
        <f>IF(G966="","",IF(D966-G966&gt;=System_Config!$B$9,"✅ OK","⚠️ BREACH"))</f>
        <v/>
      </c>
      <c r="M966" s="40" t="str">
        <f>IFERROR(IF(Agent05_Withdrawals!A173="","",YEAR(Agent05_Withdrawals!D173)),"")</f>
        <v/>
      </c>
    </row>
    <row r="967" spans="1:13" ht="18" customHeight="1" x14ac:dyDescent="0.25">
      <c r="A967" s="40" t="str">
        <f>IF(Agent05_Withdrawals!A174="","",Agent05_Withdrawals!A174)</f>
        <v/>
      </c>
      <c r="B967" s="40" t="str">
        <f ca="1">IF(Agent05_Withdrawals!A174="","","WD"&amp;TEXT(967-3,"0000")&amp;"-"&amp;TEXT(TODAY(),"YYYYMMDD"))</f>
        <v/>
      </c>
      <c r="C967" s="40" t="str">
        <f>IF(Agent05_Withdrawals!A174="","",Agent05_Withdrawals!B174)</f>
        <v/>
      </c>
      <c r="D967" s="43" t="str">
        <f>IF(Agent05_Withdrawals!A174="","",Agent05_Withdrawals!C174)</f>
        <v/>
      </c>
      <c r="E967" s="41" t="str">
        <f>IF(Agent05_Withdrawals!A174="","",Agent05_Withdrawals!D174)</f>
        <v/>
      </c>
      <c r="F967" s="40" t="str">
        <f>IF(Agent05_Withdrawals!A174="","",Agent05_Withdrawals!F174)</f>
        <v/>
      </c>
      <c r="G967" s="42" t="str">
        <f>IF(Agent05_Withdrawals!A174="","",Agent05_Withdrawals!E174)</f>
        <v/>
      </c>
      <c r="H967" s="42" t="str">
        <f>IF(Agent05_Withdrawals!A174="","",Agent05_Withdrawals!G174)</f>
        <v/>
      </c>
      <c r="I967" s="40" t="str">
        <f>IF(Agent05_Withdrawals!A174="","",Agent05_Withdrawals!H174)</f>
        <v/>
      </c>
      <c r="J967" s="40" t="str">
        <f>IF(Agent05_Withdrawals!A174="","",Agent05_Withdrawals!J174)</f>
        <v/>
      </c>
      <c r="K967" s="40" t="str">
        <f>IF(Agent05_Withdrawals!A174="","",Agent05_Withdrawals!K174)</f>
        <v/>
      </c>
      <c r="L967" s="40" t="str">
        <f>IF(G967="","",IF(D967-G967&gt;=System_Config!$B$9,"✅ OK","⚠️ BREACH"))</f>
        <v/>
      </c>
      <c r="M967" s="40" t="str">
        <f>IFERROR(IF(Agent05_Withdrawals!A174="","",YEAR(Agent05_Withdrawals!D174)),"")</f>
        <v/>
      </c>
    </row>
    <row r="968" spans="1:13" ht="18" customHeight="1" x14ac:dyDescent="0.25">
      <c r="A968" s="40" t="str">
        <f>IF(Agent05_Withdrawals!A175="","",Agent05_Withdrawals!A175)</f>
        <v/>
      </c>
      <c r="B968" s="40" t="str">
        <f ca="1">IF(Agent05_Withdrawals!A175="","","WD"&amp;TEXT(968-3,"0000")&amp;"-"&amp;TEXT(TODAY(),"YYYYMMDD"))</f>
        <v/>
      </c>
      <c r="C968" s="40" t="str">
        <f>IF(Agent05_Withdrawals!A175="","",Agent05_Withdrawals!B175)</f>
        <v/>
      </c>
      <c r="D968" s="43" t="str">
        <f>IF(Agent05_Withdrawals!A175="","",Agent05_Withdrawals!C175)</f>
        <v/>
      </c>
      <c r="E968" s="41" t="str">
        <f>IF(Agent05_Withdrawals!A175="","",Agent05_Withdrawals!D175)</f>
        <v/>
      </c>
      <c r="F968" s="40" t="str">
        <f>IF(Agent05_Withdrawals!A175="","",Agent05_Withdrawals!F175)</f>
        <v/>
      </c>
      <c r="G968" s="42" t="str">
        <f>IF(Agent05_Withdrawals!A175="","",Agent05_Withdrawals!E175)</f>
        <v/>
      </c>
      <c r="H968" s="42" t="str">
        <f>IF(Agent05_Withdrawals!A175="","",Agent05_Withdrawals!G175)</f>
        <v/>
      </c>
      <c r="I968" s="40" t="str">
        <f>IF(Agent05_Withdrawals!A175="","",Agent05_Withdrawals!H175)</f>
        <v/>
      </c>
      <c r="J968" s="40" t="str">
        <f>IF(Agent05_Withdrawals!A175="","",Agent05_Withdrawals!J175)</f>
        <v/>
      </c>
      <c r="K968" s="40" t="str">
        <f>IF(Agent05_Withdrawals!A175="","",Agent05_Withdrawals!K175)</f>
        <v/>
      </c>
      <c r="L968" s="40" t="str">
        <f>IF(G968="","",IF(D968-G968&gt;=System_Config!$B$9,"✅ OK","⚠️ BREACH"))</f>
        <v/>
      </c>
      <c r="M968" s="40" t="str">
        <f>IFERROR(IF(Agent05_Withdrawals!A175="","",YEAR(Agent05_Withdrawals!D175)),"")</f>
        <v/>
      </c>
    </row>
    <row r="969" spans="1:13" ht="18" customHeight="1" x14ac:dyDescent="0.25">
      <c r="A969" s="40" t="str">
        <f>IF(Agent05_Withdrawals!A176="","",Agent05_Withdrawals!A176)</f>
        <v/>
      </c>
      <c r="B969" s="40" t="str">
        <f ca="1">IF(Agent05_Withdrawals!A176="","","WD"&amp;TEXT(969-3,"0000")&amp;"-"&amp;TEXT(TODAY(),"YYYYMMDD"))</f>
        <v/>
      </c>
      <c r="C969" s="40" t="str">
        <f>IF(Agent05_Withdrawals!A176="","",Agent05_Withdrawals!B176)</f>
        <v/>
      </c>
      <c r="D969" s="43" t="str">
        <f>IF(Agent05_Withdrawals!A176="","",Agent05_Withdrawals!C176)</f>
        <v/>
      </c>
      <c r="E969" s="41" t="str">
        <f>IF(Agent05_Withdrawals!A176="","",Agent05_Withdrawals!D176)</f>
        <v/>
      </c>
      <c r="F969" s="40" t="str">
        <f>IF(Agent05_Withdrawals!A176="","",Agent05_Withdrawals!F176)</f>
        <v/>
      </c>
      <c r="G969" s="42" t="str">
        <f>IF(Agent05_Withdrawals!A176="","",Agent05_Withdrawals!E176)</f>
        <v/>
      </c>
      <c r="H969" s="42" t="str">
        <f>IF(Agent05_Withdrawals!A176="","",Agent05_Withdrawals!G176)</f>
        <v/>
      </c>
      <c r="I969" s="40" t="str">
        <f>IF(Agent05_Withdrawals!A176="","",Agent05_Withdrawals!H176)</f>
        <v/>
      </c>
      <c r="J969" s="40" t="str">
        <f>IF(Agent05_Withdrawals!A176="","",Agent05_Withdrawals!J176)</f>
        <v/>
      </c>
      <c r="K969" s="40" t="str">
        <f>IF(Agent05_Withdrawals!A176="","",Agent05_Withdrawals!K176)</f>
        <v/>
      </c>
      <c r="L969" s="40" t="str">
        <f>IF(G969="","",IF(D969-G969&gt;=System_Config!$B$9,"✅ OK","⚠️ BREACH"))</f>
        <v/>
      </c>
      <c r="M969" s="40" t="str">
        <f>IFERROR(IF(Agent05_Withdrawals!A176="","",YEAR(Agent05_Withdrawals!D176)),"")</f>
        <v/>
      </c>
    </row>
    <row r="970" spans="1:13" ht="18" customHeight="1" x14ac:dyDescent="0.25">
      <c r="A970" s="40" t="str">
        <f>IF(Agent05_Withdrawals!A177="","",Agent05_Withdrawals!A177)</f>
        <v/>
      </c>
      <c r="B970" s="40" t="str">
        <f ca="1">IF(Agent05_Withdrawals!A177="","","WD"&amp;TEXT(970-3,"0000")&amp;"-"&amp;TEXT(TODAY(),"YYYYMMDD"))</f>
        <v/>
      </c>
      <c r="C970" s="40" t="str">
        <f>IF(Agent05_Withdrawals!A177="","",Agent05_Withdrawals!B177)</f>
        <v/>
      </c>
      <c r="D970" s="43" t="str">
        <f>IF(Agent05_Withdrawals!A177="","",Agent05_Withdrawals!C177)</f>
        <v/>
      </c>
      <c r="E970" s="41" t="str">
        <f>IF(Agent05_Withdrawals!A177="","",Agent05_Withdrawals!D177)</f>
        <v/>
      </c>
      <c r="F970" s="40" t="str">
        <f>IF(Agent05_Withdrawals!A177="","",Agent05_Withdrawals!F177)</f>
        <v/>
      </c>
      <c r="G970" s="42" t="str">
        <f>IF(Agent05_Withdrawals!A177="","",Agent05_Withdrawals!E177)</f>
        <v/>
      </c>
      <c r="H970" s="42" t="str">
        <f>IF(Agent05_Withdrawals!A177="","",Agent05_Withdrawals!G177)</f>
        <v/>
      </c>
      <c r="I970" s="40" t="str">
        <f>IF(Agent05_Withdrawals!A177="","",Agent05_Withdrawals!H177)</f>
        <v/>
      </c>
      <c r="J970" s="40" t="str">
        <f>IF(Agent05_Withdrawals!A177="","",Agent05_Withdrawals!J177)</f>
        <v/>
      </c>
      <c r="K970" s="40" t="str">
        <f>IF(Agent05_Withdrawals!A177="","",Agent05_Withdrawals!K177)</f>
        <v/>
      </c>
      <c r="L970" s="40" t="str">
        <f>IF(G970="","",IF(D970-G970&gt;=System_Config!$B$9,"✅ OK","⚠️ BREACH"))</f>
        <v/>
      </c>
      <c r="M970" s="40" t="str">
        <f>IFERROR(IF(Agent05_Withdrawals!A177="","",YEAR(Agent05_Withdrawals!D177)),"")</f>
        <v/>
      </c>
    </row>
    <row r="971" spans="1:13" ht="18" customHeight="1" x14ac:dyDescent="0.25">
      <c r="A971" s="40" t="str">
        <f>IF(Agent05_Withdrawals!A178="","",Agent05_Withdrawals!A178)</f>
        <v/>
      </c>
      <c r="B971" s="40" t="str">
        <f ca="1">IF(Agent05_Withdrawals!A178="","","WD"&amp;TEXT(971-3,"0000")&amp;"-"&amp;TEXT(TODAY(),"YYYYMMDD"))</f>
        <v/>
      </c>
      <c r="C971" s="40" t="str">
        <f>IF(Agent05_Withdrawals!A178="","",Agent05_Withdrawals!B178)</f>
        <v/>
      </c>
      <c r="D971" s="43" t="str">
        <f>IF(Agent05_Withdrawals!A178="","",Agent05_Withdrawals!C178)</f>
        <v/>
      </c>
      <c r="E971" s="41" t="str">
        <f>IF(Agent05_Withdrawals!A178="","",Agent05_Withdrawals!D178)</f>
        <v/>
      </c>
      <c r="F971" s="40" t="str">
        <f>IF(Agent05_Withdrawals!A178="","",Agent05_Withdrawals!F178)</f>
        <v/>
      </c>
      <c r="G971" s="42" t="str">
        <f>IF(Agent05_Withdrawals!A178="","",Agent05_Withdrawals!E178)</f>
        <v/>
      </c>
      <c r="H971" s="42" t="str">
        <f>IF(Agent05_Withdrawals!A178="","",Agent05_Withdrawals!G178)</f>
        <v/>
      </c>
      <c r="I971" s="40" t="str">
        <f>IF(Agent05_Withdrawals!A178="","",Agent05_Withdrawals!H178)</f>
        <v/>
      </c>
      <c r="J971" s="40" t="str">
        <f>IF(Agent05_Withdrawals!A178="","",Agent05_Withdrawals!J178)</f>
        <v/>
      </c>
      <c r="K971" s="40" t="str">
        <f>IF(Agent05_Withdrawals!A178="","",Agent05_Withdrawals!K178)</f>
        <v/>
      </c>
      <c r="L971" s="40" t="str">
        <f>IF(G971="","",IF(D971-G971&gt;=System_Config!$B$9,"✅ OK","⚠️ BREACH"))</f>
        <v/>
      </c>
      <c r="M971" s="40" t="str">
        <f>IFERROR(IF(Agent05_Withdrawals!A178="","",YEAR(Agent05_Withdrawals!D178)),"")</f>
        <v/>
      </c>
    </row>
    <row r="972" spans="1:13" ht="18" customHeight="1" x14ac:dyDescent="0.25">
      <c r="A972" s="40" t="str">
        <f>IF(Agent05_Withdrawals!A179="","",Agent05_Withdrawals!A179)</f>
        <v/>
      </c>
      <c r="B972" s="40" t="str">
        <f ca="1">IF(Agent05_Withdrawals!A179="","","WD"&amp;TEXT(972-3,"0000")&amp;"-"&amp;TEXT(TODAY(),"YYYYMMDD"))</f>
        <v/>
      </c>
      <c r="C972" s="40" t="str">
        <f>IF(Agent05_Withdrawals!A179="","",Agent05_Withdrawals!B179)</f>
        <v/>
      </c>
      <c r="D972" s="43" t="str">
        <f>IF(Agent05_Withdrawals!A179="","",Agent05_Withdrawals!C179)</f>
        <v/>
      </c>
      <c r="E972" s="41" t="str">
        <f>IF(Agent05_Withdrawals!A179="","",Agent05_Withdrawals!D179)</f>
        <v/>
      </c>
      <c r="F972" s="40" t="str">
        <f>IF(Agent05_Withdrawals!A179="","",Agent05_Withdrawals!F179)</f>
        <v/>
      </c>
      <c r="G972" s="42" t="str">
        <f>IF(Agent05_Withdrawals!A179="","",Agent05_Withdrawals!E179)</f>
        <v/>
      </c>
      <c r="H972" s="42" t="str">
        <f>IF(Agent05_Withdrawals!A179="","",Agent05_Withdrawals!G179)</f>
        <v/>
      </c>
      <c r="I972" s="40" t="str">
        <f>IF(Agent05_Withdrawals!A179="","",Agent05_Withdrawals!H179)</f>
        <v/>
      </c>
      <c r="J972" s="40" t="str">
        <f>IF(Agent05_Withdrawals!A179="","",Agent05_Withdrawals!J179)</f>
        <v/>
      </c>
      <c r="K972" s="40" t="str">
        <f>IF(Agent05_Withdrawals!A179="","",Agent05_Withdrawals!K179)</f>
        <v/>
      </c>
      <c r="L972" s="40" t="str">
        <f>IF(G972="","",IF(D972-G972&gt;=System_Config!$B$9,"✅ OK","⚠️ BREACH"))</f>
        <v/>
      </c>
      <c r="M972" s="40" t="str">
        <f>IFERROR(IF(Agent05_Withdrawals!A179="","",YEAR(Agent05_Withdrawals!D179)),"")</f>
        <v/>
      </c>
    </row>
    <row r="973" spans="1:13" ht="18" customHeight="1" x14ac:dyDescent="0.25">
      <c r="A973" s="40" t="str">
        <f>IF(Agent05_Withdrawals!A180="","",Agent05_Withdrawals!A180)</f>
        <v/>
      </c>
      <c r="B973" s="40" t="str">
        <f ca="1">IF(Agent05_Withdrawals!A180="","","WD"&amp;TEXT(973-3,"0000")&amp;"-"&amp;TEXT(TODAY(),"YYYYMMDD"))</f>
        <v/>
      </c>
      <c r="C973" s="40" t="str">
        <f>IF(Agent05_Withdrawals!A180="","",Agent05_Withdrawals!B180)</f>
        <v/>
      </c>
      <c r="D973" s="43" t="str">
        <f>IF(Agent05_Withdrawals!A180="","",Agent05_Withdrawals!C180)</f>
        <v/>
      </c>
      <c r="E973" s="41" t="str">
        <f>IF(Agent05_Withdrawals!A180="","",Agent05_Withdrawals!D180)</f>
        <v/>
      </c>
      <c r="F973" s="40" t="str">
        <f>IF(Agent05_Withdrawals!A180="","",Agent05_Withdrawals!F180)</f>
        <v/>
      </c>
      <c r="G973" s="42" t="str">
        <f>IF(Agent05_Withdrawals!A180="","",Agent05_Withdrawals!E180)</f>
        <v/>
      </c>
      <c r="H973" s="42" t="str">
        <f>IF(Agent05_Withdrawals!A180="","",Agent05_Withdrawals!G180)</f>
        <v/>
      </c>
      <c r="I973" s="40" t="str">
        <f>IF(Agent05_Withdrawals!A180="","",Agent05_Withdrawals!H180)</f>
        <v/>
      </c>
      <c r="J973" s="40" t="str">
        <f>IF(Agent05_Withdrawals!A180="","",Agent05_Withdrawals!J180)</f>
        <v/>
      </c>
      <c r="K973" s="40" t="str">
        <f>IF(Agent05_Withdrawals!A180="","",Agent05_Withdrawals!K180)</f>
        <v/>
      </c>
      <c r="L973" s="40" t="str">
        <f>IF(G973="","",IF(D973-G973&gt;=System_Config!$B$9,"✅ OK","⚠️ BREACH"))</f>
        <v/>
      </c>
      <c r="M973" s="40" t="str">
        <f>IFERROR(IF(Agent05_Withdrawals!A180="","",YEAR(Agent05_Withdrawals!D180)),"")</f>
        <v/>
      </c>
    </row>
    <row r="974" spans="1:13" ht="18" customHeight="1" x14ac:dyDescent="0.25">
      <c r="A974" s="40" t="str">
        <f>IF(Agent05_Withdrawals!A181="","",Agent05_Withdrawals!A181)</f>
        <v/>
      </c>
      <c r="B974" s="40" t="str">
        <f ca="1">IF(Agent05_Withdrawals!A181="","","WD"&amp;TEXT(974-3,"0000")&amp;"-"&amp;TEXT(TODAY(),"YYYYMMDD"))</f>
        <v/>
      </c>
      <c r="C974" s="40" t="str">
        <f>IF(Agent05_Withdrawals!A181="","",Agent05_Withdrawals!B181)</f>
        <v/>
      </c>
      <c r="D974" s="43" t="str">
        <f>IF(Agent05_Withdrawals!A181="","",Agent05_Withdrawals!C181)</f>
        <v/>
      </c>
      <c r="E974" s="41" t="str">
        <f>IF(Agent05_Withdrawals!A181="","",Agent05_Withdrawals!D181)</f>
        <v/>
      </c>
      <c r="F974" s="40" t="str">
        <f>IF(Agent05_Withdrawals!A181="","",Agent05_Withdrawals!F181)</f>
        <v/>
      </c>
      <c r="G974" s="42" t="str">
        <f>IF(Agent05_Withdrawals!A181="","",Agent05_Withdrawals!E181)</f>
        <v/>
      </c>
      <c r="H974" s="42" t="str">
        <f>IF(Agent05_Withdrawals!A181="","",Agent05_Withdrawals!G181)</f>
        <v/>
      </c>
      <c r="I974" s="40" t="str">
        <f>IF(Agent05_Withdrawals!A181="","",Agent05_Withdrawals!H181)</f>
        <v/>
      </c>
      <c r="J974" s="40" t="str">
        <f>IF(Agent05_Withdrawals!A181="","",Agent05_Withdrawals!J181)</f>
        <v/>
      </c>
      <c r="K974" s="40" t="str">
        <f>IF(Agent05_Withdrawals!A181="","",Agent05_Withdrawals!K181)</f>
        <v/>
      </c>
      <c r="L974" s="40" t="str">
        <f>IF(G974="","",IF(D974-G974&gt;=System_Config!$B$9,"✅ OK","⚠️ BREACH"))</f>
        <v/>
      </c>
      <c r="M974" s="40" t="str">
        <f>IFERROR(IF(Agent05_Withdrawals!A181="","",YEAR(Agent05_Withdrawals!D181)),"")</f>
        <v/>
      </c>
    </row>
    <row r="975" spans="1:13" ht="18" customHeight="1" x14ac:dyDescent="0.25">
      <c r="A975" s="40" t="str">
        <f>IF(Agent05_Withdrawals!A182="","",Agent05_Withdrawals!A182)</f>
        <v/>
      </c>
      <c r="B975" s="40" t="str">
        <f ca="1">IF(Agent05_Withdrawals!A182="","","WD"&amp;TEXT(975-3,"0000")&amp;"-"&amp;TEXT(TODAY(),"YYYYMMDD"))</f>
        <v/>
      </c>
      <c r="C975" s="40" t="str">
        <f>IF(Agent05_Withdrawals!A182="","",Agent05_Withdrawals!B182)</f>
        <v/>
      </c>
      <c r="D975" s="43" t="str">
        <f>IF(Agent05_Withdrawals!A182="","",Agent05_Withdrawals!C182)</f>
        <v/>
      </c>
      <c r="E975" s="41" t="str">
        <f>IF(Agent05_Withdrawals!A182="","",Agent05_Withdrawals!D182)</f>
        <v/>
      </c>
      <c r="F975" s="40" t="str">
        <f>IF(Agent05_Withdrawals!A182="","",Agent05_Withdrawals!F182)</f>
        <v/>
      </c>
      <c r="G975" s="42" t="str">
        <f>IF(Agent05_Withdrawals!A182="","",Agent05_Withdrawals!E182)</f>
        <v/>
      </c>
      <c r="H975" s="42" t="str">
        <f>IF(Agent05_Withdrawals!A182="","",Agent05_Withdrawals!G182)</f>
        <v/>
      </c>
      <c r="I975" s="40" t="str">
        <f>IF(Agent05_Withdrawals!A182="","",Agent05_Withdrawals!H182)</f>
        <v/>
      </c>
      <c r="J975" s="40" t="str">
        <f>IF(Agent05_Withdrawals!A182="","",Agent05_Withdrawals!J182)</f>
        <v/>
      </c>
      <c r="K975" s="40" t="str">
        <f>IF(Agent05_Withdrawals!A182="","",Agent05_Withdrawals!K182)</f>
        <v/>
      </c>
      <c r="L975" s="40" t="str">
        <f>IF(G975="","",IF(D975-G975&gt;=System_Config!$B$9,"✅ OK","⚠️ BREACH"))</f>
        <v/>
      </c>
      <c r="M975" s="40" t="str">
        <f>IFERROR(IF(Agent05_Withdrawals!A182="","",YEAR(Agent05_Withdrawals!D182)),"")</f>
        <v/>
      </c>
    </row>
    <row r="976" spans="1:13" ht="18" customHeight="1" x14ac:dyDescent="0.25">
      <c r="A976" s="40" t="str">
        <f>IF(Agent05_Withdrawals!A183="","",Agent05_Withdrawals!A183)</f>
        <v/>
      </c>
      <c r="B976" s="40" t="str">
        <f ca="1">IF(Agent05_Withdrawals!A183="","","WD"&amp;TEXT(976-3,"0000")&amp;"-"&amp;TEXT(TODAY(),"YYYYMMDD"))</f>
        <v/>
      </c>
      <c r="C976" s="40" t="str">
        <f>IF(Agent05_Withdrawals!A183="","",Agent05_Withdrawals!B183)</f>
        <v/>
      </c>
      <c r="D976" s="43" t="str">
        <f>IF(Agent05_Withdrawals!A183="","",Agent05_Withdrawals!C183)</f>
        <v/>
      </c>
      <c r="E976" s="41" t="str">
        <f>IF(Agent05_Withdrawals!A183="","",Agent05_Withdrawals!D183)</f>
        <v/>
      </c>
      <c r="F976" s="40" t="str">
        <f>IF(Agent05_Withdrawals!A183="","",Agent05_Withdrawals!F183)</f>
        <v/>
      </c>
      <c r="G976" s="42" t="str">
        <f>IF(Agent05_Withdrawals!A183="","",Agent05_Withdrawals!E183)</f>
        <v/>
      </c>
      <c r="H976" s="42" t="str">
        <f>IF(Agent05_Withdrawals!A183="","",Agent05_Withdrawals!G183)</f>
        <v/>
      </c>
      <c r="I976" s="40" t="str">
        <f>IF(Agent05_Withdrawals!A183="","",Agent05_Withdrawals!H183)</f>
        <v/>
      </c>
      <c r="J976" s="40" t="str">
        <f>IF(Agent05_Withdrawals!A183="","",Agent05_Withdrawals!J183)</f>
        <v/>
      </c>
      <c r="K976" s="40" t="str">
        <f>IF(Agent05_Withdrawals!A183="","",Agent05_Withdrawals!K183)</f>
        <v/>
      </c>
      <c r="L976" s="40" t="str">
        <f>IF(G976="","",IF(D976-G976&gt;=System_Config!$B$9,"✅ OK","⚠️ BREACH"))</f>
        <v/>
      </c>
      <c r="M976" s="40" t="str">
        <f>IFERROR(IF(Agent05_Withdrawals!A183="","",YEAR(Agent05_Withdrawals!D183)),"")</f>
        <v/>
      </c>
    </row>
    <row r="977" spans="1:13" ht="18" customHeight="1" x14ac:dyDescent="0.25">
      <c r="A977" s="40" t="str">
        <f>IF(Agent05_Withdrawals!A184="","",Agent05_Withdrawals!A184)</f>
        <v/>
      </c>
      <c r="B977" s="40" t="str">
        <f ca="1">IF(Agent05_Withdrawals!A184="","","WD"&amp;TEXT(977-3,"0000")&amp;"-"&amp;TEXT(TODAY(),"YYYYMMDD"))</f>
        <v/>
      </c>
      <c r="C977" s="40" t="str">
        <f>IF(Agent05_Withdrawals!A184="","",Agent05_Withdrawals!B184)</f>
        <v/>
      </c>
      <c r="D977" s="43" t="str">
        <f>IF(Agent05_Withdrawals!A184="","",Agent05_Withdrawals!C184)</f>
        <v/>
      </c>
      <c r="E977" s="41" t="str">
        <f>IF(Agent05_Withdrawals!A184="","",Agent05_Withdrawals!D184)</f>
        <v/>
      </c>
      <c r="F977" s="40" t="str">
        <f>IF(Agent05_Withdrawals!A184="","",Agent05_Withdrawals!F184)</f>
        <v/>
      </c>
      <c r="G977" s="42" t="str">
        <f>IF(Agent05_Withdrawals!A184="","",Agent05_Withdrawals!E184)</f>
        <v/>
      </c>
      <c r="H977" s="42" t="str">
        <f>IF(Agent05_Withdrawals!A184="","",Agent05_Withdrawals!G184)</f>
        <v/>
      </c>
      <c r="I977" s="40" t="str">
        <f>IF(Agent05_Withdrawals!A184="","",Agent05_Withdrawals!H184)</f>
        <v/>
      </c>
      <c r="J977" s="40" t="str">
        <f>IF(Agent05_Withdrawals!A184="","",Agent05_Withdrawals!J184)</f>
        <v/>
      </c>
      <c r="K977" s="40" t="str">
        <f>IF(Agent05_Withdrawals!A184="","",Agent05_Withdrawals!K184)</f>
        <v/>
      </c>
      <c r="L977" s="40" t="str">
        <f>IF(G977="","",IF(D977-G977&gt;=System_Config!$B$9,"✅ OK","⚠️ BREACH"))</f>
        <v/>
      </c>
      <c r="M977" s="40" t="str">
        <f>IFERROR(IF(Agent05_Withdrawals!A184="","",YEAR(Agent05_Withdrawals!D184)),"")</f>
        <v/>
      </c>
    </row>
    <row r="978" spans="1:13" ht="18" customHeight="1" x14ac:dyDescent="0.25">
      <c r="A978" s="40" t="str">
        <f>IF(Agent05_Withdrawals!A185="","",Agent05_Withdrawals!A185)</f>
        <v/>
      </c>
      <c r="B978" s="40" t="str">
        <f ca="1">IF(Agent05_Withdrawals!A185="","","WD"&amp;TEXT(978-3,"0000")&amp;"-"&amp;TEXT(TODAY(),"YYYYMMDD"))</f>
        <v/>
      </c>
      <c r="C978" s="40" t="str">
        <f>IF(Agent05_Withdrawals!A185="","",Agent05_Withdrawals!B185)</f>
        <v/>
      </c>
      <c r="D978" s="43" t="str">
        <f>IF(Agent05_Withdrawals!A185="","",Agent05_Withdrawals!C185)</f>
        <v/>
      </c>
      <c r="E978" s="41" t="str">
        <f>IF(Agent05_Withdrawals!A185="","",Agent05_Withdrawals!D185)</f>
        <v/>
      </c>
      <c r="F978" s="40" t="str">
        <f>IF(Agent05_Withdrawals!A185="","",Agent05_Withdrawals!F185)</f>
        <v/>
      </c>
      <c r="G978" s="42" t="str">
        <f>IF(Agent05_Withdrawals!A185="","",Agent05_Withdrawals!E185)</f>
        <v/>
      </c>
      <c r="H978" s="42" t="str">
        <f>IF(Agent05_Withdrawals!A185="","",Agent05_Withdrawals!G185)</f>
        <v/>
      </c>
      <c r="I978" s="40" t="str">
        <f>IF(Agent05_Withdrawals!A185="","",Agent05_Withdrawals!H185)</f>
        <v/>
      </c>
      <c r="J978" s="40" t="str">
        <f>IF(Agent05_Withdrawals!A185="","",Agent05_Withdrawals!J185)</f>
        <v/>
      </c>
      <c r="K978" s="40" t="str">
        <f>IF(Agent05_Withdrawals!A185="","",Agent05_Withdrawals!K185)</f>
        <v/>
      </c>
      <c r="L978" s="40" t="str">
        <f>IF(G978="","",IF(D978-G978&gt;=System_Config!$B$9,"✅ OK","⚠️ BREACH"))</f>
        <v/>
      </c>
      <c r="M978" s="40" t="str">
        <f>IFERROR(IF(Agent05_Withdrawals!A185="","",YEAR(Agent05_Withdrawals!D185)),"")</f>
        <v/>
      </c>
    </row>
    <row r="979" spans="1:13" ht="18" customHeight="1" x14ac:dyDescent="0.25">
      <c r="A979" s="40" t="str">
        <f>IF(Agent05_Withdrawals!A186="","",Agent05_Withdrawals!A186)</f>
        <v/>
      </c>
      <c r="B979" s="40" t="str">
        <f ca="1">IF(Agent05_Withdrawals!A186="","","WD"&amp;TEXT(979-3,"0000")&amp;"-"&amp;TEXT(TODAY(),"YYYYMMDD"))</f>
        <v/>
      </c>
      <c r="C979" s="40" t="str">
        <f>IF(Agent05_Withdrawals!A186="","",Agent05_Withdrawals!B186)</f>
        <v/>
      </c>
      <c r="D979" s="43" t="str">
        <f>IF(Agent05_Withdrawals!A186="","",Agent05_Withdrawals!C186)</f>
        <v/>
      </c>
      <c r="E979" s="41" t="str">
        <f>IF(Agent05_Withdrawals!A186="","",Agent05_Withdrawals!D186)</f>
        <v/>
      </c>
      <c r="F979" s="40" t="str">
        <f>IF(Agent05_Withdrawals!A186="","",Agent05_Withdrawals!F186)</f>
        <v/>
      </c>
      <c r="G979" s="42" t="str">
        <f>IF(Agent05_Withdrawals!A186="","",Agent05_Withdrawals!E186)</f>
        <v/>
      </c>
      <c r="H979" s="42" t="str">
        <f>IF(Agent05_Withdrawals!A186="","",Agent05_Withdrawals!G186)</f>
        <v/>
      </c>
      <c r="I979" s="40" t="str">
        <f>IF(Agent05_Withdrawals!A186="","",Agent05_Withdrawals!H186)</f>
        <v/>
      </c>
      <c r="J979" s="40" t="str">
        <f>IF(Agent05_Withdrawals!A186="","",Agent05_Withdrawals!J186)</f>
        <v/>
      </c>
      <c r="K979" s="40" t="str">
        <f>IF(Agent05_Withdrawals!A186="","",Agent05_Withdrawals!K186)</f>
        <v/>
      </c>
      <c r="L979" s="40" t="str">
        <f>IF(G979="","",IF(D979-G979&gt;=System_Config!$B$9,"✅ OK","⚠️ BREACH"))</f>
        <v/>
      </c>
      <c r="M979" s="40" t="str">
        <f>IFERROR(IF(Agent05_Withdrawals!A186="","",YEAR(Agent05_Withdrawals!D186)),"")</f>
        <v/>
      </c>
    </row>
    <row r="980" spans="1:13" ht="18" customHeight="1" x14ac:dyDescent="0.25">
      <c r="A980" s="40" t="str">
        <f>IF(Agent05_Withdrawals!A187="","",Agent05_Withdrawals!A187)</f>
        <v/>
      </c>
      <c r="B980" s="40" t="str">
        <f ca="1">IF(Agent05_Withdrawals!A187="","","WD"&amp;TEXT(980-3,"0000")&amp;"-"&amp;TEXT(TODAY(),"YYYYMMDD"))</f>
        <v/>
      </c>
      <c r="C980" s="40" t="str">
        <f>IF(Agent05_Withdrawals!A187="","",Agent05_Withdrawals!B187)</f>
        <v/>
      </c>
      <c r="D980" s="43" t="str">
        <f>IF(Agent05_Withdrawals!A187="","",Agent05_Withdrawals!C187)</f>
        <v/>
      </c>
      <c r="E980" s="41" t="str">
        <f>IF(Agent05_Withdrawals!A187="","",Agent05_Withdrawals!D187)</f>
        <v/>
      </c>
      <c r="F980" s="40" t="str">
        <f>IF(Agent05_Withdrawals!A187="","",Agent05_Withdrawals!F187)</f>
        <v/>
      </c>
      <c r="G980" s="42" t="str">
        <f>IF(Agent05_Withdrawals!A187="","",Agent05_Withdrawals!E187)</f>
        <v/>
      </c>
      <c r="H980" s="42" t="str">
        <f>IF(Agent05_Withdrawals!A187="","",Agent05_Withdrawals!G187)</f>
        <v/>
      </c>
      <c r="I980" s="40" t="str">
        <f>IF(Agent05_Withdrawals!A187="","",Agent05_Withdrawals!H187)</f>
        <v/>
      </c>
      <c r="J980" s="40" t="str">
        <f>IF(Agent05_Withdrawals!A187="","",Agent05_Withdrawals!J187)</f>
        <v/>
      </c>
      <c r="K980" s="40" t="str">
        <f>IF(Agent05_Withdrawals!A187="","",Agent05_Withdrawals!K187)</f>
        <v/>
      </c>
      <c r="L980" s="40" t="str">
        <f>IF(G980="","",IF(D980-G980&gt;=System_Config!$B$9,"✅ OK","⚠️ BREACH"))</f>
        <v/>
      </c>
      <c r="M980" s="40" t="str">
        <f>IFERROR(IF(Agent05_Withdrawals!A187="","",YEAR(Agent05_Withdrawals!D187)),"")</f>
        <v/>
      </c>
    </row>
    <row r="981" spans="1:13" ht="18" customHeight="1" x14ac:dyDescent="0.25">
      <c r="A981" s="40" t="str">
        <f>IF(Agent05_Withdrawals!A188="","",Agent05_Withdrawals!A188)</f>
        <v/>
      </c>
      <c r="B981" s="40" t="str">
        <f ca="1">IF(Agent05_Withdrawals!A188="","","WD"&amp;TEXT(981-3,"0000")&amp;"-"&amp;TEXT(TODAY(),"YYYYMMDD"))</f>
        <v/>
      </c>
      <c r="C981" s="40" t="str">
        <f>IF(Agent05_Withdrawals!A188="","",Agent05_Withdrawals!B188)</f>
        <v/>
      </c>
      <c r="D981" s="43" t="str">
        <f>IF(Agent05_Withdrawals!A188="","",Agent05_Withdrawals!C188)</f>
        <v/>
      </c>
      <c r="E981" s="41" t="str">
        <f>IF(Agent05_Withdrawals!A188="","",Agent05_Withdrawals!D188)</f>
        <v/>
      </c>
      <c r="F981" s="40" t="str">
        <f>IF(Agent05_Withdrawals!A188="","",Agent05_Withdrawals!F188)</f>
        <v/>
      </c>
      <c r="G981" s="42" t="str">
        <f>IF(Agent05_Withdrawals!A188="","",Agent05_Withdrawals!E188)</f>
        <v/>
      </c>
      <c r="H981" s="42" t="str">
        <f>IF(Agent05_Withdrawals!A188="","",Agent05_Withdrawals!G188)</f>
        <v/>
      </c>
      <c r="I981" s="40" t="str">
        <f>IF(Agent05_Withdrawals!A188="","",Agent05_Withdrawals!H188)</f>
        <v/>
      </c>
      <c r="J981" s="40" t="str">
        <f>IF(Agent05_Withdrawals!A188="","",Agent05_Withdrawals!J188)</f>
        <v/>
      </c>
      <c r="K981" s="40" t="str">
        <f>IF(Agent05_Withdrawals!A188="","",Agent05_Withdrawals!K188)</f>
        <v/>
      </c>
      <c r="L981" s="40" t="str">
        <f>IF(G981="","",IF(D981-G981&gt;=System_Config!$B$9,"✅ OK","⚠️ BREACH"))</f>
        <v/>
      </c>
      <c r="M981" s="40" t="str">
        <f>IFERROR(IF(Agent05_Withdrawals!A188="","",YEAR(Agent05_Withdrawals!D188)),"")</f>
        <v/>
      </c>
    </row>
    <row r="982" spans="1:13" ht="18" customHeight="1" x14ac:dyDescent="0.25">
      <c r="A982" s="40" t="str">
        <f>IF(Agent05_Withdrawals!A189="","",Agent05_Withdrawals!A189)</f>
        <v/>
      </c>
      <c r="B982" s="40" t="str">
        <f ca="1">IF(Agent05_Withdrawals!A189="","","WD"&amp;TEXT(982-3,"0000")&amp;"-"&amp;TEXT(TODAY(),"YYYYMMDD"))</f>
        <v/>
      </c>
      <c r="C982" s="40" t="str">
        <f>IF(Agent05_Withdrawals!A189="","",Agent05_Withdrawals!B189)</f>
        <v/>
      </c>
      <c r="D982" s="43" t="str">
        <f>IF(Agent05_Withdrawals!A189="","",Agent05_Withdrawals!C189)</f>
        <v/>
      </c>
      <c r="E982" s="41" t="str">
        <f>IF(Agent05_Withdrawals!A189="","",Agent05_Withdrawals!D189)</f>
        <v/>
      </c>
      <c r="F982" s="40" t="str">
        <f>IF(Agent05_Withdrawals!A189="","",Agent05_Withdrawals!F189)</f>
        <v/>
      </c>
      <c r="G982" s="42" t="str">
        <f>IF(Agent05_Withdrawals!A189="","",Agent05_Withdrawals!E189)</f>
        <v/>
      </c>
      <c r="H982" s="42" t="str">
        <f>IF(Agent05_Withdrawals!A189="","",Agent05_Withdrawals!G189)</f>
        <v/>
      </c>
      <c r="I982" s="40" t="str">
        <f>IF(Agent05_Withdrawals!A189="","",Agent05_Withdrawals!H189)</f>
        <v/>
      </c>
      <c r="J982" s="40" t="str">
        <f>IF(Agent05_Withdrawals!A189="","",Agent05_Withdrawals!J189)</f>
        <v/>
      </c>
      <c r="K982" s="40" t="str">
        <f>IF(Agent05_Withdrawals!A189="","",Agent05_Withdrawals!K189)</f>
        <v/>
      </c>
      <c r="L982" s="40" t="str">
        <f>IF(G982="","",IF(D982-G982&gt;=System_Config!$B$9,"✅ OK","⚠️ BREACH"))</f>
        <v/>
      </c>
      <c r="M982" s="40" t="str">
        <f>IFERROR(IF(Agent05_Withdrawals!A189="","",YEAR(Agent05_Withdrawals!D189)),"")</f>
        <v/>
      </c>
    </row>
    <row r="983" spans="1:13" ht="18" customHeight="1" x14ac:dyDescent="0.25">
      <c r="A983" s="40" t="str">
        <f>IF(Agent05_Withdrawals!A190="","",Agent05_Withdrawals!A190)</f>
        <v/>
      </c>
      <c r="B983" s="40" t="str">
        <f ca="1">IF(Agent05_Withdrawals!A190="","","WD"&amp;TEXT(983-3,"0000")&amp;"-"&amp;TEXT(TODAY(),"YYYYMMDD"))</f>
        <v/>
      </c>
      <c r="C983" s="40" t="str">
        <f>IF(Agent05_Withdrawals!A190="","",Agent05_Withdrawals!B190)</f>
        <v/>
      </c>
      <c r="D983" s="43" t="str">
        <f>IF(Agent05_Withdrawals!A190="","",Agent05_Withdrawals!C190)</f>
        <v/>
      </c>
      <c r="E983" s="41" t="str">
        <f>IF(Agent05_Withdrawals!A190="","",Agent05_Withdrawals!D190)</f>
        <v/>
      </c>
      <c r="F983" s="40" t="str">
        <f>IF(Agent05_Withdrawals!A190="","",Agent05_Withdrawals!F190)</f>
        <v/>
      </c>
      <c r="G983" s="42" t="str">
        <f>IF(Agent05_Withdrawals!A190="","",Agent05_Withdrawals!E190)</f>
        <v/>
      </c>
      <c r="H983" s="42" t="str">
        <f>IF(Agent05_Withdrawals!A190="","",Agent05_Withdrawals!G190)</f>
        <v/>
      </c>
      <c r="I983" s="40" t="str">
        <f>IF(Agent05_Withdrawals!A190="","",Agent05_Withdrawals!H190)</f>
        <v/>
      </c>
      <c r="J983" s="40" t="str">
        <f>IF(Agent05_Withdrawals!A190="","",Agent05_Withdrawals!J190)</f>
        <v/>
      </c>
      <c r="K983" s="40" t="str">
        <f>IF(Agent05_Withdrawals!A190="","",Agent05_Withdrawals!K190)</f>
        <v/>
      </c>
      <c r="L983" s="40" t="str">
        <f>IF(G983="","",IF(D983-G983&gt;=System_Config!$B$9,"✅ OK","⚠️ BREACH"))</f>
        <v/>
      </c>
      <c r="M983" s="40" t="str">
        <f>IFERROR(IF(Agent05_Withdrawals!A190="","",YEAR(Agent05_Withdrawals!D190)),"")</f>
        <v/>
      </c>
    </row>
    <row r="984" spans="1:13" ht="18" customHeight="1" x14ac:dyDescent="0.25">
      <c r="A984" s="40" t="str">
        <f>IF(Agent05_Withdrawals!A191="","",Agent05_Withdrawals!A191)</f>
        <v/>
      </c>
      <c r="B984" s="40" t="str">
        <f ca="1">IF(Agent05_Withdrawals!A191="","","WD"&amp;TEXT(984-3,"0000")&amp;"-"&amp;TEXT(TODAY(),"YYYYMMDD"))</f>
        <v/>
      </c>
      <c r="C984" s="40" t="str">
        <f>IF(Agent05_Withdrawals!A191="","",Agent05_Withdrawals!B191)</f>
        <v/>
      </c>
      <c r="D984" s="43" t="str">
        <f>IF(Agent05_Withdrawals!A191="","",Agent05_Withdrawals!C191)</f>
        <v/>
      </c>
      <c r="E984" s="41" t="str">
        <f>IF(Agent05_Withdrawals!A191="","",Agent05_Withdrawals!D191)</f>
        <v/>
      </c>
      <c r="F984" s="40" t="str">
        <f>IF(Agent05_Withdrawals!A191="","",Agent05_Withdrawals!F191)</f>
        <v/>
      </c>
      <c r="G984" s="42" t="str">
        <f>IF(Agent05_Withdrawals!A191="","",Agent05_Withdrawals!E191)</f>
        <v/>
      </c>
      <c r="H984" s="42" t="str">
        <f>IF(Agent05_Withdrawals!A191="","",Agent05_Withdrawals!G191)</f>
        <v/>
      </c>
      <c r="I984" s="40" t="str">
        <f>IF(Agent05_Withdrawals!A191="","",Agent05_Withdrawals!H191)</f>
        <v/>
      </c>
      <c r="J984" s="40" t="str">
        <f>IF(Agent05_Withdrawals!A191="","",Agent05_Withdrawals!J191)</f>
        <v/>
      </c>
      <c r="K984" s="40" t="str">
        <f>IF(Agent05_Withdrawals!A191="","",Agent05_Withdrawals!K191)</f>
        <v/>
      </c>
      <c r="L984" s="40" t="str">
        <f>IF(G984="","",IF(D984-G984&gt;=System_Config!$B$9,"✅ OK","⚠️ BREACH"))</f>
        <v/>
      </c>
      <c r="M984" s="40" t="str">
        <f>IFERROR(IF(Agent05_Withdrawals!A191="","",YEAR(Agent05_Withdrawals!D191)),"")</f>
        <v/>
      </c>
    </row>
    <row r="985" spans="1:13" ht="18" customHeight="1" x14ac:dyDescent="0.25">
      <c r="A985" s="40" t="str">
        <f>IF(Agent05_Withdrawals!A192="","",Agent05_Withdrawals!A192)</f>
        <v/>
      </c>
      <c r="B985" s="40" t="str">
        <f ca="1">IF(Agent05_Withdrawals!A192="","","WD"&amp;TEXT(985-3,"0000")&amp;"-"&amp;TEXT(TODAY(),"YYYYMMDD"))</f>
        <v/>
      </c>
      <c r="C985" s="40" t="str">
        <f>IF(Agent05_Withdrawals!A192="","",Agent05_Withdrawals!B192)</f>
        <v/>
      </c>
      <c r="D985" s="43" t="str">
        <f>IF(Agent05_Withdrawals!A192="","",Agent05_Withdrawals!C192)</f>
        <v/>
      </c>
      <c r="E985" s="41" t="str">
        <f>IF(Agent05_Withdrawals!A192="","",Agent05_Withdrawals!D192)</f>
        <v/>
      </c>
      <c r="F985" s="40" t="str">
        <f>IF(Agent05_Withdrawals!A192="","",Agent05_Withdrawals!F192)</f>
        <v/>
      </c>
      <c r="G985" s="42" t="str">
        <f>IF(Agent05_Withdrawals!A192="","",Agent05_Withdrawals!E192)</f>
        <v/>
      </c>
      <c r="H985" s="42" t="str">
        <f>IF(Agent05_Withdrawals!A192="","",Agent05_Withdrawals!G192)</f>
        <v/>
      </c>
      <c r="I985" s="40" t="str">
        <f>IF(Agent05_Withdrawals!A192="","",Agent05_Withdrawals!H192)</f>
        <v/>
      </c>
      <c r="J985" s="40" t="str">
        <f>IF(Agent05_Withdrawals!A192="","",Agent05_Withdrawals!J192)</f>
        <v/>
      </c>
      <c r="K985" s="40" t="str">
        <f>IF(Agent05_Withdrawals!A192="","",Agent05_Withdrawals!K192)</f>
        <v/>
      </c>
      <c r="L985" s="40" t="str">
        <f>IF(G985="","",IF(D985-G985&gt;=System_Config!$B$9,"✅ OK","⚠️ BREACH"))</f>
        <v/>
      </c>
      <c r="M985" s="40" t="str">
        <f>IFERROR(IF(Agent05_Withdrawals!A192="","",YEAR(Agent05_Withdrawals!D192)),"")</f>
        <v/>
      </c>
    </row>
    <row r="986" spans="1:13" ht="18" customHeight="1" x14ac:dyDescent="0.25">
      <c r="A986" s="40" t="str">
        <f>IF(Agent05_Withdrawals!A193="","",Agent05_Withdrawals!A193)</f>
        <v/>
      </c>
      <c r="B986" s="40" t="str">
        <f ca="1">IF(Agent05_Withdrawals!A193="","","WD"&amp;TEXT(986-3,"0000")&amp;"-"&amp;TEXT(TODAY(),"YYYYMMDD"))</f>
        <v/>
      </c>
      <c r="C986" s="40" t="str">
        <f>IF(Agent05_Withdrawals!A193="","",Agent05_Withdrawals!B193)</f>
        <v/>
      </c>
      <c r="D986" s="43" t="str">
        <f>IF(Agent05_Withdrawals!A193="","",Agent05_Withdrawals!C193)</f>
        <v/>
      </c>
      <c r="E986" s="41" t="str">
        <f>IF(Agent05_Withdrawals!A193="","",Agent05_Withdrawals!D193)</f>
        <v/>
      </c>
      <c r="F986" s="40" t="str">
        <f>IF(Agent05_Withdrawals!A193="","",Agent05_Withdrawals!F193)</f>
        <v/>
      </c>
      <c r="G986" s="42" t="str">
        <f>IF(Agent05_Withdrawals!A193="","",Agent05_Withdrawals!E193)</f>
        <v/>
      </c>
      <c r="H986" s="42" t="str">
        <f>IF(Agent05_Withdrawals!A193="","",Agent05_Withdrawals!G193)</f>
        <v/>
      </c>
      <c r="I986" s="40" t="str">
        <f>IF(Agent05_Withdrawals!A193="","",Agent05_Withdrawals!H193)</f>
        <v/>
      </c>
      <c r="J986" s="40" t="str">
        <f>IF(Agent05_Withdrawals!A193="","",Agent05_Withdrawals!J193)</f>
        <v/>
      </c>
      <c r="K986" s="40" t="str">
        <f>IF(Agent05_Withdrawals!A193="","",Agent05_Withdrawals!K193)</f>
        <v/>
      </c>
      <c r="L986" s="40" t="str">
        <f>IF(G986="","",IF(D986-G986&gt;=System_Config!$B$9,"✅ OK","⚠️ BREACH"))</f>
        <v/>
      </c>
      <c r="M986" s="40" t="str">
        <f>IFERROR(IF(Agent05_Withdrawals!A193="","",YEAR(Agent05_Withdrawals!D193)),"")</f>
        <v/>
      </c>
    </row>
    <row r="987" spans="1:13" ht="18" customHeight="1" x14ac:dyDescent="0.25">
      <c r="A987" s="40" t="str">
        <f>IF(Agent05_Withdrawals!A194="","",Agent05_Withdrawals!A194)</f>
        <v/>
      </c>
      <c r="B987" s="40" t="str">
        <f ca="1">IF(Agent05_Withdrawals!A194="","","WD"&amp;TEXT(987-3,"0000")&amp;"-"&amp;TEXT(TODAY(),"YYYYMMDD"))</f>
        <v/>
      </c>
      <c r="C987" s="40" t="str">
        <f>IF(Agent05_Withdrawals!A194="","",Agent05_Withdrawals!B194)</f>
        <v/>
      </c>
      <c r="D987" s="43" t="str">
        <f>IF(Agent05_Withdrawals!A194="","",Agent05_Withdrawals!C194)</f>
        <v/>
      </c>
      <c r="E987" s="41" t="str">
        <f>IF(Agent05_Withdrawals!A194="","",Agent05_Withdrawals!D194)</f>
        <v/>
      </c>
      <c r="F987" s="40" t="str">
        <f>IF(Agent05_Withdrawals!A194="","",Agent05_Withdrawals!F194)</f>
        <v/>
      </c>
      <c r="G987" s="42" t="str">
        <f>IF(Agent05_Withdrawals!A194="","",Agent05_Withdrawals!E194)</f>
        <v/>
      </c>
      <c r="H987" s="42" t="str">
        <f>IF(Agent05_Withdrawals!A194="","",Agent05_Withdrawals!G194)</f>
        <v/>
      </c>
      <c r="I987" s="40" t="str">
        <f>IF(Agent05_Withdrawals!A194="","",Agent05_Withdrawals!H194)</f>
        <v/>
      </c>
      <c r="J987" s="40" t="str">
        <f>IF(Agent05_Withdrawals!A194="","",Agent05_Withdrawals!J194)</f>
        <v/>
      </c>
      <c r="K987" s="40" t="str">
        <f>IF(Agent05_Withdrawals!A194="","",Agent05_Withdrawals!K194)</f>
        <v/>
      </c>
      <c r="L987" s="40" t="str">
        <f>IF(G987="","",IF(D987-G987&gt;=System_Config!$B$9,"✅ OK","⚠️ BREACH"))</f>
        <v/>
      </c>
      <c r="M987" s="40" t="str">
        <f>IFERROR(IF(Agent05_Withdrawals!A194="","",YEAR(Agent05_Withdrawals!D194)),"")</f>
        <v/>
      </c>
    </row>
    <row r="988" spans="1:13" ht="18" customHeight="1" x14ac:dyDescent="0.25">
      <c r="A988" s="40" t="str">
        <f>IF(Agent05_Withdrawals!A195="","",Agent05_Withdrawals!A195)</f>
        <v/>
      </c>
      <c r="B988" s="40" t="str">
        <f ca="1">IF(Agent05_Withdrawals!A195="","","WD"&amp;TEXT(988-3,"0000")&amp;"-"&amp;TEXT(TODAY(),"YYYYMMDD"))</f>
        <v/>
      </c>
      <c r="C988" s="40" t="str">
        <f>IF(Agent05_Withdrawals!A195="","",Agent05_Withdrawals!B195)</f>
        <v/>
      </c>
      <c r="D988" s="43" t="str">
        <f>IF(Agent05_Withdrawals!A195="","",Agent05_Withdrawals!C195)</f>
        <v/>
      </c>
      <c r="E988" s="41" t="str">
        <f>IF(Agent05_Withdrawals!A195="","",Agent05_Withdrawals!D195)</f>
        <v/>
      </c>
      <c r="F988" s="40" t="str">
        <f>IF(Agent05_Withdrawals!A195="","",Agent05_Withdrawals!F195)</f>
        <v/>
      </c>
      <c r="G988" s="42" t="str">
        <f>IF(Agent05_Withdrawals!A195="","",Agent05_Withdrawals!E195)</f>
        <v/>
      </c>
      <c r="H988" s="42" t="str">
        <f>IF(Agent05_Withdrawals!A195="","",Agent05_Withdrawals!G195)</f>
        <v/>
      </c>
      <c r="I988" s="40" t="str">
        <f>IF(Agent05_Withdrawals!A195="","",Agent05_Withdrawals!H195)</f>
        <v/>
      </c>
      <c r="J988" s="40" t="str">
        <f>IF(Agent05_Withdrawals!A195="","",Agent05_Withdrawals!J195)</f>
        <v/>
      </c>
      <c r="K988" s="40" t="str">
        <f>IF(Agent05_Withdrawals!A195="","",Agent05_Withdrawals!K195)</f>
        <v/>
      </c>
      <c r="L988" s="40" t="str">
        <f>IF(G988="","",IF(D988-G988&gt;=System_Config!$B$9,"✅ OK","⚠️ BREACH"))</f>
        <v/>
      </c>
      <c r="M988" s="40" t="str">
        <f>IFERROR(IF(Agent05_Withdrawals!A195="","",YEAR(Agent05_Withdrawals!D195)),"")</f>
        <v/>
      </c>
    </row>
    <row r="989" spans="1:13" ht="18" customHeight="1" x14ac:dyDescent="0.25">
      <c r="A989" s="40" t="str">
        <f>IF(Agent05_Withdrawals!A196="","",Agent05_Withdrawals!A196)</f>
        <v/>
      </c>
      <c r="B989" s="40" t="str">
        <f ca="1">IF(Agent05_Withdrawals!A196="","","WD"&amp;TEXT(989-3,"0000")&amp;"-"&amp;TEXT(TODAY(),"YYYYMMDD"))</f>
        <v/>
      </c>
      <c r="C989" s="40" t="str">
        <f>IF(Agent05_Withdrawals!A196="","",Agent05_Withdrawals!B196)</f>
        <v/>
      </c>
      <c r="D989" s="43" t="str">
        <f>IF(Agent05_Withdrawals!A196="","",Agent05_Withdrawals!C196)</f>
        <v/>
      </c>
      <c r="E989" s="41" t="str">
        <f>IF(Agent05_Withdrawals!A196="","",Agent05_Withdrawals!D196)</f>
        <v/>
      </c>
      <c r="F989" s="40" t="str">
        <f>IF(Agent05_Withdrawals!A196="","",Agent05_Withdrawals!F196)</f>
        <v/>
      </c>
      <c r="G989" s="42" t="str">
        <f>IF(Agent05_Withdrawals!A196="","",Agent05_Withdrawals!E196)</f>
        <v/>
      </c>
      <c r="H989" s="42" t="str">
        <f>IF(Agent05_Withdrawals!A196="","",Agent05_Withdrawals!G196)</f>
        <v/>
      </c>
      <c r="I989" s="40" t="str">
        <f>IF(Agent05_Withdrawals!A196="","",Agent05_Withdrawals!H196)</f>
        <v/>
      </c>
      <c r="J989" s="40" t="str">
        <f>IF(Agent05_Withdrawals!A196="","",Agent05_Withdrawals!J196)</f>
        <v/>
      </c>
      <c r="K989" s="40" t="str">
        <f>IF(Agent05_Withdrawals!A196="","",Agent05_Withdrawals!K196)</f>
        <v/>
      </c>
      <c r="L989" s="40" t="str">
        <f>IF(G989="","",IF(D989-G989&gt;=System_Config!$B$9,"✅ OK","⚠️ BREACH"))</f>
        <v/>
      </c>
      <c r="M989" s="40" t="str">
        <f>IFERROR(IF(Agent05_Withdrawals!A196="","",YEAR(Agent05_Withdrawals!D196)),"")</f>
        <v/>
      </c>
    </row>
    <row r="990" spans="1:13" ht="18" customHeight="1" x14ac:dyDescent="0.25">
      <c r="A990" s="40" t="str">
        <f>IF(Agent05_Withdrawals!A197="","",Agent05_Withdrawals!A197)</f>
        <v/>
      </c>
      <c r="B990" s="40" t="str">
        <f ca="1">IF(Agent05_Withdrawals!A197="","","WD"&amp;TEXT(990-3,"0000")&amp;"-"&amp;TEXT(TODAY(),"YYYYMMDD"))</f>
        <v/>
      </c>
      <c r="C990" s="40" t="str">
        <f>IF(Agent05_Withdrawals!A197="","",Agent05_Withdrawals!B197)</f>
        <v/>
      </c>
      <c r="D990" s="43" t="str">
        <f>IF(Agent05_Withdrawals!A197="","",Agent05_Withdrawals!C197)</f>
        <v/>
      </c>
      <c r="E990" s="41" t="str">
        <f>IF(Agent05_Withdrawals!A197="","",Agent05_Withdrawals!D197)</f>
        <v/>
      </c>
      <c r="F990" s="40" t="str">
        <f>IF(Agent05_Withdrawals!A197="","",Agent05_Withdrawals!F197)</f>
        <v/>
      </c>
      <c r="G990" s="42" t="str">
        <f>IF(Agent05_Withdrawals!A197="","",Agent05_Withdrawals!E197)</f>
        <v/>
      </c>
      <c r="H990" s="42" t="str">
        <f>IF(Agent05_Withdrawals!A197="","",Agent05_Withdrawals!G197)</f>
        <v/>
      </c>
      <c r="I990" s="40" t="str">
        <f>IF(Agent05_Withdrawals!A197="","",Agent05_Withdrawals!H197)</f>
        <v/>
      </c>
      <c r="J990" s="40" t="str">
        <f>IF(Agent05_Withdrawals!A197="","",Agent05_Withdrawals!J197)</f>
        <v/>
      </c>
      <c r="K990" s="40" t="str">
        <f>IF(Agent05_Withdrawals!A197="","",Agent05_Withdrawals!K197)</f>
        <v/>
      </c>
      <c r="L990" s="40" t="str">
        <f>IF(G990="","",IF(D990-G990&gt;=System_Config!$B$9,"✅ OK","⚠️ BREACH"))</f>
        <v/>
      </c>
      <c r="M990" s="40" t="str">
        <f>IFERROR(IF(Agent05_Withdrawals!A197="","",YEAR(Agent05_Withdrawals!D197)),"")</f>
        <v/>
      </c>
    </row>
    <row r="991" spans="1:13" ht="18" customHeight="1" x14ac:dyDescent="0.25">
      <c r="A991" s="40" t="str">
        <f>IF(Agent05_Withdrawals!A198="","",Agent05_Withdrawals!A198)</f>
        <v/>
      </c>
      <c r="B991" s="40" t="str">
        <f ca="1">IF(Agent05_Withdrawals!A198="","","WD"&amp;TEXT(991-3,"0000")&amp;"-"&amp;TEXT(TODAY(),"YYYYMMDD"))</f>
        <v/>
      </c>
      <c r="C991" s="40" t="str">
        <f>IF(Agent05_Withdrawals!A198="","",Agent05_Withdrawals!B198)</f>
        <v/>
      </c>
      <c r="D991" s="43" t="str">
        <f>IF(Agent05_Withdrawals!A198="","",Agent05_Withdrawals!C198)</f>
        <v/>
      </c>
      <c r="E991" s="41" t="str">
        <f>IF(Agent05_Withdrawals!A198="","",Agent05_Withdrawals!D198)</f>
        <v/>
      </c>
      <c r="F991" s="40" t="str">
        <f>IF(Agent05_Withdrawals!A198="","",Agent05_Withdrawals!F198)</f>
        <v/>
      </c>
      <c r="G991" s="42" t="str">
        <f>IF(Agent05_Withdrawals!A198="","",Agent05_Withdrawals!E198)</f>
        <v/>
      </c>
      <c r="H991" s="42" t="str">
        <f>IF(Agent05_Withdrawals!A198="","",Agent05_Withdrawals!G198)</f>
        <v/>
      </c>
      <c r="I991" s="40" t="str">
        <f>IF(Agent05_Withdrawals!A198="","",Agent05_Withdrawals!H198)</f>
        <v/>
      </c>
      <c r="J991" s="40" t="str">
        <f>IF(Agent05_Withdrawals!A198="","",Agent05_Withdrawals!J198)</f>
        <v/>
      </c>
      <c r="K991" s="40" t="str">
        <f>IF(Agent05_Withdrawals!A198="","",Agent05_Withdrawals!K198)</f>
        <v/>
      </c>
      <c r="L991" s="40" t="str">
        <f>IF(G991="","",IF(D991-G991&gt;=System_Config!$B$9,"✅ OK","⚠️ BREACH"))</f>
        <v/>
      </c>
      <c r="M991" s="40" t="str">
        <f>IFERROR(IF(Agent05_Withdrawals!A198="","",YEAR(Agent05_Withdrawals!D198)),"")</f>
        <v/>
      </c>
    </row>
    <row r="992" spans="1:13" ht="18" customHeight="1" x14ac:dyDescent="0.25">
      <c r="A992" s="40" t="str">
        <f>IF(Agent05_Withdrawals!A199="","",Agent05_Withdrawals!A199)</f>
        <v/>
      </c>
      <c r="B992" s="40" t="str">
        <f ca="1">IF(Agent05_Withdrawals!A199="","","WD"&amp;TEXT(992-3,"0000")&amp;"-"&amp;TEXT(TODAY(),"YYYYMMDD"))</f>
        <v/>
      </c>
      <c r="C992" s="40" t="str">
        <f>IF(Agent05_Withdrawals!A199="","",Agent05_Withdrawals!B199)</f>
        <v/>
      </c>
      <c r="D992" s="43" t="str">
        <f>IF(Agent05_Withdrawals!A199="","",Agent05_Withdrawals!C199)</f>
        <v/>
      </c>
      <c r="E992" s="41" t="str">
        <f>IF(Agent05_Withdrawals!A199="","",Agent05_Withdrawals!D199)</f>
        <v/>
      </c>
      <c r="F992" s="40" t="str">
        <f>IF(Agent05_Withdrawals!A199="","",Agent05_Withdrawals!F199)</f>
        <v/>
      </c>
      <c r="G992" s="42" t="str">
        <f>IF(Agent05_Withdrawals!A199="","",Agent05_Withdrawals!E199)</f>
        <v/>
      </c>
      <c r="H992" s="42" t="str">
        <f>IF(Agent05_Withdrawals!A199="","",Agent05_Withdrawals!G199)</f>
        <v/>
      </c>
      <c r="I992" s="40" t="str">
        <f>IF(Agent05_Withdrawals!A199="","",Agent05_Withdrawals!H199)</f>
        <v/>
      </c>
      <c r="J992" s="40" t="str">
        <f>IF(Agent05_Withdrawals!A199="","",Agent05_Withdrawals!J199)</f>
        <v/>
      </c>
      <c r="K992" s="40" t="str">
        <f>IF(Agent05_Withdrawals!A199="","",Agent05_Withdrawals!K199)</f>
        <v/>
      </c>
      <c r="L992" s="40" t="str">
        <f>IF(G992="","",IF(D992-G992&gt;=System_Config!$B$9,"✅ OK","⚠️ BREACH"))</f>
        <v/>
      </c>
      <c r="M992" s="40" t="str">
        <f>IFERROR(IF(Agent05_Withdrawals!A199="","",YEAR(Agent05_Withdrawals!D199)),"")</f>
        <v/>
      </c>
    </row>
    <row r="993" spans="1:13" ht="18" customHeight="1" x14ac:dyDescent="0.25">
      <c r="A993" s="40" t="str">
        <f>IF(Agent05_Withdrawals!A200="","",Agent05_Withdrawals!A200)</f>
        <v/>
      </c>
      <c r="B993" s="40" t="str">
        <f ca="1">IF(Agent05_Withdrawals!A200="","","WD"&amp;TEXT(993-3,"0000")&amp;"-"&amp;TEXT(TODAY(),"YYYYMMDD"))</f>
        <v/>
      </c>
      <c r="C993" s="40" t="str">
        <f>IF(Agent05_Withdrawals!A200="","",Agent05_Withdrawals!B200)</f>
        <v/>
      </c>
      <c r="D993" s="43" t="str">
        <f>IF(Agent05_Withdrawals!A200="","",Agent05_Withdrawals!C200)</f>
        <v/>
      </c>
      <c r="E993" s="41" t="str">
        <f>IF(Agent05_Withdrawals!A200="","",Agent05_Withdrawals!D200)</f>
        <v/>
      </c>
      <c r="F993" s="40" t="str">
        <f>IF(Agent05_Withdrawals!A200="","",Agent05_Withdrawals!F200)</f>
        <v/>
      </c>
      <c r="G993" s="42" t="str">
        <f>IF(Agent05_Withdrawals!A200="","",Agent05_Withdrawals!E200)</f>
        <v/>
      </c>
      <c r="H993" s="42" t="str">
        <f>IF(Agent05_Withdrawals!A200="","",Agent05_Withdrawals!G200)</f>
        <v/>
      </c>
      <c r="I993" s="40" t="str">
        <f>IF(Agent05_Withdrawals!A200="","",Agent05_Withdrawals!H200)</f>
        <v/>
      </c>
      <c r="J993" s="40" t="str">
        <f>IF(Agent05_Withdrawals!A200="","",Agent05_Withdrawals!J200)</f>
        <v/>
      </c>
      <c r="K993" s="40" t="str">
        <f>IF(Agent05_Withdrawals!A200="","",Agent05_Withdrawals!K200)</f>
        <v/>
      </c>
      <c r="L993" s="40" t="str">
        <f>IF(G993="","",IF(D993-G993&gt;=System_Config!$B$9,"✅ OK","⚠️ BREACH"))</f>
        <v/>
      </c>
      <c r="M993" s="40" t="str">
        <f>IFERROR(IF(Agent05_Withdrawals!A200="","",YEAR(Agent05_Withdrawals!D200)),"")</f>
        <v/>
      </c>
    </row>
    <row r="994" spans="1:13" ht="18" customHeight="1" x14ac:dyDescent="0.25">
      <c r="A994" s="40" t="str">
        <f>IF(Agent05_Withdrawals!A201="","",Agent05_Withdrawals!A201)</f>
        <v/>
      </c>
      <c r="B994" s="40" t="str">
        <f ca="1">IF(Agent05_Withdrawals!A201="","","WD"&amp;TEXT(994-3,"0000")&amp;"-"&amp;TEXT(TODAY(),"YYYYMMDD"))</f>
        <v/>
      </c>
      <c r="C994" s="40" t="str">
        <f>IF(Agent05_Withdrawals!A201="","",Agent05_Withdrawals!B201)</f>
        <v/>
      </c>
      <c r="D994" s="43" t="str">
        <f>IF(Agent05_Withdrawals!A201="","",Agent05_Withdrawals!C201)</f>
        <v/>
      </c>
      <c r="E994" s="41" t="str">
        <f>IF(Agent05_Withdrawals!A201="","",Agent05_Withdrawals!D201)</f>
        <v/>
      </c>
      <c r="F994" s="40" t="str">
        <f>IF(Agent05_Withdrawals!A201="","",Agent05_Withdrawals!F201)</f>
        <v/>
      </c>
      <c r="G994" s="42" t="str">
        <f>IF(Agent05_Withdrawals!A201="","",Agent05_Withdrawals!E201)</f>
        <v/>
      </c>
      <c r="H994" s="42" t="str">
        <f>IF(Agent05_Withdrawals!A201="","",Agent05_Withdrawals!G201)</f>
        <v/>
      </c>
      <c r="I994" s="40" t="str">
        <f>IF(Agent05_Withdrawals!A201="","",Agent05_Withdrawals!H201)</f>
        <v/>
      </c>
      <c r="J994" s="40" t="str">
        <f>IF(Agent05_Withdrawals!A201="","",Agent05_Withdrawals!J201)</f>
        <v/>
      </c>
      <c r="K994" s="40" t="str">
        <f>IF(Agent05_Withdrawals!A201="","",Agent05_Withdrawals!K201)</f>
        <v/>
      </c>
      <c r="L994" s="40" t="str">
        <f>IF(G994="","",IF(D994-G994&gt;=System_Config!$B$9,"✅ OK","⚠️ BREACH"))</f>
        <v/>
      </c>
      <c r="M994" s="40" t="str">
        <f>IFERROR(IF(Agent05_Withdrawals!A201="","",YEAR(Agent05_Withdrawals!D201)),"")</f>
        <v/>
      </c>
    </row>
    <row r="995" spans="1:13" ht="18" customHeight="1" x14ac:dyDescent="0.25">
      <c r="A995" s="40" t="str">
        <f>IF(Agent05_Withdrawals!A202="","",Agent05_Withdrawals!A202)</f>
        <v/>
      </c>
      <c r="B995" s="40" t="str">
        <f ca="1">IF(Agent05_Withdrawals!A202="","","WD"&amp;TEXT(995-3,"0000")&amp;"-"&amp;TEXT(TODAY(),"YYYYMMDD"))</f>
        <v/>
      </c>
      <c r="C995" s="40" t="str">
        <f>IF(Agent05_Withdrawals!A202="","",Agent05_Withdrawals!B202)</f>
        <v/>
      </c>
      <c r="D995" s="43" t="str">
        <f>IF(Agent05_Withdrawals!A202="","",Agent05_Withdrawals!C202)</f>
        <v/>
      </c>
      <c r="E995" s="41" t="str">
        <f>IF(Agent05_Withdrawals!A202="","",Agent05_Withdrawals!D202)</f>
        <v/>
      </c>
      <c r="F995" s="40" t="str">
        <f>IF(Agent05_Withdrawals!A202="","",Agent05_Withdrawals!F202)</f>
        <v/>
      </c>
      <c r="G995" s="42" t="str">
        <f>IF(Agent05_Withdrawals!A202="","",Agent05_Withdrawals!E202)</f>
        <v/>
      </c>
      <c r="H995" s="42" t="str">
        <f>IF(Agent05_Withdrawals!A202="","",Agent05_Withdrawals!G202)</f>
        <v/>
      </c>
      <c r="I995" s="40" t="str">
        <f>IF(Agent05_Withdrawals!A202="","",Agent05_Withdrawals!H202)</f>
        <v/>
      </c>
      <c r="J995" s="40" t="str">
        <f>IF(Agent05_Withdrawals!A202="","",Agent05_Withdrawals!J202)</f>
        <v/>
      </c>
      <c r="K995" s="40" t="str">
        <f>IF(Agent05_Withdrawals!A202="","",Agent05_Withdrawals!K202)</f>
        <v/>
      </c>
      <c r="L995" s="40" t="str">
        <f>IF(G995="","",IF(D995-G995&gt;=System_Config!$B$9,"✅ OK","⚠️ BREACH"))</f>
        <v/>
      </c>
      <c r="M995" s="40" t="str">
        <f>IFERROR(IF(Agent05_Withdrawals!A202="","",YEAR(Agent05_Withdrawals!D202)),"")</f>
        <v/>
      </c>
    </row>
    <row r="996" spans="1:13" ht="18" customHeight="1" x14ac:dyDescent="0.25">
      <c r="A996" s="40" t="str">
        <f>IF(Agent05_Withdrawals!A203="","",Agent05_Withdrawals!A203)</f>
        <v/>
      </c>
      <c r="B996" s="40" t="str">
        <f ca="1">IF(Agent05_Withdrawals!A203="","","WD"&amp;TEXT(996-3,"0000")&amp;"-"&amp;TEXT(TODAY(),"YYYYMMDD"))</f>
        <v/>
      </c>
      <c r="C996" s="40" t="str">
        <f>IF(Agent05_Withdrawals!A203="","",Agent05_Withdrawals!B203)</f>
        <v/>
      </c>
      <c r="D996" s="43" t="str">
        <f>IF(Agent05_Withdrawals!A203="","",Agent05_Withdrawals!C203)</f>
        <v/>
      </c>
      <c r="E996" s="41" t="str">
        <f>IF(Agent05_Withdrawals!A203="","",Agent05_Withdrawals!D203)</f>
        <v/>
      </c>
      <c r="F996" s="40" t="str">
        <f>IF(Agent05_Withdrawals!A203="","",Agent05_Withdrawals!F203)</f>
        <v/>
      </c>
      <c r="G996" s="42" t="str">
        <f>IF(Agent05_Withdrawals!A203="","",Agent05_Withdrawals!E203)</f>
        <v/>
      </c>
      <c r="H996" s="42" t="str">
        <f>IF(Agent05_Withdrawals!A203="","",Agent05_Withdrawals!G203)</f>
        <v/>
      </c>
      <c r="I996" s="40" t="str">
        <f>IF(Agent05_Withdrawals!A203="","",Agent05_Withdrawals!H203)</f>
        <v/>
      </c>
      <c r="J996" s="40" t="str">
        <f>IF(Agent05_Withdrawals!A203="","",Agent05_Withdrawals!J203)</f>
        <v/>
      </c>
      <c r="K996" s="40" t="str">
        <f>IF(Agent05_Withdrawals!A203="","",Agent05_Withdrawals!K203)</f>
        <v/>
      </c>
      <c r="L996" s="40" t="str">
        <f>IF(G996="","",IF(D996-G996&gt;=System_Config!$B$9,"✅ OK","⚠️ BREACH"))</f>
        <v/>
      </c>
      <c r="M996" s="40" t="str">
        <f>IFERROR(IF(Agent05_Withdrawals!A203="","",YEAR(Agent05_Withdrawals!D203)),"")</f>
        <v/>
      </c>
    </row>
    <row r="997" spans="1:13" ht="18" customHeight="1" x14ac:dyDescent="0.25">
      <c r="A997" s="40" t="str">
        <f>IF(Agent05_Withdrawals!A204="","",Agent05_Withdrawals!A204)</f>
        <v/>
      </c>
      <c r="B997" s="40" t="str">
        <f ca="1">IF(Agent05_Withdrawals!A204="","","WD"&amp;TEXT(997-3,"0000")&amp;"-"&amp;TEXT(TODAY(),"YYYYMMDD"))</f>
        <v/>
      </c>
      <c r="C997" s="40" t="str">
        <f>IF(Agent05_Withdrawals!A204="","",Agent05_Withdrawals!B204)</f>
        <v/>
      </c>
      <c r="D997" s="43" t="str">
        <f>IF(Agent05_Withdrawals!A204="","",Agent05_Withdrawals!C204)</f>
        <v/>
      </c>
      <c r="E997" s="41" t="str">
        <f>IF(Agent05_Withdrawals!A204="","",Agent05_Withdrawals!D204)</f>
        <v/>
      </c>
      <c r="F997" s="40" t="str">
        <f>IF(Agent05_Withdrawals!A204="","",Agent05_Withdrawals!F204)</f>
        <v/>
      </c>
      <c r="G997" s="42" t="str">
        <f>IF(Agent05_Withdrawals!A204="","",Agent05_Withdrawals!E204)</f>
        <v/>
      </c>
      <c r="H997" s="42" t="str">
        <f>IF(Agent05_Withdrawals!A204="","",Agent05_Withdrawals!G204)</f>
        <v/>
      </c>
      <c r="I997" s="40" t="str">
        <f>IF(Agent05_Withdrawals!A204="","",Agent05_Withdrawals!H204)</f>
        <v/>
      </c>
      <c r="J997" s="40" t="str">
        <f>IF(Agent05_Withdrawals!A204="","",Agent05_Withdrawals!J204)</f>
        <v/>
      </c>
      <c r="K997" s="40" t="str">
        <f>IF(Agent05_Withdrawals!A204="","",Agent05_Withdrawals!K204)</f>
        <v/>
      </c>
      <c r="L997" s="40" t="str">
        <f>IF(G997="","",IF(D997-G997&gt;=System_Config!$B$9,"✅ OK","⚠️ BREACH"))</f>
        <v/>
      </c>
      <c r="M997" s="40" t="str">
        <f>IFERROR(IF(Agent05_Withdrawals!A204="","",YEAR(Agent05_Withdrawals!D204)),"")</f>
        <v/>
      </c>
    </row>
    <row r="998" spans="1:13" ht="18" customHeight="1" x14ac:dyDescent="0.25">
      <c r="A998" s="40" t="str">
        <f>IF(Agent05_Withdrawals!A205="","",Agent05_Withdrawals!A205)</f>
        <v/>
      </c>
      <c r="B998" s="40" t="str">
        <f ca="1">IF(Agent05_Withdrawals!A205="","","WD"&amp;TEXT(998-3,"0000")&amp;"-"&amp;TEXT(TODAY(),"YYYYMMDD"))</f>
        <v/>
      </c>
      <c r="C998" s="40" t="str">
        <f>IF(Agent05_Withdrawals!A205="","",Agent05_Withdrawals!B205)</f>
        <v/>
      </c>
      <c r="D998" s="43" t="str">
        <f>IF(Agent05_Withdrawals!A205="","",Agent05_Withdrawals!C205)</f>
        <v/>
      </c>
      <c r="E998" s="41" t="str">
        <f>IF(Agent05_Withdrawals!A205="","",Agent05_Withdrawals!D205)</f>
        <v/>
      </c>
      <c r="F998" s="40" t="str">
        <f>IF(Agent05_Withdrawals!A205="","",Agent05_Withdrawals!F205)</f>
        <v/>
      </c>
      <c r="G998" s="42" t="str">
        <f>IF(Agent05_Withdrawals!A205="","",Agent05_Withdrawals!E205)</f>
        <v/>
      </c>
      <c r="H998" s="42" t="str">
        <f>IF(Agent05_Withdrawals!A205="","",Agent05_Withdrawals!G205)</f>
        <v/>
      </c>
      <c r="I998" s="40" t="str">
        <f>IF(Agent05_Withdrawals!A205="","",Agent05_Withdrawals!H205)</f>
        <v/>
      </c>
      <c r="J998" s="40" t="str">
        <f>IF(Agent05_Withdrawals!A205="","",Agent05_Withdrawals!J205)</f>
        <v/>
      </c>
      <c r="K998" s="40" t="str">
        <f>IF(Agent05_Withdrawals!A205="","",Agent05_Withdrawals!K205)</f>
        <v/>
      </c>
      <c r="L998" s="40" t="str">
        <f>IF(G998="","",IF(D998-G998&gt;=System_Config!$B$9,"✅ OK","⚠️ BREACH"))</f>
        <v/>
      </c>
      <c r="M998" s="40" t="str">
        <f>IFERROR(IF(Agent05_Withdrawals!A205="","",YEAR(Agent05_Withdrawals!D205)),"")</f>
        <v/>
      </c>
    </row>
    <row r="999" spans="1:13" ht="18" customHeight="1" x14ac:dyDescent="0.25">
      <c r="A999" s="40" t="str">
        <f>IF(Agent05_Withdrawals!A206="","",Agent05_Withdrawals!A206)</f>
        <v/>
      </c>
      <c r="B999" s="40" t="str">
        <f ca="1">IF(Agent05_Withdrawals!A206="","","WD"&amp;TEXT(999-3,"0000")&amp;"-"&amp;TEXT(TODAY(),"YYYYMMDD"))</f>
        <v/>
      </c>
      <c r="C999" s="40" t="str">
        <f>IF(Agent05_Withdrawals!A206="","",Agent05_Withdrawals!B206)</f>
        <v/>
      </c>
      <c r="D999" s="43" t="str">
        <f>IF(Agent05_Withdrawals!A206="","",Agent05_Withdrawals!C206)</f>
        <v/>
      </c>
      <c r="E999" s="41" t="str">
        <f>IF(Agent05_Withdrawals!A206="","",Agent05_Withdrawals!D206)</f>
        <v/>
      </c>
      <c r="F999" s="40" t="str">
        <f>IF(Agent05_Withdrawals!A206="","",Agent05_Withdrawals!F206)</f>
        <v/>
      </c>
      <c r="G999" s="42" t="str">
        <f>IF(Agent05_Withdrawals!A206="","",Agent05_Withdrawals!E206)</f>
        <v/>
      </c>
      <c r="H999" s="42" t="str">
        <f>IF(Agent05_Withdrawals!A206="","",Agent05_Withdrawals!G206)</f>
        <v/>
      </c>
      <c r="I999" s="40" t="str">
        <f>IF(Agent05_Withdrawals!A206="","",Agent05_Withdrawals!H206)</f>
        <v/>
      </c>
      <c r="J999" s="40" t="str">
        <f>IF(Agent05_Withdrawals!A206="","",Agent05_Withdrawals!J206)</f>
        <v/>
      </c>
      <c r="K999" s="40" t="str">
        <f>IF(Agent05_Withdrawals!A206="","",Agent05_Withdrawals!K206)</f>
        <v/>
      </c>
      <c r="L999" s="40" t="str">
        <f>IF(G999="","",IF(D999-G999&gt;=System_Config!$B$9,"✅ OK","⚠️ BREACH"))</f>
        <v/>
      </c>
      <c r="M999" s="40" t="str">
        <f>IFERROR(IF(Agent05_Withdrawals!A206="","",YEAR(Agent05_Withdrawals!D206)),"")</f>
        <v/>
      </c>
    </row>
    <row r="1000" spans="1:13" ht="18" customHeight="1" x14ac:dyDescent="0.25">
      <c r="A1000" s="40" t="str">
        <f>IF(Agent05_Withdrawals!A207="","",Agent05_Withdrawals!A207)</f>
        <v/>
      </c>
      <c r="B1000" s="40" t="str">
        <f ca="1">IF(Agent05_Withdrawals!A207="","","WD"&amp;TEXT(1000-3,"0000")&amp;"-"&amp;TEXT(TODAY(),"YYYYMMDD"))</f>
        <v/>
      </c>
      <c r="C1000" s="40" t="str">
        <f>IF(Agent05_Withdrawals!A207="","",Agent05_Withdrawals!B207)</f>
        <v/>
      </c>
      <c r="D1000" s="43" t="str">
        <f>IF(Agent05_Withdrawals!A207="","",Agent05_Withdrawals!C207)</f>
        <v/>
      </c>
      <c r="E1000" s="41" t="str">
        <f>IF(Agent05_Withdrawals!A207="","",Agent05_Withdrawals!D207)</f>
        <v/>
      </c>
      <c r="F1000" s="40" t="str">
        <f>IF(Agent05_Withdrawals!A207="","",Agent05_Withdrawals!F207)</f>
        <v/>
      </c>
      <c r="G1000" s="42" t="str">
        <f>IF(Agent05_Withdrawals!A207="","",Agent05_Withdrawals!E207)</f>
        <v/>
      </c>
      <c r="H1000" s="42" t="str">
        <f>IF(Agent05_Withdrawals!A207="","",Agent05_Withdrawals!G207)</f>
        <v/>
      </c>
      <c r="I1000" s="40" t="str">
        <f>IF(Agent05_Withdrawals!A207="","",Agent05_Withdrawals!H207)</f>
        <v/>
      </c>
      <c r="J1000" s="40" t="str">
        <f>IF(Agent05_Withdrawals!A207="","",Agent05_Withdrawals!J207)</f>
        <v/>
      </c>
      <c r="K1000" s="40" t="str">
        <f>IF(Agent05_Withdrawals!A207="","",Agent05_Withdrawals!K207)</f>
        <v/>
      </c>
      <c r="L1000" s="40" t="str">
        <f>IF(G1000="","",IF(D1000-G1000&gt;=System_Config!$B$9,"✅ OK","⚠️ BREACH"))</f>
        <v/>
      </c>
      <c r="M1000" s="40" t="str">
        <f>IFERROR(IF(Agent05_Withdrawals!A207="","",YEAR(Agent05_Withdrawals!D207)),"")</f>
        <v/>
      </c>
    </row>
    <row r="1001" spans="1:13" ht="18" customHeight="1" x14ac:dyDescent="0.25">
      <c r="A1001" s="40" t="str">
        <f>IF(Agent05_Withdrawals!A208="","",Agent05_Withdrawals!A208)</f>
        <v/>
      </c>
      <c r="B1001" s="40" t="str">
        <f ca="1">IF(Agent05_Withdrawals!A208="","","WD"&amp;TEXT(1001-3,"0000")&amp;"-"&amp;TEXT(TODAY(),"YYYYMMDD"))</f>
        <v/>
      </c>
      <c r="C1001" s="40" t="str">
        <f>IF(Agent05_Withdrawals!A208="","",Agent05_Withdrawals!B208)</f>
        <v/>
      </c>
      <c r="D1001" s="43" t="str">
        <f>IF(Agent05_Withdrawals!A208="","",Agent05_Withdrawals!C208)</f>
        <v/>
      </c>
      <c r="E1001" s="41" t="str">
        <f>IF(Agent05_Withdrawals!A208="","",Agent05_Withdrawals!D208)</f>
        <v/>
      </c>
      <c r="F1001" s="40" t="str">
        <f>IF(Agent05_Withdrawals!A208="","",Agent05_Withdrawals!F208)</f>
        <v/>
      </c>
      <c r="G1001" s="42" t="str">
        <f>IF(Agent05_Withdrawals!A208="","",Agent05_Withdrawals!E208)</f>
        <v/>
      </c>
      <c r="H1001" s="42" t="str">
        <f>IF(Agent05_Withdrawals!A208="","",Agent05_Withdrawals!G208)</f>
        <v/>
      </c>
      <c r="I1001" s="40" t="str">
        <f>IF(Agent05_Withdrawals!A208="","",Agent05_Withdrawals!H208)</f>
        <v/>
      </c>
      <c r="J1001" s="40" t="str">
        <f>IF(Agent05_Withdrawals!A208="","",Agent05_Withdrawals!J208)</f>
        <v/>
      </c>
      <c r="K1001" s="40" t="str">
        <f>IF(Agent05_Withdrawals!A208="","",Agent05_Withdrawals!K208)</f>
        <v/>
      </c>
      <c r="L1001" s="40" t="str">
        <f>IF(G1001="","",IF(D1001-G1001&gt;=System_Config!$B$9,"✅ OK","⚠️ BREACH"))</f>
        <v/>
      </c>
      <c r="M1001" s="40" t="str">
        <f>IFERROR(IF(Agent05_Withdrawals!A208="","",YEAR(Agent05_Withdrawals!D208)),"")</f>
        <v/>
      </c>
    </row>
    <row r="1002" spans="1:13" ht="18" customHeight="1" x14ac:dyDescent="0.25">
      <c r="A1002" s="40" t="str">
        <f>IF(Agent05_Withdrawals!A209="","",Agent05_Withdrawals!A209)</f>
        <v/>
      </c>
      <c r="B1002" s="40" t="str">
        <f ca="1">IF(Agent05_Withdrawals!A209="","","WD"&amp;TEXT(1002-3,"0000")&amp;"-"&amp;TEXT(TODAY(),"YYYYMMDD"))</f>
        <v/>
      </c>
      <c r="C1002" s="40" t="str">
        <f>IF(Agent05_Withdrawals!A209="","",Agent05_Withdrawals!B209)</f>
        <v/>
      </c>
      <c r="D1002" s="43" t="str">
        <f>IF(Agent05_Withdrawals!A209="","",Agent05_Withdrawals!C209)</f>
        <v/>
      </c>
      <c r="E1002" s="41" t="str">
        <f>IF(Agent05_Withdrawals!A209="","",Agent05_Withdrawals!D209)</f>
        <v/>
      </c>
      <c r="F1002" s="40" t="str">
        <f>IF(Agent05_Withdrawals!A209="","",Agent05_Withdrawals!F209)</f>
        <v/>
      </c>
      <c r="G1002" s="42" t="str">
        <f>IF(Agent05_Withdrawals!A209="","",Agent05_Withdrawals!E209)</f>
        <v/>
      </c>
      <c r="H1002" s="42" t="str">
        <f>IF(Agent05_Withdrawals!A209="","",Agent05_Withdrawals!G209)</f>
        <v/>
      </c>
      <c r="I1002" s="40" t="str">
        <f>IF(Agent05_Withdrawals!A209="","",Agent05_Withdrawals!H209)</f>
        <v/>
      </c>
      <c r="J1002" s="40" t="str">
        <f>IF(Agent05_Withdrawals!A209="","",Agent05_Withdrawals!J209)</f>
        <v/>
      </c>
      <c r="K1002" s="40" t="str">
        <f>IF(Agent05_Withdrawals!A209="","",Agent05_Withdrawals!K209)</f>
        <v/>
      </c>
      <c r="L1002" s="40" t="str">
        <f>IF(G1002="","",IF(D1002-G1002&gt;=System_Config!$B$9,"✅ OK","⚠️ BREACH"))</f>
        <v/>
      </c>
      <c r="M1002" s="40" t="str">
        <f>IFERROR(IF(Agent05_Withdrawals!A209="","",YEAR(Agent05_Withdrawals!D209)),"")</f>
        <v/>
      </c>
    </row>
    <row r="1003" spans="1:13" ht="18" customHeight="1" x14ac:dyDescent="0.25">
      <c r="A1003" s="40" t="str">
        <f>IF(Agent05_Withdrawals!A210="","",Agent05_Withdrawals!A210)</f>
        <v/>
      </c>
      <c r="B1003" s="40" t="str">
        <f ca="1">IF(Agent05_Withdrawals!A210="","","WD"&amp;TEXT(1003-3,"0000")&amp;"-"&amp;TEXT(TODAY(),"YYYYMMDD"))</f>
        <v/>
      </c>
      <c r="C1003" s="40" t="str">
        <f>IF(Agent05_Withdrawals!A210="","",Agent05_Withdrawals!B210)</f>
        <v/>
      </c>
      <c r="D1003" s="43" t="str">
        <f>IF(Agent05_Withdrawals!A210="","",Agent05_Withdrawals!C210)</f>
        <v/>
      </c>
      <c r="E1003" s="41" t="str">
        <f>IF(Agent05_Withdrawals!A210="","",Agent05_Withdrawals!D210)</f>
        <v/>
      </c>
      <c r="F1003" s="40" t="str">
        <f>IF(Agent05_Withdrawals!A210="","",Agent05_Withdrawals!F210)</f>
        <v/>
      </c>
      <c r="G1003" s="42" t="str">
        <f>IF(Agent05_Withdrawals!A210="","",Agent05_Withdrawals!E210)</f>
        <v/>
      </c>
      <c r="H1003" s="42" t="str">
        <f>IF(Agent05_Withdrawals!A210="","",Agent05_Withdrawals!G210)</f>
        <v/>
      </c>
      <c r="I1003" s="40" t="str">
        <f>IF(Agent05_Withdrawals!A210="","",Agent05_Withdrawals!H210)</f>
        <v/>
      </c>
      <c r="J1003" s="40" t="str">
        <f>IF(Agent05_Withdrawals!A210="","",Agent05_Withdrawals!J210)</f>
        <v/>
      </c>
      <c r="K1003" s="40" t="str">
        <f>IF(Agent05_Withdrawals!A210="","",Agent05_Withdrawals!K210)</f>
        <v/>
      </c>
      <c r="L1003" s="40" t="str">
        <f>IF(G1003="","",IF(D1003-G1003&gt;=System_Config!$B$9,"✅ OK","⚠️ BREACH"))</f>
        <v/>
      </c>
      <c r="M1003" s="40" t="str">
        <f>IFERROR(IF(Agent05_Withdrawals!A210="","",YEAR(Agent05_Withdrawals!D210)),"")</f>
        <v/>
      </c>
    </row>
    <row r="1004" spans="1:13" ht="18" customHeight="1" x14ac:dyDescent="0.25">
      <c r="A1004" s="40" t="str">
        <f>IF(Agent06_Withdrawals!A11="","",Agent06_Withdrawals!A11)</f>
        <v/>
      </c>
      <c r="B1004" s="40" t="str">
        <f ca="1">IF(Agent06_Withdrawals!A11="","","WD"&amp;TEXT(1004-3,"0000")&amp;"-"&amp;TEXT(TODAY(),"YYYYMMDD"))</f>
        <v/>
      </c>
      <c r="C1004" s="40" t="str">
        <f>IF(Agent06_Withdrawals!A11="","",Agent06_Withdrawals!B11)</f>
        <v/>
      </c>
      <c r="D1004" s="43" t="str">
        <f>IF(Agent06_Withdrawals!A11="","",Agent06_Withdrawals!C11)</f>
        <v/>
      </c>
      <c r="E1004" s="41" t="str">
        <f>IF(Agent06_Withdrawals!A11="","",Agent06_Withdrawals!D11)</f>
        <v/>
      </c>
      <c r="F1004" s="40" t="str">
        <f>IF(Agent06_Withdrawals!A11="","",Agent06_Withdrawals!F11)</f>
        <v/>
      </c>
      <c r="G1004" s="42" t="str">
        <f>IF(Agent06_Withdrawals!A11="","",Agent06_Withdrawals!E11)</f>
        <v/>
      </c>
      <c r="H1004" s="42" t="str">
        <f>IF(Agent06_Withdrawals!A11="","",Agent06_Withdrawals!G11)</f>
        <v/>
      </c>
      <c r="I1004" s="40" t="str">
        <f>IF(Agent06_Withdrawals!A11="","",Agent06_Withdrawals!H11)</f>
        <v/>
      </c>
      <c r="J1004" s="40" t="str">
        <f>IF(Agent06_Withdrawals!A11="","",Agent06_Withdrawals!J11)</f>
        <v/>
      </c>
      <c r="K1004" s="40" t="str">
        <f>IF(Agent06_Withdrawals!A11="","",Agent06_Withdrawals!K11)</f>
        <v/>
      </c>
      <c r="L1004" s="40" t="str">
        <f>IF(G1004="","",IF(D1004-G1004&gt;=System_Config!$B$9,"✅ OK","⚠️ BREACH"))</f>
        <v/>
      </c>
      <c r="M1004" s="40" t="str">
        <f>IFERROR(IF(Agent06_Withdrawals!A11="","",YEAR(Agent06_Withdrawals!D11)),"")</f>
        <v/>
      </c>
    </row>
    <row r="1005" spans="1:13" ht="18" customHeight="1" x14ac:dyDescent="0.25">
      <c r="A1005" s="40" t="str">
        <f>IF(Agent06_Withdrawals!A12="","",Agent06_Withdrawals!A12)</f>
        <v/>
      </c>
      <c r="B1005" s="40" t="str">
        <f ca="1">IF(Agent06_Withdrawals!A12="","","WD"&amp;TEXT(1005-3,"0000")&amp;"-"&amp;TEXT(TODAY(),"YYYYMMDD"))</f>
        <v/>
      </c>
      <c r="C1005" s="40" t="str">
        <f>IF(Agent06_Withdrawals!A12="","",Agent06_Withdrawals!B12)</f>
        <v/>
      </c>
      <c r="D1005" s="43" t="str">
        <f>IF(Agent06_Withdrawals!A12="","",Agent06_Withdrawals!C12)</f>
        <v/>
      </c>
      <c r="E1005" s="41" t="str">
        <f>IF(Agent06_Withdrawals!A12="","",Agent06_Withdrawals!D12)</f>
        <v/>
      </c>
      <c r="F1005" s="40" t="str">
        <f>IF(Agent06_Withdrawals!A12="","",Agent06_Withdrawals!F12)</f>
        <v/>
      </c>
      <c r="G1005" s="42" t="str">
        <f>IF(Agent06_Withdrawals!A12="","",Agent06_Withdrawals!E12)</f>
        <v/>
      </c>
      <c r="H1005" s="42" t="str">
        <f>IF(Agent06_Withdrawals!A12="","",Agent06_Withdrawals!G12)</f>
        <v/>
      </c>
      <c r="I1005" s="40" t="str">
        <f>IF(Agent06_Withdrawals!A12="","",Agent06_Withdrawals!H12)</f>
        <v/>
      </c>
      <c r="J1005" s="40" t="str">
        <f>IF(Agent06_Withdrawals!A12="","",Agent06_Withdrawals!J12)</f>
        <v/>
      </c>
      <c r="K1005" s="40" t="str">
        <f>IF(Agent06_Withdrawals!A12="","",Agent06_Withdrawals!K12)</f>
        <v/>
      </c>
      <c r="L1005" s="40" t="str">
        <f>IF(G1005="","",IF(D1005-G1005&gt;=System_Config!$B$9,"✅ OK","⚠️ BREACH"))</f>
        <v/>
      </c>
      <c r="M1005" s="40" t="str">
        <f>IFERROR(IF(Agent06_Withdrawals!A12="","",YEAR(Agent06_Withdrawals!D12)),"")</f>
        <v/>
      </c>
    </row>
    <row r="1006" spans="1:13" ht="18" customHeight="1" x14ac:dyDescent="0.25">
      <c r="A1006" s="40" t="str">
        <f>IF(Agent06_Withdrawals!A13="","",Agent06_Withdrawals!A13)</f>
        <v/>
      </c>
      <c r="B1006" s="40" t="str">
        <f ca="1">IF(Agent06_Withdrawals!A13="","","WD"&amp;TEXT(1006-3,"0000")&amp;"-"&amp;TEXT(TODAY(),"YYYYMMDD"))</f>
        <v/>
      </c>
      <c r="C1006" s="40" t="str">
        <f>IF(Agent06_Withdrawals!A13="","",Agent06_Withdrawals!B13)</f>
        <v/>
      </c>
      <c r="D1006" s="43" t="str">
        <f>IF(Agent06_Withdrawals!A13="","",Agent06_Withdrawals!C13)</f>
        <v/>
      </c>
      <c r="E1006" s="41" t="str">
        <f>IF(Agent06_Withdrawals!A13="","",Agent06_Withdrawals!D13)</f>
        <v/>
      </c>
      <c r="F1006" s="40" t="str">
        <f>IF(Agent06_Withdrawals!A13="","",Agent06_Withdrawals!F13)</f>
        <v/>
      </c>
      <c r="G1006" s="42" t="str">
        <f>IF(Agent06_Withdrawals!A13="","",Agent06_Withdrawals!E13)</f>
        <v/>
      </c>
      <c r="H1006" s="42" t="str">
        <f>IF(Agent06_Withdrawals!A13="","",Agent06_Withdrawals!G13)</f>
        <v/>
      </c>
      <c r="I1006" s="40" t="str">
        <f>IF(Agent06_Withdrawals!A13="","",Agent06_Withdrawals!H13)</f>
        <v/>
      </c>
      <c r="J1006" s="40" t="str">
        <f>IF(Agent06_Withdrawals!A13="","",Agent06_Withdrawals!J13)</f>
        <v/>
      </c>
      <c r="K1006" s="40" t="str">
        <f>IF(Agent06_Withdrawals!A13="","",Agent06_Withdrawals!K13)</f>
        <v/>
      </c>
      <c r="L1006" s="40" t="str">
        <f>IF(G1006="","",IF(D1006-G1006&gt;=System_Config!$B$9,"✅ OK","⚠️ BREACH"))</f>
        <v/>
      </c>
      <c r="M1006" s="40" t="str">
        <f>IFERROR(IF(Agent06_Withdrawals!A13="","",YEAR(Agent06_Withdrawals!D13)),"")</f>
        <v/>
      </c>
    </row>
    <row r="1007" spans="1:13" ht="18" customHeight="1" x14ac:dyDescent="0.25">
      <c r="A1007" s="40" t="str">
        <f>IF(Agent06_Withdrawals!A14="","",Agent06_Withdrawals!A14)</f>
        <v/>
      </c>
      <c r="B1007" s="40" t="str">
        <f ca="1">IF(Agent06_Withdrawals!A14="","","WD"&amp;TEXT(1007-3,"0000")&amp;"-"&amp;TEXT(TODAY(),"YYYYMMDD"))</f>
        <v/>
      </c>
      <c r="C1007" s="40" t="str">
        <f>IF(Agent06_Withdrawals!A14="","",Agent06_Withdrawals!B14)</f>
        <v/>
      </c>
      <c r="D1007" s="43" t="str">
        <f>IF(Agent06_Withdrawals!A14="","",Agent06_Withdrawals!C14)</f>
        <v/>
      </c>
      <c r="E1007" s="41" t="str">
        <f>IF(Agent06_Withdrawals!A14="","",Agent06_Withdrawals!D14)</f>
        <v/>
      </c>
      <c r="F1007" s="40" t="str">
        <f>IF(Agent06_Withdrawals!A14="","",Agent06_Withdrawals!F14)</f>
        <v/>
      </c>
      <c r="G1007" s="42" t="str">
        <f>IF(Agent06_Withdrawals!A14="","",Agent06_Withdrawals!E14)</f>
        <v/>
      </c>
      <c r="H1007" s="42" t="str">
        <f>IF(Agent06_Withdrawals!A14="","",Agent06_Withdrawals!G14)</f>
        <v/>
      </c>
      <c r="I1007" s="40" t="str">
        <f>IF(Agent06_Withdrawals!A14="","",Agent06_Withdrawals!H14)</f>
        <v/>
      </c>
      <c r="J1007" s="40" t="str">
        <f>IF(Agent06_Withdrawals!A14="","",Agent06_Withdrawals!J14)</f>
        <v/>
      </c>
      <c r="K1007" s="40" t="str">
        <f>IF(Agent06_Withdrawals!A14="","",Agent06_Withdrawals!K14)</f>
        <v/>
      </c>
      <c r="L1007" s="40" t="str">
        <f>IF(G1007="","",IF(D1007-G1007&gt;=System_Config!$B$9,"✅ OK","⚠️ BREACH"))</f>
        <v/>
      </c>
      <c r="M1007" s="40" t="str">
        <f>IFERROR(IF(Agent06_Withdrawals!A14="","",YEAR(Agent06_Withdrawals!D14)),"")</f>
        <v/>
      </c>
    </row>
    <row r="1008" spans="1:13" ht="18" customHeight="1" x14ac:dyDescent="0.25">
      <c r="A1008" s="40" t="str">
        <f>IF(Agent06_Withdrawals!A15="","",Agent06_Withdrawals!A15)</f>
        <v/>
      </c>
      <c r="B1008" s="40" t="str">
        <f ca="1">IF(Agent06_Withdrawals!A15="","","WD"&amp;TEXT(1008-3,"0000")&amp;"-"&amp;TEXT(TODAY(),"YYYYMMDD"))</f>
        <v/>
      </c>
      <c r="C1008" s="40" t="str">
        <f>IF(Agent06_Withdrawals!A15="","",Agent06_Withdrawals!B15)</f>
        <v/>
      </c>
      <c r="D1008" s="43" t="str">
        <f>IF(Agent06_Withdrawals!A15="","",Agent06_Withdrawals!C15)</f>
        <v/>
      </c>
      <c r="E1008" s="41" t="str">
        <f>IF(Agent06_Withdrawals!A15="","",Agent06_Withdrawals!D15)</f>
        <v/>
      </c>
      <c r="F1008" s="40" t="str">
        <f>IF(Agent06_Withdrawals!A15="","",Agent06_Withdrawals!F15)</f>
        <v/>
      </c>
      <c r="G1008" s="42" t="str">
        <f>IF(Agent06_Withdrawals!A15="","",Agent06_Withdrawals!E15)</f>
        <v/>
      </c>
      <c r="H1008" s="42" t="str">
        <f>IF(Agent06_Withdrawals!A15="","",Agent06_Withdrawals!G15)</f>
        <v/>
      </c>
      <c r="I1008" s="40" t="str">
        <f>IF(Agent06_Withdrawals!A15="","",Agent06_Withdrawals!H15)</f>
        <v/>
      </c>
      <c r="J1008" s="40" t="str">
        <f>IF(Agent06_Withdrawals!A15="","",Agent06_Withdrawals!J15)</f>
        <v/>
      </c>
      <c r="K1008" s="40" t="str">
        <f>IF(Agent06_Withdrawals!A15="","",Agent06_Withdrawals!K15)</f>
        <v/>
      </c>
      <c r="L1008" s="40" t="str">
        <f>IF(G1008="","",IF(D1008-G1008&gt;=System_Config!$B$9,"✅ OK","⚠️ BREACH"))</f>
        <v/>
      </c>
      <c r="M1008" s="40" t="str">
        <f>IFERROR(IF(Agent06_Withdrawals!A15="","",YEAR(Agent06_Withdrawals!D15)),"")</f>
        <v/>
      </c>
    </row>
    <row r="1009" spans="1:13" ht="18" customHeight="1" x14ac:dyDescent="0.25">
      <c r="A1009" s="40" t="str">
        <f>IF(Agent06_Withdrawals!A16="","",Agent06_Withdrawals!A16)</f>
        <v/>
      </c>
      <c r="B1009" s="40" t="str">
        <f ca="1">IF(Agent06_Withdrawals!A16="","","WD"&amp;TEXT(1009-3,"0000")&amp;"-"&amp;TEXT(TODAY(),"YYYYMMDD"))</f>
        <v/>
      </c>
      <c r="C1009" s="40" t="str">
        <f>IF(Agent06_Withdrawals!A16="","",Agent06_Withdrawals!B16)</f>
        <v/>
      </c>
      <c r="D1009" s="43" t="str">
        <f>IF(Agent06_Withdrawals!A16="","",Agent06_Withdrawals!C16)</f>
        <v/>
      </c>
      <c r="E1009" s="41" t="str">
        <f>IF(Agent06_Withdrawals!A16="","",Agent06_Withdrawals!D16)</f>
        <v/>
      </c>
      <c r="F1009" s="40" t="str">
        <f>IF(Agent06_Withdrawals!A16="","",Agent06_Withdrawals!F16)</f>
        <v/>
      </c>
      <c r="G1009" s="42" t="str">
        <f>IF(Agent06_Withdrawals!A16="","",Agent06_Withdrawals!E16)</f>
        <v/>
      </c>
      <c r="H1009" s="42" t="str">
        <f>IF(Agent06_Withdrawals!A16="","",Agent06_Withdrawals!G16)</f>
        <v/>
      </c>
      <c r="I1009" s="40" t="str">
        <f>IF(Agent06_Withdrawals!A16="","",Agent06_Withdrawals!H16)</f>
        <v/>
      </c>
      <c r="J1009" s="40" t="str">
        <f>IF(Agent06_Withdrawals!A16="","",Agent06_Withdrawals!J16)</f>
        <v/>
      </c>
      <c r="K1009" s="40" t="str">
        <f>IF(Agent06_Withdrawals!A16="","",Agent06_Withdrawals!K16)</f>
        <v/>
      </c>
      <c r="L1009" s="40" t="str">
        <f>IF(G1009="","",IF(D1009-G1009&gt;=System_Config!$B$9,"✅ OK","⚠️ BREACH"))</f>
        <v/>
      </c>
      <c r="M1009" s="40" t="str">
        <f>IFERROR(IF(Agent06_Withdrawals!A16="","",YEAR(Agent06_Withdrawals!D16)),"")</f>
        <v/>
      </c>
    </row>
    <row r="1010" spans="1:13" ht="18" customHeight="1" x14ac:dyDescent="0.25">
      <c r="A1010" s="40" t="str">
        <f>IF(Agent06_Withdrawals!A17="","",Agent06_Withdrawals!A17)</f>
        <v/>
      </c>
      <c r="B1010" s="40" t="str">
        <f ca="1">IF(Agent06_Withdrawals!A17="","","WD"&amp;TEXT(1010-3,"0000")&amp;"-"&amp;TEXT(TODAY(),"YYYYMMDD"))</f>
        <v/>
      </c>
      <c r="C1010" s="40" t="str">
        <f>IF(Agent06_Withdrawals!A17="","",Agent06_Withdrawals!B17)</f>
        <v/>
      </c>
      <c r="D1010" s="43" t="str">
        <f>IF(Agent06_Withdrawals!A17="","",Agent06_Withdrawals!C17)</f>
        <v/>
      </c>
      <c r="E1010" s="41" t="str">
        <f>IF(Agent06_Withdrawals!A17="","",Agent06_Withdrawals!D17)</f>
        <v/>
      </c>
      <c r="F1010" s="40" t="str">
        <f>IF(Agent06_Withdrawals!A17="","",Agent06_Withdrawals!F17)</f>
        <v/>
      </c>
      <c r="G1010" s="42" t="str">
        <f>IF(Agent06_Withdrawals!A17="","",Agent06_Withdrawals!E17)</f>
        <v/>
      </c>
      <c r="H1010" s="42" t="str">
        <f>IF(Agent06_Withdrawals!A17="","",Agent06_Withdrawals!G17)</f>
        <v/>
      </c>
      <c r="I1010" s="40" t="str">
        <f>IF(Agent06_Withdrawals!A17="","",Agent06_Withdrawals!H17)</f>
        <v/>
      </c>
      <c r="J1010" s="40" t="str">
        <f>IF(Agent06_Withdrawals!A17="","",Agent06_Withdrawals!J17)</f>
        <v/>
      </c>
      <c r="K1010" s="40" t="str">
        <f>IF(Agent06_Withdrawals!A17="","",Agent06_Withdrawals!K17)</f>
        <v/>
      </c>
      <c r="L1010" s="40" t="str">
        <f>IF(G1010="","",IF(D1010-G1010&gt;=System_Config!$B$9,"✅ OK","⚠️ BREACH"))</f>
        <v/>
      </c>
      <c r="M1010" s="40" t="str">
        <f>IFERROR(IF(Agent06_Withdrawals!A17="","",YEAR(Agent06_Withdrawals!D17)),"")</f>
        <v/>
      </c>
    </row>
    <row r="1011" spans="1:13" ht="18" customHeight="1" x14ac:dyDescent="0.25">
      <c r="A1011" s="40" t="str">
        <f>IF(Agent06_Withdrawals!A18="","",Agent06_Withdrawals!A18)</f>
        <v/>
      </c>
      <c r="B1011" s="40" t="str">
        <f ca="1">IF(Agent06_Withdrawals!A18="","","WD"&amp;TEXT(1011-3,"0000")&amp;"-"&amp;TEXT(TODAY(),"YYYYMMDD"))</f>
        <v/>
      </c>
      <c r="C1011" s="40" t="str">
        <f>IF(Agent06_Withdrawals!A18="","",Agent06_Withdrawals!B18)</f>
        <v/>
      </c>
      <c r="D1011" s="43" t="str">
        <f>IF(Agent06_Withdrawals!A18="","",Agent06_Withdrawals!C18)</f>
        <v/>
      </c>
      <c r="E1011" s="41" t="str">
        <f>IF(Agent06_Withdrawals!A18="","",Agent06_Withdrawals!D18)</f>
        <v/>
      </c>
      <c r="F1011" s="40" t="str">
        <f>IF(Agent06_Withdrawals!A18="","",Agent06_Withdrawals!F18)</f>
        <v/>
      </c>
      <c r="G1011" s="42" t="str">
        <f>IF(Agent06_Withdrawals!A18="","",Agent06_Withdrawals!E18)</f>
        <v/>
      </c>
      <c r="H1011" s="42" t="str">
        <f>IF(Agent06_Withdrawals!A18="","",Agent06_Withdrawals!G18)</f>
        <v/>
      </c>
      <c r="I1011" s="40" t="str">
        <f>IF(Agent06_Withdrawals!A18="","",Agent06_Withdrawals!H18)</f>
        <v/>
      </c>
      <c r="J1011" s="40" t="str">
        <f>IF(Agent06_Withdrawals!A18="","",Agent06_Withdrawals!J18)</f>
        <v/>
      </c>
      <c r="K1011" s="40" t="str">
        <f>IF(Agent06_Withdrawals!A18="","",Agent06_Withdrawals!K18)</f>
        <v/>
      </c>
      <c r="L1011" s="40" t="str">
        <f>IF(G1011="","",IF(D1011-G1011&gt;=System_Config!$B$9,"✅ OK","⚠️ BREACH"))</f>
        <v/>
      </c>
      <c r="M1011" s="40" t="str">
        <f>IFERROR(IF(Agent06_Withdrawals!A18="","",YEAR(Agent06_Withdrawals!D18)),"")</f>
        <v/>
      </c>
    </row>
    <row r="1012" spans="1:13" ht="18" customHeight="1" x14ac:dyDescent="0.25">
      <c r="A1012" s="40" t="str">
        <f>IF(Agent06_Withdrawals!A19="","",Agent06_Withdrawals!A19)</f>
        <v/>
      </c>
      <c r="B1012" s="40" t="str">
        <f ca="1">IF(Agent06_Withdrawals!A19="","","WD"&amp;TEXT(1012-3,"0000")&amp;"-"&amp;TEXT(TODAY(),"YYYYMMDD"))</f>
        <v/>
      </c>
      <c r="C1012" s="40" t="str">
        <f>IF(Agent06_Withdrawals!A19="","",Agent06_Withdrawals!B19)</f>
        <v/>
      </c>
      <c r="D1012" s="43" t="str">
        <f>IF(Agent06_Withdrawals!A19="","",Agent06_Withdrawals!C19)</f>
        <v/>
      </c>
      <c r="E1012" s="41" t="str">
        <f>IF(Agent06_Withdrawals!A19="","",Agent06_Withdrawals!D19)</f>
        <v/>
      </c>
      <c r="F1012" s="40" t="str">
        <f>IF(Agent06_Withdrawals!A19="","",Agent06_Withdrawals!F19)</f>
        <v/>
      </c>
      <c r="G1012" s="42" t="str">
        <f>IF(Agent06_Withdrawals!A19="","",Agent06_Withdrawals!E19)</f>
        <v/>
      </c>
      <c r="H1012" s="42" t="str">
        <f>IF(Agent06_Withdrawals!A19="","",Agent06_Withdrawals!G19)</f>
        <v/>
      </c>
      <c r="I1012" s="40" t="str">
        <f>IF(Agent06_Withdrawals!A19="","",Agent06_Withdrawals!H19)</f>
        <v/>
      </c>
      <c r="J1012" s="40" t="str">
        <f>IF(Agent06_Withdrawals!A19="","",Agent06_Withdrawals!J19)</f>
        <v/>
      </c>
      <c r="K1012" s="40" t="str">
        <f>IF(Agent06_Withdrawals!A19="","",Agent06_Withdrawals!K19)</f>
        <v/>
      </c>
      <c r="L1012" s="40" t="str">
        <f>IF(G1012="","",IF(D1012-G1012&gt;=System_Config!$B$9,"✅ OK","⚠️ BREACH"))</f>
        <v/>
      </c>
      <c r="M1012" s="40" t="str">
        <f>IFERROR(IF(Agent06_Withdrawals!A19="","",YEAR(Agent06_Withdrawals!D19)),"")</f>
        <v/>
      </c>
    </row>
    <row r="1013" spans="1:13" ht="18" customHeight="1" x14ac:dyDescent="0.25">
      <c r="A1013" s="40" t="str">
        <f>IF(Agent06_Withdrawals!A20="","",Agent06_Withdrawals!A20)</f>
        <v/>
      </c>
      <c r="B1013" s="40" t="str">
        <f ca="1">IF(Agent06_Withdrawals!A20="","","WD"&amp;TEXT(1013-3,"0000")&amp;"-"&amp;TEXT(TODAY(),"YYYYMMDD"))</f>
        <v/>
      </c>
      <c r="C1013" s="40" t="str">
        <f>IF(Agent06_Withdrawals!A20="","",Agent06_Withdrawals!B20)</f>
        <v/>
      </c>
      <c r="D1013" s="43" t="str">
        <f>IF(Agent06_Withdrawals!A20="","",Agent06_Withdrawals!C20)</f>
        <v/>
      </c>
      <c r="E1013" s="41" t="str">
        <f>IF(Agent06_Withdrawals!A20="","",Agent06_Withdrawals!D20)</f>
        <v/>
      </c>
      <c r="F1013" s="40" t="str">
        <f>IF(Agent06_Withdrawals!A20="","",Agent06_Withdrawals!F20)</f>
        <v/>
      </c>
      <c r="G1013" s="42" t="str">
        <f>IF(Agent06_Withdrawals!A20="","",Agent06_Withdrawals!E20)</f>
        <v/>
      </c>
      <c r="H1013" s="42" t="str">
        <f>IF(Agent06_Withdrawals!A20="","",Agent06_Withdrawals!G20)</f>
        <v/>
      </c>
      <c r="I1013" s="40" t="str">
        <f>IF(Agent06_Withdrawals!A20="","",Agent06_Withdrawals!H20)</f>
        <v/>
      </c>
      <c r="J1013" s="40" t="str">
        <f>IF(Agent06_Withdrawals!A20="","",Agent06_Withdrawals!J20)</f>
        <v/>
      </c>
      <c r="K1013" s="40" t="str">
        <f>IF(Agent06_Withdrawals!A20="","",Agent06_Withdrawals!K20)</f>
        <v/>
      </c>
      <c r="L1013" s="40" t="str">
        <f>IF(G1013="","",IF(D1013-G1013&gt;=System_Config!$B$9,"✅ OK","⚠️ BREACH"))</f>
        <v/>
      </c>
      <c r="M1013" s="40" t="str">
        <f>IFERROR(IF(Agent06_Withdrawals!A20="","",YEAR(Agent06_Withdrawals!D20)),"")</f>
        <v/>
      </c>
    </row>
    <row r="1014" spans="1:13" ht="18" customHeight="1" x14ac:dyDescent="0.25">
      <c r="A1014" s="40" t="str">
        <f>IF(Agent06_Withdrawals!A21="","",Agent06_Withdrawals!A21)</f>
        <v/>
      </c>
      <c r="B1014" s="40" t="str">
        <f ca="1">IF(Agent06_Withdrawals!A21="","","WD"&amp;TEXT(1014-3,"0000")&amp;"-"&amp;TEXT(TODAY(),"YYYYMMDD"))</f>
        <v/>
      </c>
      <c r="C1014" s="40" t="str">
        <f>IF(Agent06_Withdrawals!A21="","",Agent06_Withdrawals!B21)</f>
        <v/>
      </c>
      <c r="D1014" s="43" t="str">
        <f>IF(Agent06_Withdrawals!A21="","",Agent06_Withdrawals!C21)</f>
        <v/>
      </c>
      <c r="E1014" s="41" t="str">
        <f>IF(Agent06_Withdrawals!A21="","",Agent06_Withdrawals!D21)</f>
        <v/>
      </c>
      <c r="F1014" s="40" t="str">
        <f>IF(Agent06_Withdrawals!A21="","",Agent06_Withdrawals!F21)</f>
        <v/>
      </c>
      <c r="G1014" s="42" t="str">
        <f>IF(Agent06_Withdrawals!A21="","",Agent06_Withdrawals!E21)</f>
        <v/>
      </c>
      <c r="H1014" s="42" t="str">
        <f>IF(Agent06_Withdrawals!A21="","",Agent06_Withdrawals!G21)</f>
        <v/>
      </c>
      <c r="I1014" s="40" t="str">
        <f>IF(Agent06_Withdrawals!A21="","",Agent06_Withdrawals!H21)</f>
        <v/>
      </c>
      <c r="J1014" s="40" t="str">
        <f>IF(Agent06_Withdrawals!A21="","",Agent06_Withdrawals!J21)</f>
        <v/>
      </c>
      <c r="K1014" s="40" t="str">
        <f>IF(Agent06_Withdrawals!A21="","",Agent06_Withdrawals!K21)</f>
        <v/>
      </c>
      <c r="L1014" s="40" t="str">
        <f>IF(G1014="","",IF(D1014-G1014&gt;=System_Config!$B$9,"✅ OK","⚠️ BREACH"))</f>
        <v/>
      </c>
      <c r="M1014" s="40" t="str">
        <f>IFERROR(IF(Agent06_Withdrawals!A21="","",YEAR(Agent06_Withdrawals!D21)),"")</f>
        <v/>
      </c>
    </row>
    <row r="1015" spans="1:13" ht="18" customHeight="1" x14ac:dyDescent="0.25">
      <c r="A1015" s="40" t="str">
        <f>IF(Agent06_Withdrawals!A22="","",Agent06_Withdrawals!A22)</f>
        <v/>
      </c>
      <c r="B1015" s="40" t="str">
        <f ca="1">IF(Agent06_Withdrawals!A22="","","WD"&amp;TEXT(1015-3,"0000")&amp;"-"&amp;TEXT(TODAY(),"YYYYMMDD"))</f>
        <v/>
      </c>
      <c r="C1015" s="40" t="str">
        <f>IF(Agent06_Withdrawals!A22="","",Agent06_Withdrawals!B22)</f>
        <v/>
      </c>
      <c r="D1015" s="43" t="str">
        <f>IF(Agent06_Withdrawals!A22="","",Agent06_Withdrawals!C22)</f>
        <v/>
      </c>
      <c r="E1015" s="41" t="str">
        <f>IF(Agent06_Withdrawals!A22="","",Agent06_Withdrawals!D22)</f>
        <v/>
      </c>
      <c r="F1015" s="40" t="str">
        <f>IF(Agent06_Withdrawals!A22="","",Agent06_Withdrawals!F22)</f>
        <v/>
      </c>
      <c r="G1015" s="42" t="str">
        <f>IF(Agent06_Withdrawals!A22="","",Agent06_Withdrawals!E22)</f>
        <v/>
      </c>
      <c r="H1015" s="42" t="str">
        <f>IF(Agent06_Withdrawals!A22="","",Agent06_Withdrawals!G22)</f>
        <v/>
      </c>
      <c r="I1015" s="40" t="str">
        <f>IF(Agent06_Withdrawals!A22="","",Agent06_Withdrawals!H22)</f>
        <v/>
      </c>
      <c r="J1015" s="40" t="str">
        <f>IF(Agent06_Withdrawals!A22="","",Agent06_Withdrawals!J22)</f>
        <v/>
      </c>
      <c r="K1015" s="40" t="str">
        <f>IF(Agent06_Withdrawals!A22="","",Agent06_Withdrawals!K22)</f>
        <v/>
      </c>
      <c r="L1015" s="40" t="str">
        <f>IF(G1015="","",IF(D1015-G1015&gt;=System_Config!$B$9,"✅ OK","⚠️ BREACH"))</f>
        <v/>
      </c>
      <c r="M1015" s="40" t="str">
        <f>IFERROR(IF(Agent06_Withdrawals!A22="","",YEAR(Agent06_Withdrawals!D22)),"")</f>
        <v/>
      </c>
    </row>
    <row r="1016" spans="1:13" ht="18" customHeight="1" x14ac:dyDescent="0.25">
      <c r="A1016" s="40" t="str">
        <f>IF(Agent06_Withdrawals!A23="","",Agent06_Withdrawals!A23)</f>
        <v/>
      </c>
      <c r="B1016" s="40" t="str">
        <f ca="1">IF(Agent06_Withdrawals!A23="","","WD"&amp;TEXT(1016-3,"0000")&amp;"-"&amp;TEXT(TODAY(),"YYYYMMDD"))</f>
        <v/>
      </c>
      <c r="C1016" s="40" t="str">
        <f>IF(Agent06_Withdrawals!A23="","",Agent06_Withdrawals!B23)</f>
        <v/>
      </c>
      <c r="D1016" s="43" t="str">
        <f>IF(Agent06_Withdrawals!A23="","",Agent06_Withdrawals!C23)</f>
        <v/>
      </c>
      <c r="E1016" s="41" t="str">
        <f>IF(Agent06_Withdrawals!A23="","",Agent06_Withdrawals!D23)</f>
        <v/>
      </c>
      <c r="F1016" s="40" t="str">
        <f>IF(Agent06_Withdrawals!A23="","",Agent06_Withdrawals!F23)</f>
        <v/>
      </c>
      <c r="G1016" s="42" t="str">
        <f>IF(Agent06_Withdrawals!A23="","",Agent06_Withdrawals!E23)</f>
        <v/>
      </c>
      <c r="H1016" s="42" t="str">
        <f>IF(Agent06_Withdrawals!A23="","",Agent06_Withdrawals!G23)</f>
        <v/>
      </c>
      <c r="I1016" s="40" t="str">
        <f>IF(Agent06_Withdrawals!A23="","",Agent06_Withdrawals!H23)</f>
        <v/>
      </c>
      <c r="J1016" s="40" t="str">
        <f>IF(Agent06_Withdrawals!A23="","",Agent06_Withdrawals!J23)</f>
        <v/>
      </c>
      <c r="K1016" s="40" t="str">
        <f>IF(Agent06_Withdrawals!A23="","",Agent06_Withdrawals!K23)</f>
        <v/>
      </c>
      <c r="L1016" s="40" t="str">
        <f>IF(G1016="","",IF(D1016-G1016&gt;=System_Config!$B$9,"✅ OK","⚠️ BREACH"))</f>
        <v/>
      </c>
      <c r="M1016" s="40" t="str">
        <f>IFERROR(IF(Agent06_Withdrawals!A23="","",YEAR(Agent06_Withdrawals!D23)),"")</f>
        <v/>
      </c>
    </row>
    <row r="1017" spans="1:13" ht="18" customHeight="1" x14ac:dyDescent="0.25">
      <c r="A1017" s="40" t="str">
        <f>IF(Agent06_Withdrawals!A24="","",Agent06_Withdrawals!A24)</f>
        <v/>
      </c>
      <c r="B1017" s="40" t="str">
        <f ca="1">IF(Agent06_Withdrawals!A24="","","WD"&amp;TEXT(1017-3,"0000")&amp;"-"&amp;TEXT(TODAY(),"YYYYMMDD"))</f>
        <v/>
      </c>
      <c r="C1017" s="40" t="str">
        <f>IF(Agent06_Withdrawals!A24="","",Agent06_Withdrawals!B24)</f>
        <v/>
      </c>
      <c r="D1017" s="43" t="str">
        <f>IF(Agent06_Withdrawals!A24="","",Agent06_Withdrawals!C24)</f>
        <v/>
      </c>
      <c r="E1017" s="41" t="str">
        <f>IF(Agent06_Withdrawals!A24="","",Agent06_Withdrawals!D24)</f>
        <v/>
      </c>
      <c r="F1017" s="40" t="str">
        <f>IF(Agent06_Withdrawals!A24="","",Agent06_Withdrawals!F24)</f>
        <v/>
      </c>
      <c r="G1017" s="42" t="str">
        <f>IF(Agent06_Withdrawals!A24="","",Agent06_Withdrawals!E24)</f>
        <v/>
      </c>
      <c r="H1017" s="42" t="str">
        <f>IF(Agent06_Withdrawals!A24="","",Agent06_Withdrawals!G24)</f>
        <v/>
      </c>
      <c r="I1017" s="40" t="str">
        <f>IF(Agent06_Withdrawals!A24="","",Agent06_Withdrawals!H24)</f>
        <v/>
      </c>
      <c r="J1017" s="40" t="str">
        <f>IF(Agent06_Withdrawals!A24="","",Agent06_Withdrawals!J24)</f>
        <v/>
      </c>
      <c r="K1017" s="40" t="str">
        <f>IF(Agent06_Withdrawals!A24="","",Agent06_Withdrawals!K24)</f>
        <v/>
      </c>
      <c r="L1017" s="40" t="str">
        <f>IF(G1017="","",IF(D1017-G1017&gt;=System_Config!$B$9,"✅ OK","⚠️ BREACH"))</f>
        <v/>
      </c>
      <c r="M1017" s="40" t="str">
        <f>IFERROR(IF(Agent06_Withdrawals!A24="","",YEAR(Agent06_Withdrawals!D24)),"")</f>
        <v/>
      </c>
    </row>
    <row r="1018" spans="1:13" ht="18" customHeight="1" x14ac:dyDescent="0.25">
      <c r="A1018" s="40" t="str">
        <f>IF(Agent06_Withdrawals!A25="","",Agent06_Withdrawals!A25)</f>
        <v/>
      </c>
      <c r="B1018" s="40" t="str">
        <f ca="1">IF(Agent06_Withdrawals!A25="","","WD"&amp;TEXT(1018-3,"0000")&amp;"-"&amp;TEXT(TODAY(),"YYYYMMDD"))</f>
        <v/>
      </c>
      <c r="C1018" s="40" t="str">
        <f>IF(Agent06_Withdrawals!A25="","",Agent06_Withdrawals!B25)</f>
        <v/>
      </c>
      <c r="D1018" s="43" t="str">
        <f>IF(Agent06_Withdrawals!A25="","",Agent06_Withdrawals!C25)</f>
        <v/>
      </c>
      <c r="E1018" s="41" t="str">
        <f>IF(Agent06_Withdrawals!A25="","",Agent06_Withdrawals!D25)</f>
        <v/>
      </c>
      <c r="F1018" s="40" t="str">
        <f>IF(Agent06_Withdrawals!A25="","",Agent06_Withdrawals!F25)</f>
        <v/>
      </c>
      <c r="G1018" s="42" t="str">
        <f>IF(Agent06_Withdrawals!A25="","",Agent06_Withdrawals!E25)</f>
        <v/>
      </c>
      <c r="H1018" s="42" t="str">
        <f>IF(Agent06_Withdrawals!A25="","",Agent06_Withdrawals!G25)</f>
        <v/>
      </c>
      <c r="I1018" s="40" t="str">
        <f>IF(Agent06_Withdrawals!A25="","",Agent06_Withdrawals!H25)</f>
        <v/>
      </c>
      <c r="J1018" s="40" t="str">
        <f>IF(Agent06_Withdrawals!A25="","",Agent06_Withdrawals!J25)</f>
        <v/>
      </c>
      <c r="K1018" s="40" t="str">
        <f>IF(Agent06_Withdrawals!A25="","",Agent06_Withdrawals!K25)</f>
        <v/>
      </c>
      <c r="L1018" s="40" t="str">
        <f>IF(G1018="","",IF(D1018-G1018&gt;=System_Config!$B$9,"✅ OK","⚠️ BREACH"))</f>
        <v/>
      </c>
      <c r="M1018" s="40" t="str">
        <f>IFERROR(IF(Agent06_Withdrawals!A25="","",YEAR(Agent06_Withdrawals!D25)),"")</f>
        <v/>
      </c>
    </row>
    <row r="1019" spans="1:13" ht="18" customHeight="1" x14ac:dyDescent="0.25">
      <c r="A1019" s="40" t="str">
        <f>IF(Agent06_Withdrawals!A26="","",Agent06_Withdrawals!A26)</f>
        <v/>
      </c>
      <c r="B1019" s="40" t="str">
        <f ca="1">IF(Agent06_Withdrawals!A26="","","WD"&amp;TEXT(1019-3,"0000")&amp;"-"&amp;TEXT(TODAY(),"YYYYMMDD"))</f>
        <v/>
      </c>
      <c r="C1019" s="40" t="str">
        <f>IF(Agent06_Withdrawals!A26="","",Agent06_Withdrawals!B26)</f>
        <v/>
      </c>
      <c r="D1019" s="43" t="str">
        <f>IF(Agent06_Withdrawals!A26="","",Agent06_Withdrawals!C26)</f>
        <v/>
      </c>
      <c r="E1019" s="41" t="str">
        <f>IF(Agent06_Withdrawals!A26="","",Agent06_Withdrawals!D26)</f>
        <v/>
      </c>
      <c r="F1019" s="40" t="str">
        <f>IF(Agent06_Withdrawals!A26="","",Agent06_Withdrawals!F26)</f>
        <v/>
      </c>
      <c r="G1019" s="42" t="str">
        <f>IF(Agent06_Withdrawals!A26="","",Agent06_Withdrawals!E26)</f>
        <v/>
      </c>
      <c r="H1019" s="42" t="str">
        <f>IF(Agent06_Withdrawals!A26="","",Agent06_Withdrawals!G26)</f>
        <v/>
      </c>
      <c r="I1019" s="40" t="str">
        <f>IF(Agent06_Withdrawals!A26="","",Agent06_Withdrawals!H26)</f>
        <v/>
      </c>
      <c r="J1019" s="40" t="str">
        <f>IF(Agent06_Withdrawals!A26="","",Agent06_Withdrawals!J26)</f>
        <v/>
      </c>
      <c r="K1019" s="40" t="str">
        <f>IF(Agent06_Withdrawals!A26="","",Agent06_Withdrawals!K26)</f>
        <v/>
      </c>
      <c r="L1019" s="40" t="str">
        <f>IF(G1019="","",IF(D1019-G1019&gt;=System_Config!$B$9,"✅ OK","⚠️ BREACH"))</f>
        <v/>
      </c>
      <c r="M1019" s="40" t="str">
        <f>IFERROR(IF(Agent06_Withdrawals!A26="","",YEAR(Agent06_Withdrawals!D26)),"")</f>
        <v/>
      </c>
    </row>
    <row r="1020" spans="1:13" ht="18" customHeight="1" x14ac:dyDescent="0.25">
      <c r="A1020" s="40" t="str">
        <f>IF(Agent06_Withdrawals!A27="","",Agent06_Withdrawals!A27)</f>
        <v/>
      </c>
      <c r="B1020" s="40" t="str">
        <f ca="1">IF(Agent06_Withdrawals!A27="","","WD"&amp;TEXT(1020-3,"0000")&amp;"-"&amp;TEXT(TODAY(),"YYYYMMDD"))</f>
        <v/>
      </c>
      <c r="C1020" s="40" t="str">
        <f>IF(Agent06_Withdrawals!A27="","",Agent06_Withdrawals!B27)</f>
        <v/>
      </c>
      <c r="D1020" s="43" t="str">
        <f>IF(Agent06_Withdrawals!A27="","",Agent06_Withdrawals!C27)</f>
        <v/>
      </c>
      <c r="E1020" s="41" t="str">
        <f>IF(Agent06_Withdrawals!A27="","",Agent06_Withdrawals!D27)</f>
        <v/>
      </c>
      <c r="F1020" s="40" t="str">
        <f>IF(Agent06_Withdrawals!A27="","",Agent06_Withdrawals!F27)</f>
        <v/>
      </c>
      <c r="G1020" s="42" t="str">
        <f>IF(Agent06_Withdrawals!A27="","",Agent06_Withdrawals!E27)</f>
        <v/>
      </c>
      <c r="H1020" s="42" t="str">
        <f>IF(Agent06_Withdrawals!A27="","",Agent06_Withdrawals!G27)</f>
        <v/>
      </c>
      <c r="I1020" s="40" t="str">
        <f>IF(Agent06_Withdrawals!A27="","",Agent06_Withdrawals!H27)</f>
        <v/>
      </c>
      <c r="J1020" s="40" t="str">
        <f>IF(Agent06_Withdrawals!A27="","",Agent06_Withdrawals!J27)</f>
        <v/>
      </c>
      <c r="K1020" s="40" t="str">
        <f>IF(Agent06_Withdrawals!A27="","",Agent06_Withdrawals!K27)</f>
        <v/>
      </c>
      <c r="L1020" s="40" t="str">
        <f>IF(G1020="","",IF(D1020-G1020&gt;=System_Config!$B$9,"✅ OK","⚠️ BREACH"))</f>
        <v/>
      </c>
      <c r="M1020" s="40" t="str">
        <f>IFERROR(IF(Agent06_Withdrawals!A27="","",YEAR(Agent06_Withdrawals!D27)),"")</f>
        <v/>
      </c>
    </row>
    <row r="1021" spans="1:13" ht="18" customHeight="1" x14ac:dyDescent="0.25">
      <c r="A1021" s="40" t="str">
        <f>IF(Agent06_Withdrawals!A28="","",Agent06_Withdrawals!A28)</f>
        <v/>
      </c>
      <c r="B1021" s="40" t="str">
        <f ca="1">IF(Agent06_Withdrawals!A28="","","WD"&amp;TEXT(1021-3,"0000")&amp;"-"&amp;TEXT(TODAY(),"YYYYMMDD"))</f>
        <v/>
      </c>
      <c r="C1021" s="40" t="str">
        <f>IF(Agent06_Withdrawals!A28="","",Agent06_Withdrawals!B28)</f>
        <v/>
      </c>
      <c r="D1021" s="43" t="str">
        <f>IF(Agent06_Withdrawals!A28="","",Agent06_Withdrawals!C28)</f>
        <v/>
      </c>
      <c r="E1021" s="41" t="str">
        <f>IF(Agent06_Withdrawals!A28="","",Agent06_Withdrawals!D28)</f>
        <v/>
      </c>
      <c r="F1021" s="40" t="str">
        <f>IF(Agent06_Withdrawals!A28="","",Agent06_Withdrawals!F28)</f>
        <v/>
      </c>
      <c r="G1021" s="42" t="str">
        <f>IF(Agent06_Withdrawals!A28="","",Agent06_Withdrawals!E28)</f>
        <v/>
      </c>
      <c r="H1021" s="42" t="str">
        <f>IF(Agent06_Withdrawals!A28="","",Agent06_Withdrawals!G28)</f>
        <v/>
      </c>
      <c r="I1021" s="40" t="str">
        <f>IF(Agent06_Withdrawals!A28="","",Agent06_Withdrawals!H28)</f>
        <v/>
      </c>
      <c r="J1021" s="40" t="str">
        <f>IF(Agent06_Withdrawals!A28="","",Agent06_Withdrawals!J28)</f>
        <v/>
      </c>
      <c r="K1021" s="40" t="str">
        <f>IF(Agent06_Withdrawals!A28="","",Agent06_Withdrawals!K28)</f>
        <v/>
      </c>
      <c r="L1021" s="40" t="str">
        <f>IF(G1021="","",IF(D1021-G1021&gt;=System_Config!$B$9,"✅ OK","⚠️ BREACH"))</f>
        <v/>
      </c>
      <c r="M1021" s="40" t="str">
        <f>IFERROR(IF(Agent06_Withdrawals!A28="","",YEAR(Agent06_Withdrawals!D28)),"")</f>
        <v/>
      </c>
    </row>
    <row r="1022" spans="1:13" ht="18" customHeight="1" x14ac:dyDescent="0.25">
      <c r="A1022" s="40" t="str">
        <f>IF(Agent06_Withdrawals!A29="","",Agent06_Withdrawals!A29)</f>
        <v/>
      </c>
      <c r="B1022" s="40" t="str">
        <f ca="1">IF(Agent06_Withdrawals!A29="","","WD"&amp;TEXT(1022-3,"0000")&amp;"-"&amp;TEXT(TODAY(),"YYYYMMDD"))</f>
        <v/>
      </c>
      <c r="C1022" s="40" t="str">
        <f>IF(Agent06_Withdrawals!A29="","",Agent06_Withdrawals!B29)</f>
        <v/>
      </c>
      <c r="D1022" s="43" t="str">
        <f>IF(Agent06_Withdrawals!A29="","",Agent06_Withdrawals!C29)</f>
        <v/>
      </c>
      <c r="E1022" s="41" t="str">
        <f>IF(Agent06_Withdrawals!A29="","",Agent06_Withdrawals!D29)</f>
        <v/>
      </c>
      <c r="F1022" s="40" t="str">
        <f>IF(Agent06_Withdrawals!A29="","",Agent06_Withdrawals!F29)</f>
        <v/>
      </c>
      <c r="G1022" s="42" t="str">
        <f>IF(Agent06_Withdrawals!A29="","",Agent06_Withdrawals!E29)</f>
        <v/>
      </c>
      <c r="H1022" s="42" t="str">
        <f>IF(Agent06_Withdrawals!A29="","",Agent06_Withdrawals!G29)</f>
        <v/>
      </c>
      <c r="I1022" s="40" t="str">
        <f>IF(Agent06_Withdrawals!A29="","",Agent06_Withdrawals!H29)</f>
        <v/>
      </c>
      <c r="J1022" s="40" t="str">
        <f>IF(Agent06_Withdrawals!A29="","",Agent06_Withdrawals!J29)</f>
        <v/>
      </c>
      <c r="K1022" s="40" t="str">
        <f>IF(Agent06_Withdrawals!A29="","",Agent06_Withdrawals!K29)</f>
        <v/>
      </c>
      <c r="L1022" s="40" t="str">
        <f>IF(G1022="","",IF(D1022-G1022&gt;=System_Config!$B$9,"✅ OK","⚠️ BREACH"))</f>
        <v/>
      </c>
      <c r="M1022" s="40" t="str">
        <f>IFERROR(IF(Agent06_Withdrawals!A29="","",YEAR(Agent06_Withdrawals!D29)),"")</f>
        <v/>
      </c>
    </row>
    <row r="1023" spans="1:13" ht="18" customHeight="1" x14ac:dyDescent="0.25">
      <c r="A1023" s="40" t="str">
        <f>IF(Agent06_Withdrawals!A30="","",Agent06_Withdrawals!A30)</f>
        <v/>
      </c>
      <c r="B1023" s="40" t="str">
        <f ca="1">IF(Agent06_Withdrawals!A30="","","WD"&amp;TEXT(1023-3,"0000")&amp;"-"&amp;TEXT(TODAY(),"YYYYMMDD"))</f>
        <v/>
      </c>
      <c r="C1023" s="40" t="str">
        <f>IF(Agent06_Withdrawals!A30="","",Agent06_Withdrawals!B30)</f>
        <v/>
      </c>
      <c r="D1023" s="43" t="str">
        <f>IF(Agent06_Withdrawals!A30="","",Agent06_Withdrawals!C30)</f>
        <v/>
      </c>
      <c r="E1023" s="41" t="str">
        <f>IF(Agent06_Withdrawals!A30="","",Agent06_Withdrawals!D30)</f>
        <v/>
      </c>
      <c r="F1023" s="40" t="str">
        <f>IF(Agent06_Withdrawals!A30="","",Agent06_Withdrawals!F30)</f>
        <v/>
      </c>
      <c r="G1023" s="42" t="str">
        <f>IF(Agent06_Withdrawals!A30="","",Agent06_Withdrawals!E30)</f>
        <v/>
      </c>
      <c r="H1023" s="42" t="str">
        <f>IF(Agent06_Withdrawals!A30="","",Agent06_Withdrawals!G30)</f>
        <v/>
      </c>
      <c r="I1023" s="40" t="str">
        <f>IF(Agent06_Withdrawals!A30="","",Agent06_Withdrawals!H30)</f>
        <v/>
      </c>
      <c r="J1023" s="40" t="str">
        <f>IF(Agent06_Withdrawals!A30="","",Agent06_Withdrawals!J30)</f>
        <v/>
      </c>
      <c r="K1023" s="40" t="str">
        <f>IF(Agent06_Withdrawals!A30="","",Agent06_Withdrawals!K30)</f>
        <v/>
      </c>
      <c r="L1023" s="40" t="str">
        <f>IF(G1023="","",IF(D1023-G1023&gt;=System_Config!$B$9,"✅ OK","⚠️ BREACH"))</f>
        <v/>
      </c>
      <c r="M1023" s="40" t="str">
        <f>IFERROR(IF(Agent06_Withdrawals!A30="","",YEAR(Agent06_Withdrawals!D30)),"")</f>
        <v/>
      </c>
    </row>
    <row r="1024" spans="1:13" ht="18" customHeight="1" x14ac:dyDescent="0.25">
      <c r="A1024" s="40" t="str">
        <f>IF(Agent06_Withdrawals!A31="","",Agent06_Withdrawals!A31)</f>
        <v/>
      </c>
      <c r="B1024" s="40" t="str">
        <f ca="1">IF(Agent06_Withdrawals!A31="","","WD"&amp;TEXT(1024-3,"0000")&amp;"-"&amp;TEXT(TODAY(),"YYYYMMDD"))</f>
        <v/>
      </c>
      <c r="C1024" s="40" t="str">
        <f>IF(Agent06_Withdrawals!A31="","",Agent06_Withdrawals!B31)</f>
        <v/>
      </c>
      <c r="D1024" s="43" t="str">
        <f>IF(Agent06_Withdrawals!A31="","",Agent06_Withdrawals!C31)</f>
        <v/>
      </c>
      <c r="E1024" s="41" t="str">
        <f>IF(Agent06_Withdrawals!A31="","",Agent06_Withdrawals!D31)</f>
        <v/>
      </c>
      <c r="F1024" s="40" t="str">
        <f>IF(Agent06_Withdrawals!A31="","",Agent06_Withdrawals!F31)</f>
        <v/>
      </c>
      <c r="G1024" s="42" t="str">
        <f>IF(Agent06_Withdrawals!A31="","",Agent06_Withdrawals!E31)</f>
        <v/>
      </c>
      <c r="H1024" s="42" t="str">
        <f>IF(Agent06_Withdrawals!A31="","",Agent06_Withdrawals!G31)</f>
        <v/>
      </c>
      <c r="I1024" s="40" t="str">
        <f>IF(Agent06_Withdrawals!A31="","",Agent06_Withdrawals!H31)</f>
        <v/>
      </c>
      <c r="J1024" s="40" t="str">
        <f>IF(Agent06_Withdrawals!A31="","",Agent06_Withdrawals!J31)</f>
        <v/>
      </c>
      <c r="K1024" s="40" t="str">
        <f>IF(Agent06_Withdrawals!A31="","",Agent06_Withdrawals!K31)</f>
        <v/>
      </c>
      <c r="L1024" s="40" t="str">
        <f>IF(G1024="","",IF(D1024-G1024&gt;=System_Config!$B$9,"✅ OK","⚠️ BREACH"))</f>
        <v/>
      </c>
      <c r="M1024" s="40" t="str">
        <f>IFERROR(IF(Agent06_Withdrawals!A31="","",YEAR(Agent06_Withdrawals!D31)),"")</f>
        <v/>
      </c>
    </row>
    <row r="1025" spans="1:13" ht="18" customHeight="1" x14ac:dyDescent="0.25">
      <c r="A1025" s="40" t="str">
        <f>IF(Agent06_Withdrawals!A32="","",Agent06_Withdrawals!A32)</f>
        <v/>
      </c>
      <c r="B1025" s="40" t="str">
        <f ca="1">IF(Agent06_Withdrawals!A32="","","WD"&amp;TEXT(1025-3,"0000")&amp;"-"&amp;TEXT(TODAY(),"YYYYMMDD"))</f>
        <v/>
      </c>
      <c r="C1025" s="40" t="str">
        <f>IF(Agent06_Withdrawals!A32="","",Agent06_Withdrawals!B32)</f>
        <v/>
      </c>
      <c r="D1025" s="43" t="str">
        <f>IF(Agent06_Withdrawals!A32="","",Agent06_Withdrawals!C32)</f>
        <v/>
      </c>
      <c r="E1025" s="41" t="str">
        <f>IF(Agent06_Withdrawals!A32="","",Agent06_Withdrawals!D32)</f>
        <v/>
      </c>
      <c r="F1025" s="40" t="str">
        <f>IF(Agent06_Withdrawals!A32="","",Agent06_Withdrawals!F32)</f>
        <v/>
      </c>
      <c r="G1025" s="42" t="str">
        <f>IF(Agent06_Withdrawals!A32="","",Agent06_Withdrawals!E32)</f>
        <v/>
      </c>
      <c r="H1025" s="42" t="str">
        <f>IF(Agent06_Withdrawals!A32="","",Agent06_Withdrawals!G32)</f>
        <v/>
      </c>
      <c r="I1025" s="40" t="str">
        <f>IF(Agent06_Withdrawals!A32="","",Agent06_Withdrawals!H32)</f>
        <v/>
      </c>
      <c r="J1025" s="40" t="str">
        <f>IF(Agent06_Withdrawals!A32="","",Agent06_Withdrawals!J32)</f>
        <v/>
      </c>
      <c r="K1025" s="40" t="str">
        <f>IF(Agent06_Withdrawals!A32="","",Agent06_Withdrawals!K32)</f>
        <v/>
      </c>
      <c r="L1025" s="40" t="str">
        <f>IF(G1025="","",IF(D1025-G1025&gt;=System_Config!$B$9,"✅ OK","⚠️ BREACH"))</f>
        <v/>
      </c>
      <c r="M1025" s="40" t="str">
        <f>IFERROR(IF(Agent06_Withdrawals!A32="","",YEAR(Agent06_Withdrawals!D32)),"")</f>
        <v/>
      </c>
    </row>
    <row r="1026" spans="1:13" ht="18" customHeight="1" x14ac:dyDescent="0.25">
      <c r="A1026" s="40" t="str">
        <f>IF(Agent06_Withdrawals!A33="","",Agent06_Withdrawals!A33)</f>
        <v/>
      </c>
      <c r="B1026" s="40" t="str">
        <f ca="1">IF(Agent06_Withdrawals!A33="","","WD"&amp;TEXT(1026-3,"0000")&amp;"-"&amp;TEXT(TODAY(),"YYYYMMDD"))</f>
        <v/>
      </c>
      <c r="C1026" s="40" t="str">
        <f>IF(Agent06_Withdrawals!A33="","",Agent06_Withdrawals!B33)</f>
        <v/>
      </c>
      <c r="D1026" s="43" t="str">
        <f>IF(Agent06_Withdrawals!A33="","",Agent06_Withdrawals!C33)</f>
        <v/>
      </c>
      <c r="E1026" s="41" t="str">
        <f>IF(Agent06_Withdrawals!A33="","",Agent06_Withdrawals!D33)</f>
        <v/>
      </c>
      <c r="F1026" s="40" t="str">
        <f>IF(Agent06_Withdrawals!A33="","",Agent06_Withdrawals!F33)</f>
        <v/>
      </c>
      <c r="G1026" s="42" t="str">
        <f>IF(Agent06_Withdrawals!A33="","",Agent06_Withdrawals!E33)</f>
        <v/>
      </c>
      <c r="H1026" s="42" t="str">
        <f>IF(Agent06_Withdrawals!A33="","",Agent06_Withdrawals!G33)</f>
        <v/>
      </c>
      <c r="I1026" s="40" t="str">
        <f>IF(Agent06_Withdrawals!A33="","",Agent06_Withdrawals!H33)</f>
        <v/>
      </c>
      <c r="J1026" s="40" t="str">
        <f>IF(Agent06_Withdrawals!A33="","",Agent06_Withdrawals!J33)</f>
        <v/>
      </c>
      <c r="K1026" s="40" t="str">
        <f>IF(Agent06_Withdrawals!A33="","",Agent06_Withdrawals!K33)</f>
        <v/>
      </c>
      <c r="L1026" s="40" t="str">
        <f>IF(G1026="","",IF(D1026-G1026&gt;=System_Config!$B$9,"✅ OK","⚠️ BREACH"))</f>
        <v/>
      </c>
      <c r="M1026" s="40" t="str">
        <f>IFERROR(IF(Agent06_Withdrawals!A33="","",YEAR(Agent06_Withdrawals!D33)),"")</f>
        <v/>
      </c>
    </row>
    <row r="1027" spans="1:13" ht="18" customHeight="1" x14ac:dyDescent="0.25">
      <c r="A1027" s="40" t="str">
        <f>IF(Agent06_Withdrawals!A34="","",Agent06_Withdrawals!A34)</f>
        <v/>
      </c>
      <c r="B1027" s="40" t="str">
        <f ca="1">IF(Agent06_Withdrawals!A34="","","WD"&amp;TEXT(1027-3,"0000")&amp;"-"&amp;TEXT(TODAY(),"YYYYMMDD"))</f>
        <v/>
      </c>
      <c r="C1027" s="40" t="str">
        <f>IF(Agent06_Withdrawals!A34="","",Agent06_Withdrawals!B34)</f>
        <v/>
      </c>
      <c r="D1027" s="43" t="str">
        <f>IF(Agent06_Withdrawals!A34="","",Agent06_Withdrawals!C34)</f>
        <v/>
      </c>
      <c r="E1027" s="41" t="str">
        <f>IF(Agent06_Withdrawals!A34="","",Agent06_Withdrawals!D34)</f>
        <v/>
      </c>
      <c r="F1027" s="40" t="str">
        <f>IF(Agent06_Withdrawals!A34="","",Agent06_Withdrawals!F34)</f>
        <v/>
      </c>
      <c r="G1027" s="42" t="str">
        <f>IF(Agent06_Withdrawals!A34="","",Agent06_Withdrawals!E34)</f>
        <v/>
      </c>
      <c r="H1027" s="42" t="str">
        <f>IF(Agent06_Withdrawals!A34="","",Agent06_Withdrawals!G34)</f>
        <v/>
      </c>
      <c r="I1027" s="40" t="str">
        <f>IF(Agent06_Withdrawals!A34="","",Agent06_Withdrawals!H34)</f>
        <v/>
      </c>
      <c r="J1027" s="40" t="str">
        <f>IF(Agent06_Withdrawals!A34="","",Agent06_Withdrawals!J34)</f>
        <v/>
      </c>
      <c r="K1027" s="40" t="str">
        <f>IF(Agent06_Withdrawals!A34="","",Agent06_Withdrawals!K34)</f>
        <v/>
      </c>
      <c r="L1027" s="40" t="str">
        <f>IF(G1027="","",IF(D1027-G1027&gt;=System_Config!$B$9,"✅ OK","⚠️ BREACH"))</f>
        <v/>
      </c>
      <c r="M1027" s="40" t="str">
        <f>IFERROR(IF(Agent06_Withdrawals!A34="","",YEAR(Agent06_Withdrawals!D34)),"")</f>
        <v/>
      </c>
    </row>
    <row r="1028" spans="1:13" ht="18" customHeight="1" x14ac:dyDescent="0.25">
      <c r="A1028" s="40" t="str">
        <f>IF(Agent06_Withdrawals!A35="","",Agent06_Withdrawals!A35)</f>
        <v/>
      </c>
      <c r="B1028" s="40" t="str">
        <f ca="1">IF(Agent06_Withdrawals!A35="","","WD"&amp;TEXT(1028-3,"0000")&amp;"-"&amp;TEXT(TODAY(),"YYYYMMDD"))</f>
        <v/>
      </c>
      <c r="C1028" s="40" t="str">
        <f>IF(Agent06_Withdrawals!A35="","",Agent06_Withdrawals!B35)</f>
        <v/>
      </c>
      <c r="D1028" s="43" t="str">
        <f>IF(Agent06_Withdrawals!A35="","",Agent06_Withdrawals!C35)</f>
        <v/>
      </c>
      <c r="E1028" s="41" t="str">
        <f>IF(Agent06_Withdrawals!A35="","",Agent06_Withdrawals!D35)</f>
        <v/>
      </c>
      <c r="F1028" s="40" t="str">
        <f>IF(Agent06_Withdrawals!A35="","",Agent06_Withdrawals!F35)</f>
        <v/>
      </c>
      <c r="G1028" s="42" t="str">
        <f>IF(Agent06_Withdrawals!A35="","",Agent06_Withdrawals!E35)</f>
        <v/>
      </c>
      <c r="H1028" s="42" t="str">
        <f>IF(Agent06_Withdrawals!A35="","",Agent06_Withdrawals!G35)</f>
        <v/>
      </c>
      <c r="I1028" s="40" t="str">
        <f>IF(Agent06_Withdrawals!A35="","",Agent06_Withdrawals!H35)</f>
        <v/>
      </c>
      <c r="J1028" s="40" t="str">
        <f>IF(Agent06_Withdrawals!A35="","",Agent06_Withdrawals!J35)</f>
        <v/>
      </c>
      <c r="K1028" s="40" t="str">
        <f>IF(Agent06_Withdrawals!A35="","",Agent06_Withdrawals!K35)</f>
        <v/>
      </c>
      <c r="L1028" s="40" t="str">
        <f>IF(G1028="","",IF(D1028-G1028&gt;=System_Config!$B$9,"✅ OK","⚠️ BREACH"))</f>
        <v/>
      </c>
      <c r="M1028" s="40" t="str">
        <f>IFERROR(IF(Agent06_Withdrawals!A35="","",YEAR(Agent06_Withdrawals!D35)),"")</f>
        <v/>
      </c>
    </row>
    <row r="1029" spans="1:13" ht="18" customHeight="1" x14ac:dyDescent="0.25">
      <c r="A1029" s="40" t="str">
        <f>IF(Agent06_Withdrawals!A36="","",Agent06_Withdrawals!A36)</f>
        <v/>
      </c>
      <c r="B1029" s="40" t="str">
        <f ca="1">IF(Agent06_Withdrawals!A36="","","WD"&amp;TEXT(1029-3,"0000")&amp;"-"&amp;TEXT(TODAY(),"YYYYMMDD"))</f>
        <v/>
      </c>
      <c r="C1029" s="40" t="str">
        <f>IF(Agent06_Withdrawals!A36="","",Agent06_Withdrawals!B36)</f>
        <v/>
      </c>
      <c r="D1029" s="43" t="str">
        <f>IF(Agent06_Withdrawals!A36="","",Agent06_Withdrawals!C36)</f>
        <v/>
      </c>
      <c r="E1029" s="41" t="str">
        <f>IF(Agent06_Withdrawals!A36="","",Agent06_Withdrawals!D36)</f>
        <v/>
      </c>
      <c r="F1029" s="40" t="str">
        <f>IF(Agent06_Withdrawals!A36="","",Agent06_Withdrawals!F36)</f>
        <v/>
      </c>
      <c r="G1029" s="42" t="str">
        <f>IF(Agent06_Withdrawals!A36="","",Agent06_Withdrawals!E36)</f>
        <v/>
      </c>
      <c r="H1029" s="42" t="str">
        <f>IF(Agent06_Withdrawals!A36="","",Agent06_Withdrawals!G36)</f>
        <v/>
      </c>
      <c r="I1029" s="40" t="str">
        <f>IF(Agent06_Withdrawals!A36="","",Agent06_Withdrawals!H36)</f>
        <v/>
      </c>
      <c r="J1029" s="40" t="str">
        <f>IF(Agent06_Withdrawals!A36="","",Agent06_Withdrawals!J36)</f>
        <v/>
      </c>
      <c r="K1029" s="40" t="str">
        <f>IF(Agent06_Withdrawals!A36="","",Agent06_Withdrawals!K36)</f>
        <v/>
      </c>
      <c r="L1029" s="40" t="str">
        <f>IF(G1029="","",IF(D1029-G1029&gt;=System_Config!$B$9,"✅ OK","⚠️ BREACH"))</f>
        <v/>
      </c>
      <c r="M1029" s="40" t="str">
        <f>IFERROR(IF(Agent06_Withdrawals!A36="","",YEAR(Agent06_Withdrawals!D36)),"")</f>
        <v/>
      </c>
    </row>
    <row r="1030" spans="1:13" ht="18" customHeight="1" x14ac:dyDescent="0.25">
      <c r="A1030" s="40" t="str">
        <f>IF(Agent06_Withdrawals!A37="","",Agent06_Withdrawals!A37)</f>
        <v/>
      </c>
      <c r="B1030" s="40" t="str">
        <f ca="1">IF(Agent06_Withdrawals!A37="","","WD"&amp;TEXT(1030-3,"0000")&amp;"-"&amp;TEXT(TODAY(),"YYYYMMDD"))</f>
        <v/>
      </c>
      <c r="C1030" s="40" t="str">
        <f>IF(Agent06_Withdrawals!A37="","",Agent06_Withdrawals!B37)</f>
        <v/>
      </c>
      <c r="D1030" s="43" t="str">
        <f>IF(Agent06_Withdrawals!A37="","",Agent06_Withdrawals!C37)</f>
        <v/>
      </c>
      <c r="E1030" s="41" t="str">
        <f>IF(Agent06_Withdrawals!A37="","",Agent06_Withdrawals!D37)</f>
        <v/>
      </c>
      <c r="F1030" s="40" t="str">
        <f>IF(Agent06_Withdrawals!A37="","",Agent06_Withdrawals!F37)</f>
        <v/>
      </c>
      <c r="G1030" s="42" t="str">
        <f>IF(Agent06_Withdrawals!A37="","",Agent06_Withdrawals!E37)</f>
        <v/>
      </c>
      <c r="H1030" s="42" t="str">
        <f>IF(Agent06_Withdrawals!A37="","",Agent06_Withdrawals!G37)</f>
        <v/>
      </c>
      <c r="I1030" s="40" t="str">
        <f>IF(Agent06_Withdrawals!A37="","",Agent06_Withdrawals!H37)</f>
        <v/>
      </c>
      <c r="J1030" s="40" t="str">
        <f>IF(Agent06_Withdrawals!A37="","",Agent06_Withdrawals!J37)</f>
        <v/>
      </c>
      <c r="K1030" s="40" t="str">
        <f>IF(Agent06_Withdrawals!A37="","",Agent06_Withdrawals!K37)</f>
        <v/>
      </c>
      <c r="L1030" s="40" t="str">
        <f>IF(G1030="","",IF(D1030-G1030&gt;=System_Config!$B$9,"✅ OK","⚠️ BREACH"))</f>
        <v/>
      </c>
      <c r="M1030" s="40" t="str">
        <f>IFERROR(IF(Agent06_Withdrawals!A37="","",YEAR(Agent06_Withdrawals!D37)),"")</f>
        <v/>
      </c>
    </row>
    <row r="1031" spans="1:13" ht="18" customHeight="1" x14ac:dyDescent="0.25">
      <c r="A1031" s="40" t="str">
        <f>IF(Agent06_Withdrawals!A38="","",Agent06_Withdrawals!A38)</f>
        <v/>
      </c>
      <c r="B1031" s="40" t="str">
        <f ca="1">IF(Agent06_Withdrawals!A38="","","WD"&amp;TEXT(1031-3,"0000")&amp;"-"&amp;TEXT(TODAY(),"YYYYMMDD"))</f>
        <v/>
      </c>
      <c r="C1031" s="40" t="str">
        <f>IF(Agent06_Withdrawals!A38="","",Agent06_Withdrawals!B38)</f>
        <v/>
      </c>
      <c r="D1031" s="43" t="str">
        <f>IF(Agent06_Withdrawals!A38="","",Agent06_Withdrawals!C38)</f>
        <v/>
      </c>
      <c r="E1031" s="41" t="str">
        <f>IF(Agent06_Withdrawals!A38="","",Agent06_Withdrawals!D38)</f>
        <v/>
      </c>
      <c r="F1031" s="40" t="str">
        <f>IF(Agent06_Withdrawals!A38="","",Agent06_Withdrawals!F38)</f>
        <v/>
      </c>
      <c r="G1031" s="42" t="str">
        <f>IF(Agent06_Withdrawals!A38="","",Agent06_Withdrawals!E38)</f>
        <v/>
      </c>
      <c r="H1031" s="42" t="str">
        <f>IF(Agent06_Withdrawals!A38="","",Agent06_Withdrawals!G38)</f>
        <v/>
      </c>
      <c r="I1031" s="40" t="str">
        <f>IF(Agent06_Withdrawals!A38="","",Agent06_Withdrawals!H38)</f>
        <v/>
      </c>
      <c r="J1031" s="40" t="str">
        <f>IF(Agent06_Withdrawals!A38="","",Agent06_Withdrawals!J38)</f>
        <v/>
      </c>
      <c r="K1031" s="40" t="str">
        <f>IF(Agent06_Withdrawals!A38="","",Agent06_Withdrawals!K38)</f>
        <v/>
      </c>
      <c r="L1031" s="40" t="str">
        <f>IF(G1031="","",IF(D1031-G1031&gt;=System_Config!$B$9,"✅ OK","⚠️ BREACH"))</f>
        <v/>
      </c>
      <c r="M1031" s="40" t="str">
        <f>IFERROR(IF(Agent06_Withdrawals!A38="","",YEAR(Agent06_Withdrawals!D38)),"")</f>
        <v/>
      </c>
    </row>
    <row r="1032" spans="1:13" ht="18" customHeight="1" x14ac:dyDescent="0.25">
      <c r="A1032" s="40" t="str">
        <f>IF(Agent06_Withdrawals!A39="","",Agent06_Withdrawals!A39)</f>
        <v/>
      </c>
      <c r="B1032" s="40" t="str">
        <f ca="1">IF(Agent06_Withdrawals!A39="","","WD"&amp;TEXT(1032-3,"0000")&amp;"-"&amp;TEXT(TODAY(),"YYYYMMDD"))</f>
        <v/>
      </c>
      <c r="C1032" s="40" t="str">
        <f>IF(Agent06_Withdrawals!A39="","",Agent06_Withdrawals!B39)</f>
        <v/>
      </c>
      <c r="D1032" s="43" t="str">
        <f>IF(Agent06_Withdrawals!A39="","",Agent06_Withdrawals!C39)</f>
        <v/>
      </c>
      <c r="E1032" s="41" t="str">
        <f>IF(Agent06_Withdrawals!A39="","",Agent06_Withdrawals!D39)</f>
        <v/>
      </c>
      <c r="F1032" s="40" t="str">
        <f>IF(Agent06_Withdrawals!A39="","",Agent06_Withdrawals!F39)</f>
        <v/>
      </c>
      <c r="G1032" s="42" t="str">
        <f>IF(Agent06_Withdrawals!A39="","",Agent06_Withdrawals!E39)</f>
        <v/>
      </c>
      <c r="H1032" s="42" t="str">
        <f>IF(Agent06_Withdrawals!A39="","",Agent06_Withdrawals!G39)</f>
        <v/>
      </c>
      <c r="I1032" s="40" t="str">
        <f>IF(Agent06_Withdrawals!A39="","",Agent06_Withdrawals!H39)</f>
        <v/>
      </c>
      <c r="J1032" s="40" t="str">
        <f>IF(Agent06_Withdrawals!A39="","",Agent06_Withdrawals!J39)</f>
        <v/>
      </c>
      <c r="K1032" s="40" t="str">
        <f>IF(Agent06_Withdrawals!A39="","",Agent06_Withdrawals!K39)</f>
        <v/>
      </c>
      <c r="L1032" s="40" t="str">
        <f>IF(G1032="","",IF(D1032-G1032&gt;=System_Config!$B$9,"✅ OK","⚠️ BREACH"))</f>
        <v/>
      </c>
      <c r="M1032" s="40" t="str">
        <f>IFERROR(IF(Agent06_Withdrawals!A39="","",YEAR(Agent06_Withdrawals!D39)),"")</f>
        <v/>
      </c>
    </row>
    <row r="1033" spans="1:13" ht="18" customHeight="1" x14ac:dyDescent="0.25">
      <c r="A1033" s="40" t="str">
        <f>IF(Agent06_Withdrawals!A40="","",Agent06_Withdrawals!A40)</f>
        <v/>
      </c>
      <c r="B1033" s="40" t="str">
        <f ca="1">IF(Agent06_Withdrawals!A40="","","WD"&amp;TEXT(1033-3,"0000")&amp;"-"&amp;TEXT(TODAY(),"YYYYMMDD"))</f>
        <v/>
      </c>
      <c r="C1033" s="40" t="str">
        <f>IF(Agent06_Withdrawals!A40="","",Agent06_Withdrawals!B40)</f>
        <v/>
      </c>
      <c r="D1033" s="43" t="str">
        <f>IF(Agent06_Withdrawals!A40="","",Agent06_Withdrawals!C40)</f>
        <v/>
      </c>
      <c r="E1033" s="41" t="str">
        <f>IF(Agent06_Withdrawals!A40="","",Agent06_Withdrawals!D40)</f>
        <v/>
      </c>
      <c r="F1033" s="40" t="str">
        <f>IF(Agent06_Withdrawals!A40="","",Agent06_Withdrawals!F40)</f>
        <v/>
      </c>
      <c r="G1033" s="42" t="str">
        <f>IF(Agent06_Withdrawals!A40="","",Agent06_Withdrawals!E40)</f>
        <v/>
      </c>
      <c r="H1033" s="42" t="str">
        <f>IF(Agent06_Withdrawals!A40="","",Agent06_Withdrawals!G40)</f>
        <v/>
      </c>
      <c r="I1033" s="40" t="str">
        <f>IF(Agent06_Withdrawals!A40="","",Agent06_Withdrawals!H40)</f>
        <v/>
      </c>
      <c r="J1033" s="40" t="str">
        <f>IF(Agent06_Withdrawals!A40="","",Agent06_Withdrawals!J40)</f>
        <v/>
      </c>
      <c r="K1033" s="40" t="str">
        <f>IF(Agent06_Withdrawals!A40="","",Agent06_Withdrawals!K40)</f>
        <v/>
      </c>
      <c r="L1033" s="40" t="str">
        <f>IF(G1033="","",IF(D1033-G1033&gt;=System_Config!$B$9,"✅ OK","⚠️ BREACH"))</f>
        <v/>
      </c>
      <c r="M1033" s="40" t="str">
        <f>IFERROR(IF(Agent06_Withdrawals!A40="","",YEAR(Agent06_Withdrawals!D40)),"")</f>
        <v/>
      </c>
    </row>
    <row r="1034" spans="1:13" ht="18" customHeight="1" x14ac:dyDescent="0.25">
      <c r="A1034" s="40" t="str">
        <f>IF(Agent06_Withdrawals!A41="","",Agent06_Withdrawals!A41)</f>
        <v/>
      </c>
      <c r="B1034" s="40" t="str">
        <f ca="1">IF(Agent06_Withdrawals!A41="","","WD"&amp;TEXT(1034-3,"0000")&amp;"-"&amp;TEXT(TODAY(),"YYYYMMDD"))</f>
        <v/>
      </c>
      <c r="C1034" s="40" t="str">
        <f>IF(Agent06_Withdrawals!A41="","",Agent06_Withdrawals!B41)</f>
        <v/>
      </c>
      <c r="D1034" s="43" t="str">
        <f>IF(Agent06_Withdrawals!A41="","",Agent06_Withdrawals!C41)</f>
        <v/>
      </c>
      <c r="E1034" s="41" t="str">
        <f>IF(Agent06_Withdrawals!A41="","",Agent06_Withdrawals!D41)</f>
        <v/>
      </c>
      <c r="F1034" s="40" t="str">
        <f>IF(Agent06_Withdrawals!A41="","",Agent06_Withdrawals!F41)</f>
        <v/>
      </c>
      <c r="G1034" s="42" t="str">
        <f>IF(Agent06_Withdrawals!A41="","",Agent06_Withdrawals!E41)</f>
        <v/>
      </c>
      <c r="H1034" s="42" t="str">
        <f>IF(Agent06_Withdrawals!A41="","",Agent06_Withdrawals!G41)</f>
        <v/>
      </c>
      <c r="I1034" s="40" t="str">
        <f>IF(Agent06_Withdrawals!A41="","",Agent06_Withdrawals!H41)</f>
        <v/>
      </c>
      <c r="J1034" s="40" t="str">
        <f>IF(Agent06_Withdrawals!A41="","",Agent06_Withdrawals!J41)</f>
        <v/>
      </c>
      <c r="K1034" s="40" t="str">
        <f>IF(Agent06_Withdrawals!A41="","",Agent06_Withdrawals!K41)</f>
        <v/>
      </c>
      <c r="L1034" s="40" t="str">
        <f>IF(G1034="","",IF(D1034-G1034&gt;=System_Config!$B$9,"✅ OK","⚠️ BREACH"))</f>
        <v/>
      </c>
      <c r="M1034" s="40" t="str">
        <f>IFERROR(IF(Agent06_Withdrawals!A41="","",YEAR(Agent06_Withdrawals!D41)),"")</f>
        <v/>
      </c>
    </row>
    <row r="1035" spans="1:13" ht="18" customHeight="1" x14ac:dyDescent="0.25">
      <c r="A1035" s="40" t="str">
        <f>IF(Agent06_Withdrawals!A42="","",Agent06_Withdrawals!A42)</f>
        <v/>
      </c>
      <c r="B1035" s="40" t="str">
        <f ca="1">IF(Agent06_Withdrawals!A42="","","WD"&amp;TEXT(1035-3,"0000")&amp;"-"&amp;TEXT(TODAY(),"YYYYMMDD"))</f>
        <v/>
      </c>
      <c r="C1035" s="40" t="str">
        <f>IF(Agent06_Withdrawals!A42="","",Agent06_Withdrawals!B42)</f>
        <v/>
      </c>
      <c r="D1035" s="43" t="str">
        <f>IF(Agent06_Withdrawals!A42="","",Agent06_Withdrawals!C42)</f>
        <v/>
      </c>
      <c r="E1035" s="41" t="str">
        <f>IF(Agent06_Withdrawals!A42="","",Agent06_Withdrawals!D42)</f>
        <v/>
      </c>
      <c r="F1035" s="40" t="str">
        <f>IF(Agent06_Withdrawals!A42="","",Agent06_Withdrawals!F42)</f>
        <v/>
      </c>
      <c r="G1035" s="42" t="str">
        <f>IF(Agent06_Withdrawals!A42="","",Agent06_Withdrawals!E42)</f>
        <v/>
      </c>
      <c r="H1035" s="42" t="str">
        <f>IF(Agent06_Withdrawals!A42="","",Agent06_Withdrawals!G42)</f>
        <v/>
      </c>
      <c r="I1035" s="40" t="str">
        <f>IF(Agent06_Withdrawals!A42="","",Agent06_Withdrawals!H42)</f>
        <v/>
      </c>
      <c r="J1035" s="40" t="str">
        <f>IF(Agent06_Withdrawals!A42="","",Agent06_Withdrawals!J42)</f>
        <v/>
      </c>
      <c r="K1035" s="40" t="str">
        <f>IF(Agent06_Withdrawals!A42="","",Agent06_Withdrawals!K42)</f>
        <v/>
      </c>
      <c r="L1035" s="40" t="str">
        <f>IF(G1035="","",IF(D1035-G1035&gt;=System_Config!$B$9,"✅ OK","⚠️ BREACH"))</f>
        <v/>
      </c>
      <c r="M1035" s="40" t="str">
        <f>IFERROR(IF(Agent06_Withdrawals!A42="","",YEAR(Agent06_Withdrawals!D42)),"")</f>
        <v/>
      </c>
    </row>
    <row r="1036" spans="1:13" ht="18" customHeight="1" x14ac:dyDescent="0.25">
      <c r="A1036" s="40" t="str">
        <f>IF(Agent06_Withdrawals!A43="","",Agent06_Withdrawals!A43)</f>
        <v/>
      </c>
      <c r="B1036" s="40" t="str">
        <f ca="1">IF(Agent06_Withdrawals!A43="","","WD"&amp;TEXT(1036-3,"0000")&amp;"-"&amp;TEXT(TODAY(),"YYYYMMDD"))</f>
        <v/>
      </c>
      <c r="C1036" s="40" t="str">
        <f>IF(Agent06_Withdrawals!A43="","",Agent06_Withdrawals!B43)</f>
        <v/>
      </c>
      <c r="D1036" s="43" t="str">
        <f>IF(Agent06_Withdrawals!A43="","",Agent06_Withdrawals!C43)</f>
        <v/>
      </c>
      <c r="E1036" s="41" t="str">
        <f>IF(Agent06_Withdrawals!A43="","",Agent06_Withdrawals!D43)</f>
        <v/>
      </c>
      <c r="F1036" s="40" t="str">
        <f>IF(Agent06_Withdrawals!A43="","",Agent06_Withdrawals!F43)</f>
        <v/>
      </c>
      <c r="G1036" s="42" t="str">
        <f>IF(Agent06_Withdrawals!A43="","",Agent06_Withdrawals!E43)</f>
        <v/>
      </c>
      <c r="H1036" s="42" t="str">
        <f>IF(Agent06_Withdrawals!A43="","",Agent06_Withdrawals!G43)</f>
        <v/>
      </c>
      <c r="I1036" s="40" t="str">
        <f>IF(Agent06_Withdrawals!A43="","",Agent06_Withdrawals!H43)</f>
        <v/>
      </c>
      <c r="J1036" s="40" t="str">
        <f>IF(Agent06_Withdrawals!A43="","",Agent06_Withdrawals!J43)</f>
        <v/>
      </c>
      <c r="K1036" s="40" t="str">
        <f>IF(Agent06_Withdrawals!A43="","",Agent06_Withdrawals!K43)</f>
        <v/>
      </c>
      <c r="L1036" s="40" t="str">
        <f>IF(G1036="","",IF(D1036-G1036&gt;=System_Config!$B$9,"✅ OK","⚠️ BREACH"))</f>
        <v/>
      </c>
      <c r="M1036" s="40" t="str">
        <f>IFERROR(IF(Agent06_Withdrawals!A43="","",YEAR(Agent06_Withdrawals!D43)),"")</f>
        <v/>
      </c>
    </row>
    <row r="1037" spans="1:13" ht="18" customHeight="1" x14ac:dyDescent="0.25">
      <c r="A1037" s="40" t="str">
        <f>IF(Agent06_Withdrawals!A44="","",Agent06_Withdrawals!A44)</f>
        <v/>
      </c>
      <c r="B1037" s="40" t="str">
        <f ca="1">IF(Agent06_Withdrawals!A44="","","WD"&amp;TEXT(1037-3,"0000")&amp;"-"&amp;TEXT(TODAY(),"YYYYMMDD"))</f>
        <v/>
      </c>
      <c r="C1037" s="40" t="str">
        <f>IF(Agent06_Withdrawals!A44="","",Agent06_Withdrawals!B44)</f>
        <v/>
      </c>
      <c r="D1037" s="43" t="str">
        <f>IF(Agent06_Withdrawals!A44="","",Agent06_Withdrawals!C44)</f>
        <v/>
      </c>
      <c r="E1037" s="41" t="str">
        <f>IF(Agent06_Withdrawals!A44="","",Agent06_Withdrawals!D44)</f>
        <v/>
      </c>
      <c r="F1037" s="40" t="str">
        <f>IF(Agent06_Withdrawals!A44="","",Agent06_Withdrawals!F44)</f>
        <v/>
      </c>
      <c r="G1037" s="42" t="str">
        <f>IF(Agent06_Withdrawals!A44="","",Agent06_Withdrawals!E44)</f>
        <v/>
      </c>
      <c r="H1037" s="42" t="str">
        <f>IF(Agent06_Withdrawals!A44="","",Agent06_Withdrawals!G44)</f>
        <v/>
      </c>
      <c r="I1037" s="40" t="str">
        <f>IF(Agent06_Withdrawals!A44="","",Agent06_Withdrawals!H44)</f>
        <v/>
      </c>
      <c r="J1037" s="40" t="str">
        <f>IF(Agent06_Withdrawals!A44="","",Agent06_Withdrawals!J44)</f>
        <v/>
      </c>
      <c r="K1037" s="40" t="str">
        <f>IF(Agent06_Withdrawals!A44="","",Agent06_Withdrawals!K44)</f>
        <v/>
      </c>
      <c r="L1037" s="40" t="str">
        <f>IF(G1037="","",IF(D1037-G1037&gt;=System_Config!$B$9,"✅ OK","⚠️ BREACH"))</f>
        <v/>
      </c>
      <c r="M1037" s="40" t="str">
        <f>IFERROR(IF(Agent06_Withdrawals!A44="","",YEAR(Agent06_Withdrawals!D44)),"")</f>
        <v/>
      </c>
    </row>
    <row r="1038" spans="1:13" ht="18" customHeight="1" x14ac:dyDescent="0.25">
      <c r="A1038" s="40" t="str">
        <f>IF(Agent06_Withdrawals!A45="","",Agent06_Withdrawals!A45)</f>
        <v/>
      </c>
      <c r="B1038" s="40" t="str">
        <f ca="1">IF(Agent06_Withdrawals!A45="","","WD"&amp;TEXT(1038-3,"0000")&amp;"-"&amp;TEXT(TODAY(),"YYYYMMDD"))</f>
        <v/>
      </c>
      <c r="C1038" s="40" t="str">
        <f>IF(Agent06_Withdrawals!A45="","",Agent06_Withdrawals!B45)</f>
        <v/>
      </c>
      <c r="D1038" s="43" t="str">
        <f>IF(Agent06_Withdrawals!A45="","",Agent06_Withdrawals!C45)</f>
        <v/>
      </c>
      <c r="E1038" s="41" t="str">
        <f>IF(Agent06_Withdrawals!A45="","",Agent06_Withdrawals!D45)</f>
        <v/>
      </c>
      <c r="F1038" s="40" t="str">
        <f>IF(Agent06_Withdrawals!A45="","",Agent06_Withdrawals!F45)</f>
        <v/>
      </c>
      <c r="G1038" s="42" t="str">
        <f>IF(Agent06_Withdrawals!A45="","",Agent06_Withdrawals!E45)</f>
        <v/>
      </c>
      <c r="H1038" s="42" t="str">
        <f>IF(Agent06_Withdrawals!A45="","",Agent06_Withdrawals!G45)</f>
        <v/>
      </c>
      <c r="I1038" s="40" t="str">
        <f>IF(Agent06_Withdrawals!A45="","",Agent06_Withdrawals!H45)</f>
        <v/>
      </c>
      <c r="J1038" s="40" t="str">
        <f>IF(Agent06_Withdrawals!A45="","",Agent06_Withdrawals!J45)</f>
        <v/>
      </c>
      <c r="K1038" s="40" t="str">
        <f>IF(Agent06_Withdrawals!A45="","",Agent06_Withdrawals!K45)</f>
        <v/>
      </c>
      <c r="L1038" s="40" t="str">
        <f>IF(G1038="","",IF(D1038-G1038&gt;=System_Config!$B$9,"✅ OK","⚠️ BREACH"))</f>
        <v/>
      </c>
      <c r="M1038" s="40" t="str">
        <f>IFERROR(IF(Agent06_Withdrawals!A45="","",YEAR(Agent06_Withdrawals!D45)),"")</f>
        <v/>
      </c>
    </row>
    <row r="1039" spans="1:13" ht="18" customHeight="1" x14ac:dyDescent="0.25">
      <c r="A1039" s="40" t="str">
        <f>IF(Agent06_Withdrawals!A46="","",Agent06_Withdrawals!A46)</f>
        <v/>
      </c>
      <c r="B1039" s="40" t="str">
        <f ca="1">IF(Agent06_Withdrawals!A46="","","WD"&amp;TEXT(1039-3,"0000")&amp;"-"&amp;TEXT(TODAY(),"YYYYMMDD"))</f>
        <v/>
      </c>
      <c r="C1039" s="40" t="str">
        <f>IF(Agent06_Withdrawals!A46="","",Agent06_Withdrawals!B46)</f>
        <v/>
      </c>
      <c r="D1039" s="43" t="str">
        <f>IF(Agent06_Withdrawals!A46="","",Agent06_Withdrawals!C46)</f>
        <v/>
      </c>
      <c r="E1039" s="41" t="str">
        <f>IF(Agent06_Withdrawals!A46="","",Agent06_Withdrawals!D46)</f>
        <v/>
      </c>
      <c r="F1039" s="40" t="str">
        <f>IF(Agent06_Withdrawals!A46="","",Agent06_Withdrawals!F46)</f>
        <v/>
      </c>
      <c r="G1039" s="42" t="str">
        <f>IF(Agent06_Withdrawals!A46="","",Agent06_Withdrawals!E46)</f>
        <v/>
      </c>
      <c r="H1039" s="42" t="str">
        <f>IF(Agent06_Withdrawals!A46="","",Agent06_Withdrawals!G46)</f>
        <v/>
      </c>
      <c r="I1039" s="40" t="str">
        <f>IF(Agent06_Withdrawals!A46="","",Agent06_Withdrawals!H46)</f>
        <v/>
      </c>
      <c r="J1039" s="40" t="str">
        <f>IF(Agent06_Withdrawals!A46="","",Agent06_Withdrawals!J46)</f>
        <v/>
      </c>
      <c r="K1039" s="40" t="str">
        <f>IF(Agent06_Withdrawals!A46="","",Agent06_Withdrawals!K46)</f>
        <v/>
      </c>
      <c r="L1039" s="40" t="str">
        <f>IF(G1039="","",IF(D1039-G1039&gt;=System_Config!$B$9,"✅ OK","⚠️ BREACH"))</f>
        <v/>
      </c>
      <c r="M1039" s="40" t="str">
        <f>IFERROR(IF(Agent06_Withdrawals!A46="","",YEAR(Agent06_Withdrawals!D46)),"")</f>
        <v/>
      </c>
    </row>
    <row r="1040" spans="1:13" ht="18" customHeight="1" x14ac:dyDescent="0.25">
      <c r="A1040" s="40" t="str">
        <f>IF(Agent06_Withdrawals!A47="","",Agent06_Withdrawals!A47)</f>
        <v/>
      </c>
      <c r="B1040" s="40" t="str">
        <f ca="1">IF(Agent06_Withdrawals!A47="","","WD"&amp;TEXT(1040-3,"0000")&amp;"-"&amp;TEXT(TODAY(),"YYYYMMDD"))</f>
        <v/>
      </c>
      <c r="C1040" s="40" t="str">
        <f>IF(Agent06_Withdrawals!A47="","",Agent06_Withdrawals!B47)</f>
        <v/>
      </c>
      <c r="D1040" s="43" t="str">
        <f>IF(Agent06_Withdrawals!A47="","",Agent06_Withdrawals!C47)</f>
        <v/>
      </c>
      <c r="E1040" s="41" t="str">
        <f>IF(Agent06_Withdrawals!A47="","",Agent06_Withdrawals!D47)</f>
        <v/>
      </c>
      <c r="F1040" s="40" t="str">
        <f>IF(Agent06_Withdrawals!A47="","",Agent06_Withdrawals!F47)</f>
        <v/>
      </c>
      <c r="G1040" s="42" t="str">
        <f>IF(Agent06_Withdrawals!A47="","",Agent06_Withdrawals!E47)</f>
        <v/>
      </c>
      <c r="H1040" s="42" t="str">
        <f>IF(Agent06_Withdrawals!A47="","",Agent06_Withdrawals!G47)</f>
        <v/>
      </c>
      <c r="I1040" s="40" t="str">
        <f>IF(Agent06_Withdrawals!A47="","",Agent06_Withdrawals!H47)</f>
        <v/>
      </c>
      <c r="J1040" s="40" t="str">
        <f>IF(Agent06_Withdrawals!A47="","",Agent06_Withdrawals!J47)</f>
        <v/>
      </c>
      <c r="K1040" s="40" t="str">
        <f>IF(Agent06_Withdrawals!A47="","",Agent06_Withdrawals!K47)</f>
        <v/>
      </c>
      <c r="L1040" s="40" t="str">
        <f>IF(G1040="","",IF(D1040-G1040&gt;=System_Config!$B$9,"✅ OK","⚠️ BREACH"))</f>
        <v/>
      </c>
      <c r="M1040" s="40" t="str">
        <f>IFERROR(IF(Agent06_Withdrawals!A47="","",YEAR(Agent06_Withdrawals!D47)),"")</f>
        <v/>
      </c>
    </row>
    <row r="1041" spans="1:13" ht="18" customHeight="1" x14ac:dyDescent="0.25">
      <c r="A1041" s="40" t="str">
        <f>IF(Agent06_Withdrawals!A48="","",Agent06_Withdrawals!A48)</f>
        <v/>
      </c>
      <c r="B1041" s="40" t="str">
        <f ca="1">IF(Agent06_Withdrawals!A48="","","WD"&amp;TEXT(1041-3,"0000")&amp;"-"&amp;TEXT(TODAY(),"YYYYMMDD"))</f>
        <v/>
      </c>
      <c r="C1041" s="40" t="str">
        <f>IF(Agent06_Withdrawals!A48="","",Agent06_Withdrawals!B48)</f>
        <v/>
      </c>
      <c r="D1041" s="43" t="str">
        <f>IF(Agent06_Withdrawals!A48="","",Agent06_Withdrawals!C48)</f>
        <v/>
      </c>
      <c r="E1041" s="41" t="str">
        <f>IF(Agent06_Withdrawals!A48="","",Agent06_Withdrawals!D48)</f>
        <v/>
      </c>
      <c r="F1041" s="40" t="str">
        <f>IF(Agent06_Withdrawals!A48="","",Agent06_Withdrawals!F48)</f>
        <v/>
      </c>
      <c r="G1041" s="42" t="str">
        <f>IF(Agent06_Withdrawals!A48="","",Agent06_Withdrawals!E48)</f>
        <v/>
      </c>
      <c r="H1041" s="42" t="str">
        <f>IF(Agent06_Withdrawals!A48="","",Agent06_Withdrawals!G48)</f>
        <v/>
      </c>
      <c r="I1041" s="40" t="str">
        <f>IF(Agent06_Withdrawals!A48="","",Agent06_Withdrawals!H48)</f>
        <v/>
      </c>
      <c r="J1041" s="40" t="str">
        <f>IF(Agent06_Withdrawals!A48="","",Agent06_Withdrawals!J48)</f>
        <v/>
      </c>
      <c r="K1041" s="40" t="str">
        <f>IF(Agent06_Withdrawals!A48="","",Agent06_Withdrawals!K48)</f>
        <v/>
      </c>
      <c r="L1041" s="40" t="str">
        <f>IF(G1041="","",IF(D1041-G1041&gt;=System_Config!$B$9,"✅ OK","⚠️ BREACH"))</f>
        <v/>
      </c>
      <c r="M1041" s="40" t="str">
        <f>IFERROR(IF(Agent06_Withdrawals!A48="","",YEAR(Agent06_Withdrawals!D48)),"")</f>
        <v/>
      </c>
    </row>
    <row r="1042" spans="1:13" ht="18" customHeight="1" x14ac:dyDescent="0.25">
      <c r="A1042" s="40" t="str">
        <f>IF(Agent06_Withdrawals!A49="","",Agent06_Withdrawals!A49)</f>
        <v/>
      </c>
      <c r="B1042" s="40" t="str">
        <f ca="1">IF(Agent06_Withdrawals!A49="","","WD"&amp;TEXT(1042-3,"0000")&amp;"-"&amp;TEXT(TODAY(),"YYYYMMDD"))</f>
        <v/>
      </c>
      <c r="C1042" s="40" t="str">
        <f>IF(Agent06_Withdrawals!A49="","",Agent06_Withdrawals!B49)</f>
        <v/>
      </c>
      <c r="D1042" s="43" t="str">
        <f>IF(Agent06_Withdrawals!A49="","",Agent06_Withdrawals!C49)</f>
        <v/>
      </c>
      <c r="E1042" s="41" t="str">
        <f>IF(Agent06_Withdrawals!A49="","",Agent06_Withdrawals!D49)</f>
        <v/>
      </c>
      <c r="F1042" s="40" t="str">
        <f>IF(Agent06_Withdrawals!A49="","",Agent06_Withdrawals!F49)</f>
        <v/>
      </c>
      <c r="G1042" s="42" t="str">
        <f>IF(Agent06_Withdrawals!A49="","",Agent06_Withdrawals!E49)</f>
        <v/>
      </c>
      <c r="H1042" s="42" t="str">
        <f>IF(Agent06_Withdrawals!A49="","",Agent06_Withdrawals!G49)</f>
        <v/>
      </c>
      <c r="I1042" s="40" t="str">
        <f>IF(Agent06_Withdrawals!A49="","",Agent06_Withdrawals!H49)</f>
        <v/>
      </c>
      <c r="J1042" s="40" t="str">
        <f>IF(Agent06_Withdrawals!A49="","",Agent06_Withdrawals!J49)</f>
        <v/>
      </c>
      <c r="K1042" s="40" t="str">
        <f>IF(Agent06_Withdrawals!A49="","",Agent06_Withdrawals!K49)</f>
        <v/>
      </c>
      <c r="L1042" s="40" t="str">
        <f>IF(G1042="","",IF(D1042-G1042&gt;=System_Config!$B$9,"✅ OK","⚠️ BREACH"))</f>
        <v/>
      </c>
      <c r="M1042" s="40" t="str">
        <f>IFERROR(IF(Agent06_Withdrawals!A49="","",YEAR(Agent06_Withdrawals!D49)),"")</f>
        <v/>
      </c>
    </row>
    <row r="1043" spans="1:13" ht="18" customHeight="1" x14ac:dyDescent="0.25">
      <c r="A1043" s="40" t="str">
        <f>IF(Agent06_Withdrawals!A50="","",Agent06_Withdrawals!A50)</f>
        <v/>
      </c>
      <c r="B1043" s="40" t="str">
        <f ca="1">IF(Agent06_Withdrawals!A50="","","WD"&amp;TEXT(1043-3,"0000")&amp;"-"&amp;TEXT(TODAY(),"YYYYMMDD"))</f>
        <v/>
      </c>
      <c r="C1043" s="40" t="str">
        <f>IF(Agent06_Withdrawals!A50="","",Agent06_Withdrawals!B50)</f>
        <v/>
      </c>
      <c r="D1043" s="43" t="str">
        <f>IF(Agent06_Withdrawals!A50="","",Agent06_Withdrawals!C50)</f>
        <v/>
      </c>
      <c r="E1043" s="41" t="str">
        <f>IF(Agent06_Withdrawals!A50="","",Agent06_Withdrawals!D50)</f>
        <v/>
      </c>
      <c r="F1043" s="40" t="str">
        <f>IF(Agent06_Withdrawals!A50="","",Agent06_Withdrawals!F50)</f>
        <v/>
      </c>
      <c r="G1043" s="42" t="str">
        <f>IF(Agent06_Withdrawals!A50="","",Agent06_Withdrawals!E50)</f>
        <v/>
      </c>
      <c r="H1043" s="42" t="str">
        <f>IF(Agent06_Withdrawals!A50="","",Agent06_Withdrawals!G50)</f>
        <v/>
      </c>
      <c r="I1043" s="40" t="str">
        <f>IF(Agent06_Withdrawals!A50="","",Agent06_Withdrawals!H50)</f>
        <v/>
      </c>
      <c r="J1043" s="40" t="str">
        <f>IF(Agent06_Withdrawals!A50="","",Agent06_Withdrawals!J50)</f>
        <v/>
      </c>
      <c r="K1043" s="40" t="str">
        <f>IF(Agent06_Withdrawals!A50="","",Agent06_Withdrawals!K50)</f>
        <v/>
      </c>
      <c r="L1043" s="40" t="str">
        <f>IF(G1043="","",IF(D1043-G1043&gt;=System_Config!$B$9,"✅ OK","⚠️ BREACH"))</f>
        <v/>
      </c>
      <c r="M1043" s="40" t="str">
        <f>IFERROR(IF(Agent06_Withdrawals!A50="","",YEAR(Agent06_Withdrawals!D50)),"")</f>
        <v/>
      </c>
    </row>
    <row r="1044" spans="1:13" ht="18" customHeight="1" x14ac:dyDescent="0.25">
      <c r="A1044" s="40" t="str">
        <f>IF(Agent06_Withdrawals!A51="","",Agent06_Withdrawals!A51)</f>
        <v/>
      </c>
      <c r="B1044" s="40" t="str">
        <f ca="1">IF(Agent06_Withdrawals!A51="","","WD"&amp;TEXT(1044-3,"0000")&amp;"-"&amp;TEXT(TODAY(),"YYYYMMDD"))</f>
        <v/>
      </c>
      <c r="C1044" s="40" t="str">
        <f>IF(Agent06_Withdrawals!A51="","",Agent06_Withdrawals!B51)</f>
        <v/>
      </c>
      <c r="D1044" s="43" t="str">
        <f>IF(Agent06_Withdrawals!A51="","",Agent06_Withdrawals!C51)</f>
        <v/>
      </c>
      <c r="E1044" s="41" t="str">
        <f>IF(Agent06_Withdrawals!A51="","",Agent06_Withdrawals!D51)</f>
        <v/>
      </c>
      <c r="F1044" s="40" t="str">
        <f>IF(Agent06_Withdrawals!A51="","",Agent06_Withdrawals!F51)</f>
        <v/>
      </c>
      <c r="G1044" s="42" t="str">
        <f>IF(Agent06_Withdrawals!A51="","",Agent06_Withdrawals!E51)</f>
        <v/>
      </c>
      <c r="H1044" s="42" t="str">
        <f>IF(Agent06_Withdrawals!A51="","",Agent06_Withdrawals!G51)</f>
        <v/>
      </c>
      <c r="I1044" s="40" t="str">
        <f>IF(Agent06_Withdrawals!A51="","",Agent06_Withdrawals!H51)</f>
        <v/>
      </c>
      <c r="J1044" s="40" t="str">
        <f>IF(Agent06_Withdrawals!A51="","",Agent06_Withdrawals!J51)</f>
        <v/>
      </c>
      <c r="K1044" s="40" t="str">
        <f>IF(Agent06_Withdrawals!A51="","",Agent06_Withdrawals!K51)</f>
        <v/>
      </c>
      <c r="L1044" s="40" t="str">
        <f>IF(G1044="","",IF(D1044-G1044&gt;=System_Config!$B$9,"✅ OK","⚠️ BREACH"))</f>
        <v/>
      </c>
      <c r="M1044" s="40" t="str">
        <f>IFERROR(IF(Agent06_Withdrawals!A51="","",YEAR(Agent06_Withdrawals!D51)),"")</f>
        <v/>
      </c>
    </row>
    <row r="1045" spans="1:13" ht="18" customHeight="1" x14ac:dyDescent="0.25">
      <c r="A1045" s="40" t="str">
        <f>IF(Agent06_Withdrawals!A52="","",Agent06_Withdrawals!A52)</f>
        <v/>
      </c>
      <c r="B1045" s="40" t="str">
        <f ca="1">IF(Agent06_Withdrawals!A52="","","WD"&amp;TEXT(1045-3,"0000")&amp;"-"&amp;TEXT(TODAY(),"YYYYMMDD"))</f>
        <v/>
      </c>
      <c r="C1045" s="40" t="str">
        <f>IF(Agent06_Withdrawals!A52="","",Agent06_Withdrawals!B52)</f>
        <v/>
      </c>
      <c r="D1045" s="43" t="str">
        <f>IF(Agent06_Withdrawals!A52="","",Agent06_Withdrawals!C52)</f>
        <v/>
      </c>
      <c r="E1045" s="41" t="str">
        <f>IF(Agent06_Withdrawals!A52="","",Agent06_Withdrawals!D52)</f>
        <v/>
      </c>
      <c r="F1045" s="40" t="str">
        <f>IF(Agent06_Withdrawals!A52="","",Agent06_Withdrawals!F52)</f>
        <v/>
      </c>
      <c r="G1045" s="42" t="str">
        <f>IF(Agent06_Withdrawals!A52="","",Agent06_Withdrawals!E52)</f>
        <v/>
      </c>
      <c r="H1045" s="42" t="str">
        <f>IF(Agent06_Withdrawals!A52="","",Agent06_Withdrawals!G52)</f>
        <v/>
      </c>
      <c r="I1045" s="40" t="str">
        <f>IF(Agent06_Withdrawals!A52="","",Agent06_Withdrawals!H52)</f>
        <v/>
      </c>
      <c r="J1045" s="40" t="str">
        <f>IF(Agent06_Withdrawals!A52="","",Agent06_Withdrawals!J52)</f>
        <v/>
      </c>
      <c r="K1045" s="40" t="str">
        <f>IF(Agent06_Withdrawals!A52="","",Agent06_Withdrawals!K52)</f>
        <v/>
      </c>
      <c r="L1045" s="40" t="str">
        <f>IF(G1045="","",IF(D1045-G1045&gt;=System_Config!$B$9,"✅ OK","⚠️ BREACH"))</f>
        <v/>
      </c>
      <c r="M1045" s="40" t="str">
        <f>IFERROR(IF(Agent06_Withdrawals!A52="","",YEAR(Agent06_Withdrawals!D52)),"")</f>
        <v/>
      </c>
    </row>
    <row r="1046" spans="1:13" ht="18" customHeight="1" x14ac:dyDescent="0.25">
      <c r="A1046" s="40" t="str">
        <f>IF(Agent06_Withdrawals!A53="","",Agent06_Withdrawals!A53)</f>
        <v/>
      </c>
      <c r="B1046" s="40" t="str">
        <f ca="1">IF(Agent06_Withdrawals!A53="","","WD"&amp;TEXT(1046-3,"0000")&amp;"-"&amp;TEXT(TODAY(),"YYYYMMDD"))</f>
        <v/>
      </c>
      <c r="C1046" s="40" t="str">
        <f>IF(Agent06_Withdrawals!A53="","",Agent06_Withdrawals!B53)</f>
        <v/>
      </c>
      <c r="D1046" s="43" t="str">
        <f>IF(Agent06_Withdrawals!A53="","",Agent06_Withdrawals!C53)</f>
        <v/>
      </c>
      <c r="E1046" s="41" t="str">
        <f>IF(Agent06_Withdrawals!A53="","",Agent06_Withdrawals!D53)</f>
        <v/>
      </c>
      <c r="F1046" s="40" t="str">
        <f>IF(Agent06_Withdrawals!A53="","",Agent06_Withdrawals!F53)</f>
        <v/>
      </c>
      <c r="G1046" s="42" t="str">
        <f>IF(Agent06_Withdrawals!A53="","",Agent06_Withdrawals!E53)</f>
        <v/>
      </c>
      <c r="H1046" s="42" t="str">
        <f>IF(Agent06_Withdrawals!A53="","",Agent06_Withdrawals!G53)</f>
        <v/>
      </c>
      <c r="I1046" s="40" t="str">
        <f>IF(Agent06_Withdrawals!A53="","",Agent06_Withdrawals!H53)</f>
        <v/>
      </c>
      <c r="J1046" s="40" t="str">
        <f>IF(Agent06_Withdrawals!A53="","",Agent06_Withdrawals!J53)</f>
        <v/>
      </c>
      <c r="K1046" s="40" t="str">
        <f>IF(Agent06_Withdrawals!A53="","",Agent06_Withdrawals!K53)</f>
        <v/>
      </c>
      <c r="L1046" s="40" t="str">
        <f>IF(G1046="","",IF(D1046-G1046&gt;=System_Config!$B$9,"✅ OK","⚠️ BREACH"))</f>
        <v/>
      </c>
      <c r="M1046" s="40" t="str">
        <f>IFERROR(IF(Agent06_Withdrawals!A53="","",YEAR(Agent06_Withdrawals!D53)),"")</f>
        <v/>
      </c>
    </row>
    <row r="1047" spans="1:13" ht="18" customHeight="1" x14ac:dyDescent="0.25">
      <c r="A1047" s="40" t="str">
        <f>IF(Agent06_Withdrawals!A54="","",Agent06_Withdrawals!A54)</f>
        <v/>
      </c>
      <c r="B1047" s="40" t="str">
        <f ca="1">IF(Agent06_Withdrawals!A54="","","WD"&amp;TEXT(1047-3,"0000")&amp;"-"&amp;TEXT(TODAY(),"YYYYMMDD"))</f>
        <v/>
      </c>
      <c r="C1047" s="40" t="str">
        <f>IF(Agent06_Withdrawals!A54="","",Agent06_Withdrawals!B54)</f>
        <v/>
      </c>
      <c r="D1047" s="43" t="str">
        <f>IF(Agent06_Withdrawals!A54="","",Agent06_Withdrawals!C54)</f>
        <v/>
      </c>
      <c r="E1047" s="41" t="str">
        <f>IF(Agent06_Withdrawals!A54="","",Agent06_Withdrawals!D54)</f>
        <v/>
      </c>
      <c r="F1047" s="40" t="str">
        <f>IF(Agent06_Withdrawals!A54="","",Agent06_Withdrawals!F54)</f>
        <v/>
      </c>
      <c r="G1047" s="42" t="str">
        <f>IF(Agent06_Withdrawals!A54="","",Agent06_Withdrawals!E54)</f>
        <v/>
      </c>
      <c r="H1047" s="42" t="str">
        <f>IF(Agent06_Withdrawals!A54="","",Agent06_Withdrawals!G54)</f>
        <v/>
      </c>
      <c r="I1047" s="40" t="str">
        <f>IF(Agent06_Withdrawals!A54="","",Agent06_Withdrawals!H54)</f>
        <v/>
      </c>
      <c r="J1047" s="40" t="str">
        <f>IF(Agent06_Withdrawals!A54="","",Agent06_Withdrawals!J54)</f>
        <v/>
      </c>
      <c r="K1047" s="40" t="str">
        <f>IF(Agent06_Withdrawals!A54="","",Agent06_Withdrawals!K54)</f>
        <v/>
      </c>
      <c r="L1047" s="40" t="str">
        <f>IF(G1047="","",IF(D1047-G1047&gt;=System_Config!$B$9,"✅ OK","⚠️ BREACH"))</f>
        <v/>
      </c>
      <c r="M1047" s="40" t="str">
        <f>IFERROR(IF(Agent06_Withdrawals!A54="","",YEAR(Agent06_Withdrawals!D54)),"")</f>
        <v/>
      </c>
    </row>
    <row r="1048" spans="1:13" ht="18" customHeight="1" x14ac:dyDescent="0.25">
      <c r="A1048" s="40" t="str">
        <f>IF(Agent06_Withdrawals!A55="","",Agent06_Withdrawals!A55)</f>
        <v/>
      </c>
      <c r="B1048" s="40" t="str">
        <f ca="1">IF(Agent06_Withdrawals!A55="","","WD"&amp;TEXT(1048-3,"0000")&amp;"-"&amp;TEXT(TODAY(),"YYYYMMDD"))</f>
        <v/>
      </c>
      <c r="C1048" s="40" t="str">
        <f>IF(Agent06_Withdrawals!A55="","",Agent06_Withdrawals!B55)</f>
        <v/>
      </c>
      <c r="D1048" s="43" t="str">
        <f>IF(Agent06_Withdrawals!A55="","",Agent06_Withdrawals!C55)</f>
        <v/>
      </c>
      <c r="E1048" s="41" t="str">
        <f>IF(Agent06_Withdrawals!A55="","",Agent06_Withdrawals!D55)</f>
        <v/>
      </c>
      <c r="F1048" s="40" t="str">
        <f>IF(Agent06_Withdrawals!A55="","",Agent06_Withdrawals!F55)</f>
        <v/>
      </c>
      <c r="G1048" s="42" t="str">
        <f>IF(Agent06_Withdrawals!A55="","",Agent06_Withdrawals!E55)</f>
        <v/>
      </c>
      <c r="H1048" s="42" t="str">
        <f>IF(Agent06_Withdrawals!A55="","",Agent06_Withdrawals!G55)</f>
        <v/>
      </c>
      <c r="I1048" s="40" t="str">
        <f>IF(Agent06_Withdrawals!A55="","",Agent06_Withdrawals!H55)</f>
        <v/>
      </c>
      <c r="J1048" s="40" t="str">
        <f>IF(Agent06_Withdrawals!A55="","",Agent06_Withdrawals!J55)</f>
        <v/>
      </c>
      <c r="K1048" s="40" t="str">
        <f>IF(Agent06_Withdrawals!A55="","",Agent06_Withdrawals!K55)</f>
        <v/>
      </c>
      <c r="L1048" s="40" t="str">
        <f>IF(G1048="","",IF(D1048-G1048&gt;=System_Config!$B$9,"✅ OK","⚠️ BREACH"))</f>
        <v/>
      </c>
      <c r="M1048" s="40" t="str">
        <f>IFERROR(IF(Agent06_Withdrawals!A55="","",YEAR(Agent06_Withdrawals!D55)),"")</f>
        <v/>
      </c>
    </row>
    <row r="1049" spans="1:13" ht="18" customHeight="1" x14ac:dyDescent="0.25">
      <c r="A1049" s="40" t="str">
        <f>IF(Agent06_Withdrawals!A56="","",Agent06_Withdrawals!A56)</f>
        <v/>
      </c>
      <c r="B1049" s="40" t="str">
        <f ca="1">IF(Agent06_Withdrawals!A56="","","WD"&amp;TEXT(1049-3,"0000")&amp;"-"&amp;TEXT(TODAY(),"YYYYMMDD"))</f>
        <v/>
      </c>
      <c r="C1049" s="40" t="str">
        <f>IF(Agent06_Withdrawals!A56="","",Agent06_Withdrawals!B56)</f>
        <v/>
      </c>
      <c r="D1049" s="43" t="str">
        <f>IF(Agent06_Withdrawals!A56="","",Agent06_Withdrawals!C56)</f>
        <v/>
      </c>
      <c r="E1049" s="41" t="str">
        <f>IF(Agent06_Withdrawals!A56="","",Agent06_Withdrawals!D56)</f>
        <v/>
      </c>
      <c r="F1049" s="40" t="str">
        <f>IF(Agent06_Withdrawals!A56="","",Agent06_Withdrawals!F56)</f>
        <v/>
      </c>
      <c r="G1049" s="42" t="str">
        <f>IF(Agent06_Withdrawals!A56="","",Agent06_Withdrawals!E56)</f>
        <v/>
      </c>
      <c r="H1049" s="42" t="str">
        <f>IF(Agent06_Withdrawals!A56="","",Agent06_Withdrawals!G56)</f>
        <v/>
      </c>
      <c r="I1049" s="40" t="str">
        <f>IF(Agent06_Withdrawals!A56="","",Agent06_Withdrawals!H56)</f>
        <v/>
      </c>
      <c r="J1049" s="40" t="str">
        <f>IF(Agent06_Withdrawals!A56="","",Agent06_Withdrawals!J56)</f>
        <v/>
      </c>
      <c r="K1049" s="40" t="str">
        <f>IF(Agent06_Withdrawals!A56="","",Agent06_Withdrawals!K56)</f>
        <v/>
      </c>
      <c r="L1049" s="40" t="str">
        <f>IF(G1049="","",IF(D1049-G1049&gt;=System_Config!$B$9,"✅ OK","⚠️ BREACH"))</f>
        <v/>
      </c>
      <c r="M1049" s="40" t="str">
        <f>IFERROR(IF(Agent06_Withdrawals!A56="","",YEAR(Agent06_Withdrawals!D56)),"")</f>
        <v/>
      </c>
    </row>
    <row r="1050" spans="1:13" ht="18" customHeight="1" x14ac:dyDescent="0.25">
      <c r="A1050" s="40" t="str">
        <f>IF(Agent06_Withdrawals!A57="","",Agent06_Withdrawals!A57)</f>
        <v/>
      </c>
      <c r="B1050" s="40" t="str">
        <f ca="1">IF(Agent06_Withdrawals!A57="","","WD"&amp;TEXT(1050-3,"0000")&amp;"-"&amp;TEXT(TODAY(),"YYYYMMDD"))</f>
        <v/>
      </c>
      <c r="C1050" s="40" t="str">
        <f>IF(Agent06_Withdrawals!A57="","",Agent06_Withdrawals!B57)</f>
        <v/>
      </c>
      <c r="D1050" s="43" t="str">
        <f>IF(Agent06_Withdrawals!A57="","",Agent06_Withdrawals!C57)</f>
        <v/>
      </c>
      <c r="E1050" s="41" t="str">
        <f>IF(Agent06_Withdrawals!A57="","",Agent06_Withdrawals!D57)</f>
        <v/>
      </c>
      <c r="F1050" s="40" t="str">
        <f>IF(Agent06_Withdrawals!A57="","",Agent06_Withdrawals!F57)</f>
        <v/>
      </c>
      <c r="G1050" s="42" t="str">
        <f>IF(Agent06_Withdrawals!A57="","",Agent06_Withdrawals!E57)</f>
        <v/>
      </c>
      <c r="H1050" s="42" t="str">
        <f>IF(Agent06_Withdrawals!A57="","",Agent06_Withdrawals!G57)</f>
        <v/>
      </c>
      <c r="I1050" s="40" t="str">
        <f>IF(Agent06_Withdrawals!A57="","",Agent06_Withdrawals!H57)</f>
        <v/>
      </c>
      <c r="J1050" s="40" t="str">
        <f>IF(Agent06_Withdrawals!A57="","",Agent06_Withdrawals!J57)</f>
        <v/>
      </c>
      <c r="K1050" s="40" t="str">
        <f>IF(Agent06_Withdrawals!A57="","",Agent06_Withdrawals!K57)</f>
        <v/>
      </c>
      <c r="L1050" s="40" t="str">
        <f>IF(G1050="","",IF(D1050-G1050&gt;=System_Config!$B$9,"✅ OK","⚠️ BREACH"))</f>
        <v/>
      </c>
      <c r="M1050" s="40" t="str">
        <f>IFERROR(IF(Agent06_Withdrawals!A57="","",YEAR(Agent06_Withdrawals!D57)),"")</f>
        <v/>
      </c>
    </row>
    <row r="1051" spans="1:13" ht="18" customHeight="1" x14ac:dyDescent="0.25">
      <c r="A1051" s="40" t="str">
        <f>IF(Agent06_Withdrawals!A58="","",Agent06_Withdrawals!A58)</f>
        <v/>
      </c>
      <c r="B1051" s="40" t="str">
        <f ca="1">IF(Agent06_Withdrawals!A58="","","WD"&amp;TEXT(1051-3,"0000")&amp;"-"&amp;TEXT(TODAY(),"YYYYMMDD"))</f>
        <v/>
      </c>
      <c r="C1051" s="40" t="str">
        <f>IF(Agent06_Withdrawals!A58="","",Agent06_Withdrawals!B58)</f>
        <v/>
      </c>
      <c r="D1051" s="43" t="str">
        <f>IF(Agent06_Withdrawals!A58="","",Agent06_Withdrawals!C58)</f>
        <v/>
      </c>
      <c r="E1051" s="41" t="str">
        <f>IF(Agent06_Withdrawals!A58="","",Agent06_Withdrawals!D58)</f>
        <v/>
      </c>
      <c r="F1051" s="40" t="str">
        <f>IF(Agent06_Withdrawals!A58="","",Agent06_Withdrawals!F58)</f>
        <v/>
      </c>
      <c r="G1051" s="42" t="str">
        <f>IF(Agent06_Withdrawals!A58="","",Agent06_Withdrawals!E58)</f>
        <v/>
      </c>
      <c r="H1051" s="42" t="str">
        <f>IF(Agent06_Withdrawals!A58="","",Agent06_Withdrawals!G58)</f>
        <v/>
      </c>
      <c r="I1051" s="40" t="str">
        <f>IF(Agent06_Withdrawals!A58="","",Agent06_Withdrawals!H58)</f>
        <v/>
      </c>
      <c r="J1051" s="40" t="str">
        <f>IF(Agent06_Withdrawals!A58="","",Agent06_Withdrawals!J58)</f>
        <v/>
      </c>
      <c r="K1051" s="40" t="str">
        <f>IF(Agent06_Withdrawals!A58="","",Agent06_Withdrawals!K58)</f>
        <v/>
      </c>
      <c r="L1051" s="40" t="str">
        <f>IF(G1051="","",IF(D1051-G1051&gt;=System_Config!$B$9,"✅ OK","⚠️ BREACH"))</f>
        <v/>
      </c>
      <c r="M1051" s="40" t="str">
        <f>IFERROR(IF(Agent06_Withdrawals!A58="","",YEAR(Agent06_Withdrawals!D58)),"")</f>
        <v/>
      </c>
    </row>
    <row r="1052" spans="1:13" ht="18" customHeight="1" x14ac:dyDescent="0.25">
      <c r="A1052" s="40" t="str">
        <f>IF(Agent06_Withdrawals!A59="","",Agent06_Withdrawals!A59)</f>
        <v/>
      </c>
      <c r="B1052" s="40" t="str">
        <f ca="1">IF(Agent06_Withdrawals!A59="","","WD"&amp;TEXT(1052-3,"0000")&amp;"-"&amp;TEXT(TODAY(),"YYYYMMDD"))</f>
        <v/>
      </c>
      <c r="C1052" s="40" t="str">
        <f>IF(Agent06_Withdrawals!A59="","",Agent06_Withdrawals!B59)</f>
        <v/>
      </c>
      <c r="D1052" s="43" t="str">
        <f>IF(Agent06_Withdrawals!A59="","",Agent06_Withdrawals!C59)</f>
        <v/>
      </c>
      <c r="E1052" s="41" t="str">
        <f>IF(Agent06_Withdrawals!A59="","",Agent06_Withdrawals!D59)</f>
        <v/>
      </c>
      <c r="F1052" s="40" t="str">
        <f>IF(Agent06_Withdrawals!A59="","",Agent06_Withdrawals!F59)</f>
        <v/>
      </c>
      <c r="G1052" s="42" t="str">
        <f>IF(Agent06_Withdrawals!A59="","",Agent06_Withdrawals!E59)</f>
        <v/>
      </c>
      <c r="H1052" s="42" t="str">
        <f>IF(Agent06_Withdrawals!A59="","",Agent06_Withdrawals!G59)</f>
        <v/>
      </c>
      <c r="I1052" s="40" t="str">
        <f>IF(Agent06_Withdrawals!A59="","",Agent06_Withdrawals!H59)</f>
        <v/>
      </c>
      <c r="J1052" s="40" t="str">
        <f>IF(Agent06_Withdrawals!A59="","",Agent06_Withdrawals!J59)</f>
        <v/>
      </c>
      <c r="K1052" s="40" t="str">
        <f>IF(Agent06_Withdrawals!A59="","",Agent06_Withdrawals!K59)</f>
        <v/>
      </c>
      <c r="L1052" s="40" t="str">
        <f>IF(G1052="","",IF(D1052-G1052&gt;=System_Config!$B$9,"✅ OK","⚠️ BREACH"))</f>
        <v/>
      </c>
      <c r="M1052" s="40" t="str">
        <f>IFERROR(IF(Agent06_Withdrawals!A59="","",YEAR(Agent06_Withdrawals!D59)),"")</f>
        <v/>
      </c>
    </row>
    <row r="1053" spans="1:13" ht="18" customHeight="1" x14ac:dyDescent="0.25">
      <c r="A1053" s="40" t="str">
        <f>IF(Agent06_Withdrawals!A60="","",Agent06_Withdrawals!A60)</f>
        <v/>
      </c>
      <c r="B1053" s="40" t="str">
        <f ca="1">IF(Agent06_Withdrawals!A60="","","WD"&amp;TEXT(1053-3,"0000")&amp;"-"&amp;TEXT(TODAY(),"YYYYMMDD"))</f>
        <v/>
      </c>
      <c r="C1053" s="40" t="str">
        <f>IF(Agent06_Withdrawals!A60="","",Agent06_Withdrawals!B60)</f>
        <v/>
      </c>
      <c r="D1053" s="43" t="str">
        <f>IF(Agent06_Withdrawals!A60="","",Agent06_Withdrawals!C60)</f>
        <v/>
      </c>
      <c r="E1053" s="41" t="str">
        <f>IF(Agent06_Withdrawals!A60="","",Agent06_Withdrawals!D60)</f>
        <v/>
      </c>
      <c r="F1053" s="40" t="str">
        <f>IF(Agent06_Withdrawals!A60="","",Agent06_Withdrawals!F60)</f>
        <v/>
      </c>
      <c r="G1053" s="42" t="str">
        <f>IF(Agent06_Withdrawals!A60="","",Agent06_Withdrawals!E60)</f>
        <v/>
      </c>
      <c r="H1053" s="42" t="str">
        <f>IF(Agent06_Withdrawals!A60="","",Agent06_Withdrawals!G60)</f>
        <v/>
      </c>
      <c r="I1053" s="40" t="str">
        <f>IF(Agent06_Withdrawals!A60="","",Agent06_Withdrawals!H60)</f>
        <v/>
      </c>
      <c r="J1053" s="40" t="str">
        <f>IF(Agent06_Withdrawals!A60="","",Agent06_Withdrawals!J60)</f>
        <v/>
      </c>
      <c r="K1053" s="40" t="str">
        <f>IF(Agent06_Withdrawals!A60="","",Agent06_Withdrawals!K60)</f>
        <v/>
      </c>
      <c r="L1053" s="40" t="str">
        <f>IF(G1053="","",IF(D1053-G1053&gt;=System_Config!$B$9,"✅ OK","⚠️ BREACH"))</f>
        <v/>
      </c>
      <c r="M1053" s="40" t="str">
        <f>IFERROR(IF(Agent06_Withdrawals!A60="","",YEAR(Agent06_Withdrawals!D60)),"")</f>
        <v/>
      </c>
    </row>
    <row r="1054" spans="1:13" ht="18" customHeight="1" x14ac:dyDescent="0.25">
      <c r="A1054" s="40" t="str">
        <f>IF(Agent06_Withdrawals!A61="","",Agent06_Withdrawals!A61)</f>
        <v/>
      </c>
      <c r="B1054" s="40" t="str">
        <f ca="1">IF(Agent06_Withdrawals!A61="","","WD"&amp;TEXT(1054-3,"0000")&amp;"-"&amp;TEXT(TODAY(),"YYYYMMDD"))</f>
        <v/>
      </c>
      <c r="C1054" s="40" t="str">
        <f>IF(Agent06_Withdrawals!A61="","",Agent06_Withdrawals!B61)</f>
        <v/>
      </c>
      <c r="D1054" s="43" t="str">
        <f>IF(Agent06_Withdrawals!A61="","",Agent06_Withdrawals!C61)</f>
        <v/>
      </c>
      <c r="E1054" s="41" t="str">
        <f>IF(Agent06_Withdrawals!A61="","",Agent06_Withdrawals!D61)</f>
        <v/>
      </c>
      <c r="F1054" s="40" t="str">
        <f>IF(Agent06_Withdrawals!A61="","",Agent06_Withdrawals!F61)</f>
        <v/>
      </c>
      <c r="G1054" s="42" t="str">
        <f>IF(Agent06_Withdrawals!A61="","",Agent06_Withdrawals!E61)</f>
        <v/>
      </c>
      <c r="H1054" s="42" t="str">
        <f>IF(Agent06_Withdrawals!A61="","",Agent06_Withdrawals!G61)</f>
        <v/>
      </c>
      <c r="I1054" s="40" t="str">
        <f>IF(Agent06_Withdrawals!A61="","",Agent06_Withdrawals!H61)</f>
        <v/>
      </c>
      <c r="J1054" s="40" t="str">
        <f>IF(Agent06_Withdrawals!A61="","",Agent06_Withdrawals!J61)</f>
        <v/>
      </c>
      <c r="K1054" s="40" t="str">
        <f>IF(Agent06_Withdrawals!A61="","",Agent06_Withdrawals!K61)</f>
        <v/>
      </c>
      <c r="L1054" s="40" t="str">
        <f>IF(G1054="","",IF(D1054-G1054&gt;=System_Config!$B$9,"✅ OK","⚠️ BREACH"))</f>
        <v/>
      </c>
      <c r="M1054" s="40" t="str">
        <f>IFERROR(IF(Agent06_Withdrawals!A61="","",YEAR(Agent06_Withdrawals!D61)),"")</f>
        <v/>
      </c>
    </row>
    <row r="1055" spans="1:13" ht="18" customHeight="1" x14ac:dyDescent="0.25">
      <c r="A1055" s="40" t="str">
        <f>IF(Agent06_Withdrawals!A62="","",Agent06_Withdrawals!A62)</f>
        <v/>
      </c>
      <c r="B1055" s="40" t="str">
        <f ca="1">IF(Agent06_Withdrawals!A62="","","WD"&amp;TEXT(1055-3,"0000")&amp;"-"&amp;TEXT(TODAY(),"YYYYMMDD"))</f>
        <v/>
      </c>
      <c r="C1055" s="40" t="str">
        <f>IF(Agent06_Withdrawals!A62="","",Agent06_Withdrawals!B62)</f>
        <v/>
      </c>
      <c r="D1055" s="43" t="str">
        <f>IF(Agent06_Withdrawals!A62="","",Agent06_Withdrawals!C62)</f>
        <v/>
      </c>
      <c r="E1055" s="41" t="str">
        <f>IF(Agent06_Withdrawals!A62="","",Agent06_Withdrawals!D62)</f>
        <v/>
      </c>
      <c r="F1055" s="40" t="str">
        <f>IF(Agent06_Withdrawals!A62="","",Agent06_Withdrawals!F62)</f>
        <v/>
      </c>
      <c r="G1055" s="42" t="str">
        <f>IF(Agent06_Withdrawals!A62="","",Agent06_Withdrawals!E62)</f>
        <v/>
      </c>
      <c r="H1055" s="42" t="str">
        <f>IF(Agent06_Withdrawals!A62="","",Agent06_Withdrawals!G62)</f>
        <v/>
      </c>
      <c r="I1055" s="40" t="str">
        <f>IF(Agent06_Withdrawals!A62="","",Agent06_Withdrawals!H62)</f>
        <v/>
      </c>
      <c r="J1055" s="40" t="str">
        <f>IF(Agent06_Withdrawals!A62="","",Agent06_Withdrawals!J62)</f>
        <v/>
      </c>
      <c r="K1055" s="40" t="str">
        <f>IF(Agent06_Withdrawals!A62="","",Agent06_Withdrawals!K62)</f>
        <v/>
      </c>
      <c r="L1055" s="40" t="str">
        <f>IF(G1055="","",IF(D1055-G1055&gt;=System_Config!$B$9,"✅ OK","⚠️ BREACH"))</f>
        <v/>
      </c>
      <c r="M1055" s="40" t="str">
        <f>IFERROR(IF(Agent06_Withdrawals!A62="","",YEAR(Agent06_Withdrawals!D62)),"")</f>
        <v/>
      </c>
    </row>
    <row r="1056" spans="1:13" ht="18" customHeight="1" x14ac:dyDescent="0.25">
      <c r="A1056" s="40" t="str">
        <f>IF(Agent06_Withdrawals!A63="","",Agent06_Withdrawals!A63)</f>
        <v/>
      </c>
      <c r="B1056" s="40" t="str">
        <f ca="1">IF(Agent06_Withdrawals!A63="","","WD"&amp;TEXT(1056-3,"0000")&amp;"-"&amp;TEXT(TODAY(),"YYYYMMDD"))</f>
        <v/>
      </c>
      <c r="C1056" s="40" t="str">
        <f>IF(Agent06_Withdrawals!A63="","",Agent06_Withdrawals!B63)</f>
        <v/>
      </c>
      <c r="D1056" s="43" t="str">
        <f>IF(Agent06_Withdrawals!A63="","",Agent06_Withdrawals!C63)</f>
        <v/>
      </c>
      <c r="E1056" s="41" t="str">
        <f>IF(Agent06_Withdrawals!A63="","",Agent06_Withdrawals!D63)</f>
        <v/>
      </c>
      <c r="F1056" s="40" t="str">
        <f>IF(Agent06_Withdrawals!A63="","",Agent06_Withdrawals!F63)</f>
        <v/>
      </c>
      <c r="G1056" s="42" t="str">
        <f>IF(Agent06_Withdrawals!A63="","",Agent06_Withdrawals!E63)</f>
        <v/>
      </c>
      <c r="H1056" s="42" t="str">
        <f>IF(Agent06_Withdrawals!A63="","",Agent06_Withdrawals!G63)</f>
        <v/>
      </c>
      <c r="I1056" s="40" t="str">
        <f>IF(Agent06_Withdrawals!A63="","",Agent06_Withdrawals!H63)</f>
        <v/>
      </c>
      <c r="J1056" s="40" t="str">
        <f>IF(Agent06_Withdrawals!A63="","",Agent06_Withdrawals!J63)</f>
        <v/>
      </c>
      <c r="K1056" s="40" t="str">
        <f>IF(Agent06_Withdrawals!A63="","",Agent06_Withdrawals!K63)</f>
        <v/>
      </c>
      <c r="L1056" s="40" t="str">
        <f>IF(G1056="","",IF(D1056-G1056&gt;=System_Config!$B$9,"✅ OK","⚠️ BREACH"))</f>
        <v/>
      </c>
      <c r="M1056" s="40" t="str">
        <f>IFERROR(IF(Agent06_Withdrawals!A63="","",YEAR(Agent06_Withdrawals!D63)),"")</f>
        <v/>
      </c>
    </row>
    <row r="1057" spans="1:13" ht="18" customHeight="1" x14ac:dyDescent="0.25">
      <c r="A1057" s="40" t="str">
        <f>IF(Agent06_Withdrawals!A64="","",Agent06_Withdrawals!A64)</f>
        <v/>
      </c>
      <c r="B1057" s="40" t="str">
        <f ca="1">IF(Agent06_Withdrawals!A64="","","WD"&amp;TEXT(1057-3,"0000")&amp;"-"&amp;TEXT(TODAY(),"YYYYMMDD"))</f>
        <v/>
      </c>
      <c r="C1057" s="40" t="str">
        <f>IF(Agent06_Withdrawals!A64="","",Agent06_Withdrawals!B64)</f>
        <v/>
      </c>
      <c r="D1057" s="43" t="str">
        <f>IF(Agent06_Withdrawals!A64="","",Agent06_Withdrawals!C64)</f>
        <v/>
      </c>
      <c r="E1057" s="41" t="str">
        <f>IF(Agent06_Withdrawals!A64="","",Agent06_Withdrawals!D64)</f>
        <v/>
      </c>
      <c r="F1057" s="40" t="str">
        <f>IF(Agent06_Withdrawals!A64="","",Agent06_Withdrawals!F64)</f>
        <v/>
      </c>
      <c r="G1057" s="42" t="str">
        <f>IF(Agent06_Withdrawals!A64="","",Agent06_Withdrawals!E64)</f>
        <v/>
      </c>
      <c r="H1057" s="42" t="str">
        <f>IF(Agent06_Withdrawals!A64="","",Agent06_Withdrawals!G64)</f>
        <v/>
      </c>
      <c r="I1057" s="40" t="str">
        <f>IF(Agent06_Withdrawals!A64="","",Agent06_Withdrawals!H64)</f>
        <v/>
      </c>
      <c r="J1057" s="40" t="str">
        <f>IF(Agent06_Withdrawals!A64="","",Agent06_Withdrawals!J64)</f>
        <v/>
      </c>
      <c r="K1057" s="40" t="str">
        <f>IF(Agent06_Withdrawals!A64="","",Agent06_Withdrawals!K64)</f>
        <v/>
      </c>
      <c r="L1057" s="40" t="str">
        <f>IF(G1057="","",IF(D1057-G1057&gt;=System_Config!$B$9,"✅ OK","⚠️ BREACH"))</f>
        <v/>
      </c>
      <c r="M1057" s="40" t="str">
        <f>IFERROR(IF(Agent06_Withdrawals!A64="","",YEAR(Agent06_Withdrawals!D64)),"")</f>
        <v/>
      </c>
    </row>
    <row r="1058" spans="1:13" ht="18" customHeight="1" x14ac:dyDescent="0.25">
      <c r="A1058" s="40" t="str">
        <f>IF(Agent06_Withdrawals!A65="","",Agent06_Withdrawals!A65)</f>
        <v/>
      </c>
      <c r="B1058" s="40" t="str">
        <f ca="1">IF(Agent06_Withdrawals!A65="","","WD"&amp;TEXT(1058-3,"0000")&amp;"-"&amp;TEXT(TODAY(),"YYYYMMDD"))</f>
        <v/>
      </c>
      <c r="C1058" s="40" t="str">
        <f>IF(Agent06_Withdrawals!A65="","",Agent06_Withdrawals!B65)</f>
        <v/>
      </c>
      <c r="D1058" s="43" t="str">
        <f>IF(Agent06_Withdrawals!A65="","",Agent06_Withdrawals!C65)</f>
        <v/>
      </c>
      <c r="E1058" s="41" t="str">
        <f>IF(Agent06_Withdrawals!A65="","",Agent06_Withdrawals!D65)</f>
        <v/>
      </c>
      <c r="F1058" s="40" t="str">
        <f>IF(Agent06_Withdrawals!A65="","",Agent06_Withdrawals!F65)</f>
        <v/>
      </c>
      <c r="G1058" s="42" t="str">
        <f>IF(Agent06_Withdrawals!A65="","",Agent06_Withdrawals!E65)</f>
        <v/>
      </c>
      <c r="H1058" s="42" t="str">
        <f>IF(Agent06_Withdrawals!A65="","",Agent06_Withdrawals!G65)</f>
        <v/>
      </c>
      <c r="I1058" s="40" t="str">
        <f>IF(Agent06_Withdrawals!A65="","",Agent06_Withdrawals!H65)</f>
        <v/>
      </c>
      <c r="J1058" s="40" t="str">
        <f>IF(Agent06_Withdrawals!A65="","",Agent06_Withdrawals!J65)</f>
        <v/>
      </c>
      <c r="K1058" s="40" t="str">
        <f>IF(Agent06_Withdrawals!A65="","",Agent06_Withdrawals!K65)</f>
        <v/>
      </c>
      <c r="L1058" s="40" t="str">
        <f>IF(G1058="","",IF(D1058-G1058&gt;=System_Config!$B$9,"✅ OK","⚠️ BREACH"))</f>
        <v/>
      </c>
      <c r="M1058" s="40" t="str">
        <f>IFERROR(IF(Agent06_Withdrawals!A65="","",YEAR(Agent06_Withdrawals!D65)),"")</f>
        <v/>
      </c>
    </row>
    <row r="1059" spans="1:13" ht="18" customHeight="1" x14ac:dyDescent="0.25">
      <c r="A1059" s="40" t="str">
        <f>IF(Agent06_Withdrawals!A66="","",Agent06_Withdrawals!A66)</f>
        <v/>
      </c>
      <c r="B1059" s="40" t="str">
        <f ca="1">IF(Agent06_Withdrawals!A66="","","WD"&amp;TEXT(1059-3,"0000")&amp;"-"&amp;TEXT(TODAY(),"YYYYMMDD"))</f>
        <v/>
      </c>
      <c r="C1059" s="40" t="str">
        <f>IF(Agent06_Withdrawals!A66="","",Agent06_Withdrawals!B66)</f>
        <v/>
      </c>
      <c r="D1059" s="43" t="str">
        <f>IF(Agent06_Withdrawals!A66="","",Agent06_Withdrawals!C66)</f>
        <v/>
      </c>
      <c r="E1059" s="41" t="str">
        <f>IF(Agent06_Withdrawals!A66="","",Agent06_Withdrawals!D66)</f>
        <v/>
      </c>
      <c r="F1059" s="40" t="str">
        <f>IF(Agent06_Withdrawals!A66="","",Agent06_Withdrawals!F66)</f>
        <v/>
      </c>
      <c r="G1059" s="42" t="str">
        <f>IF(Agent06_Withdrawals!A66="","",Agent06_Withdrawals!E66)</f>
        <v/>
      </c>
      <c r="H1059" s="42" t="str">
        <f>IF(Agent06_Withdrawals!A66="","",Agent06_Withdrawals!G66)</f>
        <v/>
      </c>
      <c r="I1059" s="40" t="str">
        <f>IF(Agent06_Withdrawals!A66="","",Agent06_Withdrawals!H66)</f>
        <v/>
      </c>
      <c r="J1059" s="40" t="str">
        <f>IF(Agent06_Withdrawals!A66="","",Agent06_Withdrawals!J66)</f>
        <v/>
      </c>
      <c r="K1059" s="40" t="str">
        <f>IF(Agent06_Withdrawals!A66="","",Agent06_Withdrawals!K66)</f>
        <v/>
      </c>
      <c r="L1059" s="40" t="str">
        <f>IF(G1059="","",IF(D1059-G1059&gt;=System_Config!$B$9,"✅ OK","⚠️ BREACH"))</f>
        <v/>
      </c>
      <c r="M1059" s="40" t="str">
        <f>IFERROR(IF(Agent06_Withdrawals!A66="","",YEAR(Agent06_Withdrawals!D66)),"")</f>
        <v/>
      </c>
    </row>
    <row r="1060" spans="1:13" ht="18" customHeight="1" x14ac:dyDescent="0.25">
      <c r="A1060" s="40" t="str">
        <f>IF(Agent06_Withdrawals!A67="","",Agent06_Withdrawals!A67)</f>
        <v/>
      </c>
      <c r="B1060" s="40" t="str">
        <f ca="1">IF(Agent06_Withdrawals!A67="","","WD"&amp;TEXT(1060-3,"0000")&amp;"-"&amp;TEXT(TODAY(),"YYYYMMDD"))</f>
        <v/>
      </c>
      <c r="C1060" s="40" t="str">
        <f>IF(Agent06_Withdrawals!A67="","",Agent06_Withdrawals!B67)</f>
        <v/>
      </c>
      <c r="D1060" s="43" t="str">
        <f>IF(Agent06_Withdrawals!A67="","",Agent06_Withdrawals!C67)</f>
        <v/>
      </c>
      <c r="E1060" s="41" t="str">
        <f>IF(Agent06_Withdrawals!A67="","",Agent06_Withdrawals!D67)</f>
        <v/>
      </c>
      <c r="F1060" s="40" t="str">
        <f>IF(Agent06_Withdrawals!A67="","",Agent06_Withdrawals!F67)</f>
        <v/>
      </c>
      <c r="G1060" s="42" t="str">
        <f>IF(Agent06_Withdrawals!A67="","",Agent06_Withdrawals!E67)</f>
        <v/>
      </c>
      <c r="H1060" s="42" t="str">
        <f>IF(Agent06_Withdrawals!A67="","",Agent06_Withdrawals!G67)</f>
        <v/>
      </c>
      <c r="I1060" s="40" t="str">
        <f>IF(Agent06_Withdrawals!A67="","",Agent06_Withdrawals!H67)</f>
        <v/>
      </c>
      <c r="J1060" s="40" t="str">
        <f>IF(Agent06_Withdrawals!A67="","",Agent06_Withdrawals!J67)</f>
        <v/>
      </c>
      <c r="K1060" s="40" t="str">
        <f>IF(Agent06_Withdrawals!A67="","",Agent06_Withdrawals!K67)</f>
        <v/>
      </c>
      <c r="L1060" s="40" t="str">
        <f>IF(G1060="","",IF(D1060-G1060&gt;=System_Config!$B$9,"✅ OK","⚠️ BREACH"))</f>
        <v/>
      </c>
      <c r="M1060" s="40" t="str">
        <f>IFERROR(IF(Agent06_Withdrawals!A67="","",YEAR(Agent06_Withdrawals!D67)),"")</f>
        <v/>
      </c>
    </row>
    <row r="1061" spans="1:13" ht="18" customHeight="1" x14ac:dyDescent="0.25">
      <c r="A1061" s="40" t="str">
        <f>IF(Agent06_Withdrawals!A68="","",Agent06_Withdrawals!A68)</f>
        <v/>
      </c>
      <c r="B1061" s="40" t="str">
        <f ca="1">IF(Agent06_Withdrawals!A68="","","WD"&amp;TEXT(1061-3,"0000")&amp;"-"&amp;TEXT(TODAY(),"YYYYMMDD"))</f>
        <v/>
      </c>
      <c r="C1061" s="40" t="str">
        <f>IF(Agent06_Withdrawals!A68="","",Agent06_Withdrawals!B68)</f>
        <v/>
      </c>
      <c r="D1061" s="43" t="str">
        <f>IF(Agent06_Withdrawals!A68="","",Agent06_Withdrawals!C68)</f>
        <v/>
      </c>
      <c r="E1061" s="41" t="str">
        <f>IF(Agent06_Withdrawals!A68="","",Agent06_Withdrawals!D68)</f>
        <v/>
      </c>
      <c r="F1061" s="40" t="str">
        <f>IF(Agent06_Withdrawals!A68="","",Agent06_Withdrawals!F68)</f>
        <v/>
      </c>
      <c r="G1061" s="42" t="str">
        <f>IF(Agent06_Withdrawals!A68="","",Agent06_Withdrawals!E68)</f>
        <v/>
      </c>
      <c r="H1061" s="42" t="str">
        <f>IF(Agent06_Withdrawals!A68="","",Agent06_Withdrawals!G68)</f>
        <v/>
      </c>
      <c r="I1061" s="40" t="str">
        <f>IF(Agent06_Withdrawals!A68="","",Agent06_Withdrawals!H68)</f>
        <v/>
      </c>
      <c r="J1061" s="40" t="str">
        <f>IF(Agent06_Withdrawals!A68="","",Agent06_Withdrawals!J68)</f>
        <v/>
      </c>
      <c r="K1061" s="40" t="str">
        <f>IF(Agent06_Withdrawals!A68="","",Agent06_Withdrawals!K68)</f>
        <v/>
      </c>
      <c r="L1061" s="40" t="str">
        <f>IF(G1061="","",IF(D1061-G1061&gt;=System_Config!$B$9,"✅ OK","⚠️ BREACH"))</f>
        <v/>
      </c>
      <c r="M1061" s="40" t="str">
        <f>IFERROR(IF(Agent06_Withdrawals!A68="","",YEAR(Agent06_Withdrawals!D68)),"")</f>
        <v/>
      </c>
    </row>
    <row r="1062" spans="1:13" ht="18" customHeight="1" x14ac:dyDescent="0.25">
      <c r="A1062" s="40" t="str">
        <f>IF(Agent06_Withdrawals!A69="","",Agent06_Withdrawals!A69)</f>
        <v/>
      </c>
      <c r="B1062" s="40" t="str">
        <f ca="1">IF(Agent06_Withdrawals!A69="","","WD"&amp;TEXT(1062-3,"0000")&amp;"-"&amp;TEXT(TODAY(),"YYYYMMDD"))</f>
        <v/>
      </c>
      <c r="C1062" s="40" t="str">
        <f>IF(Agent06_Withdrawals!A69="","",Agent06_Withdrawals!B69)</f>
        <v/>
      </c>
      <c r="D1062" s="43" t="str">
        <f>IF(Agent06_Withdrawals!A69="","",Agent06_Withdrawals!C69)</f>
        <v/>
      </c>
      <c r="E1062" s="41" t="str">
        <f>IF(Agent06_Withdrawals!A69="","",Agent06_Withdrawals!D69)</f>
        <v/>
      </c>
      <c r="F1062" s="40" t="str">
        <f>IF(Agent06_Withdrawals!A69="","",Agent06_Withdrawals!F69)</f>
        <v/>
      </c>
      <c r="G1062" s="42" t="str">
        <f>IF(Agent06_Withdrawals!A69="","",Agent06_Withdrawals!E69)</f>
        <v/>
      </c>
      <c r="H1062" s="42" t="str">
        <f>IF(Agent06_Withdrawals!A69="","",Agent06_Withdrawals!G69)</f>
        <v/>
      </c>
      <c r="I1062" s="40" t="str">
        <f>IF(Agent06_Withdrawals!A69="","",Agent06_Withdrawals!H69)</f>
        <v/>
      </c>
      <c r="J1062" s="40" t="str">
        <f>IF(Agent06_Withdrawals!A69="","",Agent06_Withdrawals!J69)</f>
        <v/>
      </c>
      <c r="K1062" s="40" t="str">
        <f>IF(Agent06_Withdrawals!A69="","",Agent06_Withdrawals!K69)</f>
        <v/>
      </c>
      <c r="L1062" s="40" t="str">
        <f>IF(G1062="","",IF(D1062-G1062&gt;=System_Config!$B$9,"✅ OK","⚠️ BREACH"))</f>
        <v/>
      </c>
      <c r="M1062" s="40" t="str">
        <f>IFERROR(IF(Agent06_Withdrawals!A69="","",YEAR(Agent06_Withdrawals!D69)),"")</f>
        <v/>
      </c>
    </row>
    <row r="1063" spans="1:13" ht="18" customHeight="1" x14ac:dyDescent="0.25">
      <c r="A1063" s="40" t="str">
        <f>IF(Agent06_Withdrawals!A70="","",Agent06_Withdrawals!A70)</f>
        <v/>
      </c>
      <c r="B1063" s="40" t="str">
        <f ca="1">IF(Agent06_Withdrawals!A70="","","WD"&amp;TEXT(1063-3,"0000")&amp;"-"&amp;TEXT(TODAY(),"YYYYMMDD"))</f>
        <v/>
      </c>
      <c r="C1063" s="40" t="str">
        <f>IF(Agent06_Withdrawals!A70="","",Agent06_Withdrawals!B70)</f>
        <v/>
      </c>
      <c r="D1063" s="43" t="str">
        <f>IF(Agent06_Withdrawals!A70="","",Agent06_Withdrawals!C70)</f>
        <v/>
      </c>
      <c r="E1063" s="41" t="str">
        <f>IF(Agent06_Withdrawals!A70="","",Agent06_Withdrawals!D70)</f>
        <v/>
      </c>
      <c r="F1063" s="40" t="str">
        <f>IF(Agent06_Withdrawals!A70="","",Agent06_Withdrawals!F70)</f>
        <v/>
      </c>
      <c r="G1063" s="42" t="str">
        <f>IF(Agent06_Withdrawals!A70="","",Agent06_Withdrawals!E70)</f>
        <v/>
      </c>
      <c r="H1063" s="42" t="str">
        <f>IF(Agent06_Withdrawals!A70="","",Agent06_Withdrawals!G70)</f>
        <v/>
      </c>
      <c r="I1063" s="40" t="str">
        <f>IF(Agent06_Withdrawals!A70="","",Agent06_Withdrawals!H70)</f>
        <v/>
      </c>
      <c r="J1063" s="40" t="str">
        <f>IF(Agent06_Withdrawals!A70="","",Agent06_Withdrawals!J70)</f>
        <v/>
      </c>
      <c r="K1063" s="40" t="str">
        <f>IF(Agent06_Withdrawals!A70="","",Agent06_Withdrawals!K70)</f>
        <v/>
      </c>
      <c r="L1063" s="40" t="str">
        <f>IF(G1063="","",IF(D1063-G1063&gt;=System_Config!$B$9,"✅ OK","⚠️ BREACH"))</f>
        <v/>
      </c>
      <c r="M1063" s="40" t="str">
        <f>IFERROR(IF(Agent06_Withdrawals!A70="","",YEAR(Agent06_Withdrawals!D70)),"")</f>
        <v/>
      </c>
    </row>
    <row r="1064" spans="1:13" ht="18" customHeight="1" x14ac:dyDescent="0.25">
      <c r="A1064" s="40" t="str">
        <f>IF(Agent06_Withdrawals!A71="","",Agent06_Withdrawals!A71)</f>
        <v/>
      </c>
      <c r="B1064" s="40" t="str">
        <f ca="1">IF(Agent06_Withdrawals!A71="","","WD"&amp;TEXT(1064-3,"0000")&amp;"-"&amp;TEXT(TODAY(),"YYYYMMDD"))</f>
        <v/>
      </c>
      <c r="C1064" s="40" t="str">
        <f>IF(Agent06_Withdrawals!A71="","",Agent06_Withdrawals!B71)</f>
        <v/>
      </c>
      <c r="D1064" s="43" t="str">
        <f>IF(Agent06_Withdrawals!A71="","",Agent06_Withdrawals!C71)</f>
        <v/>
      </c>
      <c r="E1064" s="41" t="str">
        <f>IF(Agent06_Withdrawals!A71="","",Agent06_Withdrawals!D71)</f>
        <v/>
      </c>
      <c r="F1064" s="40" t="str">
        <f>IF(Agent06_Withdrawals!A71="","",Agent06_Withdrawals!F71)</f>
        <v/>
      </c>
      <c r="G1064" s="42" t="str">
        <f>IF(Agent06_Withdrawals!A71="","",Agent06_Withdrawals!E71)</f>
        <v/>
      </c>
      <c r="H1064" s="42" t="str">
        <f>IF(Agent06_Withdrawals!A71="","",Agent06_Withdrawals!G71)</f>
        <v/>
      </c>
      <c r="I1064" s="40" t="str">
        <f>IF(Agent06_Withdrawals!A71="","",Agent06_Withdrawals!H71)</f>
        <v/>
      </c>
      <c r="J1064" s="40" t="str">
        <f>IF(Agent06_Withdrawals!A71="","",Agent06_Withdrawals!J71)</f>
        <v/>
      </c>
      <c r="K1064" s="40" t="str">
        <f>IF(Agent06_Withdrawals!A71="","",Agent06_Withdrawals!K71)</f>
        <v/>
      </c>
      <c r="L1064" s="40" t="str">
        <f>IF(G1064="","",IF(D1064-G1064&gt;=System_Config!$B$9,"✅ OK","⚠️ BREACH"))</f>
        <v/>
      </c>
      <c r="M1064" s="40" t="str">
        <f>IFERROR(IF(Agent06_Withdrawals!A71="","",YEAR(Agent06_Withdrawals!D71)),"")</f>
        <v/>
      </c>
    </row>
    <row r="1065" spans="1:13" ht="18" customHeight="1" x14ac:dyDescent="0.25">
      <c r="A1065" s="40" t="str">
        <f>IF(Agent06_Withdrawals!A72="","",Agent06_Withdrawals!A72)</f>
        <v/>
      </c>
      <c r="B1065" s="40" t="str">
        <f ca="1">IF(Agent06_Withdrawals!A72="","","WD"&amp;TEXT(1065-3,"0000")&amp;"-"&amp;TEXT(TODAY(),"YYYYMMDD"))</f>
        <v/>
      </c>
      <c r="C1065" s="40" t="str">
        <f>IF(Agent06_Withdrawals!A72="","",Agent06_Withdrawals!B72)</f>
        <v/>
      </c>
      <c r="D1065" s="43" t="str">
        <f>IF(Agent06_Withdrawals!A72="","",Agent06_Withdrawals!C72)</f>
        <v/>
      </c>
      <c r="E1065" s="41" t="str">
        <f>IF(Agent06_Withdrawals!A72="","",Agent06_Withdrawals!D72)</f>
        <v/>
      </c>
      <c r="F1065" s="40" t="str">
        <f>IF(Agent06_Withdrawals!A72="","",Agent06_Withdrawals!F72)</f>
        <v/>
      </c>
      <c r="G1065" s="42" t="str">
        <f>IF(Agent06_Withdrawals!A72="","",Agent06_Withdrawals!E72)</f>
        <v/>
      </c>
      <c r="H1065" s="42" t="str">
        <f>IF(Agent06_Withdrawals!A72="","",Agent06_Withdrawals!G72)</f>
        <v/>
      </c>
      <c r="I1065" s="40" t="str">
        <f>IF(Agent06_Withdrawals!A72="","",Agent06_Withdrawals!H72)</f>
        <v/>
      </c>
      <c r="J1065" s="40" t="str">
        <f>IF(Agent06_Withdrawals!A72="","",Agent06_Withdrawals!J72)</f>
        <v/>
      </c>
      <c r="K1065" s="40" t="str">
        <f>IF(Agent06_Withdrawals!A72="","",Agent06_Withdrawals!K72)</f>
        <v/>
      </c>
      <c r="L1065" s="40" t="str">
        <f>IF(G1065="","",IF(D1065-G1065&gt;=System_Config!$B$9,"✅ OK","⚠️ BREACH"))</f>
        <v/>
      </c>
      <c r="M1065" s="40" t="str">
        <f>IFERROR(IF(Agent06_Withdrawals!A72="","",YEAR(Agent06_Withdrawals!D72)),"")</f>
        <v/>
      </c>
    </row>
    <row r="1066" spans="1:13" ht="18" customHeight="1" x14ac:dyDescent="0.25">
      <c r="A1066" s="40" t="str">
        <f>IF(Agent06_Withdrawals!A73="","",Agent06_Withdrawals!A73)</f>
        <v/>
      </c>
      <c r="B1066" s="40" t="str">
        <f ca="1">IF(Agent06_Withdrawals!A73="","","WD"&amp;TEXT(1066-3,"0000")&amp;"-"&amp;TEXT(TODAY(),"YYYYMMDD"))</f>
        <v/>
      </c>
      <c r="C1066" s="40" t="str">
        <f>IF(Agent06_Withdrawals!A73="","",Agent06_Withdrawals!B73)</f>
        <v/>
      </c>
      <c r="D1066" s="43" t="str">
        <f>IF(Agent06_Withdrawals!A73="","",Agent06_Withdrawals!C73)</f>
        <v/>
      </c>
      <c r="E1066" s="41" t="str">
        <f>IF(Agent06_Withdrawals!A73="","",Agent06_Withdrawals!D73)</f>
        <v/>
      </c>
      <c r="F1066" s="40" t="str">
        <f>IF(Agent06_Withdrawals!A73="","",Agent06_Withdrawals!F73)</f>
        <v/>
      </c>
      <c r="G1066" s="42" t="str">
        <f>IF(Agent06_Withdrawals!A73="","",Agent06_Withdrawals!E73)</f>
        <v/>
      </c>
      <c r="H1066" s="42" t="str">
        <f>IF(Agent06_Withdrawals!A73="","",Agent06_Withdrawals!G73)</f>
        <v/>
      </c>
      <c r="I1066" s="40" t="str">
        <f>IF(Agent06_Withdrawals!A73="","",Agent06_Withdrawals!H73)</f>
        <v/>
      </c>
      <c r="J1066" s="40" t="str">
        <f>IF(Agent06_Withdrawals!A73="","",Agent06_Withdrawals!J73)</f>
        <v/>
      </c>
      <c r="K1066" s="40" t="str">
        <f>IF(Agent06_Withdrawals!A73="","",Agent06_Withdrawals!K73)</f>
        <v/>
      </c>
      <c r="L1066" s="40" t="str">
        <f>IF(G1066="","",IF(D1066-G1066&gt;=System_Config!$B$9,"✅ OK","⚠️ BREACH"))</f>
        <v/>
      </c>
      <c r="M1066" s="40" t="str">
        <f>IFERROR(IF(Agent06_Withdrawals!A73="","",YEAR(Agent06_Withdrawals!D73)),"")</f>
        <v/>
      </c>
    </row>
    <row r="1067" spans="1:13" ht="18" customHeight="1" x14ac:dyDescent="0.25">
      <c r="A1067" s="40" t="str">
        <f>IF(Agent06_Withdrawals!A74="","",Agent06_Withdrawals!A74)</f>
        <v/>
      </c>
      <c r="B1067" s="40" t="str">
        <f ca="1">IF(Agent06_Withdrawals!A74="","","WD"&amp;TEXT(1067-3,"0000")&amp;"-"&amp;TEXT(TODAY(),"YYYYMMDD"))</f>
        <v/>
      </c>
      <c r="C1067" s="40" t="str">
        <f>IF(Agent06_Withdrawals!A74="","",Agent06_Withdrawals!B74)</f>
        <v/>
      </c>
      <c r="D1067" s="43" t="str">
        <f>IF(Agent06_Withdrawals!A74="","",Agent06_Withdrawals!C74)</f>
        <v/>
      </c>
      <c r="E1067" s="41" t="str">
        <f>IF(Agent06_Withdrawals!A74="","",Agent06_Withdrawals!D74)</f>
        <v/>
      </c>
      <c r="F1067" s="40" t="str">
        <f>IF(Agent06_Withdrawals!A74="","",Agent06_Withdrawals!F74)</f>
        <v/>
      </c>
      <c r="G1067" s="42" t="str">
        <f>IF(Agent06_Withdrawals!A74="","",Agent06_Withdrawals!E74)</f>
        <v/>
      </c>
      <c r="H1067" s="42" t="str">
        <f>IF(Agent06_Withdrawals!A74="","",Agent06_Withdrawals!G74)</f>
        <v/>
      </c>
      <c r="I1067" s="40" t="str">
        <f>IF(Agent06_Withdrawals!A74="","",Agent06_Withdrawals!H74)</f>
        <v/>
      </c>
      <c r="J1067" s="40" t="str">
        <f>IF(Agent06_Withdrawals!A74="","",Agent06_Withdrawals!J74)</f>
        <v/>
      </c>
      <c r="K1067" s="40" t="str">
        <f>IF(Agent06_Withdrawals!A74="","",Agent06_Withdrawals!K74)</f>
        <v/>
      </c>
      <c r="L1067" s="40" t="str">
        <f>IF(G1067="","",IF(D1067-G1067&gt;=System_Config!$B$9,"✅ OK","⚠️ BREACH"))</f>
        <v/>
      </c>
      <c r="M1067" s="40" t="str">
        <f>IFERROR(IF(Agent06_Withdrawals!A74="","",YEAR(Agent06_Withdrawals!D74)),"")</f>
        <v/>
      </c>
    </row>
    <row r="1068" spans="1:13" ht="18" customHeight="1" x14ac:dyDescent="0.25">
      <c r="A1068" s="40" t="str">
        <f>IF(Agent06_Withdrawals!A75="","",Agent06_Withdrawals!A75)</f>
        <v/>
      </c>
      <c r="B1068" s="40" t="str">
        <f ca="1">IF(Agent06_Withdrawals!A75="","","WD"&amp;TEXT(1068-3,"0000")&amp;"-"&amp;TEXT(TODAY(),"YYYYMMDD"))</f>
        <v/>
      </c>
      <c r="C1068" s="40" t="str">
        <f>IF(Agent06_Withdrawals!A75="","",Agent06_Withdrawals!B75)</f>
        <v/>
      </c>
      <c r="D1068" s="43" t="str">
        <f>IF(Agent06_Withdrawals!A75="","",Agent06_Withdrawals!C75)</f>
        <v/>
      </c>
      <c r="E1068" s="41" t="str">
        <f>IF(Agent06_Withdrawals!A75="","",Agent06_Withdrawals!D75)</f>
        <v/>
      </c>
      <c r="F1068" s="40" t="str">
        <f>IF(Agent06_Withdrawals!A75="","",Agent06_Withdrawals!F75)</f>
        <v/>
      </c>
      <c r="G1068" s="42" t="str">
        <f>IF(Agent06_Withdrawals!A75="","",Agent06_Withdrawals!E75)</f>
        <v/>
      </c>
      <c r="H1068" s="42" t="str">
        <f>IF(Agent06_Withdrawals!A75="","",Agent06_Withdrawals!G75)</f>
        <v/>
      </c>
      <c r="I1068" s="40" t="str">
        <f>IF(Agent06_Withdrawals!A75="","",Agent06_Withdrawals!H75)</f>
        <v/>
      </c>
      <c r="J1068" s="40" t="str">
        <f>IF(Agent06_Withdrawals!A75="","",Agent06_Withdrawals!J75)</f>
        <v/>
      </c>
      <c r="K1068" s="40" t="str">
        <f>IF(Agent06_Withdrawals!A75="","",Agent06_Withdrawals!K75)</f>
        <v/>
      </c>
      <c r="L1068" s="40" t="str">
        <f>IF(G1068="","",IF(D1068-G1068&gt;=System_Config!$B$9,"✅ OK","⚠️ BREACH"))</f>
        <v/>
      </c>
      <c r="M1068" s="40" t="str">
        <f>IFERROR(IF(Agent06_Withdrawals!A75="","",YEAR(Agent06_Withdrawals!D75)),"")</f>
        <v/>
      </c>
    </row>
    <row r="1069" spans="1:13" ht="18" customHeight="1" x14ac:dyDescent="0.25">
      <c r="A1069" s="40" t="str">
        <f>IF(Agent06_Withdrawals!A76="","",Agent06_Withdrawals!A76)</f>
        <v/>
      </c>
      <c r="B1069" s="40" t="str">
        <f ca="1">IF(Agent06_Withdrawals!A76="","","WD"&amp;TEXT(1069-3,"0000")&amp;"-"&amp;TEXT(TODAY(),"YYYYMMDD"))</f>
        <v/>
      </c>
      <c r="C1069" s="40" t="str">
        <f>IF(Agent06_Withdrawals!A76="","",Agent06_Withdrawals!B76)</f>
        <v/>
      </c>
      <c r="D1069" s="43" t="str">
        <f>IF(Agent06_Withdrawals!A76="","",Agent06_Withdrawals!C76)</f>
        <v/>
      </c>
      <c r="E1069" s="41" t="str">
        <f>IF(Agent06_Withdrawals!A76="","",Agent06_Withdrawals!D76)</f>
        <v/>
      </c>
      <c r="F1069" s="40" t="str">
        <f>IF(Agent06_Withdrawals!A76="","",Agent06_Withdrawals!F76)</f>
        <v/>
      </c>
      <c r="G1069" s="42" t="str">
        <f>IF(Agent06_Withdrawals!A76="","",Agent06_Withdrawals!E76)</f>
        <v/>
      </c>
      <c r="H1069" s="42" t="str">
        <f>IF(Agent06_Withdrawals!A76="","",Agent06_Withdrawals!G76)</f>
        <v/>
      </c>
      <c r="I1069" s="40" t="str">
        <f>IF(Agent06_Withdrawals!A76="","",Agent06_Withdrawals!H76)</f>
        <v/>
      </c>
      <c r="J1069" s="40" t="str">
        <f>IF(Agent06_Withdrawals!A76="","",Agent06_Withdrawals!J76)</f>
        <v/>
      </c>
      <c r="K1069" s="40" t="str">
        <f>IF(Agent06_Withdrawals!A76="","",Agent06_Withdrawals!K76)</f>
        <v/>
      </c>
      <c r="L1069" s="40" t="str">
        <f>IF(G1069="","",IF(D1069-G1069&gt;=System_Config!$B$9,"✅ OK","⚠️ BREACH"))</f>
        <v/>
      </c>
      <c r="M1069" s="40" t="str">
        <f>IFERROR(IF(Agent06_Withdrawals!A76="","",YEAR(Agent06_Withdrawals!D76)),"")</f>
        <v/>
      </c>
    </row>
    <row r="1070" spans="1:13" ht="18" customHeight="1" x14ac:dyDescent="0.25">
      <c r="A1070" s="40" t="str">
        <f>IF(Agent06_Withdrawals!A77="","",Agent06_Withdrawals!A77)</f>
        <v/>
      </c>
      <c r="B1070" s="40" t="str">
        <f ca="1">IF(Agent06_Withdrawals!A77="","","WD"&amp;TEXT(1070-3,"0000")&amp;"-"&amp;TEXT(TODAY(),"YYYYMMDD"))</f>
        <v/>
      </c>
      <c r="C1070" s="40" t="str">
        <f>IF(Agent06_Withdrawals!A77="","",Agent06_Withdrawals!B77)</f>
        <v/>
      </c>
      <c r="D1070" s="43" t="str">
        <f>IF(Agent06_Withdrawals!A77="","",Agent06_Withdrawals!C77)</f>
        <v/>
      </c>
      <c r="E1070" s="41" t="str">
        <f>IF(Agent06_Withdrawals!A77="","",Agent06_Withdrawals!D77)</f>
        <v/>
      </c>
      <c r="F1070" s="40" t="str">
        <f>IF(Agent06_Withdrawals!A77="","",Agent06_Withdrawals!F77)</f>
        <v/>
      </c>
      <c r="G1070" s="42" t="str">
        <f>IF(Agent06_Withdrawals!A77="","",Agent06_Withdrawals!E77)</f>
        <v/>
      </c>
      <c r="H1070" s="42" t="str">
        <f>IF(Agent06_Withdrawals!A77="","",Agent06_Withdrawals!G77)</f>
        <v/>
      </c>
      <c r="I1070" s="40" t="str">
        <f>IF(Agent06_Withdrawals!A77="","",Agent06_Withdrawals!H77)</f>
        <v/>
      </c>
      <c r="J1070" s="40" t="str">
        <f>IF(Agent06_Withdrawals!A77="","",Agent06_Withdrawals!J77)</f>
        <v/>
      </c>
      <c r="K1070" s="40" t="str">
        <f>IF(Agent06_Withdrawals!A77="","",Agent06_Withdrawals!K77)</f>
        <v/>
      </c>
      <c r="L1070" s="40" t="str">
        <f>IF(G1070="","",IF(D1070-G1070&gt;=System_Config!$B$9,"✅ OK","⚠️ BREACH"))</f>
        <v/>
      </c>
      <c r="M1070" s="40" t="str">
        <f>IFERROR(IF(Agent06_Withdrawals!A77="","",YEAR(Agent06_Withdrawals!D77)),"")</f>
        <v/>
      </c>
    </row>
    <row r="1071" spans="1:13" ht="18" customHeight="1" x14ac:dyDescent="0.25">
      <c r="A1071" s="40" t="str">
        <f>IF(Agent06_Withdrawals!A78="","",Agent06_Withdrawals!A78)</f>
        <v/>
      </c>
      <c r="B1071" s="40" t="str">
        <f ca="1">IF(Agent06_Withdrawals!A78="","","WD"&amp;TEXT(1071-3,"0000")&amp;"-"&amp;TEXT(TODAY(),"YYYYMMDD"))</f>
        <v/>
      </c>
      <c r="C1071" s="40" t="str">
        <f>IF(Agent06_Withdrawals!A78="","",Agent06_Withdrawals!B78)</f>
        <v/>
      </c>
      <c r="D1071" s="43" t="str">
        <f>IF(Agent06_Withdrawals!A78="","",Agent06_Withdrawals!C78)</f>
        <v/>
      </c>
      <c r="E1071" s="41" t="str">
        <f>IF(Agent06_Withdrawals!A78="","",Agent06_Withdrawals!D78)</f>
        <v/>
      </c>
      <c r="F1071" s="40" t="str">
        <f>IF(Agent06_Withdrawals!A78="","",Agent06_Withdrawals!F78)</f>
        <v/>
      </c>
      <c r="G1071" s="42" t="str">
        <f>IF(Agent06_Withdrawals!A78="","",Agent06_Withdrawals!E78)</f>
        <v/>
      </c>
      <c r="H1071" s="42" t="str">
        <f>IF(Agent06_Withdrawals!A78="","",Agent06_Withdrawals!G78)</f>
        <v/>
      </c>
      <c r="I1071" s="40" t="str">
        <f>IF(Agent06_Withdrawals!A78="","",Agent06_Withdrawals!H78)</f>
        <v/>
      </c>
      <c r="J1071" s="40" t="str">
        <f>IF(Agent06_Withdrawals!A78="","",Agent06_Withdrawals!J78)</f>
        <v/>
      </c>
      <c r="K1071" s="40" t="str">
        <f>IF(Agent06_Withdrawals!A78="","",Agent06_Withdrawals!K78)</f>
        <v/>
      </c>
      <c r="L1071" s="40" t="str">
        <f>IF(G1071="","",IF(D1071-G1071&gt;=System_Config!$B$9,"✅ OK","⚠️ BREACH"))</f>
        <v/>
      </c>
      <c r="M1071" s="40" t="str">
        <f>IFERROR(IF(Agent06_Withdrawals!A78="","",YEAR(Agent06_Withdrawals!D78)),"")</f>
        <v/>
      </c>
    </row>
    <row r="1072" spans="1:13" ht="18" customHeight="1" x14ac:dyDescent="0.25">
      <c r="A1072" s="40" t="str">
        <f>IF(Agent06_Withdrawals!A79="","",Agent06_Withdrawals!A79)</f>
        <v/>
      </c>
      <c r="B1072" s="40" t="str">
        <f ca="1">IF(Agent06_Withdrawals!A79="","","WD"&amp;TEXT(1072-3,"0000")&amp;"-"&amp;TEXT(TODAY(),"YYYYMMDD"))</f>
        <v/>
      </c>
      <c r="C1072" s="40" t="str">
        <f>IF(Agent06_Withdrawals!A79="","",Agent06_Withdrawals!B79)</f>
        <v/>
      </c>
      <c r="D1072" s="43" t="str">
        <f>IF(Agent06_Withdrawals!A79="","",Agent06_Withdrawals!C79)</f>
        <v/>
      </c>
      <c r="E1072" s="41" t="str">
        <f>IF(Agent06_Withdrawals!A79="","",Agent06_Withdrawals!D79)</f>
        <v/>
      </c>
      <c r="F1072" s="40" t="str">
        <f>IF(Agent06_Withdrawals!A79="","",Agent06_Withdrawals!F79)</f>
        <v/>
      </c>
      <c r="G1072" s="42" t="str">
        <f>IF(Agent06_Withdrawals!A79="","",Agent06_Withdrawals!E79)</f>
        <v/>
      </c>
      <c r="H1072" s="42" t="str">
        <f>IF(Agent06_Withdrawals!A79="","",Agent06_Withdrawals!G79)</f>
        <v/>
      </c>
      <c r="I1072" s="40" t="str">
        <f>IF(Agent06_Withdrawals!A79="","",Agent06_Withdrawals!H79)</f>
        <v/>
      </c>
      <c r="J1072" s="40" t="str">
        <f>IF(Agent06_Withdrawals!A79="","",Agent06_Withdrawals!J79)</f>
        <v/>
      </c>
      <c r="K1072" s="40" t="str">
        <f>IF(Agent06_Withdrawals!A79="","",Agent06_Withdrawals!K79)</f>
        <v/>
      </c>
      <c r="L1072" s="40" t="str">
        <f>IF(G1072="","",IF(D1072-G1072&gt;=System_Config!$B$9,"✅ OK","⚠️ BREACH"))</f>
        <v/>
      </c>
      <c r="M1072" s="40" t="str">
        <f>IFERROR(IF(Agent06_Withdrawals!A79="","",YEAR(Agent06_Withdrawals!D79)),"")</f>
        <v/>
      </c>
    </row>
    <row r="1073" spans="1:13" ht="18" customHeight="1" x14ac:dyDescent="0.25">
      <c r="A1073" s="40" t="str">
        <f>IF(Agent06_Withdrawals!A80="","",Agent06_Withdrawals!A80)</f>
        <v/>
      </c>
      <c r="B1073" s="40" t="str">
        <f ca="1">IF(Agent06_Withdrawals!A80="","","WD"&amp;TEXT(1073-3,"0000")&amp;"-"&amp;TEXT(TODAY(),"YYYYMMDD"))</f>
        <v/>
      </c>
      <c r="C1073" s="40" t="str">
        <f>IF(Agent06_Withdrawals!A80="","",Agent06_Withdrawals!B80)</f>
        <v/>
      </c>
      <c r="D1073" s="43" t="str">
        <f>IF(Agent06_Withdrawals!A80="","",Agent06_Withdrawals!C80)</f>
        <v/>
      </c>
      <c r="E1073" s="41" t="str">
        <f>IF(Agent06_Withdrawals!A80="","",Agent06_Withdrawals!D80)</f>
        <v/>
      </c>
      <c r="F1073" s="40" t="str">
        <f>IF(Agent06_Withdrawals!A80="","",Agent06_Withdrawals!F80)</f>
        <v/>
      </c>
      <c r="G1073" s="42" t="str">
        <f>IF(Agent06_Withdrawals!A80="","",Agent06_Withdrawals!E80)</f>
        <v/>
      </c>
      <c r="H1073" s="42" t="str">
        <f>IF(Agent06_Withdrawals!A80="","",Agent06_Withdrawals!G80)</f>
        <v/>
      </c>
      <c r="I1073" s="40" t="str">
        <f>IF(Agent06_Withdrawals!A80="","",Agent06_Withdrawals!H80)</f>
        <v/>
      </c>
      <c r="J1073" s="40" t="str">
        <f>IF(Agent06_Withdrawals!A80="","",Agent06_Withdrawals!J80)</f>
        <v/>
      </c>
      <c r="K1073" s="40" t="str">
        <f>IF(Agent06_Withdrawals!A80="","",Agent06_Withdrawals!K80)</f>
        <v/>
      </c>
      <c r="L1073" s="40" t="str">
        <f>IF(G1073="","",IF(D1073-G1073&gt;=System_Config!$B$9,"✅ OK","⚠️ BREACH"))</f>
        <v/>
      </c>
      <c r="M1073" s="40" t="str">
        <f>IFERROR(IF(Agent06_Withdrawals!A80="","",YEAR(Agent06_Withdrawals!D80)),"")</f>
        <v/>
      </c>
    </row>
    <row r="1074" spans="1:13" ht="18" customHeight="1" x14ac:dyDescent="0.25">
      <c r="A1074" s="40" t="str">
        <f>IF(Agent06_Withdrawals!A81="","",Agent06_Withdrawals!A81)</f>
        <v/>
      </c>
      <c r="B1074" s="40" t="str">
        <f ca="1">IF(Agent06_Withdrawals!A81="","","WD"&amp;TEXT(1074-3,"0000")&amp;"-"&amp;TEXT(TODAY(),"YYYYMMDD"))</f>
        <v/>
      </c>
      <c r="C1074" s="40" t="str">
        <f>IF(Agent06_Withdrawals!A81="","",Agent06_Withdrawals!B81)</f>
        <v/>
      </c>
      <c r="D1074" s="43" t="str">
        <f>IF(Agent06_Withdrawals!A81="","",Agent06_Withdrawals!C81)</f>
        <v/>
      </c>
      <c r="E1074" s="41" t="str">
        <f>IF(Agent06_Withdrawals!A81="","",Agent06_Withdrawals!D81)</f>
        <v/>
      </c>
      <c r="F1074" s="40" t="str">
        <f>IF(Agent06_Withdrawals!A81="","",Agent06_Withdrawals!F81)</f>
        <v/>
      </c>
      <c r="G1074" s="42" t="str">
        <f>IF(Agent06_Withdrawals!A81="","",Agent06_Withdrawals!E81)</f>
        <v/>
      </c>
      <c r="H1074" s="42" t="str">
        <f>IF(Agent06_Withdrawals!A81="","",Agent06_Withdrawals!G81)</f>
        <v/>
      </c>
      <c r="I1074" s="40" t="str">
        <f>IF(Agent06_Withdrawals!A81="","",Agent06_Withdrawals!H81)</f>
        <v/>
      </c>
      <c r="J1074" s="40" t="str">
        <f>IF(Agent06_Withdrawals!A81="","",Agent06_Withdrawals!J81)</f>
        <v/>
      </c>
      <c r="K1074" s="40" t="str">
        <f>IF(Agent06_Withdrawals!A81="","",Agent06_Withdrawals!K81)</f>
        <v/>
      </c>
      <c r="L1074" s="40" t="str">
        <f>IF(G1074="","",IF(D1074-G1074&gt;=System_Config!$B$9,"✅ OK","⚠️ BREACH"))</f>
        <v/>
      </c>
      <c r="M1074" s="40" t="str">
        <f>IFERROR(IF(Agent06_Withdrawals!A81="","",YEAR(Agent06_Withdrawals!D81)),"")</f>
        <v/>
      </c>
    </row>
    <row r="1075" spans="1:13" ht="18" customHeight="1" x14ac:dyDescent="0.25">
      <c r="A1075" s="40" t="str">
        <f>IF(Agent06_Withdrawals!A82="","",Agent06_Withdrawals!A82)</f>
        <v/>
      </c>
      <c r="B1075" s="40" t="str">
        <f ca="1">IF(Agent06_Withdrawals!A82="","","WD"&amp;TEXT(1075-3,"0000")&amp;"-"&amp;TEXT(TODAY(),"YYYYMMDD"))</f>
        <v/>
      </c>
      <c r="C1075" s="40" t="str">
        <f>IF(Agent06_Withdrawals!A82="","",Agent06_Withdrawals!B82)</f>
        <v/>
      </c>
      <c r="D1075" s="43" t="str">
        <f>IF(Agent06_Withdrawals!A82="","",Agent06_Withdrawals!C82)</f>
        <v/>
      </c>
      <c r="E1075" s="41" t="str">
        <f>IF(Agent06_Withdrawals!A82="","",Agent06_Withdrawals!D82)</f>
        <v/>
      </c>
      <c r="F1075" s="40" t="str">
        <f>IF(Agent06_Withdrawals!A82="","",Agent06_Withdrawals!F82)</f>
        <v/>
      </c>
      <c r="G1075" s="42" t="str">
        <f>IF(Agent06_Withdrawals!A82="","",Agent06_Withdrawals!E82)</f>
        <v/>
      </c>
      <c r="H1075" s="42" t="str">
        <f>IF(Agent06_Withdrawals!A82="","",Agent06_Withdrawals!G82)</f>
        <v/>
      </c>
      <c r="I1075" s="40" t="str">
        <f>IF(Agent06_Withdrawals!A82="","",Agent06_Withdrawals!H82)</f>
        <v/>
      </c>
      <c r="J1075" s="40" t="str">
        <f>IF(Agent06_Withdrawals!A82="","",Agent06_Withdrawals!J82)</f>
        <v/>
      </c>
      <c r="K1075" s="40" t="str">
        <f>IF(Agent06_Withdrawals!A82="","",Agent06_Withdrawals!K82)</f>
        <v/>
      </c>
      <c r="L1075" s="40" t="str">
        <f>IF(G1075="","",IF(D1075-G1075&gt;=System_Config!$B$9,"✅ OK","⚠️ BREACH"))</f>
        <v/>
      </c>
      <c r="M1075" s="40" t="str">
        <f>IFERROR(IF(Agent06_Withdrawals!A82="","",YEAR(Agent06_Withdrawals!D82)),"")</f>
        <v/>
      </c>
    </row>
    <row r="1076" spans="1:13" ht="18" customHeight="1" x14ac:dyDescent="0.25">
      <c r="A1076" s="40" t="str">
        <f>IF(Agent06_Withdrawals!A83="","",Agent06_Withdrawals!A83)</f>
        <v/>
      </c>
      <c r="B1076" s="40" t="str">
        <f ca="1">IF(Agent06_Withdrawals!A83="","","WD"&amp;TEXT(1076-3,"0000")&amp;"-"&amp;TEXT(TODAY(),"YYYYMMDD"))</f>
        <v/>
      </c>
      <c r="C1076" s="40" t="str">
        <f>IF(Agent06_Withdrawals!A83="","",Agent06_Withdrawals!B83)</f>
        <v/>
      </c>
      <c r="D1076" s="43" t="str">
        <f>IF(Agent06_Withdrawals!A83="","",Agent06_Withdrawals!C83)</f>
        <v/>
      </c>
      <c r="E1076" s="41" t="str">
        <f>IF(Agent06_Withdrawals!A83="","",Agent06_Withdrawals!D83)</f>
        <v/>
      </c>
      <c r="F1076" s="40" t="str">
        <f>IF(Agent06_Withdrawals!A83="","",Agent06_Withdrawals!F83)</f>
        <v/>
      </c>
      <c r="G1076" s="42" t="str">
        <f>IF(Agent06_Withdrawals!A83="","",Agent06_Withdrawals!E83)</f>
        <v/>
      </c>
      <c r="H1076" s="42" t="str">
        <f>IF(Agent06_Withdrawals!A83="","",Agent06_Withdrawals!G83)</f>
        <v/>
      </c>
      <c r="I1076" s="40" t="str">
        <f>IF(Agent06_Withdrawals!A83="","",Agent06_Withdrawals!H83)</f>
        <v/>
      </c>
      <c r="J1076" s="40" t="str">
        <f>IF(Agent06_Withdrawals!A83="","",Agent06_Withdrawals!J83)</f>
        <v/>
      </c>
      <c r="K1076" s="40" t="str">
        <f>IF(Agent06_Withdrawals!A83="","",Agent06_Withdrawals!K83)</f>
        <v/>
      </c>
      <c r="L1076" s="40" t="str">
        <f>IF(G1076="","",IF(D1076-G1076&gt;=System_Config!$B$9,"✅ OK","⚠️ BREACH"))</f>
        <v/>
      </c>
      <c r="M1076" s="40" t="str">
        <f>IFERROR(IF(Agent06_Withdrawals!A83="","",YEAR(Agent06_Withdrawals!D83)),"")</f>
        <v/>
      </c>
    </row>
    <row r="1077" spans="1:13" ht="18" customHeight="1" x14ac:dyDescent="0.25">
      <c r="A1077" s="40" t="str">
        <f>IF(Agent06_Withdrawals!A84="","",Agent06_Withdrawals!A84)</f>
        <v/>
      </c>
      <c r="B1077" s="40" t="str">
        <f ca="1">IF(Agent06_Withdrawals!A84="","","WD"&amp;TEXT(1077-3,"0000")&amp;"-"&amp;TEXT(TODAY(),"YYYYMMDD"))</f>
        <v/>
      </c>
      <c r="C1077" s="40" t="str">
        <f>IF(Agent06_Withdrawals!A84="","",Agent06_Withdrawals!B84)</f>
        <v/>
      </c>
      <c r="D1077" s="43" t="str">
        <f>IF(Agent06_Withdrawals!A84="","",Agent06_Withdrawals!C84)</f>
        <v/>
      </c>
      <c r="E1077" s="41" t="str">
        <f>IF(Agent06_Withdrawals!A84="","",Agent06_Withdrawals!D84)</f>
        <v/>
      </c>
      <c r="F1077" s="40" t="str">
        <f>IF(Agent06_Withdrawals!A84="","",Agent06_Withdrawals!F84)</f>
        <v/>
      </c>
      <c r="G1077" s="42" t="str">
        <f>IF(Agent06_Withdrawals!A84="","",Agent06_Withdrawals!E84)</f>
        <v/>
      </c>
      <c r="H1077" s="42" t="str">
        <f>IF(Agent06_Withdrawals!A84="","",Agent06_Withdrawals!G84)</f>
        <v/>
      </c>
      <c r="I1077" s="40" t="str">
        <f>IF(Agent06_Withdrawals!A84="","",Agent06_Withdrawals!H84)</f>
        <v/>
      </c>
      <c r="J1077" s="40" t="str">
        <f>IF(Agent06_Withdrawals!A84="","",Agent06_Withdrawals!J84)</f>
        <v/>
      </c>
      <c r="K1077" s="40" t="str">
        <f>IF(Agent06_Withdrawals!A84="","",Agent06_Withdrawals!K84)</f>
        <v/>
      </c>
      <c r="L1077" s="40" t="str">
        <f>IF(G1077="","",IF(D1077-G1077&gt;=System_Config!$B$9,"✅ OK","⚠️ BREACH"))</f>
        <v/>
      </c>
      <c r="M1077" s="40" t="str">
        <f>IFERROR(IF(Agent06_Withdrawals!A84="","",YEAR(Agent06_Withdrawals!D84)),"")</f>
        <v/>
      </c>
    </row>
    <row r="1078" spans="1:13" ht="18" customHeight="1" x14ac:dyDescent="0.25">
      <c r="A1078" s="40" t="str">
        <f>IF(Agent06_Withdrawals!A85="","",Agent06_Withdrawals!A85)</f>
        <v/>
      </c>
      <c r="B1078" s="40" t="str">
        <f ca="1">IF(Agent06_Withdrawals!A85="","","WD"&amp;TEXT(1078-3,"0000")&amp;"-"&amp;TEXT(TODAY(),"YYYYMMDD"))</f>
        <v/>
      </c>
      <c r="C1078" s="40" t="str">
        <f>IF(Agent06_Withdrawals!A85="","",Agent06_Withdrawals!B85)</f>
        <v/>
      </c>
      <c r="D1078" s="43" t="str">
        <f>IF(Agent06_Withdrawals!A85="","",Agent06_Withdrawals!C85)</f>
        <v/>
      </c>
      <c r="E1078" s="41" t="str">
        <f>IF(Agent06_Withdrawals!A85="","",Agent06_Withdrawals!D85)</f>
        <v/>
      </c>
      <c r="F1078" s="40" t="str">
        <f>IF(Agent06_Withdrawals!A85="","",Agent06_Withdrawals!F85)</f>
        <v/>
      </c>
      <c r="G1078" s="42" t="str">
        <f>IF(Agent06_Withdrawals!A85="","",Agent06_Withdrawals!E85)</f>
        <v/>
      </c>
      <c r="H1078" s="42" t="str">
        <f>IF(Agent06_Withdrawals!A85="","",Agent06_Withdrawals!G85)</f>
        <v/>
      </c>
      <c r="I1078" s="40" t="str">
        <f>IF(Agent06_Withdrawals!A85="","",Agent06_Withdrawals!H85)</f>
        <v/>
      </c>
      <c r="J1078" s="40" t="str">
        <f>IF(Agent06_Withdrawals!A85="","",Agent06_Withdrawals!J85)</f>
        <v/>
      </c>
      <c r="K1078" s="40" t="str">
        <f>IF(Agent06_Withdrawals!A85="","",Agent06_Withdrawals!K85)</f>
        <v/>
      </c>
      <c r="L1078" s="40" t="str">
        <f>IF(G1078="","",IF(D1078-G1078&gt;=System_Config!$B$9,"✅ OK","⚠️ BREACH"))</f>
        <v/>
      </c>
      <c r="M1078" s="40" t="str">
        <f>IFERROR(IF(Agent06_Withdrawals!A85="","",YEAR(Agent06_Withdrawals!D85)),"")</f>
        <v/>
      </c>
    </row>
    <row r="1079" spans="1:13" ht="18" customHeight="1" x14ac:dyDescent="0.25">
      <c r="A1079" s="40" t="str">
        <f>IF(Agent06_Withdrawals!A86="","",Agent06_Withdrawals!A86)</f>
        <v/>
      </c>
      <c r="B1079" s="40" t="str">
        <f ca="1">IF(Agent06_Withdrawals!A86="","","WD"&amp;TEXT(1079-3,"0000")&amp;"-"&amp;TEXT(TODAY(),"YYYYMMDD"))</f>
        <v/>
      </c>
      <c r="C1079" s="40" t="str">
        <f>IF(Agent06_Withdrawals!A86="","",Agent06_Withdrawals!B86)</f>
        <v/>
      </c>
      <c r="D1079" s="43" t="str">
        <f>IF(Agent06_Withdrawals!A86="","",Agent06_Withdrawals!C86)</f>
        <v/>
      </c>
      <c r="E1079" s="41" t="str">
        <f>IF(Agent06_Withdrawals!A86="","",Agent06_Withdrawals!D86)</f>
        <v/>
      </c>
      <c r="F1079" s="40" t="str">
        <f>IF(Agent06_Withdrawals!A86="","",Agent06_Withdrawals!F86)</f>
        <v/>
      </c>
      <c r="G1079" s="42" t="str">
        <f>IF(Agent06_Withdrawals!A86="","",Agent06_Withdrawals!E86)</f>
        <v/>
      </c>
      <c r="H1079" s="42" t="str">
        <f>IF(Agent06_Withdrawals!A86="","",Agent06_Withdrawals!G86)</f>
        <v/>
      </c>
      <c r="I1079" s="40" t="str">
        <f>IF(Agent06_Withdrawals!A86="","",Agent06_Withdrawals!H86)</f>
        <v/>
      </c>
      <c r="J1079" s="40" t="str">
        <f>IF(Agent06_Withdrawals!A86="","",Agent06_Withdrawals!J86)</f>
        <v/>
      </c>
      <c r="K1079" s="40" t="str">
        <f>IF(Agent06_Withdrawals!A86="","",Agent06_Withdrawals!K86)</f>
        <v/>
      </c>
      <c r="L1079" s="40" t="str">
        <f>IF(G1079="","",IF(D1079-G1079&gt;=System_Config!$B$9,"✅ OK","⚠️ BREACH"))</f>
        <v/>
      </c>
      <c r="M1079" s="40" t="str">
        <f>IFERROR(IF(Agent06_Withdrawals!A86="","",YEAR(Agent06_Withdrawals!D86)),"")</f>
        <v/>
      </c>
    </row>
    <row r="1080" spans="1:13" ht="18" customHeight="1" x14ac:dyDescent="0.25">
      <c r="A1080" s="40" t="str">
        <f>IF(Agent06_Withdrawals!A87="","",Agent06_Withdrawals!A87)</f>
        <v/>
      </c>
      <c r="B1080" s="40" t="str">
        <f ca="1">IF(Agent06_Withdrawals!A87="","","WD"&amp;TEXT(1080-3,"0000")&amp;"-"&amp;TEXT(TODAY(),"YYYYMMDD"))</f>
        <v/>
      </c>
      <c r="C1080" s="40" t="str">
        <f>IF(Agent06_Withdrawals!A87="","",Agent06_Withdrawals!B87)</f>
        <v/>
      </c>
      <c r="D1080" s="43" t="str">
        <f>IF(Agent06_Withdrawals!A87="","",Agent06_Withdrawals!C87)</f>
        <v/>
      </c>
      <c r="E1080" s="41" t="str">
        <f>IF(Agent06_Withdrawals!A87="","",Agent06_Withdrawals!D87)</f>
        <v/>
      </c>
      <c r="F1080" s="40" t="str">
        <f>IF(Agent06_Withdrawals!A87="","",Agent06_Withdrawals!F87)</f>
        <v/>
      </c>
      <c r="G1080" s="42" t="str">
        <f>IF(Agent06_Withdrawals!A87="","",Agent06_Withdrawals!E87)</f>
        <v/>
      </c>
      <c r="H1080" s="42" t="str">
        <f>IF(Agent06_Withdrawals!A87="","",Agent06_Withdrawals!G87)</f>
        <v/>
      </c>
      <c r="I1080" s="40" t="str">
        <f>IF(Agent06_Withdrawals!A87="","",Agent06_Withdrawals!H87)</f>
        <v/>
      </c>
      <c r="J1080" s="40" t="str">
        <f>IF(Agent06_Withdrawals!A87="","",Agent06_Withdrawals!J87)</f>
        <v/>
      </c>
      <c r="K1080" s="40" t="str">
        <f>IF(Agent06_Withdrawals!A87="","",Agent06_Withdrawals!K87)</f>
        <v/>
      </c>
      <c r="L1080" s="40" t="str">
        <f>IF(G1080="","",IF(D1080-G1080&gt;=System_Config!$B$9,"✅ OK","⚠️ BREACH"))</f>
        <v/>
      </c>
      <c r="M1080" s="40" t="str">
        <f>IFERROR(IF(Agent06_Withdrawals!A87="","",YEAR(Agent06_Withdrawals!D87)),"")</f>
        <v/>
      </c>
    </row>
    <row r="1081" spans="1:13" ht="18" customHeight="1" x14ac:dyDescent="0.25">
      <c r="A1081" s="40" t="str">
        <f>IF(Agent06_Withdrawals!A88="","",Agent06_Withdrawals!A88)</f>
        <v/>
      </c>
      <c r="B1081" s="40" t="str">
        <f ca="1">IF(Agent06_Withdrawals!A88="","","WD"&amp;TEXT(1081-3,"0000")&amp;"-"&amp;TEXT(TODAY(),"YYYYMMDD"))</f>
        <v/>
      </c>
      <c r="C1081" s="40" t="str">
        <f>IF(Agent06_Withdrawals!A88="","",Agent06_Withdrawals!B88)</f>
        <v/>
      </c>
      <c r="D1081" s="43" t="str">
        <f>IF(Agent06_Withdrawals!A88="","",Agent06_Withdrawals!C88)</f>
        <v/>
      </c>
      <c r="E1081" s="41" t="str">
        <f>IF(Agent06_Withdrawals!A88="","",Agent06_Withdrawals!D88)</f>
        <v/>
      </c>
      <c r="F1081" s="40" t="str">
        <f>IF(Agent06_Withdrawals!A88="","",Agent06_Withdrawals!F88)</f>
        <v/>
      </c>
      <c r="G1081" s="42" t="str">
        <f>IF(Agent06_Withdrawals!A88="","",Agent06_Withdrawals!E88)</f>
        <v/>
      </c>
      <c r="H1081" s="42" t="str">
        <f>IF(Agent06_Withdrawals!A88="","",Agent06_Withdrawals!G88)</f>
        <v/>
      </c>
      <c r="I1081" s="40" t="str">
        <f>IF(Agent06_Withdrawals!A88="","",Agent06_Withdrawals!H88)</f>
        <v/>
      </c>
      <c r="J1081" s="40" t="str">
        <f>IF(Agent06_Withdrawals!A88="","",Agent06_Withdrawals!J88)</f>
        <v/>
      </c>
      <c r="K1081" s="40" t="str">
        <f>IF(Agent06_Withdrawals!A88="","",Agent06_Withdrawals!K88)</f>
        <v/>
      </c>
      <c r="L1081" s="40" t="str">
        <f>IF(G1081="","",IF(D1081-G1081&gt;=System_Config!$B$9,"✅ OK","⚠️ BREACH"))</f>
        <v/>
      </c>
      <c r="M1081" s="40" t="str">
        <f>IFERROR(IF(Agent06_Withdrawals!A88="","",YEAR(Agent06_Withdrawals!D88)),"")</f>
        <v/>
      </c>
    </row>
    <row r="1082" spans="1:13" ht="18" customHeight="1" x14ac:dyDescent="0.25">
      <c r="A1082" s="40" t="str">
        <f>IF(Agent06_Withdrawals!A89="","",Agent06_Withdrawals!A89)</f>
        <v/>
      </c>
      <c r="B1082" s="40" t="str">
        <f ca="1">IF(Agent06_Withdrawals!A89="","","WD"&amp;TEXT(1082-3,"0000")&amp;"-"&amp;TEXT(TODAY(),"YYYYMMDD"))</f>
        <v/>
      </c>
      <c r="C1082" s="40" t="str">
        <f>IF(Agent06_Withdrawals!A89="","",Agent06_Withdrawals!B89)</f>
        <v/>
      </c>
      <c r="D1082" s="43" t="str">
        <f>IF(Agent06_Withdrawals!A89="","",Agent06_Withdrawals!C89)</f>
        <v/>
      </c>
      <c r="E1082" s="41" t="str">
        <f>IF(Agent06_Withdrawals!A89="","",Agent06_Withdrawals!D89)</f>
        <v/>
      </c>
      <c r="F1082" s="40" t="str">
        <f>IF(Agent06_Withdrawals!A89="","",Agent06_Withdrawals!F89)</f>
        <v/>
      </c>
      <c r="G1082" s="42" t="str">
        <f>IF(Agent06_Withdrawals!A89="","",Agent06_Withdrawals!E89)</f>
        <v/>
      </c>
      <c r="H1082" s="42" t="str">
        <f>IF(Agent06_Withdrawals!A89="","",Agent06_Withdrawals!G89)</f>
        <v/>
      </c>
      <c r="I1082" s="40" t="str">
        <f>IF(Agent06_Withdrawals!A89="","",Agent06_Withdrawals!H89)</f>
        <v/>
      </c>
      <c r="J1082" s="40" t="str">
        <f>IF(Agent06_Withdrawals!A89="","",Agent06_Withdrawals!J89)</f>
        <v/>
      </c>
      <c r="K1082" s="40" t="str">
        <f>IF(Agent06_Withdrawals!A89="","",Agent06_Withdrawals!K89)</f>
        <v/>
      </c>
      <c r="L1082" s="40" t="str">
        <f>IF(G1082="","",IF(D1082-G1082&gt;=System_Config!$B$9,"✅ OK","⚠️ BREACH"))</f>
        <v/>
      </c>
      <c r="M1082" s="40" t="str">
        <f>IFERROR(IF(Agent06_Withdrawals!A89="","",YEAR(Agent06_Withdrawals!D89)),"")</f>
        <v/>
      </c>
    </row>
    <row r="1083" spans="1:13" ht="18" customHeight="1" x14ac:dyDescent="0.25">
      <c r="A1083" s="40" t="str">
        <f>IF(Agent06_Withdrawals!A90="","",Agent06_Withdrawals!A90)</f>
        <v/>
      </c>
      <c r="B1083" s="40" t="str">
        <f ca="1">IF(Agent06_Withdrawals!A90="","","WD"&amp;TEXT(1083-3,"0000")&amp;"-"&amp;TEXT(TODAY(),"YYYYMMDD"))</f>
        <v/>
      </c>
      <c r="C1083" s="40" t="str">
        <f>IF(Agent06_Withdrawals!A90="","",Agent06_Withdrawals!B90)</f>
        <v/>
      </c>
      <c r="D1083" s="43" t="str">
        <f>IF(Agent06_Withdrawals!A90="","",Agent06_Withdrawals!C90)</f>
        <v/>
      </c>
      <c r="E1083" s="41" t="str">
        <f>IF(Agent06_Withdrawals!A90="","",Agent06_Withdrawals!D90)</f>
        <v/>
      </c>
      <c r="F1083" s="40" t="str">
        <f>IF(Agent06_Withdrawals!A90="","",Agent06_Withdrawals!F90)</f>
        <v/>
      </c>
      <c r="G1083" s="42" t="str">
        <f>IF(Agent06_Withdrawals!A90="","",Agent06_Withdrawals!E90)</f>
        <v/>
      </c>
      <c r="H1083" s="42" t="str">
        <f>IF(Agent06_Withdrawals!A90="","",Agent06_Withdrawals!G90)</f>
        <v/>
      </c>
      <c r="I1083" s="40" t="str">
        <f>IF(Agent06_Withdrawals!A90="","",Agent06_Withdrawals!H90)</f>
        <v/>
      </c>
      <c r="J1083" s="40" t="str">
        <f>IF(Agent06_Withdrawals!A90="","",Agent06_Withdrawals!J90)</f>
        <v/>
      </c>
      <c r="K1083" s="40" t="str">
        <f>IF(Agent06_Withdrawals!A90="","",Agent06_Withdrawals!K90)</f>
        <v/>
      </c>
      <c r="L1083" s="40" t="str">
        <f>IF(G1083="","",IF(D1083-G1083&gt;=System_Config!$B$9,"✅ OK","⚠️ BREACH"))</f>
        <v/>
      </c>
      <c r="M1083" s="40" t="str">
        <f>IFERROR(IF(Agent06_Withdrawals!A90="","",YEAR(Agent06_Withdrawals!D90)),"")</f>
        <v/>
      </c>
    </row>
    <row r="1084" spans="1:13" ht="18" customHeight="1" x14ac:dyDescent="0.25">
      <c r="A1084" s="40" t="str">
        <f>IF(Agent06_Withdrawals!A91="","",Agent06_Withdrawals!A91)</f>
        <v/>
      </c>
      <c r="B1084" s="40" t="str">
        <f ca="1">IF(Agent06_Withdrawals!A91="","","WD"&amp;TEXT(1084-3,"0000")&amp;"-"&amp;TEXT(TODAY(),"YYYYMMDD"))</f>
        <v/>
      </c>
      <c r="C1084" s="40" t="str">
        <f>IF(Agent06_Withdrawals!A91="","",Agent06_Withdrawals!B91)</f>
        <v/>
      </c>
      <c r="D1084" s="43" t="str">
        <f>IF(Agent06_Withdrawals!A91="","",Agent06_Withdrawals!C91)</f>
        <v/>
      </c>
      <c r="E1084" s="41" t="str">
        <f>IF(Agent06_Withdrawals!A91="","",Agent06_Withdrawals!D91)</f>
        <v/>
      </c>
      <c r="F1084" s="40" t="str">
        <f>IF(Agent06_Withdrawals!A91="","",Agent06_Withdrawals!F91)</f>
        <v/>
      </c>
      <c r="G1084" s="42" t="str">
        <f>IF(Agent06_Withdrawals!A91="","",Agent06_Withdrawals!E91)</f>
        <v/>
      </c>
      <c r="H1084" s="42" t="str">
        <f>IF(Agent06_Withdrawals!A91="","",Agent06_Withdrawals!G91)</f>
        <v/>
      </c>
      <c r="I1084" s="40" t="str">
        <f>IF(Agent06_Withdrawals!A91="","",Agent06_Withdrawals!H91)</f>
        <v/>
      </c>
      <c r="J1084" s="40" t="str">
        <f>IF(Agent06_Withdrawals!A91="","",Agent06_Withdrawals!J91)</f>
        <v/>
      </c>
      <c r="K1084" s="40" t="str">
        <f>IF(Agent06_Withdrawals!A91="","",Agent06_Withdrawals!K91)</f>
        <v/>
      </c>
      <c r="L1084" s="40" t="str">
        <f>IF(G1084="","",IF(D1084-G1084&gt;=System_Config!$B$9,"✅ OK","⚠️ BREACH"))</f>
        <v/>
      </c>
      <c r="M1084" s="40" t="str">
        <f>IFERROR(IF(Agent06_Withdrawals!A91="","",YEAR(Agent06_Withdrawals!D91)),"")</f>
        <v/>
      </c>
    </row>
    <row r="1085" spans="1:13" ht="18" customHeight="1" x14ac:dyDescent="0.25">
      <c r="A1085" s="40" t="str">
        <f>IF(Agent06_Withdrawals!A92="","",Agent06_Withdrawals!A92)</f>
        <v/>
      </c>
      <c r="B1085" s="40" t="str">
        <f ca="1">IF(Agent06_Withdrawals!A92="","","WD"&amp;TEXT(1085-3,"0000")&amp;"-"&amp;TEXT(TODAY(),"YYYYMMDD"))</f>
        <v/>
      </c>
      <c r="C1085" s="40" t="str">
        <f>IF(Agent06_Withdrawals!A92="","",Agent06_Withdrawals!B92)</f>
        <v/>
      </c>
      <c r="D1085" s="43" t="str">
        <f>IF(Agent06_Withdrawals!A92="","",Agent06_Withdrawals!C92)</f>
        <v/>
      </c>
      <c r="E1085" s="41" t="str">
        <f>IF(Agent06_Withdrawals!A92="","",Agent06_Withdrawals!D92)</f>
        <v/>
      </c>
      <c r="F1085" s="40" t="str">
        <f>IF(Agent06_Withdrawals!A92="","",Agent06_Withdrawals!F92)</f>
        <v/>
      </c>
      <c r="G1085" s="42" t="str">
        <f>IF(Agent06_Withdrawals!A92="","",Agent06_Withdrawals!E92)</f>
        <v/>
      </c>
      <c r="H1085" s="42" t="str">
        <f>IF(Agent06_Withdrawals!A92="","",Agent06_Withdrawals!G92)</f>
        <v/>
      </c>
      <c r="I1085" s="40" t="str">
        <f>IF(Agent06_Withdrawals!A92="","",Agent06_Withdrawals!H92)</f>
        <v/>
      </c>
      <c r="J1085" s="40" t="str">
        <f>IF(Agent06_Withdrawals!A92="","",Agent06_Withdrawals!J92)</f>
        <v/>
      </c>
      <c r="K1085" s="40" t="str">
        <f>IF(Agent06_Withdrawals!A92="","",Agent06_Withdrawals!K92)</f>
        <v/>
      </c>
      <c r="L1085" s="40" t="str">
        <f>IF(G1085="","",IF(D1085-G1085&gt;=System_Config!$B$9,"✅ OK","⚠️ BREACH"))</f>
        <v/>
      </c>
      <c r="M1085" s="40" t="str">
        <f>IFERROR(IF(Agent06_Withdrawals!A92="","",YEAR(Agent06_Withdrawals!D92)),"")</f>
        <v/>
      </c>
    </row>
    <row r="1086" spans="1:13" ht="18" customHeight="1" x14ac:dyDescent="0.25">
      <c r="A1086" s="40" t="str">
        <f>IF(Agent06_Withdrawals!A93="","",Agent06_Withdrawals!A93)</f>
        <v/>
      </c>
      <c r="B1086" s="40" t="str">
        <f ca="1">IF(Agent06_Withdrawals!A93="","","WD"&amp;TEXT(1086-3,"0000")&amp;"-"&amp;TEXT(TODAY(),"YYYYMMDD"))</f>
        <v/>
      </c>
      <c r="C1086" s="40" t="str">
        <f>IF(Agent06_Withdrawals!A93="","",Agent06_Withdrawals!B93)</f>
        <v/>
      </c>
      <c r="D1086" s="43" t="str">
        <f>IF(Agent06_Withdrawals!A93="","",Agent06_Withdrawals!C93)</f>
        <v/>
      </c>
      <c r="E1086" s="41" t="str">
        <f>IF(Agent06_Withdrawals!A93="","",Agent06_Withdrawals!D93)</f>
        <v/>
      </c>
      <c r="F1086" s="40" t="str">
        <f>IF(Agent06_Withdrawals!A93="","",Agent06_Withdrawals!F93)</f>
        <v/>
      </c>
      <c r="G1086" s="42" t="str">
        <f>IF(Agent06_Withdrawals!A93="","",Agent06_Withdrawals!E93)</f>
        <v/>
      </c>
      <c r="H1086" s="42" t="str">
        <f>IF(Agent06_Withdrawals!A93="","",Agent06_Withdrawals!G93)</f>
        <v/>
      </c>
      <c r="I1086" s="40" t="str">
        <f>IF(Agent06_Withdrawals!A93="","",Agent06_Withdrawals!H93)</f>
        <v/>
      </c>
      <c r="J1086" s="40" t="str">
        <f>IF(Agent06_Withdrawals!A93="","",Agent06_Withdrawals!J93)</f>
        <v/>
      </c>
      <c r="K1086" s="40" t="str">
        <f>IF(Agent06_Withdrawals!A93="","",Agent06_Withdrawals!K93)</f>
        <v/>
      </c>
      <c r="L1086" s="40" t="str">
        <f>IF(G1086="","",IF(D1086-G1086&gt;=System_Config!$B$9,"✅ OK","⚠️ BREACH"))</f>
        <v/>
      </c>
      <c r="M1086" s="40" t="str">
        <f>IFERROR(IF(Agent06_Withdrawals!A93="","",YEAR(Agent06_Withdrawals!D93)),"")</f>
        <v/>
      </c>
    </row>
    <row r="1087" spans="1:13" ht="18" customHeight="1" x14ac:dyDescent="0.25">
      <c r="A1087" s="40" t="str">
        <f>IF(Agent06_Withdrawals!A94="","",Agent06_Withdrawals!A94)</f>
        <v/>
      </c>
      <c r="B1087" s="40" t="str">
        <f ca="1">IF(Agent06_Withdrawals!A94="","","WD"&amp;TEXT(1087-3,"0000")&amp;"-"&amp;TEXT(TODAY(),"YYYYMMDD"))</f>
        <v/>
      </c>
      <c r="C1087" s="40" t="str">
        <f>IF(Agent06_Withdrawals!A94="","",Agent06_Withdrawals!B94)</f>
        <v/>
      </c>
      <c r="D1087" s="43" t="str">
        <f>IF(Agent06_Withdrawals!A94="","",Agent06_Withdrawals!C94)</f>
        <v/>
      </c>
      <c r="E1087" s="41" t="str">
        <f>IF(Agent06_Withdrawals!A94="","",Agent06_Withdrawals!D94)</f>
        <v/>
      </c>
      <c r="F1087" s="40" t="str">
        <f>IF(Agent06_Withdrawals!A94="","",Agent06_Withdrawals!F94)</f>
        <v/>
      </c>
      <c r="G1087" s="42" t="str">
        <f>IF(Agent06_Withdrawals!A94="","",Agent06_Withdrawals!E94)</f>
        <v/>
      </c>
      <c r="H1087" s="42" t="str">
        <f>IF(Agent06_Withdrawals!A94="","",Agent06_Withdrawals!G94)</f>
        <v/>
      </c>
      <c r="I1087" s="40" t="str">
        <f>IF(Agent06_Withdrawals!A94="","",Agent06_Withdrawals!H94)</f>
        <v/>
      </c>
      <c r="J1087" s="40" t="str">
        <f>IF(Agent06_Withdrawals!A94="","",Agent06_Withdrawals!J94)</f>
        <v/>
      </c>
      <c r="K1087" s="40" t="str">
        <f>IF(Agent06_Withdrawals!A94="","",Agent06_Withdrawals!K94)</f>
        <v/>
      </c>
      <c r="L1087" s="40" t="str">
        <f>IF(G1087="","",IF(D1087-G1087&gt;=System_Config!$B$9,"✅ OK","⚠️ BREACH"))</f>
        <v/>
      </c>
      <c r="M1087" s="40" t="str">
        <f>IFERROR(IF(Agent06_Withdrawals!A94="","",YEAR(Agent06_Withdrawals!D94)),"")</f>
        <v/>
      </c>
    </row>
    <row r="1088" spans="1:13" ht="18" customHeight="1" x14ac:dyDescent="0.25">
      <c r="A1088" s="40" t="str">
        <f>IF(Agent06_Withdrawals!A95="","",Agent06_Withdrawals!A95)</f>
        <v/>
      </c>
      <c r="B1088" s="40" t="str">
        <f ca="1">IF(Agent06_Withdrawals!A95="","","WD"&amp;TEXT(1088-3,"0000")&amp;"-"&amp;TEXT(TODAY(),"YYYYMMDD"))</f>
        <v/>
      </c>
      <c r="C1088" s="40" t="str">
        <f>IF(Agent06_Withdrawals!A95="","",Agent06_Withdrawals!B95)</f>
        <v/>
      </c>
      <c r="D1088" s="43" t="str">
        <f>IF(Agent06_Withdrawals!A95="","",Agent06_Withdrawals!C95)</f>
        <v/>
      </c>
      <c r="E1088" s="41" t="str">
        <f>IF(Agent06_Withdrawals!A95="","",Agent06_Withdrawals!D95)</f>
        <v/>
      </c>
      <c r="F1088" s="40" t="str">
        <f>IF(Agent06_Withdrawals!A95="","",Agent06_Withdrawals!F95)</f>
        <v/>
      </c>
      <c r="G1088" s="42" t="str">
        <f>IF(Agent06_Withdrawals!A95="","",Agent06_Withdrawals!E95)</f>
        <v/>
      </c>
      <c r="H1088" s="42" t="str">
        <f>IF(Agent06_Withdrawals!A95="","",Agent06_Withdrawals!G95)</f>
        <v/>
      </c>
      <c r="I1088" s="40" t="str">
        <f>IF(Agent06_Withdrawals!A95="","",Agent06_Withdrawals!H95)</f>
        <v/>
      </c>
      <c r="J1088" s="40" t="str">
        <f>IF(Agent06_Withdrawals!A95="","",Agent06_Withdrawals!J95)</f>
        <v/>
      </c>
      <c r="K1088" s="40" t="str">
        <f>IF(Agent06_Withdrawals!A95="","",Agent06_Withdrawals!K95)</f>
        <v/>
      </c>
      <c r="L1088" s="40" t="str">
        <f>IF(G1088="","",IF(D1088-G1088&gt;=System_Config!$B$9,"✅ OK","⚠️ BREACH"))</f>
        <v/>
      </c>
      <c r="M1088" s="40" t="str">
        <f>IFERROR(IF(Agent06_Withdrawals!A95="","",YEAR(Agent06_Withdrawals!D95)),"")</f>
        <v/>
      </c>
    </row>
    <row r="1089" spans="1:13" ht="18" customHeight="1" x14ac:dyDescent="0.25">
      <c r="A1089" s="40" t="str">
        <f>IF(Agent06_Withdrawals!A96="","",Agent06_Withdrawals!A96)</f>
        <v/>
      </c>
      <c r="B1089" s="40" t="str">
        <f ca="1">IF(Agent06_Withdrawals!A96="","","WD"&amp;TEXT(1089-3,"0000")&amp;"-"&amp;TEXT(TODAY(),"YYYYMMDD"))</f>
        <v/>
      </c>
      <c r="C1089" s="40" t="str">
        <f>IF(Agent06_Withdrawals!A96="","",Agent06_Withdrawals!B96)</f>
        <v/>
      </c>
      <c r="D1089" s="43" t="str">
        <f>IF(Agent06_Withdrawals!A96="","",Agent06_Withdrawals!C96)</f>
        <v/>
      </c>
      <c r="E1089" s="41" t="str">
        <f>IF(Agent06_Withdrawals!A96="","",Agent06_Withdrawals!D96)</f>
        <v/>
      </c>
      <c r="F1089" s="40" t="str">
        <f>IF(Agent06_Withdrawals!A96="","",Agent06_Withdrawals!F96)</f>
        <v/>
      </c>
      <c r="G1089" s="42" t="str">
        <f>IF(Agent06_Withdrawals!A96="","",Agent06_Withdrawals!E96)</f>
        <v/>
      </c>
      <c r="H1089" s="42" t="str">
        <f>IF(Agent06_Withdrawals!A96="","",Agent06_Withdrawals!G96)</f>
        <v/>
      </c>
      <c r="I1089" s="40" t="str">
        <f>IF(Agent06_Withdrawals!A96="","",Agent06_Withdrawals!H96)</f>
        <v/>
      </c>
      <c r="J1089" s="40" t="str">
        <f>IF(Agent06_Withdrawals!A96="","",Agent06_Withdrawals!J96)</f>
        <v/>
      </c>
      <c r="K1089" s="40" t="str">
        <f>IF(Agent06_Withdrawals!A96="","",Agent06_Withdrawals!K96)</f>
        <v/>
      </c>
      <c r="L1089" s="40" t="str">
        <f>IF(G1089="","",IF(D1089-G1089&gt;=System_Config!$B$9,"✅ OK","⚠️ BREACH"))</f>
        <v/>
      </c>
      <c r="M1089" s="40" t="str">
        <f>IFERROR(IF(Agent06_Withdrawals!A96="","",YEAR(Agent06_Withdrawals!D96)),"")</f>
        <v/>
      </c>
    </row>
    <row r="1090" spans="1:13" ht="18" customHeight="1" x14ac:dyDescent="0.25">
      <c r="A1090" s="40" t="str">
        <f>IF(Agent06_Withdrawals!A97="","",Agent06_Withdrawals!A97)</f>
        <v/>
      </c>
      <c r="B1090" s="40" t="str">
        <f ca="1">IF(Agent06_Withdrawals!A97="","","WD"&amp;TEXT(1090-3,"0000")&amp;"-"&amp;TEXT(TODAY(),"YYYYMMDD"))</f>
        <v/>
      </c>
      <c r="C1090" s="40" t="str">
        <f>IF(Agent06_Withdrawals!A97="","",Agent06_Withdrawals!B97)</f>
        <v/>
      </c>
      <c r="D1090" s="43" t="str">
        <f>IF(Agent06_Withdrawals!A97="","",Agent06_Withdrawals!C97)</f>
        <v/>
      </c>
      <c r="E1090" s="41" t="str">
        <f>IF(Agent06_Withdrawals!A97="","",Agent06_Withdrawals!D97)</f>
        <v/>
      </c>
      <c r="F1090" s="40" t="str">
        <f>IF(Agent06_Withdrawals!A97="","",Agent06_Withdrawals!F97)</f>
        <v/>
      </c>
      <c r="G1090" s="42" t="str">
        <f>IF(Agent06_Withdrawals!A97="","",Agent06_Withdrawals!E97)</f>
        <v/>
      </c>
      <c r="H1090" s="42" t="str">
        <f>IF(Agent06_Withdrawals!A97="","",Agent06_Withdrawals!G97)</f>
        <v/>
      </c>
      <c r="I1090" s="40" t="str">
        <f>IF(Agent06_Withdrawals!A97="","",Agent06_Withdrawals!H97)</f>
        <v/>
      </c>
      <c r="J1090" s="40" t="str">
        <f>IF(Agent06_Withdrawals!A97="","",Agent06_Withdrawals!J97)</f>
        <v/>
      </c>
      <c r="K1090" s="40" t="str">
        <f>IF(Agent06_Withdrawals!A97="","",Agent06_Withdrawals!K97)</f>
        <v/>
      </c>
      <c r="L1090" s="40" t="str">
        <f>IF(G1090="","",IF(D1090-G1090&gt;=System_Config!$B$9,"✅ OK","⚠️ BREACH"))</f>
        <v/>
      </c>
      <c r="M1090" s="40" t="str">
        <f>IFERROR(IF(Agent06_Withdrawals!A97="","",YEAR(Agent06_Withdrawals!D97)),"")</f>
        <v/>
      </c>
    </row>
    <row r="1091" spans="1:13" ht="18" customHeight="1" x14ac:dyDescent="0.25">
      <c r="A1091" s="40" t="str">
        <f>IF(Agent06_Withdrawals!A98="","",Agent06_Withdrawals!A98)</f>
        <v/>
      </c>
      <c r="B1091" s="40" t="str">
        <f ca="1">IF(Agent06_Withdrawals!A98="","","WD"&amp;TEXT(1091-3,"0000")&amp;"-"&amp;TEXT(TODAY(),"YYYYMMDD"))</f>
        <v/>
      </c>
      <c r="C1091" s="40" t="str">
        <f>IF(Agent06_Withdrawals!A98="","",Agent06_Withdrawals!B98)</f>
        <v/>
      </c>
      <c r="D1091" s="43" t="str">
        <f>IF(Agent06_Withdrawals!A98="","",Agent06_Withdrawals!C98)</f>
        <v/>
      </c>
      <c r="E1091" s="41" t="str">
        <f>IF(Agent06_Withdrawals!A98="","",Agent06_Withdrawals!D98)</f>
        <v/>
      </c>
      <c r="F1091" s="40" t="str">
        <f>IF(Agent06_Withdrawals!A98="","",Agent06_Withdrawals!F98)</f>
        <v/>
      </c>
      <c r="G1091" s="42" t="str">
        <f>IF(Agent06_Withdrawals!A98="","",Agent06_Withdrawals!E98)</f>
        <v/>
      </c>
      <c r="H1091" s="42" t="str">
        <f>IF(Agent06_Withdrawals!A98="","",Agent06_Withdrawals!G98)</f>
        <v/>
      </c>
      <c r="I1091" s="40" t="str">
        <f>IF(Agent06_Withdrawals!A98="","",Agent06_Withdrawals!H98)</f>
        <v/>
      </c>
      <c r="J1091" s="40" t="str">
        <f>IF(Agent06_Withdrawals!A98="","",Agent06_Withdrawals!J98)</f>
        <v/>
      </c>
      <c r="K1091" s="40" t="str">
        <f>IF(Agent06_Withdrawals!A98="","",Agent06_Withdrawals!K98)</f>
        <v/>
      </c>
      <c r="L1091" s="40" t="str">
        <f>IF(G1091="","",IF(D1091-G1091&gt;=System_Config!$B$9,"✅ OK","⚠️ BREACH"))</f>
        <v/>
      </c>
      <c r="M1091" s="40" t="str">
        <f>IFERROR(IF(Agent06_Withdrawals!A98="","",YEAR(Agent06_Withdrawals!D98)),"")</f>
        <v/>
      </c>
    </row>
    <row r="1092" spans="1:13" ht="18" customHeight="1" x14ac:dyDescent="0.25">
      <c r="A1092" s="40" t="str">
        <f>IF(Agent06_Withdrawals!A99="","",Agent06_Withdrawals!A99)</f>
        <v/>
      </c>
      <c r="B1092" s="40" t="str">
        <f ca="1">IF(Agent06_Withdrawals!A99="","","WD"&amp;TEXT(1092-3,"0000")&amp;"-"&amp;TEXT(TODAY(),"YYYYMMDD"))</f>
        <v/>
      </c>
      <c r="C1092" s="40" t="str">
        <f>IF(Agent06_Withdrawals!A99="","",Agent06_Withdrawals!B99)</f>
        <v/>
      </c>
      <c r="D1092" s="43" t="str">
        <f>IF(Agent06_Withdrawals!A99="","",Agent06_Withdrawals!C99)</f>
        <v/>
      </c>
      <c r="E1092" s="41" t="str">
        <f>IF(Agent06_Withdrawals!A99="","",Agent06_Withdrawals!D99)</f>
        <v/>
      </c>
      <c r="F1092" s="40" t="str">
        <f>IF(Agent06_Withdrawals!A99="","",Agent06_Withdrawals!F99)</f>
        <v/>
      </c>
      <c r="G1092" s="42" t="str">
        <f>IF(Agent06_Withdrawals!A99="","",Agent06_Withdrawals!E99)</f>
        <v/>
      </c>
      <c r="H1092" s="42" t="str">
        <f>IF(Agent06_Withdrawals!A99="","",Agent06_Withdrawals!G99)</f>
        <v/>
      </c>
      <c r="I1092" s="40" t="str">
        <f>IF(Agent06_Withdrawals!A99="","",Agent06_Withdrawals!H99)</f>
        <v/>
      </c>
      <c r="J1092" s="40" t="str">
        <f>IF(Agent06_Withdrawals!A99="","",Agent06_Withdrawals!J99)</f>
        <v/>
      </c>
      <c r="K1092" s="40" t="str">
        <f>IF(Agent06_Withdrawals!A99="","",Agent06_Withdrawals!K99)</f>
        <v/>
      </c>
      <c r="L1092" s="40" t="str">
        <f>IF(G1092="","",IF(D1092-G1092&gt;=System_Config!$B$9,"✅ OK","⚠️ BREACH"))</f>
        <v/>
      </c>
      <c r="M1092" s="40" t="str">
        <f>IFERROR(IF(Agent06_Withdrawals!A99="","",YEAR(Agent06_Withdrawals!D99)),"")</f>
        <v/>
      </c>
    </row>
    <row r="1093" spans="1:13" ht="18" customHeight="1" x14ac:dyDescent="0.25">
      <c r="A1093" s="40" t="str">
        <f>IF(Agent06_Withdrawals!A100="","",Agent06_Withdrawals!A100)</f>
        <v/>
      </c>
      <c r="B1093" s="40" t="str">
        <f ca="1">IF(Agent06_Withdrawals!A100="","","WD"&amp;TEXT(1093-3,"0000")&amp;"-"&amp;TEXT(TODAY(),"YYYYMMDD"))</f>
        <v/>
      </c>
      <c r="C1093" s="40" t="str">
        <f>IF(Agent06_Withdrawals!A100="","",Agent06_Withdrawals!B100)</f>
        <v/>
      </c>
      <c r="D1093" s="43" t="str">
        <f>IF(Agent06_Withdrawals!A100="","",Agent06_Withdrawals!C100)</f>
        <v/>
      </c>
      <c r="E1093" s="41" t="str">
        <f>IF(Agent06_Withdrawals!A100="","",Agent06_Withdrawals!D100)</f>
        <v/>
      </c>
      <c r="F1093" s="40" t="str">
        <f>IF(Agent06_Withdrawals!A100="","",Agent06_Withdrawals!F100)</f>
        <v/>
      </c>
      <c r="G1093" s="42" t="str">
        <f>IF(Agent06_Withdrawals!A100="","",Agent06_Withdrawals!E100)</f>
        <v/>
      </c>
      <c r="H1093" s="42" t="str">
        <f>IF(Agent06_Withdrawals!A100="","",Agent06_Withdrawals!G100)</f>
        <v/>
      </c>
      <c r="I1093" s="40" t="str">
        <f>IF(Agent06_Withdrawals!A100="","",Agent06_Withdrawals!H100)</f>
        <v/>
      </c>
      <c r="J1093" s="40" t="str">
        <f>IF(Agent06_Withdrawals!A100="","",Agent06_Withdrawals!J100)</f>
        <v/>
      </c>
      <c r="K1093" s="40" t="str">
        <f>IF(Agent06_Withdrawals!A100="","",Agent06_Withdrawals!K100)</f>
        <v/>
      </c>
      <c r="L1093" s="40" t="str">
        <f>IF(G1093="","",IF(D1093-G1093&gt;=System_Config!$B$9,"✅ OK","⚠️ BREACH"))</f>
        <v/>
      </c>
      <c r="M1093" s="40" t="str">
        <f>IFERROR(IF(Agent06_Withdrawals!A100="","",YEAR(Agent06_Withdrawals!D100)),"")</f>
        <v/>
      </c>
    </row>
    <row r="1094" spans="1:13" ht="18" customHeight="1" x14ac:dyDescent="0.25">
      <c r="A1094" s="40" t="str">
        <f>IF(Agent06_Withdrawals!A101="","",Agent06_Withdrawals!A101)</f>
        <v/>
      </c>
      <c r="B1094" s="40" t="str">
        <f ca="1">IF(Agent06_Withdrawals!A101="","","WD"&amp;TEXT(1094-3,"0000")&amp;"-"&amp;TEXT(TODAY(),"YYYYMMDD"))</f>
        <v/>
      </c>
      <c r="C1094" s="40" t="str">
        <f>IF(Agent06_Withdrawals!A101="","",Agent06_Withdrawals!B101)</f>
        <v/>
      </c>
      <c r="D1094" s="43" t="str">
        <f>IF(Agent06_Withdrawals!A101="","",Agent06_Withdrawals!C101)</f>
        <v/>
      </c>
      <c r="E1094" s="41" t="str">
        <f>IF(Agent06_Withdrawals!A101="","",Agent06_Withdrawals!D101)</f>
        <v/>
      </c>
      <c r="F1094" s="40" t="str">
        <f>IF(Agent06_Withdrawals!A101="","",Agent06_Withdrawals!F101)</f>
        <v/>
      </c>
      <c r="G1094" s="42" t="str">
        <f>IF(Agent06_Withdrawals!A101="","",Agent06_Withdrawals!E101)</f>
        <v/>
      </c>
      <c r="H1094" s="42" t="str">
        <f>IF(Agent06_Withdrawals!A101="","",Agent06_Withdrawals!G101)</f>
        <v/>
      </c>
      <c r="I1094" s="40" t="str">
        <f>IF(Agent06_Withdrawals!A101="","",Agent06_Withdrawals!H101)</f>
        <v/>
      </c>
      <c r="J1094" s="40" t="str">
        <f>IF(Agent06_Withdrawals!A101="","",Agent06_Withdrawals!J101)</f>
        <v/>
      </c>
      <c r="K1094" s="40" t="str">
        <f>IF(Agent06_Withdrawals!A101="","",Agent06_Withdrawals!K101)</f>
        <v/>
      </c>
      <c r="L1094" s="40" t="str">
        <f>IF(G1094="","",IF(D1094-G1094&gt;=System_Config!$B$9,"✅ OK","⚠️ BREACH"))</f>
        <v/>
      </c>
      <c r="M1094" s="40" t="str">
        <f>IFERROR(IF(Agent06_Withdrawals!A101="","",YEAR(Agent06_Withdrawals!D101)),"")</f>
        <v/>
      </c>
    </row>
    <row r="1095" spans="1:13" ht="18" customHeight="1" x14ac:dyDescent="0.25">
      <c r="A1095" s="40" t="str">
        <f>IF(Agent06_Withdrawals!A102="","",Agent06_Withdrawals!A102)</f>
        <v/>
      </c>
      <c r="B1095" s="40" t="str">
        <f ca="1">IF(Agent06_Withdrawals!A102="","","WD"&amp;TEXT(1095-3,"0000")&amp;"-"&amp;TEXT(TODAY(),"YYYYMMDD"))</f>
        <v/>
      </c>
      <c r="C1095" s="40" t="str">
        <f>IF(Agent06_Withdrawals!A102="","",Agent06_Withdrawals!B102)</f>
        <v/>
      </c>
      <c r="D1095" s="43" t="str">
        <f>IF(Agent06_Withdrawals!A102="","",Agent06_Withdrawals!C102)</f>
        <v/>
      </c>
      <c r="E1095" s="41" t="str">
        <f>IF(Agent06_Withdrawals!A102="","",Agent06_Withdrawals!D102)</f>
        <v/>
      </c>
      <c r="F1095" s="40" t="str">
        <f>IF(Agent06_Withdrawals!A102="","",Agent06_Withdrawals!F102)</f>
        <v/>
      </c>
      <c r="G1095" s="42" t="str">
        <f>IF(Agent06_Withdrawals!A102="","",Agent06_Withdrawals!E102)</f>
        <v/>
      </c>
      <c r="H1095" s="42" t="str">
        <f>IF(Agent06_Withdrawals!A102="","",Agent06_Withdrawals!G102)</f>
        <v/>
      </c>
      <c r="I1095" s="40" t="str">
        <f>IF(Agent06_Withdrawals!A102="","",Agent06_Withdrawals!H102)</f>
        <v/>
      </c>
      <c r="J1095" s="40" t="str">
        <f>IF(Agent06_Withdrawals!A102="","",Agent06_Withdrawals!J102)</f>
        <v/>
      </c>
      <c r="K1095" s="40" t="str">
        <f>IF(Agent06_Withdrawals!A102="","",Agent06_Withdrawals!K102)</f>
        <v/>
      </c>
      <c r="L1095" s="40" t="str">
        <f>IF(G1095="","",IF(D1095-G1095&gt;=System_Config!$B$9,"✅ OK","⚠️ BREACH"))</f>
        <v/>
      </c>
      <c r="M1095" s="40" t="str">
        <f>IFERROR(IF(Agent06_Withdrawals!A102="","",YEAR(Agent06_Withdrawals!D102)),"")</f>
        <v/>
      </c>
    </row>
    <row r="1096" spans="1:13" ht="18" customHeight="1" x14ac:dyDescent="0.25">
      <c r="A1096" s="40" t="str">
        <f>IF(Agent06_Withdrawals!A103="","",Agent06_Withdrawals!A103)</f>
        <v/>
      </c>
      <c r="B1096" s="40" t="str">
        <f ca="1">IF(Agent06_Withdrawals!A103="","","WD"&amp;TEXT(1096-3,"0000")&amp;"-"&amp;TEXT(TODAY(),"YYYYMMDD"))</f>
        <v/>
      </c>
      <c r="C1096" s="40" t="str">
        <f>IF(Agent06_Withdrawals!A103="","",Agent06_Withdrawals!B103)</f>
        <v/>
      </c>
      <c r="D1096" s="43" t="str">
        <f>IF(Agent06_Withdrawals!A103="","",Agent06_Withdrawals!C103)</f>
        <v/>
      </c>
      <c r="E1096" s="41" t="str">
        <f>IF(Agent06_Withdrawals!A103="","",Agent06_Withdrawals!D103)</f>
        <v/>
      </c>
      <c r="F1096" s="40" t="str">
        <f>IF(Agent06_Withdrawals!A103="","",Agent06_Withdrawals!F103)</f>
        <v/>
      </c>
      <c r="G1096" s="42" t="str">
        <f>IF(Agent06_Withdrawals!A103="","",Agent06_Withdrawals!E103)</f>
        <v/>
      </c>
      <c r="H1096" s="42" t="str">
        <f>IF(Agent06_Withdrawals!A103="","",Agent06_Withdrawals!G103)</f>
        <v/>
      </c>
      <c r="I1096" s="40" t="str">
        <f>IF(Agent06_Withdrawals!A103="","",Agent06_Withdrawals!H103)</f>
        <v/>
      </c>
      <c r="J1096" s="40" t="str">
        <f>IF(Agent06_Withdrawals!A103="","",Agent06_Withdrawals!J103)</f>
        <v/>
      </c>
      <c r="K1096" s="40" t="str">
        <f>IF(Agent06_Withdrawals!A103="","",Agent06_Withdrawals!K103)</f>
        <v/>
      </c>
      <c r="L1096" s="40" t="str">
        <f>IF(G1096="","",IF(D1096-G1096&gt;=System_Config!$B$9,"✅ OK","⚠️ BREACH"))</f>
        <v/>
      </c>
      <c r="M1096" s="40" t="str">
        <f>IFERROR(IF(Agent06_Withdrawals!A103="","",YEAR(Agent06_Withdrawals!D103)),"")</f>
        <v/>
      </c>
    </row>
    <row r="1097" spans="1:13" ht="18" customHeight="1" x14ac:dyDescent="0.25">
      <c r="A1097" s="40" t="str">
        <f>IF(Agent06_Withdrawals!A104="","",Agent06_Withdrawals!A104)</f>
        <v/>
      </c>
      <c r="B1097" s="40" t="str">
        <f ca="1">IF(Agent06_Withdrawals!A104="","","WD"&amp;TEXT(1097-3,"0000")&amp;"-"&amp;TEXT(TODAY(),"YYYYMMDD"))</f>
        <v/>
      </c>
      <c r="C1097" s="40" t="str">
        <f>IF(Agent06_Withdrawals!A104="","",Agent06_Withdrawals!B104)</f>
        <v/>
      </c>
      <c r="D1097" s="43" t="str">
        <f>IF(Agent06_Withdrawals!A104="","",Agent06_Withdrawals!C104)</f>
        <v/>
      </c>
      <c r="E1097" s="41" t="str">
        <f>IF(Agent06_Withdrawals!A104="","",Agent06_Withdrawals!D104)</f>
        <v/>
      </c>
      <c r="F1097" s="40" t="str">
        <f>IF(Agent06_Withdrawals!A104="","",Agent06_Withdrawals!F104)</f>
        <v/>
      </c>
      <c r="G1097" s="42" t="str">
        <f>IF(Agent06_Withdrawals!A104="","",Agent06_Withdrawals!E104)</f>
        <v/>
      </c>
      <c r="H1097" s="42" t="str">
        <f>IF(Agent06_Withdrawals!A104="","",Agent06_Withdrawals!G104)</f>
        <v/>
      </c>
      <c r="I1097" s="40" t="str">
        <f>IF(Agent06_Withdrawals!A104="","",Agent06_Withdrawals!H104)</f>
        <v/>
      </c>
      <c r="J1097" s="40" t="str">
        <f>IF(Agent06_Withdrawals!A104="","",Agent06_Withdrawals!J104)</f>
        <v/>
      </c>
      <c r="K1097" s="40" t="str">
        <f>IF(Agent06_Withdrawals!A104="","",Agent06_Withdrawals!K104)</f>
        <v/>
      </c>
      <c r="L1097" s="40" t="str">
        <f>IF(G1097="","",IF(D1097-G1097&gt;=System_Config!$B$9,"✅ OK","⚠️ BREACH"))</f>
        <v/>
      </c>
      <c r="M1097" s="40" t="str">
        <f>IFERROR(IF(Agent06_Withdrawals!A104="","",YEAR(Agent06_Withdrawals!D104)),"")</f>
        <v/>
      </c>
    </row>
    <row r="1098" spans="1:13" ht="18" customHeight="1" x14ac:dyDescent="0.25">
      <c r="A1098" s="40" t="str">
        <f>IF(Agent06_Withdrawals!A105="","",Agent06_Withdrawals!A105)</f>
        <v/>
      </c>
      <c r="B1098" s="40" t="str">
        <f ca="1">IF(Agent06_Withdrawals!A105="","","WD"&amp;TEXT(1098-3,"0000")&amp;"-"&amp;TEXT(TODAY(),"YYYYMMDD"))</f>
        <v/>
      </c>
      <c r="C1098" s="40" t="str">
        <f>IF(Agent06_Withdrawals!A105="","",Agent06_Withdrawals!B105)</f>
        <v/>
      </c>
      <c r="D1098" s="43" t="str">
        <f>IF(Agent06_Withdrawals!A105="","",Agent06_Withdrawals!C105)</f>
        <v/>
      </c>
      <c r="E1098" s="41" t="str">
        <f>IF(Agent06_Withdrawals!A105="","",Agent06_Withdrawals!D105)</f>
        <v/>
      </c>
      <c r="F1098" s="40" t="str">
        <f>IF(Agent06_Withdrawals!A105="","",Agent06_Withdrawals!F105)</f>
        <v/>
      </c>
      <c r="G1098" s="42" t="str">
        <f>IF(Agent06_Withdrawals!A105="","",Agent06_Withdrawals!E105)</f>
        <v/>
      </c>
      <c r="H1098" s="42" t="str">
        <f>IF(Agent06_Withdrawals!A105="","",Agent06_Withdrawals!G105)</f>
        <v/>
      </c>
      <c r="I1098" s="40" t="str">
        <f>IF(Agent06_Withdrawals!A105="","",Agent06_Withdrawals!H105)</f>
        <v/>
      </c>
      <c r="J1098" s="40" t="str">
        <f>IF(Agent06_Withdrawals!A105="","",Agent06_Withdrawals!J105)</f>
        <v/>
      </c>
      <c r="K1098" s="40" t="str">
        <f>IF(Agent06_Withdrawals!A105="","",Agent06_Withdrawals!K105)</f>
        <v/>
      </c>
      <c r="L1098" s="40" t="str">
        <f>IF(G1098="","",IF(D1098-G1098&gt;=System_Config!$B$9,"✅ OK","⚠️ BREACH"))</f>
        <v/>
      </c>
      <c r="M1098" s="40" t="str">
        <f>IFERROR(IF(Agent06_Withdrawals!A105="","",YEAR(Agent06_Withdrawals!D105)),"")</f>
        <v/>
      </c>
    </row>
    <row r="1099" spans="1:13" ht="18" customHeight="1" x14ac:dyDescent="0.25">
      <c r="A1099" s="40" t="str">
        <f>IF(Agent06_Withdrawals!A106="","",Agent06_Withdrawals!A106)</f>
        <v/>
      </c>
      <c r="B1099" s="40" t="str">
        <f ca="1">IF(Agent06_Withdrawals!A106="","","WD"&amp;TEXT(1099-3,"0000")&amp;"-"&amp;TEXT(TODAY(),"YYYYMMDD"))</f>
        <v/>
      </c>
      <c r="C1099" s="40" t="str">
        <f>IF(Agent06_Withdrawals!A106="","",Agent06_Withdrawals!B106)</f>
        <v/>
      </c>
      <c r="D1099" s="43" t="str">
        <f>IF(Agent06_Withdrawals!A106="","",Agent06_Withdrawals!C106)</f>
        <v/>
      </c>
      <c r="E1099" s="41" t="str">
        <f>IF(Agent06_Withdrawals!A106="","",Agent06_Withdrawals!D106)</f>
        <v/>
      </c>
      <c r="F1099" s="40" t="str">
        <f>IF(Agent06_Withdrawals!A106="","",Agent06_Withdrawals!F106)</f>
        <v/>
      </c>
      <c r="G1099" s="42" t="str">
        <f>IF(Agent06_Withdrawals!A106="","",Agent06_Withdrawals!E106)</f>
        <v/>
      </c>
      <c r="H1099" s="42" t="str">
        <f>IF(Agent06_Withdrawals!A106="","",Agent06_Withdrawals!G106)</f>
        <v/>
      </c>
      <c r="I1099" s="40" t="str">
        <f>IF(Agent06_Withdrawals!A106="","",Agent06_Withdrawals!H106)</f>
        <v/>
      </c>
      <c r="J1099" s="40" t="str">
        <f>IF(Agent06_Withdrawals!A106="","",Agent06_Withdrawals!J106)</f>
        <v/>
      </c>
      <c r="K1099" s="40" t="str">
        <f>IF(Agent06_Withdrawals!A106="","",Agent06_Withdrawals!K106)</f>
        <v/>
      </c>
      <c r="L1099" s="40" t="str">
        <f>IF(G1099="","",IF(D1099-G1099&gt;=System_Config!$B$9,"✅ OK","⚠️ BREACH"))</f>
        <v/>
      </c>
      <c r="M1099" s="40" t="str">
        <f>IFERROR(IF(Agent06_Withdrawals!A106="","",YEAR(Agent06_Withdrawals!D106)),"")</f>
        <v/>
      </c>
    </row>
    <row r="1100" spans="1:13" ht="18" customHeight="1" x14ac:dyDescent="0.25">
      <c r="A1100" s="40" t="str">
        <f>IF(Agent06_Withdrawals!A107="","",Agent06_Withdrawals!A107)</f>
        <v/>
      </c>
      <c r="B1100" s="40" t="str">
        <f ca="1">IF(Agent06_Withdrawals!A107="","","WD"&amp;TEXT(1100-3,"0000")&amp;"-"&amp;TEXT(TODAY(),"YYYYMMDD"))</f>
        <v/>
      </c>
      <c r="C1100" s="40" t="str">
        <f>IF(Agent06_Withdrawals!A107="","",Agent06_Withdrawals!B107)</f>
        <v/>
      </c>
      <c r="D1100" s="43" t="str">
        <f>IF(Agent06_Withdrawals!A107="","",Agent06_Withdrawals!C107)</f>
        <v/>
      </c>
      <c r="E1100" s="41" t="str">
        <f>IF(Agent06_Withdrawals!A107="","",Agent06_Withdrawals!D107)</f>
        <v/>
      </c>
      <c r="F1100" s="40" t="str">
        <f>IF(Agent06_Withdrawals!A107="","",Agent06_Withdrawals!F107)</f>
        <v/>
      </c>
      <c r="G1100" s="42" t="str">
        <f>IF(Agent06_Withdrawals!A107="","",Agent06_Withdrawals!E107)</f>
        <v/>
      </c>
      <c r="H1100" s="42" t="str">
        <f>IF(Agent06_Withdrawals!A107="","",Agent06_Withdrawals!G107)</f>
        <v/>
      </c>
      <c r="I1100" s="40" t="str">
        <f>IF(Agent06_Withdrawals!A107="","",Agent06_Withdrawals!H107)</f>
        <v/>
      </c>
      <c r="J1100" s="40" t="str">
        <f>IF(Agent06_Withdrawals!A107="","",Agent06_Withdrawals!J107)</f>
        <v/>
      </c>
      <c r="K1100" s="40" t="str">
        <f>IF(Agent06_Withdrawals!A107="","",Agent06_Withdrawals!K107)</f>
        <v/>
      </c>
      <c r="L1100" s="40" t="str">
        <f>IF(G1100="","",IF(D1100-G1100&gt;=System_Config!$B$9,"✅ OK","⚠️ BREACH"))</f>
        <v/>
      </c>
      <c r="M1100" s="40" t="str">
        <f>IFERROR(IF(Agent06_Withdrawals!A107="","",YEAR(Agent06_Withdrawals!D107)),"")</f>
        <v/>
      </c>
    </row>
    <row r="1101" spans="1:13" ht="18" customHeight="1" x14ac:dyDescent="0.25">
      <c r="A1101" s="40" t="str">
        <f>IF(Agent06_Withdrawals!A108="","",Agent06_Withdrawals!A108)</f>
        <v/>
      </c>
      <c r="B1101" s="40" t="str">
        <f ca="1">IF(Agent06_Withdrawals!A108="","","WD"&amp;TEXT(1101-3,"0000")&amp;"-"&amp;TEXT(TODAY(),"YYYYMMDD"))</f>
        <v/>
      </c>
      <c r="C1101" s="40" t="str">
        <f>IF(Agent06_Withdrawals!A108="","",Agent06_Withdrawals!B108)</f>
        <v/>
      </c>
      <c r="D1101" s="43" t="str">
        <f>IF(Agent06_Withdrawals!A108="","",Agent06_Withdrawals!C108)</f>
        <v/>
      </c>
      <c r="E1101" s="41" t="str">
        <f>IF(Agent06_Withdrawals!A108="","",Agent06_Withdrawals!D108)</f>
        <v/>
      </c>
      <c r="F1101" s="40" t="str">
        <f>IF(Agent06_Withdrawals!A108="","",Agent06_Withdrawals!F108)</f>
        <v/>
      </c>
      <c r="G1101" s="42" t="str">
        <f>IF(Agent06_Withdrawals!A108="","",Agent06_Withdrawals!E108)</f>
        <v/>
      </c>
      <c r="H1101" s="42" t="str">
        <f>IF(Agent06_Withdrawals!A108="","",Agent06_Withdrawals!G108)</f>
        <v/>
      </c>
      <c r="I1101" s="40" t="str">
        <f>IF(Agent06_Withdrawals!A108="","",Agent06_Withdrawals!H108)</f>
        <v/>
      </c>
      <c r="J1101" s="40" t="str">
        <f>IF(Agent06_Withdrawals!A108="","",Agent06_Withdrawals!J108)</f>
        <v/>
      </c>
      <c r="K1101" s="40" t="str">
        <f>IF(Agent06_Withdrawals!A108="","",Agent06_Withdrawals!K108)</f>
        <v/>
      </c>
      <c r="L1101" s="40" t="str">
        <f>IF(G1101="","",IF(D1101-G1101&gt;=System_Config!$B$9,"✅ OK","⚠️ BREACH"))</f>
        <v/>
      </c>
      <c r="M1101" s="40" t="str">
        <f>IFERROR(IF(Agent06_Withdrawals!A108="","",YEAR(Agent06_Withdrawals!D108)),"")</f>
        <v/>
      </c>
    </row>
    <row r="1102" spans="1:13" ht="18" customHeight="1" x14ac:dyDescent="0.25">
      <c r="A1102" s="40" t="str">
        <f>IF(Agent06_Withdrawals!A109="","",Agent06_Withdrawals!A109)</f>
        <v/>
      </c>
      <c r="B1102" s="40" t="str">
        <f ca="1">IF(Agent06_Withdrawals!A109="","","WD"&amp;TEXT(1102-3,"0000")&amp;"-"&amp;TEXT(TODAY(),"YYYYMMDD"))</f>
        <v/>
      </c>
      <c r="C1102" s="40" t="str">
        <f>IF(Agent06_Withdrawals!A109="","",Agent06_Withdrawals!B109)</f>
        <v/>
      </c>
      <c r="D1102" s="43" t="str">
        <f>IF(Agent06_Withdrawals!A109="","",Agent06_Withdrawals!C109)</f>
        <v/>
      </c>
      <c r="E1102" s="41" t="str">
        <f>IF(Agent06_Withdrawals!A109="","",Agent06_Withdrawals!D109)</f>
        <v/>
      </c>
      <c r="F1102" s="40" t="str">
        <f>IF(Agent06_Withdrawals!A109="","",Agent06_Withdrawals!F109)</f>
        <v/>
      </c>
      <c r="G1102" s="42" t="str">
        <f>IF(Agent06_Withdrawals!A109="","",Agent06_Withdrawals!E109)</f>
        <v/>
      </c>
      <c r="H1102" s="42" t="str">
        <f>IF(Agent06_Withdrawals!A109="","",Agent06_Withdrawals!G109)</f>
        <v/>
      </c>
      <c r="I1102" s="40" t="str">
        <f>IF(Agent06_Withdrawals!A109="","",Agent06_Withdrawals!H109)</f>
        <v/>
      </c>
      <c r="J1102" s="40" t="str">
        <f>IF(Agent06_Withdrawals!A109="","",Agent06_Withdrawals!J109)</f>
        <v/>
      </c>
      <c r="K1102" s="40" t="str">
        <f>IF(Agent06_Withdrawals!A109="","",Agent06_Withdrawals!K109)</f>
        <v/>
      </c>
      <c r="L1102" s="40" t="str">
        <f>IF(G1102="","",IF(D1102-G1102&gt;=System_Config!$B$9,"✅ OK","⚠️ BREACH"))</f>
        <v/>
      </c>
      <c r="M1102" s="40" t="str">
        <f>IFERROR(IF(Agent06_Withdrawals!A109="","",YEAR(Agent06_Withdrawals!D109)),"")</f>
        <v/>
      </c>
    </row>
    <row r="1103" spans="1:13" ht="18" customHeight="1" x14ac:dyDescent="0.25">
      <c r="A1103" s="40" t="str">
        <f>IF(Agent06_Withdrawals!A110="","",Agent06_Withdrawals!A110)</f>
        <v/>
      </c>
      <c r="B1103" s="40" t="str">
        <f ca="1">IF(Agent06_Withdrawals!A110="","","WD"&amp;TEXT(1103-3,"0000")&amp;"-"&amp;TEXT(TODAY(),"YYYYMMDD"))</f>
        <v/>
      </c>
      <c r="C1103" s="40" t="str">
        <f>IF(Agent06_Withdrawals!A110="","",Agent06_Withdrawals!B110)</f>
        <v/>
      </c>
      <c r="D1103" s="43" t="str">
        <f>IF(Agent06_Withdrawals!A110="","",Agent06_Withdrawals!C110)</f>
        <v/>
      </c>
      <c r="E1103" s="41" t="str">
        <f>IF(Agent06_Withdrawals!A110="","",Agent06_Withdrawals!D110)</f>
        <v/>
      </c>
      <c r="F1103" s="40" t="str">
        <f>IF(Agent06_Withdrawals!A110="","",Agent06_Withdrawals!F110)</f>
        <v/>
      </c>
      <c r="G1103" s="42" t="str">
        <f>IF(Agent06_Withdrawals!A110="","",Agent06_Withdrawals!E110)</f>
        <v/>
      </c>
      <c r="H1103" s="42" t="str">
        <f>IF(Agent06_Withdrawals!A110="","",Agent06_Withdrawals!G110)</f>
        <v/>
      </c>
      <c r="I1103" s="40" t="str">
        <f>IF(Agent06_Withdrawals!A110="","",Agent06_Withdrawals!H110)</f>
        <v/>
      </c>
      <c r="J1103" s="40" t="str">
        <f>IF(Agent06_Withdrawals!A110="","",Agent06_Withdrawals!J110)</f>
        <v/>
      </c>
      <c r="K1103" s="40" t="str">
        <f>IF(Agent06_Withdrawals!A110="","",Agent06_Withdrawals!K110)</f>
        <v/>
      </c>
      <c r="L1103" s="40" t="str">
        <f>IF(G1103="","",IF(D1103-G1103&gt;=System_Config!$B$9,"✅ OK","⚠️ BREACH"))</f>
        <v/>
      </c>
      <c r="M1103" s="40" t="str">
        <f>IFERROR(IF(Agent06_Withdrawals!A110="","",YEAR(Agent06_Withdrawals!D110)),"")</f>
        <v/>
      </c>
    </row>
    <row r="1104" spans="1:13" ht="18" customHeight="1" x14ac:dyDescent="0.25">
      <c r="A1104" s="40" t="str">
        <f>IF(Agent06_Withdrawals!A111="","",Agent06_Withdrawals!A111)</f>
        <v/>
      </c>
      <c r="B1104" s="40" t="str">
        <f ca="1">IF(Agent06_Withdrawals!A111="","","WD"&amp;TEXT(1104-3,"0000")&amp;"-"&amp;TEXT(TODAY(),"YYYYMMDD"))</f>
        <v/>
      </c>
      <c r="C1104" s="40" t="str">
        <f>IF(Agent06_Withdrawals!A111="","",Agent06_Withdrawals!B111)</f>
        <v/>
      </c>
      <c r="D1104" s="43" t="str">
        <f>IF(Agent06_Withdrawals!A111="","",Agent06_Withdrawals!C111)</f>
        <v/>
      </c>
      <c r="E1104" s="41" t="str">
        <f>IF(Agent06_Withdrawals!A111="","",Agent06_Withdrawals!D111)</f>
        <v/>
      </c>
      <c r="F1104" s="40" t="str">
        <f>IF(Agent06_Withdrawals!A111="","",Agent06_Withdrawals!F111)</f>
        <v/>
      </c>
      <c r="G1104" s="42" t="str">
        <f>IF(Agent06_Withdrawals!A111="","",Agent06_Withdrawals!E111)</f>
        <v/>
      </c>
      <c r="H1104" s="42" t="str">
        <f>IF(Agent06_Withdrawals!A111="","",Agent06_Withdrawals!G111)</f>
        <v/>
      </c>
      <c r="I1104" s="40" t="str">
        <f>IF(Agent06_Withdrawals!A111="","",Agent06_Withdrawals!H111)</f>
        <v/>
      </c>
      <c r="J1104" s="40" t="str">
        <f>IF(Agent06_Withdrawals!A111="","",Agent06_Withdrawals!J111)</f>
        <v/>
      </c>
      <c r="K1104" s="40" t="str">
        <f>IF(Agent06_Withdrawals!A111="","",Agent06_Withdrawals!K111)</f>
        <v/>
      </c>
      <c r="L1104" s="40" t="str">
        <f>IF(G1104="","",IF(D1104-G1104&gt;=System_Config!$B$9,"✅ OK","⚠️ BREACH"))</f>
        <v/>
      </c>
      <c r="M1104" s="40" t="str">
        <f>IFERROR(IF(Agent06_Withdrawals!A111="","",YEAR(Agent06_Withdrawals!D111)),"")</f>
        <v/>
      </c>
    </row>
    <row r="1105" spans="1:13" ht="18" customHeight="1" x14ac:dyDescent="0.25">
      <c r="A1105" s="40" t="str">
        <f>IF(Agent06_Withdrawals!A112="","",Agent06_Withdrawals!A112)</f>
        <v/>
      </c>
      <c r="B1105" s="40" t="str">
        <f ca="1">IF(Agent06_Withdrawals!A112="","","WD"&amp;TEXT(1105-3,"0000")&amp;"-"&amp;TEXT(TODAY(),"YYYYMMDD"))</f>
        <v/>
      </c>
      <c r="C1105" s="40" t="str">
        <f>IF(Agent06_Withdrawals!A112="","",Agent06_Withdrawals!B112)</f>
        <v/>
      </c>
      <c r="D1105" s="43" t="str">
        <f>IF(Agent06_Withdrawals!A112="","",Agent06_Withdrawals!C112)</f>
        <v/>
      </c>
      <c r="E1105" s="41" t="str">
        <f>IF(Agent06_Withdrawals!A112="","",Agent06_Withdrawals!D112)</f>
        <v/>
      </c>
      <c r="F1105" s="40" t="str">
        <f>IF(Agent06_Withdrawals!A112="","",Agent06_Withdrawals!F112)</f>
        <v/>
      </c>
      <c r="G1105" s="42" t="str">
        <f>IF(Agent06_Withdrawals!A112="","",Agent06_Withdrawals!E112)</f>
        <v/>
      </c>
      <c r="H1105" s="42" t="str">
        <f>IF(Agent06_Withdrawals!A112="","",Agent06_Withdrawals!G112)</f>
        <v/>
      </c>
      <c r="I1105" s="40" t="str">
        <f>IF(Agent06_Withdrawals!A112="","",Agent06_Withdrawals!H112)</f>
        <v/>
      </c>
      <c r="J1105" s="40" t="str">
        <f>IF(Agent06_Withdrawals!A112="","",Agent06_Withdrawals!J112)</f>
        <v/>
      </c>
      <c r="K1105" s="40" t="str">
        <f>IF(Agent06_Withdrawals!A112="","",Agent06_Withdrawals!K112)</f>
        <v/>
      </c>
      <c r="L1105" s="40" t="str">
        <f>IF(G1105="","",IF(D1105-G1105&gt;=System_Config!$B$9,"✅ OK","⚠️ BREACH"))</f>
        <v/>
      </c>
      <c r="M1105" s="40" t="str">
        <f>IFERROR(IF(Agent06_Withdrawals!A112="","",YEAR(Agent06_Withdrawals!D112)),"")</f>
        <v/>
      </c>
    </row>
    <row r="1106" spans="1:13" ht="18" customHeight="1" x14ac:dyDescent="0.25">
      <c r="A1106" s="40" t="str">
        <f>IF(Agent06_Withdrawals!A113="","",Agent06_Withdrawals!A113)</f>
        <v/>
      </c>
      <c r="B1106" s="40" t="str">
        <f ca="1">IF(Agent06_Withdrawals!A113="","","WD"&amp;TEXT(1106-3,"0000")&amp;"-"&amp;TEXT(TODAY(),"YYYYMMDD"))</f>
        <v/>
      </c>
      <c r="C1106" s="40" t="str">
        <f>IF(Agent06_Withdrawals!A113="","",Agent06_Withdrawals!B113)</f>
        <v/>
      </c>
      <c r="D1106" s="43" t="str">
        <f>IF(Agent06_Withdrawals!A113="","",Agent06_Withdrawals!C113)</f>
        <v/>
      </c>
      <c r="E1106" s="41" t="str">
        <f>IF(Agent06_Withdrawals!A113="","",Agent06_Withdrawals!D113)</f>
        <v/>
      </c>
      <c r="F1106" s="40" t="str">
        <f>IF(Agent06_Withdrawals!A113="","",Agent06_Withdrawals!F113)</f>
        <v/>
      </c>
      <c r="G1106" s="42" t="str">
        <f>IF(Agent06_Withdrawals!A113="","",Agent06_Withdrawals!E113)</f>
        <v/>
      </c>
      <c r="H1106" s="42" t="str">
        <f>IF(Agent06_Withdrawals!A113="","",Agent06_Withdrawals!G113)</f>
        <v/>
      </c>
      <c r="I1106" s="40" t="str">
        <f>IF(Agent06_Withdrawals!A113="","",Agent06_Withdrawals!H113)</f>
        <v/>
      </c>
      <c r="J1106" s="40" t="str">
        <f>IF(Agent06_Withdrawals!A113="","",Agent06_Withdrawals!J113)</f>
        <v/>
      </c>
      <c r="K1106" s="40" t="str">
        <f>IF(Agent06_Withdrawals!A113="","",Agent06_Withdrawals!K113)</f>
        <v/>
      </c>
      <c r="L1106" s="40" t="str">
        <f>IF(G1106="","",IF(D1106-G1106&gt;=System_Config!$B$9,"✅ OK","⚠️ BREACH"))</f>
        <v/>
      </c>
      <c r="M1106" s="40" t="str">
        <f>IFERROR(IF(Agent06_Withdrawals!A113="","",YEAR(Agent06_Withdrawals!D113)),"")</f>
        <v/>
      </c>
    </row>
    <row r="1107" spans="1:13" ht="18" customHeight="1" x14ac:dyDescent="0.25">
      <c r="A1107" s="40" t="str">
        <f>IF(Agent06_Withdrawals!A114="","",Agent06_Withdrawals!A114)</f>
        <v/>
      </c>
      <c r="B1107" s="40" t="str">
        <f ca="1">IF(Agent06_Withdrawals!A114="","","WD"&amp;TEXT(1107-3,"0000")&amp;"-"&amp;TEXT(TODAY(),"YYYYMMDD"))</f>
        <v/>
      </c>
      <c r="C1107" s="40" t="str">
        <f>IF(Agent06_Withdrawals!A114="","",Agent06_Withdrawals!B114)</f>
        <v/>
      </c>
      <c r="D1107" s="43" t="str">
        <f>IF(Agent06_Withdrawals!A114="","",Agent06_Withdrawals!C114)</f>
        <v/>
      </c>
      <c r="E1107" s="41" t="str">
        <f>IF(Agent06_Withdrawals!A114="","",Agent06_Withdrawals!D114)</f>
        <v/>
      </c>
      <c r="F1107" s="40" t="str">
        <f>IF(Agent06_Withdrawals!A114="","",Agent06_Withdrawals!F114)</f>
        <v/>
      </c>
      <c r="G1107" s="42" t="str">
        <f>IF(Agent06_Withdrawals!A114="","",Agent06_Withdrawals!E114)</f>
        <v/>
      </c>
      <c r="H1107" s="42" t="str">
        <f>IF(Agent06_Withdrawals!A114="","",Agent06_Withdrawals!G114)</f>
        <v/>
      </c>
      <c r="I1107" s="40" t="str">
        <f>IF(Agent06_Withdrawals!A114="","",Agent06_Withdrawals!H114)</f>
        <v/>
      </c>
      <c r="J1107" s="40" t="str">
        <f>IF(Agent06_Withdrawals!A114="","",Agent06_Withdrawals!J114)</f>
        <v/>
      </c>
      <c r="K1107" s="40" t="str">
        <f>IF(Agent06_Withdrawals!A114="","",Agent06_Withdrawals!K114)</f>
        <v/>
      </c>
      <c r="L1107" s="40" t="str">
        <f>IF(G1107="","",IF(D1107-G1107&gt;=System_Config!$B$9,"✅ OK","⚠️ BREACH"))</f>
        <v/>
      </c>
      <c r="M1107" s="40" t="str">
        <f>IFERROR(IF(Agent06_Withdrawals!A114="","",YEAR(Agent06_Withdrawals!D114)),"")</f>
        <v/>
      </c>
    </row>
    <row r="1108" spans="1:13" ht="18" customHeight="1" x14ac:dyDescent="0.25">
      <c r="A1108" s="40" t="str">
        <f>IF(Agent06_Withdrawals!A115="","",Agent06_Withdrawals!A115)</f>
        <v/>
      </c>
      <c r="B1108" s="40" t="str">
        <f ca="1">IF(Agent06_Withdrawals!A115="","","WD"&amp;TEXT(1108-3,"0000")&amp;"-"&amp;TEXT(TODAY(),"YYYYMMDD"))</f>
        <v/>
      </c>
      <c r="C1108" s="40" t="str">
        <f>IF(Agent06_Withdrawals!A115="","",Agent06_Withdrawals!B115)</f>
        <v/>
      </c>
      <c r="D1108" s="43" t="str">
        <f>IF(Agent06_Withdrawals!A115="","",Agent06_Withdrawals!C115)</f>
        <v/>
      </c>
      <c r="E1108" s="41" t="str">
        <f>IF(Agent06_Withdrawals!A115="","",Agent06_Withdrawals!D115)</f>
        <v/>
      </c>
      <c r="F1108" s="40" t="str">
        <f>IF(Agent06_Withdrawals!A115="","",Agent06_Withdrawals!F115)</f>
        <v/>
      </c>
      <c r="G1108" s="42" t="str">
        <f>IF(Agent06_Withdrawals!A115="","",Agent06_Withdrawals!E115)</f>
        <v/>
      </c>
      <c r="H1108" s="42" t="str">
        <f>IF(Agent06_Withdrawals!A115="","",Agent06_Withdrawals!G115)</f>
        <v/>
      </c>
      <c r="I1108" s="40" t="str">
        <f>IF(Agent06_Withdrawals!A115="","",Agent06_Withdrawals!H115)</f>
        <v/>
      </c>
      <c r="J1108" s="40" t="str">
        <f>IF(Agent06_Withdrawals!A115="","",Agent06_Withdrawals!J115)</f>
        <v/>
      </c>
      <c r="K1108" s="40" t="str">
        <f>IF(Agent06_Withdrawals!A115="","",Agent06_Withdrawals!K115)</f>
        <v/>
      </c>
      <c r="L1108" s="40" t="str">
        <f>IF(G1108="","",IF(D1108-G1108&gt;=System_Config!$B$9,"✅ OK","⚠️ BREACH"))</f>
        <v/>
      </c>
      <c r="M1108" s="40" t="str">
        <f>IFERROR(IF(Agent06_Withdrawals!A115="","",YEAR(Agent06_Withdrawals!D115)),"")</f>
        <v/>
      </c>
    </row>
    <row r="1109" spans="1:13" ht="18" customHeight="1" x14ac:dyDescent="0.25">
      <c r="A1109" s="40" t="str">
        <f>IF(Agent06_Withdrawals!A116="","",Agent06_Withdrawals!A116)</f>
        <v/>
      </c>
      <c r="B1109" s="40" t="str">
        <f ca="1">IF(Agent06_Withdrawals!A116="","","WD"&amp;TEXT(1109-3,"0000")&amp;"-"&amp;TEXT(TODAY(),"YYYYMMDD"))</f>
        <v/>
      </c>
      <c r="C1109" s="40" t="str">
        <f>IF(Agent06_Withdrawals!A116="","",Agent06_Withdrawals!B116)</f>
        <v/>
      </c>
      <c r="D1109" s="43" t="str">
        <f>IF(Agent06_Withdrawals!A116="","",Agent06_Withdrawals!C116)</f>
        <v/>
      </c>
      <c r="E1109" s="41" t="str">
        <f>IF(Agent06_Withdrawals!A116="","",Agent06_Withdrawals!D116)</f>
        <v/>
      </c>
      <c r="F1109" s="40" t="str">
        <f>IF(Agent06_Withdrawals!A116="","",Agent06_Withdrawals!F116)</f>
        <v/>
      </c>
      <c r="G1109" s="42" t="str">
        <f>IF(Agent06_Withdrawals!A116="","",Agent06_Withdrawals!E116)</f>
        <v/>
      </c>
      <c r="H1109" s="42" t="str">
        <f>IF(Agent06_Withdrawals!A116="","",Agent06_Withdrawals!G116)</f>
        <v/>
      </c>
      <c r="I1109" s="40" t="str">
        <f>IF(Agent06_Withdrawals!A116="","",Agent06_Withdrawals!H116)</f>
        <v/>
      </c>
      <c r="J1109" s="40" t="str">
        <f>IF(Agent06_Withdrawals!A116="","",Agent06_Withdrawals!J116)</f>
        <v/>
      </c>
      <c r="K1109" s="40" t="str">
        <f>IF(Agent06_Withdrawals!A116="","",Agent06_Withdrawals!K116)</f>
        <v/>
      </c>
      <c r="L1109" s="40" t="str">
        <f>IF(G1109="","",IF(D1109-G1109&gt;=System_Config!$B$9,"✅ OK","⚠️ BREACH"))</f>
        <v/>
      </c>
      <c r="M1109" s="40" t="str">
        <f>IFERROR(IF(Agent06_Withdrawals!A116="","",YEAR(Agent06_Withdrawals!D116)),"")</f>
        <v/>
      </c>
    </row>
    <row r="1110" spans="1:13" ht="18" customHeight="1" x14ac:dyDescent="0.25">
      <c r="A1110" s="40" t="str">
        <f>IF(Agent06_Withdrawals!A117="","",Agent06_Withdrawals!A117)</f>
        <v/>
      </c>
      <c r="B1110" s="40" t="str">
        <f ca="1">IF(Agent06_Withdrawals!A117="","","WD"&amp;TEXT(1110-3,"0000")&amp;"-"&amp;TEXT(TODAY(),"YYYYMMDD"))</f>
        <v/>
      </c>
      <c r="C1110" s="40" t="str">
        <f>IF(Agent06_Withdrawals!A117="","",Agent06_Withdrawals!B117)</f>
        <v/>
      </c>
      <c r="D1110" s="43" t="str">
        <f>IF(Agent06_Withdrawals!A117="","",Agent06_Withdrawals!C117)</f>
        <v/>
      </c>
      <c r="E1110" s="41" t="str">
        <f>IF(Agent06_Withdrawals!A117="","",Agent06_Withdrawals!D117)</f>
        <v/>
      </c>
      <c r="F1110" s="40" t="str">
        <f>IF(Agent06_Withdrawals!A117="","",Agent06_Withdrawals!F117)</f>
        <v/>
      </c>
      <c r="G1110" s="42" t="str">
        <f>IF(Agent06_Withdrawals!A117="","",Agent06_Withdrawals!E117)</f>
        <v/>
      </c>
      <c r="H1110" s="42" t="str">
        <f>IF(Agent06_Withdrawals!A117="","",Agent06_Withdrawals!G117)</f>
        <v/>
      </c>
      <c r="I1110" s="40" t="str">
        <f>IF(Agent06_Withdrawals!A117="","",Agent06_Withdrawals!H117)</f>
        <v/>
      </c>
      <c r="J1110" s="40" t="str">
        <f>IF(Agent06_Withdrawals!A117="","",Agent06_Withdrawals!J117)</f>
        <v/>
      </c>
      <c r="K1110" s="40" t="str">
        <f>IF(Agent06_Withdrawals!A117="","",Agent06_Withdrawals!K117)</f>
        <v/>
      </c>
      <c r="L1110" s="40" t="str">
        <f>IF(G1110="","",IF(D1110-G1110&gt;=System_Config!$B$9,"✅ OK","⚠️ BREACH"))</f>
        <v/>
      </c>
      <c r="M1110" s="40" t="str">
        <f>IFERROR(IF(Agent06_Withdrawals!A117="","",YEAR(Agent06_Withdrawals!D117)),"")</f>
        <v/>
      </c>
    </row>
    <row r="1111" spans="1:13" ht="18" customHeight="1" x14ac:dyDescent="0.25">
      <c r="A1111" s="40" t="str">
        <f>IF(Agent06_Withdrawals!A118="","",Agent06_Withdrawals!A118)</f>
        <v/>
      </c>
      <c r="B1111" s="40" t="str">
        <f ca="1">IF(Agent06_Withdrawals!A118="","","WD"&amp;TEXT(1111-3,"0000")&amp;"-"&amp;TEXT(TODAY(),"YYYYMMDD"))</f>
        <v/>
      </c>
      <c r="C1111" s="40" t="str">
        <f>IF(Agent06_Withdrawals!A118="","",Agent06_Withdrawals!B118)</f>
        <v/>
      </c>
      <c r="D1111" s="43" t="str">
        <f>IF(Agent06_Withdrawals!A118="","",Agent06_Withdrawals!C118)</f>
        <v/>
      </c>
      <c r="E1111" s="41" t="str">
        <f>IF(Agent06_Withdrawals!A118="","",Agent06_Withdrawals!D118)</f>
        <v/>
      </c>
      <c r="F1111" s="40" t="str">
        <f>IF(Agent06_Withdrawals!A118="","",Agent06_Withdrawals!F118)</f>
        <v/>
      </c>
      <c r="G1111" s="42" t="str">
        <f>IF(Agent06_Withdrawals!A118="","",Agent06_Withdrawals!E118)</f>
        <v/>
      </c>
      <c r="H1111" s="42" t="str">
        <f>IF(Agent06_Withdrawals!A118="","",Agent06_Withdrawals!G118)</f>
        <v/>
      </c>
      <c r="I1111" s="40" t="str">
        <f>IF(Agent06_Withdrawals!A118="","",Agent06_Withdrawals!H118)</f>
        <v/>
      </c>
      <c r="J1111" s="40" t="str">
        <f>IF(Agent06_Withdrawals!A118="","",Agent06_Withdrawals!J118)</f>
        <v/>
      </c>
      <c r="K1111" s="40" t="str">
        <f>IF(Agent06_Withdrawals!A118="","",Agent06_Withdrawals!K118)</f>
        <v/>
      </c>
      <c r="L1111" s="40" t="str">
        <f>IF(G1111="","",IF(D1111-G1111&gt;=System_Config!$B$9,"✅ OK","⚠️ BREACH"))</f>
        <v/>
      </c>
      <c r="M1111" s="40" t="str">
        <f>IFERROR(IF(Agent06_Withdrawals!A118="","",YEAR(Agent06_Withdrawals!D118)),"")</f>
        <v/>
      </c>
    </row>
    <row r="1112" spans="1:13" ht="18" customHeight="1" x14ac:dyDescent="0.25">
      <c r="A1112" s="40" t="str">
        <f>IF(Agent06_Withdrawals!A119="","",Agent06_Withdrawals!A119)</f>
        <v/>
      </c>
      <c r="B1112" s="40" t="str">
        <f ca="1">IF(Agent06_Withdrawals!A119="","","WD"&amp;TEXT(1112-3,"0000")&amp;"-"&amp;TEXT(TODAY(),"YYYYMMDD"))</f>
        <v/>
      </c>
      <c r="C1112" s="40" t="str">
        <f>IF(Agent06_Withdrawals!A119="","",Agent06_Withdrawals!B119)</f>
        <v/>
      </c>
      <c r="D1112" s="43" t="str">
        <f>IF(Agent06_Withdrawals!A119="","",Agent06_Withdrawals!C119)</f>
        <v/>
      </c>
      <c r="E1112" s="41" t="str">
        <f>IF(Agent06_Withdrawals!A119="","",Agent06_Withdrawals!D119)</f>
        <v/>
      </c>
      <c r="F1112" s="40" t="str">
        <f>IF(Agent06_Withdrawals!A119="","",Agent06_Withdrawals!F119)</f>
        <v/>
      </c>
      <c r="G1112" s="42" t="str">
        <f>IF(Agent06_Withdrawals!A119="","",Agent06_Withdrawals!E119)</f>
        <v/>
      </c>
      <c r="H1112" s="42" t="str">
        <f>IF(Agent06_Withdrawals!A119="","",Agent06_Withdrawals!G119)</f>
        <v/>
      </c>
      <c r="I1112" s="40" t="str">
        <f>IF(Agent06_Withdrawals!A119="","",Agent06_Withdrawals!H119)</f>
        <v/>
      </c>
      <c r="J1112" s="40" t="str">
        <f>IF(Agent06_Withdrawals!A119="","",Agent06_Withdrawals!J119)</f>
        <v/>
      </c>
      <c r="K1112" s="40" t="str">
        <f>IF(Agent06_Withdrawals!A119="","",Agent06_Withdrawals!K119)</f>
        <v/>
      </c>
      <c r="L1112" s="40" t="str">
        <f>IF(G1112="","",IF(D1112-G1112&gt;=System_Config!$B$9,"✅ OK","⚠️ BREACH"))</f>
        <v/>
      </c>
      <c r="M1112" s="40" t="str">
        <f>IFERROR(IF(Agent06_Withdrawals!A119="","",YEAR(Agent06_Withdrawals!D119)),"")</f>
        <v/>
      </c>
    </row>
    <row r="1113" spans="1:13" ht="18" customHeight="1" x14ac:dyDescent="0.25">
      <c r="A1113" s="40" t="str">
        <f>IF(Agent06_Withdrawals!A120="","",Agent06_Withdrawals!A120)</f>
        <v/>
      </c>
      <c r="B1113" s="40" t="str">
        <f ca="1">IF(Agent06_Withdrawals!A120="","","WD"&amp;TEXT(1113-3,"0000")&amp;"-"&amp;TEXT(TODAY(),"YYYYMMDD"))</f>
        <v/>
      </c>
      <c r="C1113" s="40" t="str">
        <f>IF(Agent06_Withdrawals!A120="","",Agent06_Withdrawals!B120)</f>
        <v/>
      </c>
      <c r="D1113" s="43" t="str">
        <f>IF(Agent06_Withdrawals!A120="","",Agent06_Withdrawals!C120)</f>
        <v/>
      </c>
      <c r="E1113" s="41" t="str">
        <f>IF(Agent06_Withdrawals!A120="","",Agent06_Withdrawals!D120)</f>
        <v/>
      </c>
      <c r="F1113" s="40" t="str">
        <f>IF(Agent06_Withdrawals!A120="","",Agent06_Withdrawals!F120)</f>
        <v/>
      </c>
      <c r="G1113" s="42" t="str">
        <f>IF(Agent06_Withdrawals!A120="","",Agent06_Withdrawals!E120)</f>
        <v/>
      </c>
      <c r="H1113" s="42" t="str">
        <f>IF(Agent06_Withdrawals!A120="","",Agent06_Withdrawals!G120)</f>
        <v/>
      </c>
      <c r="I1113" s="40" t="str">
        <f>IF(Agent06_Withdrawals!A120="","",Agent06_Withdrawals!H120)</f>
        <v/>
      </c>
      <c r="J1113" s="40" t="str">
        <f>IF(Agent06_Withdrawals!A120="","",Agent06_Withdrawals!J120)</f>
        <v/>
      </c>
      <c r="K1113" s="40" t="str">
        <f>IF(Agent06_Withdrawals!A120="","",Agent06_Withdrawals!K120)</f>
        <v/>
      </c>
      <c r="L1113" s="40" t="str">
        <f>IF(G1113="","",IF(D1113-G1113&gt;=System_Config!$B$9,"✅ OK","⚠️ BREACH"))</f>
        <v/>
      </c>
      <c r="M1113" s="40" t="str">
        <f>IFERROR(IF(Agent06_Withdrawals!A120="","",YEAR(Agent06_Withdrawals!D120)),"")</f>
        <v/>
      </c>
    </row>
    <row r="1114" spans="1:13" ht="18" customHeight="1" x14ac:dyDescent="0.25">
      <c r="A1114" s="40" t="str">
        <f>IF(Agent06_Withdrawals!A121="","",Agent06_Withdrawals!A121)</f>
        <v/>
      </c>
      <c r="B1114" s="40" t="str">
        <f ca="1">IF(Agent06_Withdrawals!A121="","","WD"&amp;TEXT(1114-3,"0000")&amp;"-"&amp;TEXT(TODAY(),"YYYYMMDD"))</f>
        <v/>
      </c>
      <c r="C1114" s="40" t="str">
        <f>IF(Agent06_Withdrawals!A121="","",Agent06_Withdrawals!B121)</f>
        <v/>
      </c>
      <c r="D1114" s="43" t="str">
        <f>IF(Agent06_Withdrawals!A121="","",Agent06_Withdrawals!C121)</f>
        <v/>
      </c>
      <c r="E1114" s="41" t="str">
        <f>IF(Agent06_Withdrawals!A121="","",Agent06_Withdrawals!D121)</f>
        <v/>
      </c>
      <c r="F1114" s="40" t="str">
        <f>IF(Agent06_Withdrawals!A121="","",Agent06_Withdrawals!F121)</f>
        <v/>
      </c>
      <c r="G1114" s="42" t="str">
        <f>IF(Agent06_Withdrawals!A121="","",Agent06_Withdrawals!E121)</f>
        <v/>
      </c>
      <c r="H1114" s="42" t="str">
        <f>IF(Agent06_Withdrawals!A121="","",Agent06_Withdrawals!G121)</f>
        <v/>
      </c>
      <c r="I1114" s="40" t="str">
        <f>IF(Agent06_Withdrawals!A121="","",Agent06_Withdrawals!H121)</f>
        <v/>
      </c>
      <c r="J1114" s="40" t="str">
        <f>IF(Agent06_Withdrawals!A121="","",Agent06_Withdrawals!J121)</f>
        <v/>
      </c>
      <c r="K1114" s="40" t="str">
        <f>IF(Agent06_Withdrawals!A121="","",Agent06_Withdrawals!K121)</f>
        <v/>
      </c>
      <c r="L1114" s="40" t="str">
        <f>IF(G1114="","",IF(D1114-G1114&gt;=System_Config!$B$9,"✅ OK","⚠️ BREACH"))</f>
        <v/>
      </c>
      <c r="M1114" s="40" t="str">
        <f>IFERROR(IF(Agent06_Withdrawals!A121="","",YEAR(Agent06_Withdrawals!D121)),"")</f>
        <v/>
      </c>
    </row>
    <row r="1115" spans="1:13" ht="18" customHeight="1" x14ac:dyDescent="0.25">
      <c r="A1115" s="40" t="str">
        <f>IF(Agent06_Withdrawals!A122="","",Agent06_Withdrawals!A122)</f>
        <v/>
      </c>
      <c r="B1115" s="40" t="str">
        <f ca="1">IF(Agent06_Withdrawals!A122="","","WD"&amp;TEXT(1115-3,"0000")&amp;"-"&amp;TEXT(TODAY(),"YYYYMMDD"))</f>
        <v/>
      </c>
      <c r="C1115" s="40" t="str">
        <f>IF(Agent06_Withdrawals!A122="","",Agent06_Withdrawals!B122)</f>
        <v/>
      </c>
      <c r="D1115" s="43" t="str">
        <f>IF(Agent06_Withdrawals!A122="","",Agent06_Withdrawals!C122)</f>
        <v/>
      </c>
      <c r="E1115" s="41" t="str">
        <f>IF(Agent06_Withdrawals!A122="","",Agent06_Withdrawals!D122)</f>
        <v/>
      </c>
      <c r="F1115" s="40" t="str">
        <f>IF(Agent06_Withdrawals!A122="","",Agent06_Withdrawals!F122)</f>
        <v/>
      </c>
      <c r="G1115" s="42" t="str">
        <f>IF(Agent06_Withdrawals!A122="","",Agent06_Withdrawals!E122)</f>
        <v/>
      </c>
      <c r="H1115" s="42" t="str">
        <f>IF(Agent06_Withdrawals!A122="","",Agent06_Withdrawals!G122)</f>
        <v/>
      </c>
      <c r="I1115" s="40" t="str">
        <f>IF(Agent06_Withdrawals!A122="","",Agent06_Withdrawals!H122)</f>
        <v/>
      </c>
      <c r="J1115" s="40" t="str">
        <f>IF(Agent06_Withdrawals!A122="","",Agent06_Withdrawals!J122)</f>
        <v/>
      </c>
      <c r="K1115" s="40" t="str">
        <f>IF(Agent06_Withdrawals!A122="","",Agent06_Withdrawals!K122)</f>
        <v/>
      </c>
      <c r="L1115" s="40" t="str">
        <f>IF(G1115="","",IF(D1115-G1115&gt;=System_Config!$B$9,"✅ OK","⚠️ BREACH"))</f>
        <v/>
      </c>
      <c r="M1115" s="40" t="str">
        <f>IFERROR(IF(Agent06_Withdrawals!A122="","",YEAR(Agent06_Withdrawals!D122)),"")</f>
        <v/>
      </c>
    </row>
    <row r="1116" spans="1:13" ht="18" customHeight="1" x14ac:dyDescent="0.25">
      <c r="A1116" s="40" t="str">
        <f>IF(Agent06_Withdrawals!A123="","",Agent06_Withdrawals!A123)</f>
        <v/>
      </c>
      <c r="B1116" s="40" t="str">
        <f ca="1">IF(Agent06_Withdrawals!A123="","","WD"&amp;TEXT(1116-3,"0000")&amp;"-"&amp;TEXT(TODAY(),"YYYYMMDD"))</f>
        <v/>
      </c>
      <c r="C1116" s="40" t="str">
        <f>IF(Agent06_Withdrawals!A123="","",Agent06_Withdrawals!B123)</f>
        <v/>
      </c>
      <c r="D1116" s="43" t="str">
        <f>IF(Agent06_Withdrawals!A123="","",Agent06_Withdrawals!C123)</f>
        <v/>
      </c>
      <c r="E1116" s="41" t="str">
        <f>IF(Agent06_Withdrawals!A123="","",Agent06_Withdrawals!D123)</f>
        <v/>
      </c>
      <c r="F1116" s="40" t="str">
        <f>IF(Agent06_Withdrawals!A123="","",Agent06_Withdrawals!F123)</f>
        <v/>
      </c>
      <c r="G1116" s="42" t="str">
        <f>IF(Agent06_Withdrawals!A123="","",Agent06_Withdrawals!E123)</f>
        <v/>
      </c>
      <c r="H1116" s="42" t="str">
        <f>IF(Agent06_Withdrawals!A123="","",Agent06_Withdrawals!G123)</f>
        <v/>
      </c>
      <c r="I1116" s="40" t="str">
        <f>IF(Agent06_Withdrawals!A123="","",Agent06_Withdrawals!H123)</f>
        <v/>
      </c>
      <c r="J1116" s="40" t="str">
        <f>IF(Agent06_Withdrawals!A123="","",Agent06_Withdrawals!J123)</f>
        <v/>
      </c>
      <c r="K1116" s="40" t="str">
        <f>IF(Agent06_Withdrawals!A123="","",Agent06_Withdrawals!K123)</f>
        <v/>
      </c>
      <c r="L1116" s="40" t="str">
        <f>IF(G1116="","",IF(D1116-G1116&gt;=System_Config!$B$9,"✅ OK","⚠️ BREACH"))</f>
        <v/>
      </c>
      <c r="M1116" s="40" t="str">
        <f>IFERROR(IF(Agent06_Withdrawals!A123="","",YEAR(Agent06_Withdrawals!D123)),"")</f>
        <v/>
      </c>
    </row>
    <row r="1117" spans="1:13" ht="18" customHeight="1" x14ac:dyDescent="0.25">
      <c r="A1117" s="40" t="str">
        <f>IF(Agent06_Withdrawals!A124="","",Agent06_Withdrawals!A124)</f>
        <v/>
      </c>
      <c r="B1117" s="40" t="str">
        <f ca="1">IF(Agent06_Withdrawals!A124="","","WD"&amp;TEXT(1117-3,"0000")&amp;"-"&amp;TEXT(TODAY(),"YYYYMMDD"))</f>
        <v/>
      </c>
      <c r="C1117" s="40" t="str">
        <f>IF(Agent06_Withdrawals!A124="","",Agent06_Withdrawals!B124)</f>
        <v/>
      </c>
      <c r="D1117" s="43" t="str">
        <f>IF(Agent06_Withdrawals!A124="","",Agent06_Withdrawals!C124)</f>
        <v/>
      </c>
      <c r="E1117" s="41" t="str">
        <f>IF(Agent06_Withdrawals!A124="","",Agent06_Withdrawals!D124)</f>
        <v/>
      </c>
      <c r="F1117" s="40" t="str">
        <f>IF(Agent06_Withdrawals!A124="","",Agent06_Withdrawals!F124)</f>
        <v/>
      </c>
      <c r="G1117" s="42" t="str">
        <f>IF(Agent06_Withdrawals!A124="","",Agent06_Withdrawals!E124)</f>
        <v/>
      </c>
      <c r="H1117" s="42" t="str">
        <f>IF(Agent06_Withdrawals!A124="","",Agent06_Withdrawals!G124)</f>
        <v/>
      </c>
      <c r="I1117" s="40" t="str">
        <f>IF(Agent06_Withdrawals!A124="","",Agent06_Withdrawals!H124)</f>
        <v/>
      </c>
      <c r="J1117" s="40" t="str">
        <f>IF(Agent06_Withdrawals!A124="","",Agent06_Withdrawals!J124)</f>
        <v/>
      </c>
      <c r="K1117" s="40" t="str">
        <f>IF(Agent06_Withdrawals!A124="","",Agent06_Withdrawals!K124)</f>
        <v/>
      </c>
      <c r="L1117" s="40" t="str">
        <f>IF(G1117="","",IF(D1117-G1117&gt;=System_Config!$B$9,"✅ OK","⚠️ BREACH"))</f>
        <v/>
      </c>
      <c r="M1117" s="40" t="str">
        <f>IFERROR(IF(Agent06_Withdrawals!A124="","",YEAR(Agent06_Withdrawals!D124)),"")</f>
        <v/>
      </c>
    </row>
    <row r="1118" spans="1:13" ht="18" customHeight="1" x14ac:dyDescent="0.25">
      <c r="A1118" s="40" t="str">
        <f>IF(Agent06_Withdrawals!A125="","",Agent06_Withdrawals!A125)</f>
        <v/>
      </c>
      <c r="B1118" s="40" t="str">
        <f ca="1">IF(Agent06_Withdrawals!A125="","","WD"&amp;TEXT(1118-3,"0000")&amp;"-"&amp;TEXT(TODAY(),"YYYYMMDD"))</f>
        <v/>
      </c>
      <c r="C1118" s="40" t="str">
        <f>IF(Agent06_Withdrawals!A125="","",Agent06_Withdrawals!B125)</f>
        <v/>
      </c>
      <c r="D1118" s="43" t="str">
        <f>IF(Agent06_Withdrawals!A125="","",Agent06_Withdrawals!C125)</f>
        <v/>
      </c>
      <c r="E1118" s="41" t="str">
        <f>IF(Agent06_Withdrawals!A125="","",Agent06_Withdrawals!D125)</f>
        <v/>
      </c>
      <c r="F1118" s="40" t="str">
        <f>IF(Agent06_Withdrawals!A125="","",Agent06_Withdrawals!F125)</f>
        <v/>
      </c>
      <c r="G1118" s="42" t="str">
        <f>IF(Agent06_Withdrawals!A125="","",Agent06_Withdrawals!E125)</f>
        <v/>
      </c>
      <c r="H1118" s="42" t="str">
        <f>IF(Agent06_Withdrawals!A125="","",Agent06_Withdrawals!G125)</f>
        <v/>
      </c>
      <c r="I1118" s="40" t="str">
        <f>IF(Agent06_Withdrawals!A125="","",Agent06_Withdrawals!H125)</f>
        <v/>
      </c>
      <c r="J1118" s="40" t="str">
        <f>IF(Agent06_Withdrawals!A125="","",Agent06_Withdrawals!J125)</f>
        <v/>
      </c>
      <c r="K1118" s="40" t="str">
        <f>IF(Agent06_Withdrawals!A125="","",Agent06_Withdrawals!K125)</f>
        <v/>
      </c>
      <c r="L1118" s="40" t="str">
        <f>IF(G1118="","",IF(D1118-G1118&gt;=System_Config!$B$9,"✅ OK","⚠️ BREACH"))</f>
        <v/>
      </c>
      <c r="M1118" s="40" t="str">
        <f>IFERROR(IF(Agent06_Withdrawals!A125="","",YEAR(Agent06_Withdrawals!D125)),"")</f>
        <v/>
      </c>
    </row>
    <row r="1119" spans="1:13" ht="18" customHeight="1" x14ac:dyDescent="0.25">
      <c r="A1119" s="40" t="str">
        <f>IF(Agent06_Withdrawals!A126="","",Agent06_Withdrawals!A126)</f>
        <v/>
      </c>
      <c r="B1119" s="40" t="str">
        <f ca="1">IF(Agent06_Withdrawals!A126="","","WD"&amp;TEXT(1119-3,"0000")&amp;"-"&amp;TEXT(TODAY(),"YYYYMMDD"))</f>
        <v/>
      </c>
      <c r="C1119" s="40" t="str">
        <f>IF(Agent06_Withdrawals!A126="","",Agent06_Withdrawals!B126)</f>
        <v/>
      </c>
      <c r="D1119" s="43" t="str">
        <f>IF(Agent06_Withdrawals!A126="","",Agent06_Withdrawals!C126)</f>
        <v/>
      </c>
      <c r="E1119" s="41" t="str">
        <f>IF(Agent06_Withdrawals!A126="","",Agent06_Withdrawals!D126)</f>
        <v/>
      </c>
      <c r="F1119" s="40" t="str">
        <f>IF(Agent06_Withdrawals!A126="","",Agent06_Withdrawals!F126)</f>
        <v/>
      </c>
      <c r="G1119" s="42" t="str">
        <f>IF(Agent06_Withdrawals!A126="","",Agent06_Withdrawals!E126)</f>
        <v/>
      </c>
      <c r="H1119" s="42" t="str">
        <f>IF(Agent06_Withdrawals!A126="","",Agent06_Withdrawals!G126)</f>
        <v/>
      </c>
      <c r="I1119" s="40" t="str">
        <f>IF(Agent06_Withdrawals!A126="","",Agent06_Withdrawals!H126)</f>
        <v/>
      </c>
      <c r="J1119" s="40" t="str">
        <f>IF(Agent06_Withdrawals!A126="","",Agent06_Withdrawals!J126)</f>
        <v/>
      </c>
      <c r="K1119" s="40" t="str">
        <f>IF(Agent06_Withdrawals!A126="","",Agent06_Withdrawals!K126)</f>
        <v/>
      </c>
      <c r="L1119" s="40" t="str">
        <f>IF(G1119="","",IF(D1119-G1119&gt;=System_Config!$B$9,"✅ OK","⚠️ BREACH"))</f>
        <v/>
      </c>
      <c r="M1119" s="40" t="str">
        <f>IFERROR(IF(Agent06_Withdrawals!A126="","",YEAR(Agent06_Withdrawals!D126)),"")</f>
        <v/>
      </c>
    </row>
    <row r="1120" spans="1:13" ht="18" customHeight="1" x14ac:dyDescent="0.25">
      <c r="A1120" s="40" t="str">
        <f>IF(Agent06_Withdrawals!A127="","",Agent06_Withdrawals!A127)</f>
        <v/>
      </c>
      <c r="B1120" s="40" t="str">
        <f ca="1">IF(Agent06_Withdrawals!A127="","","WD"&amp;TEXT(1120-3,"0000")&amp;"-"&amp;TEXT(TODAY(),"YYYYMMDD"))</f>
        <v/>
      </c>
      <c r="C1120" s="40" t="str">
        <f>IF(Agent06_Withdrawals!A127="","",Agent06_Withdrawals!B127)</f>
        <v/>
      </c>
      <c r="D1120" s="43" t="str">
        <f>IF(Agent06_Withdrawals!A127="","",Agent06_Withdrawals!C127)</f>
        <v/>
      </c>
      <c r="E1120" s="41" t="str">
        <f>IF(Agent06_Withdrawals!A127="","",Agent06_Withdrawals!D127)</f>
        <v/>
      </c>
      <c r="F1120" s="40" t="str">
        <f>IF(Agent06_Withdrawals!A127="","",Agent06_Withdrawals!F127)</f>
        <v/>
      </c>
      <c r="G1120" s="42" t="str">
        <f>IF(Agent06_Withdrawals!A127="","",Agent06_Withdrawals!E127)</f>
        <v/>
      </c>
      <c r="H1120" s="42" t="str">
        <f>IF(Agent06_Withdrawals!A127="","",Agent06_Withdrawals!G127)</f>
        <v/>
      </c>
      <c r="I1120" s="40" t="str">
        <f>IF(Agent06_Withdrawals!A127="","",Agent06_Withdrawals!H127)</f>
        <v/>
      </c>
      <c r="J1120" s="40" t="str">
        <f>IF(Agent06_Withdrawals!A127="","",Agent06_Withdrawals!J127)</f>
        <v/>
      </c>
      <c r="K1120" s="40" t="str">
        <f>IF(Agent06_Withdrawals!A127="","",Agent06_Withdrawals!K127)</f>
        <v/>
      </c>
      <c r="L1120" s="40" t="str">
        <f>IF(G1120="","",IF(D1120-G1120&gt;=System_Config!$B$9,"✅ OK","⚠️ BREACH"))</f>
        <v/>
      </c>
      <c r="M1120" s="40" t="str">
        <f>IFERROR(IF(Agent06_Withdrawals!A127="","",YEAR(Agent06_Withdrawals!D127)),"")</f>
        <v/>
      </c>
    </row>
    <row r="1121" spans="1:13" ht="18" customHeight="1" x14ac:dyDescent="0.25">
      <c r="A1121" s="40" t="str">
        <f>IF(Agent06_Withdrawals!A128="","",Agent06_Withdrawals!A128)</f>
        <v/>
      </c>
      <c r="B1121" s="40" t="str">
        <f ca="1">IF(Agent06_Withdrawals!A128="","","WD"&amp;TEXT(1121-3,"0000")&amp;"-"&amp;TEXT(TODAY(),"YYYYMMDD"))</f>
        <v/>
      </c>
      <c r="C1121" s="40" t="str">
        <f>IF(Agent06_Withdrawals!A128="","",Agent06_Withdrawals!B128)</f>
        <v/>
      </c>
      <c r="D1121" s="43" t="str">
        <f>IF(Agent06_Withdrawals!A128="","",Agent06_Withdrawals!C128)</f>
        <v/>
      </c>
      <c r="E1121" s="41" t="str">
        <f>IF(Agent06_Withdrawals!A128="","",Agent06_Withdrawals!D128)</f>
        <v/>
      </c>
      <c r="F1121" s="40" t="str">
        <f>IF(Agent06_Withdrawals!A128="","",Agent06_Withdrawals!F128)</f>
        <v/>
      </c>
      <c r="G1121" s="42" t="str">
        <f>IF(Agent06_Withdrawals!A128="","",Agent06_Withdrawals!E128)</f>
        <v/>
      </c>
      <c r="H1121" s="42" t="str">
        <f>IF(Agent06_Withdrawals!A128="","",Agent06_Withdrawals!G128)</f>
        <v/>
      </c>
      <c r="I1121" s="40" t="str">
        <f>IF(Agent06_Withdrawals!A128="","",Agent06_Withdrawals!H128)</f>
        <v/>
      </c>
      <c r="J1121" s="40" t="str">
        <f>IF(Agent06_Withdrawals!A128="","",Agent06_Withdrawals!J128)</f>
        <v/>
      </c>
      <c r="K1121" s="40" t="str">
        <f>IF(Agent06_Withdrawals!A128="","",Agent06_Withdrawals!K128)</f>
        <v/>
      </c>
      <c r="L1121" s="40" t="str">
        <f>IF(G1121="","",IF(D1121-G1121&gt;=System_Config!$B$9,"✅ OK","⚠️ BREACH"))</f>
        <v/>
      </c>
      <c r="M1121" s="40" t="str">
        <f>IFERROR(IF(Agent06_Withdrawals!A128="","",YEAR(Agent06_Withdrawals!D128)),"")</f>
        <v/>
      </c>
    </row>
    <row r="1122" spans="1:13" ht="18" customHeight="1" x14ac:dyDescent="0.25">
      <c r="A1122" s="40" t="str">
        <f>IF(Agent06_Withdrawals!A129="","",Agent06_Withdrawals!A129)</f>
        <v/>
      </c>
      <c r="B1122" s="40" t="str">
        <f ca="1">IF(Agent06_Withdrawals!A129="","","WD"&amp;TEXT(1122-3,"0000")&amp;"-"&amp;TEXT(TODAY(),"YYYYMMDD"))</f>
        <v/>
      </c>
      <c r="C1122" s="40" t="str">
        <f>IF(Agent06_Withdrawals!A129="","",Agent06_Withdrawals!B129)</f>
        <v/>
      </c>
      <c r="D1122" s="43" t="str">
        <f>IF(Agent06_Withdrawals!A129="","",Agent06_Withdrawals!C129)</f>
        <v/>
      </c>
      <c r="E1122" s="41" t="str">
        <f>IF(Agent06_Withdrawals!A129="","",Agent06_Withdrawals!D129)</f>
        <v/>
      </c>
      <c r="F1122" s="40" t="str">
        <f>IF(Agent06_Withdrawals!A129="","",Agent06_Withdrawals!F129)</f>
        <v/>
      </c>
      <c r="G1122" s="42" t="str">
        <f>IF(Agent06_Withdrawals!A129="","",Agent06_Withdrawals!E129)</f>
        <v/>
      </c>
      <c r="H1122" s="42" t="str">
        <f>IF(Agent06_Withdrawals!A129="","",Agent06_Withdrawals!G129)</f>
        <v/>
      </c>
      <c r="I1122" s="40" t="str">
        <f>IF(Agent06_Withdrawals!A129="","",Agent06_Withdrawals!H129)</f>
        <v/>
      </c>
      <c r="J1122" s="40" t="str">
        <f>IF(Agent06_Withdrawals!A129="","",Agent06_Withdrawals!J129)</f>
        <v/>
      </c>
      <c r="K1122" s="40" t="str">
        <f>IF(Agent06_Withdrawals!A129="","",Agent06_Withdrawals!K129)</f>
        <v/>
      </c>
      <c r="L1122" s="40" t="str">
        <f>IF(G1122="","",IF(D1122-G1122&gt;=System_Config!$B$9,"✅ OK","⚠️ BREACH"))</f>
        <v/>
      </c>
      <c r="M1122" s="40" t="str">
        <f>IFERROR(IF(Agent06_Withdrawals!A129="","",YEAR(Agent06_Withdrawals!D129)),"")</f>
        <v/>
      </c>
    </row>
    <row r="1123" spans="1:13" ht="18" customHeight="1" x14ac:dyDescent="0.25">
      <c r="A1123" s="40" t="str">
        <f>IF(Agent06_Withdrawals!A130="","",Agent06_Withdrawals!A130)</f>
        <v/>
      </c>
      <c r="B1123" s="40" t="str">
        <f ca="1">IF(Agent06_Withdrawals!A130="","","WD"&amp;TEXT(1123-3,"0000")&amp;"-"&amp;TEXT(TODAY(),"YYYYMMDD"))</f>
        <v/>
      </c>
      <c r="C1123" s="40" t="str">
        <f>IF(Agent06_Withdrawals!A130="","",Agent06_Withdrawals!B130)</f>
        <v/>
      </c>
      <c r="D1123" s="43" t="str">
        <f>IF(Agent06_Withdrawals!A130="","",Agent06_Withdrawals!C130)</f>
        <v/>
      </c>
      <c r="E1123" s="41" t="str">
        <f>IF(Agent06_Withdrawals!A130="","",Agent06_Withdrawals!D130)</f>
        <v/>
      </c>
      <c r="F1123" s="40" t="str">
        <f>IF(Agent06_Withdrawals!A130="","",Agent06_Withdrawals!F130)</f>
        <v/>
      </c>
      <c r="G1123" s="42" t="str">
        <f>IF(Agent06_Withdrawals!A130="","",Agent06_Withdrawals!E130)</f>
        <v/>
      </c>
      <c r="H1123" s="42" t="str">
        <f>IF(Agent06_Withdrawals!A130="","",Agent06_Withdrawals!G130)</f>
        <v/>
      </c>
      <c r="I1123" s="40" t="str">
        <f>IF(Agent06_Withdrawals!A130="","",Agent06_Withdrawals!H130)</f>
        <v/>
      </c>
      <c r="J1123" s="40" t="str">
        <f>IF(Agent06_Withdrawals!A130="","",Agent06_Withdrawals!J130)</f>
        <v/>
      </c>
      <c r="K1123" s="40" t="str">
        <f>IF(Agent06_Withdrawals!A130="","",Agent06_Withdrawals!K130)</f>
        <v/>
      </c>
      <c r="L1123" s="40" t="str">
        <f>IF(G1123="","",IF(D1123-G1123&gt;=System_Config!$B$9,"✅ OK","⚠️ BREACH"))</f>
        <v/>
      </c>
      <c r="M1123" s="40" t="str">
        <f>IFERROR(IF(Agent06_Withdrawals!A130="","",YEAR(Agent06_Withdrawals!D130)),"")</f>
        <v/>
      </c>
    </row>
    <row r="1124" spans="1:13" ht="18" customHeight="1" x14ac:dyDescent="0.25">
      <c r="A1124" s="40" t="str">
        <f>IF(Agent06_Withdrawals!A131="","",Agent06_Withdrawals!A131)</f>
        <v/>
      </c>
      <c r="B1124" s="40" t="str">
        <f ca="1">IF(Agent06_Withdrawals!A131="","","WD"&amp;TEXT(1124-3,"0000")&amp;"-"&amp;TEXT(TODAY(),"YYYYMMDD"))</f>
        <v/>
      </c>
      <c r="C1124" s="40" t="str">
        <f>IF(Agent06_Withdrawals!A131="","",Agent06_Withdrawals!B131)</f>
        <v/>
      </c>
      <c r="D1124" s="43" t="str">
        <f>IF(Agent06_Withdrawals!A131="","",Agent06_Withdrawals!C131)</f>
        <v/>
      </c>
      <c r="E1124" s="41" t="str">
        <f>IF(Agent06_Withdrawals!A131="","",Agent06_Withdrawals!D131)</f>
        <v/>
      </c>
      <c r="F1124" s="40" t="str">
        <f>IF(Agent06_Withdrawals!A131="","",Agent06_Withdrawals!F131)</f>
        <v/>
      </c>
      <c r="G1124" s="42" t="str">
        <f>IF(Agent06_Withdrawals!A131="","",Agent06_Withdrawals!E131)</f>
        <v/>
      </c>
      <c r="H1124" s="42" t="str">
        <f>IF(Agent06_Withdrawals!A131="","",Agent06_Withdrawals!G131)</f>
        <v/>
      </c>
      <c r="I1124" s="40" t="str">
        <f>IF(Agent06_Withdrawals!A131="","",Agent06_Withdrawals!H131)</f>
        <v/>
      </c>
      <c r="J1124" s="40" t="str">
        <f>IF(Agent06_Withdrawals!A131="","",Agent06_Withdrawals!J131)</f>
        <v/>
      </c>
      <c r="K1124" s="40" t="str">
        <f>IF(Agent06_Withdrawals!A131="","",Agent06_Withdrawals!K131)</f>
        <v/>
      </c>
      <c r="L1124" s="40" t="str">
        <f>IF(G1124="","",IF(D1124-G1124&gt;=System_Config!$B$9,"✅ OK","⚠️ BREACH"))</f>
        <v/>
      </c>
      <c r="M1124" s="40" t="str">
        <f>IFERROR(IF(Agent06_Withdrawals!A131="","",YEAR(Agent06_Withdrawals!D131)),"")</f>
        <v/>
      </c>
    </row>
    <row r="1125" spans="1:13" ht="18" customHeight="1" x14ac:dyDescent="0.25">
      <c r="A1125" s="40" t="str">
        <f>IF(Agent06_Withdrawals!A132="","",Agent06_Withdrawals!A132)</f>
        <v/>
      </c>
      <c r="B1125" s="40" t="str">
        <f ca="1">IF(Agent06_Withdrawals!A132="","","WD"&amp;TEXT(1125-3,"0000")&amp;"-"&amp;TEXT(TODAY(),"YYYYMMDD"))</f>
        <v/>
      </c>
      <c r="C1125" s="40" t="str">
        <f>IF(Agent06_Withdrawals!A132="","",Agent06_Withdrawals!B132)</f>
        <v/>
      </c>
      <c r="D1125" s="43" t="str">
        <f>IF(Agent06_Withdrawals!A132="","",Agent06_Withdrawals!C132)</f>
        <v/>
      </c>
      <c r="E1125" s="41" t="str">
        <f>IF(Agent06_Withdrawals!A132="","",Agent06_Withdrawals!D132)</f>
        <v/>
      </c>
      <c r="F1125" s="40" t="str">
        <f>IF(Agent06_Withdrawals!A132="","",Agent06_Withdrawals!F132)</f>
        <v/>
      </c>
      <c r="G1125" s="42" t="str">
        <f>IF(Agent06_Withdrawals!A132="","",Agent06_Withdrawals!E132)</f>
        <v/>
      </c>
      <c r="H1125" s="42" t="str">
        <f>IF(Agent06_Withdrawals!A132="","",Agent06_Withdrawals!G132)</f>
        <v/>
      </c>
      <c r="I1125" s="40" t="str">
        <f>IF(Agent06_Withdrawals!A132="","",Agent06_Withdrawals!H132)</f>
        <v/>
      </c>
      <c r="J1125" s="40" t="str">
        <f>IF(Agent06_Withdrawals!A132="","",Agent06_Withdrawals!J132)</f>
        <v/>
      </c>
      <c r="K1125" s="40" t="str">
        <f>IF(Agent06_Withdrawals!A132="","",Agent06_Withdrawals!K132)</f>
        <v/>
      </c>
      <c r="L1125" s="40" t="str">
        <f>IF(G1125="","",IF(D1125-G1125&gt;=System_Config!$B$9,"✅ OK","⚠️ BREACH"))</f>
        <v/>
      </c>
      <c r="M1125" s="40" t="str">
        <f>IFERROR(IF(Agent06_Withdrawals!A132="","",YEAR(Agent06_Withdrawals!D132)),"")</f>
        <v/>
      </c>
    </row>
    <row r="1126" spans="1:13" ht="18" customHeight="1" x14ac:dyDescent="0.25">
      <c r="A1126" s="40" t="str">
        <f>IF(Agent06_Withdrawals!A133="","",Agent06_Withdrawals!A133)</f>
        <v/>
      </c>
      <c r="B1126" s="40" t="str">
        <f ca="1">IF(Agent06_Withdrawals!A133="","","WD"&amp;TEXT(1126-3,"0000")&amp;"-"&amp;TEXT(TODAY(),"YYYYMMDD"))</f>
        <v/>
      </c>
      <c r="C1126" s="40" t="str">
        <f>IF(Agent06_Withdrawals!A133="","",Agent06_Withdrawals!B133)</f>
        <v/>
      </c>
      <c r="D1126" s="43" t="str">
        <f>IF(Agent06_Withdrawals!A133="","",Agent06_Withdrawals!C133)</f>
        <v/>
      </c>
      <c r="E1126" s="41" t="str">
        <f>IF(Agent06_Withdrawals!A133="","",Agent06_Withdrawals!D133)</f>
        <v/>
      </c>
      <c r="F1126" s="40" t="str">
        <f>IF(Agent06_Withdrawals!A133="","",Agent06_Withdrawals!F133)</f>
        <v/>
      </c>
      <c r="G1126" s="42" t="str">
        <f>IF(Agent06_Withdrawals!A133="","",Agent06_Withdrawals!E133)</f>
        <v/>
      </c>
      <c r="H1126" s="42" t="str">
        <f>IF(Agent06_Withdrawals!A133="","",Agent06_Withdrawals!G133)</f>
        <v/>
      </c>
      <c r="I1126" s="40" t="str">
        <f>IF(Agent06_Withdrawals!A133="","",Agent06_Withdrawals!H133)</f>
        <v/>
      </c>
      <c r="J1126" s="40" t="str">
        <f>IF(Agent06_Withdrawals!A133="","",Agent06_Withdrawals!J133)</f>
        <v/>
      </c>
      <c r="K1126" s="40" t="str">
        <f>IF(Agent06_Withdrawals!A133="","",Agent06_Withdrawals!K133)</f>
        <v/>
      </c>
      <c r="L1126" s="40" t="str">
        <f>IF(G1126="","",IF(D1126-G1126&gt;=System_Config!$B$9,"✅ OK","⚠️ BREACH"))</f>
        <v/>
      </c>
      <c r="M1126" s="40" t="str">
        <f>IFERROR(IF(Agent06_Withdrawals!A133="","",YEAR(Agent06_Withdrawals!D133)),"")</f>
        <v/>
      </c>
    </row>
    <row r="1127" spans="1:13" ht="18" customHeight="1" x14ac:dyDescent="0.25">
      <c r="A1127" s="40" t="str">
        <f>IF(Agent06_Withdrawals!A134="","",Agent06_Withdrawals!A134)</f>
        <v/>
      </c>
      <c r="B1127" s="40" t="str">
        <f ca="1">IF(Agent06_Withdrawals!A134="","","WD"&amp;TEXT(1127-3,"0000")&amp;"-"&amp;TEXT(TODAY(),"YYYYMMDD"))</f>
        <v/>
      </c>
      <c r="C1127" s="40" t="str">
        <f>IF(Agent06_Withdrawals!A134="","",Agent06_Withdrawals!B134)</f>
        <v/>
      </c>
      <c r="D1127" s="43" t="str">
        <f>IF(Agent06_Withdrawals!A134="","",Agent06_Withdrawals!C134)</f>
        <v/>
      </c>
      <c r="E1127" s="41" t="str">
        <f>IF(Agent06_Withdrawals!A134="","",Agent06_Withdrawals!D134)</f>
        <v/>
      </c>
      <c r="F1127" s="40" t="str">
        <f>IF(Agent06_Withdrawals!A134="","",Agent06_Withdrawals!F134)</f>
        <v/>
      </c>
      <c r="G1127" s="42" t="str">
        <f>IF(Agent06_Withdrawals!A134="","",Agent06_Withdrawals!E134)</f>
        <v/>
      </c>
      <c r="H1127" s="42" t="str">
        <f>IF(Agent06_Withdrawals!A134="","",Agent06_Withdrawals!G134)</f>
        <v/>
      </c>
      <c r="I1127" s="40" t="str">
        <f>IF(Agent06_Withdrawals!A134="","",Agent06_Withdrawals!H134)</f>
        <v/>
      </c>
      <c r="J1127" s="40" t="str">
        <f>IF(Agent06_Withdrawals!A134="","",Agent06_Withdrawals!J134)</f>
        <v/>
      </c>
      <c r="K1127" s="40" t="str">
        <f>IF(Agent06_Withdrawals!A134="","",Agent06_Withdrawals!K134)</f>
        <v/>
      </c>
      <c r="L1127" s="40" t="str">
        <f>IF(G1127="","",IF(D1127-G1127&gt;=System_Config!$B$9,"✅ OK","⚠️ BREACH"))</f>
        <v/>
      </c>
      <c r="M1127" s="40" t="str">
        <f>IFERROR(IF(Agent06_Withdrawals!A134="","",YEAR(Agent06_Withdrawals!D134)),"")</f>
        <v/>
      </c>
    </row>
    <row r="1128" spans="1:13" ht="18" customHeight="1" x14ac:dyDescent="0.25">
      <c r="A1128" s="40" t="str">
        <f>IF(Agent06_Withdrawals!A135="","",Agent06_Withdrawals!A135)</f>
        <v/>
      </c>
      <c r="B1128" s="40" t="str">
        <f ca="1">IF(Agent06_Withdrawals!A135="","","WD"&amp;TEXT(1128-3,"0000")&amp;"-"&amp;TEXT(TODAY(),"YYYYMMDD"))</f>
        <v/>
      </c>
      <c r="C1128" s="40" t="str">
        <f>IF(Agent06_Withdrawals!A135="","",Agent06_Withdrawals!B135)</f>
        <v/>
      </c>
      <c r="D1128" s="43" t="str">
        <f>IF(Agent06_Withdrawals!A135="","",Agent06_Withdrawals!C135)</f>
        <v/>
      </c>
      <c r="E1128" s="41" t="str">
        <f>IF(Agent06_Withdrawals!A135="","",Agent06_Withdrawals!D135)</f>
        <v/>
      </c>
      <c r="F1128" s="40" t="str">
        <f>IF(Agent06_Withdrawals!A135="","",Agent06_Withdrawals!F135)</f>
        <v/>
      </c>
      <c r="G1128" s="42" t="str">
        <f>IF(Agent06_Withdrawals!A135="","",Agent06_Withdrawals!E135)</f>
        <v/>
      </c>
      <c r="H1128" s="42" t="str">
        <f>IF(Agent06_Withdrawals!A135="","",Agent06_Withdrawals!G135)</f>
        <v/>
      </c>
      <c r="I1128" s="40" t="str">
        <f>IF(Agent06_Withdrawals!A135="","",Agent06_Withdrawals!H135)</f>
        <v/>
      </c>
      <c r="J1128" s="40" t="str">
        <f>IF(Agent06_Withdrawals!A135="","",Agent06_Withdrawals!J135)</f>
        <v/>
      </c>
      <c r="K1128" s="40" t="str">
        <f>IF(Agent06_Withdrawals!A135="","",Agent06_Withdrawals!K135)</f>
        <v/>
      </c>
      <c r="L1128" s="40" t="str">
        <f>IF(G1128="","",IF(D1128-G1128&gt;=System_Config!$B$9,"✅ OK","⚠️ BREACH"))</f>
        <v/>
      </c>
      <c r="M1128" s="40" t="str">
        <f>IFERROR(IF(Agent06_Withdrawals!A135="","",YEAR(Agent06_Withdrawals!D135)),"")</f>
        <v/>
      </c>
    </row>
    <row r="1129" spans="1:13" ht="18" customHeight="1" x14ac:dyDescent="0.25">
      <c r="A1129" s="40" t="str">
        <f>IF(Agent06_Withdrawals!A136="","",Agent06_Withdrawals!A136)</f>
        <v/>
      </c>
      <c r="B1129" s="40" t="str">
        <f ca="1">IF(Agent06_Withdrawals!A136="","","WD"&amp;TEXT(1129-3,"0000")&amp;"-"&amp;TEXT(TODAY(),"YYYYMMDD"))</f>
        <v/>
      </c>
      <c r="C1129" s="40" t="str">
        <f>IF(Agent06_Withdrawals!A136="","",Agent06_Withdrawals!B136)</f>
        <v/>
      </c>
      <c r="D1129" s="43" t="str">
        <f>IF(Agent06_Withdrawals!A136="","",Agent06_Withdrawals!C136)</f>
        <v/>
      </c>
      <c r="E1129" s="41" t="str">
        <f>IF(Agent06_Withdrawals!A136="","",Agent06_Withdrawals!D136)</f>
        <v/>
      </c>
      <c r="F1129" s="40" t="str">
        <f>IF(Agent06_Withdrawals!A136="","",Agent06_Withdrawals!F136)</f>
        <v/>
      </c>
      <c r="G1129" s="42" t="str">
        <f>IF(Agent06_Withdrawals!A136="","",Agent06_Withdrawals!E136)</f>
        <v/>
      </c>
      <c r="H1129" s="42" t="str">
        <f>IF(Agent06_Withdrawals!A136="","",Agent06_Withdrawals!G136)</f>
        <v/>
      </c>
      <c r="I1129" s="40" t="str">
        <f>IF(Agent06_Withdrawals!A136="","",Agent06_Withdrawals!H136)</f>
        <v/>
      </c>
      <c r="J1129" s="40" t="str">
        <f>IF(Agent06_Withdrawals!A136="","",Agent06_Withdrawals!J136)</f>
        <v/>
      </c>
      <c r="K1129" s="40" t="str">
        <f>IF(Agent06_Withdrawals!A136="","",Agent06_Withdrawals!K136)</f>
        <v/>
      </c>
      <c r="L1129" s="40" t="str">
        <f>IF(G1129="","",IF(D1129-G1129&gt;=System_Config!$B$9,"✅ OK","⚠️ BREACH"))</f>
        <v/>
      </c>
      <c r="M1129" s="40" t="str">
        <f>IFERROR(IF(Agent06_Withdrawals!A136="","",YEAR(Agent06_Withdrawals!D136)),"")</f>
        <v/>
      </c>
    </row>
    <row r="1130" spans="1:13" ht="18" customHeight="1" x14ac:dyDescent="0.25">
      <c r="A1130" s="40" t="str">
        <f>IF(Agent06_Withdrawals!A137="","",Agent06_Withdrawals!A137)</f>
        <v/>
      </c>
      <c r="B1130" s="40" t="str">
        <f ca="1">IF(Agent06_Withdrawals!A137="","","WD"&amp;TEXT(1130-3,"0000")&amp;"-"&amp;TEXT(TODAY(),"YYYYMMDD"))</f>
        <v/>
      </c>
      <c r="C1130" s="40" t="str">
        <f>IF(Agent06_Withdrawals!A137="","",Agent06_Withdrawals!B137)</f>
        <v/>
      </c>
      <c r="D1130" s="43" t="str">
        <f>IF(Agent06_Withdrawals!A137="","",Agent06_Withdrawals!C137)</f>
        <v/>
      </c>
      <c r="E1130" s="41" t="str">
        <f>IF(Agent06_Withdrawals!A137="","",Agent06_Withdrawals!D137)</f>
        <v/>
      </c>
      <c r="F1130" s="40" t="str">
        <f>IF(Agent06_Withdrawals!A137="","",Agent06_Withdrawals!F137)</f>
        <v/>
      </c>
      <c r="G1130" s="42" t="str">
        <f>IF(Agent06_Withdrawals!A137="","",Agent06_Withdrawals!E137)</f>
        <v/>
      </c>
      <c r="H1130" s="42" t="str">
        <f>IF(Agent06_Withdrawals!A137="","",Agent06_Withdrawals!G137)</f>
        <v/>
      </c>
      <c r="I1130" s="40" t="str">
        <f>IF(Agent06_Withdrawals!A137="","",Agent06_Withdrawals!H137)</f>
        <v/>
      </c>
      <c r="J1130" s="40" t="str">
        <f>IF(Agent06_Withdrawals!A137="","",Agent06_Withdrawals!J137)</f>
        <v/>
      </c>
      <c r="K1130" s="40" t="str">
        <f>IF(Agent06_Withdrawals!A137="","",Agent06_Withdrawals!K137)</f>
        <v/>
      </c>
      <c r="L1130" s="40" t="str">
        <f>IF(G1130="","",IF(D1130-G1130&gt;=System_Config!$B$9,"✅ OK","⚠️ BREACH"))</f>
        <v/>
      </c>
      <c r="M1130" s="40" t="str">
        <f>IFERROR(IF(Agent06_Withdrawals!A137="","",YEAR(Agent06_Withdrawals!D137)),"")</f>
        <v/>
      </c>
    </row>
    <row r="1131" spans="1:13" ht="18" customHeight="1" x14ac:dyDescent="0.25">
      <c r="A1131" s="40" t="str">
        <f>IF(Agent06_Withdrawals!A138="","",Agent06_Withdrawals!A138)</f>
        <v/>
      </c>
      <c r="B1131" s="40" t="str">
        <f ca="1">IF(Agent06_Withdrawals!A138="","","WD"&amp;TEXT(1131-3,"0000")&amp;"-"&amp;TEXT(TODAY(),"YYYYMMDD"))</f>
        <v/>
      </c>
      <c r="C1131" s="40" t="str">
        <f>IF(Agent06_Withdrawals!A138="","",Agent06_Withdrawals!B138)</f>
        <v/>
      </c>
      <c r="D1131" s="43" t="str">
        <f>IF(Agent06_Withdrawals!A138="","",Agent06_Withdrawals!C138)</f>
        <v/>
      </c>
      <c r="E1131" s="41" t="str">
        <f>IF(Agent06_Withdrawals!A138="","",Agent06_Withdrawals!D138)</f>
        <v/>
      </c>
      <c r="F1131" s="40" t="str">
        <f>IF(Agent06_Withdrawals!A138="","",Agent06_Withdrawals!F138)</f>
        <v/>
      </c>
      <c r="G1131" s="42" t="str">
        <f>IF(Agent06_Withdrawals!A138="","",Agent06_Withdrawals!E138)</f>
        <v/>
      </c>
      <c r="H1131" s="42" t="str">
        <f>IF(Agent06_Withdrawals!A138="","",Agent06_Withdrawals!G138)</f>
        <v/>
      </c>
      <c r="I1131" s="40" t="str">
        <f>IF(Agent06_Withdrawals!A138="","",Agent06_Withdrawals!H138)</f>
        <v/>
      </c>
      <c r="J1131" s="40" t="str">
        <f>IF(Agent06_Withdrawals!A138="","",Agent06_Withdrawals!J138)</f>
        <v/>
      </c>
      <c r="K1131" s="40" t="str">
        <f>IF(Agent06_Withdrawals!A138="","",Agent06_Withdrawals!K138)</f>
        <v/>
      </c>
      <c r="L1131" s="40" t="str">
        <f>IF(G1131="","",IF(D1131-G1131&gt;=System_Config!$B$9,"✅ OK","⚠️ BREACH"))</f>
        <v/>
      </c>
      <c r="M1131" s="40" t="str">
        <f>IFERROR(IF(Agent06_Withdrawals!A138="","",YEAR(Agent06_Withdrawals!D138)),"")</f>
        <v/>
      </c>
    </row>
    <row r="1132" spans="1:13" ht="18" customHeight="1" x14ac:dyDescent="0.25">
      <c r="A1132" s="40" t="str">
        <f>IF(Agent06_Withdrawals!A139="","",Agent06_Withdrawals!A139)</f>
        <v/>
      </c>
      <c r="B1132" s="40" t="str">
        <f ca="1">IF(Agent06_Withdrawals!A139="","","WD"&amp;TEXT(1132-3,"0000")&amp;"-"&amp;TEXT(TODAY(),"YYYYMMDD"))</f>
        <v/>
      </c>
      <c r="C1132" s="40" t="str">
        <f>IF(Agent06_Withdrawals!A139="","",Agent06_Withdrawals!B139)</f>
        <v/>
      </c>
      <c r="D1132" s="43" t="str">
        <f>IF(Agent06_Withdrawals!A139="","",Agent06_Withdrawals!C139)</f>
        <v/>
      </c>
      <c r="E1132" s="41" t="str">
        <f>IF(Agent06_Withdrawals!A139="","",Agent06_Withdrawals!D139)</f>
        <v/>
      </c>
      <c r="F1132" s="40" t="str">
        <f>IF(Agent06_Withdrawals!A139="","",Agent06_Withdrawals!F139)</f>
        <v/>
      </c>
      <c r="G1132" s="42" t="str">
        <f>IF(Agent06_Withdrawals!A139="","",Agent06_Withdrawals!E139)</f>
        <v/>
      </c>
      <c r="H1132" s="42" t="str">
        <f>IF(Agent06_Withdrawals!A139="","",Agent06_Withdrawals!G139)</f>
        <v/>
      </c>
      <c r="I1132" s="40" t="str">
        <f>IF(Agent06_Withdrawals!A139="","",Agent06_Withdrawals!H139)</f>
        <v/>
      </c>
      <c r="J1132" s="40" t="str">
        <f>IF(Agent06_Withdrawals!A139="","",Agent06_Withdrawals!J139)</f>
        <v/>
      </c>
      <c r="K1132" s="40" t="str">
        <f>IF(Agent06_Withdrawals!A139="","",Agent06_Withdrawals!K139)</f>
        <v/>
      </c>
      <c r="L1132" s="40" t="str">
        <f>IF(G1132="","",IF(D1132-G1132&gt;=System_Config!$B$9,"✅ OK","⚠️ BREACH"))</f>
        <v/>
      </c>
      <c r="M1132" s="40" t="str">
        <f>IFERROR(IF(Agent06_Withdrawals!A139="","",YEAR(Agent06_Withdrawals!D139)),"")</f>
        <v/>
      </c>
    </row>
    <row r="1133" spans="1:13" ht="18" customHeight="1" x14ac:dyDescent="0.25">
      <c r="A1133" s="40" t="str">
        <f>IF(Agent06_Withdrawals!A140="","",Agent06_Withdrawals!A140)</f>
        <v/>
      </c>
      <c r="B1133" s="40" t="str">
        <f ca="1">IF(Agent06_Withdrawals!A140="","","WD"&amp;TEXT(1133-3,"0000")&amp;"-"&amp;TEXT(TODAY(),"YYYYMMDD"))</f>
        <v/>
      </c>
      <c r="C1133" s="40" t="str">
        <f>IF(Agent06_Withdrawals!A140="","",Agent06_Withdrawals!B140)</f>
        <v/>
      </c>
      <c r="D1133" s="43" t="str">
        <f>IF(Agent06_Withdrawals!A140="","",Agent06_Withdrawals!C140)</f>
        <v/>
      </c>
      <c r="E1133" s="41" t="str">
        <f>IF(Agent06_Withdrawals!A140="","",Agent06_Withdrawals!D140)</f>
        <v/>
      </c>
      <c r="F1133" s="40" t="str">
        <f>IF(Agent06_Withdrawals!A140="","",Agent06_Withdrawals!F140)</f>
        <v/>
      </c>
      <c r="G1133" s="42" t="str">
        <f>IF(Agent06_Withdrawals!A140="","",Agent06_Withdrawals!E140)</f>
        <v/>
      </c>
      <c r="H1133" s="42" t="str">
        <f>IF(Agent06_Withdrawals!A140="","",Agent06_Withdrawals!G140)</f>
        <v/>
      </c>
      <c r="I1133" s="40" t="str">
        <f>IF(Agent06_Withdrawals!A140="","",Agent06_Withdrawals!H140)</f>
        <v/>
      </c>
      <c r="J1133" s="40" t="str">
        <f>IF(Agent06_Withdrawals!A140="","",Agent06_Withdrawals!J140)</f>
        <v/>
      </c>
      <c r="K1133" s="40" t="str">
        <f>IF(Agent06_Withdrawals!A140="","",Agent06_Withdrawals!K140)</f>
        <v/>
      </c>
      <c r="L1133" s="40" t="str">
        <f>IF(G1133="","",IF(D1133-G1133&gt;=System_Config!$B$9,"✅ OK","⚠️ BREACH"))</f>
        <v/>
      </c>
      <c r="M1133" s="40" t="str">
        <f>IFERROR(IF(Agent06_Withdrawals!A140="","",YEAR(Agent06_Withdrawals!D140)),"")</f>
        <v/>
      </c>
    </row>
    <row r="1134" spans="1:13" ht="18" customHeight="1" x14ac:dyDescent="0.25">
      <c r="A1134" s="40" t="str">
        <f>IF(Agent06_Withdrawals!A141="","",Agent06_Withdrawals!A141)</f>
        <v/>
      </c>
      <c r="B1134" s="40" t="str">
        <f ca="1">IF(Agent06_Withdrawals!A141="","","WD"&amp;TEXT(1134-3,"0000")&amp;"-"&amp;TEXT(TODAY(),"YYYYMMDD"))</f>
        <v/>
      </c>
      <c r="C1134" s="40" t="str">
        <f>IF(Agent06_Withdrawals!A141="","",Agent06_Withdrawals!B141)</f>
        <v/>
      </c>
      <c r="D1134" s="43" t="str">
        <f>IF(Agent06_Withdrawals!A141="","",Agent06_Withdrawals!C141)</f>
        <v/>
      </c>
      <c r="E1134" s="41" t="str">
        <f>IF(Agent06_Withdrawals!A141="","",Agent06_Withdrawals!D141)</f>
        <v/>
      </c>
      <c r="F1134" s="40" t="str">
        <f>IF(Agent06_Withdrawals!A141="","",Agent06_Withdrawals!F141)</f>
        <v/>
      </c>
      <c r="G1134" s="42" t="str">
        <f>IF(Agent06_Withdrawals!A141="","",Agent06_Withdrawals!E141)</f>
        <v/>
      </c>
      <c r="H1134" s="42" t="str">
        <f>IF(Agent06_Withdrawals!A141="","",Agent06_Withdrawals!G141)</f>
        <v/>
      </c>
      <c r="I1134" s="40" t="str">
        <f>IF(Agent06_Withdrawals!A141="","",Agent06_Withdrawals!H141)</f>
        <v/>
      </c>
      <c r="J1134" s="40" t="str">
        <f>IF(Agent06_Withdrawals!A141="","",Agent06_Withdrawals!J141)</f>
        <v/>
      </c>
      <c r="K1134" s="40" t="str">
        <f>IF(Agent06_Withdrawals!A141="","",Agent06_Withdrawals!K141)</f>
        <v/>
      </c>
      <c r="L1134" s="40" t="str">
        <f>IF(G1134="","",IF(D1134-G1134&gt;=System_Config!$B$9,"✅ OK","⚠️ BREACH"))</f>
        <v/>
      </c>
      <c r="M1134" s="40" t="str">
        <f>IFERROR(IF(Agent06_Withdrawals!A141="","",YEAR(Agent06_Withdrawals!D141)),"")</f>
        <v/>
      </c>
    </row>
    <row r="1135" spans="1:13" ht="18" customHeight="1" x14ac:dyDescent="0.25">
      <c r="A1135" s="40" t="str">
        <f>IF(Agent06_Withdrawals!A142="","",Agent06_Withdrawals!A142)</f>
        <v/>
      </c>
      <c r="B1135" s="40" t="str">
        <f ca="1">IF(Agent06_Withdrawals!A142="","","WD"&amp;TEXT(1135-3,"0000")&amp;"-"&amp;TEXT(TODAY(),"YYYYMMDD"))</f>
        <v/>
      </c>
      <c r="C1135" s="40" t="str">
        <f>IF(Agent06_Withdrawals!A142="","",Agent06_Withdrawals!B142)</f>
        <v/>
      </c>
      <c r="D1135" s="43" t="str">
        <f>IF(Agent06_Withdrawals!A142="","",Agent06_Withdrawals!C142)</f>
        <v/>
      </c>
      <c r="E1135" s="41" t="str">
        <f>IF(Agent06_Withdrawals!A142="","",Agent06_Withdrawals!D142)</f>
        <v/>
      </c>
      <c r="F1135" s="40" t="str">
        <f>IF(Agent06_Withdrawals!A142="","",Agent06_Withdrawals!F142)</f>
        <v/>
      </c>
      <c r="G1135" s="42" t="str">
        <f>IF(Agent06_Withdrawals!A142="","",Agent06_Withdrawals!E142)</f>
        <v/>
      </c>
      <c r="H1135" s="42" t="str">
        <f>IF(Agent06_Withdrawals!A142="","",Agent06_Withdrawals!G142)</f>
        <v/>
      </c>
      <c r="I1135" s="40" t="str">
        <f>IF(Agent06_Withdrawals!A142="","",Agent06_Withdrawals!H142)</f>
        <v/>
      </c>
      <c r="J1135" s="40" t="str">
        <f>IF(Agent06_Withdrawals!A142="","",Agent06_Withdrawals!J142)</f>
        <v/>
      </c>
      <c r="K1135" s="40" t="str">
        <f>IF(Agent06_Withdrawals!A142="","",Agent06_Withdrawals!K142)</f>
        <v/>
      </c>
      <c r="L1135" s="40" t="str">
        <f>IF(G1135="","",IF(D1135-G1135&gt;=System_Config!$B$9,"✅ OK","⚠️ BREACH"))</f>
        <v/>
      </c>
      <c r="M1135" s="40" t="str">
        <f>IFERROR(IF(Agent06_Withdrawals!A142="","",YEAR(Agent06_Withdrawals!D142)),"")</f>
        <v/>
      </c>
    </row>
    <row r="1136" spans="1:13" ht="18" customHeight="1" x14ac:dyDescent="0.25">
      <c r="A1136" s="40" t="str">
        <f>IF(Agent06_Withdrawals!A143="","",Agent06_Withdrawals!A143)</f>
        <v/>
      </c>
      <c r="B1136" s="40" t="str">
        <f ca="1">IF(Agent06_Withdrawals!A143="","","WD"&amp;TEXT(1136-3,"0000")&amp;"-"&amp;TEXT(TODAY(),"YYYYMMDD"))</f>
        <v/>
      </c>
      <c r="C1136" s="40" t="str">
        <f>IF(Agent06_Withdrawals!A143="","",Agent06_Withdrawals!B143)</f>
        <v/>
      </c>
      <c r="D1136" s="43" t="str">
        <f>IF(Agent06_Withdrawals!A143="","",Agent06_Withdrawals!C143)</f>
        <v/>
      </c>
      <c r="E1136" s="41" t="str">
        <f>IF(Agent06_Withdrawals!A143="","",Agent06_Withdrawals!D143)</f>
        <v/>
      </c>
      <c r="F1136" s="40" t="str">
        <f>IF(Agent06_Withdrawals!A143="","",Agent06_Withdrawals!F143)</f>
        <v/>
      </c>
      <c r="G1136" s="42" t="str">
        <f>IF(Agent06_Withdrawals!A143="","",Agent06_Withdrawals!E143)</f>
        <v/>
      </c>
      <c r="H1136" s="42" t="str">
        <f>IF(Agent06_Withdrawals!A143="","",Agent06_Withdrawals!G143)</f>
        <v/>
      </c>
      <c r="I1136" s="40" t="str">
        <f>IF(Agent06_Withdrawals!A143="","",Agent06_Withdrawals!H143)</f>
        <v/>
      </c>
      <c r="J1136" s="40" t="str">
        <f>IF(Agent06_Withdrawals!A143="","",Agent06_Withdrawals!J143)</f>
        <v/>
      </c>
      <c r="K1136" s="40" t="str">
        <f>IF(Agent06_Withdrawals!A143="","",Agent06_Withdrawals!K143)</f>
        <v/>
      </c>
      <c r="L1136" s="40" t="str">
        <f>IF(G1136="","",IF(D1136-G1136&gt;=System_Config!$B$9,"✅ OK","⚠️ BREACH"))</f>
        <v/>
      </c>
      <c r="M1136" s="40" t="str">
        <f>IFERROR(IF(Agent06_Withdrawals!A143="","",YEAR(Agent06_Withdrawals!D143)),"")</f>
        <v/>
      </c>
    </row>
    <row r="1137" spans="1:13" ht="18" customHeight="1" x14ac:dyDescent="0.25">
      <c r="A1137" s="40" t="str">
        <f>IF(Agent06_Withdrawals!A144="","",Agent06_Withdrawals!A144)</f>
        <v/>
      </c>
      <c r="B1137" s="40" t="str">
        <f ca="1">IF(Agent06_Withdrawals!A144="","","WD"&amp;TEXT(1137-3,"0000")&amp;"-"&amp;TEXT(TODAY(),"YYYYMMDD"))</f>
        <v/>
      </c>
      <c r="C1137" s="40" t="str">
        <f>IF(Agent06_Withdrawals!A144="","",Agent06_Withdrawals!B144)</f>
        <v/>
      </c>
      <c r="D1137" s="43" t="str">
        <f>IF(Agent06_Withdrawals!A144="","",Agent06_Withdrawals!C144)</f>
        <v/>
      </c>
      <c r="E1137" s="41" t="str">
        <f>IF(Agent06_Withdrawals!A144="","",Agent06_Withdrawals!D144)</f>
        <v/>
      </c>
      <c r="F1137" s="40" t="str">
        <f>IF(Agent06_Withdrawals!A144="","",Agent06_Withdrawals!F144)</f>
        <v/>
      </c>
      <c r="G1137" s="42" t="str">
        <f>IF(Agent06_Withdrawals!A144="","",Agent06_Withdrawals!E144)</f>
        <v/>
      </c>
      <c r="H1137" s="42" t="str">
        <f>IF(Agent06_Withdrawals!A144="","",Agent06_Withdrawals!G144)</f>
        <v/>
      </c>
      <c r="I1137" s="40" t="str">
        <f>IF(Agent06_Withdrawals!A144="","",Agent06_Withdrawals!H144)</f>
        <v/>
      </c>
      <c r="J1137" s="40" t="str">
        <f>IF(Agent06_Withdrawals!A144="","",Agent06_Withdrawals!J144)</f>
        <v/>
      </c>
      <c r="K1137" s="40" t="str">
        <f>IF(Agent06_Withdrawals!A144="","",Agent06_Withdrawals!K144)</f>
        <v/>
      </c>
      <c r="L1137" s="40" t="str">
        <f>IF(G1137="","",IF(D1137-G1137&gt;=System_Config!$B$9,"✅ OK","⚠️ BREACH"))</f>
        <v/>
      </c>
      <c r="M1137" s="40" t="str">
        <f>IFERROR(IF(Agent06_Withdrawals!A144="","",YEAR(Agent06_Withdrawals!D144)),"")</f>
        <v/>
      </c>
    </row>
    <row r="1138" spans="1:13" ht="18" customHeight="1" x14ac:dyDescent="0.25">
      <c r="A1138" s="40" t="str">
        <f>IF(Agent06_Withdrawals!A145="","",Agent06_Withdrawals!A145)</f>
        <v/>
      </c>
      <c r="B1138" s="40" t="str">
        <f ca="1">IF(Agent06_Withdrawals!A145="","","WD"&amp;TEXT(1138-3,"0000")&amp;"-"&amp;TEXT(TODAY(),"YYYYMMDD"))</f>
        <v/>
      </c>
      <c r="C1138" s="40" t="str">
        <f>IF(Agent06_Withdrawals!A145="","",Agent06_Withdrawals!B145)</f>
        <v/>
      </c>
      <c r="D1138" s="43" t="str">
        <f>IF(Agent06_Withdrawals!A145="","",Agent06_Withdrawals!C145)</f>
        <v/>
      </c>
      <c r="E1138" s="41" t="str">
        <f>IF(Agent06_Withdrawals!A145="","",Agent06_Withdrawals!D145)</f>
        <v/>
      </c>
      <c r="F1138" s="40" t="str">
        <f>IF(Agent06_Withdrawals!A145="","",Agent06_Withdrawals!F145)</f>
        <v/>
      </c>
      <c r="G1138" s="42" t="str">
        <f>IF(Agent06_Withdrawals!A145="","",Agent06_Withdrawals!E145)</f>
        <v/>
      </c>
      <c r="H1138" s="42" t="str">
        <f>IF(Agent06_Withdrawals!A145="","",Agent06_Withdrawals!G145)</f>
        <v/>
      </c>
      <c r="I1138" s="40" t="str">
        <f>IF(Agent06_Withdrawals!A145="","",Agent06_Withdrawals!H145)</f>
        <v/>
      </c>
      <c r="J1138" s="40" t="str">
        <f>IF(Agent06_Withdrawals!A145="","",Agent06_Withdrawals!J145)</f>
        <v/>
      </c>
      <c r="K1138" s="40" t="str">
        <f>IF(Agent06_Withdrawals!A145="","",Agent06_Withdrawals!K145)</f>
        <v/>
      </c>
      <c r="L1138" s="40" t="str">
        <f>IF(G1138="","",IF(D1138-G1138&gt;=System_Config!$B$9,"✅ OK","⚠️ BREACH"))</f>
        <v/>
      </c>
      <c r="M1138" s="40" t="str">
        <f>IFERROR(IF(Agent06_Withdrawals!A145="","",YEAR(Agent06_Withdrawals!D145)),"")</f>
        <v/>
      </c>
    </row>
    <row r="1139" spans="1:13" ht="18" customHeight="1" x14ac:dyDescent="0.25">
      <c r="A1139" s="40" t="str">
        <f>IF(Agent06_Withdrawals!A146="","",Agent06_Withdrawals!A146)</f>
        <v/>
      </c>
      <c r="B1139" s="40" t="str">
        <f ca="1">IF(Agent06_Withdrawals!A146="","","WD"&amp;TEXT(1139-3,"0000")&amp;"-"&amp;TEXT(TODAY(),"YYYYMMDD"))</f>
        <v/>
      </c>
      <c r="C1139" s="40" t="str">
        <f>IF(Agent06_Withdrawals!A146="","",Agent06_Withdrawals!B146)</f>
        <v/>
      </c>
      <c r="D1139" s="43" t="str">
        <f>IF(Agent06_Withdrawals!A146="","",Agent06_Withdrawals!C146)</f>
        <v/>
      </c>
      <c r="E1139" s="41" t="str">
        <f>IF(Agent06_Withdrawals!A146="","",Agent06_Withdrawals!D146)</f>
        <v/>
      </c>
      <c r="F1139" s="40" t="str">
        <f>IF(Agent06_Withdrawals!A146="","",Agent06_Withdrawals!F146)</f>
        <v/>
      </c>
      <c r="G1139" s="42" t="str">
        <f>IF(Agent06_Withdrawals!A146="","",Agent06_Withdrawals!E146)</f>
        <v/>
      </c>
      <c r="H1139" s="42" t="str">
        <f>IF(Agent06_Withdrawals!A146="","",Agent06_Withdrawals!G146)</f>
        <v/>
      </c>
      <c r="I1139" s="40" t="str">
        <f>IF(Agent06_Withdrawals!A146="","",Agent06_Withdrawals!H146)</f>
        <v/>
      </c>
      <c r="J1139" s="40" t="str">
        <f>IF(Agent06_Withdrawals!A146="","",Agent06_Withdrawals!J146)</f>
        <v/>
      </c>
      <c r="K1139" s="40" t="str">
        <f>IF(Agent06_Withdrawals!A146="","",Agent06_Withdrawals!K146)</f>
        <v/>
      </c>
      <c r="L1139" s="40" t="str">
        <f>IF(G1139="","",IF(D1139-G1139&gt;=System_Config!$B$9,"✅ OK","⚠️ BREACH"))</f>
        <v/>
      </c>
      <c r="M1139" s="40" t="str">
        <f>IFERROR(IF(Agent06_Withdrawals!A146="","",YEAR(Agent06_Withdrawals!D146)),"")</f>
        <v/>
      </c>
    </row>
    <row r="1140" spans="1:13" ht="18" customHeight="1" x14ac:dyDescent="0.25">
      <c r="A1140" s="40" t="str">
        <f>IF(Agent06_Withdrawals!A147="","",Agent06_Withdrawals!A147)</f>
        <v/>
      </c>
      <c r="B1140" s="40" t="str">
        <f ca="1">IF(Agent06_Withdrawals!A147="","","WD"&amp;TEXT(1140-3,"0000")&amp;"-"&amp;TEXT(TODAY(),"YYYYMMDD"))</f>
        <v/>
      </c>
      <c r="C1140" s="40" t="str">
        <f>IF(Agent06_Withdrawals!A147="","",Agent06_Withdrawals!B147)</f>
        <v/>
      </c>
      <c r="D1140" s="43" t="str">
        <f>IF(Agent06_Withdrawals!A147="","",Agent06_Withdrawals!C147)</f>
        <v/>
      </c>
      <c r="E1140" s="41" t="str">
        <f>IF(Agent06_Withdrawals!A147="","",Agent06_Withdrawals!D147)</f>
        <v/>
      </c>
      <c r="F1140" s="40" t="str">
        <f>IF(Agent06_Withdrawals!A147="","",Agent06_Withdrawals!F147)</f>
        <v/>
      </c>
      <c r="G1140" s="42" t="str">
        <f>IF(Agent06_Withdrawals!A147="","",Agent06_Withdrawals!E147)</f>
        <v/>
      </c>
      <c r="H1140" s="42" t="str">
        <f>IF(Agent06_Withdrawals!A147="","",Agent06_Withdrawals!G147)</f>
        <v/>
      </c>
      <c r="I1140" s="40" t="str">
        <f>IF(Agent06_Withdrawals!A147="","",Agent06_Withdrawals!H147)</f>
        <v/>
      </c>
      <c r="J1140" s="40" t="str">
        <f>IF(Agent06_Withdrawals!A147="","",Agent06_Withdrawals!J147)</f>
        <v/>
      </c>
      <c r="K1140" s="40" t="str">
        <f>IF(Agent06_Withdrawals!A147="","",Agent06_Withdrawals!K147)</f>
        <v/>
      </c>
      <c r="L1140" s="40" t="str">
        <f>IF(G1140="","",IF(D1140-G1140&gt;=System_Config!$B$9,"✅ OK","⚠️ BREACH"))</f>
        <v/>
      </c>
      <c r="M1140" s="40" t="str">
        <f>IFERROR(IF(Agent06_Withdrawals!A147="","",YEAR(Agent06_Withdrawals!D147)),"")</f>
        <v/>
      </c>
    </row>
    <row r="1141" spans="1:13" ht="18" customHeight="1" x14ac:dyDescent="0.25">
      <c r="A1141" s="40" t="str">
        <f>IF(Agent06_Withdrawals!A148="","",Agent06_Withdrawals!A148)</f>
        <v/>
      </c>
      <c r="B1141" s="40" t="str">
        <f ca="1">IF(Agent06_Withdrawals!A148="","","WD"&amp;TEXT(1141-3,"0000")&amp;"-"&amp;TEXT(TODAY(),"YYYYMMDD"))</f>
        <v/>
      </c>
      <c r="C1141" s="40" t="str">
        <f>IF(Agent06_Withdrawals!A148="","",Agent06_Withdrawals!B148)</f>
        <v/>
      </c>
      <c r="D1141" s="43" t="str">
        <f>IF(Agent06_Withdrawals!A148="","",Agent06_Withdrawals!C148)</f>
        <v/>
      </c>
      <c r="E1141" s="41" t="str">
        <f>IF(Agent06_Withdrawals!A148="","",Agent06_Withdrawals!D148)</f>
        <v/>
      </c>
      <c r="F1141" s="40" t="str">
        <f>IF(Agent06_Withdrawals!A148="","",Agent06_Withdrawals!F148)</f>
        <v/>
      </c>
      <c r="G1141" s="42" t="str">
        <f>IF(Agent06_Withdrawals!A148="","",Agent06_Withdrawals!E148)</f>
        <v/>
      </c>
      <c r="H1141" s="42" t="str">
        <f>IF(Agent06_Withdrawals!A148="","",Agent06_Withdrawals!G148)</f>
        <v/>
      </c>
      <c r="I1141" s="40" t="str">
        <f>IF(Agent06_Withdrawals!A148="","",Agent06_Withdrawals!H148)</f>
        <v/>
      </c>
      <c r="J1141" s="40" t="str">
        <f>IF(Agent06_Withdrawals!A148="","",Agent06_Withdrawals!J148)</f>
        <v/>
      </c>
      <c r="K1141" s="40" t="str">
        <f>IF(Agent06_Withdrawals!A148="","",Agent06_Withdrawals!K148)</f>
        <v/>
      </c>
      <c r="L1141" s="40" t="str">
        <f>IF(G1141="","",IF(D1141-G1141&gt;=System_Config!$B$9,"✅ OK","⚠️ BREACH"))</f>
        <v/>
      </c>
      <c r="M1141" s="40" t="str">
        <f>IFERROR(IF(Agent06_Withdrawals!A148="","",YEAR(Agent06_Withdrawals!D148)),"")</f>
        <v/>
      </c>
    </row>
    <row r="1142" spans="1:13" ht="18" customHeight="1" x14ac:dyDescent="0.25">
      <c r="A1142" s="40" t="str">
        <f>IF(Agent06_Withdrawals!A149="","",Agent06_Withdrawals!A149)</f>
        <v/>
      </c>
      <c r="B1142" s="40" t="str">
        <f ca="1">IF(Agent06_Withdrawals!A149="","","WD"&amp;TEXT(1142-3,"0000")&amp;"-"&amp;TEXT(TODAY(),"YYYYMMDD"))</f>
        <v/>
      </c>
      <c r="C1142" s="40" t="str">
        <f>IF(Agent06_Withdrawals!A149="","",Agent06_Withdrawals!B149)</f>
        <v/>
      </c>
      <c r="D1142" s="43" t="str">
        <f>IF(Agent06_Withdrawals!A149="","",Agent06_Withdrawals!C149)</f>
        <v/>
      </c>
      <c r="E1142" s="41" t="str">
        <f>IF(Agent06_Withdrawals!A149="","",Agent06_Withdrawals!D149)</f>
        <v/>
      </c>
      <c r="F1142" s="40" t="str">
        <f>IF(Agent06_Withdrawals!A149="","",Agent06_Withdrawals!F149)</f>
        <v/>
      </c>
      <c r="G1142" s="42" t="str">
        <f>IF(Agent06_Withdrawals!A149="","",Agent06_Withdrawals!E149)</f>
        <v/>
      </c>
      <c r="H1142" s="42" t="str">
        <f>IF(Agent06_Withdrawals!A149="","",Agent06_Withdrawals!G149)</f>
        <v/>
      </c>
      <c r="I1142" s="40" t="str">
        <f>IF(Agent06_Withdrawals!A149="","",Agent06_Withdrawals!H149)</f>
        <v/>
      </c>
      <c r="J1142" s="40" t="str">
        <f>IF(Agent06_Withdrawals!A149="","",Agent06_Withdrawals!J149)</f>
        <v/>
      </c>
      <c r="K1142" s="40" t="str">
        <f>IF(Agent06_Withdrawals!A149="","",Agent06_Withdrawals!K149)</f>
        <v/>
      </c>
      <c r="L1142" s="40" t="str">
        <f>IF(G1142="","",IF(D1142-G1142&gt;=System_Config!$B$9,"✅ OK","⚠️ BREACH"))</f>
        <v/>
      </c>
      <c r="M1142" s="40" t="str">
        <f>IFERROR(IF(Agent06_Withdrawals!A149="","",YEAR(Agent06_Withdrawals!D149)),"")</f>
        <v/>
      </c>
    </row>
    <row r="1143" spans="1:13" ht="18" customHeight="1" x14ac:dyDescent="0.25">
      <c r="A1143" s="40" t="str">
        <f>IF(Agent06_Withdrawals!A150="","",Agent06_Withdrawals!A150)</f>
        <v/>
      </c>
      <c r="B1143" s="40" t="str">
        <f ca="1">IF(Agent06_Withdrawals!A150="","","WD"&amp;TEXT(1143-3,"0000")&amp;"-"&amp;TEXT(TODAY(),"YYYYMMDD"))</f>
        <v/>
      </c>
      <c r="C1143" s="40" t="str">
        <f>IF(Agent06_Withdrawals!A150="","",Agent06_Withdrawals!B150)</f>
        <v/>
      </c>
      <c r="D1143" s="43" t="str">
        <f>IF(Agent06_Withdrawals!A150="","",Agent06_Withdrawals!C150)</f>
        <v/>
      </c>
      <c r="E1143" s="41" t="str">
        <f>IF(Agent06_Withdrawals!A150="","",Agent06_Withdrawals!D150)</f>
        <v/>
      </c>
      <c r="F1143" s="40" t="str">
        <f>IF(Agent06_Withdrawals!A150="","",Agent06_Withdrawals!F150)</f>
        <v/>
      </c>
      <c r="G1143" s="42" t="str">
        <f>IF(Agent06_Withdrawals!A150="","",Agent06_Withdrawals!E150)</f>
        <v/>
      </c>
      <c r="H1143" s="42" t="str">
        <f>IF(Agent06_Withdrawals!A150="","",Agent06_Withdrawals!G150)</f>
        <v/>
      </c>
      <c r="I1143" s="40" t="str">
        <f>IF(Agent06_Withdrawals!A150="","",Agent06_Withdrawals!H150)</f>
        <v/>
      </c>
      <c r="J1143" s="40" t="str">
        <f>IF(Agent06_Withdrawals!A150="","",Agent06_Withdrawals!J150)</f>
        <v/>
      </c>
      <c r="K1143" s="40" t="str">
        <f>IF(Agent06_Withdrawals!A150="","",Agent06_Withdrawals!K150)</f>
        <v/>
      </c>
      <c r="L1143" s="40" t="str">
        <f>IF(G1143="","",IF(D1143-G1143&gt;=System_Config!$B$9,"✅ OK","⚠️ BREACH"))</f>
        <v/>
      </c>
      <c r="M1143" s="40" t="str">
        <f>IFERROR(IF(Agent06_Withdrawals!A150="","",YEAR(Agent06_Withdrawals!D150)),"")</f>
        <v/>
      </c>
    </row>
    <row r="1144" spans="1:13" ht="18" customHeight="1" x14ac:dyDescent="0.25">
      <c r="A1144" s="40" t="str">
        <f>IF(Agent06_Withdrawals!A151="","",Agent06_Withdrawals!A151)</f>
        <v/>
      </c>
      <c r="B1144" s="40" t="str">
        <f ca="1">IF(Agent06_Withdrawals!A151="","","WD"&amp;TEXT(1144-3,"0000")&amp;"-"&amp;TEXT(TODAY(),"YYYYMMDD"))</f>
        <v/>
      </c>
      <c r="C1144" s="40" t="str">
        <f>IF(Agent06_Withdrawals!A151="","",Agent06_Withdrawals!B151)</f>
        <v/>
      </c>
      <c r="D1144" s="43" t="str">
        <f>IF(Agent06_Withdrawals!A151="","",Agent06_Withdrawals!C151)</f>
        <v/>
      </c>
      <c r="E1144" s="41" t="str">
        <f>IF(Agent06_Withdrawals!A151="","",Agent06_Withdrawals!D151)</f>
        <v/>
      </c>
      <c r="F1144" s="40" t="str">
        <f>IF(Agent06_Withdrawals!A151="","",Agent06_Withdrawals!F151)</f>
        <v/>
      </c>
      <c r="G1144" s="42" t="str">
        <f>IF(Agent06_Withdrawals!A151="","",Agent06_Withdrawals!E151)</f>
        <v/>
      </c>
      <c r="H1144" s="42" t="str">
        <f>IF(Agent06_Withdrawals!A151="","",Agent06_Withdrawals!G151)</f>
        <v/>
      </c>
      <c r="I1144" s="40" t="str">
        <f>IF(Agent06_Withdrawals!A151="","",Agent06_Withdrawals!H151)</f>
        <v/>
      </c>
      <c r="J1144" s="40" t="str">
        <f>IF(Agent06_Withdrawals!A151="","",Agent06_Withdrawals!J151)</f>
        <v/>
      </c>
      <c r="K1144" s="40" t="str">
        <f>IF(Agent06_Withdrawals!A151="","",Agent06_Withdrawals!K151)</f>
        <v/>
      </c>
      <c r="L1144" s="40" t="str">
        <f>IF(G1144="","",IF(D1144-G1144&gt;=System_Config!$B$9,"✅ OK","⚠️ BREACH"))</f>
        <v/>
      </c>
      <c r="M1144" s="40" t="str">
        <f>IFERROR(IF(Agent06_Withdrawals!A151="","",YEAR(Agent06_Withdrawals!D151)),"")</f>
        <v/>
      </c>
    </row>
    <row r="1145" spans="1:13" ht="18" customHeight="1" x14ac:dyDescent="0.25">
      <c r="A1145" s="40" t="str">
        <f>IF(Agent06_Withdrawals!A152="","",Agent06_Withdrawals!A152)</f>
        <v/>
      </c>
      <c r="B1145" s="40" t="str">
        <f ca="1">IF(Agent06_Withdrawals!A152="","","WD"&amp;TEXT(1145-3,"0000")&amp;"-"&amp;TEXT(TODAY(),"YYYYMMDD"))</f>
        <v/>
      </c>
      <c r="C1145" s="40" t="str">
        <f>IF(Agent06_Withdrawals!A152="","",Agent06_Withdrawals!B152)</f>
        <v/>
      </c>
      <c r="D1145" s="43" t="str">
        <f>IF(Agent06_Withdrawals!A152="","",Agent06_Withdrawals!C152)</f>
        <v/>
      </c>
      <c r="E1145" s="41" t="str">
        <f>IF(Agent06_Withdrawals!A152="","",Agent06_Withdrawals!D152)</f>
        <v/>
      </c>
      <c r="F1145" s="40" t="str">
        <f>IF(Agent06_Withdrawals!A152="","",Agent06_Withdrawals!F152)</f>
        <v/>
      </c>
      <c r="G1145" s="42" t="str">
        <f>IF(Agent06_Withdrawals!A152="","",Agent06_Withdrawals!E152)</f>
        <v/>
      </c>
      <c r="H1145" s="42" t="str">
        <f>IF(Agent06_Withdrawals!A152="","",Agent06_Withdrawals!G152)</f>
        <v/>
      </c>
      <c r="I1145" s="40" t="str">
        <f>IF(Agent06_Withdrawals!A152="","",Agent06_Withdrawals!H152)</f>
        <v/>
      </c>
      <c r="J1145" s="40" t="str">
        <f>IF(Agent06_Withdrawals!A152="","",Agent06_Withdrawals!J152)</f>
        <v/>
      </c>
      <c r="K1145" s="40" t="str">
        <f>IF(Agent06_Withdrawals!A152="","",Agent06_Withdrawals!K152)</f>
        <v/>
      </c>
      <c r="L1145" s="40" t="str">
        <f>IF(G1145="","",IF(D1145-G1145&gt;=System_Config!$B$9,"✅ OK","⚠️ BREACH"))</f>
        <v/>
      </c>
      <c r="M1145" s="40" t="str">
        <f>IFERROR(IF(Agent06_Withdrawals!A152="","",YEAR(Agent06_Withdrawals!D152)),"")</f>
        <v/>
      </c>
    </row>
    <row r="1146" spans="1:13" ht="18" customHeight="1" x14ac:dyDescent="0.25">
      <c r="A1146" s="40" t="str">
        <f>IF(Agent06_Withdrawals!A153="","",Agent06_Withdrawals!A153)</f>
        <v/>
      </c>
      <c r="B1146" s="40" t="str">
        <f ca="1">IF(Agent06_Withdrawals!A153="","","WD"&amp;TEXT(1146-3,"0000")&amp;"-"&amp;TEXT(TODAY(),"YYYYMMDD"))</f>
        <v/>
      </c>
      <c r="C1146" s="40" t="str">
        <f>IF(Agent06_Withdrawals!A153="","",Agent06_Withdrawals!B153)</f>
        <v/>
      </c>
      <c r="D1146" s="43" t="str">
        <f>IF(Agent06_Withdrawals!A153="","",Agent06_Withdrawals!C153)</f>
        <v/>
      </c>
      <c r="E1146" s="41" t="str">
        <f>IF(Agent06_Withdrawals!A153="","",Agent06_Withdrawals!D153)</f>
        <v/>
      </c>
      <c r="F1146" s="40" t="str">
        <f>IF(Agent06_Withdrawals!A153="","",Agent06_Withdrawals!F153)</f>
        <v/>
      </c>
      <c r="G1146" s="42" t="str">
        <f>IF(Agent06_Withdrawals!A153="","",Agent06_Withdrawals!E153)</f>
        <v/>
      </c>
      <c r="H1146" s="42" t="str">
        <f>IF(Agent06_Withdrawals!A153="","",Agent06_Withdrawals!G153)</f>
        <v/>
      </c>
      <c r="I1146" s="40" t="str">
        <f>IF(Agent06_Withdrawals!A153="","",Agent06_Withdrawals!H153)</f>
        <v/>
      </c>
      <c r="J1146" s="40" t="str">
        <f>IF(Agent06_Withdrawals!A153="","",Agent06_Withdrawals!J153)</f>
        <v/>
      </c>
      <c r="K1146" s="40" t="str">
        <f>IF(Agent06_Withdrawals!A153="","",Agent06_Withdrawals!K153)</f>
        <v/>
      </c>
      <c r="L1146" s="40" t="str">
        <f>IF(G1146="","",IF(D1146-G1146&gt;=System_Config!$B$9,"✅ OK","⚠️ BREACH"))</f>
        <v/>
      </c>
      <c r="M1146" s="40" t="str">
        <f>IFERROR(IF(Agent06_Withdrawals!A153="","",YEAR(Agent06_Withdrawals!D153)),"")</f>
        <v/>
      </c>
    </row>
    <row r="1147" spans="1:13" ht="18" customHeight="1" x14ac:dyDescent="0.25">
      <c r="A1147" s="40" t="str">
        <f>IF(Agent06_Withdrawals!A154="","",Agent06_Withdrawals!A154)</f>
        <v/>
      </c>
      <c r="B1147" s="40" t="str">
        <f ca="1">IF(Agent06_Withdrawals!A154="","","WD"&amp;TEXT(1147-3,"0000")&amp;"-"&amp;TEXT(TODAY(),"YYYYMMDD"))</f>
        <v/>
      </c>
      <c r="C1147" s="40" t="str">
        <f>IF(Agent06_Withdrawals!A154="","",Agent06_Withdrawals!B154)</f>
        <v/>
      </c>
      <c r="D1147" s="43" t="str">
        <f>IF(Agent06_Withdrawals!A154="","",Agent06_Withdrawals!C154)</f>
        <v/>
      </c>
      <c r="E1147" s="41" t="str">
        <f>IF(Agent06_Withdrawals!A154="","",Agent06_Withdrawals!D154)</f>
        <v/>
      </c>
      <c r="F1147" s="40" t="str">
        <f>IF(Agent06_Withdrawals!A154="","",Agent06_Withdrawals!F154)</f>
        <v/>
      </c>
      <c r="G1147" s="42" t="str">
        <f>IF(Agent06_Withdrawals!A154="","",Agent06_Withdrawals!E154)</f>
        <v/>
      </c>
      <c r="H1147" s="42" t="str">
        <f>IF(Agent06_Withdrawals!A154="","",Agent06_Withdrawals!G154)</f>
        <v/>
      </c>
      <c r="I1147" s="40" t="str">
        <f>IF(Agent06_Withdrawals!A154="","",Agent06_Withdrawals!H154)</f>
        <v/>
      </c>
      <c r="J1147" s="40" t="str">
        <f>IF(Agent06_Withdrawals!A154="","",Agent06_Withdrawals!J154)</f>
        <v/>
      </c>
      <c r="K1147" s="40" t="str">
        <f>IF(Agent06_Withdrawals!A154="","",Agent06_Withdrawals!K154)</f>
        <v/>
      </c>
      <c r="L1147" s="40" t="str">
        <f>IF(G1147="","",IF(D1147-G1147&gt;=System_Config!$B$9,"✅ OK","⚠️ BREACH"))</f>
        <v/>
      </c>
      <c r="M1147" s="40" t="str">
        <f>IFERROR(IF(Agent06_Withdrawals!A154="","",YEAR(Agent06_Withdrawals!D154)),"")</f>
        <v/>
      </c>
    </row>
    <row r="1148" spans="1:13" ht="18" customHeight="1" x14ac:dyDescent="0.25">
      <c r="A1148" s="40" t="str">
        <f>IF(Agent06_Withdrawals!A155="","",Agent06_Withdrawals!A155)</f>
        <v/>
      </c>
      <c r="B1148" s="40" t="str">
        <f ca="1">IF(Agent06_Withdrawals!A155="","","WD"&amp;TEXT(1148-3,"0000")&amp;"-"&amp;TEXT(TODAY(),"YYYYMMDD"))</f>
        <v/>
      </c>
      <c r="C1148" s="40" t="str">
        <f>IF(Agent06_Withdrawals!A155="","",Agent06_Withdrawals!B155)</f>
        <v/>
      </c>
      <c r="D1148" s="43" t="str">
        <f>IF(Agent06_Withdrawals!A155="","",Agent06_Withdrawals!C155)</f>
        <v/>
      </c>
      <c r="E1148" s="41" t="str">
        <f>IF(Agent06_Withdrawals!A155="","",Agent06_Withdrawals!D155)</f>
        <v/>
      </c>
      <c r="F1148" s="40" t="str">
        <f>IF(Agent06_Withdrawals!A155="","",Agent06_Withdrawals!F155)</f>
        <v/>
      </c>
      <c r="G1148" s="42" t="str">
        <f>IF(Agent06_Withdrawals!A155="","",Agent06_Withdrawals!E155)</f>
        <v/>
      </c>
      <c r="H1148" s="42" t="str">
        <f>IF(Agent06_Withdrawals!A155="","",Agent06_Withdrawals!G155)</f>
        <v/>
      </c>
      <c r="I1148" s="40" t="str">
        <f>IF(Agent06_Withdrawals!A155="","",Agent06_Withdrawals!H155)</f>
        <v/>
      </c>
      <c r="J1148" s="40" t="str">
        <f>IF(Agent06_Withdrawals!A155="","",Agent06_Withdrawals!J155)</f>
        <v/>
      </c>
      <c r="K1148" s="40" t="str">
        <f>IF(Agent06_Withdrawals!A155="","",Agent06_Withdrawals!K155)</f>
        <v/>
      </c>
      <c r="L1148" s="40" t="str">
        <f>IF(G1148="","",IF(D1148-G1148&gt;=System_Config!$B$9,"✅ OK","⚠️ BREACH"))</f>
        <v/>
      </c>
      <c r="M1148" s="40" t="str">
        <f>IFERROR(IF(Agent06_Withdrawals!A155="","",YEAR(Agent06_Withdrawals!D155)),"")</f>
        <v/>
      </c>
    </row>
    <row r="1149" spans="1:13" ht="18" customHeight="1" x14ac:dyDescent="0.25">
      <c r="A1149" s="40" t="str">
        <f>IF(Agent06_Withdrawals!A156="","",Agent06_Withdrawals!A156)</f>
        <v/>
      </c>
      <c r="B1149" s="40" t="str">
        <f ca="1">IF(Agent06_Withdrawals!A156="","","WD"&amp;TEXT(1149-3,"0000")&amp;"-"&amp;TEXT(TODAY(),"YYYYMMDD"))</f>
        <v/>
      </c>
      <c r="C1149" s="40" t="str">
        <f>IF(Agent06_Withdrawals!A156="","",Agent06_Withdrawals!B156)</f>
        <v/>
      </c>
      <c r="D1149" s="43" t="str">
        <f>IF(Agent06_Withdrawals!A156="","",Agent06_Withdrawals!C156)</f>
        <v/>
      </c>
      <c r="E1149" s="41" t="str">
        <f>IF(Agent06_Withdrawals!A156="","",Agent06_Withdrawals!D156)</f>
        <v/>
      </c>
      <c r="F1149" s="40" t="str">
        <f>IF(Agent06_Withdrawals!A156="","",Agent06_Withdrawals!F156)</f>
        <v/>
      </c>
      <c r="G1149" s="42" t="str">
        <f>IF(Agent06_Withdrawals!A156="","",Agent06_Withdrawals!E156)</f>
        <v/>
      </c>
      <c r="H1149" s="42" t="str">
        <f>IF(Agent06_Withdrawals!A156="","",Agent06_Withdrawals!G156)</f>
        <v/>
      </c>
      <c r="I1149" s="40" t="str">
        <f>IF(Agent06_Withdrawals!A156="","",Agent06_Withdrawals!H156)</f>
        <v/>
      </c>
      <c r="J1149" s="40" t="str">
        <f>IF(Agent06_Withdrawals!A156="","",Agent06_Withdrawals!J156)</f>
        <v/>
      </c>
      <c r="K1149" s="40" t="str">
        <f>IF(Agent06_Withdrawals!A156="","",Agent06_Withdrawals!K156)</f>
        <v/>
      </c>
      <c r="L1149" s="40" t="str">
        <f>IF(G1149="","",IF(D1149-G1149&gt;=System_Config!$B$9,"✅ OK","⚠️ BREACH"))</f>
        <v/>
      </c>
      <c r="M1149" s="40" t="str">
        <f>IFERROR(IF(Agent06_Withdrawals!A156="","",YEAR(Agent06_Withdrawals!D156)),"")</f>
        <v/>
      </c>
    </row>
    <row r="1150" spans="1:13" ht="18" customHeight="1" x14ac:dyDescent="0.25">
      <c r="A1150" s="40" t="str">
        <f>IF(Agent06_Withdrawals!A157="","",Agent06_Withdrawals!A157)</f>
        <v/>
      </c>
      <c r="B1150" s="40" t="str">
        <f ca="1">IF(Agent06_Withdrawals!A157="","","WD"&amp;TEXT(1150-3,"0000")&amp;"-"&amp;TEXT(TODAY(),"YYYYMMDD"))</f>
        <v/>
      </c>
      <c r="C1150" s="40" t="str">
        <f>IF(Agent06_Withdrawals!A157="","",Agent06_Withdrawals!B157)</f>
        <v/>
      </c>
      <c r="D1150" s="43" t="str">
        <f>IF(Agent06_Withdrawals!A157="","",Agent06_Withdrawals!C157)</f>
        <v/>
      </c>
      <c r="E1150" s="41" t="str">
        <f>IF(Agent06_Withdrawals!A157="","",Agent06_Withdrawals!D157)</f>
        <v/>
      </c>
      <c r="F1150" s="40" t="str">
        <f>IF(Agent06_Withdrawals!A157="","",Agent06_Withdrawals!F157)</f>
        <v/>
      </c>
      <c r="G1150" s="42" t="str">
        <f>IF(Agent06_Withdrawals!A157="","",Agent06_Withdrawals!E157)</f>
        <v/>
      </c>
      <c r="H1150" s="42" t="str">
        <f>IF(Agent06_Withdrawals!A157="","",Agent06_Withdrawals!G157)</f>
        <v/>
      </c>
      <c r="I1150" s="40" t="str">
        <f>IF(Agent06_Withdrawals!A157="","",Agent06_Withdrawals!H157)</f>
        <v/>
      </c>
      <c r="J1150" s="40" t="str">
        <f>IF(Agent06_Withdrawals!A157="","",Agent06_Withdrawals!J157)</f>
        <v/>
      </c>
      <c r="K1150" s="40" t="str">
        <f>IF(Agent06_Withdrawals!A157="","",Agent06_Withdrawals!K157)</f>
        <v/>
      </c>
      <c r="L1150" s="40" t="str">
        <f>IF(G1150="","",IF(D1150-G1150&gt;=System_Config!$B$9,"✅ OK","⚠️ BREACH"))</f>
        <v/>
      </c>
      <c r="M1150" s="40" t="str">
        <f>IFERROR(IF(Agent06_Withdrawals!A157="","",YEAR(Agent06_Withdrawals!D157)),"")</f>
        <v/>
      </c>
    </row>
    <row r="1151" spans="1:13" ht="18" customHeight="1" x14ac:dyDescent="0.25">
      <c r="A1151" s="40" t="str">
        <f>IF(Agent06_Withdrawals!A158="","",Agent06_Withdrawals!A158)</f>
        <v/>
      </c>
      <c r="B1151" s="40" t="str">
        <f ca="1">IF(Agent06_Withdrawals!A158="","","WD"&amp;TEXT(1151-3,"0000")&amp;"-"&amp;TEXT(TODAY(),"YYYYMMDD"))</f>
        <v/>
      </c>
      <c r="C1151" s="40" t="str">
        <f>IF(Agent06_Withdrawals!A158="","",Agent06_Withdrawals!B158)</f>
        <v/>
      </c>
      <c r="D1151" s="43" t="str">
        <f>IF(Agent06_Withdrawals!A158="","",Agent06_Withdrawals!C158)</f>
        <v/>
      </c>
      <c r="E1151" s="41" t="str">
        <f>IF(Agent06_Withdrawals!A158="","",Agent06_Withdrawals!D158)</f>
        <v/>
      </c>
      <c r="F1151" s="40" t="str">
        <f>IF(Agent06_Withdrawals!A158="","",Agent06_Withdrawals!F158)</f>
        <v/>
      </c>
      <c r="G1151" s="42" t="str">
        <f>IF(Agent06_Withdrawals!A158="","",Agent06_Withdrawals!E158)</f>
        <v/>
      </c>
      <c r="H1151" s="42" t="str">
        <f>IF(Agent06_Withdrawals!A158="","",Agent06_Withdrawals!G158)</f>
        <v/>
      </c>
      <c r="I1151" s="40" t="str">
        <f>IF(Agent06_Withdrawals!A158="","",Agent06_Withdrawals!H158)</f>
        <v/>
      </c>
      <c r="J1151" s="40" t="str">
        <f>IF(Agent06_Withdrawals!A158="","",Agent06_Withdrawals!J158)</f>
        <v/>
      </c>
      <c r="K1151" s="40" t="str">
        <f>IF(Agent06_Withdrawals!A158="","",Agent06_Withdrawals!K158)</f>
        <v/>
      </c>
      <c r="L1151" s="40" t="str">
        <f>IF(G1151="","",IF(D1151-G1151&gt;=System_Config!$B$9,"✅ OK","⚠️ BREACH"))</f>
        <v/>
      </c>
      <c r="M1151" s="40" t="str">
        <f>IFERROR(IF(Agent06_Withdrawals!A158="","",YEAR(Agent06_Withdrawals!D158)),"")</f>
        <v/>
      </c>
    </row>
    <row r="1152" spans="1:13" ht="18" customHeight="1" x14ac:dyDescent="0.25">
      <c r="A1152" s="40" t="str">
        <f>IF(Agent06_Withdrawals!A159="","",Agent06_Withdrawals!A159)</f>
        <v/>
      </c>
      <c r="B1152" s="40" t="str">
        <f ca="1">IF(Agent06_Withdrawals!A159="","","WD"&amp;TEXT(1152-3,"0000")&amp;"-"&amp;TEXT(TODAY(),"YYYYMMDD"))</f>
        <v/>
      </c>
      <c r="C1152" s="40" t="str">
        <f>IF(Agent06_Withdrawals!A159="","",Agent06_Withdrawals!B159)</f>
        <v/>
      </c>
      <c r="D1152" s="43" t="str">
        <f>IF(Agent06_Withdrawals!A159="","",Agent06_Withdrawals!C159)</f>
        <v/>
      </c>
      <c r="E1152" s="41" t="str">
        <f>IF(Agent06_Withdrawals!A159="","",Agent06_Withdrawals!D159)</f>
        <v/>
      </c>
      <c r="F1152" s="40" t="str">
        <f>IF(Agent06_Withdrawals!A159="","",Agent06_Withdrawals!F159)</f>
        <v/>
      </c>
      <c r="G1152" s="42" t="str">
        <f>IF(Agent06_Withdrawals!A159="","",Agent06_Withdrawals!E159)</f>
        <v/>
      </c>
      <c r="H1152" s="42" t="str">
        <f>IF(Agent06_Withdrawals!A159="","",Agent06_Withdrawals!G159)</f>
        <v/>
      </c>
      <c r="I1152" s="40" t="str">
        <f>IF(Agent06_Withdrawals!A159="","",Agent06_Withdrawals!H159)</f>
        <v/>
      </c>
      <c r="J1152" s="40" t="str">
        <f>IF(Agent06_Withdrawals!A159="","",Agent06_Withdrawals!J159)</f>
        <v/>
      </c>
      <c r="K1152" s="40" t="str">
        <f>IF(Agent06_Withdrawals!A159="","",Agent06_Withdrawals!K159)</f>
        <v/>
      </c>
      <c r="L1152" s="40" t="str">
        <f>IF(G1152="","",IF(D1152-G1152&gt;=System_Config!$B$9,"✅ OK","⚠️ BREACH"))</f>
        <v/>
      </c>
      <c r="M1152" s="40" t="str">
        <f>IFERROR(IF(Agent06_Withdrawals!A159="","",YEAR(Agent06_Withdrawals!D159)),"")</f>
        <v/>
      </c>
    </row>
    <row r="1153" spans="1:13" ht="18" customHeight="1" x14ac:dyDescent="0.25">
      <c r="A1153" s="40" t="str">
        <f>IF(Agent06_Withdrawals!A160="","",Agent06_Withdrawals!A160)</f>
        <v/>
      </c>
      <c r="B1153" s="40" t="str">
        <f ca="1">IF(Agent06_Withdrawals!A160="","","WD"&amp;TEXT(1153-3,"0000")&amp;"-"&amp;TEXT(TODAY(),"YYYYMMDD"))</f>
        <v/>
      </c>
      <c r="C1153" s="40" t="str">
        <f>IF(Agent06_Withdrawals!A160="","",Agent06_Withdrawals!B160)</f>
        <v/>
      </c>
      <c r="D1153" s="43" t="str">
        <f>IF(Agent06_Withdrawals!A160="","",Agent06_Withdrawals!C160)</f>
        <v/>
      </c>
      <c r="E1153" s="41" t="str">
        <f>IF(Agent06_Withdrawals!A160="","",Agent06_Withdrawals!D160)</f>
        <v/>
      </c>
      <c r="F1153" s="40" t="str">
        <f>IF(Agent06_Withdrawals!A160="","",Agent06_Withdrawals!F160)</f>
        <v/>
      </c>
      <c r="G1153" s="42" t="str">
        <f>IF(Agent06_Withdrawals!A160="","",Agent06_Withdrawals!E160)</f>
        <v/>
      </c>
      <c r="H1153" s="42" t="str">
        <f>IF(Agent06_Withdrawals!A160="","",Agent06_Withdrawals!G160)</f>
        <v/>
      </c>
      <c r="I1153" s="40" t="str">
        <f>IF(Agent06_Withdrawals!A160="","",Agent06_Withdrawals!H160)</f>
        <v/>
      </c>
      <c r="J1153" s="40" t="str">
        <f>IF(Agent06_Withdrawals!A160="","",Agent06_Withdrawals!J160)</f>
        <v/>
      </c>
      <c r="K1153" s="40" t="str">
        <f>IF(Agent06_Withdrawals!A160="","",Agent06_Withdrawals!K160)</f>
        <v/>
      </c>
      <c r="L1153" s="40" t="str">
        <f>IF(G1153="","",IF(D1153-G1153&gt;=System_Config!$B$9,"✅ OK","⚠️ BREACH"))</f>
        <v/>
      </c>
      <c r="M1153" s="40" t="str">
        <f>IFERROR(IF(Agent06_Withdrawals!A160="","",YEAR(Agent06_Withdrawals!D160)),"")</f>
        <v/>
      </c>
    </row>
    <row r="1154" spans="1:13" ht="18" customHeight="1" x14ac:dyDescent="0.25">
      <c r="A1154" s="40" t="str">
        <f>IF(Agent06_Withdrawals!A161="","",Agent06_Withdrawals!A161)</f>
        <v/>
      </c>
      <c r="B1154" s="40" t="str">
        <f ca="1">IF(Agent06_Withdrawals!A161="","","WD"&amp;TEXT(1154-3,"0000")&amp;"-"&amp;TEXT(TODAY(),"YYYYMMDD"))</f>
        <v/>
      </c>
      <c r="C1154" s="40" t="str">
        <f>IF(Agent06_Withdrawals!A161="","",Agent06_Withdrawals!B161)</f>
        <v/>
      </c>
      <c r="D1154" s="43" t="str">
        <f>IF(Agent06_Withdrawals!A161="","",Agent06_Withdrawals!C161)</f>
        <v/>
      </c>
      <c r="E1154" s="41" t="str">
        <f>IF(Agent06_Withdrawals!A161="","",Agent06_Withdrawals!D161)</f>
        <v/>
      </c>
      <c r="F1154" s="40" t="str">
        <f>IF(Agent06_Withdrawals!A161="","",Agent06_Withdrawals!F161)</f>
        <v/>
      </c>
      <c r="G1154" s="42" t="str">
        <f>IF(Agent06_Withdrawals!A161="","",Agent06_Withdrawals!E161)</f>
        <v/>
      </c>
      <c r="H1154" s="42" t="str">
        <f>IF(Agent06_Withdrawals!A161="","",Agent06_Withdrawals!G161)</f>
        <v/>
      </c>
      <c r="I1154" s="40" t="str">
        <f>IF(Agent06_Withdrawals!A161="","",Agent06_Withdrawals!H161)</f>
        <v/>
      </c>
      <c r="J1154" s="40" t="str">
        <f>IF(Agent06_Withdrawals!A161="","",Agent06_Withdrawals!J161)</f>
        <v/>
      </c>
      <c r="K1154" s="40" t="str">
        <f>IF(Agent06_Withdrawals!A161="","",Agent06_Withdrawals!K161)</f>
        <v/>
      </c>
      <c r="L1154" s="40" t="str">
        <f>IF(G1154="","",IF(D1154-G1154&gt;=System_Config!$B$9,"✅ OK","⚠️ BREACH"))</f>
        <v/>
      </c>
      <c r="M1154" s="40" t="str">
        <f>IFERROR(IF(Agent06_Withdrawals!A161="","",YEAR(Agent06_Withdrawals!D161)),"")</f>
        <v/>
      </c>
    </row>
    <row r="1155" spans="1:13" ht="18" customHeight="1" x14ac:dyDescent="0.25">
      <c r="A1155" s="40" t="str">
        <f>IF(Agent06_Withdrawals!A162="","",Agent06_Withdrawals!A162)</f>
        <v/>
      </c>
      <c r="B1155" s="40" t="str">
        <f ca="1">IF(Agent06_Withdrawals!A162="","","WD"&amp;TEXT(1155-3,"0000")&amp;"-"&amp;TEXT(TODAY(),"YYYYMMDD"))</f>
        <v/>
      </c>
      <c r="C1155" s="40" t="str">
        <f>IF(Agent06_Withdrawals!A162="","",Agent06_Withdrawals!B162)</f>
        <v/>
      </c>
      <c r="D1155" s="43" t="str">
        <f>IF(Agent06_Withdrawals!A162="","",Agent06_Withdrawals!C162)</f>
        <v/>
      </c>
      <c r="E1155" s="41" t="str">
        <f>IF(Agent06_Withdrawals!A162="","",Agent06_Withdrawals!D162)</f>
        <v/>
      </c>
      <c r="F1155" s="40" t="str">
        <f>IF(Agent06_Withdrawals!A162="","",Agent06_Withdrawals!F162)</f>
        <v/>
      </c>
      <c r="G1155" s="42" t="str">
        <f>IF(Agent06_Withdrawals!A162="","",Agent06_Withdrawals!E162)</f>
        <v/>
      </c>
      <c r="H1155" s="42" t="str">
        <f>IF(Agent06_Withdrawals!A162="","",Agent06_Withdrawals!G162)</f>
        <v/>
      </c>
      <c r="I1155" s="40" t="str">
        <f>IF(Agent06_Withdrawals!A162="","",Agent06_Withdrawals!H162)</f>
        <v/>
      </c>
      <c r="J1155" s="40" t="str">
        <f>IF(Agent06_Withdrawals!A162="","",Agent06_Withdrawals!J162)</f>
        <v/>
      </c>
      <c r="K1155" s="40" t="str">
        <f>IF(Agent06_Withdrawals!A162="","",Agent06_Withdrawals!K162)</f>
        <v/>
      </c>
      <c r="L1155" s="40" t="str">
        <f>IF(G1155="","",IF(D1155-G1155&gt;=System_Config!$B$9,"✅ OK","⚠️ BREACH"))</f>
        <v/>
      </c>
      <c r="M1155" s="40" t="str">
        <f>IFERROR(IF(Agent06_Withdrawals!A162="","",YEAR(Agent06_Withdrawals!D162)),"")</f>
        <v/>
      </c>
    </row>
    <row r="1156" spans="1:13" ht="18" customHeight="1" x14ac:dyDescent="0.25">
      <c r="A1156" s="40" t="str">
        <f>IF(Agent06_Withdrawals!A163="","",Agent06_Withdrawals!A163)</f>
        <v/>
      </c>
      <c r="B1156" s="40" t="str">
        <f ca="1">IF(Agent06_Withdrawals!A163="","","WD"&amp;TEXT(1156-3,"0000")&amp;"-"&amp;TEXT(TODAY(),"YYYYMMDD"))</f>
        <v/>
      </c>
      <c r="C1156" s="40" t="str">
        <f>IF(Agent06_Withdrawals!A163="","",Agent06_Withdrawals!B163)</f>
        <v/>
      </c>
      <c r="D1156" s="43" t="str">
        <f>IF(Agent06_Withdrawals!A163="","",Agent06_Withdrawals!C163)</f>
        <v/>
      </c>
      <c r="E1156" s="41" t="str">
        <f>IF(Agent06_Withdrawals!A163="","",Agent06_Withdrawals!D163)</f>
        <v/>
      </c>
      <c r="F1156" s="40" t="str">
        <f>IF(Agent06_Withdrawals!A163="","",Agent06_Withdrawals!F163)</f>
        <v/>
      </c>
      <c r="G1156" s="42" t="str">
        <f>IF(Agent06_Withdrawals!A163="","",Agent06_Withdrawals!E163)</f>
        <v/>
      </c>
      <c r="H1156" s="42" t="str">
        <f>IF(Agent06_Withdrawals!A163="","",Agent06_Withdrawals!G163)</f>
        <v/>
      </c>
      <c r="I1156" s="40" t="str">
        <f>IF(Agent06_Withdrawals!A163="","",Agent06_Withdrawals!H163)</f>
        <v/>
      </c>
      <c r="J1156" s="40" t="str">
        <f>IF(Agent06_Withdrawals!A163="","",Agent06_Withdrawals!J163)</f>
        <v/>
      </c>
      <c r="K1156" s="40" t="str">
        <f>IF(Agent06_Withdrawals!A163="","",Agent06_Withdrawals!K163)</f>
        <v/>
      </c>
      <c r="L1156" s="40" t="str">
        <f>IF(G1156="","",IF(D1156-G1156&gt;=System_Config!$B$9,"✅ OK","⚠️ BREACH"))</f>
        <v/>
      </c>
      <c r="M1156" s="40" t="str">
        <f>IFERROR(IF(Agent06_Withdrawals!A163="","",YEAR(Agent06_Withdrawals!D163)),"")</f>
        <v/>
      </c>
    </row>
    <row r="1157" spans="1:13" ht="18" customHeight="1" x14ac:dyDescent="0.25">
      <c r="A1157" s="40" t="str">
        <f>IF(Agent06_Withdrawals!A164="","",Agent06_Withdrawals!A164)</f>
        <v/>
      </c>
      <c r="B1157" s="40" t="str">
        <f ca="1">IF(Agent06_Withdrawals!A164="","","WD"&amp;TEXT(1157-3,"0000")&amp;"-"&amp;TEXT(TODAY(),"YYYYMMDD"))</f>
        <v/>
      </c>
      <c r="C1157" s="40" t="str">
        <f>IF(Agent06_Withdrawals!A164="","",Agent06_Withdrawals!B164)</f>
        <v/>
      </c>
      <c r="D1157" s="43" t="str">
        <f>IF(Agent06_Withdrawals!A164="","",Agent06_Withdrawals!C164)</f>
        <v/>
      </c>
      <c r="E1157" s="41" t="str">
        <f>IF(Agent06_Withdrawals!A164="","",Agent06_Withdrawals!D164)</f>
        <v/>
      </c>
      <c r="F1157" s="40" t="str">
        <f>IF(Agent06_Withdrawals!A164="","",Agent06_Withdrawals!F164)</f>
        <v/>
      </c>
      <c r="G1157" s="42" t="str">
        <f>IF(Agent06_Withdrawals!A164="","",Agent06_Withdrawals!E164)</f>
        <v/>
      </c>
      <c r="H1157" s="42" t="str">
        <f>IF(Agent06_Withdrawals!A164="","",Agent06_Withdrawals!G164)</f>
        <v/>
      </c>
      <c r="I1157" s="40" t="str">
        <f>IF(Agent06_Withdrawals!A164="","",Agent06_Withdrawals!H164)</f>
        <v/>
      </c>
      <c r="J1157" s="40" t="str">
        <f>IF(Agent06_Withdrawals!A164="","",Agent06_Withdrawals!J164)</f>
        <v/>
      </c>
      <c r="K1157" s="40" t="str">
        <f>IF(Agent06_Withdrawals!A164="","",Agent06_Withdrawals!K164)</f>
        <v/>
      </c>
      <c r="L1157" s="40" t="str">
        <f>IF(G1157="","",IF(D1157-G1157&gt;=System_Config!$B$9,"✅ OK","⚠️ BREACH"))</f>
        <v/>
      </c>
      <c r="M1157" s="40" t="str">
        <f>IFERROR(IF(Agent06_Withdrawals!A164="","",YEAR(Agent06_Withdrawals!D164)),"")</f>
        <v/>
      </c>
    </row>
    <row r="1158" spans="1:13" ht="18" customHeight="1" x14ac:dyDescent="0.25">
      <c r="A1158" s="40" t="str">
        <f>IF(Agent06_Withdrawals!A165="","",Agent06_Withdrawals!A165)</f>
        <v/>
      </c>
      <c r="B1158" s="40" t="str">
        <f ca="1">IF(Agent06_Withdrawals!A165="","","WD"&amp;TEXT(1158-3,"0000")&amp;"-"&amp;TEXT(TODAY(),"YYYYMMDD"))</f>
        <v/>
      </c>
      <c r="C1158" s="40" t="str">
        <f>IF(Agent06_Withdrawals!A165="","",Agent06_Withdrawals!B165)</f>
        <v/>
      </c>
      <c r="D1158" s="43" t="str">
        <f>IF(Agent06_Withdrawals!A165="","",Agent06_Withdrawals!C165)</f>
        <v/>
      </c>
      <c r="E1158" s="41" t="str">
        <f>IF(Agent06_Withdrawals!A165="","",Agent06_Withdrawals!D165)</f>
        <v/>
      </c>
      <c r="F1158" s="40" t="str">
        <f>IF(Agent06_Withdrawals!A165="","",Agent06_Withdrawals!F165)</f>
        <v/>
      </c>
      <c r="G1158" s="42" t="str">
        <f>IF(Agent06_Withdrawals!A165="","",Agent06_Withdrawals!E165)</f>
        <v/>
      </c>
      <c r="H1158" s="42" t="str">
        <f>IF(Agent06_Withdrawals!A165="","",Agent06_Withdrawals!G165)</f>
        <v/>
      </c>
      <c r="I1158" s="40" t="str">
        <f>IF(Agent06_Withdrawals!A165="","",Agent06_Withdrawals!H165)</f>
        <v/>
      </c>
      <c r="J1158" s="40" t="str">
        <f>IF(Agent06_Withdrawals!A165="","",Agent06_Withdrawals!J165)</f>
        <v/>
      </c>
      <c r="K1158" s="40" t="str">
        <f>IF(Agent06_Withdrawals!A165="","",Agent06_Withdrawals!K165)</f>
        <v/>
      </c>
      <c r="L1158" s="40" t="str">
        <f>IF(G1158="","",IF(D1158-G1158&gt;=System_Config!$B$9,"✅ OK","⚠️ BREACH"))</f>
        <v/>
      </c>
      <c r="M1158" s="40" t="str">
        <f>IFERROR(IF(Agent06_Withdrawals!A165="","",YEAR(Agent06_Withdrawals!D165)),"")</f>
        <v/>
      </c>
    </row>
    <row r="1159" spans="1:13" ht="18" customHeight="1" x14ac:dyDescent="0.25">
      <c r="A1159" s="40" t="str">
        <f>IF(Agent06_Withdrawals!A166="","",Agent06_Withdrawals!A166)</f>
        <v/>
      </c>
      <c r="B1159" s="40" t="str">
        <f ca="1">IF(Agent06_Withdrawals!A166="","","WD"&amp;TEXT(1159-3,"0000")&amp;"-"&amp;TEXT(TODAY(),"YYYYMMDD"))</f>
        <v/>
      </c>
      <c r="C1159" s="40" t="str">
        <f>IF(Agent06_Withdrawals!A166="","",Agent06_Withdrawals!B166)</f>
        <v/>
      </c>
      <c r="D1159" s="43" t="str">
        <f>IF(Agent06_Withdrawals!A166="","",Agent06_Withdrawals!C166)</f>
        <v/>
      </c>
      <c r="E1159" s="41" t="str">
        <f>IF(Agent06_Withdrawals!A166="","",Agent06_Withdrawals!D166)</f>
        <v/>
      </c>
      <c r="F1159" s="40" t="str">
        <f>IF(Agent06_Withdrawals!A166="","",Agent06_Withdrawals!F166)</f>
        <v/>
      </c>
      <c r="G1159" s="42" t="str">
        <f>IF(Agent06_Withdrawals!A166="","",Agent06_Withdrawals!E166)</f>
        <v/>
      </c>
      <c r="H1159" s="42" t="str">
        <f>IF(Agent06_Withdrawals!A166="","",Agent06_Withdrawals!G166)</f>
        <v/>
      </c>
      <c r="I1159" s="40" t="str">
        <f>IF(Agent06_Withdrawals!A166="","",Agent06_Withdrawals!H166)</f>
        <v/>
      </c>
      <c r="J1159" s="40" t="str">
        <f>IF(Agent06_Withdrawals!A166="","",Agent06_Withdrawals!J166)</f>
        <v/>
      </c>
      <c r="K1159" s="40" t="str">
        <f>IF(Agent06_Withdrawals!A166="","",Agent06_Withdrawals!K166)</f>
        <v/>
      </c>
      <c r="L1159" s="40" t="str">
        <f>IF(G1159="","",IF(D1159-G1159&gt;=System_Config!$B$9,"✅ OK","⚠️ BREACH"))</f>
        <v/>
      </c>
      <c r="M1159" s="40" t="str">
        <f>IFERROR(IF(Agent06_Withdrawals!A166="","",YEAR(Agent06_Withdrawals!D166)),"")</f>
        <v/>
      </c>
    </row>
    <row r="1160" spans="1:13" ht="18" customHeight="1" x14ac:dyDescent="0.25">
      <c r="A1160" s="40" t="str">
        <f>IF(Agent06_Withdrawals!A167="","",Agent06_Withdrawals!A167)</f>
        <v/>
      </c>
      <c r="B1160" s="40" t="str">
        <f ca="1">IF(Agent06_Withdrawals!A167="","","WD"&amp;TEXT(1160-3,"0000")&amp;"-"&amp;TEXT(TODAY(),"YYYYMMDD"))</f>
        <v/>
      </c>
      <c r="C1160" s="40" t="str">
        <f>IF(Agent06_Withdrawals!A167="","",Agent06_Withdrawals!B167)</f>
        <v/>
      </c>
      <c r="D1160" s="43" t="str">
        <f>IF(Agent06_Withdrawals!A167="","",Agent06_Withdrawals!C167)</f>
        <v/>
      </c>
      <c r="E1160" s="41" t="str">
        <f>IF(Agent06_Withdrawals!A167="","",Agent06_Withdrawals!D167)</f>
        <v/>
      </c>
      <c r="F1160" s="40" t="str">
        <f>IF(Agent06_Withdrawals!A167="","",Agent06_Withdrawals!F167)</f>
        <v/>
      </c>
      <c r="G1160" s="42" t="str">
        <f>IF(Agent06_Withdrawals!A167="","",Agent06_Withdrawals!E167)</f>
        <v/>
      </c>
      <c r="H1160" s="42" t="str">
        <f>IF(Agent06_Withdrawals!A167="","",Agent06_Withdrawals!G167)</f>
        <v/>
      </c>
      <c r="I1160" s="40" t="str">
        <f>IF(Agent06_Withdrawals!A167="","",Agent06_Withdrawals!H167)</f>
        <v/>
      </c>
      <c r="J1160" s="40" t="str">
        <f>IF(Agent06_Withdrawals!A167="","",Agent06_Withdrawals!J167)</f>
        <v/>
      </c>
      <c r="K1160" s="40" t="str">
        <f>IF(Agent06_Withdrawals!A167="","",Agent06_Withdrawals!K167)</f>
        <v/>
      </c>
      <c r="L1160" s="40" t="str">
        <f>IF(G1160="","",IF(D1160-G1160&gt;=System_Config!$B$9,"✅ OK","⚠️ BREACH"))</f>
        <v/>
      </c>
      <c r="M1160" s="40" t="str">
        <f>IFERROR(IF(Agent06_Withdrawals!A167="","",YEAR(Agent06_Withdrawals!D167)),"")</f>
        <v/>
      </c>
    </row>
    <row r="1161" spans="1:13" ht="18" customHeight="1" x14ac:dyDescent="0.25">
      <c r="A1161" s="40" t="str">
        <f>IF(Agent06_Withdrawals!A168="","",Agent06_Withdrawals!A168)</f>
        <v/>
      </c>
      <c r="B1161" s="40" t="str">
        <f ca="1">IF(Agent06_Withdrawals!A168="","","WD"&amp;TEXT(1161-3,"0000")&amp;"-"&amp;TEXT(TODAY(),"YYYYMMDD"))</f>
        <v/>
      </c>
      <c r="C1161" s="40" t="str">
        <f>IF(Agent06_Withdrawals!A168="","",Agent06_Withdrawals!B168)</f>
        <v/>
      </c>
      <c r="D1161" s="43" t="str">
        <f>IF(Agent06_Withdrawals!A168="","",Agent06_Withdrawals!C168)</f>
        <v/>
      </c>
      <c r="E1161" s="41" t="str">
        <f>IF(Agent06_Withdrawals!A168="","",Agent06_Withdrawals!D168)</f>
        <v/>
      </c>
      <c r="F1161" s="40" t="str">
        <f>IF(Agent06_Withdrawals!A168="","",Agent06_Withdrawals!F168)</f>
        <v/>
      </c>
      <c r="G1161" s="42" t="str">
        <f>IF(Agent06_Withdrawals!A168="","",Agent06_Withdrawals!E168)</f>
        <v/>
      </c>
      <c r="H1161" s="42" t="str">
        <f>IF(Agent06_Withdrawals!A168="","",Agent06_Withdrawals!G168)</f>
        <v/>
      </c>
      <c r="I1161" s="40" t="str">
        <f>IF(Agent06_Withdrawals!A168="","",Agent06_Withdrawals!H168)</f>
        <v/>
      </c>
      <c r="J1161" s="40" t="str">
        <f>IF(Agent06_Withdrawals!A168="","",Agent06_Withdrawals!J168)</f>
        <v/>
      </c>
      <c r="K1161" s="40" t="str">
        <f>IF(Agent06_Withdrawals!A168="","",Agent06_Withdrawals!K168)</f>
        <v/>
      </c>
      <c r="L1161" s="40" t="str">
        <f>IF(G1161="","",IF(D1161-G1161&gt;=System_Config!$B$9,"✅ OK","⚠️ BREACH"))</f>
        <v/>
      </c>
      <c r="M1161" s="40" t="str">
        <f>IFERROR(IF(Agent06_Withdrawals!A168="","",YEAR(Agent06_Withdrawals!D168)),"")</f>
        <v/>
      </c>
    </row>
    <row r="1162" spans="1:13" ht="18" customHeight="1" x14ac:dyDescent="0.25">
      <c r="A1162" s="40" t="str">
        <f>IF(Agent06_Withdrawals!A169="","",Agent06_Withdrawals!A169)</f>
        <v/>
      </c>
      <c r="B1162" s="40" t="str">
        <f ca="1">IF(Agent06_Withdrawals!A169="","","WD"&amp;TEXT(1162-3,"0000")&amp;"-"&amp;TEXT(TODAY(),"YYYYMMDD"))</f>
        <v/>
      </c>
      <c r="C1162" s="40" t="str">
        <f>IF(Agent06_Withdrawals!A169="","",Agent06_Withdrawals!B169)</f>
        <v/>
      </c>
      <c r="D1162" s="43" t="str">
        <f>IF(Agent06_Withdrawals!A169="","",Agent06_Withdrawals!C169)</f>
        <v/>
      </c>
      <c r="E1162" s="41" t="str">
        <f>IF(Agent06_Withdrawals!A169="","",Agent06_Withdrawals!D169)</f>
        <v/>
      </c>
      <c r="F1162" s="40" t="str">
        <f>IF(Agent06_Withdrawals!A169="","",Agent06_Withdrawals!F169)</f>
        <v/>
      </c>
      <c r="G1162" s="42" t="str">
        <f>IF(Agent06_Withdrawals!A169="","",Agent06_Withdrawals!E169)</f>
        <v/>
      </c>
      <c r="H1162" s="42" t="str">
        <f>IF(Agent06_Withdrawals!A169="","",Agent06_Withdrawals!G169)</f>
        <v/>
      </c>
      <c r="I1162" s="40" t="str">
        <f>IF(Agent06_Withdrawals!A169="","",Agent06_Withdrawals!H169)</f>
        <v/>
      </c>
      <c r="J1162" s="40" t="str">
        <f>IF(Agent06_Withdrawals!A169="","",Agent06_Withdrawals!J169)</f>
        <v/>
      </c>
      <c r="K1162" s="40" t="str">
        <f>IF(Agent06_Withdrawals!A169="","",Agent06_Withdrawals!K169)</f>
        <v/>
      </c>
      <c r="L1162" s="40" t="str">
        <f>IF(G1162="","",IF(D1162-G1162&gt;=System_Config!$B$9,"✅ OK","⚠️ BREACH"))</f>
        <v/>
      </c>
      <c r="M1162" s="40" t="str">
        <f>IFERROR(IF(Agent06_Withdrawals!A169="","",YEAR(Agent06_Withdrawals!D169)),"")</f>
        <v/>
      </c>
    </row>
    <row r="1163" spans="1:13" ht="18" customHeight="1" x14ac:dyDescent="0.25">
      <c r="A1163" s="40" t="str">
        <f>IF(Agent06_Withdrawals!A170="","",Agent06_Withdrawals!A170)</f>
        <v/>
      </c>
      <c r="B1163" s="40" t="str">
        <f ca="1">IF(Agent06_Withdrawals!A170="","","WD"&amp;TEXT(1163-3,"0000")&amp;"-"&amp;TEXT(TODAY(),"YYYYMMDD"))</f>
        <v/>
      </c>
      <c r="C1163" s="40" t="str">
        <f>IF(Agent06_Withdrawals!A170="","",Agent06_Withdrawals!B170)</f>
        <v/>
      </c>
      <c r="D1163" s="43" t="str">
        <f>IF(Agent06_Withdrawals!A170="","",Agent06_Withdrawals!C170)</f>
        <v/>
      </c>
      <c r="E1163" s="41" t="str">
        <f>IF(Agent06_Withdrawals!A170="","",Agent06_Withdrawals!D170)</f>
        <v/>
      </c>
      <c r="F1163" s="40" t="str">
        <f>IF(Agent06_Withdrawals!A170="","",Agent06_Withdrawals!F170)</f>
        <v/>
      </c>
      <c r="G1163" s="42" t="str">
        <f>IF(Agent06_Withdrawals!A170="","",Agent06_Withdrawals!E170)</f>
        <v/>
      </c>
      <c r="H1163" s="42" t="str">
        <f>IF(Agent06_Withdrawals!A170="","",Agent06_Withdrawals!G170)</f>
        <v/>
      </c>
      <c r="I1163" s="40" t="str">
        <f>IF(Agent06_Withdrawals!A170="","",Agent06_Withdrawals!H170)</f>
        <v/>
      </c>
      <c r="J1163" s="40" t="str">
        <f>IF(Agent06_Withdrawals!A170="","",Agent06_Withdrawals!J170)</f>
        <v/>
      </c>
      <c r="K1163" s="40" t="str">
        <f>IF(Agent06_Withdrawals!A170="","",Agent06_Withdrawals!K170)</f>
        <v/>
      </c>
      <c r="L1163" s="40" t="str">
        <f>IF(G1163="","",IF(D1163-G1163&gt;=System_Config!$B$9,"✅ OK","⚠️ BREACH"))</f>
        <v/>
      </c>
      <c r="M1163" s="40" t="str">
        <f>IFERROR(IF(Agent06_Withdrawals!A170="","",YEAR(Agent06_Withdrawals!D170)),"")</f>
        <v/>
      </c>
    </row>
    <row r="1164" spans="1:13" ht="18" customHeight="1" x14ac:dyDescent="0.25">
      <c r="A1164" s="40" t="str">
        <f>IF(Agent06_Withdrawals!A171="","",Agent06_Withdrawals!A171)</f>
        <v/>
      </c>
      <c r="B1164" s="40" t="str">
        <f ca="1">IF(Agent06_Withdrawals!A171="","","WD"&amp;TEXT(1164-3,"0000")&amp;"-"&amp;TEXT(TODAY(),"YYYYMMDD"))</f>
        <v/>
      </c>
      <c r="C1164" s="40" t="str">
        <f>IF(Agent06_Withdrawals!A171="","",Agent06_Withdrawals!B171)</f>
        <v/>
      </c>
      <c r="D1164" s="43" t="str">
        <f>IF(Agent06_Withdrawals!A171="","",Agent06_Withdrawals!C171)</f>
        <v/>
      </c>
      <c r="E1164" s="41" t="str">
        <f>IF(Agent06_Withdrawals!A171="","",Agent06_Withdrawals!D171)</f>
        <v/>
      </c>
      <c r="F1164" s="40" t="str">
        <f>IF(Agent06_Withdrawals!A171="","",Agent06_Withdrawals!F171)</f>
        <v/>
      </c>
      <c r="G1164" s="42" t="str">
        <f>IF(Agent06_Withdrawals!A171="","",Agent06_Withdrawals!E171)</f>
        <v/>
      </c>
      <c r="H1164" s="42" t="str">
        <f>IF(Agent06_Withdrawals!A171="","",Agent06_Withdrawals!G171)</f>
        <v/>
      </c>
      <c r="I1164" s="40" t="str">
        <f>IF(Agent06_Withdrawals!A171="","",Agent06_Withdrawals!H171)</f>
        <v/>
      </c>
      <c r="J1164" s="40" t="str">
        <f>IF(Agent06_Withdrawals!A171="","",Agent06_Withdrawals!J171)</f>
        <v/>
      </c>
      <c r="K1164" s="40" t="str">
        <f>IF(Agent06_Withdrawals!A171="","",Agent06_Withdrawals!K171)</f>
        <v/>
      </c>
      <c r="L1164" s="40" t="str">
        <f>IF(G1164="","",IF(D1164-G1164&gt;=System_Config!$B$9,"✅ OK","⚠️ BREACH"))</f>
        <v/>
      </c>
      <c r="M1164" s="40" t="str">
        <f>IFERROR(IF(Agent06_Withdrawals!A171="","",YEAR(Agent06_Withdrawals!D171)),"")</f>
        <v/>
      </c>
    </row>
    <row r="1165" spans="1:13" ht="18" customHeight="1" x14ac:dyDescent="0.25">
      <c r="A1165" s="40" t="str">
        <f>IF(Agent06_Withdrawals!A172="","",Agent06_Withdrawals!A172)</f>
        <v/>
      </c>
      <c r="B1165" s="40" t="str">
        <f ca="1">IF(Agent06_Withdrawals!A172="","","WD"&amp;TEXT(1165-3,"0000")&amp;"-"&amp;TEXT(TODAY(),"YYYYMMDD"))</f>
        <v/>
      </c>
      <c r="C1165" s="40" t="str">
        <f>IF(Agent06_Withdrawals!A172="","",Agent06_Withdrawals!B172)</f>
        <v/>
      </c>
      <c r="D1165" s="43" t="str">
        <f>IF(Agent06_Withdrawals!A172="","",Agent06_Withdrawals!C172)</f>
        <v/>
      </c>
      <c r="E1165" s="41" t="str">
        <f>IF(Agent06_Withdrawals!A172="","",Agent06_Withdrawals!D172)</f>
        <v/>
      </c>
      <c r="F1165" s="40" t="str">
        <f>IF(Agent06_Withdrawals!A172="","",Agent06_Withdrawals!F172)</f>
        <v/>
      </c>
      <c r="G1165" s="42" t="str">
        <f>IF(Agent06_Withdrawals!A172="","",Agent06_Withdrawals!E172)</f>
        <v/>
      </c>
      <c r="H1165" s="42" t="str">
        <f>IF(Agent06_Withdrawals!A172="","",Agent06_Withdrawals!G172)</f>
        <v/>
      </c>
      <c r="I1165" s="40" t="str">
        <f>IF(Agent06_Withdrawals!A172="","",Agent06_Withdrawals!H172)</f>
        <v/>
      </c>
      <c r="J1165" s="40" t="str">
        <f>IF(Agent06_Withdrawals!A172="","",Agent06_Withdrawals!J172)</f>
        <v/>
      </c>
      <c r="K1165" s="40" t="str">
        <f>IF(Agent06_Withdrawals!A172="","",Agent06_Withdrawals!K172)</f>
        <v/>
      </c>
      <c r="L1165" s="40" t="str">
        <f>IF(G1165="","",IF(D1165-G1165&gt;=System_Config!$B$9,"✅ OK","⚠️ BREACH"))</f>
        <v/>
      </c>
      <c r="M1165" s="40" t="str">
        <f>IFERROR(IF(Agent06_Withdrawals!A172="","",YEAR(Agent06_Withdrawals!D172)),"")</f>
        <v/>
      </c>
    </row>
    <row r="1166" spans="1:13" ht="18" customHeight="1" x14ac:dyDescent="0.25">
      <c r="A1166" s="40" t="str">
        <f>IF(Agent06_Withdrawals!A173="","",Agent06_Withdrawals!A173)</f>
        <v/>
      </c>
      <c r="B1166" s="40" t="str">
        <f ca="1">IF(Agent06_Withdrawals!A173="","","WD"&amp;TEXT(1166-3,"0000")&amp;"-"&amp;TEXT(TODAY(),"YYYYMMDD"))</f>
        <v/>
      </c>
      <c r="C1166" s="40" t="str">
        <f>IF(Agent06_Withdrawals!A173="","",Agent06_Withdrawals!B173)</f>
        <v/>
      </c>
      <c r="D1166" s="43" t="str">
        <f>IF(Agent06_Withdrawals!A173="","",Agent06_Withdrawals!C173)</f>
        <v/>
      </c>
      <c r="E1166" s="41" t="str">
        <f>IF(Agent06_Withdrawals!A173="","",Agent06_Withdrawals!D173)</f>
        <v/>
      </c>
      <c r="F1166" s="40" t="str">
        <f>IF(Agent06_Withdrawals!A173="","",Agent06_Withdrawals!F173)</f>
        <v/>
      </c>
      <c r="G1166" s="42" t="str">
        <f>IF(Agent06_Withdrawals!A173="","",Agent06_Withdrawals!E173)</f>
        <v/>
      </c>
      <c r="H1166" s="42" t="str">
        <f>IF(Agent06_Withdrawals!A173="","",Agent06_Withdrawals!G173)</f>
        <v/>
      </c>
      <c r="I1166" s="40" t="str">
        <f>IF(Agent06_Withdrawals!A173="","",Agent06_Withdrawals!H173)</f>
        <v/>
      </c>
      <c r="J1166" s="40" t="str">
        <f>IF(Agent06_Withdrawals!A173="","",Agent06_Withdrawals!J173)</f>
        <v/>
      </c>
      <c r="K1166" s="40" t="str">
        <f>IF(Agent06_Withdrawals!A173="","",Agent06_Withdrawals!K173)</f>
        <v/>
      </c>
      <c r="L1166" s="40" t="str">
        <f>IF(G1166="","",IF(D1166-G1166&gt;=System_Config!$B$9,"✅ OK","⚠️ BREACH"))</f>
        <v/>
      </c>
      <c r="M1166" s="40" t="str">
        <f>IFERROR(IF(Agent06_Withdrawals!A173="","",YEAR(Agent06_Withdrawals!D173)),"")</f>
        <v/>
      </c>
    </row>
    <row r="1167" spans="1:13" ht="18" customHeight="1" x14ac:dyDescent="0.25">
      <c r="A1167" s="40" t="str">
        <f>IF(Agent06_Withdrawals!A174="","",Agent06_Withdrawals!A174)</f>
        <v/>
      </c>
      <c r="B1167" s="40" t="str">
        <f ca="1">IF(Agent06_Withdrawals!A174="","","WD"&amp;TEXT(1167-3,"0000")&amp;"-"&amp;TEXT(TODAY(),"YYYYMMDD"))</f>
        <v/>
      </c>
      <c r="C1167" s="40" t="str">
        <f>IF(Agent06_Withdrawals!A174="","",Agent06_Withdrawals!B174)</f>
        <v/>
      </c>
      <c r="D1167" s="43" t="str">
        <f>IF(Agent06_Withdrawals!A174="","",Agent06_Withdrawals!C174)</f>
        <v/>
      </c>
      <c r="E1167" s="41" t="str">
        <f>IF(Agent06_Withdrawals!A174="","",Agent06_Withdrawals!D174)</f>
        <v/>
      </c>
      <c r="F1167" s="40" t="str">
        <f>IF(Agent06_Withdrawals!A174="","",Agent06_Withdrawals!F174)</f>
        <v/>
      </c>
      <c r="G1167" s="42" t="str">
        <f>IF(Agent06_Withdrawals!A174="","",Agent06_Withdrawals!E174)</f>
        <v/>
      </c>
      <c r="H1167" s="42" t="str">
        <f>IF(Agent06_Withdrawals!A174="","",Agent06_Withdrawals!G174)</f>
        <v/>
      </c>
      <c r="I1167" s="40" t="str">
        <f>IF(Agent06_Withdrawals!A174="","",Agent06_Withdrawals!H174)</f>
        <v/>
      </c>
      <c r="J1167" s="40" t="str">
        <f>IF(Agent06_Withdrawals!A174="","",Agent06_Withdrawals!J174)</f>
        <v/>
      </c>
      <c r="K1167" s="40" t="str">
        <f>IF(Agent06_Withdrawals!A174="","",Agent06_Withdrawals!K174)</f>
        <v/>
      </c>
      <c r="L1167" s="40" t="str">
        <f>IF(G1167="","",IF(D1167-G1167&gt;=System_Config!$B$9,"✅ OK","⚠️ BREACH"))</f>
        <v/>
      </c>
      <c r="M1167" s="40" t="str">
        <f>IFERROR(IF(Agent06_Withdrawals!A174="","",YEAR(Agent06_Withdrawals!D174)),"")</f>
        <v/>
      </c>
    </row>
    <row r="1168" spans="1:13" ht="18" customHeight="1" x14ac:dyDescent="0.25">
      <c r="A1168" s="40" t="str">
        <f>IF(Agent06_Withdrawals!A175="","",Agent06_Withdrawals!A175)</f>
        <v/>
      </c>
      <c r="B1168" s="40" t="str">
        <f ca="1">IF(Agent06_Withdrawals!A175="","","WD"&amp;TEXT(1168-3,"0000")&amp;"-"&amp;TEXT(TODAY(),"YYYYMMDD"))</f>
        <v/>
      </c>
      <c r="C1168" s="40" t="str">
        <f>IF(Agent06_Withdrawals!A175="","",Agent06_Withdrawals!B175)</f>
        <v/>
      </c>
      <c r="D1168" s="43" t="str">
        <f>IF(Agent06_Withdrawals!A175="","",Agent06_Withdrawals!C175)</f>
        <v/>
      </c>
      <c r="E1168" s="41" t="str">
        <f>IF(Agent06_Withdrawals!A175="","",Agent06_Withdrawals!D175)</f>
        <v/>
      </c>
      <c r="F1168" s="40" t="str">
        <f>IF(Agent06_Withdrawals!A175="","",Agent06_Withdrawals!F175)</f>
        <v/>
      </c>
      <c r="G1168" s="42" t="str">
        <f>IF(Agent06_Withdrawals!A175="","",Agent06_Withdrawals!E175)</f>
        <v/>
      </c>
      <c r="H1168" s="42" t="str">
        <f>IF(Agent06_Withdrawals!A175="","",Agent06_Withdrawals!G175)</f>
        <v/>
      </c>
      <c r="I1168" s="40" t="str">
        <f>IF(Agent06_Withdrawals!A175="","",Agent06_Withdrawals!H175)</f>
        <v/>
      </c>
      <c r="J1168" s="40" t="str">
        <f>IF(Agent06_Withdrawals!A175="","",Agent06_Withdrawals!J175)</f>
        <v/>
      </c>
      <c r="K1168" s="40" t="str">
        <f>IF(Agent06_Withdrawals!A175="","",Agent06_Withdrawals!K175)</f>
        <v/>
      </c>
      <c r="L1168" s="40" t="str">
        <f>IF(G1168="","",IF(D1168-G1168&gt;=System_Config!$B$9,"✅ OK","⚠️ BREACH"))</f>
        <v/>
      </c>
      <c r="M1168" s="40" t="str">
        <f>IFERROR(IF(Agent06_Withdrawals!A175="","",YEAR(Agent06_Withdrawals!D175)),"")</f>
        <v/>
      </c>
    </row>
    <row r="1169" spans="1:13" ht="18" customHeight="1" x14ac:dyDescent="0.25">
      <c r="A1169" s="40" t="str">
        <f>IF(Agent06_Withdrawals!A176="","",Agent06_Withdrawals!A176)</f>
        <v/>
      </c>
      <c r="B1169" s="40" t="str">
        <f ca="1">IF(Agent06_Withdrawals!A176="","","WD"&amp;TEXT(1169-3,"0000")&amp;"-"&amp;TEXT(TODAY(),"YYYYMMDD"))</f>
        <v/>
      </c>
      <c r="C1169" s="40" t="str">
        <f>IF(Agent06_Withdrawals!A176="","",Agent06_Withdrawals!B176)</f>
        <v/>
      </c>
      <c r="D1169" s="43" t="str">
        <f>IF(Agent06_Withdrawals!A176="","",Agent06_Withdrawals!C176)</f>
        <v/>
      </c>
      <c r="E1169" s="41" t="str">
        <f>IF(Agent06_Withdrawals!A176="","",Agent06_Withdrawals!D176)</f>
        <v/>
      </c>
      <c r="F1169" s="40" t="str">
        <f>IF(Agent06_Withdrawals!A176="","",Agent06_Withdrawals!F176)</f>
        <v/>
      </c>
      <c r="G1169" s="42" t="str">
        <f>IF(Agent06_Withdrawals!A176="","",Agent06_Withdrawals!E176)</f>
        <v/>
      </c>
      <c r="H1169" s="42" t="str">
        <f>IF(Agent06_Withdrawals!A176="","",Agent06_Withdrawals!G176)</f>
        <v/>
      </c>
      <c r="I1169" s="40" t="str">
        <f>IF(Agent06_Withdrawals!A176="","",Agent06_Withdrawals!H176)</f>
        <v/>
      </c>
      <c r="J1169" s="40" t="str">
        <f>IF(Agent06_Withdrawals!A176="","",Agent06_Withdrawals!J176)</f>
        <v/>
      </c>
      <c r="K1169" s="40" t="str">
        <f>IF(Agent06_Withdrawals!A176="","",Agent06_Withdrawals!K176)</f>
        <v/>
      </c>
      <c r="L1169" s="40" t="str">
        <f>IF(G1169="","",IF(D1169-G1169&gt;=System_Config!$B$9,"✅ OK","⚠️ BREACH"))</f>
        <v/>
      </c>
      <c r="M1169" s="40" t="str">
        <f>IFERROR(IF(Agent06_Withdrawals!A176="","",YEAR(Agent06_Withdrawals!D176)),"")</f>
        <v/>
      </c>
    </row>
    <row r="1170" spans="1:13" ht="18" customHeight="1" x14ac:dyDescent="0.25">
      <c r="A1170" s="40" t="str">
        <f>IF(Agent06_Withdrawals!A177="","",Agent06_Withdrawals!A177)</f>
        <v/>
      </c>
      <c r="B1170" s="40" t="str">
        <f ca="1">IF(Agent06_Withdrawals!A177="","","WD"&amp;TEXT(1170-3,"0000")&amp;"-"&amp;TEXT(TODAY(),"YYYYMMDD"))</f>
        <v/>
      </c>
      <c r="C1170" s="40" t="str">
        <f>IF(Agent06_Withdrawals!A177="","",Agent06_Withdrawals!B177)</f>
        <v/>
      </c>
      <c r="D1170" s="43" t="str">
        <f>IF(Agent06_Withdrawals!A177="","",Agent06_Withdrawals!C177)</f>
        <v/>
      </c>
      <c r="E1170" s="41" t="str">
        <f>IF(Agent06_Withdrawals!A177="","",Agent06_Withdrawals!D177)</f>
        <v/>
      </c>
      <c r="F1170" s="40" t="str">
        <f>IF(Agent06_Withdrawals!A177="","",Agent06_Withdrawals!F177)</f>
        <v/>
      </c>
      <c r="G1170" s="42" t="str">
        <f>IF(Agent06_Withdrawals!A177="","",Agent06_Withdrawals!E177)</f>
        <v/>
      </c>
      <c r="H1170" s="42" t="str">
        <f>IF(Agent06_Withdrawals!A177="","",Agent06_Withdrawals!G177)</f>
        <v/>
      </c>
      <c r="I1170" s="40" t="str">
        <f>IF(Agent06_Withdrawals!A177="","",Agent06_Withdrawals!H177)</f>
        <v/>
      </c>
      <c r="J1170" s="40" t="str">
        <f>IF(Agent06_Withdrawals!A177="","",Agent06_Withdrawals!J177)</f>
        <v/>
      </c>
      <c r="K1170" s="40" t="str">
        <f>IF(Agent06_Withdrawals!A177="","",Agent06_Withdrawals!K177)</f>
        <v/>
      </c>
      <c r="L1170" s="40" t="str">
        <f>IF(G1170="","",IF(D1170-G1170&gt;=System_Config!$B$9,"✅ OK","⚠️ BREACH"))</f>
        <v/>
      </c>
      <c r="M1170" s="40" t="str">
        <f>IFERROR(IF(Agent06_Withdrawals!A177="","",YEAR(Agent06_Withdrawals!D177)),"")</f>
        <v/>
      </c>
    </row>
    <row r="1171" spans="1:13" ht="18" customHeight="1" x14ac:dyDescent="0.25">
      <c r="A1171" s="40" t="str">
        <f>IF(Agent06_Withdrawals!A178="","",Agent06_Withdrawals!A178)</f>
        <v/>
      </c>
      <c r="B1171" s="40" t="str">
        <f ca="1">IF(Agent06_Withdrawals!A178="","","WD"&amp;TEXT(1171-3,"0000")&amp;"-"&amp;TEXT(TODAY(),"YYYYMMDD"))</f>
        <v/>
      </c>
      <c r="C1171" s="40" t="str">
        <f>IF(Agent06_Withdrawals!A178="","",Agent06_Withdrawals!B178)</f>
        <v/>
      </c>
      <c r="D1171" s="43" t="str">
        <f>IF(Agent06_Withdrawals!A178="","",Agent06_Withdrawals!C178)</f>
        <v/>
      </c>
      <c r="E1171" s="41" t="str">
        <f>IF(Agent06_Withdrawals!A178="","",Agent06_Withdrawals!D178)</f>
        <v/>
      </c>
      <c r="F1171" s="40" t="str">
        <f>IF(Agent06_Withdrawals!A178="","",Agent06_Withdrawals!F178)</f>
        <v/>
      </c>
      <c r="G1171" s="42" t="str">
        <f>IF(Agent06_Withdrawals!A178="","",Agent06_Withdrawals!E178)</f>
        <v/>
      </c>
      <c r="H1171" s="42" t="str">
        <f>IF(Agent06_Withdrawals!A178="","",Agent06_Withdrawals!G178)</f>
        <v/>
      </c>
      <c r="I1171" s="40" t="str">
        <f>IF(Agent06_Withdrawals!A178="","",Agent06_Withdrawals!H178)</f>
        <v/>
      </c>
      <c r="J1171" s="40" t="str">
        <f>IF(Agent06_Withdrawals!A178="","",Agent06_Withdrawals!J178)</f>
        <v/>
      </c>
      <c r="K1171" s="40" t="str">
        <f>IF(Agent06_Withdrawals!A178="","",Agent06_Withdrawals!K178)</f>
        <v/>
      </c>
      <c r="L1171" s="40" t="str">
        <f>IF(G1171="","",IF(D1171-G1171&gt;=System_Config!$B$9,"✅ OK","⚠️ BREACH"))</f>
        <v/>
      </c>
      <c r="M1171" s="40" t="str">
        <f>IFERROR(IF(Agent06_Withdrawals!A178="","",YEAR(Agent06_Withdrawals!D178)),"")</f>
        <v/>
      </c>
    </row>
    <row r="1172" spans="1:13" ht="18" customHeight="1" x14ac:dyDescent="0.25">
      <c r="A1172" s="40" t="str">
        <f>IF(Agent06_Withdrawals!A179="","",Agent06_Withdrawals!A179)</f>
        <v/>
      </c>
      <c r="B1172" s="40" t="str">
        <f ca="1">IF(Agent06_Withdrawals!A179="","","WD"&amp;TEXT(1172-3,"0000")&amp;"-"&amp;TEXT(TODAY(),"YYYYMMDD"))</f>
        <v/>
      </c>
      <c r="C1172" s="40" t="str">
        <f>IF(Agent06_Withdrawals!A179="","",Agent06_Withdrawals!B179)</f>
        <v/>
      </c>
      <c r="D1172" s="43" t="str">
        <f>IF(Agent06_Withdrawals!A179="","",Agent06_Withdrawals!C179)</f>
        <v/>
      </c>
      <c r="E1172" s="41" t="str">
        <f>IF(Agent06_Withdrawals!A179="","",Agent06_Withdrawals!D179)</f>
        <v/>
      </c>
      <c r="F1172" s="40" t="str">
        <f>IF(Agent06_Withdrawals!A179="","",Agent06_Withdrawals!F179)</f>
        <v/>
      </c>
      <c r="G1172" s="42" t="str">
        <f>IF(Agent06_Withdrawals!A179="","",Agent06_Withdrawals!E179)</f>
        <v/>
      </c>
      <c r="H1172" s="42" t="str">
        <f>IF(Agent06_Withdrawals!A179="","",Agent06_Withdrawals!G179)</f>
        <v/>
      </c>
      <c r="I1172" s="40" t="str">
        <f>IF(Agent06_Withdrawals!A179="","",Agent06_Withdrawals!H179)</f>
        <v/>
      </c>
      <c r="J1172" s="40" t="str">
        <f>IF(Agent06_Withdrawals!A179="","",Agent06_Withdrawals!J179)</f>
        <v/>
      </c>
      <c r="K1172" s="40" t="str">
        <f>IF(Agent06_Withdrawals!A179="","",Agent06_Withdrawals!K179)</f>
        <v/>
      </c>
      <c r="L1172" s="40" t="str">
        <f>IF(G1172="","",IF(D1172-G1172&gt;=System_Config!$B$9,"✅ OK","⚠️ BREACH"))</f>
        <v/>
      </c>
      <c r="M1172" s="40" t="str">
        <f>IFERROR(IF(Agent06_Withdrawals!A179="","",YEAR(Agent06_Withdrawals!D179)),"")</f>
        <v/>
      </c>
    </row>
    <row r="1173" spans="1:13" ht="18" customHeight="1" x14ac:dyDescent="0.25">
      <c r="A1173" s="40" t="str">
        <f>IF(Agent06_Withdrawals!A180="","",Agent06_Withdrawals!A180)</f>
        <v/>
      </c>
      <c r="B1173" s="40" t="str">
        <f ca="1">IF(Agent06_Withdrawals!A180="","","WD"&amp;TEXT(1173-3,"0000")&amp;"-"&amp;TEXT(TODAY(),"YYYYMMDD"))</f>
        <v/>
      </c>
      <c r="C1173" s="40" t="str">
        <f>IF(Agent06_Withdrawals!A180="","",Agent06_Withdrawals!B180)</f>
        <v/>
      </c>
      <c r="D1173" s="43" t="str">
        <f>IF(Agent06_Withdrawals!A180="","",Agent06_Withdrawals!C180)</f>
        <v/>
      </c>
      <c r="E1173" s="41" t="str">
        <f>IF(Agent06_Withdrawals!A180="","",Agent06_Withdrawals!D180)</f>
        <v/>
      </c>
      <c r="F1173" s="40" t="str">
        <f>IF(Agent06_Withdrawals!A180="","",Agent06_Withdrawals!F180)</f>
        <v/>
      </c>
      <c r="G1173" s="42" t="str">
        <f>IF(Agent06_Withdrawals!A180="","",Agent06_Withdrawals!E180)</f>
        <v/>
      </c>
      <c r="H1173" s="42" t="str">
        <f>IF(Agent06_Withdrawals!A180="","",Agent06_Withdrawals!G180)</f>
        <v/>
      </c>
      <c r="I1173" s="40" t="str">
        <f>IF(Agent06_Withdrawals!A180="","",Agent06_Withdrawals!H180)</f>
        <v/>
      </c>
      <c r="J1173" s="40" t="str">
        <f>IF(Agent06_Withdrawals!A180="","",Agent06_Withdrawals!J180)</f>
        <v/>
      </c>
      <c r="K1173" s="40" t="str">
        <f>IF(Agent06_Withdrawals!A180="","",Agent06_Withdrawals!K180)</f>
        <v/>
      </c>
      <c r="L1173" s="40" t="str">
        <f>IF(G1173="","",IF(D1173-G1173&gt;=System_Config!$B$9,"✅ OK","⚠️ BREACH"))</f>
        <v/>
      </c>
      <c r="M1173" s="40" t="str">
        <f>IFERROR(IF(Agent06_Withdrawals!A180="","",YEAR(Agent06_Withdrawals!D180)),"")</f>
        <v/>
      </c>
    </row>
    <row r="1174" spans="1:13" ht="18" customHeight="1" x14ac:dyDescent="0.25">
      <c r="A1174" s="40" t="str">
        <f>IF(Agent06_Withdrawals!A181="","",Agent06_Withdrawals!A181)</f>
        <v/>
      </c>
      <c r="B1174" s="40" t="str">
        <f ca="1">IF(Agent06_Withdrawals!A181="","","WD"&amp;TEXT(1174-3,"0000")&amp;"-"&amp;TEXT(TODAY(),"YYYYMMDD"))</f>
        <v/>
      </c>
      <c r="C1174" s="40" t="str">
        <f>IF(Agent06_Withdrawals!A181="","",Agent06_Withdrawals!B181)</f>
        <v/>
      </c>
      <c r="D1174" s="43" t="str">
        <f>IF(Agent06_Withdrawals!A181="","",Agent06_Withdrawals!C181)</f>
        <v/>
      </c>
      <c r="E1174" s="41" t="str">
        <f>IF(Agent06_Withdrawals!A181="","",Agent06_Withdrawals!D181)</f>
        <v/>
      </c>
      <c r="F1174" s="40" t="str">
        <f>IF(Agent06_Withdrawals!A181="","",Agent06_Withdrawals!F181)</f>
        <v/>
      </c>
      <c r="G1174" s="42" t="str">
        <f>IF(Agent06_Withdrawals!A181="","",Agent06_Withdrawals!E181)</f>
        <v/>
      </c>
      <c r="H1174" s="42" t="str">
        <f>IF(Agent06_Withdrawals!A181="","",Agent06_Withdrawals!G181)</f>
        <v/>
      </c>
      <c r="I1174" s="40" t="str">
        <f>IF(Agent06_Withdrawals!A181="","",Agent06_Withdrawals!H181)</f>
        <v/>
      </c>
      <c r="J1174" s="40" t="str">
        <f>IF(Agent06_Withdrawals!A181="","",Agent06_Withdrawals!J181)</f>
        <v/>
      </c>
      <c r="K1174" s="40" t="str">
        <f>IF(Agent06_Withdrawals!A181="","",Agent06_Withdrawals!K181)</f>
        <v/>
      </c>
      <c r="L1174" s="40" t="str">
        <f>IF(G1174="","",IF(D1174-G1174&gt;=System_Config!$B$9,"✅ OK","⚠️ BREACH"))</f>
        <v/>
      </c>
      <c r="M1174" s="40" t="str">
        <f>IFERROR(IF(Agent06_Withdrawals!A181="","",YEAR(Agent06_Withdrawals!D181)),"")</f>
        <v/>
      </c>
    </row>
    <row r="1175" spans="1:13" ht="18" customHeight="1" x14ac:dyDescent="0.25">
      <c r="A1175" s="40" t="str">
        <f>IF(Agent06_Withdrawals!A182="","",Agent06_Withdrawals!A182)</f>
        <v/>
      </c>
      <c r="B1175" s="40" t="str">
        <f ca="1">IF(Agent06_Withdrawals!A182="","","WD"&amp;TEXT(1175-3,"0000")&amp;"-"&amp;TEXT(TODAY(),"YYYYMMDD"))</f>
        <v/>
      </c>
      <c r="C1175" s="40" t="str">
        <f>IF(Agent06_Withdrawals!A182="","",Agent06_Withdrawals!B182)</f>
        <v/>
      </c>
      <c r="D1175" s="43" t="str">
        <f>IF(Agent06_Withdrawals!A182="","",Agent06_Withdrawals!C182)</f>
        <v/>
      </c>
      <c r="E1175" s="41" t="str">
        <f>IF(Agent06_Withdrawals!A182="","",Agent06_Withdrawals!D182)</f>
        <v/>
      </c>
      <c r="F1175" s="40" t="str">
        <f>IF(Agent06_Withdrawals!A182="","",Agent06_Withdrawals!F182)</f>
        <v/>
      </c>
      <c r="G1175" s="42" t="str">
        <f>IF(Agent06_Withdrawals!A182="","",Agent06_Withdrawals!E182)</f>
        <v/>
      </c>
      <c r="H1175" s="42" t="str">
        <f>IF(Agent06_Withdrawals!A182="","",Agent06_Withdrawals!G182)</f>
        <v/>
      </c>
      <c r="I1175" s="40" t="str">
        <f>IF(Agent06_Withdrawals!A182="","",Agent06_Withdrawals!H182)</f>
        <v/>
      </c>
      <c r="J1175" s="40" t="str">
        <f>IF(Agent06_Withdrawals!A182="","",Agent06_Withdrawals!J182)</f>
        <v/>
      </c>
      <c r="K1175" s="40" t="str">
        <f>IF(Agent06_Withdrawals!A182="","",Agent06_Withdrawals!K182)</f>
        <v/>
      </c>
      <c r="L1175" s="40" t="str">
        <f>IF(G1175="","",IF(D1175-G1175&gt;=System_Config!$B$9,"✅ OK","⚠️ BREACH"))</f>
        <v/>
      </c>
      <c r="M1175" s="40" t="str">
        <f>IFERROR(IF(Agent06_Withdrawals!A182="","",YEAR(Agent06_Withdrawals!D182)),"")</f>
        <v/>
      </c>
    </row>
    <row r="1176" spans="1:13" ht="18" customHeight="1" x14ac:dyDescent="0.25">
      <c r="A1176" s="40" t="str">
        <f>IF(Agent06_Withdrawals!A183="","",Agent06_Withdrawals!A183)</f>
        <v/>
      </c>
      <c r="B1176" s="40" t="str">
        <f ca="1">IF(Agent06_Withdrawals!A183="","","WD"&amp;TEXT(1176-3,"0000")&amp;"-"&amp;TEXT(TODAY(),"YYYYMMDD"))</f>
        <v/>
      </c>
      <c r="C1176" s="40" t="str">
        <f>IF(Agent06_Withdrawals!A183="","",Agent06_Withdrawals!B183)</f>
        <v/>
      </c>
      <c r="D1176" s="43" t="str">
        <f>IF(Agent06_Withdrawals!A183="","",Agent06_Withdrawals!C183)</f>
        <v/>
      </c>
      <c r="E1176" s="41" t="str">
        <f>IF(Agent06_Withdrawals!A183="","",Agent06_Withdrawals!D183)</f>
        <v/>
      </c>
      <c r="F1176" s="40" t="str">
        <f>IF(Agent06_Withdrawals!A183="","",Agent06_Withdrawals!F183)</f>
        <v/>
      </c>
      <c r="G1176" s="42" t="str">
        <f>IF(Agent06_Withdrawals!A183="","",Agent06_Withdrawals!E183)</f>
        <v/>
      </c>
      <c r="H1176" s="42" t="str">
        <f>IF(Agent06_Withdrawals!A183="","",Agent06_Withdrawals!G183)</f>
        <v/>
      </c>
      <c r="I1176" s="40" t="str">
        <f>IF(Agent06_Withdrawals!A183="","",Agent06_Withdrawals!H183)</f>
        <v/>
      </c>
      <c r="J1176" s="40" t="str">
        <f>IF(Agent06_Withdrawals!A183="","",Agent06_Withdrawals!J183)</f>
        <v/>
      </c>
      <c r="K1176" s="40" t="str">
        <f>IF(Agent06_Withdrawals!A183="","",Agent06_Withdrawals!K183)</f>
        <v/>
      </c>
      <c r="L1176" s="40" t="str">
        <f>IF(G1176="","",IF(D1176-G1176&gt;=System_Config!$B$9,"✅ OK","⚠️ BREACH"))</f>
        <v/>
      </c>
      <c r="M1176" s="40" t="str">
        <f>IFERROR(IF(Agent06_Withdrawals!A183="","",YEAR(Agent06_Withdrawals!D183)),"")</f>
        <v/>
      </c>
    </row>
    <row r="1177" spans="1:13" ht="18" customHeight="1" x14ac:dyDescent="0.25">
      <c r="A1177" s="40" t="str">
        <f>IF(Agent06_Withdrawals!A184="","",Agent06_Withdrawals!A184)</f>
        <v/>
      </c>
      <c r="B1177" s="40" t="str">
        <f ca="1">IF(Agent06_Withdrawals!A184="","","WD"&amp;TEXT(1177-3,"0000")&amp;"-"&amp;TEXT(TODAY(),"YYYYMMDD"))</f>
        <v/>
      </c>
      <c r="C1177" s="40" t="str">
        <f>IF(Agent06_Withdrawals!A184="","",Agent06_Withdrawals!B184)</f>
        <v/>
      </c>
      <c r="D1177" s="43" t="str">
        <f>IF(Agent06_Withdrawals!A184="","",Agent06_Withdrawals!C184)</f>
        <v/>
      </c>
      <c r="E1177" s="41" t="str">
        <f>IF(Agent06_Withdrawals!A184="","",Agent06_Withdrawals!D184)</f>
        <v/>
      </c>
      <c r="F1177" s="40" t="str">
        <f>IF(Agent06_Withdrawals!A184="","",Agent06_Withdrawals!F184)</f>
        <v/>
      </c>
      <c r="G1177" s="42" t="str">
        <f>IF(Agent06_Withdrawals!A184="","",Agent06_Withdrawals!E184)</f>
        <v/>
      </c>
      <c r="H1177" s="42" t="str">
        <f>IF(Agent06_Withdrawals!A184="","",Agent06_Withdrawals!G184)</f>
        <v/>
      </c>
      <c r="I1177" s="40" t="str">
        <f>IF(Agent06_Withdrawals!A184="","",Agent06_Withdrawals!H184)</f>
        <v/>
      </c>
      <c r="J1177" s="40" t="str">
        <f>IF(Agent06_Withdrawals!A184="","",Agent06_Withdrawals!J184)</f>
        <v/>
      </c>
      <c r="K1177" s="40" t="str">
        <f>IF(Agent06_Withdrawals!A184="","",Agent06_Withdrawals!K184)</f>
        <v/>
      </c>
      <c r="L1177" s="40" t="str">
        <f>IF(G1177="","",IF(D1177-G1177&gt;=System_Config!$B$9,"✅ OK","⚠️ BREACH"))</f>
        <v/>
      </c>
      <c r="M1177" s="40" t="str">
        <f>IFERROR(IF(Agent06_Withdrawals!A184="","",YEAR(Agent06_Withdrawals!D184)),"")</f>
        <v/>
      </c>
    </row>
    <row r="1178" spans="1:13" ht="18" customHeight="1" x14ac:dyDescent="0.25">
      <c r="A1178" s="40" t="str">
        <f>IF(Agent06_Withdrawals!A185="","",Agent06_Withdrawals!A185)</f>
        <v/>
      </c>
      <c r="B1178" s="40" t="str">
        <f ca="1">IF(Agent06_Withdrawals!A185="","","WD"&amp;TEXT(1178-3,"0000")&amp;"-"&amp;TEXT(TODAY(),"YYYYMMDD"))</f>
        <v/>
      </c>
      <c r="C1178" s="40" t="str">
        <f>IF(Agent06_Withdrawals!A185="","",Agent06_Withdrawals!B185)</f>
        <v/>
      </c>
      <c r="D1178" s="43" t="str">
        <f>IF(Agent06_Withdrawals!A185="","",Agent06_Withdrawals!C185)</f>
        <v/>
      </c>
      <c r="E1178" s="41" t="str">
        <f>IF(Agent06_Withdrawals!A185="","",Agent06_Withdrawals!D185)</f>
        <v/>
      </c>
      <c r="F1178" s="40" t="str">
        <f>IF(Agent06_Withdrawals!A185="","",Agent06_Withdrawals!F185)</f>
        <v/>
      </c>
      <c r="G1178" s="42" t="str">
        <f>IF(Agent06_Withdrawals!A185="","",Agent06_Withdrawals!E185)</f>
        <v/>
      </c>
      <c r="H1178" s="42" t="str">
        <f>IF(Agent06_Withdrawals!A185="","",Agent06_Withdrawals!G185)</f>
        <v/>
      </c>
      <c r="I1178" s="40" t="str">
        <f>IF(Agent06_Withdrawals!A185="","",Agent06_Withdrawals!H185)</f>
        <v/>
      </c>
      <c r="J1178" s="40" t="str">
        <f>IF(Agent06_Withdrawals!A185="","",Agent06_Withdrawals!J185)</f>
        <v/>
      </c>
      <c r="K1178" s="40" t="str">
        <f>IF(Agent06_Withdrawals!A185="","",Agent06_Withdrawals!K185)</f>
        <v/>
      </c>
      <c r="L1178" s="40" t="str">
        <f>IF(G1178="","",IF(D1178-G1178&gt;=System_Config!$B$9,"✅ OK","⚠️ BREACH"))</f>
        <v/>
      </c>
      <c r="M1178" s="40" t="str">
        <f>IFERROR(IF(Agent06_Withdrawals!A185="","",YEAR(Agent06_Withdrawals!D185)),"")</f>
        <v/>
      </c>
    </row>
    <row r="1179" spans="1:13" ht="18" customHeight="1" x14ac:dyDescent="0.25">
      <c r="A1179" s="40" t="str">
        <f>IF(Agent06_Withdrawals!A186="","",Agent06_Withdrawals!A186)</f>
        <v/>
      </c>
      <c r="B1179" s="40" t="str">
        <f ca="1">IF(Agent06_Withdrawals!A186="","","WD"&amp;TEXT(1179-3,"0000")&amp;"-"&amp;TEXT(TODAY(),"YYYYMMDD"))</f>
        <v/>
      </c>
      <c r="C1179" s="40" t="str">
        <f>IF(Agent06_Withdrawals!A186="","",Agent06_Withdrawals!B186)</f>
        <v/>
      </c>
      <c r="D1179" s="43" t="str">
        <f>IF(Agent06_Withdrawals!A186="","",Agent06_Withdrawals!C186)</f>
        <v/>
      </c>
      <c r="E1179" s="41" t="str">
        <f>IF(Agent06_Withdrawals!A186="","",Agent06_Withdrawals!D186)</f>
        <v/>
      </c>
      <c r="F1179" s="40" t="str">
        <f>IF(Agent06_Withdrawals!A186="","",Agent06_Withdrawals!F186)</f>
        <v/>
      </c>
      <c r="G1179" s="42" t="str">
        <f>IF(Agent06_Withdrawals!A186="","",Agent06_Withdrawals!E186)</f>
        <v/>
      </c>
      <c r="H1179" s="42" t="str">
        <f>IF(Agent06_Withdrawals!A186="","",Agent06_Withdrawals!G186)</f>
        <v/>
      </c>
      <c r="I1179" s="40" t="str">
        <f>IF(Agent06_Withdrawals!A186="","",Agent06_Withdrawals!H186)</f>
        <v/>
      </c>
      <c r="J1179" s="40" t="str">
        <f>IF(Agent06_Withdrawals!A186="","",Agent06_Withdrawals!J186)</f>
        <v/>
      </c>
      <c r="K1179" s="40" t="str">
        <f>IF(Agent06_Withdrawals!A186="","",Agent06_Withdrawals!K186)</f>
        <v/>
      </c>
      <c r="L1179" s="40" t="str">
        <f>IF(G1179="","",IF(D1179-G1179&gt;=System_Config!$B$9,"✅ OK","⚠️ BREACH"))</f>
        <v/>
      </c>
      <c r="M1179" s="40" t="str">
        <f>IFERROR(IF(Agent06_Withdrawals!A186="","",YEAR(Agent06_Withdrawals!D186)),"")</f>
        <v/>
      </c>
    </row>
    <row r="1180" spans="1:13" ht="18" customHeight="1" x14ac:dyDescent="0.25">
      <c r="A1180" s="40" t="str">
        <f>IF(Agent06_Withdrawals!A187="","",Agent06_Withdrawals!A187)</f>
        <v/>
      </c>
      <c r="B1180" s="40" t="str">
        <f ca="1">IF(Agent06_Withdrawals!A187="","","WD"&amp;TEXT(1180-3,"0000")&amp;"-"&amp;TEXT(TODAY(),"YYYYMMDD"))</f>
        <v/>
      </c>
      <c r="C1180" s="40" t="str">
        <f>IF(Agent06_Withdrawals!A187="","",Agent06_Withdrawals!B187)</f>
        <v/>
      </c>
      <c r="D1180" s="43" t="str">
        <f>IF(Agent06_Withdrawals!A187="","",Agent06_Withdrawals!C187)</f>
        <v/>
      </c>
      <c r="E1180" s="41" t="str">
        <f>IF(Agent06_Withdrawals!A187="","",Agent06_Withdrawals!D187)</f>
        <v/>
      </c>
      <c r="F1180" s="40" t="str">
        <f>IF(Agent06_Withdrawals!A187="","",Agent06_Withdrawals!F187)</f>
        <v/>
      </c>
      <c r="G1180" s="42" t="str">
        <f>IF(Agent06_Withdrawals!A187="","",Agent06_Withdrawals!E187)</f>
        <v/>
      </c>
      <c r="H1180" s="42" t="str">
        <f>IF(Agent06_Withdrawals!A187="","",Agent06_Withdrawals!G187)</f>
        <v/>
      </c>
      <c r="I1180" s="40" t="str">
        <f>IF(Agent06_Withdrawals!A187="","",Agent06_Withdrawals!H187)</f>
        <v/>
      </c>
      <c r="J1180" s="40" t="str">
        <f>IF(Agent06_Withdrawals!A187="","",Agent06_Withdrawals!J187)</f>
        <v/>
      </c>
      <c r="K1180" s="40" t="str">
        <f>IF(Agent06_Withdrawals!A187="","",Agent06_Withdrawals!K187)</f>
        <v/>
      </c>
      <c r="L1180" s="40" t="str">
        <f>IF(G1180="","",IF(D1180-G1180&gt;=System_Config!$B$9,"✅ OK","⚠️ BREACH"))</f>
        <v/>
      </c>
      <c r="M1180" s="40" t="str">
        <f>IFERROR(IF(Agent06_Withdrawals!A187="","",YEAR(Agent06_Withdrawals!D187)),"")</f>
        <v/>
      </c>
    </row>
    <row r="1181" spans="1:13" ht="18" customHeight="1" x14ac:dyDescent="0.25">
      <c r="A1181" s="40" t="str">
        <f>IF(Agent06_Withdrawals!A188="","",Agent06_Withdrawals!A188)</f>
        <v/>
      </c>
      <c r="B1181" s="40" t="str">
        <f ca="1">IF(Agent06_Withdrawals!A188="","","WD"&amp;TEXT(1181-3,"0000")&amp;"-"&amp;TEXT(TODAY(),"YYYYMMDD"))</f>
        <v/>
      </c>
      <c r="C1181" s="40" t="str">
        <f>IF(Agent06_Withdrawals!A188="","",Agent06_Withdrawals!B188)</f>
        <v/>
      </c>
      <c r="D1181" s="43" t="str">
        <f>IF(Agent06_Withdrawals!A188="","",Agent06_Withdrawals!C188)</f>
        <v/>
      </c>
      <c r="E1181" s="41" t="str">
        <f>IF(Agent06_Withdrawals!A188="","",Agent06_Withdrawals!D188)</f>
        <v/>
      </c>
      <c r="F1181" s="40" t="str">
        <f>IF(Agent06_Withdrawals!A188="","",Agent06_Withdrawals!F188)</f>
        <v/>
      </c>
      <c r="G1181" s="42" t="str">
        <f>IF(Agent06_Withdrawals!A188="","",Agent06_Withdrawals!E188)</f>
        <v/>
      </c>
      <c r="H1181" s="42" t="str">
        <f>IF(Agent06_Withdrawals!A188="","",Agent06_Withdrawals!G188)</f>
        <v/>
      </c>
      <c r="I1181" s="40" t="str">
        <f>IF(Agent06_Withdrawals!A188="","",Agent06_Withdrawals!H188)</f>
        <v/>
      </c>
      <c r="J1181" s="40" t="str">
        <f>IF(Agent06_Withdrawals!A188="","",Agent06_Withdrawals!J188)</f>
        <v/>
      </c>
      <c r="K1181" s="40" t="str">
        <f>IF(Agent06_Withdrawals!A188="","",Agent06_Withdrawals!K188)</f>
        <v/>
      </c>
      <c r="L1181" s="40" t="str">
        <f>IF(G1181="","",IF(D1181-G1181&gt;=System_Config!$B$9,"✅ OK","⚠️ BREACH"))</f>
        <v/>
      </c>
      <c r="M1181" s="40" t="str">
        <f>IFERROR(IF(Agent06_Withdrawals!A188="","",YEAR(Agent06_Withdrawals!D188)),"")</f>
        <v/>
      </c>
    </row>
    <row r="1182" spans="1:13" ht="18" customHeight="1" x14ac:dyDescent="0.25">
      <c r="A1182" s="40" t="str">
        <f>IF(Agent06_Withdrawals!A189="","",Agent06_Withdrawals!A189)</f>
        <v/>
      </c>
      <c r="B1182" s="40" t="str">
        <f ca="1">IF(Agent06_Withdrawals!A189="","","WD"&amp;TEXT(1182-3,"0000")&amp;"-"&amp;TEXT(TODAY(),"YYYYMMDD"))</f>
        <v/>
      </c>
      <c r="C1182" s="40" t="str">
        <f>IF(Agent06_Withdrawals!A189="","",Agent06_Withdrawals!B189)</f>
        <v/>
      </c>
      <c r="D1182" s="43" t="str">
        <f>IF(Agent06_Withdrawals!A189="","",Agent06_Withdrawals!C189)</f>
        <v/>
      </c>
      <c r="E1182" s="41" t="str">
        <f>IF(Agent06_Withdrawals!A189="","",Agent06_Withdrawals!D189)</f>
        <v/>
      </c>
      <c r="F1182" s="40" t="str">
        <f>IF(Agent06_Withdrawals!A189="","",Agent06_Withdrawals!F189)</f>
        <v/>
      </c>
      <c r="G1182" s="42" t="str">
        <f>IF(Agent06_Withdrawals!A189="","",Agent06_Withdrawals!E189)</f>
        <v/>
      </c>
      <c r="H1182" s="42" t="str">
        <f>IF(Agent06_Withdrawals!A189="","",Agent06_Withdrawals!G189)</f>
        <v/>
      </c>
      <c r="I1182" s="40" t="str">
        <f>IF(Agent06_Withdrawals!A189="","",Agent06_Withdrawals!H189)</f>
        <v/>
      </c>
      <c r="J1182" s="40" t="str">
        <f>IF(Agent06_Withdrawals!A189="","",Agent06_Withdrawals!J189)</f>
        <v/>
      </c>
      <c r="K1182" s="40" t="str">
        <f>IF(Agent06_Withdrawals!A189="","",Agent06_Withdrawals!K189)</f>
        <v/>
      </c>
      <c r="L1182" s="40" t="str">
        <f>IF(G1182="","",IF(D1182-G1182&gt;=System_Config!$B$9,"✅ OK","⚠️ BREACH"))</f>
        <v/>
      </c>
      <c r="M1182" s="40" t="str">
        <f>IFERROR(IF(Agent06_Withdrawals!A189="","",YEAR(Agent06_Withdrawals!D189)),"")</f>
        <v/>
      </c>
    </row>
    <row r="1183" spans="1:13" ht="18" customHeight="1" x14ac:dyDescent="0.25">
      <c r="A1183" s="40" t="str">
        <f>IF(Agent06_Withdrawals!A190="","",Agent06_Withdrawals!A190)</f>
        <v/>
      </c>
      <c r="B1183" s="40" t="str">
        <f ca="1">IF(Agent06_Withdrawals!A190="","","WD"&amp;TEXT(1183-3,"0000")&amp;"-"&amp;TEXT(TODAY(),"YYYYMMDD"))</f>
        <v/>
      </c>
      <c r="C1183" s="40" t="str">
        <f>IF(Agent06_Withdrawals!A190="","",Agent06_Withdrawals!B190)</f>
        <v/>
      </c>
      <c r="D1183" s="43" t="str">
        <f>IF(Agent06_Withdrawals!A190="","",Agent06_Withdrawals!C190)</f>
        <v/>
      </c>
      <c r="E1183" s="41" t="str">
        <f>IF(Agent06_Withdrawals!A190="","",Agent06_Withdrawals!D190)</f>
        <v/>
      </c>
      <c r="F1183" s="40" t="str">
        <f>IF(Agent06_Withdrawals!A190="","",Agent06_Withdrawals!F190)</f>
        <v/>
      </c>
      <c r="G1183" s="42" t="str">
        <f>IF(Agent06_Withdrawals!A190="","",Agent06_Withdrawals!E190)</f>
        <v/>
      </c>
      <c r="H1183" s="42" t="str">
        <f>IF(Agent06_Withdrawals!A190="","",Agent06_Withdrawals!G190)</f>
        <v/>
      </c>
      <c r="I1183" s="40" t="str">
        <f>IF(Agent06_Withdrawals!A190="","",Agent06_Withdrawals!H190)</f>
        <v/>
      </c>
      <c r="J1183" s="40" t="str">
        <f>IF(Agent06_Withdrawals!A190="","",Agent06_Withdrawals!J190)</f>
        <v/>
      </c>
      <c r="K1183" s="40" t="str">
        <f>IF(Agent06_Withdrawals!A190="","",Agent06_Withdrawals!K190)</f>
        <v/>
      </c>
      <c r="L1183" s="40" t="str">
        <f>IF(G1183="","",IF(D1183-G1183&gt;=System_Config!$B$9,"✅ OK","⚠️ BREACH"))</f>
        <v/>
      </c>
      <c r="M1183" s="40" t="str">
        <f>IFERROR(IF(Agent06_Withdrawals!A190="","",YEAR(Agent06_Withdrawals!D190)),"")</f>
        <v/>
      </c>
    </row>
    <row r="1184" spans="1:13" ht="18" customHeight="1" x14ac:dyDescent="0.25">
      <c r="A1184" s="40" t="str">
        <f>IF(Agent06_Withdrawals!A191="","",Agent06_Withdrawals!A191)</f>
        <v/>
      </c>
      <c r="B1184" s="40" t="str">
        <f ca="1">IF(Agent06_Withdrawals!A191="","","WD"&amp;TEXT(1184-3,"0000")&amp;"-"&amp;TEXT(TODAY(),"YYYYMMDD"))</f>
        <v/>
      </c>
      <c r="C1184" s="40" t="str">
        <f>IF(Agent06_Withdrawals!A191="","",Agent06_Withdrawals!B191)</f>
        <v/>
      </c>
      <c r="D1184" s="43" t="str">
        <f>IF(Agent06_Withdrawals!A191="","",Agent06_Withdrawals!C191)</f>
        <v/>
      </c>
      <c r="E1184" s="41" t="str">
        <f>IF(Agent06_Withdrawals!A191="","",Agent06_Withdrawals!D191)</f>
        <v/>
      </c>
      <c r="F1184" s="40" t="str">
        <f>IF(Agent06_Withdrawals!A191="","",Agent06_Withdrawals!F191)</f>
        <v/>
      </c>
      <c r="G1184" s="42" t="str">
        <f>IF(Agent06_Withdrawals!A191="","",Agent06_Withdrawals!E191)</f>
        <v/>
      </c>
      <c r="H1184" s="42" t="str">
        <f>IF(Agent06_Withdrawals!A191="","",Agent06_Withdrawals!G191)</f>
        <v/>
      </c>
      <c r="I1184" s="40" t="str">
        <f>IF(Agent06_Withdrawals!A191="","",Agent06_Withdrawals!H191)</f>
        <v/>
      </c>
      <c r="J1184" s="40" t="str">
        <f>IF(Agent06_Withdrawals!A191="","",Agent06_Withdrawals!J191)</f>
        <v/>
      </c>
      <c r="K1184" s="40" t="str">
        <f>IF(Agent06_Withdrawals!A191="","",Agent06_Withdrawals!K191)</f>
        <v/>
      </c>
      <c r="L1184" s="40" t="str">
        <f>IF(G1184="","",IF(D1184-G1184&gt;=System_Config!$B$9,"✅ OK","⚠️ BREACH"))</f>
        <v/>
      </c>
      <c r="M1184" s="40" t="str">
        <f>IFERROR(IF(Agent06_Withdrawals!A191="","",YEAR(Agent06_Withdrawals!D191)),"")</f>
        <v/>
      </c>
    </row>
    <row r="1185" spans="1:13" ht="18" customHeight="1" x14ac:dyDescent="0.25">
      <c r="A1185" s="40" t="str">
        <f>IF(Agent06_Withdrawals!A192="","",Agent06_Withdrawals!A192)</f>
        <v/>
      </c>
      <c r="B1185" s="40" t="str">
        <f ca="1">IF(Agent06_Withdrawals!A192="","","WD"&amp;TEXT(1185-3,"0000")&amp;"-"&amp;TEXT(TODAY(),"YYYYMMDD"))</f>
        <v/>
      </c>
      <c r="C1185" s="40" t="str">
        <f>IF(Agent06_Withdrawals!A192="","",Agent06_Withdrawals!B192)</f>
        <v/>
      </c>
      <c r="D1185" s="43" t="str">
        <f>IF(Agent06_Withdrawals!A192="","",Agent06_Withdrawals!C192)</f>
        <v/>
      </c>
      <c r="E1185" s="41" t="str">
        <f>IF(Agent06_Withdrawals!A192="","",Agent06_Withdrawals!D192)</f>
        <v/>
      </c>
      <c r="F1185" s="40" t="str">
        <f>IF(Agent06_Withdrawals!A192="","",Agent06_Withdrawals!F192)</f>
        <v/>
      </c>
      <c r="G1185" s="42" t="str">
        <f>IF(Agent06_Withdrawals!A192="","",Agent06_Withdrawals!E192)</f>
        <v/>
      </c>
      <c r="H1185" s="42" t="str">
        <f>IF(Agent06_Withdrawals!A192="","",Agent06_Withdrawals!G192)</f>
        <v/>
      </c>
      <c r="I1185" s="40" t="str">
        <f>IF(Agent06_Withdrawals!A192="","",Agent06_Withdrawals!H192)</f>
        <v/>
      </c>
      <c r="J1185" s="40" t="str">
        <f>IF(Agent06_Withdrawals!A192="","",Agent06_Withdrawals!J192)</f>
        <v/>
      </c>
      <c r="K1185" s="40" t="str">
        <f>IF(Agent06_Withdrawals!A192="","",Agent06_Withdrawals!K192)</f>
        <v/>
      </c>
      <c r="L1185" s="40" t="str">
        <f>IF(G1185="","",IF(D1185-G1185&gt;=System_Config!$B$9,"✅ OK","⚠️ BREACH"))</f>
        <v/>
      </c>
      <c r="M1185" s="40" t="str">
        <f>IFERROR(IF(Agent06_Withdrawals!A192="","",YEAR(Agent06_Withdrawals!D192)),"")</f>
        <v/>
      </c>
    </row>
    <row r="1186" spans="1:13" ht="18" customHeight="1" x14ac:dyDescent="0.25">
      <c r="A1186" s="40" t="str">
        <f>IF(Agent06_Withdrawals!A193="","",Agent06_Withdrawals!A193)</f>
        <v/>
      </c>
      <c r="B1186" s="40" t="str">
        <f ca="1">IF(Agent06_Withdrawals!A193="","","WD"&amp;TEXT(1186-3,"0000")&amp;"-"&amp;TEXT(TODAY(),"YYYYMMDD"))</f>
        <v/>
      </c>
      <c r="C1186" s="40" t="str">
        <f>IF(Agent06_Withdrawals!A193="","",Agent06_Withdrawals!B193)</f>
        <v/>
      </c>
      <c r="D1186" s="43" t="str">
        <f>IF(Agent06_Withdrawals!A193="","",Agent06_Withdrawals!C193)</f>
        <v/>
      </c>
      <c r="E1186" s="41" t="str">
        <f>IF(Agent06_Withdrawals!A193="","",Agent06_Withdrawals!D193)</f>
        <v/>
      </c>
      <c r="F1186" s="40" t="str">
        <f>IF(Agent06_Withdrawals!A193="","",Agent06_Withdrawals!F193)</f>
        <v/>
      </c>
      <c r="G1186" s="42" t="str">
        <f>IF(Agent06_Withdrawals!A193="","",Agent06_Withdrawals!E193)</f>
        <v/>
      </c>
      <c r="H1186" s="42" t="str">
        <f>IF(Agent06_Withdrawals!A193="","",Agent06_Withdrawals!G193)</f>
        <v/>
      </c>
      <c r="I1186" s="40" t="str">
        <f>IF(Agent06_Withdrawals!A193="","",Agent06_Withdrawals!H193)</f>
        <v/>
      </c>
      <c r="J1186" s="40" t="str">
        <f>IF(Agent06_Withdrawals!A193="","",Agent06_Withdrawals!J193)</f>
        <v/>
      </c>
      <c r="K1186" s="40" t="str">
        <f>IF(Agent06_Withdrawals!A193="","",Agent06_Withdrawals!K193)</f>
        <v/>
      </c>
      <c r="L1186" s="40" t="str">
        <f>IF(G1186="","",IF(D1186-G1186&gt;=System_Config!$B$9,"✅ OK","⚠️ BREACH"))</f>
        <v/>
      </c>
      <c r="M1186" s="40" t="str">
        <f>IFERROR(IF(Agent06_Withdrawals!A193="","",YEAR(Agent06_Withdrawals!D193)),"")</f>
        <v/>
      </c>
    </row>
    <row r="1187" spans="1:13" ht="18" customHeight="1" x14ac:dyDescent="0.25">
      <c r="A1187" s="40" t="str">
        <f>IF(Agent06_Withdrawals!A194="","",Agent06_Withdrawals!A194)</f>
        <v/>
      </c>
      <c r="B1187" s="40" t="str">
        <f ca="1">IF(Agent06_Withdrawals!A194="","","WD"&amp;TEXT(1187-3,"0000")&amp;"-"&amp;TEXT(TODAY(),"YYYYMMDD"))</f>
        <v/>
      </c>
      <c r="C1187" s="40" t="str">
        <f>IF(Agent06_Withdrawals!A194="","",Agent06_Withdrawals!B194)</f>
        <v/>
      </c>
      <c r="D1187" s="43" t="str">
        <f>IF(Agent06_Withdrawals!A194="","",Agent06_Withdrawals!C194)</f>
        <v/>
      </c>
      <c r="E1187" s="41" t="str">
        <f>IF(Agent06_Withdrawals!A194="","",Agent06_Withdrawals!D194)</f>
        <v/>
      </c>
      <c r="F1187" s="40" t="str">
        <f>IF(Agent06_Withdrawals!A194="","",Agent06_Withdrawals!F194)</f>
        <v/>
      </c>
      <c r="G1187" s="42" t="str">
        <f>IF(Agent06_Withdrawals!A194="","",Agent06_Withdrawals!E194)</f>
        <v/>
      </c>
      <c r="H1187" s="42" t="str">
        <f>IF(Agent06_Withdrawals!A194="","",Agent06_Withdrawals!G194)</f>
        <v/>
      </c>
      <c r="I1187" s="40" t="str">
        <f>IF(Agent06_Withdrawals!A194="","",Agent06_Withdrawals!H194)</f>
        <v/>
      </c>
      <c r="J1187" s="40" t="str">
        <f>IF(Agent06_Withdrawals!A194="","",Agent06_Withdrawals!J194)</f>
        <v/>
      </c>
      <c r="K1187" s="40" t="str">
        <f>IF(Agent06_Withdrawals!A194="","",Agent06_Withdrawals!K194)</f>
        <v/>
      </c>
      <c r="L1187" s="40" t="str">
        <f>IF(G1187="","",IF(D1187-G1187&gt;=System_Config!$B$9,"✅ OK","⚠️ BREACH"))</f>
        <v/>
      </c>
      <c r="M1187" s="40" t="str">
        <f>IFERROR(IF(Agent06_Withdrawals!A194="","",YEAR(Agent06_Withdrawals!D194)),"")</f>
        <v/>
      </c>
    </row>
    <row r="1188" spans="1:13" ht="18" customHeight="1" x14ac:dyDescent="0.25">
      <c r="A1188" s="40" t="str">
        <f>IF(Agent06_Withdrawals!A195="","",Agent06_Withdrawals!A195)</f>
        <v/>
      </c>
      <c r="B1188" s="40" t="str">
        <f ca="1">IF(Agent06_Withdrawals!A195="","","WD"&amp;TEXT(1188-3,"0000")&amp;"-"&amp;TEXT(TODAY(),"YYYYMMDD"))</f>
        <v/>
      </c>
      <c r="C1188" s="40" t="str">
        <f>IF(Agent06_Withdrawals!A195="","",Agent06_Withdrawals!B195)</f>
        <v/>
      </c>
      <c r="D1188" s="43" t="str">
        <f>IF(Agent06_Withdrawals!A195="","",Agent06_Withdrawals!C195)</f>
        <v/>
      </c>
      <c r="E1188" s="41" t="str">
        <f>IF(Agent06_Withdrawals!A195="","",Agent06_Withdrawals!D195)</f>
        <v/>
      </c>
      <c r="F1188" s="40" t="str">
        <f>IF(Agent06_Withdrawals!A195="","",Agent06_Withdrawals!F195)</f>
        <v/>
      </c>
      <c r="G1188" s="42" t="str">
        <f>IF(Agent06_Withdrawals!A195="","",Agent06_Withdrawals!E195)</f>
        <v/>
      </c>
      <c r="H1188" s="42" t="str">
        <f>IF(Agent06_Withdrawals!A195="","",Agent06_Withdrawals!G195)</f>
        <v/>
      </c>
      <c r="I1188" s="40" t="str">
        <f>IF(Agent06_Withdrawals!A195="","",Agent06_Withdrawals!H195)</f>
        <v/>
      </c>
      <c r="J1188" s="40" t="str">
        <f>IF(Agent06_Withdrawals!A195="","",Agent06_Withdrawals!J195)</f>
        <v/>
      </c>
      <c r="K1188" s="40" t="str">
        <f>IF(Agent06_Withdrawals!A195="","",Agent06_Withdrawals!K195)</f>
        <v/>
      </c>
      <c r="L1188" s="40" t="str">
        <f>IF(G1188="","",IF(D1188-G1188&gt;=System_Config!$B$9,"✅ OK","⚠️ BREACH"))</f>
        <v/>
      </c>
      <c r="M1188" s="40" t="str">
        <f>IFERROR(IF(Agent06_Withdrawals!A195="","",YEAR(Agent06_Withdrawals!D195)),"")</f>
        <v/>
      </c>
    </row>
    <row r="1189" spans="1:13" ht="18" customHeight="1" x14ac:dyDescent="0.25">
      <c r="A1189" s="40" t="str">
        <f>IF(Agent06_Withdrawals!A196="","",Agent06_Withdrawals!A196)</f>
        <v/>
      </c>
      <c r="B1189" s="40" t="str">
        <f ca="1">IF(Agent06_Withdrawals!A196="","","WD"&amp;TEXT(1189-3,"0000")&amp;"-"&amp;TEXT(TODAY(),"YYYYMMDD"))</f>
        <v/>
      </c>
      <c r="C1189" s="40" t="str">
        <f>IF(Agent06_Withdrawals!A196="","",Agent06_Withdrawals!B196)</f>
        <v/>
      </c>
      <c r="D1189" s="43" t="str">
        <f>IF(Agent06_Withdrawals!A196="","",Agent06_Withdrawals!C196)</f>
        <v/>
      </c>
      <c r="E1189" s="41" t="str">
        <f>IF(Agent06_Withdrawals!A196="","",Agent06_Withdrawals!D196)</f>
        <v/>
      </c>
      <c r="F1189" s="40" t="str">
        <f>IF(Agent06_Withdrawals!A196="","",Agent06_Withdrawals!F196)</f>
        <v/>
      </c>
      <c r="G1189" s="42" t="str">
        <f>IF(Agent06_Withdrawals!A196="","",Agent06_Withdrawals!E196)</f>
        <v/>
      </c>
      <c r="H1189" s="42" t="str">
        <f>IF(Agent06_Withdrawals!A196="","",Agent06_Withdrawals!G196)</f>
        <v/>
      </c>
      <c r="I1189" s="40" t="str">
        <f>IF(Agent06_Withdrawals!A196="","",Agent06_Withdrawals!H196)</f>
        <v/>
      </c>
      <c r="J1189" s="40" t="str">
        <f>IF(Agent06_Withdrawals!A196="","",Agent06_Withdrawals!J196)</f>
        <v/>
      </c>
      <c r="K1189" s="40" t="str">
        <f>IF(Agent06_Withdrawals!A196="","",Agent06_Withdrawals!K196)</f>
        <v/>
      </c>
      <c r="L1189" s="40" t="str">
        <f>IF(G1189="","",IF(D1189-G1189&gt;=System_Config!$B$9,"✅ OK","⚠️ BREACH"))</f>
        <v/>
      </c>
      <c r="M1189" s="40" t="str">
        <f>IFERROR(IF(Agent06_Withdrawals!A196="","",YEAR(Agent06_Withdrawals!D196)),"")</f>
        <v/>
      </c>
    </row>
    <row r="1190" spans="1:13" ht="18" customHeight="1" x14ac:dyDescent="0.25">
      <c r="A1190" s="40" t="str">
        <f>IF(Agent06_Withdrawals!A197="","",Agent06_Withdrawals!A197)</f>
        <v/>
      </c>
      <c r="B1190" s="40" t="str">
        <f ca="1">IF(Agent06_Withdrawals!A197="","","WD"&amp;TEXT(1190-3,"0000")&amp;"-"&amp;TEXT(TODAY(),"YYYYMMDD"))</f>
        <v/>
      </c>
      <c r="C1190" s="40" t="str">
        <f>IF(Agent06_Withdrawals!A197="","",Agent06_Withdrawals!B197)</f>
        <v/>
      </c>
      <c r="D1190" s="43" t="str">
        <f>IF(Agent06_Withdrawals!A197="","",Agent06_Withdrawals!C197)</f>
        <v/>
      </c>
      <c r="E1190" s="41" t="str">
        <f>IF(Agent06_Withdrawals!A197="","",Agent06_Withdrawals!D197)</f>
        <v/>
      </c>
      <c r="F1190" s="40" t="str">
        <f>IF(Agent06_Withdrawals!A197="","",Agent06_Withdrawals!F197)</f>
        <v/>
      </c>
      <c r="G1190" s="42" t="str">
        <f>IF(Agent06_Withdrawals!A197="","",Agent06_Withdrawals!E197)</f>
        <v/>
      </c>
      <c r="H1190" s="42" t="str">
        <f>IF(Agent06_Withdrawals!A197="","",Agent06_Withdrawals!G197)</f>
        <v/>
      </c>
      <c r="I1190" s="40" t="str">
        <f>IF(Agent06_Withdrawals!A197="","",Agent06_Withdrawals!H197)</f>
        <v/>
      </c>
      <c r="J1190" s="40" t="str">
        <f>IF(Agent06_Withdrawals!A197="","",Agent06_Withdrawals!J197)</f>
        <v/>
      </c>
      <c r="K1190" s="40" t="str">
        <f>IF(Agent06_Withdrawals!A197="","",Agent06_Withdrawals!K197)</f>
        <v/>
      </c>
      <c r="L1190" s="40" t="str">
        <f>IF(G1190="","",IF(D1190-G1190&gt;=System_Config!$B$9,"✅ OK","⚠️ BREACH"))</f>
        <v/>
      </c>
      <c r="M1190" s="40" t="str">
        <f>IFERROR(IF(Agent06_Withdrawals!A197="","",YEAR(Agent06_Withdrawals!D197)),"")</f>
        <v/>
      </c>
    </row>
    <row r="1191" spans="1:13" ht="18" customHeight="1" x14ac:dyDescent="0.25">
      <c r="A1191" s="40" t="str">
        <f>IF(Agent06_Withdrawals!A198="","",Agent06_Withdrawals!A198)</f>
        <v/>
      </c>
      <c r="B1191" s="40" t="str">
        <f ca="1">IF(Agent06_Withdrawals!A198="","","WD"&amp;TEXT(1191-3,"0000")&amp;"-"&amp;TEXT(TODAY(),"YYYYMMDD"))</f>
        <v/>
      </c>
      <c r="C1191" s="40" t="str">
        <f>IF(Agent06_Withdrawals!A198="","",Agent06_Withdrawals!B198)</f>
        <v/>
      </c>
      <c r="D1191" s="43" t="str">
        <f>IF(Agent06_Withdrawals!A198="","",Agent06_Withdrawals!C198)</f>
        <v/>
      </c>
      <c r="E1191" s="41" t="str">
        <f>IF(Agent06_Withdrawals!A198="","",Agent06_Withdrawals!D198)</f>
        <v/>
      </c>
      <c r="F1191" s="40" t="str">
        <f>IF(Agent06_Withdrawals!A198="","",Agent06_Withdrawals!F198)</f>
        <v/>
      </c>
      <c r="G1191" s="42" t="str">
        <f>IF(Agent06_Withdrawals!A198="","",Agent06_Withdrawals!E198)</f>
        <v/>
      </c>
      <c r="H1191" s="42" t="str">
        <f>IF(Agent06_Withdrawals!A198="","",Agent06_Withdrawals!G198)</f>
        <v/>
      </c>
      <c r="I1191" s="40" t="str">
        <f>IF(Agent06_Withdrawals!A198="","",Agent06_Withdrawals!H198)</f>
        <v/>
      </c>
      <c r="J1191" s="40" t="str">
        <f>IF(Agent06_Withdrawals!A198="","",Agent06_Withdrawals!J198)</f>
        <v/>
      </c>
      <c r="K1191" s="40" t="str">
        <f>IF(Agent06_Withdrawals!A198="","",Agent06_Withdrawals!K198)</f>
        <v/>
      </c>
      <c r="L1191" s="40" t="str">
        <f>IF(G1191="","",IF(D1191-G1191&gt;=System_Config!$B$9,"✅ OK","⚠️ BREACH"))</f>
        <v/>
      </c>
      <c r="M1191" s="40" t="str">
        <f>IFERROR(IF(Agent06_Withdrawals!A198="","",YEAR(Agent06_Withdrawals!D198)),"")</f>
        <v/>
      </c>
    </row>
    <row r="1192" spans="1:13" ht="18" customHeight="1" x14ac:dyDescent="0.25">
      <c r="A1192" s="40" t="str">
        <f>IF(Agent06_Withdrawals!A199="","",Agent06_Withdrawals!A199)</f>
        <v/>
      </c>
      <c r="B1192" s="40" t="str">
        <f ca="1">IF(Agent06_Withdrawals!A199="","","WD"&amp;TEXT(1192-3,"0000")&amp;"-"&amp;TEXT(TODAY(),"YYYYMMDD"))</f>
        <v/>
      </c>
      <c r="C1192" s="40" t="str">
        <f>IF(Agent06_Withdrawals!A199="","",Agent06_Withdrawals!B199)</f>
        <v/>
      </c>
      <c r="D1192" s="43" t="str">
        <f>IF(Agent06_Withdrawals!A199="","",Agent06_Withdrawals!C199)</f>
        <v/>
      </c>
      <c r="E1192" s="41" t="str">
        <f>IF(Agent06_Withdrawals!A199="","",Agent06_Withdrawals!D199)</f>
        <v/>
      </c>
      <c r="F1192" s="40" t="str">
        <f>IF(Agent06_Withdrawals!A199="","",Agent06_Withdrawals!F199)</f>
        <v/>
      </c>
      <c r="G1192" s="42" t="str">
        <f>IF(Agent06_Withdrawals!A199="","",Agent06_Withdrawals!E199)</f>
        <v/>
      </c>
      <c r="H1192" s="42" t="str">
        <f>IF(Agent06_Withdrawals!A199="","",Agent06_Withdrawals!G199)</f>
        <v/>
      </c>
      <c r="I1192" s="40" t="str">
        <f>IF(Agent06_Withdrawals!A199="","",Agent06_Withdrawals!H199)</f>
        <v/>
      </c>
      <c r="J1192" s="40" t="str">
        <f>IF(Agent06_Withdrawals!A199="","",Agent06_Withdrawals!J199)</f>
        <v/>
      </c>
      <c r="K1192" s="40" t="str">
        <f>IF(Agent06_Withdrawals!A199="","",Agent06_Withdrawals!K199)</f>
        <v/>
      </c>
      <c r="L1192" s="40" t="str">
        <f>IF(G1192="","",IF(D1192-G1192&gt;=System_Config!$B$9,"✅ OK","⚠️ BREACH"))</f>
        <v/>
      </c>
      <c r="M1192" s="40" t="str">
        <f>IFERROR(IF(Agent06_Withdrawals!A199="","",YEAR(Agent06_Withdrawals!D199)),"")</f>
        <v/>
      </c>
    </row>
    <row r="1193" spans="1:13" ht="18" customHeight="1" x14ac:dyDescent="0.25">
      <c r="A1193" s="40" t="str">
        <f>IF(Agent06_Withdrawals!A200="","",Agent06_Withdrawals!A200)</f>
        <v/>
      </c>
      <c r="B1193" s="40" t="str">
        <f ca="1">IF(Agent06_Withdrawals!A200="","","WD"&amp;TEXT(1193-3,"0000")&amp;"-"&amp;TEXT(TODAY(),"YYYYMMDD"))</f>
        <v/>
      </c>
      <c r="C1193" s="40" t="str">
        <f>IF(Agent06_Withdrawals!A200="","",Agent06_Withdrawals!B200)</f>
        <v/>
      </c>
      <c r="D1193" s="43" t="str">
        <f>IF(Agent06_Withdrawals!A200="","",Agent06_Withdrawals!C200)</f>
        <v/>
      </c>
      <c r="E1193" s="41" t="str">
        <f>IF(Agent06_Withdrawals!A200="","",Agent06_Withdrawals!D200)</f>
        <v/>
      </c>
      <c r="F1193" s="40" t="str">
        <f>IF(Agent06_Withdrawals!A200="","",Agent06_Withdrawals!F200)</f>
        <v/>
      </c>
      <c r="G1193" s="42" t="str">
        <f>IF(Agent06_Withdrawals!A200="","",Agent06_Withdrawals!E200)</f>
        <v/>
      </c>
      <c r="H1193" s="42" t="str">
        <f>IF(Agent06_Withdrawals!A200="","",Agent06_Withdrawals!G200)</f>
        <v/>
      </c>
      <c r="I1193" s="40" t="str">
        <f>IF(Agent06_Withdrawals!A200="","",Agent06_Withdrawals!H200)</f>
        <v/>
      </c>
      <c r="J1193" s="40" t="str">
        <f>IF(Agent06_Withdrawals!A200="","",Agent06_Withdrawals!J200)</f>
        <v/>
      </c>
      <c r="K1193" s="40" t="str">
        <f>IF(Agent06_Withdrawals!A200="","",Agent06_Withdrawals!K200)</f>
        <v/>
      </c>
      <c r="L1193" s="40" t="str">
        <f>IF(G1193="","",IF(D1193-G1193&gt;=System_Config!$B$9,"✅ OK","⚠️ BREACH"))</f>
        <v/>
      </c>
      <c r="M1193" s="40" t="str">
        <f>IFERROR(IF(Agent06_Withdrawals!A200="","",YEAR(Agent06_Withdrawals!D200)),"")</f>
        <v/>
      </c>
    </row>
    <row r="1194" spans="1:13" ht="18" customHeight="1" x14ac:dyDescent="0.25">
      <c r="A1194" s="40" t="str">
        <f>IF(Agent06_Withdrawals!A201="","",Agent06_Withdrawals!A201)</f>
        <v/>
      </c>
      <c r="B1194" s="40" t="str">
        <f ca="1">IF(Agent06_Withdrawals!A201="","","WD"&amp;TEXT(1194-3,"0000")&amp;"-"&amp;TEXT(TODAY(),"YYYYMMDD"))</f>
        <v/>
      </c>
      <c r="C1194" s="40" t="str">
        <f>IF(Agent06_Withdrawals!A201="","",Agent06_Withdrawals!B201)</f>
        <v/>
      </c>
      <c r="D1194" s="43" t="str">
        <f>IF(Agent06_Withdrawals!A201="","",Agent06_Withdrawals!C201)</f>
        <v/>
      </c>
      <c r="E1194" s="41" t="str">
        <f>IF(Agent06_Withdrawals!A201="","",Agent06_Withdrawals!D201)</f>
        <v/>
      </c>
      <c r="F1194" s="40" t="str">
        <f>IF(Agent06_Withdrawals!A201="","",Agent06_Withdrawals!F201)</f>
        <v/>
      </c>
      <c r="G1194" s="42" t="str">
        <f>IF(Agent06_Withdrawals!A201="","",Agent06_Withdrawals!E201)</f>
        <v/>
      </c>
      <c r="H1194" s="42" t="str">
        <f>IF(Agent06_Withdrawals!A201="","",Agent06_Withdrawals!G201)</f>
        <v/>
      </c>
      <c r="I1194" s="40" t="str">
        <f>IF(Agent06_Withdrawals!A201="","",Agent06_Withdrawals!H201)</f>
        <v/>
      </c>
      <c r="J1194" s="40" t="str">
        <f>IF(Agent06_Withdrawals!A201="","",Agent06_Withdrawals!J201)</f>
        <v/>
      </c>
      <c r="K1194" s="40" t="str">
        <f>IF(Agent06_Withdrawals!A201="","",Agent06_Withdrawals!K201)</f>
        <v/>
      </c>
      <c r="L1194" s="40" t="str">
        <f>IF(G1194="","",IF(D1194-G1194&gt;=System_Config!$B$9,"✅ OK","⚠️ BREACH"))</f>
        <v/>
      </c>
      <c r="M1194" s="40" t="str">
        <f>IFERROR(IF(Agent06_Withdrawals!A201="","",YEAR(Agent06_Withdrawals!D201)),"")</f>
        <v/>
      </c>
    </row>
    <row r="1195" spans="1:13" ht="18" customHeight="1" x14ac:dyDescent="0.25">
      <c r="A1195" s="40" t="str">
        <f>IF(Agent06_Withdrawals!A202="","",Agent06_Withdrawals!A202)</f>
        <v/>
      </c>
      <c r="B1195" s="40" t="str">
        <f ca="1">IF(Agent06_Withdrawals!A202="","","WD"&amp;TEXT(1195-3,"0000")&amp;"-"&amp;TEXT(TODAY(),"YYYYMMDD"))</f>
        <v/>
      </c>
      <c r="C1195" s="40" t="str">
        <f>IF(Agent06_Withdrawals!A202="","",Agent06_Withdrawals!B202)</f>
        <v/>
      </c>
      <c r="D1195" s="43" t="str">
        <f>IF(Agent06_Withdrawals!A202="","",Agent06_Withdrawals!C202)</f>
        <v/>
      </c>
      <c r="E1195" s="41" t="str">
        <f>IF(Agent06_Withdrawals!A202="","",Agent06_Withdrawals!D202)</f>
        <v/>
      </c>
      <c r="F1195" s="40" t="str">
        <f>IF(Agent06_Withdrawals!A202="","",Agent06_Withdrawals!F202)</f>
        <v/>
      </c>
      <c r="G1195" s="42" t="str">
        <f>IF(Agent06_Withdrawals!A202="","",Agent06_Withdrawals!E202)</f>
        <v/>
      </c>
      <c r="H1195" s="42" t="str">
        <f>IF(Agent06_Withdrawals!A202="","",Agent06_Withdrawals!G202)</f>
        <v/>
      </c>
      <c r="I1195" s="40" t="str">
        <f>IF(Agent06_Withdrawals!A202="","",Agent06_Withdrawals!H202)</f>
        <v/>
      </c>
      <c r="J1195" s="40" t="str">
        <f>IF(Agent06_Withdrawals!A202="","",Agent06_Withdrawals!J202)</f>
        <v/>
      </c>
      <c r="K1195" s="40" t="str">
        <f>IF(Agent06_Withdrawals!A202="","",Agent06_Withdrawals!K202)</f>
        <v/>
      </c>
      <c r="L1195" s="40" t="str">
        <f>IF(G1195="","",IF(D1195-G1195&gt;=System_Config!$B$9,"✅ OK","⚠️ BREACH"))</f>
        <v/>
      </c>
      <c r="M1195" s="40" t="str">
        <f>IFERROR(IF(Agent06_Withdrawals!A202="","",YEAR(Agent06_Withdrawals!D202)),"")</f>
        <v/>
      </c>
    </row>
    <row r="1196" spans="1:13" ht="18" customHeight="1" x14ac:dyDescent="0.25">
      <c r="A1196" s="40" t="str">
        <f>IF(Agent06_Withdrawals!A203="","",Agent06_Withdrawals!A203)</f>
        <v/>
      </c>
      <c r="B1196" s="40" t="str">
        <f ca="1">IF(Agent06_Withdrawals!A203="","","WD"&amp;TEXT(1196-3,"0000")&amp;"-"&amp;TEXT(TODAY(),"YYYYMMDD"))</f>
        <v/>
      </c>
      <c r="C1196" s="40" t="str">
        <f>IF(Agent06_Withdrawals!A203="","",Agent06_Withdrawals!B203)</f>
        <v/>
      </c>
      <c r="D1196" s="43" t="str">
        <f>IF(Agent06_Withdrawals!A203="","",Agent06_Withdrawals!C203)</f>
        <v/>
      </c>
      <c r="E1196" s="41" t="str">
        <f>IF(Agent06_Withdrawals!A203="","",Agent06_Withdrawals!D203)</f>
        <v/>
      </c>
      <c r="F1196" s="40" t="str">
        <f>IF(Agent06_Withdrawals!A203="","",Agent06_Withdrawals!F203)</f>
        <v/>
      </c>
      <c r="G1196" s="42" t="str">
        <f>IF(Agent06_Withdrawals!A203="","",Agent06_Withdrawals!E203)</f>
        <v/>
      </c>
      <c r="H1196" s="42" t="str">
        <f>IF(Agent06_Withdrawals!A203="","",Agent06_Withdrawals!G203)</f>
        <v/>
      </c>
      <c r="I1196" s="40" t="str">
        <f>IF(Agent06_Withdrawals!A203="","",Agent06_Withdrawals!H203)</f>
        <v/>
      </c>
      <c r="J1196" s="40" t="str">
        <f>IF(Agent06_Withdrawals!A203="","",Agent06_Withdrawals!J203)</f>
        <v/>
      </c>
      <c r="K1196" s="40" t="str">
        <f>IF(Agent06_Withdrawals!A203="","",Agent06_Withdrawals!K203)</f>
        <v/>
      </c>
      <c r="L1196" s="40" t="str">
        <f>IF(G1196="","",IF(D1196-G1196&gt;=System_Config!$B$9,"✅ OK","⚠️ BREACH"))</f>
        <v/>
      </c>
      <c r="M1196" s="40" t="str">
        <f>IFERROR(IF(Agent06_Withdrawals!A203="","",YEAR(Agent06_Withdrawals!D203)),"")</f>
        <v/>
      </c>
    </row>
    <row r="1197" spans="1:13" ht="18" customHeight="1" x14ac:dyDescent="0.25">
      <c r="A1197" s="40" t="str">
        <f>IF(Agent06_Withdrawals!A204="","",Agent06_Withdrawals!A204)</f>
        <v/>
      </c>
      <c r="B1197" s="40" t="str">
        <f ca="1">IF(Agent06_Withdrawals!A204="","","WD"&amp;TEXT(1197-3,"0000")&amp;"-"&amp;TEXT(TODAY(),"YYYYMMDD"))</f>
        <v/>
      </c>
      <c r="C1197" s="40" t="str">
        <f>IF(Agent06_Withdrawals!A204="","",Agent06_Withdrawals!B204)</f>
        <v/>
      </c>
      <c r="D1197" s="43" t="str">
        <f>IF(Agent06_Withdrawals!A204="","",Agent06_Withdrawals!C204)</f>
        <v/>
      </c>
      <c r="E1197" s="41" t="str">
        <f>IF(Agent06_Withdrawals!A204="","",Agent06_Withdrawals!D204)</f>
        <v/>
      </c>
      <c r="F1197" s="40" t="str">
        <f>IF(Agent06_Withdrawals!A204="","",Agent06_Withdrawals!F204)</f>
        <v/>
      </c>
      <c r="G1197" s="42" t="str">
        <f>IF(Agent06_Withdrawals!A204="","",Agent06_Withdrawals!E204)</f>
        <v/>
      </c>
      <c r="H1197" s="42" t="str">
        <f>IF(Agent06_Withdrawals!A204="","",Agent06_Withdrawals!G204)</f>
        <v/>
      </c>
      <c r="I1197" s="40" t="str">
        <f>IF(Agent06_Withdrawals!A204="","",Agent06_Withdrawals!H204)</f>
        <v/>
      </c>
      <c r="J1197" s="40" t="str">
        <f>IF(Agent06_Withdrawals!A204="","",Agent06_Withdrawals!J204)</f>
        <v/>
      </c>
      <c r="K1197" s="40" t="str">
        <f>IF(Agent06_Withdrawals!A204="","",Agent06_Withdrawals!K204)</f>
        <v/>
      </c>
      <c r="L1197" s="40" t="str">
        <f>IF(G1197="","",IF(D1197-G1197&gt;=System_Config!$B$9,"✅ OK","⚠️ BREACH"))</f>
        <v/>
      </c>
      <c r="M1197" s="40" t="str">
        <f>IFERROR(IF(Agent06_Withdrawals!A204="","",YEAR(Agent06_Withdrawals!D204)),"")</f>
        <v/>
      </c>
    </row>
    <row r="1198" spans="1:13" ht="18" customHeight="1" x14ac:dyDescent="0.25">
      <c r="A1198" s="40" t="str">
        <f>IF(Agent06_Withdrawals!A205="","",Agent06_Withdrawals!A205)</f>
        <v/>
      </c>
      <c r="B1198" s="40" t="str">
        <f ca="1">IF(Agent06_Withdrawals!A205="","","WD"&amp;TEXT(1198-3,"0000")&amp;"-"&amp;TEXT(TODAY(),"YYYYMMDD"))</f>
        <v/>
      </c>
      <c r="C1198" s="40" t="str">
        <f>IF(Agent06_Withdrawals!A205="","",Agent06_Withdrawals!B205)</f>
        <v/>
      </c>
      <c r="D1198" s="43" t="str">
        <f>IF(Agent06_Withdrawals!A205="","",Agent06_Withdrawals!C205)</f>
        <v/>
      </c>
      <c r="E1198" s="41" t="str">
        <f>IF(Agent06_Withdrawals!A205="","",Agent06_Withdrawals!D205)</f>
        <v/>
      </c>
      <c r="F1198" s="40" t="str">
        <f>IF(Agent06_Withdrawals!A205="","",Agent06_Withdrawals!F205)</f>
        <v/>
      </c>
      <c r="G1198" s="42" t="str">
        <f>IF(Agent06_Withdrawals!A205="","",Agent06_Withdrawals!E205)</f>
        <v/>
      </c>
      <c r="H1198" s="42" t="str">
        <f>IF(Agent06_Withdrawals!A205="","",Agent06_Withdrawals!G205)</f>
        <v/>
      </c>
      <c r="I1198" s="40" t="str">
        <f>IF(Agent06_Withdrawals!A205="","",Agent06_Withdrawals!H205)</f>
        <v/>
      </c>
      <c r="J1198" s="40" t="str">
        <f>IF(Agent06_Withdrawals!A205="","",Agent06_Withdrawals!J205)</f>
        <v/>
      </c>
      <c r="K1198" s="40" t="str">
        <f>IF(Agent06_Withdrawals!A205="","",Agent06_Withdrawals!K205)</f>
        <v/>
      </c>
      <c r="L1198" s="40" t="str">
        <f>IF(G1198="","",IF(D1198-G1198&gt;=System_Config!$B$9,"✅ OK","⚠️ BREACH"))</f>
        <v/>
      </c>
      <c r="M1198" s="40" t="str">
        <f>IFERROR(IF(Agent06_Withdrawals!A205="","",YEAR(Agent06_Withdrawals!D205)),"")</f>
        <v/>
      </c>
    </row>
    <row r="1199" spans="1:13" ht="18" customHeight="1" x14ac:dyDescent="0.25">
      <c r="A1199" s="40" t="str">
        <f>IF(Agent06_Withdrawals!A206="","",Agent06_Withdrawals!A206)</f>
        <v/>
      </c>
      <c r="B1199" s="40" t="str">
        <f ca="1">IF(Agent06_Withdrawals!A206="","","WD"&amp;TEXT(1199-3,"0000")&amp;"-"&amp;TEXT(TODAY(),"YYYYMMDD"))</f>
        <v/>
      </c>
      <c r="C1199" s="40" t="str">
        <f>IF(Agent06_Withdrawals!A206="","",Agent06_Withdrawals!B206)</f>
        <v/>
      </c>
      <c r="D1199" s="43" t="str">
        <f>IF(Agent06_Withdrawals!A206="","",Agent06_Withdrawals!C206)</f>
        <v/>
      </c>
      <c r="E1199" s="41" t="str">
        <f>IF(Agent06_Withdrawals!A206="","",Agent06_Withdrawals!D206)</f>
        <v/>
      </c>
      <c r="F1199" s="40" t="str">
        <f>IF(Agent06_Withdrawals!A206="","",Agent06_Withdrawals!F206)</f>
        <v/>
      </c>
      <c r="G1199" s="42" t="str">
        <f>IF(Agent06_Withdrawals!A206="","",Agent06_Withdrawals!E206)</f>
        <v/>
      </c>
      <c r="H1199" s="42" t="str">
        <f>IF(Agent06_Withdrawals!A206="","",Agent06_Withdrawals!G206)</f>
        <v/>
      </c>
      <c r="I1199" s="40" t="str">
        <f>IF(Agent06_Withdrawals!A206="","",Agent06_Withdrawals!H206)</f>
        <v/>
      </c>
      <c r="J1199" s="40" t="str">
        <f>IF(Agent06_Withdrawals!A206="","",Agent06_Withdrawals!J206)</f>
        <v/>
      </c>
      <c r="K1199" s="40" t="str">
        <f>IF(Agent06_Withdrawals!A206="","",Agent06_Withdrawals!K206)</f>
        <v/>
      </c>
      <c r="L1199" s="40" t="str">
        <f>IF(G1199="","",IF(D1199-G1199&gt;=System_Config!$B$9,"✅ OK","⚠️ BREACH"))</f>
        <v/>
      </c>
      <c r="M1199" s="40" t="str">
        <f>IFERROR(IF(Agent06_Withdrawals!A206="","",YEAR(Agent06_Withdrawals!D206)),"")</f>
        <v/>
      </c>
    </row>
    <row r="1200" spans="1:13" ht="18" customHeight="1" x14ac:dyDescent="0.25">
      <c r="A1200" s="40" t="str">
        <f>IF(Agent06_Withdrawals!A207="","",Agent06_Withdrawals!A207)</f>
        <v/>
      </c>
      <c r="B1200" s="40" t="str">
        <f ca="1">IF(Agent06_Withdrawals!A207="","","WD"&amp;TEXT(1200-3,"0000")&amp;"-"&amp;TEXT(TODAY(),"YYYYMMDD"))</f>
        <v/>
      </c>
      <c r="C1200" s="40" t="str">
        <f>IF(Agent06_Withdrawals!A207="","",Agent06_Withdrawals!B207)</f>
        <v/>
      </c>
      <c r="D1200" s="43" t="str">
        <f>IF(Agent06_Withdrawals!A207="","",Agent06_Withdrawals!C207)</f>
        <v/>
      </c>
      <c r="E1200" s="41" t="str">
        <f>IF(Agent06_Withdrawals!A207="","",Agent06_Withdrawals!D207)</f>
        <v/>
      </c>
      <c r="F1200" s="40" t="str">
        <f>IF(Agent06_Withdrawals!A207="","",Agent06_Withdrawals!F207)</f>
        <v/>
      </c>
      <c r="G1200" s="42" t="str">
        <f>IF(Agent06_Withdrawals!A207="","",Agent06_Withdrawals!E207)</f>
        <v/>
      </c>
      <c r="H1200" s="42" t="str">
        <f>IF(Agent06_Withdrawals!A207="","",Agent06_Withdrawals!G207)</f>
        <v/>
      </c>
      <c r="I1200" s="40" t="str">
        <f>IF(Agent06_Withdrawals!A207="","",Agent06_Withdrawals!H207)</f>
        <v/>
      </c>
      <c r="J1200" s="40" t="str">
        <f>IF(Agent06_Withdrawals!A207="","",Agent06_Withdrawals!J207)</f>
        <v/>
      </c>
      <c r="K1200" s="40" t="str">
        <f>IF(Agent06_Withdrawals!A207="","",Agent06_Withdrawals!K207)</f>
        <v/>
      </c>
      <c r="L1200" s="40" t="str">
        <f>IF(G1200="","",IF(D1200-G1200&gt;=System_Config!$B$9,"✅ OK","⚠️ BREACH"))</f>
        <v/>
      </c>
      <c r="M1200" s="40" t="str">
        <f>IFERROR(IF(Agent06_Withdrawals!A207="","",YEAR(Agent06_Withdrawals!D207)),"")</f>
        <v/>
      </c>
    </row>
    <row r="1201" spans="1:13" ht="18" customHeight="1" x14ac:dyDescent="0.25">
      <c r="A1201" s="40" t="str">
        <f>IF(Agent06_Withdrawals!A208="","",Agent06_Withdrawals!A208)</f>
        <v/>
      </c>
      <c r="B1201" s="40" t="str">
        <f ca="1">IF(Agent06_Withdrawals!A208="","","WD"&amp;TEXT(1201-3,"0000")&amp;"-"&amp;TEXT(TODAY(),"YYYYMMDD"))</f>
        <v/>
      </c>
      <c r="C1201" s="40" t="str">
        <f>IF(Agent06_Withdrawals!A208="","",Agent06_Withdrawals!B208)</f>
        <v/>
      </c>
      <c r="D1201" s="43" t="str">
        <f>IF(Agent06_Withdrawals!A208="","",Agent06_Withdrawals!C208)</f>
        <v/>
      </c>
      <c r="E1201" s="41" t="str">
        <f>IF(Agent06_Withdrawals!A208="","",Agent06_Withdrawals!D208)</f>
        <v/>
      </c>
      <c r="F1201" s="40" t="str">
        <f>IF(Agent06_Withdrawals!A208="","",Agent06_Withdrawals!F208)</f>
        <v/>
      </c>
      <c r="G1201" s="42" t="str">
        <f>IF(Agent06_Withdrawals!A208="","",Agent06_Withdrawals!E208)</f>
        <v/>
      </c>
      <c r="H1201" s="42" t="str">
        <f>IF(Agent06_Withdrawals!A208="","",Agent06_Withdrawals!G208)</f>
        <v/>
      </c>
      <c r="I1201" s="40" t="str">
        <f>IF(Agent06_Withdrawals!A208="","",Agent06_Withdrawals!H208)</f>
        <v/>
      </c>
      <c r="J1201" s="40" t="str">
        <f>IF(Agent06_Withdrawals!A208="","",Agent06_Withdrawals!J208)</f>
        <v/>
      </c>
      <c r="K1201" s="40" t="str">
        <f>IF(Agent06_Withdrawals!A208="","",Agent06_Withdrawals!K208)</f>
        <v/>
      </c>
      <c r="L1201" s="40" t="str">
        <f>IF(G1201="","",IF(D1201-G1201&gt;=System_Config!$B$9,"✅ OK","⚠️ BREACH"))</f>
        <v/>
      </c>
      <c r="M1201" s="40" t="str">
        <f>IFERROR(IF(Agent06_Withdrawals!A208="","",YEAR(Agent06_Withdrawals!D208)),"")</f>
        <v/>
      </c>
    </row>
    <row r="1202" spans="1:13" ht="18" customHeight="1" x14ac:dyDescent="0.25">
      <c r="A1202" s="40" t="str">
        <f>IF(Agent06_Withdrawals!A209="","",Agent06_Withdrawals!A209)</f>
        <v/>
      </c>
      <c r="B1202" s="40" t="str">
        <f ca="1">IF(Agent06_Withdrawals!A209="","","WD"&amp;TEXT(1202-3,"0000")&amp;"-"&amp;TEXT(TODAY(),"YYYYMMDD"))</f>
        <v/>
      </c>
      <c r="C1202" s="40" t="str">
        <f>IF(Agent06_Withdrawals!A209="","",Agent06_Withdrawals!B209)</f>
        <v/>
      </c>
      <c r="D1202" s="43" t="str">
        <f>IF(Agent06_Withdrawals!A209="","",Agent06_Withdrawals!C209)</f>
        <v/>
      </c>
      <c r="E1202" s="41" t="str">
        <f>IF(Agent06_Withdrawals!A209="","",Agent06_Withdrawals!D209)</f>
        <v/>
      </c>
      <c r="F1202" s="40" t="str">
        <f>IF(Agent06_Withdrawals!A209="","",Agent06_Withdrawals!F209)</f>
        <v/>
      </c>
      <c r="G1202" s="42" t="str">
        <f>IF(Agent06_Withdrawals!A209="","",Agent06_Withdrawals!E209)</f>
        <v/>
      </c>
      <c r="H1202" s="42" t="str">
        <f>IF(Agent06_Withdrawals!A209="","",Agent06_Withdrawals!G209)</f>
        <v/>
      </c>
      <c r="I1202" s="40" t="str">
        <f>IF(Agent06_Withdrawals!A209="","",Agent06_Withdrawals!H209)</f>
        <v/>
      </c>
      <c r="J1202" s="40" t="str">
        <f>IF(Agent06_Withdrawals!A209="","",Agent06_Withdrawals!J209)</f>
        <v/>
      </c>
      <c r="K1202" s="40" t="str">
        <f>IF(Agent06_Withdrawals!A209="","",Agent06_Withdrawals!K209)</f>
        <v/>
      </c>
      <c r="L1202" s="40" t="str">
        <f>IF(G1202="","",IF(D1202-G1202&gt;=System_Config!$B$9,"✅ OK","⚠️ BREACH"))</f>
        <v/>
      </c>
      <c r="M1202" s="40" t="str">
        <f>IFERROR(IF(Agent06_Withdrawals!A209="","",YEAR(Agent06_Withdrawals!D209)),"")</f>
        <v/>
      </c>
    </row>
    <row r="1203" spans="1:13" ht="18" customHeight="1" x14ac:dyDescent="0.25">
      <c r="A1203" s="40" t="str">
        <f>IF(Agent06_Withdrawals!A210="","",Agent06_Withdrawals!A210)</f>
        <v/>
      </c>
      <c r="B1203" s="40" t="str">
        <f ca="1">IF(Agent06_Withdrawals!A210="","","WD"&amp;TEXT(1203-3,"0000")&amp;"-"&amp;TEXT(TODAY(),"YYYYMMDD"))</f>
        <v/>
      </c>
      <c r="C1203" s="40" t="str">
        <f>IF(Agent06_Withdrawals!A210="","",Agent06_Withdrawals!B210)</f>
        <v/>
      </c>
      <c r="D1203" s="43" t="str">
        <f>IF(Agent06_Withdrawals!A210="","",Agent06_Withdrawals!C210)</f>
        <v/>
      </c>
      <c r="E1203" s="41" t="str">
        <f>IF(Agent06_Withdrawals!A210="","",Agent06_Withdrawals!D210)</f>
        <v/>
      </c>
      <c r="F1203" s="40" t="str">
        <f>IF(Agent06_Withdrawals!A210="","",Agent06_Withdrawals!F210)</f>
        <v/>
      </c>
      <c r="G1203" s="42" t="str">
        <f>IF(Agent06_Withdrawals!A210="","",Agent06_Withdrawals!E210)</f>
        <v/>
      </c>
      <c r="H1203" s="42" t="str">
        <f>IF(Agent06_Withdrawals!A210="","",Agent06_Withdrawals!G210)</f>
        <v/>
      </c>
      <c r="I1203" s="40" t="str">
        <f>IF(Agent06_Withdrawals!A210="","",Agent06_Withdrawals!H210)</f>
        <v/>
      </c>
      <c r="J1203" s="40" t="str">
        <f>IF(Agent06_Withdrawals!A210="","",Agent06_Withdrawals!J210)</f>
        <v/>
      </c>
      <c r="K1203" s="40" t="str">
        <f>IF(Agent06_Withdrawals!A210="","",Agent06_Withdrawals!K210)</f>
        <v/>
      </c>
      <c r="L1203" s="40" t="str">
        <f>IF(G1203="","",IF(D1203-G1203&gt;=System_Config!$B$9,"✅ OK","⚠️ BREACH"))</f>
        <v/>
      </c>
      <c r="M1203" s="40" t="str">
        <f>IFERROR(IF(Agent06_Withdrawals!A210="","",YEAR(Agent06_Withdrawals!D210)),"")</f>
        <v/>
      </c>
    </row>
    <row r="1204" spans="1:13" ht="18" customHeight="1" x14ac:dyDescent="0.25">
      <c r="A1204" s="40" t="str">
        <f>IF(Agent07_Withdrawals!A11="","",Agent07_Withdrawals!A11)</f>
        <v/>
      </c>
      <c r="B1204" s="40" t="str">
        <f ca="1">IF(Agent07_Withdrawals!A11="","","WD"&amp;TEXT(1204-3,"0000")&amp;"-"&amp;TEXT(TODAY(),"YYYYMMDD"))</f>
        <v/>
      </c>
      <c r="C1204" s="40" t="str">
        <f>IF(Agent07_Withdrawals!A11="","",Agent07_Withdrawals!B11)</f>
        <v/>
      </c>
      <c r="D1204" s="43" t="str">
        <f>IF(Agent07_Withdrawals!A11="","",Agent07_Withdrawals!C11)</f>
        <v/>
      </c>
      <c r="E1204" s="41" t="str">
        <f>IF(Agent07_Withdrawals!A11="","",Agent07_Withdrawals!D11)</f>
        <v/>
      </c>
      <c r="F1204" s="40" t="str">
        <f>IF(Agent07_Withdrawals!A11="","",Agent07_Withdrawals!F11)</f>
        <v/>
      </c>
      <c r="G1204" s="42" t="str">
        <f>IF(Agent07_Withdrawals!A11="","",Agent07_Withdrawals!E11)</f>
        <v/>
      </c>
      <c r="H1204" s="42" t="str">
        <f>IF(Agent07_Withdrawals!A11="","",Agent07_Withdrawals!G11)</f>
        <v/>
      </c>
      <c r="I1204" s="40" t="str">
        <f>IF(Agent07_Withdrawals!A11="","",Agent07_Withdrawals!H11)</f>
        <v/>
      </c>
      <c r="J1204" s="40" t="str">
        <f>IF(Agent07_Withdrawals!A11="","",Agent07_Withdrawals!J11)</f>
        <v/>
      </c>
      <c r="K1204" s="40" t="str">
        <f>IF(Agent07_Withdrawals!A11="","",Agent07_Withdrawals!K11)</f>
        <v/>
      </c>
      <c r="L1204" s="40" t="str">
        <f>IF(G1204="","",IF(D1204-G1204&gt;=System_Config!$B$9,"✅ OK","⚠️ BREACH"))</f>
        <v/>
      </c>
      <c r="M1204" s="40" t="str">
        <f>IFERROR(IF(Agent07_Withdrawals!A11="","",YEAR(Agent07_Withdrawals!D11)),"")</f>
        <v/>
      </c>
    </row>
    <row r="1205" spans="1:13" ht="18" customHeight="1" x14ac:dyDescent="0.25">
      <c r="A1205" s="40" t="str">
        <f>IF(Agent07_Withdrawals!A12="","",Agent07_Withdrawals!A12)</f>
        <v/>
      </c>
      <c r="B1205" s="40" t="str">
        <f ca="1">IF(Agent07_Withdrawals!A12="","","WD"&amp;TEXT(1205-3,"0000")&amp;"-"&amp;TEXT(TODAY(),"YYYYMMDD"))</f>
        <v/>
      </c>
      <c r="C1205" s="40" t="str">
        <f>IF(Agent07_Withdrawals!A12="","",Agent07_Withdrawals!B12)</f>
        <v/>
      </c>
      <c r="D1205" s="43" t="str">
        <f>IF(Agent07_Withdrawals!A12="","",Agent07_Withdrawals!C12)</f>
        <v/>
      </c>
      <c r="E1205" s="41" t="str">
        <f>IF(Agent07_Withdrawals!A12="","",Agent07_Withdrawals!D12)</f>
        <v/>
      </c>
      <c r="F1205" s="40" t="str">
        <f>IF(Agent07_Withdrawals!A12="","",Agent07_Withdrawals!F12)</f>
        <v/>
      </c>
      <c r="G1205" s="42" t="str">
        <f>IF(Agent07_Withdrawals!A12="","",Agent07_Withdrawals!E12)</f>
        <v/>
      </c>
      <c r="H1205" s="42" t="str">
        <f>IF(Agent07_Withdrawals!A12="","",Agent07_Withdrawals!G12)</f>
        <v/>
      </c>
      <c r="I1205" s="40" t="str">
        <f>IF(Agent07_Withdrawals!A12="","",Agent07_Withdrawals!H12)</f>
        <v/>
      </c>
      <c r="J1205" s="40" t="str">
        <f>IF(Agent07_Withdrawals!A12="","",Agent07_Withdrawals!J12)</f>
        <v/>
      </c>
      <c r="K1205" s="40" t="str">
        <f>IF(Agent07_Withdrawals!A12="","",Agent07_Withdrawals!K12)</f>
        <v/>
      </c>
      <c r="L1205" s="40" t="str">
        <f>IF(G1205="","",IF(D1205-G1205&gt;=System_Config!$B$9,"✅ OK","⚠️ BREACH"))</f>
        <v/>
      </c>
      <c r="M1205" s="40" t="str">
        <f>IFERROR(IF(Agent07_Withdrawals!A12="","",YEAR(Agent07_Withdrawals!D12)),"")</f>
        <v/>
      </c>
    </row>
    <row r="1206" spans="1:13" ht="18" customHeight="1" x14ac:dyDescent="0.25">
      <c r="A1206" s="40" t="str">
        <f>IF(Agent07_Withdrawals!A13="","",Agent07_Withdrawals!A13)</f>
        <v/>
      </c>
      <c r="B1206" s="40" t="str">
        <f ca="1">IF(Agent07_Withdrawals!A13="","","WD"&amp;TEXT(1206-3,"0000")&amp;"-"&amp;TEXT(TODAY(),"YYYYMMDD"))</f>
        <v/>
      </c>
      <c r="C1206" s="40" t="str">
        <f>IF(Agent07_Withdrawals!A13="","",Agent07_Withdrawals!B13)</f>
        <v/>
      </c>
      <c r="D1206" s="43" t="str">
        <f>IF(Agent07_Withdrawals!A13="","",Agent07_Withdrawals!C13)</f>
        <v/>
      </c>
      <c r="E1206" s="41" t="str">
        <f>IF(Agent07_Withdrawals!A13="","",Agent07_Withdrawals!D13)</f>
        <v/>
      </c>
      <c r="F1206" s="40" t="str">
        <f>IF(Agent07_Withdrawals!A13="","",Agent07_Withdrawals!F13)</f>
        <v/>
      </c>
      <c r="G1206" s="42" t="str">
        <f>IF(Agent07_Withdrawals!A13="","",Agent07_Withdrawals!E13)</f>
        <v/>
      </c>
      <c r="H1206" s="42" t="str">
        <f>IF(Agent07_Withdrawals!A13="","",Agent07_Withdrawals!G13)</f>
        <v/>
      </c>
      <c r="I1206" s="40" t="str">
        <f>IF(Agent07_Withdrawals!A13="","",Agent07_Withdrawals!H13)</f>
        <v/>
      </c>
      <c r="J1206" s="40" t="str">
        <f>IF(Agent07_Withdrawals!A13="","",Agent07_Withdrawals!J13)</f>
        <v/>
      </c>
      <c r="K1206" s="40" t="str">
        <f>IF(Agent07_Withdrawals!A13="","",Agent07_Withdrawals!K13)</f>
        <v/>
      </c>
      <c r="L1206" s="40" t="str">
        <f>IF(G1206="","",IF(D1206-G1206&gt;=System_Config!$B$9,"✅ OK","⚠️ BREACH"))</f>
        <v/>
      </c>
      <c r="M1206" s="40" t="str">
        <f>IFERROR(IF(Agent07_Withdrawals!A13="","",YEAR(Agent07_Withdrawals!D13)),"")</f>
        <v/>
      </c>
    </row>
    <row r="1207" spans="1:13" ht="18" customHeight="1" x14ac:dyDescent="0.25">
      <c r="A1207" s="40" t="str">
        <f>IF(Agent07_Withdrawals!A14="","",Agent07_Withdrawals!A14)</f>
        <v/>
      </c>
      <c r="B1207" s="40" t="str">
        <f ca="1">IF(Agent07_Withdrawals!A14="","","WD"&amp;TEXT(1207-3,"0000")&amp;"-"&amp;TEXT(TODAY(),"YYYYMMDD"))</f>
        <v/>
      </c>
      <c r="C1207" s="40" t="str">
        <f>IF(Agent07_Withdrawals!A14="","",Agent07_Withdrawals!B14)</f>
        <v/>
      </c>
      <c r="D1207" s="43" t="str">
        <f>IF(Agent07_Withdrawals!A14="","",Agent07_Withdrawals!C14)</f>
        <v/>
      </c>
      <c r="E1207" s="41" t="str">
        <f>IF(Agent07_Withdrawals!A14="","",Agent07_Withdrawals!D14)</f>
        <v/>
      </c>
      <c r="F1207" s="40" t="str">
        <f>IF(Agent07_Withdrawals!A14="","",Agent07_Withdrawals!F14)</f>
        <v/>
      </c>
      <c r="G1207" s="42" t="str">
        <f>IF(Agent07_Withdrawals!A14="","",Agent07_Withdrawals!E14)</f>
        <v/>
      </c>
      <c r="H1207" s="42" t="str">
        <f>IF(Agent07_Withdrawals!A14="","",Agent07_Withdrawals!G14)</f>
        <v/>
      </c>
      <c r="I1207" s="40" t="str">
        <f>IF(Agent07_Withdrawals!A14="","",Agent07_Withdrawals!H14)</f>
        <v/>
      </c>
      <c r="J1207" s="40" t="str">
        <f>IF(Agent07_Withdrawals!A14="","",Agent07_Withdrawals!J14)</f>
        <v/>
      </c>
      <c r="K1207" s="40" t="str">
        <f>IF(Agent07_Withdrawals!A14="","",Agent07_Withdrawals!K14)</f>
        <v/>
      </c>
      <c r="L1207" s="40" t="str">
        <f>IF(G1207="","",IF(D1207-G1207&gt;=System_Config!$B$9,"✅ OK","⚠️ BREACH"))</f>
        <v/>
      </c>
      <c r="M1207" s="40" t="str">
        <f>IFERROR(IF(Agent07_Withdrawals!A14="","",YEAR(Agent07_Withdrawals!D14)),"")</f>
        <v/>
      </c>
    </row>
    <row r="1208" spans="1:13" ht="18" customHeight="1" x14ac:dyDescent="0.25">
      <c r="A1208" s="40" t="str">
        <f>IF(Agent07_Withdrawals!A15="","",Agent07_Withdrawals!A15)</f>
        <v/>
      </c>
      <c r="B1208" s="40" t="str">
        <f ca="1">IF(Agent07_Withdrawals!A15="","","WD"&amp;TEXT(1208-3,"0000")&amp;"-"&amp;TEXT(TODAY(),"YYYYMMDD"))</f>
        <v/>
      </c>
      <c r="C1208" s="40" t="str">
        <f>IF(Agent07_Withdrawals!A15="","",Agent07_Withdrawals!B15)</f>
        <v/>
      </c>
      <c r="D1208" s="43" t="str">
        <f>IF(Agent07_Withdrawals!A15="","",Agent07_Withdrawals!C15)</f>
        <v/>
      </c>
      <c r="E1208" s="41" t="str">
        <f>IF(Agent07_Withdrawals!A15="","",Agent07_Withdrawals!D15)</f>
        <v/>
      </c>
      <c r="F1208" s="40" t="str">
        <f>IF(Agent07_Withdrawals!A15="","",Agent07_Withdrawals!F15)</f>
        <v/>
      </c>
      <c r="G1208" s="42" t="str">
        <f>IF(Agent07_Withdrawals!A15="","",Agent07_Withdrawals!E15)</f>
        <v/>
      </c>
      <c r="H1208" s="42" t="str">
        <f>IF(Agent07_Withdrawals!A15="","",Agent07_Withdrawals!G15)</f>
        <v/>
      </c>
      <c r="I1208" s="40" t="str">
        <f>IF(Agent07_Withdrawals!A15="","",Agent07_Withdrawals!H15)</f>
        <v/>
      </c>
      <c r="J1208" s="40" t="str">
        <f>IF(Agent07_Withdrawals!A15="","",Agent07_Withdrawals!J15)</f>
        <v/>
      </c>
      <c r="K1208" s="40" t="str">
        <f>IF(Agent07_Withdrawals!A15="","",Agent07_Withdrawals!K15)</f>
        <v/>
      </c>
      <c r="L1208" s="40" t="str">
        <f>IF(G1208="","",IF(D1208-G1208&gt;=System_Config!$B$9,"✅ OK","⚠️ BREACH"))</f>
        <v/>
      </c>
      <c r="M1208" s="40" t="str">
        <f>IFERROR(IF(Agent07_Withdrawals!A15="","",YEAR(Agent07_Withdrawals!D15)),"")</f>
        <v/>
      </c>
    </row>
    <row r="1209" spans="1:13" ht="18" customHeight="1" x14ac:dyDescent="0.25">
      <c r="A1209" s="40" t="str">
        <f>IF(Agent07_Withdrawals!A16="","",Agent07_Withdrawals!A16)</f>
        <v/>
      </c>
      <c r="B1209" s="40" t="str">
        <f ca="1">IF(Agent07_Withdrawals!A16="","","WD"&amp;TEXT(1209-3,"0000")&amp;"-"&amp;TEXT(TODAY(),"YYYYMMDD"))</f>
        <v/>
      </c>
      <c r="C1209" s="40" t="str">
        <f>IF(Agent07_Withdrawals!A16="","",Agent07_Withdrawals!B16)</f>
        <v/>
      </c>
      <c r="D1209" s="43" t="str">
        <f>IF(Agent07_Withdrawals!A16="","",Agent07_Withdrawals!C16)</f>
        <v/>
      </c>
      <c r="E1209" s="41" t="str">
        <f>IF(Agent07_Withdrawals!A16="","",Agent07_Withdrawals!D16)</f>
        <v/>
      </c>
      <c r="F1209" s="40" t="str">
        <f>IF(Agent07_Withdrawals!A16="","",Agent07_Withdrawals!F16)</f>
        <v/>
      </c>
      <c r="G1209" s="42" t="str">
        <f>IF(Agent07_Withdrawals!A16="","",Agent07_Withdrawals!E16)</f>
        <v/>
      </c>
      <c r="H1209" s="42" t="str">
        <f>IF(Agent07_Withdrawals!A16="","",Agent07_Withdrawals!G16)</f>
        <v/>
      </c>
      <c r="I1209" s="40" t="str">
        <f>IF(Agent07_Withdrawals!A16="","",Agent07_Withdrawals!H16)</f>
        <v/>
      </c>
      <c r="J1209" s="40" t="str">
        <f>IF(Agent07_Withdrawals!A16="","",Agent07_Withdrawals!J16)</f>
        <v/>
      </c>
      <c r="K1209" s="40" t="str">
        <f>IF(Agent07_Withdrawals!A16="","",Agent07_Withdrawals!K16)</f>
        <v/>
      </c>
      <c r="L1209" s="40" t="str">
        <f>IF(G1209="","",IF(D1209-G1209&gt;=System_Config!$B$9,"✅ OK","⚠️ BREACH"))</f>
        <v/>
      </c>
      <c r="M1209" s="40" t="str">
        <f>IFERROR(IF(Agent07_Withdrawals!A16="","",YEAR(Agent07_Withdrawals!D16)),"")</f>
        <v/>
      </c>
    </row>
    <row r="1210" spans="1:13" ht="18" customHeight="1" x14ac:dyDescent="0.25">
      <c r="A1210" s="40" t="str">
        <f>IF(Agent07_Withdrawals!A17="","",Agent07_Withdrawals!A17)</f>
        <v/>
      </c>
      <c r="B1210" s="40" t="str">
        <f ca="1">IF(Agent07_Withdrawals!A17="","","WD"&amp;TEXT(1210-3,"0000")&amp;"-"&amp;TEXT(TODAY(),"YYYYMMDD"))</f>
        <v/>
      </c>
      <c r="C1210" s="40" t="str">
        <f>IF(Agent07_Withdrawals!A17="","",Agent07_Withdrawals!B17)</f>
        <v/>
      </c>
      <c r="D1210" s="43" t="str">
        <f>IF(Agent07_Withdrawals!A17="","",Agent07_Withdrawals!C17)</f>
        <v/>
      </c>
      <c r="E1210" s="41" t="str">
        <f>IF(Agent07_Withdrawals!A17="","",Agent07_Withdrawals!D17)</f>
        <v/>
      </c>
      <c r="F1210" s="40" t="str">
        <f>IF(Agent07_Withdrawals!A17="","",Agent07_Withdrawals!F17)</f>
        <v/>
      </c>
      <c r="G1210" s="42" t="str">
        <f>IF(Agent07_Withdrawals!A17="","",Agent07_Withdrawals!E17)</f>
        <v/>
      </c>
      <c r="H1210" s="42" t="str">
        <f>IF(Agent07_Withdrawals!A17="","",Agent07_Withdrawals!G17)</f>
        <v/>
      </c>
      <c r="I1210" s="40" t="str">
        <f>IF(Agent07_Withdrawals!A17="","",Agent07_Withdrawals!H17)</f>
        <v/>
      </c>
      <c r="J1210" s="40" t="str">
        <f>IF(Agent07_Withdrawals!A17="","",Agent07_Withdrawals!J17)</f>
        <v/>
      </c>
      <c r="K1210" s="40" t="str">
        <f>IF(Agent07_Withdrawals!A17="","",Agent07_Withdrawals!K17)</f>
        <v/>
      </c>
      <c r="L1210" s="40" t="str">
        <f>IF(G1210="","",IF(D1210-G1210&gt;=System_Config!$B$9,"✅ OK","⚠️ BREACH"))</f>
        <v/>
      </c>
      <c r="M1210" s="40" t="str">
        <f>IFERROR(IF(Agent07_Withdrawals!A17="","",YEAR(Agent07_Withdrawals!D17)),"")</f>
        <v/>
      </c>
    </row>
    <row r="1211" spans="1:13" ht="18" customHeight="1" x14ac:dyDescent="0.25">
      <c r="A1211" s="40" t="str">
        <f>IF(Agent07_Withdrawals!A18="","",Agent07_Withdrawals!A18)</f>
        <v/>
      </c>
      <c r="B1211" s="40" t="str">
        <f ca="1">IF(Agent07_Withdrawals!A18="","","WD"&amp;TEXT(1211-3,"0000")&amp;"-"&amp;TEXT(TODAY(),"YYYYMMDD"))</f>
        <v/>
      </c>
      <c r="C1211" s="40" t="str">
        <f>IF(Agent07_Withdrawals!A18="","",Agent07_Withdrawals!B18)</f>
        <v/>
      </c>
      <c r="D1211" s="43" t="str">
        <f>IF(Agent07_Withdrawals!A18="","",Agent07_Withdrawals!C18)</f>
        <v/>
      </c>
      <c r="E1211" s="41" t="str">
        <f>IF(Agent07_Withdrawals!A18="","",Agent07_Withdrawals!D18)</f>
        <v/>
      </c>
      <c r="F1211" s="40" t="str">
        <f>IF(Agent07_Withdrawals!A18="","",Agent07_Withdrawals!F18)</f>
        <v/>
      </c>
      <c r="G1211" s="42" t="str">
        <f>IF(Agent07_Withdrawals!A18="","",Agent07_Withdrawals!E18)</f>
        <v/>
      </c>
      <c r="H1211" s="42" t="str">
        <f>IF(Agent07_Withdrawals!A18="","",Agent07_Withdrawals!G18)</f>
        <v/>
      </c>
      <c r="I1211" s="40" t="str">
        <f>IF(Agent07_Withdrawals!A18="","",Agent07_Withdrawals!H18)</f>
        <v/>
      </c>
      <c r="J1211" s="40" t="str">
        <f>IF(Agent07_Withdrawals!A18="","",Agent07_Withdrawals!J18)</f>
        <v/>
      </c>
      <c r="K1211" s="40" t="str">
        <f>IF(Agent07_Withdrawals!A18="","",Agent07_Withdrawals!K18)</f>
        <v/>
      </c>
      <c r="L1211" s="40" t="str">
        <f>IF(G1211="","",IF(D1211-G1211&gt;=System_Config!$B$9,"✅ OK","⚠️ BREACH"))</f>
        <v/>
      </c>
      <c r="M1211" s="40" t="str">
        <f>IFERROR(IF(Agent07_Withdrawals!A18="","",YEAR(Agent07_Withdrawals!D18)),"")</f>
        <v/>
      </c>
    </row>
    <row r="1212" spans="1:13" ht="18" customHeight="1" x14ac:dyDescent="0.25">
      <c r="A1212" s="40" t="str">
        <f>IF(Agent07_Withdrawals!A19="","",Agent07_Withdrawals!A19)</f>
        <v/>
      </c>
      <c r="B1212" s="40" t="str">
        <f ca="1">IF(Agent07_Withdrawals!A19="","","WD"&amp;TEXT(1212-3,"0000")&amp;"-"&amp;TEXT(TODAY(),"YYYYMMDD"))</f>
        <v/>
      </c>
      <c r="C1212" s="40" t="str">
        <f>IF(Agent07_Withdrawals!A19="","",Agent07_Withdrawals!B19)</f>
        <v/>
      </c>
      <c r="D1212" s="43" t="str">
        <f>IF(Agent07_Withdrawals!A19="","",Agent07_Withdrawals!C19)</f>
        <v/>
      </c>
      <c r="E1212" s="41" t="str">
        <f>IF(Agent07_Withdrawals!A19="","",Agent07_Withdrawals!D19)</f>
        <v/>
      </c>
      <c r="F1212" s="40" t="str">
        <f>IF(Agent07_Withdrawals!A19="","",Agent07_Withdrawals!F19)</f>
        <v/>
      </c>
      <c r="G1212" s="42" t="str">
        <f>IF(Agent07_Withdrawals!A19="","",Agent07_Withdrawals!E19)</f>
        <v/>
      </c>
      <c r="H1212" s="42" t="str">
        <f>IF(Agent07_Withdrawals!A19="","",Agent07_Withdrawals!G19)</f>
        <v/>
      </c>
      <c r="I1212" s="40" t="str">
        <f>IF(Agent07_Withdrawals!A19="","",Agent07_Withdrawals!H19)</f>
        <v/>
      </c>
      <c r="J1212" s="40" t="str">
        <f>IF(Agent07_Withdrawals!A19="","",Agent07_Withdrawals!J19)</f>
        <v/>
      </c>
      <c r="K1212" s="40" t="str">
        <f>IF(Agent07_Withdrawals!A19="","",Agent07_Withdrawals!K19)</f>
        <v/>
      </c>
      <c r="L1212" s="40" t="str">
        <f>IF(G1212="","",IF(D1212-G1212&gt;=System_Config!$B$9,"✅ OK","⚠️ BREACH"))</f>
        <v/>
      </c>
      <c r="M1212" s="40" t="str">
        <f>IFERROR(IF(Agent07_Withdrawals!A19="","",YEAR(Agent07_Withdrawals!D19)),"")</f>
        <v/>
      </c>
    </row>
    <row r="1213" spans="1:13" ht="18" customHeight="1" x14ac:dyDescent="0.25">
      <c r="A1213" s="40" t="str">
        <f>IF(Agent07_Withdrawals!A20="","",Agent07_Withdrawals!A20)</f>
        <v/>
      </c>
      <c r="B1213" s="40" t="str">
        <f ca="1">IF(Agent07_Withdrawals!A20="","","WD"&amp;TEXT(1213-3,"0000")&amp;"-"&amp;TEXT(TODAY(),"YYYYMMDD"))</f>
        <v/>
      </c>
      <c r="C1213" s="40" t="str">
        <f>IF(Agent07_Withdrawals!A20="","",Agent07_Withdrawals!B20)</f>
        <v/>
      </c>
      <c r="D1213" s="43" t="str">
        <f>IF(Agent07_Withdrawals!A20="","",Agent07_Withdrawals!C20)</f>
        <v/>
      </c>
      <c r="E1213" s="41" t="str">
        <f>IF(Agent07_Withdrawals!A20="","",Agent07_Withdrawals!D20)</f>
        <v/>
      </c>
      <c r="F1213" s="40" t="str">
        <f>IF(Agent07_Withdrawals!A20="","",Agent07_Withdrawals!F20)</f>
        <v/>
      </c>
      <c r="G1213" s="42" t="str">
        <f>IF(Agent07_Withdrawals!A20="","",Agent07_Withdrawals!E20)</f>
        <v/>
      </c>
      <c r="H1213" s="42" t="str">
        <f>IF(Agent07_Withdrawals!A20="","",Agent07_Withdrawals!G20)</f>
        <v/>
      </c>
      <c r="I1213" s="40" t="str">
        <f>IF(Agent07_Withdrawals!A20="","",Agent07_Withdrawals!H20)</f>
        <v/>
      </c>
      <c r="J1213" s="40" t="str">
        <f>IF(Agent07_Withdrawals!A20="","",Agent07_Withdrawals!J20)</f>
        <v/>
      </c>
      <c r="K1213" s="40" t="str">
        <f>IF(Agent07_Withdrawals!A20="","",Agent07_Withdrawals!K20)</f>
        <v/>
      </c>
      <c r="L1213" s="40" t="str">
        <f>IF(G1213="","",IF(D1213-G1213&gt;=System_Config!$B$9,"✅ OK","⚠️ BREACH"))</f>
        <v/>
      </c>
      <c r="M1213" s="40" t="str">
        <f>IFERROR(IF(Agent07_Withdrawals!A20="","",YEAR(Agent07_Withdrawals!D20)),"")</f>
        <v/>
      </c>
    </row>
    <row r="1214" spans="1:13" ht="18" customHeight="1" x14ac:dyDescent="0.25">
      <c r="A1214" s="40" t="str">
        <f>IF(Agent07_Withdrawals!A21="","",Agent07_Withdrawals!A21)</f>
        <v/>
      </c>
      <c r="B1214" s="40" t="str">
        <f ca="1">IF(Agent07_Withdrawals!A21="","","WD"&amp;TEXT(1214-3,"0000")&amp;"-"&amp;TEXT(TODAY(),"YYYYMMDD"))</f>
        <v/>
      </c>
      <c r="C1214" s="40" t="str">
        <f>IF(Agent07_Withdrawals!A21="","",Agent07_Withdrawals!B21)</f>
        <v/>
      </c>
      <c r="D1214" s="43" t="str">
        <f>IF(Agent07_Withdrawals!A21="","",Agent07_Withdrawals!C21)</f>
        <v/>
      </c>
      <c r="E1214" s="41" t="str">
        <f>IF(Agent07_Withdrawals!A21="","",Agent07_Withdrawals!D21)</f>
        <v/>
      </c>
      <c r="F1214" s="40" t="str">
        <f>IF(Agent07_Withdrawals!A21="","",Agent07_Withdrawals!F21)</f>
        <v/>
      </c>
      <c r="G1214" s="42" t="str">
        <f>IF(Agent07_Withdrawals!A21="","",Agent07_Withdrawals!E21)</f>
        <v/>
      </c>
      <c r="H1214" s="42" t="str">
        <f>IF(Agent07_Withdrawals!A21="","",Agent07_Withdrawals!G21)</f>
        <v/>
      </c>
      <c r="I1214" s="40" t="str">
        <f>IF(Agent07_Withdrawals!A21="","",Agent07_Withdrawals!H21)</f>
        <v/>
      </c>
      <c r="J1214" s="40" t="str">
        <f>IF(Agent07_Withdrawals!A21="","",Agent07_Withdrawals!J21)</f>
        <v/>
      </c>
      <c r="K1214" s="40" t="str">
        <f>IF(Agent07_Withdrawals!A21="","",Agent07_Withdrawals!K21)</f>
        <v/>
      </c>
      <c r="L1214" s="40" t="str">
        <f>IF(G1214="","",IF(D1214-G1214&gt;=System_Config!$B$9,"✅ OK","⚠️ BREACH"))</f>
        <v/>
      </c>
      <c r="M1214" s="40" t="str">
        <f>IFERROR(IF(Agent07_Withdrawals!A21="","",YEAR(Agent07_Withdrawals!D21)),"")</f>
        <v/>
      </c>
    </row>
    <row r="1215" spans="1:13" ht="18" customHeight="1" x14ac:dyDescent="0.25">
      <c r="A1215" s="40" t="str">
        <f>IF(Agent07_Withdrawals!A22="","",Agent07_Withdrawals!A22)</f>
        <v/>
      </c>
      <c r="B1215" s="40" t="str">
        <f ca="1">IF(Agent07_Withdrawals!A22="","","WD"&amp;TEXT(1215-3,"0000")&amp;"-"&amp;TEXT(TODAY(),"YYYYMMDD"))</f>
        <v/>
      </c>
      <c r="C1215" s="40" t="str">
        <f>IF(Agent07_Withdrawals!A22="","",Agent07_Withdrawals!B22)</f>
        <v/>
      </c>
      <c r="D1215" s="43" t="str">
        <f>IF(Agent07_Withdrawals!A22="","",Agent07_Withdrawals!C22)</f>
        <v/>
      </c>
      <c r="E1215" s="41" t="str">
        <f>IF(Agent07_Withdrawals!A22="","",Agent07_Withdrawals!D22)</f>
        <v/>
      </c>
      <c r="F1215" s="40" t="str">
        <f>IF(Agent07_Withdrawals!A22="","",Agent07_Withdrawals!F22)</f>
        <v/>
      </c>
      <c r="G1215" s="42" t="str">
        <f>IF(Agent07_Withdrawals!A22="","",Agent07_Withdrawals!E22)</f>
        <v/>
      </c>
      <c r="H1215" s="42" t="str">
        <f>IF(Agent07_Withdrawals!A22="","",Agent07_Withdrawals!G22)</f>
        <v/>
      </c>
      <c r="I1215" s="40" t="str">
        <f>IF(Agent07_Withdrawals!A22="","",Agent07_Withdrawals!H22)</f>
        <v/>
      </c>
      <c r="J1215" s="40" t="str">
        <f>IF(Agent07_Withdrawals!A22="","",Agent07_Withdrawals!J22)</f>
        <v/>
      </c>
      <c r="K1215" s="40" t="str">
        <f>IF(Agent07_Withdrawals!A22="","",Agent07_Withdrawals!K22)</f>
        <v/>
      </c>
      <c r="L1215" s="40" t="str">
        <f>IF(G1215="","",IF(D1215-G1215&gt;=System_Config!$B$9,"✅ OK","⚠️ BREACH"))</f>
        <v/>
      </c>
      <c r="M1215" s="40" t="str">
        <f>IFERROR(IF(Agent07_Withdrawals!A22="","",YEAR(Agent07_Withdrawals!D22)),"")</f>
        <v/>
      </c>
    </row>
    <row r="1216" spans="1:13" ht="18" customHeight="1" x14ac:dyDescent="0.25">
      <c r="A1216" s="40" t="str">
        <f>IF(Agent07_Withdrawals!A23="","",Agent07_Withdrawals!A23)</f>
        <v/>
      </c>
      <c r="B1216" s="40" t="str">
        <f ca="1">IF(Agent07_Withdrawals!A23="","","WD"&amp;TEXT(1216-3,"0000")&amp;"-"&amp;TEXT(TODAY(),"YYYYMMDD"))</f>
        <v/>
      </c>
      <c r="C1216" s="40" t="str">
        <f>IF(Agent07_Withdrawals!A23="","",Agent07_Withdrawals!B23)</f>
        <v/>
      </c>
      <c r="D1216" s="43" t="str">
        <f>IF(Agent07_Withdrawals!A23="","",Agent07_Withdrawals!C23)</f>
        <v/>
      </c>
      <c r="E1216" s="41" t="str">
        <f>IF(Agent07_Withdrawals!A23="","",Agent07_Withdrawals!D23)</f>
        <v/>
      </c>
      <c r="F1216" s="40" t="str">
        <f>IF(Agent07_Withdrawals!A23="","",Agent07_Withdrawals!F23)</f>
        <v/>
      </c>
      <c r="G1216" s="42" t="str">
        <f>IF(Agent07_Withdrawals!A23="","",Agent07_Withdrawals!E23)</f>
        <v/>
      </c>
      <c r="H1216" s="42" t="str">
        <f>IF(Agent07_Withdrawals!A23="","",Agent07_Withdrawals!G23)</f>
        <v/>
      </c>
      <c r="I1216" s="40" t="str">
        <f>IF(Agent07_Withdrawals!A23="","",Agent07_Withdrawals!H23)</f>
        <v/>
      </c>
      <c r="J1216" s="40" t="str">
        <f>IF(Agent07_Withdrawals!A23="","",Agent07_Withdrawals!J23)</f>
        <v/>
      </c>
      <c r="K1216" s="40" t="str">
        <f>IF(Agent07_Withdrawals!A23="","",Agent07_Withdrawals!K23)</f>
        <v/>
      </c>
      <c r="L1216" s="40" t="str">
        <f>IF(G1216="","",IF(D1216-G1216&gt;=System_Config!$B$9,"✅ OK","⚠️ BREACH"))</f>
        <v/>
      </c>
      <c r="M1216" s="40" t="str">
        <f>IFERROR(IF(Agent07_Withdrawals!A23="","",YEAR(Agent07_Withdrawals!D23)),"")</f>
        <v/>
      </c>
    </row>
    <row r="1217" spans="1:13" ht="18" customHeight="1" x14ac:dyDescent="0.25">
      <c r="A1217" s="40" t="str">
        <f>IF(Agent07_Withdrawals!A24="","",Agent07_Withdrawals!A24)</f>
        <v/>
      </c>
      <c r="B1217" s="40" t="str">
        <f ca="1">IF(Agent07_Withdrawals!A24="","","WD"&amp;TEXT(1217-3,"0000")&amp;"-"&amp;TEXT(TODAY(),"YYYYMMDD"))</f>
        <v/>
      </c>
      <c r="C1217" s="40" t="str">
        <f>IF(Agent07_Withdrawals!A24="","",Agent07_Withdrawals!B24)</f>
        <v/>
      </c>
      <c r="D1217" s="43" t="str">
        <f>IF(Agent07_Withdrawals!A24="","",Agent07_Withdrawals!C24)</f>
        <v/>
      </c>
      <c r="E1217" s="41" t="str">
        <f>IF(Agent07_Withdrawals!A24="","",Agent07_Withdrawals!D24)</f>
        <v/>
      </c>
      <c r="F1217" s="40" t="str">
        <f>IF(Agent07_Withdrawals!A24="","",Agent07_Withdrawals!F24)</f>
        <v/>
      </c>
      <c r="G1217" s="42" t="str">
        <f>IF(Agent07_Withdrawals!A24="","",Agent07_Withdrawals!E24)</f>
        <v/>
      </c>
      <c r="H1217" s="42" t="str">
        <f>IF(Agent07_Withdrawals!A24="","",Agent07_Withdrawals!G24)</f>
        <v/>
      </c>
      <c r="I1217" s="40" t="str">
        <f>IF(Agent07_Withdrawals!A24="","",Agent07_Withdrawals!H24)</f>
        <v/>
      </c>
      <c r="J1217" s="40" t="str">
        <f>IF(Agent07_Withdrawals!A24="","",Agent07_Withdrawals!J24)</f>
        <v/>
      </c>
      <c r="K1217" s="40" t="str">
        <f>IF(Agent07_Withdrawals!A24="","",Agent07_Withdrawals!K24)</f>
        <v/>
      </c>
      <c r="L1217" s="40" t="str">
        <f>IF(G1217="","",IF(D1217-G1217&gt;=System_Config!$B$9,"✅ OK","⚠️ BREACH"))</f>
        <v/>
      </c>
      <c r="M1217" s="40" t="str">
        <f>IFERROR(IF(Agent07_Withdrawals!A24="","",YEAR(Agent07_Withdrawals!D24)),"")</f>
        <v/>
      </c>
    </row>
    <row r="1218" spans="1:13" ht="18" customHeight="1" x14ac:dyDescent="0.25">
      <c r="A1218" s="40" t="str">
        <f>IF(Agent07_Withdrawals!A25="","",Agent07_Withdrawals!A25)</f>
        <v/>
      </c>
      <c r="B1218" s="40" t="str">
        <f ca="1">IF(Agent07_Withdrawals!A25="","","WD"&amp;TEXT(1218-3,"0000")&amp;"-"&amp;TEXT(TODAY(),"YYYYMMDD"))</f>
        <v/>
      </c>
      <c r="C1218" s="40" t="str">
        <f>IF(Agent07_Withdrawals!A25="","",Agent07_Withdrawals!B25)</f>
        <v/>
      </c>
      <c r="D1218" s="43" t="str">
        <f>IF(Agent07_Withdrawals!A25="","",Agent07_Withdrawals!C25)</f>
        <v/>
      </c>
      <c r="E1218" s="41" t="str">
        <f>IF(Agent07_Withdrawals!A25="","",Agent07_Withdrawals!D25)</f>
        <v/>
      </c>
      <c r="F1218" s="40" t="str">
        <f>IF(Agent07_Withdrawals!A25="","",Agent07_Withdrawals!F25)</f>
        <v/>
      </c>
      <c r="G1218" s="42" t="str">
        <f>IF(Agent07_Withdrawals!A25="","",Agent07_Withdrawals!E25)</f>
        <v/>
      </c>
      <c r="H1218" s="42" t="str">
        <f>IF(Agent07_Withdrawals!A25="","",Agent07_Withdrawals!G25)</f>
        <v/>
      </c>
      <c r="I1218" s="40" t="str">
        <f>IF(Agent07_Withdrawals!A25="","",Agent07_Withdrawals!H25)</f>
        <v/>
      </c>
      <c r="J1218" s="40" t="str">
        <f>IF(Agent07_Withdrawals!A25="","",Agent07_Withdrawals!J25)</f>
        <v/>
      </c>
      <c r="K1218" s="40" t="str">
        <f>IF(Agent07_Withdrawals!A25="","",Agent07_Withdrawals!K25)</f>
        <v/>
      </c>
      <c r="L1218" s="40" t="str">
        <f>IF(G1218="","",IF(D1218-G1218&gt;=System_Config!$B$9,"✅ OK","⚠️ BREACH"))</f>
        <v/>
      </c>
      <c r="M1218" s="40" t="str">
        <f>IFERROR(IF(Agent07_Withdrawals!A25="","",YEAR(Agent07_Withdrawals!D25)),"")</f>
        <v/>
      </c>
    </row>
    <row r="1219" spans="1:13" ht="18" customHeight="1" x14ac:dyDescent="0.25">
      <c r="A1219" s="40" t="str">
        <f>IF(Agent07_Withdrawals!A26="","",Agent07_Withdrawals!A26)</f>
        <v/>
      </c>
      <c r="B1219" s="40" t="str">
        <f ca="1">IF(Agent07_Withdrawals!A26="","","WD"&amp;TEXT(1219-3,"0000")&amp;"-"&amp;TEXT(TODAY(),"YYYYMMDD"))</f>
        <v/>
      </c>
      <c r="C1219" s="40" t="str">
        <f>IF(Agent07_Withdrawals!A26="","",Agent07_Withdrawals!B26)</f>
        <v/>
      </c>
      <c r="D1219" s="43" t="str">
        <f>IF(Agent07_Withdrawals!A26="","",Agent07_Withdrawals!C26)</f>
        <v/>
      </c>
      <c r="E1219" s="41" t="str">
        <f>IF(Agent07_Withdrawals!A26="","",Agent07_Withdrawals!D26)</f>
        <v/>
      </c>
      <c r="F1219" s="40" t="str">
        <f>IF(Agent07_Withdrawals!A26="","",Agent07_Withdrawals!F26)</f>
        <v/>
      </c>
      <c r="G1219" s="42" t="str">
        <f>IF(Agent07_Withdrawals!A26="","",Agent07_Withdrawals!E26)</f>
        <v/>
      </c>
      <c r="H1219" s="42" t="str">
        <f>IF(Agent07_Withdrawals!A26="","",Agent07_Withdrawals!G26)</f>
        <v/>
      </c>
      <c r="I1219" s="40" t="str">
        <f>IF(Agent07_Withdrawals!A26="","",Agent07_Withdrawals!H26)</f>
        <v/>
      </c>
      <c r="J1219" s="40" t="str">
        <f>IF(Agent07_Withdrawals!A26="","",Agent07_Withdrawals!J26)</f>
        <v/>
      </c>
      <c r="K1219" s="40" t="str">
        <f>IF(Agent07_Withdrawals!A26="","",Agent07_Withdrawals!K26)</f>
        <v/>
      </c>
      <c r="L1219" s="40" t="str">
        <f>IF(G1219="","",IF(D1219-G1219&gt;=System_Config!$B$9,"✅ OK","⚠️ BREACH"))</f>
        <v/>
      </c>
      <c r="M1219" s="40" t="str">
        <f>IFERROR(IF(Agent07_Withdrawals!A26="","",YEAR(Agent07_Withdrawals!D26)),"")</f>
        <v/>
      </c>
    </row>
    <row r="1220" spans="1:13" ht="18" customHeight="1" x14ac:dyDescent="0.25">
      <c r="A1220" s="40" t="str">
        <f>IF(Agent07_Withdrawals!A27="","",Agent07_Withdrawals!A27)</f>
        <v/>
      </c>
      <c r="B1220" s="40" t="str">
        <f ca="1">IF(Agent07_Withdrawals!A27="","","WD"&amp;TEXT(1220-3,"0000")&amp;"-"&amp;TEXT(TODAY(),"YYYYMMDD"))</f>
        <v/>
      </c>
      <c r="C1220" s="40" t="str">
        <f>IF(Agent07_Withdrawals!A27="","",Agent07_Withdrawals!B27)</f>
        <v/>
      </c>
      <c r="D1220" s="43" t="str">
        <f>IF(Agent07_Withdrawals!A27="","",Agent07_Withdrawals!C27)</f>
        <v/>
      </c>
      <c r="E1220" s="41" t="str">
        <f>IF(Agent07_Withdrawals!A27="","",Agent07_Withdrawals!D27)</f>
        <v/>
      </c>
      <c r="F1220" s="40" t="str">
        <f>IF(Agent07_Withdrawals!A27="","",Agent07_Withdrawals!F27)</f>
        <v/>
      </c>
      <c r="G1220" s="42" t="str">
        <f>IF(Agent07_Withdrawals!A27="","",Agent07_Withdrawals!E27)</f>
        <v/>
      </c>
      <c r="H1220" s="42" t="str">
        <f>IF(Agent07_Withdrawals!A27="","",Agent07_Withdrawals!G27)</f>
        <v/>
      </c>
      <c r="I1220" s="40" t="str">
        <f>IF(Agent07_Withdrawals!A27="","",Agent07_Withdrawals!H27)</f>
        <v/>
      </c>
      <c r="J1220" s="40" t="str">
        <f>IF(Agent07_Withdrawals!A27="","",Agent07_Withdrawals!J27)</f>
        <v/>
      </c>
      <c r="K1220" s="40" t="str">
        <f>IF(Agent07_Withdrawals!A27="","",Agent07_Withdrawals!K27)</f>
        <v/>
      </c>
      <c r="L1220" s="40" t="str">
        <f>IF(G1220="","",IF(D1220-G1220&gt;=System_Config!$B$9,"✅ OK","⚠️ BREACH"))</f>
        <v/>
      </c>
      <c r="M1220" s="40" t="str">
        <f>IFERROR(IF(Agent07_Withdrawals!A27="","",YEAR(Agent07_Withdrawals!D27)),"")</f>
        <v/>
      </c>
    </row>
    <row r="1221" spans="1:13" ht="18" customHeight="1" x14ac:dyDescent="0.25">
      <c r="A1221" s="40" t="str">
        <f>IF(Agent07_Withdrawals!A28="","",Agent07_Withdrawals!A28)</f>
        <v/>
      </c>
      <c r="B1221" s="40" t="str">
        <f ca="1">IF(Agent07_Withdrawals!A28="","","WD"&amp;TEXT(1221-3,"0000")&amp;"-"&amp;TEXT(TODAY(),"YYYYMMDD"))</f>
        <v/>
      </c>
      <c r="C1221" s="40" t="str">
        <f>IF(Agent07_Withdrawals!A28="","",Agent07_Withdrawals!B28)</f>
        <v/>
      </c>
      <c r="D1221" s="43" t="str">
        <f>IF(Agent07_Withdrawals!A28="","",Agent07_Withdrawals!C28)</f>
        <v/>
      </c>
      <c r="E1221" s="41" t="str">
        <f>IF(Agent07_Withdrawals!A28="","",Agent07_Withdrawals!D28)</f>
        <v/>
      </c>
      <c r="F1221" s="40" t="str">
        <f>IF(Agent07_Withdrawals!A28="","",Agent07_Withdrawals!F28)</f>
        <v/>
      </c>
      <c r="G1221" s="42" t="str">
        <f>IF(Agent07_Withdrawals!A28="","",Agent07_Withdrawals!E28)</f>
        <v/>
      </c>
      <c r="H1221" s="42" t="str">
        <f>IF(Agent07_Withdrawals!A28="","",Agent07_Withdrawals!G28)</f>
        <v/>
      </c>
      <c r="I1221" s="40" t="str">
        <f>IF(Agent07_Withdrawals!A28="","",Agent07_Withdrawals!H28)</f>
        <v/>
      </c>
      <c r="J1221" s="40" t="str">
        <f>IF(Agent07_Withdrawals!A28="","",Agent07_Withdrawals!J28)</f>
        <v/>
      </c>
      <c r="K1221" s="40" t="str">
        <f>IF(Agent07_Withdrawals!A28="","",Agent07_Withdrawals!K28)</f>
        <v/>
      </c>
      <c r="L1221" s="40" t="str">
        <f>IF(G1221="","",IF(D1221-G1221&gt;=System_Config!$B$9,"✅ OK","⚠️ BREACH"))</f>
        <v/>
      </c>
      <c r="M1221" s="40" t="str">
        <f>IFERROR(IF(Agent07_Withdrawals!A28="","",YEAR(Agent07_Withdrawals!D28)),"")</f>
        <v/>
      </c>
    </row>
    <row r="1222" spans="1:13" ht="18" customHeight="1" x14ac:dyDescent="0.25">
      <c r="A1222" s="40" t="str">
        <f>IF(Agent07_Withdrawals!A29="","",Agent07_Withdrawals!A29)</f>
        <v/>
      </c>
      <c r="B1222" s="40" t="str">
        <f ca="1">IF(Agent07_Withdrawals!A29="","","WD"&amp;TEXT(1222-3,"0000")&amp;"-"&amp;TEXT(TODAY(),"YYYYMMDD"))</f>
        <v/>
      </c>
      <c r="C1222" s="40" t="str">
        <f>IF(Agent07_Withdrawals!A29="","",Agent07_Withdrawals!B29)</f>
        <v/>
      </c>
      <c r="D1222" s="43" t="str">
        <f>IF(Agent07_Withdrawals!A29="","",Agent07_Withdrawals!C29)</f>
        <v/>
      </c>
      <c r="E1222" s="41" t="str">
        <f>IF(Agent07_Withdrawals!A29="","",Agent07_Withdrawals!D29)</f>
        <v/>
      </c>
      <c r="F1222" s="40" t="str">
        <f>IF(Agent07_Withdrawals!A29="","",Agent07_Withdrawals!F29)</f>
        <v/>
      </c>
      <c r="G1222" s="42" t="str">
        <f>IF(Agent07_Withdrawals!A29="","",Agent07_Withdrawals!E29)</f>
        <v/>
      </c>
      <c r="H1222" s="42" t="str">
        <f>IF(Agent07_Withdrawals!A29="","",Agent07_Withdrawals!G29)</f>
        <v/>
      </c>
      <c r="I1222" s="40" t="str">
        <f>IF(Agent07_Withdrawals!A29="","",Agent07_Withdrawals!H29)</f>
        <v/>
      </c>
      <c r="J1222" s="40" t="str">
        <f>IF(Agent07_Withdrawals!A29="","",Agent07_Withdrawals!J29)</f>
        <v/>
      </c>
      <c r="K1222" s="40" t="str">
        <f>IF(Agent07_Withdrawals!A29="","",Agent07_Withdrawals!K29)</f>
        <v/>
      </c>
      <c r="L1222" s="40" t="str">
        <f>IF(G1222="","",IF(D1222-G1222&gt;=System_Config!$B$9,"✅ OK","⚠️ BREACH"))</f>
        <v/>
      </c>
      <c r="M1222" s="40" t="str">
        <f>IFERROR(IF(Agent07_Withdrawals!A29="","",YEAR(Agent07_Withdrawals!D29)),"")</f>
        <v/>
      </c>
    </row>
    <row r="1223" spans="1:13" ht="18" customHeight="1" x14ac:dyDescent="0.25">
      <c r="A1223" s="40" t="str">
        <f>IF(Agent07_Withdrawals!A30="","",Agent07_Withdrawals!A30)</f>
        <v/>
      </c>
      <c r="B1223" s="40" t="str">
        <f ca="1">IF(Agent07_Withdrawals!A30="","","WD"&amp;TEXT(1223-3,"0000")&amp;"-"&amp;TEXT(TODAY(),"YYYYMMDD"))</f>
        <v/>
      </c>
      <c r="C1223" s="40" t="str">
        <f>IF(Agent07_Withdrawals!A30="","",Agent07_Withdrawals!B30)</f>
        <v/>
      </c>
      <c r="D1223" s="43" t="str">
        <f>IF(Agent07_Withdrawals!A30="","",Agent07_Withdrawals!C30)</f>
        <v/>
      </c>
      <c r="E1223" s="41" t="str">
        <f>IF(Agent07_Withdrawals!A30="","",Agent07_Withdrawals!D30)</f>
        <v/>
      </c>
      <c r="F1223" s="40" t="str">
        <f>IF(Agent07_Withdrawals!A30="","",Agent07_Withdrawals!F30)</f>
        <v/>
      </c>
      <c r="G1223" s="42" t="str">
        <f>IF(Agent07_Withdrawals!A30="","",Agent07_Withdrawals!E30)</f>
        <v/>
      </c>
      <c r="H1223" s="42" t="str">
        <f>IF(Agent07_Withdrawals!A30="","",Agent07_Withdrawals!G30)</f>
        <v/>
      </c>
      <c r="I1223" s="40" t="str">
        <f>IF(Agent07_Withdrawals!A30="","",Agent07_Withdrawals!H30)</f>
        <v/>
      </c>
      <c r="J1223" s="40" t="str">
        <f>IF(Agent07_Withdrawals!A30="","",Agent07_Withdrawals!J30)</f>
        <v/>
      </c>
      <c r="K1223" s="40" t="str">
        <f>IF(Agent07_Withdrawals!A30="","",Agent07_Withdrawals!K30)</f>
        <v/>
      </c>
      <c r="L1223" s="40" t="str">
        <f>IF(G1223="","",IF(D1223-G1223&gt;=System_Config!$B$9,"✅ OK","⚠️ BREACH"))</f>
        <v/>
      </c>
      <c r="M1223" s="40" t="str">
        <f>IFERROR(IF(Agent07_Withdrawals!A30="","",YEAR(Agent07_Withdrawals!D30)),"")</f>
        <v/>
      </c>
    </row>
    <row r="1224" spans="1:13" ht="18" customHeight="1" x14ac:dyDescent="0.25">
      <c r="A1224" s="40" t="str">
        <f>IF(Agent07_Withdrawals!A31="","",Agent07_Withdrawals!A31)</f>
        <v/>
      </c>
      <c r="B1224" s="40" t="str">
        <f ca="1">IF(Agent07_Withdrawals!A31="","","WD"&amp;TEXT(1224-3,"0000")&amp;"-"&amp;TEXT(TODAY(),"YYYYMMDD"))</f>
        <v/>
      </c>
      <c r="C1224" s="40" t="str">
        <f>IF(Agent07_Withdrawals!A31="","",Agent07_Withdrawals!B31)</f>
        <v/>
      </c>
      <c r="D1224" s="43" t="str">
        <f>IF(Agent07_Withdrawals!A31="","",Agent07_Withdrawals!C31)</f>
        <v/>
      </c>
      <c r="E1224" s="41" t="str">
        <f>IF(Agent07_Withdrawals!A31="","",Agent07_Withdrawals!D31)</f>
        <v/>
      </c>
      <c r="F1224" s="40" t="str">
        <f>IF(Agent07_Withdrawals!A31="","",Agent07_Withdrawals!F31)</f>
        <v/>
      </c>
      <c r="G1224" s="42" t="str">
        <f>IF(Agent07_Withdrawals!A31="","",Agent07_Withdrawals!E31)</f>
        <v/>
      </c>
      <c r="H1224" s="42" t="str">
        <f>IF(Agent07_Withdrawals!A31="","",Agent07_Withdrawals!G31)</f>
        <v/>
      </c>
      <c r="I1224" s="40" t="str">
        <f>IF(Agent07_Withdrawals!A31="","",Agent07_Withdrawals!H31)</f>
        <v/>
      </c>
      <c r="J1224" s="40" t="str">
        <f>IF(Agent07_Withdrawals!A31="","",Agent07_Withdrawals!J31)</f>
        <v/>
      </c>
      <c r="K1224" s="40" t="str">
        <f>IF(Agent07_Withdrawals!A31="","",Agent07_Withdrawals!K31)</f>
        <v/>
      </c>
      <c r="L1224" s="40" t="str">
        <f>IF(G1224="","",IF(D1224-G1224&gt;=System_Config!$B$9,"✅ OK","⚠️ BREACH"))</f>
        <v/>
      </c>
      <c r="M1224" s="40" t="str">
        <f>IFERROR(IF(Agent07_Withdrawals!A31="","",YEAR(Agent07_Withdrawals!D31)),"")</f>
        <v/>
      </c>
    </row>
    <row r="1225" spans="1:13" ht="18" customHeight="1" x14ac:dyDescent="0.25">
      <c r="A1225" s="40" t="str">
        <f>IF(Agent07_Withdrawals!A32="","",Agent07_Withdrawals!A32)</f>
        <v/>
      </c>
      <c r="B1225" s="40" t="str">
        <f ca="1">IF(Agent07_Withdrawals!A32="","","WD"&amp;TEXT(1225-3,"0000")&amp;"-"&amp;TEXT(TODAY(),"YYYYMMDD"))</f>
        <v/>
      </c>
      <c r="C1225" s="40" t="str">
        <f>IF(Agent07_Withdrawals!A32="","",Agent07_Withdrawals!B32)</f>
        <v/>
      </c>
      <c r="D1225" s="43" t="str">
        <f>IF(Agent07_Withdrawals!A32="","",Agent07_Withdrawals!C32)</f>
        <v/>
      </c>
      <c r="E1225" s="41" t="str">
        <f>IF(Agent07_Withdrawals!A32="","",Agent07_Withdrawals!D32)</f>
        <v/>
      </c>
      <c r="F1225" s="40" t="str">
        <f>IF(Agent07_Withdrawals!A32="","",Agent07_Withdrawals!F32)</f>
        <v/>
      </c>
      <c r="G1225" s="42" t="str">
        <f>IF(Agent07_Withdrawals!A32="","",Agent07_Withdrawals!E32)</f>
        <v/>
      </c>
      <c r="H1225" s="42" t="str">
        <f>IF(Agent07_Withdrawals!A32="","",Agent07_Withdrawals!G32)</f>
        <v/>
      </c>
      <c r="I1225" s="40" t="str">
        <f>IF(Agent07_Withdrawals!A32="","",Agent07_Withdrawals!H32)</f>
        <v/>
      </c>
      <c r="J1225" s="40" t="str">
        <f>IF(Agent07_Withdrawals!A32="","",Agent07_Withdrawals!J32)</f>
        <v/>
      </c>
      <c r="K1225" s="40" t="str">
        <f>IF(Agent07_Withdrawals!A32="","",Agent07_Withdrawals!K32)</f>
        <v/>
      </c>
      <c r="L1225" s="40" t="str">
        <f>IF(G1225="","",IF(D1225-G1225&gt;=System_Config!$B$9,"✅ OK","⚠️ BREACH"))</f>
        <v/>
      </c>
      <c r="M1225" s="40" t="str">
        <f>IFERROR(IF(Agent07_Withdrawals!A32="","",YEAR(Agent07_Withdrawals!D32)),"")</f>
        <v/>
      </c>
    </row>
    <row r="1226" spans="1:13" ht="18" customHeight="1" x14ac:dyDescent="0.25">
      <c r="A1226" s="40" t="str">
        <f>IF(Agent07_Withdrawals!A33="","",Agent07_Withdrawals!A33)</f>
        <v/>
      </c>
      <c r="B1226" s="40" t="str">
        <f ca="1">IF(Agent07_Withdrawals!A33="","","WD"&amp;TEXT(1226-3,"0000")&amp;"-"&amp;TEXT(TODAY(),"YYYYMMDD"))</f>
        <v/>
      </c>
      <c r="C1226" s="40" t="str">
        <f>IF(Agent07_Withdrawals!A33="","",Agent07_Withdrawals!B33)</f>
        <v/>
      </c>
      <c r="D1226" s="43" t="str">
        <f>IF(Agent07_Withdrawals!A33="","",Agent07_Withdrawals!C33)</f>
        <v/>
      </c>
      <c r="E1226" s="41" t="str">
        <f>IF(Agent07_Withdrawals!A33="","",Agent07_Withdrawals!D33)</f>
        <v/>
      </c>
      <c r="F1226" s="40" t="str">
        <f>IF(Agent07_Withdrawals!A33="","",Agent07_Withdrawals!F33)</f>
        <v/>
      </c>
      <c r="G1226" s="42" t="str">
        <f>IF(Agent07_Withdrawals!A33="","",Agent07_Withdrawals!E33)</f>
        <v/>
      </c>
      <c r="H1226" s="42" t="str">
        <f>IF(Agent07_Withdrawals!A33="","",Agent07_Withdrawals!G33)</f>
        <v/>
      </c>
      <c r="I1226" s="40" t="str">
        <f>IF(Agent07_Withdrawals!A33="","",Agent07_Withdrawals!H33)</f>
        <v/>
      </c>
      <c r="J1226" s="40" t="str">
        <f>IF(Agent07_Withdrawals!A33="","",Agent07_Withdrawals!J33)</f>
        <v/>
      </c>
      <c r="K1226" s="40" t="str">
        <f>IF(Agent07_Withdrawals!A33="","",Agent07_Withdrawals!K33)</f>
        <v/>
      </c>
      <c r="L1226" s="40" t="str">
        <f>IF(G1226="","",IF(D1226-G1226&gt;=System_Config!$B$9,"✅ OK","⚠️ BREACH"))</f>
        <v/>
      </c>
      <c r="M1226" s="40" t="str">
        <f>IFERROR(IF(Agent07_Withdrawals!A33="","",YEAR(Agent07_Withdrawals!D33)),"")</f>
        <v/>
      </c>
    </row>
    <row r="1227" spans="1:13" ht="18" customHeight="1" x14ac:dyDescent="0.25">
      <c r="A1227" s="40" t="str">
        <f>IF(Agent07_Withdrawals!A34="","",Agent07_Withdrawals!A34)</f>
        <v/>
      </c>
      <c r="B1227" s="40" t="str">
        <f ca="1">IF(Agent07_Withdrawals!A34="","","WD"&amp;TEXT(1227-3,"0000")&amp;"-"&amp;TEXT(TODAY(),"YYYYMMDD"))</f>
        <v/>
      </c>
      <c r="C1227" s="40" t="str">
        <f>IF(Agent07_Withdrawals!A34="","",Agent07_Withdrawals!B34)</f>
        <v/>
      </c>
      <c r="D1227" s="43" t="str">
        <f>IF(Agent07_Withdrawals!A34="","",Agent07_Withdrawals!C34)</f>
        <v/>
      </c>
      <c r="E1227" s="41" t="str">
        <f>IF(Agent07_Withdrawals!A34="","",Agent07_Withdrawals!D34)</f>
        <v/>
      </c>
      <c r="F1227" s="40" t="str">
        <f>IF(Agent07_Withdrawals!A34="","",Agent07_Withdrawals!F34)</f>
        <v/>
      </c>
      <c r="G1227" s="42" t="str">
        <f>IF(Agent07_Withdrawals!A34="","",Agent07_Withdrawals!E34)</f>
        <v/>
      </c>
      <c r="H1227" s="42" t="str">
        <f>IF(Agent07_Withdrawals!A34="","",Agent07_Withdrawals!G34)</f>
        <v/>
      </c>
      <c r="I1227" s="40" t="str">
        <f>IF(Agent07_Withdrawals!A34="","",Agent07_Withdrawals!H34)</f>
        <v/>
      </c>
      <c r="J1227" s="40" t="str">
        <f>IF(Agent07_Withdrawals!A34="","",Agent07_Withdrawals!J34)</f>
        <v/>
      </c>
      <c r="K1227" s="40" t="str">
        <f>IF(Agent07_Withdrawals!A34="","",Agent07_Withdrawals!K34)</f>
        <v/>
      </c>
      <c r="L1227" s="40" t="str">
        <f>IF(G1227="","",IF(D1227-G1227&gt;=System_Config!$B$9,"✅ OK","⚠️ BREACH"))</f>
        <v/>
      </c>
      <c r="M1227" s="40" t="str">
        <f>IFERROR(IF(Agent07_Withdrawals!A34="","",YEAR(Agent07_Withdrawals!D34)),"")</f>
        <v/>
      </c>
    </row>
    <row r="1228" spans="1:13" ht="18" customHeight="1" x14ac:dyDescent="0.25">
      <c r="A1228" s="40" t="str">
        <f>IF(Agent07_Withdrawals!A35="","",Agent07_Withdrawals!A35)</f>
        <v/>
      </c>
      <c r="B1228" s="40" t="str">
        <f ca="1">IF(Agent07_Withdrawals!A35="","","WD"&amp;TEXT(1228-3,"0000")&amp;"-"&amp;TEXT(TODAY(),"YYYYMMDD"))</f>
        <v/>
      </c>
      <c r="C1228" s="40" t="str">
        <f>IF(Agent07_Withdrawals!A35="","",Agent07_Withdrawals!B35)</f>
        <v/>
      </c>
      <c r="D1228" s="43" t="str">
        <f>IF(Agent07_Withdrawals!A35="","",Agent07_Withdrawals!C35)</f>
        <v/>
      </c>
      <c r="E1228" s="41" t="str">
        <f>IF(Agent07_Withdrawals!A35="","",Agent07_Withdrawals!D35)</f>
        <v/>
      </c>
      <c r="F1228" s="40" t="str">
        <f>IF(Agent07_Withdrawals!A35="","",Agent07_Withdrawals!F35)</f>
        <v/>
      </c>
      <c r="G1228" s="42" t="str">
        <f>IF(Agent07_Withdrawals!A35="","",Agent07_Withdrawals!E35)</f>
        <v/>
      </c>
      <c r="H1228" s="42" t="str">
        <f>IF(Agent07_Withdrawals!A35="","",Agent07_Withdrawals!G35)</f>
        <v/>
      </c>
      <c r="I1228" s="40" t="str">
        <f>IF(Agent07_Withdrawals!A35="","",Agent07_Withdrawals!H35)</f>
        <v/>
      </c>
      <c r="J1228" s="40" t="str">
        <f>IF(Agent07_Withdrawals!A35="","",Agent07_Withdrawals!J35)</f>
        <v/>
      </c>
      <c r="K1228" s="40" t="str">
        <f>IF(Agent07_Withdrawals!A35="","",Agent07_Withdrawals!K35)</f>
        <v/>
      </c>
      <c r="L1228" s="40" t="str">
        <f>IF(G1228="","",IF(D1228-G1228&gt;=System_Config!$B$9,"✅ OK","⚠️ BREACH"))</f>
        <v/>
      </c>
      <c r="M1228" s="40" t="str">
        <f>IFERROR(IF(Agent07_Withdrawals!A35="","",YEAR(Agent07_Withdrawals!D35)),"")</f>
        <v/>
      </c>
    </row>
    <row r="1229" spans="1:13" ht="18" customHeight="1" x14ac:dyDescent="0.25">
      <c r="A1229" s="40" t="str">
        <f>IF(Agent07_Withdrawals!A36="","",Agent07_Withdrawals!A36)</f>
        <v/>
      </c>
      <c r="B1229" s="40" t="str">
        <f ca="1">IF(Agent07_Withdrawals!A36="","","WD"&amp;TEXT(1229-3,"0000")&amp;"-"&amp;TEXT(TODAY(),"YYYYMMDD"))</f>
        <v/>
      </c>
      <c r="C1229" s="40" t="str">
        <f>IF(Agent07_Withdrawals!A36="","",Agent07_Withdrawals!B36)</f>
        <v/>
      </c>
      <c r="D1229" s="43" t="str">
        <f>IF(Agent07_Withdrawals!A36="","",Agent07_Withdrawals!C36)</f>
        <v/>
      </c>
      <c r="E1229" s="41" t="str">
        <f>IF(Agent07_Withdrawals!A36="","",Agent07_Withdrawals!D36)</f>
        <v/>
      </c>
      <c r="F1229" s="40" t="str">
        <f>IF(Agent07_Withdrawals!A36="","",Agent07_Withdrawals!F36)</f>
        <v/>
      </c>
      <c r="G1229" s="42" t="str">
        <f>IF(Agent07_Withdrawals!A36="","",Agent07_Withdrawals!E36)</f>
        <v/>
      </c>
      <c r="H1229" s="42" t="str">
        <f>IF(Agent07_Withdrawals!A36="","",Agent07_Withdrawals!G36)</f>
        <v/>
      </c>
      <c r="I1229" s="40" t="str">
        <f>IF(Agent07_Withdrawals!A36="","",Agent07_Withdrawals!H36)</f>
        <v/>
      </c>
      <c r="J1229" s="40" t="str">
        <f>IF(Agent07_Withdrawals!A36="","",Agent07_Withdrawals!J36)</f>
        <v/>
      </c>
      <c r="K1229" s="40" t="str">
        <f>IF(Agent07_Withdrawals!A36="","",Agent07_Withdrawals!K36)</f>
        <v/>
      </c>
      <c r="L1229" s="40" t="str">
        <f>IF(G1229="","",IF(D1229-G1229&gt;=System_Config!$B$9,"✅ OK","⚠️ BREACH"))</f>
        <v/>
      </c>
      <c r="M1229" s="40" t="str">
        <f>IFERROR(IF(Agent07_Withdrawals!A36="","",YEAR(Agent07_Withdrawals!D36)),"")</f>
        <v/>
      </c>
    </row>
    <row r="1230" spans="1:13" ht="18" customHeight="1" x14ac:dyDescent="0.25">
      <c r="A1230" s="40" t="str">
        <f>IF(Agent07_Withdrawals!A37="","",Agent07_Withdrawals!A37)</f>
        <v/>
      </c>
      <c r="B1230" s="40" t="str">
        <f ca="1">IF(Agent07_Withdrawals!A37="","","WD"&amp;TEXT(1230-3,"0000")&amp;"-"&amp;TEXT(TODAY(),"YYYYMMDD"))</f>
        <v/>
      </c>
      <c r="C1230" s="40" t="str">
        <f>IF(Agent07_Withdrawals!A37="","",Agent07_Withdrawals!B37)</f>
        <v/>
      </c>
      <c r="D1230" s="43" t="str">
        <f>IF(Agent07_Withdrawals!A37="","",Agent07_Withdrawals!C37)</f>
        <v/>
      </c>
      <c r="E1230" s="41" t="str">
        <f>IF(Agent07_Withdrawals!A37="","",Agent07_Withdrawals!D37)</f>
        <v/>
      </c>
      <c r="F1230" s="40" t="str">
        <f>IF(Agent07_Withdrawals!A37="","",Agent07_Withdrawals!F37)</f>
        <v/>
      </c>
      <c r="G1230" s="42" t="str">
        <f>IF(Agent07_Withdrawals!A37="","",Agent07_Withdrawals!E37)</f>
        <v/>
      </c>
      <c r="H1230" s="42" t="str">
        <f>IF(Agent07_Withdrawals!A37="","",Agent07_Withdrawals!G37)</f>
        <v/>
      </c>
      <c r="I1230" s="40" t="str">
        <f>IF(Agent07_Withdrawals!A37="","",Agent07_Withdrawals!H37)</f>
        <v/>
      </c>
      <c r="J1230" s="40" t="str">
        <f>IF(Agent07_Withdrawals!A37="","",Agent07_Withdrawals!J37)</f>
        <v/>
      </c>
      <c r="K1230" s="40" t="str">
        <f>IF(Agent07_Withdrawals!A37="","",Agent07_Withdrawals!K37)</f>
        <v/>
      </c>
      <c r="L1230" s="40" t="str">
        <f>IF(G1230="","",IF(D1230-G1230&gt;=System_Config!$B$9,"✅ OK","⚠️ BREACH"))</f>
        <v/>
      </c>
      <c r="M1230" s="40" t="str">
        <f>IFERROR(IF(Agent07_Withdrawals!A37="","",YEAR(Agent07_Withdrawals!D37)),"")</f>
        <v/>
      </c>
    </row>
    <row r="1231" spans="1:13" ht="18" customHeight="1" x14ac:dyDescent="0.25">
      <c r="A1231" s="40" t="str">
        <f>IF(Agent07_Withdrawals!A38="","",Agent07_Withdrawals!A38)</f>
        <v/>
      </c>
      <c r="B1231" s="40" t="str">
        <f ca="1">IF(Agent07_Withdrawals!A38="","","WD"&amp;TEXT(1231-3,"0000")&amp;"-"&amp;TEXT(TODAY(),"YYYYMMDD"))</f>
        <v/>
      </c>
      <c r="C1231" s="40" t="str">
        <f>IF(Agent07_Withdrawals!A38="","",Agent07_Withdrawals!B38)</f>
        <v/>
      </c>
      <c r="D1231" s="43" t="str">
        <f>IF(Agent07_Withdrawals!A38="","",Agent07_Withdrawals!C38)</f>
        <v/>
      </c>
      <c r="E1231" s="41" t="str">
        <f>IF(Agent07_Withdrawals!A38="","",Agent07_Withdrawals!D38)</f>
        <v/>
      </c>
      <c r="F1231" s="40" t="str">
        <f>IF(Agent07_Withdrawals!A38="","",Agent07_Withdrawals!F38)</f>
        <v/>
      </c>
      <c r="G1231" s="42" t="str">
        <f>IF(Agent07_Withdrawals!A38="","",Agent07_Withdrawals!E38)</f>
        <v/>
      </c>
      <c r="H1231" s="42" t="str">
        <f>IF(Agent07_Withdrawals!A38="","",Agent07_Withdrawals!G38)</f>
        <v/>
      </c>
      <c r="I1231" s="40" t="str">
        <f>IF(Agent07_Withdrawals!A38="","",Agent07_Withdrawals!H38)</f>
        <v/>
      </c>
      <c r="J1231" s="40" t="str">
        <f>IF(Agent07_Withdrawals!A38="","",Agent07_Withdrawals!J38)</f>
        <v/>
      </c>
      <c r="K1231" s="40" t="str">
        <f>IF(Agent07_Withdrawals!A38="","",Agent07_Withdrawals!K38)</f>
        <v/>
      </c>
      <c r="L1231" s="40" t="str">
        <f>IF(G1231="","",IF(D1231-G1231&gt;=System_Config!$B$9,"✅ OK","⚠️ BREACH"))</f>
        <v/>
      </c>
      <c r="M1231" s="40" t="str">
        <f>IFERROR(IF(Agent07_Withdrawals!A38="","",YEAR(Agent07_Withdrawals!D38)),"")</f>
        <v/>
      </c>
    </row>
    <row r="1232" spans="1:13" ht="18" customHeight="1" x14ac:dyDescent="0.25">
      <c r="A1232" s="40" t="str">
        <f>IF(Agent07_Withdrawals!A39="","",Agent07_Withdrawals!A39)</f>
        <v/>
      </c>
      <c r="B1232" s="40" t="str">
        <f ca="1">IF(Agent07_Withdrawals!A39="","","WD"&amp;TEXT(1232-3,"0000")&amp;"-"&amp;TEXT(TODAY(),"YYYYMMDD"))</f>
        <v/>
      </c>
      <c r="C1232" s="40" t="str">
        <f>IF(Agent07_Withdrawals!A39="","",Agent07_Withdrawals!B39)</f>
        <v/>
      </c>
      <c r="D1232" s="43" t="str">
        <f>IF(Agent07_Withdrawals!A39="","",Agent07_Withdrawals!C39)</f>
        <v/>
      </c>
      <c r="E1232" s="41" t="str">
        <f>IF(Agent07_Withdrawals!A39="","",Agent07_Withdrawals!D39)</f>
        <v/>
      </c>
      <c r="F1232" s="40" t="str">
        <f>IF(Agent07_Withdrawals!A39="","",Agent07_Withdrawals!F39)</f>
        <v/>
      </c>
      <c r="G1232" s="42" t="str">
        <f>IF(Agent07_Withdrawals!A39="","",Agent07_Withdrawals!E39)</f>
        <v/>
      </c>
      <c r="H1232" s="42" t="str">
        <f>IF(Agent07_Withdrawals!A39="","",Agent07_Withdrawals!G39)</f>
        <v/>
      </c>
      <c r="I1232" s="40" t="str">
        <f>IF(Agent07_Withdrawals!A39="","",Agent07_Withdrawals!H39)</f>
        <v/>
      </c>
      <c r="J1232" s="40" t="str">
        <f>IF(Agent07_Withdrawals!A39="","",Agent07_Withdrawals!J39)</f>
        <v/>
      </c>
      <c r="K1232" s="40" t="str">
        <f>IF(Agent07_Withdrawals!A39="","",Agent07_Withdrawals!K39)</f>
        <v/>
      </c>
      <c r="L1232" s="40" t="str">
        <f>IF(G1232="","",IF(D1232-G1232&gt;=System_Config!$B$9,"✅ OK","⚠️ BREACH"))</f>
        <v/>
      </c>
      <c r="M1232" s="40" t="str">
        <f>IFERROR(IF(Agent07_Withdrawals!A39="","",YEAR(Agent07_Withdrawals!D39)),"")</f>
        <v/>
      </c>
    </row>
    <row r="1233" spans="1:13" ht="18" customHeight="1" x14ac:dyDescent="0.25">
      <c r="A1233" s="40" t="str">
        <f>IF(Agent07_Withdrawals!A40="","",Agent07_Withdrawals!A40)</f>
        <v/>
      </c>
      <c r="B1233" s="40" t="str">
        <f ca="1">IF(Agent07_Withdrawals!A40="","","WD"&amp;TEXT(1233-3,"0000")&amp;"-"&amp;TEXT(TODAY(),"YYYYMMDD"))</f>
        <v/>
      </c>
      <c r="C1233" s="40" t="str">
        <f>IF(Agent07_Withdrawals!A40="","",Agent07_Withdrawals!B40)</f>
        <v/>
      </c>
      <c r="D1233" s="43" t="str">
        <f>IF(Agent07_Withdrawals!A40="","",Agent07_Withdrawals!C40)</f>
        <v/>
      </c>
      <c r="E1233" s="41" t="str">
        <f>IF(Agent07_Withdrawals!A40="","",Agent07_Withdrawals!D40)</f>
        <v/>
      </c>
      <c r="F1233" s="40" t="str">
        <f>IF(Agent07_Withdrawals!A40="","",Agent07_Withdrawals!F40)</f>
        <v/>
      </c>
      <c r="G1233" s="42" t="str">
        <f>IF(Agent07_Withdrawals!A40="","",Agent07_Withdrawals!E40)</f>
        <v/>
      </c>
      <c r="H1233" s="42" t="str">
        <f>IF(Agent07_Withdrawals!A40="","",Agent07_Withdrawals!G40)</f>
        <v/>
      </c>
      <c r="I1233" s="40" t="str">
        <f>IF(Agent07_Withdrawals!A40="","",Agent07_Withdrawals!H40)</f>
        <v/>
      </c>
      <c r="J1233" s="40" t="str">
        <f>IF(Agent07_Withdrawals!A40="","",Agent07_Withdrawals!J40)</f>
        <v/>
      </c>
      <c r="K1233" s="40" t="str">
        <f>IF(Agent07_Withdrawals!A40="","",Agent07_Withdrawals!K40)</f>
        <v/>
      </c>
      <c r="L1233" s="40" t="str">
        <f>IF(G1233="","",IF(D1233-G1233&gt;=System_Config!$B$9,"✅ OK","⚠️ BREACH"))</f>
        <v/>
      </c>
      <c r="M1233" s="40" t="str">
        <f>IFERROR(IF(Agent07_Withdrawals!A40="","",YEAR(Agent07_Withdrawals!D40)),"")</f>
        <v/>
      </c>
    </row>
    <row r="1234" spans="1:13" ht="18" customHeight="1" x14ac:dyDescent="0.25">
      <c r="A1234" s="40" t="str">
        <f>IF(Agent07_Withdrawals!A41="","",Agent07_Withdrawals!A41)</f>
        <v/>
      </c>
      <c r="B1234" s="40" t="str">
        <f ca="1">IF(Agent07_Withdrawals!A41="","","WD"&amp;TEXT(1234-3,"0000")&amp;"-"&amp;TEXT(TODAY(),"YYYYMMDD"))</f>
        <v/>
      </c>
      <c r="C1234" s="40" t="str">
        <f>IF(Agent07_Withdrawals!A41="","",Agent07_Withdrawals!B41)</f>
        <v/>
      </c>
      <c r="D1234" s="43" t="str">
        <f>IF(Agent07_Withdrawals!A41="","",Agent07_Withdrawals!C41)</f>
        <v/>
      </c>
      <c r="E1234" s="41" t="str">
        <f>IF(Agent07_Withdrawals!A41="","",Agent07_Withdrawals!D41)</f>
        <v/>
      </c>
      <c r="F1234" s="40" t="str">
        <f>IF(Agent07_Withdrawals!A41="","",Agent07_Withdrawals!F41)</f>
        <v/>
      </c>
      <c r="G1234" s="42" t="str">
        <f>IF(Agent07_Withdrawals!A41="","",Agent07_Withdrawals!E41)</f>
        <v/>
      </c>
      <c r="H1234" s="42" t="str">
        <f>IF(Agent07_Withdrawals!A41="","",Agent07_Withdrawals!G41)</f>
        <v/>
      </c>
      <c r="I1234" s="40" t="str">
        <f>IF(Agent07_Withdrawals!A41="","",Agent07_Withdrawals!H41)</f>
        <v/>
      </c>
      <c r="J1234" s="40" t="str">
        <f>IF(Agent07_Withdrawals!A41="","",Agent07_Withdrawals!J41)</f>
        <v/>
      </c>
      <c r="K1234" s="40" t="str">
        <f>IF(Agent07_Withdrawals!A41="","",Agent07_Withdrawals!K41)</f>
        <v/>
      </c>
      <c r="L1234" s="40" t="str">
        <f>IF(G1234="","",IF(D1234-G1234&gt;=System_Config!$B$9,"✅ OK","⚠️ BREACH"))</f>
        <v/>
      </c>
      <c r="M1234" s="40" t="str">
        <f>IFERROR(IF(Agent07_Withdrawals!A41="","",YEAR(Agent07_Withdrawals!D41)),"")</f>
        <v/>
      </c>
    </row>
    <row r="1235" spans="1:13" ht="18" customHeight="1" x14ac:dyDescent="0.25">
      <c r="A1235" s="40" t="str">
        <f>IF(Agent07_Withdrawals!A42="","",Agent07_Withdrawals!A42)</f>
        <v/>
      </c>
      <c r="B1235" s="40" t="str">
        <f ca="1">IF(Agent07_Withdrawals!A42="","","WD"&amp;TEXT(1235-3,"0000")&amp;"-"&amp;TEXT(TODAY(),"YYYYMMDD"))</f>
        <v/>
      </c>
      <c r="C1235" s="40" t="str">
        <f>IF(Agent07_Withdrawals!A42="","",Agent07_Withdrawals!B42)</f>
        <v/>
      </c>
      <c r="D1235" s="43" t="str">
        <f>IF(Agent07_Withdrawals!A42="","",Agent07_Withdrawals!C42)</f>
        <v/>
      </c>
      <c r="E1235" s="41" t="str">
        <f>IF(Agent07_Withdrawals!A42="","",Agent07_Withdrawals!D42)</f>
        <v/>
      </c>
      <c r="F1235" s="40" t="str">
        <f>IF(Agent07_Withdrawals!A42="","",Agent07_Withdrawals!F42)</f>
        <v/>
      </c>
      <c r="G1235" s="42" t="str">
        <f>IF(Agent07_Withdrawals!A42="","",Agent07_Withdrawals!E42)</f>
        <v/>
      </c>
      <c r="H1235" s="42" t="str">
        <f>IF(Agent07_Withdrawals!A42="","",Agent07_Withdrawals!G42)</f>
        <v/>
      </c>
      <c r="I1235" s="40" t="str">
        <f>IF(Agent07_Withdrawals!A42="","",Agent07_Withdrawals!H42)</f>
        <v/>
      </c>
      <c r="J1235" s="40" t="str">
        <f>IF(Agent07_Withdrawals!A42="","",Agent07_Withdrawals!J42)</f>
        <v/>
      </c>
      <c r="K1235" s="40" t="str">
        <f>IF(Agent07_Withdrawals!A42="","",Agent07_Withdrawals!K42)</f>
        <v/>
      </c>
      <c r="L1235" s="40" t="str">
        <f>IF(G1235="","",IF(D1235-G1235&gt;=System_Config!$B$9,"✅ OK","⚠️ BREACH"))</f>
        <v/>
      </c>
      <c r="M1235" s="40" t="str">
        <f>IFERROR(IF(Agent07_Withdrawals!A42="","",YEAR(Agent07_Withdrawals!D42)),"")</f>
        <v/>
      </c>
    </row>
    <row r="1236" spans="1:13" ht="18" customHeight="1" x14ac:dyDescent="0.25">
      <c r="A1236" s="40" t="str">
        <f>IF(Agent07_Withdrawals!A43="","",Agent07_Withdrawals!A43)</f>
        <v/>
      </c>
      <c r="B1236" s="40" t="str">
        <f ca="1">IF(Agent07_Withdrawals!A43="","","WD"&amp;TEXT(1236-3,"0000")&amp;"-"&amp;TEXT(TODAY(),"YYYYMMDD"))</f>
        <v/>
      </c>
      <c r="C1236" s="40" t="str">
        <f>IF(Agent07_Withdrawals!A43="","",Agent07_Withdrawals!B43)</f>
        <v/>
      </c>
      <c r="D1236" s="43" t="str">
        <f>IF(Agent07_Withdrawals!A43="","",Agent07_Withdrawals!C43)</f>
        <v/>
      </c>
      <c r="E1236" s="41" t="str">
        <f>IF(Agent07_Withdrawals!A43="","",Agent07_Withdrawals!D43)</f>
        <v/>
      </c>
      <c r="F1236" s="40" t="str">
        <f>IF(Agent07_Withdrawals!A43="","",Agent07_Withdrawals!F43)</f>
        <v/>
      </c>
      <c r="G1236" s="42" t="str">
        <f>IF(Agent07_Withdrawals!A43="","",Agent07_Withdrawals!E43)</f>
        <v/>
      </c>
      <c r="H1236" s="42" t="str">
        <f>IF(Agent07_Withdrawals!A43="","",Agent07_Withdrawals!G43)</f>
        <v/>
      </c>
      <c r="I1236" s="40" t="str">
        <f>IF(Agent07_Withdrawals!A43="","",Agent07_Withdrawals!H43)</f>
        <v/>
      </c>
      <c r="J1236" s="40" t="str">
        <f>IF(Agent07_Withdrawals!A43="","",Agent07_Withdrawals!J43)</f>
        <v/>
      </c>
      <c r="K1236" s="40" t="str">
        <f>IF(Agent07_Withdrawals!A43="","",Agent07_Withdrawals!K43)</f>
        <v/>
      </c>
      <c r="L1236" s="40" t="str">
        <f>IF(G1236="","",IF(D1236-G1236&gt;=System_Config!$B$9,"✅ OK","⚠️ BREACH"))</f>
        <v/>
      </c>
      <c r="M1236" s="40" t="str">
        <f>IFERROR(IF(Agent07_Withdrawals!A43="","",YEAR(Agent07_Withdrawals!D43)),"")</f>
        <v/>
      </c>
    </row>
    <row r="1237" spans="1:13" ht="18" customHeight="1" x14ac:dyDescent="0.25">
      <c r="A1237" s="40" t="str">
        <f>IF(Agent07_Withdrawals!A44="","",Agent07_Withdrawals!A44)</f>
        <v/>
      </c>
      <c r="B1237" s="40" t="str">
        <f ca="1">IF(Agent07_Withdrawals!A44="","","WD"&amp;TEXT(1237-3,"0000")&amp;"-"&amp;TEXT(TODAY(),"YYYYMMDD"))</f>
        <v/>
      </c>
      <c r="C1237" s="40" t="str">
        <f>IF(Agent07_Withdrawals!A44="","",Agent07_Withdrawals!B44)</f>
        <v/>
      </c>
      <c r="D1237" s="43" t="str">
        <f>IF(Agent07_Withdrawals!A44="","",Agent07_Withdrawals!C44)</f>
        <v/>
      </c>
      <c r="E1237" s="41" t="str">
        <f>IF(Agent07_Withdrawals!A44="","",Agent07_Withdrawals!D44)</f>
        <v/>
      </c>
      <c r="F1237" s="40" t="str">
        <f>IF(Agent07_Withdrawals!A44="","",Agent07_Withdrawals!F44)</f>
        <v/>
      </c>
      <c r="G1237" s="42" t="str">
        <f>IF(Agent07_Withdrawals!A44="","",Agent07_Withdrawals!E44)</f>
        <v/>
      </c>
      <c r="H1237" s="42" t="str">
        <f>IF(Agent07_Withdrawals!A44="","",Agent07_Withdrawals!G44)</f>
        <v/>
      </c>
      <c r="I1237" s="40" t="str">
        <f>IF(Agent07_Withdrawals!A44="","",Agent07_Withdrawals!H44)</f>
        <v/>
      </c>
      <c r="J1237" s="40" t="str">
        <f>IF(Agent07_Withdrawals!A44="","",Agent07_Withdrawals!J44)</f>
        <v/>
      </c>
      <c r="K1237" s="40" t="str">
        <f>IF(Agent07_Withdrawals!A44="","",Agent07_Withdrawals!K44)</f>
        <v/>
      </c>
      <c r="L1237" s="40" t="str">
        <f>IF(G1237="","",IF(D1237-G1237&gt;=System_Config!$B$9,"✅ OK","⚠️ BREACH"))</f>
        <v/>
      </c>
      <c r="M1237" s="40" t="str">
        <f>IFERROR(IF(Agent07_Withdrawals!A44="","",YEAR(Agent07_Withdrawals!D44)),"")</f>
        <v/>
      </c>
    </row>
    <row r="1238" spans="1:13" ht="18" customHeight="1" x14ac:dyDescent="0.25">
      <c r="A1238" s="40" t="str">
        <f>IF(Agent07_Withdrawals!A45="","",Agent07_Withdrawals!A45)</f>
        <v/>
      </c>
      <c r="B1238" s="40" t="str">
        <f ca="1">IF(Agent07_Withdrawals!A45="","","WD"&amp;TEXT(1238-3,"0000")&amp;"-"&amp;TEXT(TODAY(),"YYYYMMDD"))</f>
        <v/>
      </c>
      <c r="C1238" s="40" t="str">
        <f>IF(Agent07_Withdrawals!A45="","",Agent07_Withdrawals!B45)</f>
        <v/>
      </c>
      <c r="D1238" s="43" t="str">
        <f>IF(Agent07_Withdrawals!A45="","",Agent07_Withdrawals!C45)</f>
        <v/>
      </c>
      <c r="E1238" s="41" t="str">
        <f>IF(Agent07_Withdrawals!A45="","",Agent07_Withdrawals!D45)</f>
        <v/>
      </c>
      <c r="F1238" s="40" t="str">
        <f>IF(Agent07_Withdrawals!A45="","",Agent07_Withdrawals!F45)</f>
        <v/>
      </c>
      <c r="G1238" s="42" t="str">
        <f>IF(Agent07_Withdrawals!A45="","",Agent07_Withdrawals!E45)</f>
        <v/>
      </c>
      <c r="H1238" s="42" t="str">
        <f>IF(Agent07_Withdrawals!A45="","",Agent07_Withdrawals!G45)</f>
        <v/>
      </c>
      <c r="I1238" s="40" t="str">
        <f>IF(Agent07_Withdrawals!A45="","",Agent07_Withdrawals!H45)</f>
        <v/>
      </c>
      <c r="J1238" s="40" t="str">
        <f>IF(Agent07_Withdrawals!A45="","",Agent07_Withdrawals!J45)</f>
        <v/>
      </c>
      <c r="K1238" s="40" t="str">
        <f>IF(Agent07_Withdrawals!A45="","",Agent07_Withdrawals!K45)</f>
        <v/>
      </c>
      <c r="L1238" s="40" t="str">
        <f>IF(G1238="","",IF(D1238-G1238&gt;=System_Config!$B$9,"✅ OK","⚠️ BREACH"))</f>
        <v/>
      </c>
      <c r="M1238" s="40" t="str">
        <f>IFERROR(IF(Agent07_Withdrawals!A45="","",YEAR(Agent07_Withdrawals!D45)),"")</f>
        <v/>
      </c>
    </row>
    <row r="1239" spans="1:13" ht="18" customHeight="1" x14ac:dyDescent="0.25">
      <c r="A1239" s="40" t="str">
        <f>IF(Agent07_Withdrawals!A46="","",Agent07_Withdrawals!A46)</f>
        <v/>
      </c>
      <c r="B1239" s="40" t="str">
        <f ca="1">IF(Agent07_Withdrawals!A46="","","WD"&amp;TEXT(1239-3,"0000")&amp;"-"&amp;TEXT(TODAY(),"YYYYMMDD"))</f>
        <v/>
      </c>
      <c r="C1239" s="40" t="str">
        <f>IF(Agent07_Withdrawals!A46="","",Agent07_Withdrawals!B46)</f>
        <v/>
      </c>
      <c r="D1239" s="43" t="str">
        <f>IF(Agent07_Withdrawals!A46="","",Agent07_Withdrawals!C46)</f>
        <v/>
      </c>
      <c r="E1239" s="41" t="str">
        <f>IF(Agent07_Withdrawals!A46="","",Agent07_Withdrawals!D46)</f>
        <v/>
      </c>
      <c r="F1239" s="40" t="str">
        <f>IF(Agent07_Withdrawals!A46="","",Agent07_Withdrawals!F46)</f>
        <v/>
      </c>
      <c r="G1239" s="42" t="str">
        <f>IF(Agent07_Withdrawals!A46="","",Agent07_Withdrawals!E46)</f>
        <v/>
      </c>
      <c r="H1239" s="42" t="str">
        <f>IF(Agent07_Withdrawals!A46="","",Agent07_Withdrawals!G46)</f>
        <v/>
      </c>
      <c r="I1239" s="40" t="str">
        <f>IF(Agent07_Withdrawals!A46="","",Agent07_Withdrawals!H46)</f>
        <v/>
      </c>
      <c r="J1239" s="40" t="str">
        <f>IF(Agent07_Withdrawals!A46="","",Agent07_Withdrawals!J46)</f>
        <v/>
      </c>
      <c r="K1239" s="40" t="str">
        <f>IF(Agent07_Withdrawals!A46="","",Agent07_Withdrawals!K46)</f>
        <v/>
      </c>
      <c r="L1239" s="40" t="str">
        <f>IF(G1239="","",IF(D1239-G1239&gt;=System_Config!$B$9,"✅ OK","⚠️ BREACH"))</f>
        <v/>
      </c>
      <c r="M1239" s="40" t="str">
        <f>IFERROR(IF(Agent07_Withdrawals!A46="","",YEAR(Agent07_Withdrawals!D46)),"")</f>
        <v/>
      </c>
    </row>
    <row r="1240" spans="1:13" ht="18" customHeight="1" x14ac:dyDescent="0.25">
      <c r="A1240" s="40" t="str">
        <f>IF(Agent07_Withdrawals!A47="","",Agent07_Withdrawals!A47)</f>
        <v/>
      </c>
      <c r="B1240" s="40" t="str">
        <f ca="1">IF(Agent07_Withdrawals!A47="","","WD"&amp;TEXT(1240-3,"0000")&amp;"-"&amp;TEXT(TODAY(),"YYYYMMDD"))</f>
        <v/>
      </c>
      <c r="C1240" s="40" t="str">
        <f>IF(Agent07_Withdrawals!A47="","",Agent07_Withdrawals!B47)</f>
        <v/>
      </c>
      <c r="D1240" s="43" t="str">
        <f>IF(Agent07_Withdrawals!A47="","",Agent07_Withdrawals!C47)</f>
        <v/>
      </c>
      <c r="E1240" s="41" t="str">
        <f>IF(Agent07_Withdrawals!A47="","",Agent07_Withdrawals!D47)</f>
        <v/>
      </c>
      <c r="F1240" s="40" t="str">
        <f>IF(Agent07_Withdrawals!A47="","",Agent07_Withdrawals!F47)</f>
        <v/>
      </c>
      <c r="G1240" s="42" t="str">
        <f>IF(Agent07_Withdrawals!A47="","",Agent07_Withdrawals!E47)</f>
        <v/>
      </c>
      <c r="H1240" s="42" t="str">
        <f>IF(Agent07_Withdrawals!A47="","",Agent07_Withdrawals!G47)</f>
        <v/>
      </c>
      <c r="I1240" s="40" t="str">
        <f>IF(Agent07_Withdrawals!A47="","",Agent07_Withdrawals!H47)</f>
        <v/>
      </c>
      <c r="J1240" s="40" t="str">
        <f>IF(Agent07_Withdrawals!A47="","",Agent07_Withdrawals!J47)</f>
        <v/>
      </c>
      <c r="K1240" s="40" t="str">
        <f>IF(Agent07_Withdrawals!A47="","",Agent07_Withdrawals!K47)</f>
        <v/>
      </c>
      <c r="L1240" s="40" t="str">
        <f>IF(G1240="","",IF(D1240-G1240&gt;=System_Config!$B$9,"✅ OK","⚠️ BREACH"))</f>
        <v/>
      </c>
      <c r="M1240" s="40" t="str">
        <f>IFERROR(IF(Agent07_Withdrawals!A47="","",YEAR(Agent07_Withdrawals!D47)),"")</f>
        <v/>
      </c>
    </row>
    <row r="1241" spans="1:13" ht="18" customHeight="1" x14ac:dyDescent="0.25">
      <c r="A1241" s="40" t="str">
        <f>IF(Agent07_Withdrawals!A48="","",Agent07_Withdrawals!A48)</f>
        <v/>
      </c>
      <c r="B1241" s="40" t="str">
        <f ca="1">IF(Agent07_Withdrawals!A48="","","WD"&amp;TEXT(1241-3,"0000")&amp;"-"&amp;TEXT(TODAY(),"YYYYMMDD"))</f>
        <v/>
      </c>
      <c r="C1241" s="40" t="str">
        <f>IF(Agent07_Withdrawals!A48="","",Agent07_Withdrawals!B48)</f>
        <v/>
      </c>
      <c r="D1241" s="43" t="str">
        <f>IF(Agent07_Withdrawals!A48="","",Agent07_Withdrawals!C48)</f>
        <v/>
      </c>
      <c r="E1241" s="41" t="str">
        <f>IF(Agent07_Withdrawals!A48="","",Agent07_Withdrawals!D48)</f>
        <v/>
      </c>
      <c r="F1241" s="40" t="str">
        <f>IF(Agent07_Withdrawals!A48="","",Agent07_Withdrawals!F48)</f>
        <v/>
      </c>
      <c r="G1241" s="42" t="str">
        <f>IF(Agent07_Withdrawals!A48="","",Agent07_Withdrawals!E48)</f>
        <v/>
      </c>
      <c r="H1241" s="42" t="str">
        <f>IF(Agent07_Withdrawals!A48="","",Agent07_Withdrawals!G48)</f>
        <v/>
      </c>
      <c r="I1241" s="40" t="str">
        <f>IF(Agent07_Withdrawals!A48="","",Agent07_Withdrawals!H48)</f>
        <v/>
      </c>
      <c r="J1241" s="40" t="str">
        <f>IF(Agent07_Withdrawals!A48="","",Agent07_Withdrawals!J48)</f>
        <v/>
      </c>
      <c r="K1241" s="40" t="str">
        <f>IF(Agent07_Withdrawals!A48="","",Agent07_Withdrawals!K48)</f>
        <v/>
      </c>
      <c r="L1241" s="40" t="str">
        <f>IF(G1241="","",IF(D1241-G1241&gt;=System_Config!$B$9,"✅ OK","⚠️ BREACH"))</f>
        <v/>
      </c>
      <c r="M1241" s="40" t="str">
        <f>IFERROR(IF(Agent07_Withdrawals!A48="","",YEAR(Agent07_Withdrawals!D48)),"")</f>
        <v/>
      </c>
    </row>
    <row r="1242" spans="1:13" ht="18" customHeight="1" x14ac:dyDescent="0.25">
      <c r="A1242" s="40" t="str">
        <f>IF(Agent07_Withdrawals!A49="","",Agent07_Withdrawals!A49)</f>
        <v/>
      </c>
      <c r="B1242" s="40" t="str">
        <f ca="1">IF(Agent07_Withdrawals!A49="","","WD"&amp;TEXT(1242-3,"0000")&amp;"-"&amp;TEXT(TODAY(),"YYYYMMDD"))</f>
        <v/>
      </c>
      <c r="C1242" s="40" t="str">
        <f>IF(Agent07_Withdrawals!A49="","",Agent07_Withdrawals!B49)</f>
        <v/>
      </c>
      <c r="D1242" s="43" t="str">
        <f>IF(Agent07_Withdrawals!A49="","",Agent07_Withdrawals!C49)</f>
        <v/>
      </c>
      <c r="E1242" s="41" t="str">
        <f>IF(Agent07_Withdrawals!A49="","",Agent07_Withdrawals!D49)</f>
        <v/>
      </c>
      <c r="F1242" s="40" t="str">
        <f>IF(Agent07_Withdrawals!A49="","",Agent07_Withdrawals!F49)</f>
        <v/>
      </c>
      <c r="G1242" s="42" t="str">
        <f>IF(Agent07_Withdrawals!A49="","",Agent07_Withdrawals!E49)</f>
        <v/>
      </c>
      <c r="H1242" s="42" t="str">
        <f>IF(Agent07_Withdrawals!A49="","",Agent07_Withdrawals!G49)</f>
        <v/>
      </c>
      <c r="I1242" s="40" t="str">
        <f>IF(Agent07_Withdrawals!A49="","",Agent07_Withdrawals!H49)</f>
        <v/>
      </c>
      <c r="J1242" s="40" t="str">
        <f>IF(Agent07_Withdrawals!A49="","",Agent07_Withdrawals!J49)</f>
        <v/>
      </c>
      <c r="K1242" s="40" t="str">
        <f>IF(Agent07_Withdrawals!A49="","",Agent07_Withdrawals!K49)</f>
        <v/>
      </c>
      <c r="L1242" s="40" t="str">
        <f>IF(G1242="","",IF(D1242-G1242&gt;=System_Config!$B$9,"✅ OK","⚠️ BREACH"))</f>
        <v/>
      </c>
      <c r="M1242" s="40" t="str">
        <f>IFERROR(IF(Agent07_Withdrawals!A49="","",YEAR(Agent07_Withdrawals!D49)),"")</f>
        <v/>
      </c>
    </row>
    <row r="1243" spans="1:13" ht="18" customHeight="1" x14ac:dyDescent="0.25">
      <c r="A1243" s="40" t="str">
        <f>IF(Agent07_Withdrawals!A50="","",Agent07_Withdrawals!A50)</f>
        <v/>
      </c>
      <c r="B1243" s="40" t="str">
        <f ca="1">IF(Agent07_Withdrawals!A50="","","WD"&amp;TEXT(1243-3,"0000")&amp;"-"&amp;TEXT(TODAY(),"YYYYMMDD"))</f>
        <v/>
      </c>
      <c r="C1243" s="40" t="str">
        <f>IF(Agent07_Withdrawals!A50="","",Agent07_Withdrawals!B50)</f>
        <v/>
      </c>
      <c r="D1243" s="43" t="str">
        <f>IF(Agent07_Withdrawals!A50="","",Agent07_Withdrawals!C50)</f>
        <v/>
      </c>
      <c r="E1243" s="41" t="str">
        <f>IF(Agent07_Withdrawals!A50="","",Agent07_Withdrawals!D50)</f>
        <v/>
      </c>
      <c r="F1243" s="40" t="str">
        <f>IF(Agent07_Withdrawals!A50="","",Agent07_Withdrawals!F50)</f>
        <v/>
      </c>
      <c r="G1243" s="42" t="str">
        <f>IF(Agent07_Withdrawals!A50="","",Agent07_Withdrawals!E50)</f>
        <v/>
      </c>
      <c r="H1243" s="42" t="str">
        <f>IF(Agent07_Withdrawals!A50="","",Agent07_Withdrawals!G50)</f>
        <v/>
      </c>
      <c r="I1243" s="40" t="str">
        <f>IF(Agent07_Withdrawals!A50="","",Agent07_Withdrawals!H50)</f>
        <v/>
      </c>
      <c r="J1243" s="40" t="str">
        <f>IF(Agent07_Withdrawals!A50="","",Agent07_Withdrawals!J50)</f>
        <v/>
      </c>
      <c r="K1243" s="40" t="str">
        <f>IF(Agent07_Withdrawals!A50="","",Agent07_Withdrawals!K50)</f>
        <v/>
      </c>
      <c r="L1243" s="40" t="str">
        <f>IF(G1243="","",IF(D1243-G1243&gt;=System_Config!$B$9,"✅ OK","⚠️ BREACH"))</f>
        <v/>
      </c>
      <c r="M1243" s="40" t="str">
        <f>IFERROR(IF(Agent07_Withdrawals!A50="","",YEAR(Agent07_Withdrawals!D50)),"")</f>
        <v/>
      </c>
    </row>
    <row r="1244" spans="1:13" ht="18" customHeight="1" x14ac:dyDescent="0.25">
      <c r="A1244" s="40" t="str">
        <f>IF(Agent07_Withdrawals!A51="","",Agent07_Withdrawals!A51)</f>
        <v/>
      </c>
      <c r="B1244" s="40" t="str">
        <f ca="1">IF(Agent07_Withdrawals!A51="","","WD"&amp;TEXT(1244-3,"0000")&amp;"-"&amp;TEXT(TODAY(),"YYYYMMDD"))</f>
        <v/>
      </c>
      <c r="C1244" s="40" t="str">
        <f>IF(Agent07_Withdrawals!A51="","",Agent07_Withdrawals!B51)</f>
        <v/>
      </c>
      <c r="D1244" s="43" t="str">
        <f>IF(Agent07_Withdrawals!A51="","",Agent07_Withdrawals!C51)</f>
        <v/>
      </c>
      <c r="E1244" s="41" t="str">
        <f>IF(Agent07_Withdrawals!A51="","",Agent07_Withdrawals!D51)</f>
        <v/>
      </c>
      <c r="F1244" s="40" t="str">
        <f>IF(Agent07_Withdrawals!A51="","",Agent07_Withdrawals!F51)</f>
        <v/>
      </c>
      <c r="G1244" s="42" t="str">
        <f>IF(Agent07_Withdrawals!A51="","",Agent07_Withdrawals!E51)</f>
        <v/>
      </c>
      <c r="H1244" s="42" t="str">
        <f>IF(Agent07_Withdrawals!A51="","",Agent07_Withdrawals!G51)</f>
        <v/>
      </c>
      <c r="I1244" s="40" t="str">
        <f>IF(Agent07_Withdrawals!A51="","",Agent07_Withdrawals!H51)</f>
        <v/>
      </c>
      <c r="J1244" s="40" t="str">
        <f>IF(Agent07_Withdrawals!A51="","",Agent07_Withdrawals!J51)</f>
        <v/>
      </c>
      <c r="K1244" s="40" t="str">
        <f>IF(Agent07_Withdrawals!A51="","",Agent07_Withdrawals!K51)</f>
        <v/>
      </c>
      <c r="L1244" s="40" t="str">
        <f>IF(G1244="","",IF(D1244-G1244&gt;=System_Config!$B$9,"✅ OK","⚠️ BREACH"))</f>
        <v/>
      </c>
      <c r="M1244" s="40" t="str">
        <f>IFERROR(IF(Agent07_Withdrawals!A51="","",YEAR(Agent07_Withdrawals!D51)),"")</f>
        <v/>
      </c>
    </row>
    <row r="1245" spans="1:13" ht="18" customHeight="1" x14ac:dyDescent="0.25">
      <c r="A1245" s="40" t="str">
        <f>IF(Agent07_Withdrawals!A52="","",Agent07_Withdrawals!A52)</f>
        <v/>
      </c>
      <c r="B1245" s="40" t="str">
        <f ca="1">IF(Agent07_Withdrawals!A52="","","WD"&amp;TEXT(1245-3,"0000")&amp;"-"&amp;TEXT(TODAY(),"YYYYMMDD"))</f>
        <v/>
      </c>
      <c r="C1245" s="40" t="str">
        <f>IF(Agent07_Withdrawals!A52="","",Agent07_Withdrawals!B52)</f>
        <v/>
      </c>
      <c r="D1245" s="43" t="str">
        <f>IF(Agent07_Withdrawals!A52="","",Agent07_Withdrawals!C52)</f>
        <v/>
      </c>
      <c r="E1245" s="41" t="str">
        <f>IF(Agent07_Withdrawals!A52="","",Agent07_Withdrawals!D52)</f>
        <v/>
      </c>
      <c r="F1245" s="40" t="str">
        <f>IF(Agent07_Withdrawals!A52="","",Agent07_Withdrawals!F52)</f>
        <v/>
      </c>
      <c r="G1245" s="42" t="str">
        <f>IF(Agent07_Withdrawals!A52="","",Agent07_Withdrawals!E52)</f>
        <v/>
      </c>
      <c r="H1245" s="42" t="str">
        <f>IF(Agent07_Withdrawals!A52="","",Agent07_Withdrawals!G52)</f>
        <v/>
      </c>
      <c r="I1245" s="40" t="str">
        <f>IF(Agent07_Withdrawals!A52="","",Agent07_Withdrawals!H52)</f>
        <v/>
      </c>
      <c r="J1245" s="40" t="str">
        <f>IF(Agent07_Withdrawals!A52="","",Agent07_Withdrawals!J52)</f>
        <v/>
      </c>
      <c r="K1245" s="40" t="str">
        <f>IF(Agent07_Withdrawals!A52="","",Agent07_Withdrawals!K52)</f>
        <v/>
      </c>
      <c r="L1245" s="40" t="str">
        <f>IF(G1245="","",IF(D1245-G1245&gt;=System_Config!$B$9,"✅ OK","⚠️ BREACH"))</f>
        <v/>
      </c>
      <c r="M1245" s="40" t="str">
        <f>IFERROR(IF(Agent07_Withdrawals!A52="","",YEAR(Agent07_Withdrawals!D52)),"")</f>
        <v/>
      </c>
    </row>
    <row r="1246" spans="1:13" ht="18" customHeight="1" x14ac:dyDescent="0.25">
      <c r="A1246" s="40" t="str">
        <f>IF(Agent07_Withdrawals!A53="","",Agent07_Withdrawals!A53)</f>
        <v/>
      </c>
      <c r="B1246" s="40" t="str">
        <f ca="1">IF(Agent07_Withdrawals!A53="","","WD"&amp;TEXT(1246-3,"0000")&amp;"-"&amp;TEXT(TODAY(),"YYYYMMDD"))</f>
        <v/>
      </c>
      <c r="C1246" s="40" t="str">
        <f>IF(Agent07_Withdrawals!A53="","",Agent07_Withdrawals!B53)</f>
        <v/>
      </c>
      <c r="D1246" s="43" t="str">
        <f>IF(Agent07_Withdrawals!A53="","",Agent07_Withdrawals!C53)</f>
        <v/>
      </c>
      <c r="E1246" s="41" t="str">
        <f>IF(Agent07_Withdrawals!A53="","",Agent07_Withdrawals!D53)</f>
        <v/>
      </c>
      <c r="F1246" s="40" t="str">
        <f>IF(Agent07_Withdrawals!A53="","",Agent07_Withdrawals!F53)</f>
        <v/>
      </c>
      <c r="G1246" s="42" t="str">
        <f>IF(Agent07_Withdrawals!A53="","",Agent07_Withdrawals!E53)</f>
        <v/>
      </c>
      <c r="H1246" s="42" t="str">
        <f>IF(Agent07_Withdrawals!A53="","",Agent07_Withdrawals!G53)</f>
        <v/>
      </c>
      <c r="I1246" s="40" t="str">
        <f>IF(Agent07_Withdrawals!A53="","",Agent07_Withdrawals!H53)</f>
        <v/>
      </c>
      <c r="J1246" s="40" t="str">
        <f>IF(Agent07_Withdrawals!A53="","",Agent07_Withdrawals!J53)</f>
        <v/>
      </c>
      <c r="K1246" s="40" t="str">
        <f>IF(Agent07_Withdrawals!A53="","",Agent07_Withdrawals!K53)</f>
        <v/>
      </c>
      <c r="L1246" s="40" t="str">
        <f>IF(G1246="","",IF(D1246-G1246&gt;=System_Config!$B$9,"✅ OK","⚠️ BREACH"))</f>
        <v/>
      </c>
      <c r="M1246" s="40" t="str">
        <f>IFERROR(IF(Agent07_Withdrawals!A53="","",YEAR(Agent07_Withdrawals!D53)),"")</f>
        <v/>
      </c>
    </row>
    <row r="1247" spans="1:13" ht="18" customHeight="1" x14ac:dyDescent="0.25">
      <c r="A1247" s="40" t="str">
        <f>IF(Agent07_Withdrawals!A54="","",Agent07_Withdrawals!A54)</f>
        <v/>
      </c>
      <c r="B1247" s="40" t="str">
        <f ca="1">IF(Agent07_Withdrawals!A54="","","WD"&amp;TEXT(1247-3,"0000")&amp;"-"&amp;TEXT(TODAY(),"YYYYMMDD"))</f>
        <v/>
      </c>
      <c r="C1247" s="40" t="str">
        <f>IF(Agent07_Withdrawals!A54="","",Agent07_Withdrawals!B54)</f>
        <v/>
      </c>
      <c r="D1247" s="43" t="str">
        <f>IF(Agent07_Withdrawals!A54="","",Agent07_Withdrawals!C54)</f>
        <v/>
      </c>
      <c r="E1247" s="41" t="str">
        <f>IF(Agent07_Withdrawals!A54="","",Agent07_Withdrawals!D54)</f>
        <v/>
      </c>
      <c r="F1247" s="40" t="str">
        <f>IF(Agent07_Withdrawals!A54="","",Agent07_Withdrawals!F54)</f>
        <v/>
      </c>
      <c r="G1247" s="42" t="str">
        <f>IF(Agent07_Withdrawals!A54="","",Agent07_Withdrawals!E54)</f>
        <v/>
      </c>
      <c r="H1247" s="42" t="str">
        <f>IF(Agent07_Withdrawals!A54="","",Agent07_Withdrawals!G54)</f>
        <v/>
      </c>
      <c r="I1247" s="40" t="str">
        <f>IF(Agent07_Withdrawals!A54="","",Agent07_Withdrawals!H54)</f>
        <v/>
      </c>
      <c r="J1247" s="40" t="str">
        <f>IF(Agent07_Withdrawals!A54="","",Agent07_Withdrawals!J54)</f>
        <v/>
      </c>
      <c r="K1247" s="40" t="str">
        <f>IF(Agent07_Withdrawals!A54="","",Agent07_Withdrawals!K54)</f>
        <v/>
      </c>
      <c r="L1247" s="40" t="str">
        <f>IF(G1247="","",IF(D1247-G1247&gt;=System_Config!$B$9,"✅ OK","⚠️ BREACH"))</f>
        <v/>
      </c>
      <c r="M1247" s="40" t="str">
        <f>IFERROR(IF(Agent07_Withdrawals!A54="","",YEAR(Agent07_Withdrawals!D54)),"")</f>
        <v/>
      </c>
    </row>
    <row r="1248" spans="1:13" ht="18" customHeight="1" x14ac:dyDescent="0.25">
      <c r="A1248" s="40" t="str">
        <f>IF(Agent07_Withdrawals!A55="","",Agent07_Withdrawals!A55)</f>
        <v/>
      </c>
      <c r="B1248" s="40" t="str">
        <f ca="1">IF(Agent07_Withdrawals!A55="","","WD"&amp;TEXT(1248-3,"0000")&amp;"-"&amp;TEXT(TODAY(),"YYYYMMDD"))</f>
        <v/>
      </c>
      <c r="C1248" s="40" t="str">
        <f>IF(Agent07_Withdrawals!A55="","",Agent07_Withdrawals!B55)</f>
        <v/>
      </c>
      <c r="D1248" s="43" t="str">
        <f>IF(Agent07_Withdrawals!A55="","",Agent07_Withdrawals!C55)</f>
        <v/>
      </c>
      <c r="E1248" s="41" t="str">
        <f>IF(Agent07_Withdrawals!A55="","",Agent07_Withdrawals!D55)</f>
        <v/>
      </c>
      <c r="F1248" s="40" t="str">
        <f>IF(Agent07_Withdrawals!A55="","",Agent07_Withdrawals!F55)</f>
        <v/>
      </c>
      <c r="G1248" s="42" t="str">
        <f>IF(Agent07_Withdrawals!A55="","",Agent07_Withdrawals!E55)</f>
        <v/>
      </c>
      <c r="H1248" s="42" t="str">
        <f>IF(Agent07_Withdrawals!A55="","",Agent07_Withdrawals!G55)</f>
        <v/>
      </c>
      <c r="I1248" s="40" t="str">
        <f>IF(Agent07_Withdrawals!A55="","",Agent07_Withdrawals!H55)</f>
        <v/>
      </c>
      <c r="J1248" s="40" t="str">
        <f>IF(Agent07_Withdrawals!A55="","",Agent07_Withdrawals!J55)</f>
        <v/>
      </c>
      <c r="K1248" s="40" t="str">
        <f>IF(Agent07_Withdrawals!A55="","",Agent07_Withdrawals!K55)</f>
        <v/>
      </c>
      <c r="L1248" s="40" t="str">
        <f>IF(G1248="","",IF(D1248-G1248&gt;=System_Config!$B$9,"✅ OK","⚠️ BREACH"))</f>
        <v/>
      </c>
      <c r="M1248" s="40" t="str">
        <f>IFERROR(IF(Agent07_Withdrawals!A55="","",YEAR(Agent07_Withdrawals!D55)),"")</f>
        <v/>
      </c>
    </row>
    <row r="1249" spans="1:13" ht="18" customHeight="1" x14ac:dyDescent="0.25">
      <c r="A1249" s="40" t="str">
        <f>IF(Agent07_Withdrawals!A56="","",Agent07_Withdrawals!A56)</f>
        <v/>
      </c>
      <c r="B1249" s="40" t="str">
        <f ca="1">IF(Agent07_Withdrawals!A56="","","WD"&amp;TEXT(1249-3,"0000")&amp;"-"&amp;TEXT(TODAY(),"YYYYMMDD"))</f>
        <v/>
      </c>
      <c r="C1249" s="40" t="str">
        <f>IF(Agent07_Withdrawals!A56="","",Agent07_Withdrawals!B56)</f>
        <v/>
      </c>
      <c r="D1249" s="43" t="str">
        <f>IF(Agent07_Withdrawals!A56="","",Agent07_Withdrawals!C56)</f>
        <v/>
      </c>
      <c r="E1249" s="41" t="str">
        <f>IF(Agent07_Withdrawals!A56="","",Agent07_Withdrawals!D56)</f>
        <v/>
      </c>
      <c r="F1249" s="40" t="str">
        <f>IF(Agent07_Withdrawals!A56="","",Agent07_Withdrawals!F56)</f>
        <v/>
      </c>
      <c r="G1249" s="42" t="str">
        <f>IF(Agent07_Withdrawals!A56="","",Agent07_Withdrawals!E56)</f>
        <v/>
      </c>
      <c r="H1249" s="42" t="str">
        <f>IF(Agent07_Withdrawals!A56="","",Agent07_Withdrawals!G56)</f>
        <v/>
      </c>
      <c r="I1249" s="40" t="str">
        <f>IF(Agent07_Withdrawals!A56="","",Agent07_Withdrawals!H56)</f>
        <v/>
      </c>
      <c r="J1249" s="40" t="str">
        <f>IF(Agent07_Withdrawals!A56="","",Agent07_Withdrawals!J56)</f>
        <v/>
      </c>
      <c r="K1249" s="40" t="str">
        <f>IF(Agent07_Withdrawals!A56="","",Agent07_Withdrawals!K56)</f>
        <v/>
      </c>
      <c r="L1249" s="40" t="str">
        <f>IF(G1249="","",IF(D1249-G1249&gt;=System_Config!$B$9,"✅ OK","⚠️ BREACH"))</f>
        <v/>
      </c>
      <c r="M1249" s="40" t="str">
        <f>IFERROR(IF(Agent07_Withdrawals!A56="","",YEAR(Agent07_Withdrawals!D56)),"")</f>
        <v/>
      </c>
    </row>
    <row r="1250" spans="1:13" ht="18" customHeight="1" x14ac:dyDescent="0.25">
      <c r="A1250" s="40" t="str">
        <f>IF(Agent07_Withdrawals!A57="","",Agent07_Withdrawals!A57)</f>
        <v/>
      </c>
      <c r="B1250" s="40" t="str">
        <f ca="1">IF(Agent07_Withdrawals!A57="","","WD"&amp;TEXT(1250-3,"0000")&amp;"-"&amp;TEXT(TODAY(),"YYYYMMDD"))</f>
        <v/>
      </c>
      <c r="C1250" s="40" t="str">
        <f>IF(Agent07_Withdrawals!A57="","",Agent07_Withdrawals!B57)</f>
        <v/>
      </c>
      <c r="D1250" s="43" t="str">
        <f>IF(Agent07_Withdrawals!A57="","",Agent07_Withdrawals!C57)</f>
        <v/>
      </c>
      <c r="E1250" s="41" t="str">
        <f>IF(Agent07_Withdrawals!A57="","",Agent07_Withdrawals!D57)</f>
        <v/>
      </c>
      <c r="F1250" s="40" t="str">
        <f>IF(Agent07_Withdrawals!A57="","",Agent07_Withdrawals!F57)</f>
        <v/>
      </c>
      <c r="G1250" s="42" t="str">
        <f>IF(Agent07_Withdrawals!A57="","",Agent07_Withdrawals!E57)</f>
        <v/>
      </c>
      <c r="H1250" s="42" t="str">
        <f>IF(Agent07_Withdrawals!A57="","",Agent07_Withdrawals!G57)</f>
        <v/>
      </c>
      <c r="I1250" s="40" t="str">
        <f>IF(Agent07_Withdrawals!A57="","",Agent07_Withdrawals!H57)</f>
        <v/>
      </c>
      <c r="J1250" s="40" t="str">
        <f>IF(Agent07_Withdrawals!A57="","",Agent07_Withdrawals!J57)</f>
        <v/>
      </c>
      <c r="K1250" s="40" t="str">
        <f>IF(Agent07_Withdrawals!A57="","",Agent07_Withdrawals!K57)</f>
        <v/>
      </c>
      <c r="L1250" s="40" t="str">
        <f>IF(G1250="","",IF(D1250-G1250&gt;=System_Config!$B$9,"✅ OK","⚠️ BREACH"))</f>
        <v/>
      </c>
      <c r="M1250" s="40" t="str">
        <f>IFERROR(IF(Agent07_Withdrawals!A57="","",YEAR(Agent07_Withdrawals!D57)),"")</f>
        <v/>
      </c>
    </row>
    <row r="1251" spans="1:13" ht="18" customHeight="1" x14ac:dyDescent="0.25">
      <c r="A1251" s="40" t="str">
        <f>IF(Agent07_Withdrawals!A58="","",Agent07_Withdrawals!A58)</f>
        <v/>
      </c>
      <c r="B1251" s="40" t="str">
        <f ca="1">IF(Agent07_Withdrawals!A58="","","WD"&amp;TEXT(1251-3,"0000")&amp;"-"&amp;TEXT(TODAY(),"YYYYMMDD"))</f>
        <v/>
      </c>
      <c r="C1251" s="40" t="str">
        <f>IF(Agent07_Withdrawals!A58="","",Agent07_Withdrawals!B58)</f>
        <v/>
      </c>
      <c r="D1251" s="43" t="str">
        <f>IF(Agent07_Withdrawals!A58="","",Agent07_Withdrawals!C58)</f>
        <v/>
      </c>
      <c r="E1251" s="41" t="str">
        <f>IF(Agent07_Withdrawals!A58="","",Agent07_Withdrawals!D58)</f>
        <v/>
      </c>
      <c r="F1251" s="40" t="str">
        <f>IF(Agent07_Withdrawals!A58="","",Agent07_Withdrawals!F58)</f>
        <v/>
      </c>
      <c r="G1251" s="42" t="str">
        <f>IF(Agent07_Withdrawals!A58="","",Agent07_Withdrawals!E58)</f>
        <v/>
      </c>
      <c r="H1251" s="42" t="str">
        <f>IF(Agent07_Withdrawals!A58="","",Agent07_Withdrawals!G58)</f>
        <v/>
      </c>
      <c r="I1251" s="40" t="str">
        <f>IF(Agent07_Withdrawals!A58="","",Agent07_Withdrawals!H58)</f>
        <v/>
      </c>
      <c r="J1251" s="40" t="str">
        <f>IF(Agent07_Withdrawals!A58="","",Agent07_Withdrawals!J58)</f>
        <v/>
      </c>
      <c r="K1251" s="40" t="str">
        <f>IF(Agent07_Withdrawals!A58="","",Agent07_Withdrawals!K58)</f>
        <v/>
      </c>
      <c r="L1251" s="40" t="str">
        <f>IF(G1251="","",IF(D1251-G1251&gt;=System_Config!$B$9,"✅ OK","⚠️ BREACH"))</f>
        <v/>
      </c>
      <c r="M1251" s="40" t="str">
        <f>IFERROR(IF(Agent07_Withdrawals!A58="","",YEAR(Agent07_Withdrawals!D58)),"")</f>
        <v/>
      </c>
    </row>
    <row r="1252" spans="1:13" ht="18" customHeight="1" x14ac:dyDescent="0.25">
      <c r="A1252" s="40" t="str">
        <f>IF(Agent07_Withdrawals!A59="","",Agent07_Withdrawals!A59)</f>
        <v/>
      </c>
      <c r="B1252" s="40" t="str">
        <f ca="1">IF(Agent07_Withdrawals!A59="","","WD"&amp;TEXT(1252-3,"0000")&amp;"-"&amp;TEXT(TODAY(),"YYYYMMDD"))</f>
        <v/>
      </c>
      <c r="C1252" s="40" t="str">
        <f>IF(Agent07_Withdrawals!A59="","",Agent07_Withdrawals!B59)</f>
        <v/>
      </c>
      <c r="D1252" s="43" t="str">
        <f>IF(Agent07_Withdrawals!A59="","",Agent07_Withdrawals!C59)</f>
        <v/>
      </c>
      <c r="E1252" s="41" t="str">
        <f>IF(Agent07_Withdrawals!A59="","",Agent07_Withdrawals!D59)</f>
        <v/>
      </c>
      <c r="F1252" s="40" t="str">
        <f>IF(Agent07_Withdrawals!A59="","",Agent07_Withdrawals!F59)</f>
        <v/>
      </c>
      <c r="G1252" s="42" t="str">
        <f>IF(Agent07_Withdrawals!A59="","",Agent07_Withdrawals!E59)</f>
        <v/>
      </c>
      <c r="H1252" s="42" t="str">
        <f>IF(Agent07_Withdrawals!A59="","",Agent07_Withdrawals!G59)</f>
        <v/>
      </c>
      <c r="I1252" s="40" t="str">
        <f>IF(Agent07_Withdrawals!A59="","",Agent07_Withdrawals!H59)</f>
        <v/>
      </c>
      <c r="J1252" s="40" t="str">
        <f>IF(Agent07_Withdrawals!A59="","",Agent07_Withdrawals!J59)</f>
        <v/>
      </c>
      <c r="K1252" s="40" t="str">
        <f>IF(Agent07_Withdrawals!A59="","",Agent07_Withdrawals!K59)</f>
        <v/>
      </c>
      <c r="L1252" s="40" t="str">
        <f>IF(G1252="","",IF(D1252-G1252&gt;=System_Config!$B$9,"✅ OK","⚠️ BREACH"))</f>
        <v/>
      </c>
      <c r="M1252" s="40" t="str">
        <f>IFERROR(IF(Agent07_Withdrawals!A59="","",YEAR(Agent07_Withdrawals!D59)),"")</f>
        <v/>
      </c>
    </row>
    <row r="1253" spans="1:13" ht="18" customHeight="1" x14ac:dyDescent="0.25">
      <c r="A1253" s="40" t="str">
        <f>IF(Agent07_Withdrawals!A60="","",Agent07_Withdrawals!A60)</f>
        <v/>
      </c>
      <c r="B1253" s="40" t="str">
        <f ca="1">IF(Agent07_Withdrawals!A60="","","WD"&amp;TEXT(1253-3,"0000")&amp;"-"&amp;TEXT(TODAY(),"YYYYMMDD"))</f>
        <v/>
      </c>
      <c r="C1253" s="40" t="str">
        <f>IF(Agent07_Withdrawals!A60="","",Agent07_Withdrawals!B60)</f>
        <v/>
      </c>
      <c r="D1253" s="43" t="str">
        <f>IF(Agent07_Withdrawals!A60="","",Agent07_Withdrawals!C60)</f>
        <v/>
      </c>
      <c r="E1253" s="41" t="str">
        <f>IF(Agent07_Withdrawals!A60="","",Agent07_Withdrawals!D60)</f>
        <v/>
      </c>
      <c r="F1253" s="40" t="str">
        <f>IF(Agent07_Withdrawals!A60="","",Agent07_Withdrawals!F60)</f>
        <v/>
      </c>
      <c r="G1253" s="42" t="str">
        <f>IF(Agent07_Withdrawals!A60="","",Agent07_Withdrawals!E60)</f>
        <v/>
      </c>
      <c r="H1253" s="42" t="str">
        <f>IF(Agent07_Withdrawals!A60="","",Agent07_Withdrawals!G60)</f>
        <v/>
      </c>
      <c r="I1253" s="40" t="str">
        <f>IF(Agent07_Withdrawals!A60="","",Agent07_Withdrawals!H60)</f>
        <v/>
      </c>
      <c r="J1253" s="40" t="str">
        <f>IF(Agent07_Withdrawals!A60="","",Agent07_Withdrawals!J60)</f>
        <v/>
      </c>
      <c r="K1253" s="40" t="str">
        <f>IF(Agent07_Withdrawals!A60="","",Agent07_Withdrawals!K60)</f>
        <v/>
      </c>
      <c r="L1253" s="40" t="str">
        <f>IF(G1253="","",IF(D1253-G1253&gt;=System_Config!$B$9,"✅ OK","⚠️ BREACH"))</f>
        <v/>
      </c>
      <c r="M1253" s="40" t="str">
        <f>IFERROR(IF(Agent07_Withdrawals!A60="","",YEAR(Agent07_Withdrawals!D60)),"")</f>
        <v/>
      </c>
    </row>
    <row r="1254" spans="1:13" ht="18" customHeight="1" x14ac:dyDescent="0.25">
      <c r="A1254" s="40" t="str">
        <f>IF(Agent07_Withdrawals!A61="","",Agent07_Withdrawals!A61)</f>
        <v/>
      </c>
      <c r="B1254" s="40" t="str">
        <f ca="1">IF(Agent07_Withdrawals!A61="","","WD"&amp;TEXT(1254-3,"0000")&amp;"-"&amp;TEXT(TODAY(),"YYYYMMDD"))</f>
        <v/>
      </c>
      <c r="C1254" s="40" t="str">
        <f>IF(Agent07_Withdrawals!A61="","",Agent07_Withdrawals!B61)</f>
        <v/>
      </c>
      <c r="D1254" s="43" t="str">
        <f>IF(Agent07_Withdrawals!A61="","",Agent07_Withdrawals!C61)</f>
        <v/>
      </c>
      <c r="E1254" s="41" t="str">
        <f>IF(Agent07_Withdrawals!A61="","",Agent07_Withdrawals!D61)</f>
        <v/>
      </c>
      <c r="F1254" s="40" t="str">
        <f>IF(Agent07_Withdrawals!A61="","",Agent07_Withdrawals!F61)</f>
        <v/>
      </c>
      <c r="G1254" s="42" t="str">
        <f>IF(Agent07_Withdrawals!A61="","",Agent07_Withdrawals!E61)</f>
        <v/>
      </c>
      <c r="H1254" s="42" t="str">
        <f>IF(Agent07_Withdrawals!A61="","",Agent07_Withdrawals!G61)</f>
        <v/>
      </c>
      <c r="I1254" s="40" t="str">
        <f>IF(Agent07_Withdrawals!A61="","",Agent07_Withdrawals!H61)</f>
        <v/>
      </c>
      <c r="J1254" s="40" t="str">
        <f>IF(Agent07_Withdrawals!A61="","",Agent07_Withdrawals!J61)</f>
        <v/>
      </c>
      <c r="K1254" s="40" t="str">
        <f>IF(Agent07_Withdrawals!A61="","",Agent07_Withdrawals!K61)</f>
        <v/>
      </c>
      <c r="L1254" s="40" t="str">
        <f>IF(G1254="","",IF(D1254-G1254&gt;=System_Config!$B$9,"✅ OK","⚠️ BREACH"))</f>
        <v/>
      </c>
      <c r="M1254" s="40" t="str">
        <f>IFERROR(IF(Agent07_Withdrawals!A61="","",YEAR(Agent07_Withdrawals!D61)),"")</f>
        <v/>
      </c>
    </row>
    <row r="1255" spans="1:13" ht="18" customHeight="1" x14ac:dyDescent="0.25">
      <c r="A1255" s="40" t="str">
        <f>IF(Agent07_Withdrawals!A62="","",Agent07_Withdrawals!A62)</f>
        <v/>
      </c>
      <c r="B1255" s="40" t="str">
        <f ca="1">IF(Agent07_Withdrawals!A62="","","WD"&amp;TEXT(1255-3,"0000")&amp;"-"&amp;TEXT(TODAY(),"YYYYMMDD"))</f>
        <v/>
      </c>
      <c r="C1255" s="40" t="str">
        <f>IF(Agent07_Withdrawals!A62="","",Agent07_Withdrawals!B62)</f>
        <v/>
      </c>
      <c r="D1255" s="43" t="str">
        <f>IF(Agent07_Withdrawals!A62="","",Agent07_Withdrawals!C62)</f>
        <v/>
      </c>
      <c r="E1255" s="41" t="str">
        <f>IF(Agent07_Withdrawals!A62="","",Agent07_Withdrawals!D62)</f>
        <v/>
      </c>
      <c r="F1255" s="40" t="str">
        <f>IF(Agent07_Withdrawals!A62="","",Agent07_Withdrawals!F62)</f>
        <v/>
      </c>
      <c r="G1255" s="42" t="str">
        <f>IF(Agent07_Withdrawals!A62="","",Agent07_Withdrawals!E62)</f>
        <v/>
      </c>
      <c r="H1255" s="42" t="str">
        <f>IF(Agent07_Withdrawals!A62="","",Agent07_Withdrawals!G62)</f>
        <v/>
      </c>
      <c r="I1255" s="40" t="str">
        <f>IF(Agent07_Withdrawals!A62="","",Agent07_Withdrawals!H62)</f>
        <v/>
      </c>
      <c r="J1255" s="40" t="str">
        <f>IF(Agent07_Withdrawals!A62="","",Agent07_Withdrawals!J62)</f>
        <v/>
      </c>
      <c r="K1255" s="40" t="str">
        <f>IF(Agent07_Withdrawals!A62="","",Agent07_Withdrawals!K62)</f>
        <v/>
      </c>
      <c r="L1255" s="40" t="str">
        <f>IF(G1255="","",IF(D1255-G1255&gt;=System_Config!$B$9,"✅ OK","⚠️ BREACH"))</f>
        <v/>
      </c>
      <c r="M1255" s="40" t="str">
        <f>IFERROR(IF(Agent07_Withdrawals!A62="","",YEAR(Agent07_Withdrawals!D62)),"")</f>
        <v/>
      </c>
    </row>
    <row r="1256" spans="1:13" ht="18" customHeight="1" x14ac:dyDescent="0.25">
      <c r="A1256" s="40" t="str">
        <f>IF(Agent07_Withdrawals!A63="","",Agent07_Withdrawals!A63)</f>
        <v/>
      </c>
      <c r="B1256" s="40" t="str">
        <f ca="1">IF(Agent07_Withdrawals!A63="","","WD"&amp;TEXT(1256-3,"0000")&amp;"-"&amp;TEXT(TODAY(),"YYYYMMDD"))</f>
        <v/>
      </c>
      <c r="C1256" s="40" t="str">
        <f>IF(Agent07_Withdrawals!A63="","",Agent07_Withdrawals!B63)</f>
        <v/>
      </c>
      <c r="D1256" s="43" t="str">
        <f>IF(Agent07_Withdrawals!A63="","",Agent07_Withdrawals!C63)</f>
        <v/>
      </c>
      <c r="E1256" s="41" t="str">
        <f>IF(Agent07_Withdrawals!A63="","",Agent07_Withdrawals!D63)</f>
        <v/>
      </c>
      <c r="F1256" s="40" t="str">
        <f>IF(Agent07_Withdrawals!A63="","",Agent07_Withdrawals!F63)</f>
        <v/>
      </c>
      <c r="G1256" s="42" t="str">
        <f>IF(Agent07_Withdrawals!A63="","",Agent07_Withdrawals!E63)</f>
        <v/>
      </c>
      <c r="H1256" s="42" t="str">
        <f>IF(Agent07_Withdrawals!A63="","",Agent07_Withdrawals!G63)</f>
        <v/>
      </c>
      <c r="I1256" s="40" t="str">
        <f>IF(Agent07_Withdrawals!A63="","",Agent07_Withdrawals!H63)</f>
        <v/>
      </c>
      <c r="J1256" s="40" t="str">
        <f>IF(Agent07_Withdrawals!A63="","",Agent07_Withdrawals!J63)</f>
        <v/>
      </c>
      <c r="K1256" s="40" t="str">
        <f>IF(Agent07_Withdrawals!A63="","",Agent07_Withdrawals!K63)</f>
        <v/>
      </c>
      <c r="L1256" s="40" t="str">
        <f>IF(G1256="","",IF(D1256-G1256&gt;=System_Config!$B$9,"✅ OK","⚠️ BREACH"))</f>
        <v/>
      </c>
      <c r="M1256" s="40" t="str">
        <f>IFERROR(IF(Agent07_Withdrawals!A63="","",YEAR(Agent07_Withdrawals!D63)),"")</f>
        <v/>
      </c>
    </row>
    <row r="1257" spans="1:13" ht="18" customHeight="1" x14ac:dyDescent="0.25">
      <c r="A1257" s="40" t="str">
        <f>IF(Agent07_Withdrawals!A64="","",Agent07_Withdrawals!A64)</f>
        <v/>
      </c>
      <c r="B1257" s="40" t="str">
        <f ca="1">IF(Agent07_Withdrawals!A64="","","WD"&amp;TEXT(1257-3,"0000")&amp;"-"&amp;TEXT(TODAY(),"YYYYMMDD"))</f>
        <v/>
      </c>
      <c r="C1257" s="40" t="str">
        <f>IF(Agent07_Withdrawals!A64="","",Agent07_Withdrawals!B64)</f>
        <v/>
      </c>
      <c r="D1257" s="43" t="str">
        <f>IF(Agent07_Withdrawals!A64="","",Agent07_Withdrawals!C64)</f>
        <v/>
      </c>
      <c r="E1257" s="41" t="str">
        <f>IF(Agent07_Withdrawals!A64="","",Agent07_Withdrawals!D64)</f>
        <v/>
      </c>
      <c r="F1257" s="40" t="str">
        <f>IF(Agent07_Withdrawals!A64="","",Agent07_Withdrawals!F64)</f>
        <v/>
      </c>
      <c r="G1257" s="42" t="str">
        <f>IF(Agent07_Withdrawals!A64="","",Agent07_Withdrawals!E64)</f>
        <v/>
      </c>
      <c r="H1257" s="42" t="str">
        <f>IF(Agent07_Withdrawals!A64="","",Agent07_Withdrawals!G64)</f>
        <v/>
      </c>
      <c r="I1257" s="40" t="str">
        <f>IF(Agent07_Withdrawals!A64="","",Agent07_Withdrawals!H64)</f>
        <v/>
      </c>
      <c r="J1257" s="40" t="str">
        <f>IF(Agent07_Withdrawals!A64="","",Agent07_Withdrawals!J64)</f>
        <v/>
      </c>
      <c r="K1257" s="40" t="str">
        <f>IF(Agent07_Withdrawals!A64="","",Agent07_Withdrawals!K64)</f>
        <v/>
      </c>
      <c r="L1257" s="40" t="str">
        <f>IF(G1257="","",IF(D1257-G1257&gt;=System_Config!$B$9,"✅ OK","⚠️ BREACH"))</f>
        <v/>
      </c>
      <c r="M1257" s="40" t="str">
        <f>IFERROR(IF(Agent07_Withdrawals!A64="","",YEAR(Agent07_Withdrawals!D64)),"")</f>
        <v/>
      </c>
    </row>
    <row r="1258" spans="1:13" ht="18" customHeight="1" x14ac:dyDescent="0.25">
      <c r="A1258" s="40" t="str">
        <f>IF(Agent07_Withdrawals!A65="","",Agent07_Withdrawals!A65)</f>
        <v/>
      </c>
      <c r="B1258" s="40" t="str">
        <f ca="1">IF(Agent07_Withdrawals!A65="","","WD"&amp;TEXT(1258-3,"0000")&amp;"-"&amp;TEXT(TODAY(),"YYYYMMDD"))</f>
        <v/>
      </c>
      <c r="C1258" s="40" t="str">
        <f>IF(Agent07_Withdrawals!A65="","",Agent07_Withdrawals!B65)</f>
        <v/>
      </c>
      <c r="D1258" s="43" t="str">
        <f>IF(Agent07_Withdrawals!A65="","",Agent07_Withdrawals!C65)</f>
        <v/>
      </c>
      <c r="E1258" s="41" t="str">
        <f>IF(Agent07_Withdrawals!A65="","",Agent07_Withdrawals!D65)</f>
        <v/>
      </c>
      <c r="F1258" s="40" t="str">
        <f>IF(Agent07_Withdrawals!A65="","",Agent07_Withdrawals!F65)</f>
        <v/>
      </c>
      <c r="G1258" s="42" t="str">
        <f>IF(Agent07_Withdrawals!A65="","",Agent07_Withdrawals!E65)</f>
        <v/>
      </c>
      <c r="H1258" s="42" t="str">
        <f>IF(Agent07_Withdrawals!A65="","",Agent07_Withdrawals!G65)</f>
        <v/>
      </c>
      <c r="I1258" s="40" t="str">
        <f>IF(Agent07_Withdrawals!A65="","",Agent07_Withdrawals!H65)</f>
        <v/>
      </c>
      <c r="J1258" s="40" t="str">
        <f>IF(Agent07_Withdrawals!A65="","",Agent07_Withdrawals!J65)</f>
        <v/>
      </c>
      <c r="K1258" s="40" t="str">
        <f>IF(Agent07_Withdrawals!A65="","",Agent07_Withdrawals!K65)</f>
        <v/>
      </c>
      <c r="L1258" s="40" t="str">
        <f>IF(G1258="","",IF(D1258-G1258&gt;=System_Config!$B$9,"✅ OK","⚠️ BREACH"))</f>
        <v/>
      </c>
      <c r="M1258" s="40" t="str">
        <f>IFERROR(IF(Agent07_Withdrawals!A65="","",YEAR(Agent07_Withdrawals!D65)),"")</f>
        <v/>
      </c>
    </row>
    <row r="1259" spans="1:13" ht="18" customHeight="1" x14ac:dyDescent="0.25">
      <c r="A1259" s="40" t="str">
        <f>IF(Agent07_Withdrawals!A66="","",Agent07_Withdrawals!A66)</f>
        <v/>
      </c>
      <c r="B1259" s="40" t="str">
        <f ca="1">IF(Agent07_Withdrawals!A66="","","WD"&amp;TEXT(1259-3,"0000")&amp;"-"&amp;TEXT(TODAY(),"YYYYMMDD"))</f>
        <v/>
      </c>
      <c r="C1259" s="40" t="str">
        <f>IF(Agent07_Withdrawals!A66="","",Agent07_Withdrawals!B66)</f>
        <v/>
      </c>
      <c r="D1259" s="43" t="str">
        <f>IF(Agent07_Withdrawals!A66="","",Agent07_Withdrawals!C66)</f>
        <v/>
      </c>
      <c r="E1259" s="41" t="str">
        <f>IF(Agent07_Withdrawals!A66="","",Agent07_Withdrawals!D66)</f>
        <v/>
      </c>
      <c r="F1259" s="40" t="str">
        <f>IF(Agent07_Withdrawals!A66="","",Agent07_Withdrawals!F66)</f>
        <v/>
      </c>
      <c r="G1259" s="42" t="str">
        <f>IF(Agent07_Withdrawals!A66="","",Agent07_Withdrawals!E66)</f>
        <v/>
      </c>
      <c r="H1259" s="42" t="str">
        <f>IF(Agent07_Withdrawals!A66="","",Agent07_Withdrawals!G66)</f>
        <v/>
      </c>
      <c r="I1259" s="40" t="str">
        <f>IF(Agent07_Withdrawals!A66="","",Agent07_Withdrawals!H66)</f>
        <v/>
      </c>
      <c r="J1259" s="40" t="str">
        <f>IF(Agent07_Withdrawals!A66="","",Agent07_Withdrawals!J66)</f>
        <v/>
      </c>
      <c r="K1259" s="40" t="str">
        <f>IF(Agent07_Withdrawals!A66="","",Agent07_Withdrawals!K66)</f>
        <v/>
      </c>
      <c r="L1259" s="40" t="str">
        <f>IF(G1259="","",IF(D1259-G1259&gt;=System_Config!$B$9,"✅ OK","⚠️ BREACH"))</f>
        <v/>
      </c>
      <c r="M1259" s="40" t="str">
        <f>IFERROR(IF(Agent07_Withdrawals!A66="","",YEAR(Agent07_Withdrawals!D66)),"")</f>
        <v/>
      </c>
    </row>
    <row r="1260" spans="1:13" ht="18" customHeight="1" x14ac:dyDescent="0.25">
      <c r="A1260" s="40" t="str">
        <f>IF(Agent07_Withdrawals!A67="","",Agent07_Withdrawals!A67)</f>
        <v/>
      </c>
      <c r="B1260" s="40" t="str">
        <f ca="1">IF(Agent07_Withdrawals!A67="","","WD"&amp;TEXT(1260-3,"0000")&amp;"-"&amp;TEXT(TODAY(),"YYYYMMDD"))</f>
        <v/>
      </c>
      <c r="C1260" s="40" t="str">
        <f>IF(Agent07_Withdrawals!A67="","",Agent07_Withdrawals!B67)</f>
        <v/>
      </c>
      <c r="D1260" s="43" t="str">
        <f>IF(Agent07_Withdrawals!A67="","",Agent07_Withdrawals!C67)</f>
        <v/>
      </c>
      <c r="E1260" s="41" t="str">
        <f>IF(Agent07_Withdrawals!A67="","",Agent07_Withdrawals!D67)</f>
        <v/>
      </c>
      <c r="F1260" s="40" t="str">
        <f>IF(Agent07_Withdrawals!A67="","",Agent07_Withdrawals!F67)</f>
        <v/>
      </c>
      <c r="G1260" s="42" t="str">
        <f>IF(Agent07_Withdrawals!A67="","",Agent07_Withdrawals!E67)</f>
        <v/>
      </c>
      <c r="H1260" s="42" t="str">
        <f>IF(Agent07_Withdrawals!A67="","",Agent07_Withdrawals!G67)</f>
        <v/>
      </c>
      <c r="I1260" s="40" t="str">
        <f>IF(Agent07_Withdrawals!A67="","",Agent07_Withdrawals!H67)</f>
        <v/>
      </c>
      <c r="J1260" s="40" t="str">
        <f>IF(Agent07_Withdrawals!A67="","",Agent07_Withdrawals!J67)</f>
        <v/>
      </c>
      <c r="K1260" s="40" t="str">
        <f>IF(Agent07_Withdrawals!A67="","",Agent07_Withdrawals!K67)</f>
        <v/>
      </c>
      <c r="L1260" s="40" t="str">
        <f>IF(G1260="","",IF(D1260-G1260&gt;=System_Config!$B$9,"✅ OK","⚠️ BREACH"))</f>
        <v/>
      </c>
      <c r="M1260" s="40" t="str">
        <f>IFERROR(IF(Agent07_Withdrawals!A67="","",YEAR(Agent07_Withdrawals!D67)),"")</f>
        <v/>
      </c>
    </row>
    <row r="1261" spans="1:13" ht="18" customHeight="1" x14ac:dyDescent="0.25">
      <c r="A1261" s="40" t="str">
        <f>IF(Agent07_Withdrawals!A68="","",Agent07_Withdrawals!A68)</f>
        <v/>
      </c>
      <c r="B1261" s="40" t="str">
        <f ca="1">IF(Agent07_Withdrawals!A68="","","WD"&amp;TEXT(1261-3,"0000")&amp;"-"&amp;TEXT(TODAY(),"YYYYMMDD"))</f>
        <v/>
      </c>
      <c r="C1261" s="40" t="str">
        <f>IF(Agent07_Withdrawals!A68="","",Agent07_Withdrawals!B68)</f>
        <v/>
      </c>
      <c r="D1261" s="43" t="str">
        <f>IF(Agent07_Withdrawals!A68="","",Agent07_Withdrawals!C68)</f>
        <v/>
      </c>
      <c r="E1261" s="41" t="str">
        <f>IF(Agent07_Withdrawals!A68="","",Agent07_Withdrawals!D68)</f>
        <v/>
      </c>
      <c r="F1261" s="40" t="str">
        <f>IF(Agent07_Withdrawals!A68="","",Agent07_Withdrawals!F68)</f>
        <v/>
      </c>
      <c r="G1261" s="42" t="str">
        <f>IF(Agent07_Withdrawals!A68="","",Agent07_Withdrawals!E68)</f>
        <v/>
      </c>
      <c r="H1261" s="42" t="str">
        <f>IF(Agent07_Withdrawals!A68="","",Agent07_Withdrawals!G68)</f>
        <v/>
      </c>
      <c r="I1261" s="40" t="str">
        <f>IF(Agent07_Withdrawals!A68="","",Agent07_Withdrawals!H68)</f>
        <v/>
      </c>
      <c r="J1261" s="40" t="str">
        <f>IF(Agent07_Withdrawals!A68="","",Agent07_Withdrawals!J68)</f>
        <v/>
      </c>
      <c r="K1261" s="40" t="str">
        <f>IF(Agent07_Withdrawals!A68="","",Agent07_Withdrawals!K68)</f>
        <v/>
      </c>
      <c r="L1261" s="40" t="str">
        <f>IF(G1261="","",IF(D1261-G1261&gt;=System_Config!$B$9,"✅ OK","⚠️ BREACH"))</f>
        <v/>
      </c>
      <c r="M1261" s="40" t="str">
        <f>IFERROR(IF(Agent07_Withdrawals!A68="","",YEAR(Agent07_Withdrawals!D68)),"")</f>
        <v/>
      </c>
    </row>
    <row r="1262" spans="1:13" ht="18" customHeight="1" x14ac:dyDescent="0.25">
      <c r="A1262" s="40" t="str">
        <f>IF(Agent07_Withdrawals!A69="","",Agent07_Withdrawals!A69)</f>
        <v/>
      </c>
      <c r="B1262" s="40" t="str">
        <f ca="1">IF(Agent07_Withdrawals!A69="","","WD"&amp;TEXT(1262-3,"0000")&amp;"-"&amp;TEXT(TODAY(),"YYYYMMDD"))</f>
        <v/>
      </c>
      <c r="C1262" s="40" t="str">
        <f>IF(Agent07_Withdrawals!A69="","",Agent07_Withdrawals!B69)</f>
        <v/>
      </c>
      <c r="D1262" s="43" t="str">
        <f>IF(Agent07_Withdrawals!A69="","",Agent07_Withdrawals!C69)</f>
        <v/>
      </c>
      <c r="E1262" s="41" t="str">
        <f>IF(Agent07_Withdrawals!A69="","",Agent07_Withdrawals!D69)</f>
        <v/>
      </c>
      <c r="F1262" s="40" t="str">
        <f>IF(Agent07_Withdrawals!A69="","",Agent07_Withdrawals!F69)</f>
        <v/>
      </c>
      <c r="G1262" s="42" t="str">
        <f>IF(Agent07_Withdrawals!A69="","",Agent07_Withdrawals!E69)</f>
        <v/>
      </c>
      <c r="H1262" s="42" t="str">
        <f>IF(Agent07_Withdrawals!A69="","",Agent07_Withdrawals!G69)</f>
        <v/>
      </c>
      <c r="I1262" s="40" t="str">
        <f>IF(Agent07_Withdrawals!A69="","",Agent07_Withdrawals!H69)</f>
        <v/>
      </c>
      <c r="J1262" s="40" t="str">
        <f>IF(Agent07_Withdrawals!A69="","",Agent07_Withdrawals!J69)</f>
        <v/>
      </c>
      <c r="K1262" s="40" t="str">
        <f>IF(Agent07_Withdrawals!A69="","",Agent07_Withdrawals!K69)</f>
        <v/>
      </c>
      <c r="L1262" s="40" t="str">
        <f>IF(G1262="","",IF(D1262-G1262&gt;=System_Config!$B$9,"✅ OK","⚠️ BREACH"))</f>
        <v/>
      </c>
      <c r="M1262" s="40" t="str">
        <f>IFERROR(IF(Agent07_Withdrawals!A69="","",YEAR(Agent07_Withdrawals!D69)),"")</f>
        <v/>
      </c>
    </row>
    <row r="1263" spans="1:13" ht="18" customHeight="1" x14ac:dyDescent="0.25">
      <c r="A1263" s="40" t="str">
        <f>IF(Agent07_Withdrawals!A70="","",Agent07_Withdrawals!A70)</f>
        <v/>
      </c>
      <c r="B1263" s="40" t="str">
        <f ca="1">IF(Agent07_Withdrawals!A70="","","WD"&amp;TEXT(1263-3,"0000")&amp;"-"&amp;TEXT(TODAY(),"YYYYMMDD"))</f>
        <v/>
      </c>
      <c r="C1263" s="40" t="str">
        <f>IF(Agent07_Withdrawals!A70="","",Agent07_Withdrawals!B70)</f>
        <v/>
      </c>
      <c r="D1263" s="43" t="str">
        <f>IF(Agent07_Withdrawals!A70="","",Agent07_Withdrawals!C70)</f>
        <v/>
      </c>
      <c r="E1263" s="41" t="str">
        <f>IF(Agent07_Withdrawals!A70="","",Agent07_Withdrawals!D70)</f>
        <v/>
      </c>
      <c r="F1263" s="40" t="str">
        <f>IF(Agent07_Withdrawals!A70="","",Agent07_Withdrawals!F70)</f>
        <v/>
      </c>
      <c r="G1263" s="42" t="str">
        <f>IF(Agent07_Withdrawals!A70="","",Agent07_Withdrawals!E70)</f>
        <v/>
      </c>
      <c r="H1263" s="42" t="str">
        <f>IF(Agent07_Withdrawals!A70="","",Agent07_Withdrawals!G70)</f>
        <v/>
      </c>
      <c r="I1263" s="40" t="str">
        <f>IF(Agent07_Withdrawals!A70="","",Agent07_Withdrawals!H70)</f>
        <v/>
      </c>
      <c r="J1263" s="40" t="str">
        <f>IF(Agent07_Withdrawals!A70="","",Agent07_Withdrawals!J70)</f>
        <v/>
      </c>
      <c r="K1263" s="40" t="str">
        <f>IF(Agent07_Withdrawals!A70="","",Agent07_Withdrawals!K70)</f>
        <v/>
      </c>
      <c r="L1263" s="40" t="str">
        <f>IF(G1263="","",IF(D1263-G1263&gt;=System_Config!$B$9,"✅ OK","⚠️ BREACH"))</f>
        <v/>
      </c>
      <c r="M1263" s="40" t="str">
        <f>IFERROR(IF(Agent07_Withdrawals!A70="","",YEAR(Agent07_Withdrawals!D70)),"")</f>
        <v/>
      </c>
    </row>
    <row r="1264" spans="1:13" ht="18" customHeight="1" x14ac:dyDescent="0.25">
      <c r="A1264" s="40" t="str">
        <f>IF(Agent07_Withdrawals!A71="","",Agent07_Withdrawals!A71)</f>
        <v/>
      </c>
      <c r="B1264" s="40" t="str">
        <f ca="1">IF(Agent07_Withdrawals!A71="","","WD"&amp;TEXT(1264-3,"0000")&amp;"-"&amp;TEXT(TODAY(),"YYYYMMDD"))</f>
        <v/>
      </c>
      <c r="C1264" s="40" t="str">
        <f>IF(Agent07_Withdrawals!A71="","",Agent07_Withdrawals!B71)</f>
        <v/>
      </c>
      <c r="D1264" s="43" t="str">
        <f>IF(Agent07_Withdrawals!A71="","",Agent07_Withdrawals!C71)</f>
        <v/>
      </c>
      <c r="E1264" s="41" t="str">
        <f>IF(Agent07_Withdrawals!A71="","",Agent07_Withdrawals!D71)</f>
        <v/>
      </c>
      <c r="F1264" s="40" t="str">
        <f>IF(Agent07_Withdrawals!A71="","",Agent07_Withdrawals!F71)</f>
        <v/>
      </c>
      <c r="G1264" s="42" t="str">
        <f>IF(Agent07_Withdrawals!A71="","",Agent07_Withdrawals!E71)</f>
        <v/>
      </c>
      <c r="H1264" s="42" t="str">
        <f>IF(Agent07_Withdrawals!A71="","",Agent07_Withdrawals!G71)</f>
        <v/>
      </c>
      <c r="I1264" s="40" t="str">
        <f>IF(Agent07_Withdrawals!A71="","",Agent07_Withdrawals!H71)</f>
        <v/>
      </c>
      <c r="J1264" s="40" t="str">
        <f>IF(Agent07_Withdrawals!A71="","",Agent07_Withdrawals!J71)</f>
        <v/>
      </c>
      <c r="K1264" s="40" t="str">
        <f>IF(Agent07_Withdrawals!A71="","",Agent07_Withdrawals!K71)</f>
        <v/>
      </c>
      <c r="L1264" s="40" t="str">
        <f>IF(G1264="","",IF(D1264-G1264&gt;=System_Config!$B$9,"✅ OK","⚠️ BREACH"))</f>
        <v/>
      </c>
      <c r="M1264" s="40" t="str">
        <f>IFERROR(IF(Agent07_Withdrawals!A71="","",YEAR(Agent07_Withdrawals!D71)),"")</f>
        <v/>
      </c>
    </row>
    <row r="1265" spans="1:13" ht="18" customHeight="1" x14ac:dyDescent="0.25">
      <c r="A1265" s="40" t="str">
        <f>IF(Agent07_Withdrawals!A72="","",Agent07_Withdrawals!A72)</f>
        <v/>
      </c>
      <c r="B1265" s="40" t="str">
        <f ca="1">IF(Agent07_Withdrawals!A72="","","WD"&amp;TEXT(1265-3,"0000")&amp;"-"&amp;TEXT(TODAY(),"YYYYMMDD"))</f>
        <v/>
      </c>
      <c r="C1265" s="40" t="str">
        <f>IF(Agent07_Withdrawals!A72="","",Agent07_Withdrawals!B72)</f>
        <v/>
      </c>
      <c r="D1265" s="43" t="str">
        <f>IF(Agent07_Withdrawals!A72="","",Agent07_Withdrawals!C72)</f>
        <v/>
      </c>
      <c r="E1265" s="41" t="str">
        <f>IF(Agent07_Withdrawals!A72="","",Agent07_Withdrawals!D72)</f>
        <v/>
      </c>
      <c r="F1265" s="40" t="str">
        <f>IF(Agent07_Withdrawals!A72="","",Agent07_Withdrawals!F72)</f>
        <v/>
      </c>
      <c r="G1265" s="42" t="str">
        <f>IF(Agent07_Withdrawals!A72="","",Agent07_Withdrawals!E72)</f>
        <v/>
      </c>
      <c r="H1265" s="42" t="str">
        <f>IF(Agent07_Withdrawals!A72="","",Agent07_Withdrawals!G72)</f>
        <v/>
      </c>
      <c r="I1265" s="40" t="str">
        <f>IF(Agent07_Withdrawals!A72="","",Agent07_Withdrawals!H72)</f>
        <v/>
      </c>
      <c r="J1265" s="40" t="str">
        <f>IF(Agent07_Withdrawals!A72="","",Agent07_Withdrawals!J72)</f>
        <v/>
      </c>
      <c r="K1265" s="40" t="str">
        <f>IF(Agent07_Withdrawals!A72="","",Agent07_Withdrawals!K72)</f>
        <v/>
      </c>
      <c r="L1265" s="40" t="str">
        <f>IF(G1265="","",IF(D1265-G1265&gt;=System_Config!$B$9,"✅ OK","⚠️ BREACH"))</f>
        <v/>
      </c>
      <c r="M1265" s="40" t="str">
        <f>IFERROR(IF(Agent07_Withdrawals!A72="","",YEAR(Agent07_Withdrawals!D72)),"")</f>
        <v/>
      </c>
    </row>
    <row r="1266" spans="1:13" ht="18" customHeight="1" x14ac:dyDescent="0.25">
      <c r="A1266" s="40" t="str">
        <f>IF(Agent07_Withdrawals!A73="","",Agent07_Withdrawals!A73)</f>
        <v/>
      </c>
      <c r="B1266" s="40" t="str">
        <f ca="1">IF(Agent07_Withdrawals!A73="","","WD"&amp;TEXT(1266-3,"0000")&amp;"-"&amp;TEXT(TODAY(),"YYYYMMDD"))</f>
        <v/>
      </c>
      <c r="C1266" s="40" t="str">
        <f>IF(Agent07_Withdrawals!A73="","",Agent07_Withdrawals!B73)</f>
        <v/>
      </c>
      <c r="D1266" s="43" t="str">
        <f>IF(Agent07_Withdrawals!A73="","",Agent07_Withdrawals!C73)</f>
        <v/>
      </c>
      <c r="E1266" s="41" t="str">
        <f>IF(Agent07_Withdrawals!A73="","",Agent07_Withdrawals!D73)</f>
        <v/>
      </c>
      <c r="F1266" s="40" t="str">
        <f>IF(Agent07_Withdrawals!A73="","",Agent07_Withdrawals!F73)</f>
        <v/>
      </c>
      <c r="G1266" s="42" t="str">
        <f>IF(Agent07_Withdrawals!A73="","",Agent07_Withdrawals!E73)</f>
        <v/>
      </c>
      <c r="H1266" s="42" t="str">
        <f>IF(Agent07_Withdrawals!A73="","",Agent07_Withdrawals!G73)</f>
        <v/>
      </c>
      <c r="I1266" s="40" t="str">
        <f>IF(Agent07_Withdrawals!A73="","",Agent07_Withdrawals!H73)</f>
        <v/>
      </c>
      <c r="J1266" s="40" t="str">
        <f>IF(Agent07_Withdrawals!A73="","",Agent07_Withdrawals!J73)</f>
        <v/>
      </c>
      <c r="K1266" s="40" t="str">
        <f>IF(Agent07_Withdrawals!A73="","",Agent07_Withdrawals!K73)</f>
        <v/>
      </c>
      <c r="L1266" s="40" t="str">
        <f>IF(G1266="","",IF(D1266-G1266&gt;=System_Config!$B$9,"✅ OK","⚠️ BREACH"))</f>
        <v/>
      </c>
      <c r="M1266" s="40" t="str">
        <f>IFERROR(IF(Agent07_Withdrawals!A73="","",YEAR(Agent07_Withdrawals!D73)),"")</f>
        <v/>
      </c>
    </row>
    <row r="1267" spans="1:13" ht="18" customHeight="1" x14ac:dyDescent="0.25">
      <c r="A1267" s="40" t="str">
        <f>IF(Agent07_Withdrawals!A74="","",Agent07_Withdrawals!A74)</f>
        <v/>
      </c>
      <c r="B1267" s="40" t="str">
        <f ca="1">IF(Agent07_Withdrawals!A74="","","WD"&amp;TEXT(1267-3,"0000")&amp;"-"&amp;TEXT(TODAY(),"YYYYMMDD"))</f>
        <v/>
      </c>
      <c r="C1267" s="40" t="str">
        <f>IF(Agent07_Withdrawals!A74="","",Agent07_Withdrawals!B74)</f>
        <v/>
      </c>
      <c r="D1267" s="43" t="str">
        <f>IF(Agent07_Withdrawals!A74="","",Agent07_Withdrawals!C74)</f>
        <v/>
      </c>
      <c r="E1267" s="41" t="str">
        <f>IF(Agent07_Withdrawals!A74="","",Agent07_Withdrawals!D74)</f>
        <v/>
      </c>
      <c r="F1267" s="40" t="str">
        <f>IF(Agent07_Withdrawals!A74="","",Agent07_Withdrawals!F74)</f>
        <v/>
      </c>
      <c r="G1267" s="42" t="str">
        <f>IF(Agent07_Withdrawals!A74="","",Agent07_Withdrawals!E74)</f>
        <v/>
      </c>
      <c r="H1267" s="42" t="str">
        <f>IF(Agent07_Withdrawals!A74="","",Agent07_Withdrawals!G74)</f>
        <v/>
      </c>
      <c r="I1267" s="40" t="str">
        <f>IF(Agent07_Withdrawals!A74="","",Agent07_Withdrawals!H74)</f>
        <v/>
      </c>
      <c r="J1267" s="40" t="str">
        <f>IF(Agent07_Withdrawals!A74="","",Agent07_Withdrawals!J74)</f>
        <v/>
      </c>
      <c r="K1267" s="40" t="str">
        <f>IF(Agent07_Withdrawals!A74="","",Agent07_Withdrawals!K74)</f>
        <v/>
      </c>
      <c r="L1267" s="40" t="str">
        <f>IF(G1267="","",IF(D1267-G1267&gt;=System_Config!$B$9,"✅ OK","⚠️ BREACH"))</f>
        <v/>
      </c>
      <c r="M1267" s="40" t="str">
        <f>IFERROR(IF(Agent07_Withdrawals!A74="","",YEAR(Agent07_Withdrawals!D74)),"")</f>
        <v/>
      </c>
    </row>
    <row r="1268" spans="1:13" ht="18" customHeight="1" x14ac:dyDescent="0.25">
      <c r="A1268" s="40" t="str">
        <f>IF(Agent07_Withdrawals!A75="","",Agent07_Withdrawals!A75)</f>
        <v/>
      </c>
      <c r="B1268" s="40" t="str">
        <f ca="1">IF(Agent07_Withdrawals!A75="","","WD"&amp;TEXT(1268-3,"0000")&amp;"-"&amp;TEXT(TODAY(),"YYYYMMDD"))</f>
        <v/>
      </c>
      <c r="C1268" s="40" t="str">
        <f>IF(Agent07_Withdrawals!A75="","",Agent07_Withdrawals!B75)</f>
        <v/>
      </c>
      <c r="D1268" s="43" t="str">
        <f>IF(Agent07_Withdrawals!A75="","",Agent07_Withdrawals!C75)</f>
        <v/>
      </c>
      <c r="E1268" s="41" t="str">
        <f>IF(Agent07_Withdrawals!A75="","",Agent07_Withdrawals!D75)</f>
        <v/>
      </c>
      <c r="F1268" s="40" t="str">
        <f>IF(Agent07_Withdrawals!A75="","",Agent07_Withdrawals!F75)</f>
        <v/>
      </c>
      <c r="G1268" s="42" t="str">
        <f>IF(Agent07_Withdrawals!A75="","",Agent07_Withdrawals!E75)</f>
        <v/>
      </c>
      <c r="H1268" s="42" t="str">
        <f>IF(Agent07_Withdrawals!A75="","",Agent07_Withdrawals!G75)</f>
        <v/>
      </c>
      <c r="I1268" s="40" t="str">
        <f>IF(Agent07_Withdrawals!A75="","",Agent07_Withdrawals!H75)</f>
        <v/>
      </c>
      <c r="J1268" s="40" t="str">
        <f>IF(Agent07_Withdrawals!A75="","",Agent07_Withdrawals!J75)</f>
        <v/>
      </c>
      <c r="K1268" s="40" t="str">
        <f>IF(Agent07_Withdrawals!A75="","",Agent07_Withdrawals!K75)</f>
        <v/>
      </c>
      <c r="L1268" s="40" t="str">
        <f>IF(G1268="","",IF(D1268-G1268&gt;=System_Config!$B$9,"✅ OK","⚠️ BREACH"))</f>
        <v/>
      </c>
      <c r="M1268" s="40" t="str">
        <f>IFERROR(IF(Agent07_Withdrawals!A75="","",YEAR(Agent07_Withdrawals!D75)),"")</f>
        <v/>
      </c>
    </row>
    <row r="1269" spans="1:13" ht="18" customHeight="1" x14ac:dyDescent="0.25">
      <c r="A1269" s="40" t="str">
        <f>IF(Agent07_Withdrawals!A76="","",Agent07_Withdrawals!A76)</f>
        <v/>
      </c>
      <c r="B1269" s="40" t="str">
        <f ca="1">IF(Agent07_Withdrawals!A76="","","WD"&amp;TEXT(1269-3,"0000")&amp;"-"&amp;TEXT(TODAY(),"YYYYMMDD"))</f>
        <v/>
      </c>
      <c r="C1269" s="40" t="str">
        <f>IF(Agent07_Withdrawals!A76="","",Agent07_Withdrawals!B76)</f>
        <v/>
      </c>
      <c r="D1269" s="43" t="str">
        <f>IF(Agent07_Withdrawals!A76="","",Agent07_Withdrawals!C76)</f>
        <v/>
      </c>
      <c r="E1269" s="41" t="str">
        <f>IF(Agent07_Withdrawals!A76="","",Agent07_Withdrawals!D76)</f>
        <v/>
      </c>
      <c r="F1269" s="40" t="str">
        <f>IF(Agent07_Withdrawals!A76="","",Agent07_Withdrawals!F76)</f>
        <v/>
      </c>
      <c r="G1269" s="42" t="str">
        <f>IF(Agent07_Withdrawals!A76="","",Agent07_Withdrawals!E76)</f>
        <v/>
      </c>
      <c r="H1269" s="42" t="str">
        <f>IF(Agent07_Withdrawals!A76="","",Agent07_Withdrawals!G76)</f>
        <v/>
      </c>
      <c r="I1269" s="40" t="str">
        <f>IF(Agent07_Withdrawals!A76="","",Agent07_Withdrawals!H76)</f>
        <v/>
      </c>
      <c r="J1269" s="40" t="str">
        <f>IF(Agent07_Withdrawals!A76="","",Agent07_Withdrawals!J76)</f>
        <v/>
      </c>
      <c r="K1269" s="40" t="str">
        <f>IF(Agent07_Withdrawals!A76="","",Agent07_Withdrawals!K76)</f>
        <v/>
      </c>
      <c r="L1269" s="40" t="str">
        <f>IF(G1269="","",IF(D1269-G1269&gt;=System_Config!$B$9,"✅ OK","⚠️ BREACH"))</f>
        <v/>
      </c>
      <c r="M1269" s="40" t="str">
        <f>IFERROR(IF(Agent07_Withdrawals!A76="","",YEAR(Agent07_Withdrawals!D76)),"")</f>
        <v/>
      </c>
    </row>
    <row r="1270" spans="1:13" ht="18" customHeight="1" x14ac:dyDescent="0.25">
      <c r="A1270" s="40" t="str">
        <f>IF(Agent07_Withdrawals!A77="","",Agent07_Withdrawals!A77)</f>
        <v/>
      </c>
      <c r="B1270" s="40" t="str">
        <f ca="1">IF(Agent07_Withdrawals!A77="","","WD"&amp;TEXT(1270-3,"0000")&amp;"-"&amp;TEXT(TODAY(),"YYYYMMDD"))</f>
        <v/>
      </c>
      <c r="C1270" s="40" t="str">
        <f>IF(Agent07_Withdrawals!A77="","",Agent07_Withdrawals!B77)</f>
        <v/>
      </c>
      <c r="D1270" s="43" t="str">
        <f>IF(Agent07_Withdrawals!A77="","",Agent07_Withdrawals!C77)</f>
        <v/>
      </c>
      <c r="E1270" s="41" t="str">
        <f>IF(Agent07_Withdrawals!A77="","",Agent07_Withdrawals!D77)</f>
        <v/>
      </c>
      <c r="F1270" s="40" t="str">
        <f>IF(Agent07_Withdrawals!A77="","",Agent07_Withdrawals!F77)</f>
        <v/>
      </c>
      <c r="G1270" s="42" t="str">
        <f>IF(Agent07_Withdrawals!A77="","",Agent07_Withdrawals!E77)</f>
        <v/>
      </c>
      <c r="H1270" s="42" t="str">
        <f>IF(Agent07_Withdrawals!A77="","",Agent07_Withdrawals!G77)</f>
        <v/>
      </c>
      <c r="I1270" s="40" t="str">
        <f>IF(Agent07_Withdrawals!A77="","",Agent07_Withdrawals!H77)</f>
        <v/>
      </c>
      <c r="J1270" s="40" t="str">
        <f>IF(Agent07_Withdrawals!A77="","",Agent07_Withdrawals!J77)</f>
        <v/>
      </c>
      <c r="K1270" s="40" t="str">
        <f>IF(Agent07_Withdrawals!A77="","",Agent07_Withdrawals!K77)</f>
        <v/>
      </c>
      <c r="L1270" s="40" t="str">
        <f>IF(G1270="","",IF(D1270-G1270&gt;=System_Config!$B$9,"✅ OK","⚠️ BREACH"))</f>
        <v/>
      </c>
      <c r="M1270" s="40" t="str">
        <f>IFERROR(IF(Agent07_Withdrawals!A77="","",YEAR(Agent07_Withdrawals!D77)),"")</f>
        <v/>
      </c>
    </row>
    <row r="1271" spans="1:13" ht="18" customHeight="1" x14ac:dyDescent="0.25">
      <c r="A1271" s="40" t="str">
        <f>IF(Agent07_Withdrawals!A78="","",Agent07_Withdrawals!A78)</f>
        <v/>
      </c>
      <c r="B1271" s="40" t="str">
        <f ca="1">IF(Agent07_Withdrawals!A78="","","WD"&amp;TEXT(1271-3,"0000")&amp;"-"&amp;TEXT(TODAY(),"YYYYMMDD"))</f>
        <v/>
      </c>
      <c r="C1271" s="40" t="str">
        <f>IF(Agent07_Withdrawals!A78="","",Agent07_Withdrawals!B78)</f>
        <v/>
      </c>
      <c r="D1271" s="43" t="str">
        <f>IF(Agent07_Withdrawals!A78="","",Agent07_Withdrawals!C78)</f>
        <v/>
      </c>
      <c r="E1271" s="41" t="str">
        <f>IF(Agent07_Withdrawals!A78="","",Agent07_Withdrawals!D78)</f>
        <v/>
      </c>
      <c r="F1271" s="40" t="str">
        <f>IF(Agent07_Withdrawals!A78="","",Agent07_Withdrawals!F78)</f>
        <v/>
      </c>
      <c r="G1271" s="42" t="str">
        <f>IF(Agent07_Withdrawals!A78="","",Agent07_Withdrawals!E78)</f>
        <v/>
      </c>
      <c r="H1271" s="42" t="str">
        <f>IF(Agent07_Withdrawals!A78="","",Agent07_Withdrawals!G78)</f>
        <v/>
      </c>
      <c r="I1271" s="40" t="str">
        <f>IF(Agent07_Withdrawals!A78="","",Agent07_Withdrawals!H78)</f>
        <v/>
      </c>
      <c r="J1271" s="40" t="str">
        <f>IF(Agent07_Withdrawals!A78="","",Agent07_Withdrawals!J78)</f>
        <v/>
      </c>
      <c r="K1271" s="40" t="str">
        <f>IF(Agent07_Withdrawals!A78="","",Agent07_Withdrawals!K78)</f>
        <v/>
      </c>
      <c r="L1271" s="40" t="str">
        <f>IF(G1271="","",IF(D1271-G1271&gt;=System_Config!$B$9,"✅ OK","⚠️ BREACH"))</f>
        <v/>
      </c>
      <c r="M1271" s="40" t="str">
        <f>IFERROR(IF(Agent07_Withdrawals!A78="","",YEAR(Agent07_Withdrawals!D78)),"")</f>
        <v/>
      </c>
    </row>
    <row r="1272" spans="1:13" ht="18" customHeight="1" x14ac:dyDescent="0.25">
      <c r="A1272" s="40" t="str">
        <f>IF(Agent07_Withdrawals!A79="","",Agent07_Withdrawals!A79)</f>
        <v/>
      </c>
      <c r="B1272" s="40" t="str">
        <f ca="1">IF(Agent07_Withdrawals!A79="","","WD"&amp;TEXT(1272-3,"0000")&amp;"-"&amp;TEXT(TODAY(),"YYYYMMDD"))</f>
        <v/>
      </c>
      <c r="C1272" s="40" t="str">
        <f>IF(Agent07_Withdrawals!A79="","",Agent07_Withdrawals!B79)</f>
        <v/>
      </c>
      <c r="D1272" s="43" t="str">
        <f>IF(Agent07_Withdrawals!A79="","",Agent07_Withdrawals!C79)</f>
        <v/>
      </c>
      <c r="E1272" s="41" t="str">
        <f>IF(Agent07_Withdrawals!A79="","",Agent07_Withdrawals!D79)</f>
        <v/>
      </c>
      <c r="F1272" s="40" t="str">
        <f>IF(Agent07_Withdrawals!A79="","",Agent07_Withdrawals!F79)</f>
        <v/>
      </c>
      <c r="G1272" s="42" t="str">
        <f>IF(Agent07_Withdrawals!A79="","",Agent07_Withdrawals!E79)</f>
        <v/>
      </c>
      <c r="H1272" s="42" t="str">
        <f>IF(Agent07_Withdrawals!A79="","",Agent07_Withdrawals!G79)</f>
        <v/>
      </c>
      <c r="I1272" s="40" t="str">
        <f>IF(Agent07_Withdrawals!A79="","",Agent07_Withdrawals!H79)</f>
        <v/>
      </c>
      <c r="J1272" s="40" t="str">
        <f>IF(Agent07_Withdrawals!A79="","",Agent07_Withdrawals!J79)</f>
        <v/>
      </c>
      <c r="K1272" s="40" t="str">
        <f>IF(Agent07_Withdrawals!A79="","",Agent07_Withdrawals!K79)</f>
        <v/>
      </c>
      <c r="L1272" s="40" t="str">
        <f>IF(G1272="","",IF(D1272-G1272&gt;=System_Config!$B$9,"✅ OK","⚠️ BREACH"))</f>
        <v/>
      </c>
      <c r="M1272" s="40" t="str">
        <f>IFERROR(IF(Agent07_Withdrawals!A79="","",YEAR(Agent07_Withdrawals!D79)),"")</f>
        <v/>
      </c>
    </row>
    <row r="1273" spans="1:13" ht="18" customHeight="1" x14ac:dyDescent="0.25">
      <c r="A1273" s="40" t="str">
        <f>IF(Agent07_Withdrawals!A80="","",Agent07_Withdrawals!A80)</f>
        <v/>
      </c>
      <c r="B1273" s="40" t="str">
        <f ca="1">IF(Agent07_Withdrawals!A80="","","WD"&amp;TEXT(1273-3,"0000")&amp;"-"&amp;TEXT(TODAY(),"YYYYMMDD"))</f>
        <v/>
      </c>
      <c r="C1273" s="40" t="str">
        <f>IF(Agent07_Withdrawals!A80="","",Agent07_Withdrawals!B80)</f>
        <v/>
      </c>
      <c r="D1273" s="43" t="str">
        <f>IF(Agent07_Withdrawals!A80="","",Agent07_Withdrawals!C80)</f>
        <v/>
      </c>
      <c r="E1273" s="41" t="str">
        <f>IF(Agent07_Withdrawals!A80="","",Agent07_Withdrawals!D80)</f>
        <v/>
      </c>
      <c r="F1273" s="40" t="str">
        <f>IF(Agent07_Withdrawals!A80="","",Agent07_Withdrawals!F80)</f>
        <v/>
      </c>
      <c r="G1273" s="42" t="str">
        <f>IF(Agent07_Withdrawals!A80="","",Agent07_Withdrawals!E80)</f>
        <v/>
      </c>
      <c r="H1273" s="42" t="str">
        <f>IF(Agent07_Withdrawals!A80="","",Agent07_Withdrawals!G80)</f>
        <v/>
      </c>
      <c r="I1273" s="40" t="str">
        <f>IF(Agent07_Withdrawals!A80="","",Agent07_Withdrawals!H80)</f>
        <v/>
      </c>
      <c r="J1273" s="40" t="str">
        <f>IF(Agent07_Withdrawals!A80="","",Agent07_Withdrawals!J80)</f>
        <v/>
      </c>
      <c r="K1273" s="40" t="str">
        <f>IF(Agent07_Withdrawals!A80="","",Agent07_Withdrawals!K80)</f>
        <v/>
      </c>
      <c r="L1273" s="40" t="str">
        <f>IF(G1273="","",IF(D1273-G1273&gt;=System_Config!$B$9,"✅ OK","⚠️ BREACH"))</f>
        <v/>
      </c>
      <c r="M1273" s="40" t="str">
        <f>IFERROR(IF(Agent07_Withdrawals!A80="","",YEAR(Agent07_Withdrawals!D80)),"")</f>
        <v/>
      </c>
    </row>
    <row r="1274" spans="1:13" ht="18" customHeight="1" x14ac:dyDescent="0.25">
      <c r="A1274" s="40" t="str">
        <f>IF(Agent07_Withdrawals!A81="","",Agent07_Withdrawals!A81)</f>
        <v/>
      </c>
      <c r="B1274" s="40" t="str">
        <f ca="1">IF(Agent07_Withdrawals!A81="","","WD"&amp;TEXT(1274-3,"0000")&amp;"-"&amp;TEXT(TODAY(),"YYYYMMDD"))</f>
        <v/>
      </c>
      <c r="C1274" s="40" t="str">
        <f>IF(Agent07_Withdrawals!A81="","",Agent07_Withdrawals!B81)</f>
        <v/>
      </c>
      <c r="D1274" s="43" t="str">
        <f>IF(Agent07_Withdrawals!A81="","",Agent07_Withdrawals!C81)</f>
        <v/>
      </c>
      <c r="E1274" s="41" t="str">
        <f>IF(Agent07_Withdrawals!A81="","",Agent07_Withdrawals!D81)</f>
        <v/>
      </c>
      <c r="F1274" s="40" t="str">
        <f>IF(Agent07_Withdrawals!A81="","",Agent07_Withdrawals!F81)</f>
        <v/>
      </c>
      <c r="G1274" s="42" t="str">
        <f>IF(Agent07_Withdrawals!A81="","",Agent07_Withdrawals!E81)</f>
        <v/>
      </c>
      <c r="H1274" s="42" t="str">
        <f>IF(Agent07_Withdrawals!A81="","",Agent07_Withdrawals!G81)</f>
        <v/>
      </c>
      <c r="I1274" s="40" t="str">
        <f>IF(Agent07_Withdrawals!A81="","",Agent07_Withdrawals!H81)</f>
        <v/>
      </c>
      <c r="J1274" s="40" t="str">
        <f>IF(Agent07_Withdrawals!A81="","",Agent07_Withdrawals!J81)</f>
        <v/>
      </c>
      <c r="K1274" s="40" t="str">
        <f>IF(Agent07_Withdrawals!A81="","",Agent07_Withdrawals!K81)</f>
        <v/>
      </c>
      <c r="L1274" s="40" t="str">
        <f>IF(G1274="","",IF(D1274-G1274&gt;=System_Config!$B$9,"✅ OK","⚠️ BREACH"))</f>
        <v/>
      </c>
      <c r="M1274" s="40" t="str">
        <f>IFERROR(IF(Agent07_Withdrawals!A81="","",YEAR(Agent07_Withdrawals!D81)),"")</f>
        <v/>
      </c>
    </row>
    <row r="1275" spans="1:13" ht="18" customHeight="1" x14ac:dyDescent="0.25">
      <c r="A1275" s="40" t="str">
        <f>IF(Agent07_Withdrawals!A82="","",Agent07_Withdrawals!A82)</f>
        <v/>
      </c>
      <c r="B1275" s="40" t="str">
        <f ca="1">IF(Agent07_Withdrawals!A82="","","WD"&amp;TEXT(1275-3,"0000")&amp;"-"&amp;TEXT(TODAY(),"YYYYMMDD"))</f>
        <v/>
      </c>
      <c r="C1275" s="40" t="str">
        <f>IF(Agent07_Withdrawals!A82="","",Agent07_Withdrawals!B82)</f>
        <v/>
      </c>
      <c r="D1275" s="43" t="str">
        <f>IF(Agent07_Withdrawals!A82="","",Agent07_Withdrawals!C82)</f>
        <v/>
      </c>
      <c r="E1275" s="41" t="str">
        <f>IF(Agent07_Withdrawals!A82="","",Agent07_Withdrawals!D82)</f>
        <v/>
      </c>
      <c r="F1275" s="40" t="str">
        <f>IF(Agent07_Withdrawals!A82="","",Agent07_Withdrawals!F82)</f>
        <v/>
      </c>
      <c r="G1275" s="42" t="str">
        <f>IF(Agent07_Withdrawals!A82="","",Agent07_Withdrawals!E82)</f>
        <v/>
      </c>
      <c r="H1275" s="42" t="str">
        <f>IF(Agent07_Withdrawals!A82="","",Agent07_Withdrawals!G82)</f>
        <v/>
      </c>
      <c r="I1275" s="40" t="str">
        <f>IF(Agent07_Withdrawals!A82="","",Agent07_Withdrawals!H82)</f>
        <v/>
      </c>
      <c r="J1275" s="40" t="str">
        <f>IF(Agent07_Withdrawals!A82="","",Agent07_Withdrawals!J82)</f>
        <v/>
      </c>
      <c r="K1275" s="40" t="str">
        <f>IF(Agent07_Withdrawals!A82="","",Agent07_Withdrawals!K82)</f>
        <v/>
      </c>
      <c r="L1275" s="40" t="str">
        <f>IF(G1275="","",IF(D1275-G1275&gt;=System_Config!$B$9,"✅ OK","⚠️ BREACH"))</f>
        <v/>
      </c>
      <c r="M1275" s="40" t="str">
        <f>IFERROR(IF(Agent07_Withdrawals!A82="","",YEAR(Agent07_Withdrawals!D82)),"")</f>
        <v/>
      </c>
    </row>
    <row r="1276" spans="1:13" ht="18" customHeight="1" x14ac:dyDescent="0.25">
      <c r="A1276" s="40" t="str">
        <f>IF(Agent07_Withdrawals!A83="","",Agent07_Withdrawals!A83)</f>
        <v/>
      </c>
      <c r="B1276" s="40" t="str">
        <f ca="1">IF(Agent07_Withdrawals!A83="","","WD"&amp;TEXT(1276-3,"0000")&amp;"-"&amp;TEXT(TODAY(),"YYYYMMDD"))</f>
        <v/>
      </c>
      <c r="C1276" s="40" t="str">
        <f>IF(Agent07_Withdrawals!A83="","",Agent07_Withdrawals!B83)</f>
        <v/>
      </c>
      <c r="D1276" s="43" t="str">
        <f>IF(Agent07_Withdrawals!A83="","",Agent07_Withdrawals!C83)</f>
        <v/>
      </c>
      <c r="E1276" s="41" t="str">
        <f>IF(Agent07_Withdrawals!A83="","",Agent07_Withdrawals!D83)</f>
        <v/>
      </c>
      <c r="F1276" s="40" t="str">
        <f>IF(Agent07_Withdrawals!A83="","",Agent07_Withdrawals!F83)</f>
        <v/>
      </c>
      <c r="G1276" s="42" t="str">
        <f>IF(Agent07_Withdrawals!A83="","",Agent07_Withdrawals!E83)</f>
        <v/>
      </c>
      <c r="H1276" s="42" t="str">
        <f>IF(Agent07_Withdrawals!A83="","",Agent07_Withdrawals!G83)</f>
        <v/>
      </c>
      <c r="I1276" s="40" t="str">
        <f>IF(Agent07_Withdrawals!A83="","",Agent07_Withdrawals!H83)</f>
        <v/>
      </c>
      <c r="J1276" s="40" t="str">
        <f>IF(Agent07_Withdrawals!A83="","",Agent07_Withdrawals!J83)</f>
        <v/>
      </c>
      <c r="K1276" s="40" t="str">
        <f>IF(Agent07_Withdrawals!A83="","",Agent07_Withdrawals!K83)</f>
        <v/>
      </c>
      <c r="L1276" s="40" t="str">
        <f>IF(G1276="","",IF(D1276-G1276&gt;=System_Config!$B$9,"✅ OK","⚠️ BREACH"))</f>
        <v/>
      </c>
      <c r="M1276" s="40" t="str">
        <f>IFERROR(IF(Agent07_Withdrawals!A83="","",YEAR(Agent07_Withdrawals!D83)),"")</f>
        <v/>
      </c>
    </row>
    <row r="1277" spans="1:13" ht="18" customHeight="1" x14ac:dyDescent="0.25">
      <c r="A1277" s="40" t="str">
        <f>IF(Agent07_Withdrawals!A84="","",Agent07_Withdrawals!A84)</f>
        <v/>
      </c>
      <c r="B1277" s="40" t="str">
        <f ca="1">IF(Agent07_Withdrawals!A84="","","WD"&amp;TEXT(1277-3,"0000")&amp;"-"&amp;TEXT(TODAY(),"YYYYMMDD"))</f>
        <v/>
      </c>
      <c r="C1277" s="40" t="str">
        <f>IF(Agent07_Withdrawals!A84="","",Agent07_Withdrawals!B84)</f>
        <v/>
      </c>
      <c r="D1277" s="43" t="str">
        <f>IF(Agent07_Withdrawals!A84="","",Agent07_Withdrawals!C84)</f>
        <v/>
      </c>
      <c r="E1277" s="41" t="str">
        <f>IF(Agent07_Withdrawals!A84="","",Agent07_Withdrawals!D84)</f>
        <v/>
      </c>
      <c r="F1277" s="40" t="str">
        <f>IF(Agent07_Withdrawals!A84="","",Agent07_Withdrawals!F84)</f>
        <v/>
      </c>
      <c r="G1277" s="42" t="str">
        <f>IF(Agent07_Withdrawals!A84="","",Agent07_Withdrawals!E84)</f>
        <v/>
      </c>
      <c r="H1277" s="42" t="str">
        <f>IF(Agent07_Withdrawals!A84="","",Agent07_Withdrawals!G84)</f>
        <v/>
      </c>
      <c r="I1277" s="40" t="str">
        <f>IF(Agent07_Withdrawals!A84="","",Agent07_Withdrawals!H84)</f>
        <v/>
      </c>
      <c r="J1277" s="40" t="str">
        <f>IF(Agent07_Withdrawals!A84="","",Agent07_Withdrawals!J84)</f>
        <v/>
      </c>
      <c r="K1277" s="40" t="str">
        <f>IF(Agent07_Withdrawals!A84="","",Agent07_Withdrawals!K84)</f>
        <v/>
      </c>
      <c r="L1277" s="40" t="str">
        <f>IF(G1277="","",IF(D1277-G1277&gt;=System_Config!$B$9,"✅ OK","⚠️ BREACH"))</f>
        <v/>
      </c>
      <c r="M1277" s="40" t="str">
        <f>IFERROR(IF(Agent07_Withdrawals!A84="","",YEAR(Agent07_Withdrawals!D84)),"")</f>
        <v/>
      </c>
    </row>
    <row r="1278" spans="1:13" ht="18" customHeight="1" x14ac:dyDescent="0.25">
      <c r="A1278" s="40" t="str">
        <f>IF(Agent07_Withdrawals!A85="","",Agent07_Withdrawals!A85)</f>
        <v/>
      </c>
      <c r="B1278" s="40" t="str">
        <f ca="1">IF(Agent07_Withdrawals!A85="","","WD"&amp;TEXT(1278-3,"0000")&amp;"-"&amp;TEXT(TODAY(),"YYYYMMDD"))</f>
        <v/>
      </c>
      <c r="C1278" s="40" t="str">
        <f>IF(Agent07_Withdrawals!A85="","",Agent07_Withdrawals!B85)</f>
        <v/>
      </c>
      <c r="D1278" s="43" t="str">
        <f>IF(Agent07_Withdrawals!A85="","",Agent07_Withdrawals!C85)</f>
        <v/>
      </c>
      <c r="E1278" s="41" t="str">
        <f>IF(Agent07_Withdrawals!A85="","",Agent07_Withdrawals!D85)</f>
        <v/>
      </c>
      <c r="F1278" s="40" t="str">
        <f>IF(Agent07_Withdrawals!A85="","",Agent07_Withdrawals!F85)</f>
        <v/>
      </c>
      <c r="G1278" s="42" t="str">
        <f>IF(Agent07_Withdrawals!A85="","",Agent07_Withdrawals!E85)</f>
        <v/>
      </c>
      <c r="H1278" s="42" t="str">
        <f>IF(Agent07_Withdrawals!A85="","",Agent07_Withdrawals!G85)</f>
        <v/>
      </c>
      <c r="I1278" s="40" t="str">
        <f>IF(Agent07_Withdrawals!A85="","",Agent07_Withdrawals!H85)</f>
        <v/>
      </c>
      <c r="J1278" s="40" t="str">
        <f>IF(Agent07_Withdrawals!A85="","",Agent07_Withdrawals!J85)</f>
        <v/>
      </c>
      <c r="K1278" s="40" t="str">
        <f>IF(Agent07_Withdrawals!A85="","",Agent07_Withdrawals!K85)</f>
        <v/>
      </c>
      <c r="L1278" s="40" t="str">
        <f>IF(G1278="","",IF(D1278-G1278&gt;=System_Config!$B$9,"✅ OK","⚠️ BREACH"))</f>
        <v/>
      </c>
      <c r="M1278" s="40" t="str">
        <f>IFERROR(IF(Agent07_Withdrawals!A85="","",YEAR(Agent07_Withdrawals!D85)),"")</f>
        <v/>
      </c>
    </row>
    <row r="1279" spans="1:13" ht="18" customHeight="1" x14ac:dyDescent="0.25">
      <c r="A1279" s="40" t="str">
        <f>IF(Agent07_Withdrawals!A86="","",Agent07_Withdrawals!A86)</f>
        <v/>
      </c>
      <c r="B1279" s="40" t="str">
        <f ca="1">IF(Agent07_Withdrawals!A86="","","WD"&amp;TEXT(1279-3,"0000")&amp;"-"&amp;TEXT(TODAY(),"YYYYMMDD"))</f>
        <v/>
      </c>
      <c r="C1279" s="40" t="str">
        <f>IF(Agent07_Withdrawals!A86="","",Agent07_Withdrawals!B86)</f>
        <v/>
      </c>
      <c r="D1279" s="43" t="str">
        <f>IF(Agent07_Withdrawals!A86="","",Agent07_Withdrawals!C86)</f>
        <v/>
      </c>
      <c r="E1279" s="41" t="str">
        <f>IF(Agent07_Withdrawals!A86="","",Agent07_Withdrawals!D86)</f>
        <v/>
      </c>
      <c r="F1279" s="40" t="str">
        <f>IF(Agent07_Withdrawals!A86="","",Agent07_Withdrawals!F86)</f>
        <v/>
      </c>
      <c r="G1279" s="42" t="str">
        <f>IF(Agent07_Withdrawals!A86="","",Agent07_Withdrawals!E86)</f>
        <v/>
      </c>
      <c r="H1279" s="42" t="str">
        <f>IF(Agent07_Withdrawals!A86="","",Agent07_Withdrawals!G86)</f>
        <v/>
      </c>
      <c r="I1279" s="40" t="str">
        <f>IF(Agent07_Withdrawals!A86="","",Agent07_Withdrawals!H86)</f>
        <v/>
      </c>
      <c r="J1279" s="40" t="str">
        <f>IF(Agent07_Withdrawals!A86="","",Agent07_Withdrawals!J86)</f>
        <v/>
      </c>
      <c r="K1279" s="40" t="str">
        <f>IF(Agent07_Withdrawals!A86="","",Agent07_Withdrawals!K86)</f>
        <v/>
      </c>
      <c r="L1279" s="40" t="str">
        <f>IF(G1279="","",IF(D1279-G1279&gt;=System_Config!$B$9,"✅ OK","⚠️ BREACH"))</f>
        <v/>
      </c>
      <c r="M1279" s="40" t="str">
        <f>IFERROR(IF(Agent07_Withdrawals!A86="","",YEAR(Agent07_Withdrawals!D86)),"")</f>
        <v/>
      </c>
    </row>
    <row r="1280" spans="1:13" ht="18" customHeight="1" x14ac:dyDescent="0.25">
      <c r="A1280" s="40" t="str">
        <f>IF(Agent07_Withdrawals!A87="","",Agent07_Withdrawals!A87)</f>
        <v/>
      </c>
      <c r="B1280" s="40" t="str">
        <f ca="1">IF(Agent07_Withdrawals!A87="","","WD"&amp;TEXT(1280-3,"0000")&amp;"-"&amp;TEXT(TODAY(),"YYYYMMDD"))</f>
        <v/>
      </c>
      <c r="C1280" s="40" t="str">
        <f>IF(Agent07_Withdrawals!A87="","",Agent07_Withdrawals!B87)</f>
        <v/>
      </c>
      <c r="D1280" s="43" t="str">
        <f>IF(Agent07_Withdrawals!A87="","",Agent07_Withdrawals!C87)</f>
        <v/>
      </c>
      <c r="E1280" s="41" t="str">
        <f>IF(Agent07_Withdrawals!A87="","",Agent07_Withdrawals!D87)</f>
        <v/>
      </c>
      <c r="F1280" s="40" t="str">
        <f>IF(Agent07_Withdrawals!A87="","",Agent07_Withdrawals!F87)</f>
        <v/>
      </c>
      <c r="G1280" s="42" t="str">
        <f>IF(Agent07_Withdrawals!A87="","",Agent07_Withdrawals!E87)</f>
        <v/>
      </c>
      <c r="H1280" s="42" t="str">
        <f>IF(Agent07_Withdrawals!A87="","",Agent07_Withdrawals!G87)</f>
        <v/>
      </c>
      <c r="I1280" s="40" t="str">
        <f>IF(Agent07_Withdrawals!A87="","",Agent07_Withdrawals!H87)</f>
        <v/>
      </c>
      <c r="J1280" s="40" t="str">
        <f>IF(Agent07_Withdrawals!A87="","",Agent07_Withdrawals!J87)</f>
        <v/>
      </c>
      <c r="K1280" s="40" t="str">
        <f>IF(Agent07_Withdrawals!A87="","",Agent07_Withdrawals!K87)</f>
        <v/>
      </c>
      <c r="L1280" s="40" t="str">
        <f>IF(G1280="","",IF(D1280-G1280&gt;=System_Config!$B$9,"✅ OK","⚠️ BREACH"))</f>
        <v/>
      </c>
      <c r="M1280" s="40" t="str">
        <f>IFERROR(IF(Agent07_Withdrawals!A87="","",YEAR(Agent07_Withdrawals!D87)),"")</f>
        <v/>
      </c>
    </row>
    <row r="1281" spans="1:13" ht="18" customHeight="1" x14ac:dyDescent="0.25">
      <c r="A1281" s="40" t="str">
        <f>IF(Agent07_Withdrawals!A88="","",Agent07_Withdrawals!A88)</f>
        <v/>
      </c>
      <c r="B1281" s="40" t="str">
        <f ca="1">IF(Agent07_Withdrawals!A88="","","WD"&amp;TEXT(1281-3,"0000")&amp;"-"&amp;TEXT(TODAY(),"YYYYMMDD"))</f>
        <v/>
      </c>
      <c r="C1281" s="40" t="str">
        <f>IF(Agent07_Withdrawals!A88="","",Agent07_Withdrawals!B88)</f>
        <v/>
      </c>
      <c r="D1281" s="43" t="str">
        <f>IF(Agent07_Withdrawals!A88="","",Agent07_Withdrawals!C88)</f>
        <v/>
      </c>
      <c r="E1281" s="41" t="str">
        <f>IF(Agent07_Withdrawals!A88="","",Agent07_Withdrawals!D88)</f>
        <v/>
      </c>
      <c r="F1281" s="40" t="str">
        <f>IF(Agent07_Withdrawals!A88="","",Agent07_Withdrawals!F88)</f>
        <v/>
      </c>
      <c r="G1281" s="42" t="str">
        <f>IF(Agent07_Withdrawals!A88="","",Agent07_Withdrawals!E88)</f>
        <v/>
      </c>
      <c r="H1281" s="42" t="str">
        <f>IF(Agent07_Withdrawals!A88="","",Agent07_Withdrawals!G88)</f>
        <v/>
      </c>
      <c r="I1281" s="40" t="str">
        <f>IF(Agent07_Withdrawals!A88="","",Agent07_Withdrawals!H88)</f>
        <v/>
      </c>
      <c r="J1281" s="40" t="str">
        <f>IF(Agent07_Withdrawals!A88="","",Agent07_Withdrawals!J88)</f>
        <v/>
      </c>
      <c r="K1281" s="40" t="str">
        <f>IF(Agent07_Withdrawals!A88="","",Agent07_Withdrawals!K88)</f>
        <v/>
      </c>
      <c r="L1281" s="40" t="str">
        <f>IF(G1281="","",IF(D1281-G1281&gt;=System_Config!$B$9,"✅ OK","⚠️ BREACH"))</f>
        <v/>
      </c>
      <c r="M1281" s="40" t="str">
        <f>IFERROR(IF(Agent07_Withdrawals!A88="","",YEAR(Agent07_Withdrawals!D88)),"")</f>
        <v/>
      </c>
    </row>
    <row r="1282" spans="1:13" ht="18" customHeight="1" x14ac:dyDescent="0.25">
      <c r="A1282" s="40" t="str">
        <f>IF(Agent07_Withdrawals!A89="","",Agent07_Withdrawals!A89)</f>
        <v/>
      </c>
      <c r="B1282" s="40" t="str">
        <f ca="1">IF(Agent07_Withdrawals!A89="","","WD"&amp;TEXT(1282-3,"0000")&amp;"-"&amp;TEXT(TODAY(),"YYYYMMDD"))</f>
        <v/>
      </c>
      <c r="C1282" s="40" t="str">
        <f>IF(Agent07_Withdrawals!A89="","",Agent07_Withdrawals!B89)</f>
        <v/>
      </c>
      <c r="D1282" s="43" t="str">
        <f>IF(Agent07_Withdrawals!A89="","",Agent07_Withdrawals!C89)</f>
        <v/>
      </c>
      <c r="E1282" s="41" t="str">
        <f>IF(Agent07_Withdrawals!A89="","",Agent07_Withdrawals!D89)</f>
        <v/>
      </c>
      <c r="F1282" s="40" t="str">
        <f>IF(Agent07_Withdrawals!A89="","",Agent07_Withdrawals!F89)</f>
        <v/>
      </c>
      <c r="G1282" s="42" t="str">
        <f>IF(Agent07_Withdrawals!A89="","",Agent07_Withdrawals!E89)</f>
        <v/>
      </c>
      <c r="H1282" s="42" t="str">
        <f>IF(Agent07_Withdrawals!A89="","",Agent07_Withdrawals!G89)</f>
        <v/>
      </c>
      <c r="I1282" s="40" t="str">
        <f>IF(Agent07_Withdrawals!A89="","",Agent07_Withdrawals!H89)</f>
        <v/>
      </c>
      <c r="J1282" s="40" t="str">
        <f>IF(Agent07_Withdrawals!A89="","",Agent07_Withdrawals!J89)</f>
        <v/>
      </c>
      <c r="K1282" s="40" t="str">
        <f>IF(Agent07_Withdrawals!A89="","",Agent07_Withdrawals!K89)</f>
        <v/>
      </c>
      <c r="L1282" s="40" t="str">
        <f>IF(G1282="","",IF(D1282-G1282&gt;=System_Config!$B$9,"✅ OK","⚠️ BREACH"))</f>
        <v/>
      </c>
      <c r="M1282" s="40" t="str">
        <f>IFERROR(IF(Agent07_Withdrawals!A89="","",YEAR(Agent07_Withdrawals!D89)),"")</f>
        <v/>
      </c>
    </row>
    <row r="1283" spans="1:13" ht="18" customHeight="1" x14ac:dyDescent="0.25">
      <c r="A1283" s="40" t="str">
        <f>IF(Agent07_Withdrawals!A90="","",Agent07_Withdrawals!A90)</f>
        <v/>
      </c>
      <c r="B1283" s="40" t="str">
        <f ca="1">IF(Agent07_Withdrawals!A90="","","WD"&amp;TEXT(1283-3,"0000")&amp;"-"&amp;TEXT(TODAY(),"YYYYMMDD"))</f>
        <v/>
      </c>
      <c r="C1283" s="40" t="str">
        <f>IF(Agent07_Withdrawals!A90="","",Agent07_Withdrawals!B90)</f>
        <v/>
      </c>
      <c r="D1283" s="43" t="str">
        <f>IF(Agent07_Withdrawals!A90="","",Agent07_Withdrawals!C90)</f>
        <v/>
      </c>
      <c r="E1283" s="41" t="str">
        <f>IF(Agent07_Withdrawals!A90="","",Agent07_Withdrawals!D90)</f>
        <v/>
      </c>
      <c r="F1283" s="40" t="str">
        <f>IF(Agent07_Withdrawals!A90="","",Agent07_Withdrawals!F90)</f>
        <v/>
      </c>
      <c r="G1283" s="42" t="str">
        <f>IF(Agent07_Withdrawals!A90="","",Agent07_Withdrawals!E90)</f>
        <v/>
      </c>
      <c r="H1283" s="42" t="str">
        <f>IF(Agent07_Withdrawals!A90="","",Agent07_Withdrawals!G90)</f>
        <v/>
      </c>
      <c r="I1283" s="40" t="str">
        <f>IF(Agent07_Withdrawals!A90="","",Agent07_Withdrawals!H90)</f>
        <v/>
      </c>
      <c r="J1283" s="40" t="str">
        <f>IF(Agent07_Withdrawals!A90="","",Agent07_Withdrawals!J90)</f>
        <v/>
      </c>
      <c r="K1283" s="40" t="str">
        <f>IF(Agent07_Withdrawals!A90="","",Agent07_Withdrawals!K90)</f>
        <v/>
      </c>
      <c r="L1283" s="40" t="str">
        <f>IF(G1283="","",IF(D1283-G1283&gt;=System_Config!$B$9,"✅ OK","⚠️ BREACH"))</f>
        <v/>
      </c>
      <c r="M1283" s="40" t="str">
        <f>IFERROR(IF(Agent07_Withdrawals!A90="","",YEAR(Agent07_Withdrawals!D90)),"")</f>
        <v/>
      </c>
    </row>
    <row r="1284" spans="1:13" ht="18" customHeight="1" x14ac:dyDescent="0.25">
      <c r="A1284" s="40" t="str">
        <f>IF(Agent07_Withdrawals!A91="","",Agent07_Withdrawals!A91)</f>
        <v/>
      </c>
      <c r="B1284" s="40" t="str">
        <f ca="1">IF(Agent07_Withdrawals!A91="","","WD"&amp;TEXT(1284-3,"0000")&amp;"-"&amp;TEXT(TODAY(),"YYYYMMDD"))</f>
        <v/>
      </c>
      <c r="C1284" s="40" t="str">
        <f>IF(Agent07_Withdrawals!A91="","",Agent07_Withdrawals!B91)</f>
        <v/>
      </c>
      <c r="D1284" s="43" t="str">
        <f>IF(Agent07_Withdrawals!A91="","",Agent07_Withdrawals!C91)</f>
        <v/>
      </c>
      <c r="E1284" s="41" t="str">
        <f>IF(Agent07_Withdrawals!A91="","",Agent07_Withdrawals!D91)</f>
        <v/>
      </c>
      <c r="F1284" s="40" t="str">
        <f>IF(Agent07_Withdrawals!A91="","",Agent07_Withdrawals!F91)</f>
        <v/>
      </c>
      <c r="G1284" s="42" t="str">
        <f>IF(Agent07_Withdrawals!A91="","",Agent07_Withdrawals!E91)</f>
        <v/>
      </c>
      <c r="H1284" s="42" t="str">
        <f>IF(Agent07_Withdrawals!A91="","",Agent07_Withdrawals!G91)</f>
        <v/>
      </c>
      <c r="I1284" s="40" t="str">
        <f>IF(Agent07_Withdrawals!A91="","",Agent07_Withdrawals!H91)</f>
        <v/>
      </c>
      <c r="J1284" s="40" t="str">
        <f>IF(Agent07_Withdrawals!A91="","",Agent07_Withdrawals!J91)</f>
        <v/>
      </c>
      <c r="K1284" s="40" t="str">
        <f>IF(Agent07_Withdrawals!A91="","",Agent07_Withdrawals!K91)</f>
        <v/>
      </c>
      <c r="L1284" s="40" t="str">
        <f>IF(G1284="","",IF(D1284-G1284&gt;=System_Config!$B$9,"✅ OK","⚠️ BREACH"))</f>
        <v/>
      </c>
      <c r="M1284" s="40" t="str">
        <f>IFERROR(IF(Agent07_Withdrawals!A91="","",YEAR(Agent07_Withdrawals!D91)),"")</f>
        <v/>
      </c>
    </row>
    <row r="1285" spans="1:13" ht="18" customHeight="1" x14ac:dyDescent="0.25">
      <c r="A1285" s="40" t="str">
        <f>IF(Agent07_Withdrawals!A92="","",Agent07_Withdrawals!A92)</f>
        <v/>
      </c>
      <c r="B1285" s="40" t="str">
        <f ca="1">IF(Agent07_Withdrawals!A92="","","WD"&amp;TEXT(1285-3,"0000")&amp;"-"&amp;TEXT(TODAY(),"YYYYMMDD"))</f>
        <v/>
      </c>
      <c r="C1285" s="40" t="str">
        <f>IF(Agent07_Withdrawals!A92="","",Agent07_Withdrawals!B92)</f>
        <v/>
      </c>
      <c r="D1285" s="43" t="str">
        <f>IF(Agent07_Withdrawals!A92="","",Agent07_Withdrawals!C92)</f>
        <v/>
      </c>
      <c r="E1285" s="41" t="str">
        <f>IF(Agent07_Withdrawals!A92="","",Agent07_Withdrawals!D92)</f>
        <v/>
      </c>
      <c r="F1285" s="40" t="str">
        <f>IF(Agent07_Withdrawals!A92="","",Agent07_Withdrawals!F92)</f>
        <v/>
      </c>
      <c r="G1285" s="42" t="str">
        <f>IF(Agent07_Withdrawals!A92="","",Agent07_Withdrawals!E92)</f>
        <v/>
      </c>
      <c r="H1285" s="42" t="str">
        <f>IF(Agent07_Withdrawals!A92="","",Agent07_Withdrawals!G92)</f>
        <v/>
      </c>
      <c r="I1285" s="40" t="str">
        <f>IF(Agent07_Withdrawals!A92="","",Agent07_Withdrawals!H92)</f>
        <v/>
      </c>
      <c r="J1285" s="40" t="str">
        <f>IF(Agent07_Withdrawals!A92="","",Agent07_Withdrawals!J92)</f>
        <v/>
      </c>
      <c r="K1285" s="40" t="str">
        <f>IF(Agent07_Withdrawals!A92="","",Agent07_Withdrawals!K92)</f>
        <v/>
      </c>
      <c r="L1285" s="40" t="str">
        <f>IF(G1285="","",IF(D1285-G1285&gt;=System_Config!$B$9,"✅ OK","⚠️ BREACH"))</f>
        <v/>
      </c>
      <c r="M1285" s="40" t="str">
        <f>IFERROR(IF(Agent07_Withdrawals!A92="","",YEAR(Agent07_Withdrawals!D92)),"")</f>
        <v/>
      </c>
    </row>
    <row r="1286" spans="1:13" ht="18" customHeight="1" x14ac:dyDescent="0.25">
      <c r="A1286" s="40" t="str">
        <f>IF(Agent07_Withdrawals!A93="","",Agent07_Withdrawals!A93)</f>
        <v/>
      </c>
      <c r="B1286" s="40" t="str">
        <f ca="1">IF(Agent07_Withdrawals!A93="","","WD"&amp;TEXT(1286-3,"0000")&amp;"-"&amp;TEXT(TODAY(),"YYYYMMDD"))</f>
        <v/>
      </c>
      <c r="C1286" s="40" t="str">
        <f>IF(Agent07_Withdrawals!A93="","",Agent07_Withdrawals!B93)</f>
        <v/>
      </c>
      <c r="D1286" s="43" t="str">
        <f>IF(Agent07_Withdrawals!A93="","",Agent07_Withdrawals!C93)</f>
        <v/>
      </c>
      <c r="E1286" s="41" t="str">
        <f>IF(Agent07_Withdrawals!A93="","",Agent07_Withdrawals!D93)</f>
        <v/>
      </c>
      <c r="F1286" s="40" t="str">
        <f>IF(Agent07_Withdrawals!A93="","",Agent07_Withdrawals!F93)</f>
        <v/>
      </c>
      <c r="G1286" s="42" t="str">
        <f>IF(Agent07_Withdrawals!A93="","",Agent07_Withdrawals!E93)</f>
        <v/>
      </c>
      <c r="H1286" s="42" t="str">
        <f>IF(Agent07_Withdrawals!A93="","",Agent07_Withdrawals!G93)</f>
        <v/>
      </c>
      <c r="I1286" s="40" t="str">
        <f>IF(Agent07_Withdrawals!A93="","",Agent07_Withdrawals!H93)</f>
        <v/>
      </c>
      <c r="J1286" s="40" t="str">
        <f>IF(Agent07_Withdrawals!A93="","",Agent07_Withdrawals!J93)</f>
        <v/>
      </c>
      <c r="K1286" s="40" t="str">
        <f>IF(Agent07_Withdrawals!A93="","",Agent07_Withdrawals!K93)</f>
        <v/>
      </c>
      <c r="L1286" s="40" t="str">
        <f>IF(G1286="","",IF(D1286-G1286&gt;=System_Config!$B$9,"✅ OK","⚠️ BREACH"))</f>
        <v/>
      </c>
      <c r="M1286" s="40" t="str">
        <f>IFERROR(IF(Agent07_Withdrawals!A93="","",YEAR(Agent07_Withdrawals!D93)),"")</f>
        <v/>
      </c>
    </row>
    <row r="1287" spans="1:13" ht="18" customHeight="1" x14ac:dyDescent="0.25">
      <c r="A1287" s="40" t="str">
        <f>IF(Agent07_Withdrawals!A94="","",Agent07_Withdrawals!A94)</f>
        <v/>
      </c>
      <c r="B1287" s="40" t="str">
        <f ca="1">IF(Agent07_Withdrawals!A94="","","WD"&amp;TEXT(1287-3,"0000")&amp;"-"&amp;TEXT(TODAY(),"YYYYMMDD"))</f>
        <v/>
      </c>
      <c r="C1287" s="40" t="str">
        <f>IF(Agent07_Withdrawals!A94="","",Agent07_Withdrawals!B94)</f>
        <v/>
      </c>
      <c r="D1287" s="43" t="str">
        <f>IF(Agent07_Withdrawals!A94="","",Agent07_Withdrawals!C94)</f>
        <v/>
      </c>
      <c r="E1287" s="41" t="str">
        <f>IF(Agent07_Withdrawals!A94="","",Agent07_Withdrawals!D94)</f>
        <v/>
      </c>
      <c r="F1287" s="40" t="str">
        <f>IF(Agent07_Withdrawals!A94="","",Agent07_Withdrawals!F94)</f>
        <v/>
      </c>
      <c r="G1287" s="42" t="str">
        <f>IF(Agent07_Withdrawals!A94="","",Agent07_Withdrawals!E94)</f>
        <v/>
      </c>
      <c r="H1287" s="42" t="str">
        <f>IF(Agent07_Withdrawals!A94="","",Agent07_Withdrawals!G94)</f>
        <v/>
      </c>
      <c r="I1287" s="40" t="str">
        <f>IF(Agent07_Withdrawals!A94="","",Agent07_Withdrawals!H94)</f>
        <v/>
      </c>
      <c r="J1287" s="40" t="str">
        <f>IF(Agent07_Withdrawals!A94="","",Agent07_Withdrawals!J94)</f>
        <v/>
      </c>
      <c r="K1287" s="40" t="str">
        <f>IF(Agent07_Withdrawals!A94="","",Agent07_Withdrawals!K94)</f>
        <v/>
      </c>
      <c r="L1287" s="40" t="str">
        <f>IF(G1287="","",IF(D1287-G1287&gt;=System_Config!$B$9,"✅ OK","⚠️ BREACH"))</f>
        <v/>
      </c>
      <c r="M1287" s="40" t="str">
        <f>IFERROR(IF(Agent07_Withdrawals!A94="","",YEAR(Agent07_Withdrawals!D94)),"")</f>
        <v/>
      </c>
    </row>
    <row r="1288" spans="1:13" ht="18" customHeight="1" x14ac:dyDescent="0.25">
      <c r="A1288" s="40" t="str">
        <f>IF(Agent07_Withdrawals!A95="","",Agent07_Withdrawals!A95)</f>
        <v/>
      </c>
      <c r="B1288" s="40" t="str">
        <f ca="1">IF(Agent07_Withdrawals!A95="","","WD"&amp;TEXT(1288-3,"0000")&amp;"-"&amp;TEXT(TODAY(),"YYYYMMDD"))</f>
        <v/>
      </c>
      <c r="C1288" s="40" t="str">
        <f>IF(Agent07_Withdrawals!A95="","",Agent07_Withdrawals!B95)</f>
        <v/>
      </c>
      <c r="D1288" s="43" t="str">
        <f>IF(Agent07_Withdrawals!A95="","",Agent07_Withdrawals!C95)</f>
        <v/>
      </c>
      <c r="E1288" s="41" t="str">
        <f>IF(Agent07_Withdrawals!A95="","",Agent07_Withdrawals!D95)</f>
        <v/>
      </c>
      <c r="F1288" s="40" t="str">
        <f>IF(Agent07_Withdrawals!A95="","",Agent07_Withdrawals!F95)</f>
        <v/>
      </c>
      <c r="G1288" s="42" t="str">
        <f>IF(Agent07_Withdrawals!A95="","",Agent07_Withdrawals!E95)</f>
        <v/>
      </c>
      <c r="H1288" s="42" t="str">
        <f>IF(Agent07_Withdrawals!A95="","",Agent07_Withdrawals!G95)</f>
        <v/>
      </c>
      <c r="I1288" s="40" t="str">
        <f>IF(Agent07_Withdrawals!A95="","",Agent07_Withdrawals!H95)</f>
        <v/>
      </c>
      <c r="J1288" s="40" t="str">
        <f>IF(Agent07_Withdrawals!A95="","",Agent07_Withdrawals!J95)</f>
        <v/>
      </c>
      <c r="K1288" s="40" t="str">
        <f>IF(Agent07_Withdrawals!A95="","",Agent07_Withdrawals!K95)</f>
        <v/>
      </c>
      <c r="L1288" s="40" t="str">
        <f>IF(G1288="","",IF(D1288-G1288&gt;=System_Config!$B$9,"✅ OK","⚠️ BREACH"))</f>
        <v/>
      </c>
      <c r="M1288" s="40" t="str">
        <f>IFERROR(IF(Agent07_Withdrawals!A95="","",YEAR(Agent07_Withdrawals!D95)),"")</f>
        <v/>
      </c>
    </row>
    <row r="1289" spans="1:13" ht="18" customHeight="1" x14ac:dyDescent="0.25">
      <c r="A1289" s="40" t="str">
        <f>IF(Agent07_Withdrawals!A96="","",Agent07_Withdrawals!A96)</f>
        <v/>
      </c>
      <c r="B1289" s="40" t="str">
        <f ca="1">IF(Agent07_Withdrawals!A96="","","WD"&amp;TEXT(1289-3,"0000")&amp;"-"&amp;TEXT(TODAY(),"YYYYMMDD"))</f>
        <v/>
      </c>
      <c r="C1289" s="40" t="str">
        <f>IF(Agent07_Withdrawals!A96="","",Agent07_Withdrawals!B96)</f>
        <v/>
      </c>
      <c r="D1289" s="43" t="str">
        <f>IF(Agent07_Withdrawals!A96="","",Agent07_Withdrawals!C96)</f>
        <v/>
      </c>
      <c r="E1289" s="41" t="str">
        <f>IF(Agent07_Withdrawals!A96="","",Agent07_Withdrawals!D96)</f>
        <v/>
      </c>
      <c r="F1289" s="40" t="str">
        <f>IF(Agent07_Withdrawals!A96="","",Agent07_Withdrawals!F96)</f>
        <v/>
      </c>
      <c r="G1289" s="42" t="str">
        <f>IF(Agent07_Withdrawals!A96="","",Agent07_Withdrawals!E96)</f>
        <v/>
      </c>
      <c r="H1289" s="42" t="str">
        <f>IF(Agent07_Withdrawals!A96="","",Agent07_Withdrawals!G96)</f>
        <v/>
      </c>
      <c r="I1289" s="40" t="str">
        <f>IF(Agent07_Withdrawals!A96="","",Agent07_Withdrawals!H96)</f>
        <v/>
      </c>
      <c r="J1289" s="40" t="str">
        <f>IF(Agent07_Withdrawals!A96="","",Agent07_Withdrawals!J96)</f>
        <v/>
      </c>
      <c r="K1289" s="40" t="str">
        <f>IF(Agent07_Withdrawals!A96="","",Agent07_Withdrawals!K96)</f>
        <v/>
      </c>
      <c r="L1289" s="40" t="str">
        <f>IF(G1289="","",IF(D1289-G1289&gt;=System_Config!$B$9,"✅ OK","⚠️ BREACH"))</f>
        <v/>
      </c>
      <c r="M1289" s="40" t="str">
        <f>IFERROR(IF(Agent07_Withdrawals!A96="","",YEAR(Agent07_Withdrawals!D96)),"")</f>
        <v/>
      </c>
    </row>
    <row r="1290" spans="1:13" ht="18" customHeight="1" x14ac:dyDescent="0.25">
      <c r="A1290" s="40" t="str">
        <f>IF(Agent07_Withdrawals!A97="","",Agent07_Withdrawals!A97)</f>
        <v/>
      </c>
      <c r="B1290" s="40" t="str">
        <f ca="1">IF(Agent07_Withdrawals!A97="","","WD"&amp;TEXT(1290-3,"0000")&amp;"-"&amp;TEXT(TODAY(),"YYYYMMDD"))</f>
        <v/>
      </c>
      <c r="C1290" s="40" t="str">
        <f>IF(Agent07_Withdrawals!A97="","",Agent07_Withdrawals!B97)</f>
        <v/>
      </c>
      <c r="D1290" s="43" t="str">
        <f>IF(Agent07_Withdrawals!A97="","",Agent07_Withdrawals!C97)</f>
        <v/>
      </c>
      <c r="E1290" s="41" t="str">
        <f>IF(Agent07_Withdrawals!A97="","",Agent07_Withdrawals!D97)</f>
        <v/>
      </c>
      <c r="F1290" s="40" t="str">
        <f>IF(Agent07_Withdrawals!A97="","",Agent07_Withdrawals!F97)</f>
        <v/>
      </c>
      <c r="G1290" s="42" t="str">
        <f>IF(Agent07_Withdrawals!A97="","",Agent07_Withdrawals!E97)</f>
        <v/>
      </c>
      <c r="H1290" s="42" t="str">
        <f>IF(Agent07_Withdrawals!A97="","",Agent07_Withdrawals!G97)</f>
        <v/>
      </c>
      <c r="I1290" s="40" t="str">
        <f>IF(Agent07_Withdrawals!A97="","",Agent07_Withdrawals!H97)</f>
        <v/>
      </c>
      <c r="J1290" s="40" t="str">
        <f>IF(Agent07_Withdrawals!A97="","",Agent07_Withdrawals!J97)</f>
        <v/>
      </c>
      <c r="K1290" s="40" t="str">
        <f>IF(Agent07_Withdrawals!A97="","",Agent07_Withdrawals!K97)</f>
        <v/>
      </c>
      <c r="L1290" s="40" t="str">
        <f>IF(G1290="","",IF(D1290-G1290&gt;=System_Config!$B$9,"✅ OK","⚠️ BREACH"))</f>
        <v/>
      </c>
      <c r="M1290" s="40" t="str">
        <f>IFERROR(IF(Agent07_Withdrawals!A97="","",YEAR(Agent07_Withdrawals!D97)),"")</f>
        <v/>
      </c>
    </row>
    <row r="1291" spans="1:13" ht="18" customHeight="1" x14ac:dyDescent="0.25">
      <c r="A1291" s="40" t="str">
        <f>IF(Agent07_Withdrawals!A98="","",Agent07_Withdrawals!A98)</f>
        <v/>
      </c>
      <c r="B1291" s="40" t="str">
        <f ca="1">IF(Agent07_Withdrawals!A98="","","WD"&amp;TEXT(1291-3,"0000")&amp;"-"&amp;TEXT(TODAY(),"YYYYMMDD"))</f>
        <v/>
      </c>
      <c r="C1291" s="40" t="str">
        <f>IF(Agent07_Withdrawals!A98="","",Agent07_Withdrawals!B98)</f>
        <v/>
      </c>
      <c r="D1291" s="43" t="str">
        <f>IF(Agent07_Withdrawals!A98="","",Agent07_Withdrawals!C98)</f>
        <v/>
      </c>
      <c r="E1291" s="41" t="str">
        <f>IF(Agent07_Withdrawals!A98="","",Agent07_Withdrawals!D98)</f>
        <v/>
      </c>
      <c r="F1291" s="40" t="str">
        <f>IF(Agent07_Withdrawals!A98="","",Agent07_Withdrawals!F98)</f>
        <v/>
      </c>
      <c r="G1291" s="42" t="str">
        <f>IF(Agent07_Withdrawals!A98="","",Agent07_Withdrawals!E98)</f>
        <v/>
      </c>
      <c r="H1291" s="42" t="str">
        <f>IF(Agent07_Withdrawals!A98="","",Agent07_Withdrawals!G98)</f>
        <v/>
      </c>
      <c r="I1291" s="40" t="str">
        <f>IF(Agent07_Withdrawals!A98="","",Agent07_Withdrawals!H98)</f>
        <v/>
      </c>
      <c r="J1291" s="40" t="str">
        <f>IF(Agent07_Withdrawals!A98="","",Agent07_Withdrawals!J98)</f>
        <v/>
      </c>
      <c r="K1291" s="40" t="str">
        <f>IF(Agent07_Withdrawals!A98="","",Agent07_Withdrawals!K98)</f>
        <v/>
      </c>
      <c r="L1291" s="40" t="str">
        <f>IF(G1291="","",IF(D1291-G1291&gt;=System_Config!$B$9,"✅ OK","⚠️ BREACH"))</f>
        <v/>
      </c>
      <c r="M1291" s="40" t="str">
        <f>IFERROR(IF(Agent07_Withdrawals!A98="","",YEAR(Agent07_Withdrawals!D98)),"")</f>
        <v/>
      </c>
    </row>
    <row r="1292" spans="1:13" ht="18" customHeight="1" x14ac:dyDescent="0.25">
      <c r="A1292" s="40" t="str">
        <f>IF(Agent07_Withdrawals!A99="","",Agent07_Withdrawals!A99)</f>
        <v/>
      </c>
      <c r="B1292" s="40" t="str">
        <f ca="1">IF(Agent07_Withdrawals!A99="","","WD"&amp;TEXT(1292-3,"0000")&amp;"-"&amp;TEXT(TODAY(),"YYYYMMDD"))</f>
        <v/>
      </c>
      <c r="C1292" s="40" t="str">
        <f>IF(Agent07_Withdrawals!A99="","",Agent07_Withdrawals!B99)</f>
        <v/>
      </c>
      <c r="D1292" s="43" t="str">
        <f>IF(Agent07_Withdrawals!A99="","",Agent07_Withdrawals!C99)</f>
        <v/>
      </c>
      <c r="E1292" s="41" t="str">
        <f>IF(Agent07_Withdrawals!A99="","",Agent07_Withdrawals!D99)</f>
        <v/>
      </c>
      <c r="F1292" s="40" t="str">
        <f>IF(Agent07_Withdrawals!A99="","",Agent07_Withdrawals!F99)</f>
        <v/>
      </c>
      <c r="G1292" s="42" t="str">
        <f>IF(Agent07_Withdrawals!A99="","",Agent07_Withdrawals!E99)</f>
        <v/>
      </c>
      <c r="H1292" s="42" t="str">
        <f>IF(Agent07_Withdrawals!A99="","",Agent07_Withdrawals!G99)</f>
        <v/>
      </c>
      <c r="I1292" s="40" t="str">
        <f>IF(Agent07_Withdrawals!A99="","",Agent07_Withdrawals!H99)</f>
        <v/>
      </c>
      <c r="J1292" s="40" t="str">
        <f>IF(Agent07_Withdrawals!A99="","",Agent07_Withdrawals!J99)</f>
        <v/>
      </c>
      <c r="K1292" s="40" t="str">
        <f>IF(Agent07_Withdrawals!A99="","",Agent07_Withdrawals!K99)</f>
        <v/>
      </c>
      <c r="L1292" s="40" t="str">
        <f>IF(G1292="","",IF(D1292-G1292&gt;=System_Config!$B$9,"✅ OK","⚠️ BREACH"))</f>
        <v/>
      </c>
      <c r="M1292" s="40" t="str">
        <f>IFERROR(IF(Agent07_Withdrawals!A99="","",YEAR(Agent07_Withdrawals!D99)),"")</f>
        <v/>
      </c>
    </row>
    <row r="1293" spans="1:13" ht="18" customHeight="1" x14ac:dyDescent="0.25">
      <c r="A1293" s="40" t="str">
        <f>IF(Agent07_Withdrawals!A100="","",Agent07_Withdrawals!A100)</f>
        <v/>
      </c>
      <c r="B1293" s="40" t="str">
        <f ca="1">IF(Agent07_Withdrawals!A100="","","WD"&amp;TEXT(1293-3,"0000")&amp;"-"&amp;TEXT(TODAY(),"YYYYMMDD"))</f>
        <v/>
      </c>
      <c r="C1293" s="40" t="str">
        <f>IF(Agent07_Withdrawals!A100="","",Agent07_Withdrawals!B100)</f>
        <v/>
      </c>
      <c r="D1293" s="43" t="str">
        <f>IF(Agent07_Withdrawals!A100="","",Agent07_Withdrawals!C100)</f>
        <v/>
      </c>
      <c r="E1293" s="41" t="str">
        <f>IF(Agent07_Withdrawals!A100="","",Agent07_Withdrawals!D100)</f>
        <v/>
      </c>
      <c r="F1293" s="40" t="str">
        <f>IF(Agent07_Withdrawals!A100="","",Agent07_Withdrawals!F100)</f>
        <v/>
      </c>
      <c r="G1293" s="42" t="str">
        <f>IF(Agent07_Withdrawals!A100="","",Agent07_Withdrawals!E100)</f>
        <v/>
      </c>
      <c r="H1293" s="42" t="str">
        <f>IF(Agent07_Withdrawals!A100="","",Agent07_Withdrawals!G100)</f>
        <v/>
      </c>
      <c r="I1293" s="40" t="str">
        <f>IF(Agent07_Withdrawals!A100="","",Agent07_Withdrawals!H100)</f>
        <v/>
      </c>
      <c r="J1293" s="40" t="str">
        <f>IF(Agent07_Withdrawals!A100="","",Agent07_Withdrawals!J100)</f>
        <v/>
      </c>
      <c r="K1293" s="40" t="str">
        <f>IF(Agent07_Withdrawals!A100="","",Agent07_Withdrawals!K100)</f>
        <v/>
      </c>
      <c r="L1293" s="40" t="str">
        <f>IF(G1293="","",IF(D1293-G1293&gt;=System_Config!$B$9,"✅ OK","⚠️ BREACH"))</f>
        <v/>
      </c>
      <c r="M1293" s="40" t="str">
        <f>IFERROR(IF(Agent07_Withdrawals!A100="","",YEAR(Agent07_Withdrawals!D100)),"")</f>
        <v/>
      </c>
    </row>
    <row r="1294" spans="1:13" ht="18" customHeight="1" x14ac:dyDescent="0.25">
      <c r="A1294" s="40" t="str">
        <f>IF(Agent07_Withdrawals!A101="","",Agent07_Withdrawals!A101)</f>
        <v/>
      </c>
      <c r="B1294" s="40" t="str">
        <f ca="1">IF(Agent07_Withdrawals!A101="","","WD"&amp;TEXT(1294-3,"0000")&amp;"-"&amp;TEXT(TODAY(),"YYYYMMDD"))</f>
        <v/>
      </c>
      <c r="C1294" s="40" t="str">
        <f>IF(Agent07_Withdrawals!A101="","",Agent07_Withdrawals!B101)</f>
        <v/>
      </c>
      <c r="D1294" s="43" t="str">
        <f>IF(Agent07_Withdrawals!A101="","",Agent07_Withdrawals!C101)</f>
        <v/>
      </c>
      <c r="E1294" s="41" t="str">
        <f>IF(Agent07_Withdrawals!A101="","",Agent07_Withdrawals!D101)</f>
        <v/>
      </c>
      <c r="F1294" s="40" t="str">
        <f>IF(Agent07_Withdrawals!A101="","",Agent07_Withdrawals!F101)</f>
        <v/>
      </c>
      <c r="G1294" s="42" t="str">
        <f>IF(Agent07_Withdrawals!A101="","",Agent07_Withdrawals!E101)</f>
        <v/>
      </c>
      <c r="H1294" s="42" t="str">
        <f>IF(Agent07_Withdrawals!A101="","",Agent07_Withdrawals!G101)</f>
        <v/>
      </c>
      <c r="I1294" s="40" t="str">
        <f>IF(Agent07_Withdrawals!A101="","",Agent07_Withdrawals!H101)</f>
        <v/>
      </c>
      <c r="J1294" s="40" t="str">
        <f>IF(Agent07_Withdrawals!A101="","",Agent07_Withdrawals!J101)</f>
        <v/>
      </c>
      <c r="K1294" s="40" t="str">
        <f>IF(Agent07_Withdrawals!A101="","",Agent07_Withdrawals!K101)</f>
        <v/>
      </c>
      <c r="L1294" s="40" t="str">
        <f>IF(G1294="","",IF(D1294-G1294&gt;=System_Config!$B$9,"✅ OK","⚠️ BREACH"))</f>
        <v/>
      </c>
      <c r="M1294" s="40" t="str">
        <f>IFERROR(IF(Agent07_Withdrawals!A101="","",YEAR(Agent07_Withdrawals!D101)),"")</f>
        <v/>
      </c>
    </row>
    <row r="1295" spans="1:13" ht="18" customHeight="1" x14ac:dyDescent="0.25">
      <c r="A1295" s="40" t="str">
        <f>IF(Agent07_Withdrawals!A102="","",Agent07_Withdrawals!A102)</f>
        <v/>
      </c>
      <c r="B1295" s="40" t="str">
        <f ca="1">IF(Agent07_Withdrawals!A102="","","WD"&amp;TEXT(1295-3,"0000")&amp;"-"&amp;TEXT(TODAY(),"YYYYMMDD"))</f>
        <v/>
      </c>
      <c r="C1295" s="40" t="str">
        <f>IF(Agent07_Withdrawals!A102="","",Agent07_Withdrawals!B102)</f>
        <v/>
      </c>
      <c r="D1295" s="43" t="str">
        <f>IF(Agent07_Withdrawals!A102="","",Agent07_Withdrawals!C102)</f>
        <v/>
      </c>
      <c r="E1295" s="41" t="str">
        <f>IF(Agent07_Withdrawals!A102="","",Agent07_Withdrawals!D102)</f>
        <v/>
      </c>
      <c r="F1295" s="40" t="str">
        <f>IF(Agent07_Withdrawals!A102="","",Agent07_Withdrawals!F102)</f>
        <v/>
      </c>
      <c r="G1295" s="42" t="str">
        <f>IF(Agent07_Withdrawals!A102="","",Agent07_Withdrawals!E102)</f>
        <v/>
      </c>
      <c r="H1295" s="42" t="str">
        <f>IF(Agent07_Withdrawals!A102="","",Agent07_Withdrawals!G102)</f>
        <v/>
      </c>
      <c r="I1295" s="40" t="str">
        <f>IF(Agent07_Withdrawals!A102="","",Agent07_Withdrawals!H102)</f>
        <v/>
      </c>
      <c r="J1295" s="40" t="str">
        <f>IF(Agent07_Withdrawals!A102="","",Agent07_Withdrawals!J102)</f>
        <v/>
      </c>
      <c r="K1295" s="40" t="str">
        <f>IF(Agent07_Withdrawals!A102="","",Agent07_Withdrawals!K102)</f>
        <v/>
      </c>
      <c r="L1295" s="40" t="str">
        <f>IF(G1295="","",IF(D1295-G1295&gt;=System_Config!$B$9,"✅ OK","⚠️ BREACH"))</f>
        <v/>
      </c>
      <c r="M1295" s="40" t="str">
        <f>IFERROR(IF(Agent07_Withdrawals!A102="","",YEAR(Agent07_Withdrawals!D102)),"")</f>
        <v/>
      </c>
    </row>
    <row r="1296" spans="1:13" ht="18" customHeight="1" x14ac:dyDescent="0.25">
      <c r="A1296" s="40" t="str">
        <f>IF(Agent07_Withdrawals!A103="","",Agent07_Withdrawals!A103)</f>
        <v/>
      </c>
      <c r="B1296" s="40" t="str">
        <f ca="1">IF(Agent07_Withdrawals!A103="","","WD"&amp;TEXT(1296-3,"0000")&amp;"-"&amp;TEXT(TODAY(),"YYYYMMDD"))</f>
        <v/>
      </c>
      <c r="C1296" s="40" t="str">
        <f>IF(Agent07_Withdrawals!A103="","",Agent07_Withdrawals!B103)</f>
        <v/>
      </c>
      <c r="D1296" s="43" t="str">
        <f>IF(Agent07_Withdrawals!A103="","",Agent07_Withdrawals!C103)</f>
        <v/>
      </c>
      <c r="E1296" s="41" t="str">
        <f>IF(Agent07_Withdrawals!A103="","",Agent07_Withdrawals!D103)</f>
        <v/>
      </c>
      <c r="F1296" s="40" t="str">
        <f>IF(Agent07_Withdrawals!A103="","",Agent07_Withdrawals!F103)</f>
        <v/>
      </c>
      <c r="G1296" s="42" t="str">
        <f>IF(Agent07_Withdrawals!A103="","",Agent07_Withdrawals!E103)</f>
        <v/>
      </c>
      <c r="H1296" s="42" t="str">
        <f>IF(Agent07_Withdrawals!A103="","",Agent07_Withdrawals!G103)</f>
        <v/>
      </c>
      <c r="I1296" s="40" t="str">
        <f>IF(Agent07_Withdrawals!A103="","",Agent07_Withdrawals!H103)</f>
        <v/>
      </c>
      <c r="J1296" s="40" t="str">
        <f>IF(Agent07_Withdrawals!A103="","",Agent07_Withdrawals!J103)</f>
        <v/>
      </c>
      <c r="K1296" s="40" t="str">
        <f>IF(Agent07_Withdrawals!A103="","",Agent07_Withdrawals!K103)</f>
        <v/>
      </c>
      <c r="L1296" s="40" t="str">
        <f>IF(G1296="","",IF(D1296-G1296&gt;=System_Config!$B$9,"✅ OK","⚠️ BREACH"))</f>
        <v/>
      </c>
      <c r="M1296" s="40" t="str">
        <f>IFERROR(IF(Agent07_Withdrawals!A103="","",YEAR(Agent07_Withdrawals!D103)),"")</f>
        <v/>
      </c>
    </row>
    <row r="1297" spans="1:13" ht="18" customHeight="1" x14ac:dyDescent="0.25">
      <c r="A1297" s="40" t="str">
        <f>IF(Agent07_Withdrawals!A104="","",Agent07_Withdrawals!A104)</f>
        <v/>
      </c>
      <c r="B1297" s="40" t="str">
        <f ca="1">IF(Agent07_Withdrawals!A104="","","WD"&amp;TEXT(1297-3,"0000")&amp;"-"&amp;TEXT(TODAY(),"YYYYMMDD"))</f>
        <v/>
      </c>
      <c r="C1297" s="40" t="str">
        <f>IF(Agent07_Withdrawals!A104="","",Agent07_Withdrawals!B104)</f>
        <v/>
      </c>
      <c r="D1297" s="43" t="str">
        <f>IF(Agent07_Withdrawals!A104="","",Agent07_Withdrawals!C104)</f>
        <v/>
      </c>
      <c r="E1297" s="41" t="str">
        <f>IF(Agent07_Withdrawals!A104="","",Agent07_Withdrawals!D104)</f>
        <v/>
      </c>
      <c r="F1297" s="40" t="str">
        <f>IF(Agent07_Withdrawals!A104="","",Agent07_Withdrawals!F104)</f>
        <v/>
      </c>
      <c r="G1297" s="42" t="str">
        <f>IF(Agent07_Withdrawals!A104="","",Agent07_Withdrawals!E104)</f>
        <v/>
      </c>
      <c r="H1297" s="42" t="str">
        <f>IF(Agent07_Withdrawals!A104="","",Agent07_Withdrawals!G104)</f>
        <v/>
      </c>
      <c r="I1297" s="40" t="str">
        <f>IF(Agent07_Withdrawals!A104="","",Agent07_Withdrawals!H104)</f>
        <v/>
      </c>
      <c r="J1297" s="40" t="str">
        <f>IF(Agent07_Withdrawals!A104="","",Agent07_Withdrawals!J104)</f>
        <v/>
      </c>
      <c r="K1297" s="40" t="str">
        <f>IF(Agent07_Withdrawals!A104="","",Agent07_Withdrawals!K104)</f>
        <v/>
      </c>
      <c r="L1297" s="40" t="str">
        <f>IF(G1297="","",IF(D1297-G1297&gt;=System_Config!$B$9,"✅ OK","⚠️ BREACH"))</f>
        <v/>
      </c>
      <c r="M1297" s="40" t="str">
        <f>IFERROR(IF(Agent07_Withdrawals!A104="","",YEAR(Agent07_Withdrawals!D104)),"")</f>
        <v/>
      </c>
    </row>
    <row r="1298" spans="1:13" ht="18" customHeight="1" x14ac:dyDescent="0.25">
      <c r="A1298" s="40" t="str">
        <f>IF(Agent07_Withdrawals!A105="","",Agent07_Withdrawals!A105)</f>
        <v/>
      </c>
      <c r="B1298" s="40" t="str">
        <f ca="1">IF(Agent07_Withdrawals!A105="","","WD"&amp;TEXT(1298-3,"0000")&amp;"-"&amp;TEXT(TODAY(),"YYYYMMDD"))</f>
        <v/>
      </c>
      <c r="C1298" s="40" t="str">
        <f>IF(Agent07_Withdrawals!A105="","",Agent07_Withdrawals!B105)</f>
        <v/>
      </c>
      <c r="D1298" s="43" t="str">
        <f>IF(Agent07_Withdrawals!A105="","",Agent07_Withdrawals!C105)</f>
        <v/>
      </c>
      <c r="E1298" s="41" t="str">
        <f>IF(Agent07_Withdrawals!A105="","",Agent07_Withdrawals!D105)</f>
        <v/>
      </c>
      <c r="F1298" s="40" t="str">
        <f>IF(Agent07_Withdrawals!A105="","",Agent07_Withdrawals!F105)</f>
        <v/>
      </c>
      <c r="G1298" s="42" t="str">
        <f>IF(Agent07_Withdrawals!A105="","",Agent07_Withdrawals!E105)</f>
        <v/>
      </c>
      <c r="H1298" s="42" t="str">
        <f>IF(Agent07_Withdrawals!A105="","",Agent07_Withdrawals!G105)</f>
        <v/>
      </c>
      <c r="I1298" s="40" t="str">
        <f>IF(Agent07_Withdrawals!A105="","",Agent07_Withdrawals!H105)</f>
        <v/>
      </c>
      <c r="J1298" s="40" t="str">
        <f>IF(Agent07_Withdrawals!A105="","",Agent07_Withdrawals!J105)</f>
        <v/>
      </c>
      <c r="K1298" s="40" t="str">
        <f>IF(Agent07_Withdrawals!A105="","",Agent07_Withdrawals!K105)</f>
        <v/>
      </c>
      <c r="L1298" s="40" t="str">
        <f>IF(G1298="","",IF(D1298-G1298&gt;=System_Config!$B$9,"✅ OK","⚠️ BREACH"))</f>
        <v/>
      </c>
      <c r="M1298" s="40" t="str">
        <f>IFERROR(IF(Agent07_Withdrawals!A105="","",YEAR(Agent07_Withdrawals!D105)),"")</f>
        <v/>
      </c>
    </row>
    <row r="1299" spans="1:13" ht="18" customHeight="1" x14ac:dyDescent="0.25">
      <c r="A1299" s="40" t="str">
        <f>IF(Agent07_Withdrawals!A106="","",Agent07_Withdrawals!A106)</f>
        <v/>
      </c>
      <c r="B1299" s="40" t="str">
        <f ca="1">IF(Agent07_Withdrawals!A106="","","WD"&amp;TEXT(1299-3,"0000")&amp;"-"&amp;TEXT(TODAY(),"YYYYMMDD"))</f>
        <v/>
      </c>
      <c r="C1299" s="40" t="str">
        <f>IF(Agent07_Withdrawals!A106="","",Agent07_Withdrawals!B106)</f>
        <v/>
      </c>
      <c r="D1299" s="43" t="str">
        <f>IF(Agent07_Withdrawals!A106="","",Agent07_Withdrawals!C106)</f>
        <v/>
      </c>
      <c r="E1299" s="41" t="str">
        <f>IF(Agent07_Withdrawals!A106="","",Agent07_Withdrawals!D106)</f>
        <v/>
      </c>
      <c r="F1299" s="40" t="str">
        <f>IF(Agent07_Withdrawals!A106="","",Agent07_Withdrawals!F106)</f>
        <v/>
      </c>
      <c r="G1299" s="42" t="str">
        <f>IF(Agent07_Withdrawals!A106="","",Agent07_Withdrawals!E106)</f>
        <v/>
      </c>
      <c r="H1299" s="42" t="str">
        <f>IF(Agent07_Withdrawals!A106="","",Agent07_Withdrawals!G106)</f>
        <v/>
      </c>
      <c r="I1299" s="40" t="str">
        <f>IF(Agent07_Withdrawals!A106="","",Agent07_Withdrawals!H106)</f>
        <v/>
      </c>
      <c r="J1299" s="40" t="str">
        <f>IF(Agent07_Withdrawals!A106="","",Agent07_Withdrawals!J106)</f>
        <v/>
      </c>
      <c r="K1299" s="40" t="str">
        <f>IF(Agent07_Withdrawals!A106="","",Agent07_Withdrawals!K106)</f>
        <v/>
      </c>
      <c r="L1299" s="40" t="str">
        <f>IF(G1299="","",IF(D1299-G1299&gt;=System_Config!$B$9,"✅ OK","⚠️ BREACH"))</f>
        <v/>
      </c>
      <c r="M1299" s="40" t="str">
        <f>IFERROR(IF(Agent07_Withdrawals!A106="","",YEAR(Agent07_Withdrawals!D106)),"")</f>
        <v/>
      </c>
    </row>
    <row r="1300" spans="1:13" ht="18" customHeight="1" x14ac:dyDescent="0.25">
      <c r="A1300" s="40" t="str">
        <f>IF(Agent07_Withdrawals!A107="","",Agent07_Withdrawals!A107)</f>
        <v/>
      </c>
      <c r="B1300" s="40" t="str">
        <f ca="1">IF(Agent07_Withdrawals!A107="","","WD"&amp;TEXT(1300-3,"0000")&amp;"-"&amp;TEXT(TODAY(),"YYYYMMDD"))</f>
        <v/>
      </c>
      <c r="C1300" s="40" t="str">
        <f>IF(Agent07_Withdrawals!A107="","",Agent07_Withdrawals!B107)</f>
        <v/>
      </c>
      <c r="D1300" s="43" t="str">
        <f>IF(Agent07_Withdrawals!A107="","",Agent07_Withdrawals!C107)</f>
        <v/>
      </c>
      <c r="E1300" s="41" t="str">
        <f>IF(Agent07_Withdrawals!A107="","",Agent07_Withdrawals!D107)</f>
        <v/>
      </c>
      <c r="F1300" s="40" t="str">
        <f>IF(Agent07_Withdrawals!A107="","",Agent07_Withdrawals!F107)</f>
        <v/>
      </c>
      <c r="G1300" s="42" t="str">
        <f>IF(Agent07_Withdrawals!A107="","",Agent07_Withdrawals!E107)</f>
        <v/>
      </c>
      <c r="H1300" s="42" t="str">
        <f>IF(Agent07_Withdrawals!A107="","",Agent07_Withdrawals!G107)</f>
        <v/>
      </c>
      <c r="I1300" s="40" t="str">
        <f>IF(Agent07_Withdrawals!A107="","",Agent07_Withdrawals!H107)</f>
        <v/>
      </c>
      <c r="J1300" s="40" t="str">
        <f>IF(Agent07_Withdrawals!A107="","",Agent07_Withdrawals!J107)</f>
        <v/>
      </c>
      <c r="K1300" s="40" t="str">
        <f>IF(Agent07_Withdrawals!A107="","",Agent07_Withdrawals!K107)</f>
        <v/>
      </c>
      <c r="L1300" s="40" t="str">
        <f>IF(G1300="","",IF(D1300-G1300&gt;=System_Config!$B$9,"✅ OK","⚠️ BREACH"))</f>
        <v/>
      </c>
      <c r="M1300" s="40" t="str">
        <f>IFERROR(IF(Agent07_Withdrawals!A107="","",YEAR(Agent07_Withdrawals!D107)),"")</f>
        <v/>
      </c>
    </row>
    <row r="1301" spans="1:13" ht="18" customHeight="1" x14ac:dyDescent="0.25">
      <c r="A1301" s="40" t="str">
        <f>IF(Agent07_Withdrawals!A108="","",Agent07_Withdrawals!A108)</f>
        <v/>
      </c>
      <c r="B1301" s="40" t="str">
        <f ca="1">IF(Agent07_Withdrawals!A108="","","WD"&amp;TEXT(1301-3,"0000")&amp;"-"&amp;TEXT(TODAY(),"YYYYMMDD"))</f>
        <v/>
      </c>
      <c r="C1301" s="40" t="str">
        <f>IF(Agent07_Withdrawals!A108="","",Agent07_Withdrawals!B108)</f>
        <v/>
      </c>
      <c r="D1301" s="43" t="str">
        <f>IF(Agent07_Withdrawals!A108="","",Agent07_Withdrawals!C108)</f>
        <v/>
      </c>
      <c r="E1301" s="41" t="str">
        <f>IF(Agent07_Withdrawals!A108="","",Agent07_Withdrawals!D108)</f>
        <v/>
      </c>
      <c r="F1301" s="40" t="str">
        <f>IF(Agent07_Withdrawals!A108="","",Agent07_Withdrawals!F108)</f>
        <v/>
      </c>
      <c r="G1301" s="42" t="str">
        <f>IF(Agent07_Withdrawals!A108="","",Agent07_Withdrawals!E108)</f>
        <v/>
      </c>
      <c r="H1301" s="42" t="str">
        <f>IF(Agent07_Withdrawals!A108="","",Agent07_Withdrawals!G108)</f>
        <v/>
      </c>
      <c r="I1301" s="40" t="str">
        <f>IF(Agent07_Withdrawals!A108="","",Agent07_Withdrawals!H108)</f>
        <v/>
      </c>
      <c r="J1301" s="40" t="str">
        <f>IF(Agent07_Withdrawals!A108="","",Agent07_Withdrawals!J108)</f>
        <v/>
      </c>
      <c r="K1301" s="40" t="str">
        <f>IF(Agent07_Withdrawals!A108="","",Agent07_Withdrawals!K108)</f>
        <v/>
      </c>
      <c r="L1301" s="40" t="str">
        <f>IF(G1301="","",IF(D1301-G1301&gt;=System_Config!$B$9,"✅ OK","⚠️ BREACH"))</f>
        <v/>
      </c>
      <c r="M1301" s="40" t="str">
        <f>IFERROR(IF(Agent07_Withdrawals!A108="","",YEAR(Agent07_Withdrawals!D108)),"")</f>
        <v/>
      </c>
    </row>
    <row r="1302" spans="1:13" ht="18" customHeight="1" x14ac:dyDescent="0.25">
      <c r="A1302" s="40" t="str">
        <f>IF(Agent07_Withdrawals!A109="","",Agent07_Withdrawals!A109)</f>
        <v/>
      </c>
      <c r="B1302" s="40" t="str">
        <f ca="1">IF(Agent07_Withdrawals!A109="","","WD"&amp;TEXT(1302-3,"0000")&amp;"-"&amp;TEXT(TODAY(),"YYYYMMDD"))</f>
        <v/>
      </c>
      <c r="C1302" s="40" t="str">
        <f>IF(Agent07_Withdrawals!A109="","",Agent07_Withdrawals!B109)</f>
        <v/>
      </c>
      <c r="D1302" s="43" t="str">
        <f>IF(Agent07_Withdrawals!A109="","",Agent07_Withdrawals!C109)</f>
        <v/>
      </c>
      <c r="E1302" s="41" t="str">
        <f>IF(Agent07_Withdrawals!A109="","",Agent07_Withdrawals!D109)</f>
        <v/>
      </c>
      <c r="F1302" s="40" t="str">
        <f>IF(Agent07_Withdrawals!A109="","",Agent07_Withdrawals!F109)</f>
        <v/>
      </c>
      <c r="G1302" s="42" t="str">
        <f>IF(Agent07_Withdrawals!A109="","",Agent07_Withdrawals!E109)</f>
        <v/>
      </c>
      <c r="H1302" s="42" t="str">
        <f>IF(Agent07_Withdrawals!A109="","",Agent07_Withdrawals!G109)</f>
        <v/>
      </c>
      <c r="I1302" s="40" t="str">
        <f>IF(Agent07_Withdrawals!A109="","",Agent07_Withdrawals!H109)</f>
        <v/>
      </c>
      <c r="J1302" s="40" t="str">
        <f>IF(Agent07_Withdrawals!A109="","",Agent07_Withdrawals!J109)</f>
        <v/>
      </c>
      <c r="K1302" s="40" t="str">
        <f>IF(Agent07_Withdrawals!A109="","",Agent07_Withdrawals!K109)</f>
        <v/>
      </c>
      <c r="L1302" s="40" t="str">
        <f>IF(G1302="","",IF(D1302-G1302&gt;=System_Config!$B$9,"✅ OK","⚠️ BREACH"))</f>
        <v/>
      </c>
      <c r="M1302" s="40" t="str">
        <f>IFERROR(IF(Agent07_Withdrawals!A109="","",YEAR(Agent07_Withdrawals!D109)),"")</f>
        <v/>
      </c>
    </row>
    <row r="1303" spans="1:13" ht="18" customHeight="1" x14ac:dyDescent="0.25">
      <c r="A1303" s="40" t="str">
        <f>IF(Agent07_Withdrawals!A110="","",Agent07_Withdrawals!A110)</f>
        <v/>
      </c>
      <c r="B1303" s="40" t="str">
        <f ca="1">IF(Agent07_Withdrawals!A110="","","WD"&amp;TEXT(1303-3,"0000")&amp;"-"&amp;TEXT(TODAY(),"YYYYMMDD"))</f>
        <v/>
      </c>
      <c r="C1303" s="40" t="str">
        <f>IF(Agent07_Withdrawals!A110="","",Agent07_Withdrawals!B110)</f>
        <v/>
      </c>
      <c r="D1303" s="43" t="str">
        <f>IF(Agent07_Withdrawals!A110="","",Agent07_Withdrawals!C110)</f>
        <v/>
      </c>
      <c r="E1303" s="41" t="str">
        <f>IF(Agent07_Withdrawals!A110="","",Agent07_Withdrawals!D110)</f>
        <v/>
      </c>
      <c r="F1303" s="40" t="str">
        <f>IF(Agent07_Withdrawals!A110="","",Agent07_Withdrawals!F110)</f>
        <v/>
      </c>
      <c r="G1303" s="42" t="str">
        <f>IF(Agent07_Withdrawals!A110="","",Agent07_Withdrawals!E110)</f>
        <v/>
      </c>
      <c r="H1303" s="42" t="str">
        <f>IF(Agent07_Withdrawals!A110="","",Agent07_Withdrawals!G110)</f>
        <v/>
      </c>
      <c r="I1303" s="40" t="str">
        <f>IF(Agent07_Withdrawals!A110="","",Agent07_Withdrawals!H110)</f>
        <v/>
      </c>
      <c r="J1303" s="40" t="str">
        <f>IF(Agent07_Withdrawals!A110="","",Agent07_Withdrawals!J110)</f>
        <v/>
      </c>
      <c r="K1303" s="40" t="str">
        <f>IF(Agent07_Withdrawals!A110="","",Agent07_Withdrawals!K110)</f>
        <v/>
      </c>
      <c r="L1303" s="40" t="str">
        <f>IF(G1303="","",IF(D1303-G1303&gt;=System_Config!$B$9,"✅ OK","⚠️ BREACH"))</f>
        <v/>
      </c>
      <c r="M1303" s="40" t="str">
        <f>IFERROR(IF(Agent07_Withdrawals!A110="","",YEAR(Agent07_Withdrawals!D110)),"")</f>
        <v/>
      </c>
    </row>
    <row r="1304" spans="1:13" ht="18" customHeight="1" x14ac:dyDescent="0.25">
      <c r="A1304" s="40" t="str">
        <f>IF(Agent07_Withdrawals!A111="","",Agent07_Withdrawals!A111)</f>
        <v/>
      </c>
      <c r="B1304" s="40" t="str">
        <f ca="1">IF(Agent07_Withdrawals!A111="","","WD"&amp;TEXT(1304-3,"0000")&amp;"-"&amp;TEXT(TODAY(),"YYYYMMDD"))</f>
        <v/>
      </c>
      <c r="C1304" s="40" t="str">
        <f>IF(Agent07_Withdrawals!A111="","",Agent07_Withdrawals!B111)</f>
        <v/>
      </c>
      <c r="D1304" s="43" t="str">
        <f>IF(Agent07_Withdrawals!A111="","",Agent07_Withdrawals!C111)</f>
        <v/>
      </c>
      <c r="E1304" s="41" t="str">
        <f>IF(Agent07_Withdrawals!A111="","",Agent07_Withdrawals!D111)</f>
        <v/>
      </c>
      <c r="F1304" s="40" t="str">
        <f>IF(Agent07_Withdrawals!A111="","",Agent07_Withdrawals!F111)</f>
        <v/>
      </c>
      <c r="G1304" s="42" t="str">
        <f>IF(Agent07_Withdrawals!A111="","",Agent07_Withdrawals!E111)</f>
        <v/>
      </c>
      <c r="H1304" s="42" t="str">
        <f>IF(Agent07_Withdrawals!A111="","",Agent07_Withdrawals!G111)</f>
        <v/>
      </c>
      <c r="I1304" s="40" t="str">
        <f>IF(Agent07_Withdrawals!A111="","",Agent07_Withdrawals!H111)</f>
        <v/>
      </c>
      <c r="J1304" s="40" t="str">
        <f>IF(Agent07_Withdrawals!A111="","",Agent07_Withdrawals!J111)</f>
        <v/>
      </c>
      <c r="K1304" s="40" t="str">
        <f>IF(Agent07_Withdrawals!A111="","",Agent07_Withdrawals!K111)</f>
        <v/>
      </c>
      <c r="L1304" s="40" t="str">
        <f>IF(G1304="","",IF(D1304-G1304&gt;=System_Config!$B$9,"✅ OK","⚠️ BREACH"))</f>
        <v/>
      </c>
      <c r="M1304" s="40" t="str">
        <f>IFERROR(IF(Agent07_Withdrawals!A111="","",YEAR(Agent07_Withdrawals!D111)),"")</f>
        <v/>
      </c>
    </row>
    <row r="1305" spans="1:13" ht="18" customHeight="1" x14ac:dyDescent="0.25">
      <c r="A1305" s="40" t="str">
        <f>IF(Agent07_Withdrawals!A112="","",Agent07_Withdrawals!A112)</f>
        <v/>
      </c>
      <c r="B1305" s="40" t="str">
        <f ca="1">IF(Agent07_Withdrawals!A112="","","WD"&amp;TEXT(1305-3,"0000")&amp;"-"&amp;TEXT(TODAY(),"YYYYMMDD"))</f>
        <v/>
      </c>
      <c r="C1305" s="40" t="str">
        <f>IF(Agent07_Withdrawals!A112="","",Agent07_Withdrawals!B112)</f>
        <v/>
      </c>
      <c r="D1305" s="43" t="str">
        <f>IF(Agent07_Withdrawals!A112="","",Agent07_Withdrawals!C112)</f>
        <v/>
      </c>
      <c r="E1305" s="41" t="str">
        <f>IF(Agent07_Withdrawals!A112="","",Agent07_Withdrawals!D112)</f>
        <v/>
      </c>
      <c r="F1305" s="40" t="str">
        <f>IF(Agent07_Withdrawals!A112="","",Agent07_Withdrawals!F112)</f>
        <v/>
      </c>
      <c r="G1305" s="42" t="str">
        <f>IF(Agent07_Withdrawals!A112="","",Agent07_Withdrawals!E112)</f>
        <v/>
      </c>
      <c r="H1305" s="42" t="str">
        <f>IF(Agent07_Withdrawals!A112="","",Agent07_Withdrawals!G112)</f>
        <v/>
      </c>
      <c r="I1305" s="40" t="str">
        <f>IF(Agent07_Withdrawals!A112="","",Agent07_Withdrawals!H112)</f>
        <v/>
      </c>
      <c r="J1305" s="40" t="str">
        <f>IF(Agent07_Withdrawals!A112="","",Agent07_Withdrawals!J112)</f>
        <v/>
      </c>
      <c r="K1305" s="40" t="str">
        <f>IF(Agent07_Withdrawals!A112="","",Agent07_Withdrawals!K112)</f>
        <v/>
      </c>
      <c r="L1305" s="40" t="str">
        <f>IF(G1305="","",IF(D1305-G1305&gt;=System_Config!$B$9,"✅ OK","⚠️ BREACH"))</f>
        <v/>
      </c>
      <c r="M1305" s="40" t="str">
        <f>IFERROR(IF(Agent07_Withdrawals!A112="","",YEAR(Agent07_Withdrawals!D112)),"")</f>
        <v/>
      </c>
    </row>
    <row r="1306" spans="1:13" ht="18" customHeight="1" x14ac:dyDescent="0.25">
      <c r="A1306" s="40" t="str">
        <f>IF(Agent07_Withdrawals!A113="","",Agent07_Withdrawals!A113)</f>
        <v/>
      </c>
      <c r="B1306" s="40" t="str">
        <f ca="1">IF(Agent07_Withdrawals!A113="","","WD"&amp;TEXT(1306-3,"0000")&amp;"-"&amp;TEXT(TODAY(),"YYYYMMDD"))</f>
        <v/>
      </c>
      <c r="C1306" s="40" t="str">
        <f>IF(Agent07_Withdrawals!A113="","",Agent07_Withdrawals!B113)</f>
        <v/>
      </c>
      <c r="D1306" s="43" t="str">
        <f>IF(Agent07_Withdrawals!A113="","",Agent07_Withdrawals!C113)</f>
        <v/>
      </c>
      <c r="E1306" s="41" t="str">
        <f>IF(Agent07_Withdrawals!A113="","",Agent07_Withdrawals!D113)</f>
        <v/>
      </c>
      <c r="F1306" s="40" t="str">
        <f>IF(Agent07_Withdrawals!A113="","",Agent07_Withdrawals!F113)</f>
        <v/>
      </c>
      <c r="G1306" s="42" t="str">
        <f>IF(Agent07_Withdrawals!A113="","",Agent07_Withdrawals!E113)</f>
        <v/>
      </c>
      <c r="H1306" s="42" t="str">
        <f>IF(Agent07_Withdrawals!A113="","",Agent07_Withdrawals!G113)</f>
        <v/>
      </c>
      <c r="I1306" s="40" t="str">
        <f>IF(Agent07_Withdrawals!A113="","",Agent07_Withdrawals!H113)</f>
        <v/>
      </c>
      <c r="J1306" s="40" t="str">
        <f>IF(Agent07_Withdrawals!A113="","",Agent07_Withdrawals!J113)</f>
        <v/>
      </c>
      <c r="K1306" s="40" t="str">
        <f>IF(Agent07_Withdrawals!A113="","",Agent07_Withdrawals!K113)</f>
        <v/>
      </c>
      <c r="L1306" s="40" t="str">
        <f>IF(G1306="","",IF(D1306-G1306&gt;=System_Config!$B$9,"✅ OK","⚠️ BREACH"))</f>
        <v/>
      </c>
      <c r="M1306" s="40" t="str">
        <f>IFERROR(IF(Agent07_Withdrawals!A113="","",YEAR(Agent07_Withdrawals!D113)),"")</f>
        <v/>
      </c>
    </row>
    <row r="1307" spans="1:13" ht="18" customHeight="1" x14ac:dyDescent="0.25">
      <c r="A1307" s="40" t="str">
        <f>IF(Agent07_Withdrawals!A114="","",Agent07_Withdrawals!A114)</f>
        <v/>
      </c>
      <c r="B1307" s="40" t="str">
        <f ca="1">IF(Agent07_Withdrawals!A114="","","WD"&amp;TEXT(1307-3,"0000")&amp;"-"&amp;TEXT(TODAY(),"YYYYMMDD"))</f>
        <v/>
      </c>
      <c r="C1307" s="40" t="str">
        <f>IF(Agent07_Withdrawals!A114="","",Agent07_Withdrawals!B114)</f>
        <v/>
      </c>
      <c r="D1307" s="43" t="str">
        <f>IF(Agent07_Withdrawals!A114="","",Agent07_Withdrawals!C114)</f>
        <v/>
      </c>
      <c r="E1307" s="41" t="str">
        <f>IF(Agent07_Withdrawals!A114="","",Agent07_Withdrawals!D114)</f>
        <v/>
      </c>
      <c r="F1307" s="40" t="str">
        <f>IF(Agent07_Withdrawals!A114="","",Agent07_Withdrawals!F114)</f>
        <v/>
      </c>
      <c r="G1307" s="42" t="str">
        <f>IF(Agent07_Withdrawals!A114="","",Agent07_Withdrawals!E114)</f>
        <v/>
      </c>
      <c r="H1307" s="42" t="str">
        <f>IF(Agent07_Withdrawals!A114="","",Agent07_Withdrawals!G114)</f>
        <v/>
      </c>
      <c r="I1307" s="40" t="str">
        <f>IF(Agent07_Withdrawals!A114="","",Agent07_Withdrawals!H114)</f>
        <v/>
      </c>
      <c r="J1307" s="40" t="str">
        <f>IF(Agent07_Withdrawals!A114="","",Agent07_Withdrawals!J114)</f>
        <v/>
      </c>
      <c r="K1307" s="40" t="str">
        <f>IF(Agent07_Withdrawals!A114="","",Agent07_Withdrawals!K114)</f>
        <v/>
      </c>
      <c r="L1307" s="40" t="str">
        <f>IF(G1307="","",IF(D1307-G1307&gt;=System_Config!$B$9,"✅ OK","⚠️ BREACH"))</f>
        <v/>
      </c>
      <c r="M1307" s="40" t="str">
        <f>IFERROR(IF(Agent07_Withdrawals!A114="","",YEAR(Agent07_Withdrawals!D114)),"")</f>
        <v/>
      </c>
    </row>
    <row r="1308" spans="1:13" ht="18" customHeight="1" x14ac:dyDescent="0.25">
      <c r="A1308" s="40" t="str">
        <f>IF(Agent07_Withdrawals!A115="","",Agent07_Withdrawals!A115)</f>
        <v/>
      </c>
      <c r="B1308" s="40" t="str">
        <f ca="1">IF(Agent07_Withdrawals!A115="","","WD"&amp;TEXT(1308-3,"0000")&amp;"-"&amp;TEXT(TODAY(),"YYYYMMDD"))</f>
        <v/>
      </c>
      <c r="C1308" s="40" t="str">
        <f>IF(Agent07_Withdrawals!A115="","",Agent07_Withdrawals!B115)</f>
        <v/>
      </c>
      <c r="D1308" s="43" t="str">
        <f>IF(Agent07_Withdrawals!A115="","",Agent07_Withdrawals!C115)</f>
        <v/>
      </c>
      <c r="E1308" s="41" t="str">
        <f>IF(Agent07_Withdrawals!A115="","",Agent07_Withdrawals!D115)</f>
        <v/>
      </c>
      <c r="F1308" s="40" t="str">
        <f>IF(Agent07_Withdrawals!A115="","",Agent07_Withdrawals!F115)</f>
        <v/>
      </c>
      <c r="G1308" s="42" t="str">
        <f>IF(Agent07_Withdrawals!A115="","",Agent07_Withdrawals!E115)</f>
        <v/>
      </c>
      <c r="H1308" s="42" t="str">
        <f>IF(Agent07_Withdrawals!A115="","",Agent07_Withdrawals!G115)</f>
        <v/>
      </c>
      <c r="I1308" s="40" t="str">
        <f>IF(Agent07_Withdrawals!A115="","",Agent07_Withdrawals!H115)</f>
        <v/>
      </c>
      <c r="J1308" s="40" t="str">
        <f>IF(Agent07_Withdrawals!A115="","",Agent07_Withdrawals!J115)</f>
        <v/>
      </c>
      <c r="K1308" s="40" t="str">
        <f>IF(Agent07_Withdrawals!A115="","",Agent07_Withdrawals!K115)</f>
        <v/>
      </c>
      <c r="L1308" s="40" t="str">
        <f>IF(G1308="","",IF(D1308-G1308&gt;=System_Config!$B$9,"✅ OK","⚠️ BREACH"))</f>
        <v/>
      </c>
      <c r="M1308" s="40" t="str">
        <f>IFERROR(IF(Agent07_Withdrawals!A115="","",YEAR(Agent07_Withdrawals!D115)),"")</f>
        <v/>
      </c>
    </row>
    <row r="1309" spans="1:13" ht="18" customHeight="1" x14ac:dyDescent="0.25">
      <c r="A1309" s="40" t="str">
        <f>IF(Agent07_Withdrawals!A116="","",Agent07_Withdrawals!A116)</f>
        <v/>
      </c>
      <c r="B1309" s="40" t="str">
        <f ca="1">IF(Agent07_Withdrawals!A116="","","WD"&amp;TEXT(1309-3,"0000")&amp;"-"&amp;TEXT(TODAY(),"YYYYMMDD"))</f>
        <v/>
      </c>
      <c r="C1309" s="40" t="str">
        <f>IF(Agent07_Withdrawals!A116="","",Agent07_Withdrawals!B116)</f>
        <v/>
      </c>
      <c r="D1309" s="43" t="str">
        <f>IF(Agent07_Withdrawals!A116="","",Agent07_Withdrawals!C116)</f>
        <v/>
      </c>
      <c r="E1309" s="41" t="str">
        <f>IF(Agent07_Withdrawals!A116="","",Agent07_Withdrawals!D116)</f>
        <v/>
      </c>
      <c r="F1309" s="40" t="str">
        <f>IF(Agent07_Withdrawals!A116="","",Agent07_Withdrawals!F116)</f>
        <v/>
      </c>
      <c r="G1309" s="42" t="str">
        <f>IF(Agent07_Withdrawals!A116="","",Agent07_Withdrawals!E116)</f>
        <v/>
      </c>
      <c r="H1309" s="42" t="str">
        <f>IF(Agent07_Withdrawals!A116="","",Agent07_Withdrawals!G116)</f>
        <v/>
      </c>
      <c r="I1309" s="40" t="str">
        <f>IF(Agent07_Withdrawals!A116="","",Agent07_Withdrawals!H116)</f>
        <v/>
      </c>
      <c r="J1309" s="40" t="str">
        <f>IF(Agent07_Withdrawals!A116="","",Agent07_Withdrawals!J116)</f>
        <v/>
      </c>
      <c r="K1309" s="40" t="str">
        <f>IF(Agent07_Withdrawals!A116="","",Agent07_Withdrawals!K116)</f>
        <v/>
      </c>
      <c r="L1309" s="40" t="str">
        <f>IF(G1309="","",IF(D1309-G1309&gt;=System_Config!$B$9,"✅ OK","⚠️ BREACH"))</f>
        <v/>
      </c>
      <c r="M1309" s="40" t="str">
        <f>IFERROR(IF(Agent07_Withdrawals!A116="","",YEAR(Agent07_Withdrawals!D116)),"")</f>
        <v/>
      </c>
    </row>
    <row r="1310" spans="1:13" ht="18" customHeight="1" x14ac:dyDescent="0.25">
      <c r="A1310" s="40" t="str">
        <f>IF(Agent07_Withdrawals!A117="","",Agent07_Withdrawals!A117)</f>
        <v/>
      </c>
      <c r="B1310" s="40" t="str">
        <f ca="1">IF(Agent07_Withdrawals!A117="","","WD"&amp;TEXT(1310-3,"0000")&amp;"-"&amp;TEXT(TODAY(),"YYYYMMDD"))</f>
        <v/>
      </c>
      <c r="C1310" s="40" t="str">
        <f>IF(Agent07_Withdrawals!A117="","",Agent07_Withdrawals!B117)</f>
        <v/>
      </c>
      <c r="D1310" s="43" t="str">
        <f>IF(Agent07_Withdrawals!A117="","",Agent07_Withdrawals!C117)</f>
        <v/>
      </c>
      <c r="E1310" s="41" t="str">
        <f>IF(Agent07_Withdrawals!A117="","",Agent07_Withdrawals!D117)</f>
        <v/>
      </c>
      <c r="F1310" s="40" t="str">
        <f>IF(Agent07_Withdrawals!A117="","",Agent07_Withdrawals!F117)</f>
        <v/>
      </c>
      <c r="G1310" s="42" t="str">
        <f>IF(Agent07_Withdrawals!A117="","",Agent07_Withdrawals!E117)</f>
        <v/>
      </c>
      <c r="H1310" s="42" t="str">
        <f>IF(Agent07_Withdrawals!A117="","",Agent07_Withdrawals!G117)</f>
        <v/>
      </c>
      <c r="I1310" s="40" t="str">
        <f>IF(Agent07_Withdrawals!A117="","",Agent07_Withdrawals!H117)</f>
        <v/>
      </c>
      <c r="J1310" s="40" t="str">
        <f>IF(Agent07_Withdrawals!A117="","",Agent07_Withdrawals!J117)</f>
        <v/>
      </c>
      <c r="K1310" s="40" t="str">
        <f>IF(Agent07_Withdrawals!A117="","",Agent07_Withdrawals!K117)</f>
        <v/>
      </c>
      <c r="L1310" s="40" t="str">
        <f>IF(G1310="","",IF(D1310-G1310&gt;=System_Config!$B$9,"✅ OK","⚠️ BREACH"))</f>
        <v/>
      </c>
      <c r="M1310" s="40" t="str">
        <f>IFERROR(IF(Agent07_Withdrawals!A117="","",YEAR(Agent07_Withdrawals!D117)),"")</f>
        <v/>
      </c>
    </row>
    <row r="1311" spans="1:13" ht="18" customHeight="1" x14ac:dyDescent="0.25">
      <c r="A1311" s="40" t="str">
        <f>IF(Agent07_Withdrawals!A118="","",Agent07_Withdrawals!A118)</f>
        <v/>
      </c>
      <c r="B1311" s="40" t="str">
        <f ca="1">IF(Agent07_Withdrawals!A118="","","WD"&amp;TEXT(1311-3,"0000")&amp;"-"&amp;TEXT(TODAY(),"YYYYMMDD"))</f>
        <v/>
      </c>
      <c r="C1311" s="40" t="str">
        <f>IF(Agent07_Withdrawals!A118="","",Agent07_Withdrawals!B118)</f>
        <v/>
      </c>
      <c r="D1311" s="43" t="str">
        <f>IF(Agent07_Withdrawals!A118="","",Agent07_Withdrawals!C118)</f>
        <v/>
      </c>
      <c r="E1311" s="41" t="str">
        <f>IF(Agent07_Withdrawals!A118="","",Agent07_Withdrawals!D118)</f>
        <v/>
      </c>
      <c r="F1311" s="40" t="str">
        <f>IF(Agent07_Withdrawals!A118="","",Agent07_Withdrawals!F118)</f>
        <v/>
      </c>
      <c r="G1311" s="42" t="str">
        <f>IF(Agent07_Withdrawals!A118="","",Agent07_Withdrawals!E118)</f>
        <v/>
      </c>
      <c r="H1311" s="42" t="str">
        <f>IF(Agent07_Withdrawals!A118="","",Agent07_Withdrawals!G118)</f>
        <v/>
      </c>
      <c r="I1311" s="40" t="str">
        <f>IF(Agent07_Withdrawals!A118="","",Agent07_Withdrawals!H118)</f>
        <v/>
      </c>
      <c r="J1311" s="40" t="str">
        <f>IF(Agent07_Withdrawals!A118="","",Agent07_Withdrawals!J118)</f>
        <v/>
      </c>
      <c r="K1311" s="40" t="str">
        <f>IF(Agent07_Withdrawals!A118="","",Agent07_Withdrawals!K118)</f>
        <v/>
      </c>
      <c r="L1311" s="40" t="str">
        <f>IF(G1311="","",IF(D1311-G1311&gt;=System_Config!$B$9,"✅ OK","⚠️ BREACH"))</f>
        <v/>
      </c>
      <c r="M1311" s="40" t="str">
        <f>IFERROR(IF(Agent07_Withdrawals!A118="","",YEAR(Agent07_Withdrawals!D118)),"")</f>
        <v/>
      </c>
    </row>
    <row r="1312" spans="1:13" ht="18" customHeight="1" x14ac:dyDescent="0.25">
      <c r="A1312" s="40" t="str">
        <f>IF(Agent07_Withdrawals!A119="","",Agent07_Withdrawals!A119)</f>
        <v/>
      </c>
      <c r="B1312" s="40" t="str">
        <f ca="1">IF(Agent07_Withdrawals!A119="","","WD"&amp;TEXT(1312-3,"0000")&amp;"-"&amp;TEXT(TODAY(),"YYYYMMDD"))</f>
        <v/>
      </c>
      <c r="C1312" s="40" t="str">
        <f>IF(Agent07_Withdrawals!A119="","",Agent07_Withdrawals!B119)</f>
        <v/>
      </c>
      <c r="D1312" s="43" t="str">
        <f>IF(Agent07_Withdrawals!A119="","",Agent07_Withdrawals!C119)</f>
        <v/>
      </c>
      <c r="E1312" s="41" t="str">
        <f>IF(Agent07_Withdrawals!A119="","",Agent07_Withdrawals!D119)</f>
        <v/>
      </c>
      <c r="F1312" s="40" t="str">
        <f>IF(Agent07_Withdrawals!A119="","",Agent07_Withdrawals!F119)</f>
        <v/>
      </c>
      <c r="G1312" s="42" t="str">
        <f>IF(Agent07_Withdrawals!A119="","",Agent07_Withdrawals!E119)</f>
        <v/>
      </c>
      <c r="H1312" s="42" t="str">
        <f>IF(Agent07_Withdrawals!A119="","",Agent07_Withdrawals!G119)</f>
        <v/>
      </c>
      <c r="I1312" s="40" t="str">
        <f>IF(Agent07_Withdrawals!A119="","",Agent07_Withdrawals!H119)</f>
        <v/>
      </c>
      <c r="J1312" s="40" t="str">
        <f>IF(Agent07_Withdrawals!A119="","",Agent07_Withdrawals!J119)</f>
        <v/>
      </c>
      <c r="K1312" s="40" t="str">
        <f>IF(Agent07_Withdrawals!A119="","",Agent07_Withdrawals!K119)</f>
        <v/>
      </c>
      <c r="L1312" s="40" t="str">
        <f>IF(G1312="","",IF(D1312-G1312&gt;=System_Config!$B$9,"✅ OK","⚠️ BREACH"))</f>
        <v/>
      </c>
      <c r="M1312" s="40" t="str">
        <f>IFERROR(IF(Agent07_Withdrawals!A119="","",YEAR(Agent07_Withdrawals!D119)),"")</f>
        <v/>
      </c>
    </row>
    <row r="1313" spans="1:13" ht="18" customHeight="1" x14ac:dyDescent="0.25">
      <c r="A1313" s="40" t="str">
        <f>IF(Agent07_Withdrawals!A120="","",Agent07_Withdrawals!A120)</f>
        <v/>
      </c>
      <c r="B1313" s="40" t="str">
        <f ca="1">IF(Agent07_Withdrawals!A120="","","WD"&amp;TEXT(1313-3,"0000")&amp;"-"&amp;TEXT(TODAY(),"YYYYMMDD"))</f>
        <v/>
      </c>
      <c r="C1313" s="40" t="str">
        <f>IF(Agent07_Withdrawals!A120="","",Agent07_Withdrawals!B120)</f>
        <v/>
      </c>
      <c r="D1313" s="43" t="str">
        <f>IF(Agent07_Withdrawals!A120="","",Agent07_Withdrawals!C120)</f>
        <v/>
      </c>
      <c r="E1313" s="41" t="str">
        <f>IF(Agent07_Withdrawals!A120="","",Agent07_Withdrawals!D120)</f>
        <v/>
      </c>
      <c r="F1313" s="40" t="str">
        <f>IF(Agent07_Withdrawals!A120="","",Agent07_Withdrawals!F120)</f>
        <v/>
      </c>
      <c r="G1313" s="42" t="str">
        <f>IF(Agent07_Withdrawals!A120="","",Agent07_Withdrawals!E120)</f>
        <v/>
      </c>
      <c r="H1313" s="42" t="str">
        <f>IF(Agent07_Withdrawals!A120="","",Agent07_Withdrawals!G120)</f>
        <v/>
      </c>
      <c r="I1313" s="40" t="str">
        <f>IF(Agent07_Withdrawals!A120="","",Agent07_Withdrawals!H120)</f>
        <v/>
      </c>
      <c r="J1313" s="40" t="str">
        <f>IF(Agent07_Withdrawals!A120="","",Agent07_Withdrawals!J120)</f>
        <v/>
      </c>
      <c r="K1313" s="40" t="str">
        <f>IF(Agent07_Withdrawals!A120="","",Agent07_Withdrawals!K120)</f>
        <v/>
      </c>
      <c r="L1313" s="40" t="str">
        <f>IF(G1313="","",IF(D1313-G1313&gt;=System_Config!$B$9,"✅ OK","⚠️ BREACH"))</f>
        <v/>
      </c>
      <c r="M1313" s="40" t="str">
        <f>IFERROR(IF(Agent07_Withdrawals!A120="","",YEAR(Agent07_Withdrawals!D120)),"")</f>
        <v/>
      </c>
    </row>
    <row r="1314" spans="1:13" ht="18" customHeight="1" x14ac:dyDescent="0.25">
      <c r="A1314" s="40" t="str">
        <f>IF(Agent07_Withdrawals!A121="","",Agent07_Withdrawals!A121)</f>
        <v/>
      </c>
      <c r="B1314" s="40" t="str">
        <f ca="1">IF(Agent07_Withdrawals!A121="","","WD"&amp;TEXT(1314-3,"0000")&amp;"-"&amp;TEXT(TODAY(),"YYYYMMDD"))</f>
        <v/>
      </c>
      <c r="C1314" s="40" t="str">
        <f>IF(Agent07_Withdrawals!A121="","",Agent07_Withdrawals!B121)</f>
        <v/>
      </c>
      <c r="D1314" s="43" t="str">
        <f>IF(Agent07_Withdrawals!A121="","",Agent07_Withdrawals!C121)</f>
        <v/>
      </c>
      <c r="E1314" s="41" t="str">
        <f>IF(Agent07_Withdrawals!A121="","",Agent07_Withdrawals!D121)</f>
        <v/>
      </c>
      <c r="F1314" s="40" t="str">
        <f>IF(Agent07_Withdrawals!A121="","",Agent07_Withdrawals!F121)</f>
        <v/>
      </c>
      <c r="G1314" s="42" t="str">
        <f>IF(Agent07_Withdrawals!A121="","",Agent07_Withdrawals!E121)</f>
        <v/>
      </c>
      <c r="H1314" s="42" t="str">
        <f>IF(Agent07_Withdrawals!A121="","",Agent07_Withdrawals!G121)</f>
        <v/>
      </c>
      <c r="I1314" s="40" t="str">
        <f>IF(Agent07_Withdrawals!A121="","",Agent07_Withdrawals!H121)</f>
        <v/>
      </c>
      <c r="J1314" s="40" t="str">
        <f>IF(Agent07_Withdrawals!A121="","",Agent07_Withdrawals!J121)</f>
        <v/>
      </c>
      <c r="K1314" s="40" t="str">
        <f>IF(Agent07_Withdrawals!A121="","",Agent07_Withdrawals!K121)</f>
        <v/>
      </c>
      <c r="L1314" s="40" t="str">
        <f>IF(G1314="","",IF(D1314-G1314&gt;=System_Config!$B$9,"✅ OK","⚠️ BREACH"))</f>
        <v/>
      </c>
      <c r="M1314" s="40" t="str">
        <f>IFERROR(IF(Agent07_Withdrawals!A121="","",YEAR(Agent07_Withdrawals!D121)),"")</f>
        <v/>
      </c>
    </row>
    <row r="1315" spans="1:13" ht="18" customHeight="1" x14ac:dyDescent="0.25">
      <c r="A1315" s="40" t="str">
        <f>IF(Agent07_Withdrawals!A122="","",Agent07_Withdrawals!A122)</f>
        <v/>
      </c>
      <c r="B1315" s="40" t="str">
        <f ca="1">IF(Agent07_Withdrawals!A122="","","WD"&amp;TEXT(1315-3,"0000")&amp;"-"&amp;TEXT(TODAY(),"YYYYMMDD"))</f>
        <v/>
      </c>
      <c r="C1315" s="40" t="str">
        <f>IF(Agent07_Withdrawals!A122="","",Agent07_Withdrawals!B122)</f>
        <v/>
      </c>
      <c r="D1315" s="43" t="str">
        <f>IF(Agent07_Withdrawals!A122="","",Agent07_Withdrawals!C122)</f>
        <v/>
      </c>
      <c r="E1315" s="41" t="str">
        <f>IF(Agent07_Withdrawals!A122="","",Agent07_Withdrawals!D122)</f>
        <v/>
      </c>
      <c r="F1315" s="40" t="str">
        <f>IF(Agent07_Withdrawals!A122="","",Agent07_Withdrawals!F122)</f>
        <v/>
      </c>
      <c r="G1315" s="42" t="str">
        <f>IF(Agent07_Withdrawals!A122="","",Agent07_Withdrawals!E122)</f>
        <v/>
      </c>
      <c r="H1315" s="42" t="str">
        <f>IF(Agent07_Withdrawals!A122="","",Agent07_Withdrawals!G122)</f>
        <v/>
      </c>
      <c r="I1315" s="40" t="str">
        <f>IF(Agent07_Withdrawals!A122="","",Agent07_Withdrawals!H122)</f>
        <v/>
      </c>
      <c r="J1315" s="40" t="str">
        <f>IF(Agent07_Withdrawals!A122="","",Agent07_Withdrawals!J122)</f>
        <v/>
      </c>
      <c r="K1315" s="40" t="str">
        <f>IF(Agent07_Withdrawals!A122="","",Agent07_Withdrawals!K122)</f>
        <v/>
      </c>
      <c r="L1315" s="40" t="str">
        <f>IF(G1315="","",IF(D1315-G1315&gt;=System_Config!$B$9,"✅ OK","⚠️ BREACH"))</f>
        <v/>
      </c>
      <c r="M1315" s="40" t="str">
        <f>IFERROR(IF(Agent07_Withdrawals!A122="","",YEAR(Agent07_Withdrawals!D122)),"")</f>
        <v/>
      </c>
    </row>
    <row r="1316" spans="1:13" ht="18" customHeight="1" x14ac:dyDescent="0.25">
      <c r="A1316" s="40" t="str">
        <f>IF(Agent07_Withdrawals!A123="","",Agent07_Withdrawals!A123)</f>
        <v/>
      </c>
      <c r="B1316" s="40" t="str">
        <f ca="1">IF(Agent07_Withdrawals!A123="","","WD"&amp;TEXT(1316-3,"0000")&amp;"-"&amp;TEXT(TODAY(),"YYYYMMDD"))</f>
        <v/>
      </c>
      <c r="C1316" s="40" t="str">
        <f>IF(Agent07_Withdrawals!A123="","",Agent07_Withdrawals!B123)</f>
        <v/>
      </c>
      <c r="D1316" s="43" t="str">
        <f>IF(Agent07_Withdrawals!A123="","",Agent07_Withdrawals!C123)</f>
        <v/>
      </c>
      <c r="E1316" s="41" t="str">
        <f>IF(Agent07_Withdrawals!A123="","",Agent07_Withdrawals!D123)</f>
        <v/>
      </c>
      <c r="F1316" s="40" t="str">
        <f>IF(Agent07_Withdrawals!A123="","",Agent07_Withdrawals!F123)</f>
        <v/>
      </c>
      <c r="G1316" s="42" t="str">
        <f>IF(Agent07_Withdrawals!A123="","",Agent07_Withdrawals!E123)</f>
        <v/>
      </c>
      <c r="H1316" s="42" t="str">
        <f>IF(Agent07_Withdrawals!A123="","",Agent07_Withdrawals!G123)</f>
        <v/>
      </c>
      <c r="I1316" s="40" t="str">
        <f>IF(Agent07_Withdrawals!A123="","",Agent07_Withdrawals!H123)</f>
        <v/>
      </c>
      <c r="J1316" s="40" t="str">
        <f>IF(Agent07_Withdrawals!A123="","",Agent07_Withdrawals!J123)</f>
        <v/>
      </c>
      <c r="K1316" s="40" t="str">
        <f>IF(Agent07_Withdrawals!A123="","",Agent07_Withdrawals!K123)</f>
        <v/>
      </c>
      <c r="L1316" s="40" t="str">
        <f>IF(G1316="","",IF(D1316-G1316&gt;=System_Config!$B$9,"✅ OK","⚠️ BREACH"))</f>
        <v/>
      </c>
      <c r="M1316" s="40" t="str">
        <f>IFERROR(IF(Agent07_Withdrawals!A123="","",YEAR(Agent07_Withdrawals!D123)),"")</f>
        <v/>
      </c>
    </row>
    <row r="1317" spans="1:13" ht="18" customHeight="1" x14ac:dyDescent="0.25">
      <c r="A1317" s="40" t="str">
        <f>IF(Agent07_Withdrawals!A124="","",Agent07_Withdrawals!A124)</f>
        <v/>
      </c>
      <c r="B1317" s="40" t="str">
        <f ca="1">IF(Agent07_Withdrawals!A124="","","WD"&amp;TEXT(1317-3,"0000")&amp;"-"&amp;TEXT(TODAY(),"YYYYMMDD"))</f>
        <v/>
      </c>
      <c r="C1317" s="40" t="str">
        <f>IF(Agent07_Withdrawals!A124="","",Agent07_Withdrawals!B124)</f>
        <v/>
      </c>
      <c r="D1317" s="43" t="str">
        <f>IF(Agent07_Withdrawals!A124="","",Agent07_Withdrawals!C124)</f>
        <v/>
      </c>
      <c r="E1317" s="41" t="str">
        <f>IF(Agent07_Withdrawals!A124="","",Agent07_Withdrawals!D124)</f>
        <v/>
      </c>
      <c r="F1317" s="40" t="str">
        <f>IF(Agent07_Withdrawals!A124="","",Agent07_Withdrawals!F124)</f>
        <v/>
      </c>
      <c r="G1317" s="42" t="str">
        <f>IF(Agent07_Withdrawals!A124="","",Agent07_Withdrawals!E124)</f>
        <v/>
      </c>
      <c r="H1317" s="42" t="str">
        <f>IF(Agent07_Withdrawals!A124="","",Agent07_Withdrawals!G124)</f>
        <v/>
      </c>
      <c r="I1317" s="40" t="str">
        <f>IF(Agent07_Withdrawals!A124="","",Agent07_Withdrawals!H124)</f>
        <v/>
      </c>
      <c r="J1317" s="40" t="str">
        <f>IF(Agent07_Withdrawals!A124="","",Agent07_Withdrawals!J124)</f>
        <v/>
      </c>
      <c r="K1317" s="40" t="str">
        <f>IF(Agent07_Withdrawals!A124="","",Agent07_Withdrawals!K124)</f>
        <v/>
      </c>
      <c r="L1317" s="40" t="str">
        <f>IF(G1317="","",IF(D1317-G1317&gt;=System_Config!$B$9,"✅ OK","⚠️ BREACH"))</f>
        <v/>
      </c>
      <c r="M1317" s="40" t="str">
        <f>IFERROR(IF(Agent07_Withdrawals!A124="","",YEAR(Agent07_Withdrawals!D124)),"")</f>
        <v/>
      </c>
    </row>
    <row r="1318" spans="1:13" ht="18" customHeight="1" x14ac:dyDescent="0.25">
      <c r="A1318" s="40" t="str">
        <f>IF(Agent07_Withdrawals!A125="","",Agent07_Withdrawals!A125)</f>
        <v/>
      </c>
      <c r="B1318" s="40" t="str">
        <f ca="1">IF(Agent07_Withdrawals!A125="","","WD"&amp;TEXT(1318-3,"0000")&amp;"-"&amp;TEXT(TODAY(),"YYYYMMDD"))</f>
        <v/>
      </c>
      <c r="C1318" s="40" t="str">
        <f>IF(Agent07_Withdrawals!A125="","",Agent07_Withdrawals!B125)</f>
        <v/>
      </c>
      <c r="D1318" s="43" t="str">
        <f>IF(Agent07_Withdrawals!A125="","",Agent07_Withdrawals!C125)</f>
        <v/>
      </c>
      <c r="E1318" s="41" t="str">
        <f>IF(Agent07_Withdrawals!A125="","",Agent07_Withdrawals!D125)</f>
        <v/>
      </c>
      <c r="F1318" s="40" t="str">
        <f>IF(Agent07_Withdrawals!A125="","",Agent07_Withdrawals!F125)</f>
        <v/>
      </c>
      <c r="G1318" s="42" t="str">
        <f>IF(Agent07_Withdrawals!A125="","",Agent07_Withdrawals!E125)</f>
        <v/>
      </c>
      <c r="H1318" s="42" t="str">
        <f>IF(Agent07_Withdrawals!A125="","",Agent07_Withdrawals!G125)</f>
        <v/>
      </c>
      <c r="I1318" s="40" t="str">
        <f>IF(Agent07_Withdrawals!A125="","",Agent07_Withdrawals!H125)</f>
        <v/>
      </c>
      <c r="J1318" s="40" t="str">
        <f>IF(Agent07_Withdrawals!A125="","",Agent07_Withdrawals!J125)</f>
        <v/>
      </c>
      <c r="K1318" s="40" t="str">
        <f>IF(Agent07_Withdrawals!A125="","",Agent07_Withdrawals!K125)</f>
        <v/>
      </c>
      <c r="L1318" s="40" t="str">
        <f>IF(G1318="","",IF(D1318-G1318&gt;=System_Config!$B$9,"✅ OK","⚠️ BREACH"))</f>
        <v/>
      </c>
      <c r="M1318" s="40" t="str">
        <f>IFERROR(IF(Agent07_Withdrawals!A125="","",YEAR(Agent07_Withdrawals!D125)),"")</f>
        <v/>
      </c>
    </row>
    <row r="1319" spans="1:13" ht="18" customHeight="1" x14ac:dyDescent="0.25">
      <c r="A1319" s="40" t="str">
        <f>IF(Agent07_Withdrawals!A126="","",Agent07_Withdrawals!A126)</f>
        <v/>
      </c>
      <c r="B1319" s="40" t="str">
        <f ca="1">IF(Agent07_Withdrawals!A126="","","WD"&amp;TEXT(1319-3,"0000")&amp;"-"&amp;TEXT(TODAY(),"YYYYMMDD"))</f>
        <v/>
      </c>
      <c r="C1319" s="40" t="str">
        <f>IF(Agent07_Withdrawals!A126="","",Agent07_Withdrawals!B126)</f>
        <v/>
      </c>
      <c r="D1319" s="43" t="str">
        <f>IF(Agent07_Withdrawals!A126="","",Agent07_Withdrawals!C126)</f>
        <v/>
      </c>
      <c r="E1319" s="41" t="str">
        <f>IF(Agent07_Withdrawals!A126="","",Agent07_Withdrawals!D126)</f>
        <v/>
      </c>
      <c r="F1319" s="40" t="str">
        <f>IF(Agent07_Withdrawals!A126="","",Agent07_Withdrawals!F126)</f>
        <v/>
      </c>
      <c r="G1319" s="42" t="str">
        <f>IF(Agent07_Withdrawals!A126="","",Agent07_Withdrawals!E126)</f>
        <v/>
      </c>
      <c r="H1319" s="42" t="str">
        <f>IF(Agent07_Withdrawals!A126="","",Agent07_Withdrawals!G126)</f>
        <v/>
      </c>
      <c r="I1319" s="40" t="str">
        <f>IF(Agent07_Withdrawals!A126="","",Agent07_Withdrawals!H126)</f>
        <v/>
      </c>
      <c r="J1319" s="40" t="str">
        <f>IF(Agent07_Withdrawals!A126="","",Agent07_Withdrawals!J126)</f>
        <v/>
      </c>
      <c r="K1319" s="40" t="str">
        <f>IF(Agent07_Withdrawals!A126="","",Agent07_Withdrawals!K126)</f>
        <v/>
      </c>
      <c r="L1319" s="40" t="str">
        <f>IF(G1319="","",IF(D1319-G1319&gt;=System_Config!$B$9,"✅ OK","⚠️ BREACH"))</f>
        <v/>
      </c>
      <c r="M1319" s="40" t="str">
        <f>IFERROR(IF(Agent07_Withdrawals!A126="","",YEAR(Agent07_Withdrawals!D126)),"")</f>
        <v/>
      </c>
    </row>
    <row r="1320" spans="1:13" ht="18" customHeight="1" x14ac:dyDescent="0.25">
      <c r="A1320" s="40" t="str">
        <f>IF(Agent07_Withdrawals!A127="","",Agent07_Withdrawals!A127)</f>
        <v/>
      </c>
      <c r="B1320" s="40" t="str">
        <f ca="1">IF(Agent07_Withdrawals!A127="","","WD"&amp;TEXT(1320-3,"0000")&amp;"-"&amp;TEXT(TODAY(),"YYYYMMDD"))</f>
        <v/>
      </c>
      <c r="C1320" s="40" t="str">
        <f>IF(Agent07_Withdrawals!A127="","",Agent07_Withdrawals!B127)</f>
        <v/>
      </c>
      <c r="D1320" s="43" t="str">
        <f>IF(Agent07_Withdrawals!A127="","",Agent07_Withdrawals!C127)</f>
        <v/>
      </c>
      <c r="E1320" s="41" t="str">
        <f>IF(Agent07_Withdrawals!A127="","",Agent07_Withdrawals!D127)</f>
        <v/>
      </c>
      <c r="F1320" s="40" t="str">
        <f>IF(Agent07_Withdrawals!A127="","",Agent07_Withdrawals!F127)</f>
        <v/>
      </c>
      <c r="G1320" s="42" t="str">
        <f>IF(Agent07_Withdrawals!A127="","",Agent07_Withdrawals!E127)</f>
        <v/>
      </c>
      <c r="H1320" s="42" t="str">
        <f>IF(Agent07_Withdrawals!A127="","",Agent07_Withdrawals!G127)</f>
        <v/>
      </c>
      <c r="I1320" s="40" t="str">
        <f>IF(Agent07_Withdrawals!A127="","",Agent07_Withdrawals!H127)</f>
        <v/>
      </c>
      <c r="J1320" s="40" t="str">
        <f>IF(Agent07_Withdrawals!A127="","",Agent07_Withdrawals!J127)</f>
        <v/>
      </c>
      <c r="K1320" s="40" t="str">
        <f>IF(Agent07_Withdrawals!A127="","",Agent07_Withdrawals!K127)</f>
        <v/>
      </c>
      <c r="L1320" s="40" t="str">
        <f>IF(G1320="","",IF(D1320-G1320&gt;=System_Config!$B$9,"✅ OK","⚠️ BREACH"))</f>
        <v/>
      </c>
      <c r="M1320" s="40" t="str">
        <f>IFERROR(IF(Agent07_Withdrawals!A127="","",YEAR(Agent07_Withdrawals!D127)),"")</f>
        <v/>
      </c>
    </row>
    <row r="1321" spans="1:13" ht="18" customHeight="1" x14ac:dyDescent="0.25">
      <c r="A1321" s="40" t="str">
        <f>IF(Agent07_Withdrawals!A128="","",Agent07_Withdrawals!A128)</f>
        <v/>
      </c>
      <c r="B1321" s="40" t="str">
        <f ca="1">IF(Agent07_Withdrawals!A128="","","WD"&amp;TEXT(1321-3,"0000")&amp;"-"&amp;TEXT(TODAY(),"YYYYMMDD"))</f>
        <v/>
      </c>
      <c r="C1321" s="40" t="str">
        <f>IF(Agent07_Withdrawals!A128="","",Agent07_Withdrawals!B128)</f>
        <v/>
      </c>
      <c r="D1321" s="43" t="str">
        <f>IF(Agent07_Withdrawals!A128="","",Agent07_Withdrawals!C128)</f>
        <v/>
      </c>
      <c r="E1321" s="41" t="str">
        <f>IF(Agent07_Withdrawals!A128="","",Agent07_Withdrawals!D128)</f>
        <v/>
      </c>
      <c r="F1321" s="40" t="str">
        <f>IF(Agent07_Withdrawals!A128="","",Agent07_Withdrawals!F128)</f>
        <v/>
      </c>
      <c r="G1321" s="42" t="str">
        <f>IF(Agent07_Withdrawals!A128="","",Agent07_Withdrawals!E128)</f>
        <v/>
      </c>
      <c r="H1321" s="42" t="str">
        <f>IF(Agent07_Withdrawals!A128="","",Agent07_Withdrawals!G128)</f>
        <v/>
      </c>
      <c r="I1321" s="40" t="str">
        <f>IF(Agent07_Withdrawals!A128="","",Agent07_Withdrawals!H128)</f>
        <v/>
      </c>
      <c r="J1321" s="40" t="str">
        <f>IF(Agent07_Withdrawals!A128="","",Agent07_Withdrawals!J128)</f>
        <v/>
      </c>
      <c r="K1321" s="40" t="str">
        <f>IF(Agent07_Withdrawals!A128="","",Agent07_Withdrawals!K128)</f>
        <v/>
      </c>
      <c r="L1321" s="40" t="str">
        <f>IF(G1321="","",IF(D1321-G1321&gt;=System_Config!$B$9,"✅ OK","⚠️ BREACH"))</f>
        <v/>
      </c>
      <c r="M1321" s="40" t="str">
        <f>IFERROR(IF(Agent07_Withdrawals!A128="","",YEAR(Agent07_Withdrawals!D128)),"")</f>
        <v/>
      </c>
    </row>
    <row r="1322" spans="1:13" ht="18" customHeight="1" x14ac:dyDescent="0.25">
      <c r="A1322" s="40" t="str">
        <f>IF(Agent07_Withdrawals!A129="","",Agent07_Withdrawals!A129)</f>
        <v/>
      </c>
      <c r="B1322" s="40" t="str">
        <f ca="1">IF(Agent07_Withdrawals!A129="","","WD"&amp;TEXT(1322-3,"0000")&amp;"-"&amp;TEXT(TODAY(),"YYYYMMDD"))</f>
        <v/>
      </c>
      <c r="C1322" s="40" t="str">
        <f>IF(Agent07_Withdrawals!A129="","",Agent07_Withdrawals!B129)</f>
        <v/>
      </c>
      <c r="D1322" s="43" t="str">
        <f>IF(Agent07_Withdrawals!A129="","",Agent07_Withdrawals!C129)</f>
        <v/>
      </c>
      <c r="E1322" s="41" t="str">
        <f>IF(Agent07_Withdrawals!A129="","",Agent07_Withdrawals!D129)</f>
        <v/>
      </c>
      <c r="F1322" s="40" t="str">
        <f>IF(Agent07_Withdrawals!A129="","",Agent07_Withdrawals!F129)</f>
        <v/>
      </c>
      <c r="G1322" s="42" t="str">
        <f>IF(Agent07_Withdrawals!A129="","",Agent07_Withdrawals!E129)</f>
        <v/>
      </c>
      <c r="H1322" s="42" t="str">
        <f>IF(Agent07_Withdrawals!A129="","",Agent07_Withdrawals!G129)</f>
        <v/>
      </c>
      <c r="I1322" s="40" t="str">
        <f>IF(Agent07_Withdrawals!A129="","",Agent07_Withdrawals!H129)</f>
        <v/>
      </c>
      <c r="J1322" s="40" t="str">
        <f>IF(Agent07_Withdrawals!A129="","",Agent07_Withdrawals!J129)</f>
        <v/>
      </c>
      <c r="K1322" s="40" t="str">
        <f>IF(Agent07_Withdrawals!A129="","",Agent07_Withdrawals!K129)</f>
        <v/>
      </c>
      <c r="L1322" s="40" t="str">
        <f>IF(G1322="","",IF(D1322-G1322&gt;=System_Config!$B$9,"✅ OK","⚠️ BREACH"))</f>
        <v/>
      </c>
      <c r="M1322" s="40" t="str">
        <f>IFERROR(IF(Agent07_Withdrawals!A129="","",YEAR(Agent07_Withdrawals!D129)),"")</f>
        <v/>
      </c>
    </row>
    <row r="1323" spans="1:13" ht="18" customHeight="1" x14ac:dyDescent="0.25">
      <c r="A1323" s="40" t="str">
        <f>IF(Agent07_Withdrawals!A130="","",Agent07_Withdrawals!A130)</f>
        <v/>
      </c>
      <c r="B1323" s="40" t="str">
        <f ca="1">IF(Agent07_Withdrawals!A130="","","WD"&amp;TEXT(1323-3,"0000")&amp;"-"&amp;TEXT(TODAY(),"YYYYMMDD"))</f>
        <v/>
      </c>
      <c r="C1323" s="40" t="str">
        <f>IF(Agent07_Withdrawals!A130="","",Agent07_Withdrawals!B130)</f>
        <v/>
      </c>
      <c r="D1323" s="43" t="str">
        <f>IF(Agent07_Withdrawals!A130="","",Agent07_Withdrawals!C130)</f>
        <v/>
      </c>
      <c r="E1323" s="41" t="str">
        <f>IF(Agent07_Withdrawals!A130="","",Agent07_Withdrawals!D130)</f>
        <v/>
      </c>
      <c r="F1323" s="40" t="str">
        <f>IF(Agent07_Withdrawals!A130="","",Agent07_Withdrawals!F130)</f>
        <v/>
      </c>
      <c r="G1323" s="42" t="str">
        <f>IF(Agent07_Withdrawals!A130="","",Agent07_Withdrawals!E130)</f>
        <v/>
      </c>
      <c r="H1323" s="42" t="str">
        <f>IF(Agent07_Withdrawals!A130="","",Agent07_Withdrawals!G130)</f>
        <v/>
      </c>
      <c r="I1323" s="40" t="str">
        <f>IF(Agent07_Withdrawals!A130="","",Agent07_Withdrawals!H130)</f>
        <v/>
      </c>
      <c r="J1323" s="40" t="str">
        <f>IF(Agent07_Withdrawals!A130="","",Agent07_Withdrawals!J130)</f>
        <v/>
      </c>
      <c r="K1323" s="40" t="str">
        <f>IF(Agent07_Withdrawals!A130="","",Agent07_Withdrawals!K130)</f>
        <v/>
      </c>
      <c r="L1323" s="40" t="str">
        <f>IF(G1323="","",IF(D1323-G1323&gt;=System_Config!$B$9,"✅ OK","⚠️ BREACH"))</f>
        <v/>
      </c>
      <c r="M1323" s="40" t="str">
        <f>IFERROR(IF(Agent07_Withdrawals!A130="","",YEAR(Agent07_Withdrawals!D130)),"")</f>
        <v/>
      </c>
    </row>
    <row r="1324" spans="1:13" ht="18" customHeight="1" x14ac:dyDescent="0.25">
      <c r="A1324" s="40" t="str">
        <f>IF(Agent07_Withdrawals!A131="","",Agent07_Withdrawals!A131)</f>
        <v/>
      </c>
      <c r="B1324" s="40" t="str">
        <f ca="1">IF(Agent07_Withdrawals!A131="","","WD"&amp;TEXT(1324-3,"0000")&amp;"-"&amp;TEXT(TODAY(),"YYYYMMDD"))</f>
        <v/>
      </c>
      <c r="C1324" s="40" t="str">
        <f>IF(Agent07_Withdrawals!A131="","",Agent07_Withdrawals!B131)</f>
        <v/>
      </c>
      <c r="D1324" s="43" t="str">
        <f>IF(Agent07_Withdrawals!A131="","",Agent07_Withdrawals!C131)</f>
        <v/>
      </c>
      <c r="E1324" s="41" t="str">
        <f>IF(Agent07_Withdrawals!A131="","",Agent07_Withdrawals!D131)</f>
        <v/>
      </c>
      <c r="F1324" s="40" t="str">
        <f>IF(Agent07_Withdrawals!A131="","",Agent07_Withdrawals!F131)</f>
        <v/>
      </c>
      <c r="G1324" s="42" t="str">
        <f>IF(Agent07_Withdrawals!A131="","",Agent07_Withdrawals!E131)</f>
        <v/>
      </c>
      <c r="H1324" s="42" t="str">
        <f>IF(Agent07_Withdrawals!A131="","",Agent07_Withdrawals!G131)</f>
        <v/>
      </c>
      <c r="I1324" s="40" t="str">
        <f>IF(Agent07_Withdrawals!A131="","",Agent07_Withdrawals!H131)</f>
        <v/>
      </c>
      <c r="J1324" s="40" t="str">
        <f>IF(Agent07_Withdrawals!A131="","",Agent07_Withdrawals!J131)</f>
        <v/>
      </c>
      <c r="K1324" s="40" t="str">
        <f>IF(Agent07_Withdrawals!A131="","",Agent07_Withdrawals!K131)</f>
        <v/>
      </c>
      <c r="L1324" s="40" t="str">
        <f>IF(G1324="","",IF(D1324-G1324&gt;=System_Config!$B$9,"✅ OK","⚠️ BREACH"))</f>
        <v/>
      </c>
      <c r="M1324" s="40" t="str">
        <f>IFERROR(IF(Agent07_Withdrawals!A131="","",YEAR(Agent07_Withdrawals!D131)),"")</f>
        <v/>
      </c>
    </row>
    <row r="1325" spans="1:13" ht="18" customHeight="1" x14ac:dyDescent="0.25">
      <c r="A1325" s="40" t="str">
        <f>IF(Agent07_Withdrawals!A132="","",Agent07_Withdrawals!A132)</f>
        <v/>
      </c>
      <c r="B1325" s="40" t="str">
        <f ca="1">IF(Agent07_Withdrawals!A132="","","WD"&amp;TEXT(1325-3,"0000")&amp;"-"&amp;TEXT(TODAY(),"YYYYMMDD"))</f>
        <v/>
      </c>
      <c r="C1325" s="40" t="str">
        <f>IF(Agent07_Withdrawals!A132="","",Agent07_Withdrawals!B132)</f>
        <v/>
      </c>
      <c r="D1325" s="43" t="str">
        <f>IF(Agent07_Withdrawals!A132="","",Agent07_Withdrawals!C132)</f>
        <v/>
      </c>
      <c r="E1325" s="41" t="str">
        <f>IF(Agent07_Withdrawals!A132="","",Agent07_Withdrawals!D132)</f>
        <v/>
      </c>
      <c r="F1325" s="40" t="str">
        <f>IF(Agent07_Withdrawals!A132="","",Agent07_Withdrawals!F132)</f>
        <v/>
      </c>
      <c r="G1325" s="42" t="str">
        <f>IF(Agent07_Withdrawals!A132="","",Agent07_Withdrawals!E132)</f>
        <v/>
      </c>
      <c r="H1325" s="42" t="str">
        <f>IF(Agent07_Withdrawals!A132="","",Agent07_Withdrawals!G132)</f>
        <v/>
      </c>
      <c r="I1325" s="40" t="str">
        <f>IF(Agent07_Withdrawals!A132="","",Agent07_Withdrawals!H132)</f>
        <v/>
      </c>
      <c r="J1325" s="40" t="str">
        <f>IF(Agent07_Withdrawals!A132="","",Agent07_Withdrawals!J132)</f>
        <v/>
      </c>
      <c r="K1325" s="40" t="str">
        <f>IF(Agent07_Withdrawals!A132="","",Agent07_Withdrawals!K132)</f>
        <v/>
      </c>
      <c r="L1325" s="40" t="str">
        <f>IF(G1325="","",IF(D1325-G1325&gt;=System_Config!$B$9,"✅ OK","⚠️ BREACH"))</f>
        <v/>
      </c>
      <c r="M1325" s="40" t="str">
        <f>IFERROR(IF(Agent07_Withdrawals!A132="","",YEAR(Agent07_Withdrawals!D132)),"")</f>
        <v/>
      </c>
    </row>
    <row r="1326" spans="1:13" ht="18" customHeight="1" x14ac:dyDescent="0.25">
      <c r="A1326" s="40" t="str">
        <f>IF(Agent07_Withdrawals!A133="","",Agent07_Withdrawals!A133)</f>
        <v/>
      </c>
      <c r="B1326" s="40" t="str">
        <f ca="1">IF(Agent07_Withdrawals!A133="","","WD"&amp;TEXT(1326-3,"0000")&amp;"-"&amp;TEXT(TODAY(),"YYYYMMDD"))</f>
        <v/>
      </c>
      <c r="C1326" s="40" t="str">
        <f>IF(Agent07_Withdrawals!A133="","",Agent07_Withdrawals!B133)</f>
        <v/>
      </c>
      <c r="D1326" s="43" t="str">
        <f>IF(Agent07_Withdrawals!A133="","",Agent07_Withdrawals!C133)</f>
        <v/>
      </c>
      <c r="E1326" s="41" t="str">
        <f>IF(Agent07_Withdrawals!A133="","",Agent07_Withdrawals!D133)</f>
        <v/>
      </c>
      <c r="F1326" s="40" t="str">
        <f>IF(Agent07_Withdrawals!A133="","",Agent07_Withdrawals!F133)</f>
        <v/>
      </c>
      <c r="G1326" s="42" t="str">
        <f>IF(Agent07_Withdrawals!A133="","",Agent07_Withdrawals!E133)</f>
        <v/>
      </c>
      <c r="H1326" s="42" t="str">
        <f>IF(Agent07_Withdrawals!A133="","",Agent07_Withdrawals!G133)</f>
        <v/>
      </c>
      <c r="I1326" s="40" t="str">
        <f>IF(Agent07_Withdrawals!A133="","",Agent07_Withdrawals!H133)</f>
        <v/>
      </c>
      <c r="J1326" s="40" t="str">
        <f>IF(Agent07_Withdrawals!A133="","",Agent07_Withdrawals!J133)</f>
        <v/>
      </c>
      <c r="K1326" s="40" t="str">
        <f>IF(Agent07_Withdrawals!A133="","",Agent07_Withdrawals!K133)</f>
        <v/>
      </c>
      <c r="L1326" s="40" t="str">
        <f>IF(G1326="","",IF(D1326-G1326&gt;=System_Config!$B$9,"✅ OK","⚠️ BREACH"))</f>
        <v/>
      </c>
      <c r="M1326" s="40" t="str">
        <f>IFERROR(IF(Agent07_Withdrawals!A133="","",YEAR(Agent07_Withdrawals!D133)),"")</f>
        <v/>
      </c>
    </row>
    <row r="1327" spans="1:13" ht="18" customHeight="1" x14ac:dyDescent="0.25">
      <c r="A1327" s="40" t="str">
        <f>IF(Agent07_Withdrawals!A134="","",Agent07_Withdrawals!A134)</f>
        <v/>
      </c>
      <c r="B1327" s="40" t="str">
        <f ca="1">IF(Agent07_Withdrawals!A134="","","WD"&amp;TEXT(1327-3,"0000")&amp;"-"&amp;TEXT(TODAY(),"YYYYMMDD"))</f>
        <v/>
      </c>
      <c r="C1327" s="40" t="str">
        <f>IF(Agent07_Withdrawals!A134="","",Agent07_Withdrawals!B134)</f>
        <v/>
      </c>
      <c r="D1327" s="43" t="str">
        <f>IF(Agent07_Withdrawals!A134="","",Agent07_Withdrawals!C134)</f>
        <v/>
      </c>
      <c r="E1327" s="41" t="str">
        <f>IF(Agent07_Withdrawals!A134="","",Agent07_Withdrawals!D134)</f>
        <v/>
      </c>
      <c r="F1327" s="40" t="str">
        <f>IF(Agent07_Withdrawals!A134="","",Agent07_Withdrawals!F134)</f>
        <v/>
      </c>
      <c r="G1327" s="42" t="str">
        <f>IF(Agent07_Withdrawals!A134="","",Agent07_Withdrawals!E134)</f>
        <v/>
      </c>
      <c r="H1327" s="42" t="str">
        <f>IF(Agent07_Withdrawals!A134="","",Agent07_Withdrawals!G134)</f>
        <v/>
      </c>
      <c r="I1327" s="40" t="str">
        <f>IF(Agent07_Withdrawals!A134="","",Agent07_Withdrawals!H134)</f>
        <v/>
      </c>
      <c r="J1327" s="40" t="str">
        <f>IF(Agent07_Withdrawals!A134="","",Agent07_Withdrawals!J134)</f>
        <v/>
      </c>
      <c r="K1327" s="40" t="str">
        <f>IF(Agent07_Withdrawals!A134="","",Agent07_Withdrawals!K134)</f>
        <v/>
      </c>
      <c r="L1327" s="40" t="str">
        <f>IF(G1327="","",IF(D1327-G1327&gt;=System_Config!$B$9,"✅ OK","⚠️ BREACH"))</f>
        <v/>
      </c>
      <c r="M1327" s="40" t="str">
        <f>IFERROR(IF(Agent07_Withdrawals!A134="","",YEAR(Agent07_Withdrawals!D134)),"")</f>
        <v/>
      </c>
    </row>
    <row r="1328" spans="1:13" ht="18" customHeight="1" x14ac:dyDescent="0.25">
      <c r="A1328" s="40" t="str">
        <f>IF(Agent07_Withdrawals!A135="","",Agent07_Withdrawals!A135)</f>
        <v/>
      </c>
      <c r="B1328" s="40" t="str">
        <f ca="1">IF(Agent07_Withdrawals!A135="","","WD"&amp;TEXT(1328-3,"0000")&amp;"-"&amp;TEXT(TODAY(),"YYYYMMDD"))</f>
        <v/>
      </c>
      <c r="C1328" s="40" t="str">
        <f>IF(Agent07_Withdrawals!A135="","",Agent07_Withdrawals!B135)</f>
        <v/>
      </c>
      <c r="D1328" s="43" t="str">
        <f>IF(Agent07_Withdrawals!A135="","",Agent07_Withdrawals!C135)</f>
        <v/>
      </c>
      <c r="E1328" s="41" t="str">
        <f>IF(Agent07_Withdrawals!A135="","",Agent07_Withdrawals!D135)</f>
        <v/>
      </c>
      <c r="F1328" s="40" t="str">
        <f>IF(Agent07_Withdrawals!A135="","",Agent07_Withdrawals!F135)</f>
        <v/>
      </c>
      <c r="G1328" s="42" t="str">
        <f>IF(Agent07_Withdrawals!A135="","",Agent07_Withdrawals!E135)</f>
        <v/>
      </c>
      <c r="H1328" s="42" t="str">
        <f>IF(Agent07_Withdrawals!A135="","",Agent07_Withdrawals!G135)</f>
        <v/>
      </c>
      <c r="I1328" s="40" t="str">
        <f>IF(Agent07_Withdrawals!A135="","",Agent07_Withdrawals!H135)</f>
        <v/>
      </c>
      <c r="J1328" s="40" t="str">
        <f>IF(Agent07_Withdrawals!A135="","",Agent07_Withdrawals!J135)</f>
        <v/>
      </c>
      <c r="K1328" s="40" t="str">
        <f>IF(Agent07_Withdrawals!A135="","",Agent07_Withdrawals!K135)</f>
        <v/>
      </c>
      <c r="L1328" s="40" t="str">
        <f>IF(G1328="","",IF(D1328-G1328&gt;=System_Config!$B$9,"✅ OK","⚠️ BREACH"))</f>
        <v/>
      </c>
      <c r="M1328" s="40" t="str">
        <f>IFERROR(IF(Agent07_Withdrawals!A135="","",YEAR(Agent07_Withdrawals!D135)),"")</f>
        <v/>
      </c>
    </row>
    <row r="1329" spans="1:13" ht="18" customHeight="1" x14ac:dyDescent="0.25">
      <c r="A1329" s="40" t="str">
        <f>IF(Agent07_Withdrawals!A136="","",Agent07_Withdrawals!A136)</f>
        <v/>
      </c>
      <c r="B1329" s="40" t="str">
        <f ca="1">IF(Agent07_Withdrawals!A136="","","WD"&amp;TEXT(1329-3,"0000")&amp;"-"&amp;TEXT(TODAY(),"YYYYMMDD"))</f>
        <v/>
      </c>
      <c r="C1329" s="40" t="str">
        <f>IF(Agent07_Withdrawals!A136="","",Agent07_Withdrawals!B136)</f>
        <v/>
      </c>
      <c r="D1329" s="43" t="str">
        <f>IF(Agent07_Withdrawals!A136="","",Agent07_Withdrawals!C136)</f>
        <v/>
      </c>
      <c r="E1329" s="41" t="str">
        <f>IF(Agent07_Withdrawals!A136="","",Agent07_Withdrawals!D136)</f>
        <v/>
      </c>
      <c r="F1329" s="40" t="str">
        <f>IF(Agent07_Withdrawals!A136="","",Agent07_Withdrawals!F136)</f>
        <v/>
      </c>
      <c r="G1329" s="42" t="str">
        <f>IF(Agent07_Withdrawals!A136="","",Agent07_Withdrawals!E136)</f>
        <v/>
      </c>
      <c r="H1329" s="42" t="str">
        <f>IF(Agent07_Withdrawals!A136="","",Agent07_Withdrawals!G136)</f>
        <v/>
      </c>
      <c r="I1329" s="40" t="str">
        <f>IF(Agent07_Withdrawals!A136="","",Agent07_Withdrawals!H136)</f>
        <v/>
      </c>
      <c r="J1329" s="40" t="str">
        <f>IF(Agent07_Withdrawals!A136="","",Agent07_Withdrawals!J136)</f>
        <v/>
      </c>
      <c r="K1329" s="40" t="str">
        <f>IF(Agent07_Withdrawals!A136="","",Agent07_Withdrawals!K136)</f>
        <v/>
      </c>
      <c r="L1329" s="40" t="str">
        <f>IF(G1329="","",IF(D1329-G1329&gt;=System_Config!$B$9,"✅ OK","⚠️ BREACH"))</f>
        <v/>
      </c>
      <c r="M1329" s="40" t="str">
        <f>IFERROR(IF(Agent07_Withdrawals!A136="","",YEAR(Agent07_Withdrawals!D136)),"")</f>
        <v/>
      </c>
    </row>
    <row r="1330" spans="1:13" ht="18" customHeight="1" x14ac:dyDescent="0.25">
      <c r="A1330" s="40" t="str">
        <f>IF(Agent07_Withdrawals!A137="","",Agent07_Withdrawals!A137)</f>
        <v/>
      </c>
      <c r="B1330" s="40" t="str">
        <f ca="1">IF(Agent07_Withdrawals!A137="","","WD"&amp;TEXT(1330-3,"0000")&amp;"-"&amp;TEXT(TODAY(),"YYYYMMDD"))</f>
        <v/>
      </c>
      <c r="C1330" s="40" t="str">
        <f>IF(Agent07_Withdrawals!A137="","",Agent07_Withdrawals!B137)</f>
        <v/>
      </c>
      <c r="D1330" s="43" t="str">
        <f>IF(Agent07_Withdrawals!A137="","",Agent07_Withdrawals!C137)</f>
        <v/>
      </c>
      <c r="E1330" s="41" t="str">
        <f>IF(Agent07_Withdrawals!A137="","",Agent07_Withdrawals!D137)</f>
        <v/>
      </c>
      <c r="F1330" s="40" t="str">
        <f>IF(Agent07_Withdrawals!A137="","",Agent07_Withdrawals!F137)</f>
        <v/>
      </c>
      <c r="G1330" s="42" t="str">
        <f>IF(Agent07_Withdrawals!A137="","",Agent07_Withdrawals!E137)</f>
        <v/>
      </c>
      <c r="H1330" s="42" t="str">
        <f>IF(Agent07_Withdrawals!A137="","",Agent07_Withdrawals!G137)</f>
        <v/>
      </c>
      <c r="I1330" s="40" t="str">
        <f>IF(Agent07_Withdrawals!A137="","",Agent07_Withdrawals!H137)</f>
        <v/>
      </c>
      <c r="J1330" s="40" t="str">
        <f>IF(Agent07_Withdrawals!A137="","",Agent07_Withdrawals!J137)</f>
        <v/>
      </c>
      <c r="K1330" s="40" t="str">
        <f>IF(Agent07_Withdrawals!A137="","",Agent07_Withdrawals!K137)</f>
        <v/>
      </c>
      <c r="L1330" s="40" t="str">
        <f>IF(G1330="","",IF(D1330-G1330&gt;=System_Config!$B$9,"✅ OK","⚠️ BREACH"))</f>
        <v/>
      </c>
      <c r="M1330" s="40" t="str">
        <f>IFERROR(IF(Agent07_Withdrawals!A137="","",YEAR(Agent07_Withdrawals!D137)),"")</f>
        <v/>
      </c>
    </row>
    <row r="1331" spans="1:13" ht="18" customHeight="1" x14ac:dyDescent="0.25">
      <c r="A1331" s="40" t="str">
        <f>IF(Agent07_Withdrawals!A138="","",Agent07_Withdrawals!A138)</f>
        <v/>
      </c>
      <c r="B1331" s="40" t="str">
        <f ca="1">IF(Agent07_Withdrawals!A138="","","WD"&amp;TEXT(1331-3,"0000")&amp;"-"&amp;TEXT(TODAY(),"YYYYMMDD"))</f>
        <v/>
      </c>
      <c r="C1331" s="40" t="str">
        <f>IF(Agent07_Withdrawals!A138="","",Agent07_Withdrawals!B138)</f>
        <v/>
      </c>
      <c r="D1331" s="43" t="str">
        <f>IF(Agent07_Withdrawals!A138="","",Agent07_Withdrawals!C138)</f>
        <v/>
      </c>
      <c r="E1331" s="41" t="str">
        <f>IF(Agent07_Withdrawals!A138="","",Agent07_Withdrawals!D138)</f>
        <v/>
      </c>
      <c r="F1331" s="40" t="str">
        <f>IF(Agent07_Withdrawals!A138="","",Agent07_Withdrawals!F138)</f>
        <v/>
      </c>
      <c r="G1331" s="42" t="str">
        <f>IF(Agent07_Withdrawals!A138="","",Agent07_Withdrawals!E138)</f>
        <v/>
      </c>
      <c r="H1331" s="42" t="str">
        <f>IF(Agent07_Withdrawals!A138="","",Agent07_Withdrawals!G138)</f>
        <v/>
      </c>
      <c r="I1331" s="40" t="str">
        <f>IF(Agent07_Withdrawals!A138="","",Agent07_Withdrawals!H138)</f>
        <v/>
      </c>
      <c r="J1331" s="40" t="str">
        <f>IF(Agent07_Withdrawals!A138="","",Agent07_Withdrawals!J138)</f>
        <v/>
      </c>
      <c r="K1331" s="40" t="str">
        <f>IF(Agent07_Withdrawals!A138="","",Agent07_Withdrawals!K138)</f>
        <v/>
      </c>
      <c r="L1331" s="40" t="str">
        <f>IF(G1331="","",IF(D1331-G1331&gt;=System_Config!$B$9,"✅ OK","⚠️ BREACH"))</f>
        <v/>
      </c>
      <c r="M1331" s="40" t="str">
        <f>IFERROR(IF(Agent07_Withdrawals!A138="","",YEAR(Agent07_Withdrawals!D138)),"")</f>
        <v/>
      </c>
    </row>
    <row r="1332" spans="1:13" ht="18" customHeight="1" x14ac:dyDescent="0.25">
      <c r="A1332" s="40" t="str">
        <f>IF(Agent07_Withdrawals!A139="","",Agent07_Withdrawals!A139)</f>
        <v/>
      </c>
      <c r="B1332" s="40" t="str">
        <f ca="1">IF(Agent07_Withdrawals!A139="","","WD"&amp;TEXT(1332-3,"0000")&amp;"-"&amp;TEXT(TODAY(),"YYYYMMDD"))</f>
        <v/>
      </c>
      <c r="C1332" s="40" t="str">
        <f>IF(Agent07_Withdrawals!A139="","",Agent07_Withdrawals!B139)</f>
        <v/>
      </c>
      <c r="D1332" s="43" t="str">
        <f>IF(Agent07_Withdrawals!A139="","",Agent07_Withdrawals!C139)</f>
        <v/>
      </c>
      <c r="E1332" s="41" t="str">
        <f>IF(Agent07_Withdrawals!A139="","",Agent07_Withdrawals!D139)</f>
        <v/>
      </c>
      <c r="F1332" s="40" t="str">
        <f>IF(Agent07_Withdrawals!A139="","",Agent07_Withdrawals!F139)</f>
        <v/>
      </c>
      <c r="G1332" s="42" t="str">
        <f>IF(Agent07_Withdrawals!A139="","",Agent07_Withdrawals!E139)</f>
        <v/>
      </c>
      <c r="H1332" s="42" t="str">
        <f>IF(Agent07_Withdrawals!A139="","",Agent07_Withdrawals!G139)</f>
        <v/>
      </c>
      <c r="I1332" s="40" t="str">
        <f>IF(Agent07_Withdrawals!A139="","",Agent07_Withdrawals!H139)</f>
        <v/>
      </c>
      <c r="J1332" s="40" t="str">
        <f>IF(Agent07_Withdrawals!A139="","",Agent07_Withdrawals!J139)</f>
        <v/>
      </c>
      <c r="K1332" s="40" t="str">
        <f>IF(Agent07_Withdrawals!A139="","",Agent07_Withdrawals!K139)</f>
        <v/>
      </c>
      <c r="L1332" s="40" t="str">
        <f>IF(G1332="","",IF(D1332-G1332&gt;=System_Config!$B$9,"✅ OK","⚠️ BREACH"))</f>
        <v/>
      </c>
      <c r="M1332" s="40" t="str">
        <f>IFERROR(IF(Agent07_Withdrawals!A139="","",YEAR(Agent07_Withdrawals!D139)),"")</f>
        <v/>
      </c>
    </row>
    <row r="1333" spans="1:13" ht="18" customHeight="1" x14ac:dyDescent="0.25">
      <c r="A1333" s="40" t="str">
        <f>IF(Agent07_Withdrawals!A140="","",Agent07_Withdrawals!A140)</f>
        <v/>
      </c>
      <c r="B1333" s="40" t="str">
        <f ca="1">IF(Agent07_Withdrawals!A140="","","WD"&amp;TEXT(1333-3,"0000")&amp;"-"&amp;TEXT(TODAY(),"YYYYMMDD"))</f>
        <v/>
      </c>
      <c r="C1333" s="40" t="str">
        <f>IF(Agent07_Withdrawals!A140="","",Agent07_Withdrawals!B140)</f>
        <v/>
      </c>
      <c r="D1333" s="43" t="str">
        <f>IF(Agent07_Withdrawals!A140="","",Agent07_Withdrawals!C140)</f>
        <v/>
      </c>
      <c r="E1333" s="41" t="str">
        <f>IF(Agent07_Withdrawals!A140="","",Agent07_Withdrawals!D140)</f>
        <v/>
      </c>
      <c r="F1333" s="40" t="str">
        <f>IF(Agent07_Withdrawals!A140="","",Agent07_Withdrawals!F140)</f>
        <v/>
      </c>
      <c r="G1333" s="42" t="str">
        <f>IF(Agent07_Withdrawals!A140="","",Agent07_Withdrawals!E140)</f>
        <v/>
      </c>
      <c r="H1333" s="42" t="str">
        <f>IF(Agent07_Withdrawals!A140="","",Agent07_Withdrawals!G140)</f>
        <v/>
      </c>
      <c r="I1333" s="40" t="str">
        <f>IF(Agent07_Withdrawals!A140="","",Agent07_Withdrawals!H140)</f>
        <v/>
      </c>
      <c r="J1333" s="40" t="str">
        <f>IF(Agent07_Withdrawals!A140="","",Agent07_Withdrawals!J140)</f>
        <v/>
      </c>
      <c r="K1333" s="40" t="str">
        <f>IF(Agent07_Withdrawals!A140="","",Agent07_Withdrawals!K140)</f>
        <v/>
      </c>
      <c r="L1333" s="40" t="str">
        <f>IF(G1333="","",IF(D1333-G1333&gt;=System_Config!$B$9,"✅ OK","⚠️ BREACH"))</f>
        <v/>
      </c>
      <c r="M1333" s="40" t="str">
        <f>IFERROR(IF(Agent07_Withdrawals!A140="","",YEAR(Agent07_Withdrawals!D140)),"")</f>
        <v/>
      </c>
    </row>
    <row r="1334" spans="1:13" ht="18" customHeight="1" x14ac:dyDescent="0.25">
      <c r="A1334" s="40" t="str">
        <f>IF(Agent07_Withdrawals!A141="","",Agent07_Withdrawals!A141)</f>
        <v/>
      </c>
      <c r="B1334" s="40" t="str">
        <f ca="1">IF(Agent07_Withdrawals!A141="","","WD"&amp;TEXT(1334-3,"0000")&amp;"-"&amp;TEXT(TODAY(),"YYYYMMDD"))</f>
        <v/>
      </c>
      <c r="C1334" s="40" t="str">
        <f>IF(Agent07_Withdrawals!A141="","",Agent07_Withdrawals!B141)</f>
        <v/>
      </c>
      <c r="D1334" s="43" t="str">
        <f>IF(Agent07_Withdrawals!A141="","",Agent07_Withdrawals!C141)</f>
        <v/>
      </c>
      <c r="E1334" s="41" t="str">
        <f>IF(Agent07_Withdrawals!A141="","",Agent07_Withdrawals!D141)</f>
        <v/>
      </c>
      <c r="F1334" s="40" t="str">
        <f>IF(Agent07_Withdrawals!A141="","",Agent07_Withdrawals!F141)</f>
        <v/>
      </c>
      <c r="G1334" s="42" t="str">
        <f>IF(Agent07_Withdrawals!A141="","",Agent07_Withdrawals!E141)</f>
        <v/>
      </c>
      <c r="H1334" s="42" t="str">
        <f>IF(Agent07_Withdrawals!A141="","",Agent07_Withdrawals!G141)</f>
        <v/>
      </c>
      <c r="I1334" s="40" t="str">
        <f>IF(Agent07_Withdrawals!A141="","",Agent07_Withdrawals!H141)</f>
        <v/>
      </c>
      <c r="J1334" s="40" t="str">
        <f>IF(Agent07_Withdrawals!A141="","",Agent07_Withdrawals!J141)</f>
        <v/>
      </c>
      <c r="K1334" s="40" t="str">
        <f>IF(Agent07_Withdrawals!A141="","",Agent07_Withdrawals!K141)</f>
        <v/>
      </c>
      <c r="L1334" s="40" t="str">
        <f>IF(G1334="","",IF(D1334-G1334&gt;=System_Config!$B$9,"✅ OK","⚠️ BREACH"))</f>
        <v/>
      </c>
      <c r="M1334" s="40" t="str">
        <f>IFERROR(IF(Agent07_Withdrawals!A141="","",YEAR(Agent07_Withdrawals!D141)),"")</f>
        <v/>
      </c>
    </row>
    <row r="1335" spans="1:13" ht="18" customHeight="1" x14ac:dyDescent="0.25">
      <c r="A1335" s="40" t="str">
        <f>IF(Agent07_Withdrawals!A142="","",Agent07_Withdrawals!A142)</f>
        <v/>
      </c>
      <c r="B1335" s="40" t="str">
        <f ca="1">IF(Agent07_Withdrawals!A142="","","WD"&amp;TEXT(1335-3,"0000")&amp;"-"&amp;TEXT(TODAY(),"YYYYMMDD"))</f>
        <v/>
      </c>
      <c r="C1335" s="40" t="str">
        <f>IF(Agent07_Withdrawals!A142="","",Agent07_Withdrawals!B142)</f>
        <v/>
      </c>
      <c r="D1335" s="43" t="str">
        <f>IF(Agent07_Withdrawals!A142="","",Agent07_Withdrawals!C142)</f>
        <v/>
      </c>
      <c r="E1335" s="41" t="str">
        <f>IF(Agent07_Withdrawals!A142="","",Agent07_Withdrawals!D142)</f>
        <v/>
      </c>
      <c r="F1335" s="40" t="str">
        <f>IF(Agent07_Withdrawals!A142="","",Agent07_Withdrawals!F142)</f>
        <v/>
      </c>
      <c r="G1335" s="42" t="str">
        <f>IF(Agent07_Withdrawals!A142="","",Agent07_Withdrawals!E142)</f>
        <v/>
      </c>
      <c r="H1335" s="42" t="str">
        <f>IF(Agent07_Withdrawals!A142="","",Agent07_Withdrawals!G142)</f>
        <v/>
      </c>
      <c r="I1335" s="40" t="str">
        <f>IF(Agent07_Withdrawals!A142="","",Agent07_Withdrawals!H142)</f>
        <v/>
      </c>
      <c r="J1335" s="40" t="str">
        <f>IF(Agent07_Withdrawals!A142="","",Agent07_Withdrawals!J142)</f>
        <v/>
      </c>
      <c r="K1335" s="40" t="str">
        <f>IF(Agent07_Withdrawals!A142="","",Agent07_Withdrawals!K142)</f>
        <v/>
      </c>
      <c r="L1335" s="40" t="str">
        <f>IF(G1335="","",IF(D1335-G1335&gt;=System_Config!$B$9,"✅ OK","⚠️ BREACH"))</f>
        <v/>
      </c>
      <c r="M1335" s="40" t="str">
        <f>IFERROR(IF(Agent07_Withdrawals!A142="","",YEAR(Agent07_Withdrawals!D142)),"")</f>
        <v/>
      </c>
    </row>
    <row r="1336" spans="1:13" ht="18" customHeight="1" x14ac:dyDescent="0.25">
      <c r="A1336" s="40" t="str">
        <f>IF(Agent07_Withdrawals!A143="","",Agent07_Withdrawals!A143)</f>
        <v/>
      </c>
      <c r="B1336" s="40" t="str">
        <f ca="1">IF(Agent07_Withdrawals!A143="","","WD"&amp;TEXT(1336-3,"0000")&amp;"-"&amp;TEXT(TODAY(),"YYYYMMDD"))</f>
        <v/>
      </c>
      <c r="C1336" s="40" t="str">
        <f>IF(Agent07_Withdrawals!A143="","",Agent07_Withdrawals!B143)</f>
        <v/>
      </c>
      <c r="D1336" s="43" t="str">
        <f>IF(Agent07_Withdrawals!A143="","",Agent07_Withdrawals!C143)</f>
        <v/>
      </c>
      <c r="E1336" s="41" t="str">
        <f>IF(Agent07_Withdrawals!A143="","",Agent07_Withdrawals!D143)</f>
        <v/>
      </c>
      <c r="F1336" s="40" t="str">
        <f>IF(Agent07_Withdrawals!A143="","",Agent07_Withdrawals!F143)</f>
        <v/>
      </c>
      <c r="G1336" s="42" t="str">
        <f>IF(Agent07_Withdrawals!A143="","",Agent07_Withdrawals!E143)</f>
        <v/>
      </c>
      <c r="H1336" s="42" t="str">
        <f>IF(Agent07_Withdrawals!A143="","",Agent07_Withdrawals!G143)</f>
        <v/>
      </c>
      <c r="I1336" s="40" t="str">
        <f>IF(Agent07_Withdrawals!A143="","",Agent07_Withdrawals!H143)</f>
        <v/>
      </c>
      <c r="J1336" s="40" t="str">
        <f>IF(Agent07_Withdrawals!A143="","",Agent07_Withdrawals!J143)</f>
        <v/>
      </c>
      <c r="K1336" s="40" t="str">
        <f>IF(Agent07_Withdrawals!A143="","",Agent07_Withdrawals!K143)</f>
        <v/>
      </c>
      <c r="L1336" s="40" t="str">
        <f>IF(G1336="","",IF(D1336-G1336&gt;=System_Config!$B$9,"✅ OK","⚠️ BREACH"))</f>
        <v/>
      </c>
      <c r="M1336" s="40" t="str">
        <f>IFERROR(IF(Agent07_Withdrawals!A143="","",YEAR(Agent07_Withdrawals!D143)),"")</f>
        <v/>
      </c>
    </row>
    <row r="1337" spans="1:13" ht="18" customHeight="1" x14ac:dyDescent="0.25">
      <c r="A1337" s="40" t="str">
        <f>IF(Agent07_Withdrawals!A144="","",Agent07_Withdrawals!A144)</f>
        <v/>
      </c>
      <c r="B1337" s="40" t="str">
        <f ca="1">IF(Agent07_Withdrawals!A144="","","WD"&amp;TEXT(1337-3,"0000")&amp;"-"&amp;TEXT(TODAY(),"YYYYMMDD"))</f>
        <v/>
      </c>
      <c r="C1337" s="40" t="str">
        <f>IF(Agent07_Withdrawals!A144="","",Agent07_Withdrawals!B144)</f>
        <v/>
      </c>
      <c r="D1337" s="43" t="str">
        <f>IF(Agent07_Withdrawals!A144="","",Agent07_Withdrawals!C144)</f>
        <v/>
      </c>
      <c r="E1337" s="41" t="str">
        <f>IF(Agent07_Withdrawals!A144="","",Agent07_Withdrawals!D144)</f>
        <v/>
      </c>
      <c r="F1337" s="40" t="str">
        <f>IF(Agent07_Withdrawals!A144="","",Agent07_Withdrawals!F144)</f>
        <v/>
      </c>
      <c r="G1337" s="42" t="str">
        <f>IF(Agent07_Withdrawals!A144="","",Agent07_Withdrawals!E144)</f>
        <v/>
      </c>
      <c r="H1337" s="42" t="str">
        <f>IF(Agent07_Withdrawals!A144="","",Agent07_Withdrawals!G144)</f>
        <v/>
      </c>
      <c r="I1337" s="40" t="str">
        <f>IF(Agent07_Withdrawals!A144="","",Agent07_Withdrawals!H144)</f>
        <v/>
      </c>
      <c r="J1337" s="40" t="str">
        <f>IF(Agent07_Withdrawals!A144="","",Agent07_Withdrawals!J144)</f>
        <v/>
      </c>
      <c r="K1337" s="40" t="str">
        <f>IF(Agent07_Withdrawals!A144="","",Agent07_Withdrawals!K144)</f>
        <v/>
      </c>
      <c r="L1337" s="40" t="str">
        <f>IF(G1337="","",IF(D1337-G1337&gt;=System_Config!$B$9,"✅ OK","⚠️ BREACH"))</f>
        <v/>
      </c>
      <c r="M1337" s="40" t="str">
        <f>IFERROR(IF(Agent07_Withdrawals!A144="","",YEAR(Agent07_Withdrawals!D144)),"")</f>
        <v/>
      </c>
    </row>
    <row r="1338" spans="1:13" ht="18" customHeight="1" x14ac:dyDescent="0.25">
      <c r="A1338" s="40" t="str">
        <f>IF(Agent07_Withdrawals!A145="","",Agent07_Withdrawals!A145)</f>
        <v/>
      </c>
      <c r="B1338" s="40" t="str">
        <f ca="1">IF(Agent07_Withdrawals!A145="","","WD"&amp;TEXT(1338-3,"0000")&amp;"-"&amp;TEXT(TODAY(),"YYYYMMDD"))</f>
        <v/>
      </c>
      <c r="C1338" s="40" t="str">
        <f>IF(Agent07_Withdrawals!A145="","",Agent07_Withdrawals!B145)</f>
        <v/>
      </c>
      <c r="D1338" s="43" t="str">
        <f>IF(Agent07_Withdrawals!A145="","",Agent07_Withdrawals!C145)</f>
        <v/>
      </c>
      <c r="E1338" s="41" t="str">
        <f>IF(Agent07_Withdrawals!A145="","",Agent07_Withdrawals!D145)</f>
        <v/>
      </c>
      <c r="F1338" s="40" t="str">
        <f>IF(Agent07_Withdrawals!A145="","",Agent07_Withdrawals!F145)</f>
        <v/>
      </c>
      <c r="G1338" s="42" t="str">
        <f>IF(Agent07_Withdrawals!A145="","",Agent07_Withdrawals!E145)</f>
        <v/>
      </c>
      <c r="H1338" s="42" t="str">
        <f>IF(Agent07_Withdrawals!A145="","",Agent07_Withdrawals!G145)</f>
        <v/>
      </c>
      <c r="I1338" s="40" t="str">
        <f>IF(Agent07_Withdrawals!A145="","",Agent07_Withdrawals!H145)</f>
        <v/>
      </c>
      <c r="J1338" s="40" t="str">
        <f>IF(Agent07_Withdrawals!A145="","",Agent07_Withdrawals!J145)</f>
        <v/>
      </c>
      <c r="K1338" s="40" t="str">
        <f>IF(Agent07_Withdrawals!A145="","",Agent07_Withdrawals!K145)</f>
        <v/>
      </c>
      <c r="L1338" s="40" t="str">
        <f>IF(G1338="","",IF(D1338-G1338&gt;=System_Config!$B$9,"✅ OK","⚠️ BREACH"))</f>
        <v/>
      </c>
      <c r="M1338" s="40" t="str">
        <f>IFERROR(IF(Agent07_Withdrawals!A145="","",YEAR(Agent07_Withdrawals!D145)),"")</f>
        <v/>
      </c>
    </row>
    <row r="1339" spans="1:13" ht="18" customHeight="1" x14ac:dyDescent="0.25">
      <c r="A1339" s="40" t="str">
        <f>IF(Agent07_Withdrawals!A146="","",Agent07_Withdrawals!A146)</f>
        <v/>
      </c>
      <c r="B1339" s="40" t="str">
        <f ca="1">IF(Agent07_Withdrawals!A146="","","WD"&amp;TEXT(1339-3,"0000")&amp;"-"&amp;TEXT(TODAY(),"YYYYMMDD"))</f>
        <v/>
      </c>
      <c r="C1339" s="40" t="str">
        <f>IF(Agent07_Withdrawals!A146="","",Agent07_Withdrawals!B146)</f>
        <v/>
      </c>
      <c r="D1339" s="43" t="str">
        <f>IF(Agent07_Withdrawals!A146="","",Agent07_Withdrawals!C146)</f>
        <v/>
      </c>
      <c r="E1339" s="41" t="str">
        <f>IF(Agent07_Withdrawals!A146="","",Agent07_Withdrawals!D146)</f>
        <v/>
      </c>
      <c r="F1339" s="40" t="str">
        <f>IF(Agent07_Withdrawals!A146="","",Agent07_Withdrawals!F146)</f>
        <v/>
      </c>
      <c r="G1339" s="42" t="str">
        <f>IF(Agent07_Withdrawals!A146="","",Agent07_Withdrawals!E146)</f>
        <v/>
      </c>
      <c r="H1339" s="42" t="str">
        <f>IF(Agent07_Withdrawals!A146="","",Agent07_Withdrawals!G146)</f>
        <v/>
      </c>
      <c r="I1339" s="40" t="str">
        <f>IF(Agent07_Withdrawals!A146="","",Agent07_Withdrawals!H146)</f>
        <v/>
      </c>
      <c r="J1339" s="40" t="str">
        <f>IF(Agent07_Withdrawals!A146="","",Agent07_Withdrawals!J146)</f>
        <v/>
      </c>
      <c r="K1339" s="40" t="str">
        <f>IF(Agent07_Withdrawals!A146="","",Agent07_Withdrawals!K146)</f>
        <v/>
      </c>
      <c r="L1339" s="40" t="str">
        <f>IF(G1339="","",IF(D1339-G1339&gt;=System_Config!$B$9,"✅ OK","⚠️ BREACH"))</f>
        <v/>
      </c>
      <c r="M1339" s="40" t="str">
        <f>IFERROR(IF(Agent07_Withdrawals!A146="","",YEAR(Agent07_Withdrawals!D146)),"")</f>
        <v/>
      </c>
    </row>
    <row r="1340" spans="1:13" ht="18" customHeight="1" x14ac:dyDescent="0.25">
      <c r="A1340" s="40" t="str">
        <f>IF(Agent07_Withdrawals!A147="","",Agent07_Withdrawals!A147)</f>
        <v/>
      </c>
      <c r="B1340" s="40" t="str">
        <f ca="1">IF(Agent07_Withdrawals!A147="","","WD"&amp;TEXT(1340-3,"0000")&amp;"-"&amp;TEXT(TODAY(),"YYYYMMDD"))</f>
        <v/>
      </c>
      <c r="C1340" s="40" t="str">
        <f>IF(Agent07_Withdrawals!A147="","",Agent07_Withdrawals!B147)</f>
        <v/>
      </c>
      <c r="D1340" s="43" t="str">
        <f>IF(Agent07_Withdrawals!A147="","",Agent07_Withdrawals!C147)</f>
        <v/>
      </c>
      <c r="E1340" s="41" t="str">
        <f>IF(Agent07_Withdrawals!A147="","",Agent07_Withdrawals!D147)</f>
        <v/>
      </c>
      <c r="F1340" s="40" t="str">
        <f>IF(Agent07_Withdrawals!A147="","",Agent07_Withdrawals!F147)</f>
        <v/>
      </c>
      <c r="G1340" s="42" t="str">
        <f>IF(Agent07_Withdrawals!A147="","",Agent07_Withdrawals!E147)</f>
        <v/>
      </c>
      <c r="H1340" s="42" t="str">
        <f>IF(Agent07_Withdrawals!A147="","",Agent07_Withdrawals!G147)</f>
        <v/>
      </c>
      <c r="I1340" s="40" t="str">
        <f>IF(Agent07_Withdrawals!A147="","",Agent07_Withdrawals!H147)</f>
        <v/>
      </c>
      <c r="J1340" s="40" t="str">
        <f>IF(Agent07_Withdrawals!A147="","",Agent07_Withdrawals!J147)</f>
        <v/>
      </c>
      <c r="K1340" s="40" t="str">
        <f>IF(Agent07_Withdrawals!A147="","",Agent07_Withdrawals!K147)</f>
        <v/>
      </c>
      <c r="L1340" s="40" t="str">
        <f>IF(G1340="","",IF(D1340-G1340&gt;=System_Config!$B$9,"✅ OK","⚠️ BREACH"))</f>
        <v/>
      </c>
      <c r="M1340" s="40" t="str">
        <f>IFERROR(IF(Agent07_Withdrawals!A147="","",YEAR(Agent07_Withdrawals!D147)),"")</f>
        <v/>
      </c>
    </row>
    <row r="1341" spans="1:13" ht="18" customHeight="1" x14ac:dyDescent="0.25">
      <c r="A1341" s="40" t="str">
        <f>IF(Agent07_Withdrawals!A148="","",Agent07_Withdrawals!A148)</f>
        <v/>
      </c>
      <c r="B1341" s="40" t="str">
        <f ca="1">IF(Agent07_Withdrawals!A148="","","WD"&amp;TEXT(1341-3,"0000")&amp;"-"&amp;TEXT(TODAY(),"YYYYMMDD"))</f>
        <v/>
      </c>
      <c r="C1341" s="40" t="str">
        <f>IF(Agent07_Withdrawals!A148="","",Agent07_Withdrawals!B148)</f>
        <v/>
      </c>
      <c r="D1341" s="43" t="str">
        <f>IF(Agent07_Withdrawals!A148="","",Agent07_Withdrawals!C148)</f>
        <v/>
      </c>
      <c r="E1341" s="41" t="str">
        <f>IF(Agent07_Withdrawals!A148="","",Agent07_Withdrawals!D148)</f>
        <v/>
      </c>
      <c r="F1341" s="40" t="str">
        <f>IF(Agent07_Withdrawals!A148="","",Agent07_Withdrawals!F148)</f>
        <v/>
      </c>
      <c r="G1341" s="42" t="str">
        <f>IF(Agent07_Withdrawals!A148="","",Agent07_Withdrawals!E148)</f>
        <v/>
      </c>
      <c r="H1341" s="42" t="str">
        <f>IF(Agent07_Withdrawals!A148="","",Agent07_Withdrawals!G148)</f>
        <v/>
      </c>
      <c r="I1341" s="40" t="str">
        <f>IF(Agent07_Withdrawals!A148="","",Agent07_Withdrawals!H148)</f>
        <v/>
      </c>
      <c r="J1341" s="40" t="str">
        <f>IF(Agent07_Withdrawals!A148="","",Agent07_Withdrawals!J148)</f>
        <v/>
      </c>
      <c r="K1341" s="40" t="str">
        <f>IF(Agent07_Withdrawals!A148="","",Agent07_Withdrawals!K148)</f>
        <v/>
      </c>
      <c r="L1341" s="40" t="str">
        <f>IF(G1341="","",IF(D1341-G1341&gt;=System_Config!$B$9,"✅ OK","⚠️ BREACH"))</f>
        <v/>
      </c>
      <c r="M1341" s="40" t="str">
        <f>IFERROR(IF(Agent07_Withdrawals!A148="","",YEAR(Agent07_Withdrawals!D148)),"")</f>
        <v/>
      </c>
    </row>
    <row r="1342" spans="1:13" ht="18" customHeight="1" x14ac:dyDescent="0.25">
      <c r="A1342" s="40" t="str">
        <f>IF(Agent07_Withdrawals!A149="","",Agent07_Withdrawals!A149)</f>
        <v/>
      </c>
      <c r="B1342" s="40" t="str">
        <f ca="1">IF(Agent07_Withdrawals!A149="","","WD"&amp;TEXT(1342-3,"0000")&amp;"-"&amp;TEXT(TODAY(),"YYYYMMDD"))</f>
        <v/>
      </c>
      <c r="C1342" s="40" t="str">
        <f>IF(Agent07_Withdrawals!A149="","",Agent07_Withdrawals!B149)</f>
        <v/>
      </c>
      <c r="D1342" s="43" t="str">
        <f>IF(Agent07_Withdrawals!A149="","",Agent07_Withdrawals!C149)</f>
        <v/>
      </c>
      <c r="E1342" s="41" t="str">
        <f>IF(Agent07_Withdrawals!A149="","",Agent07_Withdrawals!D149)</f>
        <v/>
      </c>
      <c r="F1342" s="40" t="str">
        <f>IF(Agent07_Withdrawals!A149="","",Agent07_Withdrawals!F149)</f>
        <v/>
      </c>
      <c r="G1342" s="42" t="str">
        <f>IF(Agent07_Withdrawals!A149="","",Agent07_Withdrawals!E149)</f>
        <v/>
      </c>
      <c r="H1342" s="42" t="str">
        <f>IF(Agent07_Withdrawals!A149="","",Agent07_Withdrawals!G149)</f>
        <v/>
      </c>
      <c r="I1342" s="40" t="str">
        <f>IF(Agent07_Withdrawals!A149="","",Agent07_Withdrawals!H149)</f>
        <v/>
      </c>
      <c r="J1342" s="40" t="str">
        <f>IF(Agent07_Withdrawals!A149="","",Agent07_Withdrawals!J149)</f>
        <v/>
      </c>
      <c r="K1342" s="40" t="str">
        <f>IF(Agent07_Withdrawals!A149="","",Agent07_Withdrawals!K149)</f>
        <v/>
      </c>
      <c r="L1342" s="40" t="str">
        <f>IF(G1342="","",IF(D1342-G1342&gt;=System_Config!$B$9,"✅ OK","⚠️ BREACH"))</f>
        <v/>
      </c>
      <c r="M1342" s="40" t="str">
        <f>IFERROR(IF(Agent07_Withdrawals!A149="","",YEAR(Agent07_Withdrawals!D149)),"")</f>
        <v/>
      </c>
    </row>
    <row r="1343" spans="1:13" ht="18" customHeight="1" x14ac:dyDescent="0.25">
      <c r="A1343" s="40" t="str">
        <f>IF(Agent07_Withdrawals!A150="","",Agent07_Withdrawals!A150)</f>
        <v/>
      </c>
      <c r="B1343" s="40" t="str">
        <f ca="1">IF(Agent07_Withdrawals!A150="","","WD"&amp;TEXT(1343-3,"0000")&amp;"-"&amp;TEXT(TODAY(),"YYYYMMDD"))</f>
        <v/>
      </c>
      <c r="C1343" s="40" t="str">
        <f>IF(Agent07_Withdrawals!A150="","",Agent07_Withdrawals!B150)</f>
        <v/>
      </c>
      <c r="D1343" s="43" t="str">
        <f>IF(Agent07_Withdrawals!A150="","",Agent07_Withdrawals!C150)</f>
        <v/>
      </c>
      <c r="E1343" s="41" t="str">
        <f>IF(Agent07_Withdrawals!A150="","",Agent07_Withdrawals!D150)</f>
        <v/>
      </c>
      <c r="F1343" s="40" t="str">
        <f>IF(Agent07_Withdrawals!A150="","",Agent07_Withdrawals!F150)</f>
        <v/>
      </c>
      <c r="G1343" s="42" t="str">
        <f>IF(Agent07_Withdrawals!A150="","",Agent07_Withdrawals!E150)</f>
        <v/>
      </c>
      <c r="H1343" s="42" t="str">
        <f>IF(Agent07_Withdrawals!A150="","",Agent07_Withdrawals!G150)</f>
        <v/>
      </c>
      <c r="I1343" s="40" t="str">
        <f>IF(Agent07_Withdrawals!A150="","",Agent07_Withdrawals!H150)</f>
        <v/>
      </c>
      <c r="J1343" s="40" t="str">
        <f>IF(Agent07_Withdrawals!A150="","",Agent07_Withdrawals!J150)</f>
        <v/>
      </c>
      <c r="K1343" s="40" t="str">
        <f>IF(Agent07_Withdrawals!A150="","",Agent07_Withdrawals!K150)</f>
        <v/>
      </c>
      <c r="L1343" s="40" t="str">
        <f>IF(G1343="","",IF(D1343-G1343&gt;=System_Config!$B$9,"✅ OK","⚠️ BREACH"))</f>
        <v/>
      </c>
      <c r="M1343" s="40" t="str">
        <f>IFERROR(IF(Agent07_Withdrawals!A150="","",YEAR(Agent07_Withdrawals!D150)),"")</f>
        <v/>
      </c>
    </row>
    <row r="1344" spans="1:13" ht="18" customHeight="1" x14ac:dyDescent="0.25">
      <c r="A1344" s="40" t="str">
        <f>IF(Agent07_Withdrawals!A151="","",Agent07_Withdrawals!A151)</f>
        <v/>
      </c>
      <c r="B1344" s="40" t="str">
        <f ca="1">IF(Agent07_Withdrawals!A151="","","WD"&amp;TEXT(1344-3,"0000")&amp;"-"&amp;TEXT(TODAY(),"YYYYMMDD"))</f>
        <v/>
      </c>
      <c r="C1344" s="40" t="str">
        <f>IF(Agent07_Withdrawals!A151="","",Agent07_Withdrawals!B151)</f>
        <v/>
      </c>
      <c r="D1344" s="43" t="str">
        <f>IF(Agent07_Withdrawals!A151="","",Agent07_Withdrawals!C151)</f>
        <v/>
      </c>
      <c r="E1344" s="41" t="str">
        <f>IF(Agent07_Withdrawals!A151="","",Agent07_Withdrawals!D151)</f>
        <v/>
      </c>
      <c r="F1344" s="40" t="str">
        <f>IF(Agent07_Withdrawals!A151="","",Agent07_Withdrawals!F151)</f>
        <v/>
      </c>
      <c r="G1344" s="42" t="str">
        <f>IF(Agent07_Withdrawals!A151="","",Agent07_Withdrawals!E151)</f>
        <v/>
      </c>
      <c r="H1344" s="42" t="str">
        <f>IF(Agent07_Withdrawals!A151="","",Agent07_Withdrawals!G151)</f>
        <v/>
      </c>
      <c r="I1344" s="40" t="str">
        <f>IF(Agent07_Withdrawals!A151="","",Agent07_Withdrawals!H151)</f>
        <v/>
      </c>
      <c r="J1344" s="40" t="str">
        <f>IF(Agent07_Withdrawals!A151="","",Agent07_Withdrawals!J151)</f>
        <v/>
      </c>
      <c r="K1344" s="40" t="str">
        <f>IF(Agent07_Withdrawals!A151="","",Agent07_Withdrawals!K151)</f>
        <v/>
      </c>
      <c r="L1344" s="40" t="str">
        <f>IF(G1344="","",IF(D1344-G1344&gt;=System_Config!$B$9,"✅ OK","⚠️ BREACH"))</f>
        <v/>
      </c>
      <c r="M1344" s="40" t="str">
        <f>IFERROR(IF(Agent07_Withdrawals!A151="","",YEAR(Agent07_Withdrawals!D151)),"")</f>
        <v/>
      </c>
    </row>
    <row r="1345" spans="1:13" ht="18" customHeight="1" x14ac:dyDescent="0.25">
      <c r="A1345" s="40" t="str">
        <f>IF(Agent07_Withdrawals!A152="","",Agent07_Withdrawals!A152)</f>
        <v/>
      </c>
      <c r="B1345" s="40" t="str">
        <f ca="1">IF(Agent07_Withdrawals!A152="","","WD"&amp;TEXT(1345-3,"0000")&amp;"-"&amp;TEXT(TODAY(),"YYYYMMDD"))</f>
        <v/>
      </c>
      <c r="C1345" s="40" t="str">
        <f>IF(Agent07_Withdrawals!A152="","",Agent07_Withdrawals!B152)</f>
        <v/>
      </c>
      <c r="D1345" s="43" t="str">
        <f>IF(Agent07_Withdrawals!A152="","",Agent07_Withdrawals!C152)</f>
        <v/>
      </c>
      <c r="E1345" s="41" t="str">
        <f>IF(Agent07_Withdrawals!A152="","",Agent07_Withdrawals!D152)</f>
        <v/>
      </c>
      <c r="F1345" s="40" t="str">
        <f>IF(Agent07_Withdrawals!A152="","",Agent07_Withdrawals!F152)</f>
        <v/>
      </c>
      <c r="G1345" s="42" t="str">
        <f>IF(Agent07_Withdrawals!A152="","",Agent07_Withdrawals!E152)</f>
        <v/>
      </c>
      <c r="H1345" s="42" t="str">
        <f>IF(Agent07_Withdrawals!A152="","",Agent07_Withdrawals!G152)</f>
        <v/>
      </c>
      <c r="I1345" s="40" t="str">
        <f>IF(Agent07_Withdrawals!A152="","",Agent07_Withdrawals!H152)</f>
        <v/>
      </c>
      <c r="J1345" s="40" t="str">
        <f>IF(Agent07_Withdrawals!A152="","",Agent07_Withdrawals!J152)</f>
        <v/>
      </c>
      <c r="K1345" s="40" t="str">
        <f>IF(Agent07_Withdrawals!A152="","",Agent07_Withdrawals!K152)</f>
        <v/>
      </c>
      <c r="L1345" s="40" t="str">
        <f>IF(G1345="","",IF(D1345-G1345&gt;=System_Config!$B$9,"✅ OK","⚠️ BREACH"))</f>
        <v/>
      </c>
      <c r="M1345" s="40" t="str">
        <f>IFERROR(IF(Agent07_Withdrawals!A152="","",YEAR(Agent07_Withdrawals!D152)),"")</f>
        <v/>
      </c>
    </row>
    <row r="1346" spans="1:13" ht="18" customHeight="1" x14ac:dyDescent="0.25">
      <c r="A1346" s="40" t="str">
        <f>IF(Agent07_Withdrawals!A153="","",Agent07_Withdrawals!A153)</f>
        <v/>
      </c>
      <c r="B1346" s="40" t="str">
        <f ca="1">IF(Agent07_Withdrawals!A153="","","WD"&amp;TEXT(1346-3,"0000")&amp;"-"&amp;TEXT(TODAY(),"YYYYMMDD"))</f>
        <v/>
      </c>
      <c r="C1346" s="40" t="str">
        <f>IF(Agent07_Withdrawals!A153="","",Agent07_Withdrawals!B153)</f>
        <v/>
      </c>
      <c r="D1346" s="43" t="str">
        <f>IF(Agent07_Withdrawals!A153="","",Agent07_Withdrawals!C153)</f>
        <v/>
      </c>
      <c r="E1346" s="41" t="str">
        <f>IF(Agent07_Withdrawals!A153="","",Agent07_Withdrawals!D153)</f>
        <v/>
      </c>
      <c r="F1346" s="40" t="str">
        <f>IF(Agent07_Withdrawals!A153="","",Agent07_Withdrawals!F153)</f>
        <v/>
      </c>
      <c r="G1346" s="42" t="str">
        <f>IF(Agent07_Withdrawals!A153="","",Agent07_Withdrawals!E153)</f>
        <v/>
      </c>
      <c r="H1346" s="42" t="str">
        <f>IF(Agent07_Withdrawals!A153="","",Agent07_Withdrawals!G153)</f>
        <v/>
      </c>
      <c r="I1346" s="40" t="str">
        <f>IF(Agent07_Withdrawals!A153="","",Agent07_Withdrawals!H153)</f>
        <v/>
      </c>
      <c r="J1346" s="40" t="str">
        <f>IF(Agent07_Withdrawals!A153="","",Agent07_Withdrawals!J153)</f>
        <v/>
      </c>
      <c r="K1346" s="40" t="str">
        <f>IF(Agent07_Withdrawals!A153="","",Agent07_Withdrawals!K153)</f>
        <v/>
      </c>
      <c r="L1346" s="40" t="str">
        <f>IF(G1346="","",IF(D1346-G1346&gt;=System_Config!$B$9,"✅ OK","⚠️ BREACH"))</f>
        <v/>
      </c>
      <c r="M1346" s="40" t="str">
        <f>IFERROR(IF(Agent07_Withdrawals!A153="","",YEAR(Agent07_Withdrawals!D153)),"")</f>
        <v/>
      </c>
    </row>
    <row r="1347" spans="1:13" ht="18" customHeight="1" x14ac:dyDescent="0.25">
      <c r="A1347" s="40" t="str">
        <f>IF(Agent07_Withdrawals!A154="","",Agent07_Withdrawals!A154)</f>
        <v/>
      </c>
      <c r="B1347" s="40" t="str">
        <f ca="1">IF(Agent07_Withdrawals!A154="","","WD"&amp;TEXT(1347-3,"0000")&amp;"-"&amp;TEXT(TODAY(),"YYYYMMDD"))</f>
        <v/>
      </c>
      <c r="C1347" s="40" t="str">
        <f>IF(Agent07_Withdrawals!A154="","",Agent07_Withdrawals!B154)</f>
        <v/>
      </c>
      <c r="D1347" s="43" t="str">
        <f>IF(Agent07_Withdrawals!A154="","",Agent07_Withdrawals!C154)</f>
        <v/>
      </c>
      <c r="E1347" s="41" t="str">
        <f>IF(Agent07_Withdrawals!A154="","",Agent07_Withdrawals!D154)</f>
        <v/>
      </c>
      <c r="F1347" s="40" t="str">
        <f>IF(Agent07_Withdrawals!A154="","",Agent07_Withdrawals!F154)</f>
        <v/>
      </c>
      <c r="G1347" s="42" t="str">
        <f>IF(Agent07_Withdrawals!A154="","",Agent07_Withdrawals!E154)</f>
        <v/>
      </c>
      <c r="H1347" s="42" t="str">
        <f>IF(Agent07_Withdrawals!A154="","",Agent07_Withdrawals!G154)</f>
        <v/>
      </c>
      <c r="I1347" s="40" t="str">
        <f>IF(Agent07_Withdrawals!A154="","",Agent07_Withdrawals!H154)</f>
        <v/>
      </c>
      <c r="J1347" s="40" t="str">
        <f>IF(Agent07_Withdrawals!A154="","",Agent07_Withdrawals!J154)</f>
        <v/>
      </c>
      <c r="K1347" s="40" t="str">
        <f>IF(Agent07_Withdrawals!A154="","",Agent07_Withdrawals!K154)</f>
        <v/>
      </c>
      <c r="L1347" s="40" t="str">
        <f>IF(G1347="","",IF(D1347-G1347&gt;=System_Config!$B$9,"✅ OK","⚠️ BREACH"))</f>
        <v/>
      </c>
      <c r="M1347" s="40" t="str">
        <f>IFERROR(IF(Agent07_Withdrawals!A154="","",YEAR(Agent07_Withdrawals!D154)),"")</f>
        <v/>
      </c>
    </row>
    <row r="1348" spans="1:13" ht="18" customHeight="1" x14ac:dyDescent="0.25">
      <c r="A1348" s="40" t="str">
        <f>IF(Agent07_Withdrawals!A155="","",Agent07_Withdrawals!A155)</f>
        <v/>
      </c>
      <c r="B1348" s="40" t="str">
        <f ca="1">IF(Agent07_Withdrawals!A155="","","WD"&amp;TEXT(1348-3,"0000")&amp;"-"&amp;TEXT(TODAY(),"YYYYMMDD"))</f>
        <v/>
      </c>
      <c r="C1348" s="40" t="str">
        <f>IF(Agent07_Withdrawals!A155="","",Agent07_Withdrawals!B155)</f>
        <v/>
      </c>
      <c r="D1348" s="43" t="str">
        <f>IF(Agent07_Withdrawals!A155="","",Agent07_Withdrawals!C155)</f>
        <v/>
      </c>
      <c r="E1348" s="41" t="str">
        <f>IF(Agent07_Withdrawals!A155="","",Agent07_Withdrawals!D155)</f>
        <v/>
      </c>
      <c r="F1348" s="40" t="str">
        <f>IF(Agent07_Withdrawals!A155="","",Agent07_Withdrawals!F155)</f>
        <v/>
      </c>
      <c r="G1348" s="42" t="str">
        <f>IF(Agent07_Withdrawals!A155="","",Agent07_Withdrawals!E155)</f>
        <v/>
      </c>
      <c r="H1348" s="42" t="str">
        <f>IF(Agent07_Withdrawals!A155="","",Agent07_Withdrawals!G155)</f>
        <v/>
      </c>
      <c r="I1348" s="40" t="str">
        <f>IF(Agent07_Withdrawals!A155="","",Agent07_Withdrawals!H155)</f>
        <v/>
      </c>
      <c r="J1348" s="40" t="str">
        <f>IF(Agent07_Withdrawals!A155="","",Agent07_Withdrawals!J155)</f>
        <v/>
      </c>
      <c r="K1348" s="40" t="str">
        <f>IF(Agent07_Withdrawals!A155="","",Agent07_Withdrawals!K155)</f>
        <v/>
      </c>
      <c r="L1348" s="40" t="str">
        <f>IF(G1348="","",IF(D1348-G1348&gt;=System_Config!$B$9,"✅ OK","⚠️ BREACH"))</f>
        <v/>
      </c>
      <c r="M1348" s="40" t="str">
        <f>IFERROR(IF(Agent07_Withdrawals!A155="","",YEAR(Agent07_Withdrawals!D155)),"")</f>
        <v/>
      </c>
    </row>
    <row r="1349" spans="1:13" ht="18" customHeight="1" x14ac:dyDescent="0.25">
      <c r="A1349" s="40" t="str">
        <f>IF(Agent07_Withdrawals!A156="","",Agent07_Withdrawals!A156)</f>
        <v/>
      </c>
      <c r="B1349" s="40" t="str">
        <f ca="1">IF(Agent07_Withdrawals!A156="","","WD"&amp;TEXT(1349-3,"0000")&amp;"-"&amp;TEXT(TODAY(),"YYYYMMDD"))</f>
        <v/>
      </c>
      <c r="C1349" s="40" t="str">
        <f>IF(Agent07_Withdrawals!A156="","",Agent07_Withdrawals!B156)</f>
        <v/>
      </c>
      <c r="D1349" s="43" t="str">
        <f>IF(Agent07_Withdrawals!A156="","",Agent07_Withdrawals!C156)</f>
        <v/>
      </c>
      <c r="E1349" s="41" t="str">
        <f>IF(Agent07_Withdrawals!A156="","",Agent07_Withdrawals!D156)</f>
        <v/>
      </c>
      <c r="F1349" s="40" t="str">
        <f>IF(Agent07_Withdrawals!A156="","",Agent07_Withdrawals!F156)</f>
        <v/>
      </c>
      <c r="G1349" s="42" t="str">
        <f>IF(Agent07_Withdrawals!A156="","",Agent07_Withdrawals!E156)</f>
        <v/>
      </c>
      <c r="H1349" s="42" t="str">
        <f>IF(Agent07_Withdrawals!A156="","",Agent07_Withdrawals!G156)</f>
        <v/>
      </c>
      <c r="I1349" s="40" t="str">
        <f>IF(Agent07_Withdrawals!A156="","",Agent07_Withdrawals!H156)</f>
        <v/>
      </c>
      <c r="J1349" s="40" t="str">
        <f>IF(Agent07_Withdrawals!A156="","",Agent07_Withdrawals!J156)</f>
        <v/>
      </c>
      <c r="K1349" s="40" t="str">
        <f>IF(Agent07_Withdrawals!A156="","",Agent07_Withdrawals!K156)</f>
        <v/>
      </c>
      <c r="L1349" s="40" t="str">
        <f>IF(G1349="","",IF(D1349-G1349&gt;=System_Config!$B$9,"✅ OK","⚠️ BREACH"))</f>
        <v/>
      </c>
      <c r="M1349" s="40" t="str">
        <f>IFERROR(IF(Agent07_Withdrawals!A156="","",YEAR(Agent07_Withdrawals!D156)),"")</f>
        <v/>
      </c>
    </row>
    <row r="1350" spans="1:13" ht="18" customHeight="1" x14ac:dyDescent="0.25">
      <c r="A1350" s="40" t="str">
        <f>IF(Agent07_Withdrawals!A157="","",Agent07_Withdrawals!A157)</f>
        <v/>
      </c>
      <c r="B1350" s="40" t="str">
        <f ca="1">IF(Agent07_Withdrawals!A157="","","WD"&amp;TEXT(1350-3,"0000")&amp;"-"&amp;TEXT(TODAY(),"YYYYMMDD"))</f>
        <v/>
      </c>
      <c r="C1350" s="40" t="str">
        <f>IF(Agent07_Withdrawals!A157="","",Agent07_Withdrawals!B157)</f>
        <v/>
      </c>
      <c r="D1350" s="43" t="str">
        <f>IF(Agent07_Withdrawals!A157="","",Agent07_Withdrawals!C157)</f>
        <v/>
      </c>
      <c r="E1350" s="41" t="str">
        <f>IF(Agent07_Withdrawals!A157="","",Agent07_Withdrawals!D157)</f>
        <v/>
      </c>
      <c r="F1350" s="40" t="str">
        <f>IF(Agent07_Withdrawals!A157="","",Agent07_Withdrawals!F157)</f>
        <v/>
      </c>
      <c r="G1350" s="42" t="str">
        <f>IF(Agent07_Withdrawals!A157="","",Agent07_Withdrawals!E157)</f>
        <v/>
      </c>
      <c r="H1350" s="42" t="str">
        <f>IF(Agent07_Withdrawals!A157="","",Agent07_Withdrawals!G157)</f>
        <v/>
      </c>
      <c r="I1350" s="40" t="str">
        <f>IF(Agent07_Withdrawals!A157="","",Agent07_Withdrawals!H157)</f>
        <v/>
      </c>
      <c r="J1350" s="40" t="str">
        <f>IF(Agent07_Withdrawals!A157="","",Agent07_Withdrawals!J157)</f>
        <v/>
      </c>
      <c r="K1350" s="40" t="str">
        <f>IF(Agent07_Withdrawals!A157="","",Agent07_Withdrawals!K157)</f>
        <v/>
      </c>
      <c r="L1350" s="40" t="str">
        <f>IF(G1350="","",IF(D1350-G1350&gt;=System_Config!$B$9,"✅ OK","⚠️ BREACH"))</f>
        <v/>
      </c>
      <c r="M1350" s="40" t="str">
        <f>IFERROR(IF(Agent07_Withdrawals!A157="","",YEAR(Agent07_Withdrawals!D157)),"")</f>
        <v/>
      </c>
    </row>
    <row r="1351" spans="1:13" ht="18" customHeight="1" x14ac:dyDescent="0.25">
      <c r="A1351" s="40" t="str">
        <f>IF(Agent07_Withdrawals!A158="","",Agent07_Withdrawals!A158)</f>
        <v/>
      </c>
      <c r="B1351" s="40" t="str">
        <f ca="1">IF(Agent07_Withdrawals!A158="","","WD"&amp;TEXT(1351-3,"0000")&amp;"-"&amp;TEXT(TODAY(),"YYYYMMDD"))</f>
        <v/>
      </c>
      <c r="C1351" s="40" t="str">
        <f>IF(Agent07_Withdrawals!A158="","",Agent07_Withdrawals!B158)</f>
        <v/>
      </c>
      <c r="D1351" s="43" t="str">
        <f>IF(Agent07_Withdrawals!A158="","",Agent07_Withdrawals!C158)</f>
        <v/>
      </c>
      <c r="E1351" s="41" t="str">
        <f>IF(Agent07_Withdrawals!A158="","",Agent07_Withdrawals!D158)</f>
        <v/>
      </c>
      <c r="F1351" s="40" t="str">
        <f>IF(Agent07_Withdrawals!A158="","",Agent07_Withdrawals!F158)</f>
        <v/>
      </c>
      <c r="G1351" s="42" t="str">
        <f>IF(Agent07_Withdrawals!A158="","",Agent07_Withdrawals!E158)</f>
        <v/>
      </c>
      <c r="H1351" s="42" t="str">
        <f>IF(Agent07_Withdrawals!A158="","",Agent07_Withdrawals!G158)</f>
        <v/>
      </c>
      <c r="I1351" s="40" t="str">
        <f>IF(Agent07_Withdrawals!A158="","",Agent07_Withdrawals!H158)</f>
        <v/>
      </c>
      <c r="J1351" s="40" t="str">
        <f>IF(Agent07_Withdrawals!A158="","",Agent07_Withdrawals!J158)</f>
        <v/>
      </c>
      <c r="K1351" s="40" t="str">
        <f>IF(Agent07_Withdrawals!A158="","",Agent07_Withdrawals!K158)</f>
        <v/>
      </c>
      <c r="L1351" s="40" t="str">
        <f>IF(G1351="","",IF(D1351-G1351&gt;=System_Config!$B$9,"✅ OK","⚠️ BREACH"))</f>
        <v/>
      </c>
      <c r="M1351" s="40" t="str">
        <f>IFERROR(IF(Agent07_Withdrawals!A158="","",YEAR(Agent07_Withdrawals!D158)),"")</f>
        <v/>
      </c>
    </row>
    <row r="1352" spans="1:13" ht="18" customHeight="1" x14ac:dyDescent="0.25">
      <c r="A1352" s="40" t="str">
        <f>IF(Agent07_Withdrawals!A159="","",Agent07_Withdrawals!A159)</f>
        <v/>
      </c>
      <c r="B1352" s="40" t="str">
        <f ca="1">IF(Agent07_Withdrawals!A159="","","WD"&amp;TEXT(1352-3,"0000")&amp;"-"&amp;TEXT(TODAY(),"YYYYMMDD"))</f>
        <v/>
      </c>
      <c r="C1352" s="40" t="str">
        <f>IF(Agent07_Withdrawals!A159="","",Agent07_Withdrawals!B159)</f>
        <v/>
      </c>
      <c r="D1352" s="43" t="str">
        <f>IF(Agent07_Withdrawals!A159="","",Agent07_Withdrawals!C159)</f>
        <v/>
      </c>
      <c r="E1352" s="41" t="str">
        <f>IF(Agent07_Withdrawals!A159="","",Agent07_Withdrawals!D159)</f>
        <v/>
      </c>
      <c r="F1352" s="40" t="str">
        <f>IF(Agent07_Withdrawals!A159="","",Agent07_Withdrawals!F159)</f>
        <v/>
      </c>
      <c r="G1352" s="42" t="str">
        <f>IF(Agent07_Withdrawals!A159="","",Agent07_Withdrawals!E159)</f>
        <v/>
      </c>
      <c r="H1352" s="42" t="str">
        <f>IF(Agent07_Withdrawals!A159="","",Agent07_Withdrawals!G159)</f>
        <v/>
      </c>
      <c r="I1352" s="40" t="str">
        <f>IF(Agent07_Withdrawals!A159="","",Agent07_Withdrawals!H159)</f>
        <v/>
      </c>
      <c r="J1352" s="40" t="str">
        <f>IF(Agent07_Withdrawals!A159="","",Agent07_Withdrawals!J159)</f>
        <v/>
      </c>
      <c r="K1352" s="40" t="str">
        <f>IF(Agent07_Withdrawals!A159="","",Agent07_Withdrawals!K159)</f>
        <v/>
      </c>
      <c r="L1352" s="40" t="str">
        <f>IF(G1352="","",IF(D1352-G1352&gt;=System_Config!$B$9,"✅ OK","⚠️ BREACH"))</f>
        <v/>
      </c>
      <c r="M1352" s="40" t="str">
        <f>IFERROR(IF(Agent07_Withdrawals!A159="","",YEAR(Agent07_Withdrawals!D159)),"")</f>
        <v/>
      </c>
    </row>
    <row r="1353" spans="1:13" ht="18" customHeight="1" x14ac:dyDescent="0.25">
      <c r="A1353" s="40" t="str">
        <f>IF(Agent07_Withdrawals!A160="","",Agent07_Withdrawals!A160)</f>
        <v/>
      </c>
      <c r="B1353" s="40" t="str">
        <f ca="1">IF(Agent07_Withdrawals!A160="","","WD"&amp;TEXT(1353-3,"0000")&amp;"-"&amp;TEXT(TODAY(),"YYYYMMDD"))</f>
        <v/>
      </c>
      <c r="C1353" s="40" t="str">
        <f>IF(Agent07_Withdrawals!A160="","",Agent07_Withdrawals!B160)</f>
        <v/>
      </c>
      <c r="D1353" s="43" t="str">
        <f>IF(Agent07_Withdrawals!A160="","",Agent07_Withdrawals!C160)</f>
        <v/>
      </c>
      <c r="E1353" s="41" t="str">
        <f>IF(Agent07_Withdrawals!A160="","",Agent07_Withdrawals!D160)</f>
        <v/>
      </c>
      <c r="F1353" s="40" t="str">
        <f>IF(Agent07_Withdrawals!A160="","",Agent07_Withdrawals!F160)</f>
        <v/>
      </c>
      <c r="G1353" s="42" t="str">
        <f>IF(Agent07_Withdrawals!A160="","",Agent07_Withdrawals!E160)</f>
        <v/>
      </c>
      <c r="H1353" s="42" t="str">
        <f>IF(Agent07_Withdrawals!A160="","",Agent07_Withdrawals!G160)</f>
        <v/>
      </c>
      <c r="I1353" s="40" t="str">
        <f>IF(Agent07_Withdrawals!A160="","",Agent07_Withdrawals!H160)</f>
        <v/>
      </c>
      <c r="J1353" s="40" t="str">
        <f>IF(Agent07_Withdrawals!A160="","",Agent07_Withdrawals!J160)</f>
        <v/>
      </c>
      <c r="K1353" s="40" t="str">
        <f>IF(Agent07_Withdrawals!A160="","",Agent07_Withdrawals!K160)</f>
        <v/>
      </c>
      <c r="L1353" s="40" t="str">
        <f>IF(G1353="","",IF(D1353-G1353&gt;=System_Config!$B$9,"✅ OK","⚠️ BREACH"))</f>
        <v/>
      </c>
      <c r="M1353" s="40" t="str">
        <f>IFERROR(IF(Agent07_Withdrawals!A160="","",YEAR(Agent07_Withdrawals!D160)),"")</f>
        <v/>
      </c>
    </row>
    <row r="1354" spans="1:13" ht="18" customHeight="1" x14ac:dyDescent="0.25">
      <c r="A1354" s="40" t="str">
        <f>IF(Agent07_Withdrawals!A161="","",Agent07_Withdrawals!A161)</f>
        <v/>
      </c>
      <c r="B1354" s="40" t="str">
        <f ca="1">IF(Agent07_Withdrawals!A161="","","WD"&amp;TEXT(1354-3,"0000")&amp;"-"&amp;TEXT(TODAY(),"YYYYMMDD"))</f>
        <v/>
      </c>
      <c r="C1354" s="40" t="str">
        <f>IF(Agent07_Withdrawals!A161="","",Agent07_Withdrawals!B161)</f>
        <v/>
      </c>
      <c r="D1354" s="43" t="str">
        <f>IF(Agent07_Withdrawals!A161="","",Agent07_Withdrawals!C161)</f>
        <v/>
      </c>
      <c r="E1354" s="41" t="str">
        <f>IF(Agent07_Withdrawals!A161="","",Agent07_Withdrawals!D161)</f>
        <v/>
      </c>
      <c r="F1354" s="40" t="str">
        <f>IF(Agent07_Withdrawals!A161="","",Agent07_Withdrawals!F161)</f>
        <v/>
      </c>
      <c r="G1354" s="42" t="str">
        <f>IF(Agent07_Withdrawals!A161="","",Agent07_Withdrawals!E161)</f>
        <v/>
      </c>
      <c r="H1354" s="42" t="str">
        <f>IF(Agent07_Withdrawals!A161="","",Agent07_Withdrawals!G161)</f>
        <v/>
      </c>
      <c r="I1354" s="40" t="str">
        <f>IF(Agent07_Withdrawals!A161="","",Agent07_Withdrawals!H161)</f>
        <v/>
      </c>
      <c r="J1354" s="40" t="str">
        <f>IF(Agent07_Withdrawals!A161="","",Agent07_Withdrawals!J161)</f>
        <v/>
      </c>
      <c r="K1354" s="40" t="str">
        <f>IF(Agent07_Withdrawals!A161="","",Agent07_Withdrawals!K161)</f>
        <v/>
      </c>
      <c r="L1354" s="40" t="str">
        <f>IF(G1354="","",IF(D1354-G1354&gt;=System_Config!$B$9,"✅ OK","⚠️ BREACH"))</f>
        <v/>
      </c>
      <c r="M1354" s="40" t="str">
        <f>IFERROR(IF(Agent07_Withdrawals!A161="","",YEAR(Agent07_Withdrawals!D161)),"")</f>
        <v/>
      </c>
    </row>
    <row r="1355" spans="1:13" ht="18" customHeight="1" x14ac:dyDescent="0.25">
      <c r="A1355" s="40" t="str">
        <f>IF(Agent07_Withdrawals!A162="","",Agent07_Withdrawals!A162)</f>
        <v/>
      </c>
      <c r="B1355" s="40" t="str">
        <f ca="1">IF(Agent07_Withdrawals!A162="","","WD"&amp;TEXT(1355-3,"0000")&amp;"-"&amp;TEXT(TODAY(),"YYYYMMDD"))</f>
        <v/>
      </c>
      <c r="C1355" s="40" t="str">
        <f>IF(Agent07_Withdrawals!A162="","",Agent07_Withdrawals!B162)</f>
        <v/>
      </c>
      <c r="D1355" s="43" t="str">
        <f>IF(Agent07_Withdrawals!A162="","",Agent07_Withdrawals!C162)</f>
        <v/>
      </c>
      <c r="E1355" s="41" t="str">
        <f>IF(Agent07_Withdrawals!A162="","",Agent07_Withdrawals!D162)</f>
        <v/>
      </c>
      <c r="F1355" s="40" t="str">
        <f>IF(Agent07_Withdrawals!A162="","",Agent07_Withdrawals!F162)</f>
        <v/>
      </c>
      <c r="G1355" s="42" t="str">
        <f>IF(Agent07_Withdrawals!A162="","",Agent07_Withdrawals!E162)</f>
        <v/>
      </c>
      <c r="H1355" s="42" t="str">
        <f>IF(Agent07_Withdrawals!A162="","",Agent07_Withdrawals!G162)</f>
        <v/>
      </c>
      <c r="I1355" s="40" t="str">
        <f>IF(Agent07_Withdrawals!A162="","",Agent07_Withdrawals!H162)</f>
        <v/>
      </c>
      <c r="J1355" s="40" t="str">
        <f>IF(Agent07_Withdrawals!A162="","",Agent07_Withdrawals!J162)</f>
        <v/>
      </c>
      <c r="K1355" s="40" t="str">
        <f>IF(Agent07_Withdrawals!A162="","",Agent07_Withdrawals!K162)</f>
        <v/>
      </c>
      <c r="L1355" s="40" t="str">
        <f>IF(G1355="","",IF(D1355-G1355&gt;=System_Config!$B$9,"✅ OK","⚠️ BREACH"))</f>
        <v/>
      </c>
      <c r="M1355" s="40" t="str">
        <f>IFERROR(IF(Agent07_Withdrawals!A162="","",YEAR(Agent07_Withdrawals!D162)),"")</f>
        <v/>
      </c>
    </row>
    <row r="1356" spans="1:13" ht="18" customHeight="1" x14ac:dyDescent="0.25">
      <c r="A1356" s="40" t="str">
        <f>IF(Agent07_Withdrawals!A163="","",Agent07_Withdrawals!A163)</f>
        <v/>
      </c>
      <c r="B1356" s="40" t="str">
        <f ca="1">IF(Agent07_Withdrawals!A163="","","WD"&amp;TEXT(1356-3,"0000")&amp;"-"&amp;TEXT(TODAY(),"YYYYMMDD"))</f>
        <v/>
      </c>
      <c r="C1356" s="40" t="str">
        <f>IF(Agent07_Withdrawals!A163="","",Agent07_Withdrawals!B163)</f>
        <v/>
      </c>
      <c r="D1356" s="43" t="str">
        <f>IF(Agent07_Withdrawals!A163="","",Agent07_Withdrawals!C163)</f>
        <v/>
      </c>
      <c r="E1356" s="41" t="str">
        <f>IF(Agent07_Withdrawals!A163="","",Agent07_Withdrawals!D163)</f>
        <v/>
      </c>
      <c r="F1356" s="40" t="str">
        <f>IF(Agent07_Withdrawals!A163="","",Agent07_Withdrawals!F163)</f>
        <v/>
      </c>
      <c r="G1356" s="42" t="str">
        <f>IF(Agent07_Withdrawals!A163="","",Agent07_Withdrawals!E163)</f>
        <v/>
      </c>
      <c r="H1356" s="42" t="str">
        <f>IF(Agent07_Withdrawals!A163="","",Agent07_Withdrawals!G163)</f>
        <v/>
      </c>
      <c r="I1356" s="40" t="str">
        <f>IF(Agent07_Withdrawals!A163="","",Agent07_Withdrawals!H163)</f>
        <v/>
      </c>
      <c r="J1356" s="40" t="str">
        <f>IF(Agent07_Withdrawals!A163="","",Agent07_Withdrawals!J163)</f>
        <v/>
      </c>
      <c r="K1356" s="40" t="str">
        <f>IF(Agent07_Withdrawals!A163="","",Agent07_Withdrawals!K163)</f>
        <v/>
      </c>
      <c r="L1356" s="40" t="str">
        <f>IF(G1356="","",IF(D1356-G1356&gt;=System_Config!$B$9,"✅ OK","⚠️ BREACH"))</f>
        <v/>
      </c>
      <c r="M1356" s="40" t="str">
        <f>IFERROR(IF(Agent07_Withdrawals!A163="","",YEAR(Agent07_Withdrawals!D163)),"")</f>
        <v/>
      </c>
    </row>
    <row r="1357" spans="1:13" ht="18" customHeight="1" x14ac:dyDescent="0.25">
      <c r="A1357" s="40" t="str">
        <f>IF(Agent07_Withdrawals!A164="","",Agent07_Withdrawals!A164)</f>
        <v/>
      </c>
      <c r="B1357" s="40" t="str">
        <f ca="1">IF(Agent07_Withdrawals!A164="","","WD"&amp;TEXT(1357-3,"0000")&amp;"-"&amp;TEXT(TODAY(),"YYYYMMDD"))</f>
        <v/>
      </c>
      <c r="C1357" s="40" t="str">
        <f>IF(Agent07_Withdrawals!A164="","",Agent07_Withdrawals!B164)</f>
        <v/>
      </c>
      <c r="D1357" s="43" t="str">
        <f>IF(Agent07_Withdrawals!A164="","",Agent07_Withdrawals!C164)</f>
        <v/>
      </c>
      <c r="E1357" s="41" t="str">
        <f>IF(Agent07_Withdrawals!A164="","",Agent07_Withdrawals!D164)</f>
        <v/>
      </c>
      <c r="F1357" s="40" t="str">
        <f>IF(Agent07_Withdrawals!A164="","",Agent07_Withdrawals!F164)</f>
        <v/>
      </c>
      <c r="G1357" s="42" t="str">
        <f>IF(Agent07_Withdrawals!A164="","",Agent07_Withdrawals!E164)</f>
        <v/>
      </c>
      <c r="H1357" s="42" t="str">
        <f>IF(Agent07_Withdrawals!A164="","",Agent07_Withdrawals!G164)</f>
        <v/>
      </c>
      <c r="I1357" s="40" t="str">
        <f>IF(Agent07_Withdrawals!A164="","",Agent07_Withdrawals!H164)</f>
        <v/>
      </c>
      <c r="J1357" s="40" t="str">
        <f>IF(Agent07_Withdrawals!A164="","",Agent07_Withdrawals!J164)</f>
        <v/>
      </c>
      <c r="K1357" s="40" t="str">
        <f>IF(Agent07_Withdrawals!A164="","",Agent07_Withdrawals!K164)</f>
        <v/>
      </c>
      <c r="L1357" s="40" t="str">
        <f>IF(G1357="","",IF(D1357-G1357&gt;=System_Config!$B$9,"✅ OK","⚠️ BREACH"))</f>
        <v/>
      </c>
      <c r="M1357" s="40" t="str">
        <f>IFERROR(IF(Agent07_Withdrawals!A164="","",YEAR(Agent07_Withdrawals!D164)),"")</f>
        <v/>
      </c>
    </row>
    <row r="1358" spans="1:13" ht="18" customHeight="1" x14ac:dyDescent="0.25">
      <c r="A1358" s="40" t="str">
        <f>IF(Agent07_Withdrawals!A165="","",Agent07_Withdrawals!A165)</f>
        <v/>
      </c>
      <c r="B1358" s="40" t="str">
        <f ca="1">IF(Agent07_Withdrawals!A165="","","WD"&amp;TEXT(1358-3,"0000")&amp;"-"&amp;TEXT(TODAY(),"YYYYMMDD"))</f>
        <v/>
      </c>
      <c r="C1358" s="40" t="str">
        <f>IF(Agent07_Withdrawals!A165="","",Agent07_Withdrawals!B165)</f>
        <v/>
      </c>
      <c r="D1358" s="43" t="str">
        <f>IF(Agent07_Withdrawals!A165="","",Agent07_Withdrawals!C165)</f>
        <v/>
      </c>
      <c r="E1358" s="41" t="str">
        <f>IF(Agent07_Withdrawals!A165="","",Agent07_Withdrawals!D165)</f>
        <v/>
      </c>
      <c r="F1358" s="40" t="str">
        <f>IF(Agent07_Withdrawals!A165="","",Agent07_Withdrawals!F165)</f>
        <v/>
      </c>
      <c r="G1358" s="42" t="str">
        <f>IF(Agent07_Withdrawals!A165="","",Agent07_Withdrawals!E165)</f>
        <v/>
      </c>
      <c r="H1358" s="42" t="str">
        <f>IF(Agent07_Withdrawals!A165="","",Agent07_Withdrawals!G165)</f>
        <v/>
      </c>
      <c r="I1358" s="40" t="str">
        <f>IF(Agent07_Withdrawals!A165="","",Agent07_Withdrawals!H165)</f>
        <v/>
      </c>
      <c r="J1358" s="40" t="str">
        <f>IF(Agent07_Withdrawals!A165="","",Agent07_Withdrawals!J165)</f>
        <v/>
      </c>
      <c r="K1358" s="40" t="str">
        <f>IF(Agent07_Withdrawals!A165="","",Agent07_Withdrawals!K165)</f>
        <v/>
      </c>
      <c r="L1358" s="40" t="str">
        <f>IF(G1358="","",IF(D1358-G1358&gt;=System_Config!$B$9,"✅ OK","⚠️ BREACH"))</f>
        <v/>
      </c>
      <c r="M1358" s="40" t="str">
        <f>IFERROR(IF(Agent07_Withdrawals!A165="","",YEAR(Agent07_Withdrawals!D165)),"")</f>
        <v/>
      </c>
    </row>
    <row r="1359" spans="1:13" ht="18" customHeight="1" x14ac:dyDescent="0.25">
      <c r="A1359" s="40" t="str">
        <f>IF(Agent07_Withdrawals!A166="","",Agent07_Withdrawals!A166)</f>
        <v/>
      </c>
      <c r="B1359" s="40" t="str">
        <f ca="1">IF(Agent07_Withdrawals!A166="","","WD"&amp;TEXT(1359-3,"0000")&amp;"-"&amp;TEXT(TODAY(),"YYYYMMDD"))</f>
        <v/>
      </c>
      <c r="C1359" s="40" t="str">
        <f>IF(Agent07_Withdrawals!A166="","",Agent07_Withdrawals!B166)</f>
        <v/>
      </c>
      <c r="D1359" s="43" t="str">
        <f>IF(Agent07_Withdrawals!A166="","",Agent07_Withdrawals!C166)</f>
        <v/>
      </c>
      <c r="E1359" s="41" t="str">
        <f>IF(Agent07_Withdrawals!A166="","",Agent07_Withdrawals!D166)</f>
        <v/>
      </c>
      <c r="F1359" s="40" t="str">
        <f>IF(Agent07_Withdrawals!A166="","",Agent07_Withdrawals!F166)</f>
        <v/>
      </c>
      <c r="G1359" s="42" t="str">
        <f>IF(Agent07_Withdrawals!A166="","",Agent07_Withdrawals!E166)</f>
        <v/>
      </c>
      <c r="H1359" s="42" t="str">
        <f>IF(Agent07_Withdrawals!A166="","",Agent07_Withdrawals!G166)</f>
        <v/>
      </c>
      <c r="I1359" s="40" t="str">
        <f>IF(Agent07_Withdrawals!A166="","",Agent07_Withdrawals!H166)</f>
        <v/>
      </c>
      <c r="J1359" s="40" t="str">
        <f>IF(Agent07_Withdrawals!A166="","",Agent07_Withdrawals!J166)</f>
        <v/>
      </c>
      <c r="K1359" s="40" t="str">
        <f>IF(Agent07_Withdrawals!A166="","",Agent07_Withdrawals!K166)</f>
        <v/>
      </c>
      <c r="L1359" s="40" t="str">
        <f>IF(G1359="","",IF(D1359-G1359&gt;=System_Config!$B$9,"✅ OK","⚠️ BREACH"))</f>
        <v/>
      </c>
      <c r="M1359" s="40" t="str">
        <f>IFERROR(IF(Agent07_Withdrawals!A166="","",YEAR(Agent07_Withdrawals!D166)),"")</f>
        <v/>
      </c>
    </row>
    <row r="1360" spans="1:13" ht="18" customHeight="1" x14ac:dyDescent="0.25">
      <c r="A1360" s="40" t="str">
        <f>IF(Agent07_Withdrawals!A167="","",Agent07_Withdrawals!A167)</f>
        <v/>
      </c>
      <c r="B1360" s="40" t="str">
        <f ca="1">IF(Agent07_Withdrawals!A167="","","WD"&amp;TEXT(1360-3,"0000")&amp;"-"&amp;TEXT(TODAY(),"YYYYMMDD"))</f>
        <v/>
      </c>
      <c r="C1360" s="40" t="str">
        <f>IF(Agent07_Withdrawals!A167="","",Agent07_Withdrawals!B167)</f>
        <v/>
      </c>
      <c r="D1360" s="43" t="str">
        <f>IF(Agent07_Withdrawals!A167="","",Agent07_Withdrawals!C167)</f>
        <v/>
      </c>
      <c r="E1360" s="41" t="str">
        <f>IF(Agent07_Withdrawals!A167="","",Agent07_Withdrawals!D167)</f>
        <v/>
      </c>
      <c r="F1360" s="40" t="str">
        <f>IF(Agent07_Withdrawals!A167="","",Agent07_Withdrawals!F167)</f>
        <v/>
      </c>
      <c r="G1360" s="42" t="str">
        <f>IF(Agent07_Withdrawals!A167="","",Agent07_Withdrawals!E167)</f>
        <v/>
      </c>
      <c r="H1360" s="42" t="str">
        <f>IF(Agent07_Withdrawals!A167="","",Agent07_Withdrawals!G167)</f>
        <v/>
      </c>
      <c r="I1360" s="40" t="str">
        <f>IF(Agent07_Withdrawals!A167="","",Agent07_Withdrawals!H167)</f>
        <v/>
      </c>
      <c r="J1360" s="40" t="str">
        <f>IF(Agent07_Withdrawals!A167="","",Agent07_Withdrawals!J167)</f>
        <v/>
      </c>
      <c r="K1360" s="40" t="str">
        <f>IF(Agent07_Withdrawals!A167="","",Agent07_Withdrawals!K167)</f>
        <v/>
      </c>
      <c r="L1360" s="40" t="str">
        <f>IF(G1360="","",IF(D1360-G1360&gt;=System_Config!$B$9,"✅ OK","⚠️ BREACH"))</f>
        <v/>
      </c>
      <c r="M1360" s="40" t="str">
        <f>IFERROR(IF(Agent07_Withdrawals!A167="","",YEAR(Agent07_Withdrawals!D167)),"")</f>
        <v/>
      </c>
    </row>
    <row r="1361" spans="1:13" ht="18" customHeight="1" x14ac:dyDescent="0.25">
      <c r="A1361" s="40" t="str">
        <f>IF(Agent07_Withdrawals!A168="","",Agent07_Withdrawals!A168)</f>
        <v/>
      </c>
      <c r="B1361" s="40" t="str">
        <f ca="1">IF(Agent07_Withdrawals!A168="","","WD"&amp;TEXT(1361-3,"0000")&amp;"-"&amp;TEXT(TODAY(),"YYYYMMDD"))</f>
        <v/>
      </c>
      <c r="C1361" s="40" t="str">
        <f>IF(Agent07_Withdrawals!A168="","",Agent07_Withdrawals!B168)</f>
        <v/>
      </c>
      <c r="D1361" s="43" t="str">
        <f>IF(Agent07_Withdrawals!A168="","",Agent07_Withdrawals!C168)</f>
        <v/>
      </c>
      <c r="E1361" s="41" t="str">
        <f>IF(Agent07_Withdrawals!A168="","",Agent07_Withdrawals!D168)</f>
        <v/>
      </c>
      <c r="F1361" s="40" t="str">
        <f>IF(Agent07_Withdrawals!A168="","",Agent07_Withdrawals!F168)</f>
        <v/>
      </c>
      <c r="G1361" s="42" t="str">
        <f>IF(Agent07_Withdrawals!A168="","",Agent07_Withdrawals!E168)</f>
        <v/>
      </c>
      <c r="H1361" s="42" t="str">
        <f>IF(Agent07_Withdrawals!A168="","",Agent07_Withdrawals!G168)</f>
        <v/>
      </c>
      <c r="I1361" s="40" t="str">
        <f>IF(Agent07_Withdrawals!A168="","",Agent07_Withdrawals!H168)</f>
        <v/>
      </c>
      <c r="J1361" s="40" t="str">
        <f>IF(Agent07_Withdrawals!A168="","",Agent07_Withdrawals!J168)</f>
        <v/>
      </c>
      <c r="K1361" s="40" t="str">
        <f>IF(Agent07_Withdrawals!A168="","",Agent07_Withdrawals!K168)</f>
        <v/>
      </c>
      <c r="L1361" s="40" t="str">
        <f>IF(G1361="","",IF(D1361-G1361&gt;=System_Config!$B$9,"✅ OK","⚠️ BREACH"))</f>
        <v/>
      </c>
      <c r="M1361" s="40" t="str">
        <f>IFERROR(IF(Agent07_Withdrawals!A168="","",YEAR(Agent07_Withdrawals!D168)),"")</f>
        <v/>
      </c>
    </row>
    <row r="1362" spans="1:13" ht="18" customHeight="1" x14ac:dyDescent="0.25">
      <c r="A1362" s="40" t="str">
        <f>IF(Agent07_Withdrawals!A169="","",Agent07_Withdrawals!A169)</f>
        <v/>
      </c>
      <c r="B1362" s="40" t="str">
        <f ca="1">IF(Agent07_Withdrawals!A169="","","WD"&amp;TEXT(1362-3,"0000")&amp;"-"&amp;TEXT(TODAY(),"YYYYMMDD"))</f>
        <v/>
      </c>
      <c r="C1362" s="40" t="str">
        <f>IF(Agent07_Withdrawals!A169="","",Agent07_Withdrawals!B169)</f>
        <v/>
      </c>
      <c r="D1362" s="43" t="str">
        <f>IF(Agent07_Withdrawals!A169="","",Agent07_Withdrawals!C169)</f>
        <v/>
      </c>
      <c r="E1362" s="41" t="str">
        <f>IF(Agent07_Withdrawals!A169="","",Agent07_Withdrawals!D169)</f>
        <v/>
      </c>
      <c r="F1362" s="40" t="str">
        <f>IF(Agent07_Withdrawals!A169="","",Agent07_Withdrawals!F169)</f>
        <v/>
      </c>
      <c r="G1362" s="42" t="str">
        <f>IF(Agent07_Withdrawals!A169="","",Agent07_Withdrawals!E169)</f>
        <v/>
      </c>
      <c r="H1362" s="42" t="str">
        <f>IF(Agent07_Withdrawals!A169="","",Agent07_Withdrawals!G169)</f>
        <v/>
      </c>
      <c r="I1362" s="40" t="str">
        <f>IF(Agent07_Withdrawals!A169="","",Agent07_Withdrawals!H169)</f>
        <v/>
      </c>
      <c r="J1362" s="40" t="str">
        <f>IF(Agent07_Withdrawals!A169="","",Agent07_Withdrawals!J169)</f>
        <v/>
      </c>
      <c r="K1362" s="40" t="str">
        <f>IF(Agent07_Withdrawals!A169="","",Agent07_Withdrawals!K169)</f>
        <v/>
      </c>
      <c r="L1362" s="40" t="str">
        <f>IF(G1362="","",IF(D1362-G1362&gt;=System_Config!$B$9,"✅ OK","⚠️ BREACH"))</f>
        <v/>
      </c>
      <c r="M1362" s="40" t="str">
        <f>IFERROR(IF(Agent07_Withdrawals!A169="","",YEAR(Agent07_Withdrawals!D169)),"")</f>
        <v/>
      </c>
    </row>
    <row r="1363" spans="1:13" ht="18" customHeight="1" x14ac:dyDescent="0.25">
      <c r="A1363" s="40" t="str">
        <f>IF(Agent07_Withdrawals!A170="","",Agent07_Withdrawals!A170)</f>
        <v/>
      </c>
      <c r="B1363" s="40" t="str">
        <f ca="1">IF(Agent07_Withdrawals!A170="","","WD"&amp;TEXT(1363-3,"0000")&amp;"-"&amp;TEXT(TODAY(),"YYYYMMDD"))</f>
        <v/>
      </c>
      <c r="C1363" s="40" t="str">
        <f>IF(Agent07_Withdrawals!A170="","",Agent07_Withdrawals!B170)</f>
        <v/>
      </c>
      <c r="D1363" s="43" t="str">
        <f>IF(Agent07_Withdrawals!A170="","",Agent07_Withdrawals!C170)</f>
        <v/>
      </c>
      <c r="E1363" s="41" t="str">
        <f>IF(Agent07_Withdrawals!A170="","",Agent07_Withdrawals!D170)</f>
        <v/>
      </c>
      <c r="F1363" s="40" t="str">
        <f>IF(Agent07_Withdrawals!A170="","",Agent07_Withdrawals!F170)</f>
        <v/>
      </c>
      <c r="G1363" s="42" t="str">
        <f>IF(Agent07_Withdrawals!A170="","",Agent07_Withdrawals!E170)</f>
        <v/>
      </c>
      <c r="H1363" s="42" t="str">
        <f>IF(Agent07_Withdrawals!A170="","",Agent07_Withdrawals!G170)</f>
        <v/>
      </c>
      <c r="I1363" s="40" t="str">
        <f>IF(Agent07_Withdrawals!A170="","",Agent07_Withdrawals!H170)</f>
        <v/>
      </c>
      <c r="J1363" s="40" t="str">
        <f>IF(Agent07_Withdrawals!A170="","",Agent07_Withdrawals!J170)</f>
        <v/>
      </c>
      <c r="K1363" s="40" t="str">
        <f>IF(Agent07_Withdrawals!A170="","",Agent07_Withdrawals!K170)</f>
        <v/>
      </c>
      <c r="L1363" s="40" t="str">
        <f>IF(G1363="","",IF(D1363-G1363&gt;=System_Config!$B$9,"✅ OK","⚠️ BREACH"))</f>
        <v/>
      </c>
      <c r="M1363" s="40" t="str">
        <f>IFERROR(IF(Agent07_Withdrawals!A170="","",YEAR(Agent07_Withdrawals!D170)),"")</f>
        <v/>
      </c>
    </row>
    <row r="1364" spans="1:13" ht="18" customHeight="1" x14ac:dyDescent="0.25">
      <c r="A1364" s="40" t="str">
        <f>IF(Agent07_Withdrawals!A171="","",Agent07_Withdrawals!A171)</f>
        <v/>
      </c>
      <c r="B1364" s="40" t="str">
        <f ca="1">IF(Agent07_Withdrawals!A171="","","WD"&amp;TEXT(1364-3,"0000")&amp;"-"&amp;TEXT(TODAY(),"YYYYMMDD"))</f>
        <v/>
      </c>
      <c r="C1364" s="40" t="str">
        <f>IF(Agent07_Withdrawals!A171="","",Agent07_Withdrawals!B171)</f>
        <v/>
      </c>
      <c r="D1364" s="43" t="str">
        <f>IF(Agent07_Withdrawals!A171="","",Agent07_Withdrawals!C171)</f>
        <v/>
      </c>
      <c r="E1364" s="41" t="str">
        <f>IF(Agent07_Withdrawals!A171="","",Agent07_Withdrawals!D171)</f>
        <v/>
      </c>
      <c r="F1364" s="40" t="str">
        <f>IF(Agent07_Withdrawals!A171="","",Agent07_Withdrawals!F171)</f>
        <v/>
      </c>
      <c r="G1364" s="42" t="str">
        <f>IF(Agent07_Withdrawals!A171="","",Agent07_Withdrawals!E171)</f>
        <v/>
      </c>
      <c r="H1364" s="42" t="str">
        <f>IF(Agent07_Withdrawals!A171="","",Agent07_Withdrawals!G171)</f>
        <v/>
      </c>
      <c r="I1364" s="40" t="str">
        <f>IF(Agent07_Withdrawals!A171="","",Agent07_Withdrawals!H171)</f>
        <v/>
      </c>
      <c r="J1364" s="40" t="str">
        <f>IF(Agent07_Withdrawals!A171="","",Agent07_Withdrawals!J171)</f>
        <v/>
      </c>
      <c r="K1364" s="40" t="str">
        <f>IF(Agent07_Withdrawals!A171="","",Agent07_Withdrawals!K171)</f>
        <v/>
      </c>
      <c r="L1364" s="40" t="str">
        <f>IF(G1364="","",IF(D1364-G1364&gt;=System_Config!$B$9,"✅ OK","⚠️ BREACH"))</f>
        <v/>
      </c>
      <c r="M1364" s="40" t="str">
        <f>IFERROR(IF(Agent07_Withdrawals!A171="","",YEAR(Agent07_Withdrawals!D171)),"")</f>
        <v/>
      </c>
    </row>
    <row r="1365" spans="1:13" ht="18" customHeight="1" x14ac:dyDescent="0.25">
      <c r="A1365" s="40" t="str">
        <f>IF(Agent07_Withdrawals!A172="","",Agent07_Withdrawals!A172)</f>
        <v/>
      </c>
      <c r="B1365" s="40" t="str">
        <f ca="1">IF(Agent07_Withdrawals!A172="","","WD"&amp;TEXT(1365-3,"0000")&amp;"-"&amp;TEXT(TODAY(),"YYYYMMDD"))</f>
        <v/>
      </c>
      <c r="C1365" s="40" t="str">
        <f>IF(Agent07_Withdrawals!A172="","",Agent07_Withdrawals!B172)</f>
        <v/>
      </c>
      <c r="D1365" s="43" t="str">
        <f>IF(Agent07_Withdrawals!A172="","",Agent07_Withdrawals!C172)</f>
        <v/>
      </c>
      <c r="E1365" s="41" t="str">
        <f>IF(Agent07_Withdrawals!A172="","",Agent07_Withdrawals!D172)</f>
        <v/>
      </c>
      <c r="F1365" s="40" t="str">
        <f>IF(Agent07_Withdrawals!A172="","",Agent07_Withdrawals!F172)</f>
        <v/>
      </c>
      <c r="G1365" s="42" t="str">
        <f>IF(Agent07_Withdrawals!A172="","",Agent07_Withdrawals!E172)</f>
        <v/>
      </c>
      <c r="H1365" s="42" t="str">
        <f>IF(Agent07_Withdrawals!A172="","",Agent07_Withdrawals!G172)</f>
        <v/>
      </c>
      <c r="I1365" s="40" t="str">
        <f>IF(Agent07_Withdrawals!A172="","",Agent07_Withdrawals!H172)</f>
        <v/>
      </c>
      <c r="J1365" s="40" t="str">
        <f>IF(Agent07_Withdrawals!A172="","",Agent07_Withdrawals!J172)</f>
        <v/>
      </c>
      <c r="K1365" s="40" t="str">
        <f>IF(Agent07_Withdrawals!A172="","",Agent07_Withdrawals!K172)</f>
        <v/>
      </c>
      <c r="L1365" s="40" t="str">
        <f>IF(G1365="","",IF(D1365-G1365&gt;=System_Config!$B$9,"✅ OK","⚠️ BREACH"))</f>
        <v/>
      </c>
      <c r="M1365" s="40" t="str">
        <f>IFERROR(IF(Agent07_Withdrawals!A172="","",YEAR(Agent07_Withdrawals!D172)),"")</f>
        <v/>
      </c>
    </row>
    <row r="1366" spans="1:13" ht="18" customHeight="1" x14ac:dyDescent="0.25">
      <c r="A1366" s="40" t="str">
        <f>IF(Agent07_Withdrawals!A173="","",Agent07_Withdrawals!A173)</f>
        <v/>
      </c>
      <c r="B1366" s="40" t="str">
        <f ca="1">IF(Agent07_Withdrawals!A173="","","WD"&amp;TEXT(1366-3,"0000")&amp;"-"&amp;TEXT(TODAY(),"YYYYMMDD"))</f>
        <v/>
      </c>
      <c r="C1366" s="40" t="str">
        <f>IF(Agent07_Withdrawals!A173="","",Agent07_Withdrawals!B173)</f>
        <v/>
      </c>
      <c r="D1366" s="43" t="str">
        <f>IF(Agent07_Withdrawals!A173="","",Agent07_Withdrawals!C173)</f>
        <v/>
      </c>
      <c r="E1366" s="41" t="str">
        <f>IF(Agent07_Withdrawals!A173="","",Agent07_Withdrawals!D173)</f>
        <v/>
      </c>
      <c r="F1366" s="40" t="str">
        <f>IF(Agent07_Withdrawals!A173="","",Agent07_Withdrawals!F173)</f>
        <v/>
      </c>
      <c r="G1366" s="42" t="str">
        <f>IF(Agent07_Withdrawals!A173="","",Agent07_Withdrawals!E173)</f>
        <v/>
      </c>
      <c r="H1366" s="42" t="str">
        <f>IF(Agent07_Withdrawals!A173="","",Agent07_Withdrawals!G173)</f>
        <v/>
      </c>
      <c r="I1366" s="40" t="str">
        <f>IF(Agent07_Withdrawals!A173="","",Agent07_Withdrawals!H173)</f>
        <v/>
      </c>
      <c r="J1366" s="40" t="str">
        <f>IF(Agent07_Withdrawals!A173="","",Agent07_Withdrawals!J173)</f>
        <v/>
      </c>
      <c r="K1366" s="40" t="str">
        <f>IF(Agent07_Withdrawals!A173="","",Agent07_Withdrawals!K173)</f>
        <v/>
      </c>
      <c r="L1366" s="40" t="str">
        <f>IF(G1366="","",IF(D1366-G1366&gt;=System_Config!$B$9,"✅ OK","⚠️ BREACH"))</f>
        <v/>
      </c>
      <c r="M1366" s="40" t="str">
        <f>IFERROR(IF(Agent07_Withdrawals!A173="","",YEAR(Agent07_Withdrawals!D173)),"")</f>
        <v/>
      </c>
    </row>
    <row r="1367" spans="1:13" ht="18" customHeight="1" x14ac:dyDescent="0.25">
      <c r="A1367" s="40" t="str">
        <f>IF(Agent07_Withdrawals!A174="","",Agent07_Withdrawals!A174)</f>
        <v/>
      </c>
      <c r="B1367" s="40" t="str">
        <f ca="1">IF(Agent07_Withdrawals!A174="","","WD"&amp;TEXT(1367-3,"0000")&amp;"-"&amp;TEXT(TODAY(),"YYYYMMDD"))</f>
        <v/>
      </c>
      <c r="C1367" s="40" t="str">
        <f>IF(Agent07_Withdrawals!A174="","",Agent07_Withdrawals!B174)</f>
        <v/>
      </c>
      <c r="D1367" s="43" t="str">
        <f>IF(Agent07_Withdrawals!A174="","",Agent07_Withdrawals!C174)</f>
        <v/>
      </c>
      <c r="E1367" s="41" t="str">
        <f>IF(Agent07_Withdrawals!A174="","",Agent07_Withdrawals!D174)</f>
        <v/>
      </c>
      <c r="F1367" s="40" t="str">
        <f>IF(Agent07_Withdrawals!A174="","",Agent07_Withdrawals!F174)</f>
        <v/>
      </c>
      <c r="G1367" s="42" t="str">
        <f>IF(Agent07_Withdrawals!A174="","",Agent07_Withdrawals!E174)</f>
        <v/>
      </c>
      <c r="H1367" s="42" t="str">
        <f>IF(Agent07_Withdrawals!A174="","",Agent07_Withdrawals!G174)</f>
        <v/>
      </c>
      <c r="I1367" s="40" t="str">
        <f>IF(Agent07_Withdrawals!A174="","",Agent07_Withdrawals!H174)</f>
        <v/>
      </c>
      <c r="J1367" s="40" t="str">
        <f>IF(Agent07_Withdrawals!A174="","",Agent07_Withdrawals!J174)</f>
        <v/>
      </c>
      <c r="K1367" s="40" t="str">
        <f>IF(Agent07_Withdrawals!A174="","",Agent07_Withdrawals!K174)</f>
        <v/>
      </c>
      <c r="L1367" s="40" t="str">
        <f>IF(G1367="","",IF(D1367-G1367&gt;=System_Config!$B$9,"✅ OK","⚠️ BREACH"))</f>
        <v/>
      </c>
      <c r="M1367" s="40" t="str">
        <f>IFERROR(IF(Agent07_Withdrawals!A174="","",YEAR(Agent07_Withdrawals!D174)),"")</f>
        <v/>
      </c>
    </row>
    <row r="1368" spans="1:13" ht="18" customHeight="1" x14ac:dyDescent="0.25">
      <c r="A1368" s="40" t="str">
        <f>IF(Agent07_Withdrawals!A175="","",Agent07_Withdrawals!A175)</f>
        <v/>
      </c>
      <c r="B1368" s="40" t="str">
        <f ca="1">IF(Agent07_Withdrawals!A175="","","WD"&amp;TEXT(1368-3,"0000")&amp;"-"&amp;TEXT(TODAY(),"YYYYMMDD"))</f>
        <v/>
      </c>
      <c r="C1368" s="40" t="str">
        <f>IF(Agent07_Withdrawals!A175="","",Agent07_Withdrawals!B175)</f>
        <v/>
      </c>
      <c r="D1368" s="43" t="str">
        <f>IF(Agent07_Withdrawals!A175="","",Agent07_Withdrawals!C175)</f>
        <v/>
      </c>
      <c r="E1368" s="41" t="str">
        <f>IF(Agent07_Withdrawals!A175="","",Agent07_Withdrawals!D175)</f>
        <v/>
      </c>
      <c r="F1368" s="40" t="str">
        <f>IF(Agent07_Withdrawals!A175="","",Agent07_Withdrawals!F175)</f>
        <v/>
      </c>
      <c r="G1368" s="42" t="str">
        <f>IF(Agent07_Withdrawals!A175="","",Agent07_Withdrawals!E175)</f>
        <v/>
      </c>
      <c r="H1368" s="42" t="str">
        <f>IF(Agent07_Withdrawals!A175="","",Agent07_Withdrawals!G175)</f>
        <v/>
      </c>
      <c r="I1368" s="40" t="str">
        <f>IF(Agent07_Withdrawals!A175="","",Agent07_Withdrawals!H175)</f>
        <v/>
      </c>
      <c r="J1368" s="40" t="str">
        <f>IF(Agent07_Withdrawals!A175="","",Agent07_Withdrawals!J175)</f>
        <v/>
      </c>
      <c r="K1368" s="40" t="str">
        <f>IF(Agent07_Withdrawals!A175="","",Agent07_Withdrawals!K175)</f>
        <v/>
      </c>
      <c r="L1368" s="40" t="str">
        <f>IF(G1368="","",IF(D1368-G1368&gt;=System_Config!$B$9,"✅ OK","⚠️ BREACH"))</f>
        <v/>
      </c>
      <c r="M1368" s="40" t="str">
        <f>IFERROR(IF(Agent07_Withdrawals!A175="","",YEAR(Agent07_Withdrawals!D175)),"")</f>
        <v/>
      </c>
    </row>
    <row r="1369" spans="1:13" ht="18" customHeight="1" x14ac:dyDescent="0.25">
      <c r="A1369" s="40" t="str">
        <f>IF(Agent07_Withdrawals!A176="","",Agent07_Withdrawals!A176)</f>
        <v/>
      </c>
      <c r="B1369" s="40" t="str">
        <f ca="1">IF(Agent07_Withdrawals!A176="","","WD"&amp;TEXT(1369-3,"0000")&amp;"-"&amp;TEXT(TODAY(),"YYYYMMDD"))</f>
        <v/>
      </c>
      <c r="C1369" s="40" t="str">
        <f>IF(Agent07_Withdrawals!A176="","",Agent07_Withdrawals!B176)</f>
        <v/>
      </c>
      <c r="D1369" s="43" t="str">
        <f>IF(Agent07_Withdrawals!A176="","",Agent07_Withdrawals!C176)</f>
        <v/>
      </c>
      <c r="E1369" s="41" t="str">
        <f>IF(Agent07_Withdrawals!A176="","",Agent07_Withdrawals!D176)</f>
        <v/>
      </c>
      <c r="F1369" s="40" t="str">
        <f>IF(Agent07_Withdrawals!A176="","",Agent07_Withdrawals!F176)</f>
        <v/>
      </c>
      <c r="G1369" s="42" t="str">
        <f>IF(Agent07_Withdrawals!A176="","",Agent07_Withdrawals!E176)</f>
        <v/>
      </c>
      <c r="H1369" s="42" t="str">
        <f>IF(Agent07_Withdrawals!A176="","",Agent07_Withdrawals!G176)</f>
        <v/>
      </c>
      <c r="I1369" s="40" t="str">
        <f>IF(Agent07_Withdrawals!A176="","",Agent07_Withdrawals!H176)</f>
        <v/>
      </c>
      <c r="J1369" s="40" t="str">
        <f>IF(Agent07_Withdrawals!A176="","",Agent07_Withdrawals!J176)</f>
        <v/>
      </c>
      <c r="K1369" s="40" t="str">
        <f>IF(Agent07_Withdrawals!A176="","",Agent07_Withdrawals!K176)</f>
        <v/>
      </c>
      <c r="L1369" s="40" t="str">
        <f>IF(G1369="","",IF(D1369-G1369&gt;=System_Config!$B$9,"✅ OK","⚠️ BREACH"))</f>
        <v/>
      </c>
      <c r="M1369" s="40" t="str">
        <f>IFERROR(IF(Agent07_Withdrawals!A176="","",YEAR(Agent07_Withdrawals!D176)),"")</f>
        <v/>
      </c>
    </row>
    <row r="1370" spans="1:13" ht="18" customHeight="1" x14ac:dyDescent="0.25">
      <c r="A1370" s="40" t="str">
        <f>IF(Agent07_Withdrawals!A177="","",Agent07_Withdrawals!A177)</f>
        <v/>
      </c>
      <c r="B1370" s="40" t="str">
        <f ca="1">IF(Agent07_Withdrawals!A177="","","WD"&amp;TEXT(1370-3,"0000")&amp;"-"&amp;TEXT(TODAY(),"YYYYMMDD"))</f>
        <v/>
      </c>
      <c r="C1370" s="40" t="str">
        <f>IF(Agent07_Withdrawals!A177="","",Agent07_Withdrawals!B177)</f>
        <v/>
      </c>
      <c r="D1370" s="43" t="str">
        <f>IF(Agent07_Withdrawals!A177="","",Agent07_Withdrawals!C177)</f>
        <v/>
      </c>
      <c r="E1370" s="41" t="str">
        <f>IF(Agent07_Withdrawals!A177="","",Agent07_Withdrawals!D177)</f>
        <v/>
      </c>
      <c r="F1370" s="40" t="str">
        <f>IF(Agent07_Withdrawals!A177="","",Agent07_Withdrawals!F177)</f>
        <v/>
      </c>
      <c r="G1370" s="42" t="str">
        <f>IF(Agent07_Withdrawals!A177="","",Agent07_Withdrawals!E177)</f>
        <v/>
      </c>
      <c r="H1370" s="42" t="str">
        <f>IF(Agent07_Withdrawals!A177="","",Agent07_Withdrawals!G177)</f>
        <v/>
      </c>
      <c r="I1370" s="40" t="str">
        <f>IF(Agent07_Withdrawals!A177="","",Agent07_Withdrawals!H177)</f>
        <v/>
      </c>
      <c r="J1370" s="40" t="str">
        <f>IF(Agent07_Withdrawals!A177="","",Agent07_Withdrawals!J177)</f>
        <v/>
      </c>
      <c r="K1370" s="40" t="str">
        <f>IF(Agent07_Withdrawals!A177="","",Agent07_Withdrawals!K177)</f>
        <v/>
      </c>
      <c r="L1370" s="40" t="str">
        <f>IF(G1370="","",IF(D1370-G1370&gt;=System_Config!$B$9,"✅ OK","⚠️ BREACH"))</f>
        <v/>
      </c>
      <c r="M1370" s="40" t="str">
        <f>IFERROR(IF(Agent07_Withdrawals!A177="","",YEAR(Agent07_Withdrawals!D177)),"")</f>
        <v/>
      </c>
    </row>
    <row r="1371" spans="1:13" ht="18" customHeight="1" x14ac:dyDescent="0.25">
      <c r="A1371" s="40" t="str">
        <f>IF(Agent07_Withdrawals!A178="","",Agent07_Withdrawals!A178)</f>
        <v/>
      </c>
      <c r="B1371" s="40" t="str">
        <f ca="1">IF(Agent07_Withdrawals!A178="","","WD"&amp;TEXT(1371-3,"0000")&amp;"-"&amp;TEXT(TODAY(),"YYYYMMDD"))</f>
        <v/>
      </c>
      <c r="C1371" s="40" t="str">
        <f>IF(Agent07_Withdrawals!A178="","",Agent07_Withdrawals!B178)</f>
        <v/>
      </c>
      <c r="D1371" s="43" t="str">
        <f>IF(Agent07_Withdrawals!A178="","",Agent07_Withdrawals!C178)</f>
        <v/>
      </c>
      <c r="E1371" s="41" t="str">
        <f>IF(Agent07_Withdrawals!A178="","",Agent07_Withdrawals!D178)</f>
        <v/>
      </c>
      <c r="F1371" s="40" t="str">
        <f>IF(Agent07_Withdrawals!A178="","",Agent07_Withdrawals!F178)</f>
        <v/>
      </c>
      <c r="G1371" s="42" t="str">
        <f>IF(Agent07_Withdrawals!A178="","",Agent07_Withdrawals!E178)</f>
        <v/>
      </c>
      <c r="H1371" s="42" t="str">
        <f>IF(Agent07_Withdrawals!A178="","",Agent07_Withdrawals!G178)</f>
        <v/>
      </c>
      <c r="I1371" s="40" t="str">
        <f>IF(Agent07_Withdrawals!A178="","",Agent07_Withdrawals!H178)</f>
        <v/>
      </c>
      <c r="J1371" s="40" t="str">
        <f>IF(Agent07_Withdrawals!A178="","",Agent07_Withdrawals!J178)</f>
        <v/>
      </c>
      <c r="K1371" s="40" t="str">
        <f>IF(Agent07_Withdrawals!A178="","",Agent07_Withdrawals!K178)</f>
        <v/>
      </c>
      <c r="L1371" s="40" t="str">
        <f>IF(G1371="","",IF(D1371-G1371&gt;=System_Config!$B$9,"✅ OK","⚠️ BREACH"))</f>
        <v/>
      </c>
      <c r="M1371" s="40" t="str">
        <f>IFERROR(IF(Agent07_Withdrawals!A178="","",YEAR(Agent07_Withdrawals!D178)),"")</f>
        <v/>
      </c>
    </row>
    <row r="1372" spans="1:13" ht="18" customHeight="1" x14ac:dyDescent="0.25">
      <c r="A1372" s="40" t="str">
        <f>IF(Agent07_Withdrawals!A179="","",Agent07_Withdrawals!A179)</f>
        <v/>
      </c>
      <c r="B1372" s="40" t="str">
        <f ca="1">IF(Agent07_Withdrawals!A179="","","WD"&amp;TEXT(1372-3,"0000")&amp;"-"&amp;TEXT(TODAY(),"YYYYMMDD"))</f>
        <v/>
      </c>
      <c r="C1372" s="40" t="str">
        <f>IF(Agent07_Withdrawals!A179="","",Agent07_Withdrawals!B179)</f>
        <v/>
      </c>
      <c r="D1372" s="43" t="str">
        <f>IF(Agent07_Withdrawals!A179="","",Agent07_Withdrawals!C179)</f>
        <v/>
      </c>
      <c r="E1372" s="41" t="str">
        <f>IF(Agent07_Withdrawals!A179="","",Agent07_Withdrawals!D179)</f>
        <v/>
      </c>
      <c r="F1372" s="40" t="str">
        <f>IF(Agent07_Withdrawals!A179="","",Agent07_Withdrawals!F179)</f>
        <v/>
      </c>
      <c r="G1372" s="42" t="str">
        <f>IF(Agent07_Withdrawals!A179="","",Agent07_Withdrawals!E179)</f>
        <v/>
      </c>
      <c r="H1372" s="42" t="str">
        <f>IF(Agent07_Withdrawals!A179="","",Agent07_Withdrawals!G179)</f>
        <v/>
      </c>
      <c r="I1372" s="40" t="str">
        <f>IF(Agent07_Withdrawals!A179="","",Agent07_Withdrawals!H179)</f>
        <v/>
      </c>
      <c r="J1372" s="40" t="str">
        <f>IF(Agent07_Withdrawals!A179="","",Agent07_Withdrawals!J179)</f>
        <v/>
      </c>
      <c r="K1372" s="40" t="str">
        <f>IF(Agent07_Withdrawals!A179="","",Agent07_Withdrawals!K179)</f>
        <v/>
      </c>
      <c r="L1372" s="40" t="str">
        <f>IF(G1372="","",IF(D1372-G1372&gt;=System_Config!$B$9,"✅ OK","⚠️ BREACH"))</f>
        <v/>
      </c>
      <c r="M1372" s="40" t="str">
        <f>IFERROR(IF(Agent07_Withdrawals!A179="","",YEAR(Agent07_Withdrawals!D179)),"")</f>
        <v/>
      </c>
    </row>
    <row r="1373" spans="1:13" ht="18" customHeight="1" x14ac:dyDescent="0.25">
      <c r="A1373" s="40" t="str">
        <f>IF(Agent07_Withdrawals!A180="","",Agent07_Withdrawals!A180)</f>
        <v/>
      </c>
      <c r="B1373" s="40" t="str">
        <f ca="1">IF(Agent07_Withdrawals!A180="","","WD"&amp;TEXT(1373-3,"0000")&amp;"-"&amp;TEXT(TODAY(),"YYYYMMDD"))</f>
        <v/>
      </c>
      <c r="C1373" s="40" t="str">
        <f>IF(Agent07_Withdrawals!A180="","",Agent07_Withdrawals!B180)</f>
        <v/>
      </c>
      <c r="D1373" s="43" t="str">
        <f>IF(Agent07_Withdrawals!A180="","",Agent07_Withdrawals!C180)</f>
        <v/>
      </c>
      <c r="E1373" s="41" t="str">
        <f>IF(Agent07_Withdrawals!A180="","",Agent07_Withdrawals!D180)</f>
        <v/>
      </c>
      <c r="F1373" s="40" t="str">
        <f>IF(Agent07_Withdrawals!A180="","",Agent07_Withdrawals!F180)</f>
        <v/>
      </c>
      <c r="G1373" s="42" t="str">
        <f>IF(Agent07_Withdrawals!A180="","",Agent07_Withdrawals!E180)</f>
        <v/>
      </c>
      <c r="H1373" s="42" t="str">
        <f>IF(Agent07_Withdrawals!A180="","",Agent07_Withdrawals!G180)</f>
        <v/>
      </c>
      <c r="I1373" s="40" t="str">
        <f>IF(Agent07_Withdrawals!A180="","",Agent07_Withdrawals!H180)</f>
        <v/>
      </c>
      <c r="J1373" s="40" t="str">
        <f>IF(Agent07_Withdrawals!A180="","",Agent07_Withdrawals!J180)</f>
        <v/>
      </c>
      <c r="K1373" s="40" t="str">
        <f>IF(Agent07_Withdrawals!A180="","",Agent07_Withdrawals!K180)</f>
        <v/>
      </c>
      <c r="L1373" s="40" t="str">
        <f>IF(G1373="","",IF(D1373-G1373&gt;=System_Config!$B$9,"✅ OK","⚠️ BREACH"))</f>
        <v/>
      </c>
      <c r="M1373" s="40" t="str">
        <f>IFERROR(IF(Agent07_Withdrawals!A180="","",YEAR(Agent07_Withdrawals!D180)),"")</f>
        <v/>
      </c>
    </row>
    <row r="1374" spans="1:13" ht="18" customHeight="1" x14ac:dyDescent="0.25">
      <c r="A1374" s="40" t="str">
        <f>IF(Agent07_Withdrawals!A181="","",Agent07_Withdrawals!A181)</f>
        <v/>
      </c>
      <c r="B1374" s="40" t="str">
        <f ca="1">IF(Agent07_Withdrawals!A181="","","WD"&amp;TEXT(1374-3,"0000")&amp;"-"&amp;TEXT(TODAY(),"YYYYMMDD"))</f>
        <v/>
      </c>
      <c r="C1374" s="40" t="str">
        <f>IF(Agent07_Withdrawals!A181="","",Agent07_Withdrawals!B181)</f>
        <v/>
      </c>
      <c r="D1374" s="43" t="str">
        <f>IF(Agent07_Withdrawals!A181="","",Agent07_Withdrawals!C181)</f>
        <v/>
      </c>
      <c r="E1374" s="41" t="str">
        <f>IF(Agent07_Withdrawals!A181="","",Agent07_Withdrawals!D181)</f>
        <v/>
      </c>
      <c r="F1374" s="40" t="str">
        <f>IF(Agent07_Withdrawals!A181="","",Agent07_Withdrawals!F181)</f>
        <v/>
      </c>
      <c r="G1374" s="42" t="str">
        <f>IF(Agent07_Withdrawals!A181="","",Agent07_Withdrawals!E181)</f>
        <v/>
      </c>
      <c r="H1374" s="42" t="str">
        <f>IF(Agent07_Withdrawals!A181="","",Agent07_Withdrawals!G181)</f>
        <v/>
      </c>
      <c r="I1374" s="40" t="str">
        <f>IF(Agent07_Withdrawals!A181="","",Agent07_Withdrawals!H181)</f>
        <v/>
      </c>
      <c r="J1374" s="40" t="str">
        <f>IF(Agent07_Withdrawals!A181="","",Agent07_Withdrawals!J181)</f>
        <v/>
      </c>
      <c r="K1374" s="40" t="str">
        <f>IF(Agent07_Withdrawals!A181="","",Agent07_Withdrawals!K181)</f>
        <v/>
      </c>
      <c r="L1374" s="40" t="str">
        <f>IF(G1374="","",IF(D1374-G1374&gt;=System_Config!$B$9,"✅ OK","⚠️ BREACH"))</f>
        <v/>
      </c>
      <c r="M1374" s="40" t="str">
        <f>IFERROR(IF(Agent07_Withdrawals!A181="","",YEAR(Agent07_Withdrawals!D181)),"")</f>
        <v/>
      </c>
    </row>
    <row r="1375" spans="1:13" ht="18" customHeight="1" x14ac:dyDescent="0.25">
      <c r="A1375" s="40" t="str">
        <f>IF(Agent07_Withdrawals!A182="","",Agent07_Withdrawals!A182)</f>
        <v/>
      </c>
      <c r="B1375" s="40" t="str">
        <f ca="1">IF(Agent07_Withdrawals!A182="","","WD"&amp;TEXT(1375-3,"0000")&amp;"-"&amp;TEXT(TODAY(),"YYYYMMDD"))</f>
        <v/>
      </c>
      <c r="C1375" s="40" t="str">
        <f>IF(Agent07_Withdrawals!A182="","",Agent07_Withdrawals!B182)</f>
        <v/>
      </c>
      <c r="D1375" s="43" t="str">
        <f>IF(Agent07_Withdrawals!A182="","",Agent07_Withdrawals!C182)</f>
        <v/>
      </c>
      <c r="E1375" s="41" t="str">
        <f>IF(Agent07_Withdrawals!A182="","",Agent07_Withdrawals!D182)</f>
        <v/>
      </c>
      <c r="F1375" s="40" t="str">
        <f>IF(Agent07_Withdrawals!A182="","",Agent07_Withdrawals!F182)</f>
        <v/>
      </c>
      <c r="G1375" s="42" t="str">
        <f>IF(Agent07_Withdrawals!A182="","",Agent07_Withdrawals!E182)</f>
        <v/>
      </c>
      <c r="H1375" s="42" t="str">
        <f>IF(Agent07_Withdrawals!A182="","",Agent07_Withdrawals!G182)</f>
        <v/>
      </c>
      <c r="I1375" s="40" t="str">
        <f>IF(Agent07_Withdrawals!A182="","",Agent07_Withdrawals!H182)</f>
        <v/>
      </c>
      <c r="J1375" s="40" t="str">
        <f>IF(Agent07_Withdrawals!A182="","",Agent07_Withdrawals!J182)</f>
        <v/>
      </c>
      <c r="K1375" s="40" t="str">
        <f>IF(Agent07_Withdrawals!A182="","",Agent07_Withdrawals!K182)</f>
        <v/>
      </c>
      <c r="L1375" s="40" t="str">
        <f>IF(G1375="","",IF(D1375-G1375&gt;=System_Config!$B$9,"✅ OK","⚠️ BREACH"))</f>
        <v/>
      </c>
      <c r="M1375" s="40" t="str">
        <f>IFERROR(IF(Agent07_Withdrawals!A182="","",YEAR(Agent07_Withdrawals!D182)),"")</f>
        <v/>
      </c>
    </row>
    <row r="1376" spans="1:13" ht="18" customHeight="1" x14ac:dyDescent="0.25">
      <c r="A1376" s="40" t="str">
        <f>IF(Agent07_Withdrawals!A183="","",Agent07_Withdrawals!A183)</f>
        <v/>
      </c>
      <c r="B1376" s="40" t="str">
        <f ca="1">IF(Agent07_Withdrawals!A183="","","WD"&amp;TEXT(1376-3,"0000")&amp;"-"&amp;TEXT(TODAY(),"YYYYMMDD"))</f>
        <v/>
      </c>
      <c r="C1376" s="40" t="str">
        <f>IF(Agent07_Withdrawals!A183="","",Agent07_Withdrawals!B183)</f>
        <v/>
      </c>
      <c r="D1376" s="43" t="str">
        <f>IF(Agent07_Withdrawals!A183="","",Agent07_Withdrawals!C183)</f>
        <v/>
      </c>
      <c r="E1376" s="41" t="str">
        <f>IF(Agent07_Withdrawals!A183="","",Agent07_Withdrawals!D183)</f>
        <v/>
      </c>
      <c r="F1376" s="40" t="str">
        <f>IF(Agent07_Withdrawals!A183="","",Agent07_Withdrawals!F183)</f>
        <v/>
      </c>
      <c r="G1376" s="42" t="str">
        <f>IF(Agent07_Withdrawals!A183="","",Agent07_Withdrawals!E183)</f>
        <v/>
      </c>
      <c r="H1376" s="42" t="str">
        <f>IF(Agent07_Withdrawals!A183="","",Agent07_Withdrawals!G183)</f>
        <v/>
      </c>
      <c r="I1376" s="40" t="str">
        <f>IF(Agent07_Withdrawals!A183="","",Agent07_Withdrawals!H183)</f>
        <v/>
      </c>
      <c r="J1376" s="40" t="str">
        <f>IF(Agent07_Withdrawals!A183="","",Agent07_Withdrawals!J183)</f>
        <v/>
      </c>
      <c r="K1376" s="40" t="str">
        <f>IF(Agent07_Withdrawals!A183="","",Agent07_Withdrawals!K183)</f>
        <v/>
      </c>
      <c r="L1376" s="40" t="str">
        <f>IF(G1376="","",IF(D1376-G1376&gt;=System_Config!$B$9,"✅ OK","⚠️ BREACH"))</f>
        <v/>
      </c>
      <c r="M1376" s="40" t="str">
        <f>IFERROR(IF(Agent07_Withdrawals!A183="","",YEAR(Agent07_Withdrawals!D183)),"")</f>
        <v/>
      </c>
    </row>
    <row r="1377" spans="1:13" ht="18" customHeight="1" x14ac:dyDescent="0.25">
      <c r="A1377" s="40" t="str">
        <f>IF(Agent07_Withdrawals!A184="","",Agent07_Withdrawals!A184)</f>
        <v/>
      </c>
      <c r="B1377" s="40" t="str">
        <f ca="1">IF(Agent07_Withdrawals!A184="","","WD"&amp;TEXT(1377-3,"0000")&amp;"-"&amp;TEXT(TODAY(),"YYYYMMDD"))</f>
        <v/>
      </c>
      <c r="C1377" s="40" t="str">
        <f>IF(Agent07_Withdrawals!A184="","",Agent07_Withdrawals!B184)</f>
        <v/>
      </c>
      <c r="D1377" s="43" t="str">
        <f>IF(Agent07_Withdrawals!A184="","",Agent07_Withdrawals!C184)</f>
        <v/>
      </c>
      <c r="E1377" s="41" t="str">
        <f>IF(Agent07_Withdrawals!A184="","",Agent07_Withdrawals!D184)</f>
        <v/>
      </c>
      <c r="F1377" s="40" t="str">
        <f>IF(Agent07_Withdrawals!A184="","",Agent07_Withdrawals!F184)</f>
        <v/>
      </c>
      <c r="G1377" s="42" t="str">
        <f>IF(Agent07_Withdrawals!A184="","",Agent07_Withdrawals!E184)</f>
        <v/>
      </c>
      <c r="H1377" s="42" t="str">
        <f>IF(Agent07_Withdrawals!A184="","",Agent07_Withdrawals!G184)</f>
        <v/>
      </c>
      <c r="I1377" s="40" t="str">
        <f>IF(Agent07_Withdrawals!A184="","",Agent07_Withdrawals!H184)</f>
        <v/>
      </c>
      <c r="J1377" s="40" t="str">
        <f>IF(Agent07_Withdrawals!A184="","",Agent07_Withdrawals!J184)</f>
        <v/>
      </c>
      <c r="K1377" s="40" t="str">
        <f>IF(Agent07_Withdrawals!A184="","",Agent07_Withdrawals!K184)</f>
        <v/>
      </c>
      <c r="L1377" s="40" t="str">
        <f>IF(G1377="","",IF(D1377-G1377&gt;=System_Config!$B$9,"✅ OK","⚠️ BREACH"))</f>
        <v/>
      </c>
      <c r="M1377" s="40" t="str">
        <f>IFERROR(IF(Agent07_Withdrawals!A184="","",YEAR(Agent07_Withdrawals!D184)),"")</f>
        <v/>
      </c>
    </row>
    <row r="1378" spans="1:13" ht="18" customHeight="1" x14ac:dyDescent="0.25">
      <c r="A1378" s="40" t="str">
        <f>IF(Agent07_Withdrawals!A185="","",Agent07_Withdrawals!A185)</f>
        <v/>
      </c>
      <c r="B1378" s="40" t="str">
        <f ca="1">IF(Agent07_Withdrawals!A185="","","WD"&amp;TEXT(1378-3,"0000")&amp;"-"&amp;TEXT(TODAY(),"YYYYMMDD"))</f>
        <v/>
      </c>
      <c r="C1378" s="40" t="str">
        <f>IF(Agent07_Withdrawals!A185="","",Agent07_Withdrawals!B185)</f>
        <v/>
      </c>
      <c r="D1378" s="43" t="str">
        <f>IF(Agent07_Withdrawals!A185="","",Agent07_Withdrawals!C185)</f>
        <v/>
      </c>
      <c r="E1378" s="41" t="str">
        <f>IF(Agent07_Withdrawals!A185="","",Agent07_Withdrawals!D185)</f>
        <v/>
      </c>
      <c r="F1378" s="40" t="str">
        <f>IF(Agent07_Withdrawals!A185="","",Agent07_Withdrawals!F185)</f>
        <v/>
      </c>
      <c r="G1378" s="42" t="str">
        <f>IF(Agent07_Withdrawals!A185="","",Agent07_Withdrawals!E185)</f>
        <v/>
      </c>
      <c r="H1378" s="42" t="str">
        <f>IF(Agent07_Withdrawals!A185="","",Agent07_Withdrawals!G185)</f>
        <v/>
      </c>
      <c r="I1378" s="40" t="str">
        <f>IF(Agent07_Withdrawals!A185="","",Agent07_Withdrawals!H185)</f>
        <v/>
      </c>
      <c r="J1378" s="40" t="str">
        <f>IF(Agent07_Withdrawals!A185="","",Agent07_Withdrawals!J185)</f>
        <v/>
      </c>
      <c r="K1378" s="40" t="str">
        <f>IF(Agent07_Withdrawals!A185="","",Agent07_Withdrawals!K185)</f>
        <v/>
      </c>
      <c r="L1378" s="40" t="str">
        <f>IF(G1378="","",IF(D1378-G1378&gt;=System_Config!$B$9,"✅ OK","⚠️ BREACH"))</f>
        <v/>
      </c>
      <c r="M1378" s="40" t="str">
        <f>IFERROR(IF(Agent07_Withdrawals!A185="","",YEAR(Agent07_Withdrawals!D185)),"")</f>
        <v/>
      </c>
    </row>
    <row r="1379" spans="1:13" ht="18" customHeight="1" x14ac:dyDescent="0.25">
      <c r="A1379" s="40" t="str">
        <f>IF(Agent07_Withdrawals!A186="","",Agent07_Withdrawals!A186)</f>
        <v/>
      </c>
      <c r="B1379" s="40" t="str">
        <f ca="1">IF(Agent07_Withdrawals!A186="","","WD"&amp;TEXT(1379-3,"0000")&amp;"-"&amp;TEXT(TODAY(),"YYYYMMDD"))</f>
        <v/>
      </c>
      <c r="C1379" s="40" t="str">
        <f>IF(Agent07_Withdrawals!A186="","",Agent07_Withdrawals!B186)</f>
        <v/>
      </c>
      <c r="D1379" s="43" t="str">
        <f>IF(Agent07_Withdrawals!A186="","",Agent07_Withdrawals!C186)</f>
        <v/>
      </c>
      <c r="E1379" s="41" t="str">
        <f>IF(Agent07_Withdrawals!A186="","",Agent07_Withdrawals!D186)</f>
        <v/>
      </c>
      <c r="F1379" s="40" t="str">
        <f>IF(Agent07_Withdrawals!A186="","",Agent07_Withdrawals!F186)</f>
        <v/>
      </c>
      <c r="G1379" s="42" t="str">
        <f>IF(Agent07_Withdrawals!A186="","",Agent07_Withdrawals!E186)</f>
        <v/>
      </c>
      <c r="H1379" s="42" t="str">
        <f>IF(Agent07_Withdrawals!A186="","",Agent07_Withdrawals!G186)</f>
        <v/>
      </c>
      <c r="I1379" s="40" t="str">
        <f>IF(Agent07_Withdrawals!A186="","",Agent07_Withdrawals!H186)</f>
        <v/>
      </c>
      <c r="J1379" s="40" t="str">
        <f>IF(Agent07_Withdrawals!A186="","",Agent07_Withdrawals!J186)</f>
        <v/>
      </c>
      <c r="K1379" s="40" t="str">
        <f>IF(Agent07_Withdrawals!A186="","",Agent07_Withdrawals!K186)</f>
        <v/>
      </c>
      <c r="L1379" s="40" t="str">
        <f>IF(G1379="","",IF(D1379-G1379&gt;=System_Config!$B$9,"✅ OK","⚠️ BREACH"))</f>
        <v/>
      </c>
      <c r="M1379" s="40" t="str">
        <f>IFERROR(IF(Agent07_Withdrawals!A186="","",YEAR(Agent07_Withdrawals!D186)),"")</f>
        <v/>
      </c>
    </row>
    <row r="1380" spans="1:13" ht="18" customHeight="1" x14ac:dyDescent="0.25">
      <c r="A1380" s="40" t="str">
        <f>IF(Agent07_Withdrawals!A187="","",Agent07_Withdrawals!A187)</f>
        <v/>
      </c>
      <c r="B1380" s="40" t="str">
        <f ca="1">IF(Agent07_Withdrawals!A187="","","WD"&amp;TEXT(1380-3,"0000")&amp;"-"&amp;TEXT(TODAY(),"YYYYMMDD"))</f>
        <v/>
      </c>
      <c r="C1380" s="40" t="str">
        <f>IF(Agent07_Withdrawals!A187="","",Agent07_Withdrawals!B187)</f>
        <v/>
      </c>
      <c r="D1380" s="43" t="str">
        <f>IF(Agent07_Withdrawals!A187="","",Agent07_Withdrawals!C187)</f>
        <v/>
      </c>
      <c r="E1380" s="41" t="str">
        <f>IF(Agent07_Withdrawals!A187="","",Agent07_Withdrawals!D187)</f>
        <v/>
      </c>
      <c r="F1380" s="40" t="str">
        <f>IF(Agent07_Withdrawals!A187="","",Agent07_Withdrawals!F187)</f>
        <v/>
      </c>
      <c r="G1380" s="42" t="str">
        <f>IF(Agent07_Withdrawals!A187="","",Agent07_Withdrawals!E187)</f>
        <v/>
      </c>
      <c r="H1380" s="42" t="str">
        <f>IF(Agent07_Withdrawals!A187="","",Agent07_Withdrawals!G187)</f>
        <v/>
      </c>
      <c r="I1380" s="40" t="str">
        <f>IF(Agent07_Withdrawals!A187="","",Agent07_Withdrawals!H187)</f>
        <v/>
      </c>
      <c r="J1380" s="40" t="str">
        <f>IF(Agent07_Withdrawals!A187="","",Agent07_Withdrawals!J187)</f>
        <v/>
      </c>
      <c r="K1380" s="40" t="str">
        <f>IF(Agent07_Withdrawals!A187="","",Agent07_Withdrawals!K187)</f>
        <v/>
      </c>
      <c r="L1380" s="40" t="str">
        <f>IF(G1380="","",IF(D1380-G1380&gt;=System_Config!$B$9,"✅ OK","⚠️ BREACH"))</f>
        <v/>
      </c>
      <c r="M1380" s="40" t="str">
        <f>IFERROR(IF(Agent07_Withdrawals!A187="","",YEAR(Agent07_Withdrawals!D187)),"")</f>
        <v/>
      </c>
    </row>
    <row r="1381" spans="1:13" ht="18" customHeight="1" x14ac:dyDescent="0.25">
      <c r="A1381" s="40" t="str">
        <f>IF(Agent07_Withdrawals!A188="","",Agent07_Withdrawals!A188)</f>
        <v/>
      </c>
      <c r="B1381" s="40" t="str">
        <f ca="1">IF(Agent07_Withdrawals!A188="","","WD"&amp;TEXT(1381-3,"0000")&amp;"-"&amp;TEXT(TODAY(),"YYYYMMDD"))</f>
        <v/>
      </c>
      <c r="C1381" s="40" t="str">
        <f>IF(Agent07_Withdrawals!A188="","",Agent07_Withdrawals!B188)</f>
        <v/>
      </c>
      <c r="D1381" s="43" t="str">
        <f>IF(Agent07_Withdrawals!A188="","",Agent07_Withdrawals!C188)</f>
        <v/>
      </c>
      <c r="E1381" s="41" t="str">
        <f>IF(Agent07_Withdrawals!A188="","",Agent07_Withdrawals!D188)</f>
        <v/>
      </c>
      <c r="F1381" s="40" t="str">
        <f>IF(Agent07_Withdrawals!A188="","",Agent07_Withdrawals!F188)</f>
        <v/>
      </c>
      <c r="G1381" s="42" t="str">
        <f>IF(Agent07_Withdrawals!A188="","",Agent07_Withdrawals!E188)</f>
        <v/>
      </c>
      <c r="H1381" s="42" t="str">
        <f>IF(Agent07_Withdrawals!A188="","",Agent07_Withdrawals!G188)</f>
        <v/>
      </c>
      <c r="I1381" s="40" t="str">
        <f>IF(Agent07_Withdrawals!A188="","",Agent07_Withdrawals!H188)</f>
        <v/>
      </c>
      <c r="J1381" s="40" t="str">
        <f>IF(Agent07_Withdrawals!A188="","",Agent07_Withdrawals!J188)</f>
        <v/>
      </c>
      <c r="K1381" s="40" t="str">
        <f>IF(Agent07_Withdrawals!A188="","",Agent07_Withdrawals!K188)</f>
        <v/>
      </c>
      <c r="L1381" s="40" t="str">
        <f>IF(G1381="","",IF(D1381-G1381&gt;=System_Config!$B$9,"✅ OK","⚠️ BREACH"))</f>
        <v/>
      </c>
      <c r="M1381" s="40" t="str">
        <f>IFERROR(IF(Agent07_Withdrawals!A188="","",YEAR(Agent07_Withdrawals!D188)),"")</f>
        <v/>
      </c>
    </row>
    <row r="1382" spans="1:13" ht="18" customHeight="1" x14ac:dyDescent="0.25">
      <c r="A1382" s="40" t="str">
        <f>IF(Agent07_Withdrawals!A189="","",Agent07_Withdrawals!A189)</f>
        <v/>
      </c>
      <c r="B1382" s="40" t="str">
        <f ca="1">IF(Agent07_Withdrawals!A189="","","WD"&amp;TEXT(1382-3,"0000")&amp;"-"&amp;TEXT(TODAY(),"YYYYMMDD"))</f>
        <v/>
      </c>
      <c r="C1382" s="40" t="str">
        <f>IF(Agent07_Withdrawals!A189="","",Agent07_Withdrawals!B189)</f>
        <v/>
      </c>
      <c r="D1382" s="43" t="str">
        <f>IF(Agent07_Withdrawals!A189="","",Agent07_Withdrawals!C189)</f>
        <v/>
      </c>
      <c r="E1382" s="41" t="str">
        <f>IF(Agent07_Withdrawals!A189="","",Agent07_Withdrawals!D189)</f>
        <v/>
      </c>
      <c r="F1382" s="40" t="str">
        <f>IF(Agent07_Withdrawals!A189="","",Agent07_Withdrawals!F189)</f>
        <v/>
      </c>
      <c r="G1382" s="42" t="str">
        <f>IF(Agent07_Withdrawals!A189="","",Agent07_Withdrawals!E189)</f>
        <v/>
      </c>
      <c r="H1382" s="42" t="str">
        <f>IF(Agent07_Withdrawals!A189="","",Agent07_Withdrawals!G189)</f>
        <v/>
      </c>
      <c r="I1382" s="40" t="str">
        <f>IF(Agent07_Withdrawals!A189="","",Agent07_Withdrawals!H189)</f>
        <v/>
      </c>
      <c r="J1382" s="40" t="str">
        <f>IF(Agent07_Withdrawals!A189="","",Agent07_Withdrawals!J189)</f>
        <v/>
      </c>
      <c r="K1382" s="40" t="str">
        <f>IF(Agent07_Withdrawals!A189="","",Agent07_Withdrawals!K189)</f>
        <v/>
      </c>
      <c r="L1382" s="40" t="str">
        <f>IF(G1382="","",IF(D1382-G1382&gt;=System_Config!$B$9,"✅ OK","⚠️ BREACH"))</f>
        <v/>
      </c>
      <c r="M1382" s="40" t="str">
        <f>IFERROR(IF(Agent07_Withdrawals!A189="","",YEAR(Agent07_Withdrawals!D189)),"")</f>
        <v/>
      </c>
    </row>
    <row r="1383" spans="1:13" ht="18" customHeight="1" x14ac:dyDescent="0.25">
      <c r="A1383" s="40" t="str">
        <f>IF(Agent07_Withdrawals!A190="","",Agent07_Withdrawals!A190)</f>
        <v/>
      </c>
      <c r="B1383" s="40" t="str">
        <f ca="1">IF(Agent07_Withdrawals!A190="","","WD"&amp;TEXT(1383-3,"0000")&amp;"-"&amp;TEXT(TODAY(),"YYYYMMDD"))</f>
        <v/>
      </c>
      <c r="C1383" s="40" t="str">
        <f>IF(Agent07_Withdrawals!A190="","",Agent07_Withdrawals!B190)</f>
        <v/>
      </c>
      <c r="D1383" s="43" t="str">
        <f>IF(Agent07_Withdrawals!A190="","",Agent07_Withdrawals!C190)</f>
        <v/>
      </c>
      <c r="E1383" s="41" t="str">
        <f>IF(Agent07_Withdrawals!A190="","",Agent07_Withdrawals!D190)</f>
        <v/>
      </c>
      <c r="F1383" s="40" t="str">
        <f>IF(Agent07_Withdrawals!A190="","",Agent07_Withdrawals!F190)</f>
        <v/>
      </c>
      <c r="G1383" s="42" t="str">
        <f>IF(Agent07_Withdrawals!A190="","",Agent07_Withdrawals!E190)</f>
        <v/>
      </c>
      <c r="H1383" s="42" t="str">
        <f>IF(Agent07_Withdrawals!A190="","",Agent07_Withdrawals!G190)</f>
        <v/>
      </c>
      <c r="I1383" s="40" t="str">
        <f>IF(Agent07_Withdrawals!A190="","",Agent07_Withdrawals!H190)</f>
        <v/>
      </c>
      <c r="J1383" s="40" t="str">
        <f>IF(Agent07_Withdrawals!A190="","",Agent07_Withdrawals!J190)</f>
        <v/>
      </c>
      <c r="K1383" s="40" t="str">
        <f>IF(Agent07_Withdrawals!A190="","",Agent07_Withdrawals!K190)</f>
        <v/>
      </c>
      <c r="L1383" s="40" t="str">
        <f>IF(G1383="","",IF(D1383-G1383&gt;=System_Config!$B$9,"✅ OK","⚠️ BREACH"))</f>
        <v/>
      </c>
      <c r="M1383" s="40" t="str">
        <f>IFERROR(IF(Agent07_Withdrawals!A190="","",YEAR(Agent07_Withdrawals!D190)),"")</f>
        <v/>
      </c>
    </row>
    <row r="1384" spans="1:13" ht="18" customHeight="1" x14ac:dyDescent="0.25">
      <c r="A1384" s="40" t="str">
        <f>IF(Agent07_Withdrawals!A191="","",Agent07_Withdrawals!A191)</f>
        <v/>
      </c>
      <c r="B1384" s="40" t="str">
        <f ca="1">IF(Agent07_Withdrawals!A191="","","WD"&amp;TEXT(1384-3,"0000")&amp;"-"&amp;TEXT(TODAY(),"YYYYMMDD"))</f>
        <v/>
      </c>
      <c r="C1384" s="40" t="str">
        <f>IF(Agent07_Withdrawals!A191="","",Agent07_Withdrawals!B191)</f>
        <v/>
      </c>
      <c r="D1384" s="43" t="str">
        <f>IF(Agent07_Withdrawals!A191="","",Agent07_Withdrawals!C191)</f>
        <v/>
      </c>
      <c r="E1384" s="41" t="str">
        <f>IF(Agent07_Withdrawals!A191="","",Agent07_Withdrawals!D191)</f>
        <v/>
      </c>
      <c r="F1384" s="40" t="str">
        <f>IF(Agent07_Withdrawals!A191="","",Agent07_Withdrawals!F191)</f>
        <v/>
      </c>
      <c r="G1384" s="42" t="str">
        <f>IF(Agent07_Withdrawals!A191="","",Agent07_Withdrawals!E191)</f>
        <v/>
      </c>
      <c r="H1384" s="42" t="str">
        <f>IF(Agent07_Withdrawals!A191="","",Agent07_Withdrawals!G191)</f>
        <v/>
      </c>
      <c r="I1384" s="40" t="str">
        <f>IF(Agent07_Withdrawals!A191="","",Agent07_Withdrawals!H191)</f>
        <v/>
      </c>
      <c r="J1384" s="40" t="str">
        <f>IF(Agent07_Withdrawals!A191="","",Agent07_Withdrawals!J191)</f>
        <v/>
      </c>
      <c r="K1384" s="40" t="str">
        <f>IF(Agent07_Withdrawals!A191="","",Agent07_Withdrawals!K191)</f>
        <v/>
      </c>
      <c r="L1384" s="40" t="str">
        <f>IF(G1384="","",IF(D1384-G1384&gt;=System_Config!$B$9,"✅ OK","⚠️ BREACH"))</f>
        <v/>
      </c>
      <c r="M1384" s="40" t="str">
        <f>IFERROR(IF(Agent07_Withdrawals!A191="","",YEAR(Agent07_Withdrawals!D191)),"")</f>
        <v/>
      </c>
    </row>
    <row r="1385" spans="1:13" ht="18" customHeight="1" x14ac:dyDescent="0.25">
      <c r="A1385" s="40" t="str">
        <f>IF(Agent07_Withdrawals!A192="","",Agent07_Withdrawals!A192)</f>
        <v/>
      </c>
      <c r="B1385" s="40" t="str">
        <f ca="1">IF(Agent07_Withdrawals!A192="","","WD"&amp;TEXT(1385-3,"0000")&amp;"-"&amp;TEXT(TODAY(),"YYYYMMDD"))</f>
        <v/>
      </c>
      <c r="C1385" s="40" t="str">
        <f>IF(Agent07_Withdrawals!A192="","",Agent07_Withdrawals!B192)</f>
        <v/>
      </c>
      <c r="D1385" s="43" t="str">
        <f>IF(Agent07_Withdrawals!A192="","",Agent07_Withdrawals!C192)</f>
        <v/>
      </c>
      <c r="E1385" s="41" t="str">
        <f>IF(Agent07_Withdrawals!A192="","",Agent07_Withdrawals!D192)</f>
        <v/>
      </c>
      <c r="F1385" s="40" t="str">
        <f>IF(Agent07_Withdrawals!A192="","",Agent07_Withdrawals!F192)</f>
        <v/>
      </c>
      <c r="G1385" s="42" t="str">
        <f>IF(Agent07_Withdrawals!A192="","",Agent07_Withdrawals!E192)</f>
        <v/>
      </c>
      <c r="H1385" s="42" t="str">
        <f>IF(Agent07_Withdrawals!A192="","",Agent07_Withdrawals!G192)</f>
        <v/>
      </c>
      <c r="I1385" s="40" t="str">
        <f>IF(Agent07_Withdrawals!A192="","",Agent07_Withdrawals!H192)</f>
        <v/>
      </c>
      <c r="J1385" s="40" t="str">
        <f>IF(Agent07_Withdrawals!A192="","",Agent07_Withdrawals!J192)</f>
        <v/>
      </c>
      <c r="K1385" s="40" t="str">
        <f>IF(Agent07_Withdrawals!A192="","",Agent07_Withdrawals!K192)</f>
        <v/>
      </c>
      <c r="L1385" s="40" t="str">
        <f>IF(G1385="","",IF(D1385-G1385&gt;=System_Config!$B$9,"✅ OK","⚠️ BREACH"))</f>
        <v/>
      </c>
      <c r="M1385" s="40" t="str">
        <f>IFERROR(IF(Agent07_Withdrawals!A192="","",YEAR(Agent07_Withdrawals!D192)),"")</f>
        <v/>
      </c>
    </row>
    <row r="1386" spans="1:13" ht="18" customHeight="1" x14ac:dyDescent="0.25">
      <c r="A1386" s="40" t="str">
        <f>IF(Agent07_Withdrawals!A193="","",Agent07_Withdrawals!A193)</f>
        <v/>
      </c>
      <c r="B1386" s="40" t="str">
        <f ca="1">IF(Agent07_Withdrawals!A193="","","WD"&amp;TEXT(1386-3,"0000")&amp;"-"&amp;TEXT(TODAY(),"YYYYMMDD"))</f>
        <v/>
      </c>
      <c r="C1386" s="40" t="str">
        <f>IF(Agent07_Withdrawals!A193="","",Agent07_Withdrawals!B193)</f>
        <v/>
      </c>
      <c r="D1386" s="43" t="str">
        <f>IF(Agent07_Withdrawals!A193="","",Agent07_Withdrawals!C193)</f>
        <v/>
      </c>
      <c r="E1386" s="41" t="str">
        <f>IF(Agent07_Withdrawals!A193="","",Agent07_Withdrawals!D193)</f>
        <v/>
      </c>
      <c r="F1386" s="40" t="str">
        <f>IF(Agent07_Withdrawals!A193="","",Agent07_Withdrawals!F193)</f>
        <v/>
      </c>
      <c r="G1386" s="42" t="str">
        <f>IF(Agent07_Withdrawals!A193="","",Agent07_Withdrawals!E193)</f>
        <v/>
      </c>
      <c r="H1386" s="42" t="str">
        <f>IF(Agent07_Withdrawals!A193="","",Agent07_Withdrawals!G193)</f>
        <v/>
      </c>
      <c r="I1386" s="40" t="str">
        <f>IF(Agent07_Withdrawals!A193="","",Agent07_Withdrawals!H193)</f>
        <v/>
      </c>
      <c r="J1386" s="40" t="str">
        <f>IF(Agent07_Withdrawals!A193="","",Agent07_Withdrawals!J193)</f>
        <v/>
      </c>
      <c r="K1386" s="40" t="str">
        <f>IF(Agent07_Withdrawals!A193="","",Agent07_Withdrawals!K193)</f>
        <v/>
      </c>
      <c r="L1386" s="40" t="str">
        <f>IF(G1386="","",IF(D1386-G1386&gt;=System_Config!$B$9,"✅ OK","⚠️ BREACH"))</f>
        <v/>
      </c>
      <c r="M1386" s="40" t="str">
        <f>IFERROR(IF(Agent07_Withdrawals!A193="","",YEAR(Agent07_Withdrawals!D193)),"")</f>
        <v/>
      </c>
    </row>
    <row r="1387" spans="1:13" ht="18" customHeight="1" x14ac:dyDescent="0.25">
      <c r="A1387" s="40" t="str">
        <f>IF(Agent07_Withdrawals!A194="","",Agent07_Withdrawals!A194)</f>
        <v/>
      </c>
      <c r="B1387" s="40" t="str">
        <f ca="1">IF(Agent07_Withdrawals!A194="","","WD"&amp;TEXT(1387-3,"0000")&amp;"-"&amp;TEXT(TODAY(),"YYYYMMDD"))</f>
        <v/>
      </c>
      <c r="C1387" s="40" t="str">
        <f>IF(Agent07_Withdrawals!A194="","",Agent07_Withdrawals!B194)</f>
        <v/>
      </c>
      <c r="D1387" s="43" t="str">
        <f>IF(Agent07_Withdrawals!A194="","",Agent07_Withdrawals!C194)</f>
        <v/>
      </c>
      <c r="E1387" s="41" t="str">
        <f>IF(Agent07_Withdrawals!A194="","",Agent07_Withdrawals!D194)</f>
        <v/>
      </c>
      <c r="F1387" s="40" t="str">
        <f>IF(Agent07_Withdrawals!A194="","",Agent07_Withdrawals!F194)</f>
        <v/>
      </c>
      <c r="G1387" s="42" t="str">
        <f>IF(Agent07_Withdrawals!A194="","",Agent07_Withdrawals!E194)</f>
        <v/>
      </c>
      <c r="H1387" s="42" t="str">
        <f>IF(Agent07_Withdrawals!A194="","",Agent07_Withdrawals!G194)</f>
        <v/>
      </c>
      <c r="I1387" s="40" t="str">
        <f>IF(Agent07_Withdrawals!A194="","",Agent07_Withdrawals!H194)</f>
        <v/>
      </c>
      <c r="J1387" s="40" t="str">
        <f>IF(Agent07_Withdrawals!A194="","",Agent07_Withdrawals!J194)</f>
        <v/>
      </c>
      <c r="K1387" s="40" t="str">
        <f>IF(Agent07_Withdrawals!A194="","",Agent07_Withdrawals!K194)</f>
        <v/>
      </c>
      <c r="L1387" s="40" t="str">
        <f>IF(G1387="","",IF(D1387-G1387&gt;=System_Config!$B$9,"✅ OK","⚠️ BREACH"))</f>
        <v/>
      </c>
      <c r="M1387" s="40" t="str">
        <f>IFERROR(IF(Agent07_Withdrawals!A194="","",YEAR(Agent07_Withdrawals!D194)),"")</f>
        <v/>
      </c>
    </row>
    <row r="1388" spans="1:13" ht="18" customHeight="1" x14ac:dyDescent="0.25">
      <c r="A1388" s="40" t="str">
        <f>IF(Agent07_Withdrawals!A195="","",Agent07_Withdrawals!A195)</f>
        <v/>
      </c>
      <c r="B1388" s="40" t="str">
        <f ca="1">IF(Agent07_Withdrawals!A195="","","WD"&amp;TEXT(1388-3,"0000")&amp;"-"&amp;TEXT(TODAY(),"YYYYMMDD"))</f>
        <v/>
      </c>
      <c r="C1388" s="40" t="str">
        <f>IF(Agent07_Withdrawals!A195="","",Agent07_Withdrawals!B195)</f>
        <v/>
      </c>
      <c r="D1388" s="43" t="str">
        <f>IF(Agent07_Withdrawals!A195="","",Agent07_Withdrawals!C195)</f>
        <v/>
      </c>
      <c r="E1388" s="41" t="str">
        <f>IF(Agent07_Withdrawals!A195="","",Agent07_Withdrawals!D195)</f>
        <v/>
      </c>
      <c r="F1388" s="40" t="str">
        <f>IF(Agent07_Withdrawals!A195="","",Agent07_Withdrawals!F195)</f>
        <v/>
      </c>
      <c r="G1388" s="42" t="str">
        <f>IF(Agent07_Withdrawals!A195="","",Agent07_Withdrawals!E195)</f>
        <v/>
      </c>
      <c r="H1388" s="42" t="str">
        <f>IF(Agent07_Withdrawals!A195="","",Agent07_Withdrawals!G195)</f>
        <v/>
      </c>
      <c r="I1388" s="40" t="str">
        <f>IF(Agent07_Withdrawals!A195="","",Agent07_Withdrawals!H195)</f>
        <v/>
      </c>
      <c r="J1388" s="40" t="str">
        <f>IF(Agent07_Withdrawals!A195="","",Agent07_Withdrawals!J195)</f>
        <v/>
      </c>
      <c r="K1388" s="40" t="str">
        <f>IF(Agent07_Withdrawals!A195="","",Agent07_Withdrawals!K195)</f>
        <v/>
      </c>
      <c r="L1388" s="40" t="str">
        <f>IF(G1388="","",IF(D1388-G1388&gt;=System_Config!$B$9,"✅ OK","⚠️ BREACH"))</f>
        <v/>
      </c>
      <c r="M1388" s="40" t="str">
        <f>IFERROR(IF(Agent07_Withdrawals!A195="","",YEAR(Agent07_Withdrawals!D195)),"")</f>
        <v/>
      </c>
    </row>
    <row r="1389" spans="1:13" ht="18" customHeight="1" x14ac:dyDescent="0.25">
      <c r="A1389" s="40" t="str">
        <f>IF(Agent07_Withdrawals!A196="","",Agent07_Withdrawals!A196)</f>
        <v/>
      </c>
      <c r="B1389" s="40" t="str">
        <f ca="1">IF(Agent07_Withdrawals!A196="","","WD"&amp;TEXT(1389-3,"0000")&amp;"-"&amp;TEXT(TODAY(),"YYYYMMDD"))</f>
        <v/>
      </c>
      <c r="C1389" s="40" t="str">
        <f>IF(Agent07_Withdrawals!A196="","",Agent07_Withdrawals!B196)</f>
        <v/>
      </c>
      <c r="D1389" s="43" t="str">
        <f>IF(Agent07_Withdrawals!A196="","",Agent07_Withdrawals!C196)</f>
        <v/>
      </c>
      <c r="E1389" s="41" t="str">
        <f>IF(Agent07_Withdrawals!A196="","",Agent07_Withdrawals!D196)</f>
        <v/>
      </c>
      <c r="F1389" s="40" t="str">
        <f>IF(Agent07_Withdrawals!A196="","",Agent07_Withdrawals!F196)</f>
        <v/>
      </c>
      <c r="G1389" s="42" t="str">
        <f>IF(Agent07_Withdrawals!A196="","",Agent07_Withdrawals!E196)</f>
        <v/>
      </c>
      <c r="H1389" s="42" t="str">
        <f>IF(Agent07_Withdrawals!A196="","",Agent07_Withdrawals!G196)</f>
        <v/>
      </c>
      <c r="I1389" s="40" t="str">
        <f>IF(Agent07_Withdrawals!A196="","",Agent07_Withdrawals!H196)</f>
        <v/>
      </c>
      <c r="J1389" s="40" t="str">
        <f>IF(Agent07_Withdrawals!A196="","",Agent07_Withdrawals!J196)</f>
        <v/>
      </c>
      <c r="K1389" s="40" t="str">
        <f>IF(Agent07_Withdrawals!A196="","",Agent07_Withdrawals!K196)</f>
        <v/>
      </c>
      <c r="L1389" s="40" t="str">
        <f>IF(G1389="","",IF(D1389-G1389&gt;=System_Config!$B$9,"✅ OK","⚠️ BREACH"))</f>
        <v/>
      </c>
      <c r="M1389" s="40" t="str">
        <f>IFERROR(IF(Agent07_Withdrawals!A196="","",YEAR(Agent07_Withdrawals!D196)),"")</f>
        <v/>
      </c>
    </row>
    <row r="1390" spans="1:13" ht="18" customHeight="1" x14ac:dyDescent="0.25">
      <c r="A1390" s="40" t="str">
        <f>IF(Agent07_Withdrawals!A197="","",Agent07_Withdrawals!A197)</f>
        <v/>
      </c>
      <c r="B1390" s="40" t="str">
        <f ca="1">IF(Agent07_Withdrawals!A197="","","WD"&amp;TEXT(1390-3,"0000")&amp;"-"&amp;TEXT(TODAY(),"YYYYMMDD"))</f>
        <v/>
      </c>
      <c r="C1390" s="40" t="str">
        <f>IF(Agent07_Withdrawals!A197="","",Agent07_Withdrawals!B197)</f>
        <v/>
      </c>
      <c r="D1390" s="43" t="str">
        <f>IF(Agent07_Withdrawals!A197="","",Agent07_Withdrawals!C197)</f>
        <v/>
      </c>
      <c r="E1390" s="41" t="str">
        <f>IF(Agent07_Withdrawals!A197="","",Agent07_Withdrawals!D197)</f>
        <v/>
      </c>
      <c r="F1390" s="40" t="str">
        <f>IF(Agent07_Withdrawals!A197="","",Agent07_Withdrawals!F197)</f>
        <v/>
      </c>
      <c r="G1390" s="42" t="str">
        <f>IF(Agent07_Withdrawals!A197="","",Agent07_Withdrawals!E197)</f>
        <v/>
      </c>
      <c r="H1390" s="42" t="str">
        <f>IF(Agent07_Withdrawals!A197="","",Agent07_Withdrawals!G197)</f>
        <v/>
      </c>
      <c r="I1390" s="40" t="str">
        <f>IF(Agent07_Withdrawals!A197="","",Agent07_Withdrawals!H197)</f>
        <v/>
      </c>
      <c r="J1390" s="40" t="str">
        <f>IF(Agent07_Withdrawals!A197="","",Agent07_Withdrawals!J197)</f>
        <v/>
      </c>
      <c r="K1390" s="40" t="str">
        <f>IF(Agent07_Withdrawals!A197="","",Agent07_Withdrawals!K197)</f>
        <v/>
      </c>
      <c r="L1390" s="40" t="str">
        <f>IF(G1390="","",IF(D1390-G1390&gt;=System_Config!$B$9,"✅ OK","⚠️ BREACH"))</f>
        <v/>
      </c>
      <c r="M1390" s="40" t="str">
        <f>IFERROR(IF(Agent07_Withdrawals!A197="","",YEAR(Agent07_Withdrawals!D197)),"")</f>
        <v/>
      </c>
    </row>
    <row r="1391" spans="1:13" ht="18" customHeight="1" x14ac:dyDescent="0.25">
      <c r="A1391" s="40" t="str">
        <f>IF(Agent07_Withdrawals!A198="","",Agent07_Withdrawals!A198)</f>
        <v/>
      </c>
      <c r="B1391" s="40" t="str">
        <f ca="1">IF(Agent07_Withdrawals!A198="","","WD"&amp;TEXT(1391-3,"0000")&amp;"-"&amp;TEXT(TODAY(),"YYYYMMDD"))</f>
        <v/>
      </c>
      <c r="C1391" s="40" t="str">
        <f>IF(Agent07_Withdrawals!A198="","",Agent07_Withdrawals!B198)</f>
        <v/>
      </c>
      <c r="D1391" s="43" t="str">
        <f>IF(Agent07_Withdrawals!A198="","",Agent07_Withdrawals!C198)</f>
        <v/>
      </c>
      <c r="E1391" s="41" t="str">
        <f>IF(Agent07_Withdrawals!A198="","",Agent07_Withdrawals!D198)</f>
        <v/>
      </c>
      <c r="F1391" s="40" t="str">
        <f>IF(Agent07_Withdrawals!A198="","",Agent07_Withdrawals!F198)</f>
        <v/>
      </c>
      <c r="G1391" s="42" t="str">
        <f>IF(Agent07_Withdrawals!A198="","",Agent07_Withdrawals!E198)</f>
        <v/>
      </c>
      <c r="H1391" s="42" t="str">
        <f>IF(Agent07_Withdrawals!A198="","",Agent07_Withdrawals!G198)</f>
        <v/>
      </c>
      <c r="I1391" s="40" t="str">
        <f>IF(Agent07_Withdrawals!A198="","",Agent07_Withdrawals!H198)</f>
        <v/>
      </c>
      <c r="J1391" s="40" t="str">
        <f>IF(Agent07_Withdrawals!A198="","",Agent07_Withdrawals!J198)</f>
        <v/>
      </c>
      <c r="K1391" s="40" t="str">
        <f>IF(Agent07_Withdrawals!A198="","",Agent07_Withdrawals!K198)</f>
        <v/>
      </c>
      <c r="L1391" s="40" t="str">
        <f>IF(G1391="","",IF(D1391-G1391&gt;=System_Config!$B$9,"✅ OK","⚠️ BREACH"))</f>
        <v/>
      </c>
      <c r="M1391" s="40" t="str">
        <f>IFERROR(IF(Agent07_Withdrawals!A198="","",YEAR(Agent07_Withdrawals!D198)),"")</f>
        <v/>
      </c>
    </row>
    <row r="1392" spans="1:13" ht="18" customHeight="1" x14ac:dyDescent="0.25">
      <c r="A1392" s="40" t="str">
        <f>IF(Agent07_Withdrawals!A199="","",Agent07_Withdrawals!A199)</f>
        <v/>
      </c>
      <c r="B1392" s="40" t="str">
        <f ca="1">IF(Agent07_Withdrawals!A199="","","WD"&amp;TEXT(1392-3,"0000")&amp;"-"&amp;TEXT(TODAY(),"YYYYMMDD"))</f>
        <v/>
      </c>
      <c r="C1392" s="40" t="str">
        <f>IF(Agent07_Withdrawals!A199="","",Agent07_Withdrawals!B199)</f>
        <v/>
      </c>
      <c r="D1392" s="43" t="str">
        <f>IF(Agent07_Withdrawals!A199="","",Agent07_Withdrawals!C199)</f>
        <v/>
      </c>
      <c r="E1392" s="41" t="str">
        <f>IF(Agent07_Withdrawals!A199="","",Agent07_Withdrawals!D199)</f>
        <v/>
      </c>
      <c r="F1392" s="40" t="str">
        <f>IF(Agent07_Withdrawals!A199="","",Agent07_Withdrawals!F199)</f>
        <v/>
      </c>
      <c r="G1392" s="42" t="str">
        <f>IF(Agent07_Withdrawals!A199="","",Agent07_Withdrawals!E199)</f>
        <v/>
      </c>
      <c r="H1392" s="42" t="str">
        <f>IF(Agent07_Withdrawals!A199="","",Agent07_Withdrawals!G199)</f>
        <v/>
      </c>
      <c r="I1392" s="40" t="str">
        <f>IF(Agent07_Withdrawals!A199="","",Agent07_Withdrawals!H199)</f>
        <v/>
      </c>
      <c r="J1392" s="40" t="str">
        <f>IF(Agent07_Withdrawals!A199="","",Agent07_Withdrawals!J199)</f>
        <v/>
      </c>
      <c r="K1392" s="40" t="str">
        <f>IF(Agent07_Withdrawals!A199="","",Agent07_Withdrawals!K199)</f>
        <v/>
      </c>
      <c r="L1392" s="40" t="str">
        <f>IF(G1392="","",IF(D1392-G1392&gt;=System_Config!$B$9,"✅ OK","⚠️ BREACH"))</f>
        <v/>
      </c>
      <c r="M1392" s="40" t="str">
        <f>IFERROR(IF(Agent07_Withdrawals!A199="","",YEAR(Agent07_Withdrawals!D199)),"")</f>
        <v/>
      </c>
    </row>
    <row r="1393" spans="1:13" ht="18" customHeight="1" x14ac:dyDescent="0.25">
      <c r="A1393" s="40" t="str">
        <f>IF(Agent07_Withdrawals!A200="","",Agent07_Withdrawals!A200)</f>
        <v/>
      </c>
      <c r="B1393" s="40" t="str">
        <f ca="1">IF(Agent07_Withdrawals!A200="","","WD"&amp;TEXT(1393-3,"0000")&amp;"-"&amp;TEXT(TODAY(),"YYYYMMDD"))</f>
        <v/>
      </c>
      <c r="C1393" s="40" t="str">
        <f>IF(Agent07_Withdrawals!A200="","",Agent07_Withdrawals!B200)</f>
        <v/>
      </c>
      <c r="D1393" s="43" t="str">
        <f>IF(Agent07_Withdrawals!A200="","",Agent07_Withdrawals!C200)</f>
        <v/>
      </c>
      <c r="E1393" s="41" t="str">
        <f>IF(Agent07_Withdrawals!A200="","",Agent07_Withdrawals!D200)</f>
        <v/>
      </c>
      <c r="F1393" s="40" t="str">
        <f>IF(Agent07_Withdrawals!A200="","",Agent07_Withdrawals!F200)</f>
        <v/>
      </c>
      <c r="G1393" s="42" t="str">
        <f>IF(Agent07_Withdrawals!A200="","",Agent07_Withdrawals!E200)</f>
        <v/>
      </c>
      <c r="H1393" s="42" t="str">
        <f>IF(Agent07_Withdrawals!A200="","",Agent07_Withdrawals!G200)</f>
        <v/>
      </c>
      <c r="I1393" s="40" t="str">
        <f>IF(Agent07_Withdrawals!A200="","",Agent07_Withdrawals!H200)</f>
        <v/>
      </c>
      <c r="J1393" s="40" t="str">
        <f>IF(Agent07_Withdrawals!A200="","",Agent07_Withdrawals!J200)</f>
        <v/>
      </c>
      <c r="K1393" s="40" t="str">
        <f>IF(Agent07_Withdrawals!A200="","",Agent07_Withdrawals!K200)</f>
        <v/>
      </c>
      <c r="L1393" s="40" t="str">
        <f>IF(G1393="","",IF(D1393-G1393&gt;=System_Config!$B$9,"✅ OK","⚠️ BREACH"))</f>
        <v/>
      </c>
      <c r="M1393" s="40" t="str">
        <f>IFERROR(IF(Agent07_Withdrawals!A200="","",YEAR(Agent07_Withdrawals!D200)),"")</f>
        <v/>
      </c>
    </row>
    <row r="1394" spans="1:13" ht="18" customHeight="1" x14ac:dyDescent="0.25">
      <c r="A1394" s="40" t="str">
        <f>IF(Agent07_Withdrawals!A201="","",Agent07_Withdrawals!A201)</f>
        <v/>
      </c>
      <c r="B1394" s="40" t="str">
        <f ca="1">IF(Agent07_Withdrawals!A201="","","WD"&amp;TEXT(1394-3,"0000")&amp;"-"&amp;TEXT(TODAY(),"YYYYMMDD"))</f>
        <v/>
      </c>
      <c r="C1394" s="40" t="str">
        <f>IF(Agent07_Withdrawals!A201="","",Agent07_Withdrawals!B201)</f>
        <v/>
      </c>
      <c r="D1394" s="43" t="str">
        <f>IF(Agent07_Withdrawals!A201="","",Agent07_Withdrawals!C201)</f>
        <v/>
      </c>
      <c r="E1394" s="41" t="str">
        <f>IF(Agent07_Withdrawals!A201="","",Agent07_Withdrawals!D201)</f>
        <v/>
      </c>
      <c r="F1394" s="40" t="str">
        <f>IF(Agent07_Withdrawals!A201="","",Agent07_Withdrawals!F201)</f>
        <v/>
      </c>
      <c r="G1394" s="42" t="str">
        <f>IF(Agent07_Withdrawals!A201="","",Agent07_Withdrawals!E201)</f>
        <v/>
      </c>
      <c r="H1394" s="42" t="str">
        <f>IF(Agent07_Withdrawals!A201="","",Agent07_Withdrawals!G201)</f>
        <v/>
      </c>
      <c r="I1394" s="40" t="str">
        <f>IF(Agent07_Withdrawals!A201="","",Agent07_Withdrawals!H201)</f>
        <v/>
      </c>
      <c r="J1394" s="40" t="str">
        <f>IF(Agent07_Withdrawals!A201="","",Agent07_Withdrawals!J201)</f>
        <v/>
      </c>
      <c r="K1394" s="40" t="str">
        <f>IF(Agent07_Withdrawals!A201="","",Agent07_Withdrawals!K201)</f>
        <v/>
      </c>
      <c r="L1394" s="40" t="str">
        <f>IF(G1394="","",IF(D1394-G1394&gt;=System_Config!$B$9,"✅ OK","⚠️ BREACH"))</f>
        <v/>
      </c>
      <c r="M1394" s="40" t="str">
        <f>IFERROR(IF(Agent07_Withdrawals!A201="","",YEAR(Agent07_Withdrawals!D201)),"")</f>
        <v/>
      </c>
    </row>
    <row r="1395" spans="1:13" ht="18" customHeight="1" x14ac:dyDescent="0.25">
      <c r="A1395" s="40" t="str">
        <f>IF(Agent07_Withdrawals!A202="","",Agent07_Withdrawals!A202)</f>
        <v/>
      </c>
      <c r="B1395" s="40" t="str">
        <f ca="1">IF(Agent07_Withdrawals!A202="","","WD"&amp;TEXT(1395-3,"0000")&amp;"-"&amp;TEXT(TODAY(),"YYYYMMDD"))</f>
        <v/>
      </c>
      <c r="C1395" s="40" t="str">
        <f>IF(Agent07_Withdrawals!A202="","",Agent07_Withdrawals!B202)</f>
        <v/>
      </c>
      <c r="D1395" s="43" t="str">
        <f>IF(Agent07_Withdrawals!A202="","",Agent07_Withdrawals!C202)</f>
        <v/>
      </c>
      <c r="E1395" s="41" t="str">
        <f>IF(Agent07_Withdrawals!A202="","",Agent07_Withdrawals!D202)</f>
        <v/>
      </c>
      <c r="F1395" s="40" t="str">
        <f>IF(Agent07_Withdrawals!A202="","",Agent07_Withdrawals!F202)</f>
        <v/>
      </c>
      <c r="G1395" s="42" t="str">
        <f>IF(Agent07_Withdrawals!A202="","",Agent07_Withdrawals!E202)</f>
        <v/>
      </c>
      <c r="H1395" s="42" t="str">
        <f>IF(Agent07_Withdrawals!A202="","",Agent07_Withdrawals!G202)</f>
        <v/>
      </c>
      <c r="I1395" s="40" t="str">
        <f>IF(Agent07_Withdrawals!A202="","",Agent07_Withdrawals!H202)</f>
        <v/>
      </c>
      <c r="J1395" s="40" t="str">
        <f>IF(Agent07_Withdrawals!A202="","",Agent07_Withdrawals!J202)</f>
        <v/>
      </c>
      <c r="K1395" s="40" t="str">
        <f>IF(Agent07_Withdrawals!A202="","",Agent07_Withdrawals!K202)</f>
        <v/>
      </c>
      <c r="L1395" s="40" t="str">
        <f>IF(G1395="","",IF(D1395-G1395&gt;=System_Config!$B$9,"✅ OK","⚠️ BREACH"))</f>
        <v/>
      </c>
      <c r="M1395" s="40" t="str">
        <f>IFERROR(IF(Agent07_Withdrawals!A202="","",YEAR(Agent07_Withdrawals!D202)),"")</f>
        <v/>
      </c>
    </row>
    <row r="1396" spans="1:13" ht="18" customHeight="1" x14ac:dyDescent="0.25">
      <c r="A1396" s="40" t="str">
        <f>IF(Agent07_Withdrawals!A203="","",Agent07_Withdrawals!A203)</f>
        <v/>
      </c>
      <c r="B1396" s="40" t="str">
        <f ca="1">IF(Agent07_Withdrawals!A203="","","WD"&amp;TEXT(1396-3,"0000")&amp;"-"&amp;TEXT(TODAY(),"YYYYMMDD"))</f>
        <v/>
      </c>
      <c r="C1396" s="40" t="str">
        <f>IF(Agent07_Withdrawals!A203="","",Agent07_Withdrawals!B203)</f>
        <v/>
      </c>
      <c r="D1396" s="43" t="str">
        <f>IF(Agent07_Withdrawals!A203="","",Agent07_Withdrawals!C203)</f>
        <v/>
      </c>
      <c r="E1396" s="41" t="str">
        <f>IF(Agent07_Withdrawals!A203="","",Agent07_Withdrawals!D203)</f>
        <v/>
      </c>
      <c r="F1396" s="40" t="str">
        <f>IF(Agent07_Withdrawals!A203="","",Agent07_Withdrawals!F203)</f>
        <v/>
      </c>
      <c r="G1396" s="42" t="str">
        <f>IF(Agent07_Withdrawals!A203="","",Agent07_Withdrawals!E203)</f>
        <v/>
      </c>
      <c r="H1396" s="42" t="str">
        <f>IF(Agent07_Withdrawals!A203="","",Agent07_Withdrawals!G203)</f>
        <v/>
      </c>
      <c r="I1396" s="40" t="str">
        <f>IF(Agent07_Withdrawals!A203="","",Agent07_Withdrawals!H203)</f>
        <v/>
      </c>
      <c r="J1396" s="40" t="str">
        <f>IF(Agent07_Withdrawals!A203="","",Agent07_Withdrawals!J203)</f>
        <v/>
      </c>
      <c r="K1396" s="40" t="str">
        <f>IF(Agent07_Withdrawals!A203="","",Agent07_Withdrawals!K203)</f>
        <v/>
      </c>
      <c r="L1396" s="40" t="str">
        <f>IF(G1396="","",IF(D1396-G1396&gt;=System_Config!$B$9,"✅ OK","⚠️ BREACH"))</f>
        <v/>
      </c>
      <c r="M1396" s="40" t="str">
        <f>IFERROR(IF(Agent07_Withdrawals!A203="","",YEAR(Agent07_Withdrawals!D203)),"")</f>
        <v/>
      </c>
    </row>
    <row r="1397" spans="1:13" ht="18" customHeight="1" x14ac:dyDescent="0.25">
      <c r="A1397" s="40" t="str">
        <f>IF(Agent07_Withdrawals!A204="","",Agent07_Withdrawals!A204)</f>
        <v/>
      </c>
      <c r="B1397" s="40" t="str">
        <f ca="1">IF(Agent07_Withdrawals!A204="","","WD"&amp;TEXT(1397-3,"0000")&amp;"-"&amp;TEXT(TODAY(),"YYYYMMDD"))</f>
        <v/>
      </c>
      <c r="C1397" s="40" t="str">
        <f>IF(Agent07_Withdrawals!A204="","",Agent07_Withdrawals!B204)</f>
        <v/>
      </c>
      <c r="D1397" s="43" t="str">
        <f>IF(Agent07_Withdrawals!A204="","",Agent07_Withdrawals!C204)</f>
        <v/>
      </c>
      <c r="E1397" s="41" t="str">
        <f>IF(Agent07_Withdrawals!A204="","",Agent07_Withdrawals!D204)</f>
        <v/>
      </c>
      <c r="F1397" s="40" t="str">
        <f>IF(Agent07_Withdrawals!A204="","",Agent07_Withdrawals!F204)</f>
        <v/>
      </c>
      <c r="G1397" s="42" t="str">
        <f>IF(Agent07_Withdrawals!A204="","",Agent07_Withdrawals!E204)</f>
        <v/>
      </c>
      <c r="H1397" s="42" t="str">
        <f>IF(Agent07_Withdrawals!A204="","",Agent07_Withdrawals!G204)</f>
        <v/>
      </c>
      <c r="I1397" s="40" t="str">
        <f>IF(Agent07_Withdrawals!A204="","",Agent07_Withdrawals!H204)</f>
        <v/>
      </c>
      <c r="J1397" s="40" t="str">
        <f>IF(Agent07_Withdrawals!A204="","",Agent07_Withdrawals!J204)</f>
        <v/>
      </c>
      <c r="K1397" s="40" t="str">
        <f>IF(Agent07_Withdrawals!A204="","",Agent07_Withdrawals!K204)</f>
        <v/>
      </c>
      <c r="L1397" s="40" t="str">
        <f>IF(G1397="","",IF(D1397-G1397&gt;=System_Config!$B$9,"✅ OK","⚠️ BREACH"))</f>
        <v/>
      </c>
      <c r="M1397" s="40" t="str">
        <f>IFERROR(IF(Agent07_Withdrawals!A204="","",YEAR(Agent07_Withdrawals!D204)),"")</f>
        <v/>
      </c>
    </row>
    <row r="1398" spans="1:13" ht="18" customHeight="1" x14ac:dyDescent="0.25">
      <c r="A1398" s="40" t="str">
        <f>IF(Agent07_Withdrawals!A205="","",Agent07_Withdrawals!A205)</f>
        <v/>
      </c>
      <c r="B1398" s="40" t="str">
        <f ca="1">IF(Agent07_Withdrawals!A205="","","WD"&amp;TEXT(1398-3,"0000")&amp;"-"&amp;TEXT(TODAY(),"YYYYMMDD"))</f>
        <v/>
      </c>
      <c r="C1398" s="40" t="str">
        <f>IF(Agent07_Withdrawals!A205="","",Agent07_Withdrawals!B205)</f>
        <v/>
      </c>
      <c r="D1398" s="43" t="str">
        <f>IF(Agent07_Withdrawals!A205="","",Agent07_Withdrawals!C205)</f>
        <v/>
      </c>
      <c r="E1398" s="41" t="str">
        <f>IF(Agent07_Withdrawals!A205="","",Agent07_Withdrawals!D205)</f>
        <v/>
      </c>
      <c r="F1398" s="40" t="str">
        <f>IF(Agent07_Withdrawals!A205="","",Agent07_Withdrawals!F205)</f>
        <v/>
      </c>
      <c r="G1398" s="42" t="str">
        <f>IF(Agent07_Withdrawals!A205="","",Agent07_Withdrawals!E205)</f>
        <v/>
      </c>
      <c r="H1398" s="42" t="str">
        <f>IF(Agent07_Withdrawals!A205="","",Agent07_Withdrawals!G205)</f>
        <v/>
      </c>
      <c r="I1398" s="40" t="str">
        <f>IF(Agent07_Withdrawals!A205="","",Agent07_Withdrawals!H205)</f>
        <v/>
      </c>
      <c r="J1398" s="40" t="str">
        <f>IF(Agent07_Withdrawals!A205="","",Agent07_Withdrawals!J205)</f>
        <v/>
      </c>
      <c r="K1398" s="40" t="str">
        <f>IF(Agent07_Withdrawals!A205="","",Agent07_Withdrawals!K205)</f>
        <v/>
      </c>
      <c r="L1398" s="40" t="str">
        <f>IF(G1398="","",IF(D1398-G1398&gt;=System_Config!$B$9,"✅ OK","⚠️ BREACH"))</f>
        <v/>
      </c>
      <c r="M1398" s="40" t="str">
        <f>IFERROR(IF(Agent07_Withdrawals!A205="","",YEAR(Agent07_Withdrawals!D205)),"")</f>
        <v/>
      </c>
    </row>
    <row r="1399" spans="1:13" ht="18" customHeight="1" x14ac:dyDescent="0.25">
      <c r="A1399" s="40" t="str">
        <f>IF(Agent07_Withdrawals!A206="","",Agent07_Withdrawals!A206)</f>
        <v/>
      </c>
      <c r="B1399" s="40" t="str">
        <f ca="1">IF(Agent07_Withdrawals!A206="","","WD"&amp;TEXT(1399-3,"0000")&amp;"-"&amp;TEXT(TODAY(),"YYYYMMDD"))</f>
        <v/>
      </c>
      <c r="C1399" s="40" t="str">
        <f>IF(Agent07_Withdrawals!A206="","",Agent07_Withdrawals!B206)</f>
        <v/>
      </c>
      <c r="D1399" s="43" t="str">
        <f>IF(Agent07_Withdrawals!A206="","",Agent07_Withdrawals!C206)</f>
        <v/>
      </c>
      <c r="E1399" s="41" t="str">
        <f>IF(Agent07_Withdrawals!A206="","",Agent07_Withdrawals!D206)</f>
        <v/>
      </c>
      <c r="F1399" s="40" t="str">
        <f>IF(Agent07_Withdrawals!A206="","",Agent07_Withdrawals!F206)</f>
        <v/>
      </c>
      <c r="G1399" s="42" t="str">
        <f>IF(Agent07_Withdrawals!A206="","",Agent07_Withdrawals!E206)</f>
        <v/>
      </c>
      <c r="H1399" s="42" t="str">
        <f>IF(Agent07_Withdrawals!A206="","",Agent07_Withdrawals!G206)</f>
        <v/>
      </c>
      <c r="I1399" s="40" t="str">
        <f>IF(Agent07_Withdrawals!A206="","",Agent07_Withdrawals!H206)</f>
        <v/>
      </c>
      <c r="J1399" s="40" t="str">
        <f>IF(Agent07_Withdrawals!A206="","",Agent07_Withdrawals!J206)</f>
        <v/>
      </c>
      <c r="K1399" s="40" t="str">
        <f>IF(Agent07_Withdrawals!A206="","",Agent07_Withdrawals!K206)</f>
        <v/>
      </c>
      <c r="L1399" s="40" t="str">
        <f>IF(G1399="","",IF(D1399-G1399&gt;=System_Config!$B$9,"✅ OK","⚠️ BREACH"))</f>
        <v/>
      </c>
      <c r="M1399" s="40" t="str">
        <f>IFERROR(IF(Agent07_Withdrawals!A206="","",YEAR(Agent07_Withdrawals!D206)),"")</f>
        <v/>
      </c>
    </row>
    <row r="1400" spans="1:13" ht="18" customHeight="1" x14ac:dyDescent="0.25">
      <c r="A1400" s="40" t="str">
        <f>IF(Agent07_Withdrawals!A207="","",Agent07_Withdrawals!A207)</f>
        <v/>
      </c>
      <c r="B1400" s="40" t="str">
        <f ca="1">IF(Agent07_Withdrawals!A207="","","WD"&amp;TEXT(1400-3,"0000")&amp;"-"&amp;TEXT(TODAY(),"YYYYMMDD"))</f>
        <v/>
      </c>
      <c r="C1400" s="40" t="str">
        <f>IF(Agent07_Withdrawals!A207="","",Agent07_Withdrawals!B207)</f>
        <v/>
      </c>
      <c r="D1400" s="43" t="str">
        <f>IF(Agent07_Withdrawals!A207="","",Agent07_Withdrawals!C207)</f>
        <v/>
      </c>
      <c r="E1400" s="41" t="str">
        <f>IF(Agent07_Withdrawals!A207="","",Agent07_Withdrawals!D207)</f>
        <v/>
      </c>
      <c r="F1400" s="40" t="str">
        <f>IF(Agent07_Withdrawals!A207="","",Agent07_Withdrawals!F207)</f>
        <v/>
      </c>
      <c r="G1400" s="42" t="str">
        <f>IF(Agent07_Withdrawals!A207="","",Agent07_Withdrawals!E207)</f>
        <v/>
      </c>
      <c r="H1400" s="42" t="str">
        <f>IF(Agent07_Withdrawals!A207="","",Agent07_Withdrawals!G207)</f>
        <v/>
      </c>
      <c r="I1400" s="40" t="str">
        <f>IF(Agent07_Withdrawals!A207="","",Agent07_Withdrawals!H207)</f>
        <v/>
      </c>
      <c r="J1400" s="40" t="str">
        <f>IF(Agent07_Withdrawals!A207="","",Agent07_Withdrawals!J207)</f>
        <v/>
      </c>
      <c r="K1400" s="40" t="str">
        <f>IF(Agent07_Withdrawals!A207="","",Agent07_Withdrawals!K207)</f>
        <v/>
      </c>
      <c r="L1400" s="40" t="str">
        <f>IF(G1400="","",IF(D1400-G1400&gt;=System_Config!$B$9,"✅ OK","⚠️ BREACH"))</f>
        <v/>
      </c>
      <c r="M1400" s="40" t="str">
        <f>IFERROR(IF(Agent07_Withdrawals!A207="","",YEAR(Agent07_Withdrawals!D207)),"")</f>
        <v/>
      </c>
    </row>
    <row r="1401" spans="1:13" ht="18" customHeight="1" x14ac:dyDescent="0.25">
      <c r="A1401" s="40" t="str">
        <f>IF(Agent07_Withdrawals!A208="","",Agent07_Withdrawals!A208)</f>
        <v/>
      </c>
      <c r="B1401" s="40" t="str">
        <f ca="1">IF(Agent07_Withdrawals!A208="","","WD"&amp;TEXT(1401-3,"0000")&amp;"-"&amp;TEXT(TODAY(),"YYYYMMDD"))</f>
        <v/>
      </c>
      <c r="C1401" s="40" t="str">
        <f>IF(Agent07_Withdrawals!A208="","",Agent07_Withdrawals!B208)</f>
        <v/>
      </c>
      <c r="D1401" s="43" t="str">
        <f>IF(Agent07_Withdrawals!A208="","",Agent07_Withdrawals!C208)</f>
        <v/>
      </c>
      <c r="E1401" s="41" t="str">
        <f>IF(Agent07_Withdrawals!A208="","",Agent07_Withdrawals!D208)</f>
        <v/>
      </c>
      <c r="F1401" s="40" t="str">
        <f>IF(Agent07_Withdrawals!A208="","",Agent07_Withdrawals!F208)</f>
        <v/>
      </c>
      <c r="G1401" s="42" t="str">
        <f>IF(Agent07_Withdrawals!A208="","",Agent07_Withdrawals!E208)</f>
        <v/>
      </c>
      <c r="H1401" s="42" t="str">
        <f>IF(Agent07_Withdrawals!A208="","",Agent07_Withdrawals!G208)</f>
        <v/>
      </c>
      <c r="I1401" s="40" t="str">
        <f>IF(Agent07_Withdrawals!A208="","",Agent07_Withdrawals!H208)</f>
        <v/>
      </c>
      <c r="J1401" s="40" t="str">
        <f>IF(Agent07_Withdrawals!A208="","",Agent07_Withdrawals!J208)</f>
        <v/>
      </c>
      <c r="K1401" s="40" t="str">
        <f>IF(Agent07_Withdrawals!A208="","",Agent07_Withdrawals!K208)</f>
        <v/>
      </c>
      <c r="L1401" s="40" t="str">
        <f>IF(G1401="","",IF(D1401-G1401&gt;=System_Config!$B$9,"✅ OK","⚠️ BREACH"))</f>
        <v/>
      </c>
      <c r="M1401" s="40" t="str">
        <f>IFERROR(IF(Agent07_Withdrawals!A208="","",YEAR(Agent07_Withdrawals!D208)),"")</f>
        <v/>
      </c>
    </row>
    <row r="1402" spans="1:13" ht="18" customHeight="1" x14ac:dyDescent="0.25">
      <c r="A1402" s="40" t="str">
        <f>IF(Agent07_Withdrawals!A209="","",Agent07_Withdrawals!A209)</f>
        <v/>
      </c>
      <c r="B1402" s="40" t="str">
        <f ca="1">IF(Agent07_Withdrawals!A209="","","WD"&amp;TEXT(1402-3,"0000")&amp;"-"&amp;TEXT(TODAY(),"YYYYMMDD"))</f>
        <v/>
      </c>
      <c r="C1402" s="40" t="str">
        <f>IF(Agent07_Withdrawals!A209="","",Agent07_Withdrawals!B209)</f>
        <v/>
      </c>
      <c r="D1402" s="43" t="str">
        <f>IF(Agent07_Withdrawals!A209="","",Agent07_Withdrawals!C209)</f>
        <v/>
      </c>
      <c r="E1402" s="41" t="str">
        <f>IF(Agent07_Withdrawals!A209="","",Agent07_Withdrawals!D209)</f>
        <v/>
      </c>
      <c r="F1402" s="40" t="str">
        <f>IF(Agent07_Withdrawals!A209="","",Agent07_Withdrawals!F209)</f>
        <v/>
      </c>
      <c r="G1402" s="42" t="str">
        <f>IF(Agent07_Withdrawals!A209="","",Agent07_Withdrawals!E209)</f>
        <v/>
      </c>
      <c r="H1402" s="42" t="str">
        <f>IF(Agent07_Withdrawals!A209="","",Agent07_Withdrawals!G209)</f>
        <v/>
      </c>
      <c r="I1402" s="40" t="str">
        <f>IF(Agent07_Withdrawals!A209="","",Agent07_Withdrawals!H209)</f>
        <v/>
      </c>
      <c r="J1402" s="40" t="str">
        <f>IF(Agent07_Withdrawals!A209="","",Agent07_Withdrawals!J209)</f>
        <v/>
      </c>
      <c r="K1402" s="40" t="str">
        <f>IF(Agent07_Withdrawals!A209="","",Agent07_Withdrawals!K209)</f>
        <v/>
      </c>
      <c r="L1402" s="40" t="str">
        <f>IF(G1402="","",IF(D1402-G1402&gt;=System_Config!$B$9,"✅ OK","⚠️ BREACH"))</f>
        <v/>
      </c>
      <c r="M1402" s="40" t="str">
        <f>IFERROR(IF(Agent07_Withdrawals!A209="","",YEAR(Agent07_Withdrawals!D209)),"")</f>
        <v/>
      </c>
    </row>
    <row r="1403" spans="1:13" ht="18" customHeight="1" x14ac:dyDescent="0.25">
      <c r="A1403" s="40" t="str">
        <f>IF(Agent07_Withdrawals!A210="","",Agent07_Withdrawals!A210)</f>
        <v/>
      </c>
      <c r="B1403" s="40" t="str">
        <f ca="1">IF(Agent07_Withdrawals!A210="","","WD"&amp;TEXT(1403-3,"0000")&amp;"-"&amp;TEXT(TODAY(),"YYYYMMDD"))</f>
        <v/>
      </c>
      <c r="C1403" s="40" t="str">
        <f>IF(Agent07_Withdrawals!A210="","",Agent07_Withdrawals!B210)</f>
        <v/>
      </c>
      <c r="D1403" s="43" t="str">
        <f>IF(Agent07_Withdrawals!A210="","",Agent07_Withdrawals!C210)</f>
        <v/>
      </c>
      <c r="E1403" s="41" t="str">
        <f>IF(Agent07_Withdrawals!A210="","",Agent07_Withdrawals!D210)</f>
        <v/>
      </c>
      <c r="F1403" s="40" t="str">
        <f>IF(Agent07_Withdrawals!A210="","",Agent07_Withdrawals!F210)</f>
        <v/>
      </c>
      <c r="G1403" s="42" t="str">
        <f>IF(Agent07_Withdrawals!A210="","",Agent07_Withdrawals!E210)</f>
        <v/>
      </c>
      <c r="H1403" s="42" t="str">
        <f>IF(Agent07_Withdrawals!A210="","",Agent07_Withdrawals!G210)</f>
        <v/>
      </c>
      <c r="I1403" s="40" t="str">
        <f>IF(Agent07_Withdrawals!A210="","",Agent07_Withdrawals!H210)</f>
        <v/>
      </c>
      <c r="J1403" s="40" t="str">
        <f>IF(Agent07_Withdrawals!A210="","",Agent07_Withdrawals!J210)</f>
        <v/>
      </c>
      <c r="K1403" s="40" t="str">
        <f>IF(Agent07_Withdrawals!A210="","",Agent07_Withdrawals!K210)</f>
        <v/>
      </c>
      <c r="L1403" s="40" t="str">
        <f>IF(G1403="","",IF(D1403-G1403&gt;=System_Config!$B$9,"✅ OK","⚠️ BREACH"))</f>
        <v/>
      </c>
      <c r="M1403" s="40" t="str">
        <f>IFERROR(IF(Agent07_Withdrawals!A210="","",YEAR(Agent07_Withdrawals!D210)),"")</f>
        <v/>
      </c>
    </row>
    <row r="1404" spans="1:13" ht="18" customHeight="1" x14ac:dyDescent="0.25">
      <c r="A1404" s="40" t="str">
        <f>IF(Agent08_Withdrawals!A11="","",Agent08_Withdrawals!A11)</f>
        <v/>
      </c>
      <c r="B1404" s="40" t="str">
        <f ca="1">IF(Agent08_Withdrawals!A11="","","WD"&amp;TEXT(1404-3,"0000")&amp;"-"&amp;TEXT(TODAY(),"YYYYMMDD"))</f>
        <v/>
      </c>
      <c r="C1404" s="40" t="str">
        <f>IF(Agent08_Withdrawals!A11="","",Agent08_Withdrawals!B11)</f>
        <v/>
      </c>
      <c r="D1404" s="43" t="str">
        <f>IF(Agent08_Withdrawals!A11="","",Agent08_Withdrawals!C11)</f>
        <v/>
      </c>
      <c r="E1404" s="41" t="str">
        <f>IF(Agent08_Withdrawals!A11="","",Agent08_Withdrawals!D11)</f>
        <v/>
      </c>
      <c r="F1404" s="40" t="str">
        <f>IF(Agent08_Withdrawals!A11="","",Agent08_Withdrawals!F11)</f>
        <v/>
      </c>
      <c r="G1404" s="42" t="str">
        <f>IF(Agent08_Withdrawals!A11="","",Agent08_Withdrawals!E11)</f>
        <v/>
      </c>
      <c r="H1404" s="42" t="str">
        <f>IF(Agent08_Withdrawals!A11="","",Agent08_Withdrawals!G11)</f>
        <v/>
      </c>
      <c r="I1404" s="40" t="str">
        <f>IF(Agent08_Withdrawals!A11="","",Agent08_Withdrawals!H11)</f>
        <v/>
      </c>
      <c r="J1404" s="40" t="str">
        <f>IF(Agent08_Withdrawals!A11="","",Agent08_Withdrawals!J11)</f>
        <v/>
      </c>
      <c r="K1404" s="40" t="str">
        <f>IF(Agent08_Withdrawals!A11="","",Agent08_Withdrawals!K11)</f>
        <v/>
      </c>
      <c r="L1404" s="40" t="str">
        <f>IF(G1404="","",IF(D1404-G1404&gt;=System_Config!$B$9,"✅ OK","⚠️ BREACH"))</f>
        <v/>
      </c>
      <c r="M1404" s="40" t="str">
        <f>IFERROR(IF(Agent08_Withdrawals!A11="","",YEAR(Agent08_Withdrawals!D11)),"")</f>
        <v/>
      </c>
    </row>
    <row r="1405" spans="1:13" ht="18" customHeight="1" x14ac:dyDescent="0.25">
      <c r="A1405" s="40" t="str">
        <f>IF(Agent08_Withdrawals!A12="","",Agent08_Withdrawals!A12)</f>
        <v/>
      </c>
      <c r="B1405" s="40" t="str">
        <f ca="1">IF(Agent08_Withdrawals!A12="","","WD"&amp;TEXT(1405-3,"0000")&amp;"-"&amp;TEXT(TODAY(),"YYYYMMDD"))</f>
        <v/>
      </c>
      <c r="C1405" s="40" t="str">
        <f>IF(Agent08_Withdrawals!A12="","",Agent08_Withdrawals!B12)</f>
        <v/>
      </c>
      <c r="D1405" s="43" t="str">
        <f>IF(Agent08_Withdrawals!A12="","",Agent08_Withdrawals!C12)</f>
        <v/>
      </c>
      <c r="E1405" s="41" t="str">
        <f>IF(Agent08_Withdrawals!A12="","",Agent08_Withdrawals!D12)</f>
        <v/>
      </c>
      <c r="F1405" s="40" t="str">
        <f>IF(Agent08_Withdrawals!A12="","",Agent08_Withdrawals!F12)</f>
        <v/>
      </c>
      <c r="G1405" s="42" t="str">
        <f>IF(Agent08_Withdrawals!A12="","",Agent08_Withdrawals!E12)</f>
        <v/>
      </c>
      <c r="H1405" s="42" t="str">
        <f>IF(Agent08_Withdrawals!A12="","",Agent08_Withdrawals!G12)</f>
        <v/>
      </c>
      <c r="I1405" s="40" t="str">
        <f>IF(Agent08_Withdrawals!A12="","",Agent08_Withdrawals!H12)</f>
        <v/>
      </c>
      <c r="J1405" s="40" t="str">
        <f>IF(Agent08_Withdrawals!A12="","",Agent08_Withdrawals!J12)</f>
        <v/>
      </c>
      <c r="K1405" s="40" t="str">
        <f>IF(Agent08_Withdrawals!A12="","",Agent08_Withdrawals!K12)</f>
        <v/>
      </c>
      <c r="L1405" s="40" t="str">
        <f>IF(G1405="","",IF(D1405-G1405&gt;=System_Config!$B$9,"✅ OK","⚠️ BREACH"))</f>
        <v/>
      </c>
      <c r="M1405" s="40" t="str">
        <f>IFERROR(IF(Agent08_Withdrawals!A12="","",YEAR(Agent08_Withdrawals!D12)),"")</f>
        <v/>
      </c>
    </row>
    <row r="1406" spans="1:13" ht="18" customHeight="1" x14ac:dyDescent="0.25">
      <c r="A1406" s="40" t="str">
        <f>IF(Agent08_Withdrawals!A13="","",Agent08_Withdrawals!A13)</f>
        <v/>
      </c>
      <c r="B1406" s="40" t="str">
        <f ca="1">IF(Agent08_Withdrawals!A13="","","WD"&amp;TEXT(1406-3,"0000")&amp;"-"&amp;TEXT(TODAY(),"YYYYMMDD"))</f>
        <v/>
      </c>
      <c r="C1406" s="40" t="str">
        <f>IF(Agent08_Withdrawals!A13="","",Agent08_Withdrawals!B13)</f>
        <v/>
      </c>
      <c r="D1406" s="43" t="str">
        <f>IF(Agent08_Withdrawals!A13="","",Agent08_Withdrawals!C13)</f>
        <v/>
      </c>
      <c r="E1406" s="41" t="str">
        <f>IF(Agent08_Withdrawals!A13="","",Agent08_Withdrawals!D13)</f>
        <v/>
      </c>
      <c r="F1406" s="40" t="str">
        <f>IF(Agent08_Withdrawals!A13="","",Agent08_Withdrawals!F13)</f>
        <v/>
      </c>
      <c r="G1406" s="42" t="str">
        <f>IF(Agent08_Withdrawals!A13="","",Agent08_Withdrawals!E13)</f>
        <v/>
      </c>
      <c r="H1406" s="42" t="str">
        <f>IF(Agent08_Withdrawals!A13="","",Agent08_Withdrawals!G13)</f>
        <v/>
      </c>
      <c r="I1406" s="40" t="str">
        <f>IF(Agent08_Withdrawals!A13="","",Agent08_Withdrawals!H13)</f>
        <v/>
      </c>
      <c r="J1406" s="40" t="str">
        <f>IF(Agent08_Withdrawals!A13="","",Agent08_Withdrawals!J13)</f>
        <v/>
      </c>
      <c r="K1406" s="40" t="str">
        <f>IF(Agent08_Withdrawals!A13="","",Agent08_Withdrawals!K13)</f>
        <v/>
      </c>
      <c r="L1406" s="40" t="str">
        <f>IF(G1406="","",IF(D1406-G1406&gt;=System_Config!$B$9,"✅ OK","⚠️ BREACH"))</f>
        <v/>
      </c>
      <c r="M1406" s="40" t="str">
        <f>IFERROR(IF(Agent08_Withdrawals!A13="","",YEAR(Agent08_Withdrawals!D13)),"")</f>
        <v/>
      </c>
    </row>
    <row r="1407" spans="1:13" ht="18" customHeight="1" x14ac:dyDescent="0.25">
      <c r="A1407" s="40" t="str">
        <f>IF(Agent08_Withdrawals!A14="","",Agent08_Withdrawals!A14)</f>
        <v/>
      </c>
      <c r="B1407" s="40" t="str">
        <f ca="1">IF(Agent08_Withdrawals!A14="","","WD"&amp;TEXT(1407-3,"0000")&amp;"-"&amp;TEXT(TODAY(),"YYYYMMDD"))</f>
        <v/>
      </c>
      <c r="C1407" s="40" t="str">
        <f>IF(Agent08_Withdrawals!A14="","",Agent08_Withdrawals!B14)</f>
        <v/>
      </c>
      <c r="D1407" s="43" t="str">
        <f>IF(Agent08_Withdrawals!A14="","",Agent08_Withdrawals!C14)</f>
        <v/>
      </c>
      <c r="E1407" s="41" t="str">
        <f>IF(Agent08_Withdrawals!A14="","",Agent08_Withdrawals!D14)</f>
        <v/>
      </c>
      <c r="F1407" s="40" t="str">
        <f>IF(Agent08_Withdrawals!A14="","",Agent08_Withdrawals!F14)</f>
        <v/>
      </c>
      <c r="G1407" s="42" t="str">
        <f>IF(Agent08_Withdrawals!A14="","",Agent08_Withdrawals!E14)</f>
        <v/>
      </c>
      <c r="H1407" s="42" t="str">
        <f>IF(Agent08_Withdrawals!A14="","",Agent08_Withdrawals!G14)</f>
        <v/>
      </c>
      <c r="I1407" s="40" t="str">
        <f>IF(Agent08_Withdrawals!A14="","",Agent08_Withdrawals!H14)</f>
        <v/>
      </c>
      <c r="J1407" s="40" t="str">
        <f>IF(Agent08_Withdrawals!A14="","",Agent08_Withdrawals!J14)</f>
        <v/>
      </c>
      <c r="K1407" s="40" t="str">
        <f>IF(Agent08_Withdrawals!A14="","",Agent08_Withdrawals!K14)</f>
        <v/>
      </c>
      <c r="L1407" s="40" t="str">
        <f>IF(G1407="","",IF(D1407-G1407&gt;=System_Config!$B$9,"✅ OK","⚠️ BREACH"))</f>
        <v/>
      </c>
      <c r="M1407" s="40" t="str">
        <f>IFERROR(IF(Agent08_Withdrawals!A14="","",YEAR(Agent08_Withdrawals!D14)),"")</f>
        <v/>
      </c>
    </row>
    <row r="1408" spans="1:13" ht="18" customHeight="1" x14ac:dyDescent="0.25">
      <c r="A1408" s="40" t="str">
        <f>IF(Agent08_Withdrawals!A15="","",Agent08_Withdrawals!A15)</f>
        <v/>
      </c>
      <c r="B1408" s="40" t="str">
        <f ca="1">IF(Agent08_Withdrawals!A15="","","WD"&amp;TEXT(1408-3,"0000")&amp;"-"&amp;TEXT(TODAY(),"YYYYMMDD"))</f>
        <v/>
      </c>
      <c r="C1408" s="40" t="str">
        <f>IF(Agent08_Withdrawals!A15="","",Agent08_Withdrawals!B15)</f>
        <v/>
      </c>
      <c r="D1408" s="43" t="str">
        <f>IF(Agent08_Withdrawals!A15="","",Agent08_Withdrawals!C15)</f>
        <v/>
      </c>
      <c r="E1408" s="41" t="str">
        <f>IF(Agent08_Withdrawals!A15="","",Agent08_Withdrawals!D15)</f>
        <v/>
      </c>
      <c r="F1408" s="40" t="str">
        <f>IF(Agent08_Withdrawals!A15="","",Agent08_Withdrawals!F15)</f>
        <v/>
      </c>
      <c r="G1408" s="42" t="str">
        <f>IF(Agent08_Withdrawals!A15="","",Agent08_Withdrawals!E15)</f>
        <v/>
      </c>
      <c r="H1408" s="42" t="str">
        <f>IF(Agent08_Withdrawals!A15="","",Agent08_Withdrawals!G15)</f>
        <v/>
      </c>
      <c r="I1408" s="40" t="str">
        <f>IF(Agent08_Withdrawals!A15="","",Agent08_Withdrawals!H15)</f>
        <v/>
      </c>
      <c r="J1408" s="40" t="str">
        <f>IF(Agent08_Withdrawals!A15="","",Agent08_Withdrawals!J15)</f>
        <v/>
      </c>
      <c r="K1408" s="40" t="str">
        <f>IF(Agent08_Withdrawals!A15="","",Agent08_Withdrawals!K15)</f>
        <v/>
      </c>
      <c r="L1408" s="40" t="str">
        <f>IF(G1408="","",IF(D1408-G1408&gt;=System_Config!$B$9,"✅ OK","⚠️ BREACH"))</f>
        <v/>
      </c>
      <c r="M1408" s="40" t="str">
        <f>IFERROR(IF(Agent08_Withdrawals!A15="","",YEAR(Agent08_Withdrawals!D15)),"")</f>
        <v/>
      </c>
    </row>
    <row r="1409" spans="1:13" ht="18" customHeight="1" x14ac:dyDescent="0.25">
      <c r="A1409" s="40" t="str">
        <f>IF(Agent08_Withdrawals!A16="","",Agent08_Withdrawals!A16)</f>
        <v/>
      </c>
      <c r="B1409" s="40" t="str">
        <f ca="1">IF(Agent08_Withdrawals!A16="","","WD"&amp;TEXT(1409-3,"0000")&amp;"-"&amp;TEXT(TODAY(),"YYYYMMDD"))</f>
        <v/>
      </c>
      <c r="C1409" s="40" t="str">
        <f>IF(Agent08_Withdrawals!A16="","",Agent08_Withdrawals!B16)</f>
        <v/>
      </c>
      <c r="D1409" s="43" t="str">
        <f>IF(Agent08_Withdrawals!A16="","",Agent08_Withdrawals!C16)</f>
        <v/>
      </c>
      <c r="E1409" s="41" t="str">
        <f>IF(Agent08_Withdrawals!A16="","",Agent08_Withdrawals!D16)</f>
        <v/>
      </c>
      <c r="F1409" s="40" t="str">
        <f>IF(Agent08_Withdrawals!A16="","",Agent08_Withdrawals!F16)</f>
        <v/>
      </c>
      <c r="G1409" s="42" t="str">
        <f>IF(Agent08_Withdrawals!A16="","",Agent08_Withdrawals!E16)</f>
        <v/>
      </c>
      <c r="H1409" s="42" t="str">
        <f>IF(Agent08_Withdrawals!A16="","",Agent08_Withdrawals!G16)</f>
        <v/>
      </c>
      <c r="I1409" s="40" t="str">
        <f>IF(Agent08_Withdrawals!A16="","",Agent08_Withdrawals!H16)</f>
        <v/>
      </c>
      <c r="J1409" s="40" t="str">
        <f>IF(Agent08_Withdrawals!A16="","",Agent08_Withdrawals!J16)</f>
        <v/>
      </c>
      <c r="K1409" s="40" t="str">
        <f>IF(Agent08_Withdrawals!A16="","",Agent08_Withdrawals!K16)</f>
        <v/>
      </c>
      <c r="L1409" s="40" t="str">
        <f>IF(G1409="","",IF(D1409-G1409&gt;=System_Config!$B$9,"✅ OK","⚠️ BREACH"))</f>
        <v/>
      </c>
      <c r="M1409" s="40" t="str">
        <f>IFERROR(IF(Agent08_Withdrawals!A16="","",YEAR(Agent08_Withdrawals!D16)),"")</f>
        <v/>
      </c>
    </row>
    <row r="1410" spans="1:13" ht="18" customHeight="1" x14ac:dyDescent="0.25">
      <c r="A1410" s="40" t="str">
        <f>IF(Agent08_Withdrawals!A17="","",Agent08_Withdrawals!A17)</f>
        <v/>
      </c>
      <c r="B1410" s="40" t="str">
        <f ca="1">IF(Agent08_Withdrawals!A17="","","WD"&amp;TEXT(1410-3,"0000")&amp;"-"&amp;TEXT(TODAY(),"YYYYMMDD"))</f>
        <v/>
      </c>
      <c r="C1410" s="40" t="str">
        <f>IF(Agent08_Withdrawals!A17="","",Agent08_Withdrawals!B17)</f>
        <v/>
      </c>
      <c r="D1410" s="43" t="str">
        <f>IF(Agent08_Withdrawals!A17="","",Agent08_Withdrawals!C17)</f>
        <v/>
      </c>
      <c r="E1410" s="41" t="str">
        <f>IF(Agent08_Withdrawals!A17="","",Agent08_Withdrawals!D17)</f>
        <v/>
      </c>
      <c r="F1410" s="40" t="str">
        <f>IF(Agent08_Withdrawals!A17="","",Agent08_Withdrawals!F17)</f>
        <v/>
      </c>
      <c r="G1410" s="42" t="str">
        <f>IF(Agent08_Withdrawals!A17="","",Agent08_Withdrawals!E17)</f>
        <v/>
      </c>
      <c r="H1410" s="42" t="str">
        <f>IF(Agent08_Withdrawals!A17="","",Agent08_Withdrawals!G17)</f>
        <v/>
      </c>
      <c r="I1410" s="40" t="str">
        <f>IF(Agent08_Withdrawals!A17="","",Agent08_Withdrawals!H17)</f>
        <v/>
      </c>
      <c r="J1410" s="40" t="str">
        <f>IF(Agent08_Withdrawals!A17="","",Agent08_Withdrawals!J17)</f>
        <v/>
      </c>
      <c r="K1410" s="40" t="str">
        <f>IF(Agent08_Withdrawals!A17="","",Agent08_Withdrawals!K17)</f>
        <v/>
      </c>
      <c r="L1410" s="40" t="str">
        <f>IF(G1410="","",IF(D1410-G1410&gt;=System_Config!$B$9,"✅ OK","⚠️ BREACH"))</f>
        <v/>
      </c>
      <c r="M1410" s="40" t="str">
        <f>IFERROR(IF(Agent08_Withdrawals!A17="","",YEAR(Agent08_Withdrawals!D17)),"")</f>
        <v/>
      </c>
    </row>
    <row r="1411" spans="1:13" ht="18" customHeight="1" x14ac:dyDescent="0.25">
      <c r="A1411" s="40" t="str">
        <f>IF(Agent08_Withdrawals!A18="","",Agent08_Withdrawals!A18)</f>
        <v/>
      </c>
      <c r="B1411" s="40" t="str">
        <f ca="1">IF(Agent08_Withdrawals!A18="","","WD"&amp;TEXT(1411-3,"0000")&amp;"-"&amp;TEXT(TODAY(),"YYYYMMDD"))</f>
        <v/>
      </c>
      <c r="C1411" s="40" t="str">
        <f>IF(Agent08_Withdrawals!A18="","",Agent08_Withdrawals!B18)</f>
        <v/>
      </c>
      <c r="D1411" s="43" t="str">
        <f>IF(Agent08_Withdrawals!A18="","",Agent08_Withdrawals!C18)</f>
        <v/>
      </c>
      <c r="E1411" s="41" t="str">
        <f>IF(Agent08_Withdrawals!A18="","",Agent08_Withdrawals!D18)</f>
        <v/>
      </c>
      <c r="F1411" s="40" t="str">
        <f>IF(Agent08_Withdrawals!A18="","",Agent08_Withdrawals!F18)</f>
        <v/>
      </c>
      <c r="G1411" s="42" t="str">
        <f>IF(Agent08_Withdrawals!A18="","",Agent08_Withdrawals!E18)</f>
        <v/>
      </c>
      <c r="H1411" s="42" t="str">
        <f>IF(Agent08_Withdrawals!A18="","",Agent08_Withdrawals!G18)</f>
        <v/>
      </c>
      <c r="I1411" s="40" t="str">
        <f>IF(Agent08_Withdrawals!A18="","",Agent08_Withdrawals!H18)</f>
        <v/>
      </c>
      <c r="J1411" s="40" t="str">
        <f>IF(Agent08_Withdrawals!A18="","",Agent08_Withdrawals!J18)</f>
        <v/>
      </c>
      <c r="K1411" s="40" t="str">
        <f>IF(Agent08_Withdrawals!A18="","",Agent08_Withdrawals!K18)</f>
        <v/>
      </c>
      <c r="L1411" s="40" t="str">
        <f>IF(G1411="","",IF(D1411-G1411&gt;=System_Config!$B$9,"✅ OK","⚠️ BREACH"))</f>
        <v/>
      </c>
      <c r="M1411" s="40" t="str">
        <f>IFERROR(IF(Agent08_Withdrawals!A18="","",YEAR(Agent08_Withdrawals!D18)),"")</f>
        <v/>
      </c>
    </row>
    <row r="1412" spans="1:13" ht="18" customHeight="1" x14ac:dyDescent="0.25">
      <c r="A1412" s="40" t="str">
        <f>IF(Agent08_Withdrawals!A19="","",Agent08_Withdrawals!A19)</f>
        <v/>
      </c>
      <c r="B1412" s="40" t="str">
        <f ca="1">IF(Agent08_Withdrawals!A19="","","WD"&amp;TEXT(1412-3,"0000")&amp;"-"&amp;TEXT(TODAY(),"YYYYMMDD"))</f>
        <v/>
      </c>
      <c r="C1412" s="40" t="str">
        <f>IF(Agent08_Withdrawals!A19="","",Agent08_Withdrawals!B19)</f>
        <v/>
      </c>
      <c r="D1412" s="43" t="str">
        <f>IF(Agent08_Withdrawals!A19="","",Agent08_Withdrawals!C19)</f>
        <v/>
      </c>
      <c r="E1412" s="41" t="str">
        <f>IF(Agent08_Withdrawals!A19="","",Agent08_Withdrawals!D19)</f>
        <v/>
      </c>
      <c r="F1412" s="40" t="str">
        <f>IF(Agent08_Withdrawals!A19="","",Agent08_Withdrawals!F19)</f>
        <v/>
      </c>
      <c r="G1412" s="42" t="str">
        <f>IF(Agent08_Withdrawals!A19="","",Agent08_Withdrawals!E19)</f>
        <v/>
      </c>
      <c r="H1412" s="42" t="str">
        <f>IF(Agent08_Withdrawals!A19="","",Agent08_Withdrawals!G19)</f>
        <v/>
      </c>
      <c r="I1412" s="40" t="str">
        <f>IF(Agent08_Withdrawals!A19="","",Agent08_Withdrawals!H19)</f>
        <v/>
      </c>
      <c r="J1412" s="40" t="str">
        <f>IF(Agent08_Withdrawals!A19="","",Agent08_Withdrawals!J19)</f>
        <v/>
      </c>
      <c r="K1412" s="40" t="str">
        <f>IF(Agent08_Withdrawals!A19="","",Agent08_Withdrawals!K19)</f>
        <v/>
      </c>
      <c r="L1412" s="40" t="str">
        <f>IF(G1412="","",IF(D1412-G1412&gt;=System_Config!$B$9,"✅ OK","⚠️ BREACH"))</f>
        <v/>
      </c>
      <c r="M1412" s="40" t="str">
        <f>IFERROR(IF(Agent08_Withdrawals!A19="","",YEAR(Agent08_Withdrawals!D19)),"")</f>
        <v/>
      </c>
    </row>
    <row r="1413" spans="1:13" ht="18" customHeight="1" x14ac:dyDescent="0.25">
      <c r="A1413" s="40" t="str">
        <f>IF(Agent08_Withdrawals!A20="","",Agent08_Withdrawals!A20)</f>
        <v/>
      </c>
      <c r="B1413" s="40" t="str">
        <f ca="1">IF(Agent08_Withdrawals!A20="","","WD"&amp;TEXT(1413-3,"0000")&amp;"-"&amp;TEXT(TODAY(),"YYYYMMDD"))</f>
        <v/>
      </c>
      <c r="C1413" s="40" t="str">
        <f>IF(Agent08_Withdrawals!A20="","",Agent08_Withdrawals!B20)</f>
        <v/>
      </c>
      <c r="D1413" s="43" t="str">
        <f>IF(Agent08_Withdrawals!A20="","",Agent08_Withdrawals!C20)</f>
        <v/>
      </c>
      <c r="E1413" s="41" t="str">
        <f>IF(Agent08_Withdrawals!A20="","",Agent08_Withdrawals!D20)</f>
        <v/>
      </c>
      <c r="F1413" s="40" t="str">
        <f>IF(Agent08_Withdrawals!A20="","",Agent08_Withdrawals!F20)</f>
        <v/>
      </c>
      <c r="G1413" s="42" t="str">
        <f>IF(Agent08_Withdrawals!A20="","",Agent08_Withdrawals!E20)</f>
        <v/>
      </c>
      <c r="H1413" s="42" t="str">
        <f>IF(Agent08_Withdrawals!A20="","",Agent08_Withdrawals!G20)</f>
        <v/>
      </c>
      <c r="I1413" s="40" t="str">
        <f>IF(Agent08_Withdrawals!A20="","",Agent08_Withdrawals!H20)</f>
        <v/>
      </c>
      <c r="J1413" s="40" t="str">
        <f>IF(Agent08_Withdrawals!A20="","",Agent08_Withdrawals!J20)</f>
        <v/>
      </c>
      <c r="K1413" s="40" t="str">
        <f>IF(Agent08_Withdrawals!A20="","",Agent08_Withdrawals!K20)</f>
        <v/>
      </c>
      <c r="L1413" s="40" t="str">
        <f>IF(G1413="","",IF(D1413-G1413&gt;=System_Config!$B$9,"✅ OK","⚠️ BREACH"))</f>
        <v/>
      </c>
      <c r="M1413" s="40" t="str">
        <f>IFERROR(IF(Agent08_Withdrawals!A20="","",YEAR(Agent08_Withdrawals!D20)),"")</f>
        <v/>
      </c>
    </row>
    <row r="1414" spans="1:13" ht="18" customHeight="1" x14ac:dyDescent="0.25">
      <c r="A1414" s="40" t="str">
        <f>IF(Agent08_Withdrawals!A21="","",Agent08_Withdrawals!A21)</f>
        <v/>
      </c>
      <c r="B1414" s="40" t="str">
        <f ca="1">IF(Agent08_Withdrawals!A21="","","WD"&amp;TEXT(1414-3,"0000")&amp;"-"&amp;TEXT(TODAY(),"YYYYMMDD"))</f>
        <v/>
      </c>
      <c r="C1414" s="40" t="str">
        <f>IF(Agent08_Withdrawals!A21="","",Agent08_Withdrawals!B21)</f>
        <v/>
      </c>
      <c r="D1414" s="43" t="str">
        <f>IF(Agent08_Withdrawals!A21="","",Agent08_Withdrawals!C21)</f>
        <v/>
      </c>
      <c r="E1414" s="41" t="str">
        <f>IF(Agent08_Withdrawals!A21="","",Agent08_Withdrawals!D21)</f>
        <v/>
      </c>
      <c r="F1414" s="40" t="str">
        <f>IF(Agent08_Withdrawals!A21="","",Agent08_Withdrawals!F21)</f>
        <v/>
      </c>
      <c r="G1414" s="42" t="str">
        <f>IF(Agent08_Withdrawals!A21="","",Agent08_Withdrawals!E21)</f>
        <v/>
      </c>
      <c r="H1414" s="42" t="str">
        <f>IF(Agent08_Withdrawals!A21="","",Agent08_Withdrawals!G21)</f>
        <v/>
      </c>
      <c r="I1414" s="40" t="str">
        <f>IF(Agent08_Withdrawals!A21="","",Agent08_Withdrawals!H21)</f>
        <v/>
      </c>
      <c r="J1414" s="40" t="str">
        <f>IF(Agent08_Withdrawals!A21="","",Agent08_Withdrawals!J21)</f>
        <v/>
      </c>
      <c r="K1414" s="40" t="str">
        <f>IF(Agent08_Withdrawals!A21="","",Agent08_Withdrawals!K21)</f>
        <v/>
      </c>
      <c r="L1414" s="40" t="str">
        <f>IF(G1414="","",IF(D1414-G1414&gt;=System_Config!$B$9,"✅ OK","⚠️ BREACH"))</f>
        <v/>
      </c>
      <c r="M1414" s="40" t="str">
        <f>IFERROR(IF(Agent08_Withdrawals!A21="","",YEAR(Agent08_Withdrawals!D21)),"")</f>
        <v/>
      </c>
    </row>
    <row r="1415" spans="1:13" ht="18" customHeight="1" x14ac:dyDescent="0.25">
      <c r="A1415" s="40" t="str">
        <f>IF(Agent08_Withdrawals!A22="","",Agent08_Withdrawals!A22)</f>
        <v/>
      </c>
      <c r="B1415" s="40" t="str">
        <f ca="1">IF(Agent08_Withdrawals!A22="","","WD"&amp;TEXT(1415-3,"0000")&amp;"-"&amp;TEXT(TODAY(),"YYYYMMDD"))</f>
        <v/>
      </c>
      <c r="C1415" s="40" t="str">
        <f>IF(Agent08_Withdrawals!A22="","",Agent08_Withdrawals!B22)</f>
        <v/>
      </c>
      <c r="D1415" s="43" t="str">
        <f>IF(Agent08_Withdrawals!A22="","",Agent08_Withdrawals!C22)</f>
        <v/>
      </c>
      <c r="E1415" s="41" t="str">
        <f>IF(Agent08_Withdrawals!A22="","",Agent08_Withdrawals!D22)</f>
        <v/>
      </c>
      <c r="F1415" s="40" t="str">
        <f>IF(Agent08_Withdrawals!A22="","",Agent08_Withdrawals!F22)</f>
        <v/>
      </c>
      <c r="G1415" s="42" t="str">
        <f>IF(Agent08_Withdrawals!A22="","",Agent08_Withdrawals!E22)</f>
        <v/>
      </c>
      <c r="H1415" s="42" t="str">
        <f>IF(Agent08_Withdrawals!A22="","",Agent08_Withdrawals!G22)</f>
        <v/>
      </c>
      <c r="I1415" s="40" t="str">
        <f>IF(Agent08_Withdrawals!A22="","",Agent08_Withdrawals!H22)</f>
        <v/>
      </c>
      <c r="J1415" s="40" t="str">
        <f>IF(Agent08_Withdrawals!A22="","",Agent08_Withdrawals!J22)</f>
        <v/>
      </c>
      <c r="K1415" s="40" t="str">
        <f>IF(Agent08_Withdrawals!A22="","",Agent08_Withdrawals!K22)</f>
        <v/>
      </c>
      <c r="L1415" s="40" t="str">
        <f>IF(G1415="","",IF(D1415-G1415&gt;=System_Config!$B$9,"✅ OK","⚠️ BREACH"))</f>
        <v/>
      </c>
      <c r="M1415" s="40" t="str">
        <f>IFERROR(IF(Agent08_Withdrawals!A22="","",YEAR(Agent08_Withdrawals!D22)),"")</f>
        <v/>
      </c>
    </row>
    <row r="1416" spans="1:13" ht="18" customHeight="1" x14ac:dyDescent="0.25">
      <c r="A1416" s="40" t="str">
        <f>IF(Agent08_Withdrawals!A23="","",Agent08_Withdrawals!A23)</f>
        <v/>
      </c>
      <c r="B1416" s="40" t="str">
        <f ca="1">IF(Agent08_Withdrawals!A23="","","WD"&amp;TEXT(1416-3,"0000")&amp;"-"&amp;TEXT(TODAY(),"YYYYMMDD"))</f>
        <v/>
      </c>
      <c r="C1416" s="40" t="str">
        <f>IF(Agent08_Withdrawals!A23="","",Agent08_Withdrawals!B23)</f>
        <v/>
      </c>
      <c r="D1416" s="43" t="str">
        <f>IF(Agent08_Withdrawals!A23="","",Agent08_Withdrawals!C23)</f>
        <v/>
      </c>
      <c r="E1416" s="41" t="str">
        <f>IF(Agent08_Withdrawals!A23="","",Agent08_Withdrawals!D23)</f>
        <v/>
      </c>
      <c r="F1416" s="40" t="str">
        <f>IF(Agent08_Withdrawals!A23="","",Agent08_Withdrawals!F23)</f>
        <v/>
      </c>
      <c r="G1416" s="42" t="str">
        <f>IF(Agent08_Withdrawals!A23="","",Agent08_Withdrawals!E23)</f>
        <v/>
      </c>
      <c r="H1416" s="42" t="str">
        <f>IF(Agent08_Withdrawals!A23="","",Agent08_Withdrawals!G23)</f>
        <v/>
      </c>
      <c r="I1416" s="40" t="str">
        <f>IF(Agent08_Withdrawals!A23="","",Agent08_Withdrawals!H23)</f>
        <v/>
      </c>
      <c r="J1416" s="40" t="str">
        <f>IF(Agent08_Withdrawals!A23="","",Agent08_Withdrawals!J23)</f>
        <v/>
      </c>
      <c r="K1416" s="40" t="str">
        <f>IF(Agent08_Withdrawals!A23="","",Agent08_Withdrawals!K23)</f>
        <v/>
      </c>
      <c r="L1416" s="40" t="str">
        <f>IF(G1416="","",IF(D1416-G1416&gt;=System_Config!$B$9,"✅ OK","⚠️ BREACH"))</f>
        <v/>
      </c>
      <c r="M1416" s="40" t="str">
        <f>IFERROR(IF(Agent08_Withdrawals!A23="","",YEAR(Agent08_Withdrawals!D23)),"")</f>
        <v/>
      </c>
    </row>
    <row r="1417" spans="1:13" ht="18" customHeight="1" x14ac:dyDescent="0.25">
      <c r="A1417" s="40" t="str">
        <f>IF(Agent08_Withdrawals!A24="","",Agent08_Withdrawals!A24)</f>
        <v/>
      </c>
      <c r="B1417" s="40" t="str">
        <f ca="1">IF(Agent08_Withdrawals!A24="","","WD"&amp;TEXT(1417-3,"0000")&amp;"-"&amp;TEXT(TODAY(),"YYYYMMDD"))</f>
        <v/>
      </c>
      <c r="C1417" s="40" t="str">
        <f>IF(Agent08_Withdrawals!A24="","",Agent08_Withdrawals!B24)</f>
        <v/>
      </c>
      <c r="D1417" s="43" t="str">
        <f>IF(Agent08_Withdrawals!A24="","",Agent08_Withdrawals!C24)</f>
        <v/>
      </c>
      <c r="E1417" s="41" t="str">
        <f>IF(Agent08_Withdrawals!A24="","",Agent08_Withdrawals!D24)</f>
        <v/>
      </c>
      <c r="F1417" s="40" t="str">
        <f>IF(Agent08_Withdrawals!A24="","",Agent08_Withdrawals!F24)</f>
        <v/>
      </c>
      <c r="G1417" s="42" t="str">
        <f>IF(Agent08_Withdrawals!A24="","",Agent08_Withdrawals!E24)</f>
        <v/>
      </c>
      <c r="H1417" s="42" t="str">
        <f>IF(Agent08_Withdrawals!A24="","",Agent08_Withdrawals!G24)</f>
        <v/>
      </c>
      <c r="I1417" s="40" t="str">
        <f>IF(Agent08_Withdrawals!A24="","",Agent08_Withdrawals!H24)</f>
        <v/>
      </c>
      <c r="J1417" s="40" t="str">
        <f>IF(Agent08_Withdrawals!A24="","",Agent08_Withdrawals!J24)</f>
        <v/>
      </c>
      <c r="K1417" s="40" t="str">
        <f>IF(Agent08_Withdrawals!A24="","",Agent08_Withdrawals!K24)</f>
        <v/>
      </c>
      <c r="L1417" s="40" t="str">
        <f>IF(G1417="","",IF(D1417-G1417&gt;=System_Config!$B$9,"✅ OK","⚠️ BREACH"))</f>
        <v/>
      </c>
      <c r="M1417" s="40" t="str">
        <f>IFERROR(IF(Agent08_Withdrawals!A24="","",YEAR(Agent08_Withdrawals!D24)),"")</f>
        <v/>
      </c>
    </row>
    <row r="1418" spans="1:13" ht="18" customHeight="1" x14ac:dyDescent="0.25">
      <c r="A1418" s="40" t="str">
        <f>IF(Agent08_Withdrawals!A25="","",Agent08_Withdrawals!A25)</f>
        <v/>
      </c>
      <c r="B1418" s="40" t="str">
        <f ca="1">IF(Agent08_Withdrawals!A25="","","WD"&amp;TEXT(1418-3,"0000")&amp;"-"&amp;TEXT(TODAY(),"YYYYMMDD"))</f>
        <v/>
      </c>
      <c r="C1418" s="40" t="str">
        <f>IF(Agent08_Withdrawals!A25="","",Agent08_Withdrawals!B25)</f>
        <v/>
      </c>
      <c r="D1418" s="43" t="str">
        <f>IF(Agent08_Withdrawals!A25="","",Agent08_Withdrawals!C25)</f>
        <v/>
      </c>
      <c r="E1418" s="41" t="str">
        <f>IF(Agent08_Withdrawals!A25="","",Agent08_Withdrawals!D25)</f>
        <v/>
      </c>
      <c r="F1418" s="40" t="str">
        <f>IF(Agent08_Withdrawals!A25="","",Agent08_Withdrawals!F25)</f>
        <v/>
      </c>
      <c r="G1418" s="42" t="str">
        <f>IF(Agent08_Withdrawals!A25="","",Agent08_Withdrawals!E25)</f>
        <v/>
      </c>
      <c r="H1418" s="42" t="str">
        <f>IF(Agent08_Withdrawals!A25="","",Agent08_Withdrawals!G25)</f>
        <v/>
      </c>
      <c r="I1418" s="40" t="str">
        <f>IF(Agent08_Withdrawals!A25="","",Agent08_Withdrawals!H25)</f>
        <v/>
      </c>
      <c r="J1418" s="40" t="str">
        <f>IF(Agent08_Withdrawals!A25="","",Agent08_Withdrawals!J25)</f>
        <v/>
      </c>
      <c r="K1418" s="40" t="str">
        <f>IF(Agent08_Withdrawals!A25="","",Agent08_Withdrawals!K25)</f>
        <v/>
      </c>
      <c r="L1418" s="40" t="str">
        <f>IF(G1418="","",IF(D1418-G1418&gt;=System_Config!$B$9,"✅ OK","⚠️ BREACH"))</f>
        <v/>
      </c>
      <c r="M1418" s="40" t="str">
        <f>IFERROR(IF(Agent08_Withdrawals!A25="","",YEAR(Agent08_Withdrawals!D25)),"")</f>
        <v/>
      </c>
    </row>
    <row r="1419" spans="1:13" ht="18" customHeight="1" x14ac:dyDescent="0.25">
      <c r="A1419" s="40" t="str">
        <f>IF(Agent08_Withdrawals!A26="","",Agent08_Withdrawals!A26)</f>
        <v/>
      </c>
      <c r="B1419" s="40" t="str">
        <f ca="1">IF(Agent08_Withdrawals!A26="","","WD"&amp;TEXT(1419-3,"0000")&amp;"-"&amp;TEXT(TODAY(),"YYYYMMDD"))</f>
        <v/>
      </c>
      <c r="C1419" s="40" t="str">
        <f>IF(Agent08_Withdrawals!A26="","",Agent08_Withdrawals!B26)</f>
        <v/>
      </c>
      <c r="D1419" s="43" t="str">
        <f>IF(Agent08_Withdrawals!A26="","",Agent08_Withdrawals!C26)</f>
        <v/>
      </c>
      <c r="E1419" s="41" t="str">
        <f>IF(Agent08_Withdrawals!A26="","",Agent08_Withdrawals!D26)</f>
        <v/>
      </c>
      <c r="F1419" s="40" t="str">
        <f>IF(Agent08_Withdrawals!A26="","",Agent08_Withdrawals!F26)</f>
        <v/>
      </c>
      <c r="G1419" s="42" t="str">
        <f>IF(Agent08_Withdrawals!A26="","",Agent08_Withdrawals!E26)</f>
        <v/>
      </c>
      <c r="H1419" s="42" t="str">
        <f>IF(Agent08_Withdrawals!A26="","",Agent08_Withdrawals!G26)</f>
        <v/>
      </c>
      <c r="I1419" s="40" t="str">
        <f>IF(Agent08_Withdrawals!A26="","",Agent08_Withdrawals!H26)</f>
        <v/>
      </c>
      <c r="J1419" s="40" t="str">
        <f>IF(Agent08_Withdrawals!A26="","",Agent08_Withdrawals!J26)</f>
        <v/>
      </c>
      <c r="K1419" s="40" t="str">
        <f>IF(Agent08_Withdrawals!A26="","",Agent08_Withdrawals!K26)</f>
        <v/>
      </c>
      <c r="L1419" s="40" t="str">
        <f>IF(G1419="","",IF(D1419-G1419&gt;=System_Config!$B$9,"✅ OK","⚠️ BREACH"))</f>
        <v/>
      </c>
      <c r="M1419" s="40" t="str">
        <f>IFERROR(IF(Agent08_Withdrawals!A26="","",YEAR(Agent08_Withdrawals!D26)),"")</f>
        <v/>
      </c>
    </row>
    <row r="1420" spans="1:13" ht="18" customHeight="1" x14ac:dyDescent="0.25">
      <c r="A1420" s="40" t="str">
        <f>IF(Agent08_Withdrawals!A27="","",Agent08_Withdrawals!A27)</f>
        <v/>
      </c>
      <c r="B1420" s="40" t="str">
        <f ca="1">IF(Agent08_Withdrawals!A27="","","WD"&amp;TEXT(1420-3,"0000")&amp;"-"&amp;TEXT(TODAY(),"YYYYMMDD"))</f>
        <v/>
      </c>
      <c r="C1420" s="40" t="str">
        <f>IF(Agent08_Withdrawals!A27="","",Agent08_Withdrawals!B27)</f>
        <v/>
      </c>
      <c r="D1420" s="43" t="str">
        <f>IF(Agent08_Withdrawals!A27="","",Agent08_Withdrawals!C27)</f>
        <v/>
      </c>
      <c r="E1420" s="41" t="str">
        <f>IF(Agent08_Withdrawals!A27="","",Agent08_Withdrawals!D27)</f>
        <v/>
      </c>
      <c r="F1420" s="40" t="str">
        <f>IF(Agent08_Withdrawals!A27="","",Agent08_Withdrawals!F27)</f>
        <v/>
      </c>
      <c r="G1420" s="42" t="str">
        <f>IF(Agent08_Withdrawals!A27="","",Agent08_Withdrawals!E27)</f>
        <v/>
      </c>
      <c r="H1420" s="42" t="str">
        <f>IF(Agent08_Withdrawals!A27="","",Agent08_Withdrawals!G27)</f>
        <v/>
      </c>
      <c r="I1420" s="40" t="str">
        <f>IF(Agent08_Withdrawals!A27="","",Agent08_Withdrawals!H27)</f>
        <v/>
      </c>
      <c r="J1420" s="40" t="str">
        <f>IF(Agent08_Withdrawals!A27="","",Agent08_Withdrawals!J27)</f>
        <v/>
      </c>
      <c r="K1420" s="40" t="str">
        <f>IF(Agent08_Withdrawals!A27="","",Agent08_Withdrawals!K27)</f>
        <v/>
      </c>
      <c r="L1420" s="40" t="str">
        <f>IF(G1420="","",IF(D1420-G1420&gt;=System_Config!$B$9,"✅ OK","⚠️ BREACH"))</f>
        <v/>
      </c>
      <c r="M1420" s="40" t="str">
        <f>IFERROR(IF(Agent08_Withdrawals!A27="","",YEAR(Agent08_Withdrawals!D27)),"")</f>
        <v/>
      </c>
    </row>
    <row r="1421" spans="1:13" ht="18" customHeight="1" x14ac:dyDescent="0.25">
      <c r="A1421" s="40" t="str">
        <f>IF(Agent08_Withdrawals!A28="","",Agent08_Withdrawals!A28)</f>
        <v/>
      </c>
      <c r="B1421" s="40" t="str">
        <f ca="1">IF(Agent08_Withdrawals!A28="","","WD"&amp;TEXT(1421-3,"0000")&amp;"-"&amp;TEXT(TODAY(),"YYYYMMDD"))</f>
        <v/>
      </c>
      <c r="C1421" s="40" t="str">
        <f>IF(Agent08_Withdrawals!A28="","",Agent08_Withdrawals!B28)</f>
        <v/>
      </c>
      <c r="D1421" s="43" t="str">
        <f>IF(Agent08_Withdrawals!A28="","",Agent08_Withdrawals!C28)</f>
        <v/>
      </c>
      <c r="E1421" s="41" t="str">
        <f>IF(Agent08_Withdrawals!A28="","",Agent08_Withdrawals!D28)</f>
        <v/>
      </c>
      <c r="F1421" s="40" t="str">
        <f>IF(Agent08_Withdrawals!A28="","",Agent08_Withdrawals!F28)</f>
        <v/>
      </c>
      <c r="G1421" s="42" t="str">
        <f>IF(Agent08_Withdrawals!A28="","",Agent08_Withdrawals!E28)</f>
        <v/>
      </c>
      <c r="H1421" s="42" t="str">
        <f>IF(Agent08_Withdrawals!A28="","",Agent08_Withdrawals!G28)</f>
        <v/>
      </c>
      <c r="I1421" s="40" t="str">
        <f>IF(Agent08_Withdrawals!A28="","",Agent08_Withdrawals!H28)</f>
        <v/>
      </c>
      <c r="J1421" s="40" t="str">
        <f>IF(Agent08_Withdrawals!A28="","",Agent08_Withdrawals!J28)</f>
        <v/>
      </c>
      <c r="K1421" s="40" t="str">
        <f>IF(Agent08_Withdrawals!A28="","",Agent08_Withdrawals!K28)</f>
        <v/>
      </c>
      <c r="L1421" s="40" t="str">
        <f>IF(G1421="","",IF(D1421-G1421&gt;=System_Config!$B$9,"✅ OK","⚠️ BREACH"))</f>
        <v/>
      </c>
      <c r="M1421" s="40" t="str">
        <f>IFERROR(IF(Agent08_Withdrawals!A28="","",YEAR(Agent08_Withdrawals!D28)),"")</f>
        <v/>
      </c>
    </row>
    <row r="1422" spans="1:13" ht="18" customHeight="1" x14ac:dyDescent="0.25">
      <c r="A1422" s="40" t="str">
        <f>IF(Agent08_Withdrawals!A29="","",Agent08_Withdrawals!A29)</f>
        <v/>
      </c>
      <c r="B1422" s="40" t="str">
        <f ca="1">IF(Agent08_Withdrawals!A29="","","WD"&amp;TEXT(1422-3,"0000")&amp;"-"&amp;TEXT(TODAY(),"YYYYMMDD"))</f>
        <v/>
      </c>
      <c r="C1422" s="40" t="str">
        <f>IF(Agent08_Withdrawals!A29="","",Agent08_Withdrawals!B29)</f>
        <v/>
      </c>
      <c r="D1422" s="43" t="str">
        <f>IF(Agent08_Withdrawals!A29="","",Agent08_Withdrawals!C29)</f>
        <v/>
      </c>
      <c r="E1422" s="41" t="str">
        <f>IF(Agent08_Withdrawals!A29="","",Agent08_Withdrawals!D29)</f>
        <v/>
      </c>
      <c r="F1422" s="40" t="str">
        <f>IF(Agent08_Withdrawals!A29="","",Agent08_Withdrawals!F29)</f>
        <v/>
      </c>
      <c r="G1422" s="42" t="str">
        <f>IF(Agent08_Withdrawals!A29="","",Agent08_Withdrawals!E29)</f>
        <v/>
      </c>
      <c r="H1422" s="42" t="str">
        <f>IF(Agent08_Withdrawals!A29="","",Agent08_Withdrawals!G29)</f>
        <v/>
      </c>
      <c r="I1422" s="40" t="str">
        <f>IF(Agent08_Withdrawals!A29="","",Agent08_Withdrawals!H29)</f>
        <v/>
      </c>
      <c r="J1422" s="40" t="str">
        <f>IF(Agent08_Withdrawals!A29="","",Agent08_Withdrawals!J29)</f>
        <v/>
      </c>
      <c r="K1422" s="40" t="str">
        <f>IF(Agent08_Withdrawals!A29="","",Agent08_Withdrawals!K29)</f>
        <v/>
      </c>
      <c r="L1422" s="40" t="str">
        <f>IF(G1422="","",IF(D1422-G1422&gt;=System_Config!$B$9,"✅ OK","⚠️ BREACH"))</f>
        <v/>
      </c>
      <c r="M1422" s="40" t="str">
        <f>IFERROR(IF(Agent08_Withdrawals!A29="","",YEAR(Agent08_Withdrawals!D29)),"")</f>
        <v/>
      </c>
    </row>
    <row r="1423" spans="1:13" ht="18" customHeight="1" x14ac:dyDescent="0.25">
      <c r="A1423" s="40" t="str">
        <f>IF(Agent08_Withdrawals!A30="","",Agent08_Withdrawals!A30)</f>
        <v/>
      </c>
      <c r="B1423" s="40" t="str">
        <f ca="1">IF(Agent08_Withdrawals!A30="","","WD"&amp;TEXT(1423-3,"0000")&amp;"-"&amp;TEXT(TODAY(),"YYYYMMDD"))</f>
        <v/>
      </c>
      <c r="C1423" s="40" t="str">
        <f>IF(Agent08_Withdrawals!A30="","",Agent08_Withdrawals!B30)</f>
        <v/>
      </c>
      <c r="D1423" s="43" t="str">
        <f>IF(Agent08_Withdrawals!A30="","",Agent08_Withdrawals!C30)</f>
        <v/>
      </c>
      <c r="E1423" s="41" t="str">
        <f>IF(Agent08_Withdrawals!A30="","",Agent08_Withdrawals!D30)</f>
        <v/>
      </c>
      <c r="F1423" s="40" t="str">
        <f>IF(Agent08_Withdrawals!A30="","",Agent08_Withdrawals!F30)</f>
        <v/>
      </c>
      <c r="G1423" s="42" t="str">
        <f>IF(Agent08_Withdrawals!A30="","",Agent08_Withdrawals!E30)</f>
        <v/>
      </c>
      <c r="H1423" s="42" t="str">
        <f>IF(Agent08_Withdrawals!A30="","",Agent08_Withdrawals!G30)</f>
        <v/>
      </c>
      <c r="I1423" s="40" t="str">
        <f>IF(Agent08_Withdrawals!A30="","",Agent08_Withdrawals!H30)</f>
        <v/>
      </c>
      <c r="J1423" s="40" t="str">
        <f>IF(Agent08_Withdrawals!A30="","",Agent08_Withdrawals!J30)</f>
        <v/>
      </c>
      <c r="K1423" s="40" t="str">
        <f>IF(Agent08_Withdrawals!A30="","",Agent08_Withdrawals!K30)</f>
        <v/>
      </c>
      <c r="L1423" s="40" t="str">
        <f>IF(G1423="","",IF(D1423-G1423&gt;=System_Config!$B$9,"✅ OK","⚠️ BREACH"))</f>
        <v/>
      </c>
      <c r="M1423" s="40" t="str">
        <f>IFERROR(IF(Agent08_Withdrawals!A30="","",YEAR(Agent08_Withdrawals!D30)),"")</f>
        <v/>
      </c>
    </row>
    <row r="1424" spans="1:13" ht="18" customHeight="1" x14ac:dyDescent="0.25">
      <c r="A1424" s="40" t="str">
        <f>IF(Agent08_Withdrawals!A31="","",Agent08_Withdrawals!A31)</f>
        <v/>
      </c>
      <c r="B1424" s="40" t="str">
        <f ca="1">IF(Agent08_Withdrawals!A31="","","WD"&amp;TEXT(1424-3,"0000")&amp;"-"&amp;TEXT(TODAY(),"YYYYMMDD"))</f>
        <v/>
      </c>
      <c r="C1424" s="40" t="str">
        <f>IF(Agent08_Withdrawals!A31="","",Agent08_Withdrawals!B31)</f>
        <v/>
      </c>
      <c r="D1424" s="43" t="str">
        <f>IF(Agent08_Withdrawals!A31="","",Agent08_Withdrawals!C31)</f>
        <v/>
      </c>
      <c r="E1424" s="41" t="str">
        <f>IF(Agent08_Withdrawals!A31="","",Agent08_Withdrawals!D31)</f>
        <v/>
      </c>
      <c r="F1424" s="40" t="str">
        <f>IF(Agent08_Withdrawals!A31="","",Agent08_Withdrawals!F31)</f>
        <v/>
      </c>
      <c r="G1424" s="42" t="str">
        <f>IF(Agent08_Withdrawals!A31="","",Agent08_Withdrawals!E31)</f>
        <v/>
      </c>
      <c r="H1424" s="42" t="str">
        <f>IF(Agent08_Withdrawals!A31="","",Agent08_Withdrawals!G31)</f>
        <v/>
      </c>
      <c r="I1424" s="40" t="str">
        <f>IF(Agent08_Withdrawals!A31="","",Agent08_Withdrawals!H31)</f>
        <v/>
      </c>
      <c r="J1424" s="40" t="str">
        <f>IF(Agent08_Withdrawals!A31="","",Agent08_Withdrawals!J31)</f>
        <v/>
      </c>
      <c r="K1424" s="40" t="str">
        <f>IF(Agent08_Withdrawals!A31="","",Agent08_Withdrawals!K31)</f>
        <v/>
      </c>
      <c r="L1424" s="40" t="str">
        <f>IF(G1424="","",IF(D1424-G1424&gt;=System_Config!$B$9,"✅ OK","⚠️ BREACH"))</f>
        <v/>
      </c>
      <c r="M1424" s="40" t="str">
        <f>IFERROR(IF(Agent08_Withdrawals!A31="","",YEAR(Agent08_Withdrawals!D31)),"")</f>
        <v/>
      </c>
    </row>
    <row r="1425" spans="1:13" ht="18" customHeight="1" x14ac:dyDescent="0.25">
      <c r="A1425" s="40" t="str">
        <f>IF(Agent08_Withdrawals!A32="","",Agent08_Withdrawals!A32)</f>
        <v/>
      </c>
      <c r="B1425" s="40" t="str">
        <f ca="1">IF(Agent08_Withdrawals!A32="","","WD"&amp;TEXT(1425-3,"0000")&amp;"-"&amp;TEXT(TODAY(),"YYYYMMDD"))</f>
        <v/>
      </c>
      <c r="C1425" s="40" t="str">
        <f>IF(Agent08_Withdrawals!A32="","",Agent08_Withdrawals!B32)</f>
        <v/>
      </c>
      <c r="D1425" s="43" t="str">
        <f>IF(Agent08_Withdrawals!A32="","",Agent08_Withdrawals!C32)</f>
        <v/>
      </c>
      <c r="E1425" s="41" t="str">
        <f>IF(Agent08_Withdrawals!A32="","",Agent08_Withdrawals!D32)</f>
        <v/>
      </c>
      <c r="F1425" s="40" t="str">
        <f>IF(Agent08_Withdrawals!A32="","",Agent08_Withdrawals!F32)</f>
        <v/>
      </c>
      <c r="G1425" s="42" t="str">
        <f>IF(Agent08_Withdrawals!A32="","",Agent08_Withdrawals!E32)</f>
        <v/>
      </c>
      <c r="H1425" s="42" t="str">
        <f>IF(Agent08_Withdrawals!A32="","",Agent08_Withdrawals!G32)</f>
        <v/>
      </c>
      <c r="I1425" s="40" t="str">
        <f>IF(Agent08_Withdrawals!A32="","",Agent08_Withdrawals!H32)</f>
        <v/>
      </c>
      <c r="J1425" s="40" t="str">
        <f>IF(Agent08_Withdrawals!A32="","",Agent08_Withdrawals!J32)</f>
        <v/>
      </c>
      <c r="K1425" s="40" t="str">
        <f>IF(Agent08_Withdrawals!A32="","",Agent08_Withdrawals!K32)</f>
        <v/>
      </c>
      <c r="L1425" s="40" t="str">
        <f>IF(G1425="","",IF(D1425-G1425&gt;=System_Config!$B$9,"✅ OK","⚠️ BREACH"))</f>
        <v/>
      </c>
      <c r="M1425" s="40" t="str">
        <f>IFERROR(IF(Agent08_Withdrawals!A32="","",YEAR(Agent08_Withdrawals!D32)),"")</f>
        <v/>
      </c>
    </row>
    <row r="1426" spans="1:13" ht="18" customHeight="1" x14ac:dyDescent="0.25">
      <c r="A1426" s="40" t="str">
        <f>IF(Agent08_Withdrawals!A33="","",Agent08_Withdrawals!A33)</f>
        <v/>
      </c>
      <c r="B1426" s="40" t="str">
        <f ca="1">IF(Agent08_Withdrawals!A33="","","WD"&amp;TEXT(1426-3,"0000")&amp;"-"&amp;TEXT(TODAY(),"YYYYMMDD"))</f>
        <v/>
      </c>
      <c r="C1426" s="40" t="str">
        <f>IF(Agent08_Withdrawals!A33="","",Agent08_Withdrawals!B33)</f>
        <v/>
      </c>
      <c r="D1426" s="43" t="str">
        <f>IF(Agent08_Withdrawals!A33="","",Agent08_Withdrawals!C33)</f>
        <v/>
      </c>
      <c r="E1426" s="41" t="str">
        <f>IF(Agent08_Withdrawals!A33="","",Agent08_Withdrawals!D33)</f>
        <v/>
      </c>
      <c r="F1426" s="40" t="str">
        <f>IF(Agent08_Withdrawals!A33="","",Agent08_Withdrawals!F33)</f>
        <v/>
      </c>
      <c r="G1426" s="42" t="str">
        <f>IF(Agent08_Withdrawals!A33="","",Agent08_Withdrawals!E33)</f>
        <v/>
      </c>
      <c r="H1426" s="42" t="str">
        <f>IF(Agent08_Withdrawals!A33="","",Agent08_Withdrawals!G33)</f>
        <v/>
      </c>
      <c r="I1426" s="40" t="str">
        <f>IF(Agent08_Withdrawals!A33="","",Agent08_Withdrawals!H33)</f>
        <v/>
      </c>
      <c r="J1426" s="40" t="str">
        <f>IF(Agent08_Withdrawals!A33="","",Agent08_Withdrawals!J33)</f>
        <v/>
      </c>
      <c r="K1426" s="40" t="str">
        <f>IF(Agent08_Withdrawals!A33="","",Agent08_Withdrawals!K33)</f>
        <v/>
      </c>
      <c r="L1426" s="40" t="str">
        <f>IF(G1426="","",IF(D1426-G1426&gt;=System_Config!$B$9,"✅ OK","⚠️ BREACH"))</f>
        <v/>
      </c>
      <c r="M1426" s="40" t="str">
        <f>IFERROR(IF(Agent08_Withdrawals!A33="","",YEAR(Agent08_Withdrawals!D33)),"")</f>
        <v/>
      </c>
    </row>
    <row r="1427" spans="1:13" ht="18" customHeight="1" x14ac:dyDescent="0.25">
      <c r="A1427" s="40" t="str">
        <f>IF(Agent08_Withdrawals!A34="","",Agent08_Withdrawals!A34)</f>
        <v/>
      </c>
      <c r="B1427" s="40" t="str">
        <f ca="1">IF(Agent08_Withdrawals!A34="","","WD"&amp;TEXT(1427-3,"0000")&amp;"-"&amp;TEXT(TODAY(),"YYYYMMDD"))</f>
        <v/>
      </c>
      <c r="C1427" s="40" t="str">
        <f>IF(Agent08_Withdrawals!A34="","",Agent08_Withdrawals!B34)</f>
        <v/>
      </c>
      <c r="D1427" s="43" t="str">
        <f>IF(Agent08_Withdrawals!A34="","",Agent08_Withdrawals!C34)</f>
        <v/>
      </c>
      <c r="E1427" s="41" t="str">
        <f>IF(Agent08_Withdrawals!A34="","",Agent08_Withdrawals!D34)</f>
        <v/>
      </c>
      <c r="F1427" s="40" t="str">
        <f>IF(Agent08_Withdrawals!A34="","",Agent08_Withdrawals!F34)</f>
        <v/>
      </c>
      <c r="G1427" s="42" t="str">
        <f>IF(Agent08_Withdrawals!A34="","",Agent08_Withdrawals!E34)</f>
        <v/>
      </c>
      <c r="H1427" s="42" t="str">
        <f>IF(Agent08_Withdrawals!A34="","",Agent08_Withdrawals!G34)</f>
        <v/>
      </c>
      <c r="I1427" s="40" t="str">
        <f>IF(Agent08_Withdrawals!A34="","",Agent08_Withdrawals!H34)</f>
        <v/>
      </c>
      <c r="J1427" s="40" t="str">
        <f>IF(Agent08_Withdrawals!A34="","",Agent08_Withdrawals!J34)</f>
        <v/>
      </c>
      <c r="K1427" s="40" t="str">
        <f>IF(Agent08_Withdrawals!A34="","",Agent08_Withdrawals!K34)</f>
        <v/>
      </c>
      <c r="L1427" s="40" t="str">
        <f>IF(G1427="","",IF(D1427-G1427&gt;=System_Config!$B$9,"✅ OK","⚠️ BREACH"))</f>
        <v/>
      </c>
      <c r="M1427" s="40" t="str">
        <f>IFERROR(IF(Agent08_Withdrawals!A34="","",YEAR(Agent08_Withdrawals!D34)),"")</f>
        <v/>
      </c>
    </row>
    <row r="1428" spans="1:13" ht="18" customHeight="1" x14ac:dyDescent="0.25">
      <c r="A1428" s="40" t="str">
        <f>IF(Agent08_Withdrawals!A35="","",Agent08_Withdrawals!A35)</f>
        <v/>
      </c>
      <c r="B1428" s="40" t="str">
        <f ca="1">IF(Agent08_Withdrawals!A35="","","WD"&amp;TEXT(1428-3,"0000")&amp;"-"&amp;TEXT(TODAY(),"YYYYMMDD"))</f>
        <v/>
      </c>
      <c r="C1428" s="40" t="str">
        <f>IF(Agent08_Withdrawals!A35="","",Agent08_Withdrawals!B35)</f>
        <v/>
      </c>
      <c r="D1428" s="43" t="str">
        <f>IF(Agent08_Withdrawals!A35="","",Agent08_Withdrawals!C35)</f>
        <v/>
      </c>
      <c r="E1428" s="41" t="str">
        <f>IF(Agent08_Withdrawals!A35="","",Agent08_Withdrawals!D35)</f>
        <v/>
      </c>
      <c r="F1428" s="40" t="str">
        <f>IF(Agent08_Withdrawals!A35="","",Agent08_Withdrawals!F35)</f>
        <v/>
      </c>
      <c r="G1428" s="42" t="str">
        <f>IF(Agent08_Withdrawals!A35="","",Agent08_Withdrawals!E35)</f>
        <v/>
      </c>
      <c r="H1428" s="42" t="str">
        <f>IF(Agent08_Withdrawals!A35="","",Agent08_Withdrawals!G35)</f>
        <v/>
      </c>
      <c r="I1428" s="40" t="str">
        <f>IF(Agent08_Withdrawals!A35="","",Agent08_Withdrawals!H35)</f>
        <v/>
      </c>
      <c r="J1428" s="40" t="str">
        <f>IF(Agent08_Withdrawals!A35="","",Agent08_Withdrawals!J35)</f>
        <v/>
      </c>
      <c r="K1428" s="40" t="str">
        <f>IF(Agent08_Withdrawals!A35="","",Agent08_Withdrawals!K35)</f>
        <v/>
      </c>
      <c r="L1428" s="40" t="str">
        <f>IF(G1428="","",IF(D1428-G1428&gt;=System_Config!$B$9,"✅ OK","⚠️ BREACH"))</f>
        <v/>
      </c>
      <c r="M1428" s="40" t="str">
        <f>IFERROR(IF(Agent08_Withdrawals!A35="","",YEAR(Agent08_Withdrawals!D35)),"")</f>
        <v/>
      </c>
    </row>
    <row r="1429" spans="1:13" ht="18" customHeight="1" x14ac:dyDescent="0.25">
      <c r="A1429" s="40" t="str">
        <f>IF(Agent08_Withdrawals!A36="","",Agent08_Withdrawals!A36)</f>
        <v/>
      </c>
      <c r="B1429" s="40" t="str">
        <f ca="1">IF(Agent08_Withdrawals!A36="","","WD"&amp;TEXT(1429-3,"0000")&amp;"-"&amp;TEXT(TODAY(),"YYYYMMDD"))</f>
        <v/>
      </c>
      <c r="C1429" s="40" t="str">
        <f>IF(Agent08_Withdrawals!A36="","",Agent08_Withdrawals!B36)</f>
        <v/>
      </c>
      <c r="D1429" s="43" t="str">
        <f>IF(Agent08_Withdrawals!A36="","",Agent08_Withdrawals!C36)</f>
        <v/>
      </c>
      <c r="E1429" s="41" t="str">
        <f>IF(Agent08_Withdrawals!A36="","",Agent08_Withdrawals!D36)</f>
        <v/>
      </c>
      <c r="F1429" s="40" t="str">
        <f>IF(Agent08_Withdrawals!A36="","",Agent08_Withdrawals!F36)</f>
        <v/>
      </c>
      <c r="G1429" s="42" t="str">
        <f>IF(Agent08_Withdrawals!A36="","",Agent08_Withdrawals!E36)</f>
        <v/>
      </c>
      <c r="H1429" s="42" t="str">
        <f>IF(Agent08_Withdrawals!A36="","",Agent08_Withdrawals!G36)</f>
        <v/>
      </c>
      <c r="I1429" s="40" t="str">
        <f>IF(Agent08_Withdrawals!A36="","",Agent08_Withdrawals!H36)</f>
        <v/>
      </c>
      <c r="J1429" s="40" t="str">
        <f>IF(Agent08_Withdrawals!A36="","",Agent08_Withdrawals!J36)</f>
        <v/>
      </c>
      <c r="K1429" s="40" t="str">
        <f>IF(Agent08_Withdrawals!A36="","",Agent08_Withdrawals!K36)</f>
        <v/>
      </c>
      <c r="L1429" s="40" t="str">
        <f>IF(G1429="","",IF(D1429-G1429&gt;=System_Config!$B$9,"✅ OK","⚠️ BREACH"))</f>
        <v/>
      </c>
      <c r="M1429" s="40" t="str">
        <f>IFERROR(IF(Agent08_Withdrawals!A36="","",YEAR(Agent08_Withdrawals!D36)),"")</f>
        <v/>
      </c>
    </row>
    <row r="1430" spans="1:13" ht="18" customHeight="1" x14ac:dyDescent="0.25">
      <c r="A1430" s="40" t="str">
        <f>IF(Agent08_Withdrawals!A37="","",Agent08_Withdrawals!A37)</f>
        <v/>
      </c>
      <c r="B1430" s="40" t="str">
        <f ca="1">IF(Agent08_Withdrawals!A37="","","WD"&amp;TEXT(1430-3,"0000")&amp;"-"&amp;TEXT(TODAY(),"YYYYMMDD"))</f>
        <v/>
      </c>
      <c r="C1430" s="40" t="str">
        <f>IF(Agent08_Withdrawals!A37="","",Agent08_Withdrawals!B37)</f>
        <v/>
      </c>
      <c r="D1430" s="43" t="str">
        <f>IF(Agent08_Withdrawals!A37="","",Agent08_Withdrawals!C37)</f>
        <v/>
      </c>
      <c r="E1430" s="41" t="str">
        <f>IF(Agent08_Withdrawals!A37="","",Agent08_Withdrawals!D37)</f>
        <v/>
      </c>
      <c r="F1430" s="40" t="str">
        <f>IF(Agent08_Withdrawals!A37="","",Agent08_Withdrawals!F37)</f>
        <v/>
      </c>
      <c r="G1430" s="42" t="str">
        <f>IF(Agent08_Withdrawals!A37="","",Agent08_Withdrawals!E37)</f>
        <v/>
      </c>
      <c r="H1430" s="42" t="str">
        <f>IF(Agent08_Withdrawals!A37="","",Agent08_Withdrawals!G37)</f>
        <v/>
      </c>
      <c r="I1430" s="40" t="str">
        <f>IF(Agent08_Withdrawals!A37="","",Agent08_Withdrawals!H37)</f>
        <v/>
      </c>
      <c r="J1430" s="40" t="str">
        <f>IF(Agent08_Withdrawals!A37="","",Agent08_Withdrawals!J37)</f>
        <v/>
      </c>
      <c r="K1430" s="40" t="str">
        <f>IF(Agent08_Withdrawals!A37="","",Agent08_Withdrawals!K37)</f>
        <v/>
      </c>
      <c r="L1430" s="40" t="str">
        <f>IF(G1430="","",IF(D1430-G1430&gt;=System_Config!$B$9,"✅ OK","⚠️ BREACH"))</f>
        <v/>
      </c>
      <c r="M1430" s="40" t="str">
        <f>IFERROR(IF(Agent08_Withdrawals!A37="","",YEAR(Agent08_Withdrawals!D37)),"")</f>
        <v/>
      </c>
    </row>
    <row r="1431" spans="1:13" ht="18" customHeight="1" x14ac:dyDescent="0.25">
      <c r="A1431" s="40" t="str">
        <f>IF(Agent08_Withdrawals!A38="","",Agent08_Withdrawals!A38)</f>
        <v/>
      </c>
      <c r="B1431" s="40" t="str">
        <f ca="1">IF(Agent08_Withdrawals!A38="","","WD"&amp;TEXT(1431-3,"0000")&amp;"-"&amp;TEXT(TODAY(),"YYYYMMDD"))</f>
        <v/>
      </c>
      <c r="C1431" s="40" t="str">
        <f>IF(Agent08_Withdrawals!A38="","",Agent08_Withdrawals!B38)</f>
        <v/>
      </c>
      <c r="D1431" s="43" t="str">
        <f>IF(Agent08_Withdrawals!A38="","",Agent08_Withdrawals!C38)</f>
        <v/>
      </c>
      <c r="E1431" s="41" t="str">
        <f>IF(Agent08_Withdrawals!A38="","",Agent08_Withdrawals!D38)</f>
        <v/>
      </c>
      <c r="F1431" s="40" t="str">
        <f>IF(Agent08_Withdrawals!A38="","",Agent08_Withdrawals!F38)</f>
        <v/>
      </c>
      <c r="G1431" s="42" t="str">
        <f>IF(Agent08_Withdrawals!A38="","",Agent08_Withdrawals!E38)</f>
        <v/>
      </c>
      <c r="H1431" s="42" t="str">
        <f>IF(Agent08_Withdrawals!A38="","",Agent08_Withdrawals!G38)</f>
        <v/>
      </c>
      <c r="I1431" s="40" t="str">
        <f>IF(Agent08_Withdrawals!A38="","",Agent08_Withdrawals!H38)</f>
        <v/>
      </c>
      <c r="J1431" s="40" t="str">
        <f>IF(Agent08_Withdrawals!A38="","",Agent08_Withdrawals!J38)</f>
        <v/>
      </c>
      <c r="K1431" s="40" t="str">
        <f>IF(Agent08_Withdrawals!A38="","",Agent08_Withdrawals!K38)</f>
        <v/>
      </c>
      <c r="L1431" s="40" t="str">
        <f>IF(G1431="","",IF(D1431-G1431&gt;=System_Config!$B$9,"✅ OK","⚠️ BREACH"))</f>
        <v/>
      </c>
      <c r="M1431" s="40" t="str">
        <f>IFERROR(IF(Agent08_Withdrawals!A38="","",YEAR(Agent08_Withdrawals!D38)),"")</f>
        <v/>
      </c>
    </row>
    <row r="1432" spans="1:13" ht="18" customHeight="1" x14ac:dyDescent="0.25">
      <c r="A1432" s="40" t="str">
        <f>IF(Agent08_Withdrawals!A39="","",Agent08_Withdrawals!A39)</f>
        <v/>
      </c>
      <c r="B1432" s="40" t="str">
        <f ca="1">IF(Agent08_Withdrawals!A39="","","WD"&amp;TEXT(1432-3,"0000")&amp;"-"&amp;TEXT(TODAY(),"YYYYMMDD"))</f>
        <v/>
      </c>
      <c r="C1432" s="40" t="str">
        <f>IF(Agent08_Withdrawals!A39="","",Agent08_Withdrawals!B39)</f>
        <v/>
      </c>
      <c r="D1432" s="43" t="str">
        <f>IF(Agent08_Withdrawals!A39="","",Agent08_Withdrawals!C39)</f>
        <v/>
      </c>
      <c r="E1432" s="41" t="str">
        <f>IF(Agent08_Withdrawals!A39="","",Agent08_Withdrawals!D39)</f>
        <v/>
      </c>
      <c r="F1432" s="40" t="str">
        <f>IF(Agent08_Withdrawals!A39="","",Agent08_Withdrawals!F39)</f>
        <v/>
      </c>
      <c r="G1432" s="42" t="str">
        <f>IF(Agent08_Withdrawals!A39="","",Agent08_Withdrawals!E39)</f>
        <v/>
      </c>
      <c r="H1432" s="42" t="str">
        <f>IF(Agent08_Withdrawals!A39="","",Agent08_Withdrawals!G39)</f>
        <v/>
      </c>
      <c r="I1432" s="40" t="str">
        <f>IF(Agent08_Withdrawals!A39="","",Agent08_Withdrawals!H39)</f>
        <v/>
      </c>
      <c r="J1432" s="40" t="str">
        <f>IF(Agent08_Withdrawals!A39="","",Agent08_Withdrawals!J39)</f>
        <v/>
      </c>
      <c r="K1432" s="40" t="str">
        <f>IF(Agent08_Withdrawals!A39="","",Agent08_Withdrawals!K39)</f>
        <v/>
      </c>
      <c r="L1432" s="40" t="str">
        <f>IF(G1432="","",IF(D1432-G1432&gt;=System_Config!$B$9,"✅ OK","⚠️ BREACH"))</f>
        <v/>
      </c>
      <c r="M1432" s="40" t="str">
        <f>IFERROR(IF(Agent08_Withdrawals!A39="","",YEAR(Agent08_Withdrawals!D39)),"")</f>
        <v/>
      </c>
    </row>
    <row r="1433" spans="1:13" ht="18" customHeight="1" x14ac:dyDescent="0.25">
      <c r="A1433" s="40" t="str">
        <f>IF(Agent08_Withdrawals!A40="","",Agent08_Withdrawals!A40)</f>
        <v/>
      </c>
      <c r="B1433" s="40" t="str">
        <f ca="1">IF(Agent08_Withdrawals!A40="","","WD"&amp;TEXT(1433-3,"0000")&amp;"-"&amp;TEXT(TODAY(),"YYYYMMDD"))</f>
        <v/>
      </c>
      <c r="C1433" s="40" t="str">
        <f>IF(Agent08_Withdrawals!A40="","",Agent08_Withdrawals!B40)</f>
        <v/>
      </c>
      <c r="D1433" s="43" t="str">
        <f>IF(Agent08_Withdrawals!A40="","",Agent08_Withdrawals!C40)</f>
        <v/>
      </c>
      <c r="E1433" s="41" t="str">
        <f>IF(Agent08_Withdrawals!A40="","",Agent08_Withdrawals!D40)</f>
        <v/>
      </c>
      <c r="F1433" s="40" t="str">
        <f>IF(Agent08_Withdrawals!A40="","",Agent08_Withdrawals!F40)</f>
        <v/>
      </c>
      <c r="G1433" s="42" t="str">
        <f>IF(Agent08_Withdrawals!A40="","",Agent08_Withdrawals!E40)</f>
        <v/>
      </c>
      <c r="H1433" s="42" t="str">
        <f>IF(Agent08_Withdrawals!A40="","",Agent08_Withdrawals!G40)</f>
        <v/>
      </c>
      <c r="I1433" s="40" t="str">
        <f>IF(Agent08_Withdrawals!A40="","",Agent08_Withdrawals!H40)</f>
        <v/>
      </c>
      <c r="J1433" s="40" t="str">
        <f>IF(Agent08_Withdrawals!A40="","",Agent08_Withdrawals!J40)</f>
        <v/>
      </c>
      <c r="K1433" s="40" t="str">
        <f>IF(Agent08_Withdrawals!A40="","",Agent08_Withdrawals!K40)</f>
        <v/>
      </c>
      <c r="L1433" s="40" t="str">
        <f>IF(G1433="","",IF(D1433-G1433&gt;=System_Config!$B$9,"✅ OK","⚠️ BREACH"))</f>
        <v/>
      </c>
      <c r="M1433" s="40" t="str">
        <f>IFERROR(IF(Agent08_Withdrawals!A40="","",YEAR(Agent08_Withdrawals!D40)),"")</f>
        <v/>
      </c>
    </row>
    <row r="1434" spans="1:13" ht="18" customHeight="1" x14ac:dyDescent="0.25">
      <c r="A1434" s="40" t="str">
        <f>IF(Agent08_Withdrawals!A41="","",Agent08_Withdrawals!A41)</f>
        <v/>
      </c>
      <c r="B1434" s="40" t="str">
        <f ca="1">IF(Agent08_Withdrawals!A41="","","WD"&amp;TEXT(1434-3,"0000")&amp;"-"&amp;TEXT(TODAY(),"YYYYMMDD"))</f>
        <v/>
      </c>
      <c r="C1434" s="40" t="str">
        <f>IF(Agent08_Withdrawals!A41="","",Agent08_Withdrawals!B41)</f>
        <v/>
      </c>
      <c r="D1434" s="43" t="str">
        <f>IF(Agent08_Withdrawals!A41="","",Agent08_Withdrawals!C41)</f>
        <v/>
      </c>
      <c r="E1434" s="41" t="str">
        <f>IF(Agent08_Withdrawals!A41="","",Agent08_Withdrawals!D41)</f>
        <v/>
      </c>
      <c r="F1434" s="40" t="str">
        <f>IF(Agent08_Withdrawals!A41="","",Agent08_Withdrawals!F41)</f>
        <v/>
      </c>
      <c r="G1434" s="42" t="str">
        <f>IF(Agent08_Withdrawals!A41="","",Agent08_Withdrawals!E41)</f>
        <v/>
      </c>
      <c r="H1434" s="42" t="str">
        <f>IF(Agent08_Withdrawals!A41="","",Agent08_Withdrawals!G41)</f>
        <v/>
      </c>
      <c r="I1434" s="40" t="str">
        <f>IF(Agent08_Withdrawals!A41="","",Agent08_Withdrawals!H41)</f>
        <v/>
      </c>
      <c r="J1434" s="40" t="str">
        <f>IF(Agent08_Withdrawals!A41="","",Agent08_Withdrawals!J41)</f>
        <v/>
      </c>
      <c r="K1434" s="40" t="str">
        <f>IF(Agent08_Withdrawals!A41="","",Agent08_Withdrawals!K41)</f>
        <v/>
      </c>
      <c r="L1434" s="40" t="str">
        <f>IF(G1434="","",IF(D1434-G1434&gt;=System_Config!$B$9,"✅ OK","⚠️ BREACH"))</f>
        <v/>
      </c>
      <c r="M1434" s="40" t="str">
        <f>IFERROR(IF(Agent08_Withdrawals!A41="","",YEAR(Agent08_Withdrawals!D41)),"")</f>
        <v/>
      </c>
    </row>
    <row r="1435" spans="1:13" ht="18" customHeight="1" x14ac:dyDescent="0.25">
      <c r="A1435" s="40" t="str">
        <f>IF(Agent08_Withdrawals!A42="","",Agent08_Withdrawals!A42)</f>
        <v/>
      </c>
      <c r="B1435" s="40" t="str">
        <f ca="1">IF(Agent08_Withdrawals!A42="","","WD"&amp;TEXT(1435-3,"0000")&amp;"-"&amp;TEXT(TODAY(),"YYYYMMDD"))</f>
        <v/>
      </c>
      <c r="C1435" s="40" t="str">
        <f>IF(Agent08_Withdrawals!A42="","",Agent08_Withdrawals!B42)</f>
        <v/>
      </c>
      <c r="D1435" s="43" t="str">
        <f>IF(Agent08_Withdrawals!A42="","",Agent08_Withdrawals!C42)</f>
        <v/>
      </c>
      <c r="E1435" s="41" t="str">
        <f>IF(Agent08_Withdrawals!A42="","",Agent08_Withdrawals!D42)</f>
        <v/>
      </c>
      <c r="F1435" s="40" t="str">
        <f>IF(Agent08_Withdrawals!A42="","",Agent08_Withdrawals!F42)</f>
        <v/>
      </c>
      <c r="G1435" s="42" t="str">
        <f>IF(Agent08_Withdrawals!A42="","",Agent08_Withdrawals!E42)</f>
        <v/>
      </c>
      <c r="H1435" s="42" t="str">
        <f>IF(Agent08_Withdrawals!A42="","",Agent08_Withdrawals!G42)</f>
        <v/>
      </c>
      <c r="I1435" s="40" t="str">
        <f>IF(Agent08_Withdrawals!A42="","",Agent08_Withdrawals!H42)</f>
        <v/>
      </c>
      <c r="J1435" s="40" t="str">
        <f>IF(Agent08_Withdrawals!A42="","",Agent08_Withdrawals!J42)</f>
        <v/>
      </c>
      <c r="K1435" s="40" t="str">
        <f>IF(Agent08_Withdrawals!A42="","",Agent08_Withdrawals!K42)</f>
        <v/>
      </c>
      <c r="L1435" s="40" t="str">
        <f>IF(G1435="","",IF(D1435-G1435&gt;=System_Config!$B$9,"✅ OK","⚠️ BREACH"))</f>
        <v/>
      </c>
      <c r="M1435" s="40" t="str">
        <f>IFERROR(IF(Agent08_Withdrawals!A42="","",YEAR(Agent08_Withdrawals!D42)),"")</f>
        <v/>
      </c>
    </row>
    <row r="1436" spans="1:13" ht="18" customHeight="1" x14ac:dyDescent="0.25">
      <c r="A1436" s="40" t="str">
        <f>IF(Agent08_Withdrawals!A43="","",Agent08_Withdrawals!A43)</f>
        <v/>
      </c>
      <c r="B1436" s="40" t="str">
        <f ca="1">IF(Agent08_Withdrawals!A43="","","WD"&amp;TEXT(1436-3,"0000")&amp;"-"&amp;TEXT(TODAY(),"YYYYMMDD"))</f>
        <v/>
      </c>
      <c r="C1436" s="40" t="str">
        <f>IF(Agent08_Withdrawals!A43="","",Agent08_Withdrawals!B43)</f>
        <v/>
      </c>
      <c r="D1436" s="43" t="str">
        <f>IF(Agent08_Withdrawals!A43="","",Agent08_Withdrawals!C43)</f>
        <v/>
      </c>
      <c r="E1436" s="41" t="str">
        <f>IF(Agent08_Withdrawals!A43="","",Agent08_Withdrawals!D43)</f>
        <v/>
      </c>
      <c r="F1436" s="40" t="str">
        <f>IF(Agent08_Withdrawals!A43="","",Agent08_Withdrawals!F43)</f>
        <v/>
      </c>
      <c r="G1436" s="42" t="str">
        <f>IF(Agent08_Withdrawals!A43="","",Agent08_Withdrawals!E43)</f>
        <v/>
      </c>
      <c r="H1436" s="42" t="str">
        <f>IF(Agent08_Withdrawals!A43="","",Agent08_Withdrawals!G43)</f>
        <v/>
      </c>
      <c r="I1436" s="40" t="str">
        <f>IF(Agent08_Withdrawals!A43="","",Agent08_Withdrawals!H43)</f>
        <v/>
      </c>
      <c r="J1436" s="40" t="str">
        <f>IF(Agent08_Withdrawals!A43="","",Agent08_Withdrawals!J43)</f>
        <v/>
      </c>
      <c r="K1436" s="40" t="str">
        <f>IF(Agent08_Withdrawals!A43="","",Agent08_Withdrawals!K43)</f>
        <v/>
      </c>
      <c r="L1436" s="40" t="str">
        <f>IF(G1436="","",IF(D1436-G1436&gt;=System_Config!$B$9,"✅ OK","⚠️ BREACH"))</f>
        <v/>
      </c>
      <c r="M1436" s="40" t="str">
        <f>IFERROR(IF(Agent08_Withdrawals!A43="","",YEAR(Agent08_Withdrawals!D43)),"")</f>
        <v/>
      </c>
    </row>
    <row r="1437" spans="1:13" ht="18" customHeight="1" x14ac:dyDescent="0.25">
      <c r="A1437" s="40" t="str">
        <f>IF(Agent08_Withdrawals!A44="","",Agent08_Withdrawals!A44)</f>
        <v/>
      </c>
      <c r="B1437" s="40" t="str">
        <f ca="1">IF(Agent08_Withdrawals!A44="","","WD"&amp;TEXT(1437-3,"0000")&amp;"-"&amp;TEXT(TODAY(),"YYYYMMDD"))</f>
        <v/>
      </c>
      <c r="C1437" s="40" t="str">
        <f>IF(Agent08_Withdrawals!A44="","",Agent08_Withdrawals!B44)</f>
        <v/>
      </c>
      <c r="D1437" s="43" t="str">
        <f>IF(Agent08_Withdrawals!A44="","",Agent08_Withdrawals!C44)</f>
        <v/>
      </c>
      <c r="E1437" s="41" t="str">
        <f>IF(Agent08_Withdrawals!A44="","",Agent08_Withdrawals!D44)</f>
        <v/>
      </c>
      <c r="F1437" s="40" t="str">
        <f>IF(Agent08_Withdrawals!A44="","",Agent08_Withdrawals!F44)</f>
        <v/>
      </c>
      <c r="G1437" s="42" t="str">
        <f>IF(Agent08_Withdrawals!A44="","",Agent08_Withdrawals!E44)</f>
        <v/>
      </c>
      <c r="H1437" s="42" t="str">
        <f>IF(Agent08_Withdrawals!A44="","",Agent08_Withdrawals!G44)</f>
        <v/>
      </c>
      <c r="I1437" s="40" t="str">
        <f>IF(Agent08_Withdrawals!A44="","",Agent08_Withdrawals!H44)</f>
        <v/>
      </c>
      <c r="J1437" s="40" t="str">
        <f>IF(Agent08_Withdrawals!A44="","",Agent08_Withdrawals!J44)</f>
        <v/>
      </c>
      <c r="K1437" s="40" t="str">
        <f>IF(Agent08_Withdrawals!A44="","",Agent08_Withdrawals!K44)</f>
        <v/>
      </c>
      <c r="L1437" s="40" t="str">
        <f>IF(G1437="","",IF(D1437-G1437&gt;=System_Config!$B$9,"✅ OK","⚠️ BREACH"))</f>
        <v/>
      </c>
      <c r="M1437" s="40" t="str">
        <f>IFERROR(IF(Agent08_Withdrawals!A44="","",YEAR(Agent08_Withdrawals!D44)),"")</f>
        <v/>
      </c>
    </row>
    <row r="1438" spans="1:13" ht="18" customHeight="1" x14ac:dyDescent="0.25">
      <c r="A1438" s="40" t="str">
        <f>IF(Agent08_Withdrawals!A45="","",Agent08_Withdrawals!A45)</f>
        <v/>
      </c>
      <c r="B1438" s="40" t="str">
        <f ca="1">IF(Agent08_Withdrawals!A45="","","WD"&amp;TEXT(1438-3,"0000")&amp;"-"&amp;TEXT(TODAY(),"YYYYMMDD"))</f>
        <v/>
      </c>
      <c r="C1438" s="40" t="str">
        <f>IF(Agent08_Withdrawals!A45="","",Agent08_Withdrawals!B45)</f>
        <v/>
      </c>
      <c r="D1438" s="43" t="str">
        <f>IF(Agent08_Withdrawals!A45="","",Agent08_Withdrawals!C45)</f>
        <v/>
      </c>
      <c r="E1438" s="41" t="str">
        <f>IF(Agent08_Withdrawals!A45="","",Agent08_Withdrawals!D45)</f>
        <v/>
      </c>
      <c r="F1438" s="40" t="str">
        <f>IF(Agent08_Withdrawals!A45="","",Agent08_Withdrawals!F45)</f>
        <v/>
      </c>
      <c r="G1438" s="42" t="str">
        <f>IF(Agent08_Withdrawals!A45="","",Agent08_Withdrawals!E45)</f>
        <v/>
      </c>
      <c r="H1438" s="42" t="str">
        <f>IF(Agent08_Withdrawals!A45="","",Agent08_Withdrawals!G45)</f>
        <v/>
      </c>
      <c r="I1438" s="40" t="str">
        <f>IF(Agent08_Withdrawals!A45="","",Agent08_Withdrawals!H45)</f>
        <v/>
      </c>
      <c r="J1438" s="40" t="str">
        <f>IF(Agent08_Withdrawals!A45="","",Agent08_Withdrawals!J45)</f>
        <v/>
      </c>
      <c r="K1438" s="40" t="str">
        <f>IF(Agent08_Withdrawals!A45="","",Agent08_Withdrawals!K45)</f>
        <v/>
      </c>
      <c r="L1438" s="40" t="str">
        <f>IF(G1438="","",IF(D1438-G1438&gt;=System_Config!$B$9,"✅ OK","⚠️ BREACH"))</f>
        <v/>
      </c>
      <c r="M1438" s="40" t="str">
        <f>IFERROR(IF(Agent08_Withdrawals!A45="","",YEAR(Agent08_Withdrawals!D45)),"")</f>
        <v/>
      </c>
    </row>
    <row r="1439" spans="1:13" ht="18" customHeight="1" x14ac:dyDescent="0.25">
      <c r="A1439" s="40" t="str">
        <f>IF(Agent08_Withdrawals!A46="","",Agent08_Withdrawals!A46)</f>
        <v/>
      </c>
      <c r="B1439" s="40" t="str">
        <f ca="1">IF(Agent08_Withdrawals!A46="","","WD"&amp;TEXT(1439-3,"0000")&amp;"-"&amp;TEXT(TODAY(),"YYYYMMDD"))</f>
        <v/>
      </c>
      <c r="C1439" s="40" t="str">
        <f>IF(Agent08_Withdrawals!A46="","",Agent08_Withdrawals!B46)</f>
        <v/>
      </c>
      <c r="D1439" s="43" t="str">
        <f>IF(Agent08_Withdrawals!A46="","",Agent08_Withdrawals!C46)</f>
        <v/>
      </c>
      <c r="E1439" s="41" t="str">
        <f>IF(Agent08_Withdrawals!A46="","",Agent08_Withdrawals!D46)</f>
        <v/>
      </c>
      <c r="F1439" s="40" t="str">
        <f>IF(Agent08_Withdrawals!A46="","",Agent08_Withdrawals!F46)</f>
        <v/>
      </c>
      <c r="G1439" s="42" t="str">
        <f>IF(Agent08_Withdrawals!A46="","",Agent08_Withdrawals!E46)</f>
        <v/>
      </c>
      <c r="H1439" s="42" t="str">
        <f>IF(Agent08_Withdrawals!A46="","",Agent08_Withdrawals!G46)</f>
        <v/>
      </c>
      <c r="I1439" s="40" t="str">
        <f>IF(Agent08_Withdrawals!A46="","",Agent08_Withdrawals!H46)</f>
        <v/>
      </c>
      <c r="J1439" s="40" t="str">
        <f>IF(Agent08_Withdrawals!A46="","",Agent08_Withdrawals!J46)</f>
        <v/>
      </c>
      <c r="K1439" s="40" t="str">
        <f>IF(Agent08_Withdrawals!A46="","",Agent08_Withdrawals!K46)</f>
        <v/>
      </c>
      <c r="L1439" s="40" t="str">
        <f>IF(G1439="","",IF(D1439-G1439&gt;=System_Config!$B$9,"✅ OK","⚠️ BREACH"))</f>
        <v/>
      </c>
      <c r="M1439" s="40" t="str">
        <f>IFERROR(IF(Agent08_Withdrawals!A46="","",YEAR(Agent08_Withdrawals!D46)),"")</f>
        <v/>
      </c>
    </row>
    <row r="1440" spans="1:13" ht="18" customHeight="1" x14ac:dyDescent="0.25">
      <c r="A1440" s="40" t="str">
        <f>IF(Agent08_Withdrawals!A47="","",Agent08_Withdrawals!A47)</f>
        <v/>
      </c>
      <c r="B1440" s="40" t="str">
        <f ca="1">IF(Agent08_Withdrawals!A47="","","WD"&amp;TEXT(1440-3,"0000")&amp;"-"&amp;TEXT(TODAY(),"YYYYMMDD"))</f>
        <v/>
      </c>
      <c r="C1440" s="40" t="str">
        <f>IF(Agent08_Withdrawals!A47="","",Agent08_Withdrawals!B47)</f>
        <v/>
      </c>
      <c r="D1440" s="43" t="str">
        <f>IF(Agent08_Withdrawals!A47="","",Agent08_Withdrawals!C47)</f>
        <v/>
      </c>
      <c r="E1440" s="41" t="str">
        <f>IF(Agent08_Withdrawals!A47="","",Agent08_Withdrawals!D47)</f>
        <v/>
      </c>
      <c r="F1440" s="40" t="str">
        <f>IF(Agent08_Withdrawals!A47="","",Agent08_Withdrawals!F47)</f>
        <v/>
      </c>
      <c r="G1440" s="42" t="str">
        <f>IF(Agent08_Withdrawals!A47="","",Agent08_Withdrawals!E47)</f>
        <v/>
      </c>
      <c r="H1440" s="42" t="str">
        <f>IF(Agent08_Withdrawals!A47="","",Agent08_Withdrawals!G47)</f>
        <v/>
      </c>
      <c r="I1440" s="40" t="str">
        <f>IF(Agent08_Withdrawals!A47="","",Agent08_Withdrawals!H47)</f>
        <v/>
      </c>
      <c r="J1440" s="40" t="str">
        <f>IF(Agent08_Withdrawals!A47="","",Agent08_Withdrawals!J47)</f>
        <v/>
      </c>
      <c r="K1440" s="40" t="str">
        <f>IF(Agent08_Withdrawals!A47="","",Agent08_Withdrawals!K47)</f>
        <v/>
      </c>
      <c r="L1440" s="40" t="str">
        <f>IF(G1440="","",IF(D1440-G1440&gt;=System_Config!$B$9,"✅ OK","⚠️ BREACH"))</f>
        <v/>
      </c>
      <c r="M1440" s="40" t="str">
        <f>IFERROR(IF(Agent08_Withdrawals!A47="","",YEAR(Agent08_Withdrawals!D47)),"")</f>
        <v/>
      </c>
    </row>
    <row r="1441" spans="1:13" ht="18" customHeight="1" x14ac:dyDescent="0.25">
      <c r="A1441" s="40" t="str">
        <f>IF(Agent08_Withdrawals!A48="","",Agent08_Withdrawals!A48)</f>
        <v/>
      </c>
      <c r="B1441" s="40" t="str">
        <f ca="1">IF(Agent08_Withdrawals!A48="","","WD"&amp;TEXT(1441-3,"0000")&amp;"-"&amp;TEXT(TODAY(),"YYYYMMDD"))</f>
        <v/>
      </c>
      <c r="C1441" s="40" t="str">
        <f>IF(Agent08_Withdrawals!A48="","",Agent08_Withdrawals!B48)</f>
        <v/>
      </c>
      <c r="D1441" s="43" t="str">
        <f>IF(Agent08_Withdrawals!A48="","",Agent08_Withdrawals!C48)</f>
        <v/>
      </c>
      <c r="E1441" s="41" t="str">
        <f>IF(Agent08_Withdrawals!A48="","",Agent08_Withdrawals!D48)</f>
        <v/>
      </c>
      <c r="F1441" s="40" t="str">
        <f>IF(Agent08_Withdrawals!A48="","",Agent08_Withdrawals!F48)</f>
        <v/>
      </c>
      <c r="G1441" s="42" t="str">
        <f>IF(Agent08_Withdrawals!A48="","",Agent08_Withdrawals!E48)</f>
        <v/>
      </c>
      <c r="H1441" s="42" t="str">
        <f>IF(Agent08_Withdrawals!A48="","",Agent08_Withdrawals!G48)</f>
        <v/>
      </c>
      <c r="I1441" s="40" t="str">
        <f>IF(Agent08_Withdrawals!A48="","",Agent08_Withdrawals!H48)</f>
        <v/>
      </c>
      <c r="J1441" s="40" t="str">
        <f>IF(Agent08_Withdrawals!A48="","",Agent08_Withdrawals!J48)</f>
        <v/>
      </c>
      <c r="K1441" s="40" t="str">
        <f>IF(Agent08_Withdrawals!A48="","",Agent08_Withdrawals!K48)</f>
        <v/>
      </c>
      <c r="L1441" s="40" t="str">
        <f>IF(G1441="","",IF(D1441-G1441&gt;=System_Config!$B$9,"✅ OK","⚠️ BREACH"))</f>
        <v/>
      </c>
      <c r="M1441" s="40" t="str">
        <f>IFERROR(IF(Agent08_Withdrawals!A48="","",YEAR(Agent08_Withdrawals!D48)),"")</f>
        <v/>
      </c>
    </row>
    <row r="1442" spans="1:13" ht="18" customHeight="1" x14ac:dyDescent="0.25">
      <c r="A1442" s="40" t="str">
        <f>IF(Agent08_Withdrawals!A49="","",Agent08_Withdrawals!A49)</f>
        <v/>
      </c>
      <c r="B1442" s="40" t="str">
        <f ca="1">IF(Agent08_Withdrawals!A49="","","WD"&amp;TEXT(1442-3,"0000")&amp;"-"&amp;TEXT(TODAY(),"YYYYMMDD"))</f>
        <v/>
      </c>
      <c r="C1442" s="40" t="str">
        <f>IF(Agent08_Withdrawals!A49="","",Agent08_Withdrawals!B49)</f>
        <v/>
      </c>
      <c r="D1442" s="43" t="str">
        <f>IF(Agent08_Withdrawals!A49="","",Agent08_Withdrawals!C49)</f>
        <v/>
      </c>
      <c r="E1442" s="41" t="str">
        <f>IF(Agent08_Withdrawals!A49="","",Agent08_Withdrawals!D49)</f>
        <v/>
      </c>
      <c r="F1442" s="40" t="str">
        <f>IF(Agent08_Withdrawals!A49="","",Agent08_Withdrawals!F49)</f>
        <v/>
      </c>
      <c r="G1442" s="42" t="str">
        <f>IF(Agent08_Withdrawals!A49="","",Agent08_Withdrawals!E49)</f>
        <v/>
      </c>
      <c r="H1442" s="42" t="str">
        <f>IF(Agent08_Withdrawals!A49="","",Agent08_Withdrawals!G49)</f>
        <v/>
      </c>
      <c r="I1442" s="40" t="str">
        <f>IF(Agent08_Withdrawals!A49="","",Agent08_Withdrawals!H49)</f>
        <v/>
      </c>
      <c r="J1442" s="40" t="str">
        <f>IF(Agent08_Withdrawals!A49="","",Agent08_Withdrawals!J49)</f>
        <v/>
      </c>
      <c r="K1442" s="40" t="str">
        <f>IF(Agent08_Withdrawals!A49="","",Agent08_Withdrawals!K49)</f>
        <v/>
      </c>
      <c r="L1442" s="40" t="str">
        <f>IF(G1442="","",IF(D1442-G1442&gt;=System_Config!$B$9,"✅ OK","⚠️ BREACH"))</f>
        <v/>
      </c>
      <c r="M1442" s="40" t="str">
        <f>IFERROR(IF(Agent08_Withdrawals!A49="","",YEAR(Agent08_Withdrawals!D49)),"")</f>
        <v/>
      </c>
    </row>
    <row r="1443" spans="1:13" ht="18" customHeight="1" x14ac:dyDescent="0.25">
      <c r="A1443" s="40" t="str">
        <f>IF(Agent08_Withdrawals!A50="","",Agent08_Withdrawals!A50)</f>
        <v/>
      </c>
      <c r="B1443" s="40" t="str">
        <f ca="1">IF(Agent08_Withdrawals!A50="","","WD"&amp;TEXT(1443-3,"0000")&amp;"-"&amp;TEXT(TODAY(),"YYYYMMDD"))</f>
        <v/>
      </c>
      <c r="C1443" s="40" t="str">
        <f>IF(Agent08_Withdrawals!A50="","",Agent08_Withdrawals!B50)</f>
        <v/>
      </c>
      <c r="D1443" s="43" t="str">
        <f>IF(Agent08_Withdrawals!A50="","",Agent08_Withdrawals!C50)</f>
        <v/>
      </c>
      <c r="E1443" s="41" t="str">
        <f>IF(Agent08_Withdrawals!A50="","",Agent08_Withdrawals!D50)</f>
        <v/>
      </c>
      <c r="F1443" s="40" t="str">
        <f>IF(Agent08_Withdrawals!A50="","",Agent08_Withdrawals!F50)</f>
        <v/>
      </c>
      <c r="G1443" s="42" t="str">
        <f>IF(Agent08_Withdrawals!A50="","",Agent08_Withdrawals!E50)</f>
        <v/>
      </c>
      <c r="H1443" s="42" t="str">
        <f>IF(Agent08_Withdrawals!A50="","",Agent08_Withdrawals!G50)</f>
        <v/>
      </c>
      <c r="I1443" s="40" t="str">
        <f>IF(Agent08_Withdrawals!A50="","",Agent08_Withdrawals!H50)</f>
        <v/>
      </c>
      <c r="J1443" s="40" t="str">
        <f>IF(Agent08_Withdrawals!A50="","",Agent08_Withdrawals!J50)</f>
        <v/>
      </c>
      <c r="K1443" s="40" t="str">
        <f>IF(Agent08_Withdrawals!A50="","",Agent08_Withdrawals!K50)</f>
        <v/>
      </c>
      <c r="L1443" s="40" t="str">
        <f>IF(G1443="","",IF(D1443-G1443&gt;=System_Config!$B$9,"✅ OK","⚠️ BREACH"))</f>
        <v/>
      </c>
      <c r="M1443" s="40" t="str">
        <f>IFERROR(IF(Agent08_Withdrawals!A50="","",YEAR(Agent08_Withdrawals!D50)),"")</f>
        <v/>
      </c>
    </row>
    <row r="1444" spans="1:13" ht="18" customHeight="1" x14ac:dyDescent="0.25">
      <c r="A1444" s="40" t="str">
        <f>IF(Agent08_Withdrawals!A51="","",Agent08_Withdrawals!A51)</f>
        <v/>
      </c>
      <c r="B1444" s="40" t="str">
        <f ca="1">IF(Agent08_Withdrawals!A51="","","WD"&amp;TEXT(1444-3,"0000")&amp;"-"&amp;TEXT(TODAY(),"YYYYMMDD"))</f>
        <v/>
      </c>
      <c r="C1444" s="40" t="str">
        <f>IF(Agent08_Withdrawals!A51="","",Agent08_Withdrawals!B51)</f>
        <v/>
      </c>
      <c r="D1444" s="43" t="str">
        <f>IF(Agent08_Withdrawals!A51="","",Agent08_Withdrawals!C51)</f>
        <v/>
      </c>
      <c r="E1444" s="41" t="str">
        <f>IF(Agent08_Withdrawals!A51="","",Agent08_Withdrawals!D51)</f>
        <v/>
      </c>
      <c r="F1444" s="40" t="str">
        <f>IF(Agent08_Withdrawals!A51="","",Agent08_Withdrawals!F51)</f>
        <v/>
      </c>
      <c r="G1444" s="42" t="str">
        <f>IF(Agent08_Withdrawals!A51="","",Agent08_Withdrawals!E51)</f>
        <v/>
      </c>
      <c r="H1444" s="42" t="str">
        <f>IF(Agent08_Withdrawals!A51="","",Agent08_Withdrawals!G51)</f>
        <v/>
      </c>
      <c r="I1444" s="40" t="str">
        <f>IF(Agent08_Withdrawals!A51="","",Agent08_Withdrawals!H51)</f>
        <v/>
      </c>
      <c r="J1444" s="40" t="str">
        <f>IF(Agent08_Withdrawals!A51="","",Agent08_Withdrawals!J51)</f>
        <v/>
      </c>
      <c r="K1444" s="40" t="str">
        <f>IF(Agent08_Withdrawals!A51="","",Agent08_Withdrawals!K51)</f>
        <v/>
      </c>
      <c r="L1444" s="40" t="str">
        <f>IF(G1444="","",IF(D1444-G1444&gt;=System_Config!$B$9,"✅ OK","⚠️ BREACH"))</f>
        <v/>
      </c>
      <c r="M1444" s="40" t="str">
        <f>IFERROR(IF(Agent08_Withdrawals!A51="","",YEAR(Agent08_Withdrawals!D51)),"")</f>
        <v/>
      </c>
    </row>
    <row r="1445" spans="1:13" ht="18" customHeight="1" x14ac:dyDescent="0.25">
      <c r="A1445" s="40" t="str">
        <f>IF(Agent08_Withdrawals!A52="","",Agent08_Withdrawals!A52)</f>
        <v/>
      </c>
      <c r="B1445" s="40" t="str">
        <f ca="1">IF(Agent08_Withdrawals!A52="","","WD"&amp;TEXT(1445-3,"0000")&amp;"-"&amp;TEXT(TODAY(),"YYYYMMDD"))</f>
        <v/>
      </c>
      <c r="C1445" s="40" t="str">
        <f>IF(Agent08_Withdrawals!A52="","",Agent08_Withdrawals!B52)</f>
        <v/>
      </c>
      <c r="D1445" s="43" t="str">
        <f>IF(Agent08_Withdrawals!A52="","",Agent08_Withdrawals!C52)</f>
        <v/>
      </c>
      <c r="E1445" s="41" t="str">
        <f>IF(Agent08_Withdrawals!A52="","",Agent08_Withdrawals!D52)</f>
        <v/>
      </c>
      <c r="F1445" s="40" t="str">
        <f>IF(Agent08_Withdrawals!A52="","",Agent08_Withdrawals!F52)</f>
        <v/>
      </c>
      <c r="G1445" s="42" t="str">
        <f>IF(Agent08_Withdrawals!A52="","",Agent08_Withdrawals!E52)</f>
        <v/>
      </c>
      <c r="H1445" s="42" t="str">
        <f>IF(Agent08_Withdrawals!A52="","",Agent08_Withdrawals!G52)</f>
        <v/>
      </c>
      <c r="I1445" s="40" t="str">
        <f>IF(Agent08_Withdrawals!A52="","",Agent08_Withdrawals!H52)</f>
        <v/>
      </c>
      <c r="J1445" s="40" t="str">
        <f>IF(Agent08_Withdrawals!A52="","",Agent08_Withdrawals!J52)</f>
        <v/>
      </c>
      <c r="K1445" s="40" t="str">
        <f>IF(Agent08_Withdrawals!A52="","",Agent08_Withdrawals!K52)</f>
        <v/>
      </c>
      <c r="L1445" s="40" t="str">
        <f>IF(G1445="","",IF(D1445-G1445&gt;=System_Config!$B$9,"✅ OK","⚠️ BREACH"))</f>
        <v/>
      </c>
      <c r="M1445" s="40" t="str">
        <f>IFERROR(IF(Agent08_Withdrawals!A52="","",YEAR(Agent08_Withdrawals!D52)),"")</f>
        <v/>
      </c>
    </row>
    <row r="1446" spans="1:13" ht="18" customHeight="1" x14ac:dyDescent="0.25">
      <c r="A1446" s="40" t="str">
        <f>IF(Agent08_Withdrawals!A53="","",Agent08_Withdrawals!A53)</f>
        <v/>
      </c>
      <c r="B1446" s="40" t="str">
        <f ca="1">IF(Agent08_Withdrawals!A53="","","WD"&amp;TEXT(1446-3,"0000")&amp;"-"&amp;TEXT(TODAY(),"YYYYMMDD"))</f>
        <v/>
      </c>
      <c r="C1446" s="40" t="str">
        <f>IF(Agent08_Withdrawals!A53="","",Agent08_Withdrawals!B53)</f>
        <v/>
      </c>
      <c r="D1446" s="43" t="str">
        <f>IF(Agent08_Withdrawals!A53="","",Agent08_Withdrawals!C53)</f>
        <v/>
      </c>
      <c r="E1446" s="41" t="str">
        <f>IF(Agent08_Withdrawals!A53="","",Agent08_Withdrawals!D53)</f>
        <v/>
      </c>
      <c r="F1446" s="40" t="str">
        <f>IF(Agent08_Withdrawals!A53="","",Agent08_Withdrawals!F53)</f>
        <v/>
      </c>
      <c r="G1446" s="42" t="str">
        <f>IF(Agent08_Withdrawals!A53="","",Agent08_Withdrawals!E53)</f>
        <v/>
      </c>
      <c r="H1446" s="42" t="str">
        <f>IF(Agent08_Withdrawals!A53="","",Agent08_Withdrawals!G53)</f>
        <v/>
      </c>
      <c r="I1446" s="40" t="str">
        <f>IF(Agent08_Withdrawals!A53="","",Agent08_Withdrawals!H53)</f>
        <v/>
      </c>
      <c r="J1446" s="40" t="str">
        <f>IF(Agent08_Withdrawals!A53="","",Agent08_Withdrawals!J53)</f>
        <v/>
      </c>
      <c r="K1446" s="40" t="str">
        <f>IF(Agent08_Withdrawals!A53="","",Agent08_Withdrawals!K53)</f>
        <v/>
      </c>
      <c r="L1446" s="40" t="str">
        <f>IF(G1446="","",IF(D1446-G1446&gt;=System_Config!$B$9,"✅ OK","⚠️ BREACH"))</f>
        <v/>
      </c>
      <c r="M1446" s="40" t="str">
        <f>IFERROR(IF(Agent08_Withdrawals!A53="","",YEAR(Agent08_Withdrawals!D53)),"")</f>
        <v/>
      </c>
    </row>
    <row r="1447" spans="1:13" ht="18" customHeight="1" x14ac:dyDescent="0.25">
      <c r="A1447" s="40" t="str">
        <f>IF(Agent08_Withdrawals!A54="","",Agent08_Withdrawals!A54)</f>
        <v/>
      </c>
      <c r="B1447" s="40" t="str">
        <f ca="1">IF(Agent08_Withdrawals!A54="","","WD"&amp;TEXT(1447-3,"0000")&amp;"-"&amp;TEXT(TODAY(),"YYYYMMDD"))</f>
        <v/>
      </c>
      <c r="C1447" s="40" t="str">
        <f>IF(Agent08_Withdrawals!A54="","",Agent08_Withdrawals!B54)</f>
        <v/>
      </c>
      <c r="D1447" s="43" t="str">
        <f>IF(Agent08_Withdrawals!A54="","",Agent08_Withdrawals!C54)</f>
        <v/>
      </c>
      <c r="E1447" s="41" t="str">
        <f>IF(Agent08_Withdrawals!A54="","",Agent08_Withdrawals!D54)</f>
        <v/>
      </c>
      <c r="F1447" s="40" t="str">
        <f>IF(Agent08_Withdrawals!A54="","",Agent08_Withdrawals!F54)</f>
        <v/>
      </c>
      <c r="G1447" s="42" t="str">
        <f>IF(Agent08_Withdrawals!A54="","",Agent08_Withdrawals!E54)</f>
        <v/>
      </c>
      <c r="H1447" s="42" t="str">
        <f>IF(Agent08_Withdrawals!A54="","",Agent08_Withdrawals!G54)</f>
        <v/>
      </c>
      <c r="I1447" s="40" t="str">
        <f>IF(Agent08_Withdrawals!A54="","",Agent08_Withdrawals!H54)</f>
        <v/>
      </c>
      <c r="J1447" s="40" t="str">
        <f>IF(Agent08_Withdrawals!A54="","",Agent08_Withdrawals!J54)</f>
        <v/>
      </c>
      <c r="K1447" s="40" t="str">
        <f>IF(Agent08_Withdrawals!A54="","",Agent08_Withdrawals!K54)</f>
        <v/>
      </c>
      <c r="L1447" s="40" t="str">
        <f>IF(G1447="","",IF(D1447-G1447&gt;=System_Config!$B$9,"✅ OK","⚠️ BREACH"))</f>
        <v/>
      </c>
      <c r="M1447" s="40" t="str">
        <f>IFERROR(IF(Agent08_Withdrawals!A54="","",YEAR(Agent08_Withdrawals!D54)),"")</f>
        <v/>
      </c>
    </row>
    <row r="1448" spans="1:13" ht="18" customHeight="1" x14ac:dyDescent="0.25">
      <c r="A1448" s="40" t="str">
        <f>IF(Agent08_Withdrawals!A55="","",Agent08_Withdrawals!A55)</f>
        <v/>
      </c>
      <c r="B1448" s="40" t="str">
        <f ca="1">IF(Agent08_Withdrawals!A55="","","WD"&amp;TEXT(1448-3,"0000")&amp;"-"&amp;TEXT(TODAY(),"YYYYMMDD"))</f>
        <v/>
      </c>
      <c r="C1448" s="40" t="str">
        <f>IF(Agent08_Withdrawals!A55="","",Agent08_Withdrawals!B55)</f>
        <v/>
      </c>
      <c r="D1448" s="43" t="str">
        <f>IF(Agent08_Withdrawals!A55="","",Agent08_Withdrawals!C55)</f>
        <v/>
      </c>
      <c r="E1448" s="41" t="str">
        <f>IF(Agent08_Withdrawals!A55="","",Agent08_Withdrawals!D55)</f>
        <v/>
      </c>
      <c r="F1448" s="40" t="str">
        <f>IF(Agent08_Withdrawals!A55="","",Agent08_Withdrawals!F55)</f>
        <v/>
      </c>
      <c r="G1448" s="42" t="str">
        <f>IF(Agent08_Withdrawals!A55="","",Agent08_Withdrawals!E55)</f>
        <v/>
      </c>
      <c r="H1448" s="42" t="str">
        <f>IF(Agent08_Withdrawals!A55="","",Agent08_Withdrawals!G55)</f>
        <v/>
      </c>
      <c r="I1448" s="40" t="str">
        <f>IF(Agent08_Withdrawals!A55="","",Agent08_Withdrawals!H55)</f>
        <v/>
      </c>
      <c r="J1448" s="40" t="str">
        <f>IF(Agent08_Withdrawals!A55="","",Agent08_Withdrawals!J55)</f>
        <v/>
      </c>
      <c r="K1448" s="40" t="str">
        <f>IF(Agent08_Withdrawals!A55="","",Agent08_Withdrawals!K55)</f>
        <v/>
      </c>
      <c r="L1448" s="40" t="str">
        <f>IF(G1448="","",IF(D1448-G1448&gt;=System_Config!$B$9,"✅ OK","⚠️ BREACH"))</f>
        <v/>
      </c>
      <c r="M1448" s="40" t="str">
        <f>IFERROR(IF(Agent08_Withdrawals!A55="","",YEAR(Agent08_Withdrawals!D55)),"")</f>
        <v/>
      </c>
    </row>
    <row r="1449" spans="1:13" ht="18" customHeight="1" x14ac:dyDescent="0.25">
      <c r="A1449" s="40" t="str">
        <f>IF(Agent08_Withdrawals!A56="","",Agent08_Withdrawals!A56)</f>
        <v/>
      </c>
      <c r="B1449" s="40" t="str">
        <f ca="1">IF(Agent08_Withdrawals!A56="","","WD"&amp;TEXT(1449-3,"0000")&amp;"-"&amp;TEXT(TODAY(),"YYYYMMDD"))</f>
        <v/>
      </c>
      <c r="C1449" s="40" t="str">
        <f>IF(Agent08_Withdrawals!A56="","",Agent08_Withdrawals!B56)</f>
        <v/>
      </c>
      <c r="D1449" s="43" t="str">
        <f>IF(Agent08_Withdrawals!A56="","",Agent08_Withdrawals!C56)</f>
        <v/>
      </c>
      <c r="E1449" s="41" t="str">
        <f>IF(Agent08_Withdrawals!A56="","",Agent08_Withdrawals!D56)</f>
        <v/>
      </c>
      <c r="F1449" s="40" t="str">
        <f>IF(Agent08_Withdrawals!A56="","",Agent08_Withdrawals!F56)</f>
        <v/>
      </c>
      <c r="G1449" s="42" t="str">
        <f>IF(Agent08_Withdrawals!A56="","",Agent08_Withdrawals!E56)</f>
        <v/>
      </c>
      <c r="H1449" s="42" t="str">
        <f>IF(Agent08_Withdrawals!A56="","",Agent08_Withdrawals!G56)</f>
        <v/>
      </c>
      <c r="I1449" s="40" t="str">
        <f>IF(Agent08_Withdrawals!A56="","",Agent08_Withdrawals!H56)</f>
        <v/>
      </c>
      <c r="J1449" s="40" t="str">
        <f>IF(Agent08_Withdrawals!A56="","",Agent08_Withdrawals!J56)</f>
        <v/>
      </c>
      <c r="K1449" s="40" t="str">
        <f>IF(Agent08_Withdrawals!A56="","",Agent08_Withdrawals!K56)</f>
        <v/>
      </c>
      <c r="L1449" s="40" t="str">
        <f>IF(G1449="","",IF(D1449-G1449&gt;=System_Config!$B$9,"✅ OK","⚠️ BREACH"))</f>
        <v/>
      </c>
      <c r="M1449" s="40" t="str">
        <f>IFERROR(IF(Agent08_Withdrawals!A56="","",YEAR(Agent08_Withdrawals!D56)),"")</f>
        <v/>
      </c>
    </row>
    <row r="1450" spans="1:13" ht="18" customHeight="1" x14ac:dyDescent="0.25">
      <c r="A1450" s="40" t="str">
        <f>IF(Agent08_Withdrawals!A57="","",Agent08_Withdrawals!A57)</f>
        <v/>
      </c>
      <c r="B1450" s="40" t="str">
        <f ca="1">IF(Agent08_Withdrawals!A57="","","WD"&amp;TEXT(1450-3,"0000")&amp;"-"&amp;TEXT(TODAY(),"YYYYMMDD"))</f>
        <v/>
      </c>
      <c r="C1450" s="40" t="str">
        <f>IF(Agent08_Withdrawals!A57="","",Agent08_Withdrawals!B57)</f>
        <v/>
      </c>
      <c r="D1450" s="43" t="str">
        <f>IF(Agent08_Withdrawals!A57="","",Agent08_Withdrawals!C57)</f>
        <v/>
      </c>
      <c r="E1450" s="41" t="str">
        <f>IF(Agent08_Withdrawals!A57="","",Agent08_Withdrawals!D57)</f>
        <v/>
      </c>
      <c r="F1450" s="40" t="str">
        <f>IF(Agent08_Withdrawals!A57="","",Agent08_Withdrawals!F57)</f>
        <v/>
      </c>
      <c r="G1450" s="42" t="str">
        <f>IF(Agent08_Withdrawals!A57="","",Agent08_Withdrawals!E57)</f>
        <v/>
      </c>
      <c r="H1450" s="42" t="str">
        <f>IF(Agent08_Withdrawals!A57="","",Agent08_Withdrawals!G57)</f>
        <v/>
      </c>
      <c r="I1450" s="40" t="str">
        <f>IF(Agent08_Withdrawals!A57="","",Agent08_Withdrawals!H57)</f>
        <v/>
      </c>
      <c r="J1450" s="40" t="str">
        <f>IF(Agent08_Withdrawals!A57="","",Agent08_Withdrawals!J57)</f>
        <v/>
      </c>
      <c r="K1450" s="40" t="str">
        <f>IF(Agent08_Withdrawals!A57="","",Agent08_Withdrawals!K57)</f>
        <v/>
      </c>
      <c r="L1450" s="40" t="str">
        <f>IF(G1450="","",IF(D1450-G1450&gt;=System_Config!$B$9,"✅ OK","⚠️ BREACH"))</f>
        <v/>
      </c>
      <c r="M1450" s="40" t="str">
        <f>IFERROR(IF(Agent08_Withdrawals!A57="","",YEAR(Agent08_Withdrawals!D57)),"")</f>
        <v/>
      </c>
    </row>
    <row r="1451" spans="1:13" ht="18" customHeight="1" x14ac:dyDescent="0.25">
      <c r="A1451" s="40" t="str">
        <f>IF(Agent08_Withdrawals!A58="","",Agent08_Withdrawals!A58)</f>
        <v/>
      </c>
      <c r="B1451" s="40" t="str">
        <f ca="1">IF(Agent08_Withdrawals!A58="","","WD"&amp;TEXT(1451-3,"0000")&amp;"-"&amp;TEXT(TODAY(),"YYYYMMDD"))</f>
        <v/>
      </c>
      <c r="C1451" s="40" t="str">
        <f>IF(Agent08_Withdrawals!A58="","",Agent08_Withdrawals!B58)</f>
        <v/>
      </c>
      <c r="D1451" s="43" t="str">
        <f>IF(Agent08_Withdrawals!A58="","",Agent08_Withdrawals!C58)</f>
        <v/>
      </c>
      <c r="E1451" s="41" t="str">
        <f>IF(Agent08_Withdrawals!A58="","",Agent08_Withdrawals!D58)</f>
        <v/>
      </c>
      <c r="F1451" s="40" t="str">
        <f>IF(Agent08_Withdrawals!A58="","",Agent08_Withdrawals!F58)</f>
        <v/>
      </c>
      <c r="G1451" s="42" t="str">
        <f>IF(Agent08_Withdrawals!A58="","",Agent08_Withdrawals!E58)</f>
        <v/>
      </c>
      <c r="H1451" s="42" t="str">
        <f>IF(Agent08_Withdrawals!A58="","",Agent08_Withdrawals!G58)</f>
        <v/>
      </c>
      <c r="I1451" s="40" t="str">
        <f>IF(Agent08_Withdrawals!A58="","",Agent08_Withdrawals!H58)</f>
        <v/>
      </c>
      <c r="J1451" s="40" t="str">
        <f>IF(Agent08_Withdrawals!A58="","",Agent08_Withdrawals!J58)</f>
        <v/>
      </c>
      <c r="K1451" s="40" t="str">
        <f>IF(Agent08_Withdrawals!A58="","",Agent08_Withdrawals!K58)</f>
        <v/>
      </c>
      <c r="L1451" s="40" t="str">
        <f>IF(G1451="","",IF(D1451-G1451&gt;=System_Config!$B$9,"✅ OK","⚠️ BREACH"))</f>
        <v/>
      </c>
      <c r="M1451" s="40" t="str">
        <f>IFERROR(IF(Agent08_Withdrawals!A58="","",YEAR(Agent08_Withdrawals!D58)),"")</f>
        <v/>
      </c>
    </row>
    <row r="1452" spans="1:13" ht="18" customHeight="1" x14ac:dyDescent="0.25">
      <c r="A1452" s="40" t="str">
        <f>IF(Agent08_Withdrawals!A59="","",Agent08_Withdrawals!A59)</f>
        <v/>
      </c>
      <c r="B1452" s="40" t="str">
        <f ca="1">IF(Agent08_Withdrawals!A59="","","WD"&amp;TEXT(1452-3,"0000")&amp;"-"&amp;TEXT(TODAY(),"YYYYMMDD"))</f>
        <v/>
      </c>
      <c r="C1452" s="40" t="str">
        <f>IF(Agent08_Withdrawals!A59="","",Agent08_Withdrawals!B59)</f>
        <v/>
      </c>
      <c r="D1452" s="43" t="str">
        <f>IF(Agent08_Withdrawals!A59="","",Agent08_Withdrawals!C59)</f>
        <v/>
      </c>
      <c r="E1452" s="41" t="str">
        <f>IF(Agent08_Withdrawals!A59="","",Agent08_Withdrawals!D59)</f>
        <v/>
      </c>
      <c r="F1452" s="40" t="str">
        <f>IF(Agent08_Withdrawals!A59="","",Agent08_Withdrawals!F59)</f>
        <v/>
      </c>
      <c r="G1452" s="42" t="str">
        <f>IF(Agent08_Withdrawals!A59="","",Agent08_Withdrawals!E59)</f>
        <v/>
      </c>
      <c r="H1452" s="42" t="str">
        <f>IF(Agent08_Withdrawals!A59="","",Agent08_Withdrawals!G59)</f>
        <v/>
      </c>
      <c r="I1452" s="40" t="str">
        <f>IF(Agent08_Withdrawals!A59="","",Agent08_Withdrawals!H59)</f>
        <v/>
      </c>
      <c r="J1452" s="40" t="str">
        <f>IF(Agent08_Withdrawals!A59="","",Agent08_Withdrawals!J59)</f>
        <v/>
      </c>
      <c r="K1452" s="40" t="str">
        <f>IF(Agent08_Withdrawals!A59="","",Agent08_Withdrawals!K59)</f>
        <v/>
      </c>
      <c r="L1452" s="40" t="str">
        <f>IF(G1452="","",IF(D1452-G1452&gt;=System_Config!$B$9,"✅ OK","⚠️ BREACH"))</f>
        <v/>
      </c>
      <c r="M1452" s="40" t="str">
        <f>IFERROR(IF(Agent08_Withdrawals!A59="","",YEAR(Agent08_Withdrawals!D59)),"")</f>
        <v/>
      </c>
    </row>
    <row r="1453" spans="1:13" ht="18" customHeight="1" x14ac:dyDescent="0.25">
      <c r="A1453" s="40" t="str">
        <f>IF(Agent08_Withdrawals!A60="","",Agent08_Withdrawals!A60)</f>
        <v/>
      </c>
      <c r="B1453" s="40" t="str">
        <f ca="1">IF(Agent08_Withdrawals!A60="","","WD"&amp;TEXT(1453-3,"0000")&amp;"-"&amp;TEXT(TODAY(),"YYYYMMDD"))</f>
        <v/>
      </c>
      <c r="C1453" s="40" t="str">
        <f>IF(Agent08_Withdrawals!A60="","",Agent08_Withdrawals!B60)</f>
        <v/>
      </c>
      <c r="D1453" s="43" t="str">
        <f>IF(Agent08_Withdrawals!A60="","",Agent08_Withdrawals!C60)</f>
        <v/>
      </c>
      <c r="E1453" s="41" t="str">
        <f>IF(Agent08_Withdrawals!A60="","",Agent08_Withdrawals!D60)</f>
        <v/>
      </c>
      <c r="F1453" s="40" t="str">
        <f>IF(Agent08_Withdrawals!A60="","",Agent08_Withdrawals!F60)</f>
        <v/>
      </c>
      <c r="G1453" s="42" t="str">
        <f>IF(Agent08_Withdrawals!A60="","",Agent08_Withdrawals!E60)</f>
        <v/>
      </c>
      <c r="H1453" s="42" t="str">
        <f>IF(Agent08_Withdrawals!A60="","",Agent08_Withdrawals!G60)</f>
        <v/>
      </c>
      <c r="I1453" s="40" t="str">
        <f>IF(Agent08_Withdrawals!A60="","",Agent08_Withdrawals!H60)</f>
        <v/>
      </c>
      <c r="J1453" s="40" t="str">
        <f>IF(Agent08_Withdrawals!A60="","",Agent08_Withdrawals!J60)</f>
        <v/>
      </c>
      <c r="K1453" s="40" t="str">
        <f>IF(Agent08_Withdrawals!A60="","",Agent08_Withdrawals!K60)</f>
        <v/>
      </c>
      <c r="L1453" s="40" t="str">
        <f>IF(G1453="","",IF(D1453-G1453&gt;=System_Config!$B$9,"✅ OK","⚠️ BREACH"))</f>
        <v/>
      </c>
      <c r="M1453" s="40" t="str">
        <f>IFERROR(IF(Agent08_Withdrawals!A60="","",YEAR(Agent08_Withdrawals!D60)),"")</f>
        <v/>
      </c>
    </row>
    <row r="1454" spans="1:13" ht="18" customHeight="1" x14ac:dyDescent="0.25">
      <c r="A1454" s="40" t="str">
        <f>IF(Agent08_Withdrawals!A61="","",Agent08_Withdrawals!A61)</f>
        <v/>
      </c>
      <c r="B1454" s="40" t="str">
        <f ca="1">IF(Agent08_Withdrawals!A61="","","WD"&amp;TEXT(1454-3,"0000")&amp;"-"&amp;TEXT(TODAY(),"YYYYMMDD"))</f>
        <v/>
      </c>
      <c r="C1454" s="40" t="str">
        <f>IF(Agent08_Withdrawals!A61="","",Agent08_Withdrawals!B61)</f>
        <v/>
      </c>
      <c r="D1454" s="43" t="str">
        <f>IF(Agent08_Withdrawals!A61="","",Agent08_Withdrawals!C61)</f>
        <v/>
      </c>
      <c r="E1454" s="41" t="str">
        <f>IF(Agent08_Withdrawals!A61="","",Agent08_Withdrawals!D61)</f>
        <v/>
      </c>
      <c r="F1454" s="40" t="str">
        <f>IF(Agent08_Withdrawals!A61="","",Agent08_Withdrawals!F61)</f>
        <v/>
      </c>
      <c r="G1454" s="42" t="str">
        <f>IF(Agent08_Withdrawals!A61="","",Agent08_Withdrawals!E61)</f>
        <v/>
      </c>
      <c r="H1454" s="42" t="str">
        <f>IF(Agent08_Withdrawals!A61="","",Agent08_Withdrawals!G61)</f>
        <v/>
      </c>
      <c r="I1454" s="40" t="str">
        <f>IF(Agent08_Withdrawals!A61="","",Agent08_Withdrawals!H61)</f>
        <v/>
      </c>
      <c r="J1454" s="40" t="str">
        <f>IF(Agent08_Withdrawals!A61="","",Agent08_Withdrawals!J61)</f>
        <v/>
      </c>
      <c r="K1454" s="40" t="str">
        <f>IF(Agent08_Withdrawals!A61="","",Agent08_Withdrawals!K61)</f>
        <v/>
      </c>
      <c r="L1454" s="40" t="str">
        <f>IF(G1454="","",IF(D1454-G1454&gt;=System_Config!$B$9,"✅ OK","⚠️ BREACH"))</f>
        <v/>
      </c>
      <c r="M1454" s="40" t="str">
        <f>IFERROR(IF(Agent08_Withdrawals!A61="","",YEAR(Agent08_Withdrawals!D61)),"")</f>
        <v/>
      </c>
    </row>
    <row r="1455" spans="1:13" ht="18" customHeight="1" x14ac:dyDescent="0.25">
      <c r="A1455" s="40" t="str">
        <f>IF(Agent08_Withdrawals!A62="","",Agent08_Withdrawals!A62)</f>
        <v/>
      </c>
      <c r="B1455" s="40" t="str">
        <f ca="1">IF(Agent08_Withdrawals!A62="","","WD"&amp;TEXT(1455-3,"0000")&amp;"-"&amp;TEXT(TODAY(),"YYYYMMDD"))</f>
        <v/>
      </c>
      <c r="C1455" s="40" t="str">
        <f>IF(Agent08_Withdrawals!A62="","",Agent08_Withdrawals!B62)</f>
        <v/>
      </c>
      <c r="D1455" s="43" t="str">
        <f>IF(Agent08_Withdrawals!A62="","",Agent08_Withdrawals!C62)</f>
        <v/>
      </c>
      <c r="E1455" s="41" t="str">
        <f>IF(Agent08_Withdrawals!A62="","",Agent08_Withdrawals!D62)</f>
        <v/>
      </c>
      <c r="F1455" s="40" t="str">
        <f>IF(Agent08_Withdrawals!A62="","",Agent08_Withdrawals!F62)</f>
        <v/>
      </c>
      <c r="G1455" s="42" t="str">
        <f>IF(Agent08_Withdrawals!A62="","",Agent08_Withdrawals!E62)</f>
        <v/>
      </c>
      <c r="H1455" s="42" t="str">
        <f>IF(Agent08_Withdrawals!A62="","",Agent08_Withdrawals!G62)</f>
        <v/>
      </c>
      <c r="I1455" s="40" t="str">
        <f>IF(Agent08_Withdrawals!A62="","",Agent08_Withdrawals!H62)</f>
        <v/>
      </c>
      <c r="J1455" s="40" t="str">
        <f>IF(Agent08_Withdrawals!A62="","",Agent08_Withdrawals!J62)</f>
        <v/>
      </c>
      <c r="K1455" s="40" t="str">
        <f>IF(Agent08_Withdrawals!A62="","",Agent08_Withdrawals!K62)</f>
        <v/>
      </c>
      <c r="L1455" s="40" t="str">
        <f>IF(G1455="","",IF(D1455-G1455&gt;=System_Config!$B$9,"✅ OK","⚠️ BREACH"))</f>
        <v/>
      </c>
      <c r="M1455" s="40" t="str">
        <f>IFERROR(IF(Agent08_Withdrawals!A62="","",YEAR(Agent08_Withdrawals!D62)),"")</f>
        <v/>
      </c>
    </row>
    <row r="1456" spans="1:13" ht="18" customHeight="1" x14ac:dyDescent="0.25">
      <c r="A1456" s="40" t="str">
        <f>IF(Agent08_Withdrawals!A63="","",Agent08_Withdrawals!A63)</f>
        <v/>
      </c>
      <c r="B1456" s="40" t="str">
        <f ca="1">IF(Agent08_Withdrawals!A63="","","WD"&amp;TEXT(1456-3,"0000")&amp;"-"&amp;TEXT(TODAY(),"YYYYMMDD"))</f>
        <v/>
      </c>
      <c r="C1456" s="40" t="str">
        <f>IF(Agent08_Withdrawals!A63="","",Agent08_Withdrawals!B63)</f>
        <v/>
      </c>
      <c r="D1456" s="43" t="str">
        <f>IF(Agent08_Withdrawals!A63="","",Agent08_Withdrawals!C63)</f>
        <v/>
      </c>
      <c r="E1456" s="41" t="str">
        <f>IF(Agent08_Withdrawals!A63="","",Agent08_Withdrawals!D63)</f>
        <v/>
      </c>
      <c r="F1456" s="40" t="str">
        <f>IF(Agent08_Withdrawals!A63="","",Agent08_Withdrawals!F63)</f>
        <v/>
      </c>
      <c r="G1456" s="42" t="str">
        <f>IF(Agent08_Withdrawals!A63="","",Agent08_Withdrawals!E63)</f>
        <v/>
      </c>
      <c r="H1456" s="42" t="str">
        <f>IF(Agent08_Withdrawals!A63="","",Agent08_Withdrawals!G63)</f>
        <v/>
      </c>
      <c r="I1456" s="40" t="str">
        <f>IF(Agent08_Withdrawals!A63="","",Agent08_Withdrawals!H63)</f>
        <v/>
      </c>
      <c r="J1456" s="40" t="str">
        <f>IF(Agent08_Withdrawals!A63="","",Agent08_Withdrawals!J63)</f>
        <v/>
      </c>
      <c r="K1456" s="40" t="str">
        <f>IF(Agent08_Withdrawals!A63="","",Agent08_Withdrawals!K63)</f>
        <v/>
      </c>
      <c r="L1456" s="40" t="str">
        <f>IF(G1456="","",IF(D1456-G1456&gt;=System_Config!$B$9,"✅ OK","⚠️ BREACH"))</f>
        <v/>
      </c>
      <c r="M1456" s="40" t="str">
        <f>IFERROR(IF(Agent08_Withdrawals!A63="","",YEAR(Agent08_Withdrawals!D63)),"")</f>
        <v/>
      </c>
    </row>
    <row r="1457" spans="1:13" ht="18" customHeight="1" x14ac:dyDescent="0.25">
      <c r="A1457" s="40" t="str">
        <f>IF(Agent08_Withdrawals!A64="","",Agent08_Withdrawals!A64)</f>
        <v/>
      </c>
      <c r="B1457" s="40" t="str">
        <f ca="1">IF(Agent08_Withdrawals!A64="","","WD"&amp;TEXT(1457-3,"0000")&amp;"-"&amp;TEXT(TODAY(),"YYYYMMDD"))</f>
        <v/>
      </c>
      <c r="C1457" s="40" t="str">
        <f>IF(Agent08_Withdrawals!A64="","",Agent08_Withdrawals!B64)</f>
        <v/>
      </c>
      <c r="D1457" s="43" t="str">
        <f>IF(Agent08_Withdrawals!A64="","",Agent08_Withdrawals!C64)</f>
        <v/>
      </c>
      <c r="E1457" s="41" t="str">
        <f>IF(Agent08_Withdrawals!A64="","",Agent08_Withdrawals!D64)</f>
        <v/>
      </c>
      <c r="F1457" s="40" t="str">
        <f>IF(Agent08_Withdrawals!A64="","",Agent08_Withdrawals!F64)</f>
        <v/>
      </c>
      <c r="G1457" s="42" t="str">
        <f>IF(Agent08_Withdrawals!A64="","",Agent08_Withdrawals!E64)</f>
        <v/>
      </c>
      <c r="H1457" s="42" t="str">
        <f>IF(Agent08_Withdrawals!A64="","",Agent08_Withdrawals!G64)</f>
        <v/>
      </c>
      <c r="I1457" s="40" t="str">
        <f>IF(Agent08_Withdrawals!A64="","",Agent08_Withdrawals!H64)</f>
        <v/>
      </c>
      <c r="J1457" s="40" t="str">
        <f>IF(Agent08_Withdrawals!A64="","",Agent08_Withdrawals!J64)</f>
        <v/>
      </c>
      <c r="K1457" s="40" t="str">
        <f>IF(Agent08_Withdrawals!A64="","",Agent08_Withdrawals!K64)</f>
        <v/>
      </c>
      <c r="L1457" s="40" t="str">
        <f>IF(G1457="","",IF(D1457-G1457&gt;=System_Config!$B$9,"✅ OK","⚠️ BREACH"))</f>
        <v/>
      </c>
      <c r="M1457" s="40" t="str">
        <f>IFERROR(IF(Agent08_Withdrawals!A64="","",YEAR(Agent08_Withdrawals!D64)),"")</f>
        <v/>
      </c>
    </row>
    <row r="1458" spans="1:13" ht="18" customHeight="1" x14ac:dyDescent="0.25">
      <c r="A1458" s="40" t="str">
        <f>IF(Agent08_Withdrawals!A65="","",Agent08_Withdrawals!A65)</f>
        <v/>
      </c>
      <c r="B1458" s="40" t="str">
        <f ca="1">IF(Agent08_Withdrawals!A65="","","WD"&amp;TEXT(1458-3,"0000")&amp;"-"&amp;TEXT(TODAY(),"YYYYMMDD"))</f>
        <v/>
      </c>
      <c r="C1458" s="40" t="str">
        <f>IF(Agent08_Withdrawals!A65="","",Agent08_Withdrawals!B65)</f>
        <v/>
      </c>
      <c r="D1458" s="43" t="str">
        <f>IF(Agent08_Withdrawals!A65="","",Agent08_Withdrawals!C65)</f>
        <v/>
      </c>
      <c r="E1458" s="41" t="str">
        <f>IF(Agent08_Withdrawals!A65="","",Agent08_Withdrawals!D65)</f>
        <v/>
      </c>
      <c r="F1458" s="40" t="str">
        <f>IF(Agent08_Withdrawals!A65="","",Agent08_Withdrawals!F65)</f>
        <v/>
      </c>
      <c r="G1458" s="42" t="str">
        <f>IF(Agent08_Withdrawals!A65="","",Agent08_Withdrawals!E65)</f>
        <v/>
      </c>
      <c r="H1458" s="42" t="str">
        <f>IF(Agent08_Withdrawals!A65="","",Agent08_Withdrawals!G65)</f>
        <v/>
      </c>
      <c r="I1458" s="40" t="str">
        <f>IF(Agent08_Withdrawals!A65="","",Agent08_Withdrawals!H65)</f>
        <v/>
      </c>
      <c r="J1458" s="40" t="str">
        <f>IF(Agent08_Withdrawals!A65="","",Agent08_Withdrawals!J65)</f>
        <v/>
      </c>
      <c r="K1458" s="40" t="str">
        <f>IF(Agent08_Withdrawals!A65="","",Agent08_Withdrawals!K65)</f>
        <v/>
      </c>
      <c r="L1458" s="40" t="str">
        <f>IF(G1458="","",IF(D1458-G1458&gt;=System_Config!$B$9,"✅ OK","⚠️ BREACH"))</f>
        <v/>
      </c>
      <c r="M1458" s="40" t="str">
        <f>IFERROR(IF(Agent08_Withdrawals!A65="","",YEAR(Agent08_Withdrawals!D65)),"")</f>
        <v/>
      </c>
    </row>
    <row r="1459" spans="1:13" ht="18" customHeight="1" x14ac:dyDescent="0.25">
      <c r="A1459" s="40" t="str">
        <f>IF(Agent08_Withdrawals!A66="","",Agent08_Withdrawals!A66)</f>
        <v/>
      </c>
      <c r="B1459" s="40" t="str">
        <f ca="1">IF(Agent08_Withdrawals!A66="","","WD"&amp;TEXT(1459-3,"0000")&amp;"-"&amp;TEXT(TODAY(),"YYYYMMDD"))</f>
        <v/>
      </c>
      <c r="C1459" s="40" t="str">
        <f>IF(Agent08_Withdrawals!A66="","",Agent08_Withdrawals!B66)</f>
        <v/>
      </c>
      <c r="D1459" s="43" t="str">
        <f>IF(Agent08_Withdrawals!A66="","",Agent08_Withdrawals!C66)</f>
        <v/>
      </c>
      <c r="E1459" s="41" t="str">
        <f>IF(Agent08_Withdrawals!A66="","",Agent08_Withdrawals!D66)</f>
        <v/>
      </c>
      <c r="F1459" s="40" t="str">
        <f>IF(Agent08_Withdrawals!A66="","",Agent08_Withdrawals!F66)</f>
        <v/>
      </c>
      <c r="G1459" s="42" t="str">
        <f>IF(Agent08_Withdrawals!A66="","",Agent08_Withdrawals!E66)</f>
        <v/>
      </c>
      <c r="H1459" s="42" t="str">
        <f>IF(Agent08_Withdrawals!A66="","",Agent08_Withdrawals!G66)</f>
        <v/>
      </c>
      <c r="I1459" s="40" t="str">
        <f>IF(Agent08_Withdrawals!A66="","",Agent08_Withdrawals!H66)</f>
        <v/>
      </c>
      <c r="J1459" s="40" t="str">
        <f>IF(Agent08_Withdrawals!A66="","",Agent08_Withdrawals!J66)</f>
        <v/>
      </c>
      <c r="K1459" s="40" t="str">
        <f>IF(Agent08_Withdrawals!A66="","",Agent08_Withdrawals!K66)</f>
        <v/>
      </c>
      <c r="L1459" s="40" t="str">
        <f>IF(G1459="","",IF(D1459-G1459&gt;=System_Config!$B$9,"✅ OK","⚠️ BREACH"))</f>
        <v/>
      </c>
      <c r="M1459" s="40" t="str">
        <f>IFERROR(IF(Agent08_Withdrawals!A66="","",YEAR(Agent08_Withdrawals!D66)),"")</f>
        <v/>
      </c>
    </row>
    <row r="1460" spans="1:13" ht="18" customHeight="1" x14ac:dyDescent="0.25">
      <c r="A1460" s="40" t="str">
        <f>IF(Agent08_Withdrawals!A67="","",Agent08_Withdrawals!A67)</f>
        <v/>
      </c>
      <c r="B1460" s="40" t="str">
        <f ca="1">IF(Agent08_Withdrawals!A67="","","WD"&amp;TEXT(1460-3,"0000")&amp;"-"&amp;TEXT(TODAY(),"YYYYMMDD"))</f>
        <v/>
      </c>
      <c r="C1460" s="40" t="str">
        <f>IF(Agent08_Withdrawals!A67="","",Agent08_Withdrawals!B67)</f>
        <v/>
      </c>
      <c r="D1460" s="43" t="str">
        <f>IF(Agent08_Withdrawals!A67="","",Agent08_Withdrawals!C67)</f>
        <v/>
      </c>
      <c r="E1460" s="41" t="str">
        <f>IF(Agent08_Withdrawals!A67="","",Agent08_Withdrawals!D67)</f>
        <v/>
      </c>
      <c r="F1460" s="40" t="str">
        <f>IF(Agent08_Withdrawals!A67="","",Agent08_Withdrawals!F67)</f>
        <v/>
      </c>
      <c r="G1460" s="42" t="str">
        <f>IF(Agent08_Withdrawals!A67="","",Agent08_Withdrawals!E67)</f>
        <v/>
      </c>
      <c r="H1460" s="42" t="str">
        <f>IF(Agent08_Withdrawals!A67="","",Agent08_Withdrawals!G67)</f>
        <v/>
      </c>
      <c r="I1460" s="40" t="str">
        <f>IF(Agent08_Withdrawals!A67="","",Agent08_Withdrawals!H67)</f>
        <v/>
      </c>
      <c r="J1460" s="40" t="str">
        <f>IF(Agent08_Withdrawals!A67="","",Agent08_Withdrawals!J67)</f>
        <v/>
      </c>
      <c r="K1460" s="40" t="str">
        <f>IF(Agent08_Withdrawals!A67="","",Agent08_Withdrawals!K67)</f>
        <v/>
      </c>
      <c r="L1460" s="40" t="str">
        <f>IF(G1460="","",IF(D1460-G1460&gt;=System_Config!$B$9,"✅ OK","⚠️ BREACH"))</f>
        <v/>
      </c>
      <c r="M1460" s="40" t="str">
        <f>IFERROR(IF(Agent08_Withdrawals!A67="","",YEAR(Agent08_Withdrawals!D67)),"")</f>
        <v/>
      </c>
    </row>
    <row r="1461" spans="1:13" ht="18" customHeight="1" x14ac:dyDescent="0.25">
      <c r="A1461" s="40" t="str">
        <f>IF(Agent08_Withdrawals!A68="","",Agent08_Withdrawals!A68)</f>
        <v/>
      </c>
      <c r="B1461" s="40" t="str">
        <f ca="1">IF(Agent08_Withdrawals!A68="","","WD"&amp;TEXT(1461-3,"0000")&amp;"-"&amp;TEXT(TODAY(),"YYYYMMDD"))</f>
        <v/>
      </c>
      <c r="C1461" s="40" t="str">
        <f>IF(Agent08_Withdrawals!A68="","",Agent08_Withdrawals!B68)</f>
        <v/>
      </c>
      <c r="D1461" s="43" t="str">
        <f>IF(Agent08_Withdrawals!A68="","",Agent08_Withdrawals!C68)</f>
        <v/>
      </c>
      <c r="E1461" s="41" t="str">
        <f>IF(Agent08_Withdrawals!A68="","",Agent08_Withdrawals!D68)</f>
        <v/>
      </c>
      <c r="F1461" s="40" t="str">
        <f>IF(Agent08_Withdrawals!A68="","",Agent08_Withdrawals!F68)</f>
        <v/>
      </c>
      <c r="G1461" s="42" t="str">
        <f>IF(Agent08_Withdrawals!A68="","",Agent08_Withdrawals!E68)</f>
        <v/>
      </c>
      <c r="H1461" s="42" t="str">
        <f>IF(Agent08_Withdrawals!A68="","",Agent08_Withdrawals!G68)</f>
        <v/>
      </c>
      <c r="I1461" s="40" t="str">
        <f>IF(Agent08_Withdrawals!A68="","",Agent08_Withdrawals!H68)</f>
        <v/>
      </c>
      <c r="J1461" s="40" t="str">
        <f>IF(Agent08_Withdrawals!A68="","",Agent08_Withdrawals!J68)</f>
        <v/>
      </c>
      <c r="K1461" s="40" t="str">
        <f>IF(Agent08_Withdrawals!A68="","",Agent08_Withdrawals!K68)</f>
        <v/>
      </c>
      <c r="L1461" s="40" t="str">
        <f>IF(G1461="","",IF(D1461-G1461&gt;=System_Config!$B$9,"✅ OK","⚠️ BREACH"))</f>
        <v/>
      </c>
      <c r="M1461" s="40" t="str">
        <f>IFERROR(IF(Agent08_Withdrawals!A68="","",YEAR(Agent08_Withdrawals!D68)),"")</f>
        <v/>
      </c>
    </row>
    <row r="1462" spans="1:13" ht="18" customHeight="1" x14ac:dyDescent="0.25">
      <c r="A1462" s="40" t="str">
        <f>IF(Agent08_Withdrawals!A69="","",Agent08_Withdrawals!A69)</f>
        <v/>
      </c>
      <c r="B1462" s="40" t="str">
        <f ca="1">IF(Agent08_Withdrawals!A69="","","WD"&amp;TEXT(1462-3,"0000")&amp;"-"&amp;TEXT(TODAY(),"YYYYMMDD"))</f>
        <v/>
      </c>
      <c r="C1462" s="40" t="str">
        <f>IF(Agent08_Withdrawals!A69="","",Agent08_Withdrawals!B69)</f>
        <v/>
      </c>
      <c r="D1462" s="43" t="str">
        <f>IF(Agent08_Withdrawals!A69="","",Agent08_Withdrawals!C69)</f>
        <v/>
      </c>
      <c r="E1462" s="41" t="str">
        <f>IF(Agent08_Withdrawals!A69="","",Agent08_Withdrawals!D69)</f>
        <v/>
      </c>
      <c r="F1462" s="40" t="str">
        <f>IF(Agent08_Withdrawals!A69="","",Agent08_Withdrawals!F69)</f>
        <v/>
      </c>
      <c r="G1462" s="42" t="str">
        <f>IF(Agent08_Withdrawals!A69="","",Agent08_Withdrawals!E69)</f>
        <v/>
      </c>
      <c r="H1462" s="42" t="str">
        <f>IF(Agent08_Withdrawals!A69="","",Agent08_Withdrawals!G69)</f>
        <v/>
      </c>
      <c r="I1462" s="40" t="str">
        <f>IF(Agent08_Withdrawals!A69="","",Agent08_Withdrawals!H69)</f>
        <v/>
      </c>
      <c r="J1462" s="40" t="str">
        <f>IF(Agent08_Withdrawals!A69="","",Agent08_Withdrawals!J69)</f>
        <v/>
      </c>
      <c r="K1462" s="40" t="str">
        <f>IF(Agent08_Withdrawals!A69="","",Agent08_Withdrawals!K69)</f>
        <v/>
      </c>
      <c r="L1462" s="40" t="str">
        <f>IF(G1462="","",IF(D1462-G1462&gt;=System_Config!$B$9,"✅ OK","⚠️ BREACH"))</f>
        <v/>
      </c>
      <c r="M1462" s="40" t="str">
        <f>IFERROR(IF(Agent08_Withdrawals!A69="","",YEAR(Agent08_Withdrawals!D69)),"")</f>
        <v/>
      </c>
    </row>
    <row r="1463" spans="1:13" ht="18" customHeight="1" x14ac:dyDescent="0.25">
      <c r="A1463" s="40" t="str">
        <f>IF(Agent08_Withdrawals!A70="","",Agent08_Withdrawals!A70)</f>
        <v/>
      </c>
      <c r="B1463" s="40" t="str">
        <f ca="1">IF(Agent08_Withdrawals!A70="","","WD"&amp;TEXT(1463-3,"0000")&amp;"-"&amp;TEXT(TODAY(),"YYYYMMDD"))</f>
        <v/>
      </c>
      <c r="C1463" s="40" t="str">
        <f>IF(Agent08_Withdrawals!A70="","",Agent08_Withdrawals!B70)</f>
        <v/>
      </c>
      <c r="D1463" s="43" t="str">
        <f>IF(Agent08_Withdrawals!A70="","",Agent08_Withdrawals!C70)</f>
        <v/>
      </c>
      <c r="E1463" s="41" t="str">
        <f>IF(Agent08_Withdrawals!A70="","",Agent08_Withdrawals!D70)</f>
        <v/>
      </c>
      <c r="F1463" s="40" t="str">
        <f>IF(Agent08_Withdrawals!A70="","",Agent08_Withdrawals!F70)</f>
        <v/>
      </c>
      <c r="G1463" s="42" t="str">
        <f>IF(Agent08_Withdrawals!A70="","",Agent08_Withdrawals!E70)</f>
        <v/>
      </c>
      <c r="H1463" s="42" t="str">
        <f>IF(Agent08_Withdrawals!A70="","",Agent08_Withdrawals!G70)</f>
        <v/>
      </c>
      <c r="I1463" s="40" t="str">
        <f>IF(Agent08_Withdrawals!A70="","",Agent08_Withdrawals!H70)</f>
        <v/>
      </c>
      <c r="J1463" s="40" t="str">
        <f>IF(Agent08_Withdrawals!A70="","",Agent08_Withdrawals!J70)</f>
        <v/>
      </c>
      <c r="K1463" s="40" t="str">
        <f>IF(Agent08_Withdrawals!A70="","",Agent08_Withdrawals!K70)</f>
        <v/>
      </c>
      <c r="L1463" s="40" t="str">
        <f>IF(G1463="","",IF(D1463-G1463&gt;=System_Config!$B$9,"✅ OK","⚠️ BREACH"))</f>
        <v/>
      </c>
      <c r="M1463" s="40" t="str">
        <f>IFERROR(IF(Agent08_Withdrawals!A70="","",YEAR(Agent08_Withdrawals!D70)),"")</f>
        <v/>
      </c>
    </row>
    <row r="1464" spans="1:13" ht="18" customHeight="1" x14ac:dyDescent="0.25">
      <c r="A1464" s="40" t="str">
        <f>IF(Agent08_Withdrawals!A71="","",Agent08_Withdrawals!A71)</f>
        <v/>
      </c>
      <c r="B1464" s="40" t="str">
        <f ca="1">IF(Agent08_Withdrawals!A71="","","WD"&amp;TEXT(1464-3,"0000")&amp;"-"&amp;TEXT(TODAY(),"YYYYMMDD"))</f>
        <v/>
      </c>
      <c r="C1464" s="40" t="str">
        <f>IF(Agent08_Withdrawals!A71="","",Agent08_Withdrawals!B71)</f>
        <v/>
      </c>
      <c r="D1464" s="43" t="str">
        <f>IF(Agent08_Withdrawals!A71="","",Agent08_Withdrawals!C71)</f>
        <v/>
      </c>
      <c r="E1464" s="41" t="str">
        <f>IF(Agent08_Withdrawals!A71="","",Agent08_Withdrawals!D71)</f>
        <v/>
      </c>
      <c r="F1464" s="40" t="str">
        <f>IF(Agent08_Withdrawals!A71="","",Agent08_Withdrawals!F71)</f>
        <v/>
      </c>
      <c r="G1464" s="42" t="str">
        <f>IF(Agent08_Withdrawals!A71="","",Agent08_Withdrawals!E71)</f>
        <v/>
      </c>
      <c r="H1464" s="42" t="str">
        <f>IF(Agent08_Withdrawals!A71="","",Agent08_Withdrawals!G71)</f>
        <v/>
      </c>
      <c r="I1464" s="40" t="str">
        <f>IF(Agent08_Withdrawals!A71="","",Agent08_Withdrawals!H71)</f>
        <v/>
      </c>
      <c r="J1464" s="40" t="str">
        <f>IF(Agent08_Withdrawals!A71="","",Agent08_Withdrawals!J71)</f>
        <v/>
      </c>
      <c r="K1464" s="40" t="str">
        <f>IF(Agent08_Withdrawals!A71="","",Agent08_Withdrawals!K71)</f>
        <v/>
      </c>
      <c r="L1464" s="40" t="str">
        <f>IF(G1464="","",IF(D1464-G1464&gt;=System_Config!$B$9,"✅ OK","⚠️ BREACH"))</f>
        <v/>
      </c>
      <c r="M1464" s="40" t="str">
        <f>IFERROR(IF(Agent08_Withdrawals!A71="","",YEAR(Agent08_Withdrawals!D71)),"")</f>
        <v/>
      </c>
    </row>
    <row r="1465" spans="1:13" ht="18" customHeight="1" x14ac:dyDescent="0.25">
      <c r="A1465" s="40" t="str">
        <f>IF(Agent08_Withdrawals!A72="","",Agent08_Withdrawals!A72)</f>
        <v/>
      </c>
      <c r="B1465" s="40" t="str">
        <f ca="1">IF(Agent08_Withdrawals!A72="","","WD"&amp;TEXT(1465-3,"0000")&amp;"-"&amp;TEXT(TODAY(),"YYYYMMDD"))</f>
        <v/>
      </c>
      <c r="C1465" s="40" t="str">
        <f>IF(Agent08_Withdrawals!A72="","",Agent08_Withdrawals!B72)</f>
        <v/>
      </c>
      <c r="D1465" s="43" t="str">
        <f>IF(Agent08_Withdrawals!A72="","",Agent08_Withdrawals!C72)</f>
        <v/>
      </c>
      <c r="E1465" s="41" t="str">
        <f>IF(Agent08_Withdrawals!A72="","",Agent08_Withdrawals!D72)</f>
        <v/>
      </c>
      <c r="F1465" s="40" t="str">
        <f>IF(Agent08_Withdrawals!A72="","",Agent08_Withdrawals!F72)</f>
        <v/>
      </c>
      <c r="G1465" s="42" t="str">
        <f>IF(Agent08_Withdrawals!A72="","",Agent08_Withdrawals!E72)</f>
        <v/>
      </c>
      <c r="H1465" s="42" t="str">
        <f>IF(Agent08_Withdrawals!A72="","",Agent08_Withdrawals!G72)</f>
        <v/>
      </c>
      <c r="I1465" s="40" t="str">
        <f>IF(Agent08_Withdrawals!A72="","",Agent08_Withdrawals!H72)</f>
        <v/>
      </c>
      <c r="J1465" s="40" t="str">
        <f>IF(Agent08_Withdrawals!A72="","",Agent08_Withdrawals!J72)</f>
        <v/>
      </c>
      <c r="K1465" s="40" t="str">
        <f>IF(Agent08_Withdrawals!A72="","",Agent08_Withdrawals!K72)</f>
        <v/>
      </c>
      <c r="L1465" s="40" t="str">
        <f>IF(G1465="","",IF(D1465-G1465&gt;=System_Config!$B$9,"✅ OK","⚠️ BREACH"))</f>
        <v/>
      </c>
      <c r="M1465" s="40" t="str">
        <f>IFERROR(IF(Agent08_Withdrawals!A72="","",YEAR(Agent08_Withdrawals!D72)),"")</f>
        <v/>
      </c>
    </row>
    <row r="1466" spans="1:13" ht="18" customHeight="1" x14ac:dyDescent="0.25">
      <c r="A1466" s="40" t="str">
        <f>IF(Agent08_Withdrawals!A73="","",Agent08_Withdrawals!A73)</f>
        <v/>
      </c>
      <c r="B1466" s="40" t="str">
        <f ca="1">IF(Agent08_Withdrawals!A73="","","WD"&amp;TEXT(1466-3,"0000")&amp;"-"&amp;TEXT(TODAY(),"YYYYMMDD"))</f>
        <v/>
      </c>
      <c r="C1466" s="40" t="str">
        <f>IF(Agent08_Withdrawals!A73="","",Agent08_Withdrawals!B73)</f>
        <v/>
      </c>
      <c r="D1466" s="43" t="str">
        <f>IF(Agent08_Withdrawals!A73="","",Agent08_Withdrawals!C73)</f>
        <v/>
      </c>
      <c r="E1466" s="41" t="str">
        <f>IF(Agent08_Withdrawals!A73="","",Agent08_Withdrawals!D73)</f>
        <v/>
      </c>
      <c r="F1466" s="40" t="str">
        <f>IF(Agent08_Withdrawals!A73="","",Agent08_Withdrawals!F73)</f>
        <v/>
      </c>
      <c r="G1466" s="42" t="str">
        <f>IF(Agent08_Withdrawals!A73="","",Agent08_Withdrawals!E73)</f>
        <v/>
      </c>
      <c r="H1466" s="42" t="str">
        <f>IF(Agent08_Withdrawals!A73="","",Agent08_Withdrawals!G73)</f>
        <v/>
      </c>
      <c r="I1466" s="40" t="str">
        <f>IF(Agent08_Withdrawals!A73="","",Agent08_Withdrawals!H73)</f>
        <v/>
      </c>
      <c r="J1466" s="40" t="str">
        <f>IF(Agent08_Withdrawals!A73="","",Agent08_Withdrawals!J73)</f>
        <v/>
      </c>
      <c r="K1466" s="40" t="str">
        <f>IF(Agent08_Withdrawals!A73="","",Agent08_Withdrawals!K73)</f>
        <v/>
      </c>
      <c r="L1466" s="40" t="str">
        <f>IF(G1466="","",IF(D1466-G1466&gt;=System_Config!$B$9,"✅ OK","⚠️ BREACH"))</f>
        <v/>
      </c>
      <c r="M1466" s="40" t="str">
        <f>IFERROR(IF(Agent08_Withdrawals!A73="","",YEAR(Agent08_Withdrawals!D73)),"")</f>
        <v/>
      </c>
    </row>
    <row r="1467" spans="1:13" ht="18" customHeight="1" x14ac:dyDescent="0.25">
      <c r="A1467" s="40" t="str">
        <f>IF(Agent08_Withdrawals!A74="","",Agent08_Withdrawals!A74)</f>
        <v/>
      </c>
      <c r="B1467" s="40" t="str">
        <f ca="1">IF(Agent08_Withdrawals!A74="","","WD"&amp;TEXT(1467-3,"0000")&amp;"-"&amp;TEXT(TODAY(),"YYYYMMDD"))</f>
        <v/>
      </c>
      <c r="C1467" s="40" t="str">
        <f>IF(Agent08_Withdrawals!A74="","",Agent08_Withdrawals!B74)</f>
        <v/>
      </c>
      <c r="D1467" s="43" t="str">
        <f>IF(Agent08_Withdrawals!A74="","",Agent08_Withdrawals!C74)</f>
        <v/>
      </c>
      <c r="E1467" s="41" t="str">
        <f>IF(Agent08_Withdrawals!A74="","",Agent08_Withdrawals!D74)</f>
        <v/>
      </c>
      <c r="F1467" s="40" t="str">
        <f>IF(Agent08_Withdrawals!A74="","",Agent08_Withdrawals!F74)</f>
        <v/>
      </c>
      <c r="G1467" s="42" t="str">
        <f>IF(Agent08_Withdrawals!A74="","",Agent08_Withdrawals!E74)</f>
        <v/>
      </c>
      <c r="H1467" s="42" t="str">
        <f>IF(Agent08_Withdrawals!A74="","",Agent08_Withdrawals!G74)</f>
        <v/>
      </c>
      <c r="I1467" s="40" t="str">
        <f>IF(Agent08_Withdrawals!A74="","",Agent08_Withdrawals!H74)</f>
        <v/>
      </c>
      <c r="J1467" s="40" t="str">
        <f>IF(Agent08_Withdrawals!A74="","",Agent08_Withdrawals!J74)</f>
        <v/>
      </c>
      <c r="K1467" s="40" t="str">
        <f>IF(Agent08_Withdrawals!A74="","",Agent08_Withdrawals!K74)</f>
        <v/>
      </c>
      <c r="L1467" s="40" t="str">
        <f>IF(G1467="","",IF(D1467-G1467&gt;=System_Config!$B$9,"✅ OK","⚠️ BREACH"))</f>
        <v/>
      </c>
      <c r="M1467" s="40" t="str">
        <f>IFERROR(IF(Agent08_Withdrawals!A74="","",YEAR(Agent08_Withdrawals!D74)),"")</f>
        <v/>
      </c>
    </row>
    <row r="1468" spans="1:13" ht="18" customHeight="1" x14ac:dyDescent="0.25">
      <c r="A1468" s="40" t="str">
        <f>IF(Agent08_Withdrawals!A75="","",Agent08_Withdrawals!A75)</f>
        <v/>
      </c>
      <c r="B1468" s="40" t="str">
        <f ca="1">IF(Agent08_Withdrawals!A75="","","WD"&amp;TEXT(1468-3,"0000")&amp;"-"&amp;TEXT(TODAY(),"YYYYMMDD"))</f>
        <v/>
      </c>
      <c r="C1468" s="40" t="str">
        <f>IF(Agent08_Withdrawals!A75="","",Agent08_Withdrawals!B75)</f>
        <v/>
      </c>
      <c r="D1468" s="43" t="str">
        <f>IF(Agent08_Withdrawals!A75="","",Agent08_Withdrawals!C75)</f>
        <v/>
      </c>
      <c r="E1468" s="41" t="str">
        <f>IF(Agent08_Withdrawals!A75="","",Agent08_Withdrawals!D75)</f>
        <v/>
      </c>
      <c r="F1468" s="40" t="str">
        <f>IF(Agent08_Withdrawals!A75="","",Agent08_Withdrawals!F75)</f>
        <v/>
      </c>
      <c r="G1468" s="42" t="str">
        <f>IF(Agent08_Withdrawals!A75="","",Agent08_Withdrawals!E75)</f>
        <v/>
      </c>
      <c r="H1468" s="42" t="str">
        <f>IF(Agent08_Withdrawals!A75="","",Agent08_Withdrawals!G75)</f>
        <v/>
      </c>
      <c r="I1468" s="40" t="str">
        <f>IF(Agent08_Withdrawals!A75="","",Agent08_Withdrawals!H75)</f>
        <v/>
      </c>
      <c r="J1468" s="40" t="str">
        <f>IF(Agent08_Withdrawals!A75="","",Agent08_Withdrawals!J75)</f>
        <v/>
      </c>
      <c r="K1468" s="40" t="str">
        <f>IF(Agent08_Withdrawals!A75="","",Agent08_Withdrawals!K75)</f>
        <v/>
      </c>
      <c r="L1468" s="40" t="str">
        <f>IF(G1468="","",IF(D1468-G1468&gt;=System_Config!$B$9,"✅ OK","⚠️ BREACH"))</f>
        <v/>
      </c>
      <c r="M1468" s="40" t="str">
        <f>IFERROR(IF(Agent08_Withdrawals!A75="","",YEAR(Agent08_Withdrawals!D75)),"")</f>
        <v/>
      </c>
    </row>
    <row r="1469" spans="1:13" ht="18" customHeight="1" x14ac:dyDescent="0.25">
      <c r="A1469" s="40" t="str">
        <f>IF(Agent08_Withdrawals!A76="","",Agent08_Withdrawals!A76)</f>
        <v/>
      </c>
      <c r="B1469" s="40" t="str">
        <f ca="1">IF(Agent08_Withdrawals!A76="","","WD"&amp;TEXT(1469-3,"0000")&amp;"-"&amp;TEXT(TODAY(),"YYYYMMDD"))</f>
        <v/>
      </c>
      <c r="C1469" s="40" t="str">
        <f>IF(Agent08_Withdrawals!A76="","",Agent08_Withdrawals!B76)</f>
        <v/>
      </c>
      <c r="D1469" s="43" t="str">
        <f>IF(Agent08_Withdrawals!A76="","",Agent08_Withdrawals!C76)</f>
        <v/>
      </c>
      <c r="E1469" s="41" t="str">
        <f>IF(Agent08_Withdrawals!A76="","",Agent08_Withdrawals!D76)</f>
        <v/>
      </c>
      <c r="F1469" s="40" t="str">
        <f>IF(Agent08_Withdrawals!A76="","",Agent08_Withdrawals!F76)</f>
        <v/>
      </c>
      <c r="G1469" s="42" t="str">
        <f>IF(Agent08_Withdrawals!A76="","",Agent08_Withdrawals!E76)</f>
        <v/>
      </c>
      <c r="H1469" s="42" t="str">
        <f>IF(Agent08_Withdrawals!A76="","",Agent08_Withdrawals!G76)</f>
        <v/>
      </c>
      <c r="I1469" s="40" t="str">
        <f>IF(Agent08_Withdrawals!A76="","",Agent08_Withdrawals!H76)</f>
        <v/>
      </c>
      <c r="J1469" s="40" t="str">
        <f>IF(Agent08_Withdrawals!A76="","",Agent08_Withdrawals!J76)</f>
        <v/>
      </c>
      <c r="K1469" s="40" t="str">
        <f>IF(Agent08_Withdrawals!A76="","",Agent08_Withdrawals!K76)</f>
        <v/>
      </c>
      <c r="L1469" s="40" t="str">
        <f>IF(G1469="","",IF(D1469-G1469&gt;=System_Config!$B$9,"✅ OK","⚠️ BREACH"))</f>
        <v/>
      </c>
      <c r="M1469" s="40" t="str">
        <f>IFERROR(IF(Agent08_Withdrawals!A76="","",YEAR(Agent08_Withdrawals!D76)),"")</f>
        <v/>
      </c>
    </row>
    <row r="1470" spans="1:13" ht="18" customHeight="1" x14ac:dyDescent="0.25">
      <c r="A1470" s="40" t="str">
        <f>IF(Agent08_Withdrawals!A77="","",Agent08_Withdrawals!A77)</f>
        <v/>
      </c>
      <c r="B1470" s="40" t="str">
        <f ca="1">IF(Agent08_Withdrawals!A77="","","WD"&amp;TEXT(1470-3,"0000")&amp;"-"&amp;TEXT(TODAY(),"YYYYMMDD"))</f>
        <v/>
      </c>
      <c r="C1470" s="40" t="str">
        <f>IF(Agent08_Withdrawals!A77="","",Agent08_Withdrawals!B77)</f>
        <v/>
      </c>
      <c r="D1470" s="43" t="str">
        <f>IF(Agent08_Withdrawals!A77="","",Agent08_Withdrawals!C77)</f>
        <v/>
      </c>
      <c r="E1470" s="41" t="str">
        <f>IF(Agent08_Withdrawals!A77="","",Agent08_Withdrawals!D77)</f>
        <v/>
      </c>
      <c r="F1470" s="40" t="str">
        <f>IF(Agent08_Withdrawals!A77="","",Agent08_Withdrawals!F77)</f>
        <v/>
      </c>
      <c r="G1470" s="42" t="str">
        <f>IF(Agent08_Withdrawals!A77="","",Agent08_Withdrawals!E77)</f>
        <v/>
      </c>
      <c r="H1470" s="42" t="str">
        <f>IF(Agent08_Withdrawals!A77="","",Agent08_Withdrawals!G77)</f>
        <v/>
      </c>
      <c r="I1470" s="40" t="str">
        <f>IF(Agent08_Withdrawals!A77="","",Agent08_Withdrawals!H77)</f>
        <v/>
      </c>
      <c r="J1470" s="40" t="str">
        <f>IF(Agent08_Withdrawals!A77="","",Agent08_Withdrawals!J77)</f>
        <v/>
      </c>
      <c r="K1470" s="40" t="str">
        <f>IF(Agent08_Withdrawals!A77="","",Agent08_Withdrawals!K77)</f>
        <v/>
      </c>
      <c r="L1470" s="40" t="str">
        <f>IF(G1470="","",IF(D1470-G1470&gt;=System_Config!$B$9,"✅ OK","⚠️ BREACH"))</f>
        <v/>
      </c>
      <c r="M1470" s="40" t="str">
        <f>IFERROR(IF(Agent08_Withdrawals!A77="","",YEAR(Agent08_Withdrawals!D77)),"")</f>
        <v/>
      </c>
    </row>
    <row r="1471" spans="1:13" ht="18" customHeight="1" x14ac:dyDescent="0.25">
      <c r="A1471" s="40" t="str">
        <f>IF(Agent08_Withdrawals!A78="","",Agent08_Withdrawals!A78)</f>
        <v/>
      </c>
      <c r="B1471" s="40" t="str">
        <f ca="1">IF(Agent08_Withdrawals!A78="","","WD"&amp;TEXT(1471-3,"0000")&amp;"-"&amp;TEXT(TODAY(),"YYYYMMDD"))</f>
        <v/>
      </c>
      <c r="C1471" s="40" t="str">
        <f>IF(Agent08_Withdrawals!A78="","",Agent08_Withdrawals!B78)</f>
        <v/>
      </c>
      <c r="D1471" s="43" t="str">
        <f>IF(Agent08_Withdrawals!A78="","",Agent08_Withdrawals!C78)</f>
        <v/>
      </c>
      <c r="E1471" s="41" t="str">
        <f>IF(Agent08_Withdrawals!A78="","",Agent08_Withdrawals!D78)</f>
        <v/>
      </c>
      <c r="F1471" s="40" t="str">
        <f>IF(Agent08_Withdrawals!A78="","",Agent08_Withdrawals!F78)</f>
        <v/>
      </c>
      <c r="G1471" s="42" t="str">
        <f>IF(Agent08_Withdrawals!A78="","",Agent08_Withdrawals!E78)</f>
        <v/>
      </c>
      <c r="H1471" s="42" t="str">
        <f>IF(Agent08_Withdrawals!A78="","",Agent08_Withdrawals!G78)</f>
        <v/>
      </c>
      <c r="I1471" s="40" t="str">
        <f>IF(Agent08_Withdrawals!A78="","",Agent08_Withdrawals!H78)</f>
        <v/>
      </c>
      <c r="J1471" s="40" t="str">
        <f>IF(Agent08_Withdrawals!A78="","",Agent08_Withdrawals!J78)</f>
        <v/>
      </c>
      <c r="K1471" s="40" t="str">
        <f>IF(Agent08_Withdrawals!A78="","",Agent08_Withdrawals!K78)</f>
        <v/>
      </c>
      <c r="L1471" s="40" t="str">
        <f>IF(G1471="","",IF(D1471-G1471&gt;=System_Config!$B$9,"✅ OK","⚠️ BREACH"))</f>
        <v/>
      </c>
      <c r="M1471" s="40" t="str">
        <f>IFERROR(IF(Agent08_Withdrawals!A78="","",YEAR(Agent08_Withdrawals!D78)),"")</f>
        <v/>
      </c>
    </row>
    <row r="1472" spans="1:13" ht="18" customHeight="1" x14ac:dyDescent="0.25">
      <c r="A1472" s="40" t="str">
        <f>IF(Agent08_Withdrawals!A79="","",Agent08_Withdrawals!A79)</f>
        <v/>
      </c>
      <c r="B1472" s="40" t="str">
        <f ca="1">IF(Agent08_Withdrawals!A79="","","WD"&amp;TEXT(1472-3,"0000")&amp;"-"&amp;TEXT(TODAY(),"YYYYMMDD"))</f>
        <v/>
      </c>
      <c r="C1472" s="40" t="str">
        <f>IF(Agent08_Withdrawals!A79="","",Agent08_Withdrawals!B79)</f>
        <v/>
      </c>
      <c r="D1472" s="43" t="str">
        <f>IF(Agent08_Withdrawals!A79="","",Agent08_Withdrawals!C79)</f>
        <v/>
      </c>
      <c r="E1472" s="41" t="str">
        <f>IF(Agent08_Withdrawals!A79="","",Agent08_Withdrawals!D79)</f>
        <v/>
      </c>
      <c r="F1472" s="40" t="str">
        <f>IF(Agent08_Withdrawals!A79="","",Agent08_Withdrawals!F79)</f>
        <v/>
      </c>
      <c r="G1472" s="42" t="str">
        <f>IF(Agent08_Withdrawals!A79="","",Agent08_Withdrawals!E79)</f>
        <v/>
      </c>
      <c r="H1472" s="42" t="str">
        <f>IF(Agent08_Withdrawals!A79="","",Agent08_Withdrawals!G79)</f>
        <v/>
      </c>
      <c r="I1472" s="40" t="str">
        <f>IF(Agent08_Withdrawals!A79="","",Agent08_Withdrawals!H79)</f>
        <v/>
      </c>
      <c r="J1472" s="40" t="str">
        <f>IF(Agent08_Withdrawals!A79="","",Agent08_Withdrawals!J79)</f>
        <v/>
      </c>
      <c r="K1472" s="40" t="str">
        <f>IF(Agent08_Withdrawals!A79="","",Agent08_Withdrawals!K79)</f>
        <v/>
      </c>
      <c r="L1472" s="40" t="str">
        <f>IF(G1472="","",IF(D1472-G1472&gt;=System_Config!$B$9,"✅ OK","⚠️ BREACH"))</f>
        <v/>
      </c>
      <c r="M1472" s="40" t="str">
        <f>IFERROR(IF(Agent08_Withdrawals!A79="","",YEAR(Agent08_Withdrawals!D79)),"")</f>
        <v/>
      </c>
    </row>
    <row r="1473" spans="1:13" ht="18" customHeight="1" x14ac:dyDescent="0.25">
      <c r="A1473" s="40" t="str">
        <f>IF(Agent08_Withdrawals!A80="","",Agent08_Withdrawals!A80)</f>
        <v/>
      </c>
      <c r="B1473" s="40" t="str">
        <f ca="1">IF(Agent08_Withdrawals!A80="","","WD"&amp;TEXT(1473-3,"0000")&amp;"-"&amp;TEXT(TODAY(),"YYYYMMDD"))</f>
        <v/>
      </c>
      <c r="C1473" s="40" t="str">
        <f>IF(Agent08_Withdrawals!A80="","",Agent08_Withdrawals!B80)</f>
        <v/>
      </c>
      <c r="D1473" s="43" t="str">
        <f>IF(Agent08_Withdrawals!A80="","",Agent08_Withdrawals!C80)</f>
        <v/>
      </c>
      <c r="E1473" s="41" t="str">
        <f>IF(Agent08_Withdrawals!A80="","",Agent08_Withdrawals!D80)</f>
        <v/>
      </c>
      <c r="F1473" s="40" t="str">
        <f>IF(Agent08_Withdrawals!A80="","",Agent08_Withdrawals!F80)</f>
        <v/>
      </c>
      <c r="G1473" s="42" t="str">
        <f>IF(Agent08_Withdrawals!A80="","",Agent08_Withdrawals!E80)</f>
        <v/>
      </c>
      <c r="H1473" s="42" t="str">
        <f>IF(Agent08_Withdrawals!A80="","",Agent08_Withdrawals!G80)</f>
        <v/>
      </c>
      <c r="I1473" s="40" t="str">
        <f>IF(Agent08_Withdrawals!A80="","",Agent08_Withdrawals!H80)</f>
        <v/>
      </c>
      <c r="J1473" s="40" t="str">
        <f>IF(Agent08_Withdrawals!A80="","",Agent08_Withdrawals!J80)</f>
        <v/>
      </c>
      <c r="K1473" s="40" t="str">
        <f>IF(Agent08_Withdrawals!A80="","",Agent08_Withdrawals!K80)</f>
        <v/>
      </c>
      <c r="L1473" s="40" t="str">
        <f>IF(G1473="","",IF(D1473-G1473&gt;=System_Config!$B$9,"✅ OK","⚠️ BREACH"))</f>
        <v/>
      </c>
      <c r="M1473" s="40" t="str">
        <f>IFERROR(IF(Agent08_Withdrawals!A80="","",YEAR(Agent08_Withdrawals!D80)),"")</f>
        <v/>
      </c>
    </row>
    <row r="1474" spans="1:13" ht="18" customHeight="1" x14ac:dyDescent="0.25">
      <c r="A1474" s="40" t="str">
        <f>IF(Agent08_Withdrawals!A81="","",Agent08_Withdrawals!A81)</f>
        <v/>
      </c>
      <c r="B1474" s="40" t="str">
        <f ca="1">IF(Agent08_Withdrawals!A81="","","WD"&amp;TEXT(1474-3,"0000")&amp;"-"&amp;TEXT(TODAY(),"YYYYMMDD"))</f>
        <v/>
      </c>
      <c r="C1474" s="40" t="str">
        <f>IF(Agent08_Withdrawals!A81="","",Agent08_Withdrawals!B81)</f>
        <v/>
      </c>
      <c r="D1474" s="43" t="str">
        <f>IF(Agent08_Withdrawals!A81="","",Agent08_Withdrawals!C81)</f>
        <v/>
      </c>
      <c r="E1474" s="41" t="str">
        <f>IF(Agent08_Withdrawals!A81="","",Agent08_Withdrawals!D81)</f>
        <v/>
      </c>
      <c r="F1474" s="40" t="str">
        <f>IF(Agent08_Withdrawals!A81="","",Agent08_Withdrawals!F81)</f>
        <v/>
      </c>
      <c r="G1474" s="42" t="str">
        <f>IF(Agent08_Withdrawals!A81="","",Agent08_Withdrawals!E81)</f>
        <v/>
      </c>
      <c r="H1474" s="42" t="str">
        <f>IF(Agent08_Withdrawals!A81="","",Agent08_Withdrawals!G81)</f>
        <v/>
      </c>
      <c r="I1474" s="40" t="str">
        <f>IF(Agent08_Withdrawals!A81="","",Agent08_Withdrawals!H81)</f>
        <v/>
      </c>
      <c r="J1474" s="40" t="str">
        <f>IF(Agent08_Withdrawals!A81="","",Agent08_Withdrawals!J81)</f>
        <v/>
      </c>
      <c r="K1474" s="40" t="str">
        <f>IF(Agent08_Withdrawals!A81="","",Agent08_Withdrawals!K81)</f>
        <v/>
      </c>
      <c r="L1474" s="40" t="str">
        <f>IF(G1474="","",IF(D1474-G1474&gt;=System_Config!$B$9,"✅ OK","⚠️ BREACH"))</f>
        <v/>
      </c>
      <c r="M1474" s="40" t="str">
        <f>IFERROR(IF(Agent08_Withdrawals!A81="","",YEAR(Agent08_Withdrawals!D81)),"")</f>
        <v/>
      </c>
    </row>
    <row r="1475" spans="1:13" ht="18" customHeight="1" x14ac:dyDescent="0.25">
      <c r="A1475" s="40" t="str">
        <f>IF(Agent08_Withdrawals!A82="","",Agent08_Withdrawals!A82)</f>
        <v/>
      </c>
      <c r="B1475" s="40" t="str">
        <f ca="1">IF(Agent08_Withdrawals!A82="","","WD"&amp;TEXT(1475-3,"0000")&amp;"-"&amp;TEXT(TODAY(),"YYYYMMDD"))</f>
        <v/>
      </c>
      <c r="C1475" s="40" t="str">
        <f>IF(Agent08_Withdrawals!A82="","",Agent08_Withdrawals!B82)</f>
        <v/>
      </c>
      <c r="D1475" s="43" t="str">
        <f>IF(Agent08_Withdrawals!A82="","",Agent08_Withdrawals!C82)</f>
        <v/>
      </c>
      <c r="E1475" s="41" t="str">
        <f>IF(Agent08_Withdrawals!A82="","",Agent08_Withdrawals!D82)</f>
        <v/>
      </c>
      <c r="F1475" s="40" t="str">
        <f>IF(Agent08_Withdrawals!A82="","",Agent08_Withdrawals!F82)</f>
        <v/>
      </c>
      <c r="G1475" s="42" t="str">
        <f>IF(Agent08_Withdrawals!A82="","",Agent08_Withdrawals!E82)</f>
        <v/>
      </c>
      <c r="H1475" s="42" t="str">
        <f>IF(Agent08_Withdrawals!A82="","",Agent08_Withdrawals!G82)</f>
        <v/>
      </c>
      <c r="I1475" s="40" t="str">
        <f>IF(Agent08_Withdrawals!A82="","",Agent08_Withdrawals!H82)</f>
        <v/>
      </c>
      <c r="J1475" s="40" t="str">
        <f>IF(Agent08_Withdrawals!A82="","",Agent08_Withdrawals!J82)</f>
        <v/>
      </c>
      <c r="K1475" s="40" t="str">
        <f>IF(Agent08_Withdrawals!A82="","",Agent08_Withdrawals!K82)</f>
        <v/>
      </c>
      <c r="L1475" s="40" t="str">
        <f>IF(G1475="","",IF(D1475-G1475&gt;=System_Config!$B$9,"✅ OK","⚠️ BREACH"))</f>
        <v/>
      </c>
      <c r="M1475" s="40" t="str">
        <f>IFERROR(IF(Agent08_Withdrawals!A82="","",YEAR(Agent08_Withdrawals!D82)),"")</f>
        <v/>
      </c>
    </row>
    <row r="1476" spans="1:13" ht="18" customHeight="1" x14ac:dyDescent="0.25">
      <c r="A1476" s="40" t="str">
        <f>IF(Agent08_Withdrawals!A83="","",Agent08_Withdrawals!A83)</f>
        <v/>
      </c>
      <c r="B1476" s="40" t="str">
        <f ca="1">IF(Agent08_Withdrawals!A83="","","WD"&amp;TEXT(1476-3,"0000")&amp;"-"&amp;TEXT(TODAY(),"YYYYMMDD"))</f>
        <v/>
      </c>
      <c r="C1476" s="40" t="str">
        <f>IF(Agent08_Withdrawals!A83="","",Agent08_Withdrawals!B83)</f>
        <v/>
      </c>
      <c r="D1476" s="43" t="str">
        <f>IF(Agent08_Withdrawals!A83="","",Agent08_Withdrawals!C83)</f>
        <v/>
      </c>
      <c r="E1476" s="41" t="str">
        <f>IF(Agent08_Withdrawals!A83="","",Agent08_Withdrawals!D83)</f>
        <v/>
      </c>
      <c r="F1476" s="40" t="str">
        <f>IF(Agent08_Withdrawals!A83="","",Agent08_Withdrawals!F83)</f>
        <v/>
      </c>
      <c r="G1476" s="42" t="str">
        <f>IF(Agent08_Withdrawals!A83="","",Agent08_Withdrawals!E83)</f>
        <v/>
      </c>
      <c r="H1476" s="42" t="str">
        <f>IF(Agent08_Withdrawals!A83="","",Agent08_Withdrawals!G83)</f>
        <v/>
      </c>
      <c r="I1476" s="40" t="str">
        <f>IF(Agent08_Withdrawals!A83="","",Agent08_Withdrawals!H83)</f>
        <v/>
      </c>
      <c r="J1476" s="40" t="str">
        <f>IF(Agent08_Withdrawals!A83="","",Agent08_Withdrawals!J83)</f>
        <v/>
      </c>
      <c r="K1476" s="40" t="str">
        <f>IF(Agent08_Withdrawals!A83="","",Agent08_Withdrawals!K83)</f>
        <v/>
      </c>
      <c r="L1476" s="40" t="str">
        <f>IF(G1476="","",IF(D1476-G1476&gt;=System_Config!$B$9,"✅ OK","⚠️ BREACH"))</f>
        <v/>
      </c>
      <c r="M1476" s="40" t="str">
        <f>IFERROR(IF(Agent08_Withdrawals!A83="","",YEAR(Agent08_Withdrawals!D83)),"")</f>
        <v/>
      </c>
    </row>
    <row r="1477" spans="1:13" ht="18" customHeight="1" x14ac:dyDescent="0.25">
      <c r="A1477" s="40" t="str">
        <f>IF(Agent08_Withdrawals!A84="","",Agent08_Withdrawals!A84)</f>
        <v/>
      </c>
      <c r="B1477" s="40" t="str">
        <f ca="1">IF(Agent08_Withdrawals!A84="","","WD"&amp;TEXT(1477-3,"0000")&amp;"-"&amp;TEXT(TODAY(),"YYYYMMDD"))</f>
        <v/>
      </c>
      <c r="C1477" s="40" t="str">
        <f>IF(Agent08_Withdrawals!A84="","",Agent08_Withdrawals!B84)</f>
        <v/>
      </c>
      <c r="D1477" s="43" t="str">
        <f>IF(Agent08_Withdrawals!A84="","",Agent08_Withdrawals!C84)</f>
        <v/>
      </c>
      <c r="E1477" s="41" t="str">
        <f>IF(Agent08_Withdrawals!A84="","",Agent08_Withdrawals!D84)</f>
        <v/>
      </c>
      <c r="F1477" s="40" t="str">
        <f>IF(Agent08_Withdrawals!A84="","",Agent08_Withdrawals!F84)</f>
        <v/>
      </c>
      <c r="G1477" s="42" t="str">
        <f>IF(Agent08_Withdrawals!A84="","",Agent08_Withdrawals!E84)</f>
        <v/>
      </c>
      <c r="H1477" s="42" t="str">
        <f>IF(Agent08_Withdrawals!A84="","",Agent08_Withdrawals!G84)</f>
        <v/>
      </c>
      <c r="I1477" s="40" t="str">
        <f>IF(Agent08_Withdrawals!A84="","",Agent08_Withdrawals!H84)</f>
        <v/>
      </c>
      <c r="J1477" s="40" t="str">
        <f>IF(Agent08_Withdrawals!A84="","",Agent08_Withdrawals!J84)</f>
        <v/>
      </c>
      <c r="K1477" s="40" t="str">
        <f>IF(Agent08_Withdrawals!A84="","",Agent08_Withdrawals!K84)</f>
        <v/>
      </c>
      <c r="L1477" s="40" t="str">
        <f>IF(G1477="","",IF(D1477-G1477&gt;=System_Config!$B$9,"✅ OK","⚠️ BREACH"))</f>
        <v/>
      </c>
      <c r="M1477" s="40" t="str">
        <f>IFERROR(IF(Agent08_Withdrawals!A84="","",YEAR(Agent08_Withdrawals!D84)),"")</f>
        <v/>
      </c>
    </row>
    <row r="1478" spans="1:13" ht="18" customHeight="1" x14ac:dyDescent="0.25">
      <c r="A1478" s="40" t="str">
        <f>IF(Agent08_Withdrawals!A85="","",Agent08_Withdrawals!A85)</f>
        <v/>
      </c>
      <c r="B1478" s="40" t="str">
        <f ca="1">IF(Agent08_Withdrawals!A85="","","WD"&amp;TEXT(1478-3,"0000")&amp;"-"&amp;TEXT(TODAY(),"YYYYMMDD"))</f>
        <v/>
      </c>
      <c r="C1478" s="40" t="str">
        <f>IF(Agent08_Withdrawals!A85="","",Agent08_Withdrawals!B85)</f>
        <v/>
      </c>
      <c r="D1478" s="43" t="str">
        <f>IF(Agent08_Withdrawals!A85="","",Agent08_Withdrawals!C85)</f>
        <v/>
      </c>
      <c r="E1478" s="41" t="str">
        <f>IF(Agent08_Withdrawals!A85="","",Agent08_Withdrawals!D85)</f>
        <v/>
      </c>
      <c r="F1478" s="40" t="str">
        <f>IF(Agent08_Withdrawals!A85="","",Agent08_Withdrawals!F85)</f>
        <v/>
      </c>
      <c r="G1478" s="42" t="str">
        <f>IF(Agent08_Withdrawals!A85="","",Agent08_Withdrawals!E85)</f>
        <v/>
      </c>
      <c r="H1478" s="42" t="str">
        <f>IF(Agent08_Withdrawals!A85="","",Agent08_Withdrawals!G85)</f>
        <v/>
      </c>
      <c r="I1478" s="40" t="str">
        <f>IF(Agent08_Withdrawals!A85="","",Agent08_Withdrawals!H85)</f>
        <v/>
      </c>
      <c r="J1478" s="40" t="str">
        <f>IF(Agent08_Withdrawals!A85="","",Agent08_Withdrawals!J85)</f>
        <v/>
      </c>
      <c r="K1478" s="40" t="str">
        <f>IF(Agent08_Withdrawals!A85="","",Agent08_Withdrawals!K85)</f>
        <v/>
      </c>
      <c r="L1478" s="40" t="str">
        <f>IF(G1478="","",IF(D1478-G1478&gt;=System_Config!$B$9,"✅ OK","⚠️ BREACH"))</f>
        <v/>
      </c>
      <c r="M1478" s="40" t="str">
        <f>IFERROR(IF(Agent08_Withdrawals!A85="","",YEAR(Agent08_Withdrawals!D85)),"")</f>
        <v/>
      </c>
    </row>
    <row r="1479" spans="1:13" ht="18" customHeight="1" x14ac:dyDescent="0.25">
      <c r="A1479" s="40" t="str">
        <f>IF(Agent08_Withdrawals!A86="","",Agent08_Withdrawals!A86)</f>
        <v/>
      </c>
      <c r="B1479" s="40" t="str">
        <f ca="1">IF(Agent08_Withdrawals!A86="","","WD"&amp;TEXT(1479-3,"0000")&amp;"-"&amp;TEXT(TODAY(),"YYYYMMDD"))</f>
        <v/>
      </c>
      <c r="C1479" s="40" t="str">
        <f>IF(Agent08_Withdrawals!A86="","",Agent08_Withdrawals!B86)</f>
        <v/>
      </c>
      <c r="D1479" s="43" t="str">
        <f>IF(Agent08_Withdrawals!A86="","",Agent08_Withdrawals!C86)</f>
        <v/>
      </c>
      <c r="E1479" s="41" t="str">
        <f>IF(Agent08_Withdrawals!A86="","",Agent08_Withdrawals!D86)</f>
        <v/>
      </c>
      <c r="F1479" s="40" t="str">
        <f>IF(Agent08_Withdrawals!A86="","",Agent08_Withdrawals!F86)</f>
        <v/>
      </c>
      <c r="G1479" s="42" t="str">
        <f>IF(Agent08_Withdrawals!A86="","",Agent08_Withdrawals!E86)</f>
        <v/>
      </c>
      <c r="H1479" s="42" t="str">
        <f>IF(Agent08_Withdrawals!A86="","",Agent08_Withdrawals!G86)</f>
        <v/>
      </c>
      <c r="I1479" s="40" t="str">
        <f>IF(Agent08_Withdrawals!A86="","",Agent08_Withdrawals!H86)</f>
        <v/>
      </c>
      <c r="J1479" s="40" t="str">
        <f>IF(Agent08_Withdrawals!A86="","",Agent08_Withdrawals!J86)</f>
        <v/>
      </c>
      <c r="K1479" s="40" t="str">
        <f>IF(Agent08_Withdrawals!A86="","",Agent08_Withdrawals!K86)</f>
        <v/>
      </c>
      <c r="L1479" s="40" t="str">
        <f>IF(G1479="","",IF(D1479-G1479&gt;=System_Config!$B$9,"✅ OK","⚠️ BREACH"))</f>
        <v/>
      </c>
      <c r="M1479" s="40" t="str">
        <f>IFERROR(IF(Agent08_Withdrawals!A86="","",YEAR(Agent08_Withdrawals!D86)),"")</f>
        <v/>
      </c>
    </row>
    <row r="1480" spans="1:13" ht="18" customHeight="1" x14ac:dyDescent="0.25">
      <c r="A1480" s="40" t="str">
        <f>IF(Agent08_Withdrawals!A87="","",Agent08_Withdrawals!A87)</f>
        <v/>
      </c>
      <c r="B1480" s="40" t="str">
        <f ca="1">IF(Agent08_Withdrawals!A87="","","WD"&amp;TEXT(1480-3,"0000")&amp;"-"&amp;TEXT(TODAY(),"YYYYMMDD"))</f>
        <v/>
      </c>
      <c r="C1480" s="40" t="str">
        <f>IF(Agent08_Withdrawals!A87="","",Agent08_Withdrawals!B87)</f>
        <v/>
      </c>
      <c r="D1480" s="43" t="str">
        <f>IF(Agent08_Withdrawals!A87="","",Agent08_Withdrawals!C87)</f>
        <v/>
      </c>
      <c r="E1480" s="41" t="str">
        <f>IF(Agent08_Withdrawals!A87="","",Agent08_Withdrawals!D87)</f>
        <v/>
      </c>
      <c r="F1480" s="40" t="str">
        <f>IF(Agent08_Withdrawals!A87="","",Agent08_Withdrawals!F87)</f>
        <v/>
      </c>
      <c r="G1480" s="42" t="str">
        <f>IF(Agent08_Withdrawals!A87="","",Agent08_Withdrawals!E87)</f>
        <v/>
      </c>
      <c r="H1480" s="42" t="str">
        <f>IF(Agent08_Withdrawals!A87="","",Agent08_Withdrawals!G87)</f>
        <v/>
      </c>
      <c r="I1480" s="40" t="str">
        <f>IF(Agent08_Withdrawals!A87="","",Agent08_Withdrawals!H87)</f>
        <v/>
      </c>
      <c r="J1480" s="40" t="str">
        <f>IF(Agent08_Withdrawals!A87="","",Agent08_Withdrawals!J87)</f>
        <v/>
      </c>
      <c r="K1480" s="40" t="str">
        <f>IF(Agent08_Withdrawals!A87="","",Agent08_Withdrawals!K87)</f>
        <v/>
      </c>
      <c r="L1480" s="40" t="str">
        <f>IF(G1480="","",IF(D1480-G1480&gt;=System_Config!$B$9,"✅ OK","⚠️ BREACH"))</f>
        <v/>
      </c>
      <c r="M1480" s="40" t="str">
        <f>IFERROR(IF(Agent08_Withdrawals!A87="","",YEAR(Agent08_Withdrawals!D87)),"")</f>
        <v/>
      </c>
    </row>
    <row r="1481" spans="1:13" ht="18" customHeight="1" x14ac:dyDescent="0.25">
      <c r="A1481" s="40" t="str">
        <f>IF(Agent08_Withdrawals!A88="","",Agent08_Withdrawals!A88)</f>
        <v/>
      </c>
      <c r="B1481" s="40" t="str">
        <f ca="1">IF(Agent08_Withdrawals!A88="","","WD"&amp;TEXT(1481-3,"0000")&amp;"-"&amp;TEXT(TODAY(),"YYYYMMDD"))</f>
        <v/>
      </c>
      <c r="C1481" s="40" t="str">
        <f>IF(Agent08_Withdrawals!A88="","",Agent08_Withdrawals!B88)</f>
        <v/>
      </c>
      <c r="D1481" s="43" t="str">
        <f>IF(Agent08_Withdrawals!A88="","",Agent08_Withdrawals!C88)</f>
        <v/>
      </c>
      <c r="E1481" s="41" t="str">
        <f>IF(Agent08_Withdrawals!A88="","",Agent08_Withdrawals!D88)</f>
        <v/>
      </c>
      <c r="F1481" s="40" t="str">
        <f>IF(Agent08_Withdrawals!A88="","",Agent08_Withdrawals!F88)</f>
        <v/>
      </c>
      <c r="G1481" s="42" t="str">
        <f>IF(Agent08_Withdrawals!A88="","",Agent08_Withdrawals!E88)</f>
        <v/>
      </c>
      <c r="H1481" s="42" t="str">
        <f>IF(Agent08_Withdrawals!A88="","",Agent08_Withdrawals!G88)</f>
        <v/>
      </c>
      <c r="I1481" s="40" t="str">
        <f>IF(Agent08_Withdrawals!A88="","",Agent08_Withdrawals!H88)</f>
        <v/>
      </c>
      <c r="J1481" s="40" t="str">
        <f>IF(Agent08_Withdrawals!A88="","",Agent08_Withdrawals!J88)</f>
        <v/>
      </c>
      <c r="K1481" s="40" t="str">
        <f>IF(Agent08_Withdrawals!A88="","",Agent08_Withdrawals!K88)</f>
        <v/>
      </c>
      <c r="L1481" s="40" t="str">
        <f>IF(G1481="","",IF(D1481-G1481&gt;=System_Config!$B$9,"✅ OK","⚠️ BREACH"))</f>
        <v/>
      </c>
      <c r="M1481" s="40" t="str">
        <f>IFERROR(IF(Agent08_Withdrawals!A88="","",YEAR(Agent08_Withdrawals!D88)),"")</f>
        <v/>
      </c>
    </row>
    <row r="1482" spans="1:13" ht="18" customHeight="1" x14ac:dyDescent="0.25">
      <c r="A1482" s="40" t="str">
        <f>IF(Agent08_Withdrawals!A89="","",Agent08_Withdrawals!A89)</f>
        <v/>
      </c>
      <c r="B1482" s="40" t="str">
        <f ca="1">IF(Agent08_Withdrawals!A89="","","WD"&amp;TEXT(1482-3,"0000")&amp;"-"&amp;TEXT(TODAY(),"YYYYMMDD"))</f>
        <v/>
      </c>
      <c r="C1482" s="40" t="str">
        <f>IF(Agent08_Withdrawals!A89="","",Agent08_Withdrawals!B89)</f>
        <v/>
      </c>
      <c r="D1482" s="43" t="str">
        <f>IF(Agent08_Withdrawals!A89="","",Agent08_Withdrawals!C89)</f>
        <v/>
      </c>
      <c r="E1482" s="41" t="str">
        <f>IF(Agent08_Withdrawals!A89="","",Agent08_Withdrawals!D89)</f>
        <v/>
      </c>
      <c r="F1482" s="40" t="str">
        <f>IF(Agent08_Withdrawals!A89="","",Agent08_Withdrawals!F89)</f>
        <v/>
      </c>
      <c r="G1482" s="42" t="str">
        <f>IF(Agent08_Withdrawals!A89="","",Agent08_Withdrawals!E89)</f>
        <v/>
      </c>
      <c r="H1482" s="42" t="str">
        <f>IF(Agent08_Withdrawals!A89="","",Agent08_Withdrawals!G89)</f>
        <v/>
      </c>
      <c r="I1482" s="40" t="str">
        <f>IF(Agent08_Withdrawals!A89="","",Agent08_Withdrawals!H89)</f>
        <v/>
      </c>
      <c r="J1482" s="40" t="str">
        <f>IF(Agent08_Withdrawals!A89="","",Agent08_Withdrawals!J89)</f>
        <v/>
      </c>
      <c r="K1482" s="40" t="str">
        <f>IF(Agent08_Withdrawals!A89="","",Agent08_Withdrawals!K89)</f>
        <v/>
      </c>
      <c r="L1482" s="40" t="str">
        <f>IF(G1482="","",IF(D1482-G1482&gt;=System_Config!$B$9,"✅ OK","⚠️ BREACH"))</f>
        <v/>
      </c>
      <c r="M1482" s="40" t="str">
        <f>IFERROR(IF(Agent08_Withdrawals!A89="","",YEAR(Agent08_Withdrawals!D89)),"")</f>
        <v/>
      </c>
    </row>
    <row r="1483" spans="1:13" ht="18" customHeight="1" x14ac:dyDescent="0.25">
      <c r="A1483" s="40" t="str">
        <f>IF(Agent08_Withdrawals!A90="","",Agent08_Withdrawals!A90)</f>
        <v/>
      </c>
      <c r="B1483" s="40" t="str">
        <f ca="1">IF(Agent08_Withdrawals!A90="","","WD"&amp;TEXT(1483-3,"0000")&amp;"-"&amp;TEXT(TODAY(),"YYYYMMDD"))</f>
        <v/>
      </c>
      <c r="C1483" s="40" t="str">
        <f>IF(Agent08_Withdrawals!A90="","",Agent08_Withdrawals!B90)</f>
        <v/>
      </c>
      <c r="D1483" s="43" t="str">
        <f>IF(Agent08_Withdrawals!A90="","",Agent08_Withdrawals!C90)</f>
        <v/>
      </c>
      <c r="E1483" s="41" t="str">
        <f>IF(Agent08_Withdrawals!A90="","",Agent08_Withdrawals!D90)</f>
        <v/>
      </c>
      <c r="F1483" s="40" t="str">
        <f>IF(Agent08_Withdrawals!A90="","",Agent08_Withdrawals!F90)</f>
        <v/>
      </c>
      <c r="G1483" s="42" t="str">
        <f>IF(Agent08_Withdrawals!A90="","",Agent08_Withdrawals!E90)</f>
        <v/>
      </c>
      <c r="H1483" s="42" t="str">
        <f>IF(Agent08_Withdrawals!A90="","",Agent08_Withdrawals!G90)</f>
        <v/>
      </c>
      <c r="I1483" s="40" t="str">
        <f>IF(Agent08_Withdrawals!A90="","",Agent08_Withdrawals!H90)</f>
        <v/>
      </c>
      <c r="J1483" s="40" t="str">
        <f>IF(Agent08_Withdrawals!A90="","",Agent08_Withdrawals!J90)</f>
        <v/>
      </c>
      <c r="K1483" s="40" t="str">
        <f>IF(Agent08_Withdrawals!A90="","",Agent08_Withdrawals!K90)</f>
        <v/>
      </c>
      <c r="L1483" s="40" t="str">
        <f>IF(G1483="","",IF(D1483-G1483&gt;=System_Config!$B$9,"✅ OK","⚠️ BREACH"))</f>
        <v/>
      </c>
      <c r="M1483" s="40" t="str">
        <f>IFERROR(IF(Agent08_Withdrawals!A90="","",YEAR(Agent08_Withdrawals!D90)),"")</f>
        <v/>
      </c>
    </row>
    <row r="1484" spans="1:13" ht="18" customHeight="1" x14ac:dyDescent="0.25">
      <c r="A1484" s="40" t="str">
        <f>IF(Agent08_Withdrawals!A91="","",Agent08_Withdrawals!A91)</f>
        <v/>
      </c>
      <c r="B1484" s="40" t="str">
        <f ca="1">IF(Agent08_Withdrawals!A91="","","WD"&amp;TEXT(1484-3,"0000")&amp;"-"&amp;TEXT(TODAY(),"YYYYMMDD"))</f>
        <v/>
      </c>
      <c r="C1484" s="40" t="str">
        <f>IF(Agent08_Withdrawals!A91="","",Agent08_Withdrawals!B91)</f>
        <v/>
      </c>
      <c r="D1484" s="43" t="str">
        <f>IF(Agent08_Withdrawals!A91="","",Agent08_Withdrawals!C91)</f>
        <v/>
      </c>
      <c r="E1484" s="41" t="str">
        <f>IF(Agent08_Withdrawals!A91="","",Agent08_Withdrawals!D91)</f>
        <v/>
      </c>
      <c r="F1484" s="40" t="str">
        <f>IF(Agent08_Withdrawals!A91="","",Agent08_Withdrawals!F91)</f>
        <v/>
      </c>
      <c r="G1484" s="42" t="str">
        <f>IF(Agent08_Withdrawals!A91="","",Agent08_Withdrawals!E91)</f>
        <v/>
      </c>
      <c r="H1484" s="42" t="str">
        <f>IF(Agent08_Withdrawals!A91="","",Agent08_Withdrawals!G91)</f>
        <v/>
      </c>
      <c r="I1484" s="40" t="str">
        <f>IF(Agent08_Withdrawals!A91="","",Agent08_Withdrawals!H91)</f>
        <v/>
      </c>
      <c r="J1484" s="40" t="str">
        <f>IF(Agent08_Withdrawals!A91="","",Agent08_Withdrawals!J91)</f>
        <v/>
      </c>
      <c r="K1484" s="40" t="str">
        <f>IF(Agent08_Withdrawals!A91="","",Agent08_Withdrawals!K91)</f>
        <v/>
      </c>
      <c r="L1484" s="40" t="str">
        <f>IF(G1484="","",IF(D1484-G1484&gt;=System_Config!$B$9,"✅ OK","⚠️ BREACH"))</f>
        <v/>
      </c>
      <c r="M1484" s="40" t="str">
        <f>IFERROR(IF(Agent08_Withdrawals!A91="","",YEAR(Agent08_Withdrawals!D91)),"")</f>
        <v/>
      </c>
    </row>
    <row r="1485" spans="1:13" ht="18" customHeight="1" x14ac:dyDescent="0.25">
      <c r="A1485" s="40" t="str">
        <f>IF(Agent08_Withdrawals!A92="","",Agent08_Withdrawals!A92)</f>
        <v/>
      </c>
      <c r="B1485" s="40" t="str">
        <f ca="1">IF(Agent08_Withdrawals!A92="","","WD"&amp;TEXT(1485-3,"0000")&amp;"-"&amp;TEXT(TODAY(),"YYYYMMDD"))</f>
        <v/>
      </c>
      <c r="C1485" s="40" t="str">
        <f>IF(Agent08_Withdrawals!A92="","",Agent08_Withdrawals!B92)</f>
        <v/>
      </c>
      <c r="D1485" s="43" t="str">
        <f>IF(Agent08_Withdrawals!A92="","",Agent08_Withdrawals!C92)</f>
        <v/>
      </c>
      <c r="E1485" s="41" t="str">
        <f>IF(Agent08_Withdrawals!A92="","",Agent08_Withdrawals!D92)</f>
        <v/>
      </c>
      <c r="F1485" s="40" t="str">
        <f>IF(Agent08_Withdrawals!A92="","",Agent08_Withdrawals!F92)</f>
        <v/>
      </c>
      <c r="G1485" s="42" t="str">
        <f>IF(Agent08_Withdrawals!A92="","",Agent08_Withdrawals!E92)</f>
        <v/>
      </c>
      <c r="H1485" s="42" t="str">
        <f>IF(Agent08_Withdrawals!A92="","",Agent08_Withdrawals!G92)</f>
        <v/>
      </c>
      <c r="I1485" s="40" t="str">
        <f>IF(Agent08_Withdrawals!A92="","",Agent08_Withdrawals!H92)</f>
        <v/>
      </c>
      <c r="J1485" s="40" t="str">
        <f>IF(Agent08_Withdrawals!A92="","",Agent08_Withdrawals!J92)</f>
        <v/>
      </c>
      <c r="K1485" s="40" t="str">
        <f>IF(Agent08_Withdrawals!A92="","",Agent08_Withdrawals!K92)</f>
        <v/>
      </c>
      <c r="L1485" s="40" t="str">
        <f>IF(G1485="","",IF(D1485-G1485&gt;=System_Config!$B$9,"✅ OK","⚠️ BREACH"))</f>
        <v/>
      </c>
      <c r="M1485" s="40" t="str">
        <f>IFERROR(IF(Agent08_Withdrawals!A92="","",YEAR(Agent08_Withdrawals!D92)),"")</f>
        <v/>
      </c>
    </row>
    <row r="1486" spans="1:13" ht="18" customHeight="1" x14ac:dyDescent="0.25">
      <c r="A1486" s="40" t="str">
        <f>IF(Agent08_Withdrawals!A93="","",Agent08_Withdrawals!A93)</f>
        <v/>
      </c>
      <c r="B1486" s="40" t="str">
        <f ca="1">IF(Agent08_Withdrawals!A93="","","WD"&amp;TEXT(1486-3,"0000")&amp;"-"&amp;TEXT(TODAY(),"YYYYMMDD"))</f>
        <v/>
      </c>
      <c r="C1486" s="40" t="str">
        <f>IF(Agent08_Withdrawals!A93="","",Agent08_Withdrawals!B93)</f>
        <v/>
      </c>
      <c r="D1486" s="43" t="str">
        <f>IF(Agent08_Withdrawals!A93="","",Agent08_Withdrawals!C93)</f>
        <v/>
      </c>
      <c r="E1486" s="41" t="str">
        <f>IF(Agent08_Withdrawals!A93="","",Agent08_Withdrawals!D93)</f>
        <v/>
      </c>
      <c r="F1486" s="40" t="str">
        <f>IF(Agent08_Withdrawals!A93="","",Agent08_Withdrawals!F93)</f>
        <v/>
      </c>
      <c r="G1486" s="42" t="str">
        <f>IF(Agent08_Withdrawals!A93="","",Agent08_Withdrawals!E93)</f>
        <v/>
      </c>
      <c r="H1486" s="42" t="str">
        <f>IF(Agent08_Withdrawals!A93="","",Agent08_Withdrawals!G93)</f>
        <v/>
      </c>
      <c r="I1486" s="40" t="str">
        <f>IF(Agent08_Withdrawals!A93="","",Agent08_Withdrawals!H93)</f>
        <v/>
      </c>
      <c r="J1486" s="40" t="str">
        <f>IF(Agent08_Withdrawals!A93="","",Agent08_Withdrawals!J93)</f>
        <v/>
      </c>
      <c r="K1486" s="40" t="str">
        <f>IF(Agent08_Withdrawals!A93="","",Agent08_Withdrawals!K93)</f>
        <v/>
      </c>
      <c r="L1486" s="40" t="str">
        <f>IF(G1486="","",IF(D1486-G1486&gt;=System_Config!$B$9,"✅ OK","⚠️ BREACH"))</f>
        <v/>
      </c>
      <c r="M1486" s="40" t="str">
        <f>IFERROR(IF(Agent08_Withdrawals!A93="","",YEAR(Agent08_Withdrawals!D93)),"")</f>
        <v/>
      </c>
    </row>
    <row r="1487" spans="1:13" ht="18" customHeight="1" x14ac:dyDescent="0.25">
      <c r="A1487" s="40" t="str">
        <f>IF(Agent08_Withdrawals!A94="","",Agent08_Withdrawals!A94)</f>
        <v/>
      </c>
      <c r="B1487" s="40" t="str">
        <f ca="1">IF(Agent08_Withdrawals!A94="","","WD"&amp;TEXT(1487-3,"0000")&amp;"-"&amp;TEXT(TODAY(),"YYYYMMDD"))</f>
        <v/>
      </c>
      <c r="C1487" s="40" t="str">
        <f>IF(Agent08_Withdrawals!A94="","",Agent08_Withdrawals!B94)</f>
        <v/>
      </c>
      <c r="D1487" s="43" t="str">
        <f>IF(Agent08_Withdrawals!A94="","",Agent08_Withdrawals!C94)</f>
        <v/>
      </c>
      <c r="E1487" s="41" t="str">
        <f>IF(Agent08_Withdrawals!A94="","",Agent08_Withdrawals!D94)</f>
        <v/>
      </c>
      <c r="F1487" s="40" t="str">
        <f>IF(Agent08_Withdrawals!A94="","",Agent08_Withdrawals!F94)</f>
        <v/>
      </c>
      <c r="G1487" s="42" t="str">
        <f>IF(Agent08_Withdrawals!A94="","",Agent08_Withdrawals!E94)</f>
        <v/>
      </c>
      <c r="H1487" s="42" t="str">
        <f>IF(Agent08_Withdrawals!A94="","",Agent08_Withdrawals!G94)</f>
        <v/>
      </c>
      <c r="I1487" s="40" t="str">
        <f>IF(Agent08_Withdrawals!A94="","",Agent08_Withdrawals!H94)</f>
        <v/>
      </c>
      <c r="J1487" s="40" t="str">
        <f>IF(Agent08_Withdrawals!A94="","",Agent08_Withdrawals!J94)</f>
        <v/>
      </c>
      <c r="K1487" s="40" t="str">
        <f>IF(Agent08_Withdrawals!A94="","",Agent08_Withdrawals!K94)</f>
        <v/>
      </c>
      <c r="L1487" s="40" t="str">
        <f>IF(G1487="","",IF(D1487-G1487&gt;=System_Config!$B$9,"✅ OK","⚠️ BREACH"))</f>
        <v/>
      </c>
      <c r="M1487" s="40" t="str">
        <f>IFERROR(IF(Agent08_Withdrawals!A94="","",YEAR(Agent08_Withdrawals!D94)),"")</f>
        <v/>
      </c>
    </row>
    <row r="1488" spans="1:13" ht="18" customHeight="1" x14ac:dyDescent="0.25">
      <c r="A1488" s="40" t="str">
        <f>IF(Agent08_Withdrawals!A95="","",Agent08_Withdrawals!A95)</f>
        <v/>
      </c>
      <c r="B1488" s="40" t="str">
        <f ca="1">IF(Agent08_Withdrawals!A95="","","WD"&amp;TEXT(1488-3,"0000")&amp;"-"&amp;TEXT(TODAY(),"YYYYMMDD"))</f>
        <v/>
      </c>
      <c r="C1488" s="40" t="str">
        <f>IF(Agent08_Withdrawals!A95="","",Agent08_Withdrawals!B95)</f>
        <v/>
      </c>
      <c r="D1488" s="43" t="str">
        <f>IF(Agent08_Withdrawals!A95="","",Agent08_Withdrawals!C95)</f>
        <v/>
      </c>
      <c r="E1488" s="41" t="str">
        <f>IF(Agent08_Withdrawals!A95="","",Agent08_Withdrawals!D95)</f>
        <v/>
      </c>
      <c r="F1488" s="40" t="str">
        <f>IF(Agent08_Withdrawals!A95="","",Agent08_Withdrawals!F95)</f>
        <v/>
      </c>
      <c r="G1488" s="42" t="str">
        <f>IF(Agent08_Withdrawals!A95="","",Agent08_Withdrawals!E95)</f>
        <v/>
      </c>
      <c r="H1488" s="42" t="str">
        <f>IF(Agent08_Withdrawals!A95="","",Agent08_Withdrawals!G95)</f>
        <v/>
      </c>
      <c r="I1488" s="40" t="str">
        <f>IF(Agent08_Withdrawals!A95="","",Agent08_Withdrawals!H95)</f>
        <v/>
      </c>
      <c r="J1488" s="40" t="str">
        <f>IF(Agent08_Withdrawals!A95="","",Agent08_Withdrawals!J95)</f>
        <v/>
      </c>
      <c r="K1488" s="40" t="str">
        <f>IF(Agent08_Withdrawals!A95="","",Agent08_Withdrawals!K95)</f>
        <v/>
      </c>
      <c r="L1488" s="40" t="str">
        <f>IF(G1488="","",IF(D1488-G1488&gt;=System_Config!$B$9,"✅ OK","⚠️ BREACH"))</f>
        <v/>
      </c>
      <c r="M1488" s="40" t="str">
        <f>IFERROR(IF(Agent08_Withdrawals!A95="","",YEAR(Agent08_Withdrawals!D95)),"")</f>
        <v/>
      </c>
    </row>
    <row r="1489" spans="1:13" ht="18" customHeight="1" x14ac:dyDescent="0.25">
      <c r="A1489" s="40" t="str">
        <f>IF(Agent08_Withdrawals!A96="","",Agent08_Withdrawals!A96)</f>
        <v/>
      </c>
      <c r="B1489" s="40" t="str">
        <f ca="1">IF(Agent08_Withdrawals!A96="","","WD"&amp;TEXT(1489-3,"0000")&amp;"-"&amp;TEXT(TODAY(),"YYYYMMDD"))</f>
        <v/>
      </c>
      <c r="C1489" s="40" t="str">
        <f>IF(Agent08_Withdrawals!A96="","",Agent08_Withdrawals!B96)</f>
        <v/>
      </c>
      <c r="D1489" s="43" t="str">
        <f>IF(Agent08_Withdrawals!A96="","",Agent08_Withdrawals!C96)</f>
        <v/>
      </c>
      <c r="E1489" s="41" t="str">
        <f>IF(Agent08_Withdrawals!A96="","",Agent08_Withdrawals!D96)</f>
        <v/>
      </c>
      <c r="F1489" s="40" t="str">
        <f>IF(Agent08_Withdrawals!A96="","",Agent08_Withdrawals!F96)</f>
        <v/>
      </c>
      <c r="G1489" s="42" t="str">
        <f>IF(Agent08_Withdrawals!A96="","",Agent08_Withdrawals!E96)</f>
        <v/>
      </c>
      <c r="H1489" s="42" t="str">
        <f>IF(Agent08_Withdrawals!A96="","",Agent08_Withdrawals!G96)</f>
        <v/>
      </c>
      <c r="I1489" s="40" t="str">
        <f>IF(Agent08_Withdrawals!A96="","",Agent08_Withdrawals!H96)</f>
        <v/>
      </c>
      <c r="J1489" s="40" t="str">
        <f>IF(Agent08_Withdrawals!A96="","",Agent08_Withdrawals!J96)</f>
        <v/>
      </c>
      <c r="K1489" s="40" t="str">
        <f>IF(Agent08_Withdrawals!A96="","",Agent08_Withdrawals!K96)</f>
        <v/>
      </c>
      <c r="L1489" s="40" t="str">
        <f>IF(G1489="","",IF(D1489-G1489&gt;=System_Config!$B$9,"✅ OK","⚠️ BREACH"))</f>
        <v/>
      </c>
      <c r="M1489" s="40" t="str">
        <f>IFERROR(IF(Agent08_Withdrawals!A96="","",YEAR(Agent08_Withdrawals!D96)),"")</f>
        <v/>
      </c>
    </row>
    <row r="1490" spans="1:13" ht="18" customHeight="1" x14ac:dyDescent="0.25">
      <c r="A1490" s="40" t="str">
        <f>IF(Agent08_Withdrawals!A97="","",Agent08_Withdrawals!A97)</f>
        <v/>
      </c>
      <c r="B1490" s="40" t="str">
        <f ca="1">IF(Agent08_Withdrawals!A97="","","WD"&amp;TEXT(1490-3,"0000")&amp;"-"&amp;TEXT(TODAY(),"YYYYMMDD"))</f>
        <v/>
      </c>
      <c r="C1490" s="40" t="str">
        <f>IF(Agent08_Withdrawals!A97="","",Agent08_Withdrawals!B97)</f>
        <v/>
      </c>
      <c r="D1490" s="43" t="str">
        <f>IF(Agent08_Withdrawals!A97="","",Agent08_Withdrawals!C97)</f>
        <v/>
      </c>
      <c r="E1490" s="41" t="str">
        <f>IF(Agent08_Withdrawals!A97="","",Agent08_Withdrawals!D97)</f>
        <v/>
      </c>
      <c r="F1490" s="40" t="str">
        <f>IF(Agent08_Withdrawals!A97="","",Agent08_Withdrawals!F97)</f>
        <v/>
      </c>
      <c r="G1490" s="42" t="str">
        <f>IF(Agent08_Withdrawals!A97="","",Agent08_Withdrawals!E97)</f>
        <v/>
      </c>
      <c r="H1490" s="42" t="str">
        <f>IF(Agent08_Withdrawals!A97="","",Agent08_Withdrawals!G97)</f>
        <v/>
      </c>
      <c r="I1490" s="40" t="str">
        <f>IF(Agent08_Withdrawals!A97="","",Agent08_Withdrawals!H97)</f>
        <v/>
      </c>
      <c r="J1490" s="40" t="str">
        <f>IF(Agent08_Withdrawals!A97="","",Agent08_Withdrawals!J97)</f>
        <v/>
      </c>
      <c r="K1490" s="40" t="str">
        <f>IF(Agent08_Withdrawals!A97="","",Agent08_Withdrawals!K97)</f>
        <v/>
      </c>
      <c r="L1490" s="40" t="str">
        <f>IF(G1490="","",IF(D1490-G1490&gt;=System_Config!$B$9,"✅ OK","⚠️ BREACH"))</f>
        <v/>
      </c>
      <c r="M1490" s="40" t="str">
        <f>IFERROR(IF(Agent08_Withdrawals!A97="","",YEAR(Agent08_Withdrawals!D97)),"")</f>
        <v/>
      </c>
    </row>
    <row r="1491" spans="1:13" ht="18" customHeight="1" x14ac:dyDescent="0.25">
      <c r="A1491" s="40" t="str">
        <f>IF(Agent08_Withdrawals!A98="","",Agent08_Withdrawals!A98)</f>
        <v/>
      </c>
      <c r="B1491" s="40" t="str">
        <f ca="1">IF(Agent08_Withdrawals!A98="","","WD"&amp;TEXT(1491-3,"0000")&amp;"-"&amp;TEXT(TODAY(),"YYYYMMDD"))</f>
        <v/>
      </c>
      <c r="C1491" s="40" t="str">
        <f>IF(Agent08_Withdrawals!A98="","",Agent08_Withdrawals!B98)</f>
        <v/>
      </c>
      <c r="D1491" s="43" t="str">
        <f>IF(Agent08_Withdrawals!A98="","",Agent08_Withdrawals!C98)</f>
        <v/>
      </c>
      <c r="E1491" s="41" t="str">
        <f>IF(Agent08_Withdrawals!A98="","",Agent08_Withdrawals!D98)</f>
        <v/>
      </c>
      <c r="F1491" s="40" t="str">
        <f>IF(Agent08_Withdrawals!A98="","",Agent08_Withdrawals!F98)</f>
        <v/>
      </c>
      <c r="G1491" s="42" t="str">
        <f>IF(Agent08_Withdrawals!A98="","",Agent08_Withdrawals!E98)</f>
        <v/>
      </c>
      <c r="H1491" s="42" t="str">
        <f>IF(Agent08_Withdrawals!A98="","",Agent08_Withdrawals!G98)</f>
        <v/>
      </c>
      <c r="I1491" s="40" t="str">
        <f>IF(Agent08_Withdrawals!A98="","",Agent08_Withdrawals!H98)</f>
        <v/>
      </c>
      <c r="J1491" s="40" t="str">
        <f>IF(Agent08_Withdrawals!A98="","",Agent08_Withdrawals!J98)</f>
        <v/>
      </c>
      <c r="K1491" s="40" t="str">
        <f>IF(Agent08_Withdrawals!A98="","",Agent08_Withdrawals!K98)</f>
        <v/>
      </c>
      <c r="L1491" s="40" t="str">
        <f>IF(G1491="","",IF(D1491-G1491&gt;=System_Config!$B$9,"✅ OK","⚠️ BREACH"))</f>
        <v/>
      </c>
      <c r="M1491" s="40" t="str">
        <f>IFERROR(IF(Agent08_Withdrawals!A98="","",YEAR(Agent08_Withdrawals!D98)),"")</f>
        <v/>
      </c>
    </row>
    <row r="1492" spans="1:13" ht="18" customHeight="1" x14ac:dyDescent="0.25">
      <c r="A1492" s="40" t="str">
        <f>IF(Agent08_Withdrawals!A99="","",Agent08_Withdrawals!A99)</f>
        <v/>
      </c>
      <c r="B1492" s="40" t="str">
        <f ca="1">IF(Agent08_Withdrawals!A99="","","WD"&amp;TEXT(1492-3,"0000")&amp;"-"&amp;TEXT(TODAY(),"YYYYMMDD"))</f>
        <v/>
      </c>
      <c r="C1492" s="40" t="str">
        <f>IF(Agent08_Withdrawals!A99="","",Agent08_Withdrawals!B99)</f>
        <v/>
      </c>
      <c r="D1492" s="43" t="str">
        <f>IF(Agent08_Withdrawals!A99="","",Agent08_Withdrawals!C99)</f>
        <v/>
      </c>
      <c r="E1492" s="41" t="str">
        <f>IF(Agent08_Withdrawals!A99="","",Agent08_Withdrawals!D99)</f>
        <v/>
      </c>
      <c r="F1492" s="40" t="str">
        <f>IF(Agent08_Withdrawals!A99="","",Agent08_Withdrawals!F99)</f>
        <v/>
      </c>
      <c r="G1492" s="42" t="str">
        <f>IF(Agent08_Withdrawals!A99="","",Agent08_Withdrawals!E99)</f>
        <v/>
      </c>
      <c r="H1492" s="42" t="str">
        <f>IF(Agent08_Withdrawals!A99="","",Agent08_Withdrawals!G99)</f>
        <v/>
      </c>
      <c r="I1492" s="40" t="str">
        <f>IF(Agent08_Withdrawals!A99="","",Agent08_Withdrawals!H99)</f>
        <v/>
      </c>
      <c r="J1492" s="40" t="str">
        <f>IF(Agent08_Withdrawals!A99="","",Agent08_Withdrawals!J99)</f>
        <v/>
      </c>
      <c r="K1492" s="40" t="str">
        <f>IF(Agent08_Withdrawals!A99="","",Agent08_Withdrawals!K99)</f>
        <v/>
      </c>
      <c r="L1492" s="40" t="str">
        <f>IF(G1492="","",IF(D1492-G1492&gt;=System_Config!$B$9,"✅ OK","⚠️ BREACH"))</f>
        <v/>
      </c>
      <c r="M1492" s="40" t="str">
        <f>IFERROR(IF(Agent08_Withdrawals!A99="","",YEAR(Agent08_Withdrawals!D99)),"")</f>
        <v/>
      </c>
    </row>
    <row r="1493" spans="1:13" ht="18" customHeight="1" x14ac:dyDescent="0.25">
      <c r="A1493" s="40" t="str">
        <f>IF(Agent08_Withdrawals!A100="","",Agent08_Withdrawals!A100)</f>
        <v/>
      </c>
      <c r="B1493" s="40" t="str">
        <f ca="1">IF(Agent08_Withdrawals!A100="","","WD"&amp;TEXT(1493-3,"0000")&amp;"-"&amp;TEXT(TODAY(),"YYYYMMDD"))</f>
        <v/>
      </c>
      <c r="C1493" s="40" t="str">
        <f>IF(Agent08_Withdrawals!A100="","",Agent08_Withdrawals!B100)</f>
        <v/>
      </c>
      <c r="D1493" s="43" t="str">
        <f>IF(Agent08_Withdrawals!A100="","",Agent08_Withdrawals!C100)</f>
        <v/>
      </c>
      <c r="E1493" s="41" t="str">
        <f>IF(Agent08_Withdrawals!A100="","",Agent08_Withdrawals!D100)</f>
        <v/>
      </c>
      <c r="F1493" s="40" t="str">
        <f>IF(Agent08_Withdrawals!A100="","",Agent08_Withdrawals!F100)</f>
        <v/>
      </c>
      <c r="G1493" s="42" t="str">
        <f>IF(Agent08_Withdrawals!A100="","",Agent08_Withdrawals!E100)</f>
        <v/>
      </c>
      <c r="H1493" s="42" t="str">
        <f>IF(Agent08_Withdrawals!A100="","",Agent08_Withdrawals!G100)</f>
        <v/>
      </c>
      <c r="I1493" s="40" t="str">
        <f>IF(Agent08_Withdrawals!A100="","",Agent08_Withdrawals!H100)</f>
        <v/>
      </c>
      <c r="J1493" s="40" t="str">
        <f>IF(Agent08_Withdrawals!A100="","",Agent08_Withdrawals!J100)</f>
        <v/>
      </c>
      <c r="K1493" s="40" t="str">
        <f>IF(Agent08_Withdrawals!A100="","",Agent08_Withdrawals!K100)</f>
        <v/>
      </c>
      <c r="L1493" s="40" t="str">
        <f>IF(G1493="","",IF(D1493-G1493&gt;=System_Config!$B$9,"✅ OK","⚠️ BREACH"))</f>
        <v/>
      </c>
      <c r="M1493" s="40" t="str">
        <f>IFERROR(IF(Agent08_Withdrawals!A100="","",YEAR(Agent08_Withdrawals!D100)),"")</f>
        <v/>
      </c>
    </row>
    <row r="1494" spans="1:13" ht="18" customHeight="1" x14ac:dyDescent="0.25">
      <c r="A1494" s="40" t="str">
        <f>IF(Agent08_Withdrawals!A101="","",Agent08_Withdrawals!A101)</f>
        <v/>
      </c>
      <c r="B1494" s="40" t="str">
        <f ca="1">IF(Agent08_Withdrawals!A101="","","WD"&amp;TEXT(1494-3,"0000")&amp;"-"&amp;TEXT(TODAY(),"YYYYMMDD"))</f>
        <v/>
      </c>
      <c r="C1494" s="40" t="str">
        <f>IF(Agent08_Withdrawals!A101="","",Agent08_Withdrawals!B101)</f>
        <v/>
      </c>
      <c r="D1494" s="43" t="str">
        <f>IF(Agent08_Withdrawals!A101="","",Agent08_Withdrawals!C101)</f>
        <v/>
      </c>
      <c r="E1494" s="41" t="str">
        <f>IF(Agent08_Withdrawals!A101="","",Agent08_Withdrawals!D101)</f>
        <v/>
      </c>
      <c r="F1494" s="40" t="str">
        <f>IF(Agent08_Withdrawals!A101="","",Agent08_Withdrawals!F101)</f>
        <v/>
      </c>
      <c r="G1494" s="42" t="str">
        <f>IF(Agent08_Withdrawals!A101="","",Agent08_Withdrawals!E101)</f>
        <v/>
      </c>
      <c r="H1494" s="42" t="str">
        <f>IF(Agent08_Withdrawals!A101="","",Agent08_Withdrawals!G101)</f>
        <v/>
      </c>
      <c r="I1494" s="40" t="str">
        <f>IF(Agent08_Withdrawals!A101="","",Agent08_Withdrawals!H101)</f>
        <v/>
      </c>
      <c r="J1494" s="40" t="str">
        <f>IF(Agent08_Withdrawals!A101="","",Agent08_Withdrawals!J101)</f>
        <v/>
      </c>
      <c r="K1494" s="40" t="str">
        <f>IF(Agent08_Withdrawals!A101="","",Agent08_Withdrawals!K101)</f>
        <v/>
      </c>
      <c r="L1494" s="40" t="str">
        <f>IF(G1494="","",IF(D1494-G1494&gt;=System_Config!$B$9,"✅ OK","⚠️ BREACH"))</f>
        <v/>
      </c>
      <c r="M1494" s="40" t="str">
        <f>IFERROR(IF(Agent08_Withdrawals!A101="","",YEAR(Agent08_Withdrawals!D101)),"")</f>
        <v/>
      </c>
    </row>
    <row r="1495" spans="1:13" ht="18" customHeight="1" x14ac:dyDescent="0.25">
      <c r="A1495" s="40" t="str">
        <f>IF(Agent08_Withdrawals!A102="","",Agent08_Withdrawals!A102)</f>
        <v/>
      </c>
      <c r="B1495" s="40" t="str">
        <f ca="1">IF(Agent08_Withdrawals!A102="","","WD"&amp;TEXT(1495-3,"0000")&amp;"-"&amp;TEXT(TODAY(),"YYYYMMDD"))</f>
        <v/>
      </c>
      <c r="C1495" s="40" t="str">
        <f>IF(Agent08_Withdrawals!A102="","",Agent08_Withdrawals!B102)</f>
        <v/>
      </c>
      <c r="D1495" s="43" t="str">
        <f>IF(Agent08_Withdrawals!A102="","",Agent08_Withdrawals!C102)</f>
        <v/>
      </c>
      <c r="E1495" s="41" t="str">
        <f>IF(Agent08_Withdrawals!A102="","",Agent08_Withdrawals!D102)</f>
        <v/>
      </c>
      <c r="F1495" s="40" t="str">
        <f>IF(Agent08_Withdrawals!A102="","",Agent08_Withdrawals!F102)</f>
        <v/>
      </c>
      <c r="G1495" s="42" t="str">
        <f>IF(Agent08_Withdrawals!A102="","",Agent08_Withdrawals!E102)</f>
        <v/>
      </c>
      <c r="H1495" s="42" t="str">
        <f>IF(Agent08_Withdrawals!A102="","",Agent08_Withdrawals!G102)</f>
        <v/>
      </c>
      <c r="I1495" s="40" t="str">
        <f>IF(Agent08_Withdrawals!A102="","",Agent08_Withdrawals!H102)</f>
        <v/>
      </c>
      <c r="J1495" s="40" t="str">
        <f>IF(Agent08_Withdrawals!A102="","",Agent08_Withdrawals!J102)</f>
        <v/>
      </c>
      <c r="K1495" s="40" t="str">
        <f>IF(Agent08_Withdrawals!A102="","",Agent08_Withdrawals!K102)</f>
        <v/>
      </c>
      <c r="L1495" s="40" t="str">
        <f>IF(G1495="","",IF(D1495-G1495&gt;=System_Config!$B$9,"✅ OK","⚠️ BREACH"))</f>
        <v/>
      </c>
      <c r="M1495" s="40" t="str">
        <f>IFERROR(IF(Agent08_Withdrawals!A102="","",YEAR(Agent08_Withdrawals!D102)),"")</f>
        <v/>
      </c>
    </row>
    <row r="1496" spans="1:13" ht="18" customHeight="1" x14ac:dyDescent="0.25">
      <c r="A1496" s="40" t="str">
        <f>IF(Agent08_Withdrawals!A103="","",Agent08_Withdrawals!A103)</f>
        <v/>
      </c>
      <c r="B1496" s="40" t="str">
        <f ca="1">IF(Agent08_Withdrawals!A103="","","WD"&amp;TEXT(1496-3,"0000")&amp;"-"&amp;TEXT(TODAY(),"YYYYMMDD"))</f>
        <v/>
      </c>
      <c r="C1496" s="40" t="str">
        <f>IF(Agent08_Withdrawals!A103="","",Agent08_Withdrawals!B103)</f>
        <v/>
      </c>
      <c r="D1496" s="43" t="str">
        <f>IF(Agent08_Withdrawals!A103="","",Agent08_Withdrawals!C103)</f>
        <v/>
      </c>
      <c r="E1496" s="41" t="str">
        <f>IF(Agent08_Withdrawals!A103="","",Agent08_Withdrawals!D103)</f>
        <v/>
      </c>
      <c r="F1496" s="40" t="str">
        <f>IF(Agent08_Withdrawals!A103="","",Agent08_Withdrawals!F103)</f>
        <v/>
      </c>
      <c r="G1496" s="42" t="str">
        <f>IF(Agent08_Withdrawals!A103="","",Agent08_Withdrawals!E103)</f>
        <v/>
      </c>
      <c r="H1496" s="42" t="str">
        <f>IF(Agent08_Withdrawals!A103="","",Agent08_Withdrawals!G103)</f>
        <v/>
      </c>
      <c r="I1496" s="40" t="str">
        <f>IF(Agent08_Withdrawals!A103="","",Agent08_Withdrawals!H103)</f>
        <v/>
      </c>
      <c r="J1496" s="40" t="str">
        <f>IF(Agent08_Withdrawals!A103="","",Agent08_Withdrawals!J103)</f>
        <v/>
      </c>
      <c r="K1496" s="40" t="str">
        <f>IF(Agent08_Withdrawals!A103="","",Agent08_Withdrawals!K103)</f>
        <v/>
      </c>
      <c r="L1496" s="40" t="str">
        <f>IF(G1496="","",IF(D1496-G1496&gt;=System_Config!$B$9,"✅ OK","⚠️ BREACH"))</f>
        <v/>
      </c>
      <c r="M1496" s="40" t="str">
        <f>IFERROR(IF(Agent08_Withdrawals!A103="","",YEAR(Agent08_Withdrawals!D103)),"")</f>
        <v/>
      </c>
    </row>
    <row r="1497" spans="1:13" ht="18" customHeight="1" x14ac:dyDescent="0.25">
      <c r="A1497" s="40" t="str">
        <f>IF(Agent08_Withdrawals!A104="","",Agent08_Withdrawals!A104)</f>
        <v/>
      </c>
      <c r="B1497" s="40" t="str">
        <f ca="1">IF(Agent08_Withdrawals!A104="","","WD"&amp;TEXT(1497-3,"0000")&amp;"-"&amp;TEXT(TODAY(),"YYYYMMDD"))</f>
        <v/>
      </c>
      <c r="C1497" s="40" t="str">
        <f>IF(Agent08_Withdrawals!A104="","",Agent08_Withdrawals!B104)</f>
        <v/>
      </c>
      <c r="D1497" s="43" t="str">
        <f>IF(Agent08_Withdrawals!A104="","",Agent08_Withdrawals!C104)</f>
        <v/>
      </c>
      <c r="E1497" s="41" t="str">
        <f>IF(Agent08_Withdrawals!A104="","",Agent08_Withdrawals!D104)</f>
        <v/>
      </c>
      <c r="F1497" s="40" t="str">
        <f>IF(Agent08_Withdrawals!A104="","",Agent08_Withdrawals!F104)</f>
        <v/>
      </c>
      <c r="G1497" s="42" t="str">
        <f>IF(Agent08_Withdrawals!A104="","",Agent08_Withdrawals!E104)</f>
        <v/>
      </c>
      <c r="H1497" s="42" t="str">
        <f>IF(Agent08_Withdrawals!A104="","",Agent08_Withdrawals!G104)</f>
        <v/>
      </c>
      <c r="I1497" s="40" t="str">
        <f>IF(Agent08_Withdrawals!A104="","",Agent08_Withdrawals!H104)</f>
        <v/>
      </c>
      <c r="J1497" s="40" t="str">
        <f>IF(Agent08_Withdrawals!A104="","",Agent08_Withdrawals!J104)</f>
        <v/>
      </c>
      <c r="K1497" s="40" t="str">
        <f>IF(Agent08_Withdrawals!A104="","",Agent08_Withdrawals!K104)</f>
        <v/>
      </c>
      <c r="L1497" s="40" t="str">
        <f>IF(G1497="","",IF(D1497-G1497&gt;=System_Config!$B$9,"✅ OK","⚠️ BREACH"))</f>
        <v/>
      </c>
      <c r="M1497" s="40" t="str">
        <f>IFERROR(IF(Agent08_Withdrawals!A104="","",YEAR(Agent08_Withdrawals!D104)),"")</f>
        <v/>
      </c>
    </row>
    <row r="1498" spans="1:13" ht="18" customHeight="1" x14ac:dyDescent="0.25">
      <c r="A1498" s="40" t="str">
        <f>IF(Agent08_Withdrawals!A105="","",Agent08_Withdrawals!A105)</f>
        <v/>
      </c>
      <c r="B1498" s="40" t="str">
        <f ca="1">IF(Agent08_Withdrawals!A105="","","WD"&amp;TEXT(1498-3,"0000")&amp;"-"&amp;TEXT(TODAY(),"YYYYMMDD"))</f>
        <v/>
      </c>
      <c r="C1498" s="40" t="str">
        <f>IF(Agent08_Withdrawals!A105="","",Agent08_Withdrawals!B105)</f>
        <v/>
      </c>
      <c r="D1498" s="43" t="str">
        <f>IF(Agent08_Withdrawals!A105="","",Agent08_Withdrawals!C105)</f>
        <v/>
      </c>
      <c r="E1498" s="41" t="str">
        <f>IF(Agent08_Withdrawals!A105="","",Agent08_Withdrawals!D105)</f>
        <v/>
      </c>
      <c r="F1498" s="40" t="str">
        <f>IF(Agent08_Withdrawals!A105="","",Agent08_Withdrawals!F105)</f>
        <v/>
      </c>
      <c r="G1498" s="42" t="str">
        <f>IF(Agent08_Withdrawals!A105="","",Agent08_Withdrawals!E105)</f>
        <v/>
      </c>
      <c r="H1498" s="42" t="str">
        <f>IF(Agent08_Withdrawals!A105="","",Agent08_Withdrawals!G105)</f>
        <v/>
      </c>
      <c r="I1498" s="40" t="str">
        <f>IF(Agent08_Withdrawals!A105="","",Agent08_Withdrawals!H105)</f>
        <v/>
      </c>
      <c r="J1498" s="40" t="str">
        <f>IF(Agent08_Withdrawals!A105="","",Agent08_Withdrawals!J105)</f>
        <v/>
      </c>
      <c r="K1498" s="40" t="str">
        <f>IF(Agent08_Withdrawals!A105="","",Agent08_Withdrawals!K105)</f>
        <v/>
      </c>
      <c r="L1498" s="40" t="str">
        <f>IF(G1498="","",IF(D1498-G1498&gt;=System_Config!$B$9,"✅ OK","⚠️ BREACH"))</f>
        <v/>
      </c>
      <c r="M1498" s="40" t="str">
        <f>IFERROR(IF(Agent08_Withdrawals!A105="","",YEAR(Agent08_Withdrawals!D105)),"")</f>
        <v/>
      </c>
    </row>
    <row r="1499" spans="1:13" ht="18" customHeight="1" x14ac:dyDescent="0.25">
      <c r="A1499" s="40" t="str">
        <f>IF(Agent08_Withdrawals!A106="","",Agent08_Withdrawals!A106)</f>
        <v/>
      </c>
      <c r="B1499" s="40" t="str">
        <f ca="1">IF(Agent08_Withdrawals!A106="","","WD"&amp;TEXT(1499-3,"0000")&amp;"-"&amp;TEXT(TODAY(),"YYYYMMDD"))</f>
        <v/>
      </c>
      <c r="C1499" s="40" t="str">
        <f>IF(Agent08_Withdrawals!A106="","",Agent08_Withdrawals!B106)</f>
        <v/>
      </c>
      <c r="D1499" s="43" t="str">
        <f>IF(Agent08_Withdrawals!A106="","",Agent08_Withdrawals!C106)</f>
        <v/>
      </c>
      <c r="E1499" s="41" t="str">
        <f>IF(Agent08_Withdrawals!A106="","",Agent08_Withdrawals!D106)</f>
        <v/>
      </c>
      <c r="F1499" s="40" t="str">
        <f>IF(Agent08_Withdrawals!A106="","",Agent08_Withdrawals!F106)</f>
        <v/>
      </c>
      <c r="G1499" s="42" t="str">
        <f>IF(Agent08_Withdrawals!A106="","",Agent08_Withdrawals!E106)</f>
        <v/>
      </c>
      <c r="H1499" s="42" t="str">
        <f>IF(Agent08_Withdrawals!A106="","",Agent08_Withdrawals!G106)</f>
        <v/>
      </c>
      <c r="I1499" s="40" t="str">
        <f>IF(Agent08_Withdrawals!A106="","",Agent08_Withdrawals!H106)</f>
        <v/>
      </c>
      <c r="J1499" s="40" t="str">
        <f>IF(Agent08_Withdrawals!A106="","",Agent08_Withdrawals!J106)</f>
        <v/>
      </c>
      <c r="K1499" s="40" t="str">
        <f>IF(Agent08_Withdrawals!A106="","",Agent08_Withdrawals!K106)</f>
        <v/>
      </c>
      <c r="L1499" s="40" t="str">
        <f>IF(G1499="","",IF(D1499-G1499&gt;=System_Config!$B$9,"✅ OK","⚠️ BREACH"))</f>
        <v/>
      </c>
      <c r="M1499" s="40" t="str">
        <f>IFERROR(IF(Agent08_Withdrawals!A106="","",YEAR(Agent08_Withdrawals!D106)),"")</f>
        <v/>
      </c>
    </row>
    <row r="1500" spans="1:13" ht="18" customHeight="1" x14ac:dyDescent="0.25">
      <c r="A1500" s="40" t="str">
        <f>IF(Agent08_Withdrawals!A107="","",Agent08_Withdrawals!A107)</f>
        <v/>
      </c>
      <c r="B1500" s="40" t="str">
        <f ca="1">IF(Agent08_Withdrawals!A107="","","WD"&amp;TEXT(1500-3,"0000")&amp;"-"&amp;TEXT(TODAY(),"YYYYMMDD"))</f>
        <v/>
      </c>
      <c r="C1500" s="40" t="str">
        <f>IF(Agent08_Withdrawals!A107="","",Agent08_Withdrawals!B107)</f>
        <v/>
      </c>
      <c r="D1500" s="43" t="str">
        <f>IF(Agent08_Withdrawals!A107="","",Agent08_Withdrawals!C107)</f>
        <v/>
      </c>
      <c r="E1500" s="41" t="str">
        <f>IF(Agent08_Withdrawals!A107="","",Agent08_Withdrawals!D107)</f>
        <v/>
      </c>
      <c r="F1500" s="40" t="str">
        <f>IF(Agent08_Withdrawals!A107="","",Agent08_Withdrawals!F107)</f>
        <v/>
      </c>
      <c r="G1500" s="42" t="str">
        <f>IF(Agent08_Withdrawals!A107="","",Agent08_Withdrawals!E107)</f>
        <v/>
      </c>
      <c r="H1500" s="42" t="str">
        <f>IF(Agent08_Withdrawals!A107="","",Agent08_Withdrawals!G107)</f>
        <v/>
      </c>
      <c r="I1500" s="40" t="str">
        <f>IF(Agent08_Withdrawals!A107="","",Agent08_Withdrawals!H107)</f>
        <v/>
      </c>
      <c r="J1500" s="40" t="str">
        <f>IF(Agent08_Withdrawals!A107="","",Agent08_Withdrawals!J107)</f>
        <v/>
      </c>
      <c r="K1500" s="40" t="str">
        <f>IF(Agent08_Withdrawals!A107="","",Agent08_Withdrawals!K107)</f>
        <v/>
      </c>
      <c r="L1500" s="40" t="str">
        <f>IF(G1500="","",IF(D1500-G1500&gt;=System_Config!$B$9,"✅ OK","⚠️ BREACH"))</f>
        <v/>
      </c>
      <c r="M1500" s="40" t="str">
        <f>IFERROR(IF(Agent08_Withdrawals!A107="","",YEAR(Agent08_Withdrawals!D107)),"")</f>
        <v/>
      </c>
    </row>
    <row r="1501" spans="1:13" ht="18" customHeight="1" x14ac:dyDescent="0.25">
      <c r="A1501" s="40" t="str">
        <f>IF(Agent08_Withdrawals!A108="","",Agent08_Withdrawals!A108)</f>
        <v/>
      </c>
      <c r="B1501" s="40" t="str">
        <f ca="1">IF(Agent08_Withdrawals!A108="","","WD"&amp;TEXT(1501-3,"0000")&amp;"-"&amp;TEXT(TODAY(),"YYYYMMDD"))</f>
        <v/>
      </c>
      <c r="C1501" s="40" t="str">
        <f>IF(Agent08_Withdrawals!A108="","",Agent08_Withdrawals!B108)</f>
        <v/>
      </c>
      <c r="D1501" s="43" t="str">
        <f>IF(Agent08_Withdrawals!A108="","",Agent08_Withdrawals!C108)</f>
        <v/>
      </c>
      <c r="E1501" s="41" t="str">
        <f>IF(Agent08_Withdrawals!A108="","",Agent08_Withdrawals!D108)</f>
        <v/>
      </c>
      <c r="F1501" s="40" t="str">
        <f>IF(Agent08_Withdrawals!A108="","",Agent08_Withdrawals!F108)</f>
        <v/>
      </c>
      <c r="G1501" s="42" t="str">
        <f>IF(Agent08_Withdrawals!A108="","",Agent08_Withdrawals!E108)</f>
        <v/>
      </c>
      <c r="H1501" s="42" t="str">
        <f>IF(Agent08_Withdrawals!A108="","",Agent08_Withdrawals!G108)</f>
        <v/>
      </c>
      <c r="I1501" s="40" t="str">
        <f>IF(Agent08_Withdrawals!A108="","",Agent08_Withdrawals!H108)</f>
        <v/>
      </c>
      <c r="J1501" s="40" t="str">
        <f>IF(Agent08_Withdrawals!A108="","",Agent08_Withdrawals!J108)</f>
        <v/>
      </c>
      <c r="K1501" s="40" t="str">
        <f>IF(Agent08_Withdrawals!A108="","",Agent08_Withdrawals!K108)</f>
        <v/>
      </c>
      <c r="L1501" s="40" t="str">
        <f>IF(G1501="","",IF(D1501-G1501&gt;=System_Config!$B$9,"✅ OK","⚠️ BREACH"))</f>
        <v/>
      </c>
      <c r="M1501" s="40" t="str">
        <f>IFERROR(IF(Agent08_Withdrawals!A108="","",YEAR(Agent08_Withdrawals!D108)),"")</f>
        <v/>
      </c>
    </row>
    <row r="1502" spans="1:13" ht="18" customHeight="1" x14ac:dyDescent="0.25">
      <c r="A1502" s="40" t="str">
        <f>IF(Agent08_Withdrawals!A109="","",Agent08_Withdrawals!A109)</f>
        <v/>
      </c>
      <c r="B1502" s="40" t="str">
        <f ca="1">IF(Agent08_Withdrawals!A109="","","WD"&amp;TEXT(1502-3,"0000")&amp;"-"&amp;TEXT(TODAY(),"YYYYMMDD"))</f>
        <v/>
      </c>
      <c r="C1502" s="40" t="str">
        <f>IF(Agent08_Withdrawals!A109="","",Agent08_Withdrawals!B109)</f>
        <v/>
      </c>
      <c r="D1502" s="43" t="str">
        <f>IF(Agent08_Withdrawals!A109="","",Agent08_Withdrawals!C109)</f>
        <v/>
      </c>
      <c r="E1502" s="41" t="str">
        <f>IF(Agent08_Withdrawals!A109="","",Agent08_Withdrawals!D109)</f>
        <v/>
      </c>
      <c r="F1502" s="40" t="str">
        <f>IF(Agent08_Withdrawals!A109="","",Agent08_Withdrawals!F109)</f>
        <v/>
      </c>
      <c r="G1502" s="42" t="str">
        <f>IF(Agent08_Withdrawals!A109="","",Agent08_Withdrawals!E109)</f>
        <v/>
      </c>
      <c r="H1502" s="42" t="str">
        <f>IF(Agent08_Withdrawals!A109="","",Agent08_Withdrawals!G109)</f>
        <v/>
      </c>
      <c r="I1502" s="40" t="str">
        <f>IF(Agent08_Withdrawals!A109="","",Agent08_Withdrawals!H109)</f>
        <v/>
      </c>
      <c r="J1502" s="40" t="str">
        <f>IF(Agent08_Withdrawals!A109="","",Agent08_Withdrawals!J109)</f>
        <v/>
      </c>
      <c r="K1502" s="40" t="str">
        <f>IF(Agent08_Withdrawals!A109="","",Agent08_Withdrawals!K109)</f>
        <v/>
      </c>
      <c r="L1502" s="40" t="str">
        <f>IF(G1502="","",IF(D1502-G1502&gt;=System_Config!$B$9,"✅ OK","⚠️ BREACH"))</f>
        <v/>
      </c>
      <c r="M1502" s="40" t="str">
        <f>IFERROR(IF(Agent08_Withdrawals!A109="","",YEAR(Agent08_Withdrawals!D109)),"")</f>
        <v/>
      </c>
    </row>
    <row r="1503" spans="1:13" ht="18" customHeight="1" x14ac:dyDescent="0.25">
      <c r="A1503" s="40" t="str">
        <f>IF(Agent08_Withdrawals!A110="","",Agent08_Withdrawals!A110)</f>
        <v/>
      </c>
      <c r="B1503" s="40" t="str">
        <f ca="1">IF(Agent08_Withdrawals!A110="","","WD"&amp;TEXT(1503-3,"0000")&amp;"-"&amp;TEXT(TODAY(),"YYYYMMDD"))</f>
        <v/>
      </c>
      <c r="C1503" s="40" t="str">
        <f>IF(Agent08_Withdrawals!A110="","",Agent08_Withdrawals!B110)</f>
        <v/>
      </c>
      <c r="D1503" s="43" t="str">
        <f>IF(Agent08_Withdrawals!A110="","",Agent08_Withdrawals!C110)</f>
        <v/>
      </c>
      <c r="E1503" s="41" t="str">
        <f>IF(Agent08_Withdrawals!A110="","",Agent08_Withdrawals!D110)</f>
        <v/>
      </c>
      <c r="F1503" s="40" t="str">
        <f>IF(Agent08_Withdrawals!A110="","",Agent08_Withdrawals!F110)</f>
        <v/>
      </c>
      <c r="G1503" s="42" t="str">
        <f>IF(Agent08_Withdrawals!A110="","",Agent08_Withdrawals!E110)</f>
        <v/>
      </c>
      <c r="H1503" s="42" t="str">
        <f>IF(Agent08_Withdrawals!A110="","",Agent08_Withdrawals!G110)</f>
        <v/>
      </c>
      <c r="I1503" s="40" t="str">
        <f>IF(Agent08_Withdrawals!A110="","",Agent08_Withdrawals!H110)</f>
        <v/>
      </c>
      <c r="J1503" s="40" t="str">
        <f>IF(Agent08_Withdrawals!A110="","",Agent08_Withdrawals!J110)</f>
        <v/>
      </c>
      <c r="K1503" s="40" t="str">
        <f>IF(Agent08_Withdrawals!A110="","",Agent08_Withdrawals!K110)</f>
        <v/>
      </c>
      <c r="L1503" s="40" t="str">
        <f>IF(G1503="","",IF(D1503-G1503&gt;=System_Config!$B$9,"✅ OK","⚠️ BREACH"))</f>
        <v/>
      </c>
      <c r="M1503" s="40" t="str">
        <f>IFERROR(IF(Agent08_Withdrawals!A110="","",YEAR(Agent08_Withdrawals!D110)),"")</f>
        <v/>
      </c>
    </row>
    <row r="1504" spans="1:13" ht="18" customHeight="1" x14ac:dyDescent="0.25">
      <c r="A1504" s="40" t="str">
        <f>IF(Agent08_Withdrawals!A111="","",Agent08_Withdrawals!A111)</f>
        <v/>
      </c>
      <c r="B1504" s="40" t="str">
        <f ca="1">IF(Agent08_Withdrawals!A111="","","WD"&amp;TEXT(1504-3,"0000")&amp;"-"&amp;TEXT(TODAY(),"YYYYMMDD"))</f>
        <v/>
      </c>
      <c r="C1504" s="40" t="str">
        <f>IF(Agent08_Withdrawals!A111="","",Agent08_Withdrawals!B111)</f>
        <v/>
      </c>
      <c r="D1504" s="43" t="str">
        <f>IF(Agent08_Withdrawals!A111="","",Agent08_Withdrawals!C111)</f>
        <v/>
      </c>
      <c r="E1504" s="41" t="str">
        <f>IF(Agent08_Withdrawals!A111="","",Agent08_Withdrawals!D111)</f>
        <v/>
      </c>
      <c r="F1504" s="40" t="str">
        <f>IF(Agent08_Withdrawals!A111="","",Agent08_Withdrawals!F111)</f>
        <v/>
      </c>
      <c r="G1504" s="42" t="str">
        <f>IF(Agent08_Withdrawals!A111="","",Agent08_Withdrawals!E111)</f>
        <v/>
      </c>
      <c r="H1504" s="42" t="str">
        <f>IF(Agent08_Withdrawals!A111="","",Agent08_Withdrawals!G111)</f>
        <v/>
      </c>
      <c r="I1504" s="40" t="str">
        <f>IF(Agent08_Withdrawals!A111="","",Agent08_Withdrawals!H111)</f>
        <v/>
      </c>
      <c r="J1504" s="40" t="str">
        <f>IF(Agent08_Withdrawals!A111="","",Agent08_Withdrawals!J111)</f>
        <v/>
      </c>
      <c r="K1504" s="40" t="str">
        <f>IF(Agent08_Withdrawals!A111="","",Agent08_Withdrawals!K111)</f>
        <v/>
      </c>
      <c r="L1504" s="40" t="str">
        <f>IF(G1504="","",IF(D1504-G1504&gt;=System_Config!$B$9,"✅ OK","⚠️ BREACH"))</f>
        <v/>
      </c>
      <c r="M1504" s="40" t="str">
        <f>IFERROR(IF(Agent08_Withdrawals!A111="","",YEAR(Agent08_Withdrawals!D111)),"")</f>
        <v/>
      </c>
    </row>
    <row r="1505" spans="1:13" ht="18" customHeight="1" x14ac:dyDescent="0.25">
      <c r="A1505" s="40" t="str">
        <f>IF(Agent08_Withdrawals!A112="","",Agent08_Withdrawals!A112)</f>
        <v/>
      </c>
      <c r="B1505" s="40" t="str">
        <f ca="1">IF(Agent08_Withdrawals!A112="","","WD"&amp;TEXT(1505-3,"0000")&amp;"-"&amp;TEXT(TODAY(),"YYYYMMDD"))</f>
        <v/>
      </c>
      <c r="C1505" s="40" t="str">
        <f>IF(Agent08_Withdrawals!A112="","",Agent08_Withdrawals!B112)</f>
        <v/>
      </c>
      <c r="D1505" s="43" t="str">
        <f>IF(Agent08_Withdrawals!A112="","",Agent08_Withdrawals!C112)</f>
        <v/>
      </c>
      <c r="E1505" s="41" t="str">
        <f>IF(Agent08_Withdrawals!A112="","",Agent08_Withdrawals!D112)</f>
        <v/>
      </c>
      <c r="F1505" s="40" t="str">
        <f>IF(Agent08_Withdrawals!A112="","",Agent08_Withdrawals!F112)</f>
        <v/>
      </c>
      <c r="G1505" s="42" t="str">
        <f>IF(Agent08_Withdrawals!A112="","",Agent08_Withdrawals!E112)</f>
        <v/>
      </c>
      <c r="H1505" s="42" t="str">
        <f>IF(Agent08_Withdrawals!A112="","",Agent08_Withdrawals!G112)</f>
        <v/>
      </c>
      <c r="I1505" s="40" t="str">
        <f>IF(Agent08_Withdrawals!A112="","",Agent08_Withdrawals!H112)</f>
        <v/>
      </c>
      <c r="J1505" s="40" t="str">
        <f>IF(Agent08_Withdrawals!A112="","",Agent08_Withdrawals!J112)</f>
        <v/>
      </c>
      <c r="K1505" s="40" t="str">
        <f>IF(Agent08_Withdrawals!A112="","",Agent08_Withdrawals!K112)</f>
        <v/>
      </c>
      <c r="L1505" s="40" t="str">
        <f>IF(G1505="","",IF(D1505-G1505&gt;=System_Config!$B$9,"✅ OK","⚠️ BREACH"))</f>
        <v/>
      </c>
      <c r="M1505" s="40" t="str">
        <f>IFERROR(IF(Agent08_Withdrawals!A112="","",YEAR(Agent08_Withdrawals!D112)),"")</f>
        <v/>
      </c>
    </row>
    <row r="1506" spans="1:13" ht="18" customHeight="1" x14ac:dyDescent="0.25">
      <c r="A1506" s="40" t="str">
        <f>IF(Agent08_Withdrawals!A113="","",Agent08_Withdrawals!A113)</f>
        <v/>
      </c>
      <c r="B1506" s="40" t="str">
        <f ca="1">IF(Agent08_Withdrawals!A113="","","WD"&amp;TEXT(1506-3,"0000")&amp;"-"&amp;TEXT(TODAY(),"YYYYMMDD"))</f>
        <v/>
      </c>
      <c r="C1506" s="40" t="str">
        <f>IF(Agent08_Withdrawals!A113="","",Agent08_Withdrawals!B113)</f>
        <v/>
      </c>
      <c r="D1506" s="43" t="str">
        <f>IF(Agent08_Withdrawals!A113="","",Agent08_Withdrawals!C113)</f>
        <v/>
      </c>
      <c r="E1506" s="41" t="str">
        <f>IF(Agent08_Withdrawals!A113="","",Agent08_Withdrawals!D113)</f>
        <v/>
      </c>
      <c r="F1506" s="40" t="str">
        <f>IF(Agent08_Withdrawals!A113="","",Agent08_Withdrawals!F113)</f>
        <v/>
      </c>
      <c r="G1506" s="42" t="str">
        <f>IF(Agent08_Withdrawals!A113="","",Agent08_Withdrawals!E113)</f>
        <v/>
      </c>
      <c r="H1506" s="42" t="str">
        <f>IF(Agent08_Withdrawals!A113="","",Agent08_Withdrawals!G113)</f>
        <v/>
      </c>
      <c r="I1506" s="40" t="str">
        <f>IF(Agent08_Withdrawals!A113="","",Agent08_Withdrawals!H113)</f>
        <v/>
      </c>
      <c r="J1506" s="40" t="str">
        <f>IF(Agent08_Withdrawals!A113="","",Agent08_Withdrawals!J113)</f>
        <v/>
      </c>
      <c r="K1506" s="40" t="str">
        <f>IF(Agent08_Withdrawals!A113="","",Agent08_Withdrawals!K113)</f>
        <v/>
      </c>
      <c r="L1506" s="40" t="str">
        <f>IF(G1506="","",IF(D1506-G1506&gt;=System_Config!$B$9,"✅ OK","⚠️ BREACH"))</f>
        <v/>
      </c>
      <c r="M1506" s="40" t="str">
        <f>IFERROR(IF(Agent08_Withdrawals!A113="","",YEAR(Agent08_Withdrawals!D113)),"")</f>
        <v/>
      </c>
    </row>
    <row r="1507" spans="1:13" ht="18" customHeight="1" x14ac:dyDescent="0.25">
      <c r="A1507" s="40" t="str">
        <f>IF(Agent08_Withdrawals!A114="","",Agent08_Withdrawals!A114)</f>
        <v/>
      </c>
      <c r="B1507" s="40" t="str">
        <f ca="1">IF(Agent08_Withdrawals!A114="","","WD"&amp;TEXT(1507-3,"0000")&amp;"-"&amp;TEXT(TODAY(),"YYYYMMDD"))</f>
        <v/>
      </c>
      <c r="C1507" s="40" t="str">
        <f>IF(Agent08_Withdrawals!A114="","",Agent08_Withdrawals!B114)</f>
        <v/>
      </c>
      <c r="D1507" s="43" t="str">
        <f>IF(Agent08_Withdrawals!A114="","",Agent08_Withdrawals!C114)</f>
        <v/>
      </c>
      <c r="E1507" s="41" t="str">
        <f>IF(Agent08_Withdrawals!A114="","",Agent08_Withdrawals!D114)</f>
        <v/>
      </c>
      <c r="F1507" s="40" t="str">
        <f>IF(Agent08_Withdrawals!A114="","",Agent08_Withdrawals!F114)</f>
        <v/>
      </c>
      <c r="G1507" s="42" t="str">
        <f>IF(Agent08_Withdrawals!A114="","",Agent08_Withdrawals!E114)</f>
        <v/>
      </c>
      <c r="H1507" s="42" t="str">
        <f>IF(Agent08_Withdrawals!A114="","",Agent08_Withdrawals!G114)</f>
        <v/>
      </c>
      <c r="I1507" s="40" t="str">
        <f>IF(Agent08_Withdrawals!A114="","",Agent08_Withdrawals!H114)</f>
        <v/>
      </c>
      <c r="J1507" s="40" t="str">
        <f>IF(Agent08_Withdrawals!A114="","",Agent08_Withdrawals!J114)</f>
        <v/>
      </c>
      <c r="K1507" s="40" t="str">
        <f>IF(Agent08_Withdrawals!A114="","",Agent08_Withdrawals!K114)</f>
        <v/>
      </c>
      <c r="L1507" s="40" t="str">
        <f>IF(G1507="","",IF(D1507-G1507&gt;=System_Config!$B$9,"✅ OK","⚠️ BREACH"))</f>
        <v/>
      </c>
      <c r="M1507" s="40" t="str">
        <f>IFERROR(IF(Agent08_Withdrawals!A114="","",YEAR(Agent08_Withdrawals!D114)),"")</f>
        <v/>
      </c>
    </row>
    <row r="1508" spans="1:13" ht="18" customHeight="1" x14ac:dyDescent="0.25">
      <c r="A1508" s="40" t="str">
        <f>IF(Agent08_Withdrawals!A115="","",Agent08_Withdrawals!A115)</f>
        <v/>
      </c>
      <c r="B1508" s="40" t="str">
        <f ca="1">IF(Agent08_Withdrawals!A115="","","WD"&amp;TEXT(1508-3,"0000")&amp;"-"&amp;TEXT(TODAY(),"YYYYMMDD"))</f>
        <v/>
      </c>
      <c r="C1508" s="40" t="str">
        <f>IF(Agent08_Withdrawals!A115="","",Agent08_Withdrawals!B115)</f>
        <v/>
      </c>
      <c r="D1508" s="43" t="str">
        <f>IF(Agent08_Withdrawals!A115="","",Agent08_Withdrawals!C115)</f>
        <v/>
      </c>
      <c r="E1508" s="41" t="str">
        <f>IF(Agent08_Withdrawals!A115="","",Agent08_Withdrawals!D115)</f>
        <v/>
      </c>
      <c r="F1508" s="40" t="str">
        <f>IF(Agent08_Withdrawals!A115="","",Agent08_Withdrawals!F115)</f>
        <v/>
      </c>
      <c r="G1508" s="42" t="str">
        <f>IF(Agent08_Withdrawals!A115="","",Agent08_Withdrawals!E115)</f>
        <v/>
      </c>
      <c r="H1508" s="42" t="str">
        <f>IF(Agent08_Withdrawals!A115="","",Agent08_Withdrawals!G115)</f>
        <v/>
      </c>
      <c r="I1508" s="40" t="str">
        <f>IF(Agent08_Withdrawals!A115="","",Agent08_Withdrawals!H115)</f>
        <v/>
      </c>
      <c r="J1508" s="40" t="str">
        <f>IF(Agent08_Withdrawals!A115="","",Agent08_Withdrawals!J115)</f>
        <v/>
      </c>
      <c r="K1508" s="40" t="str">
        <f>IF(Agent08_Withdrawals!A115="","",Agent08_Withdrawals!K115)</f>
        <v/>
      </c>
      <c r="L1508" s="40" t="str">
        <f>IF(G1508="","",IF(D1508-G1508&gt;=System_Config!$B$9,"✅ OK","⚠️ BREACH"))</f>
        <v/>
      </c>
      <c r="M1508" s="40" t="str">
        <f>IFERROR(IF(Agent08_Withdrawals!A115="","",YEAR(Agent08_Withdrawals!D115)),"")</f>
        <v/>
      </c>
    </row>
    <row r="1509" spans="1:13" ht="18" customHeight="1" x14ac:dyDescent="0.25">
      <c r="A1509" s="40" t="str">
        <f>IF(Agent08_Withdrawals!A116="","",Agent08_Withdrawals!A116)</f>
        <v/>
      </c>
      <c r="B1509" s="40" t="str">
        <f ca="1">IF(Agent08_Withdrawals!A116="","","WD"&amp;TEXT(1509-3,"0000")&amp;"-"&amp;TEXT(TODAY(),"YYYYMMDD"))</f>
        <v/>
      </c>
      <c r="C1509" s="40" t="str">
        <f>IF(Agent08_Withdrawals!A116="","",Agent08_Withdrawals!B116)</f>
        <v/>
      </c>
      <c r="D1509" s="43" t="str">
        <f>IF(Agent08_Withdrawals!A116="","",Agent08_Withdrawals!C116)</f>
        <v/>
      </c>
      <c r="E1509" s="41" t="str">
        <f>IF(Agent08_Withdrawals!A116="","",Agent08_Withdrawals!D116)</f>
        <v/>
      </c>
      <c r="F1509" s="40" t="str">
        <f>IF(Agent08_Withdrawals!A116="","",Agent08_Withdrawals!F116)</f>
        <v/>
      </c>
      <c r="G1509" s="42" t="str">
        <f>IF(Agent08_Withdrawals!A116="","",Agent08_Withdrawals!E116)</f>
        <v/>
      </c>
      <c r="H1509" s="42" t="str">
        <f>IF(Agent08_Withdrawals!A116="","",Agent08_Withdrawals!G116)</f>
        <v/>
      </c>
      <c r="I1509" s="40" t="str">
        <f>IF(Agent08_Withdrawals!A116="","",Agent08_Withdrawals!H116)</f>
        <v/>
      </c>
      <c r="J1509" s="40" t="str">
        <f>IF(Agent08_Withdrawals!A116="","",Agent08_Withdrawals!J116)</f>
        <v/>
      </c>
      <c r="K1509" s="40" t="str">
        <f>IF(Agent08_Withdrawals!A116="","",Agent08_Withdrawals!K116)</f>
        <v/>
      </c>
      <c r="L1509" s="40" t="str">
        <f>IF(G1509="","",IF(D1509-G1509&gt;=System_Config!$B$9,"✅ OK","⚠️ BREACH"))</f>
        <v/>
      </c>
      <c r="M1509" s="40" t="str">
        <f>IFERROR(IF(Agent08_Withdrawals!A116="","",YEAR(Agent08_Withdrawals!D116)),"")</f>
        <v/>
      </c>
    </row>
    <row r="1510" spans="1:13" ht="18" customHeight="1" x14ac:dyDescent="0.25">
      <c r="A1510" s="40" t="str">
        <f>IF(Agent08_Withdrawals!A117="","",Agent08_Withdrawals!A117)</f>
        <v/>
      </c>
      <c r="B1510" s="40" t="str">
        <f ca="1">IF(Agent08_Withdrawals!A117="","","WD"&amp;TEXT(1510-3,"0000")&amp;"-"&amp;TEXT(TODAY(),"YYYYMMDD"))</f>
        <v/>
      </c>
      <c r="C1510" s="40" t="str">
        <f>IF(Agent08_Withdrawals!A117="","",Agent08_Withdrawals!B117)</f>
        <v/>
      </c>
      <c r="D1510" s="43" t="str">
        <f>IF(Agent08_Withdrawals!A117="","",Agent08_Withdrawals!C117)</f>
        <v/>
      </c>
      <c r="E1510" s="41" t="str">
        <f>IF(Agent08_Withdrawals!A117="","",Agent08_Withdrawals!D117)</f>
        <v/>
      </c>
      <c r="F1510" s="40" t="str">
        <f>IF(Agent08_Withdrawals!A117="","",Agent08_Withdrawals!F117)</f>
        <v/>
      </c>
      <c r="G1510" s="42" t="str">
        <f>IF(Agent08_Withdrawals!A117="","",Agent08_Withdrawals!E117)</f>
        <v/>
      </c>
      <c r="H1510" s="42" t="str">
        <f>IF(Agent08_Withdrawals!A117="","",Agent08_Withdrawals!G117)</f>
        <v/>
      </c>
      <c r="I1510" s="40" t="str">
        <f>IF(Agent08_Withdrawals!A117="","",Agent08_Withdrawals!H117)</f>
        <v/>
      </c>
      <c r="J1510" s="40" t="str">
        <f>IF(Agent08_Withdrawals!A117="","",Agent08_Withdrawals!J117)</f>
        <v/>
      </c>
      <c r="K1510" s="40" t="str">
        <f>IF(Agent08_Withdrawals!A117="","",Agent08_Withdrawals!K117)</f>
        <v/>
      </c>
      <c r="L1510" s="40" t="str">
        <f>IF(G1510="","",IF(D1510-G1510&gt;=System_Config!$B$9,"✅ OK","⚠️ BREACH"))</f>
        <v/>
      </c>
      <c r="M1510" s="40" t="str">
        <f>IFERROR(IF(Agent08_Withdrawals!A117="","",YEAR(Agent08_Withdrawals!D117)),"")</f>
        <v/>
      </c>
    </row>
    <row r="1511" spans="1:13" ht="18" customHeight="1" x14ac:dyDescent="0.25">
      <c r="A1511" s="40" t="str">
        <f>IF(Agent08_Withdrawals!A118="","",Agent08_Withdrawals!A118)</f>
        <v/>
      </c>
      <c r="B1511" s="40" t="str">
        <f ca="1">IF(Agent08_Withdrawals!A118="","","WD"&amp;TEXT(1511-3,"0000")&amp;"-"&amp;TEXT(TODAY(),"YYYYMMDD"))</f>
        <v/>
      </c>
      <c r="C1511" s="40" t="str">
        <f>IF(Agent08_Withdrawals!A118="","",Agent08_Withdrawals!B118)</f>
        <v/>
      </c>
      <c r="D1511" s="43" t="str">
        <f>IF(Agent08_Withdrawals!A118="","",Agent08_Withdrawals!C118)</f>
        <v/>
      </c>
      <c r="E1511" s="41" t="str">
        <f>IF(Agent08_Withdrawals!A118="","",Agent08_Withdrawals!D118)</f>
        <v/>
      </c>
      <c r="F1511" s="40" t="str">
        <f>IF(Agent08_Withdrawals!A118="","",Agent08_Withdrawals!F118)</f>
        <v/>
      </c>
      <c r="G1511" s="42" t="str">
        <f>IF(Agent08_Withdrawals!A118="","",Agent08_Withdrawals!E118)</f>
        <v/>
      </c>
      <c r="H1511" s="42" t="str">
        <f>IF(Agent08_Withdrawals!A118="","",Agent08_Withdrawals!G118)</f>
        <v/>
      </c>
      <c r="I1511" s="40" t="str">
        <f>IF(Agent08_Withdrawals!A118="","",Agent08_Withdrawals!H118)</f>
        <v/>
      </c>
      <c r="J1511" s="40" t="str">
        <f>IF(Agent08_Withdrawals!A118="","",Agent08_Withdrawals!J118)</f>
        <v/>
      </c>
      <c r="K1511" s="40" t="str">
        <f>IF(Agent08_Withdrawals!A118="","",Agent08_Withdrawals!K118)</f>
        <v/>
      </c>
      <c r="L1511" s="40" t="str">
        <f>IF(G1511="","",IF(D1511-G1511&gt;=System_Config!$B$9,"✅ OK","⚠️ BREACH"))</f>
        <v/>
      </c>
      <c r="M1511" s="40" t="str">
        <f>IFERROR(IF(Agent08_Withdrawals!A118="","",YEAR(Agent08_Withdrawals!D118)),"")</f>
        <v/>
      </c>
    </row>
    <row r="1512" spans="1:13" ht="18" customHeight="1" x14ac:dyDescent="0.25">
      <c r="A1512" s="40" t="str">
        <f>IF(Agent08_Withdrawals!A119="","",Agent08_Withdrawals!A119)</f>
        <v/>
      </c>
      <c r="B1512" s="40" t="str">
        <f ca="1">IF(Agent08_Withdrawals!A119="","","WD"&amp;TEXT(1512-3,"0000")&amp;"-"&amp;TEXT(TODAY(),"YYYYMMDD"))</f>
        <v/>
      </c>
      <c r="C1512" s="40" t="str">
        <f>IF(Agent08_Withdrawals!A119="","",Agent08_Withdrawals!B119)</f>
        <v/>
      </c>
      <c r="D1512" s="43" t="str">
        <f>IF(Agent08_Withdrawals!A119="","",Agent08_Withdrawals!C119)</f>
        <v/>
      </c>
      <c r="E1512" s="41" t="str">
        <f>IF(Agent08_Withdrawals!A119="","",Agent08_Withdrawals!D119)</f>
        <v/>
      </c>
      <c r="F1512" s="40" t="str">
        <f>IF(Agent08_Withdrawals!A119="","",Agent08_Withdrawals!F119)</f>
        <v/>
      </c>
      <c r="G1512" s="42" t="str">
        <f>IF(Agent08_Withdrawals!A119="","",Agent08_Withdrawals!E119)</f>
        <v/>
      </c>
      <c r="H1512" s="42" t="str">
        <f>IF(Agent08_Withdrawals!A119="","",Agent08_Withdrawals!G119)</f>
        <v/>
      </c>
      <c r="I1512" s="40" t="str">
        <f>IF(Agent08_Withdrawals!A119="","",Agent08_Withdrawals!H119)</f>
        <v/>
      </c>
      <c r="J1512" s="40" t="str">
        <f>IF(Agent08_Withdrawals!A119="","",Agent08_Withdrawals!J119)</f>
        <v/>
      </c>
      <c r="K1512" s="40" t="str">
        <f>IF(Agent08_Withdrawals!A119="","",Agent08_Withdrawals!K119)</f>
        <v/>
      </c>
      <c r="L1512" s="40" t="str">
        <f>IF(G1512="","",IF(D1512-G1512&gt;=System_Config!$B$9,"✅ OK","⚠️ BREACH"))</f>
        <v/>
      </c>
      <c r="M1512" s="40" t="str">
        <f>IFERROR(IF(Agent08_Withdrawals!A119="","",YEAR(Agent08_Withdrawals!D119)),"")</f>
        <v/>
      </c>
    </row>
    <row r="1513" spans="1:13" ht="18" customHeight="1" x14ac:dyDescent="0.25">
      <c r="A1513" s="40" t="str">
        <f>IF(Agent08_Withdrawals!A120="","",Agent08_Withdrawals!A120)</f>
        <v/>
      </c>
      <c r="B1513" s="40" t="str">
        <f ca="1">IF(Agent08_Withdrawals!A120="","","WD"&amp;TEXT(1513-3,"0000")&amp;"-"&amp;TEXT(TODAY(),"YYYYMMDD"))</f>
        <v/>
      </c>
      <c r="C1513" s="40" t="str">
        <f>IF(Agent08_Withdrawals!A120="","",Agent08_Withdrawals!B120)</f>
        <v/>
      </c>
      <c r="D1513" s="43" t="str">
        <f>IF(Agent08_Withdrawals!A120="","",Agent08_Withdrawals!C120)</f>
        <v/>
      </c>
      <c r="E1513" s="41" t="str">
        <f>IF(Agent08_Withdrawals!A120="","",Agent08_Withdrawals!D120)</f>
        <v/>
      </c>
      <c r="F1513" s="40" t="str">
        <f>IF(Agent08_Withdrawals!A120="","",Agent08_Withdrawals!F120)</f>
        <v/>
      </c>
      <c r="G1513" s="42" t="str">
        <f>IF(Agent08_Withdrawals!A120="","",Agent08_Withdrawals!E120)</f>
        <v/>
      </c>
      <c r="H1513" s="42" t="str">
        <f>IF(Agent08_Withdrawals!A120="","",Agent08_Withdrawals!G120)</f>
        <v/>
      </c>
      <c r="I1513" s="40" t="str">
        <f>IF(Agent08_Withdrawals!A120="","",Agent08_Withdrawals!H120)</f>
        <v/>
      </c>
      <c r="J1513" s="40" t="str">
        <f>IF(Agent08_Withdrawals!A120="","",Agent08_Withdrawals!J120)</f>
        <v/>
      </c>
      <c r="K1513" s="40" t="str">
        <f>IF(Agent08_Withdrawals!A120="","",Agent08_Withdrawals!K120)</f>
        <v/>
      </c>
      <c r="L1513" s="40" t="str">
        <f>IF(G1513="","",IF(D1513-G1513&gt;=System_Config!$B$9,"✅ OK","⚠️ BREACH"))</f>
        <v/>
      </c>
      <c r="M1513" s="40" t="str">
        <f>IFERROR(IF(Agent08_Withdrawals!A120="","",YEAR(Agent08_Withdrawals!D120)),"")</f>
        <v/>
      </c>
    </row>
    <row r="1514" spans="1:13" ht="18" customHeight="1" x14ac:dyDescent="0.25">
      <c r="A1514" s="40" t="str">
        <f>IF(Agent08_Withdrawals!A121="","",Agent08_Withdrawals!A121)</f>
        <v/>
      </c>
      <c r="B1514" s="40" t="str">
        <f ca="1">IF(Agent08_Withdrawals!A121="","","WD"&amp;TEXT(1514-3,"0000")&amp;"-"&amp;TEXT(TODAY(),"YYYYMMDD"))</f>
        <v/>
      </c>
      <c r="C1514" s="40" t="str">
        <f>IF(Agent08_Withdrawals!A121="","",Agent08_Withdrawals!B121)</f>
        <v/>
      </c>
      <c r="D1514" s="43" t="str">
        <f>IF(Agent08_Withdrawals!A121="","",Agent08_Withdrawals!C121)</f>
        <v/>
      </c>
      <c r="E1514" s="41" t="str">
        <f>IF(Agent08_Withdrawals!A121="","",Agent08_Withdrawals!D121)</f>
        <v/>
      </c>
      <c r="F1514" s="40" t="str">
        <f>IF(Agent08_Withdrawals!A121="","",Agent08_Withdrawals!F121)</f>
        <v/>
      </c>
      <c r="G1514" s="42" t="str">
        <f>IF(Agent08_Withdrawals!A121="","",Agent08_Withdrawals!E121)</f>
        <v/>
      </c>
      <c r="H1514" s="42" t="str">
        <f>IF(Agent08_Withdrawals!A121="","",Agent08_Withdrawals!G121)</f>
        <v/>
      </c>
      <c r="I1514" s="40" t="str">
        <f>IF(Agent08_Withdrawals!A121="","",Agent08_Withdrawals!H121)</f>
        <v/>
      </c>
      <c r="J1514" s="40" t="str">
        <f>IF(Agent08_Withdrawals!A121="","",Agent08_Withdrawals!J121)</f>
        <v/>
      </c>
      <c r="K1514" s="40" t="str">
        <f>IF(Agent08_Withdrawals!A121="","",Agent08_Withdrawals!K121)</f>
        <v/>
      </c>
      <c r="L1514" s="40" t="str">
        <f>IF(G1514="","",IF(D1514-G1514&gt;=System_Config!$B$9,"✅ OK","⚠️ BREACH"))</f>
        <v/>
      </c>
      <c r="M1514" s="40" t="str">
        <f>IFERROR(IF(Agent08_Withdrawals!A121="","",YEAR(Agent08_Withdrawals!D121)),"")</f>
        <v/>
      </c>
    </row>
    <row r="1515" spans="1:13" ht="18" customHeight="1" x14ac:dyDescent="0.25">
      <c r="A1515" s="40" t="str">
        <f>IF(Agent08_Withdrawals!A122="","",Agent08_Withdrawals!A122)</f>
        <v/>
      </c>
      <c r="B1515" s="40" t="str">
        <f ca="1">IF(Agent08_Withdrawals!A122="","","WD"&amp;TEXT(1515-3,"0000")&amp;"-"&amp;TEXT(TODAY(),"YYYYMMDD"))</f>
        <v/>
      </c>
      <c r="C1515" s="40" t="str">
        <f>IF(Agent08_Withdrawals!A122="","",Agent08_Withdrawals!B122)</f>
        <v/>
      </c>
      <c r="D1515" s="43" t="str">
        <f>IF(Agent08_Withdrawals!A122="","",Agent08_Withdrawals!C122)</f>
        <v/>
      </c>
      <c r="E1515" s="41" t="str">
        <f>IF(Agent08_Withdrawals!A122="","",Agent08_Withdrawals!D122)</f>
        <v/>
      </c>
      <c r="F1515" s="40" t="str">
        <f>IF(Agent08_Withdrawals!A122="","",Agent08_Withdrawals!F122)</f>
        <v/>
      </c>
      <c r="G1515" s="42" t="str">
        <f>IF(Agent08_Withdrawals!A122="","",Agent08_Withdrawals!E122)</f>
        <v/>
      </c>
      <c r="H1515" s="42" t="str">
        <f>IF(Agent08_Withdrawals!A122="","",Agent08_Withdrawals!G122)</f>
        <v/>
      </c>
      <c r="I1515" s="40" t="str">
        <f>IF(Agent08_Withdrawals!A122="","",Agent08_Withdrawals!H122)</f>
        <v/>
      </c>
      <c r="J1515" s="40" t="str">
        <f>IF(Agent08_Withdrawals!A122="","",Agent08_Withdrawals!J122)</f>
        <v/>
      </c>
      <c r="K1515" s="40" t="str">
        <f>IF(Agent08_Withdrawals!A122="","",Agent08_Withdrawals!K122)</f>
        <v/>
      </c>
      <c r="L1515" s="40" t="str">
        <f>IF(G1515="","",IF(D1515-G1515&gt;=System_Config!$B$9,"✅ OK","⚠️ BREACH"))</f>
        <v/>
      </c>
      <c r="M1515" s="40" t="str">
        <f>IFERROR(IF(Agent08_Withdrawals!A122="","",YEAR(Agent08_Withdrawals!D122)),"")</f>
        <v/>
      </c>
    </row>
    <row r="1516" spans="1:13" ht="18" customHeight="1" x14ac:dyDescent="0.25">
      <c r="A1516" s="40" t="str">
        <f>IF(Agent08_Withdrawals!A123="","",Agent08_Withdrawals!A123)</f>
        <v/>
      </c>
      <c r="B1516" s="40" t="str">
        <f ca="1">IF(Agent08_Withdrawals!A123="","","WD"&amp;TEXT(1516-3,"0000")&amp;"-"&amp;TEXT(TODAY(),"YYYYMMDD"))</f>
        <v/>
      </c>
      <c r="C1516" s="40" t="str">
        <f>IF(Agent08_Withdrawals!A123="","",Agent08_Withdrawals!B123)</f>
        <v/>
      </c>
      <c r="D1516" s="43" t="str">
        <f>IF(Agent08_Withdrawals!A123="","",Agent08_Withdrawals!C123)</f>
        <v/>
      </c>
      <c r="E1516" s="41" t="str">
        <f>IF(Agent08_Withdrawals!A123="","",Agent08_Withdrawals!D123)</f>
        <v/>
      </c>
      <c r="F1516" s="40" t="str">
        <f>IF(Agent08_Withdrawals!A123="","",Agent08_Withdrawals!F123)</f>
        <v/>
      </c>
      <c r="G1516" s="42" t="str">
        <f>IF(Agent08_Withdrawals!A123="","",Agent08_Withdrawals!E123)</f>
        <v/>
      </c>
      <c r="H1516" s="42" t="str">
        <f>IF(Agent08_Withdrawals!A123="","",Agent08_Withdrawals!G123)</f>
        <v/>
      </c>
      <c r="I1516" s="40" t="str">
        <f>IF(Agent08_Withdrawals!A123="","",Agent08_Withdrawals!H123)</f>
        <v/>
      </c>
      <c r="J1516" s="40" t="str">
        <f>IF(Agent08_Withdrawals!A123="","",Agent08_Withdrawals!J123)</f>
        <v/>
      </c>
      <c r="K1516" s="40" t="str">
        <f>IF(Agent08_Withdrawals!A123="","",Agent08_Withdrawals!K123)</f>
        <v/>
      </c>
      <c r="L1516" s="40" t="str">
        <f>IF(G1516="","",IF(D1516-G1516&gt;=System_Config!$B$9,"✅ OK","⚠️ BREACH"))</f>
        <v/>
      </c>
      <c r="M1516" s="40" t="str">
        <f>IFERROR(IF(Agent08_Withdrawals!A123="","",YEAR(Agent08_Withdrawals!D123)),"")</f>
        <v/>
      </c>
    </row>
    <row r="1517" spans="1:13" ht="18" customHeight="1" x14ac:dyDescent="0.25">
      <c r="A1517" s="40" t="str">
        <f>IF(Agent08_Withdrawals!A124="","",Agent08_Withdrawals!A124)</f>
        <v/>
      </c>
      <c r="B1517" s="40" t="str">
        <f ca="1">IF(Agent08_Withdrawals!A124="","","WD"&amp;TEXT(1517-3,"0000")&amp;"-"&amp;TEXT(TODAY(),"YYYYMMDD"))</f>
        <v/>
      </c>
      <c r="C1517" s="40" t="str">
        <f>IF(Agent08_Withdrawals!A124="","",Agent08_Withdrawals!B124)</f>
        <v/>
      </c>
      <c r="D1517" s="43" t="str">
        <f>IF(Agent08_Withdrawals!A124="","",Agent08_Withdrawals!C124)</f>
        <v/>
      </c>
      <c r="E1517" s="41" t="str">
        <f>IF(Agent08_Withdrawals!A124="","",Agent08_Withdrawals!D124)</f>
        <v/>
      </c>
      <c r="F1517" s="40" t="str">
        <f>IF(Agent08_Withdrawals!A124="","",Agent08_Withdrawals!F124)</f>
        <v/>
      </c>
      <c r="G1517" s="42" t="str">
        <f>IF(Agent08_Withdrawals!A124="","",Agent08_Withdrawals!E124)</f>
        <v/>
      </c>
      <c r="H1517" s="42" t="str">
        <f>IF(Agent08_Withdrawals!A124="","",Agent08_Withdrawals!G124)</f>
        <v/>
      </c>
      <c r="I1517" s="40" t="str">
        <f>IF(Agent08_Withdrawals!A124="","",Agent08_Withdrawals!H124)</f>
        <v/>
      </c>
      <c r="J1517" s="40" t="str">
        <f>IF(Agent08_Withdrawals!A124="","",Agent08_Withdrawals!J124)</f>
        <v/>
      </c>
      <c r="K1517" s="40" t="str">
        <f>IF(Agent08_Withdrawals!A124="","",Agent08_Withdrawals!K124)</f>
        <v/>
      </c>
      <c r="L1517" s="40" t="str">
        <f>IF(G1517="","",IF(D1517-G1517&gt;=System_Config!$B$9,"✅ OK","⚠️ BREACH"))</f>
        <v/>
      </c>
      <c r="M1517" s="40" t="str">
        <f>IFERROR(IF(Agent08_Withdrawals!A124="","",YEAR(Agent08_Withdrawals!D124)),"")</f>
        <v/>
      </c>
    </row>
    <row r="1518" spans="1:13" ht="18" customHeight="1" x14ac:dyDescent="0.25">
      <c r="A1518" s="40" t="str">
        <f>IF(Agent08_Withdrawals!A125="","",Agent08_Withdrawals!A125)</f>
        <v/>
      </c>
      <c r="B1518" s="40" t="str">
        <f ca="1">IF(Agent08_Withdrawals!A125="","","WD"&amp;TEXT(1518-3,"0000")&amp;"-"&amp;TEXT(TODAY(),"YYYYMMDD"))</f>
        <v/>
      </c>
      <c r="C1518" s="40" t="str">
        <f>IF(Agent08_Withdrawals!A125="","",Agent08_Withdrawals!B125)</f>
        <v/>
      </c>
      <c r="D1518" s="43" t="str">
        <f>IF(Agent08_Withdrawals!A125="","",Agent08_Withdrawals!C125)</f>
        <v/>
      </c>
      <c r="E1518" s="41" t="str">
        <f>IF(Agent08_Withdrawals!A125="","",Agent08_Withdrawals!D125)</f>
        <v/>
      </c>
      <c r="F1518" s="40" t="str">
        <f>IF(Agent08_Withdrawals!A125="","",Agent08_Withdrawals!F125)</f>
        <v/>
      </c>
      <c r="G1518" s="42" t="str">
        <f>IF(Agent08_Withdrawals!A125="","",Agent08_Withdrawals!E125)</f>
        <v/>
      </c>
      <c r="H1518" s="42" t="str">
        <f>IF(Agent08_Withdrawals!A125="","",Agent08_Withdrawals!G125)</f>
        <v/>
      </c>
      <c r="I1518" s="40" t="str">
        <f>IF(Agent08_Withdrawals!A125="","",Agent08_Withdrawals!H125)</f>
        <v/>
      </c>
      <c r="J1518" s="40" t="str">
        <f>IF(Agent08_Withdrawals!A125="","",Agent08_Withdrawals!J125)</f>
        <v/>
      </c>
      <c r="K1518" s="40" t="str">
        <f>IF(Agent08_Withdrawals!A125="","",Agent08_Withdrawals!K125)</f>
        <v/>
      </c>
      <c r="L1518" s="40" t="str">
        <f>IF(G1518="","",IF(D1518-G1518&gt;=System_Config!$B$9,"✅ OK","⚠️ BREACH"))</f>
        <v/>
      </c>
      <c r="M1518" s="40" t="str">
        <f>IFERROR(IF(Agent08_Withdrawals!A125="","",YEAR(Agent08_Withdrawals!D125)),"")</f>
        <v/>
      </c>
    </row>
    <row r="1519" spans="1:13" ht="18" customHeight="1" x14ac:dyDescent="0.25">
      <c r="A1519" s="40" t="str">
        <f>IF(Agent08_Withdrawals!A126="","",Agent08_Withdrawals!A126)</f>
        <v/>
      </c>
      <c r="B1519" s="40" t="str">
        <f ca="1">IF(Agent08_Withdrawals!A126="","","WD"&amp;TEXT(1519-3,"0000")&amp;"-"&amp;TEXT(TODAY(),"YYYYMMDD"))</f>
        <v/>
      </c>
      <c r="C1519" s="40" t="str">
        <f>IF(Agent08_Withdrawals!A126="","",Agent08_Withdrawals!B126)</f>
        <v/>
      </c>
      <c r="D1519" s="43" t="str">
        <f>IF(Agent08_Withdrawals!A126="","",Agent08_Withdrawals!C126)</f>
        <v/>
      </c>
      <c r="E1519" s="41" t="str">
        <f>IF(Agent08_Withdrawals!A126="","",Agent08_Withdrawals!D126)</f>
        <v/>
      </c>
      <c r="F1519" s="40" t="str">
        <f>IF(Agent08_Withdrawals!A126="","",Agent08_Withdrawals!F126)</f>
        <v/>
      </c>
      <c r="G1519" s="42" t="str">
        <f>IF(Agent08_Withdrawals!A126="","",Agent08_Withdrawals!E126)</f>
        <v/>
      </c>
      <c r="H1519" s="42" t="str">
        <f>IF(Agent08_Withdrawals!A126="","",Agent08_Withdrawals!G126)</f>
        <v/>
      </c>
      <c r="I1519" s="40" t="str">
        <f>IF(Agent08_Withdrawals!A126="","",Agent08_Withdrawals!H126)</f>
        <v/>
      </c>
      <c r="J1519" s="40" t="str">
        <f>IF(Agent08_Withdrawals!A126="","",Agent08_Withdrawals!J126)</f>
        <v/>
      </c>
      <c r="K1519" s="40" t="str">
        <f>IF(Agent08_Withdrawals!A126="","",Agent08_Withdrawals!K126)</f>
        <v/>
      </c>
      <c r="L1519" s="40" t="str">
        <f>IF(G1519="","",IF(D1519-G1519&gt;=System_Config!$B$9,"✅ OK","⚠️ BREACH"))</f>
        <v/>
      </c>
      <c r="M1519" s="40" t="str">
        <f>IFERROR(IF(Agent08_Withdrawals!A126="","",YEAR(Agent08_Withdrawals!D126)),"")</f>
        <v/>
      </c>
    </row>
    <row r="1520" spans="1:13" ht="18" customHeight="1" x14ac:dyDescent="0.25">
      <c r="A1520" s="40" t="str">
        <f>IF(Agent08_Withdrawals!A127="","",Agent08_Withdrawals!A127)</f>
        <v/>
      </c>
      <c r="B1520" s="40" t="str">
        <f ca="1">IF(Agent08_Withdrawals!A127="","","WD"&amp;TEXT(1520-3,"0000")&amp;"-"&amp;TEXT(TODAY(),"YYYYMMDD"))</f>
        <v/>
      </c>
      <c r="C1520" s="40" t="str">
        <f>IF(Agent08_Withdrawals!A127="","",Agent08_Withdrawals!B127)</f>
        <v/>
      </c>
      <c r="D1520" s="43" t="str">
        <f>IF(Agent08_Withdrawals!A127="","",Agent08_Withdrawals!C127)</f>
        <v/>
      </c>
      <c r="E1520" s="41" t="str">
        <f>IF(Agent08_Withdrawals!A127="","",Agent08_Withdrawals!D127)</f>
        <v/>
      </c>
      <c r="F1520" s="40" t="str">
        <f>IF(Agent08_Withdrawals!A127="","",Agent08_Withdrawals!F127)</f>
        <v/>
      </c>
      <c r="G1520" s="42" t="str">
        <f>IF(Agent08_Withdrawals!A127="","",Agent08_Withdrawals!E127)</f>
        <v/>
      </c>
      <c r="H1520" s="42" t="str">
        <f>IF(Agent08_Withdrawals!A127="","",Agent08_Withdrawals!G127)</f>
        <v/>
      </c>
      <c r="I1520" s="40" t="str">
        <f>IF(Agent08_Withdrawals!A127="","",Agent08_Withdrawals!H127)</f>
        <v/>
      </c>
      <c r="J1520" s="40" t="str">
        <f>IF(Agent08_Withdrawals!A127="","",Agent08_Withdrawals!J127)</f>
        <v/>
      </c>
      <c r="K1520" s="40" t="str">
        <f>IF(Agent08_Withdrawals!A127="","",Agent08_Withdrawals!K127)</f>
        <v/>
      </c>
      <c r="L1520" s="40" t="str">
        <f>IF(G1520="","",IF(D1520-G1520&gt;=System_Config!$B$9,"✅ OK","⚠️ BREACH"))</f>
        <v/>
      </c>
      <c r="M1520" s="40" t="str">
        <f>IFERROR(IF(Agent08_Withdrawals!A127="","",YEAR(Agent08_Withdrawals!D127)),"")</f>
        <v/>
      </c>
    </row>
    <row r="1521" spans="1:13" ht="18" customHeight="1" x14ac:dyDescent="0.25">
      <c r="A1521" s="40" t="str">
        <f>IF(Agent08_Withdrawals!A128="","",Agent08_Withdrawals!A128)</f>
        <v/>
      </c>
      <c r="B1521" s="40" t="str">
        <f ca="1">IF(Agent08_Withdrawals!A128="","","WD"&amp;TEXT(1521-3,"0000")&amp;"-"&amp;TEXT(TODAY(),"YYYYMMDD"))</f>
        <v/>
      </c>
      <c r="C1521" s="40" t="str">
        <f>IF(Agent08_Withdrawals!A128="","",Agent08_Withdrawals!B128)</f>
        <v/>
      </c>
      <c r="D1521" s="43" t="str">
        <f>IF(Agent08_Withdrawals!A128="","",Agent08_Withdrawals!C128)</f>
        <v/>
      </c>
      <c r="E1521" s="41" t="str">
        <f>IF(Agent08_Withdrawals!A128="","",Agent08_Withdrawals!D128)</f>
        <v/>
      </c>
      <c r="F1521" s="40" t="str">
        <f>IF(Agent08_Withdrawals!A128="","",Agent08_Withdrawals!F128)</f>
        <v/>
      </c>
      <c r="G1521" s="42" t="str">
        <f>IF(Agent08_Withdrawals!A128="","",Agent08_Withdrawals!E128)</f>
        <v/>
      </c>
      <c r="H1521" s="42" t="str">
        <f>IF(Agent08_Withdrawals!A128="","",Agent08_Withdrawals!G128)</f>
        <v/>
      </c>
      <c r="I1521" s="40" t="str">
        <f>IF(Agent08_Withdrawals!A128="","",Agent08_Withdrawals!H128)</f>
        <v/>
      </c>
      <c r="J1521" s="40" t="str">
        <f>IF(Agent08_Withdrawals!A128="","",Agent08_Withdrawals!J128)</f>
        <v/>
      </c>
      <c r="K1521" s="40" t="str">
        <f>IF(Agent08_Withdrawals!A128="","",Agent08_Withdrawals!K128)</f>
        <v/>
      </c>
      <c r="L1521" s="40" t="str">
        <f>IF(G1521="","",IF(D1521-G1521&gt;=System_Config!$B$9,"✅ OK","⚠️ BREACH"))</f>
        <v/>
      </c>
      <c r="M1521" s="40" t="str">
        <f>IFERROR(IF(Agent08_Withdrawals!A128="","",YEAR(Agent08_Withdrawals!D128)),"")</f>
        <v/>
      </c>
    </row>
    <row r="1522" spans="1:13" ht="18" customHeight="1" x14ac:dyDescent="0.25">
      <c r="A1522" s="40" t="str">
        <f>IF(Agent08_Withdrawals!A129="","",Agent08_Withdrawals!A129)</f>
        <v/>
      </c>
      <c r="B1522" s="40" t="str">
        <f ca="1">IF(Agent08_Withdrawals!A129="","","WD"&amp;TEXT(1522-3,"0000")&amp;"-"&amp;TEXT(TODAY(),"YYYYMMDD"))</f>
        <v/>
      </c>
      <c r="C1522" s="40" t="str">
        <f>IF(Agent08_Withdrawals!A129="","",Agent08_Withdrawals!B129)</f>
        <v/>
      </c>
      <c r="D1522" s="43" t="str">
        <f>IF(Agent08_Withdrawals!A129="","",Agent08_Withdrawals!C129)</f>
        <v/>
      </c>
      <c r="E1522" s="41" t="str">
        <f>IF(Agent08_Withdrawals!A129="","",Agent08_Withdrawals!D129)</f>
        <v/>
      </c>
      <c r="F1522" s="40" t="str">
        <f>IF(Agent08_Withdrawals!A129="","",Agent08_Withdrawals!F129)</f>
        <v/>
      </c>
      <c r="G1522" s="42" t="str">
        <f>IF(Agent08_Withdrawals!A129="","",Agent08_Withdrawals!E129)</f>
        <v/>
      </c>
      <c r="H1522" s="42" t="str">
        <f>IF(Agent08_Withdrawals!A129="","",Agent08_Withdrawals!G129)</f>
        <v/>
      </c>
      <c r="I1522" s="40" t="str">
        <f>IF(Agent08_Withdrawals!A129="","",Agent08_Withdrawals!H129)</f>
        <v/>
      </c>
      <c r="J1522" s="40" t="str">
        <f>IF(Agent08_Withdrawals!A129="","",Agent08_Withdrawals!J129)</f>
        <v/>
      </c>
      <c r="K1522" s="40" t="str">
        <f>IF(Agent08_Withdrawals!A129="","",Agent08_Withdrawals!K129)</f>
        <v/>
      </c>
      <c r="L1522" s="40" t="str">
        <f>IF(G1522="","",IF(D1522-G1522&gt;=System_Config!$B$9,"✅ OK","⚠️ BREACH"))</f>
        <v/>
      </c>
      <c r="M1522" s="40" t="str">
        <f>IFERROR(IF(Agent08_Withdrawals!A129="","",YEAR(Agent08_Withdrawals!D129)),"")</f>
        <v/>
      </c>
    </row>
    <row r="1523" spans="1:13" ht="18" customHeight="1" x14ac:dyDescent="0.25">
      <c r="A1523" s="40" t="str">
        <f>IF(Agent08_Withdrawals!A130="","",Agent08_Withdrawals!A130)</f>
        <v/>
      </c>
      <c r="B1523" s="40" t="str">
        <f ca="1">IF(Agent08_Withdrawals!A130="","","WD"&amp;TEXT(1523-3,"0000")&amp;"-"&amp;TEXT(TODAY(),"YYYYMMDD"))</f>
        <v/>
      </c>
      <c r="C1523" s="40" t="str">
        <f>IF(Agent08_Withdrawals!A130="","",Agent08_Withdrawals!B130)</f>
        <v/>
      </c>
      <c r="D1523" s="43" t="str">
        <f>IF(Agent08_Withdrawals!A130="","",Agent08_Withdrawals!C130)</f>
        <v/>
      </c>
      <c r="E1523" s="41" t="str">
        <f>IF(Agent08_Withdrawals!A130="","",Agent08_Withdrawals!D130)</f>
        <v/>
      </c>
      <c r="F1523" s="40" t="str">
        <f>IF(Agent08_Withdrawals!A130="","",Agent08_Withdrawals!F130)</f>
        <v/>
      </c>
      <c r="G1523" s="42" t="str">
        <f>IF(Agent08_Withdrawals!A130="","",Agent08_Withdrawals!E130)</f>
        <v/>
      </c>
      <c r="H1523" s="42" t="str">
        <f>IF(Agent08_Withdrawals!A130="","",Agent08_Withdrawals!G130)</f>
        <v/>
      </c>
      <c r="I1523" s="40" t="str">
        <f>IF(Agent08_Withdrawals!A130="","",Agent08_Withdrawals!H130)</f>
        <v/>
      </c>
      <c r="J1523" s="40" t="str">
        <f>IF(Agent08_Withdrawals!A130="","",Agent08_Withdrawals!J130)</f>
        <v/>
      </c>
      <c r="K1523" s="40" t="str">
        <f>IF(Agent08_Withdrawals!A130="","",Agent08_Withdrawals!K130)</f>
        <v/>
      </c>
      <c r="L1523" s="40" t="str">
        <f>IF(G1523="","",IF(D1523-G1523&gt;=System_Config!$B$9,"✅ OK","⚠️ BREACH"))</f>
        <v/>
      </c>
      <c r="M1523" s="40" t="str">
        <f>IFERROR(IF(Agent08_Withdrawals!A130="","",YEAR(Agent08_Withdrawals!D130)),"")</f>
        <v/>
      </c>
    </row>
    <row r="1524" spans="1:13" ht="18" customHeight="1" x14ac:dyDescent="0.25">
      <c r="A1524" s="40" t="str">
        <f>IF(Agent08_Withdrawals!A131="","",Agent08_Withdrawals!A131)</f>
        <v/>
      </c>
      <c r="B1524" s="40" t="str">
        <f ca="1">IF(Agent08_Withdrawals!A131="","","WD"&amp;TEXT(1524-3,"0000")&amp;"-"&amp;TEXT(TODAY(),"YYYYMMDD"))</f>
        <v/>
      </c>
      <c r="C1524" s="40" t="str">
        <f>IF(Agent08_Withdrawals!A131="","",Agent08_Withdrawals!B131)</f>
        <v/>
      </c>
      <c r="D1524" s="43" t="str">
        <f>IF(Agent08_Withdrawals!A131="","",Agent08_Withdrawals!C131)</f>
        <v/>
      </c>
      <c r="E1524" s="41" t="str">
        <f>IF(Agent08_Withdrawals!A131="","",Agent08_Withdrawals!D131)</f>
        <v/>
      </c>
      <c r="F1524" s="40" t="str">
        <f>IF(Agent08_Withdrawals!A131="","",Agent08_Withdrawals!F131)</f>
        <v/>
      </c>
      <c r="G1524" s="42" t="str">
        <f>IF(Agent08_Withdrawals!A131="","",Agent08_Withdrawals!E131)</f>
        <v/>
      </c>
      <c r="H1524" s="42" t="str">
        <f>IF(Agent08_Withdrawals!A131="","",Agent08_Withdrawals!G131)</f>
        <v/>
      </c>
      <c r="I1524" s="40" t="str">
        <f>IF(Agent08_Withdrawals!A131="","",Agent08_Withdrawals!H131)</f>
        <v/>
      </c>
      <c r="J1524" s="40" t="str">
        <f>IF(Agent08_Withdrawals!A131="","",Agent08_Withdrawals!J131)</f>
        <v/>
      </c>
      <c r="K1524" s="40" t="str">
        <f>IF(Agent08_Withdrawals!A131="","",Agent08_Withdrawals!K131)</f>
        <v/>
      </c>
      <c r="L1524" s="40" t="str">
        <f>IF(G1524="","",IF(D1524-G1524&gt;=System_Config!$B$9,"✅ OK","⚠️ BREACH"))</f>
        <v/>
      </c>
      <c r="M1524" s="40" t="str">
        <f>IFERROR(IF(Agent08_Withdrawals!A131="","",YEAR(Agent08_Withdrawals!D131)),"")</f>
        <v/>
      </c>
    </row>
    <row r="1525" spans="1:13" ht="18" customHeight="1" x14ac:dyDescent="0.25">
      <c r="A1525" s="40" t="str">
        <f>IF(Agent08_Withdrawals!A132="","",Agent08_Withdrawals!A132)</f>
        <v/>
      </c>
      <c r="B1525" s="40" t="str">
        <f ca="1">IF(Agent08_Withdrawals!A132="","","WD"&amp;TEXT(1525-3,"0000")&amp;"-"&amp;TEXT(TODAY(),"YYYYMMDD"))</f>
        <v/>
      </c>
      <c r="C1525" s="40" t="str">
        <f>IF(Agent08_Withdrawals!A132="","",Agent08_Withdrawals!B132)</f>
        <v/>
      </c>
      <c r="D1525" s="43" t="str">
        <f>IF(Agent08_Withdrawals!A132="","",Agent08_Withdrawals!C132)</f>
        <v/>
      </c>
      <c r="E1525" s="41" t="str">
        <f>IF(Agent08_Withdrawals!A132="","",Agent08_Withdrawals!D132)</f>
        <v/>
      </c>
      <c r="F1525" s="40" t="str">
        <f>IF(Agent08_Withdrawals!A132="","",Agent08_Withdrawals!F132)</f>
        <v/>
      </c>
      <c r="G1525" s="42" t="str">
        <f>IF(Agent08_Withdrawals!A132="","",Agent08_Withdrawals!E132)</f>
        <v/>
      </c>
      <c r="H1525" s="42" t="str">
        <f>IF(Agent08_Withdrawals!A132="","",Agent08_Withdrawals!G132)</f>
        <v/>
      </c>
      <c r="I1525" s="40" t="str">
        <f>IF(Agent08_Withdrawals!A132="","",Agent08_Withdrawals!H132)</f>
        <v/>
      </c>
      <c r="J1525" s="40" t="str">
        <f>IF(Agent08_Withdrawals!A132="","",Agent08_Withdrawals!J132)</f>
        <v/>
      </c>
      <c r="K1525" s="40" t="str">
        <f>IF(Agent08_Withdrawals!A132="","",Agent08_Withdrawals!K132)</f>
        <v/>
      </c>
      <c r="L1525" s="40" t="str">
        <f>IF(G1525="","",IF(D1525-G1525&gt;=System_Config!$B$9,"✅ OK","⚠️ BREACH"))</f>
        <v/>
      </c>
      <c r="M1525" s="40" t="str">
        <f>IFERROR(IF(Agent08_Withdrawals!A132="","",YEAR(Agent08_Withdrawals!D132)),"")</f>
        <v/>
      </c>
    </row>
    <row r="1526" spans="1:13" ht="18" customHeight="1" x14ac:dyDescent="0.25">
      <c r="A1526" s="40" t="str">
        <f>IF(Agent08_Withdrawals!A133="","",Agent08_Withdrawals!A133)</f>
        <v/>
      </c>
      <c r="B1526" s="40" t="str">
        <f ca="1">IF(Agent08_Withdrawals!A133="","","WD"&amp;TEXT(1526-3,"0000")&amp;"-"&amp;TEXT(TODAY(),"YYYYMMDD"))</f>
        <v/>
      </c>
      <c r="C1526" s="40" t="str">
        <f>IF(Agent08_Withdrawals!A133="","",Agent08_Withdrawals!B133)</f>
        <v/>
      </c>
      <c r="D1526" s="43" t="str">
        <f>IF(Agent08_Withdrawals!A133="","",Agent08_Withdrawals!C133)</f>
        <v/>
      </c>
      <c r="E1526" s="41" t="str">
        <f>IF(Agent08_Withdrawals!A133="","",Agent08_Withdrawals!D133)</f>
        <v/>
      </c>
      <c r="F1526" s="40" t="str">
        <f>IF(Agent08_Withdrawals!A133="","",Agent08_Withdrawals!F133)</f>
        <v/>
      </c>
      <c r="G1526" s="42" t="str">
        <f>IF(Agent08_Withdrawals!A133="","",Agent08_Withdrawals!E133)</f>
        <v/>
      </c>
      <c r="H1526" s="42" t="str">
        <f>IF(Agent08_Withdrawals!A133="","",Agent08_Withdrawals!G133)</f>
        <v/>
      </c>
      <c r="I1526" s="40" t="str">
        <f>IF(Agent08_Withdrawals!A133="","",Agent08_Withdrawals!H133)</f>
        <v/>
      </c>
      <c r="J1526" s="40" t="str">
        <f>IF(Agent08_Withdrawals!A133="","",Agent08_Withdrawals!J133)</f>
        <v/>
      </c>
      <c r="K1526" s="40" t="str">
        <f>IF(Agent08_Withdrawals!A133="","",Agent08_Withdrawals!K133)</f>
        <v/>
      </c>
      <c r="L1526" s="40" t="str">
        <f>IF(G1526="","",IF(D1526-G1526&gt;=System_Config!$B$9,"✅ OK","⚠️ BREACH"))</f>
        <v/>
      </c>
      <c r="M1526" s="40" t="str">
        <f>IFERROR(IF(Agent08_Withdrawals!A133="","",YEAR(Agent08_Withdrawals!D133)),"")</f>
        <v/>
      </c>
    </row>
    <row r="1527" spans="1:13" ht="18" customHeight="1" x14ac:dyDescent="0.25">
      <c r="A1527" s="40" t="str">
        <f>IF(Agent08_Withdrawals!A134="","",Agent08_Withdrawals!A134)</f>
        <v/>
      </c>
      <c r="B1527" s="40" t="str">
        <f ca="1">IF(Agent08_Withdrawals!A134="","","WD"&amp;TEXT(1527-3,"0000")&amp;"-"&amp;TEXT(TODAY(),"YYYYMMDD"))</f>
        <v/>
      </c>
      <c r="C1527" s="40" t="str">
        <f>IF(Agent08_Withdrawals!A134="","",Agent08_Withdrawals!B134)</f>
        <v/>
      </c>
      <c r="D1527" s="43" t="str">
        <f>IF(Agent08_Withdrawals!A134="","",Agent08_Withdrawals!C134)</f>
        <v/>
      </c>
      <c r="E1527" s="41" t="str">
        <f>IF(Agent08_Withdrawals!A134="","",Agent08_Withdrawals!D134)</f>
        <v/>
      </c>
      <c r="F1527" s="40" t="str">
        <f>IF(Agent08_Withdrawals!A134="","",Agent08_Withdrawals!F134)</f>
        <v/>
      </c>
      <c r="G1527" s="42" t="str">
        <f>IF(Agent08_Withdrawals!A134="","",Agent08_Withdrawals!E134)</f>
        <v/>
      </c>
      <c r="H1527" s="42" t="str">
        <f>IF(Agent08_Withdrawals!A134="","",Agent08_Withdrawals!G134)</f>
        <v/>
      </c>
      <c r="I1527" s="40" t="str">
        <f>IF(Agent08_Withdrawals!A134="","",Agent08_Withdrawals!H134)</f>
        <v/>
      </c>
      <c r="J1527" s="40" t="str">
        <f>IF(Agent08_Withdrawals!A134="","",Agent08_Withdrawals!J134)</f>
        <v/>
      </c>
      <c r="K1527" s="40" t="str">
        <f>IF(Agent08_Withdrawals!A134="","",Agent08_Withdrawals!K134)</f>
        <v/>
      </c>
      <c r="L1527" s="40" t="str">
        <f>IF(G1527="","",IF(D1527-G1527&gt;=System_Config!$B$9,"✅ OK","⚠️ BREACH"))</f>
        <v/>
      </c>
      <c r="M1527" s="40" t="str">
        <f>IFERROR(IF(Agent08_Withdrawals!A134="","",YEAR(Agent08_Withdrawals!D134)),"")</f>
        <v/>
      </c>
    </row>
    <row r="1528" spans="1:13" ht="18" customHeight="1" x14ac:dyDescent="0.25">
      <c r="A1528" s="40" t="str">
        <f>IF(Agent08_Withdrawals!A135="","",Agent08_Withdrawals!A135)</f>
        <v/>
      </c>
      <c r="B1528" s="40" t="str">
        <f ca="1">IF(Agent08_Withdrawals!A135="","","WD"&amp;TEXT(1528-3,"0000")&amp;"-"&amp;TEXT(TODAY(),"YYYYMMDD"))</f>
        <v/>
      </c>
      <c r="C1528" s="40" t="str">
        <f>IF(Agent08_Withdrawals!A135="","",Agent08_Withdrawals!B135)</f>
        <v/>
      </c>
      <c r="D1528" s="43" t="str">
        <f>IF(Agent08_Withdrawals!A135="","",Agent08_Withdrawals!C135)</f>
        <v/>
      </c>
      <c r="E1528" s="41" t="str">
        <f>IF(Agent08_Withdrawals!A135="","",Agent08_Withdrawals!D135)</f>
        <v/>
      </c>
      <c r="F1528" s="40" t="str">
        <f>IF(Agent08_Withdrawals!A135="","",Agent08_Withdrawals!F135)</f>
        <v/>
      </c>
      <c r="G1528" s="42" t="str">
        <f>IF(Agent08_Withdrawals!A135="","",Agent08_Withdrawals!E135)</f>
        <v/>
      </c>
      <c r="H1528" s="42" t="str">
        <f>IF(Agent08_Withdrawals!A135="","",Agent08_Withdrawals!G135)</f>
        <v/>
      </c>
      <c r="I1528" s="40" t="str">
        <f>IF(Agent08_Withdrawals!A135="","",Agent08_Withdrawals!H135)</f>
        <v/>
      </c>
      <c r="J1528" s="40" t="str">
        <f>IF(Agent08_Withdrawals!A135="","",Agent08_Withdrawals!J135)</f>
        <v/>
      </c>
      <c r="K1528" s="40" t="str">
        <f>IF(Agent08_Withdrawals!A135="","",Agent08_Withdrawals!K135)</f>
        <v/>
      </c>
      <c r="L1528" s="40" t="str">
        <f>IF(G1528="","",IF(D1528-G1528&gt;=System_Config!$B$9,"✅ OK","⚠️ BREACH"))</f>
        <v/>
      </c>
      <c r="M1528" s="40" t="str">
        <f>IFERROR(IF(Agent08_Withdrawals!A135="","",YEAR(Agent08_Withdrawals!D135)),"")</f>
        <v/>
      </c>
    </row>
    <row r="1529" spans="1:13" ht="18" customHeight="1" x14ac:dyDescent="0.25">
      <c r="A1529" s="40" t="str">
        <f>IF(Agent08_Withdrawals!A136="","",Agent08_Withdrawals!A136)</f>
        <v/>
      </c>
      <c r="B1529" s="40" t="str">
        <f ca="1">IF(Agent08_Withdrawals!A136="","","WD"&amp;TEXT(1529-3,"0000")&amp;"-"&amp;TEXT(TODAY(),"YYYYMMDD"))</f>
        <v/>
      </c>
      <c r="C1529" s="40" t="str">
        <f>IF(Agent08_Withdrawals!A136="","",Agent08_Withdrawals!B136)</f>
        <v/>
      </c>
      <c r="D1529" s="43" t="str">
        <f>IF(Agent08_Withdrawals!A136="","",Agent08_Withdrawals!C136)</f>
        <v/>
      </c>
      <c r="E1529" s="41" t="str">
        <f>IF(Agent08_Withdrawals!A136="","",Agent08_Withdrawals!D136)</f>
        <v/>
      </c>
      <c r="F1529" s="40" t="str">
        <f>IF(Agent08_Withdrawals!A136="","",Agent08_Withdrawals!F136)</f>
        <v/>
      </c>
      <c r="G1529" s="42" t="str">
        <f>IF(Agent08_Withdrawals!A136="","",Agent08_Withdrawals!E136)</f>
        <v/>
      </c>
      <c r="H1529" s="42" t="str">
        <f>IF(Agent08_Withdrawals!A136="","",Agent08_Withdrawals!G136)</f>
        <v/>
      </c>
      <c r="I1529" s="40" t="str">
        <f>IF(Agent08_Withdrawals!A136="","",Agent08_Withdrawals!H136)</f>
        <v/>
      </c>
      <c r="J1529" s="40" t="str">
        <f>IF(Agent08_Withdrawals!A136="","",Agent08_Withdrawals!J136)</f>
        <v/>
      </c>
      <c r="K1529" s="40" t="str">
        <f>IF(Agent08_Withdrawals!A136="","",Agent08_Withdrawals!K136)</f>
        <v/>
      </c>
      <c r="L1529" s="40" t="str">
        <f>IF(G1529="","",IF(D1529-G1529&gt;=System_Config!$B$9,"✅ OK","⚠️ BREACH"))</f>
        <v/>
      </c>
      <c r="M1529" s="40" t="str">
        <f>IFERROR(IF(Agent08_Withdrawals!A136="","",YEAR(Agent08_Withdrawals!D136)),"")</f>
        <v/>
      </c>
    </row>
    <row r="1530" spans="1:13" ht="18" customHeight="1" x14ac:dyDescent="0.25">
      <c r="A1530" s="40" t="str">
        <f>IF(Agent08_Withdrawals!A137="","",Agent08_Withdrawals!A137)</f>
        <v/>
      </c>
      <c r="B1530" s="40" t="str">
        <f ca="1">IF(Agent08_Withdrawals!A137="","","WD"&amp;TEXT(1530-3,"0000")&amp;"-"&amp;TEXT(TODAY(),"YYYYMMDD"))</f>
        <v/>
      </c>
      <c r="C1530" s="40" t="str">
        <f>IF(Agent08_Withdrawals!A137="","",Agent08_Withdrawals!B137)</f>
        <v/>
      </c>
      <c r="D1530" s="43" t="str">
        <f>IF(Agent08_Withdrawals!A137="","",Agent08_Withdrawals!C137)</f>
        <v/>
      </c>
      <c r="E1530" s="41" t="str">
        <f>IF(Agent08_Withdrawals!A137="","",Agent08_Withdrawals!D137)</f>
        <v/>
      </c>
      <c r="F1530" s="40" t="str">
        <f>IF(Agent08_Withdrawals!A137="","",Agent08_Withdrawals!F137)</f>
        <v/>
      </c>
      <c r="G1530" s="42" t="str">
        <f>IF(Agent08_Withdrawals!A137="","",Agent08_Withdrawals!E137)</f>
        <v/>
      </c>
      <c r="H1530" s="42" t="str">
        <f>IF(Agent08_Withdrawals!A137="","",Agent08_Withdrawals!G137)</f>
        <v/>
      </c>
      <c r="I1530" s="40" t="str">
        <f>IF(Agent08_Withdrawals!A137="","",Agent08_Withdrawals!H137)</f>
        <v/>
      </c>
      <c r="J1530" s="40" t="str">
        <f>IF(Agent08_Withdrawals!A137="","",Agent08_Withdrawals!J137)</f>
        <v/>
      </c>
      <c r="K1530" s="40" t="str">
        <f>IF(Agent08_Withdrawals!A137="","",Agent08_Withdrawals!K137)</f>
        <v/>
      </c>
      <c r="L1530" s="40" t="str">
        <f>IF(G1530="","",IF(D1530-G1530&gt;=System_Config!$B$9,"✅ OK","⚠️ BREACH"))</f>
        <v/>
      </c>
      <c r="M1530" s="40" t="str">
        <f>IFERROR(IF(Agent08_Withdrawals!A137="","",YEAR(Agent08_Withdrawals!D137)),"")</f>
        <v/>
      </c>
    </row>
    <row r="1531" spans="1:13" ht="18" customHeight="1" x14ac:dyDescent="0.25">
      <c r="A1531" s="40" t="str">
        <f>IF(Agent08_Withdrawals!A138="","",Agent08_Withdrawals!A138)</f>
        <v/>
      </c>
      <c r="B1531" s="40" t="str">
        <f ca="1">IF(Agent08_Withdrawals!A138="","","WD"&amp;TEXT(1531-3,"0000")&amp;"-"&amp;TEXT(TODAY(),"YYYYMMDD"))</f>
        <v/>
      </c>
      <c r="C1531" s="40" t="str">
        <f>IF(Agent08_Withdrawals!A138="","",Agent08_Withdrawals!B138)</f>
        <v/>
      </c>
      <c r="D1531" s="43" t="str">
        <f>IF(Agent08_Withdrawals!A138="","",Agent08_Withdrawals!C138)</f>
        <v/>
      </c>
      <c r="E1531" s="41" t="str">
        <f>IF(Agent08_Withdrawals!A138="","",Agent08_Withdrawals!D138)</f>
        <v/>
      </c>
      <c r="F1531" s="40" t="str">
        <f>IF(Agent08_Withdrawals!A138="","",Agent08_Withdrawals!F138)</f>
        <v/>
      </c>
      <c r="G1531" s="42" t="str">
        <f>IF(Agent08_Withdrawals!A138="","",Agent08_Withdrawals!E138)</f>
        <v/>
      </c>
      <c r="H1531" s="42" t="str">
        <f>IF(Agent08_Withdrawals!A138="","",Agent08_Withdrawals!G138)</f>
        <v/>
      </c>
      <c r="I1531" s="40" t="str">
        <f>IF(Agent08_Withdrawals!A138="","",Agent08_Withdrawals!H138)</f>
        <v/>
      </c>
      <c r="J1531" s="40" t="str">
        <f>IF(Agent08_Withdrawals!A138="","",Agent08_Withdrawals!J138)</f>
        <v/>
      </c>
      <c r="K1531" s="40" t="str">
        <f>IF(Agent08_Withdrawals!A138="","",Agent08_Withdrawals!K138)</f>
        <v/>
      </c>
      <c r="L1531" s="40" t="str">
        <f>IF(G1531="","",IF(D1531-G1531&gt;=System_Config!$B$9,"✅ OK","⚠️ BREACH"))</f>
        <v/>
      </c>
      <c r="M1531" s="40" t="str">
        <f>IFERROR(IF(Agent08_Withdrawals!A138="","",YEAR(Agent08_Withdrawals!D138)),"")</f>
        <v/>
      </c>
    </row>
    <row r="1532" spans="1:13" ht="18" customHeight="1" x14ac:dyDescent="0.25">
      <c r="A1532" s="40" t="str">
        <f>IF(Agent08_Withdrawals!A139="","",Agent08_Withdrawals!A139)</f>
        <v/>
      </c>
      <c r="B1532" s="40" t="str">
        <f ca="1">IF(Agent08_Withdrawals!A139="","","WD"&amp;TEXT(1532-3,"0000")&amp;"-"&amp;TEXT(TODAY(),"YYYYMMDD"))</f>
        <v/>
      </c>
      <c r="C1532" s="40" t="str">
        <f>IF(Agent08_Withdrawals!A139="","",Agent08_Withdrawals!B139)</f>
        <v/>
      </c>
      <c r="D1532" s="43" t="str">
        <f>IF(Agent08_Withdrawals!A139="","",Agent08_Withdrawals!C139)</f>
        <v/>
      </c>
      <c r="E1532" s="41" t="str">
        <f>IF(Agent08_Withdrawals!A139="","",Agent08_Withdrawals!D139)</f>
        <v/>
      </c>
      <c r="F1532" s="40" t="str">
        <f>IF(Agent08_Withdrawals!A139="","",Agent08_Withdrawals!F139)</f>
        <v/>
      </c>
      <c r="G1532" s="42" t="str">
        <f>IF(Agent08_Withdrawals!A139="","",Agent08_Withdrawals!E139)</f>
        <v/>
      </c>
      <c r="H1532" s="42" t="str">
        <f>IF(Agent08_Withdrawals!A139="","",Agent08_Withdrawals!G139)</f>
        <v/>
      </c>
      <c r="I1532" s="40" t="str">
        <f>IF(Agent08_Withdrawals!A139="","",Agent08_Withdrawals!H139)</f>
        <v/>
      </c>
      <c r="J1532" s="40" t="str">
        <f>IF(Agent08_Withdrawals!A139="","",Agent08_Withdrawals!J139)</f>
        <v/>
      </c>
      <c r="K1532" s="40" t="str">
        <f>IF(Agent08_Withdrawals!A139="","",Agent08_Withdrawals!K139)</f>
        <v/>
      </c>
      <c r="L1532" s="40" t="str">
        <f>IF(G1532="","",IF(D1532-G1532&gt;=System_Config!$B$9,"✅ OK","⚠️ BREACH"))</f>
        <v/>
      </c>
      <c r="M1532" s="40" t="str">
        <f>IFERROR(IF(Agent08_Withdrawals!A139="","",YEAR(Agent08_Withdrawals!D139)),"")</f>
        <v/>
      </c>
    </row>
    <row r="1533" spans="1:13" ht="18" customHeight="1" x14ac:dyDescent="0.25">
      <c r="A1533" s="40" t="str">
        <f>IF(Agent08_Withdrawals!A140="","",Agent08_Withdrawals!A140)</f>
        <v/>
      </c>
      <c r="B1533" s="40" t="str">
        <f ca="1">IF(Agent08_Withdrawals!A140="","","WD"&amp;TEXT(1533-3,"0000")&amp;"-"&amp;TEXT(TODAY(),"YYYYMMDD"))</f>
        <v/>
      </c>
      <c r="C1533" s="40" t="str">
        <f>IF(Agent08_Withdrawals!A140="","",Agent08_Withdrawals!B140)</f>
        <v/>
      </c>
      <c r="D1533" s="43" t="str">
        <f>IF(Agent08_Withdrawals!A140="","",Agent08_Withdrawals!C140)</f>
        <v/>
      </c>
      <c r="E1533" s="41" t="str">
        <f>IF(Agent08_Withdrawals!A140="","",Agent08_Withdrawals!D140)</f>
        <v/>
      </c>
      <c r="F1533" s="40" t="str">
        <f>IF(Agent08_Withdrawals!A140="","",Agent08_Withdrawals!F140)</f>
        <v/>
      </c>
      <c r="G1533" s="42" t="str">
        <f>IF(Agent08_Withdrawals!A140="","",Agent08_Withdrawals!E140)</f>
        <v/>
      </c>
      <c r="H1533" s="42" t="str">
        <f>IF(Agent08_Withdrawals!A140="","",Agent08_Withdrawals!G140)</f>
        <v/>
      </c>
      <c r="I1533" s="40" t="str">
        <f>IF(Agent08_Withdrawals!A140="","",Agent08_Withdrawals!H140)</f>
        <v/>
      </c>
      <c r="J1533" s="40" t="str">
        <f>IF(Agent08_Withdrawals!A140="","",Agent08_Withdrawals!J140)</f>
        <v/>
      </c>
      <c r="K1533" s="40" t="str">
        <f>IF(Agent08_Withdrawals!A140="","",Agent08_Withdrawals!K140)</f>
        <v/>
      </c>
      <c r="L1533" s="40" t="str">
        <f>IF(G1533="","",IF(D1533-G1533&gt;=System_Config!$B$9,"✅ OK","⚠️ BREACH"))</f>
        <v/>
      </c>
      <c r="M1533" s="40" t="str">
        <f>IFERROR(IF(Agent08_Withdrawals!A140="","",YEAR(Agent08_Withdrawals!D140)),"")</f>
        <v/>
      </c>
    </row>
    <row r="1534" spans="1:13" ht="18" customHeight="1" x14ac:dyDescent="0.25">
      <c r="A1534" s="40" t="str">
        <f>IF(Agent08_Withdrawals!A141="","",Agent08_Withdrawals!A141)</f>
        <v/>
      </c>
      <c r="B1534" s="40" t="str">
        <f ca="1">IF(Agent08_Withdrawals!A141="","","WD"&amp;TEXT(1534-3,"0000")&amp;"-"&amp;TEXT(TODAY(),"YYYYMMDD"))</f>
        <v/>
      </c>
      <c r="C1534" s="40" t="str">
        <f>IF(Agent08_Withdrawals!A141="","",Agent08_Withdrawals!B141)</f>
        <v/>
      </c>
      <c r="D1534" s="43" t="str">
        <f>IF(Agent08_Withdrawals!A141="","",Agent08_Withdrawals!C141)</f>
        <v/>
      </c>
      <c r="E1534" s="41" t="str">
        <f>IF(Agent08_Withdrawals!A141="","",Agent08_Withdrawals!D141)</f>
        <v/>
      </c>
      <c r="F1534" s="40" t="str">
        <f>IF(Agent08_Withdrawals!A141="","",Agent08_Withdrawals!F141)</f>
        <v/>
      </c>
      <c r="G1534" s="42" t="str">
        <f>IF(Agent08_Withdrawals!A141="","",Agent08_Withdrawals!E141)</f>
        <v/>
      </c>
      <c r="H1534" s="42" t="str">
        <f>IF(Agent08_Withdrawals!A141="","",Agent08_Withdrawals!G141)</f>
        <v/>
      </c>
      <c r="I1534" s="40" t="str">
        <f>IF(Agent08_Withdrawals!A141="","",Agent08_Withdrawals!H141)</f>
        <v/>
      </c>
      <c r="J1534" s="40" t="str">
        <f>IF(Agent08_Withdrawals!A141="","",Agent08_Withdrawals!J141)</f>
        <v/>
      </c>
      <c r="K1534" s="40" t="str">
        <f>IF(Agent08_Withdrawals!A141="","",Agent08_Withdrawals!K141)</f>
        <v/>
      </c>
      <c r="L1534" s="40" t="str">
        <f>IF(G1534="","",IF(D1534-G1534&gt;=System_Config!$B$9,"✅ OK","⚠️ BREACH"))</f>
        <v/>
      </c>
      <c r="M1534" s="40" t="str">
        <f>IFERROR(IF(Agent08_Withdrawals!A141="","",YEAR(Agent08_Withdrawals!D141)),"")</f>
        <v/>
      </c>
    </row>
    <row r="1535" spans="1:13" ht="18" customHeight="1" x14ac:dyDescent="0.25">
      <c r="A1535" s="40" t="str">
        <f>IF(Agent08_Withdrawals!A142="","",Agent08_Withdrawals!A142)</f>
        <v/>
      </c>
      <c r="B1535" s="40" t="str">
        <f ca="1">IF(Agent08_Withdrawals!A142="","","WD"&amp;TEXT(1535-3,"0000")&amp;"-"&amp;TEXT(TODAY(),"YYYYMMDD"))</f>
        <v/>
      </c>
      <c r="C1535" s="40" t="str">
        <f>IF(Agent08_Withdrawals!A142="","",Agent08_Withdrawals!B142)</f>
        <v/>
      </c>
      <c r="D1535" s="43" t="str">
        <f>IF(Agent08_Withdrawals!A142="","",Agent08_Withdrawals!C142)</f>
        <v/>
      </c>
      <c r="E1535" s="41" t="str">
        <f>IF(Agent08_Withdrawals!A142="","",Agent08_Withdrawals!D142)</f>
        <v/>
      </c>
      <c r="F1535" s="40" t="str">
        <f>IF(Agent08_Withdrawals!A142="","",Agent08_Withdrawals!F142)</f>
        <v/>
      </c>
      <c r="G1535" s="42" t="str">
        <f>IF(Agent08_Withdrawals!A142="","",Agent08_Withdrawals!E142)</f>
        <v/>
      </c>
      <c r="H1535" s="42" t="str">
        <f>IF(Agent08_Withdrawals!A142="","",Agent08_Withdrawals!G142)</f>
        <v/>
      </c>
      <c r="I1535" s="40" t="str">
        <f>IF(Agent08_Withdrawals!A142="","",Agent08_Withdrawals!H142)</f>
        <v/>
      </c>
      <c r="J1535" s="40" t="str">
        <f>IF(Agent08_Withdrawals!A142="","",Agent08_Withdrawals!J142)</f>
        <v/>
      </c>
      <c r="K1535" s="40" t="str">
        <f>IF(Agent08_Withdrawals!A142="","",Agent08_Withdrawals!K142)</f>
        <v/>
      </c>
      <c r="L1535" s="40" t="str">
        <f>IF(G1535="","",IF(D1535-G1535&gt;=System_Config!$B$9,"✅ OK","⚠️ BREACH"))</f>
        <v/>
      </c>
      <c r="M1535" s="40" t="str">
        <f>IFERROR(IF(Agent08_Withdrawals!A142="","",YEAR(Agent08_Withdrawals!D142)),"")</f>
        <v/>
      </c>
    </row>
    <row r="1536" spans="1:13" ht="18" customHeight="1" x14ac:dyDescent="0.25">
      <c r="A1536" s="40" t="str">
        <f>IF(Agent08_Withdrawals!A143="","",Agent08_Withdrawals!A143)</f>
        <v/>
      </c>
      <c r="B1536" s="40" t="str">
        <f ca="1">IF(Agent08_Withdrawals!A143="","","WD"&amp;TEXT(1536-3,"0000")&amp;"-"&amp;TEXT(TODAY(),"YYYYMMDD"))</f>
        <v/>
      </c>
      <c r="C1536" s="40" t="str">
        <f>IF(Agent08_Withdrawals!A143="","",Agent08_Withdrawals!B143)</f>
        <v/>
      </c>
      <c r="D1536" s="43" t="str">
        <f>IF(Agent08_Withdrawals!A143="","",Agent08_Withdrawals!C143)</f>
        <v/>
      </c>
      <c r="E1536" s="41" t="str">
        <f>IF(Agent08_Withdrawals!A143="","",Agent08_Withdrawals!D143)</f>
        <v/>
      </c>
      <c r="F1536" s="40" t="str">
        <f>IF(Agent08_Withdrawals!A143="","",Agent08_Withdrawals!F143)</f>
        <v/>
      </c>
      <c r="G1536" s="42" t="str">
        <f>IF(Agent08_Withdrawals!A143="","",Agent08_Withdrawals!E143)</f>
        <v/>
      </c>
      <c r="H1536" s="42" t="str">
        <f>IF(Agent08_Withdrawals!A143="","",Agent08_Withdrawals!G143)</f>
        <v/>
      </c>
      <c r="I1536" s="40" t="str">
        <f>IF(Agent08_Withdrawals!A143="","",Agent08_Withdrawals!H143)</f>
        <v/>
      </c>
      <c r="J1536" s="40" t="str">
        <f>IF(Agent08_Withdrawals!A143="","",Agent08_Withdrawals!J143)</f>
        <v/>
      </c>
      <c r="K1536" s="40" t="str">
        <f>IF(Agent08_Withdrawals!A143="","",Agent08_Withdrawals!K143)</f>
        <v/>
      </c>
      <c r="L1536" s="40" t="str">
        <f>IF(G1536="","",IF(D1536-G1536&gt;=System_Config!$B$9,"✅ OK","⚠️ BREACH"))</f>
        <v/>
      </c>
      <c r="M1536" s="40" t="str">
        <f>IFERROR(IF(Agent08_Withdrawals!A143="","",YEAR(Agent08_Withdrawals!D143)),"")</f>
        <v/>
      </c>
    </row>
    <row r="1537" spans="1:13" ht="18" customHeight="1" x14ac:dyDescent="0.25">
      <c r="A1537" s="40" t="str">
        <f>IF(Agent08_Withdrawals!A144="","",Agent08_Withdrawals!A144)</f>
        <v/>
      </c>
      <c r="B1537" s="40" t="str">
        <f ca="1">IF(Agent08_Withdrawals!A144="","","WD"&amp;TEXT(1537-3,"0000")&amp;"-"&amp;TEXT(TODAY(),"YYYYMMDD"))</f>
        <v/>
      </c>
      <c r="C1537" s="40" t="str">
        <f>IF(Agent08_Withdrawals!A144="","",Agent08_Withdrawals!B144)</f>
        <v/>
      </c>
      <c r="D1537" s="43" t="str">
        <f>IF(Agent08_Withdrawals!A144="","",Agent08_Withdrawals!C144)</f>
        <v/>
      </c>
      <c r="E1537" s="41" t="str">
        <f>IF(Agent08_Withdrawals!A144="","",Agent08_Withdrawals!D144)</f>
        <v/>
      </c>
      <c r="F1537" s="40" t="str">
        <f>IF(Agent08_Withdrawals!A144="","",Agent08_Withdrawals!F144)</f>
        <v/>
      </c>
      <c r="G1537" s="42" t="str">
        <f>IF(Agent08_Withdrawals!A144="","",Agent08_Withdrawals!E144)</f>
        <v/>
      </c>
      <c r="H1537" s="42" t="str">
        <f>IF(Agent08_Withdrawals!A144="","",Agent08_Withdrawals!G144)</f>
        <v/>
      </c>
      <c r="I1537" s="40" t="str">
        <f>IF(Agent08_Withdrawals!A144="","",Agent08_Withdrawals!H144)</f>
        <v/>
      </c>
      <c r="J1537" s="40" t="str">
        <f>IF(Agent08_Withdrawals!A144="","",Agent08_Withdrawals!J144)</f>
        <v/>
      </c>
      <c r="K1537" s="40" t="str">
        <f>IF(Agent08_Withdrawals!A144="","",Agent08_Withdrawals!K144)</f>
        <v/>
      </c>
      <c r="L1537" s="40" t="str">
        <f>IF(G1537="","",IF(D1537-G1537&gt;=System_Config!$B$9,"✅ OK","⚠️ BREACH"))</f>
        <v/>
      </c>
      <c r="M1537" s="40" t="str">
        <f>IFERROR(IF(Agent08_Withdrawals!A144="","",YEAR(Agent08_Withdrawals!D144)),"")</f>
        <v/>
      </c>
    </row>
    <row r="1538" spans="1:13" ht="18" customHeight="1" x14ac:dyDescent="0.25">
      <c r="A1538" s="40" t="str">
        <f>IF(Agent08_Withdrawals!A145="","",Agent08_Withdrawals!A145)</f>
        <v/>
      </c>
      <c r="B1538" s="40" t="str">
        <f ca="1">IF(Agent08_Withdrawals!A145="","","WD"&amp;TEXT(1538-3,"0000")&amp;"-"&amp;TEXT(TODAY(),"YYYYMMDD"))</f>
        <v/>
      </c>
      <c r="C1538" s="40" t="str">
        <f>IF(Agent08_Withdrawals!A145="","",Agent08_Withdrawals!B145)</f>
        <v/>
      </c>
      <c r="D1538" s="43" t="str">
        <f>IF(Agent08_Withdrawals!A145="","",Agent08_Withdrawals!C145)</f>
        <v/>
      </c>
      <c r="E1538" s="41" t="str">
        <f>IF(Agent08_Withdrawals!A145="","",Agent08_Withdrawals!D145)</f>
        <v/>
      </c>
      <c r="F1538" s="40" t="str">
        <f>IF(Agent08_Withdrawals!A145="","",Agent08_Withdrawals!F145)</f>
        <v/>
      </c>
      <c r="G1538" s="42" t="str">
        <f>IF(Agent08_Withdrawals!A145="","",Agent08_Withdrawals!E145)</f>
        <v/>
      </c>
      <c r="H1538" s="42" t="str">
        <f>IF(Agent08_Withdrawals!A145="","",Agent08_Withdrawals!G145)</f>
        <v/>
      </c>
      <c r="I1538" s="40" t="str">
        <f>IF(Agent08_Withdrawals!A145="","",Agent08_Withdrawals!H145)</f>
        <v/>
      </c>
      <c r="J1538" s="40" t="str">
        <f>IF(Agent08_Withdrawals!A145="","",Agent08_Withdrawals!J145)</f>
        <v/>
      </c>
      <c r="K1538" s="40" t="str">
        <f>IF(Agent08_Withdrawals!A145="","",Agent08_Withdrawals!K145)</f>
        <v/>
      </c>
      <c r="L1538" s="40" t="str">
        <f>IF(G1538="","",IF(D1538-G1538&gt;=System_Config!$B$9,"✅ OK","⚠️ BREACH"))</f>
        <v/>
      </c>
      <c r="M1538" s="40" t="str">
        <f>IFERROR(IF(Agent08_Withdrawals!A145="","",YEAR(Agent08_Withdrawals!D145)),"")</f>
        <v/>
      </c>
    </row>
    <row r="1539" spans="1:13" ht="18" customHeight="1" x14ac:dyDescent="0.25">
      <c r="A1539" s="40" t="str">
        <f>IF(Agent08_Withdrawals!A146="","",Agent08_Withdrawals!A146)</f>
        <v/>
      </c>
      <c r="B1539" s="40" t="str">
        <f ca="1">IF(Agent08_Withdrawals!A146="","","WD"&amp;TEXT(1539-3,"0000")&amp;"-"&amp;TEXT(TODAY(),"YYYYMMDD"))</f>
        <v/>
      </c>
      <c r="C1539" s="40" t="str">
        <f>IF(Agent08_Withdrawals!A146="","",Agent08_Withdrawals!B146)</f>
        <v/>
      </c>
      <c r="D1539" s="43" t="str">
        <f>IF(Agent08_Withdrawals!A146="","",Agent08_Withdrawals!C146)</f>
        <v/>
      </c>
      <c r="E1539" s="41" t="str">
        <f>IF(Agent08_Withdrawals!A146="","",Agent08_Withdrawals!D146)</f>
        <v/>
      </c>
      <c r="F1539" s="40" t="str">
        <f>IF(Agent08_Withdrawals!A146="","",Agent08_Withdrawals!F146)</f>
        <v/>
      </c>
      <c r="G1539" s="42" t="str">
        <f>IF(Agent08_Withdrawals!A146="","",Agent08_Withdrawals!E146)</f>
        <v/>
      </c>
      <c r="H1539" s="42" t="str">
        <f>IF(Agent08_Withdrawals!A146="","",Agent08_Withdrawals!G146)</f>
        <v/>
      </c>
      <c r="I1539" s="40" t="str">
        <f>IF(Agent08_Withdrawals!A146="","",Agent08_Withdrawals!H146)</f>
        <v/>
      </c>
      <c r="J1539" s="40" t="str">
        <f>IF(Agent08_Withdrawals!A146="","",Agent08_Withdrawals!J146)</f>
        <v/>
      </c>
      <c r="K1539" s="40" t="str">
        <f>IF(Agent08_Withdrawals!A146="","",Agent08_Withdrawals!K146)</f>
        <v/>
      </c>
      <c r="L1539" s="40" t="str">
        <f>IF(G1539="","",IF(D1539-G1539&gt;=System_Config!$B$9,"✅ OK","⚠️ BREACH"))</f>
        <v/>
      </c>
      <c r="M1539" s="40" t="str">
        <f>IFERROR(IF(Agent08_Withdrawals!A146="","",YEAR(Agent08_Withdrawals!D146)),"")</f>
        <v/>
      </c>
    </row>
    <row r="1540" spans="1:13" ht="18" customHeight="1" x14ac:dyDescent="0.25">
      <c r="A1540" s="40" t="str">
        <f>IF(Agent08_Withdrawals!A147="","",Agent08_Withdrawals!A147)</f>
        <v/>
      </c>
      <c r="B1540" s="40" t="str">
        <f ca="1">IF(Agent08_Withdrawals!A147="","","WD"&amp;TEXT(1540-3,"0000")&amp;"-"&amp;TEXT(TODAY(),"YYYYMMDD"))</f>
        <v/>
      </c>
      <c r="C1540" s="40" t="str">
        <f>IF(Agent08_Withdrawals!A147="","",Agent08_Withdrawals!B147)</f>
        <v/>
      </c>
      <c r="D1540" s="43" t="str">
        <f>IF(Agent08_Withdrawals!A147="","",Agent08_Withdrawals!C147)</f>
        <v/>
      </c>
      <c r="E1540" s="41" t="str">
        <f>IF(Agent08_Withdrawals!A147="","",Agent08_Withdrawals!D147)</f>
        <v/>
      </c>
      <c r="F1540" s="40" t="str">
        <f>IF(Agent08_Withdrawals!A147="","",Agent08_Withdrawals!F147)</f>
        <v/>
      </c>
      <c r="G1540" s="42" t="str">
        <f>IF(Agent08_Withdrawals!A147="","",Agent08_Withdrawals!E147)</f>
        <v/>
      </c>
      <c r="H1540" s="42" t="str">
        <f>IF(Agent08_Withdrawals!A147="","",Agent08_Withdrawals!G147)</f>
        <v/>
      </c>
      <c r="I1540" s="40" t="str">
        <f>IF(Agent08_Withdrawals!A147="","",Agent08_Withdrawals!H147)</f>
        <v/>
      </c>
      <c r="J1540" s="40" t="str">
        <f>IF(Agent08_Withdrawals!A147="","",Agent08_Withdrawals!J147)</f>
        <v/>
      </c>
      <c r="K1540" s="40" t="str">
        <f>IF(Agent08_Withdrawals!A147="","",Agent08_Withdrawals!K147)</f>
        <v/>
      </c>
      <c r="L1540" s="40" t="str">
        <f>IF(G1540="","",IF(D1540-G1540&gt;=System_Config!$B$9,"✅ OK","⚠️ BREACH"))</f>
        <v/>
      </c>
      <c r="M1540" s="40" t="str">
        <f>IFERROR(IF(Agent08_Withdrawals!A147="","",YEAR(Agent08_Withdrawals!D147)),"")</f>
        <v/>
      </c>
    </row>
    <row r="1541" spans="1:13" ht="18" customHeight="1" x14ac:dyDescent="0.25">
      <c r="A1541" s="40" t="str">
        <f>IF(Agent08_Withdrawals!A148="","",Agent08_Withdrawals!A148)</f>
        <v/>
      </c>
      <c r="B1541" s="40" t="str">
        <f ca="1">IF(Agent08_Withdrawals!A148="","","WD"&amp;TEXT(1541-3,"0000")&amp;"-"&amp;TEXT(TODAY(),"YYYYMMDD"))</f>
        <v/>
      </c>
      <c r="C1541" s="40" t="str">
        <f>IF(Agent08_Withdrawals!A148="","",Agent08_Withdrawals!B148)</f>
        <v/>
      </c>
      <c r="D1541" s="43" t="str">
        <f>IF(Agent08_Withdrawals!A148="","",Agent08_Withdrawals!C148)</f>
        <v/>
      </c>
      <c r="E1541" s="41" t="str">
        <f>IF(Agent08_Withdrawals!A148="","",Agent08_Withdrawals!D148)</f>
        <v/>
      </c>
      <c r="F1541" s="40" t="str">
        <f>IF(Agent08_Withdrawals!A148="","",Agent08_Withdrawals!F148)</f>
        <v/>
      </c>
      <c r="G1541" s="42" t="str">
        <f>IF(Agent08_Withdrawals!A148="","",Agent08_Withdrawals!E148)</f>
        <v/>
      </c>
      <c r="H1541" s="42" t="str">
        <f>IF(Agent08_Withdrawals!A148="","",Agent08_Withdrawals!G148)</f>
        <v/>
      </c>
      <c r="I1541" s="40" t="str">
        <f>IF(Agent08_Withdrawals!A148="","",Agent08_Withdrawals!H148)</f>
        <v/>
      </c>
      <c r="J1541" s="40" t="str">
        <f>IF(Agent08_Withdrawals!A148="","",Agent08_Withdrawals!J148)</f>
        <v/>
      </c>
      <c r="K1541" s="40" t="str">
        <f>IF(Agent08_Withdrawals!A148="","",Agent08_Withdrawals!K148)</f>
        <v/>
      </c>
      <c r="L1541" s="40" t="str">
        <f>IF(G1541="","",IF(D1541-G1541&gt;=System_Config!$B$9,"✅ OK","⚠️ BREACH"))</f>
        <v/>
      </c>
      <c r="M1541" s="40" t="str">
        <f>IFERROR(IF(Agent08_Withdrawals!A148="","",YEAR(Agent08_Withdrawals!D148)),"")</f>
        <v/>
      </c>
    </row>
    <row r="1542" spans="1:13" ht="18" customHeight="1" x14ac:dyDescent="0.25">
      <c r="A1542" s="40" t="str">
        <f>IF(Agent08_Withdrawals!A149="","",Agent08_Withdrawals!A149)</f>
        <v/>
      </c>
      <c r="B1542" s="40" t="str">
        <f ca="1">IF(Agent08_Withdrawals!A149="","","WD"&amp;TEXT(1542-3,"0000")&amp;"-"&amp;TEXT(TODAY(),"YYYYMMDD"))</f>
        <v/>
      </c>
      <c r="C1542" s="40" t="str">
        <f>IF(Agent08_Withdrawals!A149="","",Agent08_Withdrawals!B149)</f>
        <v/>
      </c>
      <c r="D1542" s="43" t="str">
        <f>IF(Agent08_Withdrawals!A149="","",Agent08_Withdrawals!C149)</f>
        <v/>
      </c>
      <c r="E1542" s="41" t="str">
        <f>IF(Agent08_Withdrawals!A149="","",Agent08_Withdrawals!D149)</f>
        <v/>
      </c>
      <c r="F1542" s="40" t="str">
        <f>IF(Agent08_Withdrawals!A149="","",Agent08_Withdrawals!F149)</f>
        <v/>
      </c>
      <c r="G1542" s="42" t="str">
        <f>IF(Agent08_Withdrawals!A149="","",Agent08_Withdrawals!E149)</f>
        <v/>
      </c>
      <c r="H1542" s="42" t="str">
        <f>IF(Agent08_Withdrawals!A149="","",Agent08_Withdrawals!G149)</f>
        <v/>
      </c>
      <c r="I1542" s="40" t="str">
        <f>IF(Agent08_Withdrawals!A149="","",Agent08_Withdrawals!H149)</f>
        <v/>
      </c>
      <c r="J1542" s="40" t="str">
        <f>IF(Agent08_Withdrawals!A149="","",Agent08_Withdrawals!J149)</f>
        <v/>
      </c>
      <c r="K1542" s="40" t="str">
        <f>IF(Agent08_Withdrawals!A149="","",Agent08_Withdrawals!K149)</f>
        <v/>
      </c>
      <c r="L1542" s="40" t="str">
        <f>IF(G1542="","",IF(D1542-G1542&gt;=System_Config!$B$9,"✅ OK","⚠️ BREACH"))</f>
        <v/>
      </c>
      <c r="M1542" s="40" t="str">
        <f>IFERROR(IF(Agent08_Withdrawals!A149="","",YEAR(Agent08_Withdrawals!D149)),"")</f>
        <v/>
      </c>
    </row>
    <row r="1543" spans="1:13" ht="18" customHeight="1" x14ac:dyDescent="0.25">
      <c r="A1543" s="40" t="str">
        <f>IF(Agent08_Withdrawals!A150="","",Agent08_Withdrawals!A150)</f>
        <v/>
      </c>
      <c r="B1543" s="40" t="str">
        <f ca="1">IF(Agent08_Withdrawals!A150="","","WD"&amp;TEXT(1543-3,"0000")&amp;"-"&amp;TEXT(TODAY(),"YYYYMMDD"))</f>
        <v/>
      </c>
      <c r="C1543" s="40" t="str">
        <f>IF(Agent08_Withdrawals!A150="","",Agent08_Withdrawals!B150)</f>
        <v/>
      </c>
      <c r="D1543" s="43" t="str">
        <f>IF(Agent08_Withdrawals!A150="","",Agent08_Withdrawals!C150)</f>
        <v/>
      </c>
      <c r="E1543" s="41" t="str">
        <f>IF(Agent08_Withdrawals!A150="","",Agent08_Withdrawals!D150)</f>
        <v/>
      </c>
      <c r="F1543" s="40" t="str">
        <f>IF(Agent08_Withdrawals!A150="","",Agent08_Withdrawals!F150)</f>
        <v/>
      </c>
      <c r="G1543" s="42" t="str">
        <f>IF(Agent08_Withdrawals!A150="","",Agent08_Withdrawals!E150)</f>
        <v/>
      </c>
      <c r="H1543" s="42" t="str">
        <f>IF(Agent08_Withdrawals!A150="","",Agent08_Withdrawals!G150)</f>
        <v/>
      </c>
      <c r="I1543" s="40" t="str">
        <f>IF(Agent08_Withdrawals!A150="","",Agent08_Withdrawals!H150)</f>
        <v/>
      </c>
      <c r="J1543" s="40" t="str">
        <f>IF(Agent08_Withdrawals!A150="","",Agent08_Withdrawals!J150)</f>
        <v/>
      </c>
      <c r="K1543" s="40" t="str">
        <f>IF(Agent08_Withdrawals!A150="","",Agent08_Withdrawals!K150)</f>
        <v/>
      </c>
      <c r="L1543" s="40" t="str">
        <f>IF(G1543="","",IF(D1543-G1543&gt;=System_Config!$B$9,"✅ OK","⚠️ BREACH"))</f>
        <v/>
      </c>
      <c r="M1543" s="40" t="str">
        <f>IFERROR(IF(Agent08_Withdrawals!A150="","",YEAR(Agent08_Withdrawals!D150)),"")</f>
        <v/>
      </c>
    </row>
    <row r="1544" spans="1:13" ht="18" customHeight="1" x14ac:dyDescent="0.25">
      <c r="A1544" s="40" t="str">
        <f>IF(Agent08_Withdrawals!A151="","",Agent08_Withdrawals!A151)</f>
        <v/>
      </c>
      <c r="B1544" s="40" t="str">
        <f ca="1">IF(Agent08_Withdrawals!A151="","","WD"&amp;TEXT(1544-3,"0000")&amp;"-"&amp;TEXT(TODAY(),"YYYYMMDD"))</f>
        <v/>
      </c>
      <c r="C1544" s="40" t="str">
        <f>IF(Agent08_Withdrawals!A151="","",Agent08_Withdrawals!B151)</f>
        <v/>
      </c>
      <c r="D1544" s="43" t="str">
        <f>IF(Agent08_Withdrawals!A151="","",Agent08_Withdrawals!C151)</f>
        <v/>
      </c>
      <c r="E1544" s="41" t="str">
        <f>IF(Agent08_Withdrawals!A151="","",Agent08_Withdrawals!D151)</f>
        <v/>
      </c>
      <c r="F1544" s="40" t="str">
        <f>IF(Agent08_Withdrawals!A151="","",Agent08_Withdrawals!F151)</f>
        <v/>
      </c>
      <c r="G1544" s="42" t="str">
        <f>IF(Agent08_Withdrawals!A151="","",Agent08_Withdrawals!E151)</f>
        <v/>
      </c>
      <c r="H1544" s="42" t="str">
        <f>IF(Agent08_Withdrawals!A151="","",Agent08_Withdrawals!G151)</f>
        <v/>
      </c>
      <c r="I1544" s="40" t="str">
        <f>IF(Agent08_Withdrawals!A151="","",Agent08_Withdrawals!H151)</f>
        <v/>
      </c>
      <c r="J1544" s="40" t="str">
        <f>IF(Agent08_Withdrawals!A151="","",Agent08_Withdrawals!J151)</f>
        <v/>
      </c>
      <c r="K1544" s="40" t="str">
        <f>IF(Agent08_Withdrawals!A151="","",Agent08_Withdrawals!K151)</f>
        <v/>
      </c>
      <c r="L1544" s="40" t="str">
        <f>IF(G1544="","",IF(D1544-G1544&gt;=System_Config!$B$9,"✅ OK","⚠️ BREACH"))</f>
        <v/>
      </c>
      <c r="M1544" s="40" t="str">
        <f>IFERROR(IF(Agent08_Withdrawals!A151="","",YEAR(Agent08_Withdrawals!D151)),"")</f>
        <v/>
      </c>
    </row>
    <row r="1545" spans="1:13" ht="18" customHeight="1" x14ac:dyDescent="0.25">
      <c r="A1545" s="40" t="str">
        <f>IF(Agent08_Withdrawals!A152="","",Agent08_Withdrawals!A152)</f>
        <v/>
      </c>
      <c r="B1545" s="40" t="str">
        <f ca="1">IF(Agent08_Withdrawals!A152="","","WD"&amp;TEXT(1545-3,"0000")&amp;"-"&amp;TEXT(TODAY(),"YYYYMMDD"))</f>
        <v/>
      </c>
      <c r="C1545" s="40" t="str">
        <f>IF(Agent08_Withdrawals!A152="","",Agent08_Withdrawals!B152)</f>
        <v/>
      </c>
      <c r="D1545" s="43" t="str">
        <f>IF(Agent08_Withdrawals!A152="","",Agent08_Withdrawals!C152)</f>
        <v/>
      </c>
      <c r="E1545" s="41" t="str">
        <f>IF(Agent08_Withdrawals!A152="","",Agent08_Withdrawals!D152)</f>
        <v/>
      </c>
      <c r="F1545" s="40" t="str">
        <f>IF(Agent08_Withdrawals!A152="","",Agent08_Withdrawals!F152)</f>
        <v/>
      </c>
      <c r="G1545" s="42" t="str">
        <f>IF(Agent08_Withdrawals!A152="","",Agent08_Withdrawals!E152)</f>
        <v/>
      </c>
      <c r="H1545" s="42" t="str">
        <f>IF(Agent08_Withdrawals!A152="","",Agent08_Withdrawals!G152)</f>
        <v/>
      </c>
      <c r="I1545" s="40" t="str">
        <f>IF(Agent08_Withdrawals!A152="","",Agent08_Withdrawals!H152)</f>
        <v/>
      </c>
      <c r="J1545" s="40" t="str">
        <f>IF(Agent08_Withdrawals!A152="","",Agent08_Withdrawals!J152)</f>
        <v/>
      </c>
      <c r="K1545" s="40" t="str">
        <f>IF(Agent08_Withdrawals!A152="","",Agent08_Withdrawals!K152)</f>
        <v/>
      </c>
      <c r="L1545" s="40" t="str">
        <f>IF(G1545="","",IF(D1545-G1545&gt;=System_Config!$B$9,"✅ OK","⚠️ BREACH"))</f>
        <v/>
      </c>
      <c r="M1545" s="40" t="str">
        <f>IFERROR(IF(Agent08_Withdrawals!A152="","",YEAR(Agent08_Withdrawals!D152)),"")</f>
        <v/>
      </c>
    </row>
    <row r="1546" spans="1:13" ht="18" customHeight="1" x14ac:dyDescent="0.25">
      <c r="A1546" s="40" t="str">
        <f>IF(Agent08_Withdrawals!A153="","",Agent08_Withdrawals!A153)</f>
        <v/>
      </c>
      <c r="B1546" s="40" t="str">
        <f ca="1">IF(Agent08_Withdrawals!A153="","","WD"&amp;TEXT(1546-3,"0000")&amp;"-"&amp;TEXT(TODAY(),"YYYYMMDD"))</f>
        <v/>
      </c>
      <c r="C1546" s="40" t="str">
        <f>IF(Agent08_Withdrawals!A153="","",Agent08_Withdrawals!B153)</f>
        <v/>
      </c>
      <c r="D1546" s="43" t="str">
        <f>IF(Agent08_Withdrawals!A153="","",Agent08_Withdrawals!C153)</f>
        <v/>
      </c>
      <c r="E1546" s="41" t="str">
        <f>IF(Agent08_Withdrawals!A153="","",Agent08_Withdrawals!D153)</f>
        <v/>
      </c>
      <c r="F1546" s="40" t="str">
        <f>IF(Agent08_Withdrawals!A153="","",Agent08_Withdrawals!F153)</f>
        <v/>
      </c>
      <c r="G1546" s="42" t="str">
        <f>IF(Agent08_Withdrawals!A153="","",Agent08_Withdrawals!E153)</f>
        <v/>
      </c>
      <c r="H1546" s="42" t="str">
        <f>IF(Agent08_Withdrawals!A153="","",Agent08_Withdrawals!G153)</f>
        <v/>
      </c>
      <c r="I1546" s="40" t="str">
        <f>IF(Agent08_Withdrawals!A153="","",Agent08_Withdrawals!H153)</f>
        <v/>
      </c>
      <c r="J1546" s="40" t="str">
        <f>IF(Agent08_Withdrawals!A153="","",Agent08_Withdrawals!J153)</f>
        <v/>
      </c>
      <c r="K1546" s="40" t="str">
        <f>IF(Agent08_Withdrawals!A153="","",Agent08_Withdrawals!K153)</f>
        <v/>
      </c>
      <c r="L1546" s="40" t="str">
        <f>IF(G1546="","",IF(D1546-G1546&gt;=System_Config!$B$9,"✅ OK","⚠️ BREACH"))</f>
        <v/>
      </c>
      <c r="M1546" s="40" t="str">
        <f>IFERROR(IF(Agent08_Withdrawals!A153="","",YEAR(Agent08_Withdrawals!D153)),"")</f>
        <v/>
      </c>
    </row>
    <row r="1547" spans="1:13" ht="18" customHeight="1" x14ac:dyDescent="0.25">
      <c r="A1547" s="40" t="str">
        <f>IF(Agent08_Withdrawals!A154="","",Agent08_Withdrawals!A154)</f>
        <v/>
      </c>
      <c r="B1547" s="40" t="str">
        <f ca="1">IF(Agent08_Withdrawals!A154="","","WD"&amp;TEXT(1547-3,"0000")&amp;"-"&amp;TEXT(TODAY(),"YYYYMMDD"))</f>
        <v/>
      </c>
      <c r="C1547" s="40" t="str">
        <f>IF(Agent08_Withdrawals!A154="","",Agent08_Withdrawals!B154)</f>
        <v/>
      </c>
      <c r="D1547" s="43" t="str">
        <f>IF(Agent08_Withdrawals!A154="","",Agent08_Withdrawals!C154)</f>
        <v/>
      </c>
      <c r="E1547" s="41" t="str">
        <f>IF(Agent08_Withdrawals!A154="","",Agent08_Withdrawals!D154)</f>
        <v/>
      </c>
      <c r="F1547" s="40" t="str">
        <f>IF(Agent08_Withdrawals!A154="","",Agent08_Withdrawals!F154)</f>
        <v/>
      </c>
      <c r="G1547" s="42" t="str">
        <f>IF(Agent08_Withdrawals!A154="","",Agent08_Withdrawals!E154)</f>
        <v/>
      </c>
      <c r="H1547" s="42" t="str">
        <f>IF(Agent08_Withdrawals!A154="","",Agent08_Withdrawals!G154)</f>
        <v/>
      </c>
      <c r="I1547" s="40" t="str">
        <f>IF(Agent08_Withdrawals!A154="","",Agent08_Withdrawals!H154)</f>
        <v/>
      </c>
      <c r="J1547" s="40" t="str">
        <f>IF(Agent08_Withdrawals!A154="","",Agent08_Withdrawals!J154)</f>
        <v/>
      </c>
      <c r="K1547" s="40" t="str">
        <f>IF(Agent08_Withdrawals!A154="","",Agent08_Withdrawals!K154)</f>
        <v/>
      </c>
      <c r="L1547" s="40" t="str">
        <f>IF(G1547="","",IF(D1547-G1547&gt;=System_Config!$B$9,"✅ OK","⚠️ BREACH"))</f>
        <v/>
      </c>
      <c r="M1547" s="40" t="str">
        <f>IFERROR(IF(Agent08_Withdrawals!A154="","",YEAR(Agent08_Withdrawals!D154)),"")</f>
        <v/>
      </c>
    </row>
    <row r="1548" spans="1:13" ht="18" customHeight="1" x14ac:dyDescent="0.25">
      <c r="A1548" s="40" t="str">
        <f>IF(Agent08_Withdrawals!A155="","",Agent08_Withdrawals!A155)</f>
        <v/>
      </c>
      <c r="B1548" s="40" t="str">
        <f ca="1">IF(Agent08_Withdrawals!A155="","","WD"&amp;TEXT(1548-3,"0000")&amp;"-"&amp;TEXT(TODAY(),"YYYYMMDD"))</f>
        <v/>
      </c>
      <c r="C1548" s="40" t="str">
        <f>IF(Agent08_Withdrawals!A155="","",Agent08_Withdrawals!B155)</f>
        <v/>
      </c>
      <c r="D1548" s="43" t="str">
        <f>IF(Agent08_Withdrawals!A155="","",Agent08_Withdrawals!C155)</f>
        <v/>
      </c>
      <c r="E1548" s="41" t="str">
        <f>IF(Agent08_Withdrawals!A155="","",Agent08_Withdrawals!D155)</f>
        <v/>
      </c>
      <c r="F1548" s="40" t="str">
        <f>IF(Agent08_Withdrawals!A155="","",Agent08_Withdrawals!F155)</f>
        <v/>
      </c>
      <c r="G1548" s="42" t="str">
        <f>IF(Agent08_Withdrawals!A155="","",Agent08_Withdrawals!E155)</f>
        <v/>
      </c>
      <c r="H1548" s="42" t="str">
        <f>IF(Agent08_Withdrawals!A155="","",Agent08_Withdrawals!G155)</f>
        <v/>
      </c>
      <c r="I1548" s="40" t="str">
        <f>IF(Agent08_Withdrawals!A155="","",Agent08_Withdrawals!H155)</f>
        <v/>
      </c>
      <c r="J1548" s="40" t="str">
        <f>IF(Agent08_Withdrawals!A155="","",Agent08_Withdrawals!J155)</f>
        <v/>
      </c>
      <c r="K1548" s="40" t="str">
        <f>IF(Agent08_Withdrawals!A155="","",Agent08_Withdrawals!K155)</f>
        <v/>
      </c>
      <c r="L1548" s="40" t="str">
        <f>IF(G1548="","",IF(D1548-G1548&gt;=System_Config!$B$9,"✅ OK","⚠️ BREACH"))</f>
        <v/>
      </c>
      <c r="M1548" s="40" t="str">
        <f>IFERROR(IF(Agent08_Withdrawals!A155="","",YEAR(Agent08_Withdrawals!D155)),"")</f>
        <v/>
      </c>
    </row>
    <row r="1549" spans="1:13" ht="18" customHeight="1" x14ac:dyDescent="0.25">
      <c r="A1549" s="40" t="str">
        <f>IF(Agent08_Withdrawals!A156="","",Agent08_Withdrawals!A156)</f>
        <v/>
      </c>
      <c r="B1549" s="40" t="str">
        <f ca="1">IF(Agent08_Withdrawals!A156="","","WD"&amp;TEXT(1549-3,"0000")&amp;"-"&amp;TEXT(TODAY(),"YYYYMMDD"))</f>
        <v/>
      </c>
      <c r="C1549" s="40" t="str">
        <f>IF(Agent08_Withdrawals!A156="","",Agent08_Withdrawals!B156)</f>
        <v/>
      </c>
      <c r="D1549" s="43" t="str">
        <f>IF(Agent08_Withdrawals!A156="","",Agent08_Withdrawals!C156)</f>
        <v/>
      </c>
      <c r="E1549" s="41" t="str">
        <f>IF(Agent08_Withdrawals!A156="","",Agent08_Withdrawals!D156)</f>
        <v/>
      </c>
      <c r="F1549" s="40" t="str">
        <f>IF(Agent08_Withdrawals!A156="","",Agent08_Withdrawals!F156)</f>
        <v/>
      </c>
      <c r="G1549" s="42" t="str">
        <f>IF(Agent08_Withdrawals!A156="","",Agent08_Withdrawals!E156)</f>
        <v/>
      </c>
      <c r="H1549" s="42" t="str">
        <f>IF(Agent08_Withdrawals!A156="","",Agent08_Withdrawals!G156)</f>
        <v/>
      </c>
      <c r="I1549" s="40" t="str">
        <f>IF(Agent08_Withdrawals!A156="","",Agent08_Withdrawals!H156)</f>
        <v/>
      </c>
      <c r="J1549" s="40" t="str">
        <f>IF(Agent08_Withdrawals!A156="","",Agent08_Withdrawals!J156)</f>
        <v/>
      </c>
      <c r="K1549" s="40" t="str">
        <f>IF(Agent08_Withdrawals!A156="","",Agent08_Withdrawals!K156)</f>
        <v/>
      </c>
      <c r="L1549" s="40" t="str">
        <f>IF(G1549="","",IF(D1549-G1549&gt;=System_Config!$B$9,"✅ OK","⚠️ BREACH"))</f>
        <v/>
      </c>
      <c r="M1549" s="40" t="str">
        <f>IFERROR(IF(Agent08_Withdrawals!A156="","",YEAR(Agent08_Withdrawals!D156)),"")</f>
        <v/>
      </c>
    </row>
    <row r="1550" spans="1:13" ht="18" customHeight="1" x14ac:dyDescent="0.25">
      <c r="A1550" s="40" t="str">
        <f>IF(Agent08_Withdrawals!A157="","",Agent08_Withdrawals!A157)</f>
        <v/>
      </c>
      <c r="B1550" s="40" t="str">
        <f ca="1">IF(Agent08_Withdrawals!A157="","","WD"&amp;TEXT(1550-3,"0000")&amp;"-"&amp;TEXT(TODAY(),"YYYYMMDD"))</f>
        <v/>
      </c>
      <c r="C1550" s="40" t="str">
        <f>IF(Agent08_Withdrawals!A157="","",Agent08_Withdrawals!B157)</f>
        <v/>
      </c>
      <c r="D1550" s="43" t="str">
        <f>IF(Agent08_Withdrawals!A157="","",Agent08_Withdrawals!C157)</f>
        <v/>
      </c>
      <c r="E1550" s="41" t="str">
        <f>IF(Agent08_Withdrawals!A157="","",Agent08_Withdrawals!D157)</f>
        <v/>
      </c>
      <c r="F1550" s="40" t="str">
        <f>IF(Agent08_Withdrawals!A157="","",Agent08_Withdrawals!F157)</f>
        <v/>
      </c>
      <c r="G1550" s="42" t="str">
        <f>IF(Agent08_Withdrawals!A157="","",Agent08_Withdrawals!E157)</f>
        <v/>
      </c>
      <c r="H1550" s="42" t="str">
        <f>IF(Agent08_Withdrawals!A157="","",Agent08_Withdrawals!G157)</f>
        <v/>
      </c>
      <c r="I1550" s="40" t="str">
        <f>IF(Agent08_Withdrawals!A157="","",Agent08_Withdrawals!H157)</f>
        <v/>
      </c>
      <c r="J1550" s="40" t="str">
        <f>IF(Agent08_Withdrawals!A157="","",Agent08_Withdrawals!J157)</f>
        <v/>
      </c>
      <c r="K1550" s="40" t="str">
        <f>IF(Agent08_Withdrawals!A157="","",Agent08_Withdrawals!K157)</f>
        <v/>
      </c>
      <c r="L1550" s="40" t="str">
        <f>IF(G1550="","",IF(D1550-G1550&gt;=System_Config!$B$9,"✅ OK","⚠️ BREACH"))</f>
        <v/>
      </c>
      <c r="M1550" s="40" t="str">
        <f>IFERROR(IF(Agent08_Withdrawals!A157="","",YEAR(Agent08_Withdrawals!D157)),"")</f>
        <v/>
      </c>
    </row>
    <row r="1551" spans="1:13" ht="18" customHeight="1" x14ac:dyDescent="0.25">
      <c r="A1551" s="40" t="str">
        <f>IF(Agent08_Withdrawals!A158="","",Agent08_Withdrawals!A158)</f>
        <v/>
      </c>
      <c r="B1551" s="40" t="str">
        <f ca="1">IF(Agent08_Withdrawals!A158="","","WD"&amp;TEXT(1551-3,"0000")&amp;"-"&amp;TEXT(TODAY(),"YYYYMMDD"))</f>
        <v/>
      </c>
      <c r="C1551" s="40" t="str">
        <f>IF(Agent08_Withdrawals!A158="","",Agent08_Withdrawals!B158)</f>
        <v/>
      </c>
      <c r="D1551" s="43" t="str">
        <f>IF(Agent08_Withdrawals!A158="","",Agent08_Withdrawals!C158)</f>
        <v/>
      </c>
      <c r="E1551" s="41" t="str">
        <f>IF(Agent08_Withdrawals!A158="","",Agent08_Withdrawals!D158)</f>
        <v/>
      </c>
      <c r="F1551" s="40" t="str">
        <f>IF(Agent08_Withdrawals!A158="","",Agent08_Withdrawals!F158)</f>
        <v/>
      </c>
      <c r="G1551" s="42" t="str">
        <f>IF(Agent08_Withdrawals!A158="","",Agent08_Withdrawals!E158)</f>
        <v/>
      </c>
      <c r="H1551" s="42" t="str">
        <f>IF(Agent08_Withdrawals!A158="","",Agent08_Withdrawals!G158)</f>
        <v/>
      </c>
      <c r="I1551" s="40" t="str">
        <f>IF(Agent08_Withdrawals!A158="","",Agent08_Withdrawals!H158)</f>
        <v/>
      </c>
      <c r="J1551" s="40" t="str">
        <f>IF(Agent08_Withdrawals!A158="","",Agent08_Withdrawals!J158)</f>
        <v/>
      </c>
      <c r="K1551" s="40" t="str">
        <f>IF(Agent08_Withdrawals!A158="","",Agent08_Withdrawals!K158)</f>
        <v/>
      </c>
      <c r="L1551" s="40" t="str">
        <f>IF(G1551="","",IF(D1551-G1551&gt;=System_Config!$B$9,"✅ OK","⚠️ BREACH"))</f>
        <v/>
      </c>
      <c r="M1551" s="40" t="str">
        <f>IFERROR(IF(Agent08_Withdrawals!A158="","",YEAR(Agent08_Withdrawals!D158)),"")</f>
        <v/>
      </c>
    </row>
    <row r="1552" spans="1:13" ht="18" customHeight="1" x14ac:dyDescent="0.25">
      <c r="A1552" s="40" t="str">
        <f>IF(Agent08_Withdrawals!A159="","",Agent08_Withdrawals!A159)</f>
        <v/>
      </c>
      <c r="B1552" s="40" t="str">
        <f ca="1">IF(Agent08_Withdrawals!A159="","","WD"&amp;TEXT(1552-3,"0000")&amp;"-"&amp;TEXT(TODAY(),"YYYYMMDD"))</f>
        <v/>
      </c>
      <c r="C1552" s="40" t="str">
        <f>IF(Agent08_Withdrawals!A159="","",Agent08_Withdrawals!B159)</f>
        <v/>
      </c>
      <c r="D1552" s="43" t="str">
        <f>IF(Agent08_Withdrawals!A159="","",Agent08_Withdrawals!C159)</f>
        <v/>
      </c>
      <c r="E1552" s="41" t="str">
        <f>IF(Agent08_Withdrawals!A159="","",Agent08_Withdrawals!D159)</f>
        <v/>
      </c>
      <c r="F1552" s="40" t="str">
        <f>IF(Agent08_Withdrawals!A159="","",Agent08_Withdrawals!F159)</f>
        <v/>
      </c>
      <c r="G1552" s="42" t="str">
        <f>IF(Agent08_Withdrawals!A159="","",Agent08_Withdrawals!E159)</f>
        <v/>
      </c>
      <c r="H1552" s="42" t="str">
        <f>IF(Agent08_Withdrawals!A159="","",Agent08_Withdrawals!G159)</f>
        <v/>
      </c>
      <c r="I1552" s="40" t="str">
        <f>IF(Agent08_Withdrawals!A159="","",Agent08_Withdrawals!H159)</f>
        <v/>
      </c>
      <c r="J1552" s="40" t="str">
        <f>IF(Agent08_Withdrawals!A159="","",Agent08_Withdrawals!J159)</f>
        <v/>
      </c>
      <c r="K1552" s="40" t="str">
        <f>IF(Agent08_Withdrawals!A159="","",Agent08_Withdrawals!K159)</f>
        <v/>
      </c>
      <c r="L1552" s="40" t="str">
        <f>IF(G1552="","",IF(D1552-G1552&gt;=System_Config!$B$9,"✅ OK","⚠️ BREACH"))</f>
        <v/>
      </c>
      <c r="M1552" s="40" t="str">
        <f>IFERROR(IF(Agent08_Withdrawals!A159="","",YEAR(Agent08_Withdrawals!D159)),"")</f>
        <v/>
      </c>
    </row>
    <row r="1553" spans="1:13" ht="18" customHeight="1" x14ac:dyDescent="0.25">
      <c r="A1553" s="40" t="str">
        <f>IF(Agent08_Withdrawals!A160="","",Agent08_Withdrawals!A160)</f>
        <v/>
      </c>
      <c r="B1553" s="40" t="str">
        <f ca="1">IF(Agent08_Withdrawals!A160="","","WD"&amp;TEXT(1553-3,"0000")&amp;"-"&amp;TEXT(TODAY(),"YYYYMMDD"))</f>
        <v/>
      </c>
      <c r="C1553" s="40" t="str">
        <f>IF(Agent08_Withdrawals!A160="","",Agent08_Withdrawals!B160)</f>
        <v/>
      </c>
      <c r="D1553" s="43" t="str">
        <f>IF(Agent08_Withdrawals!A160="","",Agent08_Withdrawals!C160)</f>
        <v/>
      </c>
      <c r="E1553" s="41" t="str">
        <f>IF(Agent08_Withdrawals!A160="","",Agent08_Withdrawals!D160)</f>
        <v/>
      </c>
      <c r="F1553" s="40" t="str">
        <f>IF(Agent08_Withdrawals!A160="","",Agent08_Withdrawals!F160)</f>
        <v/>
      </c>
      <c r="G1553" s="42" t="str">
        <f>IF(Agent08_Withdrawals!A160="","",Agent08_Withdrawals!E160)</f>
        <v/>
      </c>
      <c r="H1553" s="42" t="str">
        <f>IF(Agent08_Withdrawals!A160="","",Agent08_Withdrawals!G160)</f>
        <v/>
      </c>
      <c r="I1553" s="40" t="str">
        <f>IF(Agent08_Withdrawals!A160="","",Agent08_Withdrawals!H160)</f>
        <v/>
      </c>
      <c r="J1553" s="40" t="str">
        <f>IF(Agent08_Withdrawals!A160="","",Agent08_Withdrawals!J160)</f>
        <v/>
      </c>
      <c r="K1553" s="40" t="str">
        <f>IF(Agent08_Withdrawals!A160="","",Agent08_Withdrawals!K160)</f>
        <v/>
      </c>
      <c r="L1553" s="40" t="str">
        <f>IF(G1553="","",IF(D1553-G1553&gt;=System_Config!$B$9,"✅ OK","⚠️ BREACH"))</f>
        <v/>
      </c>
      <c r="M1553" s="40" t="str">
        <f>IFERROR(IF(Agent08_Withdrawals!A160="","",YEAR(Agent08_Withdrawals!D160)),"")</f>
        <v/>
      </c>
    </row>
    <row r="1554" spans="1:13" ht="18" customHeight="1" x14ac:dyDescent="0.25">
      <c r="A1554" s="40" t="str">
        <f>IF(Agent08_Withdrawals!A161="","",Agent08_Withdrawals!A161)</f>
        <v/>
      </c>
      <c r="B1554" s="40" t="str">
        <f ca="1">IF(Agent08_Withdrawals!A161="","","WD"&amp;TEXT(1554-3,"0000")&amp;"-"&amp;TEXT(TODAY(),"YYYYMMDD"))</f>
        <v/>
      </c>
      <c r="C1554" s="40" t="str">
        <f>IF(Agent08_Withdrawals!A161="","",Agent08_Withdrawals!B161)</f>
        <v/>
      </c>
      <c r="D1554" s="43" t="str">
        <f>IF(Agent08_Withdrawals!A161="","",Agent08_Withdrawals!C161)</f>
        <v/>
      </c>
      <c r="E1554" s="41" t="str">
        <f>IF(Agent08_Withdrawals!A161="","",Agent08_Withdrawals!D161)</f>
        <v/>
      </c>
      <c r="F1554" s="40" t="str">
        <f>IF(Agent08_Withdrawals!A161="","",Agent08_Withdrawals!F161)</f>
        <v/>
      </c>
      <c r="G1554" s="42" t="str">
        <f>IF(Agent08_Withdrawals!A161="","",Agent08_Withdrawals!E161)</f>
        <v/>
      </c>
      <c r="H1554" s="42" t="str">
        <f>IF(Agent08_Withdrawals!A161="","",Agent08_Withdrawals!G161)</f>
        <v/>
      </c>
      <c r="I1554" s="40" t="str">
        <f>IF(Agent08_Withdrawals!A161="","",Agent08_Withdrawals!H161)</f>
        <v/>
      </c>
      <c r="J1554" s="40" t="str">
        <f>IF(Agent08_Withdrawals!A161="","",Agent08_Withdrawals!J161)</f>
        <v/>
      </c>
      <c r="K1554" s="40" t="str">
        <f>IF(Agent08_Withdrawals!A161="","",Agent08_Withdrawals!K161)</f>
        <v/>
      </c>
      <c r="L1554" s="40" t="str">
        <f>IF(G1554="","",IF(D1554-G1554&gt;=System_Config!$B$9,"✅ OK","⚠️ BREACH"))</f>
        <v/>
      </c>
      <c r="M1554" s="40" t="str">
        <f>IFERROR(IF(Agent08_Withdrawals!A161="","",YEAR(Agent08_Withdrawals!D161)),"")</f>
        <v/>
      </c>
    </row>
    <row r="1555" spans="1:13" ht="18" customHeight="1" x14ac:dyDescent="0.25">
      <c r="A1555" s="40" t="str">
        <f>IF(Agent08_Withdrawals!A162="","",Agent08_Withdrawals!A162)</f>
        <v/>
      </c>
      <c r="B1555" s="40" t="str">
        <f ca="1">IF(Agent08_Withdrawals!A162="","","WD"&amp;TEXT(1555-3,"0000")&amp;"-"&amp;TEXT(TODAY(),"YYYYMMDD"))</f>
        <v/>
      </c>
      <c r="C1555" s="40" t="str">
        <f>IF(Agent08_Withdrawals!A162="","",Agent08_Withdrawals!B162)</f>
        <v/>
      </c>
      <c r="D1555" s="43" t="str">
        <f>IF(Agent08_Withdrawals!A162="","",Agent08_Withdrawals!C162)</f>
        <v/>
      </c>
      <c r="E1555" s="41" t="str">
        <f>IF(Agent08_Withdrawals!A162="","",Agent08_Withdrawals!D162)</f>
        <v/>
      </c>
      <c r="F1555" s="40" t="str">
        <f>IF(Agent08_Withdrawals!A162="","",Agent08_Withdrawals!F162)</f>
        <v/>
      </c>
      <c r="G1555" s="42" t="str">
        <f>IF(Agent08_Withdrawals!A162="","",Agent08_Withdrawals!E162)</f>
        <v/>
      </c>
      <c r="H1555" s="42" t="str">
        <f>IF(Agent08_Withdrawals!A162="","",Agent08_Withdrawals!G162)</f>
        <v/>
      </c>
      <c r="I1555" s="40" t="str">
        <f>IF(Agent08_Withdrawals!A162="","",Agent08_Withdrawals!H162)</f>
        <v/>
      </c>
      <c r="J1555" s="40" t="str">
        <f>IF(Agent08_Withdrawals!A162="","",Agent08_Withdrawals!J162)</f>
        <v/>
      </c>
      <c r="K1555" s="40" t="str">
        <f>IF(Agent08_Withdrawals!A162="","",Agent08_Withdrawals!K162)</f>
        <v/>
      </c>
      <c r="L1555" s="40" t="str">
        <f>IF(G1555="","",IF(D1555-G1555&gt;=System_Config!$B$9,"✅ OK","⚠️ BREACH"))</f>
        <v/>
      </c>
      <c r="M1555" s="40" t="str">
        <f>IFERROR(IF(Agent08_Withdrawals!A162="","",YEAR(Agent08_Withdrawals!D162)),"")</f>
        <v/>
      </c>
    </row>
    <row r="1556" spans="1:13" ht="18" customHeight="1" x14ac:dyDescent="0.25">
      <c r="A1556" s="40" t="str">
        <f>IF(Agent08_Withdrawals!A163="","",Agent08_Withdrawals!A163)</f>
        <v/>
      </c>
      <c r="B1556" s="40" t="str">
        <f ca="1">IF(Agent08_Withdrawals!A163="","","WD"&amp;TEXT(1556-3,"0000")&amp;"-"&amp;TEXT(TODAY(),"YYYYMMDD"))</f>
        <v/>
      </c>
      <c r="C1556" s="40" t="str">
        <f>IF(Agent08_Withdrawals!A163="","",Agent08_Withdrawals!B163)</f>
        <v/>
      </c>
      <c r="D1556" s="43" t="str">
        <f>IF(Agent08_Withdrawals!A163="","",Agent08_Withdrawals!C163)</f>
        <v/>
      </c>
      <c r="E1556" s="41" t="str">
        <f>IF(Agent08_Withdrawals!A163="","",Agent08_Withdrawals!D163)</f>
        <v/>
      </c>
      <c r="F1556" s="40" t="str">
        <f>IF(Agent08_Withdrawals!A163="","",Agent08_Withdrawals!F163)</f>
        <v/>
      </c>
      <c r="G1556" s="42" t="str">
        <f>IF(Agent08_Withdrawals!A163="","",Agent08_Withdrawals!E163)</f>
        <v/>
      </c>
      <c r="H1556" s="42" t="str">
        <f>IF(Agent08_Withdrawals!A163="","",Agent08_Withdrawals!G163)</f>
        <v/>
      </c>
      <c r="I1556" s="40" t="str">
        <f>IF(Agent08_Withdrawals!A163="","",Agent08_Withdrawals!H163)</f>
        <v/>
      </c>
      <c r="J1556" s="40" t="str">
        <f>IF(Agent08_Withdrawals!A163="","",Agent08_Withdrawals!J163)</f>
        <v/>
      </c>
      <c r="K1556" s="40" t="str">
        <f>IF(Agent08_Withdrawals!A163="","",Agent08_Withdrawals!K163)</f>
        <v/>
      </c>
      <c r="L1556" s="40" t="str">
        <f>IF(G1556="","",IF(D1556-G1556&gt;=System_Config!$B$9,"✅ OK","⚠️ BREACH"))</f>
        <v/>
      </c>
      <c r="M1556" s="40" t="str">
        <f>IFERROR(IF(Agent08_Withdrawals!A163="","",YEAR(Agent08_Withdrawals!D163)),"")</f>
        <v/>
      </c>
    </row>
    <row r="1557" spans="1:13" ht="18" customHeight="1" x14ac:dyDescent="0.25">
      <c r="A1557" s="40" t="str">
        <f>IF(Agent08_Withdrawals!A164="","",Agent08_Withdrawals!A164)</f>
        <v/>
      </c>
      <c r="B1557" s="40" t="str">
        <f ca="1">IF(Agent08_Withdrawals!A164="","","WD"&amp;TEXT(1557-3,"0000")&amp;"-"&amp;TEXT(TODAY(),"YYYYMMDD"))</f>
        <v/>
      </c>
      <c r="C1557" s="40" t="str">
        <f>IF(Agent08_Withdrawals!A164="","",Agent08_Withdrawals!B164)</f>
        <v/>
      </c>
      <c r="D1557" s="43" t="str">
        <f>IF(Agent08_Withdrawals!A164="","",Agent08_Withdrawals!C164)</f>
        <v/>
      </c>
      <c r="E1557" s="41" t="str">
        <f>IF(Agent08_Withdrawals!A164="","",Agent08_Withdrawals!D164)</f>
        <v/>
      </c>
      <c r="F1557" s="40" t="str">
        <f>IF(Agent08_Withdrawals!A164="","",Agent08_Withdrawals!F164)</f>
        <v/>
      </c>
      <c r="G1557" s="42" t="str">
        <f>IF(Agent08_Withdrawals!A164="","",Agent08_Withdrawals!E164)</f>
        <v/>
      </c>
      <c r="H1557" s="42" t="str">
        <f>IF(Agent08_Withdrawals!A164="","",Agent08_Withdrawals!G164)</f>
        <v/>
      </c>
      <c r="I1557" s="40" t="str">
        <f>IF(Agent08_Withdrawals!A164="","",Agent08_Withdrawals!H164)</f>
        <v/>
      </c>
      <c r="J1557" s="40" t="str">
        <f>IF(Agent08_Withdrawals!A164="","",Agent08_Withdrawals!J164)</f>
        <v/>
      </c>
      <c r="K1557" s="40" t="str">
        <f>IF(Agent08_Withdrawals!A164="","",Agent08_Withdrawals!K164)</f>
        <v/>
      </c>
      <c r="L1557" s="40" t="str">
        <f>IF(G1557="","",IF(D1557-G1557&gt;=System_Config!$B$9,"✅ OK","⚠️ BREACH"))</f>
        <v/>
      </c>
      <c r="M1557" s="40" t="str">
        <f>IFERROR(IF(Agent08_Withdrawals!A164="","",YEAR(Agent08_Withdrawals!D164)),"")</f>
        <v/>
      </c>
    </row>
    <row r="1558" spans="1:13" ht="18" customHeight="1" x14ac:dyDescent="0.25">
      <c r="A1558" s="40" t="str">
        <f>IF(Agent08_Withdrawals!A165="","",Agent08_Withdrawals!A165)</f>
        <v/>
      </c>
      <c r="B1558" s="40" t="str">
        <f ca="1">IF(Agent08_Withdrawals!A165="","","WD"&amp;TEXT(1558-3,"0000")&amp;"-"&amp;TEXT(TODAY(),"YYYYMMDD"))</f>
        <v/>
      </c>
      <c r="C1558" s="40" t="str">
        <f>IF(Agent08_Withdrawals!A165="","",Agent08_Withdrawals!B165)</f>
        <v/>
      </c>
      <c r="D1558" s="43" t="str">
        <f>IF(Agent08_Withdrawals!A165="","",Agent08_Withdrawals!C165)</f>
        <v/>
      </c>
      <c r="E1558" s="41" t="str">
        <f>IF(Agent08_Withdrawals!A165="","",Agent08_Withdrawals!D165)</f>
        <v/>
      </c>
      <c r="F1558" s="40" t="str">
        <f>IF(Agent08_Withdrawals!A165="","",Agent08_Withdrawals!F165)</f>
        <v/>
      </c>
      <c r="G1558" s="42" t="str">
        <f>IF(Agent08_Withdrawals!A165="","",Agent08_Withdrawals!E165)</f>
        <v/>
      </c>
      <c r="H1558" s="42" t="str">
        <f>IF(Agent08_Withdrawals!A165="","",Agent08_Withdrawals!G165)</f>
        <v/>
      </c>
      <c r="I1558" s="40" t="str">
        <f>IF(Agent08_Withdrawals!A165="","",Agent08_Withdrawals!H165)</f>
        <v/>
      </c>
      <c r="J1558" s="40" t="str">
        <f>IF(Agent08_Withdrawals!A165="","",Agent08_Withdrawals!J165)</f>
        <v/>
      </c>
      <c r="K1558" s="40" t="str">
        <f>IF(Agent08_Withdrawals!A165="","",Agent08_Withdrawals!K165)</f>
        <v/>
      </c>
      <c r="L1558" s="40" t="str">
        <f>IF(G1558="","",IF(D1558-G1558&gt;=System_Config!$B$9,"✅ OK","⚠️ BREACH"))</f>
        <v/>
      </c>
      <c r="M1558" s="40" t="str">
        <f>IFERROR(IF(Agent08_Withdrawals!A165="","",YEAR(Agent08_Withdrawals!D165)),"")</f>
        <v/>
      </c>
    </row>
    <row r="1559" spans="1:13" ht="18" customHeight="1" x14ac:dyDescent="0.25">
      <c r="A1559" s="40" t="str">
        <f>IF(Agent08_Withdrawals!A166="","",Agent08_Withdrawals!A166)</f>
        <v/>
      </c>
      <c r="B1559" s="40" t="str">
        <f ca="1">IF(Agent08_Withdrawals!A166="","","WD"&amp;TEXT(1559-3,"0000")&amp;"-"&amp;TEXT(TODAY(),"YYYYMMDD"))</f>
        <v/>
      </c>
      <c r="C1559" s="40" t="str">
        <f>IF(Agent08_Withdrawals!A166="","",Agent08_Withdrawals!B166)</f>
        <v/>
      </c>
      <c r="D1559" s="43" t="str">
        <f>IF(Agent08_Withdrawals!A166="","",Agent08_Withdrawals!C166)</f>
        <v/>
      </c>
      <c r="E1559" s="41" t="str">
        <f>IF(Agent08_Withdrawals!A166="","",Agent08_Withdrawals!D166)</f>
        <v/>
      </c>
      <c r="F1559" s="40" t="str">
        <f>IF(Agent08_Withdrawals!A166="","",Agent08_Withdrawals!F166)</f>
        <v/>
      </c>
      <c r="G1559" s="42" t="str">
        <f>IF(Agent08_Withdrawals!A166="","",Agent08_Withdrawals!E166)</f>
        <v/>
      </c>
      <c r="H1559" s="42" t="str">
        <f>IF(Agent08_Withdrawals!A166="","",Agent08_Withdrawals!G166)</f>
        <v/>
      </c>
      <c r="I1559" s="40" t="str">
        <f>IF(Agent08_Withdrawals!A166="","",Agent08_Withdrawals!H166)</f>
        <v/>
      </c>
      <c r="J1559" s="40" t="str">
        <f>IF(Agent08_Withdrawals!A166="","",Agent08_Withdrawals!J166)</f>
        <v/>
      </c>
      <c r="K1559" s="40" t="str">
        <f>IF(Agent08_Withdrawals!A166="","",Agent08_Withdrawals!K166)</f>
        <v/>
      </c>
      <c r="L1559" s="40" t="str">
        <f>IF(G1559="","",IF(D1559-G1559&gt;=System_Config!$B$9,"✅ OK","⚠️ BREACH"))</f>
        <v/>
      </c>
      <c r="M1559" s="40" t="str">
        <f>IFERROR(IF(Agent08_Withdrawals!A166="","",YEAR(Agent08_Withdrawals!D166)),"")</f>
        <v/>
      </c>
    </row>
    <row r="1560" spans="1:13" ht="18" customHeight="1" x14ac:dyDescent="0.25">
      <c r="A1560" s="40" t="str">
        <f>IF(Agent08_Withdrawals!A167="","",Agent08_Withdrawals!A167)</f>
        <v/>
      </c>
      <c r="B1560" s="40" t="str">
        <f ca="1">IF(Agent08_Withdrawals!A167="","","WD"&amp;TEXT(1560-3,"0000")&amp;"-"&amp;TEXT(TODAY(),"YYYYMMDD"))</f>
        <v/>
      </c>
      <c r="C1560" s="40" t="str">
        <f>IF(Agent08_Withdrawals!A167="","",Agent08_Withdrawals!B167)</f>
        <v/>
      </c>
      <c r="D1560" s="43" t="str">
        <f>IF(Agent08_Withdrawals!A167="","",Agent08_Withdrawals!C167)</f>
        <v/>
      </c>
      <c r="E1560" s="41" t="str">
        <f>IF(Agent08_Withdrawals!A167="","",Agent08_Withdrawals!D167)</f>
        <v/>
      </c>
      <c r="F1560" s="40" t="str">
        <f>IF(Agent08_Withdrawals!A167="","",Agent08_Withdrawals!F167)</f>
        <v/>
      </c>
      <c r="G1560" s="42" t="str">
        <f>IF(Agent08_Withdrawals!A167="","",Agent08_Withdrawals!E167)</f>
        <v/>
      </c>
      <c r="H1560" s="42" t="str">
        <f>IF(Agent08_Withdrawals!A167="","",Agent08_Withdrawals!G167)</f>
        <v/>
      </c>
      <c r="I1560" s="40" t="str">
        <f>IF(Agent08_Withdrawals!A167="","",Agent08_Withdrawals!H167)</f>
        <v/>
      </c>
      <c r="J1560" s="40" t="str">
        <f>IF(Agent08_Withdrawals!A167="","",Agent08_Withdrawals!J167)</f>
        <v/>
      </c>
      <c r="K1560" s="40" t="str">
        <f>IF(Agent08_Withdrawals!A167="","",Agent08_Withdrawals!K167)</f>
        <v/>
      </c>
      <c r="L1560" s="40" t="str">
        <f>IF(G1560="","",IF(D1560-G1560&gt;=System_Config!$B$9,"✅ OK","⚠️ BREACH"))</f>
        <v/>
      </c>
      <c r="M1560" s="40" t="str">
        <f>IFERROR(IF(Agent08_Withdrawals!A167="","",YEAR(Agent08_Withdrawals!D167)),"")</f>
        <v/>
      </c>
    </row>
    <row r="1561" spans="1:13" ht="18" customHeight="1" x14ac:dyDescent="0.25">
      <c r="A1561" s="40" t="str">
        <f>IF(Agent08_Withdrawals!A168="","",Agent08_Withdrawals!A168)</f>
        <v/>
      </c>
      <c r="B1561" s="40" t="str">
        <f ca="1">IF(Agent08_Withdrawals!A168="","","WD"&amp;TEXT(1561-3,"0000")&amp;"-"&amp;TEXT(TODAY(),"YYYYMMDD"))</f>
        <v/>
      </c>
      <c r="C1561" s="40" t="str">
        <f>IF(Agent08_Withdrawals!A168="","",Agent08_Withdrawals!B168)</f>
        <v/>
      </c>
      <c r="D1561" s="43" t="str">
        <f>IF(Agent08_Withdrawals!A168="","",Agent08_Withdrawals!C168)</f>
        <v/>
      </c>
      <c r="E1561" s="41" t="str">
        <f>IF(Agent08_Withdrawals!A168="","",Agent08_Withdrawals!D168)</f>
        <v/>
      </c>
      <c r="F1561" s="40" t="str">
        <f>IF(Agent08_Withdrawals!A168="","",Agent08_Withdrawals!F168)</f>
        <v/>
      </c>
      <c r="G1561" s="42" t="str">
        <f>IF(Agent08_Withdrawals!A168="","",Agent08_Withdrawals!E168)</f>
        <v/>
      </c>
      <c r="H1561" s="42" t="str">
        <f>IF(Agent08_Withdrawals!A168="","",Agent08_Withdrawals!G168)</f>
        <v/>
      </c>
      <c r="I1561" s="40" t="str">
        <f>IF(Agent08_Withdrawals!A168="","",Agent08_Withdrawals!H168)</f>
        <v/>
      </c>
      <c r="J1561" s="40" t="str">
        <f>IF(Agent08_Withdrawals!A168="","",Agent08_Withdrawals!J168)</f>
        <v/>
      </c>
      <c r="K1561" s="40" t="str">
        <f>IF(Agent08_Withdrawals!A168="","",Agent08_Withdrawals!K168)</f>
        <v/>
      </c>
      <c r="L1561" s="40" t="str">
        <f>IF(G1561="","",IF(D1561-G1561&gt;=System_Config!$B$9,"✅ OK","⚠️ BREACH"))</f>
        <v/>
      </c>
      <c r="M1561" s="40" t="str">
        <f>IFERROR(IF(Agent08_Withdrawals!A168="","",YEAR(Agent08_Withdrawals!D168)),"")</f>
        <v/>
      </c>
    </row>
    <row r="1562" spans="1:13" ht="18" customHeight="1" x14ac:dyDescent="0.25">
      <c r="A1562" s="40" t="str">
        <f>IF(Agent08_Withdrawals!A169="","",Agent08_Withdrawals!A169)</f>
        <v/>
      </c>
      <c r="B1562" s="40" t="str">
        <f ca="1">IF(Agent08_Withdrawals!A169="","","WD"&amp;TEXT(1562-3,"0000")&amp;"-"&amp;TEXT(TODAY(),"YYYYMMDD"))</f>
        <v/>
      </c>
      <c r="C1562" s="40" t="str">
        <f>IF(Agent08_Withdrawals!A169="","",Agent08_Withdrawals!B169)</f>
        <v/>
      </c>
      <c r="D1562" s="43" t="str">
        <f>IF(Agent08_Withdrawals!A169="","",Agent08_Withdrawals!C169)</f>
        <v/>
      </c>
      <c r="E1562" s="41" t="str">
        <f>IF(Agent08_Withdrawals!A169="","",Agent08_Withdrawals!D169)</f>
        <v/>
      </c>
      <c r="F1562" s="40" t="str">
        <f>IF(Agent08_Withdrawals!A169="","",Agent08_Withdrawals!F169)</f>
        <v/>
      </c>
      <c r="G1562" s="42" t="str">
        <f>IF(Agent08_Withdrawals!A169="","",Agent08_Withdrawals!E169)</f>
        <v/>
      </c>
      <c r="H1562" s="42" t="str">
        <f>IF(Agent08_Withdrawals!A169="","",Agent08_Withdrawals!G169)</f>
        <v/>
      </c>
      <c r="I1562" s="40" t="str">
        <f>IF(Agent08_Withdrawals!A169="","",Agent08_Withdrawals!H169)</f>
        <v/>
      </c>
      <c r="J1562" s="40" t="str">
        <f>IF(Agent08_Withdrawals!A169="","",Agent08_Withdrawals!J169)</f>
        <v/>
      </c>
      <c r="K1562" s="40" t="str">
        <f>IF(Agent08_Withdrawals!A169="","",Agent08_Withdrawals!K169)</f>
        <v/>
      </c>
      <c r="L1562" s="40" t="str">
        <f>IF(G1562="","",IF(D1562-G1562&gt;=System_Config!$B$9,"✅ OK","⚠️ BREACH"))</f>
        <v/>
      </c>
      <c r="M1562" s="40" t="str">
        <f>IFERROR(IF(Agent08_Withdrawals!A169="","",YEAR(Agent08_Withdrawals!D169)),"")</f>
        <v/>
      </c>
    </row>
    <row r="1563" spans="1:13" ht="18" customHeight="1" x14ac:dyDescent="0.25">
      <c r="A1563" s="40" t="str">
        <f>IF(Agent08_Withdrawals!A170="","",Agent08_Withdrawals!A170)</f>
        <v/>
      </c>
      <c r="B1563" s="40" t="str">
        <f ca="1">IF(Agent08_Withdrawals!A170="","","WD"&amp;TEXT(1563-3,"0000")&amp;"-"&amp;TEXT(TODAY(),"YYYYMMDD"))</f>
        <v/>
      </c>
      <c r="C1563" s="40" t="str">
        <f>IF(Agent08_Withdrawals!A170="","",Agent08_Withdrawals!B170)</f>
        <v/>
      </c>
      <c r="D1563" s="43" t="str">
        <f>IF(Agent08_Withdrawals!A170="","",Agent08_Withdrawals!C170)</f>
        <v/>
      </c>
      <c r="E1563" s="41" t="str">
        <f>IF(Agent08_Withdrawals!A170="","",Agent08_Withdrawals!D170)</f>
        <v/>
      </c>
      <c r="F1563" s="40" t="str">
        <f>IF(Agent08_Withdrawals!A170="","",Agent08_Withdrawals!F170)</f>
        <v/>
      </c>
      <c r="G1563" s="42" t="str">
        <f>IF(Agent08_Withdrawals!A170="","",Agent08_Withdrawals!E170)</f>
        <v/>
      </c>
      <c r="H1563" s="42" t="str">
        <f>IF(Agent08_Withdrawals!A170="","",Agent08_Withdrawals!G170)</f>
        <v/>
      </c>
      <c r="I1563" s="40" t="str">
        <f>IF(Agent08_Withdrawals!A170="","",Agent08_Withdrawals!H170)</f>
        <v/>
      </c>
      <c r="J1563" s="40" t="str">
        <f>IF(Agent08_Withdrawals!A170="","",Agent08_Withdrawals!J170)</f>
        <v/>
      </c>
      <c r="K1563" s="40" t="str">
        <f>IF(Agent08_Withdrawals!A170="","",Agent08_Withdrawals!K170)</f>
        <v/>
      </c>
      <c r="L1563" s="40" t="str">
        <f>IF(G1563="","",IF(D1563-G1563&gt;=System_Config!$B$9,"✅ OK","⚠️ BREACH"))</f>
        <v/>
      </c>
      <c r="M1563" s="40" t="str">
        <f>IFERROR(IF(Agent08_Withdrawals!A170="","",YEAR(Agent08_Withdrawals!D170)),"")</f>
        <v/>
      </c>
    </row>
    <row r="1564" spans="1:13" ht="18" customHeight="1" x14ac:dyDescent="0.25">
      <c r="A1564" s="40" t="str">
        <f>IF(Agent08_Withdrawals!A171="","",Agent08_Withdrawals!A171)</f>
        <v/>
      </c>
      <c r="B1564" s="40" t="str">
        <f ca="1">IF(Agent08_Withdrawals!A171="","","WD"&amp;TEXT(1564-3,"0000")&amp;"-"&amp;TEXT(TODAY(),"YYYYMMDD"))</f>
        <v/>
      </c>
      <c r="C1564" s="40" t="str">
        <f>IF(Agent08_Withdrawals!A171="","",Agent08_Withdrawals!B171)</f>
        <v/>
      </c>
      <c r="D1564" s="43" t="str">
        <f>IF(Agent08_Withdrawals!A171="","",Agent08_Withdrawals!C171)</f>
        <v/>
      </c>
      <c r="E1564" s="41" t="str">
        <f>IF(Agent08_Withdrawals!A171="","",Agent08_Withdrawals!D171)</f>
        <v/>
      </c>
      <c r="F1564" s="40" t="str">
        <f>IF(Agent08_Withdrawals!A171="","",Agent08_Withdrawals!F171)</f>
        <v/>
      </c>
      <c r="G1564" s="42" t="str">
        <f>IF(Agent08_Withdrawals!A171="","",Agent08_Withdrawals!E171)</f>
        <v/>
      </c>
      <c r="H1564" s="42" t="str">
        <f>IF(Agent08_Withdrawals!A171="","",Agent08_Withdrawals!G171)</f>
        <v/>
      </c>
      <c r="I1564" s="40" t="str">
        <f>IF(Agent08_Withdrawals!A171="","",Agent08_Withdrawals!H171)</f>
        <v/>
      </c>
      <c r="J1564" s="40" t="str">
        <f>IF(Agent08_Withdrawals!A171="","",Agent08_Withdrawals!J171)</f>
        <v/>
      </c>
      <c r="K1564" s="40" t="str">
        <f>IF(Agent08_Withdrawals!A171="","",Agent08_Withdrawals!K171)</f>
        <v/>
      </c>
      <c r="L1564" s="40" t="str">
        <f>IF(G1564="","",IF(D1564-G1564&gt;=System_Config!$B$9,"✅ OK","⚠️ BREACH"))</f>
        <v/>
      </c>
      <c r="M1564" s="40" t="str">
        <f>IFERROR(IF(Agent08_Withdrawals!A171="","",YEAR(Agent08_Withdrawals!D171)),"")</f>
        <v/>
      </c>
    </row>
    <row r="1565" spans="1:13" ht="18" customHeight="1" x14ac:dyDescent="0.25">
      <c r="A1565" s="40" t="str">
        <f>IF(Agent08_Withdrawals!A172="","",Agent08_Withdrawals!A172)</f>
        <v/>
      </c>
      <c r="B1565" s="40" t="str">
        <f ca="1">IF(Agent08_Withdrawals!A172="","","WD"&amp;TEXT(1565-3,"0000")&amp;"-"&amp;TEXT(TODAY(),"YYYYMMDD"))</f>
        <v/>
      </c>
      <c r="C1565" s="40" t="str">
        <f>IF(Agent08_Withdrawals!A172="","",Agent08_Withdrawals!B172)</f>
        <v/>
      </c>
      <c r="D1565" s="43" t="str">
        <f>IF(Agent08_Withdrawals!A172="","",Agent08_Withdrawals!C172)</f>
        <v/>
      </c>
      <c r="E1565" s="41" t="str">
        <f>IF(Agent08_Withdrawals!A172="","",Agent08_Withdrawals!D172)</f>
        <v/>
      </c>
      <c r="F1565" s="40" t="str">
        <f>IF(Agent08_Withdrawals!A172="","",Agent08_Withdrawals!F172)</f>
        <v/>
      </c>
      <c r="G1565" s="42" t="str">
        <f>IF(Agent08_Withdrawals!A172="","",Agent08_Withdrawals!E172)</f>
        <v/>
      </c>
      <c r="H1565" s="42" t="str">
        <f>IF(Agent08_Withdrawals!A172="","",Agent08_Withdrawals!G172)</f>
        <v/>
      </c>
      <c r="I1565" s="40" t="str">
        <f>IF(Agent08_Withdrawals!A172="","",Agent08_Withdrawals!H172)</f>
        <v/>
      </c>
      <c r="J1565" s="40" t="str">
        <f>IF(Agent08_Withdrawals!A172="","",Agent08_Withdrawals!J172)</f>
        <v/>
      </c>
      <c r="K1565" s="40" t="str">
        <f>IF(Agent08_Withdrawals!A172="","",Agent08_Withdrawals!K172)</f>
        <v/>
      </c>
      <c r="L1565" s="40" t="str">
        <f>IF(G1565="","",IF(D1565-G1565&gt;=System_Config!$B$9,"✅ OK","⚠️ BREACH"))</f>
        <v/>
      </c>
      <c r="M1565" s="40" t="str">
        <f>IFERROR(IF(Agent08_Withdrawals!A172="","",YEAR(Agent08_Withdrawals!D172)),"")</f>
        <v/>
      </c>
    </row>
    <row r="1566" spans="1:13" ht="18" customHeight="1" x14ac:dyDescent="0.25">
      <c r="A1566" s="40" t="str">
        <f>IF(Agent08_Withdrawals!A173="","",Agent08_Withdrawals!A173)</f>
        <v/>
      </c>
      <c r="B1566" s="40" t="str">
        <f ca="1">IF(Agent08_Withdrawals!A173="","","WD"&amp;TEXT(1566-3,"0000")&amp;"-"&amp;TEXT(TODAY(),"YYYYMMDD"))</f>
        <v/>
      </c>
      <c r="C1566" s="40" t="str">
        <f>IF(Agent08_Withdrawals!A173="","",Agent08_Withdrawals!B173)</f>
        <v/>
      </c>
      <c r="D1566" s="43" t="str">
        <f>IF(Agent08_Withdrawals!A173="","",Agent08_Withdrawals!C173)</f>
        <v/>
      </c>
      <c r="E1566" s="41" t="str">
        <f>IF(Agent08_Withdrawals!A173="","",Agent08_Withdrawals!D173)</f>
        <v/>
      </c>
      <c r="F1566" s="40" t="str">
        <f>IF(Agent08_Withdrawals!A173="","",Agent08_Withdrawals!F173)</f>
        <v/>
      </c>
      <c r="G1566" s="42" t="str">
        <f>IF(Agent08_Withdrawals!A173="","",Agent08_Withdrawals!E173)</f>
        <v/>
      </c>
      <c r="H1566" s="42" t="str">
        <f>IF(Agent08_Withdrawals!A173="","",Agent08_Withdrawals!G173)</f>
        <v/>
      </c>
      <c r="I1566" s="40" t="str">
        <f>IF(Agent08_Withdrawals!A173="","",Agent08_Withdrawals!H173)</f>
        <v/>
      </c>
      <c r="J1566" s="40" t="str">
        <f>IF(Agent08_Withdrawals!A173="","",Agent08_Withdrawals!J173)</f>
        <v/>
      </c>
      <c r="K1566" s="40" t="str">
        <f>IF(Agent08_Withdrawals!A173="","",Agent08_Withdrawals!K173)</f>
        <v/>
      </c>
      <c r="L1566" s="40" t="str">
        <f>IF(G1566="","",IF(D1566-G1566&gt;=System_Config!$B$9,"✅ OK","⚠️ BREACH"))</f>
        <v/>
      </c>
      <c r="M1566" s="40" t="str">
        <f>IFERROR(IF(Agent08_Withdrawals!A173="","",YEAR(Agent08_Withdrawals!D173)),"")</f>
        <v/>
      </c>
    </row>
    <row r="1567" spans="1:13" ht="18" customHeight="1" x14ac:dyDescent="0.25">
      <c r="A1567" s="40" t="str">
        <f>IF(Agent08_Withdrawals!A174="","",Agent08_Withdrawals!A174)</f>
        <v/>
      </c>
      <c r="B1567" s="40" t="str">
        <f ca="1">IF(Agent08_Withdrawals!A174="","","WD"&amp;TEXT(1567-3,"0000")&amp;"-"&amp;TEXT(TODAY(),"YYYYMMDD"))</f>
        <v/>
      </c>
      <c r="C1567" s="40" t="str">
        <f>IF(Agent08_Withdrawals!A174="","",Agent08_Withdrawals!B174)</f>
        <v/>
      </c>
      <c r="D1567" s="43" t="str">
        <f>IF(Agent08_Withdrawals!A174="","",Agent08_Withdrawals!C174)</f>
        <v/>
      </c>
      <c r="E1567" s="41" t="str">
        <f>IF(Agent08_Withdrawals!A174="","",Agent08_Withdrawals!D174)</f>
        <v/>
      </c>
      <c r="F1567" s="40" t="str">
        <f>IF(Agent08_Withdrawals!A174="","",Agent08_Withdrawals!F174)</f>
        <v/>
      </c>
      <c r="G1567" s="42" t="str">
        <f>IF(Agent08_Withdrawals!A174="","",Agent08_Withdrawals!E174)</f>
        <v/>
      </c>
      <c r="H1567" s="42" t="str">
        <f>IF(Agent08_Withdrawals!A174="","",Agent08_Withdrawals!G174)</f>
        <v/>
      </c>
      <c r="I1567" s="40" t="str">
        <f>IF(Agent08_Withdrawals!A174="","",Agent08_Withdrawals!H174)</f>
        <v/>
      </c>
      <c r="J1567" s="40" t="str">
        <f>IF(Agent08_Withdrawals!A174="","",Agent08_Withdrawals!J174)</f>
        <v/>
      </c>
      <c r="K1567" s="40" t="str">
        <f>IF(Agent08_Withdrawals!A174="","",Agent08_Withdrawals!K174)</f>
        <v/>
      </c>
      <c r="L1567" s="40" t="str">
        <f>IF(G1567="","",IF(D1567-G1567&gt;=System_Config!$B$9,"✅ OK","⚠️ BREACH"))</f>
        <v/>
      </c>
      <c r="M1567" s="40" t="str">
        <f>IFERROR(IF(Agent08_Withdrawals!A174="","",YEAR(Agent08_Withdrawals!D174)),"")</f>
        <v/>
      </c>
    </row>
    <row r="1568" spans="1:13" ht="18" customHeight="1" x14ac:dyDescent="0.25">
      <c r="A1568" s="40" t="str">
        <f>IF(Agent08_Withdrawals!A175="","",Agent08_Withdrawals!A175)</f>
        <v/>
      </c>
      <c r="B1568" s="40" t="str">
        <f ca="1">IF(Agent08_Withdrawals!A175="","","WD"&amp;TEXT(1568-3,"0000")&amp;"-"&amp;TEXT(TODAY(),"YYYYMMDD"))</f>
        <v/>
      </c>
      <c r="C1568" s="40" t="str">
        <f>IF(Agent08_Withdrawals!A175="","",Agent08_Withdrawals!B175)</f>
        <v/>
      </c>
      <c r="D1568" s="43" t="str">
        <f>IF(Agent08_Withdrawals!A175="","",Agent08_Withdrawals!C175)</f>
        <v/>
      </c>
      <c r="E1568" s="41" t="str">
        <f>IF(Agent08_Withdrawals!A175="","",Agent08_Withdrawals!D175)</f>
        <v/>
      </c>
      <c r="F1568" s="40" t="str">
        <f>IF(Agent08_Withdrawals!A175="","",Agent08_Withdrawals!F175)</f>
        <v/>
      </c>
      <c r="G1568" s="42" t="str">
        <f>IF(Agent08_Withdrawals!A175="","",Agent08_Withdrawals!E175)</f>
        <v/>
      </c>
      <c r="H1568" s="42" t="str">
        <f>IF(Agent08_Withdrawals!A175="","",Agent08_Withdrawals!G175)</f>
        <v/>
      </c>
      <c r="I1568" s="40" t="str">
        <f>IF(Agent08_Withdrawals!A175="","",Agent08_Withdrawals!H175)</f>
        <v/>
      </c>
      <c r="J1568" s="40" t="str">
        <f>IF(Agent08_Withdrawals!A175="","",Agent08_Withdrawals!J175)</f>
        <v/>
      </c>
      <c r="K1568" s="40" t="str">
        <f>IF(Agent08_Withdrawals!A175="","",Agent08_Withdrawals!K175)</f>
        <v/>
      </c>
      <c r="L1568" s="40" t="str">
        <f>IF(G1568="","",IF(D1568-G1568&gt;=System_Config!$B$9,"✅ OK","⚠️ BREACH"))</f>
        <v/>
      </c>
      <c r="M1568" s="40" t="str">
        <f>IFERROR(IF(Agent08_Withdrawals!A175="","",YEAR(Agent08_Withdrawals!D175)),"")</f>
        <v/>
      </c>
    </row>
    <row r="1569" spans="1:13" ht="18" customHeight="1" x14ac:dyDescent="0.25">
      <c r="A1569" s="40" t="str">
        <f>IF(Agent08_Withdrawals!A176="","",Agent08_Withdrawals!A176)</f>
        <v/>
      </c>
      <c r="B1569" s="40" t="str">
        <f ca="1">IF(Agent08_Withdrawals!A176="","","WD"&amp;TEXT(1569-3,"0000")&amp;"-"&amp;TEXT(TODAY(),"YYYYMMDD"))</f>
        <v/>
      </c>
      <c r="C1569" s="40" t="str">
        <f>IF(Agent08_Withdrawals!A176="","",Agent08_Withdrawals!B176)</f>
        <v/>
      </c>
      <c r="D1569" s="43" t="str">
        <f>IF(Agent08_Withdrawals!A176="","",Agent08_Withdrawals!C176)</f>
        <v/>
      </c>
      <c r="E1569" s="41" t="str">
        <f>IF(Agent08_Withdrawals!A176="","",Agent08_Withdrawals!D176)</f>
        <v/>
      </c>
      <c r="F1569" s="40" t="str">
        <f>IF(Agent08_Withdrawals!A176="","",Agent08_Withdrawals!F176)</f>
        <v/>
      </c>
      <c r="G1569" s="42" t="str">
        <f>IF(Agent08_Withdrawals!A176="","",Agent08_Withdrawals!E176)</f>
        <v/>
      </c>
      <c r="H1569" s="42" t="str">
        <f>IF(Agent08_Withdrawals!A176="","",Agent08_Withdrawals!G176)</f>
        <v/>
      </c>
      <c r="I1569" s="40" t="str">
        <f>IF(Agent08_Withdrawals!A176="","",Agent08_Withdrawals!H176)</f>
        <v/>
      </c>
      <c r="J1569" s="40" t="str">
        <f>IF(Agent08_Withdrawals!A176="","",Agent08_Withdrawals!J176)</f>
        <v/>
      </c>
      <c r="K1569" s="40" t="str">
        <f>IF(Agent08_Withdrawals!A176="","",Agent08_Withdrawals!K176)</f>
        <v/>
      </c>
      <c r="L1569" s="40" t="str">
        <f>IF(G1569="","",IF(D1569-G1569&gt;=System_Config!$B$9,"✅ OK","⚠️ BREACH"))</f>
        <v/>
      </c>
      <c r="M1569" s="40" t="str">
        <f>IFERROR(IF(Agent08_Withdrawals!A176="","",YEAR(Agent08_Withdrawals!D176)),"")</f>
        <v/>
      </c>
    </row>
    <row r="1570" spans="1:13" ht="18" customHeight="1" x14ac:dyDescent="0.25">
      <c r="A1570" s="40" t="str">
        <f>IF(Agent08_Withdrawals!A177="","",Agent08_Withdrawals!A177)</f>
        <v/>
      </c>
      <c r="B1570" s="40" t="str">
        <f ca="1">IF(Agent08_Withdrawals!A177="","","WD"&amp;TEXT(1570-3,"0000")&amp;"-"&amp;TEXT(TODAY(),"YYYYMMDD"))</f>
        <v/>
      </c>
      <c r="C1570" s="40" t="str">
        <f>IF(Agent08_Withdrawals!A177="","",Agent08_Withdrawals!B177)</f>
        <v/>
      </c>
      <c r="D1570" s="43" t="str">
        <f>IF(Agent08_Withdrawals!A177="","",Agent08_Withdrawals!C177)</f>
        <v/>
      </c>
      <c r="E1570" s="41" t="str">
        <f>IF(Agent08_Withdrawals!A177="","",Agent08_Withdrawals!D177)</f>
        <v/>
      </c>
      <c r="F1570" s="40" t="str">
        <f>IF(Agent08_Withdrawals!A177="","",Agent08_Withdrawals!F177)</f>
        <v/>
      </c>
      <c r="G1570" s="42" t="str">
        <f>IF(Agent08_Withdrawals!A177="","",Agent08_Withdrawals!E177)</f>
        <v/>
      </c>
      <c r="H1570" s="42" t="str">
        <f>IF(Agent08_Withdrawals!A177="","",Agent08_Withdrawals!G177)</f>
        <v/>
      </c>
      <c r="I1570" s="40" t="str">
        <f>IF(Agent08_Withdrawals!A177="","",Agent08_Withdrawals!H177)</f>
        <v/>
      </c>
      <c r="J1570" s="40" t="str">
        <f>IF(Agent08_Withdrawals!A177="","",Agent08_Withdrawals!J177)</f>
        <v/>
      </c>
      <c r="K1570" s="40" t="str">
        <f>IF(Agent08_Withdrawals!A177="","",Agent08_Withdrawals!K177)</f>
        <v/>
      </c>
      <c r="L1570" s="40" t="str">
        <f>IF(G1570="","",IF(D1570-G1570&gt;=System_Config!$B$9,"✅ OK","⚠️ BREACH"))</f>
        <v/>
      </c>
      <c r="M1570" s="40" t="str">
        <f>IFERROR(IF(Agent08_Withdrawals!A177="","",YEAR(Agent08_Withdrawals!D177)),"")</f>
        <v/>
      </c>
    </row>
    <row r="1571" spans="1:13" ht="18" customHeight="1" x14ac:dyDescent="0.25">
      <c r="A1571" s="40" t="str">
        <f>IF(Agent08_Withdrawals!A178="","",Agent08_Withdrawals!A178)</f>
        <v/>
      </c>
      <c r="B1571" s="40" t="str">
        <f ca="1">IF(Agent08_Withdrawals!A178="","","WD"&amp;TEXT(1571-3,"0000")&amp;"-"&amp;TEXT(TODAY(),"YYYYMMDD"))</f>
        <v/>
      </c>
      <c r="C1571" s="40" t="str">
        <f>IF(Agent08_Withdrawals!A178="","",Agent08_Withdrawals!B178)</f>
        <v/>
      </c>
      <c r="D1571" s="43" t="str">
        <f>IF(Agent08_Withdrawals!A178="","",Agent08_Withdrawals!C178)</f>
        <v/>
      </c>
      <c r="E1571" s="41" t="str">
        <f>IF(Agent08_Withdrawals!A178="","",Agent08_Withdrawals!D178)</f>
        <v/>
      </c>
      <c r="F1571" s="40" t="str">
        <f>IF(Agent08_Withdrawals!A178="","",Agent08_Withdrawals!F178)</f>
        <v/>
      </c>
      <c r="G1571" s="42" t="str">
        <f>IF(Agent08_Withdrawals!A178="","",Agent08_Withdrawals!E178)</f>
        <v/>
      </c>
      <c r="H1571" s="42" t="str">
        <f>IF(Agent08_Withdrawals!A178="","",Agent08_Withdrawals!G178)</f>
        <v/>
      </c>
      <c r="I1571" s="40" t="str">
        <f>IF(Agent08_Withdrawals!A178="","",Agent08_Withdrawals!H178)</f>
        <v/>
      </c>
      <c r="J1571" s="40" t="str">
        <f>IF(Agent08_Withdrawals!A178="","",Agent08_Withdrawals!J178)</f>
        <v/>
      </c>
      <c r="K1571" s="40" t="str">
        <f>IF(Agent08_Withdrawals!A178="","",Agent08_Withdrawals!K178)</f>
        <v/>
      </c>
      <c r="L1571" s="40" t="str">
        <f>IF(G1571="","",IF(D1571-G1571&gt;=System_Config!$B$9,"✅ OK","⚠️ BREACH"))</f>
        <v/>
      </c>
      <c r="M1571" s="40" t="str">
        <f>IFERROR(IF(Agent08_Withdrawals!A178="","",YEAR(Agent08_Withdrawals!D178)),"")</f>
        <v/>
      </c>
    </row>
    <row r="1572" spans="1:13" ht="18" customHeight="1" x14ac:dyDescent="0.25">
      <c r="A1572" s="40" t="str">
        <f>IF(Agent08_Withdrawals!A179="","",Agent08_Withdrawals!A179)</f>
        <v/>
      </c>
      <c r="B1572" s="40" t="str">
        <f ca="1">IF(Agent08_Withdrawals!A179="","","WD"&amp;TEXT(1572-3,"0000")&amp;"-"&amp;TEXT(TODAY(),"YYYYMMDD"))</f>
        <v/>
      </c>
      <c r="C1572" s="40" t="str">
        <f>IF(Agent08_Withdrawals!A179="","",Agent08_Withdrawals!B179)</f>
        <v/>
      </c>
      <c r="D1572" s="43" t="str">
        <f>IF(Agent08_Withdrawals!A179="","",Agent08_Withdrawals!C179)</f>
        <v/>
      </c>
      <c r="E1572" s="41" t="str">
        <f>IF(Agent08_Withdrawals!A179="","",Agent08_Withdrawals!D179)</f>
        <v/>
      </c>
      <c r="F1572" s="40" t="str">
        <f>IF(Agent08_Withdrawals!A179="","",Agent08_Withdrawals!F179)</f>
        <v/>
      </c>
      <c r="G1572" s="42" t="str">
        <f>IF(Agent08_Withdrawals!A179="","",Agent08_Withdrawals!E179)</f>
        <v/>
      </c>
      <c r="H1572" s="42" t="str">
        <f>IF(Agent08_Withdrawals!A179="","",Agent08_Withdrawals!G179)</f>
        <v/>
      </c>
      <c r="I1572" s="40" t="str">
        <f>IF(Agent08_Withdrawals!A179="","",Agent08_Withdrawals!H179)</f>
        <v/>
      </c>
      <c r="J1572" s="40" t="str">
        <f>IF(Agent08_Withdrawals!A179="","",Agent08_Withdrawals!J179)</f>
        <v/>
      </c>
      <c r="K1572" s="40" t="str">
        <f>IF(Agent08_Withdrawals!A179="","",Agent08_Withdrawals!K179)</f>
        <v/>
      </c>
      <c r="L1572" s="40" t="str">
        <f>IF(G1572="","",IF(D1572-G1572&gt;=System_Config!$B$9,"✅ OK","⚠️ BREACH"))</f>
        <v/>
      </c>
      <c r="M1572" s="40" t="str">
        <f>IFERROR(IF(Agent08_Withdrawals!A179="","",YEAR(Agent08_Withdrawals!D179)),"")</f>
        <v/>
      </c>
    </row>
    <row r="1573" spans="1:13" ht="18" customHeight="1" x14ac:dyDescent="0.25">
      <c r="A1573" s="40" t="str">
        <f>IF(Agent08_Withdrawals!A180="","",Agent08_Withdrawals!A180)</f>
        <v/>
      </c>
      <c r="B1573" s="40" t="str">
        <f ca="1">IF(Agent08_Withdrawals!A180="","","WD"&amp;TEXT(1573-3,"0000")&amp;"-"&amp;TEXT(TODAY(),"YYYYMMDD"))</f>
        <v/>
      </c>
      <c r="C1573" s="40" t="str">
        <f>IF(Agent08_Withdrawals!A180="","",Agent08_Withdrawals!B180)</f>
        <v/>
      </c>
      <c r="D1573" s="43" t="str">
        <f>IF(Agent08_Withdrawals!A180="","",Agent08_Withdrawals!C180)</f>
        <v/>
      </c>
      <c r="E1573" s="41" t="str">
        <f>IF(Agent08_Withdrawals!A180="","",Agent08_Withdrawals!D180)</f>
        <v/>
      </c>
      <c r="F1573" s="40" t="str">
        <f>IF(Agent08_Withdrawals!A180="","",Agent08_Withdrawals!F180)</f>
        <v/>
      </c>
      <c r="G1573" s="42" t="str">
        <f>IF(Agent08_Withdrawals!A180="","",Agent08_Withdrawals!E180)</f>
        <v/>
      </c>
      <c r="H1573" s="42" t="str">
        <f>IF(Agent08_Withdrawals!A180="","",Agent08_Withdrawals!G180)</f>
        <v/>
      </c>
      <c r="I1573" s="40" t="str">
        <f>IF(Agent08_Withdrawals!A180="","",Agent08_Withdrawals!H180)</f>
        <v/>
      </c>
      <c r="J1573" s="40" t="str">
        <f>IF(Agent08_Withdrawals!A180="","",Agent08_Withdrawals!J180)</f>
        <v/>
      </c>
      <c r="K1573" s="40" t="str">
        <f>IF(Agent08_Withdrawals!A180="","",Agent08_Withdrawals!K180)</f>
        <v/>
      </c>
      <c r="L1573" s="40" t="str">
        <f>IF(G1573="","",IF(D1573-G1573&gt;=System_Config!$B$9,"✅ OK","⚠️ BREACH"))</f>
        <v/>
      </c>
      <c r="M1573" s="40" t="str">
        <f>IFERROR(IF(Agent08_Withdrawals!A180="","",YEAR(Agent08_Withdrawals!D180)),"")</f>
        <v/>
      </c>
    </row>
    <row r="1574" spans="1:13" ht="18" customHeight="1" x14ac:dyDescent="0.25">
      <c r="A1574" s="40" t="str">
        <f>IF(Agent08_Withdrawals!A181="","",Agent08_Withdrawals!A181)</f>
        <v/>
      </c>
      <c r="B1574" s="40" t="str">
        <f ca="1">IF(Agent08_Withdrawals!A181="","","WD"&amp;TEXT(1574-3,"0000")&amp;"-"&amp;TEXT(TODAY(),"YYYYMMDD"))</f>
        <v/>
      </c>
      <c r="C1574" s="40" t="str">
        <f>IF(Agent08_Withdrawals!A181="","",Agent08_Withdrawals!B181)</f>
        <v/>
      </c>
      <c r="D1574" s="43" t="str">
        <f>IF(Agent08_Withdrawals!A181="","",Agent08_Withdrawals!C181)</f>
        <v/>
      </c>
      <c r="E1574" s="41" t="str">
        <f>IF(Agent08_Withdrawals!A181="","",Agent08_Withdrawals!D181)</f>
        <v/>
      </c>
      <c r="F1574" s="40" t="str">
        <f>IF(Agent08_Withdrawals!A181="","",Agent08_Withdrawals!F181)</f>
        <v/>
      </c>
      <c r="G1574" s="42" t="str">
        <f>IF(Agent08_Withdrawals!A181="","",Agent08_Withdrawals!E181)</f>
        <v/>
      </c>
      <c r="H1574" s="42" t="str">
        <f>IF(Agent08_Withdrawals!A181="","",Agent08_Withdrawals!G181)</f>
        <v/>
      </c>
      <c r="I1574" s="40" t="str">
        <f>IF(Agent08_Withdrawals!A181="","",Agent08_Withdrawals!H181)</f>
        <v/>
      </c>
      <c r="J1574" s="40" t="str">
        <f>IF(Agent08_Withdrawals!A181="","",Agent08_Withdrawals!J181)</f>
        <v/>
      </c>
      <c r="K1574" s="40" t="str">
        <f>IF(Agent08_Withdrawals!A181="","",Agent08_Withdrawals!K181)</f>
        <v/>
      </c>
      <c r="L1574" s="40" t="str">
        <f>IF(G1574="","",IF(D1574-G1574&gt;=System_Config!$B$9,"✅ OK","⚠️ BREACH"))</f>
        <v/>
      </c>
      <c r="M1574" s="40" t="str">
        <f>IFERROR(IF(Agent08_Withdrawals!A181="","",YEAR(Agent08_Withdrawals!D181)),"")</f>
        <v/>
      </c>
    </row>
    <row r="1575" spans="1:13" ht="18" customHeight="1" x14ac:dyDescent="0.25">
      <c r="A1575" s="40" t="str">
        <f>IF(Agent08_Withdrawals!A182="","",Agent08_Withdrawals!A182)</f>
        <v/>
      </c>
      <c r="B1575" s="40" t="str">
        <f ca="1">IF(Agent08_Withdrawals!A182="","","WD"&amp;TEXT(1575-3,"0000")&amp;"-"&amp;TEXT(TODAY(),"YYYYMMDD"))</f>
        <v/>
      </c>
      <c r="C1575" s="40" t="str">
        <f>IF(Agent08_Withdrawals!A182="","",Agent08_Withdrawals!B182)</f>
        <v/>
      </c>
      <c r="D1575" s="43" t="str">
        <f>IF(Agent08_Withdrawals!A182="","",Agent08_Withdrawals!C182)</f>
        <v/>
      </c>
      <c r="E1575" s="41" t="str">
        <f>IF(Agent08_Withdrawals!A182="","",Agent08_Withdrawals!D182)</f>
        <v/>
      </c>
      <c r="F1575" s="40" t="str">
        <f>IF(Agent08_Withdrawals!A182="","",Agent08_Withdrawals!F182)</f>
        <v/>
      </c>
      <c r="G1575" s="42" t="str">
        <f>IF(Agent08_Withdrawals!A182="","",Agent08_Withdrawals!E182)</f>
        <v/>
      </c>
      <c r="H1575" s="42" t="str">
        <f>IF(Agent08_Withdrawals!A182="","",Agent08_Withdrawals!G182)</f>
        <v/>
      </c>
      <c r="I1575" s="40" t="str">
        <f>IF(Agent08_Withdrawals!A182="","",Agent08_Withdrawals!H182)</f>
        <v/>
      </c>
      <c r="J1575" s="40" t="str">
        <f>IF(Agent08_Withdrawals!A182="","",Agent08_Withdrawals!J182)</f>
        <v/>
      </c>
      <c r="K1575" s="40" t="str">
        <f>IF(Agent08_Withdrawals!A182="","",Agent08_Withdrawals!K182)</f>
        <v/>
      </c>
      <c r="L1575" s="40" t="str">
        <f>IF(G1575="","",IF(D1575-G1575&gt;=System_Config!$B$9,"✅ OK","⚠️ BREACH"))</f>
        <v/>
      </c>
      <c r="M1575" s="40" t="str">
        <f>IFERROR(IF(Agent08_Withdrawals!A182="","",YEAR(Agent08_Withdrawals!D182)),"")</f>
        <v/>
      </c>
    </row>
    <row r="1576" spans="1:13" ht="18" customHeight="1" x14ac:dyDescent="0.25">
      <c r="A1576" s="40" t="str">
        <f>IF(Agent08_Withdrawals!A183="","",Agent08_Withdrawals!A183)</f>
        <v/>
      </c>
      <c r="B1576" s="40" t="str">
        <f ca="1">IF(Agent08_Withdrawals!A183="","","WD"&amp;TEXT(1576-3,"0000")&amp;"-"&amp;TEXT(TODAY(),"YYYYMMDD"))</f>
        <v/>
      </c>
      <c r="C1576" s="40" t="str">
        <f>IF(Agent08_Withdrawals!A183="","",Agent08_Withdrawals!B183)</f>
        <v/>
      </c>
      <c r="D1576" s="43" t="str">
        <f>IF(Agent08_Withdrawals!A183="","",Agent08_Withdrawals!C183)</f>
        <v/>
      </c>
      <c r="E1576" s="41" t="str">
        <f>IF(Agent08_Withdrawals!A183="","",Agent08_Withdrawals!D183)</f>
        <v/>
      </c>
      <c r="F1576" s="40" t="str">
        <f>IF(Agent08_Withdrawals!A183="","",Agent08_Withdrawals!F183)</f>
        <v/>
      </c>
      <c r="G1576" s="42" t="str">
        <f>IF(Agent08_Withdrawals!A183="","",Agent08_Withdrawals!E183)</f>
        <v/>
      </c>
      <c r="H1576" s="42" t="str">
        <f>IF(Agent08_Withdrawals!A183="","",Agent08_Withdrawals!G183)</f>
        <v/>
      </c>
      <c r="I1576" s="40" t="str">
        <f>IF(Agent08_Withdrawals!A183="","",Agent08_Withdrawals!H183)</f>
        <v/>
      </c>
      <c r="J1576" s="40" t="str">
        <f>IF(Agent08_Withdrawals!A183="","",Agent08_Withdrawals!J183)</f>
        <v/>
      </c>
      <c r="K1576" s="40" t="str">
        <f>IF(Agent08_Withdrawals!A183="","",Agent08_Withdrawals!K183)</f>
        <v/>
      </c>
      <c r="L1576" s="40" t="str">
        <f>IF(G1576="","",IF(D1576-G1576&gt;=System_Config!$B$9,"✅ OK","⚠️ BREACH"))</f>
        <v/>
      </c>
      <c r="M1576" s="40" t="str">
        <f>IFERROR(IF(Agent08_Withdrawals!A183="","",YEAR(Agent08_Withdrawals!D183)),"")</f>
        <v/>
      </c>
    </row>
    <row r="1577" spans="1:13" ht="18" customHeight="1" x14ac:dyDescent="0.25">
      <c r="A1577" s="40" t="str">
        <f>IF(Agent08_Withdrawals!A184="","",Agent08_Withdrawals!A184)</f>
        <v/>
      </c>
      <c r="B1577" s="40" t="str">
        <f ca="1">IF(Agent08_Withdrawals!A184="","","WD"&amp;TEXT(1577-3,"0000")&amp;"-"&amp;TEXT(TODAY(),"YYYYMMDD"))</f>
        <v/>
      </c>
      <c r="C1577" s="40" t="str">
        <f>IF(Agent08_Withdrawals!A184="","",Agent08_Withdrawals!B184)</f>
        <v/>
      </c>
      <c r="D1577" s="43" t="str">
        <f>IF(Agent08_Withdrawals!A184="","",Agent08_Withdrawals!C184)</f>
        <v/>
      </c>
      <c r="E1577" s="41" t="str">
        <f>IF(Agent08_Withdrawals!A184="","",Agent08_Withdrawals!D184)</f>
        <v/>
      </c>
      <c r="F1577" s="40" t="str">
        <f>IF(Agent08_Withdrawals!A184="","",Agent08_Withdrawals!F184)</f>
        <v/>
      </c>
      <c r="G1577" s="42" t="str">
        <f>IF(Agent08_Withdrawals!A184="","",Agent08_Withdrawals!E184)</f>
        <v/>
      </c>
      <c r="H1577" s="42" t="str">
        <f>IF(Agent08_Withdrawals!A184="","",Agent08_Withdrawals!G184)</f>
        <v/>
      </c>
      <c r="I1577" s="40" t="str">
        <f>IF(Agent08_Withdrawals!A184="","",Agent08_Withdrawals!H184)</f>
        <v/>
      </c>
      <c r="J1577" s="40" t="str">
        <f>IF(Agent08_Withdrawals!A184="","",Agent08_Withdrawals!J184)</f>
        <v/>
      </c>
      <c r="K1577" s="40" t="str">
        <f>IF(Agent08_Withdrawals!A184="","",Agent08_Withdrawals!K184)</f>
        <v/>
      </c>
      <c r="L1577" s="40" t="str">
        <f>IF(G1577="","",IF(D1577-G1577&gt;=System_Config!$B$9,"✅ OK","⚠️ BREACH"))</f>
        <v/>
      </c>
      <c r="M1577" s="40" t="str">
        <f>IFERROR(IF(Agent08_Withdrawals!A184="","",YEAR(Agent08_Withdrawals!D184)),"")</f>
        <v/>
      </c>
    </row>
    <row r="1578" spans="1:13" ht="18" customHeight="1" x14ac:dyDescent="0.25">
      <c r="A1578" s="40" t="str">
        <f>IF(Agent08_Withdrawals!A185="","",Agent08_Withdrawals!A185)</f>
        <v/>
      </c>
      <c r="B1578" s="40" t="str">
        <f ca="1">IF(Agent08_Withdrawals!A185="","","WD"&amp;TEXT(1578-3,"0000")&amp;"-"&amp;TEXT(TODAY(),"YYYYMMDD"))</f>
        <v/>
      </c>
      <c r="C1578" s="40" t="str">
        <f>IF(Agent08_Withdrawals!A185="","",Agent08_Withdrawals!B185)</f>
        <v/>
      </c>
      <c r="D1578" s="43" t="str">
        <f>IF(Agent08_Withdrawals!A185="","",Agent08_Withdrawals!C185)</f>
        <v/>
      </c>
      <c r="E1578" s="41" t="str">
        <f>IF(Agent08_Withdrawals!A185="","",Agent08_Withdrawals!D185)</f>
        <v/>
      </c>
      <c r="F1578" s="40" t="str">
        <f>IF(Agent08_Withdrawals!A185="","",Agent08_Withdrawals!F185)</f>
        <v/>
      </c>
      <c r="G1578" s="42" t="str">
        <f>IF(Agent08_Withdrawals!A185="","",Agent08_Withdrawals!E185)</f>
        <v/>
      </c>
      <c r="H1578" s="42" t="str">
        <f>IF(Agent08_Withdrawals!A185="","",Agent08_Withdrawals!G185)</f>
        <v/>
      </c>
      <c r="I1578" s="40" t="str">
        <f>IF(Agent08_Withdrawals!A185="","",Agent08_Withdrawals!H185)</f>
        <v/>
      </c>
      <c r="J1578" s="40" t="str">
        <f>IF(Agent08_Withdrawals!A185="","",Agent08_Withdrawals!J185)</f>
        <v/>
      </c>
      <c r="K1578" s="40" t="str">
        <f>IF(Agent08_Withdrawals!A185="","",Agent08_Withdrawals!K185)</f>
        <v/>
      </c>
      <c r="L1578" s="40" t="str">
        <f>IF(G1578="","",IF(D1578-G1578&gt;=System_Config!$B$9,"✅ OK","⚠️ BREACH"))</f>
        <v/>
      </c>
      <c r="M1578" s="40" t="str">
        <f>IFERROR(IF(Agent08_Withdrawals!A185="","",YEAR(Agent08_Withdrawals!D185)),"")</f>
        <v/>
      </c>
    </row>
    <row r="1579" spans="1:13" ht="18" customHeight="1" x14ac:dyDescent="0.25">
      <c r="A1579" s="40" t="str">
        <f>IF(Agent08_Withdrawals!A186="","",Agent08_Withdrawals!A186)</f>
        <v/>
      </c>
      <c r="B1579" s="40" t="str">
        <f ca="1">IF(Agent08_Withdrawals!A186="","","WD"&amp;TEXT(1579-3,"0000")&amp;"-"&amp;TEXT(TODAY(),"YYYYMMDD"))</f>
        <v/>
      </c>
      <c r="C1579" s="40" t="str">
        <f>IF(Agent08_Withdrawals!A186="","",Agent08_Withdrawals!B186)</f>
        <v/>
      </c>
      <c r="D1579" s="43" t="str">
        <f>IF(Agent08_Withdrawals!A186="","",Agent08_Withdrawals!C186)</f>
        <v/>
      </c>
      <c r="E1579" s="41" t="str">
        <f>IF(Agent08_Withdrawals!A186="","",Agent08_Withdrawals!D186)</f>
        <v/>
      </c>
      <c r="F1579" s="40" t="str">
        <f>IF(Agent08_Withdrawals!A186="","",Agent08_Withdrawals!F186)</f>
        <v/>
      </c>
      <c r="G1579" s="42" t="str">
        <f>IF(Agent08_Withdrawals!A186="","",Agent08_Withdrawals!E186)</f>
        <v/>
      </c>
      <c r="H1579" s="42" t="str">
        <f>IF(Agent08_Withdrawals!A186="","",Agent08_Withdrawals!G186)</f>
        <v/>
      </c>
      <c r="I1579" s="40" t="str">
        <f>IF(Agent08_Withdrawals!A186="","",Agent08_Withdrawals!H186)</f>
        <v/>
      </c>
      <c r="J1579" s="40" t="str">
        <f>IF(Agent08_Withdrawals!A186="","",Agent08_Withdrawals!J186)</f>
        <v/>
      </c>
      <c r="K1579" s="40" t="str">
        <f>IF(Agent08_Withdrawals!A186="","",Agent08_Withdrawals!K186)</f>
        <v/>
      </c>
      <c r="L1579" s="40" t="str">
        <f>IF(G1579="","",IF(D1579-G1579&gt;=System_Config!$B$9,"✅ OK","⚠️ BREACH"))</f>
        <v/>
      </c>
      <c r="M1579" s="40" t="str">
        <f>IFERROR(IF(Agent08_Withdrawals!A186="","",YEAR(Agent08_Withdrawals!D186)),"")</f>
        <v/>
      </c>
    </row>
    <row r="1580" spans="1:13" ht="18" customHeight="1" x14ac:dyDescent="0.25">
      <c r="A1580" s="40" t="str">
        <f>IF(Agent08_Withdrawals!A187="","",Agent08_Withdrawals!A187)</f>
        <v/>
      </c>
      <c r="B1580" s="40" t="str">
        <f ca="1">IF(Agent08_Withdrawals!A187="","","WD"&amp;TEXT(1580-3,"0000")&amp;"-"&amp;TEXT(TODAY(),"YYYYMMDD"))</f>
        <v/>
      </c>
      <c r="C1580" s="40" t="str">
        <f>IF(Agent08_Withdrawals!A187="","",Agent08_Withdrawals!B187)</f>
        <v/>
      </c>
      <c r="D1580" s="43" t="str">
        <f>IF(Agent08_Withdrawals!A187="","",Agent08_Withdrawals!C187)</f>
        <v/>
      </c>
      <c r="E1580" s="41" t="str">
        <f>IF(Agent08_Withdrawals!A187="","",Agent08_Withdrawals!D187)</f>
        <v/>
      </c>
      <c r="F1580" s="40" t="str">
        <f>IF(Agent08_Withdrawals!A187="","",Agent08_Withdrawals!F187)</f>
        <v/>
      </c>
      <c r="G1580" s="42" t="str">
        <f>IF(Agent08_Withdrawals!A187="","",Agent08_Withdrawals!E187)</f>
        <v/>
      </c>
      <c r="H1580" s="42" t="str">
        <f>IF(Agent08_Withdrawals!A187="","",Agent08_Withdrawals!G187)</f>
        <v/>
      </c>
      <c r="I1580" s="40" t="str">
        <f>IF(Agent08_Withdrawals!A187="","",Agent08_Withdrawals!H187)</f>
        <v/>
      </c>
      <c r="J1580" s="40" t="str">
        <f>IF(Agent08_Withdrawals!A187="","",Agent08_Withdrawals!J187)</f>
        <v/>
      </c>
      <c r="K1580" s="40" t="str">
        <f>IF(Agent08_Withdrawals!A187="","",Agent08_Withdrawals!K187)</f>
        <v/>
      </c>
      <c r="L1580" s="40" t="str">
        <f>IF(G1580="","",IF(D1580-G1580&gt;=System_Config!$B$9,"✅ OK","⚠️ BREACH"))</f>
        <v/>
      </c>
      <c r="M1580" s="40" t="str">
        <f>IFERROR(IF(Agent08_Withdrawals!A187="","",YEAR(Agent08_Withdrawals!D187)),"")</f>
        <v/>
      </c>
    </row>
    <row r="1581" spans="1:13" ht="18" customHeight="1" x14ac:dyDescent="0.25">
      <c r="A1581" s="40" t="str">
        <f>IF(Agent08_Withdrawals!A188="","",Agent08_Withdrawals!A188)</f>
        <v/>
      </c>
      <c r="B1581" s="40" t="str">
        <f ca="1">IF(Agent08_Withdrawals!A188="","","WD"&amp;TEXT(1581-3,"0000")&amp;"-"&amp;TEXT(TODAY(),"YYYYMMDD"))</f>
        <v/>
      </c>
      <c r="C1581" s="40" t="str">
        <f>IF(Agent08_Withdrawals!A188="","",Agent08_Withdrawals!B188)</f>
        <v/>
      </c>
      <c r="D1581" s="43" t="str">
        <f>IF(Agent08_Withdrawals!A188="","",Agent08_Withdrawals!C188)</f>
        <v/>
      </c>
      <c r="E1581" s="41" t="str">
        <f>IF(Agent08_Withdrawals!A188="","",Agent08_Withdrawals!D188)</f>
        <v/>
      </c>
      <c r="F1581" s="40" t="str">
        <f>IF(Agent08_Withdrawals!A188="","",Agent08_Withdrawals!F188)</f>
        <v/>
      </c>
      <c r="G1581" s="42" t="str">
        <f>IF(Agent08_Withdrawals!A188="","",Agent08_Withdrawals!E188)</f>
        <v/>
      </c>
      <c r="H1581" s="42" t="str">
        <f>IF(Agent08_Withdrawals!A188="","",Agent08_Withdrawals!G188)</f>
        <v/>
      </c>
      <c r="I1581" s="40" t="str">
        <f>IF(Agent08_Withdrawals!A188="","",Agent08_Withdrawals!H188)</f>
        <v/>
      </c>
      <c r="J1581" s="40" t="str">
        <f>IF(Agent08_Withdrawals!A188="","",Agent08_Withdrawals!J188)</f>
        <v/>
      </c>
      <c r="K1581" s="40" t="str">
        <f>IF(Agent08_Withdrawals!A188="","",Agent08_Withdrawals!K188)</f>
        <v/>
      </c>
      <c r="L1581" s="40" t="str">
        <f>IF(G1581="","",IF(D1581-G1581&gt;=System_Config!$B$9,"✅ OK","⚠️ BREACH"))</f>
        <v/>
      </c>
      <c r="M1581" s="40" t="str">
        <f>IFERROR(IF(Agent08_Withdrawals!A188="","",YEAR(Agent08_Withdrawals!D188)),"")</f>
        <v/>
      </c>
    </row>
    <row r="1582" spans="1:13" ht="18" customHeight="1" x14ac:dyDescent="0.25">
      <c r="A1582" s="40" t="str">
        <f>IF(Agent08_Withdrawals!A189="","",Agent08_Withdrawals!A189)</f>
        <v/>
      </c>
      <c r="B1582" s="40" t="str">
        <f ca="1">IF(Agent08_Withdrawals!A189="","","WD"&amp;TEXT(1582-3,"0000")&amp;"-"&amp;TEXT(TODAY(),"YYYYMMDD"))</f>
        <v/>
      </c>
      <c r="C1582" s="40" t="str">
        <f>IF(Agent08_Withdrawals!A189="","",Agent08_Withdrawals!B189)</f>
        <v/>
      </c>
      <c r="D1582" s="43" t="str">
        <f>IF(Agent08_Withdrawals!A189="","",Agent08_Withdrawals!C189)</f>
        <v/>
      </c>
      <c r="E1582" s="41" t="str">
        <f>IF(Agent08_Withdrawals!A189="","",Agent08_Withdrawals!D189)</f>
        <v/>
      </c>
      <c r="F1582" s="40" t="str">
        <f>IF(Agent08_Withdrawals!A189="","",Agent08_Withdrawals!F189)</f>
        <v/>
      </c>
      <c r="G1582" s="42" t="str">
        <f>IF(Agent08_Withdrawals!A189="","",Agent08_Withdrawals!E189)</f>
        <v/>
      </c>
      <c r="H1582" s="42" t="str">
        <f>IF(Agent08_Withdrawals!A189="","",Agent08_Withdrawals!G189)</f>
        <v/>
      </c>
      <c r="I1582" s="40" t="str">
        <f>IF(Agent08_Withdrawals!A189="","",Agent08_Withdrawals!H189)</f>
        <v/>
      </c>
      <c r="J1582" s="40" t="str">
        <f>IF(Agent08_Withdrawals!A189="","",Agent08_Withdrawals!J189)</f>
        <v/>
      </c>
      <c r="K1582" s="40" t="str">
        <f>IF(Agent08_Withdrawals!A189="","",Agent08_Withdrawals!K189)</f>
        <v/>
      </c>
      <c r="L1582" s="40" t="str">
        <f>IF(G1582="","",IF(D1582-G1582&gt;=System_Config!$B$9,"✅ OK","⚠️ BREACH"))</f>
        <v/>
      </c>
      <c r="M1582" s="40" t="str">
        <f>IFERROR(IF(Agent08_Withdrawals!A189="","",YEAR(Agent08_Withdrawals!D189)),"")</f>
        <v/>
      </c>
    </row>
    <row r="1583" spans="1:13" ht="18" customHeight="1" x14ac:dyDescent="0.25">
      <c r="A1583" s="40" t="str">
        <f>IF(Agent08_Withdrawals!A190="","",Agent08_Withdrawals!A190)</f>
        <v/>
      </c>
      <c r="B1583" s="40" t="str">
        <f ca="1">IF(Agent08_Withdrawals!A190="","","WD"&amp;TEXT(1583-3,"0000")&amp;"-"&amp;TEXT(TODAY(),"YYYYMMDD"))</f>
        <v/>
      </c>
      <c r="C1583" s="40" t="str">
        <f>IF(Agent08_Withdrawals!A190="","",Agent08_Withdrawals!B190)</f>
        <v/>
      </c>
      <c r="D1583" s="43" t="str">
        <f>IF(Agent08_Withdrawals!A190="","",Agent08_Withdrawals!C190)</f>
        <v/>
      </c>
      <c r="E1583" s="41" t="str">
        <f>IF(Agent08_Withdrawals!A190="","",Agent08_Withdrawals!D190)</f>
        <v/>
      </c>
      <c r="F1583" s="40" t="str">
        <f>IF(Agent08_Withdrawals!A190="","",Agent08_Withdrawals!F190)</f>
        <v/>
      </c>
      <c r="G1583" s="42" t="str">
        <f>IF(Agent08_Withdrawals!A190="","",Agent08_Withdrawals!E190)</f>
        <v/>
      </c>
      <c r="H1583" s="42" t="str">
        <f>IF(Agent08_Withdrawals!A190="","",Agent08_Withdrawals!G190)</f>
        <v/>
      </c>
      <c r="I1583" s="40" t="str">
        <f>IF(Agent08_Withdrawals!A190="","",Agent08_Withdrawals!H190)</f>
        <v/>
      </c>
      <c r="J1583" s="40" t="str">
        <f>IF(Agent08_Withdrawals!A190="","",Agent08_Withdrawals!J190)</f>
        <v/>
      </c>
      <c r="K1583" s="40" t="str">
        <f>IF(Agent08_Withdrawals!A190="","",Agent08_Withdrawals!K190)</f>
        <v/>
      </c>
      <c r="L1583" s="40" t="str">
        <f>IF(G1583="","",IF(D1583-G1583&gt;=System_Config!$B$9,"✅ OK","⚠️ BREACH"))</f>
        <v/>
      </c>
      <c r="M1583" s="40" t="str">
        <f>IFERROR(IF(Agent08_Withdrawals!A190="","",YEAR(Agent08_Withdrawals!D190)),"")</f>
        <v/>
      </c>
    </row>
    <row r="1584" spans="1:13" ht="18" customHeight="1" x14ac:dyDescent="0.25">
      <c r="A1584" s="40" t="str">
        <f>IF(Agent08_Withdrawals!A191="","",Agent08_Withdrawals!A191)</f>
        <v/>
      </c>
      <c r="B1584" s="40" t="str">
        <f ca="1">IF(Agent08_Withdrawals!A191="","","WD"&amp;TEXT(1584-3,"0000")&amp;"-"&amp;TEXT(TODAY(),"YYYYMMDD"))</f>
        <v/>
      </c>
      <c r="C1584" s="40" t="str">
        <f>IF(Agent08_Withdrawals!A191="","",Agent08_Withdrawals!B191)</f>
        <v/>
      </c>
      <c r="D1584" s="43" t="str">
        <f>IF(Agent08_Withdrawals!A191="","",Agent08_Withdrawals!C191)</f>
        <v/>
      </c>
      <c r="E1584" s="41" t="str">
        <f>IF(Agent08_Withdrawals!A191="","",Agent08_Withdrawals!D191)</f>
        <v/>
      </c>
      <c r="F1584" s="40" t="str">
        <f>IF(Agent08_Withdrawals!A191="","",Agent08_Withdrawals!F191)</f>
        <v/>
      </c>
      <c r="G1584" s="42" t="str">
        <f>IF(Agent08_Withdrawals!A191="","",Agent08_Withdrawals!E191)</f>
        <v/>
      </c>
      <c r="H1584" s="42" t="str">
        <f>IF(Agent08_Withdrawals!A191="","",Agent08_Withdrawals!G191)</f>
        <v/>
      </c>
      <c r="I1584" s="40" t="str">
        <f>IF(Agent08_Withdrawals!A191="","",Agent08_Withdrawals!H191)</f>
        <v/>
      </c>
      <c r="J1584" s="40" t="str">
        <f>IF(Agent08_Withdrawals!A191="","",Agent08_Withdrawals!J191)</f>
        <v/>
      </c>
      <c r="K1584" s="40" t="str">
        <f>IF(Agent08_Withdrawals!A191="","",Agent08_Withdrawals!K191)</f>
        <v/>
      </c>
      <c r="L1584" s="40" t="str">
        <f>IF(G1584="","",IF(D1584-G1584&gt;=System_Config!$B$9,"✅ OK","⚠️ BREACH"))</f>
        <v/>
      </c>
      <c r="M1584" s="40" t="str">
        <f>IFERROR(IF(Agent08_Withdrawals!A191="","",YEAR(Agent08_Withdrawals!D191)),"")</f>
        <v/>
      </c>
    </row>
    <row r="1585" spans="1:13" ht="18" customHeight="1" x14ac:dyDescent="0.25">
      <c r="A1585" s="40" t="str">
        <f>IF(Agent08_Withdrawals!A192="","",Agent08_Withdrawals!A192)</f>
        <v/>
      </c>
      <c r="B1585" s="40" t="str">
        <f ca="1">IF(Agent08_Withdrawals!A192="","","WD"&amp;TEXT(1585-3,"0000")&amp;"-"&amp;TEXT(TODAY(),"YYYYMMDD"))</f>
        <v/>
      </c>
      <c r="C1585" s="40" t="str">
        <f>IF(Agent08_Withdrawals!A192="","",Agent08_Withdrawals!B192)</f>
        <v/>
      </c>
      <c r="D1585" s="43" t="str">
        <f>IF(Agent08_Withdrawals!A192="","",Agent08_Withdrawals!C192)</f>
        <v/>
      </c>
      <c r="E1585" s="41" t="str">
        <f>IF(Agent08_Withdrawals!A192="","",Agent08_Withdrawals!D192)</f>
        <v/>
      </c>
      <c r="F1585" s="40" t="str">
        <f>IF(Agent08_Withdrawals!A192="","",Agent08_Withdrawals!F192)</f>
        <v/>
      </c>
      <c r="G1585" s="42" t="str">
        <f>IF(Agent08_Withdrawals!A192="","",Agent08_Withdrawals!E192)</f>
        <v/>
      </c>
      <c r="H1585" s="42" t="str">
        <f>IF(Agent08_Withdrawals!A192="","",Agent08_Withdrawals!G192)</f>
        <v/>
      </c>
      <c r="I1585" s="40" t="str">
        <f>IF(Agent08_Withdrawals!A192="","",Agent08_Withdrawals!H192)</f>
        <v/>
      </c>
      <c r="J1585" s="40" t="str">
        <f>IF(Agent08_Withdrawals!A192="","",Agent08_Withdrawals!J192)</f>
        <v/>
      </c>
      <c r="K1585" s="40" t="str">
        <f>IF(Agent08_Withdrawals!A192="","",Agent08_Withdrawals!K192)</f>
        <v/>
      </c>
      <c r="L1585" s="40" t="str">
        <f>IF(G1585="","",IF(D1585-G1585&gt;=System_Config!$B$9,"✅ OK","⚠️ BREACH"))</f>
        <v/>
      </c>
      <c r="M1585" s="40" t="str">
        <f>IFERROR(IF(Agent08_Withdrawals!A192="","",YEAR(Agent08_Withdrawals!D192)),"")</f>
        <v/>
      </c>
    </row>
    <row r="1586" spans="1:13" ht="18" customHeight="1" x14ac:dyDescent="0.25">
      <c r="A1586" s="40" t="str">
        <f>IF(Agent08_Withdrawals!A193="","",Agent08_Withdrawals!A193)</f>
        <v/>
      </c>
      <c r="B1586" s="40" t="str">
        <f ca="1">IF(Agent08_Withdrawals!A193="","","WD"&amp;TEXT(1586-3,"0000")&amp;"-"&amp;TEXT(TODAY(),"YYYYMMDD"))</f>
        <v/>
      </c>
      <c r="C1586" s="40" t="str">
        <f>IF(Agent08_Withdrawals!A193="","",Agent08_Withdrawals!B193)</f>
        <v/>
      </c>
      <c r="D1586" s="43" t="str">
        <f>IF(Agent08_Withdrawals!A193="","",Agent08_Withdrawals!C193)</f>
        <v/>
      </c>
      <c r="E1586" s="41" t="str">
        <f>IF(Agent08_Withdrawals!A193="","",Agent08_Withdrawals!D193)</f>
        <v/>
      </c>
      <c r="F1586" s="40" t="str">
        <f>IF(Agent08_Withdrawals!A193="","",Agent08_Withdrawals!F193)</f>
        <v/>
      </c>
      <c r="G1586" s="42" t="str">
        <f>IF(Agent08_Withdrawals!A193="","",Agent08_Withdrawals!E193)</f>
        <v/>
      </c>
      <c r="H1586" s="42" t="str">
        <f>IF(Agent08_Withdrawals!A193="","",Agent08_Withdrawals!G193)</f>
        <v/>
      </c>
      <c r="I1586" s="40" t="str">
        <f>IF(Agent08_Withdrawals!A193="","",Agent08_Withdrawals!H193)</f>
        <v/>
      </c>
      <c r="J1586" s="40" t="str">
        <f>IF(Agent08_Withdrawals!A193="","",Agent08_Withdrawals!J193)</f>
        <v/>
      </c>
      <c r="K1586" s="40" t="str">
        <f>IF(Agent08_Withdrawals!A193="","",Agent08_Withdrawals!K193)</f>
        <v/>
      </c>
      <c r="L1586" s="40" t="str">
        <f>IF(G1586="","",IF(D1586-G1586&gt;=System_Config!$B$9,"✅ OK","⚠️ BREACH"))</f>
        <v/>
      </c>
      <c r="M1586" s="40" t="str">
        <f>IFERROR(IF(Agent08_Withdrawals!A193="","",YEAR(Agent08_Withdrawals!D193)),"")</f>
        <v/>
      </c>
    </row>
    <row r="1587" spans="1:13" ht="18" customHeight="1" x14ac:dyDescent="0.25">
      <c r="A1587" s="40" t="str">
        <f>IF(Agent08_Withdrawals!A194="","",Agent08_Withdrawals!A194)</f>
        <v/>
      </c>
      <c r="B1587" s="40" t="str">
        <f ca="1">IF(Agent08_Withdrawals!A194="","","WD"&amp;TEXT(1587-3,"0000")&amp;"-"&amp;TEXT(TODAY(),"YYYYMMDD"))</f>
        <v/>
      </c>
      <c r="C1587" s="40" t="str">
        <f>IF(Agent08_Withdrawals!A194="","",Agent08_Withdrawals!B194)</f>
        <v/>
      </c>
      <c r="D1587" s="43" t="str">
        <f>IF(Agent08_Withdrawals!A194="","",Agent08_Withdrawals!C194)</f>
        <v/>
      </c>
      <c r="E1587" s="41" t="str">
        <f>IF(Agent08_Withdrawals!A194="","",Agent08_Withdrawals!D194)</f>
        <v/>
      </c>
      <c r="F1587" s="40" t="str">
        <f>IF(Agent08_Withdrawals!A194="","",Agent08_Withdrawals!F194)</f>
        <v/>
      </c>
      <c r="G1587" s="42" t="str">
        <f>IF(Agent08_Withdrawals!A194="","",Agent08_Withdrawals!E194)</f>
        <v/>
      </c>
      <c r="H1587" s="42" t="str">
        <f>IF(Agent08_Withdrawals!A194="","",Agent08_Withdrawals!G194)</f>
        <v/>
      </c>
      <c r="I1587" s="40" t="str">
        <f>IF(Agent08_Withdrawals!A194="","",Agent08_Withdrawals!H194)</f>
        <v/>
      </c>
      <c r="J1587" s="40" t="str">
        <f>IF(Agent08_Withdrawals!A194="","",Agent08_Withdrawals!J194)</f>
        <v/>
      </c>
      <c r="K1587" s="40" t="str">
        <f>IF(Agent08_Withdrawals!A194="","",Agent08_Withdrawals!K194)</f>
        <v/>
      </c>
      <c r="L1587" s="40" t="str">
        <f>IF(G1587="","",IF(D1587-G1587&gt;=System_Config!$B$9,"✅ OK","⚠️ BREACH"))</f>
        <v/>
      </c>
      <c r="M1587" s="40" t="str">
        <f>IFERROR(IF(Agent08_Withdrawals!A194="","",YEAR(Agent08_Withdrawals!D194)),"")</f>
        <v/>
      </c>
    </row>
    <row r="1588" spans="1:13" ht="18" customHeight="1" x14ac:dyDescent="0.25">
      <c r="A1588" s="40" t="str">
        <f>IF(Agent08_Withdrawals!A195="","",Agent08_Withdrawals!A195)</f>
        <v/>
      </c>
      <c r="B1588" s="40" t="str">
        <f ca="1">IF(Agent08_Withdrawals!A195="","","WD"&amp;TEXT(1588-3,"0000")&amp;"-"&amp;TEXT(TODAY(),"YYYYMMDD"))</f>
        <v/>
      </c>
      <c r="C1588" s="40" t="str">
        <f>IF(Agent08_Withdrawals!A195="","",Agent08_Withdrawals!B195)</f>
        <v/>
      </c>
      <c r="D1588" s="43" t="str">
        <f>IF(Agent08_Withdrawals!A195="","",Agent08_Withdrawals!C195)</f>
        <v/>
      </c>
      <c r="E1588" s="41" t="str">
        <f>IF(Agent08_Withdrawals!A195="","",Agent08_Withdrawals!D195)</f>
        <v/>
      </c>
      <c r="F1588" s="40" t="str">
        <f>IF(Agent08_Withdrawals!A195="","",Agent08_Withdrawals!F195)</f>
        <v/>
      </c>
      <c r="G1588" s="42" t="str">
        <f>IF(Agent08_Withdrawals!A195="","",Agent08_Withdrawals!E195)</f>
        <v/>
      </c>
      <c r="H1588" s="42" t="str">
        <f>IF(Agent08_Withdrawals!A195="","",Agent08_Withdrawals!G195)</f>
        <v/>
      </c>
      <c r="I1588" s="40" t="str">
        <f>IF(Agent08_Withdrawals!A195="","",Agent08_Withdrawals!H195)</f>
        <v/>
      </c>
      <c r="J1588" s="40" t="str">
        <f>IF(Agent08_Withdrawals!A195="","",Agent08_Withdrawals!J195)</f>
        <v/>
      </c>
      <c r="K1588" s="40" t="str">
        <f>IF(Agent08_Withdrawals!A195="","",Agent08_Withdrawals!K195)</f>
        <v/>
      </c>
      <c r="L1588" s="40" t="str">
        <f>IF(G1588="","",IF(D1588-G1588&gt;=System_Config!$B$9,"✅ OK","⚠️ BREACH"))</f>
        <v/>
      </c>
      <c r="M1588" s="40" t="str">
        <f>IFERROR(IF(Agent08_Withdrawals!A195="","",YEAR(Agent08_Withdrawals!D195)),"")</f>
        <v/>
      </c>
    </row>
    <row r="1589" spans="1:13" ht="18" customHeight="1" x14ac:dyDescent="0.25">
      <c r="A1589" s="40" t="str">
        <f>IF(Agent08_Withdrawals!A196="","",Agent08_Withdrawals!A196)</f>
        <v/>
      </c>
      <c r="B1589" s="40" t="str">
        <f ca="1">IF(Agent08_Withdrawals!A196="","","WD"&amp;TEXT(1589-3,"0000")&amp;"-"&amp;TEXT(TODAY(),"YYYYMMDD"))</f>
        <v/>
      </c>
      <c r="C1589" s="40" t="str">
        <f>IF(Agent08_Withdrawals!A196="","",Agent08_Withdrawals!B196)</f>
        <v/>
      </c>
      <c r="D1589" s="43" t="str">
        <f>IF(Agent08_Withdrawals!A196="","",Agent08_Withdrawals!C196)</f>
        <v/>
      </c>
      <c r="E1589" s="41" t="str">
        <f>IF(Agent08_Withdrawals!A196="","",Agent08_Withdrawals!D196)</f>
        <v/>
      </c>
      <c r="F1589" s="40" t="str">
        <f>IF(Agent08_Withdrawals!A196="","",Agent08_Withdrawals!F196)</f>
        <v/>
      </c>
      <c r="G1589" s="42" t="str">
        <f>IF(Agent08_Withdrawals!A196="","",Agent08_Withdrawals!E196)</f>
        <v/>
      </c>
      <c r="H1589" s="42" t="str">
        <f>IF(Agent08_Withdrawals!A196="","",Agent08_Withdrawals!G196)</f>
        <v/>
      </c>
      <c r="I1589" s="40" t="str">
        <f>IF(Agent08_Withdrawals!A196="","",Agent08_Withdrawals!H196)</f>
        <v/>
      </c>
      <c r="J1589" s="40" t="str">
        <f>IF(Agent08_Withdrawals!A196="","",Agent08_Withdrawals!J196)</f>
        <v/>
      </c>
      <c r="K1589" s="40" t="str">
        <f>IF(Agent08_Withdrawals!A196="","",Agent08_Withdrawals!K196)</f>
        <v/>
      </c>
      <c r="L1589" s="40" t="str">
        <f>IF(G1589="","",IF(D1589-G1589&gt;=System_Config!$B$9,"✅ OK","⚠️ BREACH"))</f>
        <v/>
      </c>
      <c r="M1589" s="40" t="str">
        <f>IFERROR(IF(Agent08_Withdrawals!A196="","",YEAR(Agent08_Withdrawals!D196)),"")</f>
        <v/>
      </c>
    </row>
    <row r="1590" spans="1:13" ht="18" customHeight="1" x14ac:dyDescent="0.25">
      <c r="A1590" s="40" t="str">
        <f>IF(Agent08_Withdrawals!A197="","",Agent08_Withdrawals!A197)</f>
        <v/>
      </c>
      <c r="B1590" s="40" t="str">
        <f ca="1">IF(Agent08_Withdrawals!A197="","","WD"&amp;TEXT(1590-3,"0000")&amp;"-"&amp;TEXT(TODAY(),"YYYYMMDD"))</f>
        <v/>
      </c>
      <c r="C1590" s="40" t="str">
        <f>IF(Agent08_Withdrawals!A197="","",Agent08_Withdrawals!B197)</f>
        <v/>
      </c>
      <c r="D1590" s="43" t="str">
        <f>IF(Agent08_Withdrawals!A197="","",Agent08_Withdrawals!C197)</f>
        <v/>
      </c>
      <c r="E1590" s="41" t="str">
        <f>IF(Agent08_Withdrawals!A197="","",Agent08_Withdrawals!D197)</f>
        <v/>
      </c>
      <c r="F1590" s="40" t="str">
        <f>IF(Agent08_Withdrawals!A197="","",Agent08_Withdrawals!F197)</f>
        <v/>
      </c>
      <c r="G1590" s="42" t="str">
        <f>IF(Agent08_Withdrawals!A197="","",Agent08_Withdrawals!E197)</f>
        <v/>
      </c>
      <c r="H1590" s="42" t="str">
        <f>IF(Agent08_Withdrawals!A197="","",Agent08_Withdrawals!G197)</f>
        <v/>
      </c>
      <c r="I1590" s="40" t="str">
        <f>IF(Agent08_Withdrawals!A197="","",Agent08_Withdrawals!H197)</f>
        <v/>
      </c>
      <c r="J1590" s="40" t="str">
        <f>IF(Agent08_Withdrawals!A197="","",Agent08_Withdrawals!J197)</f>
        <v/>
      </c>
      <c r="K1590" s="40" t="str">
        <f>IF(Agent08_Withdrawals!A197="","",Agent08_Withdrawals!K197)</f>
        <v/>
      </c>
      <c r="L1590" s="40" t="str">
        <f>IF(G1590="","",IF(D1590-G1590&gt;=System_Config!$B$9,"✅ OK","⚠️ BREACH"))</f>
        <v/>
      </c>
      <c r="M1590" s="40" t="str">
        <f>IFERROR(IF(Agent08_Withdrawals!A197="","",YEAR(Agent08_Withdrawals!D197)),"")</f>
        <v/>
      </c>
    </row>
    <row r="1591" spans="1:13" ht="18" customHeight="1" x14ac:dyDescent="0.25">
      <c r="A1591" s="40" t="str">
        <f>IF(Agent08_Withdrawals!A198="","",Agent08_Withdrawals!A198)</f>
        <v/>
      </c>
      <c r="B1591" s="40" t="str">
        <f ca="1">IF(Agent08_Withdrawals!A198="","","WD"&amp;TEXT(1591-3,"0000")&amp;"-"&amp;TEXT(TODAY(),"YYYYMMDD"))</f>
        <v/>
      </c>
      <c r="C1591" s="40" t="str">
        <f>IF(Agent08_Withdrawals!A198="","",Agent08_Withdrawals!B198)</f>
        <v/>
      </c>
      <c r="D1591" s="43" t="str">
        <f>IF(Agent08_Withdrawals!A198="","",Agent08_Withdrawals!C198)</f>
        <v/>
      </c>
      <c r="E1591" s="41" t="str">
        <f>IF(Agent08_Withdrawals!A198="","",Agent08_Withdrawals!D198)</f>
        <v/>
      </c>
      <c r="F1591" s="40" t="str">
        <f>IF(Agent08_Withdrawals!A198="","",Agent08_Withdrawals!F198)</f>
        <v/>
      </c>
      <c r="G1591" s="42" t="str">
        <f>IF(Agent08_Withdrawals!A198="","",Agent08_Withdrawals!E198)</f>
        <v/>
      </c>
      <c r="H1591" s="42" t="str">
        <f>IF(Agent08_Withdrawals!A198="","",Agent08_Withdrawals!G198)</f>
        <v/>
      </c>
      <c r="I1591" s="40" t="str">
        <f>IF(Agent08_Withdrawals!A198="","",Agent08_Withdrawals!H198)</f>
        <v/>
      </c>
      <c r="J1591" s="40" t="str">
        <f>IF(Agent08_Withdrawals!A198="","",Agent08_Withdrawals!J198)</f>
        <v/>
      </c>
      <c r="K1591" s="40" t="str">
        <f>IF(Agent08_Withdrawals!A198="","",Agent08_Withdrawals!K198)</f>
        <v/>
      </c>
      <c r="L1591" s="40" t="str">
        <f>IF(G1591="","",IF(D1591-G1591&gt;=System_Config!$B$9,"✅ OK","⚠️ BREACH"))</f>
        <v/>
      </c>
      <c r="M1591" s="40" t="str">
        <f>IFERROR(IF(Agent08_Withdrawals!A198="","",YEAR(Agent08_Withdrawals!D198)),"")</f>
        <v/>
      </c>
    </row>
    <row r="1592" spans="1:13" ht="18" customHeight="1" x14ac:dyDescent="0.25">
      <c r="A1592" s="40" t="str">
        <f>IF(Agent08_Withdrawals!A199="","",Agent08_Withdrawals!A199)</f>
        <v/>
      </c>
      <c r="B1592" s="40" t="str">
        <f ca="1">IF(Agent08_Withdrawals!A199="","","WD"&amp;TEXT(1592-3,"0000")&amp;"-"&amp;TEXT(TODAY(),"YYYYMMDD"))</f>
        <v/>
      </c>
      <c r="C1592" s="40" t="str">
        <f>IF(Agent08_Withdrawals!A199="","",Agent08_Withdrawals!B199)</f>
        <v/>
      </c>
      <c r="D1592" s="43" t="str">
        <f>IF(Agent08_Withdrawals!A199="","",Agent08_Withdrawals!C199)</f>
        <v/>
      </c>
      <c r="E1592" s="41" t="str">
        <f>IF(Agent08_Withdrawals!A199="","",Agent08_Withdrawals!D199)</f>
        <v/>
      </c>
      <c r="F1592" s="40" t="str">
        <f>IF(Agent08_Withdrawals!A199="","",Agent08_Withdrawals!F199)</f>
        <v/>
      </c>
      <c r="G1592" s="42" t="str">
        <f>IF(Agent08_Withdrawals!A199="","",Agent08_Withdrawals!E199)</f>
        <v/>
      </c>
      <c r="H1592" s="42" t="str">
        <f>IF(Agent08_Withdrawals!A199="","",Agent08_Withdrawals!G199)</f>
        <v/>
      </c>
      <c r="I1592" s="40" t="str">
        <f>IF(Agent08_Withdrawals!A199="","",Agent08_Withdrawals!H199)</f>
        <v/>
      </c>
      <c r="J1592" s="40" t="str">
        <f>IF(Agent08_Withdrawals!A199="","",Agent08_Withdrawals!J199)</f>
        <v/>
      </c>
      <c r="K1592" s="40" t="str">
        <f>IF(Agent08_Withdrawals!A199="","",Agent08_Withdrawals!K199)</f>
        <v/>
      </c>
      <c r="L1592" s="40" t="str">
        <f>IF(G1592="","",IF(D1592-G1592&gt;=System_Config!$B$9,"✅ OK","⚠️ BREACH"))</f>
        <v/>
      </c>
      <c r="M1592" s="40" t="str">
        <f>IFERROR(IF(Agent08_Withdrawals!A199="","",YEAR(Agent08_Withdrawals!D199)),"")</f>
        <v/>
      </c>
    </row>
    <row r="1593" spans="1:13" ht="18" customHeight="1" x14ac:dyDescent="0.25">
      <c r="A1593" s="40" t="str">
        <f>IF(Agent08_Withdrawals!A200="","",Agent08_Withdrawals!A200)</f>
        <v/>
      </c>
      <c r="B1593" s="40" t="str">
        <f ca="1">IF(Agent08_Withdrawals!A200="","","WD"&amp;TEXT(1593-3,"0000")&amp;"-"&amp;TEXT(TODAY(),"YYYYMMDD"))</f>
        <v/>
      </c>
      <c r="C1593" s="40" t="str">
        <f>IF(Agent08_Withdrawals!A200="","",Agent08_Withdrawals!B200)</f>
        <v/>
      </c>
      <c r="D1593" s="43" t="str">
        <f>IF(Agent08_Withdrawals!A200="","",Agent08_Withdrawals!C200)</f>
        <v/>
      </c>
      <c r="E1593" s="41" t="str">
        <f>IF(Agent08_Withdrawals!A200="","",Agent08_Withdrawals!D200)</f>
        <v/>
      </c>
      <c r="F1593" s="40" t="str">
        <f>IF(Agent08_Withdrawals!A200="","",Agent08_Withdrawals!F200)</f>
        <v/>
      </c>
      <c r="G1593" s="42" t="str">
        <f>IF(Agent08_Withdrawals!A200="","",Agent08_Withdrawals!E200)</f>
        <v/>
      </c>
      <c r="H1593" s="42" t="str">
        <f>IF(Agent08_Withdrawals!A200="","",Agent08_Withdrawals!G200)</f>
        <v/>
      </c>
      <c r="I1593" s="40" t="str">
        <f>IF(Agent08_Withdrawals!A200="","",Agent08_Withdrawals!H200)</f>
        <v/>
      </c>
      <c r="J1593" s="40" t="str">
        <f>IF(Agent08_Withdrawals!A200="","",Agent08_Withdrawals!J200)</f>
        <v/>
      </c>
      <c r="K1593" s="40" t="str">
        <f>IF(Agent08_Withdrawals!A200="","",Agent08_Withdrawals!K200)</f>
        <v/>
      </c>
      <c r="L1593" s="40" t="str">
        <f>IF(G1593="","",IF(D1593-G1593&gt;=System_Config!$B$9,"✅ OK","⚠️ BREACH"))</f>
        <v/>
      </c>
      <c r="M1593" s="40" t="str">
        <f>IFERROR(IF(Agent08_Withdrawals!A200="","",YEAR(Agent08_Withdrawals!D200)),"")</f>
        <v/>
      </c>
    </row>
    <row r="1594" spans="1:13" ht="18" customHeight="1" x14ac:dyDescent="0.25">
      <c r="A1594" s="40" t="str">
        <f>IF(Agent08_Withdrawals!A201="","",Agent08_Withdrawals!A201)</f>
        <v/>
      </c>
      <c r="B1594" s="40" t="str">
        <f ca="1">IF(Agent08_Withdrawals!A201="","","WD"&amp;TEXT(1594-3,"0000")&amp;"-"&amp;TEXT(TODAY(),"YYYYMMDD"))</f>
        <v/>
      </c>
      <c r="C1594" s="40" t="str">
        <f>IF(Agent08_Withdrawals!A201="","",Agent08_Withdrawals!B201)</f>
        <v/>
      </c>
      <c r="D1594" s="43" t="str">
        <f>IF(Agent08_Withdrawals!A201="","",Agent08_Withdrawals!C201)</f>
        <v/>
      </c>
      <c r="E1594" s="41" t="str">
        <f>IF(Agent08_Withdrawals!A201="","",Agent08_Withdrawals!D201)</f>
        <v/>
      </c>
      <c r="F1594" s="40" t="str">
        <f>IF(Agent08_Withdrawals!A201="","",Agent08_Withdrawals!F201)</f>
        <v/>
      </c>
      <c r="G1594" s="42" t="str">
        <f>IF(Agent08_Withdrawals!A201="","",Agent08_Withdrawals!E201)</f>
        <v/>
      </c>
      <c r="H1594" s="42" t="str">
        <f>IF(Agent08_Withdrawals!A201="","",Agent08_Withdrawals!G201)</f>
        <v/>
      </c>
      <c r="I1594" s="40" t="str">
        <f>IF(Agent08_Withdrawals!A201="","",Agent08_Withdrawals!H201)</f>
        <v/>
      </c>
      <c r="J1594" s="40" t="str">
        <f>IF(Agent08_Withdrawals!A201="","",Agent08_Withdrawals!J201)</f>
        <v/>
      </c>
      <c r="K1594" s="40" t="str">
        <f>IF(Agent08_Withdrawals!A201="","",Agent08_Withdrawals!K201)</f>
        <v/>
      </c>
      <c r="L1594" s="40" t="str">
        <f>IF(G1594="","",IF(D1594-G1594&gt;=System_Config!$B$9,"✅ OK","⚠️ BREACH"))</f>
        <v/>
      </c>
      <c r="M1594" s="40" t="str">
        <f>IFERROR(IF(Agent08_Withdrawals!A201="","",YEAR(Agent08_Withdrawals!D201)),"")</f>
        <v/>
      </c>
    </row>
    <row r="1595" spans="1:13" ht="18" customHeight="1" x14ac:dyDescent="0.25">
      <c r="A1595" s="40" t="str">
        <f>IF(Agent08_Withdrawals!A202="","",Agent08_Withdrawals!A202)</f>
        <v/>
      </c>
      <c r="B1595" s="40" t="str">
        <f ca="1">IF(Agent08_Withdrawals!A202="","","WD"&amp;TEXT(1595-3,"0000")&amp;"-"&amp;TEXT(TODAY(),"YYYYMMDD"))</f>
        <v/>
      </c>
      <c r="C1595" s="40" t="str">
        <f>IF(Agent08_Withdrawals!A202="","",Agent08_Withdrawals!B202)</f>
        <v/>
      </c>
      <c r="D1595" s="43" t="str">
        <f>IF(Agent08_Withdrawals!A202="","",Agent08_Withdrawals!C202)</f>
        <v/>
      </c>
      <c r="E1595" s="41" t="str">
        <f>IF(Agent08_Withdrawals!A202="","",Agent08_Withdrawals!D202)</f>
        <v/>
      </c>
      <c r="F1595" s="40" t="str">
        <f>IF(Agent08_Withdrawals!A202="","",Agent08_Withdrawals!F202)</f>
        <v/>
      </c>
      <c r="G1595" s="42" t="str">
        <f>IF(Agent08_Withdrawals!A202="","",Agent08_Withdrawals!E202)</f>
        <v/>
      </c>
      <c r="H1595" s="42" t="str">
        <f>IF(Agent08_Withdrawals!A202="","",Agent08_Withdrawals!G202)</f>
        <v/>
      </c>
      <c r="I1595" s="40" t="str">
        <f>IF(Agent08_Withdrawals!A202="","",Agent08_Withdrawals!H202)</f>
        <v/>
      </c>
      <c r="J1595" s="40" t="str">
        <f>IF(Agent08_Withdrawals!A202="","",Agent08_Withdrawals!J202)</f>
        <v/>
      </c>
      <c r="K1595" s="40" t="str">
        <f>IF(Agent08_Withdrawals!A202="","",Agent08_Withdrawals!K202)</f>
        <v/>
      </c>
      <c r="L1595" s="40" t="str">
        <f>IF(G1595="","",IF(D1595-G1595&gt;=System_Config!$B$9,"✅ OK","⚠️ BREACH"))</f>
        <v/>
      </c>
      <c r="M1595" s="40" t="str">
        <f>IFERROR(IF(Agent08_Withdrawals!A202="","",YEAR(Agent08_Withdrawals!D202)),"")</f>
        <v/>
      </c>
    </row>
    <row r="1596" spans="1:13" ht="18" customHeight="1" x14ac:dyDescent="0.25">
      <c r="A1596" s="40" t="str">
        <f>IF(Agent08_Withdrawals!A203="","",Agent08_Withdrawals!A203)</f>
        <v/>
      </c>
      <c r="B1596" s="40" t="str">
        <f ca="1">IF(Agent08_Withdrawals!A203="","","WD"&amp;TEXT(1596-3,"0000")&amp;"-"&amp;TEXT(TODAY(),"YYYYMMDD"))</f>
        <v/>
      </c>
      <c r="C1596" s="40" t="str">
        <f>IF(Agent08_Withdrawals!A203="","",Agent08_Withdrawals!B203)</f>
        <v/>
      </c>
      <c r="D1596" s="43" t="str">
        <f>IF(Agent08_Withdrawals!A203="","",Agent08_Withdrawals!C203)</f>
        <v/>
      </c>
      <c r="E1596" s="41" t="str">
        <f>IF(Agent08_Withdrawals!A203="","",Agent08_Withdrawals!D203)</f>
        <v/>
      </c>
      <c r="F1596" s="40" t="str">
        <f>IF(Agent08_Withdrawals!A203="","",Agent08_Withdrawals!F203)</f>
        <v/>
      </c>
      <c r="G1596" s="42" t="str">
        <f>IF(Agent08_Withdrawals!A203="","",Agent08_Withdrawals!E203)</f>
        <v/>
      </c>
      <c r="H1596" s="42" t="str">
        <f>IF(Agent08_Withdrawals!A203="","",Agent08_Withdrawals!G203)</f>
        <v/>
      </c>
      <c r="I1596" s="40" t="str">
        <f>IF(Agent08_Withdrawals!A203="","",Agent08_Withdrawals!H203)</f>
        <v/>
      </c>
      <c r="J1596" s="40" t="str">
        <f>IF(Agent08_Withdrawals!A203="","",Agent08_Withdrawals!J203)</f>
        <v/>
      </c>
      <c r="K1596" s="40" t="str">
        <f>IF(Agent08_Withdrawals!A203="","",Agent08_Withdrawals!K203)</f>
        <v/>
      </c>
      <c r="L1596" s="40" t="str">
        <f>IF(G1596="","",IF(D1596-G1596&gt;=System_Config!$B$9,"✅ OK","⚠️ BREACH"))</f>
        <v/>
      </c>
      <c r="M1596" s="40" t="str">
        <f>IFERROR(IF(Agent08_Withdrawals!A203="","",YEAR(Agent08_Withdrawals!D203)),"")</f>
        <v/>
      </c>
    </row>
    <row r="1597" spans="1:13" ht="18" customHeight="1" x14ac:dyDescent="0.25">
      <c r="A1597" s="40" t="str">
        <f>IF(Agent08_Withdrawals!A204="","",Agent08_Withdrawals!A204)</f>
        <v/>
      </c>
      <c r="B1597" s="40" t="str">
        <f ca="1">IF(Agent08_Withdrawals!A204="","","WD"&amp;TEXT(1597-3,"0000")&amp;"-"&amp;TEXT(TODAY(),"YYYYMMDD"))</f>
        <v/>
      </c>
      <c r="C1597" s="40" t="str">
        <f>IF(Agent08_Withdrawals!A204="","",Agent08_Withdrawals!B204)</f>
        <v/>
      </c>
      <c r="D1597" s="43" t="str">
        <f>IF(Agent08_Withdrawals!A204="","",Agent08_Withdrawals!C204)</f>
        <v/>
      </c>
      <c r="E1597" s="41" t="str">
        <f>IF(Agent08_Withdrawals!A204="","",Agent08_Withdrawals!D204)</f>
        <v/>
      </c>
      <c r="F1597" s="40" t="str">
        <f>IF(Agent08_Withdrawals!A204="","",Agent08_Withdrawals!F204)</f>
        <v/>
      </c>
      <c r="G1597" s="42" t="str">
        <f>IF(Agent08_Withdrawals!A204="","",Agent08_Withdrawals!E204)</f>
        <v/>
      </c>
      <c r="H1597" s="42" t="str">
        <f>IF(Agent08_Withdrawals!A204="","",Agent08_Withdrawals!G204)</f>
        <v/>
      </c>
      <c r="I1597" s="40" t="str">
        <f>IF(Agent08_Withdrawals!A204="","",Agent08_Withdrawals!H204)</f>
        <v/>
      </c>
      <c r="J1597" s="40" t="str">
        <f>IF(Agent08_Withdrawals!A204="","",Agent08_Withdrawals!J204)</f>
        <v/>
      </c>
      <c r="K1597" s="40" t="str">
        <f>IF(Agent08_Withdrawals!A204="","",Agent08_Withdrawals!K204)</f>
        <v/>
      </c>
      <c r="L1597" s="40" t="str">
        <f>IF(G1597="","",IF(D1597-G1597&gt;=System_Config!$B$9,"✅ OK","⚠️ BREACH"))</f>
        <v/>
      </c>
      <c r="M1597" s="40" t="str">
        <f>IFERROR(IF(Agent08_Withdrawals!A204="","",YEAR(Agent08_Withdrawals!D204)),"")</f>
        <v/>
      </c>
    </row>
    <row r="1598" spans="1:13" ht="18" customHeight="1" x14ac:dyDescent="0.25">
      <c r="A1598" s="40" t="str">
        <f>IF(Agent08_Withdrawals!A205="","",Agent08_Withdrawals!A205)</f>
        <v/>
      </c>
      <c r="B1598" s="40" t="str">
        <f ca="1">IF(Agent08_Withdrawals!A205="","","WD"&amp;TEXT(1598-3,"0000")&amp;"-"&amp;TEXT(TODAY(),"YYYYMMDD"))</f>
        <v/>
      </c>
      <c r="C1598" s="40" t="str">
        <f>IF(Agent08_Withdrawals!A205="","",Agent08_Withdrawals!B205)</f>
        <v/>
      </c>
      <c r="D1598" s="43" t="str">
        <f>IF(Agent08_Withdrawals!A205="","",Agent08_Withdrawals!C205)</f>
        <v/>
      </c>
      <c r="E1598" s="41" t="str">
        <f>IF(Agent08_Withdrawals!A205="","",Agent08_Withdrawals!D205)</f>
        <v/>
      </c>
      <c r="F1598" s="40" t="str">
        <f>IF(Agent08_Withdrawals!A205="","",Agent08_Withdrawals!F205)</f>
        <v/>
      </c>
      <c r="G1598" s="42" t="str">
        <f>IF(Agent08_Withdrawals!A205="","",Agent08_Withdrawals!E205)</f>
        <v/>
      </c>
      <c r="H1598" s="42" t="str">
        <f>IF(Agent08_Withdrawals!A205="","",Agent08_Withdrawals!G205)</f>
        <v/>
      </c>
      <c r="I1598" s="40" t="str">
        <f>IF(Agent08_Withdrawals!A205="","",Agent08_Withdrawals!H205)</f>
        <v/>
      </c>
      <c r="J1598" s="40" t="str">
        <f>IF(Agent08_Withdrawals!A205="","",Agent08_Withdrawals!J205)</f>
        <v/>
      </c>
      <c r="K1598" s="40" t="str">
        <f>IF(Agent08_Withdrawals!A205="","",Agent08_Withdrawals!K205)</f>
        <v/>
      </c>
      <c r="L1598" s="40" t="str">
        <f>IF(G1598="","",IF(D1598-G1598&gt;=System_Config!$B$9,"✅ OK","⚠️ BREACH"))</f>
        <v/>
      </c>
      <c r="M1598" s="40" t="str">
        <f>IFERROR(IF(Agent08_Withdrawals!A205="","",YEAR(Agent08_Withdrawals!D205)),"")</f>
        <v/>
      </c>
    </row>
    <row r="1599" spans="1:13" ht="18" customHeight="1" x14ac:dyDescent="0.25">
      <c r="A1599" s="40" t="str">
        <f>IF(Agent08_Withdrawals!A206="","",Agent08_Withdrawals!A206)</f>
        <v/>
      </c>
      <c r="B1599" s="40" t="str">
        <f ca="1">IF(Agent08_Withdrawals!A206="","","WD"&amp;TEXT(1599-3,"0000")&amp;"-"&amp;TEXT(TODAY(),"YYYYMMDD"))</f>
        <v/>
      </c>
      <c r="C1599" s="40" t="str">
        <f>IF(Agent08_Withdrawals!A206="","",Agent08_Withdrawals!B206)</f>
        <v/>
      </c>
      <c r="D1599" s="43" t="str">
        <f>IF(Agent08_Withdrawals!A206="","",Agent08_Withdrawals!C206)</f>
        <v/>
      </c>
      <c r="E1599" s="41" t="str">
        <f>IF(Agent08_Withdrawals!A206="","",Agent08_Withdrawals!D206)</f>
        <v/>
      </c>
      <c r="F1599" s="40" t="str">
        <f>IF(Agent08_Withdrawals!A206="","",Agent08_Withdrawals!F206)</f>
        <v/>
      </c>
      <c r="G1599" s="42" t="str">
        <f>IF(Agent08_Withdrawals!A206="","",Agent08_Withdrawals!E206)</f>
        <v/>
      </c>
      <c r="H1599" s="42" t="str">
        <f>IF(Agent08_Withdrawals!A206="","",Agent08_Withdrawals!G206)</f>
        <v/>
      </c>
      <c r="I1599" s="40" t="str">
        <f>IF(Agent08_Withdrawals!A206="","",Agent08_Withdrawals!H206)</f>
        <v/>
      </c>
      <c r="J1599" s="40" t="str">
        <f>IF(Agent08_Withdrawals!A206="","",Agent08_Withdrawals!J206)</f>
        <v/>
      </c>
      <c r="K1599" s="40" t="str">
        <f>IF(Agent08_Withdrawals!A206="","",Agent08_Withdrawals!K206)</f>
        <v/>
      </c>
      <c r="L1599" s="40" t="str">
        <f>IF(G1599="","",IF(D1599-G1599&gt;=System_Config!$B$9,"✅ OK","⚠️ BREACH"))</f>
        <v/>
      </c>
      <c r="M1599" s="40" t="str">
        <f>IFERROR(IF(Agent08_Withdrawals!A206="","",YEAR(Agent08_Withdrawals!D206)),"")</f>
        <v/>
      </c>
    </row>
    <row r="1600" spans="1:13" ht="18" customHeight="1" x14ac:dyDescent="0.25">
      <c r="A1600" s="40" t="str">
        <f>IF(Agent08_Withdrawals!A207="","",Agent08_Withdrawals!A207)</f>
        <v/>
      </c>
      <c r="B1600" s="40" t="str">
        <f ca="1">IF(Agent08_Withdrawals!A207="","","WD"&amp;TEXT(1600-3,"0000")&amp;"-"&amp;TEXT(TODAY(),"YYYYMMDD"))</f>
        <v/>
      </c>
      <c r="C1600" s="40" t="str">
        <f>IF(Agent08_Withdrawals!A207="","",Agent08_Withdrawals!B207)</f>
        <v/>
      </c>
      <c r="D1600" s="43" t="str">
        <f>IF(Agent08_Withdrawals!A207="","",Agent08_Withdrawals!C207)</f>
        <v/>
      </c>
      <c r="E1600" s="41" t="str">
        <f>IF(Agent08_Withdrawals!A207="","",Agent08_Withdrawals!D207)</f>
        <v/>
      </c>
      <c r="F1600" s="40" t="str">
        <f>IF(Agent08_Withdrawals!A207="","",Agent08_Withdrawals!F207)</f>
        <v/>
      </c>
      <c r="G1600" s="42" t="str">
        <f>IF(Agent08_Withdrawals!A207="","",Agent08_Withdrawals!E207)</f>
        <v/>
      </c>
      <c r="H1600" s="42" t="str">
        <f>IF(Agent08_Withdrawals!A207="","",Agent08_Withdrawals!G207)</f>
        <v/>
      </c>
      <c r="I1600" s="40" t="str">
        <f>IF(Agent08_Withdrawals!A207="","",Agent08_Withdrawals!H207)</f>
        <v/>
      </c>
      <c r="J1600" s="40" t="str">
        <f>IF(Agent08_Withdrawals!A207="","",Agent08_Withdrawals!J207)</f>
        <v/>
      </c>
      <c r="K1600" s="40" t="str">
        <f>IF(Agent08_Withdrawals!A207="","",Agent08_Withdrawals!K207)</f>
        <v/>
      </c>
      <c r="L1600" s="40" t="str">
        <f>IF(G1600="","",IF(D1600-G1600&gt;=System_Config!$B$9,"✅ OK","⚠️ BREACH"))</f>
        <v/>
      </c>
      <c r="M1600" s="40" t="str">
        <f>IFERROR(IF(Agent08_Withdrawals!A207="","",YEAR(Agent08_Withdrawals!D207)),"")</f>
        <v/>
      </c>
    </row>
    <row r="1601" spans="1:13" ht="18" customHeight="1" x14ac:dyDescent="0.25">
      <c r="A1601" s="40" t="str">
        <f>IF(Agent08_Withdrawals!A208="","",Agent08_Withdrawals!A208)</f>
        <v/>
      </c>
      <c r="B1601" s="40" t="str">
        <f ca="1">IF(Agent08_Withdrawals!A208="","","WD"&amp;TEXT(1601-3,"0000")&amp;"-"&amp;TEXT(TODAY(),"YYYYMMDD"))</f>
        <v/>
      </c>
      <c r="C1601" s="40" t="str">
        <f>IF(Agent08_Withdrawals!A208="","",Agent08_Withdrawals!B208)</f>
        <v/>
      </c>
      <c r="D1601" s="43" t="str">
        <f>IF(Agent08_Withdrawals!A208="","",Agent08_Withdrawals!C208)</f>
        <v/>
      </c>
      <c r="E1601" s="41" t="str">
        <f>IF(Agent08_Withdrawals!A208="","",Agent08_Withdrawals!D208)</f>
        <v/>
      </c>
      <c r="F1601" s="40" t="str">
        <f>IF(Agent08_Withdrawals!A208="","",Agent08_Withdrawals!F208)</f>
        <v/>
      </c>
      <c r="G1601" s="42" t="str">
        <f>IF(Agent08_Withdrawals!A208="","",Agent08_Withdrawals!E208)</f>
        <v/>
      </c>
      <c r="H1601" s="42" t="str">
        <f>IF(Agent08_Withdrawals!A208="","",Agent08_Withdrawals!G208)</f>
        <v/>
      </c>
      <c r="I1601" s="40" t="str">
        <f>IF(Agent08_Withdrawals!A208="","",Agent08_Withdrawals!H208)</f>
        <v/>
      </c>
      <c r="J1601" s="40" t="str">
        <f>IF(Agent08_Withdrawals!A208="","",Agent08_Withdrawals!J208)</f>
        <v/>
      </c>
      <c r="K1601" s="40" t="str">
        <f>IF(Agent08_Withdrawals!A208="","",Agent08_Withdrawals!K208)</f>
        <v/>
      </c>
      <c r="L1601" s="40" t="str">
        <f>IF(G1601="","",IF(D1601-G1601&gt;=System_Config!$B$9,"✅ OK","⚠️ BREACH"))</f>
        <v/>
      </c>
      <c r="M1601" s="40" t="str">
        <f>IFERROR(IF(Agent08_Withdrawals!A208="","",YEAR(Agent08_Withdrawals!D208)),"")</f>
        <v/>
      </c>
    </row>
    <row r="1602" spans="1:13" ht="18" customHeight="1" x14ac:dyDescent="0.25">
      <c r="A1602" s="40" t="str">
        <f>IF(Agent08_Withdrawals!A209="","",Agent08_Withdrawals!A209)</f>
        <v/>
      </c>
      <c r="B1602" s="40" t="str">
        <f ca="1">IF(Agent08_Withdrawals!A209="","","WD"&amp;TEXT(1602-3,"0000")&amp;"-"&amp;TEXT(TODAY(),"YYYYMMDD"))</f>
        <v/>
      </c>
      <c r="C1602" s="40" t="str">
        <f>IF(Agent08_Withdrawals!A209="","",Agent08_Withdrawals!B209)</f>
        <v/>
      </c>
      <c r="D1602" s="43" t="str">
        <f>IF(Agent08_Withdrawals!A209="","",Agent08_Withdrawals!C209)</f>
        <v/>
      </c>
      <c r="E1602" s="41" t="str">
        <f>IF(Agent08_Withdrawals!A209="","",Agent08_Withdrawals!D209)</f>
        <v/>
      </c>
      <c r="F1602" s="40" t="str">
        <f>IF(Agent08_Withdrawals!A209="","",Agent08_Withdrawals!F209)</f>
        <v/>
      </c>
      <c r="G1602" s="42" t="str">
        <f>IF(Agent08_Withdrawals!A209="","",Agent08_Withdrawals!E209)</f>
        <v/>
      </c>
      <c r="H1602" s="42" t="str">
        <f>IF(Agent08_Withdrawals!A209="","",Agent08_Withdrawals!G209)</f>
        <v/>
      </c>
      <c r="I1602" s="40" t="str">
        <f>IF(Agent08_Withdrawals!A209="","",Agent08_Withdrawals!H209)</f>
        <v/>
      </c>
      <c r="J1602" s="40" t="str">
        <f>IF(Agent08_Withdrawals!A209="","",Agent08_Withdrawals!J209)</f>
        <v/>
      </c>
      <c r="K1602" s="40" t="str">
        <f>IF(Agent08_Withdrawals!A209="","",Agent08_Withdrawals!K209)</f>
        <v/>
      </c>
      <c r="L1602" s="40" t="str">
        <f>IF(G1602="","",IF(D1602-G1602&gt;=System_Config!$B$9,"✅ OK","⚠️ BREACH"))</f>
        <v/>
      </c>
      <c r="M1602" s="40" t="str">
        <f>IFERROR(IF(Agent08_Withdrawals!A209="","",YEAR(Agent08_Withdrawals!D209)),"")</f>
        <v/>
      </c>
    </row>
    <row r="1603" spans="1:13" ht="18" customHeight="1" x14ac:dyDescent="0.25">
      <c r="A1603" s="40" t="str">
        <f>IF(Agent08_Withdrawals!A210="","",Agent08_Withdrawals!A210)</f>
        <v/>
      </c>
      <c r="B1603" s="40" t="str">
        <f ca="1">IF(Agent08_Withdrawals!A210="","","WD"&amp;TEXT(1603-3,"0000")&amp;"-"&amp;TEXT(TODAY(),"YYYYMMDD"))</f>
        <v/>
      </c>
      <c r="C1603" s="40" t="str">
        <f>IF(Agent08_Withdrawals!A210="","",Agent08_Withdrawals!B210)</f>
        <v/>
      </c>
      <c r="D1603" s="43" t="str">
        <f>IF(Agent08_Withdrawals!A210="","",Agent08_Withdrawals!C210)</f>
        <v/>
      </c>
      <c r="E1603" s="41" t="str">
        <f>IF(Agent08_Withdrawals!A210="","",Agent08_Withdrawals!D210)</f>
        <v/>
      </c>
      <c r="F1603" s="40" t="str">
        <f>IF(Agent08_Withdrawals!A210="","",Agent08_Withdrawals!F210)</f>
        <v/>
      </c>
      <c r="G1603" s="42" t="str">
        <f>IF(Agent08_Withdrawals!A210="","",Agent08_Withdrawals!E210)</f>
        <v/>
      </c>
      <c r="H1603" s="42" t="str">
        <f>IF(Agent08_Withdrawals!A210="","",Agent08_Withdrawals!G210)</f>
        <v/>
      </c>
      <c r="I1603" s="40" t="str">
        <f>IF(Agent08_Withdrawals!A210="","",Agent08_Withdrawals!H210)</f>
        <v/>
      </c>
      <c r="J1603" s="40" t="str">
        <f>IF(Agent08_Withdrawals!A210="","",Agent08_Withdrawals!J210)</f>
        <v/>
      </c>
      <c r="K1603" s="40" t="str">
        <f>IF(Agent08_Withdrawals!A210="","",Agent08_Withdrawals!K210)</f>
        <v/>
      </c>
      <c r="L1603" s="40" t="str">
        <f>IF(G1603="","",IF(D1603-G1603&gt;=System_Config!$B$9,"✅ OK","⚠️ BREACH"))</f>
        <v/>
      </c>
      <c r="M1603" s="40" t="str">
        <f>IFERROR(IF(Agent08_Withdrawals!A210="","",YEAR(Agent08_Withdrawals!D210)),"")</f>
        <v/>
      </c>
    </row>
    <row r="1604" spans="1:13" ht="18" customHeight="1" x14ac:dyDescent="0.25">
      <c r="A1604" s="40" t="str">
        <f>IF(Agent09_Withdrawals!A11="","",Agent09_Withdrawals!A11)</f>
        <v/>
      </c>
      <c r="B1604" s="40" t="str">
        <f ca="1">IF(Agent09_Withdrawals!A11="","","WD"&amp;TEXT(1604-3,"0000")&amp;"-"&amp;TEXT(TODAY(),"YYYYMMDD"))</f>
        <v/>
      </c>
      <c r="C1604" s="40" t="str">
        <f>IF(Agent09_Withdrawals!A11="","",Agent09_Withdrawals!B11)</f>
        <v/>
      </c>
      <c r="D1604" s="43" t="str">
        <f>IF(Agent09_Withdrawals!A11="","",Agent09_Withdrawals!C11)</f>
        <v/>
      </c>
      <c r="E1604" s="41" t="str">
        <f>IF(Agent09_Withdrawals!A11="","",Agent09_Withdrawals!D11)</f>
        <v/>
      </c>
      <c r="F1604" s="40" t="str">
        <f>IF(Agent09_Withdrawals!A11="","",Agent09_Withdrawals!F11)</f>
        <v/>
      </c>
      <c r="G1604" s="42" t="str">
        <f>IF(Agent09_Withdrawals!A11="","",Agent09_Withdrawals!E11)</f>
        <v/>
      </c>
      <c r="H1604" s="42" t="str">
        <f>IF(Agent09_Withdrawals!A11="","",Agent09_Withdrawals!G11)</f>
        <v/>
      </c>
      <c r="I1604" s="40" t="str">
        <f>IF(Agent09_Withdrawals!A11="","",Agent09_Withdrawals!H11)</f>
        <v/>
      </c>
      <c r="J1604" s="40" t="str">
        <f>IF(Agent09_Withdrawals!A11="","",Agent09_Withdrawals!J11)</f>
        <v/>
      </c>
      <c r="K1604" s="40" t="str">
        <f>IF(Agent09_Withdrawals!A11="","",Agent09_Withdrawals!K11)</f>
        <v/>
      </c>
      <c r="L1604" s="40" t="str">
        <f>IF(G1604="","",IF(D1604-G1604&gt;=System_Config!$B$9,"✅ OK","⚠️ BREACH"))</f>
        <v/>
      </c>
      <c r="M1604" s="40" t="str">
        <f>IFERROR(IF(Agent09_Withdrawals!A11="","",YEAR(Agent09_Withdrawals!D11)),"")</f>
        <v/>
      </c>
    </row>
    <row r="1605" spans="1:13" ht="18" customHeight="1" x14ac:dyDescent="0.25">
      <c r="A1605" s="40" t="str">
        <f>IF(Agent09_Withdrawals!A12="","",Agent09_Withdrawals!A12)</f>
        <v/>
      </c>
      <c r="B1605" s="40" t="str">
        <f ca="1">IF(Agent09_Withdrawals!A12="","","WD"&amp;TEXT(1605-3,"0000")&amp;"-"&amp;TEXT(TODAY(),"YYYYMMDD"))</f>
        <v/>
      </c>
      <c r="C1605" s="40" t="str">
        <f>IF(Agent09_Withdrawals!A12="","",Agent09_Withdrawals!B12)</f>
        <v/>
      </c>
      <c r="D1605" s="43" t="str">
        <f>IF(Agent09_Withdrawals!A12="","",Agent09_Withdrawals!C12)</f>
        <v/>
      </c>
      <c r="E1605" s="41" t="str">
        <f>IF(Agent09_Withdrawals!A12="","",Agent09_Withdrawals!D12)</f>
        <v/>
      </c>
      <c r="F1605" s="40" t="str">
        <f>IF(Agent09_Withdrawals!A12="","",Agent09_Withdrawals!F12)</f>
        <v/>
      </c>
      <c r="G1605" s="42" t="str">
        <f>IF(Agent09_Withdrawals!A12="","",Agent09_Withdrawals!E12)</f>
        <v/>
      </c>
      <c r="H1605" s="42" t="str">
        <f>IF(Agent09_Withdrawals!A12="","",Agent09_Withdrawals!G12)</f>
        <v/>
      </c>
      <c r="I1605" s="40" t="str">
        <f>IF(Agent09_Withdrawals!A12="","",Agent09_Withdrawals!H12)</f>
        <v/>
      </c>
      <c r="J1605" s="40" t="str">
        <f>IF(Agent09_Withdrawals!A12="","",Agent09_Withdrawals!J12)</f>
        <v/>
      </c>
      <c r="K1605" s="40" t="str">
        <f>IF(Agent09_Withdrawals!A12="","",Agent09_Withdrawals!K12)</f>
        <v/>
      </c>
      <c r="L1605" s="40" t="str">
        <f>IF(G1605="","",IF(D1605-G1605&gt;=System_Config!$B$9,"✅ OK","⚠️ BREACH"))</f>
        <v/>
      </c>
      <c r="M1605" s="40" t="str">
        <f>IFERROR(IF(Agent09_Withdrawals!A12="","",YEAR(Agent09_Withdrawals!D12)),"")</f>
        <v/>
      </c>
    </row>
    <row r="1606" spans="1:13" ht="18" customHeight="1" x14ac:dyDescent="0.25">
      <c r="A1606" s="40" t="str">
        <f>IF(Agent09_Withdrawals!A13="","",Agent09_Withdrawals!A13)</f>
        <v/>
      </c>
      <c r="B1606" s="40" t="str">
        <f ca="1">IF(Agent09_Withdrawals!A13="","","WD"&amp;TEXT(1606-3,"0000")&amp;"-"&amp;TEXT(TODAY(),"YYYYMMDD"))</f>
        <v/>
      </c>
      <c r="C1606" s="40" t="str">
        <f>IF(Agent09_Withdrawals!A13="","",Agent09_Withdrawals!B13)</f>
        <v/>
      </c>
      <c r="D1606" s="43" t="str">
        <f>IF(Agent09_Withdrawals!A13="","",Agent09_Withdrawals!C13)</f>
        <v/>
      </c>
      <c r="E1606" s="41" t="str">
        <f>IF(Agent09_Withdrawals!A13="","",Agent09_Withdrawals!D13)</f>
        <v/>
      </c>
      <c r="F1606" s="40" t="str">
        <f>IF(Agent09_Withdrawals!A13="","",Agent09_Withdrawals!F13)</f>
        <v/>
      </c>
      <c r="G1606" s="42" t="str">
        <f>IF(Agent09_Withdrawals!A13="","",Agent09_Withdrawals!E13)</f>
        <v/>
      </c>
      <c r="H1606" s="42" t="str">
        <f>IF(Agent09_Withdrawals!A13="","",Agent09_Withdrawals!G13)</f>
        <v/>
      </c>
      <c r="I1606" s="40" t="str">
        <f>IF(Agent09_Withdrawals!A13="","",Agent09_Withdrawals!H13)</f>
        <v/>
      </c>
      <c r="J1606" s="40" t="str">
        <f>IF(Agent09_Withdrawals!A13="","",Agent09_Withdrawals!J13)</f>
        <v/>
      </c>
      <c r="K1606" s="40" t="str">
        <f>IF(Agent09_Withdrawals!A13="","",Agent09_Withdrawals!K13)</f>
        <v/>
      </c>
      <c r="L1606" s="40" t="str">
        <f>IF(G1606="","",IF(D1606-G1606&gt;=System_Config!$B$9,"✅ OK","⚠️ BREACH"))</f>
        <v/>
      </c>
      <c r="M1606" s="40" t="str">
        <f>IFERROR(IF(Agent09_Withdrawals!A13="","",YEAR(Agent09_Withdrawals!D13)),"")</f>
        <v/>
      </c>
    </row>
    <row r="1607" spans="1:13" ht="18" customHeight="1" x14ac:dyDescent="0.25">
      <c r="A1607" s="40" t="str">
        <f>IF(Agent09_Withdrawals!A14="","",Agent09_Withdrawals!A14)</f>
        <v/>
      </c>
      <c r="B1607" s="40" t="str">
        <f ca="1">IF(Agent09_Withdrawals!A14="","","WD"&amp;TEXT(1607-3,"0000")&amp;"-"&amp;TEXT(TODAY(),"YYYYMMDD"))</f>
        <v/>
      </c>
      <c r="C1607" s="40" t="str">
        <f>IF(Agent09_Withdrawals!A14="","",Agent09_Withdrawals!B14)</f>
        <v/>
      </c>
      <c r="D1607" s="43" t="str">
        <f>IF(Agent09_Withdrawals!A14="","",Agent09_Withdrawals!C14)</f>
        <v/>
      </c>
      <c r="E1607" s="41" t="str">
        <f>IF(Agent09_Withdrawals!A14="","",Agent09_Withdrawals!D14)</f>
        <v/>
      </c>
      <c r="F1607" s="40" t="str">
        <f>IF(Agent09_Withdrawals!A14="","",Agent09_Withdrawals!F14)</f>
        <v/>
      </c>
      <c r="G1607" s="42" t="str">
        <f>IF(Agent09_Withdrawals!A14="","",Agent09_Withdrawals!E14)</f>
        <v/>
      </c>
      <c r="H1607" s="42" t="str">
        <f>IF(Agent09_Withdrawals!A14="","",Agent09_Withdrawals!G14)</f>
        <v/>
      </c>
      <c r="I1607" s="40" t="str">
        <f>IF(Agent09_Withdrawals!A14="","",Agent09_Withdrawals!H14)</f>
        <v/>
      </c>
      <c r="J1607" s="40" t="str">
        <f>IF(Agent09_Withdrawals!A14="","",Agent09_Withdrawals!J14)</f>
        <v/>
      </c>
      <c r="K1607" s="40" t="str">
        <f>IF(Agent09_Withdrawals!A14="","",Agent09_Withdrawals!K14)</f>
        <v/>
      </c>
      <c r="L1607" s="40" t="str">
        <f>IF(G1607="","",IF(D1607-G1607&gt;=System_Config!$B$9,"✅ OK","⚠️ BREACH"))</f>
        <v/>
      </c>
      <c r="M1607" s="40" t="str">
        <f>IFERROR(IF(Agent09_Withdrawals!A14="","",YEAR(Agent09_Withdrawals!D14)),"")</f>
        <v/>
      </c>
    </row>
    <row r="1608" spans="1:13" ht="18" customHeight="1" x14ac:dyDescent="0.25">
      <c r="A1608" s="40" t="str">
        <f>IF(Agent09_Withdrawals!A15="","",Agent09_Withdrawals!A15)</f>
        <v/>
      </c>
      <c r="B1608" s="40" t="str">
        <f ca="1">IF(Agent09_Withdrawals!A15="","","WD"&amp;TEXT(1608-3,"0000")&amp;"-"&amp;TEXT(TODAY(),"YYYYMMDD"))</f>
        <v/>
      </c>
      <c r="C1608" s="40" t="str">
        <f>IF(Agent09_Withdrawals!A15="","",Agent09_Withdrawals!B15)</f>
        <v/>
      </c>
      <c r="D1608" s="43" t="str">
        <f>IF(Agent09_Withdrawals!A15="","",Agent09_Withdrawals!C15)</f>
        <v/>
      </c>
      <c r="E1608" s="41" t="str">
        <f>IF(Agent09_Withdrawals!A15="","",Agent09_Withdrawals!D15)</f>
        <v/>
      </c>
      <c r="F1608" s="40" t="str">
        <f>IF(Agent09_Withdrawals!A15="","",Agent09_Withdrawals!F15)</f>
        <v/>
      </c>
      <c r="G1608" s="42" t="str">
        <f>IF(Agent09_Withdrawals!A15="","",Agent09_Withdrawals!E15)</f>
        <v/>
      </c>
      <c r="H1608" s="42" t="str">
        <f>IF(Agent09_Withdrawals!A15="","",Agent09_Withdrawals!G15)</f>
        <v/>
      </c>
      <c r="I1608" s="40" t="str">
        <f>IF(Agent09_Withdrawals!A15="","",Agent09_Withdrawals!H15)</f>
        <v/>
      </c>
      <c r="J1608" s="40" t="str">
        <f>IF(Agent09_Withdrawals!A15="","",Agent09_Withdrawals!J15)</f>
        <v/>
      </c>
      <c r="K1608" s="40" t="str">
        <f>IF(Agent09_Withdrawals!A15="","",Agent09_Withdrawals!K15)</f>
        <v/>
      </c>
      <c r="L1608" s="40" t="str">
        <f>IF(G1608="","",IF(D1608-G1608&gt;=System_Config!$B$9,"✅ OK","⚠️ BREACH"))</f>
        <v/>
      </c>
      <c r="M1608" s="40" t="str">
        <f>IFERROR(IF(Agent09_Withdrawals!A15="","",YEAR(Agent09_Withdrawals!D15)),"")</f>
        <v/>
      </c>
    </row>
    <row r="1609" spans="1:13" ht="18" customHeight="1" x14ac:dyDescent="0.25">
      <c r="A1609" s="40" t="str">
        <f>IF(Agent09_Withdrawals!A16="","",Agent09_Withdrawals!A16)</f>
        <v/>
      </c>
      <c r="B1609" s="40" t="str">
        <f ca="1">IF(Agent09_Withdrawals!A16="","","WD"&amp;TEXT(1609-3,"0000")&amp;"-"&amp;TEXT(TODAY(),"YYYYMMDD"))</f>
        <v/>
      </c>
      <c r="C1609" s="40" t="str">
        <f>IF(Agent09_Withdrawals!A16="","",Agent09_Withdrawals!B16)</f>
        <v/>
      </c>
      <c r="D1609" s="43" t="str">
        <f>IF(Agent09_Withdrawals!A16="","",Agent09_Withdrawals!C16)</f>
        <v/>
      </c>
      <c r="E1609" s="41" t="str">
        <f>IF(Agent09_Withdrawals!A16="","",Agent09_Withdrawals!D16)</f>
        <v/>
      </c>
      <c r="F1609" s="40" t="str">
        <f>IF(Agent09_Withdrawals!A16="","",Agent09_Withdrawals!F16)</f>
        <v/>
      </c>
      <c r="G1609" s="42" t="str">
        <f>IF(Agent09_Withdrawals!A16="","",Agent09_Withdrawals!E16)</f>
        <v/>
      </c>
      <c r="H1609" s="42" t="str">
        <f>IF(Agent09_Withdrawals!A16="","",Agent09_Withdrawals!G16)</f>
        <v/>
      </c>
      <c r="I1609" s="40" t="str">
        <f>IF(Agent09_Withdrawals!A16="","",Agent09_Withdrawals!H16)</f>
        <v/>
      </c>
      <c r="J1609" s="40" t="str">
        <f>IF(Agent09_Withdrawals!A16="","",Agent09_Withdrawals!J16)</f>
        <v/>
      </c>
      <c r="K1609" s="40" t="str">
        <f>IF(Agent09_Withdrawals!A16="","",Agent09_Withdrawals!K16)</f>
        <v/>
      </c>
      <c r="L1609" s="40" t="str">
        <f>IF(G1609="","",IF(D1609-G1609&gt;=System_Config!$B$9,"✅ OK","⚠️ BREACH"))</f>
        <v/>
      </c>
      <c r="M1609" s="40" t="str">
        <f>IFERROR(IF(Agent09_Withdrawals!A16="","",YEAR(Agent09_Withdrawals!D16)),"")</f>
        <v/>
      </c>
    </row>
    <row r="1610" spans="1:13" ht="18" customHeight="1" x14ac:dyDescent="0.25">
      <c r="A1610" s="40" t="str">
        <f>IF(Agent09_Withdrawals!A17="","",Agent09_Withdrawals!A17)</f>
        <v/>
      </c>
      <c r="B1610" s="40" t="str">
        <f ca="1">IF(Agent09_Withdrawals!A17="","","WD"&amp;TEXT(1610-3,"0000")&amp;"-"&amp;TEXT(TODAY(),"YYYYMMDD"))</f>
        <v/>
      </c>
      <c r="C1610" s="40" t="str">
        <f>IF(Agent09_Withdrawals!A17="","",Agent09_Withdrawals!B17)</f>
        <v/>
      </c>
      <c r="D1610" s="43" t="str">
        <f>IF(Agent09_Withdrawals!A17="","",Agent09_Withdrawals!C17)</f>
        <v/>
      </c>
      <c r="E1610" s="41" t="str">
        <f>IF(Agent09_Withdrawals!A17="","",Agent09_Withdrawals!D17)</f>
        <v/>
      </c>
      <c r="F1610" s="40" t="str">
        <f>IF(Agent09_Withdrawals!A17="","",Agent09_Withdrawals!F17)</f>
        <v/>
      </c>
      <c r="G1610" s="42" t="str">
        <f>IF(Agent09_Withdrawals!A17="","",Agent09_Withdrawals!E17)</f>
        <v/>
      </c>
      <c r="H1610" s="42" t="str">
        <f>IF(Agent09_Withdrawals!A17="","",Agent09_Withdrawals!G17)</f>
        <v/>
      </c>
      <c r="I1610" s="40" t="str">
        <f>IF(Agent09_Withdrawals!A17="","",Agent09_Withdrawals!H17)</f>
        <v/>
      </c>
      <c r="J1610" s="40" t="str">
        <f>IF(Agent09_Withdrawals!A17="","",Agent09_Withdrawals!J17)</f>
        <v/>
      </c>
      <c r="K1610" s="40" t="str">
        <f>IF(Agent09_Withdrawals!A17="","",Agent09_Withdrawals!K17)</f>
        <v/>
      </c>
      <c r="L1610" s="40" t="str">
        <f>IF(G1610="","",IF(D1610-G1610&gt;=System_Config!$B$9,"✅ OK","⚠️ BREACH"))</f>
        <v/>
      </c>
      <c r="M1610" s="40" t="str">
        <f>IFERROR(IF(Agent09_Withdrawals!A17="","",YEAR(Agent09_Withdrawals!D17)),"")</f>
        <v/>
      </c>
    </row>
    <row r="1611" spans="1:13" ht="18" customHeight="1" x14ac:dyDescent="0.25">
      <c r="A1611" s="40" t="str">
        <f>IF(Agent09_Withdrawals!A18="","",Agent09_Withdrawals!A18)</f>
        <v/>
      </c>
      <c r="B1611" s="40" t="str">
        <f ca="1">IF(Agent09_Withdrawals!A18="","","WD"&amp;TEXT(1611-3,"0000")&amp;"-"&amp;TEXT(TODAY(),"YYYYMMDD"))</f>
        <v/>
      </c>
      <c r="C1611" s="40" t="str">
        <f>IF(Agent09_Withdrawals!A18="","",Agent09_Withdrawals!B18)</f>
        <v/>
      </c>
      <c r="D1611" s="43" t="str">
        <f>IF(Agent09_Withdrawals!A18="","",Agent09_Withdrawals!C18)</f>
        <v/>
      </c>
      <c r="E1611" s="41" t="str">
        <f>IF(Agent09_Withdrawals!A18="","",Agent09_Withdrawals!D18)</f>
        <v/>
      </c>
      <c r="F1611" s="40" t="str">
        <f>IF(Agent09_Withdrawals!A18="","",Agent09_Withdrawals!F18)</f>
        <v/>
      </c>
      <c r="G1611" s="42" t="str">
        <f>IF(Agent09_Withdrawals!A18="","",Agent09_Withdrawals!E18)</f>
        <v/>
      </c>
      <c r="H1611" s="42" t="str">
        <f>IF(Agent09_Withdrawals!A18="","",Agent09_Withdrawals!G18)</f>
        <v/>
      </c>
      <c r="I1611" s="40" t="str">
        <f>IF(Agent09_Withdrawals!A18="","",Agent09_Withdrawals!H18)</f>
        <v/>
      </c>
      <c r="J1611" s="40" t="str">
        <f>IF(Agent09_Withdrawals!A18="","",Agent09_Withdrawals!J18)</f>
        <v/>
      </c>
      <c r="K1611" s="40" t="str">
        <f>IF(Agent09_Withdrawals!A18="","",Agent09_Withdrawals!K18)</f>
        <v/>
      </c>
      <c r="L1611" s="40" t="str">
        <f>IF(G1611="","",IF(D1611-G1611&gt;=System_Config!$B$9,"✅ OK","⚠️ BREACH"))</f>
        <v/>
      </c>
      <c r="M1611" s="40" t="str">
        <f>IFERROR(IF(Agent09_Withdrawals!A18="","",YEAR(Agent09_Withdrawals!D18)),"")</f>
        <v/>
      </c>
    </row>
    <row r="1612" spans="1:13" ht="18" customHeight="1" x14ac:dyDescent="0.25">
      <c r="A1612" s="40" t="str">
        <f>IF(Agent09_Withdrawals!A19="","",Agent09_Withdrawals!A19)</f>
        <v/>
      </c>
      <c r="B1612" s="40" t="str">
        <f ca="1">IF(Agent09_Withdrawals!A19="","","WD"&amp;TEXT(1612-3,"0000")&amp;"-"&amp;TEXT(TODAY(),"YYYYMMDD"))</f>
        <v/>
      </c>
      <c r="C1612" s="40" t="str">
        <f>IF(Agent09_Withdrawals!A19="","",Agent09_Withdrawals!B19)</f>
        <v/>
      </c>
      <c r="D1612" s="43" t="str">
        <f>IF(Agent09_Withdrawals!A19="","",Agent09_Withdrawals!C19)</f>
        <v/>
      </c>
      <c r="E1612" s="41" t="str">
        <f>IF(Agent09_Withdrawals!A19="","",Agent09_Withdrawals!D19)</f>
        <v/>
      </c>
      <c r="F1612" s="40" t="str">
        <f>IF(Agent09_Withdrawals!A19="","",Agent09_Withdrawals!F19)</f>
        <v/>
      </c>
      <c r="G1612" s="42" t="str">
        <f>IF(Agent09_Withdrawals!A19="","",Agent09_Withdrawals!E19)</f>
        <v/>
      </c>
      <c r="H1612" s="42" t="str">
        <f>IF(Agent09_Withdrawals!A19="","",Agent09_Withdrawals!G19)</f>
        <v/>
      </c>
      <c r="I1612" s="40" t="str">
        <f>IF(Agent09_Withdrawals!A19="","",Agent09_Withdrawals!H19)</f>
        <v/>
      </c>
      <c r="J1612" s="40" t="str">
        <f>IF(Agent09_Withdrawals!A19="","",Agent09_Withdrawals!J19)</f>
        <v/>
      </c>
      <c r="K1612" s="40" t="str">
        <f>IF(Agent09_Withdrawals!A19="","",Agent09_Withdrawals!K19)</f>
        <v/>
      </c>
      <c r="L1612" s="40" t="str">
        <f>IF(G1612="","",IF(D1612-G1612&gt;=System_Config!$B$9,"✅ OK","⚠️ BREACH"))</f>
        <v/>
      </c>
      <c r="M1612" s="40" t="str">
        <f>IFERROR(IF(Agent09_Withdrawals!A19="","",YEAR(Agent09_Withdrawals!D19)),"")</f>
        <v/>
      </c>
    </row>
    <row r="1613" spans="1:13" ht="18" customHeight="1" x14ac:dyDescent="0.25">
      <c r="A1613" s="40" t="str">
        <f>IF(Agent09_Withdrawals!A20="","",Agent09_Withdrawals!A20)</f>
        <v/>
      </c>
      <c r="B1613" s="40" t="str">
        <f ca="1">IF(Agent09_Withdrawals!A20="","","WD"&amp;TEXT(1613-3,"0000")&amp;"-"&amp;TEXT(TODAY(),"YYYYMMDD"))</f>
        <v/>
      </c>
      <c r="C1613" s="40" t="str">
        <f>IF(Agent09_Withdrawals!A20="","",Agent09_Withdrawals!B20)</f>
        <v/>
      </c>
      <c r="D1613" s="43" t="str">
        <f>IF(Agent09_Withdrawals!A20="","",Agent09_Withdrawals!C20)</f>
        <v/>
      </c>
      <c r="E1613" s="41" t="str">
        <f>IF(Agent09_Withdrawals!A20="","",Agent09_Withdrawals!D20)</f>
        <v/>
      </c>
      <c r="F1613" s="40" t="str">
        <f>IF(Agent09_Withdrawals!A20="","",Agent09_Withdrawals!F20)</f>
        <v/>
      </c>
      <c r="G1613" s="42" t="str">
        <f>IF(Agent09_Withdrawals!A20="","",Agent09_Withdrawals!E20)</f>
        <v/>
      </c>
      <c r="H1613" s="42" t="str">
        <f>IF(Agent09_Withdrawals!A20="","",Agent09_Withdrawals!G20)</f>
        <v/>
      </c>
      <c r="I1613" s="40" t="str">
        <f>IF(Agent09_Withdrawals!A20="","",Agent09_Withdrawals!H20)</f>
        <v/>
      </c>
      <c r="J1613" s="40" t="str">
        <f>IF(Agent09_Withdrawals!A20="","",Agent09_Withdrawals!J20)</f>
        <v/>
      </c>
      <c r="K1613" s="40" t="str">
        <f>IF(Agent09_Withdrawals!A20="","",Agent09_Withdrawals!K20)</f>
        <v/>
      </c>
      <c r="L1613" s="40" t="str">
        <f>IF(G1613="","",IF(D1613-G1613&gt;=System_Config!$B$9,"✅ OK","⚠️ BREACH"))</f>
        <v/>
      </c>
      <c r="M1613" s="40" t="str">
        <f>IFERROR(IF(Agent09_Withdrawals!A20="","",YEAR(Agent09_Withdrawals!D20)),"")</f>
        <v/>
      </c>
    </row>
    <row r="1614" spans="1:13" ht="18" customHeight="1" x14ac:dyDescent="0.25">
      <c r="A1614" s="40" t="str">
        <f>IF(Agent09_Withdrawals!A21="","",Agent09_Withdrawals!A21)</f>
        <v/>
      </c>
      <c r="B1614" s="40" t="str">
        <f ca="1">IF(Agent09_Withdrawals!A21="","","WD"&amp;TEXT(1614-3,"0000")&amp;"-"&amp;TEXT(TODAY(),"YYYYMMDD"))</f>
        <v/>
      </c>
      <c r="C1614" s="40" t="str">
        <f>IF(Agent09_Withdrawals!A21="","",Agent09_Withdrawals!B21)</f>
        <v/>
      </c>
      <c r="D1614" s="43" t="str">
        <f>IF(Agent09_Withdrawals!A21="","",Agent09_Withdrawals!C21)</f>
        <v/>
      </c>
      <c r="E1614" s="41" t="str">
        <f>IF(Agent09_Withdrawals!A21="","",Agent09_Withdrawals!D21)</f>
        <v/>
      </c>
      <c r="F1614" s="40" t="str">
        <f>IF(Agent09_Withdrawals!A21="","",Agent09_Withdrawals!F21)</f>
        <v/>
      </c>
      <c r="G1614" s="42" t="str">
        <f>IF(Agent09_Withdrawals!A21="","",Agent09_Withdrawals!E21)</f>
        <v/>
      </c>
      <c r="H1614" s="42" t="str">
        <f>IF(Agent09_Withdrawals!A21="","",Agent09_Withdrawals!G21)</f>
        <v/>
      </c>
      <c r="I1614" s="40" t="str">
        <f>IF(Agent09_Withdrawals!A21="","",Agent09_Withdrawals!H21)</f>
        <v/>
      </c>
      <c r="J1614" s="40" t="str">
        <f>IF(Agent09_Withdrawals!A21="","",Agent09_Withdrawals!J21)</f>
        <v/>
      </c>
      <c r="K1614" s="40" t="str">
        <f>IF(Agent09_Withdrawals!A21="","",Agent09_Withdrawals!K21)</f>
        <v/>
      </c>
      <c r="L1614" s="40" t="str">
        <f>IF(G1614="","",IF(D1614-G1614&gt;=System_Config!$B$9,"✅ OK","⚠️ BREACH"))</f>
        <v/>
      </c>
      <c r="M1614" s="40" t="str">
        <f>IFERROR(IF(Agent09_Withdrawals!A21="","",YEAR(Agent09_Withdrawals!D21)),"")</f>
        <v/>
      </c>
    </row>
    <row r="1615" spans="1:13" ht="18" customHeight="1" x14ac:dyDescent="0.25">
      <c r="A1615" s="40" t="str">
        <f>IF(Agent09_Withdrawals!A22="","",Agent09_Withdrawals!A22)</f>
        <v/>
      </c>
      <c r="B1615" s="40" t="str">
        <f ca="1">IF(Agent09_Withdrawals!A22="","","WD"&amp;TEXT(1615-3,"0000")&amp;"-"&amp;TEXT(TODAY(),"YYYYMMDD"))</f>
        <v/>
      </c>
      <c r="C1615" s="40" t="str">
        <f>IF(Agent09_Withdrawals!A22="","",Agent09_Withdrawals!B22)</f>
        <v/>
      </c>
      <c r="D1615" s="43" t="str">
        <f>IF(Agent09_Withdrawals!A22="","",Agent09_Withdrawals!C22)</f>
        <v/>
      </c>
      <c r="E1615" s="41" t="str">
        <f>IF(Agent09_Withdrawals!A22="","",Agent09_Withdrawals!D22)</f>
        <v/>
      </c>
      <c r="F1615" s="40" t="str">
        <f>IF(Agent09_Withdrawals!A22="","",Agent09_Withdrawals!F22)</f>
        <v/>
      </c>
      <c r="G1615" s="42" t="str">
        <f>IF(Agent09_Withdrawals!A22="","",Agent09_Withdrawals!E22)</f>
        <v/>
      </c>
      <c r="H1615" s="42" t="str">
        <f>IF(Agent09_Withdrawals!A22="","",Agent09_Withdrawals!G22)</f>
        <v/>
      </c>
      <c r="I1615" s="40" t="str">
        <f>IF(Agent09_Withdrawals!A22="","",Agent09_Withdrawals!H22)</f>
        <v/>
      </c>
      <c r="J1615" s="40" t="str">
        <f>IF(Agent09_Withdrawals!A22="","",Agent09_Withdrawals!J22)</f>
        <v/>
      </c>
      <c r="K1615" s="40" t="str">
        <f>IF(Agent09_Withdrawals!A22="","",Agent09_Withdrawals!K22)</f>
        <v/>
      </c>
      <c r="L1615" s="40" t="str">
        <f>IF(G1615="","",IF(D1615-G1615&gt;=System_Config!$B$9,"✅ OK","⚠️ BREACH"))</f>
        <v/>
      </c>
      <c r="M1615" s="40" t="str">
        <f>IFERROR(IF(Agent09_Withdrawals!A22="","",YEAR(Agent09_Withdrawals!D22)),"")</f>
        <v/>
      </c>
    </row>
    <row r="1616" spans="1:13" ht="18" customHeight="1" x14ac:dyDescent="0.25">
      <c r="A1616" s="40" t="str">
        <f>IF(Agent09_Withdrawals!A23="","",Agent09_Withdrawals!A23)</f>
        <v/>
      </c>
      <c r="B1616" s="40" t="str">
        <f ca="1">IF(Agent09_Withdrawals!A23="","","WD"&amp;TEXT(1616-3,"0000")&amp;"-"&amp;TEXT(TODAY(),"YYYYMMDD"))</f>
        <v/>
      </c>
      <c r="C1616" s="40" t="str">
        <f>IF(Agent09_Withdrawals!A23="","",Agent09_Withdrawals!B23)</f>
        <v/>
      </c>
      <c r="D1616" s="43" t="str">
        <f>IF(Agent09_Withdrawals!A23="","",Agent09_Withdrawals!C23)</f>
        <v/>
      </c>
      <c r="E1616" s="41" t="str">
        <f>IF(Agent09_Withdrawals!A23="","",Agent09_Withdrawals!D23)</f>
        <v/>
      </c>
      <c r="F1616" s="40" t="str">
        <f>IF(Agent09_Withdrawals!A23="","",Agent09_Withdrawals!F23)</f>
        <v/>
      </c>
      <c r="G1616" s="42" t="str">
        <f>IF(Agent09_Withdrawals!A23="","",Agent09_Withdrawals!E23)</f>
        <v/>
      </c>
      <c r="H1616" s="42" t="str">
        <f>IF(Agent09_Withdrawals!A23="","",Agent09_Withdrawals!G23)</f>
        <v/>
      </c>
      <c r="I1616" s="40" t="str">
        <f>IF(Agent09_Withdrawals!A23="","",Agent09_Withdrawals!H23)</f>
        <v/>
      </c>
      <c r="J1616" s="40" t="str">
        <f>IF(Agent09_Withdrawals!A23="","",Agent09_Withdrawals!J23)</f>
        <v/>
      </c>
      <c r="K1616" s="40" t="str">
        <f>IF(Agent09_Withdrawals!A23="","",Agent09_Withdrawals!K23)</f>
        <v/>
      </c>
      <c r="L1616" s="40" t="str">
        <f>IF(G1616="","",IF(D1616-G1616&gt;=System_Config!$B$9,"✅ OK","⚠️ BREACH"))</f>
        <v/>
      </c>
      <c r="M1616" s="40" t="str">
        <f>IFERROR(IF(Agent09_Withdrawals!A23="","",YEAR(Agent09_Withdrawals!D23)),"")</f>
        <v/>
      </c>
    </row>
    <row r="1617" spans="1:13" ht="18" customHeight="1" x14ac:dyDescent="0.25">
      <c r="A1617" s="40" t="str">
        <f>IF(Agent09_Withdrawals!A24="","",Agent09_Withdrawals!A24)</f>
        <v/>
      </c>
      <c r="B1617" s="40" t="str">
        <f ca="1">IF(Agent09_Withdrawals!A24="","","WD"&amp;TEXT(1617-3,"0000")&amp;"-"&amp;TEXT(TODAY(),"YYYYMMDD"))</f>
        <v/>
      </c>
      <c r="C1617" s="40" t="str">
        <f>IF(Agent09_Withdrawals!A24="","",Agent09_Withdrawals!B24)</f>
        <v/>
      </c>
      <c r="D1617" s="43" t="str">
        <f>IF(Agent09_Withdrawals!A24="","",Agent09_Withdrawals!C24)</f>
        <v/>
      </c>
      <c r="E1617" s="41" t="str">
        <f>IF(Agent09_Withdrawals!A24="","",Agent09_Withdrawals!D24)</f>
        <v/>
      </c>
      <c r="F1617" s="40" t="str">
        <f>IF(Agent09_Withdrawals!A24="","",Agent09_Withdrawals!F24)</f>
        <v/>
      </c>
      <c r="G1617" s="42" t="str">
        <f>IF(Agent09_Withdrawals!A24="","",Agent09_Withdrawals!E24)</f>
        <v/>
      </c>
      <c r="H1617" s="42" t="str">
        <f>IF(Agent09_Withdrawals!A24="","",Agent09_Withdrawals!G24)</f>
        <v/>
      </c>
      <c r="I1617" s="40" t="str">
        <f>IF(Agent09_Withdrawals!A24="","",Agent09_Withdrawals!H24)</f>
        <v/>
      </c>
      <c r="J1617" s="40" t="str">
        <f>IF(Agent09_Withdrawals!A24="","",Agent09_Withdrawals!J24)</f>
        <v/>
      </c>
      <c r="K1617" s="40" t="str">
        <f>IF(Agent09_Withdrawals!A24="","",Agent09_Withdrawals!K24)</f>
        <v/>
      </c>
      <c r="L1617" s="40" t="str">
        <f>IF(G1617="","",IF(D1617-G1617&gt;=System_Config!$B$9,"✅ OK","⚠️ BREACH"))</f>
        <v/>
      </c>
      <c r="M1617" s="40" t="str">
        <f>IFERROR(IF(Agent09_Withdrawals!A24="","",YEAR(Agent09_Withdrawals!D24)),"")</f>
        <v/>
      </c>
    </row>
    <row r="1618" spans="1:13" ht="18" customHeight="1" x14ac:dyDescent="0.25">
      <c r="A1618" s="40" t="str">
        <f>IF(Agent09_Withdrawals!A25="","",Agent09_Withdrawals!A25)</f>
        <v/>
      </c>
      <c r="B1618" s="40" t="str">
        <f ca="1">IF(Agent09_Withdrawals!A25="","","WD"&amp;TEXT(1618-3,"0000")&amp;"-"&amp;TEXT(TODAY(),"YYYYMMDD"))</f>
        <v/>
      </c>
      <c r="C1618" s="40" t="str">
        <f>IF(Agent09_Withdrawals!A25="","",Agent09_Withdrawals!B25)</f>
        <v/>
      </c>
      <c r="D1618" s="43" t="str">
        <f>IF(Agent09_Withdrawals!A25="","",Agent09_Withdrawals!C25)</f>
        <v/>
      </c>
      <c r="E1618" s="41" t="str">
        <f>IF(Agent09_Withdrawals!A25="","",Agent09_Withdrawals!D25)</f>
        <v/>
      </c>
      <c r="F1618" s="40" t="str">
        <f>IF(Agent09_Withdrawals!A25="","",Agent09_Withdrawals!F25)</f>
        <v/>
      </c>
      <c r="G1618" s="42" t="str">
        <f>IF(Agent09_Withdrawals!A25="","",Agent09_Withdrawals!E25)</f>
        <v/>
      </c>
      <c r="H1618" s="42" t="str">
        <f>IF(Agent09_Withdrawals!A25="","",Agent09_Withdrawals!G25)</f>
        <v/>
      </c>
      <c r="I1618" s="40" t="str">
        <f>IF(Agent09_Withdrawals!A25="","",Agent09_Withdrawals!H25)</f>
        <v/>
      </c>
      <c r="J1618" s="40" t="str">
        <f>IF(Agent09_Withdrawals!A25="","",Agent09_Withdrawals!J25)</f>
        <v/>
      </c>
      <c r="K1618" s="40" t="str">
        <f>IF(Agent09_Withdrawals!A25="","",Agent09_Withdrawals!K25)</f>
        <v/>
      </c>
      <c r="L1618" s="40" t="str">
        <f>IF(G1618="","",IF(D1618-G1618&gt;=System_Config!$B$9,"✅ OK","⚠️ BREACH"))</f>
        <v/>
      </c>
      <c r="M1618" s="40" t="str">
        <f>IFERROR(IF(Agent09_Withdrawals!A25="","",YEAR(Agent09_Withdrawals!D25)),"")</f>
        <v/>
      </c>
    </row>
    <row r="1619" spans="1:13" ht="18" customHeight="1" x14ac:dyDescent="0.25">
      <c r="A1619" s="40" t="str">
        <f>IF(Agent09_Withdrawals!A26="","",Agent09_Withdrawals!A26)</f>
        <v/>
      </c>
      <c r="B1619" s="40" t="str">
        <f ca="1">IF(Agent09_Withdrawals!A26="","","WD"&amp;TEXT(1619-3,"0000")&amp;"-"&amp;TEXT(TODAY(),"YYYYMMDD"))</f>
        <v/>
      </c>
      <c r="C1619" s="40" t="str">
        <f>IF(Agent09_Withdrawals!A26="","",Agent09_Withdrawals!B26)</f>
        <v/>
      </c>
      <c r="D1619" s="43" t="str">
        <f>IF(Agent09_Withdrawals!A26="","",Agent09_Withdrawals!C26)</f>
        <v/>
      </c>
      <c r="E1619" s="41" t="str">
        <f>IF(Agent09_Withdrawals!A26="","",Agent09_Withdrawals!D26)</f>
        <v/>
      </c>
      <c r="F1619" s="40" t="str">
        <f>IF(Agent09_Withdrawals!A26="","",Agent09_Withdrawals!F26)</f>
        <v/>
      </c>
      <c r="G1619" s="42" t="str">
        <f>IF(Agent09_Withdrawals!A26="","",Agent09_Withdrawals!E26)</f>
        <v/>
      </c>
      <c r="H1619" s="42" t="str">
        <f>IF(Agent09_Withdrawals!A26="","",Agent09_Withdrawals!G26)</f>
        <v/>
      </c>
      <c r="I1619" s="40" t="str">
        <f>IF(Agent09_Withdrawals!A26="","",Agent09_Withdrawals!H26)</f>
        <v/>
      </c>
      <c r="J1619" s="40" t="str">
        <f>IF(Agent09_Withdrawals!A26="","",Agent09_Withdrawals!J26)</f>
        <v/>
      </c>
      <c r="K1619" s="40" t="str">
        <f>IF(Agent09_Withdrawals!A26="","",Agent09_Withdrawals!K26)</f>
        <v/>
      </c>
      <c r="L1619" s="40" t="str">
        <f>IF(G1619="","",IF(D1619-G1619&gt;=System_Config!$B$9,"✅ OK","⚠️ BREACH"))</f>
        <v/>
      </c>
      <c r="M1619" s="40" t="str">
        <f>IFERROR(IF(Agent09_Withdrawals!A26="","",YEAR(Agent09_Withdrawals!D26)),"")</f>
        <v/>
      </c>
    </row>
    <row r="1620" spans="1:13" ht="18" customHeight="1" x14ac:dyDescent="0.25">
      <c r="A1620" s="40" t="str">
        <f>IF(Agent09_Withdrawals!A27="","",Agent09_Withdrawals!A27)</f>
        <v/>
      </c>
      <c r="B1620" s="40" t="str">
        <f ca="1">IF(Agent09_Withdrawals!A27="","","WD"&amp;TEXT(1620-3,"0000")&amp;"-"&amp;TEXT(TODAY(),"YYYYMMDD"))</f>
        <v/>
      </c>
      <c r="C1620" s="40" t="str">
        <f>IF(Agent09_Withdrawals!A27="","",Agent09_Withdrawals!B27)</f>
        <v/>
      </c>
      <c r="D1620" s="43" t="str">
        <f>IF(Agent09_Withdrawals!A27="","",Agent09_Withdrawals!C27)</f>
        <v/>
      </c>
      <c r="E1620" s="41" t="str">
        <f>IF(Agent09_Withdrawals!A27="","",Agent09_Withdrawals!D27)</f>
        <v/>
      </c>
      <c r="F1620" s="40" t="str">
        <f>IF(Agent09_Withdrawals!A27="","",Agent09_Withdrawals!F27)</f>
        <v/>
      </c>
      <c r="G1620" s="42" t="str">
        <f>IF(Agent09_Withdrawals!A27="","",Agent09_Withdrawals!E27)</f>
        <v/>
      </c>
      <c r="H1620" s="42" t="str">
        <f>IF(Agent09_Withdrawals!A27="","",Agent09_Withdrawals!G27)</f>
        <v/>
      </c>
      <c r="I1620" s="40" t="str">
        <f>IF(Agent09_Withdrawals!A27="","",Agent09_Withdrawals!H27)</f>
        <v/>
      </c>
      <c r="J1620" s="40" t="str">
        <f>IF(Agent09_Withdrawals!A27="","",Agent09_Withdrawals!J27)</f>
        <v/>
      </c>
      <c r="K1620" s="40" t="str">
        <f>IF(Agent09_Withdrawals!A27="","",Agent09_Withdrawals!K27)</f>
        <v/>
      </c>
      <c r="L1620" s="40" t="str">
        <f>IF(G1620="","",IF(D1620-G1620&gt;=System_Config!$B$9,"✅ OK","⚠️ BREACH"))</f>
        <v/>
      </c>
      <c r="M1620" s="40" t="str">
        <f>IFERROR(IF(Agent09_Withdrawals!A27="","",YEAR(Agent09_Withdrawals!D27)),"")</f>
        <v/>
      </c>
    </row>
    <row r="1621" spans="1:13" ht="18" customHeight="1" x14ac:dyDescent="0.25">
      <c r="A1621" s="40" t="str">
        <f>IF(Agent09_Withdrawals!A28="","",Agent09_Withdrawals!A28)</f>
        <v/>
      </c>
      <c r="B1621" s="40" t="str">
        <f ca="1">IF(Agent09_Withdrawals!A28="","","WD"&amp;TEXT(1621-3,"0000")&amp;"-"&amp;TEXT(TODAY(),"YYYYMMDD"))</f>
        <v/>
      </c>
      <c r="C1621" s="40" t="str">
        <f>IF(Agent09_Withdrawals!A28="","",Agent09_Withdrawals!B28)</f>
        <v/>
      </c>
      <c r="D1621" s="43" t="str">
        <f>IF(Agent09_Withdrawals!A28="","",Agent09_Withdrawals!C28)</f>
        <v/>
      </c>
      <c r="E1621" s="41" t="str">
        <f>IF(Agent09_Withdrawals!A28="","",Agent09_Withdrawals!D28)</f>
        <v/>
      </c>
      <c r="F1621" s="40" t="str">
        <f>IF(Agent09_Withdrawals!A28="","",Agent09_Withdrawals!F28)</f>
        <v/>
      </c>
      <c r="G1621" s="42" t="str">
        <f>IF(Agent09_Withdrawals!A28="","",Agent09_Withdrawals!E28)</f>
        <v/>
      </c>
      <c r="H1621" s="42" t="str">
        <f>IF(Agent09_Withdrawals!A28="","",Agent09_Withdrawals!G28)</f>
        <v/>
      </c>
      <c r="I1621" s="40" t="str">
        <f>IF(Agent09_Withdrawals!A28="","",Agent09_Withdrawals!H28)</f>
        <v/>
      </c>
      <c r="J1621" s="40" t="str">
        <f>IF(Agent09_Withdrawals!A28="","",Agent09_Withdrawals!J28)</f>
        <v/>
      </c>
      <c r="K1621" s="40" t="str">
        <f>IF(Agent09_Withdrawals!A28="","",Agent09_Withdrawals!K28)</f>
        <v/>
      </c>
      <c r="L1621" s="40" t="str">
        <f>IF(G1621="","",IF(D1621-G1621&gt;=System_Config!$B$9,"✅ OK","⚠️ BREACH"))</f>
        <v/>
      </c>
      <c r="M1621" s="40" t="str">
        <f>IFERROR(IF(Agent09_Withdrawals!A28="","",YEAR(Agent09_Withdrawals!D28)),"")</f>
        <v/>
      </c>
    </row>
    <row r="1622" spans="1:13" ht="18" customHeight="1" x14ac:dyDescent="0.25">
      <c r="A1622" s="40" t="str">
        <f>IF(Agent09_Withdrawals!A29="","",Agent09_Withdrawals!A29)</f>
        <v/>
      </c>
      <c r="B1622" s="40" t="str">
        <f ca="1">IF(Agent09_Withdrawals!A29="","","WD"&amp;TEXT(1622-3,"0000")&amp;"-"&amp;TEXT(TODAY(),"YYYYMMDD"))</f>
        <v/>
      </c>
      <c r="C1622" s="40" t="str">
        <f>IF(Agent09_Withdrawals!A29="","",Agent09_Withdrawals!B29)</f>
        <v/>
      </c>
      <c r="D1622" s="43" t="str">
        <f>IF(Agent09_Withdrawals!A29="","",Agent09_Withdrawals!C29)</f>
        <v/>
      </c>
      <c r="E1622" s="41" t="str">
        <f>IF(Agent09_Withdrawals!A29="","",Agent09_Withdrawals!D29)</f>
        <v/>
      </c>
      <c r="F1622" s="40" t="str">
        <f>IF(Agent09_Withdrawals!A29="","",Agent09_Withdrawals!F29)</f>
        <v/>
      </c>
      <c r="G1622" s="42" t="str">
        <f>IF(Agent09_Withdrawals!A29="","",Agent09_Withdrawals!E29)</f>
        <v/>
      </c>
      <c r="H1622" s="42" t="str">
        <f>IF(Agent09_Withdrawals!A29="","",Agent09_Withdrawals!G29)</f>
        <v/>
      </c>
      <c r="I1622" s="40" t="str">
        <f>IF(Agent09_Withdrawals!A29="","",Agent09_Withdrawals!H29)</f>
        <v/>
      </c>
      <c r="J1622" s="40" t="str">
        <f>IF(Agent09_Withdrawals!A29="","",Agent09_Withdrawals!J29)</f>
        <v/>
      </c>
      <c r="K1622" s="40" t="str">
        <f>IF(Agent09_Withdrawals!A29="","",Agent09_Withdrawals!K29)</f>
        <v/>
      </c>
      <c r="L1622" s="40" t="str">
        <f>IF(G1622="","",IF(D1622-G1622&gt;=System_Config!$B$9,"✅ OK","⚠️ BREACH"))</f>
        <v/>
      </c>
      <c r="M1622" s="40" t="str">
        <f>IFERROR(IF(Agent09_Withdrawals!A29="","",YEAR(Agent09_Withdrawals!D29)),"")</f>
        <v/>
      </c>
    </row>
    <row r="1623" spans="1:13" ht="18" customHeight="1" x14ac:dyDescent="0.25">
      <c r="A1623" s="40" t="str">
        <f>IF(Agent09_Withdrawals!A30="","",Agent09_Withdrawals!A30)</f>
        <v/>
      </c>
      <c r="B1623" s="40" t="str">
        <f ca="1">IF(Agent09_Withdrawals!A30="","","WD"&amp;TEXT(1623-3,"0000")&amp;"-"&amp;TEXT(TODAY(),"YYYYMMDD"))</f>
        <v/>
      </c>
      <c r="C1623" s="40" t="str">
        <f>IF(Agent09_Withdrawals!A30="","",Agent09_Withdrawals!B30)</f>
        <v/>
      </c>
      <c r="D1623" s="43" t="str">
        <f>IF(Agent09_Withdrawals!A30="","",Agent09_Withdrawals!C30)</f>
        <v/>
      </c>
      <c r="E1623" s="41" t="str">
        <f>IF(Agent09_Withdrawals!A30="","",Agent09_Withdrawals!D30)</f>
        <v/>
      </c>
      <c r="F1623" s="40" t="str">
        <f>IF(Agent09_Withdrawals!A30="","",Agent09_Withdrawals!F30)</f>
        <v/>
      </c>
      <c r="G1623" s="42" t="str">
        <f>IF(Agent09_Withdrawals!A30="","",Agent09_Withdrawals!E30)</f>
        <v/>
      </c>
      <c r="H1623" s="42" t="str">
        <f>IF(Agent09_Withdrawals!A30="","",Agent09_Withdrawals!G30)</f>
        <v/>
      </c>
      <c r="I1623" s="40" t="str">
        <f>IF(Agent09_Withdrawals!A30="","",Agent09_Withdrawals!H30)</f>
        <v/>
      </c>
      <c r="J1623" s="40" t="str">
        <f>IF(Agent09_Withdrawals!A30="","",Agent09_Withdrawals!J30)</f>
        <v/>
      </c>
      <c r="K1623" s="40" t="str">
        <f>IF(Agent09_Withdrawals!A30="","",Agent09_Withdrawals!K30)</f>
        <v/>
      </c>
      <c r="L1623" s="40" t="str">
        <f>IF(G1623="","",IF(D1623-G1623&gt;=System_Config!$B$9,"✅ OK","⚠️ BREACH"))</f>
        <v/>
      </c>
      <c r="M1623" s="40" t="str">
        <f>IFERROR(IF(Agent09_Withdrawals!A30="","",YEAR(Agent09_Withdrawals!D30)),"")</f>
        <v/>
      </c>
    </row>
    <row r="1624" spans="1:13" ht="18" customHeight="1" x14ac:dyDescent="0.25">
      <c r="A1624" s="40" t="str">
        <f>IF(Agent09_Withdrawals!A31="","",Agent09_Withdrawals!A31)</f>
        <v/>
      </c>
      <c r="B1624" s="40" t="str">
        <f ca="1">IF(Agent09_Withdrawals!A31="","","WD"&amp;TEXT(1624-3,"0000")&amp;"-"&amp;TEXT(TODAY(),"YYYYMMDD"))</f>
        <v/>
      </c>
      <c r="C1624" s="40" t="str">
        <f>IF(Agent09_Withdrawals!A31="","",Agent09_Withdrawals!B31)</f>
        <v/>
      </c>
      <c r="D1624" s="43" t="str">
        <f>IF(Agent09_Withdrawals!A31="","",Agent09_Withdrawals!C31)</f>
        <v/>
      </c>
      <c r="E1624" s="41" t="str">
        <f>IF(Agent09_Withdrawals!A31="","",Agent09_Withdrawals!D31)</f>
        <v/>
      </c>
      <c r="F1624" s="40" t="str">
        <f>IF(Agent09_Withdrawals!A31="","",Agent09_Withdrawals!F31)</f>
        <v/>
      </c>
      <c r="G1624" s="42" t="str">
        <f>IF(Agent09_Withdrawals!A31="","",Agent09_Withdrawals!E31)</f>
        <v/>
      </c>
      <c r="H1624" s="42" t="str">
        <f>IF(Agent09_Withdrawals!A31="","",Agent09_Withdrawals!G31)</f>
        <v/>
      </c>
      <c r="I1624" s="40" t="str">
        <f>IF(Agent09_Withdrawals!A31="","",Agent09_Withdrawals!H31)</f>
        <v/>
      </c>
      <c r="J1624" s="40" t="str">
        <f>IF(Agent09_Withdrawals!A31="","",Agent09_Withdrawals!J31)</f>
        <v/>
      </c>
      <c r="K1624" s="40" t="str">
        <f>IF(Agent09_Withdrawals!A31="","",Agent09_Withdrawals!K31)</f>
        <v/>
      </c>
      <c r="L1624" s="40" t="str">
        <f>IF(G1624="","",IF(D1624-G1624&gt;=System_Config!$B$9,"✅ OK","⚠️ BREACH"))</f>
        <v/>
      </c>
      <c r="M1624" s="40" t="str">
        <f>IFERROR(IF(Agent09_Withdrawals!A31="","",YEAR(Agent09_Withdrawals!D31)),"")</f>
        <v/>
      </c>
    </row>
    <row r="1625" spans="1:13" ht="18" customHeight="1" x14ac:dyDescent="0.25">
      <c r="A1625" s="40" t="str">
        <f>IF(Agent09_Withdrawals!A32="","",Agent09_Withdrawals!A32)</f>
        <v/>
      </c>
      <c r="B1625" s="40" t="str">
        <f ca="1">IF(Agent09_Withdrawals!A32="","","WD"&amp;TEXT(1625-3,"0000")&amp;"-"&amp;TEXT(TODAY(),"YYYYMMDD"))</f>
        <v/>
      </c>
      <c r="C1625" s="40" t="str">
        <f>IF(Agent09_Withdrawals!A32="","",Agent09_Withdrawals!B32)</f>
        <v/>
      </c>
      <c r="D1625" s="43" t="str">
        <f>IF(Agent09_Withdrawals!A32="","",Agent09_Withdrawals!C32)</f>
        <v/>
      </c>
      <c r="E1625" s="41" t="str">
        <f>IF(Agent09_Withdrawals!A32="","",Agent09_Withdrawals!D32)</f>
        <v/>
      </c>
      <c r="F1625" s="40" t="str">
        <f>IF(Agent09_Withdrawals!A32="","",Agent09_Withdrawals!F32)</f>
        <v/>
      </c>
      <c r="G1625" s="42" t="str">
        <f>IF(Agent09_Withdrawals!A32="","",Agent09_Withdrawals!E32)</f>
        <v/>
      </c>
      <c r="H1625" s="42" t="str">
        <f>IF(Agent09_Withdrawals!A32="","",Agent09_Withdrawals!G32)</f>
        <v/>
      </c>
      <c r="I1625" s="40" t="str">
        <f>IF(Agent09_Withdrawals!A32="","",Agent09_Withdrawals!H32)</f>
        <v/>
      </c>
      <c r="J1625" s="40" t="str">
        <f>IF(Agent09_Withdrawals!A32="","",Agent09_Withdrawals!J32)</f>
        <v/>
      </c>
      <c r="K1625" s="40" t="str">
        <f>IF(Agent09_Withdrawals!A32="","",Agent09_Withdrawals!K32)</f>
        <v/>
      </c>
      <c r="L1625" s="40" t="str">
        <f>IF(G1625="","",IF(D1625-G1625&gt;=System_Config!$B$9,"✅ OK","⚠️ BREACH"))</f>
        <v/>
      </c>
      <c r="M1625" s="40" t="str">
        <f>IFERROR(IF(Agent09_Withdrawals!A32="","",YEAR(Agent09_Withdrawals!D32)),"")</f>
        <v/>
      </c>
    </row>
    <row r="1626" spans="1:13" ht="18" customHeight="1" x14ac:dyDescent="0.25">
      <c r="A1626" s="40" t="str">
        <f>IF(Agent09_Withdrawals!A33="","",Agent09_Withdrawals!A33)</f>
        <v/>
      </c>
      <c r="B1626" s="40" t="str">
        <f ca="1">IF(Agent09_Withdrawals!A33="","","WD"&amp;TEXT(1626-3,"0000")&amp;"-"&amp;TEXT(TODAY(),"YYYYMMDD"))</f>
        <v/>
      </c>
      <c r="C1626" s="40" t="str">
        <f>IF(Agent09_Withdrawals!A33="","",Agent09_Withdrawals!B33)</f>
        <v/>
      </c>
      <c r="D1626" s="43" t="str">
        <f>IF(Agent09_Withdrawals!A33="","",Agent09_Withdrawals!C33)</f>
        <v/>
      </c>
      <c r="E1626" s="41" t="str">
        <f>IF(Agent09_Withdrawals!A33="","",Agent09_Withdrawals!D33)</f>
        <v/>
      </c>
      <c r="F1626" s="40" t="str">
        <f>IF(Agent09_Withdrawals!A33="","",Agent09_Withdrawals!F33)</f>
        <v/>
      </c>
      <c r="G1626" s="42" t="str">
        <f>IF(Agent09_Withdrawals!A33="","",Agent09_Withdrawals!E33)</f>
        <v/>
      </c>
      <c r="H1626" s="42" t="str">
        <f>IF(Agent09_Withdrawals!A33="","",Agent09_Withdrawals!G33)</f>
        <v/>
      </c>
      <c r="I1626" s="40" t="str">
        <f>IF(Agent09_Withdrawals!A33="","",Agent09_Withdrawals!H33)</f>
        <v/>
      </c>
      <c r="J1626" s="40" t="str">
        <f>IF(Agent09_Withdrawals!A33="","",Agent09_Withdrawals!J33)</f>
        <v/>
      </c>
      <c r="K1626" s="40" t="str">
        <f>IF(Agent09_Withdrawals!A33="","",Agent09_Withdrawals!K33)</f>
        <v/>
      </c>
      <c r="L1626" s="40" t="str">
        <f>IF(G1626="","",IF(D1626-G1626&gt;=System_Config!$B$9,"✅ OK","⚠️ BREACH"))</f>
        <v/>
      </c>
      <c r="M1626" s="40" t="str">
        <f>IFERROR(IF(Agent09_Withdrawals!A33="","",YEAR(Agent09_Withdrawals!D33)),"")</f>
        <v/>
      </c>
    </row>
    <row r="1627" spans="1:13" ht="18" customHeight="1" x14ac:dyDescent="0.25">
      <c r="A1627" s="40" t="str">
        <f>IF(Agent09_Withdrawals!A34="","",Agent09_Withdrawals!A34)</f>
        <v/>
      </c>
      <c r="B1627" s="40" t="str">
        <f ca="1">IF(Agent09_Withdrawals!A34="","","WD"&amp;TEXT(1627-3,"0000")&amp;"-"&amp;TEXT(TODAY(),"YYYYMMDD"))</f>
        <v/>
      </c>
      <c r="C1627" s="40" t="str">
        <f>IF(Agent09_Withdrawals!A34="","",Agent09_Withdrawals!B34)</f>
        <v/>
      </c>
      <c r="D1627" s="43" t="str">
        <f>IF(Agent09_Withdrawals!A34="","",Agent09_Withdrawals!C34)</f>
        <v/>
      </c>
      <c r="E1627" s="41" t="str">
        <f>IF(Agent09_Withdrawals!A34="","",Agent09_Withdrawals!D34)</f>
        <v/>
      </c>
      <c r="F1627" s="40" t="str">
        <f>IF(Agent09_Withdrawals!A34="","",Agent09_Withdrawals!F34)</f>
        <v/>
      </c>
      <c r="G1627" s="42" t="str">
        <f>IF(Agent09_Withdrawals!A34="","",Agent09_Withdrawals!E34)</f>
        <v/>
      </c>
      <c r="H1627" s="42" t="str">
        <f>IF(Agent09_Withdrawals!A34="","",Agent09_Withdrawals!G34)</f>
        <v/>
      </c>
      <c r="I1627" s="40" t="str">
        <f>IF(Agent09_Withdrawals!A34="","",Agent09_Withdrawals!H34)</f>
        <v/>
      </c>
      <c r="J1627" s="40" t="str">
        <f>IF(Agent09_Withdrawals!A34="","",Agent09_Withdrawals!J34)</f>
        <v/>
      </c>
      <c r="K1627" s="40" t="str">
        <f>IF(Agent09_Withdrawals!A34="","",Agent09_Withdrawals!K34)</f>
        <v/>
      </c>
      <c r="L1627" s="40" t="str">
        <f>IF(G1627="","",IF(D1627-G1627&gt;=System_Config!$B$9,"✅ OK","⚠️ BREACH"))</f>
        <v/>
      </c>
      <c r="M1627" s="40" t="str">
        <f>IFERROR(IF(Agent09_Withdrawals!A34="","",YEAR(Agent09_Withdrawals!D34)),"")</f>
        <v/>
      </c>
    </row>
    <row r="1628" spans="1:13" ht="18" customHeight="1" x14ac:dyDescent="0.25">
      <c r="A1628" s="40" t="str">
        <f>IF(Agent09_Withdrawals!A35="","",Agent09_Withdrawals!A35)</f>
        <v/>
      </c>
      <c r="B1628" s="40" t="str">
        <f ca="1">IF(Agent09_Withdrawals!A35="","","WD"&amp;TEXT(1628-3,"0000")&amp;"-"&amp;TEXT(TODAY(),"YYYYMMDD"))</f>
        <v/>
      </c>
      <c r="C1628" s="40" t="str">
        <f>IF(Agent09_Withdrawals!A35="","",Agent09_Withdrawals!B35)</f>
        <v/>
      </c>
      <c r="D1628" s="43" t="str">
        <f>IF(Agent09_Withdrawals!A35="","",Agent09_Withdrawals!C35)</f>
        <v/>
      </c>
      <c r="E1628" s="41" t="str">
        <f>IF(Agent09_Withdrawals!A35="","",Agent09_Withdrawals!D35)</f>
        <v/>
      </c>
      <c r="F1628" s="40" t="str">
        <f>IF(Agent09_Withdrawals!A35="","",Agent09_Withdrawals!F35)</f>
        <v/>
      </c>
      <c r="G1628" s="42" t="str">
        <f>IF(Agent09_Withdrawals!A35="","",Agent09_Withdrawals!E35)</f>
        <v/>
      </c>
      <c r="H1628" s="42" t="str">
        <f>IF(Agent09_Withdrawals!A35="","",Agent09_Withdrawals!G35)</f>
        <v/>
      </c>
      <c r="I1628" s="40" t="str">
        <f>IF(Agent09_Withdrawals!A35="","",Agent09_Withdrawals!H35)</f>
        <v/>
      </c>
      <c r="J1628" s="40" t="str">
        <f>IF(Agent09_Withdrawals!A35="","",Agent09_Withdrawals!J35)</f>
        <v/>
      </c>
      <c r="K1628" s="40" t="str">
        <f>IF(Agent09_Withdrawals!A35="","",Agent09_Withdrawals!K35)</f>
        <v/>
      </c>
      <c r="L1628" s="40" t="str">
        <f>IF(G1628="","",IF(D1628-G1628&gt;=System_Config!$B$9,"✅ OK","⚠️ BREACH"))</f>
        <v/>
      </c>
      <c r="M1628" s="40" t="str">
        <f>IFERROR(IF(Agent09_Withdrawals!A35="","",YEAR(Agent09_Withdrawals!D35)),"")</f>
        <v/>
      </c>
    </row>
    <row r="1629" spans="1:13" ht="18" customHeight="1" x14ac:dyDescent="0.25">
      <c r="A1629" s="40" t="str">
        <f>IF(Agent09_Withdrawals!A36="","",Agent09_Withdrawals!A36)</f>
        <v/>
      </c>
      <c r="B1629" s="40" t="str">
        <f ca="1">IF(Agent09_Withdrawals!A36="","","WD"&amp;TEXT(1629-3,"0000")&amp;"-"&amp;TEXT(TODAY(),"YYYYMMDD"))</f>
        <v/>
      </c>
      <c r="C1629" s="40" t="str">
        <f>IF(Agent09_Withdrawals!A36="","",Agent09_Withdrawals!B36)</f>
        <v/>
      </c>
      <c r="D1629" s="43" t="str">
        <f>IF(Agent09_Withdrawals!A36="","",Agent09_Withdrawals!C36)</f>
        <v/>
      </c>
      <c r="E1629" s="41" t="str">
        <f>IF(Agent09_Withdrawals!A36="","",Agent09_Withdrawals!D36)</f>
        <v/>
      </c>
      <c r="F1629" s="40" t="str">
        <f>IF(Agent09_Withdrawals!A36="","",Agent09_Withdrawals!F36)</f>
        <v/>
      </c>
      <c r="G1629" s="42" t="str">
        <f>IF(Agent09_Withdrawals!A36="","",Agent09_Withdrawals!E36)</f>
        <v/>
      </c>
      <c r="H1629" s="42" t="str">
        <f>IF(Agent09_Withdrawals!A36="","",Agent09_Withdrawals!G36)</f>
        <v/>
      </c>
      <c r="I1629" s="40" t="str">
        <f>IF(Agent09_Withdrawals!A36="","",Agent09_Withdrawals!H36)</f>
        <v/>
      </c>
      <c r="J1629" s="40" t="str">
        <f>IF(Agent09_Withdrawals!A36="","",Agent09_Withdrawals!J36)</f>
        <v/>
      </c>
      <c r="K1629" s="40" t="str">
        <f>IF(Agent09_Withdrawals!A36="","",Agent09_Withdrawals!K36)</f>
        <v/>
      </c>
      <c r="L1629" s="40" t="str">
        <f>IF(G1629="","",IF(D1629-G1629&gt;=System_Config!$B$9,"✅ OK","⚠️ BREACH"))</f>
        <v/>
      </c>
      <c r="M1629" s="40" t="str">
        <f>IFERROR(IF(Agent09_Withdrawals!A36="","",YEAR(Agent09_Withdrawals!D36)),"")</f>
        <v/>
      </c>
    </row>
    <row r="1630" spans="1:13" ht="18" customHeight="1" x14ac:dyDescent="0.25">
      <c r="A1630" s="40" t="str">
        <f>IF(Agent09_Withdrawals!A37="","",Agent09_Withdrawals!A37)</f>
        <v/>
      </c>
      <c r="B1630" s="40" t="str">
        <f ca="1">IF(Agent09_Withdrawals!A37="","","WD"&amp;TEXT(1630-3,"0000")&amp;"-"&amp;TEXT(TODAY(),"YYYYMMDD"))</f>
        <v/>
      </c>
      <c r="C1630" s="40" t="str">
        <f>IF(Agent09_Withdrawals!A37="","",Agent09_Withdrawals!B37)</f>
        <v/>
      </c>
      <c r="D1630" s="43" t="str">
        <f>IF(Agent09_Withdrawals!A37="","",Agent09_Withdrawals!C37)</f>
        <v/>
      </c>
      <c r="E1630" s="41" t="str">
        <f>IF(Agent09_Withdrawals!A37="","",Agent09_Withdrawals!D37)</f>
        <v/>
      </c>
      <c r="F1630" s="40" t="str">
        <f>IF(Agent09_Withdrawals!A37="","",Agent09_Withdrawals!F37)</f>
        <v/>
      </c>
      <c r="G1630" s="42" t="str">
        <f>IF(Agent09_Withdrawals!A37="","",Agent09_Withdrawals!E37)</f>
        <v/>
      </c>
      <c r="H1630" s="42" t="str">
        <f>IF(Agent09_Withdrawals!A37="","",Agent09_Withdrawals!G37)</f>
        <v/>
      </c>
      <c r="I1630" s="40" t="str">
        <f>IF(Agent09_Withdrawals!A37="","",Agent09_Withdrawals!H37)</f>
        <v/>
      </c>
      <c r="J1630" s="40" t="str">
        <f>IF(Agent09_Withdrawals!A37="","",Agent09_Withdrawals!J37)</f>
        <v/>
      </c>
      <c r="K1630" s="40" t="str">
        <f>IF(Agent09_Withdrawals!A37="","",Agent09_Withdrawals!K37)</f>
        <v/>
      </c>
      <c r="L1630" s="40" t="str">
        <f>IF(G1630="","",IF(D1630-G1630&gt;=System_Config!$B$9,"✅ OK","⚠️ BREACH"))</f>
        <v/>
      </c>
      <c r="M1630" s="40" t="str">
        <f>IFERROR(IF(Agent09_Withdrawals!A37="","",YEAR(Agent09_Withdrawals!D37)),"")</f>
        <v/>
      </c>
    </row>
    <row r="1631" spans="1:13" ht="18" customHeight="1" x14ac:dyDescent="0.25">
      <c r="A1631" s="40" t="str">
        <f>IF(Agent09_Withdrawals!A38="","",Agent09_Withdrawals!A38)</f>
        <v/>
      </c>
      <c r="B1631" s="40" t="str">
        <f ca="1">IF(Agent09_Withdrawals!A38="","","WD"&amp;TEXT(1631-3,"0000")&amp;"-"&amp;TEXT(TODAY(),"YYYYMMDD"))</f>
        <v/>
      </c>
      <c r="C1631" s="40" t="str">
        <f>IF(Agent09_Withdrawals!A38="","",Agent09_Withdrawals!B38)</f>
        <v/>
      </c>
      <c r="D1631" s="43" t="str">
        <f>IF(Agent09_Withdrawals!A38="","",Agent09_Withdrawals!C38)</f>
        <v/>
      </c>
      <c r="E1631" s="41" t="str">
        <f>IF(Agent09_Withdrawals!A38="","",Agent09_Withdrawals!D38)</f>
        <v/>
      </c>
      <c r="F1631" s="40" t="str">
        <f>IF(Agent09_Withdrawals!A38="","",Agent09_Withdrawals!F38)</f>
        <v/>
      </c>
      <c r="G1631" s="42" t="str">
        <f>IF(Agent09_Withdrawals!A38="","",Agent09_Withdrawals!E38)</f>
        <v/>
      </c>
      <c r="H1631" s="42" t="str">
        <f>IF(Agent09_Withdrawals!A38="","",Agent09_Withdrawals!G38)</f>
        <v/>
      </c>
      <c r="I1631" s="40" t="str">
        <f>IF(Agent09_Withdrawals!A38="","",Agent09_Withdrawals!H38)</f>
        <v/>
      </c>
      <c r="J1631" s="40" t="str">
        <f>IF(Agent09_Withdrawals!A38="","",Agent09_Withdrawals!J38)</f>
        <v/>
      </c>
      <c r="K1631" s="40" t="str">
        <f>IF(Agent09_Withdrawals!A38="","",Agent09_Withdrawals!K38)</f>
        <v/>
      </c>
      <c r="L1631" s="40" t="str">
        <f>IF(G1631="","",IF(D1631-G1631&gt;=System_Config!$B$9,"✅ OK","⚠️ BREACH"))</f>
        <v/>
      </c>
      <c r="M1631" s="40" t="str">
        <f>IFERROR(IF(Agent09_Withdrawals!A38="","",YEAR(Agent09_Withdrawals!D38)),"")</f>
        <v/>
      </c>
    </row>
    <row r="1632" spans="1:13" ht="18" customHeight="1" x14ac:dyDescent="0.25">
      <c r="A1632" s="40" t="str">
        <f>IF(Agent09_Withdrawals!A39="","",Agent09_Withdrawals!A39)</f>
        <v/>
      </c>
      <c r="B1632" s="40" t="str">
        <f ca="1">IF(Agent09_Withdrawals!A39="","","WD"&amp;TEXT(1632-3,"0000")&amp;"-"&amp;TEXT(TODAY(),"YYYYMMDD"))</f>
        <v/>
      </c>
      <c r="C1632" s="40" t="str">
        <f>IF(Agent09_Withdrawals!A39="","",Agent09_Withdrawals!B39)</f>
        <v/>
      </c>
      <c r="D1632" s="43" t="str">
        <f>IF(Agent09_Withdrawals!A39="","",Agent09_Withdrawals!C39)</f>
        <v/>
      </c>
      <c r="E1632" s="41" t="str">
        <f>IF(Agent09_Withdrawals!A39="","",Agent09_Withdrawals!D39)</f>
        <v/>
      </c>
      <c r="F1632" s="40" t="str">
        <f>IF(Agent09_Withdrawals!A39="","",Agent09_Withdrawals!F39)</f>
        <v/>
      </c>
      <c r="G1632" s="42" t="str">
        <f>IF(Agent09_Withdrawals!A39="","",Agent09_Withdrawals!E39)</f>
        <v/>
      </c>
      <c r="H1632" s="42" t="str">
        <f>IF(Agent09_Withdrawals!A39="","",Agent09_Withdrawals!G39)</f>
        <v/>
      </c>
      <c r="I1632" s="40" t="str">
        <f>IF(Agent09_Withdrawals!A39="","",Agent09_Withdrawals!H39)</f>
        <v/>
      </c>
      <c r="J1632" s="40" t="str">
        <f>IF(Agent09_Withdrawals!A39="","",Agent09_Withdrawals!J39)</f>
        <v/>
      </c>
      <c r="K1632" s="40" t="str">
        <f>IF(Agent09_Withdrawals!A39="","",Agent09_Withdrawals!K39)</f>
        <v/>
      </c>
      <c r="L1632" s="40" t="str">
        <f>IF(G1632="","",IF(D1632-G1632&gt;=System_Config!$B$9,"✅ OK","⚠️ BREACH"))</f>
        <v/>
      </c>
      <c r="M1632" s="40" t="str">
        <f>IFERROR(IF(Agent09_Withdrawals!A39="","",YEAR(Agent09_Withdrawals!D39)),"")</f>
        <v/>
      </c>
    </row>
    <row r="1633" spans="1:13" ht="18" customHeight="1" x14ac:dyDescent="0.25">
      <c r="A1633" s="40" t="str">
        <f>IF(Agent09_Withdrawals!A40="","",Agent09_Withdrawals!A40)</f>
        <v/>
      </c>
      <c r="B1633" s="40" t="str">
        <f ca="1">IF(Agent09_Withdrawals!A40="","","WD"&amp;TEXT(1633-3,"0000")&amp;"-"&amp;TEXT(TODAY(),"YYYYMMDD"))</f>
        <v/>
      </c>
      <c r="C1633" s="40" t="str">
        <f>IF(Agent09_Withdrawals!A40="","",Agent09_Withdrawals!B40)</f>
        <v/>
      </c>
      <c r="D1633" s="43" t="str">
        <f>IF(Agent09_Withdrawals!A40="","",Agent09_Withdrawals!C40)</f>
        <v/>
      </c>
      <c r="E1633" s="41" t="str">
        <f>IF(Agent09_Withdrawals!A40="","",Agent09_Withdrawals!D40)</f>
        <v/>
      </c>
      <c r="F1633" s="40" t="str">
        <f>IF(Agent09_Withdrawals!A40="","",Agent09_Withdrawals!F40)</f>
        <v/>
      </c>
      <c r="G1633" s="42" t="str">
        <f>IF(Agent09_Withdrawals!A40="","",Agent09_Withdrawals!E40)</f>
        <v/>
      </c>
      <c r="H1633" s="42" t="str">
        <f>IF(Agent09_Withdrawals!A40="","",Agent09_Withdrawals!G40)</f>
        <v/>
      </c>
      <c r="I1633" s="40" t="str">
        <f>IF(Agent09_Withdrawals!A40="","",Agent09_Withdrawals!H40)</f>
        <v/>
      </c>
      <c r="J1633" s="40" t="str">
        <f>IF(Agent09_Withdrawals!A40="","",Agent09_Withdrawals!J40)</f>
        <v/>
      </c>
      <c r="K1633" s="40" t="str">
        <f>IF(Agent09_Withdrawals!A40="","",Agent09_Withdrawals!K40)</f>
        <v/>
      </c>
      <c r="L1633" s="40" t="str">
        <f>IF(G1633="","",IF(D1633-G1633&gt;=System_Config!$B$9,"✅ OK","⚠️ BREACH"))</f>
        <v/>
      </c>
      <c r="M1633" s="40" t="str">
        <f>IFERROR(IF(Agent09_Withdrawals!A40="","",YEAR(Agent09_Withdrawals!D40)),"")</f>
        <v/>
      </c>
    </row>
    <row r="1634" spans="1:13" ht="18" customHeight="1" x14ac:dyDescent="0.25">
      <c r="A1634" s="40" t="str">
        <f>IF(Agent09_Withdrawals!A41="","",Agent09_Withdrawals!A41)</f>
        <v/>
      </c>
      <c r="B1634" s="40" t="str">
        <f ca="1">IF(Agent09_Withdrawals!A41="","","WD"&amp;TEXT(1634-3,"0000")&amp;"-"&amp;TEXT(TODAY(),"YYYYMMDD"))</f>
        <v/>
      </c>
      <c r="C1634" s="40" t="str">
        <f>IF(Agent09_Withdrawals!A41="","",Agent09_Withdrawals!B41)</f>
        <v/>
      </c>
      <c r="D1634" s="43" t="str">
        <f>IF(Agent09_Withdrawals!A41="","",Agent09_Withdrawals!C41)</f>
        <v/>
      </c>
      <c r="E1634" s="41" t="str">
        <f>IF(Agent09_Withdrawals!A41="","",Agent09_Withdrawals!D41)</f>
        <v/>
      </c>
      <c r="F1634" s="40" t="str">
        <f>IF(Agent09_Withdrawals!A41="","",Agent09_Withdrawals!F41)</f>
        <v/>
      </c>
      <c r="G1634" s="42" t="str">
        <f>IF(Agent09_Withdrawals!A41="","",Agent09_Withdrawals!E41)</f>
        <v/>
      </c>
      <c r="H1634" s="42" t="str">
        <f>IF(Agent09_Withdrawals!A41="","",Agent09_Withdrawals!G41)</f>
        <v/>
      </c>
      <c r="I1634" s="40" t="str">
        <f>IF(Agent09_Withdrawals!A41="","",Agent09_Withdrawals!H41)</f>
        <v/>
      </c>
      <c r="J1634" s="40" t="str">
        <f>IF(Agent09_Withdrawals!A41="","",Agent09_Withdrawals!J41)</f>
        <v/>
      </c>
      <c r="K1634" s="40" t="str">
        <f>IF(Agent09_Withdrawals!A41="","",Agent09_Withdrawals!K41)</f>
        <v/>
      </c>
      <c r="L1634" s="40" t="str">
        <f>IF(G1634="","",IF(D1634-G1634&gt;=System_Config!$B$9,"✅ OK","⚠️ BREACH"))</f>
        <v/>
      </c>
      <c r="M1634" s="40" t="str">
        <f>IFERROR(IF(Agent09_Withdrawals!A41="","",YEAR(Agent09_Withdrawals!D41)),"")</f>
        <v/>
      </c>
    </row>
    <row r="1635" spans="1:13" ht="18" customHeight="1" x14ac:dyDescent="0.25">
      <c r="A1635" s="40" t="str">
        <f>IF(Agent09_Withdrawals!A42="","",Agent09_Withdrawals!A42)</f>
        <v/>
      </c>
      <c r="B1635" s="40" t="str">
        <f ca="1">IF(Agent09_Withdrawals!A42="","","WD"&amp;TEXT(1635-3,"0000")&amp;"-"&amp;TEXT(TODAY(),"YYYYMMDD"))</f>
        <v/>
      </c>
      <c r="C1635" s="40" t="str">
        <f>IF(Agent09_Withdrawals!A42="","",Agent09_Withdrawals!B42)</f>
        <v/>
      </c>
      <c r="D1635" s="43" t="str">
        <f>IF(Agent09_Withdrawals!A42="","",Agent09_Withdrawals!C42)</f>
        <v/>
      </c>
      <c r="E1635" s="41" t="str">
        <f>IF(Agent09_Withdrawals!A42="","",Agent09_Withdrawals!D42)</f>
        <v/>
      </c>
      <c r="F1635" s="40" t="str">
        <f>IF(Agent09_Withdrawals!A42="","",Agent09_Withdrawals!F42)</f>
        <v/>
      </c>
      <c r="G1635" s="42" t="str">
        <f>IF(Agent09_Withdrawals!A42="","",Agent09_Withdrawals!E42)</f>
        <v/>
      </c>
      <c r="H1635" s="42" t="str">
        <f>IF(Agent09_Withdrawals!A42="","",Agent09_Withdrawals!G42)</f>
        <v/>
      </c>
      <c r="I1635" s="40" t="str">
        <f>IF(Agent09_Withdrawals!A42="","",Agent09_Withdrawals!H42)</f>
        <v/>
      </c>
      <c r="J1635" s="40" t="str">
        <f>IF(Agent09_Withdrawals!A42="","",Agent09_Withdrawals!J42)</f>
        <v/>
      </c>
      <c r="K1635" s="40" t="str">
        <f>IF(Agent09_Withdrawals!A42="","",Agent09_Withdrawals!K42)</f>
        <v/>
      </c>
      <c r="L1635" s="40" t="str">
        <f>IF(G1635="","",IF(D1635-G1635&gt;=System_Config!$B$9,"✅ OK","⚠️ BREACH"))</f>
        <v/>
      </c>
      <c r="M1635" s="40" t="str">
        <f>IFERROR(IF(Agent09_Withdrawals!A42="","",YEAR(Agent09_Withdrawals!D42)),"")</f>
        <v/>
      </c>
    </row>
    <row r="1636" spans="1:13" ht="18" customHeight="1" x14ac:dyDescent="0.25">
      <c r="A1636" s="40" t="str">
        <f>IF(Agent09_Withdrawals!A43="","",Agent09_Withdrawals!A43)</f>
        <v/>
      </c>
      <c r="B1636" s="40" t="str">
        <f ca="1">IF(Agent09_Withdrawals!A43="","","WD"&amp;TEXT(1636-3,"0000")&amp;"-"&amp;TEXT(TODAY(),"YYYYMMDD"))</f>
        <v/>
      </c>
      <c r="C1636" s="40" t="str">
        <f>IF(Agent09_Withdrawals!A43="","",Agent09_Withdrawals!B43)</f>
        <v/>
      </c>
      <c r="D1636" s="43" t="str">
        <f>IF(Agent09_Withdrawals!A43="","",Agent09_Withdrawals!C43)</f>
        <v/>
      </c>
      <c r="E1636" s="41" t="str">
        <f>IF(Agent09_Withdrawals!A43="","",Agent09_Withdrawals!D43)</f>
        <v/>
      </c>
      <c r="F1636" s="40" t="str">
        <f>IF(Agent09_Withdrawals!A43="","",Agent09_Withdrawals!F43)</f>
        <v/>
      </c>
      <c r="G1636" s="42" t="str">
        <f>IF(Agent09_Withdrawals!A43="","",Agent09_Withdrawals!E43)</f>
        <v/>
      </c>
      <c r="H1636" s="42" t="str">
        <f>IF(Agent09_Withdrawals!A43="","",Agent09_Withdrawals!G43)</f>
        <v/>
      </c>
      <c r="I1636" s="40" t="str">
        <f>IF(Agent09_Withdrawals!A43="","",Agent09_Withdrawals!H43)</f>
        <v/>
      </c>
      <c r="J1636" s="40" t="str">
        <f>IF(Agent09_Withdrawals!A43="","",Agent09_Withdrawals!J43)</f>
        <v/>
      </c>
      <c r="K1636" s="40" t="str">
        <f>IF(Agent09_Withdrawals!A43="","",Agent09_Withdrawals!K43)</f>
        <v/>
      </c>
      <c r="L1636" s="40" t="str">
        <f>IF(G1636="","",IF(D1636-G1636&gt;=System_Config!$B$9,"✅ OK","⚠️ BREACH"))</f>
        <v/>
      </c>
      <c r="M1636" s="40" t="str">
        <f>IFERROR(IF(Agent09_Withdrawals!A43="","",YEAR(Agent09_Withdrawals!D43)),"")</f>
        <v/>
      </c>
    </row>
    <row r="1637" spans="1:13" ht="18" customHeight="1" x14ac:dyDescent="0.25">
      <c r="A1637" s="40" t="str">
        <f>IF(Agent09_Withdrawals!A44="","",Agent09_Withdrawals!A44)</f>
        <v/>
      </c>
      <c r="B1637" s="40" t="str">
        <f ca="1">IF(Agent09_Withdrawals!A44="","","WD"&amp;TEXT(1637-3,"0000")&amp;"-"&amp;TEXT(TODAY(),"YYYYMMDD"))</f>
        <v/>
      </c>
      <c r="C1637" s="40" t="str">
        <f>IF(Agent09_Withdrawals!A44="","",Agent09_Withdrawals!B44)</f>
        <v/>
      </c>
      <c r="D1637" s="43" t="str">
        <f>IF(Agent09_Withdrawals!A44="","",Agent09_Withdrawals!C44)</f>
        <v/>
      </c>
      <c r="E1637" s="41" t="str">
        <f>IF(Agent09_Withdrawals!A44="","",Agent09_Withdrawals!D44)</f>
        <v/>
      </c>
      <c r="F1637" s="40" t="str">
        <f>IF(Agent09_Withdrawals!A44="","",Agent09_Withdrawals!F44)</f>
        <v/>
      </c>
      <c r="G1637" s="42" t="str">
        <f>IF(Agent09_Withdrawals!A44="","",Agent09_Withdrawals!E44)</f>
        <v/>
      </c>
      <c r="H1637" s="42" t="str">
        <f>IF(Agent09_Withdrawals!A44="","",Agent09_Withdrawals!G44)</f>
        <v/>
      </c>
      <c r="I1637" s="40" t="str">
        <f>IF(Agent09_Withdrawals!A44="","",Agent09_Withdrawals!H44)</f>
        <v/>
      </c>
      <c r="J1637" s="40" t="str">
        <f>IF(Agent09_Withdrawals!A44="","",Agent09_Withdrawals!J44)</f>
        <v/>
      </c>
      <c r="K1637" s="40" t="str">
        <f>IF(Agent09_Withdrawals!A44="","",Agent09_Withdrawals!K44)</f>
        <v/>
      </c>
      <c r="L1637" s="40" t="str">
        <f>IF(G1637="","",IF(D1637-G1637&gt;=System_Config!$B$9,"✅ OK","⚠️ BREACH"))</f>
        <v/>
      </c>
      <c r="M1637" s="40" t="str">
        <f>IFERROR(IF(Agent09_Withdrawals!A44="","",YEAR(Agent09_Withdrawals!D44)),"")</f>
        <v/>
      </c>
    </row>
    <row r="1638" spans="1:13" ht="18" customHeight="1" x14ac:dyDescent="0.25">
      <c r="A1638" s="40" t="str">
        <f>IF(Agent09_Withdrawals!A45="","",Agent09_Withdrawals!A45)</f>
        <v/>
      </c>
      <c r="B1638" s="40" t="str">
        <f ca="1">IF(Agent09_Withdrawals!A45="","","WD"&amp;TEXT(1638-3,"0000")&amp;"-"&amp;TEXT(TODAY(),"YYYYMMDD"))</f>
        <v/>
      </c>
      <c r="C1638" s="40" t="str">
        <f>IF(Agent09_Withdrawals!A45="","",Agent09_Withdrawals!B45)</f>
        <v/>
      </c>
      <c r="D1638" s="43" t="str">
        <f>IF(Agent09_Withdrawals!A45="","",Agent09_Withdrawals!C45)</f>
        <v/>
      </c>
      <c r="E1638" s="41" t="str">
        <f>IF(Agent09_Withdrawals!A45="","",Agent09_Withdrawals!D45)</f>
        <v/>
      </c>
      <c r="F1638" s="40" t="str">
        <f>IF(Agent09_Withdrawals!A45="","",Agent09_Withdrawals!F45)</f>
        <v/>
      </c>
      <c r="G1638" s="42" t="str">
        <f>IF(Agent09_Withdrawals!A45="","",Agent09_Withdrawals!E45)</f>
        <v/>
      </c>
      <c r="H1638" s="42" t="str">
        <f>IF(Agent09_Withdrawals!A45="","",Agent09_Withdrawals!G45)</f>
        <v/>
      </c>
      <c r="I1638" s="40" t="str">
        <f>IF(Agent09_Withdrawals!A45="","",Agent09_Withdrawals!H45)</f>
        <v/>
      </c>
      <c r="J1638" s="40" t="str">
        <f>IF(Agent09_Withdrawals!A45="","",Agent09_Withdrawals!J45)</f>
        <v/>
      </c>
      <c r="K1638" s="40" t="str">
        <f>IF(Agent09_Withdrawals!A45="","",Agent09_Withdrawals!K45)</f>
        <v/>
      </c>
      <c r="L1638" s="40" t="str">
        <f>IF(G1638="","",IF(D1638-G1638&gt;=System_Config!$B$9,"✅ OK","⚠️ BREACH"))</f>
        <v/>
      </c>
      <c r="M1638" s="40" t="str">
        <f>IFERROR(IF(Agent09_Withdrawals!A45="","",YEAR(Agent09_Withdrawals!D45)),"")</f>
        <v/>
      </c>
    </row>
    <row r="1639" spans="1:13" ht="18" customHeight="1" x14ac:dyDescent="0.25">
      <c r="A1639" s="40" t="str">
        <f>IF(Agent09_Withdrawals!A46="","",Agent09_Withdrawals!A46)</f>
        <v/>
      </c>
      <c r="B1639" s="40" t="str">
        <f ca="1">IF(Agent09_Withdrawals!A46="","","WD"&amp;TEXT(1639-3,"0000")&amp;"-"&amp;TEXT(TODAY(),"YYYYMMDD"))</f>
        <v/>
      </c>
      <c r="C1639" s="40" t="str">
        <f>IF(Agent09_Withdrawals!A46="","",Agent09_Withdrawals!B46)</f>
        <v/>
      </c>
      <c r="D1639" s="43" t="str">
        <f>IF(Agent09_Withdrawals!A46="","",Agent09_Withdrawals!C46)</f>
        <v/>
      </c>
      <c r="E1639" s="41" t="str">
        <f>IF(Agent09_Withdrawals!A46="","",Agent09_Withdrawals!D46)</f>
        <v/>
      </c>
      <c r="F1639" s="40" t="str">
        <f>IF(Agent09_Withdrawals!A46="","",Agent09_Withdrawals!F46)</f>
        <v/>
      </c>
      <c r="G1639" s="42" t="str">
        <f>IF(Agent09_Withdrawals!A46="","",Agent09_Withdrawals!E46)</f>
        <v/>
      </c>
      <c r="H1639" s="42" t="str">
        <f>IF(Agent09_Withdrawals!A46="","",Agent09_Withdrawals!G46)</f>
        <v/>
      </c>
      <c r="I1639" s="40" t="str">
        <f>IF(Agent09_Withdrawals!A46="","",Agent09_Withdrawals!H46)</f>
        <v/>
      </c>
      <c r="J1639" s="40" t="str">
        <f>IF(Agent09_Withdrawals!A46="","",Agent09_Withdrawals!J46)</f>
        <v/>
      </c>
      <c r="K1639" s="40" t="str">
        <f>IF(Agent09_Withdrawals!A46="","",Agent09_Withdrawals!K46)</f>
        <v/>
      </c>
      <c r="L1639" s="40" t="str">
        <f>IF(G1639="","",IF(D1639-G1639&gt;=System_Config!$B$9,"✅ OK","⚠️ BREACH"))</f>
        <v/>
      </c>
      <c r="M1639" s="40" t="str">
        <f>IFERROR(IF(Agent09_Withdrawals!A46="","",YEAR(Agent09_Withdrawals!D46)),"")</f>
        <v/>
      </c>
    </row>
    <row r="1640" spans="1:13" ht="18" customHeight="1" x14ac:dyDescent="0.25">
      <c r="A1640" s="40" t="str">
        <f>IF(Agent09_Withdrawals!A47="","",Agent09_Withdrawals!A47)</f>
        <v/>
      </c>
      <c r="B1640" s="40" t="str">
        <f ca="1">IF(Agent09_Withdrawals!A47="","","WD"&amp;TEXT(1640-3,"0000")&amp;"-"&amp;TEXT(TODAY(),"YYYYMMDD"))</f>
        <v/>
      </c>
      <c r="C1640" s="40" t="str">
        <f>IF(Agent09_Withdrawals!A47="","",Agent09_Withdrawals!B47)</f>
        <v/>
      </c>
      <c r="D1640" s="43" t="str">
        <f>IF(Agent09_Withdrawals!A47="","",Agent09_Withdrawals!C47)</f>
        <v/>
      </c>
      <c r="E1640" s="41" t="str">
        <f>IF(Agent09_Withdrawals!A47="","",Agent09_Withdrawals!D47)</f>
        <v/>
      </c>
      <c r="F1640" s="40" t="str">
        <f>IF(Agent09_Withdrawals!A47="","",Agent09_Withdrawals!F47)</f>
        <v/>
      </c>
      <c r="G1640" s="42" t="str">
        <f>IF(Agent09_Withdrawals!A47="","",Agent09_Withdrawals!E47)</f>
        <v/>
      </c>
      <c r="H1640" s="42" t="str">
        <f>IF(Agent09_Withdrawals!A47="","",Agent09_Withdrawals!G47)</f>
        <v/>
      </c>
      <c r="I1640" s="40" t="str">
        <f>IF(Agent09_Withdrawals!A47="","",Agent09_Withdrawals!H47)</f>
        <v/>
      </c>
      <c r="J1640" s="40" t="str">
        <f>IF(Agent09_Withdrawals!A47="","",Agent09_Withdrawals!J47)</f>
        <v/>
      </c>
      <c r="K1640" s="40" t="str">
        <f>IF(Agent09_Withdrawals!A47="","",Agent09_Withdrawals!K47)</f>
        <v/>
      </c>
      <c r="L1640" s="40" t="str">
        <f>IF(G1640="","",IF(D1640-G1640&gt;=System_Config!$B$9,"✅ OK","⚠️ BREACH"))</f>
        <v/>
      </c>
      <c r="M1640" s="40" t="str">
        <f>IFERROR(IF(Agent09_Withdrawals!A47="","",YEAR(Agent09_Withdrawals!D47)),"")</f>
        <v/>
      </c>
    </row>
    <row r="1641" spans="1:13" ht="18" customHeight="1" x14ac:dyDescent="0.25">
      <c r="A1641" s="40" t="str">
        <f>IF(Agent09_Withdrawals!A48="","",Agent09_Withdrawals!A48)</f>
        <v/>
      </c>
      <c r="B1641" s="40" t="str">
        <f ca="1">IF(Agent09_Withdrawals!A48="","","WD"&amp;TEXT(1641-3,"0000")&amp;"-"&amp;TEXT(TODAY(),"YYYYMMDD"))</f>
        <v/>
      </c>
      <c r="C1641" s="40" t="str">
        <f>IF(Agent09_Withdrawals!A48="","",Agent09_Withdrawals!B48)</f>
        <v/>
      </c>
      <c r="D1641" s="43" t="str">
        <f>IF(Agent09_Withdrawals!A48="","",Agent09_Withdrawals!C48)</f>
        <v/>
      </c>
      <c r="E1641" s="41" t="str">
        <f>IF(Agent09_Withdrawals!A48="","",Agent09_Withdrawals!D48)</f>
        <v/>
      </c>
      <c r="F1641" s="40" t="str">
        <f>IF(Agent09_Withdrawals!A48="","",Agent09_Withdrawals!F48)</f>
        <v/>
      </c>
      <c r="G1641" s="42" t="str">
        <f>IF(Agent09_Withdrawals!A48="","",Agent09_Withdrawals!E48)</f>
        <v/>
      </c>
      <c r="H1641" s="42" t="str">
        <f>IF(Agent09_Withdrawals!A48="","",Agent09_Withdrawals!G48)</f>
        <v/>
      </c>
      <c r="I1641" s="40" t="str">
        <f>IF(Agent09_Withdrawals!A48="","",Agent09_Withdrawals!H48)</f>
        <v/>
      </c>
      <c r="J1641" s="40" t="str">
        <f>IF(Agent09_Withdrawals!A48="","",Agent09_Withdrawals!J48)</f>
        <v/>
      </c>
      <c r="K1641" s="40" t="str">
        <f>IF(Agent09_Withdrawals!A48="","",Agent09_Withdrawals!K48)</f>
        <v/>
      </c>
      <c r="L1641" s="40" t="str">
        <f>IF(G1641="","",IF(D1641-G1641&gt;=System_Config!$B$9,"✅ OK","⚠️ BREACH"))</f>
        <v/>
      </c>
      <c r="M1641" s="40" t="str">
        <f>IFERROR(IF(Agent09_Withdrawals!A48="","",YEAR(Agent09_Withdrawals!D48)),"")</f>
        <v/>
      </c>
    </row>
    <row r="1642" spans="1:13" ht="18" customHeight="1" x14ac:dyDescent="0.25">
      <c r="A1642" s="40" t="str">
        <f>IF(Agent09_Withdrawals!A49="","",Agent09_Withdrawals!A49)</f>
        <v/>
      </c>
      <c r="B1642" s="40" t="str">
        <f ca="1">IF(Agent09_Withdrawals!A49="","","WD"&amp;TEXT(1642-3,"0000")&amp;"-"&amp;TEXT(TODAY(),"YYYYMMDD"))</f>
        <v/>
      </c>
      <c r="C1642" s="40" t="str">
        <f>IF(Agent09_Withdrawals!A49="","",Agent09_Withdrawals!B49)</f>
        <v/>
      </c>
      <c r="D1642" s="43" t="str">
        <f>IF(Agent09_Withdrawals!A49="","",Agent09_Withdrawals!C49)</f>
        <v/>
      </c>
      <c r="E1642" s="41" t="str">
        <f>IF(Agent09_Withdrawals!A49="","",Agent09_Withdrawals!D49)</f>
        <v/>
      </c>
      <c r="F1642" s="40" t="str">
        <f>IF(Agent09_Withdrawals!A49="","",Agent09_Withdrawals!F49)</f>
        <v/>
      </c>
      <c r="G1642" s="42" t="str">
        <f>IF(Agent09_Withdrawals!A49="","",Agent09_Withdrawals!E49)</f>
        <v/>
      </c>
      <c r="H1642" s="42" t="str">
        <f>IF(Agent09_Withdrawals!A49="","",Agent09_Withdrawals!G49)</f>
        <v/>
      </c>
      <c r="I1642" s="40" t="str">
        <f>IF(Agent09_Withdrawals!A49="","",Agent09_Withdrawals!H49)</f>
        <v/>
      </c>
      <c r="J1642" s="40" t="str">
        <f>IF(Agent09_Withdrawals!A49="","",Agent09_Withdrawals!J49)</f>
        <v/>
      </c>
      <c r="K1642" s="40" t="str">
        <f>IF(Agent09_Withdrawals!A49="","",Agent09_Withdrawals!K49)</f>
        <v/>
      </c>
      <c r="L1642" s="40" t="str">
        <f>IF(G1642="","",IF(D1642-G1642&gt;=System_Config!$B$9,"✅ OK","⚠️ BREACH"))</f>
        <v/>
      </c>
      <c r="M1642" s="40" t="str">
        <f>IFERROR(IF(Agent09_Withdrawals!A49="","",YEAR(Agent09_Withdrawals!D49)),"")</f>
        <v/>
      </c>
    </row>
    <row r="1643" spans="1:13" ht="18" customHeight="1" x14ac:dyDescent="0.25">
      <c r="A1643" s="40" t="str">
        <f>IF(Agent09_Withdrawals!A50="","",Agent09_Withdrawals!A50)</f>
        <v/>
      </c>
      <c r="B1643" s="40" t="str">
        <f ca="1">IF(Agent09_Withdrawals!A50="","","WD"&amp;TEXT(1643-3,"0000")&amp;"-"&amp;TEXT(TODAY(),"YYYYMMDD"))</f>
        <v/>
      </c>
      <c r="C1643" s="40" t="str">
        <f>IF(Agent09_Withdrawals!A50="","",Agent09_Withdrawals!B50)</f>
        <v/>
      </c>
      <c r="D1643" s="43" t="str">
        <f>IF(Agent09_Withdrawals!A50="","",Agent09_Withdrawals!C50)</f>
        <v/>
      </c>
      <c r="E1643" s="41" t="str">
        <f>IF(Agent09_Withdrawals!A50="","",Agent09_Withdrawals!D50)</f>
        <v/>
      </c>
      <c r="F1643" s="40" t="str">
        <f>IF(Agent09_Withdrawals!A50="","",Agent09_Withdrawals!F50)</f>
        <v/>
      </c>
      <c r="G1643" s="42" t="str">
        <f>IF(Agent09_Withdrawals!A50="","",Agent09_Withdrawals!E50)</f>
        <v/>
      </c>
      <c r="H1643" s="42" t="str">
        <f>IF(Agent09_Withdrawals!A50="","",Agent09_Withdrawals!G50)</f>
        <v/>
      </c>
      <c r="I1643" s="40" t="str">
        <f>IF(Agent09_Withdrawals!A50="","",Agent09_Withdrawals!H50)</f>
        <v/>
      </c>
      <c r="J1643" s="40" t="str">
        <f>IF(Agent09_Withdrawals!A50="","",Agent09_Withdrawals!J50)</f>
        <v/>
      </c>
      <c r="K1643" s="40" t="str">
        <f>IF(Agent09_Withdrawals!A50="","",Agent09_Withdrawals!K50)</f>
        <v/>
      </c>
      <c r="L1643" s="40" t="str">
        <f>IF(G1643="","",IF(D1643-G1643&gt;=System_Config!$B$9,"✅ OK","⚠️ BREACH"))</f>
        <v/>
      </c>
      <c r="M1643" s="40" t="str">
        <f>IFERROR(IF(Agent09_Withdrawals!A50="","",YEAR(Agent09_Withdrawals!D50)),"")</f>
        <v/>
      </c>
    </row>
    <row r="1644" spans="1:13" ht="18" customHeight="1" x14ac:dyDescent="0.25">
      <c r="A1644" s="40" t="str">
        <f>IF(Agent09_Withdrawals!A51="","",Agent09_Withdrawals!A51)</f>
        <v/>
      </c>
      <c r="B1644" s="40" t="str">
        <f ca="1">IF(Agent09_Withdrawals!A51="","","WD"&amp;TEXT(1644-3,"0000")&amp;"-"&amp;TEXT(TODAY(),"YYYYMMDD"))</f>
        <v/>
      </c>
      <c r="C1644" s="40" t="str">
        <f>IF(Agent09_Withdrawals!A51="","",Agent09_Withdrawals!B51)</f>
        <v/>
      </c>
      <c r="D1644" s="43" t="str">
        <f>IF(Agent09_Withdrawals!A51="","",Agent09_Withdrawals!C51)</f>
        <v/>
      </c>
      <c r="E1644" s="41" t="str">
        <f>IF(Agent09_Withdrawals!A51="","",Agent09_Withdrawals!D51)</f>
        <v/>
      </c>
      <c r="F1644" s="40" t="str">
        <f>IF(Agent09_Withdrawals!A51="","",Agent09_Withdrawals!F51)</f>
        <v/>
      </c>
      <c r="G1644" s="42" t="str">
        <f>IF(Agent09_Withdrawals!A51="","",Agent09_Withdrawals!E51)</f>
        <v/>
      </c>
      <c r="H1644" s="42" t="str">
        <f>IF(Agent09_Withdrawals!A51="","",Agent09_Withdrawals!G51)</f>
        <v/>
      </c>
      <c r="I1644" s="40" t="str">
        <f>IF(Agent09_Withdrawals!A51="","",Agent09_Withdrawals!H51)</f>
        <v/>
      </c>
      <c r="J1644" s="40" t="str">
        <f>IF(Agent09_Withdrawals!A51="","",Agent09_Withdrawals!J51)</f>
        <v/>
      </c>
      <c r="K1644" s="40" t="str">
        <f>IF(Agent09_Withdrawals!A51="","",Agent09_Withdrawals!K51)</f>
        <v/>
      </c>
      <c r="L1644" s="40" t="str">
        <f>IF(G1644="","",IF(D1644-G1644&gt;=System_Config!$B$9,"✅ OK","⚠️ BREACH"))</f>
        <v/>
      </c>
      <c r="M1644" s="40" t="str">
        <f>IFERROR(IF(Agent09_Withdrawals!A51="","",YEAR(Agent09_Withdrawals!D51)),"")</f>
        <v/>
      </c>
    </row>
    <row r="1645" spans="1:13" ht="18" customHeight="1" x14ac:dyDescent="0.25">
      <c r="A1645" s="40" t="str">
        <f>IF(Agent09_Withdrawals!A52="","",Agent09_Withdrawals!A52)</f>
        <v/>
      </c>
      <c r="B1645" s="40" t="str">
        <f ca="1">IF(Agent09_Withdrawals!A52="","","WD"&amp;TEXT(1645-3,"0000")&amp;"-"&amp;TEXT(TODAY(),"YYYYMMDD"))</f>
        <v/>
      </c>
      <c r="C1645" s="40" t="str">
        <f>IF(Agent09_Withdrawals!A52="","",Agent09_Withdrawals!B52)</f>
        <v/>
      </c>
      <c r="D1645" s="43" t="str">
        <f>IF(Agent09_Withdrawals!A52="","",Agent09_Withdrawals!C52)</f>
        <v/>
      </c>
      <c r="E1645" s="41" t="str">
        <f>IF(Agent09_Withdrawals!A52="","",Agent09_Withdrawals!D52)</f>
        <v/>
      </c>
      <c r="F1645" s="40" t="str">
        <f>IF(Agent09_Withdrawals!A52="","",Agent09_Withdrawals!F52)</f>
        <v/>
      </c>
      <c r="G1645" s="42" t="str">
        <f>IF(Agent09_Withdrawals!A52="","",Agent09_Withdrawals!E52)</f>
        <v/>
      </c>
      <c r="H1645" s="42" t="str">
        <f>IF(Agent09_Withdrawals!A52="","",Agent09_Withdrawals!G52)</f>
        <v/>
      </c>
      <c r="I1645" s="40" t="str">
        <f>IF(Agent09_Withdrawals!A52="","",Agent09_Withdrawals!H52)</f>
        <v/>
      </c>
      <c r="J1645" s="40" t="str">
        <f>IF(Agent09_Withdrawals!A52="","",Agent09_Withdrawals!J52)</f>
        <v/>
      </c>
      <c r="K1645" s="40" t="str">
        <f>IF(Agent09_Withdrawals!A52="","",Agent09_Withdrawals!K52)</f>
        <v/>
      </c>
      <c r="L1645" s="40" t="str">
        <f>IF(G1645="","",IF(D1645-G1645&gt;=System_Config!$B$9,"✅ OK","⚠️ BREACH"))</f>
        <v/>
      </c>
      <c r="M1645" s="40" t="str">
        <f>IFERROR(IF(Agent09_Withdrawals!A52="","",YEAR(Agent09_Withdrawals!D52)),"")</f>
        <v/>
      </c>
    </row>
    <row r="1646" spans="1:13" ht="18" customHeight="1" x14ac:dyDescent="0.25">
      <c r="A1646" s="40" t="str">
        <f>IF(Agent09_Withdrawals!A53="","",Agent09_Withdrawals!A53)</f>
        <v/>
      </c>
      <c r="B1646" s="40" t="str">
        <f ca="1">IF(Agent09_Withdrawals!A53="","","WD"&amp;TEXT(1646-3,"0000")&amp;"-"&amp;TEXT(TODAY(),"YYYYMMDD"))</f>
        <v/>
      </c>
      <c r="C1646" s="40" t="str">
        <f>IF(Agent09_Withdrawals!A53="","",Agent09_Withdrawals!B53)</f>
        <v/>
      </c>
      <c r="D1646" s="43" t="str">
        <f>IF(Agent09_Withdrawals!A53="","",Agent09_Withdrawals!C53)</f>
        <v/>
      </c>
      <c r="E1646" s="41" t="str">
        <f>IF(Agent09_Withdrawals!A53="","",Agent09_Withdrawals!D53)</f>
        <v/>
      </c>
      <c r="F1646" s="40" t="str">
        <f>IF(Agent09_Withdrawals!A53="","",Agent09_Withdrawals!F53)</f>
        <v/>
      </c>
      <c r="G1646" s="42" t="str">
        <f>IF(Agent09_Withdrawals!A53="","",Agent09_Withdrawals!E53)</f>
        <v/>
      </c>
      <c r="H1646" s="42" t="str">
        <f>IF(Agent09_Withdrawals!A53="","",Agent09_Withdrawals!G53)</f>
        <v/>
      </c>
      <c r="I1646" s="40" t="str">
        <f>IF(Agent09_Withdrawals!A53="","",Agent09_Withdrawals!H53)</f>
        <v/>
      </c>
      <c r="J1646" s="40" t="str">
        <f>IF(Agent09_Withdrawals!A53="","",Agent09_Withdrawals!J53)</f>
        <v/>
      </c>
      <c r="K1646" s="40" t="str">
        <f>IF(Agent09_Withdrawals!A53="","",Agent09_Withdrawals!K53)</f>
        <v/>
      </c>
      <c r="L1646" s="40" t="str">
        <f>IF(G1646="","",IF(D1646-G1646&gt;=System_Config!$B$9,"✅ OK","⚠️ BREACH"))</f>
        <v/>
      </c>
      <c r="M1646" s="40" t="str">
        <f>IFERROR(IF(Agent09_Withdrawals!A53="","",YEAR(Agent09_Withdrawals!D53)),"")</f>
        <v/>
      </c>
    </row>
    <row r="1647" spans="1:13" ht="18" customHeight="1" x14ac:dyDescent="0.25">
      <c r="A1647" s="40" t="str">
        <f>IF(Agent09_Withdrawals!A54="","",Agent09_Withdrawals!A54)</f>
        <v/>
      </c>
      <c r="B1647" s="40" t="str">
        <f ca="1">IF(Agent09_Withdrawals!A54="","","WD"&amp;TEXT(1647-3,"0000")&amp;"-"&amp;TEXT(TODAY(),"YYYYMMDD"))</f>
        <v/>
      </c>
      <c r="C1647" s="40" t="str">
        <f>IF(Agent09_Withdrawals!A54="","",Agent09_Withdrawals!B54)</f>
        <v/>
      </c>
      <c r="D1647" s="43" t="str">
        <f>IF(Agent09_Withdrawals!A54="","",Agent09_Withdrawals!C54)</f>
        <v/>
      </c>
      <c r="E1647" s="41" t="str">
        <f>IF(Agent09_Withdrawals!A54="","",Agent09_Withdrawals!D54)</f>
        <v/>
      </c>
      <c r="F1647" s="40" t="str">
        <f>IF(Agent09_Withdrawals!A54="","",Agent09_Withdrawals!F54)</f>
        <v/>
      </c>
      <c r="G1647" s="42" t="str">
        <f>IF(Agent09_Withdrawals!A54="","",Agent09_Withdrawals!E54)</f>
        <v/>
      </c>
      <c r="H1647" s="42" t="str">
        <f>IF(Agent09_Withdrawals!A54="","",Agent09_Withdrawals!G54)</f>
        <v/>
      </c>
      <c r="I1647" s="40" t="str">
        <f>IF(Agent09_Withdrawals!A54="","",Agent09_Withdrawals!H54)</f>
        <v/>
      </c>
      <c r="J1647" s="40" t="str">
        <f>IF(Agent09_Withdrawals!A54="","",Agent09_Withdrawals!J54)</f>
        <v/>
      </c>
      <c r="K1647" s="40" t="str">
        <f>IF(Agent09_Withdrawals!A54="","",Agent09_Withdrawals!K54)</f>
        <v/>
      </c>
      <c r="L1647" s="40" t="str">
        <f>IF(G1647="","",IF(D1647-G1647&gt;=System_Config!$B$9,"✅ OK","⚠️ BREACH"))</f>
        <v/>
      </c>
      <c r="M1647" s="40" t="str">
        <f>IFERROR(IF(Agent09_Withdrawals!A54="","",YEAR(Agent09_Withdrawals!D54)),"")</f>
        <v/>
      </c>
    </row>
    <row r="1648" spans="1:13" ht="18" customHeight="1" x14ac:dyDescent="0.25">
      <c r="A1648" s="40" t="str">
        <f>IF(Agent09_Withdrawals!A55="","",Agent09_Withdrawals!A55)</f>
        <v/>
      </c>
      <c r="B1648" s="40" t="str">
        <f ca="1">IF(Agent09_Withdrawals!A55="","","WD"&amp;TEXT(1648-3,"0000")&amp;"-"&amp;TEXT(TODAY(),"YYYYMMDD"))</f>
        <v/>
      </c>
      <c r="C1648" s="40" t="str">
        <f>IF(Agent09_Withdrawals!A55="","",Agent09_Withdrawals!B55)</f>
        <v/>
      </c>
      <c r="D1648" s="43" t="str">
        <f>IF(Agent09_Withdrawals!A55="","",Agent09_Withdrawals!C55)</f>
        <v/>
      </c>
      <c r="E1648" s="41" t="str">
        <f>IF(Agent09_Withdrawals!A55="","",Agent09_Withdrawals!D55)</f>
        <v/>
      </c>
      <c r="F1648" s="40" t="str">
        <f>IF(Agent09_Withdrawals!A55="","",Agent09_Withdrawals!F55)</f>
        <v/>
      </c>
      <c r="G1648" s="42" t="str">
        <f>IF(Agent09_Withdrawals!A55="","",Agent09_Withdrawals!E55)</f>
        <v/>
      </c>
      <c r="H1648" s="42" t="str">
        <f>IF(Agent09_Withdrawals!A55="","",Agent09_Withdrawals!G55)</f>
        <v/>
      </c>
      <c r="I1648" s="40" t="str">
        <f>IF(Agent09_Withdrawals!A55="","",Agent09_Withdrawals!H55)</f>
        <v/>
      </c>
      <c r="J1648" s="40" t="str">
        <f>IF(Agent09_Withdrawals!A55="","",Agent09_Withdrawals!J55)</f>
        <v/>
      </c>
      <c r="K1648" s="40" t="str">
        <f>IF(Agent09_Withdrawals!A55="","",Agent09_Withdrawals!K55)</f>
        <v/>
      </c>
      <c r="L1648" s="40" t="str">
        <f>IF(G1648="","",IF(D1648-G1648&gt;=System_Config!$B$9,"✅ OK","⚠️ BREACH"))</f>
        <v/>
      </c>
      <c r="M1648" s="40" t="str">
        <f>IFERROR(IF(Agent09_Withdrawals!A55="","",YEAR(Agent09_Withdrawals!D55)),"")</f>
        <v/>
      </c>
    </row>
    <row r="1649" spans="1:13" ht="18" customHeight="1" x14ac:dyDescent="0.25">
      <c r="A1649" s="40" t="str">
        <f>IF(Agent09_Withdrawals!A56="","",Agent09_Withdrawals!A56)</f>
        <v/>
      </c>
      <c r="B1649" s="40" t="str">
        <f ca="1">IF(Agent09_Withdrawals!A56="","","WD"&amp;TEXT(1649-3,"0000")&amp;"-"&amp;TEXT(TODAY(),"YYYYMMDD"))</f>
        <v/>
      </c>
      <c r="C1649" s="40" t="str">
        <f>IF(Agent09_Withdrawals!A56="","",Agent09_Withdrawals!B56)</f>
        <v/>
      </c>
      <c r="D1649" s="43" t="str">
        <f>IF(Agent09_Withdrawals!A56="","",Agent09_Withdrawals!C56)</f>
        <v/>
      </c>
      <c r="E1649" s="41" t="str">
        <f>IF(Agent09_Withdrawals!A56="","",Agent09_Withdrawals!D56)</f>
        <v/>
      </c>
      <c r="F1649" s="40" t="str">
        <f>IF(Agent09_Withdrawals!A56="","",Agent09_Withdrawals!F56)</f>
        <v/>
      </c>
      <c r="G1649" s="42" t="str">
        <f>IF(Agent09_Withdrawals!A56="","",Agent09_Withdrawals!E56)</f>
        <v/>
      </c>
      <c r="H1649" s="42" t="str">
        <f>IF(Agent09_Withdrawals!A56="","",Agent09_Withdrawals!G56)</f>
        <v/>
      </c>
      <c r="I1649" s="40" t="str">
        <f>IF(Agent09_Withdrawals!A56="","",Agent09_Withdrawals!H56)</f>
        <v/>
      </c>
      <c r="J1649" s="40" t="str">
        <f>IF(Agent09_Withdrawals!A56="","",Agent09_Withdrawals!J56)</f>
        <v/>
      </c>
      <c r="K1649" s="40" t="str">
        <f>IF(Agent09_Withdrawals!A56="","",Agent09_Withdrawals!K56)</f>
        <v/>
      </c>
      <c r="L1649" s="40" t="str">
        <f>IF(G1649="","",IF(D1649-G1649&gt;=System_Config!$B$9,"✅ OK","⚠️ BREACH"))</f>
        <v/>
      </c>
      <c r="M1649" s="40" t="str">
        <f>IFERROR(IF(Agent09_Withdrawals!A56="","",YEAR(Agent09_Withdrawals!D56)),"")</f>
        <v/>
      </c>
    </row>
    <row r="1650" spans="1:13" ht="18" customHeight="1" x14ac:dyDescent="0.25">
      <c r="A1650" s="40" t="str">
        <f>IF(Agent09_Withdrawals!A57="","",Agent09_Withdrawals!A57)</f>
        <v/>
      </c>
      <c r="B1650" s="40" t="str">
        <f ca="1">IF(Agent09_Withdrawals!A57="","","WD"&amp;TEXT(1650-3,"0000")&amp;"-"&amp;TEXT(TODAY(),"YYYYMMDD"))</f>
        <v/>
      </c>
      <c r="C1650" s="40" t="str">
        <f>IF(Agent09_Withdrawals!A57="","",Agent09_Withdrawals!B57)</f>
        <v/>
      </c>
      <c r="D1650" s="43" t="str">
        <f>IF(Agent09_Withdrawals!A57="","",Agent09_Withdrawals!C57)</f>
        <v/>
      </c>
      <c r="E1650" s="41" t="str">
        <f>IF(Agent09_Withdrawals!A57="","",Agent09_Withdrawals!D57)</f>
        <v/>
      </c>
      <c r="F1650" s="40" t="str">
        <f>IF(Agent09_Withdrawals!A57="","",Agent09_Withdrawals!F57)</f>
        <v/>
      </c>
      <c r="G1650" s="42" t="str">
        <f>IF(Agent09_Withdrawals!A57="","",Agent09_Withdrawals!E57)</f>
        <v/>
      </c>
      <c r="H1650" s="42" t="str">
        <f>IF(Agent09_Withdrawals!A57="","",Agent09_Withdrawals!G57)</f>
        <v/>
      </c>
      <c r="I1650" s="40" t="str">
        <f>IF(Agent09_Withdrawals!A57="","",Agent09_Withdrawals!H57)</f>
        <v/>
      </c>
      <c r="J1650" s="40" t="str">
        <f>IF(Agent09_Withdrawals!A57="","",Agent09_Withdrawals!J57)</f>
        <v/>
      </c>
      <c r="K1650" s="40" t="str">
        <f>IF(Agent09_Withdrawals!A57="","",Agent09_Withdrawals!K57)</f>
        <v/>
      </c>
      <c r="L1650" s="40" t="str">
        <f>IF(G1650="","",IF(D1650-G1650&gt;=System_Config!$B$9,"✅ OK","⚠️ BREACH"))</f>
        <v/>
      </c>
      <c r="M1650" s="40" t="str">
        <f>IFERROR(IF(Agent09_Withdrawals!A57="","",YEAR(Agent09_Withdrawals!D57)),"")</f>
        <v/>
      </c>
    </row>
    <row r="1651" spans="1:13" ht="18" customHeight="1" x14ac:dyDescent="0.25">
      <c r="A1651" s="40" t="str">
        <f>IF(Agent09_Withdrawals!A58="","",Agent09_Withdrawals!A58)</f>
        <v/>
      </c>
      <c r="B1651" s="40" t="str">
        <f ca="1">IF(Agent09_Withdrawals!A58="","","WD"&amp;TEXT(1651-3,"0000")&amp;"-"&amp;TEXT(TODAY(),"YYYYMMDD"))</f>
        <v/>
      </c>
      <c r="C1651" s="40" t="str">
        <f>IF(Agent09_Withdrawals!A58="","",Agent09_Withdrawals!B58)</f>
        <v/>
      </c>
      <c r="D1651" s="43" t="str">
        <f>IF(Agent09_Withdrawals!A58="","",Agent09_Withdrawals!C58)</f>
        <v/>
      </c>
      <c r="E1651" s="41" t="str">
        <f>IF(Agent09_Withdrawals!A58="","",Agent09_Withdrawals!D58)</f>
        <v/>
      </c>
      <c r="F1651" s="40" t="str">
        <f>IF(Agent09_Withdrawals!A58="","",Agent09_Withdrawals!F58)</f>
        <v/>
      </c>
      <c r="G1651" s="42" t="str">
        <f>IF(Agent09_Withdrawals!A58="","",Agent09_Withdrawals!E58)</f>
        <v/>
      </c>
      <c r="H1651" s="42" t="str">
        <f>IF(Agent09_Withdrawals!A58="","",Agent09_Withdrawals!G58)</f>
        <v/>
      </c>
      <c r="I1651" s="40" t="str">
        <f>IF(Agent09_Withdrawals!A58="","",Agent09_Withdrawals!H58)</f>
        <v/>
      </c>
      <c r="J1651" s="40" t="str">
        <f>IF(Agent09_Withdrawals!A58="","",Agent09_Withdrawals!J58)</f>
        <v/>
      </c>
      <c r="K1651" s="40" t="str">
        <f>IF(Agent09_Withdrawals!A58="","",Agent09_Withdrawals!K58)</f>
        <v/>
      </c>
      <c r="L1651" s="40" t="str">
        <f>IF(G1651="","",IF(D1651-G1651&gt;=System_Config!$B$9,"✅ OK","⚠️ BREACH"))</f>
        <v/>
      </c>
      <c r="M1651" s="40" t="str">
        <f>IFERROR(IF(Agent09_Withdrawals!A58="","",YEAR(Agent09_Withdrawals!D58)),"")</f>
        <v/>
      </c>
    </row>
    <row r="1652" spans="1:13" ht="18" customHeight="1" x14ac:dyDescent="0.25">
      <c r="A1652" s="40" t="str">
        <f>IF(Agent09_Withdrawals!A59="","",Agent09_Withdrawals!A59)</f>
        <v/>
      </c>
      <c r="B1652" s="40" t="str">
        <f ca="1">IF(Agent09_Withdrawals!A59="","","WD"&amp;TEXT(1652-3,"0000")&amp;"-"&amp;TEXT(TODAY(),"YYYYMMDD"))</f>
        <v/>
      </c>
      <c r="C1652" s="40" t="str">
        <f>IF(Agent09_Withdrawals!A59="","",Agent09_Withdrawals!B59)</f>
        <v/>
      </c>
      <c r="D1652" s="43" t="str">
        <f>IF(Agent09_Withdrawals!A59="","",Agent09_Withdrawals!C59)</f>
        <v/>
      </c>
      <c r="E1652" s="41" t="str">
        <f>IF(Agent09_Withdrawals!A59="","",Agent09_Withdrawals!D59)</f>
        <v/>
      </c>
      <c r="F1652" s="40" t="str">
        <f>IF(Agent09_Withdrawals!A59="","",Agent09_Withdrawals!F59)</f>
        <v/>
      </c>
      <c r="G1652" s="42" t="str">
        <f>IF(Agent09_Withdrawals!A59="","",Agent09_Withdrawals!E59)</f>
        <v/>
      </c>
      <c r="H1652" s="42" t="str">
        <f>IF(Agent09_Withdrawals!A59="","",Agent09_Withdrawals!G59)</f>
        <v/>
      </c>
      <c r="I1652" s="40" t="str">
        <f>IF(Agent09_Withdrawals!A59="","",Agent09_Withdrawals!H59)</f>
        <v/>
      </c>
      <c r="J1652" s="40" t="str">
        <f>IF(Agent09_Withdrawals!A59="","",Agent09_Withdrawals!J59)</f>
        <v/>
      </c>
      <c r="K1652" s="40" t="str">
        <f>IF(Agent09_Withdrawals!A59="","",Agent09_Withdrawals!K59)</f>
        <v/>
      </c>
      <c r="L1652" s="40" t="str">
        <f>IF(G1652="","",IF(D1652-G1652&gt;=System_Config!$B$9,"✅ OK","⚠️ BREACH"))</f>
        <v/>
      </c>
      <c r="M1652" s="40" t="str">
        <f>IFERROR(IF(Agent09_Withdrawals!A59="","",YEAR(Agent09_Withdrawals!D59)),"")</f>
        <v/>
      </c>
    </row>
    <row r="1653" spans="1:13" ht="18" customHeight="1" x14ac:dyDescent="0.25">
      <c r="A1653" s="40" t="str">
        <f>IF(Agent09_Withdrawals!A60="","",Agent09_Withdrawals!A60)</f>
        <v/>
      </c>
      <c r="B1653" s="40" t="str">
        <f ca="1">IF(Agent09_Withdrawals!A60="","","WD"&amp;TEXT(1653-3,"0000")&amp;"-"&amp;TEXT(TODAY(),"YYYYMMDD"))</f>
        <v/>
      </c>
      <c r="C1653" s="40" t="str">
        <f>IF(Agent09_Withdrawals!A60="","",Agent09_Withdrawals!B60)</f>
        <v/>
      </c>
      <c r="D1653" s="43" t="str">
        <f>IF(Agent09_Withdrawals!A60="","",Agent09_Withdrawals!C60)</f>
        <v/>
      </c>
      <c r="E1653" s="41" t="str">
        <f>IF(Agent09_Withdrawals!A60="","",Agent09_Withdrawals!D60)</f>
        <v/>
      </c>
      <c r="F1653" s="40" t="str">
        <f>IF(Agent09_Withdrawals!A60="","",Agent09_Withdrawals!F60)</f>
        <v/>
      </c>
      <c r="G1653" s="42" t="str">
        <f>IF(Agent09_Withdrawals!A60="","",Agent09_Withdrawals!E60)</f>
        <v/>
      </c>
      <c r="H1653" s="42" t="str">
        <f>IF(Agent09_Withdrawals!A60="","",Agent09_Withdrawals!G60)</f>
        <v/>
      </c>
      <c r="I1653" s="40" t="str">
        <f>IF(Agent09_Withdrawals!A60="","",Agent09_Withdrawals!H60)</f>
        <v/>
      </c>
      <c r="J1653" s="40" t="str">
        <f>IF(Agent09_Withdrawals!A60="","",Agent09_Withdrawals!J60)</f>
        <v/>
      </c>
      <c r="K1653" s="40" t="str">
        <f>IF(Agent09_Withdrawals!A60="","",Agent09_Withdrawals!K60)</f>
        <v/>
      </c>
      <c r="L1653" s="40" t="str">
        <f>IF(G1653="","",IF(D1653-G1653&gt;=System_Config!$B$9,"✅ OK","⚠️ BREACH"))</f>
        <v/>
      </c>
      <c r="M1653" s="40" t="str">
        <f>IFERROR(IF(Agent09_Withdrawals!A60="","",YEAR(Agent09_Withdrawals!D60)),"")</f>
        <v/>
      </c>
    </row>
    <row r="1654" spans="1:13" ht="18" customHeight="1" x14ac:dyDescent="0.25">
      <c r="A1654" s="40" t="str">
        <f>IF(Agent09_Withdrawals!A61="","",Agent09_Withdrawals!A61)</f>
        <v/>
      </c>
      <c r="B1654" s="40" t="str">
        <f ca="1">IF(Agent09_Withdrawals!A61="","","WD"&amp;TEXT(1654-3,"0000")&amp;"-"&amp;TEXT(TODAY(),"YYYYMMDD"))</f>
        <v/>
      </c>
      <c r="C1654" s="40" t="str">
        <f>IF(Agent09_Withdrawals!A61="","",Agent09_Withdrawals!B61)</f>
        <v/>
      </c>
      <c r="D1654" s="43" t="str">
        <f>IF(Agent09_Withdrawals!A61="","",Agent09_Withdrawals!C61)</f>
        <v/>
      </c>
      <c r="E1654" s="41" t="str">
        <f>IF(Agent09_Withdrawals!A61="","",Agent09_Withdrawals!D61)</f>
        <v/>
      </c>
      <c r="F1654" s="40" t="str">
        <f>IF(Agent09_Withdrawals!A61="","",Agent09_Withdrawals!F61)</f>
        <v/>
      </c>
      <c r="G1654" s="42" t="str">
        <f>IF(Agent09_Withdrawals!A61="","",Agent09_Withdrawals!E61)</f>
        <v/>
      </c>
      <c r="H1654" s="42" t="str">
        <f>IF(Agent09_Withdrawals!A61="","",Agent09_Withdrawals!G61)</f>
        <v/>
      </c>
      <c r="I1654" s="40" t="str">
        <f>IF(Agent09_Withdrawals!A61="","",Agent09_Withdrawals!H61)</f>
        <v/>
      </c>
      <c r="J1654" s="40" t="str">
        <f>IF(Agent09_Withdrawals!A61="","",Agent09_Withdrawals!J61)</f>
        <v/>
      </c>
      <c r="K1654" s="40" t="str">
        <f>IF(Agent09_Withdrawals!A61="","",Agent09_Withdrawals!K61)</f>
        <v/>
      </c>
      <c r="L1654" s="40" t="str">
        <f>IF(G1654="","",IF(D1654-G1654&gt;=System_Config!$B$9,"✅ OK","⚠️ BREACH"))</f>
        <v/>
      </c>
      <c r="M1654" s="40" t="str">
        <f>IFERROR(IF(Agent09_Withdrawals!A61="","",YEAR(Agent09_Withdrawals!D61)),"")</f>
        <v/>
      </c>
    </row>
    <row r="1655" spans="1:13" ht="18" customHeight="1" x14ac:dyDescent="0.25">
      <c r="A1655" s="40" t="str">
        <f>IF(Agent09_Withdrawals!A62="","",Agent09_Withdrawals!A62)</f>
        <v/>
      </c>
      <c r="B1655" s="40" t="str">
        <f ca="1">IF(Agent09_Withdrawals!A62="","","WD"&amp;TEXT(1655-3,"0000")&amp;"-"&amp;TEXT(TODAY(),"YYYYMMDD"))</f>
        <v/>
      </c>
      <c r="C1655" s="40" t="str">
        <f>IF(Agent09_Withdrawals!A62="","",Agent09_Withdrawals!B62)</f>
        <v/>
      </c>
      <c r="D1655" s="43" t="str">
        <f>IF(Agent09_Withdrawals!A62="","",Agent09_Withdrawals!C62)</f>
        <v/>
      </c>
      <c r="E1655" s="41" t="str">
        <f>IF(Agent09_Withdrawals!A62="","",Agent09_Withdrawals!D62)</f>
        <v/>
      </c>
      <c r="F1655" s="40" t="str">
        <f>IF(Agent09_Withdrawals!A62="","",Agent09_Withdrawals!F62)</f>
        <v/>
      </c>
      <c r="G1655" s="42" t="str">
        <f>IF(Agent09_Withdrawals!A62="","",Agent09_Withdrawals!E62)</f>
        <v/>
      </c>
      <c r="H1655" s="42" t="str">
        <f>IF(Agent09_Withdrawals!A62="","",Agent09_Withdrawals!G62)</f>
        <v/>
      </c>
      <c r="I1655" s="40" t="str">
        <f>IF(Agent09_Withdrawals!A62="","",Agent09_Withdrawals!H62)</f>
        <v/>
      </c>
      <c r="J1655" s="40" t="str">
        <f>IF(Agent09_Withdrawals!A62="","",Agent09_Withdrawals!J62)</f>
        <v/>
      </c>
      <c r="K1655" s="40" t="str">
        <f>IF(Agent09_Withdrawals!A62="","",Agent09_Withdrawals!K62)</f>
        <v/>
      </c>
      <c r="L1655" s="40" t="str">
        <f>IF(G1655="","",IF(D1655-G1655&gt;=System_Config!$B$9,"✅ OK","⚠️ BREACH"))</f>
        <v/>
      </c>
      <c r="M1655" s="40" t="str">
        <f>IFERROR(IF(Agent09_Withdrawals!A62="","",YEAR(Agent09_Withdrawals!D62)),"")</f>
        <v/>
      </c>
    </row>
    <row r="1656" spans="1:13" ht="18" customHeight="1" x14ac:dyDescent="0.25">
      <c r="A1656" s="40" t="str">
        <f>IF(Agent09_Withdrawals!A63="","",Agent09_Withdrawals!A63)</f>
        <v/>
      </c>
      <c r="B1656" s="40" t="str">
        <f ca="1">IF(Agent09_Withdrawals!A63="","","WD"&amp;TEXT(1656-3,"0000")&amp;"-"&amp;TEXT(TODAY(),"YYYYMMDD"))</f>
        <v/>
      </c>
      <c r="C1656" s="40" t="str">
        <f>IF(Agent09_Withdrawals!A63="","",Agent09_Withdrawals!B63)</f>
        <v/>
      </c>
      <c r="D1656" s="43" t="str">
        <f>IF(Agent09_Withdrawals!A63="","",Agent09_Withdrawals!C63)</f>
        <v/>
      </c>
      <c r="E1656" s="41" t="str">
        <f>IF(Agent09_Withdrawals!A63="","",Agent09_Withdrawals!D63)</f>
        <v/>
      </c>
      <c r="F1656" s="40" t="str">
        <f>IF(Agent09_Withdrawals!A63="","",Agent09_Withdrawals!F63)</f>
        <v/>
      </c>
      <c r="G1656" s="42" t="str">
        <f>IF(Agent09_Withdrawals!A63="","",Agent09_Withdrawals!E63)</f>
        <v/>
      </c>
      <c r="H1656" s="42" t="str">
        <f>IF(Agent09_Withdrawals!A63="","",Agent09_Withdrawals!G63)</f>
        <v/>
      </c>
      <c r="I1656" s="40" t="str">
        <f>IF(Agent09_Withdrawals!A63="","",Agent09_Withdrawals!H63)</f>
        <v/>
      </c>
      <c r="J1656" s="40" t="str">
        <f>IF(Agent09_Withdrawals!A63="","",Agent09_Withdrawals!J63)</f>
        <v/>
      </c>
      <c r="K1656" s="40" t="str">
        <f>IF(Agent09_Withdrawals!A63="","",Agent09_Withdrawals!K63)</f>
        <v/>
      </c>
      <c r="L1656" s="40" t="str">
        <f>IF(G1656="","",IF(D1656-G1656&gt;=System_Config!$B$9,"✅ OK","⚠️ BREACH"))</f>
        <v/>
      </c>
      <c r="M1656" s="40" t="str">
        <f>IFERROR(IF(Agent09_Withdrawals!A63="","",YEAR(Agent09_Withdrawals!D63)),"")</f>
        <v/>
      </c>
    </row>
    <row r="1657" spans="1:13" ht="18" customHeight="1" x14ac:dyDescent="0.25">
      <c r="A1657" s="40" t="str">
        <f>IF(Agent09_Withdrawals!A64="","",Agent09_Withdrawals!A64)</f>
        <v/>
      </c>
      <c r="B1657" s="40" t="str">
        <f ca="1">IF(Agent09_Withdrawals!A64="","","WD"&amp;TEXT(1657-3,"0000")&amp;"-"&amp;TEXT(TODAY(),"YYYYMMDD"))</f>
        <v/>
      </c>
      <c r="C1657" s="40" t="str">
        <f>IF(Agent09_Withdrawals!A64="","",Agent09_Withdrawals!B64)</f>
        <v/>
      </c>
      <c r="D1657" s="43" t="str">
        <f>IF(Agent09_Withdrawals!A64="","",Agent09_Withdrawals!C64)</f>
        <v/>
      </c>
      <c r="E1657" s="41" t="str">
        <f>IF(Agent09_Withdrawals!A64="","",Agent09_Withdrawals!D64)</f>
        <v/>
      </c>
      <c r="F1657" s="40" t="str">
        <f>IF(Agent09_Withdrawals!A64="","",Agent09_Withdrawals!F64)</f>
        <v/>
      </c>
      <c r="G1657" s="42" t="str">
        <f>IF(Agent09_Withdrawals!A64="","",Agent09_Withdrawals!E64)</f>
        <v/>
      </c>
      <c r="H1657" s="42" t="str">
        <f>IF(Agent09_Withdrawals!A64="","",Agent09_Withdrawals!G64)</f>
        <v/>
      </c>
      <c r="I1657" s="40" t="str">
        <f>IF(Agent09_Withdrawals!A64="","",Agent09_Withdrawals!H64)</f>
        <v/>
      </c>
      <c r="J1657" s="40" t="str">
        <f>IF(Agent09_Withdrawals!A64="","",Agent09_Withdrawals!J64)</f>
        <v/>
      </c>
      <c r="K1657" s="40" t="str">
        <f>IF(Agent09_Withdrawals!A64="","",Agent09_Withdrawals!K64)</f>
        <v/>
      </c>
      <c r="L1657" s="40" t="str">
        <f>IF(G1657="","",IF(D1657-G1657&gt;=System_Config!$B$9,"✅ OK","⚠️ BREACH"))</f>
        <v/>
      </c>
      <c r="M1657" s="40" t="str">
        <f>IFERROR(IF(Agent09_Withdrawals!A64="","",YEAR(Agent09_Withdrawals!D64)),"")</f>
        <v/>
      </c>
    </row>
    <row r="1658" spans="1:13" ht="18" customHeight="1" x14ac:dyDescent="0.25">
      <c r="A1658" s="40" t="str">
        <f>IF(Agent09_Withdrawals!A65="","",Agent09_Withdrawals!A65)</f>
        <v/>
      </c>
      <c r="B1658" s="40" t="str">
        <f ca="1">IF(Agent09_Withdrawals!A65="","","WD"&amp;TEXT(1658-3,"0000")&amp;"-"&amp;TEXT(TODAY(),"YYYYMMDD"))</f>
        <v/>
      </c>
      <c r="C1658" s="40" t="str">
        <f>IF(Agent09_Withdrawals!A65="","",Agent09_Withdrawals!B65)</f>
        <v/>
      </c>
      <c r="D1658" s="43" t="str">
        <f>IF(Agent09_Withdrawals!A65="","",Agent09_Withdrawals!C65)</f>
        <v/>
      </c>
      <c r="E1658" s="41" t="str">
        <f>IF(Agent09_Withdrawals!A65="","",Agent09_Withdrawals!D65)</f>
        <v/>
      </c>
      <c r="F1658" s="40" t="str">
        <f>IF(Agent09_Withdrawals!A65="","",Agent09_Withdrawals!F65)</f>
        <v/>
      </c>
      <c r="G1658" s="42" t="str">
        <f>IF(Agent09_Withdrawals!A65="","",Agent09_Withdrawals!E65)</f>
        <v/>
      </c>
      <c r="H1658" s="42" t="str">
        <f>IF(Agent09_Withdrawals!A65="","",Agent09_Withdrawals!G65)</f>
        <v/>
      </c>
      <c r="I1658" s="40" t="str">
        <f>IF(Agent09_Withdrawals!A65="","",Agent09_Withdrawals!H65)</f>
        <v/>
      </c>
      <c r="J1658" s="40" t="str">
        <f>IF(Agent09_Withdrawals!A65="","",Agent09_Withdrawals!J65)</f>
        <v/>
      </c>
      <c r="K1658" s="40" t="str">
        <f>IF(Agent09_Withdrawals!A65="","",Agent09_Withdrawals!K65)</f>
        <v/>
      </c>
      <c r="L1658" s="40" t="str">
        <f>IF(G1658="","",IF(D1658-G1658&gt;=System_Config!$B$9,"✅ OK","⚠️ BREACH"))</f>
        <v/>
      </c>
      <c r="M1658" s="40" t="str">
        <f>IFERROR(IF(Agent09_Withdrawals!A65="","",YEAR(Agent09_Withdrawals!D65)),"")</f>
        <v/>
      </c>
    </row>
    <row r="1659" spans="1:13" ht="18" customHeight="1" x14ac:dyDescent="0.25">
      <c r="A1659" s="40" t="str">
        <f>IF(Agent09_Withdrawals!A66="","",Agent09_Withdrawals!A66)</f>
        <v/>
      </c>
      <c r="B1659" s="40" t="str">
        <f ca="1">IF(Agent09_Withdrawals!A66="","","WD"&amp;TEXT(1659-3,"0000")&amp;"-"&amp;TEXT(TODAY(),"YYYYMMDD"))</f>
        <v/>
      </c>
      <c r="C1659" s="40" t="str">
        <f>IF(Agent09_Withdrawals!A66="","",Agent09_Withdrawals!B66)</f>
        <v/>
      </c>
      <c r="D1659" s="43" t="str">
        <f>IF(Agent09_Withdrawals!A66="","",Agent09_Withdrawals!C66)</f>
        <v/>
      </c>
      <c r="E1659" s="41" t="str">
        <f>IF(Agent09_Withdrawals!A66="","",Agent09_Withdrawals!D66)</f>
        <v/>
      </c>
      <c r="F1659" s="40" t="str">
        <f>IF(Agent09_Withdrawals!A66="","",Agent09_Withdrawals!F66)</f>
        <v/>
      </c>
      <c r="G1659" s="42" t="str">
        <f>IF(Agent09_Withdrawals!A66="","",Agent09_Withdrawals!E66)</f>
        <v/>
      </c>
      <c r="H1659" s="42" t="str">
        <f>IF(Agent09_Withdrawals!A66="","",Agent09_Withdrawals!G66)</f>
        <v/>
      </c>
      <c r="I1659" s="40" t="str">
        <f>IF(Agent09_Withdrawals!A66="","",Agent09_Withdrawals!H66)</f>
        <v/>
      </c>
      <c r="J1659" s="40" t="str">
        <f>IF(Agent09_Withdrawals!A66="","",Agent09_Withdrawals!J66)</f>
        <v/>
      </c>
      <c r="K1659" s="40" t="str">
        <f>IF(Agent09_Withdrawals!A66="","",Agent09_Withdrawals!K66)</f>
        <v/>
      </c>
      <c r="L1659" s="40" t="str">
        <f>IF(G1659="","",IF(D1659-G1659&gt;=System_Config!$B$9,"✅ OK","⚠️ BREACH"))</f>
        <v/>
      </c>
      <c r="M1659" s="40" t="str">
        <f>IFERROR(IF(Agent09_Withdrawals!A66="","",YEAR(Agent09_Withdrawals!D66)),"")</f>
        <v/>
      </c>
    </row>
    <row r="1660" spans="1:13" ht="18" customHeight="1" x14ac:dyDescent="0.25">
      <c r="A1660" s="40" t="str">
        <f>IF(Agent09_Withdrawals!A67="","",Agent09_Withdrawals!A67)</f>
        <v/>
      </c>
      <c r="B1660" s="40" t="str">
        <f ca="1">IF(Agent09_Withdrawals!A67="","","WD"&amp;TEXT(1660-3,"0000")&amp;"-"&amp;TEXT(TODAY(),"YYYYMMDD"))</f>
        <v/>
      </c>
      <c r="C1660" s="40" t="str">
        <f>IF(Agent09_Withdrawals!A67="","",Agent09_Withdrawals!B67)</f>
        <v/>
      </c>
      <c r="D1660" s="43" t="str">
        <f>IF(Agent09_Withdrawals!A67="","",Agent09_Withdrawals!C67)</f>
        <v/>
      </c>
      <c r="E1660" s="41" t="str">
        <f>IF(Agent09_Withdrawals!A67="","",Agent09_Withdrawals!D67)</f>
        <v/>
      </c>
      <c r="F1660" s="40" t="str">
        <f>IF(Agent09_Withdrawals!A67="","",Agent09_Withdrawals!F67)</f>
        <v/>
      </c>
      <c r="G1660" s="42" t="str">
        <f>IF(Agent09_Withdrawals!A67="","",Agent09_Withdrawals!E67)</f>
        <v/>
      </c>
      <c r="H1660" s="42" t="str">
        <f>IF(Agent09_Withdrawals!A67="","",Agent09_Withdrawals!G67)</f>
        <v/>
      </c>
      <c r="I1660" s="40" t="str">
        <f>IF(Agent09_Withdrawals!A67="","",Agent09_Withdrawals!H67)</f>
        <v/>
      </c>
      <c r="J1660" s="40" t="str">
        <f>IF(Agent09_Withdrawals!A67="","",Agent09_Withdrawals!J67)</f>
        <v/>
      </c>
      <c r="K1660" s="40" t="str">
        <f>IF(Agent09_Withdrawals!A67="","",Agent09_Withdrawals!K67)</f>
        <v/>
      </c>
      <c r="L1660" s="40" t="str">
        <f>IF(G1660="","",IF(D1660-G1660&gt;=System_Config!$B$9,"✅ OK","⚠️ BREACH"))</f>
        <v/>
      </c>
      <c r="M1660" s="40" t="str">
        <f>IFERROR(IF(Agent09_Withdrawals!A67="","",YEAR(Agent09_Withdrawals!D67)),"")</f>
        <v/>
      </c>
    </row>
    <row r="1661" spans="1:13" ht="18" customHeight="1" x14ac:dyDescent="0.25">
      <c r="A1661" s="40" t="str">
        <f>IF(Agent09_Withdrawals!A68="","",Agent09_Withdrawals!A68)</f>
        <v/>
      </c>
      <c r="B1661" s="40" t="str">
        <f ca="1">IF(Agent09_Withdrawals!A68="","","WD"&amp;TEXT(1661-3,"0000")&amp;"-"&amp;TEXT(TODAY(),"YYYYMMDD"))</f>
        <v/>
      </c>
      <c r="C1661" s="40" t="str">
        <f>IF(Agent09_Withdrawals!A68="","",Agent09_Withdrawals!B68)</f>
        <v/>
      </c>
      <c r="D1661" s="43" t="str">
        <f>IF(Agent09_Withdrawals!A68="","",Agent09_Withdrawals!C68)</f>
        <v/>
      </c>
      <c r="E1661" s="41" t="str">
        <f>IF(Agent09_Withdrawals!A68="","",Agent09_Withdrawals!D68)</f>
        <v/>
      </c>
      <c r="F1661" s="40" t="str">
        <f>IF(Agent09_Withdrawals!A68="","",Agent09_Withdrawals!F68)</f>
        <v/>
      </c>
      <c r="G1661" s="42" t="str">
        <f>IF(Agent09_Withdrawals!A68="","",Agent09_Withdrawals!E68)</f>
        <v/>
      </c>
      <c r="H1661" s="42" t="str">
        <f>IF(Agent09_Withdrawals!A68="","",Agent09_Withdrawals!G68)</f>
        <v/>
      </c>
      <c r="I1661" s="40" t="str">
        <f>IF(Agent09_Withdrawals!A68="","",Agent09_Withdrawals!H68)</f>
        <v/>
      </c>
      <c r="J1661" s="40" t="str">
        <f>IF(Agent09_Withdrawals!A68="","",Agent09_Withdrawals!J68)</f>
        <v/>
      </c>
      <c r="K1661" s="40" t="str">
        <f>IF(Agent09_Withdrawals!A68="","",Agent09_Withdrawals!K68)</f>
        <v/>
      </c>
      <c r="L1661" s="40" t="str">
        <f>IF(G1661="","",IF(D1661-G1661&gt;=System_Config!$B$9,"✅ OK","⚠️ BREACH"))</f>
        <v/>
      </c>
      <c r="M1661" s="40" t="str">
        <f>IFERROR(IF(Agent09_Withdrawals!A68="","",YEAR(Agent09_Withdrawals!D68)),"")</f>
        <v/>
      </c>
    </row>
    <row r="1662" spans="1:13" ht="18" customHeight="1" x14ac:dyDescent="0.25">
      <c r="A1662" s="40" t="str">
        <f>IF(Agent09_Withdrawals!A69="","",Agent09_Withdrawals!A69)</f>
        <v/>
      </c>
      <c r="B1662" s="40" t="str">
        <f ca="1">IF(Agent09_Withdrawals!A69="","","WD"&amp;TEXT(1662-3,"0000")&amp;"-"&amp;TEXT(TODAY(),"YYYYMMDD"))</f>
        <v/>
      </c>
      <c r="C1662" s="40" t="str">
        <f>IF(Agent09_Withdrawals!A69="","",Agent09_Withdrawals!B69)</f>
        <v/>
      </c>
      <c r="D1662" s="43" t="str">
        <f>IF(Agent09_Withdrawals!A69="","",Agent09_Withdrawals!C69)</f>
        <v/>
      </c>
      <c r="E1662" s="41" t="str">
        <f>IF(Agent09_Withdrawals!A69="","",Agent09_Withdrawals!D69)</f>
        <v/>
      </c>
      <c r="F1662" s="40" t="str">
        <f>IF(Agent09_Withdrawals!A69="","",Agent09_Withdrawals!F69)</f>
        <v/>
      </c>
      <c r="G1662" s="42" t="str">
        <f>IF(Agent09_Withdrawals!A69="","",Agent09_Withdrawals!E69)</f>
        <v/>
      </c>
      <c r="H1662" s="42" t="str">
        <f>IF(Agent09_Withdrawals!A69="","",Agent09_Withdrawals!G69)</f>
        <v/>
      </c>
      <c r="I1662" s="40" t="str">
        <f>IF(Agent09_Withdrawals!A69="","",Agent09_Withdrawals!H69)</f>
        <v/>
      </c>
      <c r="J1662" s="40" t="str">
        <f>IF(Agent09_Withdrawals!A69="","",Agent09_Withdrawals!J69)</f>
        <v/>
      </c>
      <c r="K1662" s="40" t="str">
        <f>IF(Agent09_Withdrawals!A69="","",Agent09_Withdrawals!K69)</f>
        <v/>
      </c>
      <c r="L1662" s="40" t="str">
        <f>IF(G1662="","",IF(D1662-G1662&gt;=System_Config!$B$9,"✅ OK","⚠️ BREACH"))</f>
        <v/>
      </c>
      <c r="M1662" s="40" t="str">
        <f>IFERROR(IF(Agent09_Withdrawals!A69="","",YEAR(Agent09_Withdrawals!D69)),"")</f>
        <v/>
      </c>
    </row>
    <row r="1663" spans="1:13" ht="18" customHeight="1" x14ac:dyDescent="0.25">
      <c r="A1663" s="40" t="str">
        <f>IF(Agent09_Withdrawals!A70="","",Agent09_Withdrawals!A70)</f>
        <v/>
      </c>
      <c r="B1663" s="40" t="str">
        <f ca="1">IF(Agent09_Withdrawals!A70="","","WD"&amp;TEXT(1663-3,"0000")&amp;"-"&amp;TEXT(TODAY(),"YYYYMMDD"))</f>
        <v/>
      </c>
      <c r="C1663" s="40" t="str">
        <f>IF(Agent09_Withdrawals!A70="","",Agent09_Withdrawals!B70)</f>
        <v/>
      </c>
      <c r="D1663" s="43" t="str">
        <f>IF(Agent09_Withdrawals!A70="","",Agent09_Withdrawals!C70)</f>
        <v/>
      </c>
      <c r="E1663" s="41" t="str">
        <f>IF(Agent09_Withdrawals!A70="","",Agent09_Withdrawals!D70)</f>
        <v/>
      </c>
      <c r="F1663" s="40" t="str">
        <f>IF(Agent09_Withdrawals!A70="","",Agent09_Withdrawals!F70)</f>
        <v/>
      </c>
      <c r="G1663" s="42" t="str">
        <f>IF(Agent09_Withdrawals!A70="","",Agent09_Withdrawals!E70)</f>
        <v/>
      </c>
      <c r="H1663" s="42" t="str">
        <f>IF(Agent09_Withdrawals!A70="","",Agent09_Withdrawals!G70)</f>
        <v/>
      </c>
      <c r="I1663" s="40" t="str">
        <f>IF(Agent09_Withdrawals!A70="","",Agent09_Withdrawals!H70)</f>
        <v/>
      </c>
      <c r="J1663" s="40" t="str">
        <f>IF(Agent09_Withdrawals!A70="","",Agent09_Withdrawals!J70)</f>
        <v/>
      </c>
      <c r="K1663" s="40" t="str">
        <f>IF(Agent09_Withdrawals!A70="","",Agent09_Withdrawals!K70)</f>
        <v/>
      </c>
      <c r="L1663" s="40" t="str">
        <f>IF(G1663="","",IF(D1663-G1663&gt;=System_Config!$B$9,"✅ OK","⚠️ BREACH"))</f>
        <v/>
      </c>
      <c r="M1663" s="40" t="str">
        <f>IFERROR(IF(Agent09_Withdrawals!A70="","",YEAR(Agent09_Withdrawals!D70)),"")</f>
        <v/>
      </c>
    </row>
    <row r="1664" spans="1:13" ht="18" customHeight="1" x14ac:dyDescent="0.25">
      <c r="A1664" s="40" t="str">
        <f>IF(Agent09_Withdrawals!A71="","",Agent09_Withdrawals!A71)</f>
        <v/>
      </c>
      <c r="B1664" s="40" t="str">
        <f ca="1">IF(Agent09_Withdrawals!A71="","","WD"&amp;TEXT(1664-3,"0000")&amp;"-"&amp;TEXT(TODAY(),"YYYYMMDD"))</f>
        <v/>
      </c>
      <c r="C1664" s="40" t="str">
        <f>IF(Agent09_Withdrawals!A71="","",Agent09_Withdrawals!B71)</f>
        <v/>
      </c>
      <c r="D1664" s="43" t="str">
        <f>IF(Agent09_Withdrawals!A71="","",Agent09_Withdrawals!C71)</f>
        <v/>
      </c>
      <c r="E1664" s="41" t="str">
        <f>IF(Agent09_Withdrawals!A71="","",Agent09_Withdrawals!D71)</f>
        <v/>
      </c>
      <c r="F1664" s="40" t="str">
        <f>IF(Agent09_Withdrawals!A71="","",Agent09_Withdrawals!F71)</f>
        <v/>
      </c>
      <c r="G1664" s="42" t="str">
        <f>IF(Agent09_Withdrawals!A71="","",Agent09_Withdrawals!E71)</f>
        <v/>
      </c>
      <c r="H1664" s="42" t="str">
        <f>IF(Agent09_Withdrawals!A71="","",Agent09_Withdrawals!G71)</f>
        <v/>
      </c>
      <c r="I1664" s="40" t="str">
        <f>IF(Agent09_Withdrawals!A71="","",Agent09_Withdrawals!H71)</f>
        <v/>
      </c>
      <c r="J1664" s="40" t="str">
        <f>IF(Agent09_Withdrawals!A71="","",Agent09_Withdrawals!J71)</f>
        <v/>
      </c>
      <c r="K1664" s="40" t="str">
        <f>IF(Agent09_Withdrawals!A71="","",Agent09_Withdrawals!K71)</f>
        <v/>
      </c>
      <c r="L1664" s="40" t="str">
        <f>IF(G1664="","",IF(D1664-G1664&gt;=System_Config!$B$9,"✅ OK","⚠️ BREACH"))</f>
        <v/>
      </c>
      <c r="M1664" s="40" t="str">
        <f>IFERROR(IF(Agent09_Withdrawals!A71="","",YEAR(Agent09_Withdrawals!D71)),"")</f>
        <v/>
      </c>
    </row>
    <row r="1665" spans="1:13" ht="18" customHeight="1" x14ac:dyDescent="0.25">
      <c r="A1665" s="40" t="str">
        <f>IF(Agent09_Withdrawals!A72="","",Agent09_Withdrawals!A72)</f>
        <v/>
      </c>
      <c r="B1665" s="40" t="str">
        <f ca="1">IF(Agent09_Withdrawals!A72="","","WD"&amp;TEXT(1665-3,"0000")&amp;"-"&amp;TEXT(TODAY(),"YYYYMMDD"))</f>
        <v/>
      </c>
      <c r="C1665" s="40" t="str">
        <f>IF(Agent09_Withdrawals!A72="","",Agent09_Withdrawals!B72)</f>
        <v/>
      </c>
      <c r="D1665" s="43" t="str">
        <f>IF(Agent09_Withdrawals!A72="","",Agent09_Withdrawals!C72)</f>
        <v/>
      </c>
      <c r="E1665" s="41" t="str">
        <f>IF(Agent09_Withdrawals!A72="","",Agent09_Withdrawals!D72)</f>
        <v/>
      </c>
      <c r="F1665" s="40" t="str">
        <f>IF(Agent09_Withdrawals!A72="","",Agent09_Withdrawals!F72)</f>
        <v/>
      </c>
      <c r="G1665" s="42" t="str">
        <f>IF(Agent09_Withdrawals!A72="","",Agent09_Withdrawals!E72)</f>
        <v/>
      </c>
      <c r="H1665" s="42" t="str">
        <f>IF(Agent09_Withdrawals!A72="","",Agent09_Withdrawals!G72)</f>
        <v/>
      </c>
      <c r="I1665" s="40" t="str">
        <f>IF(Agent09_Withdrawals!A72="","",Agent09_Withdrawals!H72)</f>
        <v/>
      </c>
      <c r="J1665" s="40" t="str">
        <f>IF(Agent09_Withdrawals!A72="","",Agent09_Withdrawals!J72)</f>
        <v/>
      </c>
      <c r="K1665" s="40" t="str">
        <f>IF(Agent09_Withdrawals!A72="","",Agent09_Withdrawals!K72)</f>
        <v/>
      </c>
      <c r="L1665" s="40" t="str">
        <f>IF(G1665="","",IF(D1665-G1665&gt;=System_Config!$B$9,"✅ OK","⚠️ BREACH"))</f>
        <v/>
      </c>
      <c r="M1665" s="40" t="str">
        <f>IFERROR(IF(Agent09_Withdrawals!A72="","",YEAR(Agent09_Withdrawals!D72)),"")</f>
        <v/>
      </c>
    </row>
    <row r="1666" spans="1:13" ht="18" customHeight="1" x14ac:dyDescent="0.25">
      <c r="A1666" s="40" t="str">
        <f>IF(Agent09_Withdrawals!A73="","",Agent09_Withdrawals!A73)</f>
        <v/>
      </c>
      <c r="B1666" s="40" t="str">
        <f ca="1">IF(Agent09_Withdrawals!A73="","","WD"&amp;TEXT(1666-3,"0000")&amp;"-"&amp;TEXT(TODAY(),"YYYYMMDD"))</f>
        <v/>
      </c>
      <c r="C1666" s="40" t="str">
        <f>IF(Agent09_Withdrawals!A73="","",Agent09_Withdrawals!B73)</f>
        <v/>
      </c>
      <c r="D1666" s="43" t="str">
        <f>IF(Agent09_Withdrawals!A73="","",Agent09_Withdrawals!C73)</f>
        <v/>
      </c>
      <c r="E1666" s="41" t="str">
        <f>IF(Agent09_Withdrawals!A73="","",Agent09_Withdrawals!D73)</f>
        <v/>
      </c>
      <c r="F1666" s="40" t="str">
        <f>IF(Agent09_Withdrawals!A73="","",Agent09_Withdrawals!F73)</f>
        <v/>
      </c>
      <c r="G1666" s="42" t="str">
        <f>IF(Agent09_Withdrawals!A73="","",Agent09_Withdrawals!E73)</f>
        <v/>
      </c>
      <c r="H1666" s="42" t="str">
        <f>IF(Agent09_Withdrawals!A73="","",Agent09_Withdrawals!G73)</f>
        <v/>
      </c>
      <c r="I1666" s="40" t="str">
        <f>IF(Agent09_Withdrawals!A73="","",Agent09_Withdrawals!H73)</f>
        <v/>
      </c>
      <c r="J1666" s="40" t="str">
        <f>IF(Agent09_Withdrawals!A73="","",Agent09_Withdrawals!J73)</f>
        <v/>
      </c>
      <c r="K1666" s="40" t="str">
        <f>IF(Agent09_Withdrawals!A73="","",Agent09_Withdrawals!K73)</f>
        <v/>
      </c>
      <c r="L1666" s="40" t="str">
        <f>IF(G1666="","",IF(D1666-G1666&gt;=System_Config!$B$9,"✅ OK","⚠️ BREACH"))</f>
        <v/>
      </c>
      <c r="M1666" s="40" t="str">
        <f>IFERROR(IF(Agent09_Withdrawals!A73="","",YEAR(Agent09_Withdrawals!D73)),"")</f>
        <v/>
      </c>
    </row>
    <row r="1667" spans="1:13" ht="18" customHeight="1" x14ac:dyDescent="0.25">
      <c r="A1667" s="40" t="str">
        <f>IF(Agent09_Withdrawals!A74="","",Agent09_Withdrawals!A74)</f>
        <v/>
      </c>
      <c r="B1667" s="40" t="str">
        <f ca="1">IF(Agent09_Withdrawals!A74="","","WD"&amp;TEXT(1667-3,"0000")&amp;"-"&amp;TEXT(TODAY(),"YYYYMMDD"))</f>
        <v/>
      </c>
      <c r="C1667" s="40" t="str">
        <f>IF(Agent09_Withdrawals!A74="","",Agent09_Withdrawals!B74)</f>
        <v/>
      </c>
      <c r="D1667" s="43" t="str">
        <f>IF(Agent09_Withdrawals!A74="","",Agent09_Withdrawals!C74)</f>
        <v/>
      </c>
      <c r="E1667" s="41" t="str">
        <f>IF(Agent09_Withdrawals!A74="","",Agent09_Withdrawals!D74)</f>
        <v/>
      </c>
      <c r="F1667" s="40" t="str">
        <f>IF(Agent09_Withdrawals!A74="","",Agent09_Withdrawals!F74)</f>
        <v/>
      </c>
      <c r="G1667" s="42" t="str">
        <f>IF(Agent09_Withdrawals!A74="","",Agent09_Withdrawals!E74)</f>
        <v/>
      </c>
      <c r="H1667" s="42" t="str">
        <f>IF(Agent09_Withdrawals!A74="","",Agent09_Withdrawals!G74)</f>
        <v/>
      </c>
      <c r="I1667" s="40" t="str">
        <f>IF(Agent09_Withdrawals!A74="","",Agent09_Withdrawals!H74)</f>
        <v/>
      </c>
      <c r="J1667" s="40" t="str">
        <f>IF(Agent09_Withdrawals!A74="","",Agent09_Withdrawals!J74)</f>
        <v/>
      </c>
      <c r="K1667" s="40" t="str">
        <f>IF(Agent09_Withdrawals!A74="","",Agent09_Withdrawals!K74)</f>
        <v/>
      </c>
      <c r="L1667" s="40" t="str">
        <f>IF(G1667="","",IF(D1667-G1667&gt;=System_Config!$B$9,"✅ OK","⚠️ BREACH"))</f>
        <v/>
      </c>
      <c r="M1667" s="40" t="str">
        <f>IFERROR(IF(Agent09_Withdrawals!A74="","",YEAR(Agent09_Withdrawals!D74)),"")</f>
        <v/>
      </c>
    </row>
    <row r="1668" spans="1:13" ht="18" customHeight="1" x14ac:dyDescent="0.25">
      <c r="A1668" s="40" t="str">
        <f>IF(Agent09_Withdrawals!A75="","",Agent09_Withdrawals!A75)</f>
        <v/>
      </c>
      <c r="B1668" s="40" t="str">
        <f ca="1">IF(Agent09_Withdrawals!A75="","","WD"&amp;TEXT(1668-3,"0000")&amp;"-"&amp;TEXT(TODAY(),"YYYYMMDD"))</f>
        <v/>
      </c>
      <c r="C1668" s="40" t="str">
        <f>IF(Agent09_Withdrawals!A75="","",Agent09_Withdrawals!B75)</f>
        <v/>
      </c>
      <c r="D1668" s="43" t="str">
        <f>IF(Agent09_Withdrawals!A75="","",Agent09_Withdrawals!C75)</f>
        <v/>
      </c>
      <c r="E1668" s="41" t="str">
        <f>IF(Agent09_Withdrawals!A75="","",Agent09_Withdrawals!D75)</f>
        <v/>
      </c>
      <c r="F1668" s="40" t="str">
        <f>IF(Agent09_Withdrawals!A75="","",Agent09_Withdrawals!F75)</f>
        <v/>
      </c>
      <c r="G1668" s="42" t="str">
        <f>IF(Agent09_Withdrawals!A75="","",Agent09_Withdrawals!E75)</f>
        <v/>
      </c>
      <c r="H1668" s="42" t="str">
        <f>IF(Agent09_Withdrawals!A75="","",Agent09_Withdrawals!G75)</f>
        <v/>
      </c>
      <c r="I1668" s="40" t="str">
        <f>IF(Agent09_Withdrawals!A75="","",Agent09_Withdrawals!H75)</f>
        <v/>
      </c>
      <c r="J1668" s="40" t="str">
        <f>IF(Agent09_Withdrawals!A75="","",Agent09_Withdrawals!J75)</f>
        <v/>
      </c>
      <c r="K1668" s="40" t="str">
        <f>IF(Agent09_Withdrawals!A75="","",Agent09_Withdrawals!K75)</f>
        <v/>
      </c>
      <c r="L1668" s="40" t="str">
        <f>IF(G1668="","",IF(D1668-G1668&gt;=System_Config!$B$9,"✅ OK","⚠️ BREACH"))</f>
        <v/>
      </c>
      <c r="M1668" s="40" t="str">
        <f>IFERROR(IF(Agent09_Withdrawals!A75="","",YEAR(Agent09_Withdrawals!D75)),"")</f>
        <v/>
      </c>
    </row>
    <row r="1669" spans="1:13" ht="18" customHeight="1" x14ac:dyDescent="0.25">
      <c r="A1669" s="40" t="str">
        <f>IF(Agent09_Withdrawals!A76="","",Agent09_Withdrawals!A76)</f>
        <v/>
      </c>
      <c r="B1669" s="40" t="str">
        <f ca="1">IF(Agent09_Withdrawals!A76="","","WD"&amp;TEXT(1669-3,"0000")&amp;"-"&amp;TEXT(TODAY(),"YYYYMMDD"))</f>
        <v/>
      </c>
      <c r="C1669" s="40" t="str">
        <f>IF(Agent09_Withdrawals!A76="","",Agent09_Withdrawals!B76)</f>
        <v/>
      </c>
      <c r="D1669" s="43" t="str">
        <f>IF(Agent09_Withdrawals!A76="","",Agent09_Withdrawals!C76)</f>
        <v/>
      </c>
      <c r="E1669" s="41" t="str">
        <f>IF(Agent09_Withdrawals!A76="","",Agent09_Withdrawals!D76)</f>
        <v/>
      </c>
      <c r="F1669" s="40" t="str">
        <f>IF(Agent09_Withdrawals!A76="","",Agent09_Withdrawals!F76)</f>
        <v/>
      </c>
      <c r="G1669" s="42" t="str">
        <f>IF(Agent09_Withdrawals!A76="","",Agent09_Withdrawals!E76)</f>
        <v/>
      </c>
      <c r="H1669" s="42" t="str">
        <f>IF(Agent09_Withdrawals!A76="","",Agent09_Withdrawals!G76)</f>
        <v/>
      </c>
      <c r="I1669" s="40" t="str">
        <f>IF(Agent09_Withdrawals!A76="","",Agent09_Withdrawals!H76)</f>
        <v/>
      </c>
      <c r="J1669" s="40" t="str">
        <f>IF(Agent09_Withdrawals!A76="","",Agent09_Withdrawals!J76)</f>
        <v/>
      </c>
      <c r="K1669" s="40" t="str">
        <f>IF(Agent09_Withdrawals!A76="","",Agent09_Withdrawals!K76)</f>
        <v/>
      </c>
      <c r="L1669" s="40" t="str">
        <f>IF(G1669="","",IF(D1669-G1669&gt;=System_Config!$B$9,"✅ OK","⚠️ BREACH"))</f>
        <v/>
      </c>
      <c r="M1669" s="40" t="str">
        <f>IFERROR(IF(Agent09_Withdrawals!A76="","",YEAR(Agent09_Withdrawals!D76)),"")</f>
        <v/>
      </c>
    </row>
    <row r="1670" spans="1:13" ht="18" customHeight="1" x14ac:dyDescent="0.25">
      <c r="A1670" s="40" t="str">
        <f>IF(Agent09_Withdrawals!A77="","",Agent09_Withdrawals!A77)</f>
        <v/>
      </c>
      <c r="B1670" s="40" t="str">
        <f ca="1">IF(Agent09_Withdrawals!A77="","","WD"&amp;TEXT(1670-3,"0000")&amp;"-"&amp;TEXT(TODAY(),"YYYYMMDD"))</f>
        <v/>
      </c>
      <c r="C1670" s="40" t="str">
        <f>IF(Agent09_Withdrawals!A77="","",Agent09_Withdrawals!B77)</f>
        <v/>
      </c>
      <c r="D1670" s="43" t="str">
        <f>IF(Agent09_Withdrawals!A77="","",Agent09_Withdrawals!C77)</f>
        <v/>
      </c>
      <c r="E1670" s="41" t="str">
        <f>IF(Agent09_Withdrawals!A77="","",Agent09_Withdrawals!D77)</f>
        <v/>
      </c>
      <c r="F1670" s="40" t="str">
        <f>IF(Agent09_Withdrawals!A77="","",Agent09_Withdrawals!F77)</f>
        <v/>
      </c>
      <c r="G1670" s="42" t="str">
        <f>IF(Agent09_Withdrawals!A77="","",Agent09_Withdrawals!E77)</f>
        <v/>
      </c>
      <c r="H1670" s="42" t="str">
        <f>IF(Agent09_Withdrawals!A77="","",Agent09_Withdrawals!G77)</f>
        <v/>
      </c>
      <c r="I1670" s="40" t="str">
        <f>IF(Agent09_Withdrawals!A77="","",Agent09_Withdrawals!H77)</f>
        <v/>
      </c>
      <c r="J1670" s="40" t="str">
        <f>IF(Agent09_Withdrawals!A77="","",Agent09_Withdrawals!J77)</f>
        <v/>
      </c>
      <c r="K1670" s="40" t="str">
        <f>IF(Agent09_Withdrawals!A77="","",Agent09_Withdrawals!K77)</f>
        <v/>
      </c>
      <c r="L1670" s="40" t="str">
        <f>IF(G1670="","",IF(D1670-G1670&gt;=System_Config!$B$9,"✅ OK","⚠️ BREACH"))</f>
        <v/>
      </c>
      <c r="M1670" s="40" t="str">
        <f>IFERROR(IF(Agent09_Withdrawals!A77="","",YEAR(Agent09_Withdrawals!D77)),"")</f>
        <v/>
      </c>
    </row>
    <row r="1671" spans="1:13" ht="18" customHeight="1" x14ac:dyDescent="0.25">
      <c r="A1671" s="40" t="str">
        <f>IF(Agent09_Withdrawals!A78="","",Agent09_Withdrawals!A78)</f>
        <v/>
      </c>
      <c r="B1671" s="40" t="str">
        <f ca="1">IF(Agent09_Withdrawals!A78="","","WD"&amp;TEXT(1671-3,"0000")&amp;"-"&amp;TEXT(TODAY(),"YYYYMMDD"))</f>
        <v/>
      </c>
      <c r="C1671" s="40" t="str">
        <f>IF(Agent09_Withdrawals!A78="","",Agent09_Withdrawals!B78)</f>
        <v/>
      </c>
      <c r="D1671" s="43" t="str">
        <f>IF(Agent09_Withdrawals!A78="","",Agent09_Withdrawals!C78)</f>
        <v/>
      </c>
      <c r="E1671" s="41" t="str">
        <f>IF(Agent09_Withdrawals!A78="","",Agent09_Withdrawals!D78)</f>
        <v/>
      </c>
      <c r="F1671" s="40" t="str">
        <f>IF(Agent09_Withdrawals!A78="","",Agent09_Withdrawals!F78)</f>
        <v/>
      </c>
      <c r="G1671" s="42" t="str">
        <f>IF(Agent09_Withdrawals!A78="","",Agent09_Withdrawals!E78)</f>
        <v/>
      </c>
      <c r="H1671" s="42" t="str">
        <f>IF(Agent09_Withdrawals!A78="","",Agent09_Withdrawals!G78)</f>
        <v/>
      </c>
      <c r="I1671" s="40" t="str">
        <f>IF(Agent09_Withdrawals!A78="","",Agent09_Withdrawals!H78)</f>
        <v/>
      </c>
      <c r="J1671" s="40" t="str">
        <f>IF(Agent09_Withdrawals!A78="","",Agent09_Withdrawals!J78)</f>
        <v/>
      </c>
      <c r="K1671" s="40" t="str">
        <f>IF(Agent09_Withdrawals!A78="","",Agent09_Withdrawals!K78)</f>
        <v/>
      </c>
      <c r="L1671" s="40" t="str">
        <f>IF(G1671="","",IF(D1671-G1671&gt;=System_Config!$B$9,"✅ OK","⚠️ BREACH"))</f>
        <v/>
      </c>
      <c r="M1671" s="40" t="str">
        <f>IFERROR(IF(Agent09_Withdrawals!A78="","",YEAR(Agent09_Withdrawals!D78)),"")</f>
        <v/>
      </c>
    </row>
    <row r="1672" spans="1:13" ht="18" customHeight="1" x14ac:dyDescent="0.25">
      <c r="A1672" s="40" t="str">
        <f>IF(Agent09_Withdrawals!A79="","",Agent09_Withdrawals!A79)</f>
        <v/>
      </c>
      <c r="B1672" s="40" t="str">
        <f ca="1">IF(Agent09_Withdrawals!A79="","","WD"&amp;TEXT(1672-3,"0000")&amp;"-"&amp;TEXT(TODAY(),"YYYYMMDD"))</f>
        <v/>
      </c>
      <c r="C1672" s="40" t="str">
        <f>IF(Agent09_Withdrawals!A79="","",Agent09_Withdrawals!B79)</f>
        <v/>
      </c>
      <c r="D1672" s="43" t="str">
        <f>IF(Agent09_Withdrawals!A79="","",Agent09_Withdrawals!C79)</f>
        <v/>
      </c>
      <c r="E1672" s="41" t="str">
        <f>IF(Agent09_Withdrawals!A79="","",Agent09_Withdrawals!D79)</f>
        <v/>
      </c>
      <c r="F1672" s="40" t="str">
        <f>IF(Agent09_Withdrawals!A79="","",Agent09_Withdrawals!F79)</f>
        <v/>
      </c>
      <c r="G1672" s="42" t="str">
        <f>IF(Agent09_Withdrawals!A79="","",Agent09_Withdrawals!E79)</f>
        <v/>
      </c>
      <c r="H1672" s="42" t="str">
        <f>IF(Agent09_Withdrawals!A79="","",Agent09_Withdrawals!G79)</f>
        <v/>
      </c>
      <c r="I1672" s="40" t="str">
        <f>IF(Agent09_Withdrawals!A79="","",Agent09_Withdrawals!H79)</f>
        <v/>
      </c>
      <c r="J1672" s="40" t="str">
        <f>IF(Agent09_Withdrawals!A79="","",Agent09_Withdrawals!J79)</f>
        <v/>
      </c>
      <c r="K1672" s="40" t="str">
        <f>IF(Agent09_Withdrawals!A79="","",Agent09_Withdrawals!K79)</f>
        <v/>
      </c>
      <c r="L1672" s="40" t="str">
        <f>IF(G1672="","",IF(D1672-G1672&gt;=System_Config!$B$9,"✅ OK","⚠️ BREACH"))</f>
        <v/>
      </c>
      <c r="M1672" s="40" t="str">
        <f>IFERROR(IF(Agent09_Withdrawals!A79="","",YEAR(Agent09_Withdrawals!D79)),"")</f>
        <v/>
      </c>
    </row>
    <row r="1673" spans="1:13" ht="18" customHeight="1" x14ac:dyDescent="0.25">
      <c r="A1673" s="40" t="str">
        <f>IF(Agent09_Withdrawals!A80="","",Agent09_Withdrawals!A80)</f>
        <v/>
      </c>
      <c r="B1673" s="40" t="str">
        <f ca="1">IF(Agent09_Withdrawals!A80="","","WD"&amp;TEXT(1673-3,"0000")&amp;"-"&amp;TEXT(TODAY(),"YYYYMMDD"))</f>
        <v/>
      </c>
      <c r="C1673" s="40" t="str">
        <f>IF(Agent09_Withdrawals!A80="","",Agent09_Withdrawals!B80)</f>
        <v/>
      </c>
      <c r="D1673" s="43" t="str">
        <f>IF(Agent09_Withdrawals!A80="","",Agent09_Withdrawals!C80)</f>
        <v/>
      </c>
      <c r="E1673" s="41" t="str">
        <f>IF(Agent09_Withdrawals!A80="","",Agent09_Withdrawals!D80)</f>
        <v/>
      </c>
      <c r="F1673" s="40" t="str">
        <f>IF(Agent09_Withdrawals!A80="","",Agent09_Withdrawals!F80)</f>
        <v/>
      </c>
      <c r="G1673" s="42" t="str">
        <f>IF(Agent09_Withdrawals!A80="","",Agent09_Withdrawals!E80)</f>
        <v/>
      </c>
      <c r="H1673" s="42" t="str">
        <f>IF(Agent09_Withdrawals!A80="","",Agent09_Withdrawals!G80)</f>
        <v/>
      </c>
      <c r="I1673" s="40" t="str">
        <f>IF(Agent09_Withdrawals!A80="","",Agent09_Withdrawals!H80)</f>
        <v/>
      </c>
      <c r="J1673" s="40" t="str">
        <f>IF(Agent09_Withdrawals!A80="","",Agent09_Withdrawals!J80)</f>
        <v/>
      </c>
      <c r="K1673" s="40" t="str">
        <f>IF(Agent09_Withdrawals!A80="","",Agent09_Withdrawals!K80)</f>
        <v/>
      </c>
      <c r="L1673" s="40" t="str">
        <f>IF(G1673="","",IF(D1673-G1673&gt;=System_Config!$B$9,"✅ OK","⚠️ BREACH"))</f>
        <v/>
      </c>
      <c r="M1673" s="40" t="str">
        <f>IFERROR(IF(Agent09_Withdrawals!A80="","",YEAR(Agent09_Withdrawals!D80)),"")</f>
        <v/>
      </c>
    </row>
    <row r="1674" spans="1:13" ht="18" customHeight="1" x14ac:dyDescent="0.25">
      <c r="A1674" s="40" t="str">
        <f>IF(Agent09_Withdrawals!A81="","",Agent09_Withdrawals!A81)</f>
        <v/>
      </c>
      <c r="B1674" s="40" t="str">
        <f ca="1">IF(Agent09_Withdrawals!A81="","","WD"&amp;TEXT(1674-3,"0000")&amp;"-"&amp;TEXT(TODAY(),"YYYYMMDD"))</f>
        <v/>
      </c>
      <c r="C1674" s="40" t="str">
        <f>IF(Agent09_Withdrawals!A81="","",Agent09_Withdrawals!B81)</f>
        <v/>
      </c>
      <c r="D1674" s="43" t="str">
        <f>IF(Agent09_Withdrawals!A81="","",Agent09_Withdrawals!C81)</f>
        <v/>
      </c>
      <c r="E1674" s="41" t="str">
        <f>IF(Agent09_Withdrawals!A81="","",Agent09_Withdrawals!D81)</f>
        <v/>
      </c>
      <c r="F1674" s="40" t="str">
        <f>IF(Agent09_Withdrawals!A81="","",Agent09_Withdrawals!F81)</f>
        <v/>
      </c>
      <c r="G1674" s="42" t="str">
        <f>IF(Agent09_Withdrawals!A81="","",Agent09_Withdrawals!E81)</f>
        <v/>
      </c>
      <c r="H1674" s="42" t="str">
        <f>IF(Agent09_Withdrawals!A81="","",Agent09_Withdrawals!G81)</f>
        <v/>
      </c>
      <c r="I1674" s="40" t="str">
        <f>IF(Agent09_Withdrawals!A81="","",Agent09_Withdrawals!H81)</f>
        <v/>
      </c>
      <c r="J1674" s="40" t="str">
        <f>IF(Agent09_Withdrawals!A81="","",Agent09_Withdrawals!J81)</f>
        <v/>
      </c>
      <c r="K1674" s="40" t="str">
        <f>IF(Agent09_Withdrawals!A81="","",Agent09_Withdrawals!K81)</f>
        <v/>
      </c>
      <c r="L1674" s="40" t="str">
        <f>IF(G1674="","",IF(D1674-G1674&gt;=System_Config!$B$9,"✅ OK","⚠️ BREACH"))</f>
        <v/>
      </c>
      <c r="M1674" s="40" t="str">
        <f>IFERROR(IF(Agent09_Withdrawals!A81="","",YEAR(Agent09_Withdrawals!D81)),"")</f>
        <v/>
      </c>
    </row>
    <row r="1675" spans="1:13" ht="18" customHeight="1" x14ac:dyDescent="0.25">
      <c r="A1675" s="40" t="str">
        <f>IF(Agent09_Withdrawals!A82="","",Agent09_Withdrawals!A82)</f>
        <v/>
      </c>
      <c r="B1675" s="40" t="str">
        <f ca="1">IF(Agent09_Withdrawals!A82="","","WD"&amp;TEXT(1675-3,"0000")&amp;"-"&amp;TEXT(TODAY(),"YYYYMMDD"))</f>
        <v/>
      </c>
      <c r="C1675" s="40" t="str">
        <f>IF(Agent09_Withdrawals!A82="","",Agent09_Withdrawals!B82)</f>
        <v/>
      </c>
      <c r="D1675" s="43" t="str">
        <f>IF(Agent09_Withdrawals!A82="","",Agent09_Withdrawals!C82)</f>
        <v/>
      </c>
      <c r="E1675" s="41" t="str">
        <f>IF(Agent09_Withdrawals!A82="","",Agent09_Withdrawals!D82)</f>
        <v/>
      </c>
      <c r="F1675" s="40" t="str">
        <f>IF(Agent09_Withdrawals!A82="","",Agent09_Withdrawals!F82)</f>
        <v/>
      </c>
      <c r="G1675" s="42" t="str">
        <f>IF(Agent09_Withdrawals!A82="","",Agent09_Withdrawals!E82)</f>
        <v/>
      </c>
      <c r="H1675" s="42" t="str">
        <f>IF(Agent09_Withdrawals!A82="","",Agent09_Withdrawals!G82)</f>
        <v/>
      </c>
      <c r="I1675" s="40" t="str">
        <f>IF(Agent09_Withdrawals!A82="","",Agent09_Withdrawals!H82)</f>
        <v/>
      </c>
      <c r="J1675" s="40" t="str">
        <f>IF(Agent09_Withdrawals!A82="","",Agent09_Withdrawals!J82)</f>
        <v/>
      </c>
      <c r="K1675" s="40" t="str">
        <f>IF(Agent09_Withdrawals!A82="","",Agent09_Withdrawals!K82)</f>
        <v/>
      </c>
      <c r="L1675" s="40" t="str">
        <f>IF(G1675="","",IF(D1675-G1675&gt;=System_Config!$B$9,"✅ OK","⚠️ BREACH"))</f>
        <v/>
      </c>
      <c r="M1675" s="40" t="str">
        <f>IFERROR(IF(Agent09_Withdrawals!A82="","",YEAR(Agent09_Withdrawals!D82)),"")</f>
        <v/>
      </c>
    </row>
    <row r="1676" spans="1:13" ht="18" customHeight="1" x14ac:dyDescent="0.25">
      <c r="A1676" s="40" t="str">
        <f>IF(Agent09_Withdrawals!A83="","",Agent09_Withdrawals!A83)</f>
        <v/>
      </c>
      <c r="B1676" s="40" t="str">
        <f ca="1">IF(Agent09_Withdrawals!A83="","","WD"&amp;TEXT(1676-3,"0000")&amp;"-"&amp;TEXT(TODAY(),"YYYYMMDD"))</f>
        <v/>
      </c>
      <c r="C1676" s="40" t="str">
        <f>IF(Agent09_Withdrawals!A83="","",Agent09_Withdrawals!B83)</f>
        <v/>
      </c>
      <c r="D1676" s="43" t="str">
        <f>IF(Agent09_Withdrawals!A83="","",Agent09_Withdrawals!C83)</f>
        <v/>
      </c>
      <c r="E1676" s="41" t="str">
        <f>IF(Agent09_Withdrawals!A83="","",Agent09_Withdrawals!D83)</f>
        <v/>
      </c>
      <c r="F1676" s="40" t="str">
        <f>IF(Agent09_Withdrawals!A83="","",Agent09_Withdrawals!F83)</f>
        <v/>
      </c>
      <c r="G1676" s="42" t="str">
        <f>IF(Agent09_Withdrawals!A83="","",Agent09_Withdrawals!E83)</f>
        <v/>
      </c>
      <c r="H1676" s="42" t="str">
        <f>IF(Agent09_Withdrawals!A83="","",Agent09_Withdrawals!G83)</f>
        <v/>
      </c>
      <c r="I1676" s="40" t="str">
        <f>IF(Agent09_Withdrawals!A83="","",Agent09_Withdrawals!H83)</f>
        <v/>
      </c>
      <c r="J1676" s="40" t="str">
        <f>IF(Agent09_Withdrawals!A83="","",Agent09_Withdrawals!J83)</f>
        <v/>
      </c>
      <c r="K1676" s="40" t="str">
        <f>IF(Agent09_Withdrawals!A83="","",Agent09_Withdrawals!K83)</f>
        <v/>
      </c>
      <c r="L1676" s="40" t="str">
        <f>IF(G1676="","",IF(D1676-G1676&gt;=System_Config!$B$9,"✅ OK","⚠️ BREACH"))</f>
        <v/>
      </c>
      <c r="M1676" s="40" t="str">
        <f>IFERROR(IF(Agent09_Withdrawals!A83="","",YEAR(Agent09_Withdrawals!D83)),"")</f>
        <v/>
      </c>
    </row>
    <row r="1677" spans="1:13" ht="18" customHeight="1" x14ac:dyDescent="0.25">
      <c r="A1677" s="40" t="str">
        <f>IF(Agent09_Withdrawals!A84="","",Agent09_Withdrawals!A84)</f>
        <v/>
      </c>
      <c r="B1677" s="40" t="str">
        <f ca="1">IF(Agent09_Withdrawals!A84="","","WD"&amp;TEXT(1677-3,"0000")&amp;"-"&amp;TEXT(TODAY(),"YYYYMMDD"))</f>
        <v/>
      </c>
      <c r="C1677" s="40" t="str">
        <f>IF(Agent09_Withdrawals!A84="","",Agent09_Withdrawals!B84)</f>
        <v/>
      </c>
      <c r="D1677" s="43" t="str">
        <f>IF(Agent09_Withdrawals!A84="","",Agent09_Withdrawals!C84)</f>
        <v/>
      </c>
      <c r="E1677" s="41" t="str">
        <f>IF(Agent09_Withdrawals!A84="","",Agent09_Withdrawals!D84)</f>
        <v/>
      </c>
      <c r="F1677" s="40" t="str">
        <f>IF(Agent09_Withdrawals!A84="","",Agent09_Withdrawals!F84)</f>
        <v/>
      </c>
      <c r="G1677" s="42" t="str">
        <f>IF(Agent09_Withdrawals!A84="","",Agent09_Withdrawals!E84)</f>
        <v/>
      </c>
      <c r="H1677" s="42" t="str">
        <f>IF(Agent09_Withdrawals!A84="","",Agent09_Withdrawals!G84)</f>
        <v/>
      </c>
      <c r="I1677" s="40" t="str">
        <f>IF(Agent09_Withdrawals!A84="","",Agent09_Withdrawals!H84)</f>
        <v/>
      </c>
      <c r="J1677" s="40" t="str">
        <f>IF(Agent09_Withdrawals!A84="","",Agent09_Withdrawals!J84)</f>
        <v/>
      </c>
      <c r="K1677" s="40" t="str">
        <f>IF(Agent09_Withdrawals!A84="","",Agent09_Withdrawals!K84)</f>
        <v/>
      </c>
      <c r="L1677" s="40" t="str">
        <f>IF(G1677="","",IF(D1677-G1677&gt;=System_Config!$B$9,"✅ OK","⚠️ BREACH"))</f>
        <v/>
      </c>
      <c r="M1677" s="40" t="str">
        <f>IFERROR(IF(Agent09_Withdrawals!A84="","",YEAR(Agent09_Withdrawals!D84)),"")</f>
        <v/>
      </c>
    </row>
    <row r="1678" spans="1:13" ht="18" customHeight="1" x14ac:dyDescent="0.25">
      <c r="A1678" s="40" t="str">
        <f>IF(Agent09_Withdrawals!A85="","",Agent09_Withdrawals!A85)</f>
        <v/>
      </c>
      <c r="B1678" s="40" t="str">
        <f ca="1">IF(Agent09_Withdrawals!A85="","","WD"&amp;TEXT(1678-3,"0000")&amp;"-"&amp;TEXT(TODAY(),"YYYYMMDD"))</f>
        <v/>
      </c>
      <c r="C1678" s="40" t="str">
        <f>IF(Agent09_Withdrawals!A85="","",Agent09_Withdrawals!B85)</f>
        <v/>
      </c>
      <c r="D1678" s="43" t="str">
        <f>IF(Agent09_Withdrawals!A85="","",Agent09_Withdrawals!C85)</f>
        <v/>
      </c>
      <c r="E1678" s="41" t="str">
        <f>IF(Agent09_Withdrawals!A85="","",Agent09_Withdrawals!D85)</f>
        <v/>
      </c>
      <c r="F1678" s="40" t="str">
        <f>IF(Agent09_Withdrawals!A85="","",Agent09_Withdrawals!F85)</f>
        <v/>
      </c>
      <c r="G1678" s="42" t="str">
        <f>IF(Agent09_Withdrawals!A85="","",Agent09_Withdrawals!E85)</f>
        <v/>
      </c>
      <c r="H1678" s="42" t="str">
        <f>IF(Agent09_Withdrawals!A85="","",Agent09_Withdrawals!G85)</f>
        <v/>
      </c>
      <c r="I1678" s="40" t="str">
        <f>IF(Agent09_Withdrawals!A85="","",Agent09_Withdrawals!H85)</f>
        <v/>
      </c>
      <c r="J1678" s="40" t="str">
        <f>IF(Agent09_Withdrawals!A85="","",Agent09_Withdrawals!J85)</f>
        <v/>
      </c>
      <c r="K1678" s="40" t="str">
        <f>IF(Agent09_Withdrawals!A85="","",Agent09_Withdrawals!K85)</f>
        <v/>
      </c>
      <c r="L1678" s="40" t="str">
        <f>IF(G1678="","",IF(D1678-G1678&gt;=System_Config!$B$9,"✅ OK","⚠️ BREACH"))</f>
        <v/>
      </c>
      <c r="M1678" s="40" t="str">
        <f>IFERROR(IF(Agent09_Withdrawals!A85="","",YEAR(Agent09_Withdrawals!D85)),"")</f>
        <v/>
      </c>
    </row>
    <row r="1679" spans="1:13" ht="18" customHeight="1" x14ac:dyDescent="0.25">
      <c r="A1679" s="40" t="str">
        <f>IF(Agent09_Withdrawals!A86="","",Agent09_Withdrawals!A86)</f>
        <v/>
      </c>
      <c r="B1679" s="40" t="str">
        <f ca="1">IF(Agent09_Withdrawals!A86="","","WD"&amp;TEXT(1679-3,"0000")&amp;"-"&amp;TEXT(TODAY(),"YYYYMMDD"))</f>
        <v/>
      </c>
      <c r="C1679" s="40" t="str">
        <f>IF(Agent09_Withdrawals!A86="","",Agent09_Withdrawals!B86)</f>
        <v/>
      </c>
      <c r="D1679" s="43" t="str">
        <f>IF(Agent09_Withdrawals!A86="","",Agent09_Withdrawals!C86)</f>
        <v/>
      </c>
      <c r="E1679" s="41" t="str">
        <f>IF(Agent09_Withdrawals!A86="","",Agent09_Withdrawals!D86)</f>
        <v/>
      </c>
      <c r="F1679" s="40" t="str">
        <f>IF(Agent09_Withdrawals!A86="","",Agent09_Withdrawals!F86)</f>
        <v/>
      </c>
      <c r="G1679" s="42" t="str">
        <f>IF(Agent09_Withdrawals!A86="","",Agent09_Withdrawals!E86)</f>
        <v/>
      </c>
      <c r="H1679" s="42" t="str">
        <f>IF(Agent09_Withdrawals!A86="","",Agent09_Withdrawals!G86)</f>
        <v/>
      </c>
      <c r="I1679" s="40" t="str">
        <f>IF(Agent09_Withdrawals!A86="","",Agent09_Withdrawals!H86)</f>
        <v/>
      </c>
      <c r="J1679" s="40" t="str">
        <f>IF(Agent09_Withdrawals!A86="","",Agent09_Withdrawals!J86)</f>
        <v/>
      </c>
      <c r="K1679" s="40" t="str">
        <f>IF(Agent09_Withdrawals!A86="","",Agent09_Withdrawals!K86)</f>
        <v/>
      </c>
      <c r="L1679" s="40" t="str">
        <f>IF(G1679="","",IF(D1679-G1679&gt;=System_Config!$B$9,"✅ OK","⚠️ BREACH"))</f>
        <v/>
      </c>
      <c r="M1679" s="40" t="str">
        <f>IFERROR(IF(Agent09_Withdrawals!A86="","",YEAR(Agent09_Withdrawals!D86)),"")</f>
        <v/>
      </c>
    </row>
    <row r="1680" spans="1:13" ht="18" customHeight="1" x14ac:dyDescent="0.25">
      <c r="A1680" s="40" t="str">
        <f>IF(Agent09_Withdrawals!A87="","",Agent09_Withdrawals!A87)</f>
        <v/>
      </c>
      <c r="B1680" s="40" t="str">
        <f ca="1">IF(Agent09_Withdrawals!A87="","","WD"&amp;TEXT(1680-3,"0000")&amp;"-"&amp;TEXT(TODAY(),"YYYYMMDD"))</f>
        <v/>
      </c>
      <c r="C1680" s="40" t="str">
        <f>IF(Agent09_Withdrawals!A87="","",Agent09_Withdrawals!B87)</f>
        <v/>
      </c>
      <c r="D1680" s="43" t="str">
        <f>IF(Agent09_Withdrawals!A87="","",Agent09_Withdrawals!C87)</f>
        <v/>
      </c>
      <c r="E1680" s="41" t="str">
        <f>IF(Agent09_Withdrawals!A87="","",Agent09_Withdrawals!D87)</f>
        <v/>
      </c>
      <c r="F1680" s="40" t="str">
        <f>IF(Agent09_Withdrawals!A87="","",Agent09_Withdrawals!F87)</f>
        <v/>
      </c>
      <c r="G1680" s="42" t="str">
        <f>IF(Agent09_Withdrawals!A87="","",Agent09_Withdrawals!E87)</f>
        <v/>
      </c>
      <c r="H1680" s="42" t="str">
        <f>IF(Agent09_Withdrawals!A87="","",Agent09_Withdrawals!G87)</f>
        <v/>
      </c>
      <c r="I1680" s="40" t="str">
        <f>IF(Agent09_Withdrawals!A87="","",Agent09_Withdrawals!H87)</f>
        <v/>
      </c>
      <c r="J1680" s="40" t="str">
        <f>IF(Agent09_Withdrawals!A87="","",Agent09_Withdrawals!J87)</f>
        <v/>
      </c>
      <c r="K1680" s="40" t="str">
        <f>IF(Agent09_Withdrawals!A87="","",Agent09_Withdrawals!K87)</f>
        <v/>
      </c>
      <c r="L1680" s="40" t="str">
        <f>IF(G1680="","",IF(D1680-G1680&gt;=System_Config!$B$9,"✅ OK","⚠️ BREACH"))</f>
        <v/>
      </c>
      <c r="M1680" s="40" t="str">
        <f>IFERROR(IF(Agent09_Withdrawals!A87="","",YEAR(Agent09_Withdrawals!D87)),"")</f>
        <v/>
      </c>
    </row>
    <row r="1681" spans="1:13" ht="18" customHeight="1" x14ac:dyDescent="0.25">
      <c r="A1681" s="40" t="str">
        <f>IF(Agent09_Withdrawals!A88="","",Agent09_Withdrawals!A88)</f>
        <v/>
      </c>
      <c r="B1681" s="40" t="str">
        <f ca="1">IF(Agent09_Withdrawals!A88="","","WD"&amp;TEXT(1681-3,"0000")&amp;"-"&amp;TEXT(TODAY(),"YYYYMMDD"))</f>
        <v/>
      </c>
      <c r="C1681" s="40" t="str">
        <f>IF(Agent09_Withdrawals!A88="","",Agent09_Withdrawals!B88)</f>
        <v/>
      </c>
      <c r="D1681" s="43" t="str">
        <f>IF(Agent09_Withdrawals!A88="","",Agent09_Withdrawals!C88)</f>
        <v/>
      </c>
      <c r="E1681" s="41" t="str">
        <f>IF(Agent09_Withdrawals!A88="","",Agent09_Withdrawals!D88)</f>
        <v/>
      </c>
      <c r="F1681" s="40" t="str">
        <f>IF(Agent09_Withdrawals!A88="","",Agent09_Withdrawals!F88)</f>
        <v/>
      </c>
      <c r="G1681" s="42" t="str">
        <f>IF(Agent09_Withdrawals!A88="","",Agent09_Withdrawals!E88)</f>
        <v/>
      </c>
      <c r="H1681" s="42" t="str">
        <f>IF(Agent09_Withdrawals!A88="","",Agent09_Withdrawals!G88)</f>
        <v/>
      </c>
      <c r="I1681" s="40" t="str">
        <f>IF(Agent09_Withdrawals!A88="","",Agent09_Withdrawals!H88)</f>
        <v/>
      </c>
      <c r="J1681" s="40" t="str">
        <f>IF(Agent09_Withdrawals!A88="","",Agent09_Withdrawals!J88)</f>
        <v/>
      </c>
      <c r="K1681" s="40" t="str">
        <f>IF(Agent09_Withdrawals!A88="","",Agent09_Withdrawals!K88)</f>
        <v/>
      </c>
      <c r="L1681" s="40" t="str">
        <f>IF(G1681="","",IF(D1681-G1681&gt;=System_Config!$B$9,"✅ OK","⚠️ BREACH"))</f>
        <v/>
      </c>
      <c r="M1681" s="40" t="str">
        <f>IFERROR(IF(Agent09_Withdrawals!A88="","",YEAR(Agent09_Withdrawals!D88)),"")</f>
        <v/>
      </c>
    </row>
    <row r="1682" spans="1:13" ht="18" customHeight="1" x14ac:dyDescent="0.25">
      <c r="A1682" s="40" t="str">
        <f>IF(Agent09_Withdrawals!A89="","",Agent09_Withdrawals!A89)</f>
        <v/>
      </c>
      <c r="B1682" s="40" t="str">
        <f ca="1">IF(Agent09_Withdrawals!A89="","","WD"&amp;TEXT(1682-3,"0000")&amp;"-"&amp;TEXT(TODAY(),"YYYYMMDD"))</f>
        <v/>
      </c>
      <c r="C1682" s="40" t="str">
        <f>IF(Agent09_Withdrawals!A89="","",Agent09_Withdrawals!B89)</f>
        <v/>
      </c>
      <c r="D1682" s="43" t="str">
        <f>IF(Agent09_Withdrawals!A89="","",Agent09_Withdrawals!C89)</f>
        <v/>
      </c>
      <c r="E1682" s="41" t="str">
        <f>IF(Agent09_Withdrawals!A89="","",Agent09_Withdrawals!D89)</f>
        <v/>
      </c>
      <c r="F1682" s="40" t="str">
        <f>IF(Agent09_Withdrawals!A89="","",Agent09_Withdrawals!F89)</f>
        <v/>
      </c>
      <c r="G1682" s="42" t="str">
        <f>IF(Agent09_Withdrawals!A89="","",Agent09_Withdrawals!E89)</f>
        <v/>
      </c>
      <c r="H1682" s="42" t="str">
        <f>IF(Agent09_Withdrawals!A89="","",Agent09_Withdrawals!G89)</f>
        <v/>
      </c>
      <c r="I1682" s="40" t="str">
        <f>IF(Agent09_Withdrawals!A89="","",Agent09_Withdrawals!H89)</f>
        <v/>
      </c>
      <c r="J1682" s="40" t="str">
        <f>IF(Agent09_Withdrawals!A89="","",Agent09_Withdrawals!J89)</f>
        <v/>
      </c>
      <c r="K1682" s="40" t="str">
        <f>IF(Agent09_Withdrawals!A89="","",Agent09_Withdrawals!K89)</f>
        <v/>
      </c>
      <c r="L1682" s="40" t="str">
        <f>IF(G1682="","",IF(D1682-G1682&gt;=System_Config!$B$9,"✅ OK","⚠️ BREACH"))</f>
        <v/>
      </c>
      <c r="M1682" s="40" t="str">
        <f>IFERROR(IF(Agent09_Withdrawals!A89="","",YEAR(Agent09_Withdrawals!D89)),"")</f>
        <v/>
      </c>
    </row>
    <row r="1683" spans="1:13" ht="18" customHeight="1" x14ac:dyDescent="0.25">
      <c r="A1683" s="40" t="str">
        <f>IF(Agent09_Withdrawals!A90="","",Agent09_Withdrawals!A90)</f>
        <v/>
      </c>
      <c r="B1683" s="40" t="str">
        <f ca="1">IF(Agent09_Withdrawals!A90="","","WD"&amp;TEXT(1683-3,"0000")&amp;"-"&amp;TEXT(TODAY(),"YYYYMMDD"))</f>
        <v/>
      </c>
      <c r="C1683" s="40" t="str">
        <f>IF(Agent09_Withdrawals!A90="","",Agent09_Withdrawals!B90)</f>
        <v/>
      </c>
      <c r="D1683" s="43" t="str">
        <f>IF(Agent09_Withdrawals!A90="","",Agent09_Withdrawals!C90)</f>
        <v/>
      </c>
      <c r="E1683" s="41" t="str">
        <f>IF(Agent09_Withdrawals!A90="","",Agent09_Withdrawals!D90)</f>
        <v/>
      </c>
      <c r="F1683" s="40" t="str">
        <f>IF(Agent09_Withdrawals!A90="","",Agent09_Withdrawals!F90)</f>
        <v/>
      </c>
      <c r="G1683" s="42" t="str">
        <f>IF(Agent09_Withdrawals!A90="","",Agent09_Withdrawals!E90)</f>
        <v/>
      </c>
      <c r="H1683" s="42" t="str">
        <f>IF(Agent09_Withdrawals!A90="","",Agent09_Withdrawals!G90)</f>
        <v/>
      </c>
      <c r="I1683" s="40" t="str">
        <f>IF(Agent09_Withdrawals!A90="","",Agent09_Withdrawals!H90)</f>
        <v/>
      </c>
      <c r="J1683" s="40" t="str">
        <f>IF(Agent09_Withdrawals!A90="","",Agent09_Withdrawals!J90)</f>
        <v/>
      </c>
      <c r="K1683" s="40" t="str">
        <f>IF(Agent09_Withdrawals!A90="","",Agent09_Withdrawals!K90)</f>
        <v/>
      </c>
      <c r="L1683" s="40" t="str">
        <f>IF(G1683="","",IF(D1683-G1683&gt;=System_Config!$B$9,"✅ OK","⚠️ BREACH"))</f>
        <v/>
      </c>
      <c r="M1683" s="40" t="str">
        <f>IFERROR(IF(Agent09_Withdrawals!A90="","",YEAR(Agent09_Withdrawals!D90)),"")</f>
        <v/>
      </c>
    </row>
    <row r="1684" spans="1:13" ht="18" customHeight="1" x14ac:dyDescent="0.25">
      <c r="A1684" s="40" t="str">
        <f>IF(Agent09_Withdrawals!A91="","",Agent09_Withdrawals!A91)</f>
        <v/>
      </c>
      <c r="B1684" s="40" t="str">
        <f ca="1">IF(Agent09_Withdrawals!A91="","","WD"&amp;TEXT(1684-3,"0000")&amp;"-"&amp;TEXT(TODAY(),"YYYYMMDD"))</f>
        <v/>
      </c>
      <c r="C1684" s="40" t="str">
        <f>IF(Agent09_Withdrawals!A91="","",Agent09_Withdrawals!B91)</f>
        <v/>
      </c>
      <c r="D1684" s="43" t="str">
        <f>IF(Agent09_Withdrawals!A91="","",Agent09_Withdrawals!C91)</f>
        <v/>
      </c>
      <c r="E1684" s="41" t="str">
        <f>IF(Agent09_Withdrawals!A91="","",Agent09_Withdrawals!D91)</f>
        <v/>
      </c>
      <c r="F1684" s="40" t="str">
        <f>IF(Agent09_Withdrawals!A91="","",Agent09_Withdrawals!F91)</f>
        <v/>
      </c>
      <c r="G1684" s="42" t="str">
        <f>IF(Agent09_Withdrawals!A91="","",Agent09_Withdrawals!E91)</f>
        <v/>
      </c>
      <c r="H1684" s="42" t="str">
        <f>IF(Agent09_Withdrawals!A91="","",Agent09_Withdrawals!G91)</f>
        <v/>
      </c>
      <c r="I1684" s="40" t="str">
        <f>IF(Agent09_Withdrawals!A91="","",Agent09_Withdrawals!H91)</f>
        <v/>
      </c>
      <c r="J1684" s="40" t="str">
        <f>IF(Agent09_Withdrawals!A91="","",Agent09_Withdrawals!J91)</f>
        <v/>
      </c>
      <c r="K1684" s="40" t="str">
        <f>IF(Agent09_Withdrawals!A91="","",Agent09_Withdrawals!K91)</f>
        <v/>
      </c>
      <c r="L1684" s="40" t="str">
        <f>IF(G1684="","",IF(D1684-G1684&gt;=System_Config!$B$9,"✅ OK","⚠️ BREACH"))</f>
        <v/>
      </c>
      <c r="M1684" s="40" t="str">
        <f>IFERROR(IF(Agent09_Withdrawals!A91="","",YEAR(Agent09_Withdrawals!D91)),"")</f>
        <v/>
      </c>
    </row>
    <row r="1685" spans="1:13" ht="18" customHeight="1" x14ac:dyDescent="0.25">
      <c r="A1685" s="40" t="str">
        <f>IF(Agent09_Withdrawals!A92="","",Agent09_Withdrawals!A92)</f>
        <v/>
      </c>
      <c r="B1685" s="40" t="str">
        <f ca="1">IF(Agent09_Withdrawals!A92="","","WD"&amp;TEXT(1685-3,"0000")&amp;"-"&amp;TEXT(TODAY(),"YYYYMMDD"))</f>
        <v/>
      </c>
      <c r="C1685" s="40" t="str">
        <f>IF(Agent09_Withdrawals!A92="","",Agent09_Withdrawals!B92)</f>
        <v/>
      </c>
      <c r="D1685" s="43" t="str">
        <f>IF(Agent09_Withdrawals!A92="","",Agent09_Withdrawals!C92)</f>
        <v/>
      </c>
      <c r="E1685" s="41" t="str">
        <f>IF(Agent09_Withdrawals!A92="","",Agent09_Withdrawals!D92)</f>
        <v/>
      </c>
      <c r="F1685" s="40" t="str">
        <f>IF(Agent09_Withdrawals!A92="","",Agent09_Withdrawals!F92)</f>
        <v/>
      </c>
      <c r="G1685" s="42" t="str">
        <f>IF(Agent09_Withdrawals!A92="","",Agent09_Withdrawals!E92)</f>
        <v/>
      </c>
      <c r="H1685" s="42" t="str">
        <f>IF(Agent09_Withdrawals!A92="","",Agent09_Withdrawals!G92)</f>
        <v/>
      </c>
      <c r="I1685" s="40" t="str">
        <f>IF(Agent09_Withdrawals!A92="","",Agent09_Withdrawals!H92)</f>
        <v/>
      </c>
      <c r="J1685" s="40" t="str">
        <f>IF(Agent09_Withdrawals!A92="","",Agent09_Withdrawals!J92)</f>
        <v/>
      </c>
      <c r="K1685" s="40" t="str">
        <f>IF(Agent09_Withdrawals!A92="","",Agent09_Withdrawals!K92)</f>
        <v/>
      </c>
      <c r="L1685" s="40" t="str">
        <f>IF(G1685="","",IF(D1685-G1685&gt;=System_Config!$B$9,"✅ OK","⚠️ BREACH"))</f>
        <v/>
      </c>
      <c r="M1685" s="40" t="str">
        <f>IFERROR(IF(Agent09_Withdrawals!A92="","",YEAR(Agent09_Withdrawals!D92)),"")</f>
        <v/>
      </c>
    </row>
    <row r="1686" spans="1:13" ht="18" customHeight="1" x14ac:dyDescent="0.25">
      <c r="A1686" s="40" t="str">
        <f>IF(Agent09_Withdrawals!A93="","",Agent09_Withdrawals!A93)</f>
        <v/>
      </c>
      <c r="B1686" s="40" t="str">
        <f ca="1">IF(Agent09_Withdrawals!A93="","","WD"&amp;TEXT(1686-3,"0000")&amp;"-"&amp;TEXT(TODAY(),"YYYYMMDD"))</f>
        <v/>
      </c>
      <c r="C1686" s="40" t="str">
        <f>IF(Agent09_Withdrawals!A93="","",Agent09_Withdrawals!B93)</f>
        <v/>
      </c>
      <c r="D1686" s="43" t="str">
        <f>IF(Agent09_Withdrawals!A93="","",Agent09_Withdrawals!C93)</f>
        <v/>
      </c>
      <c r="E1686" s="41" t="str">
        <f>IF(Agent09_Withdrawals!A93="","",Agent09_Withdrawals!D93)</f>
        <v/>
      </c>
      <c r="F1686" s="40" t="str">
        <f>IF(Agent09_Withdrawals!A93="","",Agent09_Withdrawals!F93)</f>
        <v/>
      </c>
      <c r="G1686" s="42" t="str">
        <f>IF(Agent09_Withdrawals!A93="","",Agent09_Withdrawals!E93)</f>
        <v/>
      </c>
      <c r="H1686" s="42" t="str">
        <f>IF(Agent09_Withdrawals!A93="","",Agent09_Withdrawals!G93)</f>
        <v/>
      </c>
      <c r="I1686" s="40" t="str">
        <f>IF(Agent09_Withdrawals!A93="","",Agent09_Withdrawals!H93)</f>
        <v/>
      </c>
      <c r="J1686" s="40" t="str">
        <f>IF(Agent09_Withdrawals!A93="","",Agent09_Withdrawals!J93)</f>
        <v/>
      </c>
      <c r="K1686" s="40" t="str">
        <f>IF(Agent09_Withdrawals!A93="","",Agent09_Withdrawals!K93)</f>
        <v/>
      </c>
      <c r="L1686" s="40" t="str">
        <f>IF(G1686="","",IF(D1686-G1686&gt;=System_Config!$B$9,"✅ OK","⚠️ BREACH"))</f>
        <v/>
      </c>
      <c r="M1686" s="40" t="str">
        <f>IFERROR(IF(Agent09_Withdrawals!A93="","",YEAR(Agent09_Withdrawals!D93)),"")</f>
        <v/>
      </c>
    </row>
    <row r="1687" spans="1:13" ht="18" customHeight="1" x14ac:dyDescent="0.25">
      <c r="A1687" s="40" t="str">
        <f>IF(Agent09_Withdrawals!A94="","",Agent09_Withdrawals!A94)</f>
        <v/>
      </c>
      <c r="B1687" s="40" t="str">
        <f ca="1">IF(Agent09_Withdrawals!A94="","","WD"&amp;TEXT(1687-3,"0000")&amp;"-"&amp;TEXT(TODAY(),"YYYYMMDD"))</f>
        <v/>
      </c>
      <c r="C1687" s="40" t="str">
        <f>IF(Agent09_Withdrawals!A94="","",Agent09_Withdrawals!B94)</f>
        <v/>
      </c>
      <c r="D1687" s="43" t="str">
        <f>IF(Agent09_Withdrawals!A94="","",Agent09_Withdrawals!C94)</f>
        <v/>
      </c>
      <c r="E1687" s="41" t="str">
        <f>IF(Agent09_Withdrawals!A94="","",Agent09_Withdrawals!D94)</f>
        <v/>
      </c>
      <c r="F1687" s="40" t="str">
        <f>IF(Agent09_Withdrawals!A94="","",Agent09_Withdrawals!F94)</f>
        <v/>
      </c>
      <c r="G1687" s="42" t="str">
        <f>IF(Agent09_Withdrawals!A94="","",Agent09_Withdrawals!E94)</f>
        <v/>
      </c>
      <c r="H1687" s="42" t="str">
        <f>IF(Agent09_Withdrawals!A94="","",Agent09_Withdrawals!G94)</f>
        <v/>
      </c>
      <c r="I1687" s="40" t="str">
        <f>IF(Agent09_Withdrawals!A94="","",Agent09_Withdrawals!H94)</f>
        <v/>
      </c>
      <c r="J1687" s="40" t="str">
        <f>IF(Agent09_Withdrawals!A94="","",Agent09_Withdrawals!J94)</f>
        <v/>
      </c>
      <c r="K1687" s="40" t="str">
        <f>IF(Agent09_Withdrawals!A94="","",Agent09_Withdrawals!K94)</f>
        <v/>
      </c>
      <c r="L1687" s="40" t="str">
        <f>IF(G1687="","",IF(D1687-G1687&gt;=System_Config!$B$9,"✅ OK","⚠️ BREACH"))</f>
        <v/>
      </c>
      <c r="M1687" s="40" t="str">
        <f>IFERROR(IF(Agent09_Withdrawals!A94="","",YEAR(Agent09_Withdrawals!D94)),"")</f>
        <v/>
      </c>
    </row>
    <row r="1688" spans="1:13" ht="18" customHeight="1" x14ac:dyDescent="0.25">
      <c r="A1688" s="40" t="str">
        <f>IF(Agent09_Withdrawals!A95="","",Agent09_Withdrawals!A95)</f>
        <v/>
      </c>
      <c r="B1688" s="40" t="str">
        <f ca="1">IF(Agent09_Withdrawals!A95="","","WD"&amp;TEXT(1688-3,"0000")&amp;"-"&amp;TEXT(TODAY(),"YYYYMMDD"))</f>
        <v/>
      </c>
      <c r="C1688" s="40" t="str">
        <f>IF(Agent09_Withdrawals!A95="","",Agent09_Withdrawals!B95)</f>
        <v/>
      </c>
      <c r="D1688" s="43" t="str">
        <f>IF(Agent09_Withdrawals!A95="","",Agent09_Withdrawals!C95)</f>
        <v/>
      </c>
      <c r="E1688" s="41" t="str">
        <f>IF(Agent09_Withdrawals!A95="","",Agent09_Withdrawals!D95)</f>
        <v/>
      </c>
      <c r="F1688" s="40" t="str">
        <f>IF(Agent09_Withdrawals!A95="","",Agent09_Withdrawals!F95)</f>
        <v/>
      </c>
      <c r="G1688" s="42" t="str">
        <f>IF(Agent09_Withdrawals!A95="","",Agent09_Withdrawals!E95)</f>
        <v/>
      </c>
      <c r="H1688" s="42" t="str">
        <f>IF(Agent09_Withdrawals!A95="","",Agent09_Withdrawals!G95)</f>
        <v/>
      </c>
      <c r="I1688" s="40" t="str">
        <f>IF(Agent09_Withdrawals!A95="","",Agent09_Withdrawals!H95)</f>
        <v/>
      </c>
      <c r="J1688" s="40" t="str">
        <f>IF(Agent09_Withdrawals!A95="","",Agent09_Withdrawals!J95)</f>
        <v/>
      </c>
      <c r="K1688" s="40" t="str">
        <f>IF(Agent09_Withdrawals!A95="","",Agent09_Withdrawals!K95)</f>
        <v/>
      </c>
      <c r="L1688" s="40" t="str">
        <f>IF(G1688="","",IF(D1688-G1688&gt;=System_Config!$B$9,"✅ OK","⚠️ BREACH"))</f>
        <v/>
      </c>
      <c r="M1688" s="40" t="str">
        <f>IFERROR(IF(Agent09_Withdrawals!A95="","",YEAR(Agent09_Withdrawals!D95)),"")</f>
        <v/>
      </c>
    </row>
    <row r="1689" spans="1:13" ht="18" customHeight="1" x14ac:dyDescent="0.25">
      <c r="A1689" s="40" t="str">
        <f>IF(Agent09_Withdrawals!A96="","",Agent09_Withdrawals!A96)</f>
        <v/>
      </c>
      <c r="B1689" s="40" t="str">
        <f ca="1">IF(Agent09_Withdrawals!A96="","","WD"&amp;TEXT(1689-3,"0000")&amp;"-"&amp;TEXT(TODAY(),"YYYYMMDD"))</f>
        <v/>
      </c>
      <c r="C1689" s="40" t="str">
        <f>IF(Agent09_Withdrawals!A96="","",Agent09_Withdrawals!B96)</f>
        <v/>
      </c>
      <c r="D1689" s="43" t="str">
        <f>IF(Agent09_Withdrawals!A96="","",Agent09_Withdrawals!C96)</f>
        <v/>
      </c>
      <c r="E1689" s="41" t="str">
        <f>IF(Agent09_Withdrawals!A96="","",Agent09_Withdrawals!D96)</f>
        <v/>
      </c>
      <c r="F1689" s="40" t="str">
        <f>IF(Agent09_Withdrawals!A96="","",Agent09_Withdrawals!F96)</f>
        <v/>
      </c>
      <c r="G1689" s="42" t="str">
        <f>IF(Agent09_Withdrawals!A96="","",Agent09_Withdrawals!E96)</f>
        <v/>
      </c>
      <c r="H1689" s="42" t="str">
        <f>IF(Agent09_Withdrawals!A96="","",Agent09_Withdrawals!G96)</f>
        <v/>
      </c>
      <c r="I1689" s="40" t="str">
        <f>IF(Agent09_Withdrawals!A96="","",Agent09_Withdrawals!H96)</f>
        <v/>
      </c>
      <c r="J1689" s="40" t="str">
        <f>IF(Agent09_Withdrawals!A96="","",Agent09_Withdrawals!J96)</f>
        <v/>
      </c>
      <c r="K1689" s="40" t="str">
        <f>IF(Agent09_Withdrawals!A96="","",Agent09_Withdrawals!K96)</f>
        <v/>
      </c>
      <c r="L1689" s="40" t="str">
        <f>IF(G1689="","",IF(D1689-G1689&gt;=System_Config!$B$9,"✅ OK","⚠️ BREACH"))</f>
        <v/>
      </c>
      <c r="M1689" s="40" t="str">
        <f>IFERROR(IF(Agent09_Withdrawals!A96="","",YEAR(Agent09_Withdrawals!D96)),"")</f>
        <v/>
      </c>
    </row>
    <row r="1690" spans="1:13" ht="18" customHeight="1" x14ac:dyDescent="0.25">
      <c r="A1690" s="40" t="str">
        <f>IF(Agent09_Withdrawals!A97="","",Agent09_Withdrawals!A97)</f>
        <v/>
      </c>
      <c r="B1690" s="40" t="str">
        <f ca="1">IF(Agent09_Withdrawals!A97="","","WD"&amp;TEXT(1690-3,"0000")&amp;"-"&amp;TEXT(TODAY(),"YYYYMMDD"))</f>
        <v/>
      </c>
      <c r="C1690" s="40" t="str">
        <f>IF(Agent09_Withdrawals!A97="","",Agent09_Withdrawals!B97)</f>
        <v/>
      </c>
      <c r="D1690" s="43" t="str">
        <f>IF(Agent09_Withdrawals!A97="","",Agent09_Withdrawals!C97)</f>
        <v/>
      </c>
      <c r="E1690" s="41" t="str">
        <f>IF(Agent09_Withdrawals!A97="","",Agent09_Withdrawals!D97)</f>
        <v/>
      </c>
      <c r="F1690" s="40" t="str">
        <f>IF(Agent09_Withdrawals!A97="","",Agent09_Withdrawals!F97)</f>
        <v/>
      </c>
      <c r="G1690" s="42" t="str">
        <f>IF(Agent09_Withdrawals!A97="","",Agent09_Withdrawals!E97)</f>
        <v/>
      </c>
      <c r="H1690" s="42" t="str">
        <f>IF(Agent09_Withdrawals!A97="","",Agent09_Withdrawals!G97)</f>
        <v/>
      </c>
      <c r="I1690" s="40" t="str">
        <f>IF(Agent09_Withdrawals!A97="","",Agent09_Withdrawals!H97)</f>
        <v/>
      </c>
      <c r="J1690" s="40" t="str">
        <f>IF(Agent09_Withdrawals!A97="","",Agent09_Withdrawals!J97)</f>
        <v/>
      </c>
      <c r="K1690" s="40" t="str">
        <f>IF(Agent09_Withdrawals!A97="","",Agent09_Withdrawals!K97)</f>
        <v/>
      </c>
      <c r="L1690" s="40" t="str">
        <f>IF(G1690="","",IF(D1690-G1690&gt;=System_Config!$B$9,"✅ OK","⚠️ BREACH"))</f>
        <v/>
      </c>
      <c r="M1690" s="40" t="str">
        <f>IFERROR(IF(Agent09_Withdrawals!A97="","",YEAR(Agent09_Withdrawals!D97)),"")</f>
        <v/>
      </c>
    </row>
    <row r="1691" spans="1:13" ht="18" customHeight="1" x14ac:dyDescent="0.25">
      <c r="A1691" s="40" t="str">
        <f>IF(Agent09_Withdrawals!A98="","",Agent09_Withdrawals!A98)</f>
        <v/>
      </c>
      <c r="B1691" s="40" t="str">
        <f ca="1">IF(Agent09_Withdrawals!A98="","","WD"&amp;TEXT(1691-3,"0000")&amp;"-"&amp;TEXT(TODAY(),"YYYYMMDD"))</f>
        <v/>
      </c>
      <c r="C1691" s="40" t="str">
        <f>IF(Agent09_Withdrawals!A98="","",Agent09_Withdrawals!B98)</f>
        <v/>
      </c>
      <c r="D1691" s="43" t="str">
        <f>IF(Agent09_Withdrawals!A98="","",Agent09_Withdrawals!C98)</f>
        <v/>
      </c>
      <c r="E1691" s="41" t="str">
        <f>IF(Agent09_Withdrawals!A98="","",Agent09_Withdrawals!D98)</f>
        <v/>
      </c>
      <c r="F1691" s="40" t="str">
        <f>IF(Agent09_Withdrawals!A98="","",Agent09_Withdrawals!F98)</f>
        <v/>
      </c>
      <c r="G1691" s="42" t="str">
        <f>IF(Agent09_Withdrawals!A98="","",Agent09_Withdrawals!E98)</f>
        <v/>
      </c>
      <c r="H1691" s="42" t="str">
        <f>IF(Agent09_Withdrawals!A98="","",Agent09_Withdrawals!G98)</f>
        <v/>
      </c>
      <c r="I1691" s="40" t="str">
        <f>IF(Agent09_Withdrawals!A98="","",Agent09_Withdrawals!H98)</f>
        <v/>
      </c>
      <c r="J1691" s="40" t="str">
        <f>IF(Agent09_Withdrawals!A98="","",Agent09_Withdrawals!J98)</f>
        <v/>
      </c>
      <c r="K1691" s="40" t="str">
        <f>IF(Agent09_Withdrawals!A98="","",Agent09_Withdrawals!K98)</f>
        <v/>
      </c>
      <c r="L1691" s="40" t="str">
        <f>IF(G1691="","",IF(D1691-G1691&gt;=System_Config!$B$9,"✅ OK","⚠️ BREACH"))</f>
        <v/>
      </c>
      <c r="M1691" s="40" t="str">
        <f>IFERROR(IF(Agent09_Withdrawals!A98="","",YEAR(Agent09_Withdrawals!D98)),"")</f>
        <v/>
      </c>
    </row>
    <row r="1692" spans="1:13" ht="18" customHeight="1" x14ac:dyDescent="0.25">
      <c r="A1692" s="40" t="str">
        <f>IF(Agent09_Withdrawals!A99="","",Agent09_Withdrawals!A99)</f>
        <v/>
      </c>
      <c r="B1692" s="40" t="str">
        <f ca="1">IF(Agent09_Withdrawals!A99="","","WD"&amp;TEXT(1692-3,"0000")&amp;"-"&amp;TEXT(TODAY(),"YYYYMMDD"))</f>
        <v/>
      </c>
      <c r="C1692" s="40" t="str">
        <f>IF(Agent09_Withdrawals!A99="","",Agent09_Withdrawals!B99)</f>
        <v/>
      </c>
      <c r="D1692" s="43" t="str">
        <f>IF(Agent09_Withdrawals!A99="","",Agent09_Withdrawals!C99)</f>
        <v/>
      </c>
      <c r="E1692" s="41" t="str">
        <f>IF(Agent09_Withdrawals!A99="","",Agent09_Withdrawals!D99)</f>
        <v/>
      </c>
      <c r="F1692" s="40" t="str">
        <f>IF(Agent09_Withdrawals!A99="","",Agent09_Withdrawals!F99)</f>
        <v/>
      </c>
      <c r="G1692" s="42" t="str">
        <f>IF(Agent09_Withdrawals!A99="","",Agent09_Withdrawals!E99)</f>
        <v/>
      </c>
      <c r="H1692" s="42" t="str">
        <f>IF(Agent09_Withdrawals!A99="","",Agent09_Withdrawals!G99)</f>
        <v/>
      </c>
      <c r="I1692" s="40" t="str">
        <f>IF(Agent09_Withdrawals!A99="","",Agent09_Withdrawals!H99)</f>
        <v/>
      </c>
      <c r="J1692" s="40" t="str">
        <f>IF(Agent09_Withdrawals!A99="","",Agent09_Withdrawals!J99)</f>
        <v/>
      </c>
      <c r="K1692" s="40" t="str">
        <f>IF(Agent09_Withdrawals!A99="","",Agent09_Withdrawals!K99)</f>
        <v/>
      </c>
      <c r="L1692" s="40" t="str">
        <f>IF(G1692="","",IF(D1692-G1692&gt;=System_Config!$B$9,"✅ OK","⚠️ BREACH"))</f>
        <v/>
      </c>
      <c r="M1692" s="40" t="str">
        <f>IFERROR(IF(Agent09_Withdrawals!A99="","",YEAR(Agent09_Withdrawals!D99)),"")</f>
        <v/>
      </c>
    </row>
    <row r="1693" spans="1:13" ht="18" customHeight="1" x14ac:dyDescent="0.25">
      <c r="A1693" s="40" t="str">
        <f>IF(Agent09_Withdrawals!A100="","",Agent09_Withdrawals!A100)</f>
        <v/>
      </c>
      <c r="B1693" s="40" t="str">
        <f ca="1">IF(Agent09_Withdrawals!A100="","","WD"&amp;TEXT(1693-3,"0000")&amp;"-"&amp;TEXT(TODAY(),"YYYYMMDD"))</f>
        <v/>
      </c>
      <c r="C1693" s="40" t="str">
        <f>IF(Agent09_Withdrawals!A100="","",Agent09_Withdrawals!B100)</f>
        <v/>
      </c>
      <c r="D1693" s="43" t="str">
        <f>IF(Agent09_Withdrawals!A100="","",Agent09_Withdrawals!C100)</f>
        <v/>
      </c>
      <c r="E1693" s="41" t="str">
        <f>IF(Agent09_Withdrawals!A100="","",Agent09_Withdrawals!D100)</f>
        <v/>
      </c>
      <c r="F1693" s="40" t="str">
        <f>IF(Agent09_Withdrawals!A100="","",Agent09_Withdrawals!F100)</f>
        <v/>
      </c>
      <c r="G1693" s="42" t="str">
        <f>IF(Agent09_Withdrawals!A100="","",Agent09_Withdrawals!E100)</f>
        <v/>
      </c>
      <c r="H1693" s="42" t="str">
        <f>IF(Agent09_Withdrawals!A100="","",Agent09_Withdrawals!G100)</f>
        <v/>
      </c>
      <c r="I1693" s="40" t="str">
        <f>IF(Agent09_Withdrawals!A100="","",Agent09_Withdrawals!H100)</f>
        <v/>
      </c>
      <c r="J1693" s="40" t="str">
        <f>IF(Agent09_Withdrawals!A100="","",Agent09_Withdrawals!J100)</f>
        <v/>
      </c>
      <c r="K1693" s="40" t="str">
        <f>IF(Agent09_Withdrawals!A100="","",Agent09_Withdrawals!K100)</f>
        <v/>
      </c>
      <c r="L1693" s="40" t="str">
        <f>IF(G1693="","",IF(D1693-G1693&gt;=System_Config!$B$9,"✅ OK","⚠️ BREACH"))</f>
        <v/>
      </c>
      <c r="M1693" s="40" t="str">
        <f>IFERROR(IF(Agent09_Withdrawals!A100="","",YEAR(Agent09_Withdrawals!D100)),"")</f>
        <v/>
      </c>
    </row>
    <row r="1694" spans="1:13" ht="18" customHeight="1" x14ac:dyDescent="0.25">
      <c r="A1694" s="40" t="str">
        <f>IF(Agent09_Withdrawals!A101="","",Agent09_Withdrawals!A101)</f>
        <v/>
      </c>
      <c r="B1694" s="40" t="str">
        <f ca="1">IF(Agent09_Withdrawals!A101="","","WD"&amp;TEXT(1694-3,"0000")&amp;"-"&amp;TEXT(TODAY(),"YYYYMMDD"))</f>
        <v/>
      </c>
      <c r="C1694" s="40" t="str">
        <f>IF(Agent09_Withdrawals!A101="","",Agent09_Withdrawals!B101)</f>
        <v/>
      </c>
      <c r="D1694" s="43" t="str">
        <f>IF(Agent09_Withdrawals!A101="","",Agent09_Withdrawals!C101)</f>
        <v/>
      </c>
      <c r="E1694" s="41" t="str">
        <f>IF(Agent09_Withdrawals!A101="","",Agent09_Withdrawals!D101)</f>
        <v/>
      </c>
      <c r="F1694" s="40" t="str">
        <f>IF(Agent09_Withdrawals!A101="","",Agent09_Withdrawals!F101)</f>
        <v/>
      </c>
      <c r="G1694" s="42" t="str">
        <f>IF(Agent09_Withdrawals!A101="","",Agent09_Withdrawals!E101)</f>
        <v/>
      </c>
      <c r="H1694" s="42" t="str">
        <f>IF(Agent09_Withdrawals!A101="","",Agent09_Withdrawals!G101)</f>
        <v/>
      </c>
      <c r="I1694" s="40" t="str">
        <f>IF(Agent09_Withdrawals!A101="","",Agent09_Withdrawals!H101)</f>
        <v/>
      </c>
      <c r="J1694" s="40" t="str">
        <f>IF(Agent09_Withdrawals!A101="","",Agent09_Withdrawals!J101)</f>
        <v/>
      </c>
      <c r="K1694" s="40" t="str">
        <f>IF(Agent09_Withdrawals!A101="","",Agent09_Withdrawals!K101)</f>
        <v/>
      </c>
      <c r="L1694" s="40" t="str">
        <f>IF(G1694="","",IF(D1694-G1694&gt;=System_Config!$B$9,"✅ OK","⚠️ BREACH"))</f>
        <v/>
      </c>
      <c r="M1694" s="40" t="str">
        <f>IFERROR(IF(Agent09_Withdrawals!A101="","",YEAR(Agent09_Withdrawals!D101)),"")</f>
        <v/>
      </c>
    </row>
    <row r="1695" spans="1:13" ht="18" customHeight="1" x14ac:dyDescent="0.25">
      <c r="A1695" s="40" t="str">
        <f>IF(Agent09_Withdrawals!A102="","",Agent09_Withdrawals!A102)</f>
        <v/>
      </c>
      <c r="B1695" s="40" t="str">
        <f ca="1">IF(Agent09_Withdrawals!A102="","","WD"&amp;TEXT(1695-3,"0000")&amp;"-"&amp;TEXT(TODAY(),"YYYYMMDD"))</f>
        <v/>
      </c>
      <c r="C1695" s="40" t="str">
        <f>IF(Agent09_Withdrawals!A102="","",Agent09_Withdrawals!B102)</f>
        <v/>
      </c>
      <c r="D1695" s="43" t="str">
        <f>IF(Agent09_Withdrawals!A102="","",Agent09_Withdrawals!C102)</f>
        <v/>
      </c>
      <c r="E1695" s="41" t="str">
        <f>IF(Agent09_Withdrawals!A102="","",Agent09_Withdrawals!D102)</f>
        <v/>
      </c>
      <c r="F1695" s="40" t="str">
        <f>IF(Agent09_Withdrawals!A102="","",Agent09_Withdrawals!F102)</f>
        <v/>
      </c>
      <c r="G1695" s="42" t="str">
        <f>IF(Agent09_Withdrawals!A102="","",Agent09_Withdrawals!E102)</f>
        <v/>
      </c>
      <c r="H1695" s="42" t="str">
        <f>IF(Agent09_Withdrawals!A102="","",Agent09_Withdrawals!G102)</f>
        <v/>
      </c>
      <c r="I1695" s="40" t="str">
        <f>IF(Agent09_Withdrawals!A102="","",Agent09_Withdrawals!H102)</f>
        <v/>
      </c>
      <c r="J1695" s="40" t="str">
        <f>IF(Agent09_Withdrawals!A102="","",Agent09_Withdrawals!J102)</f>
        <v/>
      </c>
      <c r="K1695" s="40" t="str">
        <f>IF(Agent09_Withdrawals!A102="","",Agent09_Withdrawals!K102)</f>
        <v/>
      </c>
      <c r="L1695" s="40" t="str">
        <f>IF(G1695="","",IF(D1695-G1695&gt;=System_Config!$B$9,"✅ OK","⚠️ BREACH"))</f>
        <v/>
      </c>
      <c r="M1695" s="40" t="str">
        <f>IFERROR(IF(Agent09_Withdrawals!A102="","",YEAR(Agent09_Withdrawals!D102)),"")</f>
        <v/>
      </c>
    </row>
    <row r="1696" spans="1:13" ht="18" customHeight="1" x14ac:dyDescent="0.25">
      <c r="A1696" s="40" t="str">
        <f>IF(Agent09_Withdrawals!A103="","",Agent09_Withdrawals!A103)</f>
        <v/>
      </c>
      <c r="B1696" s="40" t="str">
        <f ca="1">IF(Agent09_Withdrawals!A103="","","WD"&amp;TEXT(1696-3,"0000")&amp;"-"&amp;TEXT(TODAY(),"YYYYMMDD"))</f>
        <v/>
      </c>
      <c r="C1696" s="40" t="str">
        <f>IF(Agent09_Withdrawals!A103="","",Agent09_Withdrawals!B103)</f>
        <v/>
      </c>
      <c r="D1696" s="43" t="str">
        <f>IF(Agent09_Withdrawals!A103="","",Agent09_Withdrawals!C103)</f>
        <v/>
      </c>
      <c r="E1696" s="41" t="str">
        <f>IF(Agent09_Withdrawals!A103="","",Agent09_Withdrawals!D103)</f>
        <v/>
      </c>
      <c r="F1696" s="40" t="str">
        <f>IF(Agent09_Withdrawals!A103="","",Agent09_Withdrawals!F103)</f>
        <v/>
      </c>
      <c r="G1696" s="42" t="str">
        <f>IF(Agent09_Withdrawals!A103="","",Agent09_Withdrawals!E103)</f>
        <v/>
      </c>
      <c r="H1696" s="42" t="str">
        <f>IF(Agent09_Withdrawals!A103="","",Agent09_Withdrawals!G103)</f>
        <v/>
      </c>
      <c r="I1696" s="40" t="str">
        <f>IF(Agent09_Withdrawals!A103="","",Agent09_Withdrawals!H103)</f>
        <v/>
      </c>
      <c r="J1696" s="40" t="str">
        <f>IF(Agent09_Withdrawals!A103="","",Agent09_Withdrawals!J103)</f>
        <v/>
      </c>
      <c r="K1696" s="40" t="str">
        <f>IF(Agent09_Withdrawals!A103="","",Agent09_Withdrawals!K103)</f>
        <v/>
      </c>
      <c r="L1696" s="40" t="str">
        <f>IF(G1696="","",IF(D1696-G1696&gt;=System_Config!$B$9,"✅ OK","⚠️ BREACH"))</f>
        <v/>
      </c>
      <c r="M1696" s="40" t="str">
        <f>IFERROR(IF(Agent09_Withdrawals!A103="","",YEAR(Agent09_Withdrawals!D103)),"")</f>
        <v/>
      </c>
    </row>
    <row r="1697" spans="1:13" ht="18" customHeight="1" x14ac:dyDescent="0.25">
      <c r="A1697" s="40" t="str">
        <f>IF(Agent09_Withdrawals!A104="","",Agent09_Withdrawals!A104)</f>
        <v/>
      </c>
      <c r="B1697" s="40" t="str">
        <f ca="1">IF(Agent09_Withdrawals!A104="","","WD"&amp;TEXT(1697-3,"0000")&amp;"-"&amp;TEXT(TODAY(),"YYYYMMDD"))</f>
        <v/>
      </c>
      <c r="C1697" s="40" t="str">
        <f>IF(Agent09_Withdrawals!A104="","",Agent09_Withdrawals!B104)</f>
        <v/>
      </c>
      <c r="D1697" s="43" t="str">
        <f>IF(Agent09_Withdrawals!A104="","",Agent09_Withdrawals!C104)</f>
        <v/>
      </c>
      <c r="E1697" s="41" t="str">
        <f>IF(Agent09_Withdrawals!A104="","",Agent09_Withdrawals!D104)</f>
        <v/>
      </c>
      <c r="F1697" s="40" t="str">
        <f>IF(Agent09_Withdrawals!A104="","",Agent09_Withdrawals!F104)</f>
        <v/>
      </c>
      <c r="G1697" s="42" t="str">
        <f>IF(Agent09_Withdrawals!A104="","",Agent09_Withdrawals!E104)</f>
        <v/>
      </c>
      <c r="H1697" s="42" t="str">
        <f>IF(Agent09_Withdrawals!A104="","",Agent09_Withdrawals!G104)</f>
        <v/>
      </c>
      <c r="I1697" s="40" t="str">
        <f>IF(Agent09_Withdrawals!A104="","",Agent09_Withdrawals!H104)</f>
        <v/>
      </c>
      <c r="J1697" s="40" t="str">
        <f>IF(Agent09_Withdrawals!A104="","",Agent09_Withdrawals!J104)</f>
        <v/>
      </c>
      <c r="K1697" s="40" t="str">
        <f>IF(Agent09_Withdrawals!A104="","",Agent09_Withdrawals!K104)</f>
        <v/>
      </c>
      <c r="L1697" s="40" t="str">
        <f>IF(G1697="","",IF(D1697-G1697&gt;=System_Config!$B$9,"✅ OK","⚠️ BREACH"))</f>
        <v/>
      </c>
      <c r="M1697" s="40" t="str">
        <f>IFERROR(IF(Agent09_Withdrawals!A104="","",YEAR(Agent09_Withdrawals!D104)),"")</f>
        <v/>
      </c>
    </row>
    <row r="1698" spans="1:13" ht="18" customHeight="1" x14ac:dyDescent="0.25">
      <c r="A1698" s="40" t="str">
        <f>IF(Agent09_Withdrawals!A105="","",Agent09_Withdrawals!A105)</f>
        <v/>
      </c>
      <c r="B1698" s="40" t="str">
        <f ca="1">IF(Agent09_Withdrawals!A105="","","WD"&amp;TEXT(1698-3,"0000")&amp;"-"&amp;TEXT(TODAY(),"YYYYMMDD"))</f>
        <v/>
      </c>
      <c r="C1698" s="40" t="str">
        <f>IF(Agent09_Withdrawals!A105="","",Agent09_Withdrawals!B105)</f>
        <v/>
      </c>
      <c r="D1698" s="43" t="str">
        <f>IF(Agent09_Withdrawals!A105="","",Agent09_Withdrawals!C105)</f>
        <v/>
      </c>
      <c r="E1698" s="41" t="str">
        <f>IF(Agent09_Withdrawals!A105="","",Agent09_Withdrawals!D105)</f>
        <v/>
      </c>
      <c r="F1698" s="40" t="str">
        <f>IF(Agent09_Withdrawals!A105="","",Agent09_Withdrawals!F105)</f>
        <v/>
      </c>
      <c r="G1698" s="42" t="str">
        <f>IF(Agent09_Withdrawals!A105="","",Agent09_Withdrawals!E105)</f>
        <v/>
      </c>
      <c r="H1698" s="42" t="str">
        <f>IF(Agent09_Withdrawals!A105="","",Agent09_Withdrawals!G105)</f>
        <v/>
      </c>
      <c r="I1698" s="40" t="str">
        <f>IF(Agent09_Withdrawals!A105="","",Agent09_Withdrawals!H105)</f>
        <v/>
      </c>
      <c r="J1698" s="40" t="str">
        <f>IF(Agent09_Withdrawals!A105="","",Agent09_Withdrawals!J105)</f>
        <v/>
      </c>
      <c r="K1698" s="40" t="str">
        <f>IF(Agent09_Withdrawals!A105="","",Agent09_Withdrawals!K105)</f>
        <v/>
      </c>
      <c r="L1698" s="40" t="str">
        <f>IF(G1698="","",IF(D1698-G1698&gt;=System_Config!$B$9,"✅ OK","⚠️ BREACH"))</f>
        <v/>
      </c>
      <c r="M1698" s="40" t="str">
        <f>IFERROR(IF(Agent09_Withdrawals!A105="","",YEAR(Agent09_Withdrawals!D105)),"")</f>
        <v/>
      </c>
    </row>
    <row r="1699" spans="1:13" ht="18" customHeight="1" x14ac:dyDescent="0.25">
      <c r="A1699" s="40" t="str">
        <f>IF(Agent09_Withdrawals!A106="","",Agent09_Withdrawals!A106)</f>
        <v/>
      </c>
      <c r="B1699" s="40" t="str">
        <f ca="1">IF(Agent09_Withdrawals!A106="","","WD"&amp;TEXT(1699-3,"0000")&amp;"-"&amp;TEXT(TODAY(),"YYYYMMDD"))</f>
        <v/>
      </c>
      <c r="C1699" s="40" t="str">
        <f>IF(Agent09_Withdrawals!A106="","",Agent09_Withdrawals!B106)</f>
        <v/>
      </c>
      <c r="D1699" s="43" t="str">
        <f>IF(Agent09_Withdrawals!A106="","",Agent09_Withdrawals!C106)</f>
        <v/>
      </c>
      <c r="E1699" s="41" t="str">
        <f>IF(Agent09_Withdrawals!A106="","",Agent09_Withdrawals!D106)</f>
        <v/>
      </c>
      <c r="F1699" s="40" t="str">
        <f>IF(Agent09_Withdrawals!A106="","",Agent09_Withdrawals!F106)</f>
        <v/>
      </c>
      <c r="G1699" s="42" t="str">
        <f>IF(Agent09_Withdrawals!A106="","",Agent09_Withdrawals!E106)</f>
        <v/>
      </c>
      <c r="H1699" s="42" t="str">
        <f>IF(Agent09_Withdrawals!A106="","",Agent09_Withdrawals!G106)</f>
        <v/>
      </c>
      <c r="I1699" s="40" t="str">
        <f>IF(Agent09_Withdrawals!A106="","",Agent09_Withdrawals!H106)</f>
        <v/>
      </c>
      <c r="J1699" s="40" t="str">
        <f>IF(Agent09_Withdrawals!A106="","",Agent09_Withdrawals!J106)</f>
        <v/>
      </c>
      <c r="K1699" s="40" t="str">
        <f>IF(Agent09_Withdrawals!A106="","",Agent09_Withdrawals!K106)</f>
        <v/>
      </c>
      <c r="L1699" s="40" t="str">
        <f>IF(G1699="","",IF(D1699-G1699&gt;=System_Config!$B$9,"✅ OK","⚠️ BREACH"))</f>
        <v/>
      </c>
      <c r="M1699" s="40" t="str">
        <f>IFERROR(IF(Agent09_Withdrawals!A106="","",YEAR(Agent09_Withdrawals!D106)),"")</f>
        <v/>
      </c>
    </row>
    <row r="1700" spans="1:13" ht="18" customHeight="1" x14ac:dyDescent="0.25">
      <c r="A1700" s="40" t="str">
        <f>IF(Agent09_Withdrawals!A107="","",Agent09_Withdrawals!A107)</f>
        <v/>
      </c>
      <c r="B1700" s="40" t="str">
        <f ca="1">IF(Agent09_Withdrawals!A107="","","WD"&amp;TEXT(1700-3,"0000")&amp;"-"&amp;TEXT(TODAY(),"YYYYMMDD"))</f>
        <v/>
      </c>
      <c r="C1700" s="40" t="str">
        <f>IF(Agent09_Withdrawals!A107="","",Agent09_Withdrawals!B107)</f>
        <v/>
      </c>
      <c r="D1700" s="43" t="str">
        <f>IF(Agent09_Withdrawals!A107="","",Agent09_Withdrawals!C107)</f>
        <v/>
      </c>
      <c r="E1700" s="41" t="str">
        <f>IF(Agent09_Withdrawals!A107="","",Agent09_Withdrawals!D107)</f>
        <v/>
      </c>
      <c r="F1700" s="40" t="str">
        <f>IF(Agent09_Withdrawals!A107="","",Agent09_Withdrawals!F107)</f>
        <v/>
      </c>
      <c r="G1700" s="42" t="str">
        <f>IF(Agent09_Withdrawals!A107="","",Agent09_Withdrawals!E107)</f>
        <v/>
      </c>
      <c r="H1700" s="42" t="str">
        <f>IF(Agent09_Withdrawals!A107="","",Agent09_Withdrawals!G107)</f>
        <v/>
      </c>
      <c r="I1700" s="40" t="str">
        <f>IF(Agent09_Withdrawals!A107="","",Agent09_Withdrawals!H107)</f>
        <v/>
      </c>
      <c r="J1700" s="40" t="str">
        <f>IF(Agent09_Withdrawals!A107="","",Agent09_Withdrawals!J107)</f>
        <v/>
      </c>
      <c r="K1700" s="40" t="str">
        <f>IF(Agent09_Withdrawals!A107="","",Agent09_Withdrawals!K107)</f>
        <v/>
      </c>
      <c r="L1700" s="40" t="str">
        <f>IF(G1700="","",IF(D1700-G1700&gt;=System_Config!$B$9,"✅ OK","⚠️ BREACH"))</f>
        <v/>
      </c>
      <c r="M1700" s="40" t="str">
        <f>IFERROR(IF(Agent09_Withdrawals!A107="","",YEAR(Agent09_Withdrawals!D107)),"")</f>
        <v/>
      </c>
    </row>
    <row r="1701" spans="1:13" ht="18" customHeight="1" x14ac:dyDescent="0.25">
      <c r="A1701" s="40" t="str">
        <f>IF(Agent09_Withdrawals!A108="","",Agent09_Withdrawals!A108)</f>
        <v/>
      </c>
      <c r="B1701" s="40" t="str">
        <f ca="1">IF(Agent09_Withdrawals!A108="","","WD"&amp;TEXT(1701-3,"0000")&amp;"-"&amp;TEXT(TODAY(),"YYYYMMDD"))</f>
        <v/>
      </c>
      <c r="C1701" s="40" t="str">
        <f>IF(Agent09_Withdrawals!A108="","",Agent09_Withdrawals!B108)</f>
        <v/>
      </c>
      <c r="D1701" s="43" t="str">
        <f>IF(Agent09_Withdrawals!A108="","",Agent09_Withdrawals!C108)</f>
        <v/>
      </c>
      <c r="E1701" s="41" t="str">
        <f>IF(Agent09_Withdrawals!A108="","",Agent09_Withdrawals!D108)</f>
        <v/>
      </c>
      <c r="F1701" s="40" t="str">
        <f>IF(Agent09_Withdrawals!A108="","",Agent09_Withdrawals!F108)</f>
        <v/>
      </c>
      <c r="G1701" s="42" t="str">
        <f>IF(Agent09_Withdrawals!A108="","",Agent09_Withdrawals!E108)</f>
        <v/>
      </c>
      <c r="H1701" s="42" t="str">
        <f>IF(Agent09_Withdrawals!A108="","",Agent09_Withdrawals!G108)</f>
        <v/>
      </c>
      <c r="I1701" s="40" t="str">
        <f>IF(Agent09_Withdrawals!A108="","",Agent09_Withdrawals!H108)</f>
        <v/>
      </c>
      <c r="J1701" s="40" t="str">
        <f>IF(Agent09_Withdrawals!A108="","",Agent09_Withdrawals!J108)</f>
        <v/>
      </c>
      <c r="K1701" s="40" t="str">
        <f>IF(Agent09_Withdrawals!A108="","",Agent09_Withdrawals!K108)</f>
        <v/>
      </c>
      <c r="L1701" s="40" t="str">
        <f>IF(G1701="","",IF(D1701-G1701&gt;=System_Config!$B$9,"✅ OK","⚠️ BREACH"))</f>
        <v/>
      </c>
      <c r="M1701" s="40" t="str">
        <f>IFERROR(IF(Agent09_Withdrawals!A108="","",YEAR(Agent09_Withdrawals!D108)),"")</f>
        <v/>
      </c>
    </row>
    <row r="1702" spans="1:13" ht="18" customHeight="1" x14ac:dyDescent="0.25">
      <c r="A1702" s="40" t="str">
        <f>IF(Agent09_Withdrawals!A109="","",Agent09_Withdrawals!A109)</f>
        <v/>
      </c>
      <c r="B1702" s="40" t="str">
        <f ca="1">IF(Agent09_Withdrawals!A109="","","WD"&amp;TEXT(1702-3,"0000")&amp;"-"&amp;TEXT(TODAY(),"YYYYMMDD"))</f>
        <v/>
      </c>
      <c r="C1702" s="40" t="str">
        <f>IF(Agent09_Withdrawals!A109="","",Agent09_Withdrawals!B109)</f>
        <v/>
      </c>
      <c r="D1702" s="43" t="str">
        <f>IF(Agent09_Withdrawals!A109="","",Agent09_Withdrawals!C109)</f>
        <v/>
      </c>
      <c r="E1702" s="41" t="str">
        <f>IF(Agent09_Withdrawals!A109="","",Agent09_Withdrawals!D109)</f>
        <v/>
      </c>
      <c r="F1702" s="40" t="str">
        <f>IF(Agent09_Withdrawals!A109="","",Agent09_Withdrawals!F109)</f>
        <v/>
      </c>
      <c r="G1702" s="42" t="str">
        <f>IF(Agent09_Withdrawals!A109="","",Agent09_Withdrawals!E109)</f>
        <v/>
      </c>
      <c r="H1702" s="42" t="str">
        <f>IF(Agent09_Withdrawals!A109="","",Agent09_Withdrawals!G109)</f>
        <v/>
      </c>
      <c r="I1702" s="40" t="str">
        <f>IF(Agent09_Withdrawals!A109="","",Agent09_Withdrawals!H109)</f>
        <v/>
      </c>
      <c r="J1702" s="40" t="str">
        <f>IF(Agent09_Withdrawals!A109="","",Agent09_Withdrawals!J109)</f>
        <v/>
      </c>
      <c r="K1702" s="40" t="str">
        <f>IF(Agent09_Withdrawals!A109="","",Agent09_Withdrawals!K109)</f>
        <v/>
      </c>
      <c r="L1702" s="40" t="str">
        <f>IF(G1702="","",IF(D1702-G1702&gt;=System_Config!$B$9,"✅ OK","⚠️ BREACH"))</f>
        <v/>
      </c>
      <c r="M1702" s="40" t="str">
        <f>IFERROR(IF(Agent09_Withdrawals!A109="","",YEAR(Agent09_Withdrawals!D109)),"")</f>
        <v/>
      </c>
    </row>
    <row r="1703" spans="1:13" ht="18" customHeight="1" x14ac:dyDescent="0.25">
      <c r="A1703" s="40" t="str">
        <f>IF(Agent09_Withdrawals!A110="","",Agent09_Withdrawals!A110)</f>
        <v/>
      </c>
      <c r="B1703" s="40" t="str">
        <f ca="1">IF(Agent09_Withdrawals!A110="","","WD"&amp;TEXT(1703-3,"0000")&amp;"-"&amp;TEXT(TODAY(),"YYYYMMDD"))</f>
        <v/>
      </c>
      <c r="C1703" s="40" t="str">
        <f>IF(Agent09_Withdrawals!A110="","",Agent09_Withdrawals!B110)</f>
        <v/>
      </c>
      <c r="D1703" s="43" t="str">
        <f>IF(Agent09_Withdrawals!A110="","",Agent09_Withdrawals!C110)</f>
        <v/>
      </c>
      <c r="E1703" s="41" t="str">
        <f>IF(Agent09_Withdrawals!A110="","",Agent09_Withdrawals!D110)</f>
        <v/>
      </c>
      <c r="F1703" s="40" t="str">
        <f>IF(Agent09_Withdrawals!A110="","",Agent09_Withdrawals!F110)</f>
        <v/>
      </c>
      <c r="G1703" s="42" t="str">
        <f>IF(Agent09_Withdrawals!A110="","",Agent09_Withdrawals!E110)</f>
        <v/>
      </c>
      <c r="H1703" s="42" t="str">
        <f>IF(Agent09_Withdrawals!A110="","",Agent09_Withdrawals!G110)</f>
        <v/>
      </c>
      <c r="I1703" s="40" t="str">
        <f>IF(Agent09_Withdrawals!A110="","",Agent09_Withdrawals!H110)</f>
        <v/>
      </c>
      <c r="J1703" s="40" t="str">
        <f>IF(Agent09_Withdrawals!A110="","",Agent09_Withdrawals!J110)</f>
        <v/>
      </c>
      <c r="K1703" s="40" t="str">
        <f>IF(Agent09_Withdrawals!A110="","",Agent09_Withdrawals!K110)</f>
        <v/>
      </c>
      <c r="L1703" s="40" t="str">
        <f>IF(G1703="","",IF(D1703-G1703&gt;=System_Config!$B$9,"✅ OK","⚠️ BREACH"))</f>
        <v/>
      </c>
      <c r="M1703" s="40" t="str">
        <f>IFERROR(IF(Agent09_Withdrawals!A110="","",YEAR(Agent09_Withdrawals!D110)),"")</f>
        <v/>
      </c>
    </row>
    <row r="1704" spans="1:13" ht="18" customHeight="1" x14ac:dyDescent="0.25">
      <c r="A1704" s="40" t="str">
        <f>IF(Agent09_Withdrawals!A111="","",Agent09_Withdrawals!A111)</f>
        <v/>
      </c>
      <c r="B1704" s="40" t="str">
        <f ca="1">IF(Agent09_Withdrawals!A111="","","WD"&amp;TEXT(1704-3,"0000")&amp;"-"&amp;TEXT(TODAY(),"YYYYMMDD"))</f>
        <v/>
      </c>
      <c r="C1704" s="40" t="str">
        <f>IF(Agent09_Withdrawals!A111="","",Agent09_Withdrawals!B111)</f>
        <v/>
      </c>
      <c r="D1704" s="43" t="str">
        <f>IF(Agent09_Withdrawals!A111="","",Agent09_Withdrawals!C111)</f>
        <v/>
      </c>
      <c r="E1704" s="41" t="str">
        <f>IF(Agent09_Withdrawals!A111="","",Agent09_Withdrawals!D111)</f>
        <v/>
      </c>
      <c r="F1704" s="40" t="str">
        <f>IF(Agent09_Withdrawals!A111="","",Agent09_Withdrawals!F111)</f>
        <v/>
      </c>
      <c r="G1704" s="42" t="str">
        <f>IF(Agent09_Withdrawals!A111="","",Agent09_Withdrawals!E111)</f>
        <v/>
      </c>
      <c r="H1704" s="42" t="str">
        <f>IF(Agent09_Withdrawals!A111="","",Agent09_Withdrawals!G111)</f>
        <v/>
      </c>
      <c r="I1704" s="40" t="str">
        <f>IF(Agent09_Withdrawals!A111="","",Agent09_Withdrawals!H111)</f>
        <v/>
      </c>
      <c r="J1704" s="40" t="str">
        <f>IF(Agent09_Withdrawals!A111="","",Agent09_Withdrawals!J111)</f>
        <v/>
      </c>
      <c r="K1704" s="40" t="str">
        <f>IF(Agent09_Withdrawals!A111="","",Agent09_Withdrawals!K111)</f>
        <v/>
      </c>
      <c r="L1704" s="40" t="str">
        <f>IF(G1704="","",IF(D1704-G1704&gt;=System_Config!$B$9,"✅ OK","⚠️ BREACH"))</f>
        <v/>
      </c>
      <c r="M1704" s="40" t="str">
        <f>IFERROR(IF(Agent09_Withdrawals!A111="","",YEAR(Agent09_Withdrawals!D111)),"")</f>
        <v/>
      </c>
    </row>
    <row r="1705" spans="1:13" ht="18" customHeight="1" x14ac:dyDescent="0.25">
      <c r="A1705" s="40" t="str">
        <f>IF(Agent09_Withdrawals!A112="","",Agent09_Withdrawals!A112)</f>
        <v/>
      </c>
      <c r="B1705" s="40" t="str">
        <f ca="1">IF(Agent09_Withdrawals!A112="","","WD"&amp;TEXT(1705-3,"0000")&amp;"-"&amp;TEXT(TODAY(),"YYYYMMDD"))</f>
        <v/>
      </c>
      <c r="C1705" s="40" t="str">
        <f>IF(Agent09_Withdrawals!A112="","",Agent09_Withdrawals!B112)</f>
        <v/>
      </c>
      <c r="D1705" s="43" t="str">
        <f>IF(Agent09_Withdrawals!A112="","",Agent09_Withdrawals!C112)</f>
        <v/>
      </c>
      <c r="E1705" s="41" t="str">
        <f>IF(Agent09_Withdrawals!A112="","",Agent09_Withdrawals!D112)</f>
        <v/>
      </c>
      <c r="F1705" s="40" t="str">
        <f>IF(Agent09_Withdrawals!A112="","",Agent09_Withdrawals!F112)</f>
        <v/>
      </c>
      <c r="G1705" s="42" t="str">
        <f>IF(Agent09_Withdrawals!A112="","",Agent09_Withdrawals!E112)</f>
        <v/>
      </c>
      <c r="H1705" s="42" t="str">
        <f>IF(Agent09_Withdrawals!A112="","",Agent09_Withdrawals!G112)</f>
        <v/>
      </c>
      <c r="I1705" s="40" t="str">
        <f>IF(Agent09_Withdrawals!A112="","",Agent09_Withdrawals!H112)</f>
        <v/>
      </c>
      <c r="J1705" s="40" t="str">
        <f>IF(Agent09_Withdrawals!A112="","",Agent09_Withdrawals!J112)</f>
        <v/>
      </c>
      <c r="K1705" s="40" t="str">
        <f>IF(Agent09_Withdrawals!A112="","",Agent09_Withdrawals!K112)</f>
        <v/>
      </c>
      <c r="L1705" s="40" t="str">
        <f>IF(G1705="","",IF(D1705-G1705&gt;=System_Config!$B$9,"✅ OK","⚠️ BREACH"))</f>
        <v/>
      </c>
      <c r="M1705" s="40" t="str">
        <f>IFERROR(IF(Agent09_Withdrawals!A112="","",YEAR(Agent09_Withdrawals!D112)),"")</f>
        <v/>
      </c>
    </row>
    <row r="1706" spans="1:13" ht="18" customHeight="1" x14ac:dyDescent="0.25">
      <c r="A1706" s="40" t="str">
        <f>IF(Agent09_Withdrawals!A113="","",Agent09_Withdrawals!A113)</f>
        <v/>
      </c>
      <c r="B1706" s="40" t="str">
        <f ca="1">IF(Agent09_Withdrawals!A113="","","WD"&amp;TEXT(1706-3,"0000")&amp;"-"&amp;TEXT(TODAY(),"YYYYMMDD"))</f>
        <v/>
      </c>
      <c r="C1706" s="40" t="str">
        <f>IF(Agent09_Withdrawals!A113="","",Agent09_Withdrawals!B113)</f>
        <v/>
      </c>
      <c r="D1706" s="43" t="str">
        <f>IF(Agent09_Withdrawals!A113="","",Agent09_Withdrawals!C113)</f>
        <v/>
      </c>
      <c r="E1706" s="41" t="str">
        <f>IF(Agent09_Withdrawals!A113="","",Agent09_Withdrawals!D113)</f>
        <v/>
      </c>
      <c r="F1706" s="40" t="str">
        <f>IF(Agent09_Withdrawals!A113="","",Agent09_Withdrawals!F113)</f>
        <v/>
      </c>
      <c r="G1706" s="42" t="str">
        <f>IF(Agent09_Withdrawals!A113="","",Agent09_Withdrawals!E113)</f>
        <v/>
      </c>
      <c r="H1706" s="42" t="str">
        <f>IF(Agent09_Withdrawals!A113="","",Agent09_Withdrawals!G113)</f>
        <v/>
      </c>
      <c r="I1706" s="40" t="str">
        <f>IF(Agent09_Withdrawals!A113="","",Agent09_Withdrawals!H113)</f>
        <v/>
      </c>
      <c r="J1706" s="40" t="str">
        <f>IF(Agent09_Withdrawals!A113="","",Agent09_Withdrawals!J113)</f>
        <v/>
      </c>
      <c r="K1706" s="40" t="str">
        <f>IF(Agent09_Withdrawals!A113="","",Agent09_Withdrawals!K113)</f>
        <v/>
      </c>
      <c r="L1706" s="40" t="str">
        <f>IF(G1706="","",IF(D1706-G1706&gt;=System_Config!$B$9,"✅ OK","⚠️ BREACH"))</f>
        <v/>
      </c>
      <c r="M1706" s="40" t="str">
        <f>IFERROR(IF(Agent09_Withdrawals!A113="","",YEAR(Agent09_Withdrawals!D113)),"")</f>
        <v/>
      </c>
    </row>
    <row r="1707" spans="1:13" ht="18" customHeight="1" x14ac:dyDescent="0.25">
      <c r="A1707" s="40" t="str">
        <f>IF(Agent09_Withdrawals!A114="","",Agent09_Withdrawals!A114)</f>
        <v/>
      </c>
      <c r="B1707" s="40" t="str">
        <f ca="1">IF(Agent09_Withdrawals!A114="","","WD"&amp;TEXT(1707-3,"0000")&amp;"-"&amp;TEXT(TODAY(),"YYYYMMDD"))</f>
        <v/>
      </c>
      <c r="C1707" s="40" t="str">
        <f>IF(Agent09_Withdrawals!A114="","",Agent09_Withdrawals!B114)</f>
        <v/>
      </c>
      <c r="D1707" s="43" t="str">
        <f>IF(Agent09_Withdrawals!A114="","",Agent09_Withdrawals!C114)</f>
        <v/>
      </c>
      <c r="E1707" s="41" t="str">
        <f>IF(Agent09_Withdrawals!A114="","",Agent09_Withdrawals!D114)</f>
        <v/>
      </c>
      <c r="F1707" s="40" t="str">
        <f>IF(Agent09_Withdrawals!A114="","",Agent09_Withdrawals!F114)</f>
        <v/>
      </c>
      <c r="G1707" s="42" t="str">
        <f>IF(Agent09_Withdrawals!A114="","",Agent09_Withdrawals!E114)</f>
        <v/>
      </c>
      <c r="H1707" s="42" t="str">
        <f>IF(Agent09_Withdrawals!A114="","",Agent09_Withdrawals!G114)</f>
        <v/>
      </c>
      <c r="I1707" s="40" t="str">
        <f>IF(Agent09_Withdrawals!A114="","",Agent09_Withdrawals!H114)</f>
        <v/>
      </c>
      <c r="J1707" s="40" t="str">
        <f>IF(Agent09_Withdrawals!A114="","",Agent09_Withdrawals!J114)</f>
        <v/>
      </c>
      <c r="K1707" s="40" t="str">
        <f>IF(Agent09_Withdrawals!A114="","",Agent09_Withdrawals!K114)</f>
        <v/>
      </c>
      <c r="L1707" s="40" t="str">
        <f>IF(G1707="","",IF(D1707-G1707&gt;=System_Config!$B$9,"✅ OK","⚠️ BREACH"))</f>
        <v/>
      </c>
      <c r="M1707" s="40" t="str">
        <f>IFERROR(IF(Agent09_Withdrawals!A114="","",YEAR(Agent09_Withdrawals!D114)),"")</f>
        <v/>
      </c>
    </row>
    <row r="1708" spans="1:13" ht="18" customHeight="1" x14ac:dyDescent="0.25">
      <c r="A1708" s="40" t="str">
        <f>IF(Agent09_Withdrawals!A115="","",Agent09_Withdrawals!A115)</f>
        <v/>
      </c>
      <c r="B1708" s="40" t="str">
        <f ca="1">IF(Agent09_Withdrawals!A115="","","WD"&amp;TEXT(1708-3,"0000")&amp;"-"&amp;TEXT(TODAY(),"YYYYMMDD"))</f>
        <v/>
      </c>
      <c r="C1708" s="40" t="str">
        <f>IF(Agent09_Withdrawals!A115="","",Agent09_Withdrawals!B115)</f>
        <v/>
      </c>
      <c r="D1708" s="43" t="str">
        <f>IF(Agent09_Withdrawals!A115="","",Agent09_Withdrawals!C115)</f>
        <v/>
      </c>
      <c r="E1708" s="41" t="str">
        <f>IF(Agent09_Withdrawals!A115="","",Agent09_Withdrawals!D115)</f>
        <v/>
      </c>
      <c r="F1708" s="40" t="str">
        <f>IF(Agent09_Withdrawals!A115="","",Agent09_Withdrawals!F115)</f>
        <v/>
      </c>
      <c r="G1708" s="42" t="str">
        <f>IF(Agent09_Withdrawals!A115="","",Agent09_Withdrawals!E115)</f>
        <v/>
      </c>
      <c r="H1708" s="42" t="str">
        <f>IF(Agent09_Withdrawals!A115="","",Agent09_Withdrawals!G115)</f>
        <v/>
      </c>
      <c r="I1708" s="40" t="str">
        <f>IF(Agent09_Withdrawals!A115="","",Agent09_Withdrawals!H115)</f>
        <v/>
      </c>
      <c r="J1708" s="40" t="str">
        <f>IF(Agent09_Withdrawals!A115="","",Agent09_Withdrawals!J115)</f>
        <v/>
      </c>
      <c r="K1708" s="40" t="str">
        <f>IF(Agent09_Withdrawals!A115="","",Agent09_Withdrawals!K115)</f>
        <v/>
      </c>
      <c r="L1708" s="40" t="str">
        <f>IF(G1708="","",IF(D1708-G1708&gt;=System_Config!$B$9,"✅ OK","⚠️ BREACH"))</f>
        <v/>
      </c>
      <c r="M1708" s="40" t="str">
        <f>IFERROR(IF(Agent09_Withdrawals!A115="","",YEAR(Agent09_Withdrawals!D115)),"")</f>
        <v/>
      </c>
    </row>
    <row r="1709" spans="1:13" ht="18" customHeight="1" x14ac:dyDescent="0.25">
      <c r="A1709" s="40" t="str">
        <f>IF(Agent09_Withdrawals!A116="","",Agent09_Withdrawals!A116)</f>
        <v/>
      </c>
      <c r="B1709" s="40" t="str">
        <f ca="1">IF(Agent09_Withdrawals!A116="","","WD"&amp;TEXT(1709-3,"0000")&amp;"-"&amp;TEXT(TODAY(),"YYYYMMDD"))</f>
        <v/>
      </c>
      <c r="C1709" s="40" t="str">
        <f>IF(Agent09_Withdrawals!A116="","",Agent09_Withdrawals!B116)</f>
        <v/>
      </c>
      <c r="D1709" s="43" t="str">
        <f>IF(Agent09_Withdrawals!A116="","",Agent09_Withdrawals!C116)</f>
        <v/>
      </c>
      <c r="E1709" s="41" t="str">
        <f>IF(Agent09_Withdrawals!A116="","",Agent09_Withdrawals!D116)</f>
        <v/>
      </c>
      <c r="F1709" s="40" t="str">
        <f>IF(Agent09_Withdrawals!A116="","",Agent09_Withdrawals!F116)</f>
        <v/>
      </c>
      <c r="G1709" s="42" t="str">
        <f>IF(Agent09_Withdrawals!A116="","",Agent09_Withdrawals!E116)</f>
        <v/>
      </c>
      <c r="H1709" s="42" t="str">
        <f>IF(Agent09_Withdrawals!A116="","",Agent09_Withdrawals!G116)</f>
        <v/>
      </c>
      <c r="I1709" s="40" t="str">
        <f>IF(Agent09_Withdrawals!A116="","",Agent09_Withdrawals!H116)</f>
        <v/>
      </c>
      <c r="J1709" s="40" t="str">
        <f>IF(Agent09_Withdrawals!A116="","",Agent09_Withdrawals!J116)</f>
        <v/>
      </c>
      <c r="K1709" s="40" t="str">
        <f>IF(Agent09_Withdrawals!A116="","",Agent09_Withdrawals!K116)</f>
        <v/>
      </c>
      <c r="L1709" s="40" t="str">
        <f>IF(G1709="","",IF(D1709-G1709&gt;=System_Config!$B$9,"✅ OK","⚠️ BREACH"))</f>
        <v/>
      </c>
      <c r="M1709" s="40" t="str">
        <f>IFERROR(IF(Agent09_Withdrawals!A116="","",YEAR(Agent09_Withdrawals!D116)),"")</f>
        <v/>
      </c>
    </row>
    <row r="1710" spans="1:13" ht="18" customHeight="1" x14ac:dyDescent="0.25">
      <c r="A1710" s="40" t="str">
        <f>IF(Agent09_Withdrawals!A117="","",Agent09_Withdrawals!A117)</f>
        <v/>
      </c>
      <c r="B1710" s="40" t="str">
        <f ca="1">IF(Agent09_Withdrawals!A117="","","WD"&amp;TEXT(1710-3,"0000")&amp;"-"&amp;TEXT(TODAY(),"YYYYMMDD"))</f>
        <v/>
      </c>
      <c r="C1710" s="40" t="str">
        <f>IF(Agent09_Withdrawals!A117="","",Agent09_Withdrawals!B117)</f>
        <v/>
      </c>
      <c r="D1710" s="43" t="str">
        <f>IF(Agent09_Withdrawals!A117="","",Agent09_Withdrawals!C117)</f>
        <v/>
      </c>
      <c r="E1710" s="41" t="str">
        <f>IF(Agent09_Withdrawals!A117="","",Agent09_Withdrawals!D117)</f>
        <v/>
      </c>
      <c r="F1710" s="40" t="str">
        <f>IF(Agent09_Withdrawals!A117="","",Agent09_Withdrawals!F117)</f>
        <v/>
      </c>
      <c r="G1710" s="42" t="str">
        <f>IF(Agent09_Withdrawals!A117="","",Agent09_Withdrawals!E117)</f>
        <v/>
      </c>
      <c r="H1710" s="42" t="str">
        <f>IF(Agent09_Withdrawals!A117="","",Agent09_Withdrawals!G117)</f>
        <v/>
      </c>
      <c r="I1710" s="40" t="str">
        <f>IF(Agent09_Withdrawals!A117="","",Agent09_Withdrawals!H117)</f>
        <v/>
      </c>
      <c r="J1710" s="40" t="str">
        <f>IF(Agent09_Withdrawals!A117="","",Agent09_Withdrawals!J117)</f>
        <v/>
      </c>
      <c r="K1710" s="40" t="str">
        <f>IF(Agent09_Withdrawals!A117="","",Agent09_Withdrawals!K117)</f>
        <v/>
      </c>
      <c r="L1710" s="40" t="str">
        <f>IF(G1710="","",IF(D1710-G1710&gt;=System_Config!$B$9,"✅ OK","⚠️ BREACH"))</f>
        <v/>
      </c>
      <c r="M1710" s="40" t="str">
        <f>IFERROR(IF(Agent09_Withdrawals!A117="","",YEAR(Agent09_Withdrawals!D117)),"")</f>
        <v/>
      </c>
    </row>
    <row r="1711" spans="1:13" ht="18" customHeight="1" x14ac:dyDescent="0.25">
      <c r="A1711" s="40" t="str">
        <f>IF(Agent09_Withdrawals!A118="","",Agent09_Withdrawals!A118)</f>
        <v/>
      </c>
      <c r="B1711" s="40" t="str">
        <f ca="1">IF(Agent09_Withdrawals!A118="","","WD"&amp;TEXT(1711-3,"0000")&amp;"-"&amp;TEXT(TODAY(),"YYYYMMDD"))</f>
        <v/>
      </c>
      <c r="C1711" s="40" t="str">
        <f>IF(Agent09_Withdrawals!A118="","",Agent09_Withdrawals!B118)</f>
        <v/>
      </c>
      <c r="D1711" s="43" t="str">
        <f>IF(Agent09_Withdrawals!A118="","",Agent09_Withdrawals!C118)</f>
        <v/>
      </c>
      <c r="E1711" s="41" t="str">
        <f>IF(Agent09_Withdrawals!A118="","",Agent09_Withdrawals!D118)</f>
        <v/>
      </c>
      <c r="F1711" s="40" t="str">
        <f>IF(Agent09_Withdrawals!A118="","",Agent09_Withdrawals!F118)</f>
        <v/>
      </c>
      <c r="G1711" s="42" t="str">
        <f>IF(Agent09_Withdrawals!A118="","",Agent09_Withdrawals!E118)</f>
        <v/>
      </c>
      <c r="H1711" s="42" t="str">
        <f>IF(Agent09_Withdrawals!A118="","",Agent09_Withdrawals!G118)</f>
        <v/>
      </c>
      <c r="I1711" s="40" t="str">
        <f>IF(Agent09_Withdrawals!A118="","",Agent09_Withdrawals!H118)</f>
        <v/>
      </c>
      <c r="J1711" s="40" t="str">
        <f>IF(Agent09_Withdrawals!A118="","",Agent09_Withdrawals!J118)</f>
        <v/>
      </c>
      <c r="K1711" s="40" t="str">
        <f>IF(Agent09_Withdrawals!A118="","",Agent09_Withdrawals!K118)</f>
        <v/>
      </c>
      <c r="L1711" s="40" t="str">
        <f>IF(G1711="","",IF(D1711-G1711&gt;=System_Config!$B$9,"✅ OK","⚠️ BREACH"))</f>
        <v/>
      </c>
      <c r="M1711" s="40" t="str">
        <f>IFERROR(IF(Agent09_Withdrawals!A118="","",YEAR(Agent09_Withdrawals!D118)),"")</f>
        <v/>
      </c>
    </row>
    <row r="1712" spans="1:13" ht="18" customHeight="1" x14ac:dyDescent="0.25">
      <c r="A1712" s="40" t="str">
        <f>IF(Agent09_Withdrawals!A119="","",Agent09_Withdrawals!A119)</f>
        <v/>
      </c>
      <c r="B1712" s="40" t="str">
        <f ca="1">IF(Agent09_Withdrawals!A119="","","WD"&amp;TEXT(1712-3,"0000")&amp;"-"&amp;TEXT(TODAY(),"YYYYMMDD"))</f>
        <v/>
      </c>
      <c r="C1712" s="40" t="str">
        <f>IF(Agent09_Withdrawals!A119="","",Agent09_Withdrawals!B119)</f>
        <v/>
      </c>
      <c r="D1712" s="43" t="str">
        <f>IF(Agent09_Withdrawals!A119="","",Agent09_Withdrawals!C119)</f>
        <v/>
      </c>
      <c r="E1712" s="41" t="str">
        <f>IF(Agent09_Withdrawals!A119="","",Agent09_Withdrawals!D119)</f>
        <v/>
      </c>
      <c r="F1712" s="40" t="str">
        <f>IF(Agent09_Withdrawals!A119="","",Agent09_Withdrawals!F119)</f>
        <v/>
      </c>
      <c r="G1712" s="42" t="str">
        <f>IF(Agent09_Withdrawals!A119="","",Agent09_Withdrawals!E119)</f>
        <v/>
      </c>
      <c r="H1712" s="42" t="str">
        <f>IF(Agent09_Withdrawals!A119="","",Agent09_Withdrawals!G119)</f>
        <v/>
      </c>
      <c r="I1712" s="40" t="str">
        <f>IF(Agent09_Withdrawals!A119="","",Agent09_Withdrawals!H119)</f>
        <v/>
      </c>
      <c r="J1712" s="40" t="str">
        <f>IF(Agent09_Withdrawals!A119="","",Agent09_Withdrawals!J119)</f>
        <v/>
      </c>
      <c r="K1712" s="40" t="str">
        <f>IF(Agent09_Withdrawals!A119="","",Agent09_Withdrawals!K119)</f>
        <v/>
      </c>
      <c r="L1712" s="40" t="str">
        <f>IF(G1712="","",IF(D1712-G1712&gt;=System_Config!$B$9,"✅ OK","⚠️ BREACH"))</f>
        <v/>
      </c>
      <c r="M1712" s="40" t="str">
        <f>IFERROR(IF(Agent09_Withdrawals!A119="","",YEAR(Agent09_Withdrawals!D119)),"")</f>
        <v/>
      </c>
    </row>
    <row r="1713" spans="1:13" ht="18" customHeight="1" x14ac:dyDescent="0.25">
      <c r="A1713" s="40" t="str">
        <f>IF(Agent09_Withdrawals!A120="","",Agent09_Withdrawals!A120)</f>
        <v/>
      </c>
      <c r="B1713" s="40" t="str">
        <f ca="1">IF(Agent09_Withdrawals!A120="","","WD"&amp;TEXT(1713-3,"0000")&amp;"-"&amp;TEXT(TODAY(),"YYYYMMDD"))</f>
        <v/>
      </c>
      <c r="C1713" s="40" t="str">
        <f>IF(Agent09_Withdrawals!A120="","",Agent09_Withdrawals!B120)</f>
        <v/>
      </c>
      <c r="D1713" s="43" t="str">
        <f>IF(Agent09_Withdrawals!A120="","",Agent09_Withdrawals!C120)</f>
        <v/>
      </c>
      <c r="E1713" s="41" t="str">
        <f>IF(Agent09_Withdrawals!A120="","",Agent09_Withdrawals!D120)</f>
        <v/>
      </c>
      <c r="F1713" s="40" t="str">
        <f>IF(Agent09_Withdrawals!A120="","",Agent09_Withdrawals!F120)</f>
        <v/>
      </c>
      <c r="G1713" s="42" t="str">
        <f>IF(Agent09_Withdrawals!A120="","",Agent09_Withdrawals!E120)</f>
        <v/>
      </c>
      <c r="H1713" s="42" t="str">
        <f>IF(Agent09_Withdrawals!A120="","",Agent09_Withdrawals!G120)</f>
        <v/>
      </c>
      <c r="I1713" s="40" t="str">
        <f>IF(Agent09_Withdrawals!A120="","",Agent09_Withdrawals!H120)</f>
        <v/>
      </c>
      <c r="J1713" s="40" t="str">
        <f>IF(Agent09_Withdrawals!A120="","",Agent09_Withdrawals!J120)</f>
        <v/>
      </c>
      <c r="K1713" s="40" t="str">
        <f>IF(Agent09_Withdrawals!A120="","",Agent09_Withdrawals!K120)</f>
        <v/>
      </c>
      <c r="L1713" s="40" t="str">
        <f>IF(G1713="","",IF(D1713-G1713&gt;=System_Config!$B$9,"✅ OK","⚠️ BREACH"))</f>
        <v/>
      </c>
      <c r="M1713" s="40" t="str">
        <f>IFERROR(IF(Agent09_Withdrawals!A120="","",YEAR(Agent09_Withdrawals!D120)),"")</f>
        <v/>
      </c>
    </row>
    <row r="1714" spans="1:13" ht="18" customHeight="1" x14ac:dyDescent="0.25">
      <c r="A1714" s="40" t="str">
        <f>IF(Agent09_Withdrawals!A121="","",Agent09_Withdrawals!A121)</f>
        <v/>
      </c>
      <c r="B1714" s="40" t="str">
        <f ca="1">IF(Agent09_Withdrawals!A121="","","WD"&amp;TEXT(1714-3,"0000")&amp;"-"&amp;TEXT(TODAY(),"YYYYMMDD"))</f>
        <v/>
      </c>
      <c r="C1714" s="40" t="str">
        <f>IF(Agent09_Withdrawals!A121="","",Agent09_Withdrawals!B121)</f>
        <v/>
      </c>
      <c r="D1714" s="43" t="str">
        <f>IF(Agent09_Withdrawals!A121="","",Agent09_Withdrawals!C121)</f>
        <v/>
      </c>
      <c r="E1714" s="41" t="str">
        <f>IF(Agent09_Withdrawals!A121="","",Agent09_Withdrawals!D121)</f>
        <v/>
      </c>
      <c r="F1714" s="40" t="str">
        <f>IF(Agent09_Withdrawals!A121="","",Agent09_Withdrawals!F121)</f>
        <v/>
      </c>
      <c r="G1714" s="42" t="str">
        <f>IF(Agent09_Withdrawals!A121="","",Agent09_Withdrawals!E121)</f>
        <v/>
      </c>
      <c r="H1714" s="42" t="str">
        <f>IF(Agent09_Withdrawals!A121="","",Agent09_Withdrawals!G121)</f>
        <v/>
      </c>
      <c r="I1714" s="40" t="str">
        <f>IF(Agent09_Withdrawals!A121="","",Agent09_Withdrawals!H121)</f>
        <v/>
      </c>
      <c r="J1714" s="40" t="str">
        <f>IF(Agent09_Withdrawals!A121="","",Agent09_Withdrawals!J121)</f>
        <v/>
      </c>
      <c r="K1714" s="40" t="str">
        <f>IF(Agent09_Withdrawals!A121="","",Agent09_Withdrawals!K121)</f>
        <v/>
      </c>
      <c r="L1714" s="40" t="str">
        <f>IF(G1714="","",IF(D1714-G1714&gt;=System_Config!$B$9,"✅ OK","⚠️ BREACH"))</f>
        <v/>
      </c>
      <c r="M1714" s="40" t="str">
        <f>IFERROR(IF(Agent09_Withdrawals!A121="","",YEAR(Agent09_Withdrawals!D121)),"")</f>
        <v/>
      </c>
    </row>
    <row r="1715" spans="1:13" ht="18" customHeight="1" x14ac:dyDescent="0.25">
      <c r="A1715" s="40" t="str">
        <f>IF(Agent09_Withdrawals!A122="","",Agent09_Withdrawals!A122)</f>
        <v/>
      </c>
      <c r="B1715" s="40" t="str">
        <f ca="1">IF(Agent09_Withdrawals!A122="","","WD"&amp;TEXT(1715-3,"0000")&amp;"-"&amp;TEXT(TODAY(),"YYYYMMDD"))</f>
        <v/>
      </c>
      <c r="C1715" s="40" t="str">
        <f>IF(Agent09_Withdrawals!A122="","",Agent09_Withdrawals!B122)</f>
        <v/>
      </c>
      <c r="D1715" s="43" t="str">
        <f>IF(Agent09_Withdrawals!A122="","",Agent09_Withdrawals!C122)</f>
        <v/>
      </c>
      <c r="E1715" s="41" t="str">
        <f>IF(Agent09_Withdrawals!A122="","",Agent09_Withdrawals!D122)</f>
        <v/>
      </c>
      <c r="F1715" s="40" t="str">
        <f>IF(Agent09_Withdrawals!A122="","",Agent09_Withdrawals!F122)</f>
        <v/>
      </c>
      <c r="G1715" s="42" t="str">
        <f>IF(Agent09_Withdrawals!A122="","",Agent09_Withdrawals!E122)</f>
        <v/>
      </c>
      <c r="H1715" s="42" t="str">
        <f>IF(Agent09_Withdrawals!A122="","",Agent09_Withdrawals!G122)</f>
        <v/>
      </c>
      <c r="I1715" s="40" t="str">
        <f>IF(Agent09_Withdrawals!A122="","",Agent09_Withdrawals!H122)</f>
        <v/>
      </c>
      <c r="J1715" s="40" t="str">
        <f>IF(Agent09_Withdrawals!A122="","",Agent09_Withdrawals!J122)</f>
        <v/>
      </c>
      <c r="K1715" s="40" t="str">
        <f>IF(Agent09_Withdrawals!A122="","",Agent09_Withdrawals!K122)</f>
        <v/>
      </c>
      <c r="L1715" s="40" t="str">
        <f>IF(G1715="","",IF(D1715-G1715&gt;=System_Config!$B$9,"✅ OK","⚠️ BREACH"))</f>
        <v/>
      </c>
      <c r="M1715" s="40" t="str">
        <f>IFERROR(IF(Agent09_Withdrawals!A122="","",YEAR(Agent09_Withdrawals!D122)),"")</f>
        <v/>
      </c>
    </row>
    <row r="1716" spans="1:13" ht="18" customHeight="1" x14ac:dyDescent="0.25">
      <c r="A1716" s="40" t="str">
        <f>IF(Agent09_Withdrawals!A123="","",Agent09_Withdrawals!A123)</f>
        <v/>
      </c>
      <c r="B1716" s="40" t="str">
        <f ca="1">IF(Agent09_Withdrawals!A123="","","WD"&amp;TEXT(1716-3,"0000")&amp;"-"&amp;TEXT(TODAY(),"YYYYMMDD"))</f>
        <v/>
      </c>
      <c r="C1716" s="40" t="str">
        <f>IF(Agent09_Withdrawals!A123="","",Agent09_Withdrawals!B123)</f>
        <v/>
      </c>
      <c r="D1716" s="43" t="str">
        <f>IF(Agent09_Withdrawals!A123="","",Agent09_Withdrawals!C123)</f>
        <v/>
      </c>
      <c r="E1716" s="41" t="str">
        <f>IF(Agent09_Withdrawals!A123="","",Agent09_Withdrawals!D123)</f>
        <v/>
      </c>
      <c r="F1716" s="40" t="str">
        <f>IF(Agent09_Withdrawals!A123="","",Agent09_Withdrawals!F123)</f>
        <v/>
      </c>
      <c r="G1716" s="42" t="str">
        <f>IF(Agent09_Withdrawals!A123="","",Agent09_Withdrawals!E123)</f>
        <v/>
      </c>
      <c r="H1716" s="42" t="str">
        <f>IF(Agent09_Withdrawals!A123="","",Agent09_Withdrawals!G123)</f>
        <v/>
      </c>
      <c r="I1716" s="40" t="str">
        <f>IF(Agent09_Withdrawals!A123="","",Agent09_Withdrawals!H123)</f>
        <v/>
      </c>
      <c r="J1716" s="40" t="str">
        <f>IF(Agent09_Withdrawals!A123="","",Agent09_Withdrawals!J123)</f>
        <v/>
      </c>
      <c r="K1716" s="40" t="str">
        <f>IF(Agent09_Withdrawals!A123="","",Agent09_Withdrawals!K123)</f>
        <v/>
      </c>
      <c r="L1716" s="40" t="str">
        <f>IF(G1716="","",IF(D1716-G1716&gt;=System_Config!$B$9,"✅ OK","⚠️ BREACH"))</f>
        <v/>
      </c>
      <c r="M1716" s="40" t="str">
        <f>IFERROR(IF(Agent09_Withdrawals!A123="","",YEAR(Agent09_Withdrawals!D123)),"")</f>
        <v/>
      </c>
    </row>
    <row r="1717" spans="1:13" ht="18" customHeight="1" x14ac:dyDescent="0.25">
      <c r="A1717" s="40" t="str">
        <f>IF(Agent09_Withdrawals!A124="","",Agent09_Withdrawals!A124)</f>
        <v/>
      </c>
      <c r="B1717" s="40" t="str">
        <f ca="1">IF(Agent09_Withdrawals!A124="","","WD"&amp;TEXT(1717-3,"0000")&amp;"-"&amp;TEXT(TODAY(),"YYYYMMDD"))</f>
        <v/>
      </c>
      <c r="C1717" s="40" t="str">
        <f>IF(Agent09_Withdrawals!A124="","",Agent09_Withdrawals!B124)</f>
        <v/>
      </c>
      <c r="D1717" s="43" t="str">
        <f>IF(Agent09_Withdrawals!A124="","",Agent09_Withdrawals!C124)</f>
        <v/>
      </c>
      <c r="E1717" s="41" t="str">
        <f>IF(Agent09_Withdrawals!A124="","",Agent09_Withdrawals!D124)</f>
        <v/>
      </c>
      <c r="F1717" s="40" t="str">
        <f>IF(Agent09_Withdrawals!A124="","",Agent09_Withdrawals!F124)</f>
        <v/>
      </c>
      <c r="G1717" s="42" t="str">
        <f>IF(Agent09_Withdrawals!A124="","",Agent09_Withdrawals!E124)</f>
        <v/>
      </c>
      <c r="H1717" s="42" t="str">
        <f>IF(Agent09_Withdrawals!A124="","",Agent09_Withdrawals!G124)</f>
        <v/>
      </c>
      <c r="I1717" s="40" t="str">
        <f>IF(Agent09_Withdrawals!A124="","",Agent09_Withdrawals!H124)</f>
        <v/>
      </c>
      <c r="J1717" s="40" t="str">
        <f>IF(Agent09_Withdrawals!A124="","",Agent09_Withdrawals!J124)</f>
        <v/>
      </c>
      <c r="K1717" s="40" t="str">
        <f>IF(Agent09_Withdrawals!A124="","",Agent09_Withdrawals!K124)</f>
        <v/>
      </c>
      <c r="L1717" s="40" t="str">
        <f>IF(G1717="","",IF(D1717-G1717&gt;=System_Config!$B$9,"✅ OK","⚠️ BREACH"))</f>
        <v/>
      </c>
      <c r="M1717" s="40" t="str">
        <f>IFERROR(IF(Agent09_Withdrawals!A124="","",YEAR(Agent09_Withdrawals!D124)),"")</f>
        <v/>
      </c>
    </row>
    <row r="1718" spans="1:13" ht="18" customHeight="1" x14ac:dyDescent="0.25">
      <c r="A1718" s="40" t="str">
        <f>IF(Agent09_Withdrawals!A125="","",Agent09_Withdrawals!A125)</f>
        <v/>
      </c>
      <c r="B1718" s="40" t="str">
        <f ca="1">IF(Agent09_Withdrawals!A125="","","WD"&amp;TEXT(1718-3,"0000")&amp;"-"&amp;TEXT(TODAY(),"YYYYMMDD"))</f>
        <v/>
      </c>
      <c r="C1718" s="40" t="str">
        <f>IF(Agent09_Withdrawals!A125="","",Agent09_Withdrawals!B125)</f>
        <v/>
      </c>
      <c r="D1718" s="43" t="str">
        <f>IF(Agent09_Withdrawals!A125="","",Agent09_Withdrawals!C125)</f>
        <v/>
      </c>
      <c r="E1718" s="41" t="str">
        <f>IF(Agent09_Withdrawals!A125="","",Agent09_Withdrawals!D125)</f>
        <v/>
      </c>
      <c r="F1718" s="40" t="str">
        <f>IF(Agent09_Withdrawals!A125="","",Agent09_Withdrawals!F125)</f>
        <v/>
      </c>
      <c r="G1718" s="42" t="str">
        <f>IF(Agent09_Withdrawals!A125="","",Agent09_Withdrawals!E125)</f>
        <v/>
      </c>
      <c r="H1718" s="42" t="str">
        <f>IF(Agent09_Withdrawals!A125="","",Agent09_Withdrawals!G125)</f>
        <v/>
      </c>
      <c r="I1718" s="40" t="str">
        <f>IF(Agent09_Withdrawals!A125="","",Agent09_Withdrawals!H125)</f>
        <v/>
      </c>
      <c r="J1718" s="40" t="str">
        <f>IF(Agent09_Withdrawals!A125="","",Agent09_Withdrawals!J125)</f>
        <v/>
      </c>
      <c r="K1718" s="40" t="str">
        <f>IF(Agent09_Withdrawals!A125="","",Agent09_Withdrawals!K125)</f>
        <v/>
      </c>
      <c r="L1718" s="40" t="str">
        <f>IF(G1718="","",IF(D1718-G1718&gt;=System_Config!$B$9,"✅ OK","⚠️ BREACH"))</f>
        <v/>
      </c>
      <c r="M1718" s="40" t="str">
        <f>IFERROR(IF(Agent09_Withdrawals!A125="","",YEAR(Agent09_Withdrawals!D125)),"")</f>
        <v/>
      </c>
    </row>
    <row r="1719" spans="1:13" ht="18" customHeight="1" x14ac:dyDescent="0.25">
      <c r="A1719" s="40" t="str">
        <f>IF(Agent09_Withdrawals!A126="","",Agent09_Withdrawals!A126)</f>
        <v/>
      </c>
      <c r="B1719" s="40" t="str">
        <f ca="1">IF(Agent09_Withdrawals!A126="","","WD"&amp;TEXT(1719-3,"0000")&amp;"-"&amp;TEXT(TODAY(),"YYYYMMDD"))</f>
        <v/>
      </c>
      <c r="C1719" s="40" t="str">
        <f>IF(Agent09_Withdrawals!A126="","",Agent09_Withdrawals!B126)</f>
        <v/>
      </c>
      <c r="D1719" s="43" t="str">
        <f>IF(Agent09_Withdrawals!A126="","",Agent09_Withdrawals!C126)</f>
        <v/>
      </c>
      <c r="E1719" s="41" t="str">
        <f>IF(Agent09_Withdrawals!A126="","",Agent09_Withdrawals!D126)</f>
        <v/>
      </c>
      <c r="F1719" s="40" t="str">
        <f>IF(Agent09_Withdrawals!A126="","",Agent09_Withdrawals!F126)</f>
        <v/>
      </c>
      <c r="G1719" s="42" t="str">
        <f>IF(Agent09_Withdrawals!A126="","",Agent09_Withdrawals!E126)</f>
        <v/>
      </c>
      <c r="H1719" s="42" t="str">
        <f>IF(Agent09_Withdrawals!A126="","",Agent09_Withdrawals!G126)</f>
        <v/>
      </c>
      <c r="I1719" s="40" t="str">
        <f>IF(Agent09_Withdrawals!A126="","",Agent09_Withdrawals!H126)</f>
        <v/>
      </c>
      <c r="J1719" s="40" t="str">
        <f>IF(Agent09_Withdrawals!A126="","",Agent09_Withdrawals!J126)</f>
        <v/>
      </c>
      <c r="K1719" s="40" t="str">
        <f>IF(Agent09_Withdrawals!A126="","",Agent09_Withdrawals!K126)</f>
        <v/>
      </c>
      <c r="L1719" s="40" t="str">
        <f>IF(G1719="","",IF(D1719-G1719&gt;=System_Config!$B$9,"✅ OK","⚠️ BREACH"))</f>
        <v/>
      </c>
      <c r="M1719" s="40" t="str">
        <f>IFERROR(IF(Agent09_Withdrawals!A126="","",YEAR(Agent09_Withdrawals!D126)),"")</f>
        <v/>
      </c>
    </row>
    <row r="1720" spans="1:13" ht="18" customHeight="1" x14ac:dyDescent="0.25">
      <c r="A1720" s="40" t="str">
        <f>IF(Agent09_Withdrawals!A127="","",Agent09_Withdrawals!A127)</f>
        <v/>
      </c>
      <c r="B1720" s="40" t="str">
        <f ca="1">IF(Agent09_Withdrawals!A127="","","WD"&amp;TEXT(1720-3,"0000")&amp;"-"&amp;TEXT(TODAY(),"YYYYMMDD"))</f>
        <v/>
      </c>
      <c r="C1720" s="40" t="str">
        <f>IF(Agent09_Withdrawals!A127="","",Agent09_Withdrawals!B127)</f>
        <v/>
      </c>
      <c r="D1720" s="43" t="str">
        <f>IF(Agent09_Withdrawals!A127="","",Agent09_Withdrawals!C127)</f>
        <v/>
      </c>
      <c r="E1720" s="41" t="str">
        <f>IF(Agent09_Withdrawals!A127="","",Agent09_Withdrawals!D127)</f>
        <v/>
      </c>
      <c r="F1720" s="40" t="str">
        <f>IF(Agent09_Withdrawals!A127="","",Agent09_Withdrawals!F127)</f>
        <v/>
      </c>
      <c r="G1720" s="42" t="str">
        <f>IF(Agent09_Withdrawals!A127="","",Agent09_Withdrawals!E127)</f>
        <v/>
      </c>
      <c r="H1720" s="42" t="str">
        <f>IF(Agent09_Withdrawals!A127="","",Agent09_Withdrawals!G127)</f>
        <v/>
      </c>
      <c r="I1720" s="40" t="str">
        <f>IF(Agent09_Withdrawals!A127="","",Agent09_Withdrawals!H127)</f>
        <v/>
      </c>
      <c r="J1720" s="40" t="str">
        <f>IF(Agent09_Withdrawals!A127="","",Agent09_Withdrawals!J127)</f>
        <v/>
      </c>
      <c r="K1720" s="40" t="str">
        <f>IF(Agent09_Withdrawals!A127="","",Agent09_Withdrawals!K127)</f>
        <v/>
      </c>
      <c r="L1720" s="40" t="str">
        <f>IF(G1720="","",IF(D1720-G1720&gt;=System_Config!$B$9,"✅ OK","⚠️ BREACH"))</f>
        <v/>
      </c>
      <c r="M1720" s="40" t="str">
        <f>IFERROR(IF(Agent09_Withdrawals!A127="","",YEAR(Agent09_Withdrawals!D127)),"")</f>
        <v/>
      </c>
    </row>
    <row r="1721" spans="1:13" ht="18" customHeight="1" x14ac:dyDescent="0.25">
      <c r="A1721" s="40" t="str">
        <f>IF(Agent09_Withdrawals!A128="","",Agent09_Withdrawals!A128)</f>
        <v/>
      </c>
      <c r="B1721" s="40" t="str">
        <f ca="1">IF(Agent09_Withdrawals!A128="","","WD"&amp;TEXT(1721-3,"0000")&amp;"-"&amp;TEXT(TODAY(),"YYYYMMDD"))</f>
        <v/>
      </c>
      <c r="C1721" s="40" t="str">
        <f>IF(Agent09_Withdrawals!A128="","",Agent09_Withdrawals!B128)</f>
        <v/>
      </c>
      <c r="D1721" s="43" t="str">
        <f>IF(Agent09_Withdrawals!A128="","",Agent09_Withdrawals!C128)</f>
        <v/>
      </c>
      <c r="E1721" s="41" t="str">
        <f>IF(Agent09_Withdrawals!A128="","",Agent09_Withdrawals!D128)</f>
        <v/>
      </c>
      <c r="F1721" s="40" t="str">
        <f>IF(Agent09_Withdrawals!A128="","",Agent09_Withdrawals!F128)</f>
        <v/>
      </c>
      <c r="G1721" s="42" t="str">
        <f>IF(Agent09_Withdrawals!A128="","",Agent09_Withdrawals!E128)</f>
        <v/>
      </c>
      <c r="H1721" s="42" t="str">
        <f>IF(Agent09_Withdrawals!A128="","",Agent09_Withdrawals!G128)</f>
        <v/>
      </c>
      <c r="I1721" s="40" t="str">
        <f>IF(Agent09_Withdrawals!A128="","",Agent09_Withdrawals!H128)</f>
        <v/>
      </c>
      <c r="J1721" s="40" t="str">
        <f>IF(Agent09_Withdrawals!A128="","",Agent09_Withdrawals!J128)</f>
        <v/>
      </c>
      <c r="K1721" s="40" t="str">
        <f>IF(Agent09_Withdrawals!A128="","",Agent09_Withdrawals!K128)</f>
        <v/>
      </c>
      <c r="L1721" s="40" t="str">
        <f>IF(G1721="","",IF(D1721-G1721&gt;=System_Config!$B$9,"✅ OK","⚠️ BREACH"))</f>
        <v/>
      </c>
      <c r="M1721" s="40" t="str">
        <f>IFERROR(IF(Agent09_Withdrawals!A128="","",YEAR(Agent09_Withdrawals!D128)),"")</f>
        <v/>
      </c>
    </row>
    <row r="1722" spans="1:13" ht="18" customHeight="1" x14ac:dyDescent="0.25">
      <c r="A1722" s="40" t="str">
        <f>IF(Agent09_Withdrawals!A129="","",Agent09_Withdrawals!A129)</f>
        <v/>
      </c>
      <c r="B1722" s="40" t="str">
        <f ca="1">IF(Agent09_Withdrawals!A129="","","WD"&amp;TEXT(1722-3,"0000")&amp;"-"&amp;TEXT(TODAY(),"YYYYMMDD"))</f>
        <v/>
      </c>
      <c r="C1722" s="40" t="str">
        <f>IF(Agent09_Withdrawals!A129="","",Agent09_Withdrawals!B129)</f>
        <v/>
      </c>
      <c r="D1722" s="43" t="str">
        <f>IF(Agent09_Withdrawals!A129="","",Agent09_Withdrawals!C129)</f>
        <v/>
      </c>
      <c r="E1722" s="41" t="str">
        <f>IF(Agent09_Withdrawals!A129="","",Agent09_Withdrawals!D129)</f>
        <v/>
      </c>
      <c r="F1722" s="40" t="str">
        <f>IF(Agent09_Withdrawals!A129="","",Agent09_Withdrawals!F129)</f>
        <v/>
      </c>
      <c r="G1722" s="42" t="str">
        <f>IF(Agent09_Withdrawals!A129="","",Agent09_Withdrawals!E129)</f>
        <v/>
      </c>
      <c r="H1722" s="42" t="str">
        <f>IF(Agent09_Withdrawals!A129="","",Agent09_Withdrawals!G129)</f>
        <v/>
      </c>
      <c r="I1722" s="40" t="str">
        <f>IF(Agent09_Withdrawals!A129="","",Agent09_Withdrawals!H129)</f>
        <v/>
      </c>
      <c r="J1722" s="40" t="str">
        <f>IF(Agent09_Withdrawals!A129="","",Agent09_Withdrawals!J129)</f>
        <v/>
      </c>
      <c r="K1722" s="40" t="str">
        <f>IF(Agent09_Withdrawals!A129="","",Agent09_Withdrawals!K129)</f>
        <v/>
      </c>
      <c r="L1722" s="40" t="str">
        <f>IF(G1722="","",IF(D1722-G1722&gt;=System_Config!$B$9,"✅ OK","⚠️ BREACH"))</f>
        <v/>
      </c>
      <c r="M1722" s="40" t="str">
        <f>IFERROR(IF(Agent09_Withdrawals!A129="","",YEAR(Agent09_Withdrawals!D129)),"")</f>
        <v/>
      </c>
    </row>
    <row r="1723" spans="1:13" ht="18" customHeight="1" x14ac:dyDescent="0.25">
      <c r="A1723" s="40" t="str">
        <f>IF(Agent09_Withdrawals!A130="","",Agent09_Withdrawals!A130)</f>
        <v/>
      </c>
      <c r="B1723" s="40" t="str">
        <f ca="1">IF(Agent09_Withdrawals!A130="","","WD"&amp;TEXT(1723-3,"0000")&amp;"-"&amp;TEXT(TODAY(),"YYYYMMDD"))</f>
        <v/>
      </c>
      <c r="C1723" s="40" t="str">
        <f>IF(Agent09_Withdrawals!A130="","",Agent09_Withdrawals!B130)</f>
        <v/>
      </c>
      <c r="D1723" s="43" t="str">
        <f>IF(Agent09_Withdrawals!A130="","",Agent09_Withdrawals!C130)</f>
        <v/>
      </c>
      <c r="E1723" s="41" t="str">
        <f>IF(Agent09_Withdrawals!A130="","",Agent09_Withdrawals!D130)</f>
        <v/>
      </c>
      <c r="F1723" s="40" t="str">
        <f>IF(Agent09_Withdrawals!A130="","",Agent09_Withdrawals!F130)</f>
        <v/>
      </c>
      <c r="G1723" s="42" t="str">
        <f>IF(Agent09_Withdrawals!A130="","",Agent09_Withdrawals!E130)</f>
        <v/>
      </c>
      <c r="H1723" s="42" t="str">
        <f>IF(Agent09_Withdrawals!A130="","",Agent09_Withdrawals!G130)</f>
        <v/>
      </c>
      <c r="I1723" s="40" t="str">
        <f>IF(Agent09_Withdrawals!A130="","",Agent09_Withdrawals!H130)</f>
        <v/>
      </c>
      <c r="J1723" s="40" t="str">
        <f>IF(Agent09_Withdrawals!A130="","",Agent09_Withdrawals!J130)</f>
        <v/>
      </c>
      <c r="K1723" s="40" t="str">
        <f>IF(Agent09_Withdrawals!A130="","",Agent09_Withdrawals!K130)</f>
        <v/>
      </c>
      <c r="L1723" s="40" t="str">
        <f>IF(G1723="","",IF(D1723-G1723&gt;=System_Config!$B$9,"✅ OK","⚠️ BREACH"))</f>
        <v/>
      </c>
      <c r="M1723" s="40" t="str">
        <f>IFERROR(IF(Agent09_Withdrawals!A130="","",YEAR(Agent09_Withdrawals!D130)),"")</f>
        <v/>
      </c>
    </row>
    <row r="1724" spans="1:13" ht="18" customHeight="1" x14ac:dyDescent="0.25">
      <c r="A1724" s="40" t="str">
        <f>IF(Agent09_Withdrawals!A131="","",Agent09_Withdrawals!A131)</f>
        <v/>
      </c>
      <c r="B1724" s="40" t="str">
        <f ca="1">IF(Agent09_Withdrawals!A131="","","WD"&amp;TEXT(1724-3,"0000")&amp;"-"&amp;TEXT(TODAY(),"YYYYMMDD"))</f>
        <v/>
      </c>
      <c r="C1724" s="40" t="str">
        <f>IF(Agent09_Withdrawals!A131="","",Agent09_Withdrawals!B131)</f>
        <v/>
      </c>
      <c r="D1724" s="43" t="str">
        <f>IF(Agent09_Withdrawals!A131="","",Agent09_Withdrawals!C131)</f>
        <v/>
      </c>
      <c r="E1724" s="41" t="str">
        <f>IF(Agent09_Withdrawals!A131="","",Agent09_Withdrawals!D131)</f>
        <v/>
      </c>
      <c r="F1724" s="40" t="str">
        <f>IF(Agent09_Withdrawals!A131="","",Agent09_Withdrawals!F131)</f>
        <v/>
      </c>
      <c r="G1724" s="42" t="str">
        <f>IF(Agent09_Withdrawals!A131="","",Agent09_Withdrawals!E131)</f>
        <v/>
      </c>
      <c r="H1724" s="42" t="str">
        <f>IF(Agent09_Withdrawals!A131="","",Agent09_Withdrawals!G131)</f>
        <v/>
      </c>
      <c r="I1724" s="40" t="str">
        <f>IF(Agent09_Withdrawals!A131="","",Agent09_Withdrawals!H131)</f>
        <v/>
      </c>
      <c r="J1724" s="40" t="str">
        <f>IF(Agent09_Withdrawals!A131="","",Agent09_Withdrawals!J131)</f>
        <v/>
      </c>
      <c r="K1724" s="40" t="str">
        <f>IF(Agent09_Withdrawals!A131="","",Agent09_Withdrawals!K131)</f>
        <v/>
      </c>
      <c r="L1724" s="40" t="str">
        <f>IF(G1724="","",IF(D1724-G1724&gt;=System_Config!$B$9,"✅ OK","⚠️ BREACH"))</f>
        <v/>
      </c>
      <c r="M1724" s="40" t="str">
        <f>IFERROR(IF(Agent09_Withdrawals!A131="","",YEAR(Agent09_Withdrawals!D131)),"")</f>
        <v/>
      </c>
    </row>
    <row r="1725" spans="1:13" ht="18" customHeight="1" x14ac:dyDescent="0.25">
      <c r="A1725" s="40" t="str">
        <f>IF(Agent09_Withdrawals!A132="","",Agent09_Withdrawals!A132)</f>
        <v/>
      </c>
      <c r="B1725" s="40" t="str">
        <f ca="1">IF(Agent09_Withdrawals!A132="","","WD"&amp;TEXT(1725-3,"0000")&amp;"-"&amp;TEXT(TODAY(),"YYYYMMDD"))</f>
        <v/>
      </c>
      <c r="C1725" s="40" t="str">
        <f>IF(Agent09_Withdrawals!A132="","",Agent09_Withdrawals!B132)</f>
        <v/>
      </c>
      <c r="D1725" s="43" t="str">
        <f>IF(Agent09_Withdrawals!A132="","",Agent09_Withdrawals!C132)</f>
        <v/>
      </c>
      <c r="E1725" s="41" t="str">
        <f>IF(Agent09_Withdrawals!A132="","",Agent09_Withdrawals!D132)</f>
        <v/>
      </c>
      <c r="F1725" s="40" t="str">
        <f>IF(Agent09_Withdrawals!A132="","",Agent09_Withdrawals!F132)</f>
        <v/>
      </c>
      <c r="G1725" s="42" t="str">
        <f>IF(Agent09_Withdrawals!A132="","",Agent09_Withdrawals!E132)</f>
        <v/>
      </c>
      <c r="H1725" s="42" t="str">
        <f>IF(Agent09_Withdrawals!A132="","",Agent09_Withdrawals!G132)</f>
        <v/>
      </c>
      <c r="I1725" s="40" t="str">
        <f>IF(Agent09_Withdrawals!A132="","",Agent09_Withdrawals!H132)</f>
        <v/>
      </c>
      <c r="J1725" s="40" t="str">
        <f>IF(Agent09_Withdrawals!A132="","",Agent09_Withdrawals!J132)</f>
        <v/>
      </c>
      <c r="K1725" s="40" t="str">
        <f>IF(Agent09_Withdrawals!A132="","",Agent09_Withdrawals!K132)</f>
        <v/>
      </c>
      <c r="L1725" s="40" t="str">
        <f>IF(G1725="","",IF(D1725-G1725&gt;=System_Config!$B$9,"✅ OK","⚠️ BREACH"))</f>
        <v/>
      </c>
      <c r="M1725" s="40" t="str">
        <f>IFERROR(IF(Agent09_Withdrawals!A132="","",YEAR(Agent09_Withdrawals!D132)),"")</f>
        <v/>
      </c>
    </row>
    <row r="1726" spans="1:13" ht="18" customHeight="1" x14ac:dyDescent="0.25">
      <c r="A1726" s="40" t="str">
        <f>IF(Agent09_Withdrawals!A133="","",Agent09_Withdrawals!A133)</f>
        <v/>
      </c>
      <c r="B1726" s="40" t="str">
        <f ca="1">IF(Agent09_Withdrawals!A133="","","WD"&amp;TEXT(1726-3,"0000")&amp;"-"&amp;TEXT(TODAY(),"YYYYMMDD"))</f>
        <v/>
      </c>
      <c r="C1726" s="40" t="str">
        <f>IF(Agent09_Withdrawals!A133="","",Agent09_Withdrawals!B133)</f>
        <v/>
      </c>
      <c r="D1726" s="43" t="str">
        <f>IF(Agent09_Withdrawals!A133="","",Agent09_Withdrawals!C133)</f>
        <v/>
      </c>
      <c r="E1726" s="41" t="str">
        <f>IF(Agent09_Withdrawals!A133="","",Agent09_Withdrawals!D133)</f>
        <v/>
      </c>
      <c r="F1726" s="40" t="str">
        <f>IF(Agent09_Withdrawals!A133="","",Agent09_Withdrawals!F133)</f>
        <v/>
      </c>
      <c r="G1726" s="42" t="str">
        <f>IF(Agent09_Withdrawals!A133="","",Agent09_Withdrawals!E133)</f>
        <v/>
      </c>
      <c r="H1726" s="42" t="str">
        <f>IF(Agent09_Withdrawals!A133="","",Agent09_Withdrawals!G133)</f>
        <v/>
      </c>
      <c r="I1726" s="40" t="str">
        <f>IF(Agent09_Withdrawals!A133="","",Agent09_Withdrawals!H133)</f>
        <v/>
      </c>
      <c r="J1726" s="40" t="str">
        <f>IF(Agent09_Withdrawals!A133="","",Agent09_Withdrawals!J133)</f>
        <v/>
      </c>
      <c r="K1726" s="40" t="str">
        <f>IF(Agent09_Withdrawals!A133="","",Agent09_Withdrawals!K133)</f>
        <v/>
      </c>
      <c r="L1726" s="40" t="str">
        <f>IF(G1726="","",IF(D1726-G1726&gt;=System_Config!$B$9,"✅ OK","⚠️ BREACH"))</f>
        <v/>
      </c>
      <c r="M1726" s="40" t="str">
        <f>IFERROR(IF(Agent09_Withdrawals!A133="","",YEAR(Agent09_Withdrawals!D133)),"")</f>
        <v/>
      </c>
    </row>
    <row r="1727" spans="1:13" ht="18" customHeight="1" x14ac:dyDescent="0.25">
      <c r="A1727" s="40" t="str">
        <f>IF(Agent09_Withdrawals!A134="","",Agent09_Withdrawals!A134)</f>
        <v/>
      </c>
      <c r="B1727" s="40" t="str">
        <f ca="1">IF(Agent09_Withdrawals!A134="","","WD"&amp;TEXT(1727-3,"0000")&amp;"-"&amp;TEXT(TODAY(),"YYYYMMDD"))</f>
        <v/>
      </c>
      <c r="C1727" s="40" t="str">
        <f>IF(Agent09_Withdrawals!A134="","",Agent09_Withdrawals!B134)</f>
        <v/>
      </c>
      <c r="D1727" s="43" t="str">
        <f>IF(Agent09_Withdrawals!A134="","",Agent09_Withdrawals!C134)</f>
        <v/>
      </c>
      <c r="E1727" s="41" t="str">
        <f>IF(Agent09_Withdrawals!A134="","",Agent09_Withdrawals!D134)</f>
        <v/>
      </c>
      <c r="F1727" s="40" t="str">
        <f>IF(Agent09_Withdrawals!A134="","",Agent09_Withdrawals!F134)</f>
        <v/>
      </c>
      <c r="G1727" s="42" t="str">
        <f>IF(Agent09_Withdrawals!A134="","",Agent09_Withdrawals!E134)</f>
        <v/>
      </c>
      <c r="H1727" s="42" t="str">
        <f>IF(Agent09_Withdrawals!A134="","",Agent09_Withdrawals!G134)</f>
        <v/>
      </c>
      <c r="I1727" s="40" t="str">
        <f>IF(Agent09_Withdrawals!A134="","",Agent09_Withdrawals!H134)</f>
        <v/>
      </c>
      <c r="J1727" s="40" t="str">
        <f>IF(Agent09_Withdrawals!A134="","",Agent09_Withdrawals!J134)</f>
        <v/>
      </c>
      <c r="K1727" s="40" t="str">
        <f>IF(Agent09_Withdrawals!A134="","",Agent09_Withdrawals!K134)</f>
        <v/>
      </c>
      <c r="L1727" s="40" t="str">
        <f>IF(G1727="","",IF(D1727-G1727&gt;=System_Config!$B$9,"✅ OK","⚠️ BREACH"))</f>
        <v/>
      </c>
      <c r="M1727" s="40" t="str">
        <f>IFERROR(IF(Agent09_Withdrawals!A134="","",YEAR(Agent09_Withdrawals!D134)),"")</f>
        <v/>
      </c>
    </row>
    <row r="1728" spans="1:13" ht="18" customHeight="1" x14ac:dyDescent="0.25">
      <c r="A1728" s="40" t="str">
        <f>IF(Agent09_Withdrawals!A135="","",Agent09_Withdrawals!A135)</f>
        <v/>
      </c>
      <c r="B1728" s="40" t="str">
        <f ca="1">IF(Agent09_Withdrawals!A135="","","WD"&amp;TEXT(1728-3,"0000")&amp;"-"&amp;TEXT(TODAY(),"YYYYMMDD"))</f>
        <v/>
      </c>
      <c r="C1728" s="40" t="str">
        <f>IF(Agent09_Withdrawals!A135="","",Agent09_Withdrawals!B135)</f>
        <v/>
      </c>
      <c r="D1728" s="43" t="str">
        <f>IF(Agent09_Withdrawals!A135="","",Agent09_Withdrawals!C135)</f>
        <v/>
      </c>
      <c r="E1728" s="41" t="str">
        <f>IF(Agent09_Withdrawals!A135="","",Agent09_Withdrawals!D135)</f>
        <v/>
      </c>
      <c r="F1728" s="40" t="str">
        <f>IF(Agent09_Withdrawals!A135="","",Agent09_Withdrawals!F135)</f>
        <v/>
      </c>
      <c r="G1728" s="42" t="str">
        <f>IF(Agent09_Withdrawals!A135="","",Agent09_Withdrawals!E135)</f>
        <v/>
      </c>
      <c r="H1728" s="42" t="str">
        <f>IF(Agent09_Withdrawals!A135="","",Agent09_Withdrawals!G135)</f>
        <v/>
      </c>
      <c r="I1728" s="40" t="str">
        <f>IF(Agent09_Withdrawals!A135="","",Agent09_Withdrawals!H135)</f>
        <v/>
      </c>
      <c r="J1728" s="40" t="str">
        <f>IF(Agent09_Withdrawals!A135="","",Agent09_Withdrawals!J135)</f>
        <v/>
      </c>
      <c r="K1728" s="40" t="str">
        <f>IF(Agent09_Withdrawals!A135="","",Agent09_Withdrawals!K135)</f>
        <v/>
      </c>
      <c r="L1728" s="40" t="str">
        <f>IF(G1728="","",IF(D1728-G1728&gt;=System_Config!$B$9,"✅ OK","⚠️ BREACH"))</f>
        <v/>
      </c>
      <c r="M1728" s="40" t="str">
        <f>IFERROR(IF(Agent09_Withdrawals!A135="","",YEAR(Agent09_Withdrawals!D135)),"")</f>
        <v/>
      </c>
    </row>
    <row r="1729" spans="1:13" ht="18" customHeight="1" x14ac:dyDescent="0.25">
      <c r="A1729" s="40" t="str">
        <f>IF(Agent09_Withdrawals!A136="","",Agent09_Withdrawals!A136)</f>
        <v/>
      </c>
      <c r="B1729" s="40" t="str">
        <f ca="1">IF(Agent09_Withdrawals!A136="","","WD"&amp;TEXT(1729-3,"0000")&amp;"-"&amp;TEXT(TODAY(),"YYYYMMDD"))</f>
        <v/>
      </c>
      <c r="C1729" s="40" t="str">
        <f>IF(Agent09_Withdrawals!A136="","",Agent09_Withdrawals!B136)</f>
        <v/>
      </c>
      <c r="D1729" s="43" t="str">
        <f>IF(Agent09_Withdrawals!A136="","",Agent09_Withdrawals!C136)</f>
        <v/>
      </c>
      <c r="E1729" s="41" t="str">
        <f>IF(Agent09_Withdrawals!A136="","",Agent09_Withdrawals!D136)</f>
        <v/>
      </c>
      <c r="F1729" s="40" t="str">
        <f>IF(Agent09_Withdrawals!A136="","",Agent09_Withdrawals!F136)</f>
        <v/>
      </c>
      <c r="G1729" s="42" t="str">
        <f>IF(Agent09_Withdrawals!A136="","",Agent09_Withdrawals!E136)</f>
        <v/>
      </c>
      <c r="H1729" s="42" t="str">
        <f>IF(Agent09_Withdrawals!A136="","",Agent09_Withdrawals!G136)</f>
        <v/>
      </c>
      <c r="I1729" s="40" t="str">
        <f>IF(Agent09_Withdrawals!A136="","",Agent09_Withdrawals!H136)</f>
        <v/>
      </c>
      <c r="J1729" s="40" t="str">
        <f>IF(Agent09_Withdrawals!A136="","",Agent09_Withdrawals!J136)</f>
        <v/>
      </c>
      <c r="K1729" s="40" t="str">
        <f>IF(Agent09_Withdrawals!A136="","",Agent09_Withdrawals!K136)</f>
        <v/>
      </c>
      <c r="L1729" s="40" t="str">
        <f>IF(G1729="","",IF(D1729-G1729&gt;=System_Config!$B$9,"✅ OK","⚠️ BREACH"))</f>
        <v/>
      </c>
      <c r="M1729" s="40" t="str">
        <f>IFERROR(IF(Agent09_Withdrawals!A136="","",YEAR(Agent09_Withdrawals!D136)),"")</f>
        <v/>
      </c>
    </row>
    <row r="1730" spans="1:13" ht="18" customHeight="1" x14ac:dyDescent="0.25">
      <c r="A1730" s="40" t="str">
        <f>IF(Agent09_Withdrawals!A137="","",Agent09_Withdrawals!A137)</f>
        <v/>
      </c>
      <c r="B1730" s="40" t="str">
        <f ca="1">IF(Agent09_Withdrawals!A137="","","WD"&amp;TEXT(1730-3,"0000")&amp;"-"&amp;TEXT(TODAY(),"YYYYMMDD"))</f>
        <v/>
      </c>
      <c r="C1730" s="40" t="str">
        <f>IF(Agent09_Withdrawals!A137="","",Agent09_Withdrawals!B137)</f>
        <v/>
      </c>
      <c r="D1730" s="43" t="str">
        <f>IF(Agent09_Withdrawals!A137="","",Agent09_Withdrawals!C137)</f>
        <v/>
      </c>
      <c r="E1730" s="41" t="str">
        <f>IF(Agent09_Withdrawals!A137="","",Agent09_Withdrawals!D137)</f>
        <v/>
      </c>
      <c r="F1730" s="40" t="str">
        <f>IF(Agent09_Withdrawals!A137="","",Agent09_Withdrawals!F137)</f>
        <v/>
      </c>
      <c r="G1730" s="42" t="str">
        <f>IF(Agent09_Withdrawals!A137="","",Agent09_Withdrawals!E137)</f>
        <v/>
      </c>
      <c r="H1730" s="42" t="str">
        <f>IF(Agent09_Withdrawals!A137="","",Agent09_Withdrawals!G137)</f>
        <v/>
      </c>
      <c r="I1730" s="40" t="str">
        <f>IF(Agent09_Withdrawals!A137="","",Agent09_Withdrawals!H137)</f>
        <v/>
      </c>
      <c r="J1730" s="40" t="str">
        <f>IF(Agent09_Withdrawals!A137="","",Agent09_Withdrawals!J137)</f>
        <v/>
      </c>
      <c r="K1730" s="40" t="str">
        <f>IF(Agent09_Withdrawals!A137="","",Agent09_Withdrawals!K137)</f>
        <v/>
      </c>
      <c r="L1730" s="40" t="str">
        <f>IF(G1730="","",IF(D1730-G1730&gt;=System_Config!$B$9,"✅ OK","⚠️ BREACH"))</f>
        <v/>
      </c>
      <c r="M1730" s="40" t="str">
        <f>IFERROR(IF(Agent09_Withdrawals!A137="","",YEAR(Agent09_Withdrawals!D137)),"")</f>
        <v/>
      </c>
    </row>
    <row r="1731" spans="1:13" ht="18" customHeight="1" x14ac:dyDescent="0.25">
      <c r="A1731" s="40" t="str">
        <f>IF(Agent09_Withdrawals!A138="","",Agent09_Withdrawals!A138)</f>
        <v/>
      </c>
      <c r="B1731" s="40" t="str">
        <f ca="1">IF(Agent09_Withdrawals!A138="","","WD"&amp;TEXT(1731-3,"0000")&amp;"-"&amp;TEXT(TODAY(),"YYYYMMDD"))</f>
        <v/>
      </c>
      <c r="C1731" s="40" t="str">
        <f>IF(Agent09_Withdrawals!A138="","",Agent09_Withdrawals!B138)</f>
        <v/>
      </c>
      <c r="D1731" s="43" t="str">
        <f>IF(Agent09_Withdrawals!A138="","",Agent09_Withdrawals!C138)</f>
        <v/>
      </c>
      <c r="E1731" s="41" t="str">
        <f>IF(Agent09_Withdrawals!A138="","",Agent09_Withdrawals!D138)</f>
        <v/>
      </c>
      <c r="F1731" s="40" t="str">
        <f>IF(Agent09_Withdrawals!A138="","",Agent09_Withdrawals!F138)</f>
        <v/>
      </c>
      <c r="G1731" s="42" t="str">
        <f>IF(Agent09_Withdrawals!A138="","",Agent09_Withdrawals!E138)</f>
        <v/>
      </c>
      <c r="H1731" s="42" t="str">
        <f>IF(Agent09_Withdrawals!A138="","",Agent09_Withdrawals!G138)</f>
        <v/>
      </c>
      <c r="I1731" s="40" t="str">
        <f>IF(Agent09_Withdrawals!A138="","",Agent09_Withdrawals!H138)</f>
        <v/>
      </c>
      <c r="J1731" s="40" t="str">
        <f>IF(Agent09_Withdrawals!A138="","",Agent09_Withdrawals!J138)</f>
        <v/>
      </c>
      <c r="K1731" s="40" t="str">
        <f>IF(Agent09_Withdrawals!A138="","",Agent09_Withdrawals!K138)</f>
        <v/>
      </c>
      <c r="L1731" s="40" t="str">
        <f>IF(G1731="","",IF(D1731-G1731&gt;=System_Config!$B$9,"✅ OK","⚠️ BREACH"))</f>
        <v/>
      </c>
      <c r="M1731" s="40" t="str">
        <f>IFERROR(IF(Agent09_Withdrawals!A138="","",YEAR(Agent09_Withdrawals!D138)),"")</f>
        <v/>
      </c>
    </row>
    <row r="1732" spans="1:13" ht="18" customHeight="1" x14ac:dyDescent="0.25">
      <c r="A1732" s="40" t="str">
        <f>IF(Agent09_Withdrawals!A139="","",Agent09_Withdrawals!A139)</f>
        <v/>
      </c>
      <c r="B1732" s="40" t="str">
        <f ca="1">IF(Agent09_Withdrawals!A139="","","WD"&amp;TEXT(1732-3,"0000")&amp;"-"&amp;TEXT(TODAY(),"YYYYMMDD"))</f>
        <v/>
      </c>
      <c r="C1732" s="40" t="str">
        <f>IF(Agent09_Withdrawals!A139="","",Agent09_Withdrawals!B139)</f>
        <v/>
      </c>
      <c r="D1732" s="43" t="str">
        <f>IF(Agent09_Withdrawals!A139="","",Agent09_Withdrawals!C139)</f>
        <v/>
      </c>
      <c r="E1732" s="41" t="str">
        <f>IF(Agent09_Withdrawals!A139="","",Agent09_Withdrawals!D139)</f>
        <v/>
      </c>
      <c r="F1732" s="40" t="str">
        <f>IF(Agent09_Withdrawals!A139="","",Agent09_Withdrawals!F139)</f>
        <v/>
      </c>
      <c r="G1732" s="42" t="str">
        <f>IF(Agent09_Withdrawals!A139="","",Agent09_Withdrawals!E139)</f>
        <v/>
      </c>
      <c r="H1732" s="42" t="str">
        <f>IF(Agent09_Withdrawals!A139="","",Agent09_Withdrawals!G139)</f>
        <v/>
      </c>
      <c r="I1732" s="40" t="str">
        <f>IF(Agent09_Withdrawals!A139="","",Agent09_Withdrawals!H139)</f>
        <v/>
      </c>
      <c r="J1732" s="40" t="str">
        <f>IF(Agent09_Withdrawals!A139="","",Agent09_Withdrawals!J139)</f>
        <v/>
      </c>
      <c r="K1732" s="40" t="str">
        <f>IF(Agent09_Withdrawals!A139="","",Agent09_Withdrawals!K139)</f>
        <v/>
      </c>
      <c r="L1732" s="40" t="str">
        <f>IF(G1732="","",IF(D1732-G1732&gt;=System_Config!$B$9,"✅ OK","⚠️ BREACH"))</f>
        <v/>
      </c>
      <c r="M1732" s="40" t="str">
        <f>IFERROR(IF(Agent09_Withdrawals!A139="","",YEAR(Agent09_Withdrawals!D139)),"")</f>
        <v/>
      </c>
    </row>
    <row r="1733" spans="1:13" ht="18" customHeight="1" x14ac:dyDescent="0.25">
      <c r="A1733" s="40" t="str">
        <f>IF(Agent09_Withdrawals!A140="","",Agent09_Withdrawals!A140)</f>
        <v/>
      </c>
      <c r="B1733" s="40" t="str">
        <f ca="1">IF(Agent09_Withdrawals!A140="","","WD"&amp;TEXT(1733-3,"0000")&amp;"-"&amp;TEXT(TODAY(),"YYYYMMDD"))</f>
        <v/>
      </c>
      <c r="C1733" s="40" t="str">
        <f>IF(Agent09_Withdrawals!A140="","",Agent09_Withdrawals!B140)</f>
        <v/>
      </c>
      <c r="D1733" s="43" t="str">
        <f>IF(Agent09_Withdrawals!A140="","",Agent09_Withdrawals!C140)</f>
        <v/>
      </c>
      <c r="E1733" s="41" t="str">
        <f>IF(Agent09_Withdrawals!A140="","",Agent09_Withdrawals!D140)</f>
        <v/>
      </c>
      <c r="F1733" s="40" t="str">
        <f>IF(Agent09_Withdrawals!A140="","",Agent09_Withdrawals!F140)</f>
        <v/>
      </c>
      <c r="G1733" s="42" t="str">
        <f>IF(Agent09_Withdrawals!A140="","",Agent09_Withdrawals!E140)</f>
        <v/>
      </c>
      <c r="H1733" s="42" t="str">
        <f>IF(Agent09_Withdrawals!A140="","",Agent09_Withdrawals!G140)</f>
        <v/>
      </c>
      <c r="I1733" s="40" t="str">
        <f>IF(Agent09_Withdrawals!A140="","",Agent09_Withdrawals!H140)</f>
        <v/>
      </c>
      <c r="J1733" s="40" t="str">
        <f>IF(Agent09_Withdrawals!A140="","",Agent09_Withdrawals!J140)</f>
        <v/>
      </c>
      <c r="K1733" s="40" t="str">
        <f>IF(Agent09_Withdrawals!A140="","",Agent09_Withdrawals!K140)</f>
        <v/>
      </c>
      <c r="L1733" s="40" t="str">
        <f>IF(G1733="","",IF(D1733-G1733&gt;=System_Config!$B$9,"✅ OK","⚠️ BREACH"))</f>
        <v/>
      </c>
      <c r="M1733" s="40" t="str">
        <f>IFERROR(IF(Agent09_Withdrawals!A140="","",YEAR(Agent09_Withdrawals!D140)),"")</f>
        <v/>
      </c>
    </row>
    <row r="1734" spans="1:13" ht="18" customHeight="1" x14ac:dyDescent="0.25">
      <c r="A1734" s="40" t="str">
        <f>IF(Agent09_Withdrawals!A141="","",Agent09_Withdrawals!A141)</f>
        <v/>
      </c>
      <c r="B1734" s="40" t="str">
        <f ca="1">IF(Agent09_Withdrawals!A141="","","WD"&amp;TEXT(1734-3,"0000")&amp;"-"&amp;TEXT(TODAY(),"YYYYMMDD"))</f>
        <v/>
      </c>
      <c r="C1734" s="40" t="str">
        <f>IF(Agent09_Withdrawals!A141="","",Agent09_Withdrawals!B141)</f>
        <v/>
      </c>
      <c r="D1734" s="43" t="str">
        <f>IF(Agent09_Withdrawals!A141="","",Agent09_Withdrawals!C141)</f>
        <v/>
      </c>
      <c r="E1734" s="41" t="str">
        <f>IF(Agent09_Withdrawals!A141="","",Agent09_Withdrawals!D141)</f>
        <v/>
      </c>
      <c r="F1734" s="40" t="str">
        <f>IF(Agent09_Withdrawals!A141="","",Agent09_Withdrawals!F141)</f>
        <v/>
      </c>
      <c r="G1734" s="42" t="str">
        <f>IF(Agent09_Withdrawals!A141="","",Agent09_Withdrawals!E141)</f>
        <v/>
      </c>
      <c r="H1734" s="42" t="str">
        <f>IF(Agent09_Withdrawals!A141="","",Agent09_Withdrawals!G141)</f>
        <v/>
      </c>
      <c r="I1734" s="40" t="str">
        <f>IF(Agent09_Withdrawals!A141="","",Agent09_Withdrawals!H141)</f>
        <v/>
      </c>
      <c r="J1734" s="40" t="str">
        <f>IF(Agent09_Withdrawals!A141="","",Agent09_Withdrawals!J141)</f>
        <v/>
      </c>
      <c r="K1734" s="40" t="str">
        <f>IF(Agent09_Withdrawals!A141="","",Agent09_Withdrawals!K141)</f>
        <v/>
      </c>
      <c r="L1734" s="40" t="str">
        <f>IF(G1734="","",IF(D1734-G1734&gt;=System_Config!$B$9,"✅ OK","⚠️ BREACH"))</f>
        <v/>
      </c>
      <c r="M1734" s="40" t="str">
        <f>IFERROR(IF(Agent09_Withdrawals!A141="","",YEAR(Agent09_Withdrawals!D141)),"")</f>
        <v/>
      </c>
    </row>
    <row r="1735" spans="1:13" ht="18" customHeight="1" x14ac:dyDescent="0.25">
      <c r="A1735" s="40" t="str">
        <f>IF(Agent09_Withdrawals!A142="","",Agent09_Withdrawals!A142)</f>
        <v/>
      </c>
      <c r="B1735" s="40" t="str">
        <f ca="1">IF(Agent09_Withdrawals!A142="","","WD"&amp;TEXT(1735-3,"0000")&amp;"-"&amp;TEXT(TODAY(),"YYYYMMDD"))</f>
        <v/>
      </c>
      <c r="C1735" s="40" t="str">
        <f>IF(Agent09_Withdrawals!A142="","",Agent09_Withdrawals!B142)</f>
        <v/>
      </c>
      <c r="D1735" s="43" t="str">
        <f>IF(Agent09_Withdrawals!A142="","",Agent09_Withdrawals!C142)</f>
        <v/>
      </c>
      <c r="E1735" s="41" t="str">
        <f>IF(Agent09_Withdrawals!A142="","",Agent09_Withdrawals!D142)</f>
        <v/>
      </c>
      <c r="F1735" s="40" t="str">
        <f>IF(Agent09_Withdrawals!A142="","",Agent09_Withdrawals!F142)</f>
        <v/>
      </c>
      <c r="G1735" s="42" t="str">
        <f>IF(Agent09_Withdrawals!A142="","",Agent09_Withdrawals!E142)</f>
        <v/>
      </c>
      <c r="H1735" s="42" t="str">
        <f>IF(Agent09_Withdrawals!A142="","",Agent09_Withdrawals!G142)</f>
        <v/>
      </c>
      <c r="I1735" s="40" t="str">
        <f>IF(Agent09_Withdrawals!A142="","",Agent09_Withdrawals!H142)</f>
        <v/>
      </c>
      <c r="J1735" s="40" t="str">
        <f>IF(Agent09_Withdrawals!A142="","",Agent09_Withdrawals!J142)</f>
        <v/>
      </c>
      <c r="K1735" s="40" t="str">
        <f>IF(Agent09_Withdrawals!A142="","",Agent09_Withdrawals!K142)</f>
        <v/>
      </c>
      <c r="L1735" s="40" t="str">
        <f>IF(G1735="","",IF(D1735-G1735&gt;=System_Config!$B$9,"✅ OK","⚠️ BREACH"))</f>
        <v/>
      </c>
      <c r="M1735" s="40" t="str">
        <f>IFERROR(IF(Agent09_Withdrawals!A142="","",YEAR(Agent09_Withdrawals!D142)),"")</f>
        <v/>
      </c>
    </row>
    <row r="1736" spans="1:13" ht="18" customHeight="1" x14ac:dyDescent="0.25">
      <c r="A1736" s="40" t="str">
        <f>IF(Agent09_Withdrawals!A143="","",Agent09_Withdrawals!A143)</f>
        <v/>
      </c>
      <c r="B1736" s="40" t="str">
        <f ca="1">IF(Agent09_Withdrawals!A143="","","WD"&amp;TEXT(1736-3,"0000")&amp;"-"&amp;TEXT(TODAY(),"YYYYMMDD"))</f>
        <v/>
      </c>
      <c r="C1736" s="40" t="str">
        <f>IF(Agent09_Withdrawals!A143="","",Agent09_Withdrawals!B143)</f>
        <v/>
      </c>
      <c r="D1736" s="43" t="str">
        <f>IF(Agent09_Withdrawals!A143="","",Agent09_Withdrawals!C143)</f>
        <v/>
      </c>
      <c r="E1736" s="41" t="str">
        <f>IF(Agent09_Withdrawals!A143="","",Agent09_Withdrawals!D143)</f>
        <v/>
      </c>
      <c r="F1736" s="40" t="str">
        <f>IF(Agent09_Withdrawals!A143="","",Agent09_Withdrawals!F143)</f>
        <v/>
      </c>
      <c r="G1736" s="42" t="str">
        <f>IF(Agent09_Withdrawals!A143="","",Agent09_Withdrawals!E143)</f>
        <v/>
      </c>
      <c r="H1736" s="42" t="str">
        <f>IF(Agent09_Withdrawals!A143="","",Agent09_Withdrawals!G143)</f>
        <v/>
      </c>
      <c r="I1736" s="40" t="str">
        <f>IF(Agent09_Withdrawals!A143="","",Agent09_Withdrawals!H143)</f>
        <v/>
      </c>
      <c r="J1736" s="40" t="str">
        <f>IF(Agent09_Withdrawals!A143="","",Agent09_Withdrawals!J143)</f>
        <v/>
      </c>
      <c r="K1736" s="40" t="str">
        <f>IF(Agent09_Withdrawals!A143="","",Agent09_Withdrawals!K143)</f>
        <v/>
      </c>
      <c r="L1736" s="40" t="str">
        <f>IF(G1736="","",IF(D1736-G1736&gt;=System_Config!$B$9,"✅ OK","⚠️ BREACH"))</f>
        <v/>
      </c>
      <c r="M1736" s="40" t="str">
        <f>IFERROR(IF(Agent09_Withdrawals!A143="","",YEAR(Agent09_Withdrawals!D143)),"")</f>
        <v/>
      </c>
    </row>
    <row r="1737" spans="1:13" ht="18" customHeight="1" x14ac:dyDescent="0.25">
      <c r="A1737" s="40" t="str">
        <f>IF(Agent09_Withdrawals!A144="","",Agent09_Withdrawals!A144)</f>
        <v/>
      </c>
      <c r="B1737" s="40" t="str">
        <f ca="1">IF(Agent09_Withdrawals!A144="","","WD"&amp;TEXT(1737-3,"0000")&amp;"-"&amp;TEXT(TODAY(),"YYYYMMDD"))</f>
        <v/>
      </c>
      <c r="C1737" s="40" t="str">
        <f>IF(Agent09_Withdrawals!A144="","",Agent09_Withdrawals!B144)</f>
        <v/>
      </c>
      <c r="D1737" s="43" t="str">
        <f>IF(Agent09_Withdrawals!A144="","",Agent09_Withdrawals!C144)</f>
        <v/>
      </c>
      <c r="E1737" s="41" t="str">
        <f>IF(Agent09_Withdrawals!A144="","",Agent09_Withdrawals!D144)</f>
        <v/>
      </c>
      <c r="F1737" s="40" t="str">
        <f>IF(Agent09_Withdrawals!A144="","",Agent09_Withdrawals!F144)</f>
        <v/>
      </c>
      <c r="G1737" s="42" t="str">
        <f>IF(Agent09_Withdrawals!A144="","",Agent09_Withdrawals!E144)</f>
        <v/>
      </c>
      <c r="H1737" s="42" t="str">
        <f>IF(Agent09_Withdrawals!A144="","",Agent09_Withdrawals!G144)</f>
        <v/>
      </c>
      <c r="I1737" s="40" t="str">
        <f>IF(Agent09_Withdrawals!A144="","",Agent09_Withdrawals!H144)</f>
        <v/>
      </c>
      <c r="J1737" s="40" t="str">
        <f>IF(Agent09_Withdrawals!A144="","",Agent09_Withdrawals!J144)</f>
        <v/>
      </c>
      <c r="K1737" s="40" t="str">
        <f>IF(Agent09_Withdrawals!A144="","",Agent09_Withdrawals!K144)</f>
        <v/>
      </c>
      <c r="L1737" s="40" t="str">
        <f>IF(G1737="","",IF(D1737-G1737&gt;=System_Config!$B$9,"✅ OK","⚠️ BREACH"))</f>
        <v/>
      </c>
      <c r="M1737" s="40" t="str">
        <f>IFERROR(IF(Agent09_Withdrawals!A144="","",YEAR(Agent09_Withdrawals!D144)),"")</f>
        <v/>
      </c>
    </row>
    <row r="1738" spans="1:13" ht="18" customHeight="1" x14ac:dyDescent="0.25">
      <c r="A1738" s="40" t="str">
        <f>IF(Agent09_Withdrawals!A145="","",Agent09_Withdrawals!A145)</f>
        <v/>
      </c>
      <c r="B1738" s="40" t="str">
        <f ca="1">IF(Agent09_Withdrawals!A145="","","WD"&amp;TEXT(1738-3,"0000")&amp;"-"&amp;TEXT(TODAY(),"YYYYMMDD"))</f>
        <v/>
      </c>
      <c r="C1738" s="40" t="str">
        <f>IF(Agent09_Withdrawals!A145="","",Agent09_Withdrawals!B145)</f>
        <v/>
      </c>
      <c r="D1738" s="43" t="str">
        <f>IF(Agent09_Withdrawals!A145="","",Agent09_Withdrawals!C145)</f>
        <v/>
      </c>
      <c r="E1738" s="41" t="str">
        <f>IF(Agent09_Withdrawals!A145="","",Agent09_Withdrawals!D145)</f>
        <v/>
      </c>
      <c r="F1738" s="40" t="str">
        <f>IF(Agent09_Withdrawals!A145="","",Agent09_Withdrawals!F145)</f>
        <v/>
      </c>
      <c r="G1738" s="42" t="str">
        <f>IF(Agent09_Withdrawals!A145="","",Agent09_Withdrawals!E145)</f>
        <v/>
      </c>
      <c r="H1738" s="42" t="str">
        <f>IF(Agent09_Withdrawals!A145="","",Agent09_Withdrawals!G145)</f>
        <v/>
      </c>
      <c r="I1738" s="40" t="str">
        <f>IF(Agent09_Withdrawals!A145="","",Agent09_Withdrawals!H145)</f>
        <v/>
      </c>
      <c r="J1738" s="40" t="str">
        <f>IF(Agent09_Withdrawals!A145="","",Agent09_Withdrawals!J145)</f>
        <v/>
      </c>
      <c r="K1738" s="40" t="str">
        <f>IF(Agent09_Withdrawals!A145="","",Agent09_Withdrawals!K145)</f>
        <v/>
      </c>
      <c r="L1738" s="40" t="str">
        <f>IF(G1738="","",IF(D1738-G1738&gt;=System_Config!$B$9,"✅ OK","⚠️ BREACH"))</f>
        <v/>
      </c>
      <c r="M1738" s="40" t="str">
        <f>IFERROR(IF(Agent09_Withdrawals!A145="","",YEAR(Agent09_Withdrawals!D145)),"")</f>
        <v/>
      </c>
    </row>
    <row r="1739" spans="1:13" ht="18" customHeight="1" x14ac:dyDescent="0.25">
      <c r="A1739" s="40" t="str">
        <f>IF(Agent09_Withdrawals!A146="","",Agent09_Withdrawals!A146)</f>
        <v/>
      </c>
      <c r="B1739" s="40" t="str">
        <f ca="1">IF(Agent09_Withdrawals!A146="","","WD"&amp;TEXT(1739-3,"0000")&amp;"-"&amp;TEXT(TODAY(),"YYYYMMDD"))</f>
        <v/>
      </c>
      <c r="C1739" s="40" t="str">
        <f>IF(Agent09_Withdrawals!A146="","",Agent09_Withdrawals!B146)</f>
        <v/>
      </c>
      <c r="D1739" s="43" t="str">
        <f>IF(Agent09_Withdrawals!A146="","",Agent09_Withdrawals!C146)</f>
        <v/>
      </c>
      <c r="E1739" s="41" t="str">
        <f>IF(Agent09_Withdrawals!A146="","",Agent09_Withdrawals!D146)</f>
        <v/>
      </c>
      <c r="F1739" s="40" t="str">
        <f>IF(Agent09_Withdrawals!A146="","",Agent09_Withdrawals!F146)</f>
        <v/>
      </c>
      <c r="G1739" s="42" t="str">
        <f>IF(Agent09_Withdrawals!A146="","",Agent09_Withdrawals!E146)</f>
        <v/>
      </c>
      <c r="H1739" s="42" t="str">
        <f>IF(Agent09_Withdrawals!A146="","",Agent09_Withdrawals!G146)</f>
        <v/>
      </c>
      <c r="I1739" s="40" t="str">
        <f>IF(Agent09_Withdrawals!A146="","",Agent09_Withdrawals!H146)</f>
        <v/>
      </c>
      <c r="J1739" s="40" t="str">
        <f>IF(Agent09_Withdrawals!A146="","",Agent09_Withdrawals!J146)</f>
        <v/>
      </c>
      <c r="K1739" s="40" t="str">
        <f>IF(Agent09_Withdrawals!A146="","",Agent09_Withdrawals!K146)</f>
        <v/>
      </c>
      <c r="L1739" s="40" t="str">
        <f>IF(G1739="","",IF(D1739-G1739&gt;=System_Config!$B$9,"✅ OK","⚠️ BREACH"))</f>
        <v/>
      </c>
      <c r="M1739" s="40" t="str">
        <f>IFERROR(IF(Agent09_Withdrawals!A146="","",YEAR(Agent09_Withdrawals!D146)),"")</f>
        <v/>
      </c>
    </row>
    <row r="1740" spans="1:13" ht="18" customHeight="1" x14ac:dyDescent="0.25">
      <c r="A1740" s="40" t="str">
        <f>IF(Agent09_Withdrawals!A147="","",Agent09_Withdrawals!A147)</f>
        <v/>
      </c>
      <c r="B1740" s="40" t="str">
        <f ca="1">IF(Agent09_Withdrawals!A147="","","WD"&amp;TEXT(1740-3,"0000")&amp;"-"&amp;TEXT(TODAY(),"YYYYMMDD"))</f>
        <v/>
      </c>
      <c r="C1740" s="40" t="str">
        <f>IF(Agent09_Withdrawals!A147="","",Agent09_Withdrawals!B147)</f>
        <v/>
      </c>
      <c r="D1740" s="43" t="str">
        <f>IF(Agent09_Withdrawals!A147="","",Agent09_Withdrawals!C147)</f>
        <v/>
      </c>
      <c r="E1740" s="41" t="str">
        <f>IF(Agent09_Withdrawals!A147="","",Agent09_Withdrawals!D147)</f>
        <v/>
      </c>
      <c r="F1740" s="40" t="str">
        <f>IF(Agent09_Withdrawals!A147="","",Agent09_Withdrawals!F147)</f>
        <v/>
      </c>
      <c r="G1740" s="42" t="str">
        <f>IF(Agent09_Withdrawals!A147="","",Agent09_Withdrawals!E147)</f>
        <v/>
      </c>
      <c r="H1740" s="42" t="str">
        <f>IF(Agent09_Withdrawals!A147="","",Agent09_Withdrawals!G147)</f>
        <v/>
      </c>
      <c r="I1740" s="40" t="str">
        <f>IF(Agent09_Withdrawals!A147="","",Agent09_Withdrawals!H147)</f>
        <v/>
      </c>
      <c r="J1740" s="40" t="str">
        <f>IF(Agent09_Withdrawals!A147="","",Agent09_Withdrawals!J147)</f>
        <v/>
      </c>
      <c r="K1740" s="40" t="str">
        <f>IF(Agent09_Withdrawals!A147="","",Agent09_Withdrawals!K147)</f>
        <v/>
      </c>
      <c r="L1740" s="40" t="str">
        <f>IF(G1740="","",IF(D1740-G1740&gt;=System_Config!$B$9,"✅ OK","⚠️ BREACH"))</f>
        <v/>
      </c>
      <c r="M1740" s="40" t="str">
        <f>IFERROR(IF(Agent09_Withdrawals!A147="","",YEAR(Agent09_Withdrawals!D147)),"")</f>
        <v/>
      </c>
    </row>
    <row r="1741" spans="1:13" ht="18" customHeight="1" x14ac:dyDescent="0.25">
      <c r="A1741" s="40" t="str">
        <f>IF(Agent09_Withdrawals!A148="","",Agent09_Withdrawals!A148)</f>
        <v/>
      </c>
      <c r="B1741" s="40" t="str">
        <f ca="1">IF(Agent09_Withdrawals!A148="","","WD"&amp;TEXT(1741-3,"0000")&amp;"-"&amp;TEXT(TODAY(),"YYYYMMDD"))</f>
        <v/>
      </c>
      <c r="C1741" s="40" t="str">
        <f>IF(Agent09_Withdrawals!A148="","",Agent09_Withdrawals!B148)</f>
        <v/>
      </c>
      <c r="D1741" s="43" t="str">
        <f>IF(Agent09_Withdrawals!A148="","",Agent09_Withdrawals!C148)</f>
        <v/>
      </c>
      <c r="E1741" s="41" t="str">
        <f>IF(Agent09_Withdrawals!A148="","",Agent09_Withdrawals!D148)</f>
        <v/>
      </c>
      <c r="F1741" s="40" t="str">
        <f>IF(Agent09_Withdrawals!A148="","",Agent09_Withdrawals!F148)</f>
        <v/>
      </c>
      <c r="G1741" s="42" t="str">
        <f>IF(Agent09_Withdrawals!A148="","",Agent09_Withdrawals!E148)</f>
        <v/>
      </c>
      <c r="H1741" s="42" t="str">
        <f>IF(Agent09_Withdrawals!A148="","",Agent09_Withdrawals!G148)</f>
        <v/>
      </c>
      <c r="I1741" s="40" t="str">
        <f>IF(Agent09_Withdrawals!A148="","",Agent09_Withdrawals!H148)</f>
        <v/>
      </c>
      <c r="J1741" s="40" t="str">
        <f>IF(Agent09_Withdrawals!A148="","",Agent09_Withdrawals!J148)</f>
        <v/>
      </c>
      <c r="K1741" s="40" t="str">
        <f>IF(Agent09_Withdrawals!A148="","",Agent09_Withdrawals!K148)</f>
        <v/>
      </c>
      <c r="L1741" s="40" t="str">
        <f>IF(G1741="","",IF(D1741-G1741&gt;=System_Config!$B$9,"✅ OK","⚠️ BREACH"))</f>
        <v/>
      </c>
      <c r="M1741" s="40" t="str">
        <f>IFERROR(IF(Agent09_Withdrawals!A148="","",YEAR(Agent09_Withdrawals!D148)),"")</f>
        <v/>
      </c>
    </row>
    <row r="1742" spans="1:13" ht="18" customHeight="1" x14ac:dyDescent="0.25">
      <c r="A1742" s="40" t="str">
        <f>IF(Agent09_Withdrawals!A149="","",Agent09_Withdrawals!A149)</f>
        <v/>
      </c>
      <c r="B1742" s="40" t="str">
        <f ca="1">IF(Agent09_Withdrawals!A149="","","WD"&amp;TEXT(1742-3,"0000")&amp;"-"&amp;TEXT(TODAY(),"YYYYMMDD"))</f>
        <v/>
      </c>
      <c r="C1742" s="40" t="str">
        <f>IF(Agent09_Withdrawals!A149="","",Agent09_Withdrawals!B149)</f>
        <v/>
      </c>
      <c r="D1742" s="43" t="str">
        <f>IF(Agent09_Withdrawals!A149="","",Agent09_Withdrawals!C149)</f>
        <v/>
      </c>
      <c r="E1742" s="41" t="str">
        <f>IF(Agent09_Withdrawals!A149="","",Agent09_Withdrawals!D149)</f>
        <v/>
      </c>
      <c r="F1742" s="40" t="str">
        <f>IF(Agent09_Withdrawals!A149="","",Agent09_Withdrawals!F149)</f>
        <v/>
      </c>
      <c r="G1742" s="42" t="str">
        <f>IF(Agent09_Withdrawals!A149="","",Agent09_Withdrawals!E149)</f>
        <v/>
      </c>
      <c r="H1742" s="42" t="str">
        <f>IF(Agent09_Withdrawals!A149="","",Agent09_Withdrawals!G149)</f>
        <v/>
      </c>
      <c r="I1742" s="40" t="str">
        <f>IF(Agent09_Withdrawals!A149="","",Agent09_Withdrawals!H149)</f>
        <v/>
      </c>
      <c r="J1742" s="40" t="str">
        <f>IF(Agent09_Withdrawals!A149="","",Agent09_Withdrawals!J149)</f>
        <v/>
      </c>
      <c r="K1742" s="40" t="str">
        <f>IF(Agent09_Withdrawals!A149="","",Agent09_Withdrawals!K149)</f>
        <v/>
      </c>
      <c r="L1742" s="40" t="str">
        <f>IF(G1742="","",IF(D1742-G1742&gt;=System_Config!$B$9,"✅ OK","⚠️ BREACH"))</f>
        <v/>
      </c>
      <c r="M1742" s="40" t="str">
        <f>IFERROR(IF(Agent09_Withdrawals!A149="","",YEAR(Agent09_Withdrawals!D149)),"")</f>
        <v/>
      </c>
    </row>
    <row r="1743" spans="1:13" ht="18" customHeight="1" x14ac:dyDescent="0.25">
      <c r="A1743" s="40" t="str">
        <f>IF(Agent09_Withdrawals!A150="","",Agent09_Withdrawals!A150)</f>
        <v/>
      </c>
      <c r="B1743" s="40" t="str">
        <f ca="1">IF(Agent09_Withdrawals!A150="","","WD"&amp;TEXT(1743-3,"0000")&amp;"-"&amp;TEXT(TODAY(),"YYYYMMDD"))</f>
        <v/>
      </c>
      <c r="C1743" s="40" t="str">
        <f>IF(Agent09_Withdrawals!A150="","",Agent09_Withdrawals!B150)</f>
        <v/>
      </c>
      <c r="D1743" s="43" t="str">
        <f>IF(Agent09_Withdrawals!A150="","",Agent09_Withdrawals!C150)</f>
        <v/>
      </c>
      <c r="E1743" s="41" t="str">
        <f>IF(Agent09_Withdrawals!A150="","",Agent09_Withdrawals!D150)</f>
        <v/>
      </c>
      <c r="F1743" s="40" t="str">
        <f>IF(Agent09_Withdrawals!A150="","",Agent09_Withdrawals!F150)</f>
        <v/>
      </c>
      <c r="G1743" s="42" t="str">
        <f>IF(Agent09_Withdrawals!A150="","",Agent09_Withdrawals!E150)</f>
        <v/>
      </c>
      <c r="H1743" s="42" t="str">
        <f>IF(Agent09_Withdrawals!A150="","",Agent09_Withdrawals!G150)</f>
        <v/>
      </c>
      <c r="I1743" s="40" t="str">
        <f>IF(Agent09_Withdrawals!A150="","",Agent09_Withdrawals!H150)</f>
        <v/>
      </c>
      <c r="J1743" s="40" t="str">
        <f>IF(Agent09_Withdrawals!A150="","",Agent09_Withdrawals!J150)</f>
        <v/>
      </c>
      <c r="K1743" s="40" t="str">
        <f>IF(Agent09_Withdrawals!A150="","",Agent09_Withdrawals!K150)</f>
        <v/>
      </c>
      <c r="L1743" s="40" t="str">
        <f>IF(G1743="","",IF(D1743-G1743&gt;=System_Config!$B$9,"✅ OK","⚠️ BREACH"))</f>
        <v/>
      </c>
      <c r="M1743" s="40" t="str">
        <f>IFERROR(IF(Agent09_Withdrawals!A150="","",YEAR(Agent09_Withdrawals!D150)),"")</f>
        <v/>
      </c>
    </row>
    <row r="1744" spans="1:13" ht="18" customHeight="1" x14ac:dyDescent="0.25">
      <c r="A1744" s="40" t="str">
        <f>IF(Agent09_Withdrawals!A151="","",Agent09_Withdrawals!A151)</f>
        <v/>
      </c>
      <c r="B1744" s="40" t="str">
        <f ca="1">IF(Agent09_Withdrawals!A151="","","WD"&amp;TEXT(1744-3,"0000")&amp;"-"&amp;TEXT(TODAY(),"YYYYMMDD"))</f>
        <v/>
      </c>
      <c r="C1744" s="40" t="str">
        <f>IF(Agent09_Withdrawals!A151="","",Agent09_Withdrawals!B151)</f>
        <v/>
      </c>
      <c r="D1744" s="43" t="str">
        <f>IF(Agent09_Withdrawals!A151="","",Agent09_Withdrawals!C151)</f>
        <v/>
      </c>
      <c r="E1744" s="41" t="str">
        <f>IF(Agent09_Withdrawals!A151="","",Agent09_Withdrawals!D151)</f>
        <v/>
      </c>
      <c r="F1744" s="40" t="str">
        <f>IF(Agent09_Withdrawals!A151="","",Agent09_Withdrawals!F151)</f>
        <v/>
      </c>
      <c r="G1744" s="42" t="str">
        <f>IF(Agent09_Withdrawals!A151="","",Agent09_Withdrawals!E151)</f>
        <v/>
      </c>
      <c r="H1744" s="42" t="str">
        <f>IF(Agent09_Withdrawals!A151="","",Agent09_Withdrawals!G151)</f>
        <v/>
      </c>
      <c r="I1744" s="40" t="str">
        <f>IF(Agent09_Withdrawals!A151="","",Agent09_Withdrawals!H151)</f>
        <v/>
      </c>
      <c r="J1744" s="40" t="str">
        <f>IF(Agent09_Withdrawals!A151="","",Agent09_Withdrawals!J151)</f>
        <v/>
      </c>
      <c r="K1744" s="40" t="str">
        <f>IF(Agent09_Withdrawals!A151="","",Agent09_Withdrawals!K151)</f>
        <v/>
      </c>
      <c r="L1744" s="40" t="str">
        <f>IF(G1744="","",IF(D1744-G1744&gt;=System_Config!$B$9,"✅ OK","⚠️ BREACH"))</f>
        <v/>
      </c>
      <c r="M1744" s="40" t="str">
        <f>IFERROR(IF(Agent09_Withdrawals!A151="","",YEAR(Agent09_Withdrawals!D151)),"")</f>
        <v/>
      </c>
    </row>
    <row r="1745" spans="1:13" ht="18" customHeight="1" x14ac:dyDescent="0.25">
      <c r="A1745" s="40" t="str">
        <f>IF(Agent09_Withdrawals!A152="","",Agent09_Withdrawals!A152)</f>
        <v/>
      </c>
      <c r="B1745" s="40" t="str">
        <f ca="1">IF(Agent09_Withdrawals!A152="","","WD"&amp;TEXT(1745-3,"0000")&amp;"-"&amp;TEXT(TODAY(),"YYYYMMDD"))</f>
        <v/>
      </c>
      <c r="C1745" s="40" t="str">
        <f>IF(Agent09_Withdrawals!A152="","",Agent09_Withdrawals!B152)</f>
        <v/>
      </c>
      <c r="D1745" s="43" t="str">
        <f>IF(Agent09_Withdrawals!A152="","",Agent09_Withdrawals!C152)</f>
        <v/>
      </c>
      <c r="E1745" s="41" t="str">
        <f>IF(Agent09_Withdrawals!A152="","",Agent09_Withdrawals!D152)</f>
        <v/>
      </c>
      <c r="F1745" s="40" t="str">
        <f>IF(Agent09_Withdrawals!A152="","",Agent09_Withdrawals!F152)</f>
        <v/>
      </c>
      <c r="G1745" s="42" t="str">
        <f>IF(Agent09_Withdrawals!A152="","",Agent09_Withdrawals!E152)</f>
        <v/>
      </c>
      <c r="H1745" s="42" t="str">
        <f>IF(Agent09_Withdrawals!A152="","",Agent09_Withdrawals!G152)</f>
        <v/>
      </c>
      <c r="I1745" s="40" t="str">
        <f>IF(Agent09_Withdrawals!A152="","",Agent09_Withdrawals!H152)</f>
        <v/>
      </c>
      <c r="J1745" s="40" t="str">
        <f>IF(Agent09_Withdrawals!A152="","",Agent09_Withdrawals!J152)</f>
        <v/>
      </c>
      <c r="K1745" s="40" t="str">
        <f>IF(Agent09_Withdrawals!A152="","",Agent09_Withdrawals!K152)</f>
        <v/>
      </c>
      <c r="L1745" s="40" t="str">
        <f>IF(G1745="","",IF(D1745-G1745&gt;=System_Config!$B$9,"✅ OK","⚠️ BREACH"))</f>
        <v/>
      </c>
      <c r="M1745" s="40" t="str">
        <f>IFERROR(IF(Agent09_Withdrawals!A152="","",YEAR(Agent09_Withdrawals!D152)),"")</f>
        <v/>
      </c>
    </row>
    <row r="1746" spans="1:13" ht="18" customHeight="1" x14ac:dyDescent="0.25">
      <c r="A1746" s="40" t="str">
        <f>IF(Agent09_Withdrawals!A153="","",Agent09_Withdrawals!A153)</f>
        <v/>
      </c>
      <c r="B1746" s="40" t="str">
        <f ca="1">IF(Agent09_Withdrawals!A153="","","WD"&amp;TEXT(1746-3,"0000")&amp;"-"&amp;TEXT(TODAY(),"YYYYMMDD"))</f>
        <v/>
      </c>
      <c r="C1746" s="40" t="str">
        <f>IF(Agent09_Withdrawals!A153="","",Agent09_Withdrawals!B153)</f>
        <v/>
      </c>
      <c r="D1746" s="43" t="str">
        <f>IF(Agent09_Withdrawals!A153="","",Agent09_Withdrawals!C153)</f>
        <v/>
      </c>
      <c r="E1746" s="41" t="str">
        <f>IF(Agent09_Withdrawals!A153="","",Agent09_Withdrawals!D153)</f>
        <v/>
      </c>
      <c r="F1746" s="40" t="str">
        <f>IF(Agent09_Withdrawals!A153="","",Agent09_Withdrawals!F153)</f>
        <v/>
      </c>
      <c r="G1746" s="42" t="str">
        <f>IF(Agent09_Withdrawals!A153="","",Agent09_Withdrawals!E153)</f>
        <v/>
      </c>
      <c r="H1746" s="42" t="str">
        <f>IF(Agent09_Withdrawals!A153="","",Agent09_Withdrawals!G153)</f>
        <v/>
      </c>
      <c r="I1746" s="40" t="str">
        <f>IF(Agent09_Withdrawals!A153="","",Agent09_Withdrawals!H153)</f>
        <v/>
      </c>
      <c r="J1746" s="40" t="str">
        <f>IF(Agent09_Withdrawals!A153="","",Agent09_Withdrawals!J153)</f>
        <v/>
      </c>
      <c r="K1746" s="40" t="str">
        <f>IF(Agent09_Withdrawals!A153="","",Agent09_Withdrawals!K153)</f>
        <v/>
      </c>
      <c r="L1746" s="40" t="str">
        <f>IF(G1746="","",IF(D1746-G1746&gt;=System_Config!$B$9,"✅ OK","⚠️ BREACH"))</f>
        <v/>
      </c>
      <c r="M1746" s="40" t="str">
        <f>IFERROR(IF(Agent09_Withdrawals!A153="","",YEAR(Agent09_Withdrawals!D153)),"")</f>
        <v/>
      </c>
    </row>
    <row r="1747" spans="1:13" ht="18" customHeight="1" x14ac:dyDescent="0.25">
      <c r="A1747" s="40" t="str">
        <f>IF(Agent09_Withdrawals!A154="","",Agent09_Withdrawals!A154)</f>
        <v/>
      </c>
      <c r="B1747" s="40" t="str">
        <f ca="1">IF(Agent09_Withdrawals!A154="","","WD"&amp;TEXT(1747-3,"0000")&amp;"-"&amp;TEXT(TODAY(),"YYYYMMDD"))</f>
        <v/>
      </c>
      <c r="C1747" s="40" t="str">
        <f>IF(Agent09_Withdrawals!A154="","",Agent09_Withdrawals!B154)</f>
        <v/>
      </c>
      <c r="D1747" s="43" t="str">
        <f>IF(Agent09_Withdrawals!A154="","",Agent09_Withdrawals!C154)</f>
        <v/>
      </c>
      <c r="E1747" s="41" t="str">
        <f>IF(Agent09_Withdrawals!A154="","",Agent09_Withdrawals!D154)</f>
        <v/>
      </c>
      <c r="F1747" s="40" t="str">
        <f>IF(Agent09_Withdrawals!A154="","",Agent09_Withdrawals!F154)</f>
        <v/>
      </c>
      <c r="G1747" s="42" t="str">
        <f>IF(Agent09_Withdrawals!A154="","",Agent09_Withdrawals!E154)</f>
        <v/>
      </c>
      <c r="H1747" s="42" t="str">
        <f>IF(Agent09_Withdrawals!A154="","",Agent09_Withdrawals!G154)</f>
        <v/>
      </c>
      <c r="I1747" s="40" t="str">
        <f>IF(Agent09_Withdrawals!A154="","",Agent09_Withdrawals!H154)</f>
        <v/>
      </c>
      <c r="J1747" s="40" t="str">
        <f>IF(Agent09_Withdrawals!A154="","",Agent09_Withdrawals!J154)</f>
        <v/>
      </c>
      <c r="K1747" s="40" t="str">
        <f>IF(Agent09_Withdrawals!A154="","",Agent09_Withdrawals!K154)</f>
        <v/>
      </c>
      <c r="L1747" s="40" t="str">
        <f>IF(G1747="","",IF(D1747-G1747&gt;=System_Config!$B$9,"✅ OK","⚠️ BREACH"))</f>
        <v/>
      </c>
      <c r="M1747" s="40" t="str">
        <f>IFERROR(IF(Agent09_Withdrawals!A154="","",YEAR(Agent09_Withdrawals!D154)),"")</f>
        <v/>
      </c>
    </row>
    <row r="1748" spans="1:13" ht="18" customHeight="1" x14ac:dyDescent="0.25">
      <c r="A1748" s="40" t="str">
        <f>IF(Agent09_Withdrawals!A155="","",Agent09_Withdrawals!A155)</f>
        <v/>
      </c>
      <c r="B1748" s="40" t="str">
        <f ca="1">IF(Agent09_Withdrawals!A155="","","WD"&amp;TEXT(1748-3,"0000")&amp;"-"&amp;TEXT(TODAY(),"YYYYMMDD"))</f>
        <v/>
      </c>
      <c r="C1748" s="40" t="str">
        <f>IF(Agent09_Withdrawals!A155="","",Agent09_Withdrawals!B155)</f>
        <v/>
      </c>
      <c r="D1748" s="43" t="str">
        <f>IF(Agent09_Withdrawals!A155="","",Agent09_Withdrawals!C155)</f>
        <v/>
      </c>
      <c r="E1748" s="41" t="str">
        <f>IF(Agent09_Withdrawals!A155="","",Agent09_Withdrawals!D155)</f>
        <v/>
      </c>
      <c r="F1748" s="40" t="str">
        <f>IF(Agent09_Withdrawals!A155="","",Agent09_Withdrawals!F155)</f>
        <v/>
      </c>
      <c r="G1748" s="42" t="str">
        <f>IF(Agent09_Withdrawals!A155="","",Agent09_Withdrawals!E155)</f>
        <v/>
      </c>
      <c r="H1748" s="42" t="str">
        <f>IF(Agent09_Withdrawals!A155="","",Agent09_Withdrawals!G155)</f>
        <v/>
      </c>
      <c r="I1748" s="40" t="str">
        <f>IF(Agent09_Withdrawals!A155="","",Agent09_Withdrawals!H155)</f>
        <v/>
      </c>
      <c r="J1748" s="40" t="str">
        <f>IF(Agent09_Withdrawals!A155="","",Agent09_Withdrawals!J155)</f>
        <v/>
      </c>
      <c r="K1748" s="40" t="str">
        <f>IF(Agent09_Withdrawals!A155="","",Agent09_Withdrawals!K155)</f>
        <v/>
      </c>
      <c r="L1748" s="40" t="str">
        <f>IF(G1748="","",IF(D1748-G1748&gt;=System_Config!$B$9,"✅ OK","⚠️ BREACH"))</f>
        <v/>
      </c>
      <c r="M1748" s="40" t="str">
        <f>IFERROR(IF(Agent09_Withdrawals!A155="","",YEAR(Agent09_Withdrawals!D155)),"")</f>
        <v/>
      </c>
    </row>
    <row r="1749" spans="1:13" ht="18" customHeight="1" x14ac:dyDescent="0.25">
      <c r="A1749" s="40" t="str">
        <f>IF(Agent09_Withdrawals!A156="","",Agent09_Withdrawals!A156)</f>
        <v/>
      </c>
      <c r="B1749" s="40" t="str">
        <f ca="1">IF(Agent09_Withdrawals!A156="","","WD"&amp;TEXT(1749-3,"0000")&amp;"-"&amp;TEXT(TODAY(),"YYYYMMDD"))</f>
        <v/>
      </c>
      <c r="C1749" s="40" t="str">
        <f>IF(Agent09_Withdrawals!A156="","",Agent09_Withdrawals!B156)</f>
        <v/>
      </c>
      <c r="D1749" s="43" t="str">
        <f>IF(Agent09_Withdrawals!A156="","",Agent09_Withdrawals!C156)</f>
        <v/>
      </c>
      <c r="E1749" s="41" t="str">
        <f>IF(Agent09_Withdrawals!A156="","",Agent09_Withdrawals!D156)</f>
        <v/>
      </c>
      <c r="F1749" s="40" t="str">
        <f>IF(Agent09_Withdrawals!A156="","",Agent09_Withdrawals!F156)</f>
        <v/>
      </c>
      <c r="G1749" s="42" t="str">
        <f>IF(Agent09_Withdrawals!A156="","",Agent09_Withdrawals!E156)</f>
        <v/>
      </c>
      <c r="H1749" s="42" t="str">
        <f>IF(Agent09_Withdrawals!A156="","",Agent09_Withdrawals!G156)</f>
        <v/>
      </c>
      <c r="I1749" s="40" t="str">
        <f>IF(Agent09_Withdrawals!A156="","",Agent09_Withdrawals!H156)</f>
        <v/>
      </c>
      <c r="J1749" s="40" t="str">
        <f>IF(Agent09_Withdrawals!A156="","",Agent09_Withdrawals!J156)</f>
        <v/>
      </c>
      <c r="K1749" s="40" t="str">
        <f>IF(Agent09_Withdrawals!A156="","",Agent09_Withdrawals!K156)</f>
        <v/>
      </c>
      <c r="L1749" s="40" t="str">
        <f>IF(G1749="","",IF(D1749-G1749&gt;=System_Config!$B$9,"✅ OK","⚠️ BREACH"))</f>
        <v/>
      </c>
      <c r="M1749" s="40" t="str">
        <f>IFERROR(IF(Agent09_Withdrawals!A156="","",YEAR(Agent09_Withdrawals!D156)),"")</f>
        <v/>
      </c>
    </row>
    <row r="1750" spans="1:13" ht="18" customHeight="1" x14ac:dyDescent="0.25">
      <c r="A1750" s="40" t="str">
        <f>IF(Agent09_Withdrawals!A157="","",Agent09_Withdrawals!A157)</f>
        <v/>
      </c>
      <c r="B1750" s="40" t="str">
        <f ca="1">IF(Agent09_Withdrawals!A157="","","WD"&amp;TEXT(1750-3,"0000")&amp;"-"&amp;TEXT(TODAY(),"YYYYMMDD"))</f>
        <v/>
      </c>
      <c r="C1750" s="40" t="str">
        <f>IF(Agent09_Withdrawals!A157="","",Agent09_Withdrawals!B157)</f>
        <v/>
      </c>
      <c r="D1750" s="43" t="str">
        <f>IF(Agent09_Withdrawals!A157="","",Agent09_Withdrawals!C157)</f>
        <v/>
      </c>
      <c r="E1750" s="41" t="str">
        <f>IF(Agent09_Withdrawals!A157="","",Agent09_Withdrawals!D157)</f>
        <v/>
      </c>
      <c r="F1750" s="40" t="str">
        <f>IF(Agent09_Withdrawals!A157="","",Agent09_Withdrawals!F157)</f>
        <v/>
      </c>
      <c r="G1750" s="42" t="str">
        <f>IF(Agent09_Withdrawals!A157="","",Agent09_Withdrawals!E157)</f>
        <v/>
      </c>
      <c r="H1750" s="42" t="str">
        <f>IF(Agent09_Withdrawals!A157="","",Agent09_Withdrawals!G157)</f>
        <v/>
      </c>
      <c r="I1750" s="40" t="str">
        <f>IF(Agent09_Withdrawals!A157="","",Agent09_Withdrawals!H157)</f>
        <v/>
      </c>
      <c r="J1750" s="40" t="str">
        <f>IF(Agent09_Withdrawals!A157="","",Agent09_Withdrawals!J157)</f>
        <v/>
      </c>
      <c r="K1750" s="40" t="str">
        <f>IF(Agent09_Withdrawals!A157="","",Agent09_Withdrawals!K157)</f>
        <v/>
      </c>
      <c r="L1750" s="40" t="str">
        <f>IF(G1750="","",IF(D1750-G1750&gt;=System_Config!$B$9,"✅ OK","⚠️ BREACH"))</f>
        <v/>
      </c>
      <c r="M1750" s="40" t="str">
        <f>IFERROR(IF(Agent09_Withdrawals!A157="","",YEAR(Agent09_Withdrawals!D157)),"")</f>
        <v/>
      </c>
    </row>
    <row r="1751" spans="1:13" ht="18" customHeight="1" x14ac:dyDescent="0.25">
      <c r="A1751" s="40" t="str">
        <f>IF(Agent09_Withdrawals!A158="","",Agent09_Withdrawals!A158)</f>
        <v/>
      </c>
      <c r="B1751" s="40" t="str">
        <f ca="1">IF(Agent09_Withdrawals!A158="","","WD"&amp;TEXT(1751-3,"0000")&amp;"-"&amp;TEXT(TODAY(),"YYYYMMDD"))</f>
        <v/>
      </c>
      <c r="C1751" s="40" t="str">
        <f>IF(Agent09_Withdrawals!A158="","",Agent09_Withdrawals!B158)</f>
        <v/>
      </c>
      <c r="D1751" s="43" t="str">
        <f>IF(Agent09_Withdrawals!A158="","",Agent09_Withdrawals!C158)</f>
        <v/>
      </c>
      <c r="E1751" s="41" t="str">
        <f>IF(Agent09_Withdrawals!A158="","",Agent09_Withdrawals!D158)</f>
        <v/>
      </c>
      <c r="F1751" s="40" t="str">
        <f>IF(Agent09_Withdrawals!A158="","",Agent09_Withdrawals!F158)</f>
        <v/>
      </c>
      <c r="G1751" s="42" t="str">
        <f>IF(Agent09_Withdrawals!A158="","",Agent09_Withdrawals!E158)</f>
        <v/>
      </c>
      <c r="H1751" s="42" t="str">
        <f>IF(Agent09_Withdrawals!A158="","",Agent09_Withdrawals!G158)</f>
        <v/>
      </c>
      <c r="I1751" s="40" t="str">
        <f>IF(Agent09_Withdrawals!A158="","",Agent09_Withdrawals!H158)</f>
        <v/>
      </c>
      <c r="J1751" s="40" t="str">
        <f>IF(Agent09_Withdrawals!A158="","",Agent09_Withdrawals!J158)</f>
        <v/>
      </c>
      <c r="K1751" s="40" t="str">
        <f>IF(Agent09_Withdrawals!A158="","",Agent09_Withdrawals!K158)</f>
        <v/>
      </c>
      <c r="L1751" s="40" t="str">
        <f>IF(G1751="","",IF(D1751-G1751&gt;=System_Config!$B$9,"✅ OK","⚠️ BREACH"))</f>
        <v/>
      </c>
      <c r="M1751" s="40" t="str">
        <f>IFERROR(IF(Agent09_Withdrawals!A158="","",YEAR(Agent09_Withdrawals!D158)),"")</f>
        <v/>
      </c>
    </row>
    <row r="1752" spans="1:13" ht="18" customHeight="1" x14ac:dyDescent="0.25">
      <c r="A1752" s="40" t="str">
        <f>IF(Agent09_Withdrawals!A159="","",Agent09_Withdrawals!A159)</f>
        <v/>
      </c>
      <c r="B1752" s="40" t="str">
        <f ca="1">IF(Agent09_Withdrawals!A159="","","WD"&amp;TEXT(1752-3,"0000")&amp;"-"&amp;TEXT(TODAY(),"YYYYMMDD"))</f>
        <v/>
      </c>
      <c r="C1752" s="40" t="str">
        <f>IF(Agent09_Withdrawals!A159="","",Agent09_Withdrawals!B159)</f>
        <v/>
      </c>
      <c r="D1752" s="43" t="str">
        <f>IF(Agent09_Withdrawals!A159="","",Agent09_Withdrawals!C159)</f>
        <v/>
      </c>
      <c r="E1752" s="41" t="str">
        <f>IF(Agent09_Withdrawals!A159="","",Agent09_Withdrawals!D159)</f>
        <v/>
      </c>
      <c r="F1752" s="40" t="str">
        <f>IF(Agent09_Withdrawals!A159="","",Agent09_Withdrawals!F159)</f>
        <v/>
      </c>
      <c r="G1752" s="42" t="str">
        <f>IF(Agent09_Withdrawals!A159="","",Agent09_Withdrawals!E159)</f>
        <v/>
      </c>
      <c r="H1752" s="42" t="str">
        <f>IF(Agent09_Withdrawals!A159="","",Agent09_Withdrawals!G159)</f>
        <v/>
      </c>
      <c r="I1752" s="40" t="str">
        <f>IF(Agent09_Withdrawals!A159="","",Agent09_Withdrawals!H159)</f>
        <v/>
      </c>
      <c r="J1752" s="40" t="str">
        <f>IF(Agent09_Withdrawals!A159="","",Agent09_Withdrawals!J159)</f>
        <v/>
      </c>
      <c r="K1752" s="40" t="str">
        <f>IF(Agent09_Withdrawals!A159="","",Agent09_Withdrawals!K159)</f>
        <v/>
      </c>
      <c r="L1752" s="40" t="str">
        <f>IF(G1752="","",IF(D1752-G1752&gt;=System_Config!$B$9,"✅ OK","⚠️ BREACH"))</f>
        <v/>
      </c>
      <c r="M1752" s="40" t="str">
        <f>IFERROR(IF(Agent09_Withdrawals!A159="","",YEAR(Agent09_Withdrawals!D159)),"")</f>
        <v/>
      </c>
    </row>
    <row r="1753" spans="1:13" ht="18" customHeight="1" x14ac:dyDescent="0.25">
      <c r="A1753" s="40" t="str">
        <f>IF(Agent09_Withdrawals!A160="","",Agent09_Withdrawals!A160)</f>
        <v/>
      </c>
      <c r="B1753" s="40" t="str">
        <f ca="1">IF(Agent09_Withdrawals!A160="","","WD"&amp;TEXT(1753-3,"0000")&amp;"-"&amp;TEXT(TODAY(),"YYYYMMDD"))</f>
        <v/>
      </c>
      <c r="C1753" s="40" t="str">
        <f>IF(Agent09_Withdrawals!A160="","",Agent09_Withdrawals!B160)</f>
        <v/>
      </c>
      <c r="D1753" s="43" t="str">
        <f>IF(Agent09_Withdrawals!A160="","",Agent09_Withdrawals!C160)</f>
        <v/>
      </c>
      <c r="E1753" s="41" t="str">
        <f>IF(Agent09_Withdrawals!A160="","",Agent09_Withdrawals!D160)</f>
        <v/>
      </c>
      <c r="F1753" s="40" t="str">
        <f>IF(Agent09_Withdrawals!A160="","",Agent09_Withdrawals!F160)</f>
        <v/>
      </c>
      <c r="G1753" s="42" t="str">
        <f>IF(Agent09_Withdrawals!A160="","",Agent09_Withdrawals!E160)</f>
        <v/>
      </c>
      <c r="H1753" s="42" t="str">
        <f>IF(Agent09_Withdrawals!A160="","",Agent09_Withdrawals!G160)</f>
        <v/>
      </c>
      <c r="I1753" s="40" t="str">
        <f>IF(Agent09_Withdrawals!A160="","",Agent09_Withdrawals!H160)</f>
        <v/>
      </c>
      <c r="J1753" s="40" t="str">
        <f>IF(Agent09_Withdrawals!A160="","",Agent09_Withdrawals!J160)</f>
        <v/>
      </c>
      <c r="K1753" s="40" t="str">
        <f>IF(Agent09_Withdrawals!A160="","",Agent09_Withdrawals!K160)</f>
        <v/>
      </c>
      <c r="L1753" s="40" t="str">
        <f>IF(G1753="","",IF(D1753-G1753&gt;=System_Config!$B$9,"✅ OK","⚠️ BREACH"))</f>
        <v/>
      </c>
      <c r="M1753" s="40" t="str">
        <f>IFERROR(IF(Agent09_Withdrawals!A160="","",YEAR(Agent09_Withdrawals!D160)),"")</f>
        <v/>
      </c>
    </row>
    <row r="1754" spans="1:13" ht="18" customHeight="1" x14ac:dyDescent="0.25">
      <c r="A1754" s="40" t="str">
        <f>IF(Agent09_Withdrawals!A161="","",Agent09_Withdrawals!A161)</f>
        <v/>
      </c>
      <c r="B1754" s="40" t="str">
        <f ca="1">IF(Agent09_Withdrawals!A161="","","WD"&amp;TEXT(1754-3,"0000")&amp;"-"&amp;TEXT(TODAY(),"YYYYMMDD"))</f>
        <v/>
      </c>
      <c r="C1754" s="40" t="str">
        <f>IF(Agent09_Withdrawals!A161="","",Agent09_Withdrawals!B161)</f>
        <v/>
      </c>
      <c r="D1754" s="43" t="str">
        <f>IF(Agent09_Withdrawals!A161="","",Agent09_Withdrawals!C161)</f>
        <v/>
      </c>
      <c r="E1754" s="41" t="str">
        <f>IF(Agent09_Withdrawals!A161="","",Agent09_Withdrawals!D161)</f>
        <v/>
      </c>
      <c r="F1754" s="40" t="str">
        <f>IF(Agent09_Withdrawals!A161="","",Agent09_Withdrawals!F161)</f>
        <v/>
      </c>
      <c r="G1754" s="42" t="str">
        <f>IF(Agent09_Withdrawals!A161="","",Agent09_Withdrawals!E161)</f>
        <v/>
      </c>
      <c r="H1754" s="42" t="str">
        <f>IF(Agent09_Withdrawals!A161="","",Agent09_Withdrawals!G161)</f>
        <v/>
      </c>
      <c r="I1754" s="40" t="str">
        <f>IF(Agent09_Withdrawals!A161="","",Agent09_Withdrawals!H161)</f>
        <v/>
      </c>
      <c r="J1754" s="40" t="str">
        <f>IF(Agent09_Withdrawals!A161="","",Agent09_Withdrawals!J161)</f>
        <v/>
      </c>
      <c r="K1754" s="40" t="str">
        <f>IF(Agent09_Withdrawals!A161="","",Agent09_Withdrawals!K161)</f>
        <v/>
      </c>
      <c r="L1754" s="40" t="str">
        <f>IF(G1754="","",IF(D1754-G1754&gt;=System_Config!$B$9,"✅ OK","⚠️ BREACH"))</f>
        <v/>
      </c>
      <c r="M1754" s="40" t="str">
        <f>IFERROR(IF(Agent09_Withdrawals!A161="","",YEAR(Agent09_Withdrawals!D161)),"")</f>
        <v/>
      </c>
    </row>
    <row r="1755" spans="1:13" ht="18" customHeight="1" x14ac:dyDescent="0.25">
      <c r="A1755" s="40" t="str">
        <f>IF(Agent09_Withdrawals!A162="","",Agent09_Withdrawals!A162)</f>
        <v/>
      </c>
      <c r="B1755" s="40" t="str">
        <f ca="1">IF(Agent09_Withdrawals!A162="","","WD"&amp;TEXT(1755-3,"0000")&amp;"-"&amp;TEXT(TODAY(),"YYYYMMDD"))</f>
        <v/>
      </c>
      <c r="C1755" s="40" t="str">
        <f>IF(Agent09_Withdrawals!A162="","",Agent09_Withdrawals!B162)</f>
        <v/>
      </c>
      <c r="D1755" s="43" t="str">
        <f>IF(Agent09_Withdrawals!A162="","",Agent09_Withdrawals!C162)</f>
        <v/>
      </c>
      <c r="E1755" s="41" t="str">
        <f>IF(Agent09_Withdrawals!A162="","",Agent09_Withdrawals!D162)</f>
        <v/>
      </c>
      <c r="F1755" s="40" t="str">
        <f>IF(Agent09_Withdrawals!A162="","",Agent09_Withdrawals!F162)</f>
        <v/>
      </c>
      <c r="G1755" s="42" t="str">
        <f>IF(Agent09_Withdrawals!A162="","",Agent09_Withdrawals!E162)</f>
        <v/>
      </c>
      <c r="H1755" s="42" t="str">
        <f>IF(Agent09_Withdrawals!A162="","",Agent09_Withdrawals!G162)</f>
        <v/>
      </c>
      <c r="I1755" s="40" t="str">
        <f>IF(Agent09_Withdrawals!A162="","",Agent09_Withdrawals!H162)</f>
        <v/>
      </c>
      <c r="J1755" s="40" t="str">
        <f>IF(Agent09_Withdrawals!A162="","",Agent09_Withdrawals!J162)</f>
        <v/>
      </c>
      <c r="K1755" s="40" t="str">
        <f>IF(Agent09_Withdrawals!A162="","",Agent09_Withdrawals!K162)</f>
        <v/>
      </c>
      <c r="L1755" s="40" t="str">
        <f>IF(G1755="","",IF(D1755-G1755&gt;=System_Config!$B$9,"✅ OK","⚠️ BREACH"))</f>
        <v/>
      </c>
      <c r="M1755" s="40" t="str">
        <f>IFERROR(IF(Agent09_Withdrawals!A162="","",YEAR(Agent09_Withdrawals!D162)),"")</f>
        <v/>
      </c>
    </row>
    <row r="1756" spans="1:13" ht="18" customHeight="1" x14ac:dyDescent="0.25">
      <c r="A1756" s="40" t="str">
        <f>IF(Agent09_Withdrawals!A163="","",Agent09_Withdrawals!A163)</f>
        <v/>
      </c>
      <c r="B1756" s="40" t="str">
        <f ca="1">IF(Agent09_Withdrawals!A163="","","WD"&amp;TEXT(1756-3,"0000")&amp;"-"&amp;TEXT(TODAY(),"YYYYMMDD"))</f>
        <v/>
      </c>
      <c r="C1756" s="40" t="str">
        <f>IF(Agent09_Withdrawals!A163="","",Agent09_Withdrawals!B163)</f>
        <v/>
      </c>
      <c r="D1756" s="43" t="str">
        <f>IF(Agent09_Withdrawals!A163="","",Agent09_Withdrawals!C163)</f>
        <v/>
      </c>
      <c r="E1756" s="41" t="str">
        <f>IF(Agent09_Withdrawals!A163="","",Agent09_Withdrawals!D163)</f>
        <v/>
      </c>
      <c r="F1756" s="40" t="str">
        <f>IF(Agent09_Withdrawals!A163="","",Agent09_Withdrawals!F163)</f>
        <v/>
      </c>
      <c r="G1756" s="42" t="str">
        <f>IF(Agent09_Withdrawals!A163="","",Agent09_Withdrawals!E163)</f>
        <v/>
      </c>
      <c r="H1756" s="42" t="str">
        <f>IF(Agent09_Withdrawals!A163="","",Agent09_Withdrawals!G163)</f>
        <v/>
      </c>
      <c r="I1756" s="40" t="str">
        <f>IF(Agent09_Withdrawals!A163="","",Agent09_Withdrawals!H163)</f>
        <v/>
      </c>
      <c r="J1756" s="40" t="str">
        <f>IF(Agent09_Withdrawals!A163="","",Agent09_Withdrawals!J163)</f>
        <v/>
      </c>
      <c r="K1756" s="40" t="str">
        <f>IF(Agent09_Withdrawals!A163="","",Agent09_Withdrawals!K163)</f>
        <v/>
      </c>
      <c r="L1756" s="40" t="str">
        <f>IF(G1756="","",IF(D1756-G1756&gt;=System_Config!$B$9,"✅ OK","⚠️ BREACH"))</f>
        <v/>
      </c>
      <c r="M1756" s="40" t="str">
        <f>IFERROR(IF(Agent09_Withdrawals!A163="","",YEAR(Agent09_Withdrawals!D163)),"")</f>
        <v/>
      </c>
    </row>
    <row r="1757" spans="1:13" ht="18" customHeight="1" x14ac:dyDescent="0.25">
      <c r="A1757" s="40" t="str">
        <f>IF(Agent09_Withdrawals!A164="","",Agent09_Withdrawals!A164)</f>
        <v/>
      </c>
      <c r="B1757" s="40" t="str">
        <f ca="1">IF(Agent09_Withdrawals!A164="","","WD"&amp;TEXT(1757-3,"0000")&amp;"-"&amp;TEXT(TODAY(),"YYYYMMDD"))</f>
        <v/>
      </c>
      <c r="C1757" s="40" t="str">
        <f>IF(Agent09_Withdrawals!A164="","",Agent09_Withdrawals!B164)</f>
        <v/>
      </c>
      <c r="D1757" s="43" t="str">
        <f>IF(Agent09_Withdrawals!A164="","",Agent09_Withdrawals!C164)</f>
        <v/>
      </c>
      <c r="E1757" s="41" t="str">
        <f>IF(Agent09_Withdrawals!A164="","",Agent09_Withdrawals!D164)</f>
        <v/>
      </c>
      <c r="F1757" s="40" t="str">
        <f>IF(Agent09_Withdrawals!A164="","",Agent09_Withdrawals!F164)</f>
        <v/>
      </c>
      <c r="G1757" s="42" t="str">
        <f>IF(Agent09_Withdrawals!A164="","",Agent09_Withdrawals!E164)</f>
        <v/>
      </c>
      <c r="H1757" s="42" t="str">
        <f>IF(Agent09_Withdrawals!A164="","",Agent09_Withdrawals!G164)</f>
        <v/>
      </c>
      <c r="I1757" s="40" t="str">
        <f>IF(Agent09_Withdrawals!A164="","",Agent09_Withdrawals!H164)</f>
        <v/>
      </c>
      <c r="J1757" s="40" t="str">
        <f>IF(Agent09_Withdrawals!A164="","",Agent09_Withdrawals!J164)</f>
        <v/>
      </c>
      <c r="K1757" s="40" t="str">
        <f>IF(Agent09_Withdrawals!A164="","",Agent09_Withdrawals!K164)</f>
        <v/>
      </c>
      <c r="L1757" s="40" t="str">
        <f>IF(G1757="","",IF(D1757-G1757&gt;=System_Config!$B$9,"✅ OK","⚠️ BREACH"))</f>
        <v/>
      </c>
      <c r="M1757" s="40" t="str">
        <f>IFERROR(IF(Agent09_Withdrawals!A164="","",YEAR(Agent09_Withdrawals!D164)),"")</f>
        <v/>
      </c>
    </row>
    <row r="1758" spans="1:13" ht="18" customHeight="1" x14ac:dyDescent="0.25">
      <c r="A1758" s="40" t="str">
        <f>IF(Agent09_Withdrawals!A165="","",Agent09_Withdrawals!A165)</f>
        <v/>
      </c>
      <c r="B1758" s="40" t="str">
        <f ca="1">IF(Agent09_Withdrawals!A165="","","WD"&amp;TEXT(1758-3,"0000")&amp;"-"&amp;TEXT(TODAY(),"YYYYMMDD"))</f>
        <v/>
      </c>
      <c r="C1758" s="40" t="str">
        <f>IF(Agent09_Withdrawals!A165="","",Agent09_Withdrawals!B165)</f>
        <v/>
      </c>
      <c r="D1758" s="43" t="str">
        <f>IF(Agent09_Withdrawals!A165="","",Agent09_Withdrawals!C165)</f>
        <v/>
      </c>
      <c r="E1758" s="41" t="str">
        <f>IF(Agent09_Withdrawals!A165="","",Agent09_Withdrawals!D165)</f>
        <v/>
      </c>
      <c r="F1758" s="40" t="str">
        <f>IF(Agent09_Withdrawals!A165="","",Agent09_Withdrawals!F165)</f>
        <v/>
      </c>
      <c r="G1758" s="42" t="str">
        <f>IF(Agent09_Withdrawals!A165="","",Agent09_Withdrawals!E165)</f>
        <v/>
      </c>
      <c r="H1758" s="42" t="str">
        <f>IF(Agent09_Withdrawals!A165="","",Agent09_Withdrawals!G165)</f>
        <v/>
      </c>
      <c r="I1758" s="40" t="str">
        <f>IF(Agent09_Withdrawals!A165="","",Agent09_Withdrawals!H165)</f>
        <v/>
      </c>
      <c r="J1758" s="40" t="str">
        <f>IF(Agent09_Withdrawals!A165="","",Agent09_Withdrawals!J165)</f>
        <v/>
      </c>
      <c r="K1758" s="40" t="str">
        <f>IF(Agent09_Withdrawals!A165="","",Agent09_Withdrawals!K165)</f>
        <v/>
      </c>
      <c r="L1758" s="40" t="str">
        <f>IF(G1758="","",IF(D1758-G1758&gt;=System_Config!$B$9,"✅ OK","⚠️ BREACH"))</f>
        <v/>
      </c>
      <c r="M1758" s="40" t="str">
        <f>IFERROR(IF(Agent09_Withdrawals!A165="","",YEAR(Agent09_Withdrawals!D165)),"")</f>
        <v/>
      </c>
    </row>
    <row r="1759" spans="1:13" ht="18" customHeight="1" x14ac:dyDescent="0.25">
      <c r="A1759" s="40" t="str">
        <f>IF(Agent09_Withdrawals!A166="","",Agent09_Withdrawals!A166)</f>
        <v/>
      </c>
      <c r="B1759" s="40" t="str">
        <f ca="1">IF(Agent09_Withdrawals!A166="","","WD"&amp;TEXT(1759-3,"0000")&amp;"-"&amp;TEXT(TODAY(),"YYYYMMDD"))</f>
        <v/>
      </c>
      <c r="C1759" s="40" t="str">
        <f>IF(Agent09_Withdrawals!A166="","",Agent09_Withdrawals!B166)</f>
        <v/>
      </c>
      <c r="D1759" s="43" t="str">
        <f>IF(Agent09_Withdrawals!A166="","",Agent09_Withdrawals!C166)</f>
        <v/>
      </c>
      <c r="E1759" s="41" t="str">
        <f>IF(Agent09_Withdrawals!A166="","",Agent09_Withdrawals!D166)</f>
        <v/>
      </c>
      <c r="F1759" s="40" t="str">
        <f>IF(Agent09_Withdrawals!A166="","",Agent09_Withdrawals!F166)</f>
        <v/>
      </c>
      <c r="G1759" s="42" t="str">
        <f>IF(Agent09_Withdrawals!A166="","",Agent09_Withdrawals!E166)</f>
        <v/>
      </c>
      <c r="H1759" s="42" t="str">
        <f>IF(Agent09_Withdrawals!A166="","",Agent09_Withdrawals!G166)</f>
        <v/>
      </c>
      <c r="I1759" s="40" t="str">
        <f>IF(Agent09_Withdrawals!A166="","",Agent09_Withdrawals!H166)</f>
        <v/>
      </c>
      <c r="J1759" s="40" t="str">
        <f>IF(Agent09_Withdrawals!A166="","",Agent09_Withdrawals!J166)</f>
        <v/>
      </c>
      <c r="K1759" s="40" t="str">
        <f>IF(Agent09_Withdrawals!A166="","",Agent09_Withdrawals!K166)</f>
        <v/>
      </c>
      <c r="L1759" s="40" t="str">
        <f>IF(G1759="","",IF(D1759-G1759&gt;=System_Config!$B$9,"✅ OK","⚠️ BREACH"))</f>
        <v/>
      </c>
      <c r="M1759" s="40" t="str">
        <f>IFERROR(IF(Agent09_Withdrawals!A166="","",YEAR(Agent09_Withdrawals!D166)),"")</f>
        <v/>
      </c>
    </row>
    <row r="1760" spans="1:13" ht="18" customHeight="1" x14ac:dyDescent="0.25">
      <c r="A1760" s="40" t="str">
        <f>IF(Agent09_Withdrawals!A167="","",Agent09_Withdrawals!A167)</f>
        <v/>
      </c>
      <c r="B1760" s="40" t="str">
        <f ca="1">IF(Agent09_Withdrawals!A167="","","WD"&amp;TEXT(1760-3,"0000")&amp;"-"&amp;TEXT(TODAY(),"YYYYMMDD"))</f>
        <v/>
      </c>
      <c r="C1760" s="40" t="str">
        <f>IF(Agent09_Withdrawals!A167="","",Agent09_Withdrawals!B167)</f>
        <v/>
      </c>
      <c r="D1760" s="43" t="str">
        <f>IF(Agent09_Withdrawals!A167="","",Agent09_Withdrawals!C167)</f>
        <v/>
      </c>
      <c r="E1760" s="41" t="str">
        <f>IF(Agent09_Withdrawals!A167="","",Agent09_Withdrawals!D167)</f>
        <v/>
      </c>
      <c r="F1760" s="40" t="str">
        <f>IF(Agent09_Withdrawals!A167="","",Agent09_Withdrawals!F167)</f>
        <v/>
      </c>
      <c r="G1760" s="42" t="str">
        <f>IF(Agent09_Withdrawals!A167="","",Agent09_Withdrawals!E167)</f>
        <v/>
      </c>
      <c r="H1760" s="42" t="str">
        <f>IF(Agent09_Withdrawals!A167="","",Agent09_Withdrawals!G167)</f>
        <v/>
      </c>
      <c r="I1760" s="40" t="str">
        <f>IF(Agent09_Withdrawals!A167="","",Agent09_Withdrawals!H167)</f>
        <v/>
      </c>
      <c r="J1760" s="40" t="str">
        <f>IF(Agent09_Withdrawals!A167="","",Agent09_Withdrawals!J167)</f>
        <v/>
      </c>
      <c r="K1760" s="40" t="str">
        <f>IF(Agent09_Withdrawals!A167="","",Agent09_Withdrawals!K167)</f>
        <v/>
      </c>
      <c r="L1760" s="40" t="str">
        <f>IF(G1760="","",IF(D1760-G1760&gt;=System_Config!$B$9,"✅ OK","⚠️ BREACH"))</f>
        <v/>
      </c>
      <c r="M1760" s="40" t="str">
        <f>IFERROR(IF(Agent09_Withdrawals!A167="","",YEAR(Agent09_Withdrawals!D167)),"")</f>
        <v/>
      </c>
    </row>
    <row r="1761" spans="1:13" ht="18" customHeight="1" x14ac:dyDescent="0.25">
      <c r="A1761" s="40" t="str">
        <f>IF(Agent09_Withdrawals!A168="","",Agent09_Withdrawals!A168)</f>
        <v/>
      </c>
      <c r="B1761" s="40" t="str">
        <f ca="1">IF(Agent09_Withdrawals!A168="","","WD"&amp;TEXT(1761-3,"0000")&amp;"-"&amp;TEXT(TODAY(),"YYYYMMDD"))</f>
        <v/>
      </c>
      <c r="C1761" s="40" t="str">
        <f>IF(Agent09_Withdrawals!A168="","",Agent09_Withdrawals!B168)</f>
        <v/>
      </c>
      <c r="D1761" s="43" t="str">
        <f>IF(Agent09_Withdrawals!A168="","",Agent09_Withdrawals!C168)</f>
        <v/>
      </c>
      <c r="E1761" s="41" t="str">
        <f>IF(Agent09_Withdrawals!A168="","",Agent09_Withdrawals!D168)</f>
        <v/>
      </c>
      <c r="F1761" s="40" t="str">
        <f>IF(Agent09_Withdrawals!A168="","",Agent09_Withdrawals!F168)</f>
        <v/>
      </c>
      <c r="G1761" s="42" t="str">
        <f>IF(Agent09_Withdrawals!A168="","",Agent09_Withdrawals!E168)</f>
        <v/>
      </c>
      <c r="H1761" s="42" t="str">
        <f>IF(Agent09_Withdrawals!A168="","",Agent09_Withdrawals!G168)</f>
        <v/>
      </c>
      <c r="I1761" s="40" t="str">
        <f>IF(Agent09_Withdrawals!A168="","",Agent09_Withdrawals!H168)</f>
        <v/>
      </c>
      <c r="J1761" s="40" t="str">
        <f>IF(Agent09_Withdrawals!A168="","",Agent09_Withdrawals!J168)</f>
        <v/>
      </c>
      <c r="K1761" s="40" t="str">
        <f>IF(Agent09_Withdrawals!A168="","",Agent09_Withdrawals!K168)</f>
        <v/>
      </c>
      <c r="L1761" s="40" t="str">
        <f>IF(G1761="","",IF(D1761-G1761&gt;=System_Config!$B$9,"✅ OK","⚠️ BREACH"))</f>
        <v/>
      </c>
      <c r="M1761" s="40" t="str">
        <f>IFERROR(IF(Agent09_Withdrawals!A168="","",YEAR(Agent09_Withdrawals!D168)),"")</f>
        <v/>
      </c>
    </row>
    <row r="1762" spans="1:13" ht="18" customHeight="1" x14ac:dyDescent="0.25">
      <c r="A1762" s="40" t="str">
        <f>IF(Agent09_Withdrawals!A169="","",Agent09_Withdrawals!A169)</f>
        <v/>
      </c>
      <c r="B1762" s="40" t="str">
        <f ca="1">IF(Agent09_Withdrawals!A169="","","WD"&amp;TEXT(1762-3,"0000")&amp;"-"&amp;TEXT(TODAY(),"YYYYMMDD"))</f>
        <v/>
      </c>
      <c r="C1762" s="40" t="str">
        <f>IF(Agent09_Withdrawals!A169="","",Agent09_Withdrawals!B169)</f>
        <v/>
      </c>
      <c r="D1762" s="43" t="str">
        <f>IF(Agent09_Withdrawals!A169="","",Agent09_Withdrawals!C169)</f>
        <v/>
      </c>
      <c r="E1762" s="41" t="str">
        <f>IF(Agent09_Withdrawals!A169="","",Agent09_Withdrawals!D169)</f>
        <v/>
      </c>
      <c r="F1762" s="40" t="str">
        <f>IF(Agent09_Withdrawals!A169="","",Agent09_Withdrawals!F169)</f>
        <v/>
      </c>
      <c r="G1762" s="42" t="str">
        <f>IF(Agent09_Withdrawals!A169="","",Agent09_Withdrawals!E169)</f>
        <v/>
      </c>
      <c r="H1762" s="42" t="str">
        <f>IF(Agent09_Withdrawals!A169="","",Agent09_Withdrawals!G169)</f>
        <v/>
      </c>
      <c r="I1762" s="40" t="str">
        <f>IF(Agent09_Withdrawals!A169="","",Agent09_Withdrawals!H169)</f>
        <v/>
      </c>
      <c r="J1762" s="40" t="str">
        <f>IF(Agent09_Withdrawals!A169="","",Agent09_Withdrawals!J169)</f>
        <v/>
      </c>
      <c r="K1762" s="40" t="str">
        <f>IF(Agent09_Withdrawals!A169="","",Agent09_Withdrawals!K169)</f>
        <v/>
      </c>
      <c r="L1762" s="40" t="str">
        <f>IF(G1762="","",IF(D1762-G1762&gt;=System_Config!$B$9,"✅ OK","⚠️ BREACH"))</f>
        <v/>
      </c>
      <c r="M1762" s="40" t="str">
        <f>IFERROR(IF(Agent09_Withdrawals!A169="","",YEAR(Agent09_Withdrawals!D169)),"")</f>
        <v/>
      </c>
    </row>
    <row r="1763" spans="1:13" ht="18" customHeight="1" x14ac:dyDescent="0.25">
      <c r="A1763" s="40" t="str">
        <f>IF(Agent09_Withdrawals!A170="","",Agent09_Withdrawals!A170)</f>
        <v/>
      </c>
      <c r="B1763" s="40" t="str">
        <f ca="1">IF(Agent09_Withdrawals!A170="","","WD"&amp;TEXT(1763-3,"0000")&amp;"-"&amp;TEXT(TODAY(),"YYYYMMDD"))</f>
        <v/>
      </c>
      <c r="C1763" s="40" t="str">
        <f>IF(Agent09_Withdrawals!A170="","",Agent09_Withdrawals!B170)</f>
        <v/>
      </c>
      <c r="D1763" s="43" t="str">
        <f>IF(Agent09_Withdrawals!A170="","",Agent09_Withdrawals!C170)</f>
        <v/>
      </c>
      <c r="E1763" s="41" t="str">
        <f>IF(Agent09_Withdrawals!A170="","",Agent09_Withdrawals!D170)</f>
        <v/>
      </c>
      <c r="F1763" s="40" t="str">
        <f>IF(Agent09_Withdrawals!A170="","",Agent09_Withdrawals!F170)</f>
        <v/>
      </c>
      <c r="G1763" s="42" t="str">
        <f>IF(Agent09_Withdrawals!A170="","",Agent09_Withdrawals!E170)</f>
        <v/>
      </c>
      <c r="H1763" s="42" t="str">
        <f>IF(Agent09_Withdrawals!A170="","",Agent09_Withdrawals!G170)</f>
        <v/>
      </c>
      <c r="I1763" s="40" t="str">
        <f>IF(Agent09_Withdrawals!A170="","",Agent09_Withdrawals!H170)</f>
        <v/>
      </c>
      <c r="J1763" s="40" t="str">
        <f>IF(Agent09_Withdrawals!A170="","",Agent09_Withdrawals!J170)</f>
        <v/>
      </c>
      <c r="K1763" s="40" t="str">
        <f>IF(Agent09_Withdrawals!A170="","",Agent09_Withdrawals!K170)</f>
        <v/>
      </c>
      <c r="L1763" s="40" t="str">
        <f>IF(G1763="","",IF(D1763-G1763&gt;=System_Config!$B$9,"✅ OK","⚠️ BREACH"))</f>
        <v/>
      </c>
      <c r="M1763" s="40" t="str">
        <f>IFERROR(IF(Agent09_Withdrawals!A170="","",YEAR(Agent09_Withdrawals!D170)),"")</f>
        <v/>
      </c>
    </row>
    <row r="1764" spans="1:13" ht="18" customHeight="1" x14ac:dyDescent="0.25">
      <c r="A1764" s="40" t="str">
        <f>IF(Agent09_Withdrawals!A171="","",Agent09_Withdrawals!A171)</f>
        <v/>
      </c>
      <c r="B1764" s="40" t="str">
        <f ca="1">IF(Agent09_Withdrawals!A171="","","WD"&amp;TEXT(1764-3,"0000")&amp;"-"&amp;TEXT(TODAY(),"YYYYMMDD"))</f>
        <v/>
      </c>
      <c r="C1764" s="40" t="str">
        <f>IF(Agent09_Withdrawals!A171="","",Agent09_Withdrawals!B171)</f>
        <v/>
      </c>
      <c r="D1764" s="43" t="str">
        <f>IF(Agent09_Withdrawals!A171="","",Agent09_Withdrawals!C171)</f>
        <v/>
      </c>
      <c r="E1764" s="41" t="str">
        <f>IF(Agent09_Withdrawals!A171="","",Agent09_Withdrawals!D171)</f>
        <v/>
      </c>
      <c r="F1764" s="40" t="str">
        <f>IF(Agent09_Withdrawals!A171="","",Agent09_Withdrawals!F171)</f>
        <v/>
      </c>
      <c r="G1764" s="42" t="str">
        <f>IF(Agent09_Withdrawals!A171="","",Agent09_Withdrawals!E171)</f>
        <v/>
      </c>
      <c r="H1764" s="42" t="str">
        <f>IF(Agent09_Withdrawals!A171="","",Agent09_Withdrawals!G171)</f>
        <v/>
      </c>
      <c r="I1764" s="40" t="str">
        <f>IF(Agent09_Withdrawals!A171="","",Agent09_Withdrawals!H171)</f>
        <v/>
      </c>
      <c r="J1764" s="40" t="str">
        <f>IF(Agent09_Withdrawals!A171="","",Agent09_Withdrawals!J171)</f>
        <v/>
      </c>
      <c r="K1764" s="40" t="str">
        <f>IF(Agent09_Withdrawals!A171="","",Agent09_Withdrawals!K171)</f>
        <v/>
      </c>
      <c r="L1764" s="40" t="str">
        <f>IF(G1764="","",IF(D1764-G1764&gt;=System_Config!$B$9,"✅ OK","⚠️ BREACH"))</f>
        <v/>
      </c>
      <c r="M1764" s="40" t="str">
        <f>IFERROR(IF(Agent09_Withdrawals!A171="","",YEAR(Agent09_Withdrawals!D171)),"")</f>
        <v/>
      </c>
    </row>
    <row r="1765" spans="1:13" ht="18" customHeight="1" x14ac:dyDescent="0.25">
      <c r="A1765" s="40" t="str">
        <f>IF(Agent09_Withdrawals!A172="","",Agent09_Withdrawals!A172)</f>
        <v/>
      </c>
      <c r="B1765" s="40" t="str">
        <f ca="1">IF(Agent09_Withdrawals!A172="","","WD"&amp;TEXT(1765-3,"0000")&amp;"-"&amp;TEXT(TODAY(),"YYYYMMDD"))</f>
        <v/>
      </c>
      <c r="C1765" s="40" t="str">
        <f>IF(Agent09_Withdrawals!A172="","",Agent09_Withdrawals!B172)</f>
        <v/>
      </c>
      <c r="D1765" s="43" t="str">
        <f>IF(Agent09_Withdrawals!A172="","",Agent09_Withdrawals!C172)</f>
        <v/>
      </c>
      <c r="E1765" s="41" t="str">
        <f>IF(Agent09_Withdrawals!A172="","",Agent09_Withdrawals!D172)</f>
        <v/>
      </c>
      <c r="F1765" s="40" t="str">
        <f>IF(Agent09_Withdrawals!A172="","",Agent09_Withdrawals!F172)</f>
        <v/>
      </c>
      <c r="G1765" s="42" t="str">
        <f>IF(Agent09_Withdrawals!A172="","",Agent09_Withdrawals!E172)</f>
        <v/>
      </c>
      <c r="H1765" s="42" t="str">
        <f>IF(Agent09_Withdrawals!A172="","",Agent09_Withdrawals!G172)</f>
        <v/>
      </c>
      <c r="I1765" s="40" t="str">
        <f>IF(Agent09_Withdrawals!A172="","",Agent09_Withdrawals!H172)</f>
        <v/>
      </c>
      <c r="J1765" s="40" t="str">
        <f>IF(Agent09_Withdrawals!A172="","",Agent09_Withdrawals!J172)</f>
        <v/>
      </c>
      <c r="K1765" s="40" t="str">
        <f>IF(Agent09_Withdrawals!A172="","",Agent09_Withdrawals!K172)</f>
        <v/>
      </c>
      <c r="L1765" s="40" t="str">
        <f>IF(G1765="","",IF(D1765-G1765&gt;=System_Config!$B$9,"✅ OK","⚠️ BREACH"))</f>
        <v/>
      </c>
      <c r="M1765" s="40" t="str">
        <f>IFERROR(IF(Agent09_Withdrawals!A172="","",YEAR(Agent09_Withdrawals!D172)),"")</f>
        <v/>
      </c>
    </row>
    <row r="1766" spans="1:13" ht="18" customHeight="1" x14ac:dyDescent="0.25">
      <c r="A1766" s="40" t="str">
        <f>IF(Agent09_Withdrawals!A173="","",Agent09_Withdrawals!A173)</f>
        <v/>
      </c>
      <c r="B1766" s="40" t="str">
        <f ca="1">IF(Agent09_Withdrawals!A173="","","WD"&amp;TEXT(1766-3,"0000")&amp;"-"&amp;TEXT(TODAY(),"YYYYMMDD"))</f>
        <v/>
      </c>
      <c r="C1766" s="40" t="str">
        <f>IF(Agent09_Withdrawals!A173="","",Agent09_Withdrawals!B173)</f>
        <v/>
      </c>
      <c r="D1766" s="43" t="str">
        <f>IF(Agent09_Withdrawals!A173="","",Agent09_Withdrawals!C173)</f>
        <v/>
      </c>
      <c r="E1766" s="41" t="str">
        <f>IF(Agent09_Withdrawals!A173="","",Agent09_Withdrawals!D173)</f>
        <v/>
      </c>
      <c r="F1766" s="40" t="str">
        <f>IF(Agent09_Withdrawals!A173="","",Agent09_Withdrawals!F173)</f>
        <v/>
      </c>
      <c r="G1766" s="42" t="str">
        <f>IF(Agent09_Withdrawals!A173="","",Agent09_Withdrawals!E173)</f>
        <v/>
      </c>
      <c r="H1766" s="42" t="str">
        <f>IF(Agent09_Withdrawals!A173="","",Agent09_Withdrawals!G173)</f>
        <v/>
      </c>
      <c r="I1766" s="40" t="str">
        <f>IF(Agent09_Withdrawals!A173="","",Agent09_Withdrawals!H173)</f>
        <v/>
      </c>
      <c r="J1766" s="40" t="str">
        <f>IF(Agent09_Withdrawals!A173="","",Agent09_Withdrawals!J173)</f>
        <v/>
      </c>
      <c r="K1766" s="40" t="str">
        <f>IF(Agent09_Withdrawals!A173="","",Agent09_Withdrawals!K173)</f>
        <v/>
      </c>
      <c r="L1766" s="40" t="str">
        <f>IF(G1766="","",IF(D1766-G1766&gt;=System_Config!$B$9,"✅ OK","⚠️ BREACH"))</f>
        <v/>
      </c>
      <c r="M1766" s="40" t="str">
        <f>IFERROR(IF(Agent09_Withdrawals!A173="","",YEAR(Agent09_Withdrawals!D173)),"")</f>
        <v/>
      </c>
    </row>
    <row r="1767" spans="1:13" ht="18" customHeight="1" x14ac:dyDescent="0.25">
      <c r="A1767" s="40" t="str">
        <f>IF(Agent09_Withdrawals!A174="","",Agent09_Withdrawals!A174)</f>
        <v/>
      </c>
      <c r="B1767" s="40" t="str">
        <f ca="1">IF(Agent09_Withdrawals!A174="","","WD"&amp;TEXT(1767-3,"0000")&amp;"-"&amp;TEXT(TODAY(),"YYYYMMDD"))</f>
        <v/>
      </c>
      <c r="C1767" s="40" t="str">
        <f>IF(Agent09_Withdrawals!A174="","",Agent09_Withdrawals!B174)</f>
        <v/>
      </c>
      <c r="D1767" s="43" t="str">
        <f>IF(Agent09_Withdrawals!A174="","",Agent09_Withdrawals!C174)</f>
        <v/>
      </c>
      <c r="E1767" s="41" t="str">
        <f>IF(Agent09_Withdrawals!A174="","",Agent09_Withdrawals!D174)</f>
        <v/>
      </c>
      <c r="F1767" s="40" t="str">
        <f>IF(Agent09_Withdrawals!A174="","",Agent09_Withdrawals!F174)</f>
        <v/>
      </c>
      <c r="G1767" s="42" t="str">
        <f>IF(Agent09_Withdrawals!A174="","",Agent09_Withdrawals!E174)</f>
        <v/>
      </c>
      <c r="H1767" s="42" t="str">
        <f>IF(Agent09_Withdrawals!A174="","",Agent09_Withdrawals!G174)</f>
        <v/>
      </c>
      <c r="I1767" s="40" t="str">
        <f>IF(Agent09_Withdrawals!A174="","",Agent09_Withdrawals!H174)</f>
        <v/>
      </c>
      <c r="J1767" s="40" t="str">
        <f>IF(Agent09_Withdrawals!A174="","",Agent09_Withdrawals!J174)</f>
        <v/>
      </c>
      <c r="K1767" s="40" t="str">
        <f>IF(Agent09_Withdrawals!A174="","",Agent09_Withdrawals!K174)</f>
        <v/>
      </c>
      <c r="L1767" s="40" t="str">
        <f>IF(G1767="","",IF(D1767-G1767&gt;=System_Config!$B$9,"✅ OK","⚠️ BREACH"))</f>
        <v/>
      </c>
      <c r="M1767" s="40" t="str">
        <f>IFERROR(IF(Agent09_Withdrawals!A174="","",YEAR(Agent09_Withdrawals!D174)),"")</f>
        <v/>
      </c>
    </row>
    <row r="1768" spans="1:13" ht="18" customHeight="1" x14ac:dyDescent="0.25">
      <c r="A1768" s="40" t="str">
        <f>IF(Agent09_Withdrawals!A175="","",Agent09_Withdrawals!A175)</f>
        <v/>
      </c>
      <c r="B1768" s="40" t="str">
        <f ca="1">IF(Agent09_Withdrawals!A175="","","WD"&amp;TEXT(1768-3,"0000")&amp;"-"&amp;TEXT(TODAY(),"YYYYMMDD"))</f>
        <v/>
      </c>
      <c r="C1768" s="40" t="str">
        <f>IF(Agent09_Withdrawals!A175="","",Agent09_Withdrawals!B175)</f>
        <v/>
      </c>
      <c r="D1768" s="43" t="str">
        <f>IF(Agent09_Withdrawals!A175="","",Agent09_Withdrawals!C175)</f>
        <v/>
      </c>
      <c r="E1768" s="41" t="str">
        <f>IF(Agent09_Withdrawals!A175="","",Agent09_Withdrawals!D175)</f>
        <v/>
      </c>
      <c r="F1768" s="40" t="str">
        <f>IF(Agent09_Withdrawals!A175="","",Agent09_Withdrawals!F175)</f>
        <v/>
      </c>
      <c r="G1768" s="42" t="str">
        <f>IF(Agent09_Withdrawals!A175="","",Agent09_Withdrawals!E175)</f>
        <v/>
      </c>
      <c r="H1768" s="42" t="str">
        <f>IF(Agent09_Withdrawals!A175="","",Agent09_Withdrawals!G175)</f>
        <v/>
      </c>
      <c r="I1768" s="40" t="str">
        <f>IF(Agent09_Withdrawals!A175="","",Agent09_Withdrawals!H175)</f>
        <v/>
      </c>
      <c r="J1768" s="40" t="str">
        <f>IF(Agent09_Withdrawals!A175="","",Agent09_Withdrawals!J175)</f>
        <v/>
      </c>
      <c r="K1768" s="40" t="str">
        <f>IF(Agent09_Withdrawals!A175="","",Agent09_Withdrawals!K175)</f>
        <v/>
      </c>
      <c r="L1768" s="40" t="str">
        <f>IF(G1768="","",IF(D1768-G1768&gt;=System_Config!$B$9,"✅ OK","⚠️ BREACH"))</f>
        <v/>
      </c>
      <c r="M1768" s="40" t="str">
        <f>IFERROR(IF(Agent09_Withdrawals!A175="","",YEAR(Agent09_Withdrawals!D175)),"")</f>
        <v/>
      </c>
    </row>
    <row r="1769" spans="1:13" ht="18" customHeight="1" x14ac:dyDescent="0.25">
      <c r="A1769" s="40" t="str">
        <f>IF(Agent09_Withdrawals!A176="","",Agent09_Withdrawals!A176)</f>
        <v/>
      </c>
      <c r="B1769" s="40" t="str">
        <f ca="1">IF(Agent09_Withdrawals!A176="","","WD"&amp;TEXT(1769-3,"0000")&amp;"-"&amp;TEXT(TODAY(),"YYYYMMDD"))</f>
        <v/>
      </c>
      <c r="C1769" s="40" t="str">
        <f>IF(Agent09_Withdrawals!A176="","",Agent09_Withdrawals!B176)</f>
        <v/>
      </c>
      <c r="D1769" s="43" t="str">
        <f>IF(Agent09_Withdrawals!A176="","",Agent09_Withdrawals!C176)</f>
        <v/>
      </c>
      <c r="E1769" s="41" t="str">
        <f>IF(Agent09_Withdrawals!A176="","",Agent09_Withdrawals!D176)</f>
        <v/>
      </c>
      <c r="F1769" s="40" t="str">
        <f>IF(Agent09_Withdrawals!A176="","",Agent09_Withdrawals!F176)</f>
        <v/>
      </c>
      <c r="G1769" s="42" t="str">
        <f>IF(Agent09_Withdrawals!A176="","",Agent09_Withdrawals!E176)</f>
        <v/>
      </c>
      <c r="H1769" s="42" t="str">
        <f>IF(Agent09_Withdrawals!A176="","",Agent09_Withdrawals!G176)</f>
        <v/>
      </c>
      <c r="I1769" s="40" t="str">
        <f>IF(Agent09_Withdrawals!A176="","",Agent09_Withdrawals!H176)</f>
        <v/>
      </c>
      <c r="J1769" s="40" t="str">
        <f>IF(Agent09_Withdrawals!A176="","",Agent09_Withdrawals!J176)</f>
        <v/>
      </c>
      <c r="K1769" s="40" t="str">
        <f>IF(Agent09_Withdrawals!A176="","",Agent09_Withdrawals!K176)</f>
        <v/>
      </c>
      <c r="L1769" s="40" t="str">
        <f>IF(G1769="","",IF(D1769-G1769&gt;=System_Config!$B$9,"✅ OK","⚠️ BREACH"))</f>
        <v/>
      </c>
      <c r="M1769" s="40" t="str">
        <f>IFERROR(IF(Agent09_Withdrawals!A176="","",YEAR(Agent09_Withdrawals!D176)),"")</f>
        <v/>
      </c>
    </row>
    <row r="1770" spans="1:13" ht="18" customHeight="1" x14ac:dyDescent="0.25">
      <c r="A1770" s="40" t="str">
        <f>IF(Agent09_Withdrawals!A177="","",Agent09_Withdrawals!A177)</f>
        <v/>
      </c>
      <c r="B1770" s="40" t="str">
        <f ca="1">IF(Agent09_Withdrawals!A177="","","WD"&amp;TEXT(1770-3,"0000")&amp;"-"&amp;TEXT(TODAY(),"YYYYMMDD"))</f>
        <v/>
      </c>
      <c r="C1770" s="40" t="str">
        <f>IF(Agent09_Withdrawals!A177="","",Agent09_Withdrawals!B177)</f>
        <v/>
      </c>
      <c r="D1770" s="43" t="str">
        <f>IF(Agent09_Withdrawals!A177="","",Agent09_Withdrawals!C177)</f>
        <v/>
      </c>
      <c r="E1770" s="41" t="str">
        <f>IF(Agent09_Withdrawals!A177="","",Agent09_Withdrawals!D177)</f>
        <v/>
      </c>
      <c r="F1770" s="40" t="str">
        <f>IF(Agent09_Withdrawals!A177="","",Agent09_Withdrawals!F177)</f>
        <v/>
      </c>
      <c r="G1770" s="42" t="str">
        <f>IF(Agent09_Withdrawals!A177="","",Agent09_Withdrawals!E177)</f>
        <v/>
      </c>
      <c r="H1770" s="42" t="str">
        <f>IF(Agent09_Withdrawals!A177="","",Agent09_Withdrawals!G177)</f>
        <v/>
      </c>
      <c r="I1770" s="40" t="str">
        <f>IF(Agent09_Withdrawals!A177="","",Agent09_Withdrawals!H177)</f>
        <v/>
      </c>
      <c r="J1770" s="40" t="str">
        <f>IF(Agent09_Withdrawals!A177="","",Agent09_Withdrawals!J177)</f>
        <v/>
      </c>
      <c r="K1770" s="40" t="str">
        <f>IF(Agent09_Withdrawals!A177="","",Agent09_Withdrawals!K177)</f>
        <v/>
      </c>
      <c r="L1770" s="40" t="str">
        <f>IF(G1770="","",IF(D1770-G1770&gt;=System_Config!$B$9,"✅ OK","⚠️ BREACH"))</f>
        <v/>
      </c>
      <c r="M1770" s="40" t="str">
        <f>IFERROR(IF(Agent09_Withdrawals!A177="","",YEAR(Agent09_Withdrawals!D177)),"")</f>
        <v/>
      </c>
    </row>
    <row r="1771" spans="1:13" ht="18" customHeight="1" x14ac:dyDescent="0.25">
      <c r="A1771" s="40" t="str">
        <f>IF(Agent09_Withdrawals!A178="","",Agent09_Withdrawals!A178)</f>
        <v/>
      </c>
      <c r="B1771" s="40" t="str">
        <f ca="1">IF(Agent09_Withdrawals!A178="","","WD"&amp;TEXT(1771-3,"0000")&amp;"-"&amp;TEXT(TODAY(),"YYYYMMDD"))</f>
        <v/>
      </c>
      <c r="C1771" s="40" t="str">
        <f>IF(Agent09_Withdrawals!A178="","",Agent09_Withdrawals!B178)</f>
        <v/>
      </c>
      <c r="D1771" s="43" t="str">
        <f>IF(Agent09_Withdrawals!A178="","",Agent09_Withdrawals!C178)</f>
        <v/>
      </c>
      <c r="E1771" s="41" t="str">
        <f>IF(Agent09_Withdrawals!A178="","",Agent09_Withdrawals!D178)</f>
        <v/>
      </c>
      <c r="F1771" s="40" t="str">
        <f>IF(Agent09_Withdrawals!A178="","",Agent09_Withdrawals!F178)</f>
        <v/>
      </c>
      <c r="G1771" s="42" t="str">
        <f>IF(Agent09_Withdrawals!A178="","",Agent09_Withdrawals!E178)</f>
        <v/>
      </c>
      <c r="H1771" s="42" t="str">
        <f>IF(Agent09_Withdrawals!A178="","",Agent09_Withdrawals!G178)</f>
        <v/>
      </c>
      <c r="I1771" s="40" t="str">
        <f>IF(Agent09_Withdrawals!A178="","",Agent09_Withdrawals!H178)</f>
        <v/>
      </c>
      <c r="J1771" s="40" t="str">
        <f>IF(Agent09_Withdrawals!A178="","",Agent09_Withdrawals!J178)</f>
        <v/>
      </c>
      <c r="K1771" s="40" t="str">
        <f>IF(Agent09_Withdrawals!A178="","",Agent09_Withdrawals!K178)</f>
        <v/>
      </c>
      <c r="L1771" s="40" t="str">
        <f>IF(G1771="","",IF(D1771-G1771&gt;=System_Config!$B$9,"✅ OK","⚠️ BREACH"))</f>
        <v/>
      </c>
      <c r="M1771" s="40" t="str">
        <f>IFERROR(IF(Agent09_Withdrawals!A178="","",YEAR(Agent09_Withdrawals!D178)),"")</f>
        <v/>
      </c>
    </row>
    <row r="1772" spans="1:13" ht="18" customHeight="1" x14ac:dyDescent="0.25">
      <c r="A1772" s="40" t="str">
        <f>IF(Agent09_Withdrawals!A179="","",Agent09_Withdrawals!A179)</f>
        <v/>
      </c>
      <c r="B1772" s="40" t="str">
        <f ca="1">IF(Agent09_Withdrawals!A179="","","WD"&amp;TEXT(1772-3,"0000")&amp;"-"&amp;TEXT(TODAY(),"YYYYMMDD"))</f>
        <v/>
      </c>
      <c r="C1772" s="40" t="str">
        <f>IF(Agent09_Withdrawals!A179="","",Agent09_Withdrawals!B179)</f>
        <v/>
      </c>
      <c r="D1772" s="43" t="str">
        <f>IF(Agent09_Withdrawals!A179="","",Agent09_Withdrawals!C179)</f>
        <v/>
      </c>
      <c r="E1772" s="41" t="str">
        <f>IF(Agent09_Withdrawals!A179="","",Agent09_Withdrawals!D179)</f>
        <v/>
      </c>
      <c r="F1772" s="40" t="str">
        <f>IF(Agent09_Withdrawals!A179="","",Agent09_Withdrawals!F179)</f>
        <v/>
      </c>
      <c r="G1772" s="42" t="str">
        <f>IF(Agent09_Withdrawals!A179="","",Agent09_Withdrawals!E179)</f>
        <v/>
      </c>
      <c r="H1772" s="42" t="str">
        <f>IF(Agent09_Withdrawals!A179="","",Agent09_Withdrawals!G179)</f>
        <v/>
      </c>
      <c r="I1772" s="40" t="str">
        <f>IF(Agent09_Withdrawals!A179="","",Agent09_Withdrawals!H179)</f>
        <v/>
      </c>
      <c r="J1772" s="40" t="str">
        <f>IF(Agent09_Withdrawals!A179="","",Agent09_Withdrawals!J179)</f>
        <v/>
      </c>
      <c r="K1772" s="40" t="str">
        <f>IF(Agent09_Withdrawals!A179="","",Agent09_Withdrawals!K179)</f>
        <v/>
      </c>
      <c r="L1772" s="40" t="str">
        <f>IF(G1772="","",IF(D1772-G1772&gt;=System_Config!$B$9,"✅ OK","⚠️ BREACH"))</f>
        <v/>
      </c>
      <c r="M1772" s="40" t="str">
        <f>IFERROR(IF(Agent09_Withdrawals!A179="","",YEAR(Agent09_Withdrawals!D179)),"")</f>
        <v/>
      </c>
    </row>
    <row r="1773" spans="1:13" ht="18" customHeight="1" x14ac:dyDescent="0.25">
      <c r="A1773" s="40" t="str">
        <f>IF(Agent09_Withdrawals!A180="","",Agent09_Withdrawals!A180)</f>
        <v/>
      </c>
      <c r="B1773" s="40" t="str">
        <f ca="1">IF(Agent09_Withdrawals!A180="","","WD"&amp;TEXT(1773-3,"0000")&amp;"-"&amp;TEXT(TODAY(),"YYYYMMDD"))</f>
        <v/>
      </c>
      <c r="C1773" s="40" t="str">
        <f>IF(Agent09_Withdrawals!A180="","",Agent09_Withdrawals!B180)</f>
        <v/>
      </c>
      <c r="D1773" s="43" t="str">
        <f>IF(Agent09_Withdrawals!A180="","",Agent09_Withdrawals!C180)</f>
        <v/>
      </c>
      <c r="E1773" s="41" t="str">
        <f>IF(Agent09_Withdrawals!A180="","",Agent09_Withdrawals!D180)</f>
        <v/>
      </c>
      <c r="F1773" s="40" t="str">
        <f>IF(Agent09_Withdrawals!A180="","",Agent09_Withdrawals!F180)</f>
        <v/>
      </c>
      <c r="G1773" s="42" t="str">
        <f>IF(Agent09_Withdrawals!A180="","",Agent09_Withdrawals!E180)</f>
        <v/>
      </c>
      <c r="H1773" s="42" t="str">
        <f>IF(Agent09_Withdrawals!A180="","",Agent09_Withdrawals!G180)</f>
        <v/>
      </c>
      <c r="I1773" s="40" t="str">
        <f>IF(Agent09_Withdrawals!A180="","",Agent09_Withdrawals!H180)</f>
        <v/>
      </c>
      <c r="J1773" s="40" t="str">
        <f>IF(Agent09_Withdrawals!A180="","",Agent09_Withdrawals!J180)</f>
        <v/>
      </c>
      <c r="K1773" s="40" t="str">
        <f>IF(Agent09_Withdrawals!A180="","",Agent09_Withdrawals!K180)</f>
        <v/>
      </c>
      <c r="L1773" s="40" t="str">
        <f>IF(G1773="","",IF(D1773-G1773&gt;=System_Config!$B$9,"✅ OK","⚠️ BREACH"))</f>
        <v/>
      </c>
      <c r="M1773" s="40" t="str">
        <f>IFERROR(IF(Agent09_Withdrawals!A180="","",YEAR(Agent09_Withdrawals!D180)),"")</f>
        <v/>
      </c>
    </row>
    <row r="1774" spans="1:13" ht="18" customHeight="1" x14ac:dyDescent="0.25">
      <c r="A1774" s="40" t="str">
        <f>IF(Agent09_Withdrawals!A181="","",Agent09_Withdrawals!A181)</f>
        <v/>
      </c>
      <c r="B1774" s="40" t="str">
        <f ca="1">IF(Agent09_Withdrawals!A181="","","WD"&amp;TEXT(1774-3,"0000")&amp;"-"&amp;TEXT(TODAY(),"YYYYMMDD"))</f>
        <v/>
      </c>
      <c r="C1774" s="40" t="str">
        <f>IF(Agent09_Withdrawals!A181="","",Agent09_Withdrawals!B181)</f>
        <v/>
      </c>
      <c r="D1774" s="43" t="str">
        <f>IF(Agent09_Withdrawals!A181="","",Agent09_Withdrawals!C181)</f>
        <v/>
      </c>
      <c r="E1774" s="41" t="str">
        <f>IF(Agent09_Withdrawals!A181="","",Agent09_Withdrawals!D181)</f>
        <v/>
      </c>
      <c r="F1774" s="40" t="str">
        <f>IF(Agent09_Withdrawals!A181="","",Agent09_Withdrawals!F181)</f>
        <v/>
      </c>
      <c r="G1774" s="42" t="str">
        <f>IF(Agent09_Withdrawals!A181="","",Agent09_Withdrawals!E181)</f>
        <v/>
      </c>
      <c r="H1774" s="42" t="str">
        <f>IF(Agent09_Withdrawals!A181="","",Agent09_Withdrawals!G181)</f>
        <v/>
      </c>
      <c r="I1774" s="40" t="str">
        <f>IF(Agent09_Withdrawals!A181="","",Agent09_Withdrawals!H181)</f>
        <v/>
      </c>
      <c r="J1774" s="40" t="str">
        <f>IF(Agent09_Withdrawals!A181="","",Agent09_Withdrawals!J181)</f>
        <v/>
      </c>
      <c r="K1774" s="40" t="str">
        <f>IF(Agent09_Withdrawals!A181="","",Agent09_Withdrawals!K181)</f>
        <v/>
      </c>
      <c r="L1774" s="40" t="str">
        <f>IF(G1774="","",IF(D1774-G1774&gt;=System_Config!$B$9,"✅ OK","⚠️ BREACH"))</f>
        <v/>
      </c>
      <c r="M1774" s="40" t="str">
        <f>IFERROR(IF(Agent09_Withdrawals!A181="","",YEAR(Agent09_Withdrawals!D181)),"")</f>
        <v/>
      </c>
    </row>
    <row r="1775" spans="1:13" ht="18" customHeight="1" x14ac:dyDescent="0.25">
      <c r="A1775" s="40" t="str">
        <f>IF(Agent09_Withdrawals!A182="","",Agent09_Withdrawals!A182)</f>
        <v/>
      </c>
      <c r="B1775" s="40" t="str">
        <f ca="1">IF(Agent09_Withdrawals!A182="","","WD"&amp;TEXT(1775-3,"0000")&amp;"-"&amp;TEXT(TODAY(),"YYYYMMDD"))</f>
        <v/>
      </c>
      <c r="C1775" s="40" t="str">
        <f>IF(Agent09_Withdrawals!A182="","",Agent09_Withdrawals!B182)</f>
        <v/>
      </c>
      <c r="D1775" s="43" t="str">
        <f>IF(Agent09_Withdrawals!A182="","",Agent09_Withdrawals!C182)</f>
        <v/>
      </c>
      <c r="E1775" s="41" t="str">
        <f>IF(Agent09_Withdrawals!A182="","",Agent09_Withdrawals!D182)</f>
        <v/>
      </c>
      <c r="F1775" s="40" t="str">
        <f>IF(Agent09_Withdrawals!A182="","",Agent09_Withdrawals!F182)</f>
        <v/>
      </c>
      <c r="G1775" s="42" t="str">
        <f>IF(Agent09_Withdrawals!A182="","",Agent09_Withdrawals!E182)</f>
        <v/>
      </c>
      <c r="H1775" s="42" t="str">
        <f>IF(Agent09_Withdrawals!A182="","",Agent09_Withdrawals!G182)</f>
        <v/>
      </c>
      <c r="I1775" s="40" t="str">
        <f>IF(Agent09_Withdrawals!A182="","",Agent09_Withdrawals!H182)</f>
        <v/>
      </c>
      <c r="J1775" s="40" t="str">
        <f>IF(Agent09_Withdrawals!A182="","",Agent09_Withdrawals!J182)</f>
        <v/>
      </c>
      <c r="K1775" s="40" t="str">
        <f>IF(Agent09_Withdrawals!A182="","",Agent09_Withdrawals!K182)</f>
        <v/>
      </c>
      <c r="L1775" s="40" t="str">
        <f>IF(G1775="","",IF(D1775-G1775&gt;=System_Config!$B$9,"✅ OK","⚠️ BREACH"))</f>
        <v/>
      </c>
      <c r="M1775" s="40" t="str">
        <f>IFERROR(IF(Agent09_Withdrawals!A182="","",YEAR(Agent09_Withdrawals!D182)),"")</f>
        <v/>
      </c>
    </row>
    <row r="1776" spans="1:13" ht="18" customHeight="1" x14ac:dyDescent="0.25">
      <c r="A1776" s="40" t="str">
        <f>IF(Agent09_Withdrawals!A183="","",Agent09_Withdrawals!A183)</f>
        <v/>
      </c>
      <c r="B1776" s="40" t="str">
        <f ca="1">IF(Agent09_Withdrawals!A183="","","WD"&amp;TEXT(1776-3,"0000")&amp;"-"&amp;TEXT(TODAY(),"YYYYMMDD"))</f>
        <v/>
      </c>
      <c r="C1776" s="40" t="str">
        <f>IF(Agent09_Withdrawals!A183="","",Agent09_Withdrawals!B183)</f>
        <v/>
      </c>
      <c r="D1776" s="43" t="str">
        <f>IF(Agent09_Withdrawals!A183="","",Agent09_Withdrawals!C183)</f>
        <v/>
      </c>
      <c r="E1776" s="41" t="str">
        <f>IF(Agent09_Withdrawals!A183="","",Agent09_Withdrawals!D183)</f>
        <v/>
      </c>
      <c r="F1776" s="40" t="str">
        <f>IF(Agent09_Withdrawals!A183="","",Agent09_Withdrawals!F183)</f>
        <v/>
      </c>
      <c r="G1776" s="42" t="str">
        <f>IF(Agent09_Withdrawals!A183="","",Agent09_Withdrawals!E183)</f>
        <v/>
      </c>
      <c r="H1776" s="42" t="str">
        <f>IF(Agent09_Withdrawals!A183="","",Agent09_Withdrawals!G183)</f>
        <v/>
      </c>
      <c r="I1776" s="40" t="str">
        <f>IF(Agent09_Withdrawals!A183="","",Agent09_Withdrawals!H183)</f>
        <v/>
      </c>
      <c r="J1776" s="40" t="str">
        <f>IF(Agent09_Withdrawals!A183="","",Agent09_Withdrawals!J183)</f>
        <v/>
      </c>
      <c r="K1776" s="40" t="str">
        <f>IF(Agent09_Withdrawals!A183="","",Agent09_Withdrawals!K183)</f>
        <v/>
      </c>
      <c r="L1776" s="40" t="str">
        <f>IF(G1776="","",IF(D1776-G1776&gt;=System_Config!$B$9,"✅ OK","⚠️ BREACH"))</f>
        <v/>
      </c>
      <c r="M1776" s="40" t="str">
        <f>IFERROR(IF(Agent09_Withdrawals!A183="","",YEAR(Agent09_Withdrawals!D183)),"")</f>
        <v/>
      </c>
    </row>
    <row r="1777" spans="1:13" ht="18" customHeight="1" x14ac:dyDescent="0.25">
      <c r="A1777" s="40" t="str">
        <f>IF(Agent09_Withdrawals!A184="","",Agent09_Withdrawals!A184)</f>
        <v/>
      </c>
      <c r="B1777" s="40" t="str">
        <f ca="1">IF(Agent09_Withdrawals!A184="","","WD"&amp;TEXT(1777-3,"0000")&amp;"-"&amp;TEXT(TODAY(),"YYYYMMDD"))</f>
        <v/>
      </c>
      <c r="C1777" s="40" t="str">
        <f>IF(Agent09_Withdrawals!A184="","",Agent09_Withdrawals!B184)</f>
        <v/>
      </c>
      <c r="D1777" s="43" t="str">
        <f>IF(Agent09_Withdrawals!A184="","",Agent09_Withdrawals!C184)</f>
        <v/>
      </c>
      <c r="E1777" s="41" t="str">
        <f>IF(Agent09_Withdrawals!A184="","",Agent09_Withdrawals!D184)</f>
        <v/>
      </c>
      <c r="F1777" s="40" t="str">
        <f>IF(Agent09_Withdrawals!A184="","",Agent09_Withdrawals!F184)</f>
        <v/>
      </c>
      <c r="G1777" s="42" t="str">
        <f>IF(Agent09_Withdrawals!A184="","",Agent09_Withdrawals!E184)</f>
        <v/>
      </c>
      <c r="H1777" s="42" t="str">
        <f>IF(Agent09_Withdrawals!A184="","",Agent09_Withdrawals!G184)</f>
        <v/>
      </c>
      <c r="I1777" s="40" t="str">
        <f>IF(Agent09_Withdrawals!A184="","",Agent09_Withdrawals!H184)</f>
        <v/>
      </c>
      <c r="J1777" s="40" t="str">
        <f>IF(Agent09_Withdrawals!A184="","",Agent09_Withdrawals!J184)</f>
        <v/>
      </c>
      <c r="K1777" s="40" t="str">
        <f>IF(Agent09_Withdrawals!A184="","",Agent09_Withdrawals!K184)</f>
        <v/>
      </c>
      <c r="L1777" s="40" t="str">
        <f>IF(G1777="","",IF(D1777-G1777&gt;=System_Config!$B$9,"✅ OK","⚠️ BREACH"))</f>
        <v/>
      </c>
      <c r="M1777" s="40" t="str">
        <f>IFERROR(IF(Agent09_Withdrawals!A184="","",YEAR(Agent09_Withdrawals!D184)),"")</f>
        <v/>
      </c>
    </row>
    <row r="1778" spans="1:13" ht="18" customHeight="1" x14ac:dyDescent="0.25">
      <c r="A1778" s="40" t="str">
        <f>IF(Agent09_Withdrawals!A185="","",Agent09_Withdrawals!A185)</f>
        <v/>
      </c>
      <c r="B1778" s="40" t="str">
        <f ca="1">IF(Agent09_Withdrawals!A185="","","WD"&amp;TEXT(1778-3,"0000")&amp;"-"&amp;TEXT(TODAY(),"YYYYMMDD"))</f>
        <v/>
      </c>
      <c r="C1778" s="40" t="str">
        <f>IF(Agent09_Withdrawals!A185="","",Agent09_Withdrawals!B185)</f>
        <v/>
      </c>
      <c r="D1778" s="43" t="str">
        <f>IF(Agent09_Withdrawals!A185="","",Agent09_Withdrawals!C185)</f>
        <v/>
      </c>
      <c r="E1778" s="41" t="str">
        <f>IF(Agent09_Withdrawals!A185="","",Agent09_Withdrawals!D185)</f>
        <v/>
      </c>
      <c r="F1778" s="40" t="str">
        <f>IF(Agent09_Withdrawals!A185="","",Agent09_Withdrawals!F185)</f>
        <v/>
      </c>
      <c r="G1778" s="42" t="str">
        <f>IF(Agent09_Withdrawals!A185="","",Agent09_Withdrawals!E185)</f>
        <v/>
      </c>
      <c r="H1778" s="42" t="str">
        <f>IF(Agent09_Withdrawals!A185="","",Agent09_Withdrawals!G185)</f>
        <v/>
      </c>
      <c r="I1778" s="40" t="str">
        <f>IF(Agent09_Withdrawals!A185="","",Agent09_Withdrawals!H185)</f>
        <v/>
      </c>
      <c r="J1778" s="40" t="str">
        <f>IF(Agent09_Withdrawals!A185="","",Agent09_Withdrawals!J185)</f>
        <v/>
      </c>
      <c r="K1778" s="40" t="str">
        <f>IF(Agent09_Withdrawals!A185="","",Agent09_Withdrawals!K185)</f>
        <v/>
      </c>
      <c r="L1778" s="40" t="str">
        <f>IF(G1778="","",IF(D1778-G1778&gt;=System_Config!$B$9,"✅ OK","⚠️ BREACH"))</f>
        <v/>
      </c>
      <c r="M1778" s="40" t="str">
        <f>IFERROR(IF(Agent09_Withdrawals!A185="","",YEAR(Agent09_Withdrawals!D185)),"")</f>
        <v/>
      </c>
    </row>
    <row r="1779" spans="1:13" ht="18" customHeight="1" x14ac:dyDescent="0.25">
      <c r="A1779" s="40" t="str">
        <f>IF(Agent09_Withdrawals!A186="","",Agent09_Withdrawals!A186)</f>
        <v/>
      </c>
      <c r="B1779" s="40" t="str">
        <f ca="1">IF(Agent09_Withdrawals!A186="","","WD"&amp;TEXT(1779-3,"0000")&amp;"-"&amp;TEXT(TODAY(),"YYYYMMDD"))</f>
        <v/>
      </c>
      <c r="C1779" s="40" t="str">
        <f>IF(Agent09_Withdrawals!A186="","",Agent09_Withdrawals!B186)</f>
        <v/>
      </c>
      <c r="D1779" s="43" t="str">
        <f>IF(Agent09_Withdrawals!A186="","",Agent09_Withdrawals!C186)</f>
        <v/>
      </c>
      <c r="E1779" s="41" t="str">
        <f>IF(Agent09_Withdrawals!A186="","",Agent09_Withdrawals!D186)</f>
        <v/>
      </c>
      <c r="F1779" s="40" t="str">
        <f>IF(Agent09_Withdrawals!A186="","",Agent09_Withdrawals!F186)</f>
        <v/>
      </c>
      <c r="G1779" s="42" t="str">
        <f>IF(Agent09_Withdrawals!A186="","",Agent09_Withdrawals!E186)</f>
        <v/>
      </c>
      <c r="H1779" s="42" t="str">
        <f>IF(Agent09_Withdrawals!A186="","",Agent09_Withdrawals!G186)</f>
        <v/>
      </c>
      <c r="I1779" s="40" t="str">
        <f>IF(Agent09_Withdrawals!A186="","",Agent09_Withdrawals!H186)</f>
        <v/>
      </c>
      <c r="J1779" s="40" t="str">
        <f>IF(Agent09_Withdrawals!A186="","",Agent09_Withdrawals!J186)</f>
        <v/>
      </c>
      <c r="K1779" s="40" t="str">
        <f>IF(Agent09_Withdrawals!A186="","",Agent09_Withdrawals!K186)</f>
        <v/>
      </c>
      <c r="L1779" s="40" t="str">
        <f>IF(G1779="","",IF(D1779-G1779&gt;=System_Config!$B$9,"✅ OK","⚠️ BREACH"))</f>
        <v/>
      </c>
      <c r="M1779" s="40" t="str">
        <f>IFERROR(IF(Agent09_Withdrawals!A186="","",YEAR(Agent09_Withdrawals!D186)),"")</f>
        <v/>
      </c>
    </row>
    <row r="1780" spans="1:13" ht="18" customHeight="1" x14ac:dyDescent="0.25">
      <c r="A1780" s="40" t="str">
        <f>IF(Agent09_Withdrawals!A187="","",Agent09_Withdrawals!A187)</f>
        <v/>
      </c>
      <c r="B1780" s="40" t="str">
        <f ca="1">IF(Agent09_Withdrawals!A187="","","WD"&amp;TEXT(1780-3,"0000")&amp;"-"&amp;TEXT(TODAY(),"YYYYMMDD"))</f>
        <v/>
      </c>
      <c r="C1780" s="40" t="str">
        <f>IF(Agent09_Withdrawals!A187="","",Agent09_Withdrawals!B187)</f>
        <v/>
      </c>
      <c r="D1780" s="43" t="str">
        <f>IF(Agent09_Withdrawals!A187="","",Agent09_Withdrawals!C187)</f>
        <v/>
      </c>
      <c r="E1780" s="41" t="str">
        <f>IF(Agent09_Withdrawals!A187="","",Agent09_Withdrawals!D187)</f>
        <v/>
      </c>
      <c r="F1780" s="40" t="str">
        <f>IF(Agent09_Withdrawals!A187="","",Agent09_Withdrawals!F187)</f>
        <v/>
      </c>
      <c r="G1780" s="42" t="str">
        <f>IF(Agent09_Withdrawals!A187="","",Agent09_Withdrawals!E187)</f>
        <v/>
      </c>
      <c r="H1780" s="42" t="str">
        <f>IF(Agent09_Withdrawals!A187="","",Agent09_Withdrawals!G187)</f>
        <v/>
      </c>
      <c r="I1780" s="40" t="str">
        <f>IF(Agent09_Withdrawals!A187="","",Agent09_Withdrawals!H187)</f>
        <v/>
      </c>
      <c r="J1780" s="40" t="str">
        <f>IF(Agent09_Withdrawals!A187="","",Agent09_Withdrawals!J187)</f>
        <v/>
      </c>
      <c r="K1780" s="40" t="str">
        <f>IF(Agent09_Withdrawals!A187="","",Agent09_Withdrawals!K187)</f>
        <v/>
      </c>
      <c r="L1780" s="40" t="str">
        <f>IF(G1780="","",IF(D1780-G1780&gt;=System_Config!$B$9,"✅ OK","⚠️ BREACH"))</f>
        <v/>
      </c>
      <c r="M1780" s="40" t="str">
        <f>IFERROR(IF(Agent09_Withdrawals!A187="","",YEAR(Agent09_Withdrawals!D187)),"")</f>
        <v/>
      </c>
    </row>
    <row r="1781" spans="1:13" ht="18" customHeight="1" x14ac:dyDescent="0.25">
      <c r="A1781" s="40" t="str">
        <f>IF(Agent09_Withdrawals!A188="","",Agent09_Withdrawals!A188)</f>
        <v/>
      </c>
      <c r="B1781" s="40" t="str">
        <f ca="1">IF(Agent09_Withdrawals!A188="","","WD"&amp;TEXT(1781-3,"0000")&amp;"-"&amp;TEXT(TODAY(),"YYYYMMDD"))</f>
        <v/>
      </c>
      <c r="C1781" s="40" t="str">
        <f>IF(Agent09_Withdrawals!A188="","",Agent09_Withdrawals!B188)</f>
        <v/>
      </c>
      <c r="D1781" s="43" t="str">
        <f>IF(Agent09_Withdrawals!A188="","",Agent09_Withdrawals!C188)</f>
        <v/>
      </c>
      <c r="E1781" s="41" t="str">
        <f>IF(Agent09_Withdrawals!A188="","",Agent09_Withdrawals!D188)</f>
        <v/>
      </c>
      <c r="F1781" s="40" t="str">
        <f>IF(Agent09_Withdrawals!A188="","",Agent09_Withdrawals!F188)</f>
        <v/>
      </c>
      <c r="G1781" s="42" t="str">
        <f>IF(Agent09_Withdrawals!A188="","",Agent09_Withdrawals!E188)</f>
        <v/>
      </c>
      <c r="H1781" s="42" t="str">
        <f>IF(Agent09_Withdrawals!A188="","",Agent09_Withdrawals!G188)</f>
        <v/>
      </c>
      <c r="I1781" s="40" t="str">
        <f>IF(Agent09_Withdrawals!A188="","",Agent09_Withdrawals!H188)</f>
        <v/>
      </c>
      <c r="J1781" s="40" t="str">
        <f>IF(Agent09_Withdrawals!A188="","",Agent09_Withdrawals!J188)</f>
        <v/>
      </c>
      <c r="K1781" s="40" t="str">
        <f>IF(Agent09_Withdrawals!A188="","",Agent09_Withdrawals!K188)</f>
        <v/>
      </c>
      <c r="L1781" s="40" t="str">
        <f>IF(G1781="","",IF(D1781-G1781&gt;=System_Config!$B$9,"✅ OK","⚠️ BREACH"))</f>
        <v/>
      </c>
      <c r="M1781" s="40" t="str">
        <f>IFERROR(IF(Agent09_Withdrawals!A188="","",YEAR(Agent09_Withdrawals!D188)),"")</f>
        <v/>
      </c>
    </row>
    <row r="1782" spans="1:13" ht="18" customHeight="1" x14ac:dyDescent="0.25">
      <c r="A1782" s="40" t="str">
        <f>IF(Agent09_Withdrawals!A189="","",Agent09_Withdrawals!A189)</f>
        <v/>
      </c>
      <c r="B1782" s="40" t="str">
        <f ca="1">IF(Agent09_Withdrawals!A189="","","WD"&amp;TEXT(1782-3,"0000")&amp;"-"&amp;TEXT(TODAY(),"YYYYMMDD"))</f>
        <v/>
      </c>
      <c r="C1782" s="40" t="str">
        <f>IF(Agent09_Withdrawals!A189="","",Agent09_Withdrawals!B189)</f>
        <v/>
      </c>
      <c r="D1782" s="43" t="str">
        <f>IF(Agent09_Withdrawals!A189="","",Agent09_Withdrawals!C189)</f>
        <v/>
      </c>
      <c r="E1782" s="41" t="str">
        <f>IF(Agent09_Withdrawals!A189="","",Agent09_Withdrawals!D189)</f>
        <v/>
      </c>
      <c r="F1782" s="40" t="str">
        <f>IF(Agent09_Withdrawals!A189="","",Agent09_Withdrawals!F189)</f>
        <v/>
      </c>
      <c r="G1782" s="42" t="str">
        <f>IF(Agent09_Withdrawals!A189="","",Agent09_Withdrawals!E189)</f>
        <v/>
      </c>
      <c r="H1782" s="42" t="str">
        <f>IF(Agent09_Withdrawals!A189="","",Agent09_Withdrawals!G189)</f>
        <v/>
      </c>
      <c r="I1782" s="40" t="str">
        <f>IF(Agent09_Withdrawals!A189="","",Agent09_Withdrawals!H189)</f>
        <v/>
      </c>
      <c r="J1782" s="40" t="str">
        <f>IF(Agent09_Withdrawals!A189="","",Agent09_Withdrawals!J189)</f>
        <v/>
      </c>
      <c r="K1782" s="40" t="str">
        <f>IF(Agent09_Withdrawals!A189="","",Agent09_Withdrawals!K189)</f>
        <v/>
      </c>
      <c r="L1782" s="40" t="str">
        <f>IF(G1782="","",IF(D1782-G1782&gt;=System_Config!$B$9,"✅ OK","⚠️ BREACH"))</f>
        <v/>
      </c>
      <c r="M1782" s="40" t="str">
        <f>IFERROR(IF(Agent09_Withdrawals!A189="","",YEAR(Agent09_Withdrawals!D189)),"")</f>
        <v/>
      </c>
    </row>
    <row r="1783" spans="1:13" ht="18" customHeight="1" x14ac:dyDescent="0.25">
      <c r="A1783" s="40" t="str">
        <f>IF(Agent09_Withdrawals!A190="","",Agent09_Withdrawals!A190)</f>
        <v/>
      </c>
      <c r="B1783" s="40" t="str">
        <f ca="1">IF(Agent09_Withdrawals!A190="","","WD"&amp;TEXT(1783-3,"0000")&amp;"-"&amp;TEXT(TODAY(),"YYYYMMDD"))</f>
        <v/>
      </c>
      <c r="C1783" s="40" t="str">
        <f>IF(Agent09_Withdrawals!A190="","",Agent09_Withdrawals!B190)</f>
        <v/>
      </c>
      <c r="D1783" s="43" t="str">
        <f>IF(Agent09_Withdrawals!A190="","",Agent09_Withdrawals!C190)</f>
        <v/>
      </c>
      <c r="E1783" s="41" t="str">
        <f>IF(Agent09_Withdrawals!A190="","",Agent09_Withdrawals!D190)</f>
        <v/>
      </c>
      <c r="F1783" s="40" t="str">
        <f>IF(Agent09_Withdrawals!A190="","",Agent09_Withdrawals!F190)</f>
        <v/>
      </c>
      <c r="G1783" s="42" t="str">
        <f>IF(Agent09_Withdrawals!A190="","",Agent09_Withdrawals!E190)</f>
        <v/>
      </c>
      <c r="H1783" s="42" t="str">
        <f>IF(Agent09_Withdrawals!A190="","",Agent09_Withdrawals!G190)</f>
        <v/>
      </c>
      <c r="I1783" s="40" t="str">
        <f>IF(Agent09_Withdrawals!A190="","",Agent09_Withdrawals!H190)</f>
        <v/>
      </c>
      <c r="J1783" s="40" t="str">
        <f>IF(Agent09_Withdrawals!A190="","",Agent09_Withdrawals!J190)</f>
        <v/>
      </c>
      <c r="K1783" s="40" t="str">
        <f>IF(Agent09_Withdrawals!A190="","",Agent09_Withdrawals!K190)</f>
        <v/>
      </c>
      <c r="L1783" s="40" t="str">
        <f>IF(G1783="","",IF(D1783-G1783&gt;=System_Config!$B$9,"✅ OK","⚠️ BREACH"))</f>
        <v/>
      </c>
      <c r="M1783" s="40" t="str">
        <f>IFERROR(IF(Agent09_Withdrawals!A190="","",YEAR(Agent09_Withdrawals!D190)),"")</f>
        <v/>
      </c>
    </row>
    <row r="1784" spans="1:13" ht="18" customHeight="1" x14ac:dyDescent="0.25">
      <c r="A1784" s="40" t="str">
        <f>IF(Agent09_Withdrawals!A191="","",Agent09_Withdrawals!A191)</f>
        <v/>
      </c>
      <c r="B1784" s="40" t="str">
        <f ca="1">IF(Agent09_Withdrawals!A191="","","WD"&amp;TEXT(1784-3,"0000")&amp;"-"&amp;TEXT(TODAY(),"YYYYMMDD"))</f>
        <v/>
      </c>
      <c r="C1784" s="40" t="str">
        <f>IF(Agent09_Withdrawals!A191="","",Agent09_Withdrawals!B191)</f>
        <v/>
      </c>
      <c r="D1784" s="43" t="str">
        <f>IF(Agent09_Withdrawals!A191="","",Agent09_Withdrawals!C191)</f>
        <v/>
      </c>
      <c r="E1784" s="41" t="str">
        <f>IF(Agent09_Withdrawals!A191="","",Agent09_Withdrawals!D191)</f>
        <v/>
      </c>
      <c r="F1784" s="40" t="str">
        <f>IF(Agent09_Withdrawals!A191="","",Agent09_Withdrawals!F191)</f>
        <v/>
      </c>
      <c r="G1784" s="42" t="str">
        <f>IF(Agent09_Withdrawals!A191="","",Agent09_Withdrawals!E191)</f>
        <v/>
      </c>
      <c r="H1784" s="42" t="str">
        <f>IF(Agent09_Withdrawals!A191="","",Agent09_Withdrawals!G191)</f>
        <v/>
      </c>
      <c r="I1784" s="40" t="str">
        <f>IF(Agent09_Withdrawals!A191="","",Agent09_Withdrawals!H191)</f>
        <v/>
      </c>
      <c r="J1784" s="40" t="str">
        <f>IF(Agent09_Withdrawals!A191="","",Agent09_Withdrawals!J191)</f>
        <v/>
      </c>
      <c r="K1784" s="40" t="str">
        <f>IF(Agent09_Withdrawals!A191="","",Agent09_Withdrawals!K191)</f>
        <v/>
      </c>
      <c r="L1784" s="40" t="str">
        <f>IF(G1784="","",IF(D1784-G1784&gt;=System_Config!$B$9,"✅ OK","⚠️ BREACH"))</f>
        <v/>
      </c>
      <c r="M1784" s="40" t="str">
        <f>IFERROR(IF(Agent09_Withdrawals!A191="","",YEAR(Agent09_Withdrawals!D191)),"")</f>
        <v/>
      </c>
    </row>
    <row r="1785" spans="1:13" ht="18" customHeight="1" x14ac:dyDescent="0.25">
      <c r="A1785" s="40" t="str">
        <f>IF(Agent09_Withdrawals!A192="","",Agent09_Withdrawals!A192)</f>
        <v/>
      </c>
      <c r="B1785" s="40" t="str">
        <f ca="1">IF(Agent09_Withdrawals!A192="","","WD"&amp;TEXT(1785-3,"0000")&amp;"-"&amp;TEXT(TODAY(),"YYYYMMDD"))</f>
        <v/>
      </c>
      <c r="C1785" s="40" t="str">
        <f>IF(Agent09_Withdrawals!A192="","",Agent09_Withdrawals!B192)</f>
        <v/>
      </c>
      <c r="D1785" s="43" t="str">
        <f>IF(Agent09_Withdrawals!A192="","",Agent09_Withdrawals!C192)</f>
        <v/>
      </c>
      <c r="E1785" s="41" t="str">
        <f>IF(Agent09_Withdrawals!A192="","",Agent09_Withdrawals!D192)</f>
        <v/>
      </c>
      <c r="F1785" s="40" t="str">
        <f>IF(Agent09_Withdrawals!A192="","",Agent09_Withdrawals!F192)</f>
        <v/>
      </c>
      <c r="G1785" s="42" t="str">
        <f>IF(Agent09_Withdrawals!A192="","",Agent09_Withdrawals!E192)</f>
        <v/>
      </c>
      <c r="H1785" s="42" t="str">
        <f>IF(Agent09_Withdrawals!A192="","",Agent09_Withdrawals!G192)</f>
        <v/>
      </c>
      <c r="I1785" s="40" t="str">
        <f>IF(Agent09_Withdrawals!A192="","",Agent09_Withdrawals!H192)</f>
        <v/>
      </c>
      <c r="J1785" s="40" t="str">
        <f>IF(Agent09_Withdrawals!A192="","",Agent09_Withdrawals!J192)</f>
        <v/>
      </c>
      <c r="K1785" s="40" t="str">
        <f>IF(Agent09_Withdrawals!A192="","",Agent09_Withdrawals!K192)</f>
        <v/>
      </c>
      <c r="L1785" s="40" t="str">
        <f>IF(G1785="","",IF(D1785-G1785&gt;=System_Config!$B$9,"✅ OK","⚠️ BREACH"))</f>
        <v/>
      </c>
      <c r="M1785" s="40" t="str">
        <f>IFERROR(IF(Agent09_Withdrawals!A192="","",YEAR(Agent09_Withdrawals!D192)),"")</f>
        <v/>
      </c>
    </row>
    <row r="1786" spans="1:13" ht="18" customHeight="1" x14ac:dyDescent="0.25">
      <c r="A1786" s="40" t="str">
        <f>IF(Agent09_Withdrawals!A193="","",Agent09_Withdrawals!A193)</f>
        <v/>
      </c>
      <c r="B1786" s="40" t="str">
        <f ca="1">IF(Agent09_Withdrawals!A193="","","WD"&amp;TEXT(1786-3,"0000")&amp;"-"&amp;TEXT(TODAY(),"YYYYMMDD"))</f>
        <v/>
      </c>
      <c r="C1786" s="40" t="str">
        <f>IF(Agent09_Withdrawals!A193="","",Agent09_Withdrawals!B193)</f>
        <v/>
      </c>
      <c r="D1786" s="43" t="str">
        <f>IF(Agent09_Withdrawals!A193="","",Agent09_Withdrawals!C193)</f>
        <v/>
      </c>
      <c r="E1786" s="41" t="str">
        <f>IF(Agent09_Withdrawals!A193="","",Agent09_Withdrawals!D193)</f>
        <v/>
      </c>
      <c r="F1786" s="40" t="str">
        <f>IF(Agent09_Withdrawals!A193="","",Agent09_Withdrawals!F193)</f>
        <v/>
      </c>
      <c r="G1786" s="42" t="str">
        <f>IF(Agent09_Withdrawals!A193="","",Agent09_Withdrawals!E193)</f>
        <v/>
      </c>
      <c r="H1786" s="42" t="str">
        <f>IF(Agent09_Withdrawals!A193="","",Agent09_Withdrawals!G193)</f>
        <v/>
      </c>
      <c r="I1786" s="40" t="str">
        <f>IF(Agent09_Withdrawals!A193="","",Agent09_Withdrawals!H193)</f>
        <v/>
      </c>
      <c r="J1786" s="40" t="str">
        <f>IF(Agent09_Withdrawals!A193="","",Agent09_Withdrawals!J193)</f>
        <v/>
      </c>
      <c r="K1786" s="40" t="str">
        <f>IF(Agent09_Withdrawals!A193="","",Agent09_Withdrawals!K193)</f>
        <v/>
      </c>
      <c r="L1786" s="40" t="str">
        <f>IF(G1786="","",IF(D1786-G1786&gt;=System_Config!$B$9,"✅ OK","⚠️ BREACH"))</f>
        <v/>
      </c>
      <c r="M1786" s="40" t="str">
        <f>IFERROR(IF(Agent09_Withdrawals!A193="","",YEAR(Agent09_Withdrawals!D193)),"")</f>
        <v/>
      </c>
    </row>
    <row r="1787" spans="1:13" ht="18" customHeight="1" x14ac:dyDescent="0.25">
      <c r="A1787" s="40" t="str">
        <f>IF(Agent09_Withdrawals!A194="","",Agent09_Withdrawals!A194)</f>
        <v/>
      </c>
      <c r="B1787" s="40" t="str">
        <f ca="1">IF(Agent09_Withdrawals!A194="","","WD"&amp;TEXT(1787-3,"0000")&amp;"-"&amp;TEXT(TODAY(),"YYYYMMDD"))</f>
        <v/>
      </c>
      <c r="C1787" s="40" t="str">
        <f>IF(Agent09_Withdrawals!A194="","",Agent09_Withdrawals!B194)</f>
        <v/>
      </c>
      <c r="D1787" s="43" t="str">
        <f>IF(Agent09_Withdrawals!A194="","",Agent09_Withdrawals!C194)</f>
        <v/>
      </c>
      <c r="E1787" s="41" t="str">
        <f>IF(Agent09_Withdrawals!A194="","",Agent09_Withdrawals!D194)</f>
        <v/>
      </c>
      <c r="F1787" s="40" t="str">
        <f>IF(Agent09_Withdrawals!A194="","",Agent09_Withdrawals!F194)</f>
        <v/>
      </c>
      <c r="G1787" s="42" t="str">
        <f>IF(Agent09_Withdrawals!A194="","",Agent09_Withdrawals!E194)</f>
        <v/>
      </c>
      <c r="H1787" s="42" t="str">
        <f>IF(Agent09_Withdrawals!A194="","",Agent09_Withdrawals!G194)</f>
        <v/>
      </c>
      <c r="I1787" s="40" t="str">
        <f>IF(Agent09_Withdrawals!A194="","",Agent09_Withdrawals!H194)</f>
        <v/>
      </c>
      <c r="J1787" s="40" t="str">
        <f>IF(Agent09_Withdrawals!A194="","",Agent09_Withdrawals!J194)</f>
        <v/>
      </c>
      <c r="K1787" s="40" t="str">
        <f>IF(Agent09_Withdrawals!A194="","",Agent09_Withdrawals!K194)</f>
        <v/>
      </c>
      <c r="L1787" s="40" t="str">
        <f>IF(G1787="","",IF(D1787-G1787&gt;=System_Config!$B$9,"✅ OK","⚠️ BREACH"))</f>
        <v/>
      </c>
      <c r="M1787" s="40" t="str">
        <f>IFERROR(IF(Agent09_Withdrawals!A194="","",YEAR(Agent09_Withdrawals!D194)),"")</f>
        <v/>
      </c>
    </row>
    <row r="1788" spans="1:13" ht="18" customHeight="1" x14ac:dyDescent="0.25">
      <c r="A1788" s="40" t="str">
        <f>IF(Agent09_Withdrawals!A195="","",Agent09_Withdrawals!A195)</f>
        <v/>
      </c>
      <c r="B1788" s="40" t="str">
        <f ca="1">IF(Agent09_Withdrawals!A195="","","WD"&amp;TEXT(1788-3,"0000")&amp;"-"&amp;TEXT(TODAY(),"YYYYMMDD"))</f>
        <v/>
      </c>
      <c r="C1788" s="40" t="str">
        <f>IF(Agent09_Withdrawals!A195="","",Agent09_Withdrawals!B195)</f>
        <v/>
      </c>
      <c r="D1788" s="43" t="str">
        <f>IF(Agent09_Withdrawals!A195="","",Agent09_Withdrawals!C195)</f>
        <v/>
      </c>
      <c r="E1788" s="41" t="str">
        <f>IF(Agent09_Withdrawals!A195="","",Agent09_Withdrawals!D195)</f>
        <v/>
      </c>
      <c r="F1788" s="40" t="str">
        <f>IF(Agent09_Withdrawals!A195="","",Agent09_Withdrawals!F195)</f>
        <v/>
      </c>
      <c r="G1788" s="42" t="str">
        <f>IF(Agent09_Withdrawals!A195="","",Agent09_Withdrawals!E195)</f>
        <v/>
      </c>
      <c r="H1788" s="42" t="str">
        <f>IF(Agent09_Withdrawals!A195="","",Agent09_Withdrawals!G195)</f>
        <v/>
      </c>
      <c r="I1788" s="40" t="str">
        <f>IF(Agent09_Withdrawals!A195="","",Agent09_Withdrawals!H195)</f>
        <v/>
      </c>
      <c r="J1788" s="40" t="str">
        <f>IF(Agent09_Withdrawals!A195="","",Agent09_Withdrawals!J195)</f>
        <v/>
      </c>
      <c r="K1788" s="40" t="str">
        <f>IF(Agent09_Withdrawals!A195="","",Agent09_Withdrawals!K195)</f>
        <v/>
      </c>
      <c r="L1788" s="40" t="str">
        <f>IF(G1788="","",IF(D1788-G1788&gt;=System_Config!$B$9,"✅ OK","⚠️ BREACH"))</f>
        <v/>
      </c>
      <c r="M1788" s="40" t="str">
        <f>IFERROR(IF(Agent09_Withdrawals!A195="","",YEAR(Agent09_Withdrawals!D195)),"")</f>
        <v/>
      </c>
    </row>
    <row r="1789" spans="1:13" ht="18" customHeight="1" x14ac:dyDescent="0.25">
      <c r="A1789" s="40" t="str">
        <f>IF(Agent09_Withdrawals!A196="","",Agent09_Withdrawals!A196)</f>
        <v/>
      </c>
      <c r="B1789" s="40" t="str">
        <f ca="1">IF(Agent09_Withdrawals!A196="","","WD"&amp;TEXT(1789-3,"0000")&amp;"-"&amp;TEXT(TODAY(),"YYYYMMDD"))</f>
        <v/>
      </c>
      <c r="C1789" s="40" t="str">
        <f>IF(Agent09_Withdrawals!A196="","",Agent09_Withdrawals!B196)</f>
        <v/>
      </c>
      <c r="D1789" s="43" t="str">
        <f>IF(Agent09_Withdrawals!A196="","",Agent09_Withdrawals!C196)</f>
        <v/>
      </c>
      <c r="E1789" s="41" t="str">
        <f>IF(Agent09_Withdrawals!A196="","",Agent09_Withdrawals!D196)</f>
        <v/>
      </c>
      <c r="F1789" s="40" t="str">
        <f>IF(Agent09_Withdrawals!A196="","",Agent09_Withdrawals!F196)</f>
        <v/>
      </c>
      <c r="G1789" s="42" t="str">
        <f>IF(Agent09_Withdrawals!A196="","",Agent09_Withdrawals!E196)</f>
        <v/>
      </c>
      <c r="H1789" s="42" t="str">
        <f>IF(Agent09_Withdrawals!A196="","",Agent09_Withdrawals!G196)</f>
        <v/>
      </c>
      <c r="I1789" s="40" t="str">
        <f>IF(Agent09_Withdrawals!A196="","",Agent09_Withdrawals!H196)</f>
        <v/>
      </c>
      <c r="J1789" s="40" t="str">
        <f>IF(Agent09_Withdrawals!A196="","",Agent09_Withdrawals!J196)</f>
        <v/>
      </c>
      <c r="K1789" s="40" t="str">
        <f>IF(Agent09_Withdrawals!A196="","",Agent09_Withdrawals!K196)</f>
        <v/>
      </c>
      <c r="L1789" s="40" t="str">
        <f>IF(G1789="","",IF(D1789-G1789&gt;=System_Config!$B$9,"✅ OK","⚠️ BREACH"))</f>
        <v/>
      </c>
      <c r="M1789" s="40" t="str">
        <f>IFERROR(IF(Agent09_Withdrawals!A196="","",YEAR(Agent09_Withdrawals!D196)),"")</f>
        <v/>
      </c>
    </row>
    <row r="1790" spans="1:13" ht="18" customHeight="1" x14ac:dyDescent="0.25">
      <c r="A1790" s="40" t="str">
        <f>IF(Agent09_Withdrawals!A197="","",Agent09_Withdrawals!A197)</f>
        <v/>
      </c>
      <c r="B1790" s="40" t="str">
        <f ca="1">IF(Agent09_Withdrawals!A197="","","WD"&amp;TEXT(1790-3,"0000")&amp;"-"&amp;TEXT(TODAY(),"YYYYMMDD"))</f>
        <v/>
      </c>
      <c r="C1790" s="40" t="str">
        <f>IF(Agent09_Withdrawals!A197="","",Agent09_Withdrawals!B197)</f>
        <v/>
      </c>
      <c r="D1790" s="43" t="str">
        <f>IF(Agent09_Withdrawals!A197="","",Agent09_Withdrawals!C197)</f>
        <v/>
      </c>
      <c r="E1790" s="41" t="str">
        <f>IF(Agent09_Withdrawals!A197="","",Agent09_Withdrawals!D197)</f>
        <v/>
      </c>
      <c r="F1790" s="40" t="str">
        <f>IF(Agent09_Withdrawals!A197="","",Agent09_Withdrawals!F197)</f>
        <v/>
      </c>
      <c r="G1790" s="42" t="str">
        <f>IF(Agent09_Withdrawals!A197="","",Agent09_Withdrawals!E197)</f>
        <v/>
      </c>
      <c r="H1790" s="42" t="str">
        <f>IF(Agent09_Withdrawals!A197="","",Agent09_Withdrawals!G197)</f>
        <v/>
      </c>
      <c r="I1790" s="40" t="str">
        <f>IF(Agent09_Withdrawals!A197="","",Agent09_Withdrawals!H197)</f>
        <v/>
      </c>
      <c r="J1790" s="40" t="str">
        <f>IF(Agent09_Withdrawals!A197="","",Agent09_Withdrawals!J197)</f>
        <v/>
      </c>
      <c r="K1790" s="40" t="str">
        <f>IF(Agent09_Withdrawals!A197="","",Agent09_Withdrawals!K197)</f>
        <v/>
      </c>
      <c r="L1790" s="40" t="str">
        <f>IF(G1790="","",IF(D1790-G1790&gt;=System_Config!$B$9,"✅ OK","⚠️ BREACH"))</f>
        <v/>
      </c>
      <c r="M1790" s="40" t="str">
        <f>IFERROR(IF(Agent09_Withdrawals!A197="","",YEAR(Agent09_Withdrawals!D197)),"")</f>
        <v/>
      </c>
    </row>
    <row r="1791" spans="1:13" ht="18" customHeight="1" x14ac:dyDescent="0.25">
      <c r="A1791" s="40" t="str">
        <f>IF(Agent09_Withdrawals!A198="","",Agent09_Withdrawals!A198)</f>
        <v/>
      </c>
      <c r="B1791" s="40" t="str">
        <f ca="1">IF(Agent09_Withdrawals!A198="","","WD"&amp;TEXT(1791-3,"0000")&amp;"-"&amp;TEXT(TODAY(),"YYYYMMDD"))</f>
        <v/>
      </c>
      <c r="C1791" s="40" t="str">
        <f>IF(Agent09_Withdrawals!A198="","",Agent09_Withdrawals!B198)</f>
        <v/>
      </c>
      <c r="D1791" s="43" t="str">
        <f>IF(Agent09_Withdrawals!A198="","",Agent09_Withdrawals!C198)</f>
        <v/>
      </c>
      <c r="E1791" s="41" t="str">
        <f>IF(Agent09_Withdrawals!A198="","",Agent09_Withdrawals!D198)</f>
        <v/>
      </c>
      <c r="F1791" s="40" t="str">
        <f>IF(Agent09_Withdrawals!A198="","",Agent09_Withdrawals!F198)</f>
        <v/>
      </c>
      <c r="G1791" s="42" t="str">
        <f>IF(Agent09_Withdrawals!A198="","",Agent09_Withdrawals!E198)</f>
        <v/>
      </c>
      <c r="H1791" s="42" t="str">
        <f>IF(Agent09_Withdrawals!A198="","",Agent09_Withdrawals!G198)</f>
        <v/>
      </c>
      <c r="I1791" s="40" t="str">
        <f>IF(Agent09_Withdrawals!A198="","",Agent09_Withdrawals!H198)</f>
        <v/>
      </c>
      <c r="J1791" s="40" t="str">
        <f>IF(Agent09_Withdrawals!A198="","",Agent09_Withdrawals!J198)</f>
        <v/>
      </c>
      <c r="K1791" s="40" t="str">
        <f>IF(Agent09_Withdrawals!A198="","",Agent09_Withdrawals!K198)</f>
        <v/>
      </c>
      <c r="L1791" s="40" t="str">
        <f>IF(G1791="","",IF(D1791-G1791&gt;=System_Config!$B$9,"✅ OK","⚠️ BREACH"))</f>
        <v/>
      </c>
      <c r="M1791" s="40" t="str">
        <f>IFERROR(IF(Agent09_Withdrawals!A198="","",YEAR(Agent09_Withdrawals!D198)),"")</f>
        <v/>
      </c>
    </row>
    <row r="1792" spans="1:13" ht="18" customHeight="1" x14ac:dyDescent="0.25">
      <c r="A1792" s="40" t="str">
        <f>IF(Agent09_Withdrawals!A199="","",Agent09_Withdrawals!A199)</f>
        <v/>
      </c>
      <c r="B1792" s="40" t="str">
        <f ca="1">IF(Agent09_Withdrawals!A199="","","WD"&amp;TEXT(1792-3,"0000")&amp;"-"&amp;TEXT(TODAY(),"YYYYMMDD"))</f>
        <v/>
      </c>
      <c r="C1792" s="40" t="str">
        <f>IF(Agent09_Withdrawals!A199="","",Agent09_Withdrawals!B199)</f>
        <v/>
      </c>
      <c r="D1792" s="43" t="str">
        <f>IF(Agent09_Withdrawals!A199="","",Agent09_Withdrawals!C199)</f>
        <v/>
      </c>
      <c r="E1792" s="41" t="str">
        <f>IF(Agent09_Withdrawals!A199="","",Agent09_Withdrawals!D199)</f>
        <v/>
      </c>
      <c r="F1792" s="40" t="str">
        <f>IF(Agent09_Withdrawals!A199="","",Agent09_Withdrawals!F199)</f>
        <v/>
      </c>
      <c r="G1792" s="42" t="str">
        <f>IF(Agent09_Withdrawals!A199="","",Agent09_Withdrawals!E199)</f>
        <v/>
      </c>
      <c r="H1792" s="42" t="str">
        <f>IF(Agent09_Withdrawals!A199="","",Agent09_Withdrawals!G199)</f>
        <v/>
      </c>
      <c r="I1792" s="40" t="str">
        <f>IF(Agent09_Withdrawals!A199="","",Agent09_Withdrawals!H199)</f>
        <v/>
      </c>
      <c r="J1792" s="40" t="str">
        <f>IF(Agent09_Withdrawals!A199="","",Agent09_Withdrawals!J199)</f>
        <v/>
      </c>
      <c r="K1792" s="40" t="str">
        <f>IF(Agent09_Withdrawals!A199="","",Agent09_Withdrawals!K199)</f>
        <v/>
      </c>
      <c r="L1792" s="40" t="str">
        <f>IF(G1792="","",IF(D1792-G1792&gt;=System_Config!$B$9,"✅ OK","⚠️ BREACH"))</f>
        <v/>
      </c>
      <c r="M1792" s="40" t="str">
        <f>IFERROR(IF(Agent09_Withdrawals!A199="","",YEAR(Agent09_Withdrawals!D199)),"")</f>
        <v/>
      </c>
    </row>
    <row r="1793" spans="1:13" ht="18" customHeight="1" x14ac:dyDescent="0.25">
      <c r="A1793" s="40" t="str">
        <f>IF(Agent09_Withdrawals!A200="","",Agent09_Withdrawals!A200)</f>
        <v/>
      </c>
      <c r="B1793" s="40" t="str">
        <f ca="1">IF(Agent09_Withdrawals!A200="","","WD"&amp;TEXT(1793-3,"0000")&amp;"-"&amp;TEXT(TODAY(),"YYYYMMDD"))</f>
        <v/>
      </c>
      <c r="C1793" s="40" t="str">
        <f>IF(Agent09_Withdrawals!A200="","",Agent09_Withdrawals!B200)</f>
        <v/>
      </c>
      <c r="D1793" s="43" t="str">
        <f>IF(Agent09_Withdrawals!A200="","",Agent09_Withdrawals!C200)</f>
        <v/>
      </c>
      <c r="E1793" s="41" t="str">
        <f>IF(Agent09_Withdrawals!A200="","",Agent09_Withdrawals!D200)</f>
        <v/>
      </c>
      <c r="F1793" s="40" t="str">
        <f>IF(Agent09_Withdrawals!A200="","",Agent09_Withdrawals!F200)</f>
        <v/>
      </c>
      <c r="G1793" s="42" t="str">
        <f>IF(Agent09_Withdrawals!A200="","",Agent09_Withdrawals!E200)</f>
        <v/>
      </c>
      <c r="H1793" s="42" t="str">
        <f>IF(Agent09_Withdrawals!A200="","",Agent09_Withdrawals!G200)</f>
        <v/>
      </c>
      <c r="I1793" s="40" t="str">
        <f>IF(Agent09_Withdrawals!A200="","",Agent09_Withdrawals!H200)</f>
        <v/>
      </c>
      <c r="J1793" s="40" t="str">
        <f>IF(Agent09_Withdrawals!A200="","",Agent09_Withdrawals!J200)</f>
        <v/>
      </c>
      <c r="K1793" s="40" t="str">
        <f>IF(Agent09_Withdrawals!A200="","",Agent09_Withdrawals!K200)</f>
        <v/>
      </c>
      <c r="L1793" s="40" t="str">
        <f>IF(G1793="","",IF(D1793-G1793&gt;=System_Config!$B$9,"✅ OK","⚠️ BREACH"))</f>
        <v/>
      </c>
      <c r="M1793" s="40" t="str">
        <f>IFERROR(IF(Agent09_Withdrawals!A200="","",YEAR(Agent09_Withdrawals!D200)),"")</f>
        <v/>
      </c>
    </row>
    <row r="1794" spans="1:13" ht="18" customHeight="1" x14ac:dyDescent="0.25">
      <c r="A1794" s="40" t="str">
        <f>IF(Agent09_Withdrawals!A201="","",Agent09_Withdrawals!A201)</f>
        <v/>
      </c>
      <c r="B1794" s="40" t="str">
        <f ca="1">IF(Agent09_Withdrawals!A201="","","WD"&amp;TEXT(1794-3,"0000")&amp;"-"&amp;TEXT(TODAY(),"YYYYMMDD"))</f>
        <v/>
      </c>
      <c r="C1794" s="40" t="str">
        <f>IF(Agent09_Withdrawals!A201="","",Agent09_Withdrawals!B201)</f>
        <v/>
      </c>
      <c r="D1794" s="43" t="str">
        <f>IF(Agent09_Withdrawals!A201="","",Agent09_Withdrawals!C201)</f>
        <v/>
      </c>
      <c r="E1794" s="41" t="str">
        <f>IF(Agent09_Withdrawals!A201="","",Agent09_Withdrawals!D201)</f>
        <v/>
      </c>
      <c r="F1794" s="40" t="str">
        <f>IF(Agent09_Withdrawals!A201="","",Agent09_Withdrawals!F201)</f>
        <v/>
      </c>
      <c r="G1794" s="42" t="str">
        <f>IF(Agent09_Withdrawals!A201="","",Agent09_Withdrawals!E201)</f>
        <v/>
      </c>
      <c r="H1794" s="42" t="str">
        <f>IF(Agent09_Withdrawals!A201="","",Agent09_Withdrawals!G201)</f>
        <v/>
      </c>
      <c r="I1794" s="40" t="str">
        <f>IF(Agent09_Withdrawals!A201="","",Agent09_Withdrawals!H201)</f>
        <v/>
      </c>
      <c r="J1794" s="40" t="str">
        <f>IF(Agent09_Withdrawals!A201="","",Agent09_Withdrawals!J201)</f>
        <v/>
      </c>
      <c r="K1794" s="40" t="str">
        <f>IF(Agent09_Withdrawals!A201="","",Agent09_Withdrawals!K201)</f>
        <v/>
      </c>
      <c r="L1794" s="40" t="str">
        <f>IF(G1794="","",IF(D1794-G1794&gt;=System_Config!$B$9,"✅ OK","⚠️ BREACH"))</f>
        <v/>
      </c>
      <c r="M1794" s="40" t="str">
        <f>IFERROR(IF(Agent09_Withdrawals!A201="","",YEAR(Agent09_Withdrawals!D201)),"")</f>
        <v/>
      </c>
    </row>
    <row r="1795" spans="1:13" ht="18" customHeight="1" x14ac:dyDescent="0.25">
      <c r="A1795" s="40" t="str">
        <f>IF(Agent09_Withdrawals!A202="","",Agent09_Withdrawals!A202)</f>
        <v/>
      </c>
      <c r="B1795" s="40" t="str">
        <f ca="1">IF(Agent09_Withdrawals!A202="","","WD"&amp;TEXT(1795-3,"0000")&amp;"-"&amp;TEXT(TODAY(),"YYYYMMDD"))</f>
        <v/>
      </c>
      <c r="C1795" s="40" t="str">
        <f>IF(Agent09_Withdrawals!A202="","",Agent09_Withdrawals!B202)</f>
        <v/>
      </c>
      <c r="D1795" s="43" t="str">
        <f>IF(Agent09_Withdrawals!A202="","",Agent09_Withdrawals!C202)</f>
        <v/>
      </c>
      <c r="E1795" s="41" t="str">
        <f>IF(Agent09_Withdrawals!A202="","",Agent09_Withdrawals!D202)</f>
        <v/>
      </c>
      <c r="F1795" s="40" t="str">
        <f>IF(Agent09_Withdrawals!A202="","",Agent09_Withdrawals!F202)</f>
        <v/>
      </c>
      <c r="G1795" s="42" t="str">
        <f>IF(Agent09_Withdrawals!A202="","",Agent09_Withdrawals!E202)</f>
        <v/>
      </c>
      <c r="H1795" s="42" t="str">
        <f>IF(Agent09_Withdrawals!A202="","",Agent09_Withdrawals!G202)</f>
        <v/>
      </c>
      <c r="I1795" s="40" t="str">
        <f>IF(Agent09_Withdrawals!A202="","",Agent09_Withdrawals!H202)</f>
        <v/>
      </c>
      <c r="J1795" s="40" t="str">
        <f>IF(Agent09_Withdrawals!A202="","",Agent09_Withdrawals!J202)</f>
        <v/>
      </c>
      <c r="K1795" s="40" t="str">
        <f>IF(Agent09_Withdrawals!A202="","",Agent09_Withdrawals!K202)</f>
        <v/>
      </c>
      <c r="L1795" s="40" t="str">
        <f>IF(G1795="","",IF(D1795-G1795&gt;=System_Config!$B$9,"✅ OK","⚠️ BREACH"))</f>
        <v/>
      </c>
      <c r="M1795" s="40" t="str">
        <f>IFERROR(IF(Agent09_Withdrawals!A202="","",YEAR(Agent09_Withdrawals!D202)),"")</f>
        <v/>
      </c>
    </row>
    <row r="1796" spans="1:13" ht="18" customHeight="1" x14ac:dyDescent="0.25">
      <c r="A1796" s="40" t="str">
        <f>IF(Agent09_Withdrawals!A203="","",Agent09_Withdrawals!A203)</f>
        <v/>
      </c>
      <c r="B1796" s="40" t="str">
        <f ca="1">IF(Agent09_Withdrawals!A203="","","WD"&amp;TEXT(1796-3,"0000")&amp;"-"&amp;TEXT(TODAY(),"YYYYMMDD"))</f>
        <v/>
      </c>
      <c r="C1796" s="40" t="str">
        <f>IF(Agent09_Withdrawals!A203="","",Agent09_Withdrawals!B203)</f>
        <v/>
      </c>
      <c r="D1796" s="43" t="str">
        <f>IF(Agent09_Withdrawals!A203="","",Agent09_Withdrawals!C203)</f>
        <v/>
      </c>
      <c r="E1796" s="41" t="str">
        <f>IF(Agent09_Withdrawals!A203="","",Agent09_Withdrawals!D203)</f>
        <v/>
      </c>
      <c r="F1796" s="40" t="str">
        <f>IF(Agent09_Withdrawals!A203="","",Agent09_Withdrawals!F203)</f>
        <v/>
      </c>
      <c r="G1796" s="42" t="str">
        <f>IF(Agent09_Withdrawals!A203="","",Agent09_Withdrawals!E203)</f>
        <v/>
      </c>
      <c r="H1796" s="42" t="str">
        <f>IF(Agent09_Withdrawals!A203="","",Agent09_Withdrawals!G203)</f>
        <v/>
      </c>
      <c r="I1796" s="40" t="str">
        <f>IF(Agent09_Withdrawals!A203="","",Agent09_Withdrawals!H203)</f>
        <v/>
      </c>
      <c r="J1796" s="40" t="str">
        <f>IF(Agent09_Withdrawals!A203="","",Agent09_Withdrawals!J203)</f>
        <v/>
      </c>
      <c r="K1796" s="40" t="str">
        <f>IF(Agent09_Withdrawals!A203="","",Agent09_Withdrawals!K203)</f>
        <v/>
      </c>
      <c r="L1796" s="40" t="str">
        <f>IF(G1796="","",IF(D1796-G1796&gt;=System_Config!$B$9,"✅ OK","⚠️ BREACH"))</f>
        <v/>
      </c>
      <c r="M1796" s="40" t="str">
        <f>IFERROR(IF(Agent09_Withdrawals!A203="","",YEAR(Agent09_Withdrawals!D203)),"")</f>
        <v/>
      </c>
    </row>
    <row r="1797" spans="1:13" ht="18" customHeight="1" x14ac:dyDescent="0.25">
      <c r="A1797" s="40" t="str">
        <f>IF(Agent09_Withdrawals!A204="","",Agent09_Withdrawals!A204)</f>
        <v/>
      </c>
      <c r="B1797" s="40" t="str">
        <f ca="1">IF(Agent09_Withdrawals!A204="","","WD"&amp;TEXT(1797-3,"0000")&amp;"-"&amp;TEXT(TODAY(),"YYYYMMDD"))</f>
        <v/>
      </c>
      <c r="C1797" s="40" t="str">
        <f>IF(Agent09_Withdrawals!A204="","",Agent09_Withdrawals!B204)</f>
        <v/>
      </c>
      <c r="D1797" s="43" t="str">
        <f>IF(Agent09_Withdrawals!A204="","",Agent09_Withdrawals!C204)</f>
        <v/>
      </c>
      <c r="E1797" s="41" t="str">
        <f>IF(Agent09_Withdrawals!A204="","",Agent09_Withdrawals!D204)</f>
        <v/>
      </c>
      <c r="F1797" s="40" t="str">
        <f>IF(Agent09_Withdrawals!A204="","",Agent09_Withdrawals!F204)</f>
        <v/>
      </c>
      <c r="G1797" s="42" t="str">
        <f>IF(Agent09_Withdrawals!A204="","",Agent09_Withdrawals!E204)</f>
        <v/>
      </c>
      <c r="H1797" s="42" t="str">
        <f>IF(Agent09_Withdrawals!A204="","",Agent09_Withdrawals!G204)</f>
        <v/>
      </c>
      <c r="I1797" s="40" t="str">
        <f>IF(Agent09_Withdrawals!A204="","",Agent09_Withdrawals!H204)</f>
        <v/>
      </c>
      <c r="J1797" s="40" t="str">
        <f>IF(Agent09_Withdrawals!A204="","",Agent09_Withdrawals!J204)</f>
        <v/>
      </c>
      <c r="K1797" s="40" t="str">
        <f>IF(Agent09_Withdrawals!A204="","",Agent09_Withdrawals!K204)</f>
        <v/>
      </c>
      <c r="L1797" s="40" t="str">
        <f>IF(G1797="","",IF(D1797-G1797&gt;=System_Config!$B$9,"✅ OK","⚠️ BREACH"))</f>
        <v/>
      </c>
      <c r="M1797" s="40" t="str">
        <f>IFERROR(IF(Agent09_Withdrawals!A204="","",YEAR(Agent09_Withdrawals!D204)),"")</f>
        <v/>
      </c>
    </row>
    <row r="1798" spans="1:13" ht="18" customHeight="1" x14ac:dyDescent="0.25">
      <c r="A1798" s="40" t="str">
        <f>IF(Agent09_Withdrawals!A205="","",Agent09_Withdrawals!A205)</f>
        <v/>
      </c>
      <c r="B1798" s="40" t="str">
        <f ca="1">IF(Agent09_Withdrawals!A205="","","WD"&amp;TEXT(1798-3,"0000")&amp;"-"&amp;TEXT(TODAY(),"YYYYMMDD"))</f>
        <v/>
      </c>
      <c r="C1798" s="40" t="str">
        <f>IF(Agent09_Withdrawals!A205="","",Agent09_Withdrawals!B205)</f>
        <v/>
      </c>
      <c r="D1798" s="43" t="str">
        <f>IF(Agent09_Withdrawals!A205="","",Agent09_Withdrawals!C205)</f>
        <v/>
      </c>
      <c r="E1798" s="41" t="str">
        <f>IF(Agent09_Withdrawals!A205="","",Agent09_Withdrawals!D205)</f>
        <v/>
      </c>
      <c r="F1798" s="40" t="str">
        <f>IF(Agent09_Withdrawals!A205="","",Agent09_Withdrawals!F205)</f>
        <v/>
      </c>
      <c r="G1798" s="42" t="str">
        <f>IF(Agent09_Withdrawals!A205="","",Agent09_Withdrawals!E205)</f>
        <v/>
      </c>
      <c r="H1798" s="42" t="str">
        <f>IF(Agent09_Withdrawals!A205="","",Agent09_Withdrawals!G205)</f>
        <v/>
      </c>
      <c r="I1798" s="40" t="str">
        <f>IF(Agent09_Withdrawals!A205="","",Agent09_Withdrawals!H205)</f>
        <v/>
      </c>
      <c r="J1798" s="40" t="str">
        <f>IF(Agent09_Withdrawals!A205="","",Agent09_Withdrawals!J205)</f>
        <v/>
      </c>
      <c r="K1798" s="40" t="str">
        <f>IF(Agent09_Withdrawals!A205="","",Agent09_Withdrawals!K205)</f>
        <v/>
      </c>
      <c r="L1798" s="40" t="str">
        <f>IF(G1798="","",IF(D1798-G1798&gt;=System_Config!$B$9,"✅ OK","⚠️ BREACH"))</f>
        <v/>
      </c>
      <c r="M1798" s="40" t="str">
        <f>IFERROR(IF(Agent09_Withdrawals!A205="","",YEAR(Agent09_Withdrawals!D205)),"")</f>
        <v/>
      </c>
    </row>
    <row r="1799" spans="1:13" ht="18" customHeight="1" x14ac:dyDescent="0.25">
      <c r="A1799" s="40" t="str">
        <f>IF(Agent09_Withdrawals!A206="","",Agent09_Withdrawals!A206)</f>
        <v/>
      </c>
      <c r="B1799" s="40" t="str">
        <f ca="1">IF(Agent09_Withdrawals!A206="","","WD"&amp;TEXT(1799-3,"0000")&amp;"-"&amp;TEXT(TODAY(),"YYYYMMDD"))</f>
        <v/>
      </c>
      <c r="C1799" s="40" t="str">
        <f>IF(Agent09_Withdrawals!A206="","",Agent09_Withdrawals!B206)</f>
        <v/>
      </c>
      <c r="D1799" s="43" t="str">
        <f>IF(Agent09_Withdrawals!A206="","",Agent09_Withdrawals!C206)</f>
        <v/>
      </c>
      <c r="E1799" s="41" t="str">
        <f>IF(Agent09_Withdrawals!A206="","",Agent09_Withdrawals!D206)</f>
        <v/>
      </c>
      <c r="F1799" s="40" t="str">
        <f>IF(Agent09_Withdrawals!A206="","",Agent09_Withdrawals!F206)</f>
        <v/>
      </c>
      <c r="G1799" s="42" t="str">
        <f>IF(Agent09_Withdrawals!A206="","",Agent09_Withdrawals!E206)</f>
        <v/>
      </c>
      <c r="H1799" s="42" t="str">
        <f>IF(Agent09_Withdrawals!A206="","",Agent09_Withdrawals!G206)</f>
        <v/>
      </c>
      <c r="I1799" s="40" t="str">
        <f>IF(Agent09_Withdrawals!A206="","",Agent09_Withdrawals!H206)</f>
        <v/>
      </c>
      <c r="J1799" s="40" t="str">
        <f>IF(Agent09_Withdrawals!A206="","",Agent09_Withdrawals!J206)</f>
        <v/>
      </c>
      <c r="K1799" s="40" t="str">
        <f>IF(Agent09_Withdrawals!A206="","",Agent09_Withdrawals!K206)</f>
        <v/>
      </c>
      <c r="L1799" s="40" t="str">
        <f>IF(G1799="","",IF(D1799-G1799&gt;=System_Config!$B$9,"✅ OK","⚠️ BREACH"))</f>
        <v/>
      </c>
      <c r="M1799" s="40" t="str">
        <f>IFERROR(IF(Agent09_Withdrawals!A206="","",YEAR(Agent09_Withdrawals!D206)),"")</f>
        <v/>
      </c>
    </row>
    <row r="1800" spans="1:13" ht="18" customHeight="1" x14ac:dyDescent="0.25">
      <c r="A1800" s="40" t="str">
        <f>IF(Agent09_Withdrawals!A207="","",Agent09_Withdrawals!A207)</f>
        <v/>
      </c>
      <c r="B1800" s="40" t="str">
        <f ca="1">IF(Agent09_Withdrawals!A207="","","WD"&amp;TEXT(1800-3,"0000")&amp;"-"&amp;TEXT(TODAY(),"YYYYMMDD"))</f>
        <v/>
      </c>
      <c r="C1800" s="40" t="str">
        <f>IF(Agent09_Withdrawals!A207="","",Agent09_Withdrawals!B207)</f>
        <v/>
      </c>
      <c r="D1800" s="43" t="str">
        <f>IF(Agent09_Withdrawals!A207="","",Agent09_Withdrawals!C207)</f>
        <v/>
      </c>
      <c r="E1800" s="41" t="str">
        <f>IF(Agent09_Withdrawals!A207="","",Agent09_Withdrawals!D207)</f>
        <v/>
      </c>
      <c r="F1800" s="40" t="str">
        <f>IF(Agent09_Withdrawals!A207="","",Agent09_Withdrawals!F207)</f>
        <v/>
      </c>
      <c r="G1800" s="42" t="str">
        <f>IF(Agent09_Withdrawals!A207="","",Agent09_Withdrawals!E207)</f>
        <v/>
      </c>
      <c r="H1800" s="42" t="str">
        <f>IF(Agent09_Withdrawals!A207="","",Agent09_Withdrawals!G207)</f>
        <v/>
      </c>
      <c r="I1800" s="40" t="str">
        <f>IF(Agent09_Withdrawals!A207="","",Agent09_Withdrawals!H207)</f>
        <v/>
      </c>
      <c r="J1800" s="40" t="str">
        <f>IF(Agent09_Withdrawals!A207="","",Agent09_Withdrawals!J207)</f>
        <v/>
      </c>
      <c r="K1800" s="40" t="str">
        <f>IF(Agent09_Withdrawals!A207="","",Agent09_Withdrawals!K207)</f>
        <v/>
      </c>
      <c r="L1800" s="40" t="str">
        <f>IF(G1800="","",IF(D1800-G1800&gt;=System_Config!$B$9,"✅ OK","⚠️ BREACH"))</f>
        <v/>
      </c>
      <c r="M1800" s="40" t="str">
        <f>IFERROR(IF(Agent09_Withdrawals!A207="","",YEAR(Agent09_Withdrawals!D207)),"")</f>
        <v/>
      </c>
    </row>
    <row r="1801" spans="1:13" ht="18" customHeight="1" x14ac:dyDescent="0.25">
      <c r="A1801" s="40" t="str">
        <f>IF(Agent09_Withdrawals!A208="","",Agent09_Withdrawals!A208)</f>
        <v/>
      </c>
      <c r="B1801" s="40" t="str">
        <f ca="1">IF(Agent09_Withdrawals!A208="","","WD"&amp;TEXT(1801-3,"0000")&amp;"-"&amp;TEXT(TODAY(),"YYYYMMDD"))</f>
        <v/>
      </c>
      <c r="C1801" s="40" t="str">
        <f>IF(Agent09_Withdrawals!A208="","",Agent09_Withdrawals!B208)</f>
        <v/>
      </c>
      <c r="D1801" s="43" t="str">
        <f>IF(Agent09_Withdrawals!A208="","",Agent09_Withdrawals!C208)</f>
        <v/>
      </c>
      <c r="E1801" s="41" t="str">
        <f>IF(Agent09_Withdrawals!A208="","",Agent09_Withdrawals!D208)</f>
        <v/>
      </c>
      <c r="F1801" s="40" t="str">
        <f>IF(Agent09_Withdrawals!A208="","",Agent09_Withdrawals!F208)</f>
        <v/>
      </c>
      <c r="G1801" s="42" t="str">
        <f>IF(Agent09_Withdrawals!A208="","",Agent09_Withdrawals!E208)</f>
        <v/>
      </c>
      <c r="H1801" s="42" t="str">
        <f>IF(Agent09_Withdrawals!A208="","",Agent09_Withdrawals!G208)</f>
        <v/>
      </c>
      <c r="I1801" s="40" t="str">
        <f>IF(Agent09_Withdrawals!A208="","",Agent09_Withdrawals!H208)</f>
        <v/>
      </c>
      <c r="J1801" s="40" t="str">
        <f>IF(Agent09_Withdrawals!A208="","",Agent09_Withdrawals!J208)</f>
        <v/>
      </c>
      <c r="K1801" s="40" t="str">
        <f>IF(Agent09_Withdrawals!A208="","",Agent09_Withdrawals!K208)</f>
        <v/>
      </c>
      <c r="L1801" s="40" t="str">
        <f>IF(G1801="","",IF(D1801-G1801&gt;=System_Config!$B$9,"✅ OK","⚠️ BREACH"))</f>
        <v/>
      </c>
      <c r="M1801" s="40" t="str">
        <f>IFERROR(IF(Agent09_Withdrawals!A208="","",YEAR(Agent09_Withdrawals!D208)),"")</f>
        <v/>
      </c>
    </row>
    <row r="1802" spans="1:13" ht="18" customHeight="1" x14ac:dyDescent="0.25">
      <c r="A1802" s="40" t="str">
        <f>IF(Agent09_Withdrawals!A209="","",Agent09_Withdrawals!A209)</f>
        <v/>
      </c>
      <c r="B1802" s="40" t="str">
        <f ca="1">IF(Agent09_Withdrawals!A209="","","WD"&amp;TEXT(1802-3,"0000")&amp;"-"&amp;TEXT(TODAY(),"YYYYMMDD"))</f>
        <v/>
      </c>
      <c r="C1802" s="40" t="str">
        <f>IF(Agent09_Withdrawals!A209="","",Agent09_Withdrawals!B209)</f>
        <v/>
      </c>
      <c r="D1802" s="43" t="str">
        <f>IF(Agent09_Withdrawals!A209="","",Agent09_Withdrawals!C209)</f>
        <v/>
      </c>
      <c r="E1802" s="41" t="str">
        <f>IF(Agent09_Withdrawals!A209="","",Agent09_Withdrawals!D209)</f>
        <v/>
      </c>
      <c r="F1802" s="40" t="str">
        <f>IF(Agent09_Withdrawals!A209="","",Agent09_Withdrawals!F209)</f>
        <v/>
      </c>
      <c r="G1802" s="42" t="str">
        <f>IF(Agent09_Withdrawals!A209="","",Agent09_Withdrawals!E209)</f>
        <v/>
      </c>
      <c r="H1802" s="42" t="str">
        <f>IF(Agent09_Withdrawals!A209="","",Agent09_Withdrawals!G209)</f>
        <v/>
      </c>
      <c r="I1802" s="40" t="str">
        <f>IF(Agent09_Withdrawals!A209="","",Agent09_Withdrawals!H209)</f>
        <v/>
      </c>
      <c r="J1802" s="40" t="str">
        <f>IF(Agent09_Withdrawals!A209="","",Agent09_Withdrawals!J209)</f>
        <v/>
      </c>
      <c r="K1802" s="40" t="str">
        <f>IF(Agent09_Withdrawals!A209="","",Agent09_Withdrawals!K209)</f>
        <v/>
      </c>
      <c r="L1802" s="40" t="str">
        <f>IF(G1802="","",IF(D1802-G1802&gt;=System_Config!$B$9,"✅ OK","⚠️ BREACH"))</f>
        <v/>
      </c>
      <c r="M1802" s="40" t="str">
        <f>IFERROR(IF(Agent09_Withdrawals!A209="","",YEAR(Agent09_Withdrawals!D209)),"")</f>
        <v/>
      </c>
    </row>
    <row r="1803" spans="1:13" ht="18" customHeight="1" x14ac:dyDescent="0.25">
      <c r="A1803" s="40" t="str">
        <f>IF(Agent09_Withdrawals!A210="","",Agent09_Withdrawals!A210)</f>
        <v/>
      </c>
      <c r="B1803" s="40" t="str">
        <f ca="1">IF(Agent09_Withdrawals!A210="","","WD"&amp;TEXT(1803-3,"0000")&amp;"-"&amp;TEXT(TODAY(),"YYYYMMDD"))</f>
        <v/>
      </c>
      <c r="C1803" s="40" t="str">
        <f>IF(Agent09_Withdrawals!A210="","",Agent09_Withdrawals!B210)</f>
        <v/>
      </c>
      <c r="D1803" s="43" t="str">
        <f>IF(Agent09_Withdrawals!A210="","",Agent09_Withdrawals!C210)</f>
        <v/>
      </c>
      <c r="E1803" s="41" t="str">
        <f>IF(Agent09_Withdrawals!A210="","",Agent09_Withdrawals!D210)</f>
        <v/>
      </c>
      <c r="F1803" s="40" t="str">
        <f>IF(Agent09_Withdrawals!A210="","",Agent09_Withdrawals!F210)</f>
        <v/>
      </c>
      <c r="G1803" s="42" t="str">
        <f>IF(Agent09_Withdrawals!A210="","",Agent09_Withdrawals!E210)</f>
        <v/>
      </c>
      <c r="H1803" s="42" t="str">
        <f>IF(Agent09_Withdrawals!A210="","",Agent09_Withdrawals!G210)</f>
        <v/>
      </c>
      <c r="I1803" s="40" t="str">
        <f>IF(Agent09_Withdrawals!A210="","",Agent09_Withdrawals!H210)</f>
        <v/>
      </c>
      <c r="J1803" s="40" t="str">
        <f>IF(Agent09_Withdrawals!A210="","",Agent09_Withdrawals!J210)</f>
        <v/>
      </c>
      <c r="K1803" s="40" t="str">
        <f>IF(Agent09_Withdrawals!A210="","",Agent09_Withdrawals!K210)</f>
        <v/>
      </c>
      <c r="L1803" s="40" t="str">
        <f>IF(G1803="","",IF(D1803-G1803&gt;=System_Config!$B$9,"✅ OK","⚠️ BREACH"))</f>
        <v/>
      </c>
      <c r="M1803" s="40" t="str">
        <f>IFERROR(IF(Agent09_Withdrawals!A210="","",YEAR(Agent09_Withdrawals!D210)),"")</f>
        <v/>
      </c>
    </row>
    <row r="1804" spans="1:13" ht="18" customHeight="1" x14ac:dyDescent="0.25">
      <c r="A1804" s="40" t="str">
        <f>IF(Agent10_Withdrawals!A11="","",Agent10_Withdrawals!A11)</f>
        <v/>
      </c>
      <c r="B1804" s="40" t="str">
        <f ca="1">IF(Agent10_Withdrawals!A11="","","WD"&amp;TEXT(1804-3,"0000")&amp;"-"&amp;TEXT(TODAY(),"YYYYMMDD"))</f>
        <v/>
      </c>
      <c r="C1804" s="40" t="str">
        <f>IF(Agent10_Withdrawals!A11="","",Agent10_Withdrawals!B11)</f>
        <v/>
      </c>
      <c r="D1804" s="43" t="str">
        <f>IF(Agent10_Withdrawals!A11="","",Agent10_Withdrawals!C11)</f>
        <v/>
      </c>
      <c r="E1804" s="41" t="str">
        <f>IF(Agent10_Withdrawals!A11="","",Agent10_Withdrawals!D11)</f>
        <v/>
      </c>
      <c r="F1804" s="40" t="str">
        <f>IF(Agent10_Withdrawals!A11="","",Agent10_Withdrawals!F11)</f>
        <v/>
      </c>
      <c r="G1804" s="42" t="str">
        <f>IF(Agent10_Withdrawals!A11="","",Agent10_Withdrawals!E11)</f>
        <v/>
      </c>
      <c r="H1804" s="42" t="str">
        <f>IF(Agent10_Withdrawals!A11="","",Agent10_Withdrawals!G11)</f>
        <v/>
      </c>
      <c r="I1804" s="40" t="str">
        <f>IF(Agent10_Withdrawals!A11="","",Agent10_Withdrawals!H11)</f>
        <v/>
      </c>
      <c r="J1804" s="40" t="str">
        <f>IF(Agent10_Withdrawals!A11="","",Agent10_Withdrawals!J11)</f>
        <v/>
      </c>
      <c r="K1804" s="40" t="str">
        <f>IF(Agent10_Withdrawals!A11="","",Agent10_Withdrawals!K11)</f>
        <v/>
      </c>
      <c r="L1804" s="40" t="str">
        <f>IF(G1804="","",IF(D1804-G1804&gt;=System_Config!$B$9,"✅ OK","⚠️ BREACH"))</f>
        <v/>
      </c>
      <c r="M1804" s="40" t="str">
        <f>IFERROR(IF(Agent10_Withdrawals!A11="","",YEAR(Agent10_Withdrawals!D11)),"")</f>
        <v/>
      </c>
    </row>
    <row r="1805" spans="1:13" ht="18" customHeight="1" x14ac:dyDescent="0.25">
      <c r="A1805" s="40" t="str">
        <f>IF(Agent10_Withdrawals!A12="","",Agent10_Withdrawals!A12)</f>
        <v/>
      </c>
      <c r="B1805" s="40" t="str">
        <f ca="1">IF(Agent10_Withdrawals!A12="","","WD"&amp;TEXT(1805-3,"0000")&amp;"-"&amp;TEXT(TODAY(),"YYYYMMDD"))</f>
        <v/>
      </c>
      <c r="C1805" s="40" t="str">
        <f>IF(Agent10_Withdrawals!A12="","",Agent10_Withdrawals!B12)</f>
        <v/>
      </c>
      <c r="D1805" s="43" t="str">
        <f>IF(Agent10_Withdrawals!A12="","",Agent10_Withdrawals!C12)</f>
        <v/>
      </c>
      <c r="E1805" s="41" t="str">
        <f>IF(Agent10_Withdrawals!A12="","",Agent10_Withdrawals!D12)</f>
        <v/>
      </c>
      <c r="F1805" s="40" t="str">
        <f>IF(Agent10_Withdrawals!A12="","",Agent10_Withdrawals!F12)</f>
        <v/>
      </c>
      <c r="G1805" s="42" t="str">
        <f>IF(Agent10_Withdrawals!A12="","",Agent10_Withdrawals!E12)</f>
        <v/>
      </c>
      <c r="H1805" s="42" t="str">
        <f>IF(Agent10_Withdrawals!A12="","",Agent10_Withdrawals!G12)</f>
        <v/>
      </c>
      <c r="I1805" s="40" t="str">
        <f>IF(Agent10_Withdrawals!A12="","",Agent10_Withdrawals!H12)</f>
        <v/>
      </c>
      <c r="J1805" s="40" t="str">
        <f>IF(Agent10_Withdrawals!A12="","",Agent10_Withdrawals!J12)</f>
        <v/>
      </c>
      <c r="K1805" s="40" t="str">
        <f>IF(Agent10_Withdrawals!A12="","",Agent10_Withdrawals!K12)</f>
        <v/>
      </c>
      <c r="L1805" s="40" t="str">
        <f>IF(G1805="","",IF(D1805-G1805&gt;=System_Config!$B$9,"✅ OK","⚠️ BREACH"))</f>
        <v/>
      </c>
      <c r="M1805" s="40" t="str">
        <f>IFERROR(IF(Agent10_Withdrawals!A12="","",YEAR(Agent10_Withdrawals!D12)),"")</f>
        <v/>
      </c>
    </row>
    <row r="1806" spans="1:13" ht="18" customHeight="1" x14ac:dyDescent="0.25">
      <c r="A1806" s="40" t="str">
        <f>IF(Agent10_Withdrawals!A13="","",Agent10_Withdrawals!A13)</f>
        <v/>
      </c>
      <c r="B1806" s="40" t="str">
        <f ca="1">IF(Agent10_Withdrawals!A13="","","WD"&amp;TEXT(1806-3,"0000")&amp;"-"&amp;TEXT(TODAY(),"YYYYMMDD"))</f>
        <v/>
      </c>
      <c r="C1806" s="40" t="str">
        <f>IF(Agent10_Withdrawals!A13="","",Agent10_Withdrawals!B13)</f>
        <v/>
      </c>
      <c r="D1806" s="43" t="str">
        <f>IF(Agent10_Withdrawals!A13="","",Agent10_Withdrawals!C13)</f>
        <v/>
      </c>
      <c r="E1806" s="41" t="str">
        <f>IF(Agent10_Withdrawals!A13="","",Agent10_Withdrawals!D13)</f>
        <v/>
      </c>
      <c r="F1806" s="40" t="str">
        <f>IF(Agent10_Withdrawals!A13="","",Agent10_Withdrawals!F13)</f>
        <v/>
      </c>
      <c r="G1806" s="42" t="str">
        <f>IF(Agent10_Withdrawals!A13="","",Agent10_Withdrawals!E13)</f>
        <v/>
      </c>
      <c r="H1806" s="42" t="str">
        <f>IF(Agent10_Withdrawals!A13="","",Agent10_Withdrawals!G13)</f>
        <v/>
      </c>
      <c r="I1806" s="40" t="str">
        <f>IF(Agent10_Withdrawals!A13="","",Agent10_Withdrawals!H13)</f>
        <v/>
      </c>
      <c r="J1806" s="40" t="str">
        <f>IF(Agent10_Withdrawals!A13="","",Agent10_Withdrawals!J13)</f>
        <v/>
      </c>
      <c r="K1806" s="40" t="str">
        <f>IF(Agent10_Withdrawals!A13="","",Agent10_Withdrawals!K13)</f>
        <v/>
      </c>
      <c r="L1806" s="40" t="str">
        <f>IF(G1806="","",IF(D1806-G1806&gt;=System_Config!$B$9,"✅ OK","⚠️ BREACH"))</f>
        <v/>
      </c>
      <c r="M1806" s="40" t="str">
        <f>IFERROR(IF(Agent10_Withdrawals!A13="","",YEAR(Agent10_Withdrawals!D13)),"")</f>
        <v/>
      </c>
    </row>
    <row r="1807" spans="1:13" ht="18" customHeight="1" x14ac:dyDescent="0.25">
      <c r="A1807" s="40" t="str">
        <f>IF(Agent10_Withdrawals!A14="","",Agent10_Withdrawals!A14)</f>
        <v/>
      </c>
      <c r="B1807" s="40" t="str">
        <f ca="1">IF(Agent10_Withdrawals!A14="","","WD"&amp;TEXT(1807-3,"0000")&amp;"-"&amp;TEXT(TODAY(),"YYYYMMDD"))</f>
        <v/>
      </c>
      <c r="C1807" s="40" t="str">
        <f>IF(Agent10_Withdrawals!A14="","",Agent10_Withdrawals!B14)</f>
        <v/>
      </c>
      <c r="D1807" s="43" t="str">
        <f>IF(Agent10_Withdrawals!A14="","",Agent10_Withdrawals!C14)</f>
        <v/>
      </c>
      <c r="E1807" s="41" t="str">
        <f>IF(Agent10_Withdrawals!A14="","",Agent10_Withdrawals!D14)</f>
        <v/>
      </c>
      <c r="F1807" s="40" t="str">
        <f>IF(Agent10_Withdrawals!A14="","",Agent10_Withdrawals!F14)</f>
        <v/>
      </c>
      <c r="G1807" s="42" t="str">
        <f>IF(Agent10_Withdrawals!A14="","",Agent10_Withdrawals!E14)</f>
        <v/>
      </c>
      <c r="H1807" s="42" t="str">
        <f>IF(Agent10_Withdrawals!A14="","",Agent10_Withdrawals!G14)</f>
        <v/>
      </c>
      <c r="I1807" s="40" t="str">
        <f>IF(Agent10_Withdrawals!A14="","",Agent10_Withdrawals!H14)</f>
        <v/>
      </c>
      <c r="J1807" s="40" t="str">
        <f>IF(Agent10_Withdrawals!A14="","",Agent10_Withdrawals!J14)</f>
        <v/>
      </c>
      <c r="K1807" s="40" t="str">
        <f>IF(Agent10_Withdrawals!A14="","",Agent10_Withdrawals!K14)</f>
        <v/>
      </c>
      <c r="L1807" s="40" t="str">
        <f>IF(G1807="","",IF(D1807-G1807&gt;=System_Config!$B$9,"✅ OK","⚠️ BREACH"))</f>
        <v/>
      </c>
      <c r="M1807" s="40" t="str">
        <f>IFERROR(IF(Agent10_Withdrawals!A14="","",YEAR(Agent10_Withdrawals!D14)),"")</f>
        <v/>
      </c>
    </row>
    <row r="1808" spans="1:13" ht="18" customHeight="1" x14ac:dyDescent="0.25">
      <c r="A1808" s="40" t="str">
        <f>IF(Agent10_Withdrawals!A15="","",Agent10_Withdrawals!A15)</f>
        <v/>
      </c>
      <c r="B1808" s="40" t="str">
        <f ca="1">IF(Agent10_Withdrawals!A15="","","WD"&amp;TEXT(1808-3,"0000")&amp;"-"&amp;TEXT(TODAY(),"YYYYMMDD"))</f>
        <v/>
      </c>
      <c r="C1808" s="40" t="str">
        <f>IF(Agent10_Withdrawals!A15="","",Agent10_Withdrawals!B15)</f>
        <v/>
      </c>
      <c r="D1808" s="43" t="str">
        <f>IF(Agent10_Withdrawals!A15="","",Agent10_Withdrawals!C15)</f>
        <v/>
      </c>
      <c r="E1808" s="41" t="str">
        <f>IF(Agent10_Withdrawals!A15="","",Agent10_Withdrawals!D15)</f>
        <v/>
      </c>
      <c r="F1808" s="40" t="str">
        <f>IF(Agent10_Withdrawals!A15="","",Agent10_Withdrawals!F15)</f>
        <v/>
      </c>
      <c r="G1808" s="42" t="str">
        <f>IF(Agent10_Withdrawals!A15="","",Agent10_Withdrawals!E15)</f>
        <v/>
      </c>
      <c r="H1808" s="42" t="str">
        <f>IF(Agent10_Withdrawals!A15="","",Agent10_Withdrawals!G15)</f>
        <v/>
      </c>
      <c r="I1808" s="40" t="str">
        <f>IF(Agent10_Withdrawals!A15="","",Agent10_Withdrawals!H15)</f>
        <v/>
      </c>
      <c r="J1808" s="40" t="str">
        <f>IF(Agent10_Withdrawals!A15="","",Agent10_Withdrawals!J15)</f>
        <v/>
      </c>
      <c r="K1808" s="40" t="str">
        <f>IF(Agent10_Withdrawals!A15="","",Agent10_Withdrawals!K15)</f>
        <v/>
      </c>
      <c r="L1808" s="40" t="str">
        <f>IF(G1808="","",IF(D1808-G1808&gt;=System_Config!$B$9,"✅ OK","⚠️ BREACH"))</f>
        <v/>
      </c>
      <c r="M1808" s="40" t="str">
        <f>IFERROR(IF(Agent10_Withdrawals!A15="","",YEAR(Agent10_Withdrawals!D15)),"")</f>
        <v/>
      </c>
    </row>
    <row r="1809" spans="1:13" ht="18" customHeight="1" x14ac:dyDescent="0.25">
      <c r="A1809" s="40" t="str">
        <f>IF(Agent10_Withdrawals!A16="","",Agent10_Withdrawals!A16)</f>
        <v/>
      </c>
      <c r="B1809" s="40" t="str">
        <f ca="1">IF(Agent10_Withdrawals!A16="","","WD"&amp;TEXT(1809-3,"0000")&amp;"-"&amp;TEXT(TODAY(),"YYYYMMDD"))</f>
        <v/>
      </c>
      <c r="C1809" s="40" t="str">
        <f>IF(Agent10_Withdrawals!A16="","",Agent10_Withdrawals!B16)</f>
        <v/>
      </c>
      <c r="D1809" s="43" t="str">
        <f>IF(Agent10_Withdrawals!A16="","",Agent10_Withdrawals!C16)</f>
        <v/>
      </c>
      <c r="E1809" s="41" t="str">
        <f>IF(Agent10_Withdrawals!A16="","",Agent10_Withdrawals!D16)</f>
        <v/>
      </c>
      <c r="F1809" s="40" t="str">
        <f>IF(Agent10_Withdrawals!A16="","",Agent10_Withdrawals!F16)</f>
        <v/>
      </c>
      <c r="G1809" s="42" t="str">
        <f>IF(Agent10_Withdrawals!A16="","",Agent10_Withdrawals!E16)</f>
        <v/>
      </c>
      <c r="H1809" s="42" t="str">
        <f>IF(Agent10_Withdrawals!A16="","",Agent10_Withdrawals!G16)</f>
        <v/>
      </c>
      <c r="I1809" s="40" t="str">
        <f>IF(Agent10_Withdrawals!A16="","",Agent10_Withdrawals!H16)</f>
        <v/>
      </c>
      <c r="J1809" s="40" t="str">
        <f>IF(Agent10_Withdrawals!A16="","",Agent10_Withdrawals!J16)</f>
        <v/>
      </c>
      <c r="K1809" s="40" t="str">
        <f>IF(Agent10_Withdrawals!A16="","",Agent10_Withdrawals!K16)</f>
        <v/>
      </c>
      <c r="L1809" s="40" t="str">
        <f>IF(G1809="","",IF(D1809-G1809&gt;=System_Config!$B$9,"✅ OK","⚠️ BREACH"))</f>
        <v/>
      </c>
      <c r="M1809" s="40" t="str">
        <f>IFERROR(IF(Agent10_Withdrawals!A16="","",YEAR(Agent10_Withdrawals!D16)),"")</f>
        <v/>
      </c>
    </row>
    <row r="1810" spans="1:13" ht="18" customHeight="1" x14ac:dyDescent="0.25">
      <c r="A1810" s="40" t="str">
        <f>IF(Agent10_Withdrawals!A17="","",Agent10_Withdrawals!A17)</f>
        <v/>
      </c>
      <c r="B1810" s="40" t="str">
        <f ca="1">IF(Agent10_Withdrawals!A17="","","WD"&amp;TEXT(1810-3,"0000")&amp;"-"&amp;TEXT(TODAY(),"YYYYMMDD"))</f>
        <v/>
      </c>
      <c r="C1810" s="40" t="str">
        <f>IF(Agent10_Withdrawals!A17="","",Agent10_Withdrawals!B17)</f>
        <v/>
      </c>
      <c r="D1810" s="43" t="str">
        <f>IF(Agent10_Withdrawals!A17="","",Agent10_Withdrawals!C17)</f>
        <v/>
      </c>
      <c r="E1810" s="41" t="str">
        <f>IF(Agent10_Withdrawals!A17="","",Agent10_Withdrawals!D17)</f>
        <v/>
      </c>
      <c r="F1810" s="40" t="str">
        <f>IF(Agent10_Withdrawals!A17="","",Agent10_Withdrawals!F17)</f>
        <v/>
      </c>
      <c r="G1810" s="42" t="str">
        <f>IF(Agent10_Withdrawals!A17="","",Agent10_Withdrawals!E17)</f>
        <v/>
      </c>
      <c r="H1810" s="42" t="str">
        <f>IF(Agent10_Withdrawals!A17="","",Agent10_Withdrawals!G17)</f>
        <v/>
      </c>
      <c r="I1810" s="40" t="str">
        <f>IF(Agent10_Withdrawals!A17="","",Agent10_Withdrawals!H17)</f>
        <v/>
      </c>
      <c r="J1810" s="40" t="str">
        <f>IF(Agent10_Withdrawals!A17="","",Agent10_Withdrawals!J17)</f>
        <v/>
      </c>
      <c r="K1810" s="40" t="str">
        <f>IF(Agent10_Withdrawals!A17="","",Agent10_Withdrawals!K17)</f>
        <v/>
      </c>
      <c r="L1810" s="40" t="str">
        <f>IF(G1810="","",IF(D1810-G1810&gt;=System_Config!$B$9,"✅ OK","⚠️ BREACH"))</f>
        <v/>
      </c>
      <c r="M1810" s="40" t="str">
        <f>IFERROR(IF(Agent10_Withdrawals!A17="","",YEAR(Agent10_Withdrawals!D17)),"")</f>
        <v/>
      </c>
    </row>
    <row r="1811" spans="1:13" ht="18" customHeight="1" x14ac:dyDescent="0.25">
      <c r="A1811" s="40" t="str">
        <f>IF(Agent10_Withdrawals!A18="","",Agent10_Withdrawals!A18)</f>
        <v/>
      </c>
      <c r="B1811" s="40" t="str">
        <f ca="1">IF(Agent10_Withdrawals!A18="","","WD"&amp;TEXT(1811-3,"0000")&amp;"-"&amp;TEXT(TODAY(),"YYYYMMDD"))</f>
        <v/>
      </c>
      <c r="C1811" s="40" t="str">
        <f>IF(Agent10_Withdrawals!A18="","",Agent10_Withdrawals!B18)</f>
        <v/>
      </c>
      <c r="D1811" s="43" t="str">
        <f>IF(Agent10_Withdrawals!A18="","",Agent10_Withdrawals!C18)</f>
        <v/>
      </c>
      <c r="E1811" s="41" t="str">
        <f>IF(Agent10_Withdrawals!A18="","",Agent10_Withdrawals!D18)</f>
        <v/>
      </c>
      <c r="F1811" s="40" t="str">
        <f>IF(Agent10_Withdrawals!A18="","",Agent10_Withdrawals!F18)</f>
        <v/>
      </c>
      <c r="G1811" s="42" t="str">
        <f>IF(Agent10_Withdrawals!A18="","",Agent10_Withdrawals!E18)</f>
        <v/>
      </c>
      <c r="H1811" s="42" t="str">
        <f>IF(Agent10_Withdrawals!A18="","",Agent10_Withdrawals!G18)</f>
        <v/>
      </c>
      <c r="I1811" s="40" t="str">
        <f>IF(Agent10_Withdrawals!A18="","",Agent10_Withdrawals!H18)</f>
        <v/>
      </c>
      <c r="J1811" s="40" t="str">
        <f>IF(Agent10_Withdrawals!A18="","",Agent10_Withdrawals!J18)</f>
        <v/>
      </c>
      <c r="K1811" s="40" t="str">
        <f>IF(Agent10_Withdrawals!A18="","",Agent10_Withdrawals!K18)</f>
        <v/>
      </c>
      <c r="L1811" s="40" t="str">
        <f>IF(G1811="","",IF(D1811-G1811&gt;=System_Config!$B$9,"✅ OK","⚠️ BREACH"))</f>
        <v/>
      </c>
      <c r="M1811" s="40" t="str">
        <f>IFERROR(IF(Agent10_Withdrawals!A18="","",YEAR(Agent10_Withdrawals!D18)),"")</f>
        <v/>
      </c>
    </row>
    <row r="1812" spans="1:13" ht="18" customHeight="1" x14ac:dyDescent="0.25">
      <c r="A1812" s="40" t="str">
        <f>IF(Agent10_Withdrawals!A19="","",Agent10_Withdrawals!A19)</f>
        <v/>
      </c>
      <c r="B1812" s="40" t="str">
        <f ca="1">IF(Agent10_Withdrawals!A19="","","WD"&amp;TEXT(1812-3,"0000")&amp;"-"&amp;TEXT(TODAY(),"YYYYMMDD"))</f>
        <v/>
      </c>
      <c r="C1812" s="40" t="str">
        <f>IF(Agent10_Withdrawals!A19="","",Agent10_Withdrawals!B19)</f>
        <v/>
      </c>
      <c r="D1812" s="43" t="str">
        <f>IF(Agent10_Withdrawals!A19="","",Agent10_Withdrawals!C19)</f>
        <v/>
      </c>
      <c r="E1812" s="41" t="str">
        <f>IF(Agent10_Withdrawals!A19="","",Agent10_Withdrawals!D19)</f>
        <v/>
      </c>
      <c r="F1812" s="40" t="str">
        <f>IF(Agent10_Withdrawals!A19="","",Agent10_Withdrawals!F19)</f>
        <v/>
      </c>
      <c r="G1812" s="42" t="str">
        <f>IF(Agent10_Withdrawals!A19="","",Agent10_Withdrawals!E19)</f>
        <v/>
      </c>
      <c r="H1812" s="42" t="str">
        <f>IF(Agent10_Withdrawals!A19="","",Agent10_Withdrawals!G19)</f>
        <v/>
      </c>
      <c r="I1812" s="40" t="str">
        <f>IF(Agent10_Withdrawals!A19="","",Agent10_Withdrawals!H19)</f>
        <v/>
      </c>
      <c r="J1812" s="40" t="str">
        <f>IF(Agent10_Withdrawals!A19="","",Agent10_Withdrawals!J19)</f>
        <v/>
      </c>
      <c r="K1812" s="40" t="str">
        <f>IF(Agent10_Withdrawals!A19="","",Agent10_Withdrawals!K19)</f>
        <v/>
      </c>
      <c r="L1812" s="40" t="str">
        <f>IF(G1812="","",IF(D1812-G1812&gt;=System_Config!$B$9,"✅ OK","⚠️ BREACH"))</f>
        <v/>
      </c>
      <c r="M1812" s="40" t="str">
        <f>IFERROR(IF(Agent10_Withdrawals!A19="","",YEAR(Agent10_Withdrawals!D19)),"")</f>
        <v/>
      </c>
    </row>
    <row r="1813" spans="1:13" ht="18" customHeight="1" x14ac:dyDescent="0.25">
      <c r="A1813" s="40" t="str">
        <f>IF(Agent10_Withdrawals!A20="","",Agent10_Withdrawals!A20)</f>
        <v/>
      </c>
      <c r="B1813" s="40" t="str">
        <f ca="1">IF(Agent10_Withdrawals!A20="","","WD"&amp;TEXT(1813-3,"0000")&amp;"-"&amp;TEXT(TODAY(),"YYYYMMDD"))</f>
        <v/>
      </c>
      <c r="C1813" s="40" t="str">
        <f>IF(Agent10_Withdrawals!A20="","",Agent10_Withdrawals!B20)</f>
        <v/>
      </c>
      <c r="D1813" s="43" t="str">
        <f>IF(Agent10_Withdrawals!A20="","",Agent10_Withdrawals!C20)</f>
        <v/>
      </c>
      <c r="E1813" s="41" t="str">
        <f>IF(Agent10_Withdrawals!A20="","",Agent10_Withdrawals!D20)</f>
        <v/>
      </c>
      <c r="F1813" s="40" t="str">
        <f>IF(Agent10_Withdrawals!A20="","",Agent10_Withdrawals!F20)</f>
        <v/>
      </c>
      <c r="G1813" s="42" t="str">
        <f>IF(Agent10_Withdrawals!A20="","",Agent10_Withdrawals!E20)</f>
        <v/>
      </c>
      <c r="H1813" s="42" t="str">
        <f>IF(Agent10_Withdrawals!A20="","",Agent10_Withdrawals!G20)</f>
        <v/>
      </c>
      <c r="I1813" s="40" t="str">
        <f>IF(Agent10_Withdrawals!A20="","",Agent10_Withdrawals!H20)</f>
        <v/>
      </c>
      <c r="J1813" s="40" t="str">
        <f>IF(Agent10_Withdrawals!A20="","",Agent10_Withdrawals!J20)</f>
        <v/>
      </c>
      <c r="K1813" s="40" t="str">
        <f>IF(Agent10_Withdrawals!A20="","",Agent10_Withdrawals!K20)</f>
        <v/>
      </c>
      <c r="L1813" s="40" t="str">
        <f>IF(G1813="","",IF(D1813-G1813&gt;=System_Config!$B$9,"✅ OK","⚠️ BREACH"))</f>
        <v/>
      </c>
      <c r="M1813" s="40" t="str">
        <f>IFERROR(IF(Agent10_Withdrawals!A20="","",YEAR(Agent10_Withdrawals!D20)),"")</f>
        <v/>
      </c>
    </row>
    <row r="1814" spans="1:13" ht="18" customHeight="1" x14ac:dyDescent="0.25">
      <c r="A1814" s="40" t="str">
        <f>IF(Agent10_Withdrawals!A21="","",Agent10_Withdrawals!A21)</f>
        <v/>
      </c>
      <c r="B1814" s="40" t="str">
        <f ca="1">IF(Agent10_Withdrawals!A21="","","WD"&amp;TEXT(1814-3,"0000")&amp;"-"&amp;TEXT(TODAY(),"YYYYMMDD"))</f>
        <v/>
      </c>
      <c r="C1814" s="40" t="str">
        <f>IF(Agent10_Withdrawals!A21="","",Agent10_Withdrawals!B21)</f>
        <v/>
      </c>
      <c r="D1814" s="43" t="str">
        <f>IF(Agent10_Withdrawals!A21="","",Agent10_Withdrawals!C21)</f>
        <v/>
      </c>
      <c r="E1814" s="41" t="str">
        <f>IF(Agent10_Withdrawals!A21="","",Agent10_Withdrawals!D21)</f>
        <v/>
      </c>
      <c r="F1814" s="40" t="str">
        <f>IF(Agent10_Withdrawals!A21="","",Agent10_Withdrawals!F21)</f>
        <v/>
      </c>
      <c r="G1814" s="42" t="str">
        <f>IF(Agent10_Withdrawals!A21="","",Agent10_Withdrawals!E21)</f>
        <v/>
      </c>
      <c r="H1814" s="42" t="str">
        <f>IF(Agent10_Withdrawals!A21="","",Agent10_Withdrawals!G21)</f>
        <v/>
      </c>
      <c r="I1814" s="40" t="str">
        <f>IF(Agent10_Withdrawals!A21="","",Agent10_Withdrawals!H21)</f>
        <v/>
      </c>
      <c r="J1814" s="40" t="str">
        <f>IF(Agent10_Withdrawals!A21="","",Agent10_Withdrawals!J21)</f>
        <v/>
      </c>
      <c r="K1814" s="40" t="str">
        <f>IF(Agent10_Withdrawals!A21="","",Agent10_Withdrawals!K21)</f>
        <v/>
      </c>
      <c r="L1814" s="40" t="str">
        <f>IF(G1814="","",IF(D1814-G1814&gt;=System_Config!$B$9,"✅ OK","⚠️ BREACH"))</f>
        <v/>
      </c>
      <c r="M1814" s="40" t="str">
        <f>IFERROR(IF(Agent10_Withdrawals!A21="","",YEAR(Agent10_Withdrawals!D21)),"")</f>
        <v/>
      </c>
    </row>
    <row r="1815" spans="1:13" ht="18" customHeight="1" x14ac:dyDescent="0.25">
      <c r="A1815" s="40" t="str">
        <f>IF(Agent10_Withdrawals!A22="","",Agent10_Withdrawals!A22)</f>
        <v/>
      </c>
      <c r="B1815" s="40" t="str">
        <f ca="1">IF(Agent10_Withdrawals!A22="","","WD"&amp;TEXT(1815-3,"0000")&amp;"-"&amp;TEXT(TODAY(),"YYYYMMDD"))</f>
        <v/>
      </c>
      <c r="C1815" s="40" t="str">
        <f>IF(Agent10_Withdrawals!A22="","",Agent10_Withdrawals!B22)</f>
        <v/>
      </c>
      <c r="D1815" s="43" t="str">
        <f>IF(Agent10_Withdrawals!A22="","",Agent10_Withdrawals!C22)</f>
        <v/>
      </c>
      <c r="E1815" s="41" t="str">
        <f>IF(Agent10_Withdrawals!A22="","",Agent10_Withdrawals!D22)</f>
        <v/>
      </c>
      <c r="F1815" s="40" t="str">
        <f>IF(Agent10_Withdrawals!A22="","",Agent10_Withdrawals!F22)</f>
        <v/>
      </c>
      <c r="G1815" s="42" t="str">
        <f>IF(Agent10_Withdrawals!A22="","",Agent10_Withdrawals!E22)</f>
        <v/>
      </c>
      <c r="H1815" s="42" t="str">
        <f>IF(Agent10_Withdrawals!A22="","",Agent10_Withdrawals!G22)</f>
        <v/>
      </c>
      <c r="I1815" s="40" t="str">
        <f>IF(Agent10_Withdrawals!A22="","",Agent10_Withdrawals!H22)</f>
        <v/>
      </c>
      <c r="J1815" s="40" t="str">
        <f>IF(Agent10_Withdrawals!A22="","",Agent10_Withdrawals!J22)</f>
        <v/>
      </c>
      <c r="K1815" s="40" t="str">
        <f>IF(Agent10_Withdrawals!A22="","",Agent10_Withdrawals!K22)</f>
        <v/>
      </c>
      <c r="L1815" s="40" t="str">
        <f>IF(G1815="","",IF(D1815-G1815&gt;=System_Config!$B$9,"✅ OK","⚠️ BREACH"))</f>
        <v/>
      </c>
      <c r="M1815" s="40" t="str">
        <f>IFERROR(IF(Agent10_Withdrawals!A22="","",YEAR(Agent10_Withdrawals!D22)),"")</f>
        <v/>
      </c>
    </row>
    <row r="1816" spans="1:13" ht="18" customHeight="1" x14ac:dyDescent="0.25">
      <c r="A1816" s="40" t="str">
        <f>IF(Agent10_Withdrawals!A23="","",Agent10_Withdrawals!A23)</f>
        <v/>
      </c>
      <c r="B1816" s="40" t="str">
        <f ca="1">IF(Agent10_Withdrawals!A23="","","WD"&amp;TEXT(1816-3,"0000")&amp;"-"&amp;TEXT(TODAY(),"YYYYMMDD"))</f>
        <v/>
      </c>
      <c r="C1816" s="40" t="str">
        <f>IF(Agent10_Withdrawals!A23="","",Agent10_Withdrawals!B23)</f>
        <v/>
      </c>
      <c r="D1816" s="43" t="str">
        <f>IF(Agent10_Withdrawals!A23="","",Agent10_Withdrawals!C23)</f>
        <v/>
      </c>
      <c r="E1816" s="41" t="str">
        <f>IF(Agent10_Withdrawals!A23="","",Agent10_Withdrawals!D23)</f>
        <v/>
      </c>
      <c r="F1816" s="40" t="str">
        <f>IF(Agent10_Withdrawals!A23="","",Agent10_Withdrawals!F23)</f>
        <v/>
      </c>
      <c r="G1816" s="42" t="str">
        <f>IF(Agent10_Withdrawals!A23="","",Agent10_Withdrawals!E23)</f>
        <v/>
      </c>
      <c r="H1816" s="42" t="str">
        <f>IF(Agent10_Withdrawals!A23="","",Agent10_Withdrawals!G23)</f>
        <v/>
      </c>
      <c r="I1816" s="40" t="str">
        <f>IF(Agent10_Withdrawals!A23="","",Agent10_Withdrawals!H23)</f>
        <v/>
      </c>
      <c r="J1816" s="40" t="str">
        <f>IF(Agent10_Withdrawals!A23="","",Agent10_Withdrawals!J23)</f>
        <v/>
      </c>
      <c r="K1816" s="40" t="str">
        <f>IF(Agent10_Withdrawals!A23="","",Agent10_Withdrawals!K23)</f>
        <v/>
      </c>
      <c r="L1816" s="40" t="str">
        <f>IF(G1816="","",IF(D1816-G1816&gt;=System_Config!$B$9,"✅ OK","⚠️ BREACH"))</f>
        <v/>
      </c>
      <c r="M1816" s="40" t="str">
        <f>IFERROR(IF(Agent10_Withdrawals!A23="","",YEAR(Agent10_Withdrawals!D23)),"")</f>
        <v/>
      </c>
    </row>
    <row r="1817" spans="1:13" ht="18" customHeight="1" x14ac:dyDescent="0.25">
      <c r="A1817" s="40" t="str">
        <f>IF(Agent10_Withdrawals!A24="","",Agent10_Withdrawals!A24)</f>
        <v/>
      </c>
      <c r="B1817" s="40" t="str">
        <f ca="1">IF(Agent10_Withdrawals!A24="","","WD"&amp;TEXT(1817-3,"0000")&amp;"-"&amp;TEXT(TODAY(),"YYYYMMDD"))</f>
        <v/>
      </c>
      <c r="C1817" s="40" t="str">
        <f>IF(Agent10_Withdrawals!A24="","",Agent10_Withdrawals!B24)</f>
        <v/>
      </c>
      <c r="D1817" s="43" t="str">
        <f>IF(Agent10_Withdrawals!A24="","",Agent10_Withdrawals!C24)</f>
        <v/>
      </c>
      <c r="E1817" s="41" t="str">
        <f>IF(Agent10_Withdrawals!A24="","",Agent10_Withdrawals!D24)</f>
        <v/>
      </c>
      <c r="F1817" s="40" t="str">
        <f>IF(Agent10_Withdrawals!A24="","",Agent10_Withdrawals!F24)</f>
        <v/>
      </c>
      <c r="G1817" s="42" t="str">
        <f>IF(Agent10_Withdrawals!A24="","",Agent10_Withdrawals!E24)</f>
        <v/>
      </c>
      <c r="H1817" s="42" t="str">
        <f>IF(Agent10_Withdrawals!A24="","",Agent10_Withdrawals!G24)</f>
        <v/>
      </c>
      <c r="I1817" s="40" t="str">
        <f>IF(Agent10_Withdrawals!A24="","",Agent10_Withdrawals!H24)</f>
        <v/>
      </c>
      <c r="J1817" s="40" t="str">
        <f>IF(Agent10_Withdrawals!A24="","",Agent10_Withdrawals!J24)</f>
        <v/>
      </c>
      <c r="K1817" s="40" t="str">
        <f>IF(Agent10_Withdrawals!A24="","",Agent10_Withdrawals!K24)</f>
        <v/>
      </c>
      <c r="L1817" s="40" t="str">
        <f>IF(G1817="","",IF(D1817-G1817&gt;=System_Config!$B$9,"✅ OK","⚠️ BREACH"))</f>
        <v/>
      </c>
      <c r="M1817" s="40" t="str">
        <f>IFERROR(IF(Agent10_Withdrawals!A24="","",YEAR(Agent10_Withdrawals!D24)),"")</f>
        <v/>
      </c>
    </row>
    <row r="1818" spans="1:13" ht="18" customHeight="1" x14ac:dyDescent="0.25">
      <c r="A1818" s="40" t="str">
        <f>IF(Agent10_Withdrawals!A25="","",Agent10_Withdrawals!A25)</f>
        <v/>
      </c>
      <c r="B1818" s="40" t="str">
        <f ca="1">IF(Agent10_Withdrawals!A25="","","WD"&amp;TEXT(1818-3,"0000")&amp;"-"&amp;TEXT(TODAY(),"YYYYMMDD"))</f>
        <v/>
      </c>
      <c r="C1818" s="40" t="str">
        <f>IF(Agent10_Withdrawals!A25="","",Agent10_Withdrawals!B25)</f>
        <v/>
      </c>
      <c r="D1818" s="43" t="str">
        <f>IF(Agent10_Withdrawals!A25="","",Agent10_Withdrawals!C25)</f>
        <v/>
      </c>
      <c r="E1818" s="41" t="str">
        <f>IF(Agent10_Withdrawals!A25="","",Agent10_Withdrawals!D25)</f>
        <v/>
      </c>
      <c r="F1818" s="40" t="str">
        <f>IF(Agent10_Withdrawals!A25="","",Agent10_Withdrawals!F25)</f>
        <v/>
      </c>
      <c r="G1818" s="42" t="str">
        <f>IF(Agent10_Withdrawals!A25="","",Agent10_Withdrawals!E25)</f>
        <v/>
      </c>
      <c r="H1818" s="42" t="str">
        <f>IF(Agent10_Withdrawals!A25="","",Agent10_Withdrawals!G25)</f>
        <v/>
      </c>
      <c r="I1818" s="40" t="str">
        <f>IF(Agent10_Withdrawals!A25="","",Agent10_Withdrawals!H25)</f>
        <v/>
      </c>
      <c r="J1818" s="40" t="str">
        <f>IF(Agent10_Withdrawals!A25="","",Agent10_Withdrawals!J25)</f>
        <v/>
      </c>
      <c r="K1818" s="40" t="str">
        <f>IF(Agent10_Withdrawals!A25="","",Agent10_Withdrawals!K25)</f>
        <v/>
      </c>
      <c r="L1818" s="40" t="str">
        <f>IF(G1818="","",IF(D1818-G1818&gt;=System_Config!$B$9,"✅ OK","⚠️ BREACH"))</f>
        <v/>
      </c>
      <c r="M1818" s="40" t="str">
        <f>IFERROR(IF(Agent10_Withdrawals!A25="","",YEAR(Agent10_Withdrawals!D25)),"")</f>
        <v/>
      </c>
    </row>
    <row r="1819" spans="1:13" ht="18" customHeight="1" x14ac:dyDescent="0.25">
      <c r="A1819" s="40" t="str">
        <f>IF(Agent10_Withdrawals!A26="","",Agent10_Withdrawals!A26)</f>
        <v/>
      </c>
      <c r="B1819" s="40" t="str">
        <f ca="1">IF(Agent10_Withdrawals!A26="","","WD"&amp;TEXT(1819-3,"0000")&amp;"-"&amp;TEXT(TODAY(),"YYYYMMDD"))</f>
        <v/>
      </c>
      <c r="C1819" s="40" t="str">
        <f>IF(Agent10_Withdrawals!A26="","",Agent10_Withdrawals!B26)</f>
        <v/>
      </c>
      <c r="D1819" s="43" t="str">
        <f>IF(Agent10_Withdrawals!A26="","",Agent10_Withdrawals!C26)</f>
        <v/>
      </c>
      <c r="E1819" s="41" t="str">
        <f>IF(Agent10_Withdrawals!A26="","",Agent10_Withdrawals!D26)</f>
        <v/>
      </c>
      <c r="F1819" s="40" t="str">
        <f>IF(Agent10_Withdrawals!A26="","",Agent10_Withdrawals!F26)</f>
        <v/>
      </c>
      <c r="G1819" s="42" t="str">
        <f>IF(Agent10_Withdrawals!A26="","",Agent10_Withdrawals!E26)</f>
        <v/>
      </c>
      <c r="H1819" s="42" t="str">
        <f>IF(Agent10_Withdrawals!A26="","",Agent10_Withdrawals!G26)</f>
        <v/>
      </c>
      <c r="I1819" s="40" t="str">
        <f>IF(Agent10_Withdrawals!A26="","",Agent10_Withdrawals!H26)</f>
        <v/>
      </c>
      <c r="J1819" s="40" t="str">
        <f>IF(Agent10_Withdrawals!A26="","",Agent10_Withdrawals!J26)</f>
        <v/>
      </c>
      <c r="K1819" s="40" t="str">
        <f>IF(Agent10_Withdrawals!A26="","",Agent10_Withdrawals!K26)</f>
        <v/>
      </c>
      <c r="L1819" s="40" t="str">
        <f>IF(G1819="","",IF(D1819-G1819&gt;=System_Config!$B$9,"✅ OK","⚠️ BREACH"))</f>
        <v/>
      </c>
      <c r="M1819" s="40" t="str">
        <f>IFERROR(IF(Agent10_Withdrawals!A26="","",YEAR(Agent10_Withdrawals!D26)),"")</f>
        <v/>
      </c>
    </row>
    <row r="1820" spans="1:13" ht="18" customHeight="1" x14ac:dyDescent="0.25">
      <c r="A1820" s="40" t="str">
        <f>IF(Agent10_Withdrawals!A27="","",Agent10_Withdrawals!A27)</f>
        <v/>
      </c>
      <c r="B1820" s="40" t="str">
        <f ca="1">IF(Agent10_Withdrawals!A27="","","WD"&amp;TEXT(1820-3,"0000")&amp;"-"&amp;TEXT(TODAY(),"YYYYMMDD"))</f>
        <v/>
      </c>
      <c r="C1820" s="40" t="str">
        <f>IF(Agent10_Withdrawals!A27="","",Agent10_Withdrawals!B27)</f>
        <v/>
      </c>
      <c r="D1820" s="43" t="str">
        <f>IF(Agent10_Withdrawals!A27="","",Agent10_Withdrawals!C27)</f>
        <v/>
      </c>
      <c r="E1820" s="41" t="str">
        <f>IF(Agent10_Withdrawals!A27="","",Agent10_Withdrawals!D27)</f>
        <v/>
      </c>
      <c r="F1820" s="40" t="str">
        <f>IF(Agent10_Withdrawals!A27="","",Agent10_Withdrawals!F27)</f>
        <v/>
      </c>
      <c r="G1820" s="42" t="str">
        <f>IF(Agent10_Withdrawals!A27="","",Agent10_Withdrawals!E27)</f>
        <v/>
      </c>
      <c r="H1820" s="42" t="str">
        <f>IF(Agent10_Withdrawals!A27="","",Agent10_Withdrawals!G27)</f>
        <v/>
      </c>
      <c r="I1820" s="40" t="str">
        <f>IF(Agent10_Withdrawals!A27="","",Agent10_Withdrawals!H27)</f>
        <v/>
      </c>
      <c r="J1820" s="40" t="str">
        <f>IF(Agent10_Withdrawals!A27="","",Agent10_Withdrawals!J27)</f>
        <v/>
      </c>
      <c r="K1820" s="40" t="str">
        <f>IF(Agent10_Withdrawals!A27="","",Agent10_Withdrawals!K27)</f>
        <v/>
      </c>
      <c r="L1820" s="40" t="str">
        <f>IF(G1820="","",IF(D1820-G1820&gt;=System_Config!$B$9,"✅ OK","⚠️ BREACH"))</f>
        <v/>
      </c>
      <c r="M1820" s="40" t="str">
        <f>IFERROR(IF(Agent10_Withdrawals!A27="","",YEAR(Agent10_Withdrawals!D27)),"")</f>
        <v/>
      </c>
    </row>
    <row r="1821" spans="1:13" ht="18" customHeight="1" x14ac:dyDescent="0.25">
      <c r="A1821" s="40" t="str">
        <f>IF(Agent10_Withdrawals!A28="","",Agent10_Withdrawals!A28)</f>
        <v/>
      </c>
      <c r="B1821" s="40" t="str">
        <f ca="1">IF(Agent10_Withdrawals!A28="","","WD"&amp;TEXT(1821-3,"0000")&amp;"-"&amp;TEXT(TODAY(),"YYYYMMDD"))</f>
        <v/>
      </c>
      <c r="C1821" s="40" t="str">
        <f>IF(Agent10_Withdrawals!A28="","",Agent10_Withdrawals!B28)</f>
        <v/>
      </c>
      <c r="D1821" s="43" t="str">
        <f>IF(Agent10_Withdrawals!A28="","",Agent10_Withdrawals!C28)</f>
        <v/>
      </c>
      <c r="E1821" s="41" t="str">
        <f>IF(Agent10_Withdrawals!A28="","",Agent10_Withdrawals!D28)</f>
        <v/>
      </c>
      <c r="F1821" s="40" t="str">
        <f>IF(Agent10_Withdrawals!A28="","",Agent10_Withdrawals!F28)</f>
        <v/>
      </c>
      <c r="G1821" s="42" t="str">
        <f>IF(Agent10_Withdrawals!A28="","",Agent10_Withdrawals!E28)</f>
        <v/>
      </c>
      <c r="H1821" s="42" t="str">
        <f>IF(Agent10_Withdrawals!A28="","",Agent10_Withdrawals!G28)</f>
        <v/>
      </c>
      <c r="I1821" s="40" t="str">
        <f>IF(Agent10_Withdrawals!A28="","",Agent10_Withdrawals!H28)</f>
        <v/>
      </c>
      <c r="J1821" s="40" t="str">
        <f>IF(Agent10_Withdrawals!A28="","",Agent10_Withdrawals!J28)</f>
        <v/>
      </c>
      <c r="K1821" s="40" t="str">
        <f>IF(Agent10_Withdrawals!A28="","",Agent10_Withdrawals!K28)</f>
        <v/>
      </c>
      <c r="L1821" s="40" t="str">
        <f>IF(G1821="","",IF(D1821-G1821&gt;=System_Config!$B$9,"✅ OK","⚠️ BREACH"))</f>
        <v/>
      </c>
      <c r="M1821" s="40" t="str">
        <f>IFERROR(IF(Agent10_Withdrawals!A28="","",YEAR(Agent10_Withdrawals!D28)),"")</f>
        <v/>
      </c>
    </row>
    <row r="1822" spans="1:13" ht="18" customHeight="1" x14ac:dyDescent="0.25">
      <c r="A1822" s="40" t="str">
        <f>IF(Agent10_Withdrawals!A29="","",Agent10_Withdrawals!A29)</f>
        <v/>
      </c>
      <c r="B1822" s="40" t="str">
        <f ca="1">IF(Agent10_Withdrawals!A29="","","WD"&amp;TEXT(1822-3,"0000")&amp;"-"&amp;TEXT(TODAY(),"YYYYMMDD"))</f>
        <v/>
      </c>
      <c r="C1822" s="40" t="str">
        <f>IF(Agent10_Withdrawals!A29="","",Agent10_Withdrawals!B29)</f>
        <v/>
      </c>
      <c r="D1822" s="43" t="str">
        <f>IF(Agent10_Withdrawals!A29="","",Agent10_Withdrawals!C29)</f>
        <v/>
      </c>
      <c r="E1822" s="41" t="str">
        <f>IF(Agent10_Withdrawals!A29="","",Agent10_Withdrawals!D29)</f>
        <v/>
      </c>
      <c r="F1822" s="40" t="str">
        <f>IF(Agent10_Withdrawals!A29="","",Agent10_Withdrawals!F29)</f>
        <v/>
      </c>
      <c r="G1822" s="42" t="str">
        <f>IF(Agent10_Withdrawals!A29="","",Agent10_Withdrawals!E29)</f>
        <v/>
      </c>
      <c r="H1822" s="42" t="str">
        <f>IF(Agent10_Withdrawals!A29="","",Agent10_Withdrawals!G29)</f>
        <v/>
      </c>
      <c r="I1822" s="40" t="str">
        <f>IF(Agent10_Withdrawals!A29="","",Agent10_Withdrawals!H29)</f>
        <v/>
      </c>
      <c r="J1822" s="40" t="str">
        <f>IF(Agent10_Withdrawals!A29="","",Agent10_Withdrawals!J29)</f>
        <v/>
      </c>
      <c r="K1822" s="40" t="str">
        <f>IF(Agent10_Withdrawals!A29="","",Agent10_Withdrawals!K29)</f>
        <v/>
      </c>
      <c r="L1822" s="40" t="str">
        <f>IF(G1822="","",IF(D1822-G1822&gt;=System_Config!$B$9,"✅ OK","⚠️ BREACH"))</f>
        <v/>
      </c>
      <c r="M1822" s="40" t="str">
        <f>IFERROR(IF(Agent10_Withdrawals!A29="","",YEAR(Agent10_Withdrawals!D29)),"")</f>
        <v/>
      </c>
    </row>
    <row r="1823" spans="1:13" ht="18" customHeight="1" x14ac:dyDescent="0.25">
      <c r="A1823" s="40" t="str">
        <f>IF(Agent10_Withdrawals!A30="","",Agent10_Withdrawals!A30)</f>
        <v/>
      </c>
      <c r="B1823" s="40" t="str">
        <f ca="1">IF(Agent10_Withdrawals!A30="","","WD"&amp;TEXT(1823-3,"0000")&amp;"-"&amp;TEXT(TODAY(),"YYYYMMDD"))</f>
        <v/>
      </c>
      <c r="C1823" s="40" t="str">
        <f>IF(Agent10_Withdrawals!A30="","",Agent10_Withdrawals!B30)</f>
        <v/>
      </c>
      <c r="D1823" s="43" t="str">
        <f>IF(Agent10_Withdrawals!A30="","",Agent10_Withdrawals!C30)</f>
        <v/>
      </c>
      <c r="E1823" s="41" t="str">
        <f>IF(Agent10_Withdrawals!A30="","",Agent10_Withdrawals!D30)</f>
        <v/>
      </c>
      <c r="F1823" s="40" t="str">
        <f>IF(Agent10_Withdrawals!A30="","",Agent10_Withdrawals!F30)</f>
        <v/>
      </c>
      <c r="G1823" s="42" t="str">
        <f>IF(Agent10_Withdrawals!A30="","",Agent10_Withdrawals!E30)</f>
        <v/>
      </c>
      <c r="H1823" s="42" t="str">
        <f>IF(Agent10_Withdrawals!A30="","",Agent10_Withdrawals!G30)</f>
        <v/>
      </c>
      <c r="I1823" s="40" t="str">
        <f>IF(Agent10_Withdrawals!A30="","",Agent10_Withdrawals!H30)</f>
        <v/>
      </c>
      <c r="J1823" s="40" t="str">
        <f>IF(Agent10_Withdrawals!A30="","",Agent10_Withdrawals!J30)</f>
        <v/>
      </c>
      <c r="K1823" s="40" t="str">
        <f>IF(Agent10_Withdrawals!A30="","",Agent10_Withdrawals!K30)</f>
        <v/>
      </c>
      <c r="L1823" s="40" t="str">
        <f>IF(G1823="","",IF(D1823-G1823&gt;=System_Config!$B$9,"✅ OK","⚠️ BREACH"))</f>
        <v/>
      </c>
      <c r="M1823" s="40" t="str">
        <f>IFERROR(IF(Agent10_Withdrawals!A30="","",YEAR(Agent10_Withdrawals!D30)),"")</f>
        <v/>
      </c>
    </row>
    <row r="1824" spans="1:13" ht="18" customHeight="1" x14ac:dyDescent="0.25">
      <c r="A1824" s="40" t="str">
        <f>IF(Agent10_Withdrawals!A31="","",Agent10_Withdrawals!A31)</f>
        <v/>
      </c>
      <c r="B1824" s="40" t="str">
        <f ca="1">IF(Agent10_Withdrawals!A31="","","WD"&amp;TEXT(1824-3,"0000")&amp;"-"&amp;TEXT(TODAY(),"YYYYMMDD"))</f>
        <v/>
      </c>
      <c r="C1824" s="40" t="str">
        <f>IF(Agent10_Withdrawals!A31="","",Agent10_Withdrawals!B31)</f>
        <v/>
      </c>
      <c r="D1824" s="43" t="str">
        <f>IF(Agent10_Withdrawals!A31="","",Agent10_Withdrawals!C31)</f>
        <v/>
      </c>
      <c r="E1824" s="41" t="str">
        <f>IF(Agent10_Withdrawals!A31="","",Agent10_Withdrawals!D31)</f>
        <v/>
      </c>
      <c r="F1824" s="40" t="str">
        <f>IF(Agent10_Withdrawals!A31="","",Agent10_Withdrawals!F31)</f>
        <v/>
      </c>
      <c r="G1824" s="42" t="str">
        <f>IF(Agent10_Withdrawals!A31="","",Agent10_Withdrawals!E31)</f>
        <v/>
      </c>
      <c r="H1824" s="42" t="str">
        <f>IF(Agent10_Withdrawals!A31="","",Agent10_Withdrawals!G31)</f>
        <v/>
      </c>
      <c r="I1824" s="40" t="str">
        <f>IF(Agent10_Withdrawals!A31="","",Agent10_Withdrawals!H31)</f>
        <v/>
      </c>
      <c r="J1824" s="40" t="str">
        <f>IF(Agent10_Withdrawals!A31="","",Agent10_Withdrawals!J31)</f>
        <v/>
      </c>
      <c r="K1824" s="40" t="str">
        <f>IF(Agent10_Withdrawals!A31="","",Agent10_Withdrawals!K31)</f>
        <v/>
      </c>
      <c r="L1824" s="40" t="str">
        <f>IF(G1824="","",IF(D1824-G1824&gt;=System_Config!$B$9,"✅ OK","⚠️ BREACH"))</f>
        <v/>
      </c>
      <c r="M1824" s="40" t="str">
        <f>IFERROR(IF(Agent10_Withdrawals!A31="","",YEAR(Agent10_Withdrawals!D31)),"")</f>
        <v/>
      </c>
    </row>
    <row r="1825" spans="1:13" ht="18" customHeight="1" x14ac:dyDescent="0.25">
      <c r="A1825" s="40" t="str">
        <f>IF(Agent10_Withdrawals!A32="","",Agent10_Withdrawals!A32)</f>
        <v/>
      </c>
      <c r="B1825" s="40" t="str">
        <f ca="1">IF(Agent10_Withdrawals!A32="","","WD"&amp;TEXT(1825-3,"0000")&amp;"-"&amp;TEXT(TODAY(),"YYYYMMDD"))</f>
        <v/>
      </c>
      <c r="C1825" s="40" t="str">
        <f>IF(Agent10_Withdrawals!A32="","",Agent10_Withdrawals!B32)</f>
        <v/>
      </c>
      <c r="D1825" s="43" t="str">
        <f>IF(Agent10_Withdrawals!A32="","",Agent10_Withdrawals!C32)</f>
        <v/>
      </c>
      <c r="E1825" s="41" t="str">
        <f>IF(Agent10_Withdrawals!A32="","",Agent10_Withdrawals!D32)</f>
        <v/>
      </c>
      <c r="F1825" s="40" t="str">
        <f>IF(Agent10_Withdrawals!A32="","",Agent10_Withdrawals!F32)</f>
        <v/>
      </c>
      <c r="G1825" s="42" t="str">
        <f>IF(Agent10_Withdrawals!A32="","",Agent10_Withdrawals!E32)</f>
        <v/>
      </c>
      <c r="H1825" s="42" t="str">
        <f>IF(Agent10_Withdrawals!A32="","",Agent10_Withdrawals!G32)</f>
        <v/>
      </c>
      <c r="I1825" s="40" t="str">
        <f>IF(Agent10_Withdrawals!A32="","",Agent10_Withdrawals!H32)</f>
        <v/>
      </c>
      <c r="J1825" s="40" t="str">
        <f>IF(Agent10_Withdrawals!A32="","",Agent10_Withdrawals!J32)</f>
        <v/>
      </c>
      <c r="K1825" s="40" t="str">
        <f>IF(Agent10_Withdrawals!A32="","",Agent10_Withdrawals!K32)</f>
        <v/>
      </c>
      <c r="L1825" s="40" t="str">
        <f>IF(G1825="","",IF(D1825-G1825&gt;=System_Config!$B$9,"✅ OK","⚠️ BREACH"))</f>
        <v/>
      </c>
      <c r="M1825" s="40" t="str">
        <f>IFERROR(IF(Agent10_Withdrawals!A32="","",YEAR(Agent10_Withdrawals!D32)),"")</f>
        <v/>
      </c>
    </row>
    <row r="1826" spans="1:13" ht="18" customHeight="1" x14ac:dyDescent="0.25">
      <c r="A1826" s="40" t="str">
        <f>IF(Agent10_Withdrawals!A33="","",Agent10_Withdrawals!A33)</f>
        <v/>
      </c>
      <c r="B1826" s="40" t="str">
        <f ca="1">IF(Agent10_Withdrawals!A33="","","WD"&amp;TEXT(1826-3,"0000")&amp;"-"&amp;TEXT(TODAY(),"YYYYMMDD"))</f>
        <v/>
      </c>
      <c r="C1826" s="40" t="str">
        <f>IF(Agent10_Withdrawals!A33="","",Agent10_Withdrawals!B33)</f>
        <v/>
      </c>
      <c r="D1826" s="43" t="str">
        <f>IF(Agent10_Withdrawals!A33="","",Agent10_Withdrawals!C33)</f>
        <v/>
      </c>
      <c r="E1826" s="41" t="str">
        <f>IF(Agent10_Withdrawals!A33="","",Agent10_Withdrawals!D33)</f>
        <v/>
      </c>
      <c r="F1826" s="40" t="str">
        <f>IF(Agent10_Withdrawals!A33="","",Agent10_Withdrawals!F33)</f>
        <v/>
      </c>
      <c r="G1826" s="42" t="str">
        <f>IF(Agent10_Withdrawals!A33="","",Agent10_Withdrawals!E33)</f>
        <v/>
      </c>
      <c r="H1826" s="42" t="str">
        <f>IF(Agent10_Withdrawals!A33="","",Agent10_Withdrawals!G33)</f>
        <v/>
      </c>
      <c r="I1826" s="40" t="str">
        <f>IF(Agent10_Withdrawals!A33="","",Agent10_Withdrawals!H33)</f>
        <v/>
      </c>
      <c r="J1826" s="40" t="str">
        <f>IF(Agent10_Withdrawals!A33="","",Agent10_Withdrawals!J33)</f>
        <v/>
      </c>
      <c r="K1826" s="40" t="str">
        <f>IF(Agent10_Withdrawals!A33="","",Agent10_Withdrawals!K33)</f>
        <v/>
      </c>
      <c r="L1826" s="40" t="str">
        <f>IF(G1826="","",IF(D1826-G1826&gt;=System_Config!$B$9,"✅ OK","⚠️ BREACH"))</f>
        <v/>
      </c>
      <c r="M1826" s="40" t="str">
        <f>IFERROR(IF(Agent10_Withdrawals!A33="","",YEAR(Agent10_Withdrawals!D33)),"")</f>
        <v/>
      </c>
    </row>
    <row r="1827" spans="1:13" ht="18" customHeight="1" x14ac:dyDescent="0.25">
      <c r="A1827" s="40" t="str">
        <f>IF(Agent10_Withdrawals!A34="","",Agent10_Withdrawals!A34)</f>
        <v/>
      </c>
      <c r="B1827" s="40" t="str">
        <f ca="1">IF(Agent10_Withdrawals!A34="","","WD"&amp;TEXT(1827-3,"0000")&amp;"-"&amp;TEXT(TODAY(),"YYYYMMDD"))</f>
        <v/>
      </c>
      <c r="C1827" s="40" t="str">
        <f>IF(Agent10_Withdrawals!A34="","",Agent10_Withdrawals!B34)</f>
        <v/>
      </c>
      <c r="D1827" s="43" t="str">
        <f>IF(Agent10_Withdrawals!A34="","",Agent10_Withdrawals!C34)</f>
        <v/>
      </c>
      <c r="E1827" s="41" t="str">
        <f>IF(Agent10_Withdrawals!A34="","",Agent10_Withdrawals!D34)</f>
        <v/>
      </c>
      <c r="F1827" s="40" t="str">
        <f>IF(Agent10_Withdrawals!A34="","",Agent10_Withdrawals!F34)</f>
        <v/>
      </c>
      <c r="G1827" s="42" t="str">
        <f>IF(Agent10_Withdrawals!A34="","",Agent10_Withdrawals!E34)</f>
        <v/>
      </c>
      <c r="H1827" s="42" t="str">
        <f>IF(Agent10_Withdrawals!A34="","",Agent10_Withdrawals!G34)</f>
        <v/>
      </c>
      <c r="I1827" s="40" t="str">
        <f>IF(Agent10_Withdrawals!A34="","",Agent10_Withdrawals!H34)</f>
        <v/>
      </c>
      <c r="J1827" s="40" t="str">
        <f>IF(Agent10_Withdrawals!A34="","",Agent10_Withdrawals!J34)</f>
        <v/>
      </c>
      <c r="K1827" s="40" t="str">
        <f>IF(Agent10_Withdrawals!A34="","",Agent10_Withdrawals!K34)</f>
        <v/>
      </c>
      <c r="L1827" s="40" t="str">
        <f>IF(G1827="","",IF(D1827-G1827&gt;=System_Config!$B$9,"✅ OK","⚠️ BREACH"))</f>
        <v/>
      </c>
      <c r="M1827" s="40" t="str">
        <f>IFERROR(IF(Agent10_Withdrawals!A34="","",YEAR(Agent10_Withdrawals!D34)),"")</f>
        <v/>
      </c>
    </row>
    <row r="1828" spans="1:13" ht="18" customHeight="1" x14ac:dyDescent="0.25">
      <c r="A1828" s="40" t="str">
        <f>IF(Agent10_Withdrawals!A35="","",Agent10_Withdrawals!A35)</f>
        <v/>
      </c>
      <c r="B1828" s="40" t="str">
        <f ca="1">IF(Agent10_Withdrawals!A35="","","WD"&amp;TEXT(1828-3,"0000")&amp;"-"&amp;TEXT(TODAY(),"YYYYMMDD"))</f>
        <v/>
      </c>
      <c r="C1828" s="40" t="str">
        <f>IF(Agent10_Withdrawals!A35="","",Agent10_Withdrawals!B35)</f>
        <v/>
      </c>
      <c r="D1828" s="43" t="str">
        <f>IF(Agent10_Withdrawals!A35="","",Agent10_Withdrawals!C35)</f>
        <v/>
      </c>
      <c r="E1828" s="41" t="str">
        <f>IF(Agent10_Withdrawals!A35="","",Agent10_Withdrawals!D35)</f>
        <v/>
      </c>
      <c r="F1828" s="40" t="str">
        <f>IF(Agent10_Withdrawals!A35="","",Agent10_Withdrawals!F35)</f>
        <v/>
      </c>
      <c r="G1828" s="42" t="str">
        <f>IF(Agent10_Withdrawals!A35="","",Agent10_Withdrawals!E35)</f>
        <v/>
      </c>
      <c r="H1828" s="42" t="str">
        <f>IF(Agent10_Withdrawals!A35="","",Agent10_Withdrawals!G35)</f>
        <v/>
      </c>
      <c r="I1828" s="40" t="str">
        <f>IF(Agent10_Withdrawals!A35="","",Agent10_Withdrawals!H35)</f>
        <v/>
      </c>
      <c r="J1828" s="40" t="str">
        <f>IF(Agent10_Withdrawals!A35="","",Agent10_Withdrawals!J35)</f>
        <v/>
      </c>
      <c r="K1828" s="40" t="str">
        <f>IF(Agent10_Withdrawals!A35="","",Agent10_Withdrawals!K35)</f>
        <v/>
      </c>
      <c r="L1828" s="40" t="str">
        <f>IF(G1828="","",IF(D1828-G1828&gt;=System_Config!$B$9,"✅ OK","⚠️ BREACH"))</f>
        <v/>
      </c>
      <c r="M1828" s="40" t="str">
        <f>IFERROR(IF(Agent10_Withdrawals!A35="","",YEAR(Agent10_Withdrawals!D35)),"")</f>
        <v/>
      </c>
    </row>
    <row r="1829" spans="1:13" ht="18" customHeight="1" x14ac:dyDescent="0.25">
      <c r="A1829" s="40" t="str">
        <f>IF(Agent10_Withdrawals!A36="","",Agent10_Withdrawals!A36)</f>
        <v/>
      </c>
      <c r="B1829" s="40" t="str">
        <f ca="1">IF(Agent10_Withdrawals!A36="","","WD"&amp;TEXT(1829-3,"0000")&amp;"-"&amp;TEXT(TODAY(),"YYYYMMDD"))</f>
        <v/>
      </c>
      <c r="C1829" s="40" t="str">
        <f>IF(Agent10_Withdrawals!A36="","",Agent10_Withdrawals!B36)</f>
        <v/>
      </c>
      <c r="D1829" s="43" t="str">
        <f>IF(Agent10_Withdrawals!A36="","",Agent10_Withdrawals!C36)</f>
        <v/>
      </c>
      <c r="E1829" s="41" t="str">
        <f>IF(Agent10_Withdrawals!A36="","",Agent10_Withdrawals!D36)</f>
        <v/>
      </c>
      <c r="F1829" s="40" t="str">
        <f>IF(Agent10_Withdrawals!A36="","",Agent10_Withdrawals!F36)</f>
        <v/>
      </c>
      <c r="G1829" s="42" t="str">
        <f>IF(Agent10_Withdrawals!A36="","",Agent10_Withdrawals!E36)</f>
        <v/>
      </c>
      <c r="H1829" s="42" t="str">
        <f>IF(Agent10_Withdrawals!A36="","",Agent10_Withdrawals!G36)</f>
        <v/>
      </c>
      <c r="I1829" s="40" t="str">
        <f>IF(Agent10_Withdrawals!A36="","",Agent10_Withdrawals!H36)</f>
        <v/>
      </c>
      <c r="J1829" s="40" t="str">
        <f>IF(Agent10_Withdrawals!A36="","",Agent10_Withdrawals!J36)</f>
        <v/>
      </c>
      <c r="K1829" s="40" t="str">
        <f>IF(Agent10_Withdrawals!A36="","",Agent10_Withdrawals!K36)</f>
        <v/>
      </c>
      <c r="L1829" s="40" t="str">
        <f>IF(G1829="","",IF(D1829-G1829&gt;=System_Config!$B$9,"✅ OK","⚠️ BREACH"))</f>
        <v/>
      </c>
      <c r="M1829" s="40" t="str">
        <f>IFERROR(IF(Agent10_Withdrawals!A36="","",YEAR(Agent10_Withdrawals!D36)),"")</f>
        <v/>
      </c>
    </row>
    <row r="1830" spans="1:13" ht="18" customHeight="1" x14ac:dyDescent="0.25">
      <c r="A1830" s="40" t="str">
        <f>IF(Agent10_Withdrawals!A37="","",Agent10_Withdrawals!A37)</f>
        <v/>
      </c>
      <c r="B1830" s="40" t="str">
        <f ca="1">IF(Agent10_Withdrawals!A37="","","WD"&amp;TEXT(1830-3,"0000")&amp;"-"&amp;TEXT(TODAY(),"YYYYMMDD"))</f>
        <v/>
      </c>
      <c r="C1830" s="40" t="str">
        <f>IF(Agent10_Withdrawals!A37="","",Agent10_Withdrawals!B37)</f>
        <v/>
      </c>
      <c r="D1830" s="43" t="str">
        <f>IF(Agent10_Withdrawals!A37="","",Agent10_Withdrawals!C37)</f>
        <v/>
      </c>
      <c r="E1830" s="41" t="str">
        <f>IF(Agent10_Withdrawals!A37="","",Agent10_Withdrawals!D37)</f>
        <v/>
      </c>
      <c r="F1830" s="40" t="str">
        <f>IF(Agent10_Withdrawals!A37="","",Agent10_Withdrawals!F37)</f>
        <v/>
      </c>
      <c r="G1830" s="42" t="str">
        <f>IF(Agent10_Withdrawals!A37="","",Agent10_Withdrawals!E37)</f>
        <v/>
      </c>
      <c r="H1830" s="42" t="str">
        <f>IF(Agent10_Withdrawals!A37="","",Agent10_Withdrawals!G37)</f>
        <v/>
      </c>
      <c r="I1830" s="40" t="str">
        <f>IF(Agent10_Withdrawals!A37="","",Agent10_Withdrawals!H37)</f>
        <v/>
      </c>
      <c r="J1830" s="40" t="str">
        <f>IF(Agent10_Withdrawals!A37="","",Agent10_Withdrawals!J37)</f>
        <v/>
      </c>
      <c r="K1830" s="40" t="str">
        <f>IF(Agent10_Withdrawals!A37="","",Agent10_Withdrawals!K37)</f>
        <v/>
      </c>
      <c r="L1830" s="40" t="str">
        <f>IF(G1830="","",IF(D1830-G1830&gt;=System_Config!$B$9,"✅ OK","⚠️ BREACH"))</f>
        <v/>
      </c>
      <c r="M1830" s="40" t="str">
        <f>IFERROR(IF(Agent10_Withdrawals!A37="","",YEAR(Agent10_Withdrawals!D37)),"")</f>
        <v/>
      </c>
    </row>
    <row r="1831" spans="1:13" ht="18" customHeight="1" x14ac:dyDescent="0.25">
      <c r="A1831" s="40" t="str">
        <f>IF(Agent10_Withdrawals!A38="","",Agent10_Withdrawals!A38)</f>
        <v/>
      </c>
      <c r="B1831" s="40" t="str">
        <f ca="1">IF(Agent10_Withdrawals!A38="","","WD"&amp;TEXT(1831-3,"0000")&amp;"-"&amp;TEXT(TODAY(),"YYYYMMDD"))</f>
        <v/>
      </c>
      <c r="C1831" s="40" t="str">
        <f>IF(Agent10_Withdrawals!A38="","",Agent10_Withdrawals!B38)</f>
        <v/>
      </c>
      <c r="D1831" s="43" t="str">
        <f>IF(Agent10_Withdrawals!A38="","",Agent10_Withdrawals!C38)</f>
        <v/>
      </c>
      <c r="E1831" s="41" t="str">
        <f>IF(Agent10_Withdrawals!A38="","",Agent10_Withdrawals!D38)</f>
        <v/>
      </c>
      <c r="F1831" s="40" t="str">
        <f>IF(Agent10_Withdrawals!A38="","",Agent10_Withdrawals!F38)</f>
        <v/>
      </c>
      <c r="G1831" s="42" t="str">
        <f>IF(Agent10_Withdrawals!A38="","",Agent10_Withdrawals!E38)</f>
        <v/>
      </c>
      <c r="H1831" s="42" t="str">
        <f>IF(Agent10_Withdrawals!A38="","",Agent10_Withdrawals!G38)</f>
        <v/>
      </c>
      <c r="I1831" s="40" t="str">
        <f>IF(Agent10_Withdrawals!A38="","",Agent10_Withdrawals!H38)</f>
        <v/>
      </c>
      <c r="J1831" s="40" t="str">
        <f>IF(Agent10_Withdrawals!A38="","",Agent10_Withdrawals!J38)</f>
        <v/>
      </c>
      <c r="K1831" s="40" t="str">
        <f>IF(Agent10_Withdrawals!A38="","",Agent10_Withdrawals!K38)</f>
        <v/>
      </c>
      <c r="L1831" s="40" t="str">
        <f>IF(G1831="","",IF(D1831-G1831&gt;=System_Config!$B$9,"✅ OK","⚠️ BREACH"))</f>
        <v/>
      </c>
      <c r="M1831" s="40" t="str">
        <f>IFERROR(IF(Agent10_Withdrawals!A38="","",YEAR(Agent10_Withdrawals!D38)),"")</f>
        <v/>
      </c>
    </row>
    <row r="1832" spans="1:13" ht="18" customHeight="1" x14ac:dyDescent="0.25">
      <c r="A1832" s="40" t="str">
        <f>IF(Agent10_Withdrawals!A39="","",Agent10_Withdrawals!A39)</f>
        <v/>
      </c>
      <c r="B1832" s="40" t="str">
        <f ca="1">IF(Agent10_Withdrawals!A39="","","WD"&amp;TEXT(1832-3,"0000")&amp;"-"&amp;TEXT(TODAY(),"YYYYMMDD"))</f>
        <v/>
      </c>
      <c r="C1832" s="40" t="str">
        <f>IF(Agent10_Withdrawals!A39="","",Agent10_Withdrawals!B39)</f>
        <v/>
      </c>
      <c r="D1832" s="43" t="str">
        <f>IF(Agent10_Withdrawals!A39="","",Agent10_Withdrawals!C39)</f>
        <v/>
      </c>
      <c r="E1832" s="41" t="str">
        <f>IF(Agent10_Withdrawals!A39="","",Agent10_Withdrawals!D39)</f>
        <v/>
      </c>
      <c r="F1832" s="40" t="str">
        <f>IF(Agent10_Withdrawals!A39="","",Agent10_Withdrawals!F39)</f>
        <v/>
      </c>
      <c r="G1832" s="42" t="str">
        <f>IF(Agent10_Withdrawals!A39="","",Agent10_Withdrawals!E39)</f>
        <v/>
      </c>
      <c r="H1832" s="42" t="str">
        <f>IF(Agent10_Withdrawals!A39="","",Agent10_Withdrawals!G39)</f>
        <v/>
      </c>
      <c r="I1832" s="40" t="str">
        <f>IF(Agent10_Withdrawals!A39="","",Agent10_Withdrawals!H39)</f>
        <v/>
      </c>
      <c r="J1832" s="40" t="str">
        <f>IF(Agent10_Withdrawals!A39="","",Agent10_Withdrawals!J39)</f>
        <v/>
      </c>
      <c r="K1832" s="40" t="str">
        <f>IF(Agent10_Withdrawals!A39="","",Agent10_Withdrawals!K39)</f>
        <v/>
      </c>
      <c r="L1832" s="40" t="str">
        <f>IF(G1832="","",IF(D1832-G1832&gt;=System_Config!$B$9,"✅ OK","⚠️ BREACH"))</f>
        <v/>
      </c>
      <c r="M1832" s="40" t="str">
        <f>IFERROR(IF(Agent10_Withdrawals!A39="","",YEAR(Agent10_Withdrawals!D39)),"")</f>
        <v/>
      </c>
    </row>
    <row r="1833" spans="1:13" ht="18" customHeight="1" x14ac:dyDescent="0.25">
      <c r="A1833" s="40" t="str">
        <f>IF(Agent10_Withdrawals!A40="","",Agent10_Withdrawals!A40)</f>
        <v/>
      </c>
      <c r="B1833" s="40" t="str">
        <f ca="1">IF(Agent10_Withdrawals!A40="","","WD"&amp;TEXT(1833-3,"0000")&amp;"-"&amp;TEXT(TODAY(),"YYYYMMDD"))</f>
        <v/>
      </c>
      <c r="C1833" s="40" t="str">
        <f>IF(Agent10_Withdrawals!A40="","",Agent10_Withdrawals!B40)</f>
        <v/>
      </c>
      <c r="D1833" s="43" t="str">
        <f>IF(Agent10_Withdrawals!A40="","",Agent10_Withdrawals!C40)</f>
        <v/>
      </c>
      <c r="E1833" s="41" t="str">
        <f>IF(Agent10_Withdrawals!A40="","",Agent10_Withdrawals!D40)</f>
        <v/>
      </c>
      <c r="F1833" s="40" t="str">
        <f>IF(Agent10_Withdrawals!A40="","",Agent10_Withdrawals!F40)</f>
        <v/>
      </c>
      <c r="G1833" s="42" t="str">
        <f>IF(Agent10_Withdrawals!A40="","",Agent10_Withdrawals!E40)</f>
        <v/>
      </c>
      <c r="H1833" s="42" t="str">
        <f>IF(Agent10_Withdrawals!A40="","",Agent10_Withdrawals!G40)</f>
        <v/>
      </c>
      <c r="I1833" s="40" t="str">
        <f>IF(Agent10_Withdrawals!A40="","",Agent10_Withdrawals!H40)</f>
        <v/>
      </c>
      <c r="J1833" s="40" t="str">
        <f>IF(Agent10_Withdrawals!A40="","",Agent10_Withdrawals!J40)</f>
        <v/>
      </c>
      <c r="K1833" s="40" t="str">
        <f>IF(Agent10_Withdrawals!A40="","",Agent10_Withdrawals!K40)</f>
        <v/>
      </c>
      <c r="L1833" s="40" t="str">
        <f>IF(G1833="","",IF(D1833-G1833&gt;=System_Config!$B$9,"✅ OK","⚠️ BREACH"))</f>
        <v/>
      </c>
      <c r="M1833" s="40" t="str">
        <f>IFERROR(IF(Agent10_Withdrawals!A40="","",YEAR(Agent10_Withdrawals!D40)),"")</f>
        <v/>
      </c>
    </row>
    <row r="1834" spans="1:13" ht="18" customHeight="1" x14ac:dyDescent="0.25">
      <c r="A1834" s="40" t="str">
        <f>IF(Agent10_Withdrawals!A41="","",Agent10_Withdrawals!A41)</f>
        <v/>
      </c>
      <c r="B1834" s="40" t="str">
        <f ca="1">IF(Agent10_Withdrawals!A41="","","WD"&amp;TEXT(1834-3,"0000")&amp;"-"&amp;TEXT(TODAY(),"YYYYMMDD"))</f>
        <v/>
      </c>
      <c r="C1834" s="40" t="str">
        <f>IF(Agent10_Withdrawals!A41="","",Agent10_Withdrawals!B41)</f>
        <v/>
      </c>
      <c r="D1834" s="43" t="str">
        <f>IF(Agent10_Withdrawals!A41="","",Agent10_Withdrawals!C41)</f>
        <v/>
      </c>
      <c r="E1834" s="41" t="str">
        <f>IF(Agent10_Withdrawals!A41="","",Agent10_Withdrawals!D41)</f>
        <v/>
      </c>
      <c r="F1834" s="40" t="str">
        <f>IF(Agent10_Withdrawals!A41="","",Agent10_Withdrawals!F41)</f>
        <v/>
      </c>
      <c r="G1834" s="42" t="str">
        <f>IF(Agent10_Withdrawals!A41="","",Agent10_Withdrawals!E41)</f>
        <v/>
      </c>
      <c r="H1834" s="42" t="str">
        <f>IF(Agent10_Withdrawals!A41="","",Agent10_Withdrawals!G41)</f>
        <v/>
      </c>
      <c r="I1834" s="40" t="str">
        <f>IF(Agent10_Withdrawals!A41="","",Agent10_Withdrawals!H41)</f>
        <v/>
      </c>
      <c r="J1834" s="40" t="str">
        <f>IF(Agent10_Withdrawals!A41="","",Agent10_Withdrawals!J41)</f>
        <v/>
      </c>
      <c r="K1834" s="40" t="str">
        <f>IF(Agent10_Withdrawals!A41="","",Agent10_Withdrawals!K41)</f>
        <v/>
      </c>
      <c r="L1834" s="40" t="str">
        <f>IF(G1834="","",IF(D1834-G1834&gt;=System_Config!$B$9,"✅ OK","⚠️ BREACH"))</f>
        <v/>
      </c>
      <c r="M1834" s="40" t="str">
        <f>IFERROR(IF(Agent10_Withdrawals!A41="","",YEAR(Agent10_Withdrawals!D41)),"")</f>
        <v/>
      </c>
    </row>
    <row r="1835" spans="1:13" ht="18" customHeight="1" x14ac:dyDescent="0.25">
      <c r="A1835" s="40" t="str">
        <f>IF(Agent10_Withdrawals!A42="","",Agent10_Withdrawals!A42)</f>
        <v/>
      </c>
      <c r="B1835" s="40" t="str">
        <f ca="1">IF(Agent10_Withdrawals!A42="","","WD"&amp;TEXT(1835-3,"0000")&amp;"-"&amp;TEXT(TODAY(),"YYYYMMDD"))</f>
        <v/>
      </c>
      <c r="C1835" s="40" t="str">
        <f>IF(Agent10_Withdrawals!A42="","",Agent10_Withdrawals!B42)</f>
        <v/>
      </c>
      <c r="D1835" s="43" t="str">
        <f>IF(Agent10_Withdrawals!A42="","",Agent10_Withdrawals!C42)</f>
        <v/>
      </c>
      <c r="E1835" s="41" t="str">
        <f>IF(Agent10_Withdrawals!A42="","",Agent10_Withdrawals!D42)</f>
        <v/>
      </c>
      <c r="F1835" s="40" t="str">
        <f>IF(Agent10_Withdrawals!A42="","",Agent10_Withdrawals!F42)</f>
        <v/>
      </c>
      <c r="G1835" s="42" t="str">
        <f>IF(Agent10_Withdrawals!A42="","",Agent10_Withdrawals!E42)</f>
        <v/>
      </c>
      <c r="H1835" s="42" t="str">
        <f>IF(Agent10_Withdrawals!A42="","",Agent10_Withdrawals!G42)</f>
        <v/>
      </c>
      <c r="I1835" s="40" t="str">
        <f>IF(Agent10_Withdrawals!A42="","",Agent10_Withdrawals!H42)</f>
        <v/>
      </c>
      <c r="J1835" s="40" t="str">
        <f>IF(Agent10_Withdrawals!A42="","",Agent10_Withdrawals!J42)</f>
        <v/>
      </c>
      <c r="K1835" s="40" t="str">
        <f>IF(Agent10_Withdrawals!A42="","",Agent10_Withdrawals!K42)</f>
        <v/>
      </c>
      <c r="L1835" s="40" t="str">
        <f>IF(G1835="","",IF(D1835-G1835&gt;=System_Config!$B$9,"✅ OK","⚠️ BREACH"))</f>
        <v/>
      </c>
      <c r="M1835" s="40" t="str">
        <f>IFERROR(IF(Agent10_Withdrawals!A42="","",YEAR(Agent10_Withdrawals!D42)),"")</f>
        <v/>
      </c>
    </row>
    <row r="1836" spans="1:13" ht="18" customHeight="1" x14ac:dyDescent="0.25">
      <c r="A1836" s="40" t="str">
        <f>IF(Agent10_Withdrawals!A43="","",Agent10_Withdrawals!A43)</f>
        <v/>
      </c>
      <c r="B1836" s="40" t="str">
        <f ca="1">IF(Agent10_Withdrawals!A43="","","WD"&amp;TEXT(1836-3,"0000")&amp;"-"&amp;TEXT(TODAY(),"YYYYMMDD"))</f>
        <v/>
      </c>
      <c r="C1836" s="40" t="str">
        <f>IF(Agent10_Withdrawals!A43="","",Agent10_Withdrawals!B43)</f>
        <v/>
      </c>
      <c r="D1836" s="43" t="str">
        <f>IF(Agent10_Withdrawals!A43="","",Agent10_Withdrawals!C43)</f>
        <v/>
      </c>
      <c r="E1836" s="41" t="str">
        <f>IF(Agent10_Withdrawals!A43="","",Agent10_Withdrawals!D43)</f>
        <v/>
      </c>
      <c r="F1836" s="40" t="str">
        <f>IF(Agent10_Withdrawals!A43="","",Agent10_Withdrawals!F43)</f>
        <v/>
      </c>
      <c r="G1836" s="42" t="str">
        <f>IF(Agent10_Withdrawals!A43="","",Agent10_Withdrawals!E43)</f>
        <v/>
      </c>
      <c r="H1836" s="42" t="str">
        <f>IF(Agent10_Withdrawals!A43="","",Agent10_Withdrawals!G43)</f>
        <v/>
      </c>
      <c r="I1836" s="40" t="str">
        <f>IF(Agent10_Withdrawals!A43="","",Agent10_Withdrawals!H43)</f>
        <v/>
      </c>
      <c r="J1836" s="40" t="str">
        <f>IF(Agent10_Withdrawals!A43="","",Agent10_Withdrawals!J43)</f>
        <v/>
      </c>
      <c r="K1836" s="40" t="str">
        <f>IF(Agent10_Withdrawals!A43="","",Agent10_Withdrawals!K43)</f>
        <v/>
      </c>
      <c r="L1836" s="40" t="str">
        <f>IF(G1836="","",IF(D1836-G1836&gt;=System_Config!$B$9,"✅ OK","⚠️ BREACH"))</f>
        <v/>
      </c>
      <c r="M1836" s="40" t="str">
        <f>IFERROR(IF(Agent10_Withdrawals!A43="","",YEAR(Agent10_Withdrawals!D43)),"")</f>
        <v/>
      </c>
    </row>
    <row r="1837" spans="1:13" ht="18" customHeight="1" x14ac:dyDescent="0.25">
      <c r="A1837" s="40" t="str">
        <f>IF(Agent10_Withdrawals!A44="","",Agent10_Withdrawals!A44)</f>
        <v/>
      </c>
      <c r="B1837" s="40" t="str">
        <f ca="1">IF(Agent10_Withdrawals!A44="","","WD"&amp;TEXT(1837-3,"0000")&amp;"-"&amp;TEXT(TODAY(),"YYYYMMDD"))</f>
        <v/>
      </c>
      <c r="C1837" s="40" t="str">
        <f>IF(Agent10_Withdrawals!A44="","",Agent10_Withdrawals!B44)</f>
        <v/>
      </c>
      <c r="D1837" s="43" t="str">
        <f>IF(Agent10_Withdrawals!A44="","",Agent10_Withdrawals!C44)</f>
        <v/>
      </c>
      <c r="E1837" s="41" t="str">
        <f>IF(Agent10_Withdrawals!A44="","",Agent10_Withdrawals!D44)</f>
        <v/>
      </c>
      <c r="F1837" s="40" t="str">
        <f>IF(Agent10_Withdrawals!A44="","",Agent10_Withdrawals!F44)</f>
        <v/>
      </c>
      <c r="G1837" s="42" t="str">
        <f>IF(Agent10_Withdrawals!A44="","",Agent10_Withdrawals!E44)</f>
        <v/>
      </c>
      <c r="H1837" s="42" t="str">
        <f>IF(Agent10_Withdrawals!A44="","",Agent10_Withdrawals!G44)</f>
        <v/>
      </c>
      <c r="I1837" s="40" t="str">
        <f>IF(Agent10_Withdrawals!A44="","",Agent10_Withdrawals!H44)</f>
        <v/>
      </c>
      <c r="J1837" s="40" t="str">
        <f>IF(Agent10_Withdrawals!A44="","",Agent10_Withdrawals!J44)</f>
        <v/>
      </c>
      <c r="K1837" s="40" t="str">
        <f>IF(Agent10_Withdrawals!A44="","",Agent10_Withdrawals!K44)</f>
        <v/>
      </c>
      <c r="L1837" s="40" t="str">
        <f>IF(G1837="","",IF(D1837-G1837&gt;=System_Config!$B$9,"✅ OK","⚠️ BREACH"))</f>
        <v/>
      </c>
      <c r="M1837" s="40" t="str">
        <f>IFERROR(IF(Agent10_Withdrawals!A44="","",YEAR(Agent10_Withdrawals!D44)),"")</f>
        <v/>
      </c>
    </row>
    <row r="1838" spans="1:13" ht="18" customHeight="1" x14ac:dyDescent="0.25">
      <c r="A1838" s="40" t="str">
        <f>IF(Agent10_Withdrawals!A45="","",Agent10_Withdrawals!A45)</f>
        <v/>
      </c>
      <c r="B1838" s="40" t="str">
        <f ca="1">IF(Agent10_Withdrawals!A45="","","WD"&amp;TEXT(1838-3,"0000")&amp;"-"&amp;TEXT(TODAY(),"YYYYMMDD"))</f>
        <v/>
      </c>
      <c r="C1838" s="40" t="str">
        <f>IF(Agent10_Withdrawals!A45="","",Agent10_Withdrawals!B45)</f>
        <v/>
      </c>
      <c r="D1838" s="43" t="str">
        <f>IF(Agent10_Withdrawals!A45="","",Agent10_Withdrawals!C45)</f>
        <v/>
      </c>
      <c r="E1838" s="41" t="str">
        <f>IF(Agent10_Withdrawals!A45="","",Agent10_Withdrawals!D45)</f>
        <v/>
      </c>
      <c r="F1838" s="40" t="str">
        <f>IF(Agent10_Withdrawals!A45="","",Agent10_Withdrawals!F45)</f>
        <v/>
      </c>
      <c r="G1838" s="42" t="str">
        <f>IF(Agent10_Withdrawals!A45="","",Agent10_Withdrawals!E45)</f>
        <v/>
      </c>
      <c r="H1838" s="42" t="str">
        <f>IF(Agent10_Withdrawals!A45="","",Agent10_Withdrawals!G45)</f>
        <v/>
      </c>
      <c r="I1838" s="40" t="str">
        <f>IF(Agent10_Withdrawals!A45="","",Agent10_Withdrawals!H45)</f>
        <v/>
      </c>
      <c r="J1838" s="40" t="str">
        <f>IF(Agent10_Withdrawals!A45="","",Agent10_Withdrawals!J45)</f>
        <v/>
      </c>
      <c r="K1838" s="40" t="str">
        <f>IF(Agent10_Withdrawals!A45="","",Agent10_Withdrawals!K45)</f>
        <v/>
      </c>
      <c r="L1838" s="40" t="str">
        <f>IF(G1838="","",IF(D1838-G1838&gt;=System_Config!$B$9,"✅ OK","⚠️ BREACH"))</f>
        <v/>
      </c>
      <c r="M1838" s="40" t="str">
        <f>IFERROR(IF(Agent10_Withdrawals!A45="","",YEAR(Agent10_Withdrawals!D45)),"")</f>
        <v/>
      </c>
    </row>
    <row r="1839" spans="1:13" ht="18" customHeight="1" x14ac:dyDescent="0.25">
      <c r="A1839" s="40" t="str">
        <f>IF(Agent10_Withdrawals!A46="","",Agent10_Withdrawals!A46)</f>
        <v/>
      </c>
      <c r="B1839" s="40" t="str">
        <f ca="1">IF(Agent10_Withdrawals!A46="","","WD"&amp;TEXT(1839-3,"0000")&amp;"-"&amp;TEXT(TODAY(),"YYYYMMDD"))</f>
        <v/>
      </c>
      <c r="C1839" s="40" t="str">
        <f>IF(Agent10_Withdrawals!A46="","",Agent10_Withdrawals!B46)</f>
        <v/>
      </c>
      <c r="D1839" s="43" t="str">
        <f>IF(Agent10_Withdrawals!A46="","",Agent10_Withdrawals!C46)</f>
        <v/>
      </c>
      <c r="E1839" s="41" t="str">
        <f>IF(Agent10_Withdrawals!A46="","",Agent10_Withdrawals!D46)</f>
        <v/>
      </c>
      <c r="F1839" s="40" t="str">
        <f>IF(Agent10_Withdrawals!A46="","",Agent10_Withdrawals!F46)</f>
        <v/>
      </c>
      <c r="G1839" s="42" t="str">
        <f>IF(Agent10_Withdrawals!A46="","",Agent10_Withdrawals!E46)</f>
        <v/>
      </c>
      <c r="H1839" s="42" t="str">
        <f>IF(Agent10_Withdrawals!A46="","",Agent10_Withdrawals!G46)</f>
        <v/>
      </c>
      <c r="I1839" s="40" t="str">
        <f>IF(Agent10_Withdrawals!A46="","",Agent10_Withdrawals!H46)</f>
        <v/>
      </c>
      <c r="J1839" s="40" t="str">
        <f>IF(Agent10_Withdrawals!A46="","",Agent10_Withdrawals!J46)</f>
        <v/>
      </c>
      <c r="K1839" s="40" t="str">
        <f>IF(Agent10_Withdrawals!A46="","",Agent10_Withdrawals!K46)</f>
        <v/>
      </c>
      <c r="L1839" s="40" t="str">
        <f>IF(G1839="","",IF(D1839-G1839&gt;=System_Config!$B$9,"✅ OK","⚠️ BREACH"))</f>
        <v/>
      </c>
      <c r="M1839" s="40" t="str">
        <f>IFERROR(IF(Agent10_Withdrawals!A46="","",YEAR(Agent10_Withdrawals!D46)),"")</f>
        <v/>
      </c>
    </row>
    <row r="1840" spans="1:13" ht="18" customHeight="1" x14ac:dyDescent="0.25">
      <c r="A1840" s="40" t="str">
        <f>IF(Agent10_Withdrawals!A47="","",Agent10_Withdrawals!A47)</f>
        <v/>
      </c>
      <c r="B1840" s="40" t="str">
        <f ca="1">IF(Agent10_Withdrawals!A47="","","WD"&amp;TEXT(1840-3,"0000")&amp;"-"&amp;TEXT(TODAY(),"YYYYMMDD"))</f>
        <v/>
      </c>
      <c r="C1840" s="40" t="str">
        <f>IF(Agent10_Withdrawals!A47="","",Agent10_Withdrawals!B47)</f>
        <v/>
      </c>
      <c r="D1840" s="43" t="str">
        <f>IF(Agent10_Withdrawals!A47="","",Agent10_Withdrawals!C47)</f>
        <v/>
      </c>
      <c r="E1840" s="41" t="str">
        <f>IF(Agent10_Withdrawals!A47="","",Agent10_Withdrawals!D47)</f>
        <v/>
      </c>
      <c r="F1840" s="40" t="str">
        <f>IF(Agent10_Withdrawals!A47="","",Agent10_Withdrawals!F47)</f>
        <v/>
      </c>
      <c r="G1840" s="42" t="str">
        <f>IF(Agent10_Withdrawals!A47="","",Agent10_Withdrawals!E47)</f>
        <v/>
      </c>
      <c r="H1840" s="42" t="str">
        <f>IF(Agent10_Withdrawals!A47="","",Agent10_Withdrawals!G47)</f>
        <v/>
      </c>
      <c r="I1840" s="40" t="str">
        <f>IF(Agent10_Withdrawals!A47="","",Agent10_Withdrawals!H47)</f>
        <v/>
      </c>
      <c r="J1840" s="40" t="str">
        <f>IF(Agent10_Withdrawals!A47="","",Agent10_Withdrawals!J47)</f>
        <v/>
      </c>
      <c r="K1840" s="40" t="str">
        <f>IF(Agent10_Withdrawals!A47="","",Agent10_Withdrawals!K47)</f>
        <v/>
      </c>
      <c r="L1840" s="40" t="str">
        <f>IF(G1840="","",IF(D1840-G1840&gt;=System_Config!$B$9,"✅ OK","⚠️ BREACH"))</f>
        <v/>
      </c>
      <c r="M1840" s="40" t="str">
        <f>IFERROR(IF(Agent10_Withdrawals!A47="","",YEAR(Agent10_Withdrawals!D47)),"")</f>
        <v/>
      </c>
    </row>
    <row r="1841" spans="1:13" ht="18" customHeight="1" x14ac:dyDescent="0.25">
      <c r="A1841" s="40" t="str">
        <f>IF(Agent10_Withdrawals!A48="","",Agent10_Withdrawals!A48)</f>
        <v/>
      </c>
      <c r="B1841" s="40" t="str">
        <f ca="1">IF(Agent10_Withdrawals!A48="","","WD"&amp;TEXT(1841-3,"0000")&amp;"-"&amp;TEXT(TODAY(),"YYYYMMDD"))</f>
        <v/>
      </c>
      <c r="C1841" s="40" t="str">
        <f>IF(Agent10_Withdrawals!A48="","",Agent10_Withdrawals!B48)</f>
        <v/>
      </c>
      <c r="D1841" s="43" t="str">
        <f>IF(Agent10_Withdrawals!A48="","",Agent10_Withdrawals!C48)</f>
        <v/>
      </c>
      <c r="E1841" s="41" t="str">
        <f>IF(Agent10_Withdrawals!A48="","",Agent10_Withdrawals!D48)</f>
        <v/>
      </c>
      <c r="F1841" s="40" t="str">
        <f>IF(Agent10_Withdrawals!A48="","",Agent10_Withdrawals!F48)</f>
        <v/>
      </c>
      <c r="G1841" s="42" t="str">
        <f>IF(Agent10_Withdrawals!A48="","",Agent10_Withdrawals!E48)</f>
        <v/>
      </c>
      <c r="H1841" s="42" t="str">
        <f>IF(Agent10_Withdrawals!A48="","",Agent10_Withdrawals!G48)</f>
        <v/>
      </c>
      <c r="I1841" s="40" t="str">
        <f>IF(Agent10_Withdrawals!A48="","",Agent10_Withdrawals!H48)</f>
        <v/>
      </c>
      <c r="J1841" s="40" t="str">
        <f>IF(Agent10_Withdrawals!A48="","",Agent10_Withdrawals!J48)</f>
        <v/>
      </c>
      <c r="K1841" s="40" t="str">
        <f>IF(Agent10_Withdrawals!A48="","",Agent10_Withdrawals!K48)</f>
        <v/>
      </c>
      <c r="L1841" s="40" t="str">
        <f>IF(G1841="","",IF(D1841-G1841&gt;=System_Config!$B$9,"✅ OK","⚠️ BREACH"))</f>
        <v/>
      </c>
      <c r="M1841" s="40" t="str">
        <f>IFERROR(IF(Agent10_Withdrawals!A48="","",YEAR(Agent10_Withdrawals!D48)),"")</f>
        <v/>
      </c>
    </row>
    <row r="1842" spans="1:13" ht="18" customHeight="1" x14ac:dyDescent="0.25">
      <c r="A1842" s="40" t="str">
        <f>IF(Agent10_Withdrawals!A49="","",Agent10_Withdrawals!A49)</f>
        <v/>
      </c>
      <c r="B1842" s="40" t="str">
        <f ca="1">IF(Agent10_Withdrawals!A49="","","WD"&amp;TEXT(1842-3,"0000")&amp;"-"&amp;TEXT(TODAY(),"YYYYMMDD"))</f>
        <v/>
      </c>
      <c r="C1842" s="40" t="str">
        <f>IF(Agent10_Withdrawals!A49="","",Agent10_Withdrawals!B49)</f>
        <v/>
      </c>
      <c r="D1842" s="43" t="str">
        <f>IF(Agent10_Withdrawals!A49="","",Agent10_Withdrawals!C49)</f>
        <v/>
      </c>
      <c r="E1842" s="41" t="str">
        <f>IF(Agent10_Withdrawals!A49="","",Agent10_Withdrawals!D49)</f>
        <v/>
      </c>
      <c r="F1842" s="40" t="str">
        <f>IF(Agent10_Withdrawals!A49="","",Agent10_Withdrawals!F49)</f>
        <v/>
      </c>
      <c r="G1842" s="42" t="str">
        <f>IF(Agent10_Withdrawals!A49="","",Agent10_Withdrawals!E49)</f>
        <v/>
      </c>
      <c r="H1842" s="42" t="str">
        <f>IF(Agent10_Withdrawals!A49="","",Agent10_Withdrawals!G49)</f>
        <v/>
      </c>
      <c r="I1842" s="40" t="str">
        <f>IF(Agent10_Withdrawals!A49="","",Agent10_Withdrawals!H49)</f>
        <v/>
      </c>
      <c r="J1842" s="40" t="str">
        <f>IF(Agent10_Withdrawals!A49="","",Agent10_Withdrawals!J49)</f>
        <v/>
      </c>
      <c r="K1842" s="40" t="str">
        <f>IF(Agent10_Withdrawals!A49="","",Agent10_Withdrawals!K49)</f>
        <v/>
      </c>
      <c r="L1842" s="40" t="str">
        <f>IF(G1842="","",IF(D1842-G1842&gt;=System_Config!$B$9,"✅ OK","⚠️ BREACH"))</f>
        <v/>
      </c>
      <c r="M1842" s="40" t="str">
        <f>IFERROR(IF(Agent10_Withdrawals!A49="","",YEAR(Agent10_Withdrawals!D49)),"")</f>
        <v/>
      </c>
    </row>
    <row r="1843" spans="1:13" ht="18" customHeight="1" x14ac:dyDescent="0.25">
      <c r="A1843" s="40" t="str">
        <f>IF(Agent10_Withdrawals!A50="","",Agent10_Withdrawals!A50)</f>
        <v/>
      </c>
      <c r="B1843" s="40" t="str">
        <f ca="1">IF(Agent10_Withdrawals!A50="","","WD"&amp;TEXT(1843-3,"0000")&amp;"-"&amp;TEXT(TODAY(),"YYYYMMDD"))</f>
        <v/>
      </c>
      <c r="C1843" s="40" t="str">
        <f>IF(Agent10_Withdrawals!A50="","",Agent10_Withdrawals!B50)</f>
        <v/>
      </c>
      <c r="D1843" s="43" t="str">
        <f>IF(Agent10_Withdrawals!A50="","",Agent10_Withdrawals!C50)</f>
        <v/>
      </c>
      <c r="E1843" s="41" t="str">
        <f>IF(Agent10_Withdrawals!A50="","",Agent10_Withdrawals!D50)</f>
        <v/>
      </c>
      <c r="F1843" s="40" t="str">
        <f>IF(Agent10_Withdrawals!A50="","",Agent10_Withdrawals!F50)</f>
        <v/>
      </c>
      <c r="G1843" s="42" t="str">
        <f>IF(Agent10_Withdrawals!A50="","",Agent10_Withdrawals!E50)</f>
        <v/>
      </c>
      <c r="H1843" s="42" t="str">
        <f>IF(Agent10_Withdrawals!A50="","",Agent10_Withdrawals!G50)</f>
        <v/>
      </c>
      <c r="I1843" s="40" t="str">
        <f>IF(Agent10_Withdrawals!A50="","",Agent10_Withdrawals!H50)</f>
        <v/>
      </c>
      <c r="J1843" s="40" t="str">
        <f>IF(Agent10_Withdrawals!A50="","",Agent10_Withdrawals!J50)</f>
        <v/>
      </c>
      <c r="K1843" s="40" t="str">
        <f>IF(Agent10_Withdrawals!A50="","",Agent10_Withdrawals!K50)</f>
        <v/>
      </c>
      <c r="L1843" s="40" t="str">
        <f>IF(G1843="","",IF(D1843-G1843&gt;=System_Config!$B$9,"✅ OK","⚠️ BREACH"))</f>
        <v/>
      </c>
      <c r="M1843" s="40" t="str">
        <f>IFERROR(IF(Agent10_Withdrawals!A50="","",YEAR(Agent10_Withdrawals!D50)),"")</f>
        <v/>
      </c>
    </row>
    <row r="1844" spans="1:13" ht="18" customHeight="1" x14ac:dyDescent="0.25">
      <c r="A1844" s="40" t="str">
        <f>IF(Agent10_Withdrawals!A51="","",Agent10_Withdrawals!A51)</f>
        <v/>
      </c>
      <c r="B1844" s="40" t="str">
        <f ca="1">IF(Agent10_Withdrawals!A51="","","WD"&amp;TEXT(1844-3,"0000")&amp;"-"&amp;TEXT(TODAY(),"YYYYMMDD"))</f>
        <v/>
      </c>
      <c r="C1844" s="40" t="str">
        <f>IF(Agent10_Withdrawals!A51="","",Agent10_Withdrawals!B51)</f>
        <v/>
      </c>
      <c r="D1844" s="43" t="str">
        <f>IF(Agent10_Withdrawals!A51="","",Agent10_Withdrawals!C51)</f>
        <v/>
      </c>
      <c r="E1844" s="41" t="str">
        <f>IF(Agent10_Withdrawals!A51="","",Agent10_Withdrawals!D51)</f>
        <v/>
      </c>
      <c r="F1844" s="40" t="str">
        <f>IF(Agent10_Withdrawals!A51="","",Agent10_Withdrawals!F51)</f>
        <v/>
      </c>
      <c r="G1844" s="42" t="str">
        <f>IF(Agent10_Withdrawals!A51="","",Agent10_Withdrawals!E51)</f>
        <v/>
      </c>
      <c r="H1844" s="42" t="str">
        <f>IF(Agent10_Withdrawals!A51="","",Agent10_Withdrawals!G51)</f>
        <v/>
      </c>
      <c r="I1844" s="40" t="str">
        <f>IF(Agent10_Withdrawals!A51="","",Agent10_Withdrawals!H51)</f>
        <v/>
      </c>
      <c r="J1844" s="40" t="str">
        <f>IF(Agent10_Withdrawals!A51="","",Agent10_Withdrawals!J51)</f>
        <v/>
      </c>
      <c r="K1844" s="40" t="str">
        <f>IF(Agent10_Withdrawals!A51="","",Agent10_Withdrawals!K51)</f>
        <v/>
      </c>
      <c r="L1844" s="40" t="str">
        <f>IF(G1844="","",IF(D1844-G1844&gt;=System_Config!$B$9,"✅ OK","⚠️ BREACH"))</f>
        <v/>
      </c>
      <c r="M1844" s="40" t="str">
        <f>IFERROR(IF(Agent10_Withdrawals!A51="","",YEAR(Agent10_Withdrawals!D51)),"")</f>
        <v/>
      </c>
    </row>
    <row r="1845" spans="1:13" ht="18" customHeight="1" x14ac:dyDescent="0.25">
      <c r="A1845" s="40" t="str">
        <f>IF(Agent10_Withdrawals!A52="","",Agent10_Withdrawals!A52)</f>
        <v/>
      </c>
      <c r="B1845" s="40" t="str">
        <f ca="1">IF(Agent10_Withdrawals!A52="","","WD"&amp;TEXT(1845-3,"0000")&amp;"-"&amp;TEXT(TODAY(),"YYYYMMDD"))</f>
        <v/>
      </c>
      <c r="C1845" s="40" t="str">
        <f>IF(Agent10_Withdrawals!A52="","",Agent10_Withdrawals!B52)</f>
        <v/>
      </c>
      <c r="D1845" s="43" t="str">
        <f>IF(Agent10_Withdrawals!A52="","",Agent10_Withdrawals!C52)</f>
        <v/>
      </c>
      <c r="E1845" s="41" t="str">
        <f>IF(Agent10_Withdrawals!A52="","",Agent10_Withdrawals!D52)</f>
        <v/>
      </c>
      <c r="F1845" s="40" t="str">
        <f>IF(Agent10_Withdrawals!A52="","",Agent10_Withdrawals!F52)</f>
        <v/>
      </c>
      <c r="G1845" s="42" t="str">
        <f>IF(Agent10_Withdrawals!A52="","",Agent10_Withdrawals!E52)</f>
        <v/>
      </c>
      <c r="H1845" s="42" t="str">
        <f>IF(Agent10_Withdrawals!A52="","",Agent10_Withdrawals!G52)</f>
        <v/>
      </c>
      <c r="I1845" s="40" t="str">
        <f>IF(Agent10_Withdrawals!A52="","",Agent10_Withdrawals!H52)</f>
        <v/>
      </c>
      <c r="J1845" s="40" t="str">
        <f>IF(Agent10_Withdrawals!A52="","",Agent10_Withdrawals!J52)</f>
        <v/>
      </c>
      <c r="K1845" s="40" t="str">
        <f>IF(Agent10_Withdrawals!A52="","",Agent10_Withdrawals!K52)</f>
        <v/>
      </c>
      <c r="L1845" s="40" t="str">
        <f>IF(G1845="","",IF(D1845-G1845&gt;=System_Config!$B$9,"✅ OK","⚠️ BREACH"))</f>
        <v/>
      </c>
      <c r="M1845" s="40" t="str">
        <f>IFERROR(IF(Agent10_Withdrawals!A52="","",YEAR(Agent10_Withdrawals!D52)),"")</f>
        <v/>
      </c>
    </row>
    <row r="1846" spans="1:13" ht="18" customHeight="1" x14ac:dyDescent="0.25">
      <c r="A1846" s="40" t="str">
        <f>IF(Agent10_Withdrawals!A53="","",Agent10_Withdrawals!A53)</f>
        <v/>
      </c>
      <c r="B1846" s="40" t="str">
        <f ca="1">IF(Agent10_Withdrawals!A53="","","WD"&amp;TEXT(1846-3,"0000")&amp;"-"&amp;TEXT(TODAY(),"YYYYMMDD"))</f>
        <v/>
      </c>
      <c r="C1846" s="40" t="str">
        <f>IF(Agent10_Withdrawals!A53="","",Agent10_Withdrawals!B53)</f>
        <v/>
      </c>
      <c r="D1846" s="43" t="str">
        <f>IF(Agent10_Withdrawals!A53="","",Agent10_Withdrawals!C53)</f>
        <v/>
      </c>
      <c r="E1846" s="41" t="str">
        <f>IF(Agent10_Withdrawals!A53="","",Agent10_Withdrawals!D53)</f>
        <v/>
      </c>
      <c r="F1846" s="40" t="str">
        <f>IF(Agent10_Withdrawals!A53="","",Agent10_Withdrawals!F53)</f>
        <v/>
      </c>
      <c r="G1846" s="42" t="str">
        <f>IF(Agent10_Withdrawals!A53="","",Agent10_Withdrawals!E53)</f>
        <v/>
      </c>
      <c r="H1846" s="42" t="str">
        <f>IF(Agent10_Withdrawals!A53="","",Agent10_Withdrawals!G53)</f>
        <v/>
      </c>
      <c r="I1846" s="40" t="str">
        <f>IF(Agent10_Withdrawals!A53="","",Agent10_Withdrawals!H53)</f>
        <v/>
      </c>
      <c r="J1846" s="40" t="str">
        <f>IF(Agent10_Withdrawals!A53="","",Agent10_Withdrawals!J53)</f>
        <v/>
      </c>
      <c r="K1846" s="40" t="str">
        <f>IF(Agent10_Withdrawals!A53="","",Agent10_Withdrawals!K53)</f>
        <v/>
      </c>
      <c r="L1846" s="40" t="str">
        <f>IF(G1846="","",IF(D1846-G1846&gt;=System_Config!$B$9,"✅ OK","⚠️ BREACH"))</f>
        <v/>
      </c>
      <c r="M1846" s="40" t="str">
        <f>IFERROR(IF(Agent10_Withdrawals!A53="","",YEAR(Agent10_Withdrawals!D53)),"")</f>
        <v/>
      </c>
    </row>
    <row r="1847" spans="1:13" ht="18" customHeight="1" x14ac:dyDescent="0.25">
      <c r="A1847" s="40" t="str">
        <f>IF(Agent10_Withdrawals!A54="","",Agent10_Withdrawals!A54)</f>
        <v/>
      </c>
      <c r="B1847" s="40" t="str">
        <f ca="1">IF(Agent10_Withdrawals!A54="","","WD"&amp;TEXT(1847-3,"0000")&amp;"-"&amp;TEXT(TODAY(),"YYYYMMDD"))</f>
        <v/>
      </c>
      <c r="C1847" s="40" t="str">
        <f>IF(Agent10_Withdrawals!A54="","",Agent10_Withdrawals!B54)</f>
        <v/>
      </c>
      <c r="D1847" s="43" t="str">
        <f>IF(Agent10_Withdrawals!A54="","",Agent10_Withdrawals!C54)</f>
        <v/>
      </c>
      <c r="E1847" s="41" t="str">
        <f>IF(Agent10_Withdrawals!A54="","",Agent10_Withdrawals!D54)</f>
        <v/>
      </c>
      <c r="F1847" s="40" t="str">
        <f>IF(Agent10_Withdrawals!A54="","",Agent10_Withdrawals!F54)</f>
        <v/>
      </c>
      <c r="G1847" s="42" t="str">
        <f>IF(Agent10_Withdrawals!A54="","",Agent10_Withdrawals!E54)</f>
        <v/>
      </c>
      <c r="H1847" s="42" t="str">
        <f>IF(Agent10_Withdrawals!A54="","",Agent10_Withdrawals!G54)</f>
        <v/>
      </c>
      <c r="I1847" s="40" t="str">
        <f>IF(Agent10_Withdrawals!A54="","",Agent10_Withdrawals!H54)</f>
        <v/>
      </c>
      <c r="J1847" s="40" t="str">
        <f>IF(Agent10_Withdrawals!A54="","",Agent10_Withdrawals!J54)</f>
        <v/>
      </c>
      <c r="K1847" s="40" t="str">
        <f>IF(Agent10_Withdrawals!A54="","",Agent10_Withdrawals!K54)</f>
        <v/>
      </c>
      <c r="L1847" s="40" t="str">
        <f>IF(G1847="","",IF(D1847-G1847&gt;=System_Config!$B$9,"✅ OK","⚠️ BREACH"))</f>
        <v/>
      </c>
      <c r="M1847" s="40" t="str">
        <f>IFERROR(IF(Agent10_Withdrawals!A54="","",YEAR(Agent10_Withdrawals!D54)),"")</f>
        <v/>
      </c>
    </row>
    <row r="1848" spans="1:13" ht="18" customHeight="1" x14ac:dyDescent="0.25">
      <c r="A1848" s="40" t="str">
        <f>IF(Agent10_Withdrawals!A55="","",Agent10_Withdrawals!A55)</f>
        <v/>
      </c>
      <c r="B1848" s="40" t="str">
        <f ca="1">IF(Agent10_Withdrawals!A55="","","WD"&amp;TEXT(1848-3,"0000")&amp;"-"&amp;TEXT(TODAY(),"YYYYMMDD"))</f>
        <v/>
      </c>
      <c r="C1848" s="40" t="str">
        <f>IF(Agent10_Withdrawals!A55="","",Agent10_Withdrawals!B55)</f>
        <v/>
      </c>
      <c r="D1848" s="43" t="str">
        <f>IF(Agent10_Withdrawals!A55="","",Agent10_Withdrawals!C55)</f>
        <v/>
      </c>
      <c r="E1848" s="41" t="str">
        <f>IF(Agent10_Withdrawals!A55="","",Agent10_Withdrawals!D55)</f>
        <v/>
      </c>
      <c r="F1848" s="40" t="str">
        <f>IF(Agent10_Withdrawals!A55="","",Agent10_Withdrawals!F55)</f>
        <v/>
      </c>
      <c r="G1848" s="42" t="str">
        <f>IF(Agent10_Withdrawals!A55="","",Agent10_Withdrawals!E55)</f>
        <v/>
      </c>
      <c r="H1848" s="42" t="str">
        <f>IF(Agent10_Withdrawals!A55="","",Agent10_Withdrawals!G55)</f>
        <v/>
      </c>
      <c r="I1848" s="40" t="str">
        <f>IF(Agent10_Withdrawals!A55="","",Agent10_Withdrawals!H55)</f>
        <v/>
      </c>
      <c r="J1848" s="40" t="str">
        <f>IF(Agent10_Withdrawals!A55="","",Agent10_Withdrawals!J55)</f>
        <v/>
      </c>
      <c r="K1848" s="40" t="str">
        <f>IF(Agent10_Withdrawals!A55="","",Agent10_Withdrawals!K55)</f>
        <v/>
      </c>
      <c r="L1848" s="40" t="str">
        <f>IF(G1848="","",IF(D1848-G1848&gt;=System_Config!$B$9,"✅ OK","⚠️ BREACH"))</f>
        <v/>
      </c>
      <c r="M1848" s="40" t="str">
        <f>IFERROR(IF(Agent10_Withdrawals!A55="","",YEAR(Agent10_Withdrawals!D55)),"")</f>
        <v/>
      </c>
    </row>
    <row r="1849" spans="1:13" ht="18" customHeight="1" x14ac:dyDescent="0.25">
      <c r="A1849" s="40" t="str">
        <f>IF(Agent10_Withdrawals!A56="","",Agent10_Withdrawals!A56)</f>
        <v/>
      </c>
      <c r="B1849" s="40" t="str">
        <f ca="1">IF(Agent10_Withdrawals!A56="","","WD"&amp;TEXT(1849-3,"0000")&amp;"-"&amp;TEXT(TODAY(),"YYYYMMDD"))</f>
        <v/>
      </c>
      <c r="C1849" s="40" t="str">
        <f>IF(Agent10_Withdrawals!A56="","",Agent10_Withdrawals!B56)</f>
        <v/>
      </c>
      <c r="D1849" s="43" t="str">
        <f>IF(Agent10_Withdrawals!A56="","",Agent10_Withdrawals!C56)</f>
        <v/>
      </c>
      <c r="E1849" s="41" t="str">
        <f>IF(Agent10_Withdrawals!A56="","",Agent10_Withdrawals!D56)</f>
        <v/>
      </c>
      <c r="F1849" s="40" t="str">
        <f>IF(Agent10_Withdrawals!A56="","",Agent10_Withdrawals!F56)</f>
        <v/>
      </c>
      <c r="G1849" s="42" t="str">
        <f>IF(Agent10_Withdrawals!A56="","",Agent10_Withdrawals!E56)</f>
        <v/>
      </c>
      <c r="H1849" s="42" t="str">
        <f>IF(Agent10_Withdrawals!A56="","",Agent10_Withdrawals!G56)</f>
        <v/>
      </c>
      <c r="I1849" s="40" t="str">
        <f>IF(Agent10_Withdrawals!A56="","",Agent10_Withdrawals!H56)</f>
        <v/>
      </c>
      <c r="J1849" s="40" t="str">
        <f>IF(Agent10_Withdrawals!A56="","",Agent10_Withdrawals!J56)</f>
        <v/>
      </c>
      <c r="K1849" s="40" t="str">
        <f>IF(Agent10_Withdrawals!A56="","",Agent10_Withdrawals!K56)</f>
        <v/>
      </c>
      <c r="L1849" s="40" t="str">
        <f>IF(G1849="","",IF(D1849-G1849&gt;=System_Config!$B$9,"✅ OK","⚠️ BREACH"))</f>
        <v/>
      </c>
      <c r="M1849" s="40" t="str">
        <f>IFERROR(IF(Agent10_Withdrawals!A56="","",YEAR(Agent10_Withdrawals!D56)),"")</f>
        <v/>
      </c>
    </row>
    <row r="1850" spans="1:13" ht="18" customHeight="1" x14ac:dyDescent="0.25">
      <c r="A1850" s="40" t="str">
        <f>IF(Agent10_Withdrawals!A57="","",Agent10_Withdrawals!A57)</f>
        <v/>
      </c>
      <c r="B1850" s="40" t="str">
        <f ca="1">IF(Agent10_Withdrawals!A57="","","WD"&amp;TEXT(1850-3,"0000")&amp;"-"&amp;TEXT(TODAY(),"YYYYMMDD"))</f>
        <v/>
      </c>
      <c r="C1850" s="40" t="str">
        <f>IF(Agent10_Withdrawals!A57="","",Agent10_Withdrawals!B57)</f>
        <v/>
      </c>
      <c r="D1850" s="43" t="str">
        <f>IF(Agent10_Withdrawals!A57="","",Agent10_Withdrawals!C57)</f>
        <v/>
      </c>
      <c r="E1850" s="41" t="str">
        <f>IF(Agent10_Withdrawals!A57="","",Agent10_Withdrawals!D57)</f>
        <v/>
      </c>
      <c r="F1850" s="40" t="str">
        <f>IF(Agent10_Withdrawals!A57="","",Agent10_Withdrawals!F57)</f>
        <v/>
      </c>
      <c r="G1850" s="42" t="str">
        <f>IF(Agent10_Withdrawals!A57="","",Agent10_Withdrawals!E57)</f>
        <v/>
      </c>
      <c r="H1850" s="42" t="str">
        <f>IF(Agent10_Withdrawals!A57="","",Agent10_Withdrawals!G57)</f>
        <v/>
      </c>
      <c r="I1850" s="40" t="str">
        <f>IF(Agent10_Withdrawals!A57="","",Agent10_Withdrawals!H57)</f>
        <v/>
      </c>
      <c r="J1850" s="40" t="str">
        <f>IF(Agent10_Withdrawals!A57="","",Agent10_Withdrawals!J57)</f>
        <v/>
      </c>
      <c r="K1850" s="40" t="str">
        <f>IF(Agent10_Withdrawals!A57="","",Agent10_Withdrawals!K57)</f>
        <v/>
      </c>
      <c r="L1850" s="40" t="str">
        <f>IF(G1850="","",IF(D1850-G1850&gt;=System_Config!$B$9,"✅ OK","⚠️ BREACH"))</f>
        <v/>
      </c>
      <c r="M1850" s="40" t="str">
        <f>IFERROR(IF(Agent10_Withdrawals!A57="","",YEAR(Agent10_Withdrawals!D57)),"")</f>
        <v/>
      </c>
    </row>
    <row r="1851" spans="1:13" ht="18" customHeight="1" x14ac:dyDescent="0.25">
      <c r="A1851" s="40" t="str">
        <f>IF(Agent10_Withdrawals!A58="","",Agent10_Withdrawals!A58)</f>
        <v/>
      </c>
      <c r="B1851" s="40" t="str">
        <f ca="1">IF(Agent10_Withdrawals!A58="","","WD"&amp;TEXT(1851-3,"0000")&amp;"-"&amp;TEXT(TODAY(),"YYYYMMDD"))</f>
        <v/>
      </c>
      <c r="C1851" s="40" t="str">
        <f>IF(Agent10_Withdrawals!A58="","",Agent10_Withdrawals!B58)</f>
        <v/>
      </c>
      <c r="D1851" s="43" t="str">
        <f>IF(Agent10_Withdrawals!A58="","",Agent10_Withdrawals!C58)</f>
        <v/>
      </c>
      <c r="E1851" s="41" t="str">
        <f>IF(Agent10_Withdrawals!A58="","",Agent10_Withdrawals!D58)</f>
        <v/>
      </c>
      <c r="F1851" s="40" t="str">
        <f>IF(Agent10_Withdrawals!A58="","",Agent10_Withdrawals!F58)</f>
        <v/>
      </c>
      <c r="G1851" s="42" t="str">
        <f>IF(Agent10_Withdrawals!A58="","",Agent10_Withdrawals!E58)</f>
        <v/>
      </c>
      <c r="H1851" s="42" t="str">
        <f>IF(Agent10_Withdrawals!A58="","",Agent10_Withdrawals!G58)</f>
        <v/>
      </c>
      <c r="I1851" s="40" t="str">
        <f>IF(Agent10_Withdrawals!A58="","",Agent10_Withdrawals!H58)</f>
        <v/>
      </c>
      <c r="J1851" s="40" t="str">
        <f>IF(Agent10_Withdrawals!A58="","",Agent10_Withdrawals!J58)</f>
        <v/>
      </c>
      <c r="K1851" s="40" t="str">
        <f>IF(Agent10_Withdrawals!A58="","",Agent10_Withdrawals!K58)</f>
        <v/>
      </c>
      <c r="L1851" s="40" t="str">
        <f>IF(G1851="","",IF(D1851-G1851&gt;=System_Config!$B$9,"✅ OK","⚠️ BREACH"))</f>
        <v/>
      </c>
      <c r="M1851" s="40" t="str">
        <f>IFERROR(IF(Agent10_Withdrawals!A58="","",YEAR(Agent10_Withdrawals!D58)),"")</f>
        <v/>
      </c>
    </row>
    <row r="1852" spans="1:13" ht="18" customHeight="1" x14ac:dyDescent="0.25">
      <c r="A1852" s="40" t="str">
        <f>IF(Agent10_Withdrawals!A59="","",Agent10_Withdrawals!A59)</f>
        <v/>
      </c>
      <c r="B1852" s="40" t="str">
        <f ca="1">IF(Agent10_Withdrawals!A59="","","WD"&amp;TEXT(1852-3,"0000")&amp;"-"&amp;TEXT(TODAY(),"YYYYMMDD"))</f>
        <v/>
      </c>
      <c r="C1852" s="40" t="str">
        <f>IF(Agent10_Withdrawals!A59="","",Agent10_Withdrawals!B59)</f>
        <v/>
      </c>
      <c r="D1852" s="43" t="str">
        <f>IF(Agent10_Withdrawals!A59="","",Agent10_Withdrawals!C59)</f>
        <v/>
      </c>
      <c r="E1852" s="41" t="str">
        <f>IF(Agent10_Withdrawals!A59="","",Agent10_Withdrawals!D59)</f>
        <v/>
      </c>
      <c r="F1852" s="40" t="str">
        <f>IF(Agent10_Withdrawals!A59="","",Agent10_Withdrawals!F59)</f>
        <v/>
      </c>
      <c r="G1852" s="42" t="str">
        <f>IF(Agent10_Withdrawals!A59="","",Agent10_Withdrawals!E59)</f>
        <v/>
      </c>
      <c r="H1852" s="42" t="str">
        <f>IF(Agent10_Withdrawals!A59="","",Agent10_Withdrawals!G59)</f>
        <v/>
      </c>
      <c r="I1852" s="40" t="str">
        <f>IF(Agent10_Withdrawals!A59="","",Agent10_Withdrawals!H59)</f>
        <v/>
      </c>
      <c r="J1852" s="40" t="str">
        <f>IF(Agent10_Withdrawals!A59="","",Agent10_Withdrawals!J59)</f>
        <v/>
      </c>
      <c r="K1852" s="40" t="str">
        <f>IF(Agent10_Withdrawals!A59="","",Agent10_Withdrawals!K59)</f>
        <v/>
      </c>
      <c r="L1852" s="40" t="str">
        <f>IF(G1852="","",IF(D1852-G1852&gt;=System_Config!$B$9,"✅ OK","⚠️ BREACH"))</f>
        <v/>
      </c>
      <c r="M1852" s="40" t="str">
        <f>IFERROR(IF(Agent10_Withdrawals!A59="","",YEAR(Agent10_Withdrawals!D59)),"")</f>
        <v/>
      </c>
    </row>
    <row r="1853" spans="1:13" ht="18" customHeight="1" x14ac:dyDescent="0.25">
      <c r="A1853" s="40" t="str">
        <f>IF(Agent10_Withdrawals!A60="","",Agent10_Withdrawals!A60)</f>
        <v/>
      </c>
      <c r="B1853" s="40" t="str">
        <f ca="1">IF(Agent10_Withdrawals!A60="","","WD"&amp;TEXT(1853-3,"0000")&amp;"-"&amp;TEXT(TODAY(),"YYYYMMDD"))</f>
        <v/>
      </c>
      <c r="C1853" s="40" t="str">
        <f>IF(Agent10_Withdrawals!A60="","",Agent10_Withdrawals!B60)</f>
        <v/>
      </c>
      <c r="D1853" s="43" t="str">
        <f>IF(Agent10_Withdrawals!A60="","",Agent10_Withdrawals!C60)</f>
        <v/>
      </c>
      <c r="E1853" s="41" t="str">
        <f>IF(Agent10_Withdrawals!A60="","",Agent10_Withdrawals!D60)</f>
        <v/>
      </c>
      <c r="F1853" s="40" t="str">
        <f>IF(Agent10_Withdrawals!A60="","",Agent10_Withdrawals!F60)</f>
        <v/>
      </c>
      <c r="G1853" s="42" t="str">
        <f>IF(Agent10_Withdrawals!A60="","",Agent10_Withdrawals!E60)</f>
        <v/>
      </c>
      <c r="H1853" s="42" t="str">
        <f>IF(Agent10_Withdrawals!A60="","",Agent10_Withdrawals!G60)</f>
        <v/>
      </c>
      <c r="I1853" s="40" t="str">
        <f>IF(Agent10_Withdrawals!A60="","",Agent10_Withdrawals!H60)</f>
        <v/>
      </c>
      <c r="J1853" s="40" t="str">
        <f>IF(Agent10_Withdrawals!A60="","",Agent10_Withdrawals!J60)</f>
        <v/>
      </c>
      <c r="K1853" s="40" t="str">
        <f>IF(Agent10_Withdrawals!A60="","",Agent10_Withdrawals!K60)</f>
        <v/>
      </c>
      <c r="L1853" s="40" t="str">
        <f>IF(G1853="","",IF(D1853-G1853&gt;=System_Config!$B$9,"✅ OK","⚠️ BREACH"))</f>
        <v/>
      </c>
      <c r="M1853" s="40" t="str">
        <f>IFERROR(IF(Agent10_Withdrawals!A60="","",YEAR(Agent10_Withdrawals!D60)),"")</f>
        <v/>
      </c>
    </row>
    <row r="1854" spans="1:13" ht="18" customHeight="1" x14ac:dyDescent="0.25">
      <c r="A1854" s="40" t="str">
        <f>IF(Agent10_Withdrawals!A61="","",Agent10_Withdrawals!A61)</f>
        <v/>
      </c>
      <c r="B1854" s="40" t="str">
        <f ca="1">IF(Agent10_Withdrawals!A61="","","WD"&amp;TEXT(1854-3,"0000")&amp;"-"&amp;TEXT(TODAY(),"YYYYMMDD"))</f>
        <v/>
      </c>
      <c r="C1854" s="40" t="str">
        <f>IF(Agent10_Withdrawals!A61="","",Agent10_Withdrawals!B61)</f>
        <v/>
      </c>
      <c r="D1854" s="43" t="str">
        <f>IF(Agent10_Withdrawals!A61="","",Agent10_Withdrawals!C61)</f>
        <v/>
      </c>
      <c r="E1854" s="41" t="str">
        <f>IF(Agent10_Withdrawals!A61="","",Agent10_Withdrawals!D61)</f>
        <v/>
      </c>
      <c r="F1854" s="40" t="str">
        <f>IF(Agent10_Withdrawals!A61="","",Agent10_Withdrawals!F61)</f>
        <v/>
      </c>
      <c r="G1854" s="42" t="str">
        <f>IF(Agent10_Withdrawals!A61="","",Agent10_Withdrawals!E61)</f>
        <v/>
      </c>
      <c r="H1854" s="42" t="str">
        <f>IF(Agent10_Withdrawals!A61="","",Agent10_Withdrawals!G61)</f>
        <v/>
      </c>
      <c r="I1854" s="40" t="str">
        <f>IF(Agent10_Withdrawals!A61="","",Agent10_Withdrawals!H61)</f>
        <v/>
      </c>
      <c r="J1854" s="40" t="str">
        <f>IF(Agent10_Withdrawals!A61="","",Agent10_Withdrawals!J61)</f>
        <v/>
      </c>
      <c r="K1854" s="40" t="str">
        <f>IF(Agent10_Withdrawals!A61="","",Agent10_Withdrawals!K61)</f>
        <v/>
      </c>
      <c r="L1854" s="40" t="str">
        <f>IF(G1854="","",IF(D1854-G1854&gt;=System_Config!$B$9,"✅ OK","⚠️ BREACH"))</f>
        <v/>
      </c>
      <c r="M1854" s="40" t="str">
        <f>IFERROR(IF(Agent10_Withdrawals!A61="","",YEAR(Agent10_Withdrawals!D61)),"")</f>
        <v/>
      </c>
    </row>
    <row r="1855" spans="1:13" ht="18" customHeight="1" x14ac:dyDescent="0.25">
      <c r="A1855" s="40" t="str">
        <f>IF(Agent10_Withdrawals!A62="","",Agent10_Withdrawals!A62)</f>
        <v/>
      </c>
      <c r="B1855" s="40" t="str">
        <f ca="1">IF(Agent10_Withdrawals!A62="","","WD"&amp;TEXT(1855-3,"0000")&amp;"-"&amp;TEXT(TODAY(),"YYYYMMDD"))</f>
        <v/>
      </c>
      <c r="C1855" s="40" t="str">
        <f>IF(Agent10_Withdrawals!A62="","",Agent10_Withdrawals!B62)</f>
        <v/>
      </c>
      <c r="D1855" s="43" t="str">
        <f>IF(Agent10_Withdrawals!A62="","",Agent10_Withdrawals!C62)</f>
        <v/>
      </c>
      <c r="E1855" s="41" t="str">
        <f>IF(Agent10_Withdrawals!A62="","",Agent10_Withdrawals!D62)</f>
        <v/>
      </c>
      <c r="F1855" s="40" t="str">
        <f>IF(Agent10_Withdrawals!A62="","",Agent10_Withdrawals!F62)</f>
        <v/>
      </c>
      <c r="G1855" s="42" t="str">
        <f>IF(Agent10_Withdrawals!A62="","",Agent10_Withdrawals!E62)</f>
        <v/>
      </c>
      <c r="H1855" s="42" t="str">
        <f>IF(Agent10_Withdrawals!A62="","",Agent10_Withdrawals!G62)</f>
        <v/>
      </c>
      <c r="I1855" s="40" t="str">
        <f>IF(Agent10_Withdrawals!A62="","",Agent10_Withdrawals!H62)</f>
        <v/>
      </c>
      <c r="J1855" s="40" t="str">
        <f>IF(Agent10_Withdrawals!A62="","",Agent10_Withdrawals!J62)</f>
        <v/>
      </c>
      <c r="K1855" s="40" t="str">
        <f>IF(Agent10_Withdrawals!A62="","",Agent10_Withdrawals!K62)</f>
        <v/>
      </c>
      <c r="L1855" s="40" t="str">
        <f>IF(G1855="","",IF(D1855-G1855&gt;=System_Config!$B$9,"✅ OK","⚠️ BREACH"))</f>
        <v/>
      </c>
      <c r="M1855" s="40" t="str">
        <f>IFERROR(IF(Agent10_Withdrawals!A62="","",YEAR(Agent10_Withdrawals!D62)),"")</f>
        <v/>
      </c>
    </row>
    <row r="1856" spans="1:13" ht="18" customHeight="1" x14ac:dyDescent="0.25">
      <c r="A1856" s="40" t="str">
        <f>IF(Agent10_Withdrawals!A63="","",Agent10_Withdrawals!A63)</f>
        <v/>
      </c>
      <c r="B1856" s="40" t="str">
        <f ca="1">IF(Agent10_Withdrawals!A63="","","WD"&amp;TEXT(1856-3,"0000")&amp;"-"&amp;TEXT(TODAY(),"YYYYMMDD"))</f>
        <v/>
      </c>
      <c r="C1856" s="40" t="str">
        <f>IF(Agent10_Withdrawals!A63="","",Agent10_Withdrawals!B63)</f>
        <v/>
      </c>
      <c r="D1856" s="43" t="str">
        <f>IF(Agent10_Withdrawals!A63="","",Agent10_Withdrawals!C63)</f>
        <v/>
      </c>
      <c r="E1856" s="41" t="str">
        <f>IF(Agent10_Withdrawals!A63="","",Agent10_Withdrawals!D63)</f>
        <v/>
      </c>
      <c r="F1856" s="40" t="str">
        <f>IF(Agent10_Withdrawals!A63="","",Agent10_Withdrawals!F63)</f>
        <v/>
      </c>
      <c r="G1856" s="42" t="str">
        <f>IF(Agent10_Withdrawals!A63="","",Agent10_Withdrawals!E63)</f>
        <v/>
      </c>
      <c r="H1856" s="42" t="str">
        <f>IF(Agent10_Withdrawals!A63="","",Agent10_Withdrawals!G63)</f>
        <v/>
      </c>
      <c r="I1856" s="40" t="str">
        <f>IF(Agent10_Withdrawals!A63="","",Agent10_Withdrawals!H63)</f>
        <v/>
      </c>
      <c r="J1856" s="40" t="str">
        <f>IF(Agent10_Withdrawals!A63="","",Agent10_Withdrawals!J63)</f>
        <v/>
      </c>
      <c r="K1856" s="40" t="str">
        <f>IF(Agent10_Withdrawals!A63="","",Agent10_Withdrawals!K63)</f>
        <v/>
      </c>
      <c r="L1856" s="40" t="str">
        <f>IF(G1856="","",IF(D1856-G1856&gt;=System_Config!$B$9,"✅ OK","⚠️ BREACH"))</f>
        <v/>
      </c>
      <c r="M1856" s="40" t="str">
        <f>IFERROR(IF(Agent10_Withdrawals!A63="","",YEAR(Agent10_Withdrawals!D63)),"")</f>
        <v/>
      </c>
    </row>
    <row r="1857" spans="1:13" ht="18" customHeight="1" x14ac:dyDescent="0.25">
      <c r="A1857" s="40" t="str">
        <f>IF(Agent10_Withdrawals!A64="","",Agent10_Withdrawals!A64)</f>
        <v/>
      </c>
      <c r="B1857" s="40" t="str">
        <f ca="1">IF(Agent10_Withdrawals!A64="","","WD"&amp;TEXT(1857-3,"0000")&amp;"-"&amp;TEXT(TODAY(),"YYYYMMDD"))</f>
        <v/>
      </c>
      <c r="C1857" s="40" t="str">
        <f>IF(Agent10_Withdrawals!A64="","",Agent10_Withdrawals!B64)</f>
        <v/>
      </c>
      <c r="D1857" s="43" t="str">
        <f>IF(Agent10_Withdrawals!A64="","",Agent10_Withdrawals!C64)</f>
        <v/>
      </c>
      <c r="E1857" s="41" t="str">
        <f>IF(Agent10_Withdrawals!A64="","",Agent10_Withdrawals!D64)</f>
        <v/>
      </c>
      <c r="F1857" s="40" t="str">
        <f>IF(Agent10_Withdrawals!A64="","",Agent10_Withdrawals!F64)</f>
        <v/>
      </c>
      <c r="G1857" s="42" t="str">
        <f>IF(Agent10_Withdrawals!A64="","",Agent10_Withdrawals!E64)</f>
        <v/>
      </c>
      <c r="H1857" s="42" t="str">
        <f>IF(Agent10_Withdrawals!A64="","",Agent10_Withdrawals!G64)</f>
        <v/>
      </c>
      <c r="I1857" s="40" t="str">
        <f>IF(Agent10_Withdrawals!A64="","",Agent10_Withdrawals!H64)</f>
        <v/>
      </c>
      <c r="J1857" s="40" t="str">
        <f>IF(Agent10_Withdrawals!A64="","",Agent10_Withdrawals!J64)</f>
        <v/>
      </c>
      <c r="K1857" s="40" t="str">
        <f>IF(Agent10_Withdrawals!A64="","",Agent10_Withdrawals!K64)</f>
        <v/>
      </c>
      <c r="L1857" s="40" t="str">
        <f>IF(G1857="","",IF(D1857-G1857&gt;=System_Config!$B$9,"✅ OK","⚠️ BREACH"))</f>
        <v/>
      </c>
      <c r="M1857" s="40" t="str">
        <f>IFERROR(IF(Agent10_Withdrawals!A64="","",YEAR(Agent10_Withdrawals!D64)),"")</f>
        <v/>
      </c>
    </row>
    <row r="1858" spans="1:13" ht="18" customHeight="1" x14ac:dyDescent="0.25">
      <c r="A1858" s="40" t="str">
        <f>IF(Agent10_Withdrawals!A65="","",Agent10_Withdrawals!A65)</f>
        <v/>
      </c>
      <c r="B1858" s="40" t="str">
        <f ca="1">IF(Agent10_Withdrawals!A65="","","WD"&amp;TEXT(1858-3,"0000")&amp;"-"&amp;TEXT(TODAY(),"YYYYMMDD"))</f>
        <v/>
      </c>
      <c r="C1858" s="40" t="str">
        <f>IF(Agent10_Withdrawals!A65="","",Agent10_Withdrawals!B65)</f>
        <v/>
      </c>
      <c r="D1858" s="43" t="str">
        <f>IF(Agent10_Withdrawals!A65="","",Agent10_Withdrawals!C65)</f>
        <v/>
      </c>
      <c r="E1858" s="41" t="str">
        <f>IF(Agent10_Withdrawals!A65="","",Agent10_Withdrawals!D65)</f>
        <v/>
      </c>
      <c r="F1858" s="40" t="str">
        <f>IF(Agent10_Withdrawals!A65="","",Agent10_Withdrawals!F65)</f>
        <v/>
      </c>
      <c r="G1858" s="42" t="str">
        <f>IF(Agent10_Withdrawals!A65="","",Agent10_Withdrawals!E65)</f>
        <v/>
      </c>
      <c r="H1858" s="42" t="str">
        <f>IF(Agent10_Withdrawals!A65="","",Agent10_Withdrawals!G65)</f>
        <v/>
      </c>
      <c r="I1858" s="40" t="str">
        <f>IF(Agent10_Withdrawals!A65="","",Agent10_Withdrawals!H65)</f>
        <v/>
      </c>
      <c r="J1858" s="40" t="str">
        <f>IF(Agent10_Withdrawals!A65="","",Agent10_Withdrawals!J65)</f>
        <v/>
      </c>
      <c r="K1858" s="40" t="str">
        <f>IF(Agent10_Withdrawals!A65="","",Agent10_Withdrawals!K65)</f>
        <v/>
      </c>
      <c r="L1858" s="40" t="str">
        <f>IF(G1858="","",IF(D1858-G1858&gt;=System_Config!$B$9,"✅ OK","⚠️ BREACH"))</f>
        <v/>
      </c>
      <c r="M1858" s="40" t="str">
        <f>IFERROR(IF(Agent10_Withdrawals!A65="","",YEAR(Agent10_Withdrawals!D65)),"")</f>
        <v/>
      </c>
    </row>
    <row r="1859" spans="1:13" ht="18" customHeight="1" x14ac:dyDescent="0.25">
      <c r="A1859" s="40" t="str">
        <f>IF(Agent10_Withdrawals!A66="","",Agent10_Withdrawals!A66)</f>
        <v/>
      </c>
      <c r="B1859" s="40" t="str">
        <f ca="1">IF(Agent10_Withdrawals!A66="","","WD"&amp;TEXT(1859-3,"0000")&amp;"-"&amp;TEXT(TODAY(),"YYYYMMDD"))</f>
        <v/>
      </c>
      <c r="C1859" s="40" t="str">
        <f>IF(Agent10_Withdrawals!A66="","",Agent10_Withdrawals!B66)</f>
        <v/>
      </c>
      <c r="D1859" s="43" t="str">
        <f>IF(Agent10_Withdrawals!A66="","",Agent10_Withdrawals!C66)</f>
        <v/>
      </c>
      <c r="E1859" s="41" t="str">
        <f>IF(Agent10_Withdrawals!A66="","",Agent10_Withdrawals!D66)</f>
        <v/>
      </c>
      <c r="F1859" s="40" t="str">
        <f>IF(Agent10_Withdrawals!A66="","",Agent10_Withdrawals!F66)</f>
        <v/>
      </c>
      <c r="G1859" s="42" t="str">
        <f>IF(Agent10_Withdrawals!A66="","",Agent10_Withdrawals!E66)</f>
        <v/>
      </c>
      <c r="H1859" s="42" t="str">
        <f>IF(Agent10_Withdrawals!A66="","",Agent10_Withdrawals!G66)</f>
        <v/>
      </c>
      <c r="I1859" s="40" t="str">
        <f>IF(Agent10_Withdrawals!A66="","",Agent10_Withdrawals!H66)</f>
        <v/>
      </c>
      <c r="J1859" s="40" t="str">
        <f>IF(Agent10_Withdrawals!A66="","",Agent10_Withdrawals!J66)</f>
        <v/>
      </c>
      <c r="K1859" s="40" t="str">
        <f>IF(Agent10_Withdrawals!A66="","",Agent10_Withdrawals!K66)</f>
        <v/>
      </c>
      <c r="L1859" s="40" t="str">
        <f>IF(G1859="","",IF(D1859-G1859&gt;=System_Config!$B$9,"✅ OK","⚠️ BREACH"))</f>
        <v/>
      </c>
      <c r="M1859" s="40" t="str">
        <f>IFERROR(IF(Agent10_Withdrawals!A66="","",YEAR(Agent10_Withdrawals!D66)),"")</f>
        <v/>
      </c>
    </row>
    <row r="1860" spans="1:13" ht="18" customHeight="1" x14ac:dyDescent="0.25">
      <c r="A1860" s="40" t="str">
        <f>IF(Agent10_Withdrawals!A67="","",Agent10_Withdrawals!A67)</f>
        <v/>
      </c>
      <c r="B1860" s="40" t="str">
        <f ca="1">IF(Agent10_Withdrawals!A67="","","WD"&amp;TEXT(1860-3,"0000")&amp;"-"&amp;TEXT(TODAY(),"YYYYMMDD"))</f>
        <v/>
      </c>
      <c r="C1860" s="40" t="str">
        <f>IF(Agent10_Withdrawals!A67="","",Agent10_Withdrawals!B67)</f>
        <v/>
      </c>
      <c r="D1860" s="43" t="str">
        <f>IF(Agent10_Withdrawals!A67="","",Agent10_Withdrawals!C67)</f>
        <v/>
      </c>
      <c r="E1860" s="41" t="str">
        <f>IF(Agent10_Withdrawals!A67="","",Agent10_Withdrawals!D67)</f>
        <v/>
      </c>
      <c r="F1860" s="40" t="str">
        <f>IF(Agent10_Withdrawals!A67="","",Agent10_Withdrawals!F67)</f>
        <v/>
      </c>
      <c r="G1860" s="42" t="str">
        <f>IF(Agent10_Withdrawals!A67="","",Agent10_Withdrawals!E67)</f>
        <v/>
      </c>
      <c r="H1860" s="42" t="str">
        <f>IF(Agent10_Withdrawals!A67="","",Agent10_Withdrawals!G67)</f>
        <v/>
      </c>
      <c r="I1860" s="40" t="str">
        <f>IF(Agent10_Withdrawals!A67="","",Agent10_Withdrawals!H67)</f>
        <v/>
      </c>
      <c r="J1860" s="40" t="str">
        <f>IF(Agent10_Withdrawals!A67="","",Agent10_Withdrawals!J67)</f>
        <v/>
      </c>
      <c r="K1860" s="40" t="str">
        <f>IF(Agent10_Withdrawals!A67="","",Agent10_Withdrawals!K67)</f>
        <v/>
      </c>
      <c r="L1860" s="40" t="str">
        <f>IF(G1860="","",IF(D1860-G1860&gt;=System_Config!$B$9,"✅ OK","⚠️ BREACH"))</f>
        <v/>
      </c>
      <c r="M1860" s="40" t="str">
        <f>IFERROR(IF(Agent10_Withdrawals!A67="","",YEAR(Agent10_Withdrawals!D67)),"")</f>
        <v/>
      </c>
    </row>
    <row r="1861" spans="1:13" ht="18" customHeight="1" x14ac:dyDescent="0.25">
      <c r="A1861" s="40" t="str">
        <f>IF(Agent10_Withdrawals!A68="","",Agent10_Withdrawals!A68)</f>
        <v/>
      </c>
      <c r="B1861" s="40" t="str">
        <f ca="1">IF(Agent10_Withdrawals!A68="","","WD"&amp;TEXT(1861-3,"0000")&amp;"-"&amp;TEXT(TODAY(),"YYYYMMDD"))</f>
        <v/>
      </c>
      <c r="C1861" s="40" t="str">
        <f>IF(Agent10_Withdrawals!A68="","",Agent10_Withdrawals!B68)</f>
        <v/>
      </c>
      <c r="D1861" s="43" t="str">
        <f>IF(Agent10_Withdrawals!A68="","",Agent10_Withdrawals!C68)</f>
        <v/>
      </c>
      <c r="E1861" s="41" t="str">
        <f>IF(Agent10_Withdrawals!A68="","",Agent10_Withdrawals!D68)</f>
        <v/>
      </c>
      <c r="F1861" s="40" t="str">
        <f>IF(Agent10_Withdrawals!A68="","",Agent10_Withdrawals!F68)</f>
        <v/>
      </c>
      <c r="G1861" s="42" t="str">
        <f>IF(Agent10_Withdrawals!A68="","",Agent10_Withdrawals!E68)</f>
        <v/>
      </c>
      <c r="H1861" s="42" t="str">
        <f>IF(Agent10_Withdrawals!A68="","",Agent10_Withdrawals!G68)</f>
        <v/>
      </c>
      <c r="I1861" s="40" t="str">
        <f>IF(Agent10_Withdrawals!A68="","",Agent10_Withdrawals!H68)</f>
        <v/>
      </c>
      <c r="J1861" s="40" t="str">
        <f>IF(Agent10_Withdrawals!A68="","",Agent10_Withdrawals!J68)</f>
        <v/>
      </c>
      <c r="K1861" s="40" t="str">
        <f>IF(Agent10_Withdrawals!A68="","",Agent10_Withdrawals!K68)</f>
        <v/>
      </c>
      <c r="L1861" s="40" t="str">
        <f>IF(G1861="","",IF(D1861-G1861&gt;=System_Config!$B$9,"✅ OK","⚠️ BREACH"))</f>
        <v/>
      </c>
      <c r="M1861" s="40" t="str">
        <f>IFERROR(IF(Agent10_Withdrawals!A68="","",YEAR(Agent10_Withdrawals!D68)),"")</f>
        <v/>
      </c>
    </row>
    <row r="1862" spans="1:13" ht="18" customHeight="1" x14ac:dyDescent="0.25">
      <c r="A1862" s="40" t="str">
        <f>IF(Agent10_Withdrawals!A69="","",Agent10_Withdrawals!A69)</f>
        <v/>
      </c>
      <c r="B1862" s="40" t="str">
        <f ca="1">IF(Agent10_Withdrawals!A69="","","WD"&amp;TEXT(1862-3,"0000")&amp;"-"&amp;TEXT(TODAY(),"YYYYMMDD"))</f>
        <v/>
      </c>
      <c r="C1862" s="40" t="str">
        <f>IF(Agent10_Withdrawals!A69="","",Agent10_Withdrawals!B69)</f>
        <v/>
      </c>
      <c r="D1862" s="43" t="str">
        <f>IF(Agent10_Withdrawals!A69="","",Agent10_Withdrawals!C69)</f>
        <v/>
      </c>
      <c r="E1862" s="41" t="str">
        <f>IF(Agent10_Withdrawals!A69="","",Agent10_Withdrawals!D69)</f>
        <v/>
      </c>
      <c r="F1862" s="40" t="str">
        <f>IF(Agent10_Withdrawals!A69="","",Agent10_Withdrawals!F69)</f>
        <v/>
      </c>
      <c r="G1862" s="42" t="str">
        <f>IF(Agent10_Withdrawals!A69="","",Agent10_Withdrawals!E69)</f>
        <v/>
      </c>
      <c r="H1862" s="42" t="str">
        <f>IF(Agent10_Withdrawals!A69="","",Agent10_Withdrawals!G69)</f>
        <v/>
      </c>
      <c r="I1862" s="40" t="str">
        <f>IF(Agent10_Withdrawals!A69="","",Agent10_Withdrawals!H69)</f>
        <v/>
      </c>
      <c r="J1862" s="40" t="str">
        <f>IF(Agent10_Withdrawals!A69="","",Agent10_Withdrawals!J69)</f>
        <v/>
      </c>
      <c r="K1862" s="40" t="str">
        <f>IF(Agent10_Withdrawals!A69="","",Agent10_Withdrawals!K69)</f>
        <v/>
      </c>
      <c r="L1862" s="40" t="str">
        <f>IF(G1862="","",IF(D1862-G1862&gt;=System_Config!$B$9,"✅ OK","⚠️ BREACH"))</f>
        <v/>
      </c>
      <c r="M1862" s="40" t="str">
        <f>IFERROR(IF(Agent10_Withdrawals!A69="","",YEAR(Agent10_Withdrawals!D69)),"")</f>
        <v/>
      </c>
    </row>
    <row r="1863" spans="1:13" ht="18" customHeight="1" x14ac:dyDescent="0.25">
      <c r="A1863" s="40" t="str">
        <f>IF(Agent10_Withdrawals!A70="","",Agent10_Withdrawals!A70)</f>
        <v/>
      </c>
      <c r="B1863" s="40" t="str">
        <f ca="1">IF(Agent10_Withdrawals!A70="","","WD"&amp;TEXT(1863-3,"0000")&amp;"-"&amp;TEXT(TODAY(),"YYYYMMDD"))</f>
        <v/>
      </c>
      <c r="C1863" s="40" t="str">
        <f>IF(Agent10_Withdrawals!A70="","",Agent10_Withdrawals!B70)</f>
        <v/>
      </c>
      <c r="D1863" s="43" t="str">
        <f>IF(Agent10_Withdrawals!A70="","",Agent10_Withdrawals!C70)</f>
        <v/>
      </c>
      <c r="E1863" s="41" t="str">
        <f>IF(Agent10_Withdrawals!A70="","",Agent10_Withdrawals!D70)</f>
        <v/>
      </c>
      <c r="F1863" s="40" t="str">
        <f>IF(Agent10_Withdrawals!A70="","",Agent10_Withdrawals!F70)</f>
        <v/>
      </c>
      <c r="G1863" s="42" t="str">
        <f>IF(Agent10_Withdrawals!A70="","",Agent10_Withdrawals!E70)</f>
        <v/>
      </c>
      <c r="H1863" s="42" t="str">
        <f>IF(Agent10_Withdrawals!A70="","",Agent10_Withdrawals!G70)</f>
        <v/>
      </c>
      <c r="I1863" s="40" t="str">
        <f>IF(Agent10_Withdrawals!A70="","",Agent10_Withdrawals!H70)</f>
        <v/>
      </c>
      <c r="J1863" s="40" t="str">
        <f>IF(Agent10_Withdrawals!A70="","",Agent10_Withdrawals!J70)</f>
        <v/>
      </c>
      <c r="K1863" s="40" t="str">
        <f>IF(Agent10_Withdrawals!A70="","",Agent10_Withdrawals!K70)</f>
        <v/>
      </c>
      <c r="L1863" s="40" t="str">
        <f>IF(G1863="","",IF(D1863-G1863&gt;=System_Config!$B$9,"✅ OK","⚠️ BREACH"))</f>
        <v/>
      </c>
      <c r="M1863" s="40" t="str">
        <f>IFERROR(IF(Agent10_Withdrawals!A70="","",YEAR(Agent10_Withdrawals!D70)),"")</f>
        <v/>
      </c>
    </row>
    <row r="1864" spans="1:13" ht="18" customHeight="1" x14ac:dyDescent="0.25">
      <c r="A1864" s="40" t="str">
        <f>IF(Agent10_Withdrawals!A71="","",Agent10_Withdrawals!A71)</f>
        <v/>
      </c>
      <c r="B1864" s="40" t="str">
        <f ca="1">IF(Agent10_Withdrawals!A71="","","WD"&amp;TEXT(1864-3,"0000")&amp;"-"&amp;TEXT(TODAY(),"YYYYMMDD"))</f>
        <v/>
      </c>
      <c r="C1864" s="40" t="str">
        <f>IF(Agent10_Withdrawals!A71="","",Agent10_Withdrawals!B71)</f>
        <v/>
      </c>
      <c r="D1864" s="43" t="str">
        <f>IF(Agent10_Withdrawals!A71="","",Agent10_Withdrawals!C71)</f>
        <v/>
      </c>
      <c r="E1864" s="41" t="str">
        <f>IF(Agent10_Withdrawals!A71="","",Agent10_Withdrawals!D71)</f>
        <v/>
      </c>
      <c r="F1864" s="40" t="str">
        <f>IF(Agent10_Withdrawals!A71="","",Agent10_Withdrawals!F71)</f>
        <v/>
      </c>
      <c r="G1864" s="42" t="str">
        <f>IF(Agent10_Withdrawals!A71="","",Agent10_Withdrawals!E71)</f>
        <v/>
      </c>
      <c r="H1864" s="42" t="str">
        <f>IF(Agent10_Withdrawals!A71="","",Agent10_Withdrawals!G71)</f>
        <v/>
      </c>
      <c r="I1864" s="40" t="str">
        <f>IF(Agent10_Withdrawals!A71="","",Agent10_Withdrawals!H71)</f>
        <v/>
      </c>
      <c r="J1864" s="40" t="str">
        <f>IF(Agent10_Withdrawals!A71="","",Agent10_Withdrawals!J71)</f>
        <v/>
      </c>
      <c r="K1864" s="40" t="str">
        <f>IF(Agent10_Withdrawals!A71="","",Agent10_Withdrawals!K71)</f>
        <v/>
      </c>
      <c r="L1864" s="40" t="str">
        <f>IF(G1864="","",IF(D1864-G1864&gt;=System_Config!$B$9,"✅ OK","⚠️ BREACH"))</f>
        <v/>
      </c>
      <c r="M1864" s="40" t="str">
        <f>IFERROR(IF(Agent10_Withdrawals!A71="","",YEAR(Agent10_Withdrawals!D71)),"")</f>
        <v/>
      </c>
    </row>
    <row r="1865" spans="1:13" ht="18" customHeight="1" x14ac:dyDescent="0.25">
      <c r="A1865" s="40" t="str">
        <f>IF(Agent10_Withdrawals!A72="","",Agent10_Withdrawals!A72)</f>
        <v/>
      </c>
      <c r="B1865" s="40" t="str">
        <f ca="1">IF(Agent10_Withdrawals!A72="","","WD"&amp;TEXT(1865-3,"0000")&amp;"-"&amp;TEXT(TODAY(),"YYYYMMDD"))</f>
        <v/>
      </c>
      <c r="C1865" s="40" t="str">
        <f>IF(Agent10_Withdrawals!A72="","",Agent10_Withdrawals!B72)</f>
        <v/>
      </c>
      <c r="D1865" s="43" t="str">
        <f>IF(Agent10_Withdrawals!A72="","",Agent10_Withdrawals!C72)</f>
        <v/>
      </c>
      <c r="E1865" s="41" t="str">
        <f>IF(Agent10_Withdrawals!A72="","",Agent10_Withdrawals!D72)</f>
        <v/>
      </c>
      <c r="F1865" s="40" t="str">
        <f>IF(Agent10_Withdrawals!A72="","",Agent10_Withdrawals!F72)</f>
        <v/>
      </c>
      <c r="G1865" s="42" t="str">
        <f>IF(Agent10_Withdrawals!A72="","",Agent10_Withdrawals!E72)</f>
        <v/>
      </c>
      <c r="H1865" s="42" t="str">
        <f>IF(Agent10_Withdrawals!A72="","",Agent10_Withdrawals!G72)</f>
        <v/>
      </c>
      <c r="I1865" s="40" t="str">
        <f>IF(Agent10_Withdrawals!A72="","",Agent10_Withdrawals!H72)</f>
        <v/>
      </c>
      <c r="J1865" s="40" t="str">
        <f>IF(Agent10_Withdrawals!A72="","",Agent10_Withdrawals!J72)</f>
        <v/>
      </c>
      <c r="K1865" s="40" t="str">
        <f>IF(Agent10_Withdrawals!A72="","",Agent10_Withdrawals!K72)</f>
        <v/>
      </c>
      <c r="L1865" s="40" t="str">
        <f>IF(G1865="","",IF(D1865-G1865&gt;=System_Config!$B$9,"✅ OK","⚠️ BREACH"))</f>
        <v/>
      </c>
      <c r="M1865" s="40" t="str">
        <f>IFERROR(IF(Agent10_Withdrawals!A72="","",YEAR(Agent10_Withdrawals!D72)),"")</f>
        <v/>
      </c>
    </row>
    <row r="1866" spans="1:13" ht="18" customHeight="1" x14ac:dyDescent="0.25">
      <c r="A1866" s="40" t="str">
        <f>IF(Agent10_Withdrawals!A73="","",Agent10_Withdrawals!A73)</f>
        <v/>
      </c>
      <c r="B1866" s="40" t="str">
        <f ca="1">IF(Agent10_Withdrawals!A73="","","WD"&amp;TEXT(1866-3,"0000")&amp;"-"&amp;TEXT(TODAY(),"YYYYMMDD"))</f>
        <v/>
      </c>
      <c r="C1866" s="40" t="str">
        <f>IF(Agent10_Withdrawals!A73="","",Agent10_Withdrawals!B73)</f>
        <v/>
      </c>
      <c r="D1866" s="43" t="str">
        <f>IF(Agent10_Withdrawals!A73="","",Agent10_Withdrawals!C73)</f>
        <v/>
      </c>
      <c r="E1866" s="41" t="str">
        <f>IF(Agent10_Withdrawals!A73="","",Agent10_Withdrawals!D73)</f>
        <v/>
      </c>
      <c r="F1866" s="40" t="str">
        <f>IF(Agent10_Withdrawals!A73="","",Agent10_Withdrawals!F73)</f>
        <v/>
      </c>
      <c r="G1866" s="42" t="str">
        <f>IF(Agent10_Withdrawals!A73="","",Agent10_Withdrawals!E73)</f>
        <v/>
      </c>
      <c r="H1866" s="42" t="str">
        <f>IF(Agent10_Withdrawals!A73="","",Agent10_Withdrawals!G73)</f>
        <v/>
      </c>
      <c r="I1866" s="40" t="str">
        <f>IF(Agent10_Withdrawals!A73="","",Agent10_Withdrawals!H73)</f>
        <v/>
      </c>
      <c r="J1866" s="40" t="str">
        <f>IF(Agent10_Withdrawals!A73="","",Agent10_Withdrawals!J73)</f>
        <v/>
      </c>
      <c r="K1866" s="40" t="str">
        <f>IF(Agent10_Withdrawals!A73="","",Agent10_Withdrawals!K73)</f>
        <v/>
      </c>
      <c r="L1866" s="40" t="str">
        <f>IF(G1866="","",IF(D1866-G1866&gt;=System_Config!$B$9,"✅ OK","⚠️ BREACH"))</f>
        <v/>
      </c>
      <c r="M1866" s="40" t="str">
        <f>IFERROR(IF(Agent10_Withdrawals!A73="","",YEAR(Agent10_Withdrawals!D73)),"")</f>
        <v/>
      </c>
    </row>
    <row r="1867" spans="1:13" ht="18" customHeight="1" x14ac:dyDescent="0.25">
      <c r="A1867" s="40" t="str">
        <f>IF(Agent10_Withdrawals!A74="","",Agent10_Withdrawals!A74)</f>
        <v/>
      </c>
      <c r="B1867" s="40" t="str">
        <f ca="1">IF(Agent10_Withdrawals!A74="","","WD"&amp;TEXT(1867-3,"0000")&amp;"-"&amp;TEXT(TODAY(),"YYYYMMDD"))</f>
        <v/>
      </c>
      <c r="C1867" s="40" t="str">
        <f>IF(Agent10_Withdrawals!A74="","",Agent10_Withdrawals!B74)</f>
        <v/>
      </c>
      <c r="D1867" s="43" t="str">
        <f>IF(Agent10_Withdrawals!A74="","",Agent10_Withdrawals!C74)</f>
        <v/>
      </c>
      <c r="E1867" s="41" t="str">
        <f>IF(Agent10_Withdrawals!A74="","",Agent10_Withdrawals!D74)</f>
        <v/>
      </c>
      <c r="F1867" s="40" t="str">
        <f>IF(Agent10_Withdrawals!A74="","",Agent10_Withdrawals!F74)</f>
        <v/>
      </c>
      <c r="G1867" s="42" t="str">
        <f>IF(Agent10_Withdrawals!A74="","",Agent10_Withdrawals!E74)</f>
        <v/>
      </c>
      <c r="H1867" s="42" t="str">
        <f>IF(Agent10_Withdrawals!A74="","",Agent10_Withdrawals!G74)</f>
        <v/>
      </c>
      <c r="I1867" s="40" t="str">
        <f>IF(Agent10_Withdrawals!A74="","",Agent10_Withdrawals!H74)</f>
        <v/>
      </c>
      <c r="J1867" s="40" t="str">
        <f>IF(Agent10_Withdrawals!A74="","",Agent10_Withdrawals!J74)</f>
        <v/>
      </c>
      <c r="K1867" s="40" t="str">
        <f>IF(Agent10_Withdrawals!A74="","",Agent10_Withdrawals!K74)</f>
        <v/>
      </c>
      <c r="L1867" s="40" t="str">
        <f>IF(G1867="","",IF(D1867-G1867&gt;=System_Config!$B$9,"✅ OK","⚠️ BREACH"))</f>
        <v/>
      </c>
      <c r="M1867" s="40" t="str">
        <f>IFERROR(IF(Agent10_Withdrawals!A74="","",YEAR(Agent10_Withdrawals!D74)),"")</f>
        <v/>
      </c>
    </row>
    <row r="1868" spans="1:13" ht="18" customHeight="1" x14ac:dyDescent="0.25">
      <c r="A1868" s="40" t="str">
        <f>IF(Agent10_Withdrawals!A75="","",Agent10_Withdrawals!A75)</f>
        <v/>
      </c>
      <c r="B1868" s="40" t="str">
        <f ca="1">IF(Agent10_Withdrawals!A75="","","WD"&amp;TEXT(1868-3,"0000")&amp;"-"&amp;TEXT(TODAY(),"YYYYMMDD"))</f>
        <v/>
      </c>
      <c r="C1868" s="40" t="str">
        <f>IF(Agent10_Withdrawals!A75="","",Agent10_Withdrawals!B75)</f>
        <v/>
      </c>
      <c r="D1868" s="43" t="str">
        <f>IF(Agent10_Withdrawals!A75="","",Agent10_Withdrawals!C75)</f>
        <v/>
      </c>
      <c r="E1868" s="41" t="str">
        <f>IF(Agent10_Withdrawals!A75="","",Agent10_Withdrawals!D75)</f>
        <v/>
      </c>
      <c r="F1868" s="40" t="str">
        <f>IF(Agent10_Withdrawals!A75="","",Agent10_Withdrawals!F75)</f>
        <v/>
      </c>
      <c r="G1868" s="42" t="str">
        <f>IF(Agent10_Withdrawals!A75="","",Agent10_Withdrawals!E75)</f>
        <v/>
      </c>
      <c r="H1868" s="42" t="str">
        <f>IF(Agent10_Withdrawals!A75="","",Agent10_Withdrawals!G75)</f>
        <v/>
      </c>
      <c r="I1868" s="40" t="str">
        <f>IF(Agent10_Withdrawals!A75="","",Agent10_Withdrawals!H75)</f>
        <v/>
      </c>
      <c r="J1868" s="40" t="str">
        <f>IF(Agent10_Withdrawals!A75="","",Agent10_Withdrawals!J75)</f>
        <v/>
      </c>
      <c r="K1868" s="40" t="str">
        <f>IF(Agent10_Withdrawals!A75="","",Agent10_Withdrawals!K75)</f>
        <v/>
      </c>
      <c r="L1868" s="40" t="str">
        <f>IF(G1868="","",IF(D1868-G1868&gt;=System_Config!$B$9,"✅ OK","⚠️ BREACH"))</f>
        <v/>
      </c>
      <c r="M1868" s="40" t="str">
        <f>IFERROR(IF(Agent10_Withdrawals!A75="","",YEAR(Agent10_Withdrawals!D75)),"")</f>
        <v/>
      </c>
    </row>
    <row r="1869" spans="1:13" ht="18" customHeight="1" x14ac:dyDescent="0.25">
      <c r="A1869" s="40" t="str">
        <f>IF(Agent10_Withdrawals!A76="","",Agent10_Withdrawals!A76)</f>
        <v/>
      </c>
      <c r="B1869" s="40" t="str">
        <f ca="1">IF(Agent10_Withdrawals!A76="","","WD"&amp;TEXT(1869-3,"0000")&amp;"-"&amp;TEXT(TODAY(),"YYYYMMDD"))</f>
        <v/>
      </c>
      <c r="C1869" s="40" t="str">
        <f>IF(Agent10_Withdrawals!A76="","",Agent10_Withdrawals!B76)</f>
        <v/>
      </c>
      <c r="D1869" s="43" t="str">
        <f>IF(Agent10_Withdrawals!A76="","",Agent10_Withdrawals!C76)</f>
        <v/>
      </c>
      <c r="E1869" s="41" t="str">
        <f>IF(Agent10_Withdrawals!A76="","",Agent10_Withdrawals!D76)</f>
        <v/>
      </c>
      <c r="F1869" s="40" t="str">
        <f>IF(Agent10_Withdrawals!A76="","",Agent10_Withdrawals!F76)</f>
        <v/>
      </c>
      <c r="G1869" s="42" t="str">
        <f>IF(Agent10_Withdrawals!A76="","",Agent10_Withdrawals!E76)</f>
        <v/>
      </c>
      <c r="H1869" s="42" t="str">
        <f>IF(Agent10_Withdrawals!A76="","",Agent10_Withdrawals!G76)</f>
        <v/>
      </c>
      <c r="I1869" s="40" t="str">
        <f>IF(Agent10_Withdrawals!A76="","",Agent10_Withdrawals!H76)</f>
        <v/>
      </c>
      <c r="J1869" s="40" t="str">
        <f>IF(Agent10_Withdrawals!A76="","",Agent10_Withdrawals!J76)</f>
        <v/>
      </c>
      <c r="K1869" s="40" t="str">
        <f>IF(Agent10_Withdrawals!A76="","",Agent10_Withdrawals!K76)</f>
        <v/>
      </c>
      <c r="L1869" s="40" t="str">
        <f>IF(G1869="","",IF(D1869-G1869&gt;=System_Config!$B$9,"✅ OK","⚠️ BREACH"))</f>
        <v/>
      </c>
      <c r="M1869" s="40" t="str">
        <f>IFERROR(IF(Agent10_Withdrawals!A76="","",YEAR(Agent10_Withdrawals!D76)),"")</f>
        <v/>
      </c>
    </row>
    <row r="1870" spans="1:13" ht="18" customHeight="1" x14ac:dyDescent="0.25">
      <c r="A1870" s="40" t="str">
        <f>IF(Agent10_Withdrawals!A77="","",Agent10_Withdrawals!A77)</f>
        <v/>
      </c>
      <c r="B1870" s="40" t="str">
        <f ca="1">IF(Agent10_Withdrawals!A77="","","WD"&amp;TEXT(1870-3,"0000")&amp;"-"&amp;TEXT(TODAY(),"YYYYMMDD"))</f>
        <v/>
      </c>
      <c r="C1870" s="40" t="str">
        <f>IF(Agent10_Withdrawals!A77="","",Agent10_Withdrawals!B77)</f>
        <v/>
      </c>
      <c r="D1870" s="43" t="str">
        <f>IF(Agent10_Withdrawals!A77="","",Agent10_Withdrawals!C77)</f>
        <v/>
      </c>
      <c r="E1870" s="41" t="str">
        <f>IF(Agent10_Withdrawals!A77="","",Agent10_Withdrawals!D77)</f>
        <v/>
      </c>
      <c r="F1870" s="40" t="str">
        <f>IF(Agent10_Withdrawals!A77="","",Agent10_Withdrawals!F77)</f>
        <v/>
      </c>
      <c r="G1870" s="42" t="str">
        <f>IF(Agent10_Withdrawals!A77="","",Agent10_Withdrawals!E77)</f>
        <v/>
      </c>
      <c r="H1870" s="42" t="str">
        <f>IF(Agent10_Withdrawals!A77="","",Agent10_Withdrawals!G77)</f>
        <v/>
      </c>
      <c r="I1870" s="40" t="str">
        <f>IF(Agent10_Withdrawals!A77="","",Agent10_Withdrawals!H77)</f>
        <v/>
      </c>
      <c r="J1870" s="40" t="str">
        <f>IF(Agent10_Withdrawals!A77="","",Agent10_Withdrawals!J77)</f>
        <v/>
      </c>
      <c r="K1870" s="40" t="str">
        <f>IF(Agent10_Withdrawals!A77="","",Agent10_Withdrawals!K77)</f>
        <v/>
      </c>
      <c r="L1870" s="40" t="str">
        <f>IF(G1870="","",IF(D1870-G1870&gt;=System_Config!$B$9,"✅ OK","⚠️ BREACH"))</f>
        <v/>
      </c>
      <c r="M1870" s="40" t="str">
        <f>IFERROR(IF(Agent10_Withdrawals!A77="","",YEAR(Agent10_Withdrawals!D77)),"")</f>
        <v/>
      </c>
    </row>
    <row r="1871" spans="1:13" ht="18" customHeight="1" x14ac:dyDescent="0.25">
      <c r="A1871" s="40" t="str">
        <f>IF(Agent10_Withdrawals!A78="","",Agent10_Withdrawals!A78)</f>
        <v/>
      </c>
      <c r="B1871" s="40" t="str">
        <f ca="1">IF(Agent10_Withdrawals!A78="","","WD"&amp;TEXT(1871-3,"0000")&amp;"-"&amp;TEXT(TODAY(),"YYYYMMDD"))</f>
        <v/>
      </c>
      <c r="C1871" s="40" t="str">
        <f>IF(Agent10_Withdrawals!A78="","",Agent10_Withdrawals!B78)</f>
        <v/>
      </c>
      <c r="D1871" s="43" t="str">
        <f>IF(Agent10_Withdrawals!A78="","",Agent10_Withdrawals!C78)</f>
        <v/>
      </c>
      <c r="E1871" s="41" t="str">
        <f>IF(Agent10_Withdrawals!A78="","",Agent10_Withdrawals!D78)</f>
        <v/>
      </c>
      <c r="F1871" s="40" t="str">
        <f>IF(Agent10_Withdrawals!A78="","",Agent10_Withdrawals!F78)</f>
        <v/>
      </c>
      <c r="G1871" s="42" t="str">
        <f>IF(Agent10_Withdrawals!A78="","",Agent10_Withdrawals!E78)</f>
        <v/>
      </c>
      <c r="H1871" s="42" t="str">
        <f>IF(Agent10_Withdrawals!A78="","",Agent10_Withdrawals!G78)</f>
        <v/>
      </c>
      <c r="I1871" s="40" t="str">
        <f>IF(Agent10_Withdrawals!A78="","",Agent10_Withdrawals!H78)</f>
        <v/>
      </c>
      <c r="J1871" s="40" t="str">
        <f>IF(Agent10_Withdrawals!A78="","",Agent10_Withdrawals!J78)</f>
        <v/>
      </c>
      <c r="K1871" s="40" t="str">
        <f>IF(Agent10_Withdrawals!A78="","",Agent10_Withdrawals!K78)</f>
        <v/>
      </c>
      <c r="L1871" s="40" t="str">
        <f>IF(G1871="","",IF(D1871-G1871&gt;=System_Config!$B$9,"✅ OK","⚠️ BREACH"))</f>
        <v/>
      </c>
      <c r="M1871" s="40" t="str">
        <f>IFERROR(IF(Agent10_Withdrawals!A78="","",YEAR(Agent10_Withdrawals!D78)),"")</f>
        <v/>
      </c>
    </row>
    <row r="1872" spans="1:13" ht="18" customHeight="1" x14ac:dyDescent="0.25">
      <c r="A1872" s="40" t="str">
        <f>IF(Agent10_Withdrawals!A79="","",Agent10_Withdrawals!A79)</f>
        <v/>
      </c>
      <c r="B1872" s="40" t="str">
        <f ca="1">IF(Agent10_Withdrawals!A79="","","WD"&amp;TEXT(1872-3,"0000")&amp;"-"&amp;TEXT(TODAY(),"YYYYMMDD"))</f>
        <v/>
      </c>
      <c r="C1872" s="40" t="str">
        <f>IF(Agent10_Withdrawals!A79="","",Agent10_Withdrawals!B79)</f>
        <v/>
      </c>
      <c r="D1872" s="43" t="str">
        <f>IF(Agent10_Withdrawals!A79="","",Agent10_Withdrawals!C79)</f>
        <v/>
      </c>
      <c r="E1872" s="41" t="str">
        <f>IF(Agent10_Withdrawals!A79="","",Agent10_Withdrawals!D79)</f>
        <v/>
      </c>
      <c r="F1872" s="40" t="str">
        <f>IF(Agent10_Withdrawals!A79="","",Agent10_Withdrawals!F79)</f>
        <v/>
      </c>
      <c r="G1872" s="42" t="str">
        <f>IF(Agent10_Withdrawals!A79="","",Agent10_Withdrawals!E79)</f>
        <v/>
      </c>
      <c r="H1872" s="42" t="str">
        <f>IF(Agent10_Withdrawals!A79="","",Agent10_Withdrawals!G79)</f>
        <v/>
      </c>
      <c r="I1872" s="40" t="str">
        <f>IF(Agent10_Withdrawals!A79="","",Agent10_Withdrawals!H79)</f>
        <v/>
      </c>
      <c r="J1872" s="40" t="str">
        <f>IF(Agent10_Withdrawals!A79="","",Agent10_Withdrawals!J79)</f>
        <v/>
      </c>
      <c r="K1872" s="40" t="str">
        <f>IF(Agent10_Withdrawals!A79="","",Agent10_Withdrawals!K79)</f>
        <v/>
      </c>
      <c r="L1872" s="40" t="str">
        <f>IF(G1872="","",IF(D1872-G1872&gt;=System_Config!$B$9,"✅ OK","⚠️ BREACH"))</f>
        <v/>
      </c>
      <c r="M1872" s="40" t="str">
        <f>IFERROR(IF(Agent10_Withdrawals!A79="","",YEAR(Agent10_Withdrawals!D79)),"")</f>
        <v/>
      </c>
    </row>
    <row r="1873" spans="1:13" ht="18" customHeight="1" x14ac:dyDescent="0.25">
      <c r="A1873" s="40" t="str">
        <f>IF(Agent10_Withdrawals!A80="","",Agent10_Withdrawals!A80)</f>
        <v/>
      </c>
      <c r="B1873" s="40" t="str">
        <f ca="1">IF(Agent10_Withdrawals!A80="","","WD"&amp;TEXT(1873-3,"0000")&amp;"-"&amp;TEXT(TODAY(),"YYYYMMDD"))</f>
        <v/>
      </c>
      <c r="C1873" s="40" t="str">
        <f>IF(Agent10_Withdrawals!A80="","",Agent10_Withdrawals!B80)</f>
        <v/>
      </c>
      <c r="D1873" s="43" t="str">
        <f>IF(Agent10_Withdrawals!A80="","",Agent10_Withdrawals!C80)</f>
        <v/>
      </c>
      <c r="E1873" s="41" t="str">
        <f>IF(Agent10_Withdrawals!A80="","",Agent10_Withdrawals!D80)</f>
        <v/>
      </c>
      <c r="F1873" s="40" t="str">
        <f>IF(Agent10_Withdrawals!A80="","",Agent10_Withdrawals!F80)</f>
        <v/>
      </c>
      <c r="G1873" s="42" t="str">
        <f>IF(Agent10_Withdrawals!A80="","",Agent10_Withdrawals!E80)</f>
        <v/>
      </c>
      <c r="H1873" s="42" t="str">
        <f>IF(Agent10_Withdrawals!A80="","",Agent10_Withdrawals!G80)</f>
        <v/>
      </c>
      <c r="I1873" s="40" t="str">
        <f>IF(Agent10_Withdrawals!A80="","",Agent10_Withdrawals!H80)</f>
        <v/>
      </c>
      <c r="J1873" s="40" t="str">
        <f>IF(Agent10_Withdrawals!A80="","",Agent10_Withdrawals!J80)</f>
        <v/>
      </c>
      <c r="K1873" s="40" t="str">
        <f>IF(Agent10_Withdrawals!A80="","",Agent10_Withdrawals!K80)</f>
        <v/>
      </c>
      <c r="L1873" s="40" t="str">
        <f>IF(G1873="","",IF(D1873-G1873&gt;=System_Config!$B$9,"✅ OK","⚠️ BREACH"))</f>
        <v/>
      </c>
      <c r="M1873" s="40" t="str">
        <f>IFERROR(IF(Agent10_Withdrawals!A80="","",YEAR(Agent10_Withdrawals!D80)),"")</f>
        <v/>
      </c>
    </row>
    <row r="1874" spans="1:13" ht="18" customHeight="1" x14ac:dyDescent="0.25">
      <c r="A1874" s="40" t="str">
        <f>IF(Agent10_Withdrawals!A81="","",Agent10_Withdrawals!A81)</f>
        <v/>
      </c>
      <c r="B1874" s="40" t="str">
        <f ca="1">IF(Agent10_Withdrawals!A81="","","WD"&amp;TEXT(1874-3,"0000")&amp;"-"&amp;TEXT(TODAY(),"YYYYMMDD"))</f>
        <v/>
      </c>
      <c r="C1874" s="40" t="str">
        <f>IF(Agent10_Withdrawals!A81="","",Agent10_Withdrawals!B81)</f>
        <v/>
      </c>
      <c r="D1874" s="43" t="str">
        <f>IF(Agent10_Withdrawals!A81="","",Agent10_Withdrawals!C81)</f>
        <v/>
      </c>
      <c r="E1874" s="41" t="str">
        <f>IF(Agent10_Withdrawals!A81="","",Agent10_Withdrawals!D81)</f>
        <v/>
      </c>
      <c r="F1874" s="40" t="str">
        <f>IF(Agent10_Withdrawals!A81="","",Agent10_Withdrawals!F81)</f>
        <v/>
      </c>
      <c r="G1874" s="42" t="str">
        <f>IF(Agent10_Withdrawals!A81="","",Agent10_Withdrawals!E81)</f>
        <v/>
      </c>
      <c r="H1874" s="42" t="str">
        <f>IF(Agent10_Withdrawals!A81="","",Agent10_Withdrawals!G81)</f>
        <v/>
      </c>
      <c r="I1874" s="40" t="str">
        <f>IF(Agent10_Withdrawals!A81="","",Agent10_Withdrawals!H81)</f>
        <v/>
      </c>
      <c r="J1874" s="40" t="str">
        <f>IF(Agent10_Withdrawals!A81="","",Agent10_Withdrawals!J81)</f>
        <v/>
      </c>
      <c r="K1874" s="40" t="str">
        <f>IF(Agent10_Withdrawals!A81="","",Agent10_Withdrawals!K81)</f>
        <v/>
      </c>
      <c r="L1874" s="40" t="str">
        <f>IF(G1874="","",IF(D1874-G1874&gt;=System_Config!$B$9,"✅ OK","⚠️ BREACH"))</f>
        <v/>
      </c>
      <c r="M1874" s="40" t="str">
        <f>IFERROR(IF(Agent10_Withdrawals!A81="","",YEAR(Agent10_Withdrawals!D81)),"")</f>
        <v/>
      </c>
    </row>
    <row r="1875" spans="1:13" ht="18" customHeight="1" x14ac:dyDescent="0.25">
      <c r="A1875" s="40" t="str">
        <f>IF(Agent10_Withdrawals!A82="","",Agent10_Withdrawals!A82)</f>
        <v/>
      </c>
      <c r="B1875" s="40" t="str">
        <f ca="1">IF(Agent10_Withdrawals!A82="","","WD"&amp;TEXT(1875-3,"0000")&amp;"-"&amp;TEXT(TODAY(),"YYYYMMDD"))</f>
        <v/>
      </c>
      <c r="C1875" s="40" t="str">
        <f>IF(Agent10_Withdrawals!A82="","",Agent10_Withdrawals!B82)</f>
        <v/>
      </c>
      <c r="D1875" s="43" t="str">
        <f>IF(Agent10_Withdrawals!A82="","",Agent10_Withdrawals!C82)</f>
        <v/>
      </c>
      <c r="E1875" s="41" t="str">
        <f>IF(Agent10_Withdrawals!A82="","",Agent10_Withdrawals!D82)</f>
        <v/>
      </c>
      <c r="F1875" s="40" t="str">
        <f>IF(Agent10_Withdrawals!A82="","",Agent10_Withdrawals!F82)</f>
        <v/>
      </c>
      <c r="G1875" s="42" t="str">
        <f>IF(Agent10_Withdrawals!A82="","",Agent10_Withdrawals!E82)</f>
        <v/>
      </c>
      <c r="H1875" s="42" t="str">
        <f>IF(Agent10_Withdrawals!A82="","",Agent10_Withdrawals!G82)</f>
        <v/>
      </c>
      <c r="I1875" s="40" t="str">
        <f>IF(Agent10_Withdrawals!A82="","",Agent10_Withdrawals!H82)</f>
        <v/>
      </c>
      <c r="J1875" s="40" t="str">
        <f>IF(Agent10_Withdrawals!A82="","",Agent10_Withdrawals!J82)</f>
        <v/>
      </c>
      <c r="K1875" s="40" t="str">
        <f>IF(Agent10_Withdrawals!A82="","",Agent10_Withdrawals!K82)</f>
        <v/>
      </c>
      <c r="L1875" s="40" t="str">
        <f>IF(G1875="","",IF(D1875-G1875&gt;=System_Config!$B$9,"✅ OK","⚠️ BREACH"))</f>
        <v/>
      </c>
      <c r="M1875" s="40" t="str">
        <f>IFERROR(IF(Agent10_Withdrawals!A82="","",YEAR(Agent10_Withdrawals!D82)),"")</f>
        <v/>
      </c>
    </row>
    <row r="1876" spans="1:13" ht="18" customHeight="1" x14ac:dyDescent="0.25">
      <c r="A1876" s="40" t="str">
        <f>IF(Agent10_Withdrawals!A83="","",Agent10_Withdrawals!A83)</f>
        <v/>
      </c>
      <c r="B1876" s="40" t="str">
        <f ca="1">IF(Agent10_Withdrawals!A83="","","WD"&amp;TEXT(1876-3,"0000")&amp;"-"&amp;TEXT(TODAY(),"YYYYMMDD"))</f>
        <v/>
      </c>
      <c r="C1876" s="40" t="str">
        <f>IF(Agent10_Withdrawals!A83="","",Agent10_Withdrawals!B83)</f>
        <v/>
      </c>
      <c r="D1876" s="43" t="str">
        <f>IF(Agent10_Withdrawals!A83="","",Agent10_Withdrawals!C83)</f>
        <v/>
      </c>
      <c r="E1876" s="41" t="str">
        <f>IF(Agent10_Withdrawals!A83="","",Agent10_Withdrawals!D83)</f>
        <v/>
      </c>
      <c r="F1876" s="40" t="str">
        <f>IF(Agent10_Withdrawals!A83="","",Agent10_Withdrawals!F83)</f>
        <v/>
      </c>
      <c r="G1876" s="42" t="str">
        <f>IF(Agent10_Withdrawals!A83="","",Agent10_Withdrawals!E83)</f>
        <v/>
      </c>
      <c r="H1876" s="42" t="str">
        <f>IF(Agent10_Withdrawals!A83="","",Agent10_Withdrawals!G83)</f>
        <v/>
      </c>
      <c r="I1876" s="40" t="str">
        <f>IF(Agent10_Withdrawals!A83="","",Agent10_Withdrawals!H83)</f>
        <v/>
      </c>
      <c r="J1876" s="40" t="str">
        <f>IF(Agent10_Withdrawals!A83="","",Agent10_Withdrawals!J83)</f>
        <v/>
      </c>
      <c r="K1876" s="40" t="str">
        <f>IF(Agent10_Withdrawals!A83="","",Agent10_Withdrawals!K83)</f>
        <v/>
      </c>
      <c r="L1876" s="40" t="str">
        <f>IF(G1876="","",IF(D1876-G1876&gt;=System_Config!$B$9,"✅ OK","⚠️ BREACH"))</f>
        <v/>
      </c>
      <c r="M1876" s="40" t="str">
        <f>IFERROR(IF(Agent10_Withdrawals!A83="","",YEAR(Agent10_Withdrawals!D83)),"")</f>
        <v/>
      </c>
    </row>
    <row r="1877" spans="1:13" ht="18" customHeight="1" x14ac:dyDescent="0.25">
      <c r="A1877" s="40" t="str">
        <f>IF(Agent10_Withdrawals!A84="","",Agent10_Withdrawals!A84)</f>
        <v/>
      </c>
      <c r="B1877" s="40" t="str">
        <f ca="1">IF(Agent10_Withdrawals!A84="","","WD"&amp;TEXT(1877-3,"0000")&amp;"-"&amp;TEXT(TODAY(),"YYYYMMDD"))</f>
        <v/>
      </c>
      <c r="C1877" s="40" t="str">
        <f>IF(Agent10_Withdrawals!A84="","",Agent10_Withdrawals!B84)</f>
        <v/>
      </c>
      <c r="D1877" s="43" t="str">
        <f>IF(Agent10_Withdrawals!A84="","",Agent10_Withdrawals!C84)</f>
        <v/>
      </c>
      <c r="E1877" s="41" t="str">
        <f>IF(Agent10_Withdrawals!A84="","",Agent10_Withdrawals!D84)</f>
        <v/>
      </c>
      <c r="F1877" s="40" t="str">
        <f>IF(Agent10_Withdrawals!A84="","",Agent10_Withdrawals!F84)</f>
        <v/>
      </c>
      <c r="G1877" s="42" t="str">
        <f>IF(Agent10_Withdrawals!A84="","",Agent10_Withdrawals!E84)</f>
        <v/>
      </c>
      <c r="H1877" s="42" t="str">
        <f>IF(Agent10_Withdrawals!A84="","",Agent10_Withdrawals!G84)</f>
        <v/>
      </c>
      <c r="I1877" s="40" t="str">
        <f>IF(Agent10_Withdrawals!A84="","",Agent10_Withdrawals!H84)</f>
        <v/>
      </c>
      <c r="J1877" s="40" t="str">
        <f>IF(Agent10_Withdrawals!A84="","",Agent10_Withdrawals!J84)</f>
        <v/>
      </c>
      <c r="K1877" s="40" t="str">
        <f>IF(Agent10_Withdrawals!A84="","",Agent10_Withdrawals!K84)</f>
        <v/>
      </c>
      <c r="L1877" s="40" t="str">
        <f>IF(G1877="","",IF(D1877-G1877&gt;=System_Config!$B$9,"✅ OK","⚠️ BREACH"))</f>
        <v/>
      </c>
      <c r="M1877" s="40" t="str">
        <f>IFERROR(IF(Agent10_Withdrawals!A84="","",YEAR(Agent10_Withdrawals!D84)),"")</f>
        <v/>
      </c>
    </row>
    <row r="1878" spans="1:13" ht="18" customHeight="1" x14ac:dyDescent="0.25">
      <c r="A1878" s="40" t="str">
        <f>IF(Agent10_Withdrawals!A85="","",Agent10_Withdrawals!A85)</f>
        <v/>
      </c>
      <c r="B1878" s="40" t="str">
        <f ca="1">IF(Agent10_Withdrawals!A85="","","WD"&amp;TEXT(1878-3,"0000")&amp;"-"&amp;TEXT(TODAY(),"YYYYMMDD"))</f>
        <v/>
      </c>
      <c r="C1878" s="40" t="str">
        <f>IF(Agent10_Withdrawals!A85="","",Agent10_Withdrawals!B85)</f>
        <v/>
      </c>
      <c r="D1878" s="43" t="str">
        <f>IF(Agent10_Withdrawals!A85="","",Agent10_Withdrawals!C85)</f>
        <v/>
      </c>
      <c r="E1878" s="41" t="str">
        <f>IF(Agent10_Withdrawals!A85="","",Agent10_Withdrawals!D85)</f>
        <v/>
      </c>
      <c r="F1878" s="40" t="str">
        <f>IF(Agent10_Withdrawals!A85="","",Agent10_Withdrawals!F85)</f>
        <v/>
      </c>
      <c r="G1878" s="42" t="str">
        <f>IF(Agent10_Withdrawals!A85="","",Agent10_Withdrawals!E85)</f>
        <v/>
      </c>
      <c r="H1878" s="42" t="str">
        <f>IF(Agent10_Withdrawals!A85="","",Agent10_Withdrawals!G85)</f>
        <v/>
      </c>
      <c r="I1878" s="40" t="str">
        <f>IF(Agent10_Withdrawals!A85="","",Agent10_Withdrawals!H85)</f>
        <v/>
      </c>
      <c r="J1878" s="40" t="str">
        <f>IF(Agent10_Withdrawals!A85="","",Agent10_Withdrawals!J85)</f>
        <v/>
      </c>
      <c r="K1878" s="40" t="str">
        <f>IF(Agent10_Withdrawals!A85="","",Agent10_Withdrawals!K85)</f>
        <v/>
      </c>
      <c r="L1878" s="40" t="str">
        <f>IF(G1878="","",IF(D1878-G1878&gt;=System_Config!$B$9,"✅ OK","⚠️ BREACH"))</f>
        <v/>
      </c>
      <c r="M1878" s="40" t="str">
        <f>IFERROR(IF(Agent10_Withdrawals!A85="","",YEAR(Agent10_Withdrawals!D85)),"")</f>
        <v/>
      </c>
    </row>
    <row r="1879" spans="1:13" ht="18" customHeight="1" x14ac:dyDescent="0.25">
      <c r="A1879" s="40" t="str">
        <f>IF(Agent10_Withdrawals!A86="","",Agent10_Withdrawals!A86)</f>
        <v/>
      </c>
      <c r="B1879" s="40" t="str">
        <f ca="1">IF(Agent10_Withdrawals!A86="","","WD"&amp;TEXT(1879-3,"0000")&amp;"-"&amp;TEXT(TODAY(),"YYYYMMDD"))</f>
        <v/>
      </c>
      <c r="C1879" s="40" t="str">
        <f>IF(Agent10_Withdrawals!A86="","",Agent10_Withdrawals!B86)</f>
        <v/>
      </c>
      <c r="D1879" s="43" t="str">
        <f>IF(Agent10_Withdrawals!A86="","",Agent10_Withdrawals!C86)</f>
        <v/>
      </c>
      <c r="E1879" s="41" t="str">
        <f>IF(Agent10_Withdrawals!A86="","",Agent10_Withdrawals!D86)</f>
        <v/>
      </c>
      <c r="F1879" s="40" t="str">
        <f>IF(Agent10_Withdrawals!A86="","",Agent10_Withdrawals!F86)</f>
        <v/>
      </c>
      <c r="G1879" s="42" t="str">
        <f>IF(Agent10_Withdrawals!A86="","",Agent10_Withdrawals!E86)</f>
        <v/>
      </c>
      <c r="H1879" s="42" t="str">
        <f>IF(Agent10_Withdrawals!A86="","",Agent10_Withdrawals!G86)</f>
        <v/>
      </c>
      <c r="I1879" s="40" t="str">
        <f>IF(Agent10_Withdrawals!A86="","",Agent10_Withdrawals!H86)</f>
        <v/>
      </c>
      <c r="J1879" s="40" t="str">
        <f>IF(Agent10_Withdrawals!A86="","",Agent10_Withdrawals!J86)</f>
        <v/>
      </c>
      <c r="K1879" s="40" t="str">
        <f>IF(Agent10_Withdrawals!A86="","",Agent10_Withdrawals!K86)</f>
        <v/>
      </c>
      <c r="L1879" s="40" t="str">
        <f>IF(G1879="","",IF(D1879-G1879&gt;=System_Config!$B$9,"✅ OK","⚠️ BREACH"))</f>
        <v/>
      </c>
      <c r="M1879" s="40" t="str">
        <f>IFERROR(IF(Agent10_Withdrawals!A86="","",YEAR(Agent10_Withdrawals!D86)),"")</f>
        <v/>
      </c>
    </row>
    <row r="1880" spans="1:13" ht="18" customHeight="1" x14ac:dyDescent="0.25">
      <c r="A1880" s="40" t="str">
        <f>IF(Agent10_Withdrawals!A87="","",Agent10_Withdrawals!A87)</f>
        <v/>
      </c>
      <c r="B1880" s="40" t="str">
        <f ca="1">IF(Agent10_Withdrawals!A87="","","WD"&amp;TEXT(1880-3,"0000")&amp;"-"&amp;TEXT(TODAY(),"YYYYMMDD"))</f>
        <v/>
      </c>
      <c r="C1880" s="40" t="str">
        <f>IF(Agent10_Withdrawals!A87="","",Agent10_Withdrawals!B87)</f>
        <v/>
      </c>
      <c r="D1880" s="43" t="str">
        <f>IF(Agent10_Withdrawals!A87="","",Agent10_Withdrawals!C87)</f>
        <v/>
      </c>
      <c r="E1880" s="41" t="str">
        <f>IF(Agent10_Withdrawals!A87="","",Agent10_Withdrawals!D87)</f>
        <v/>
      </c>
      <c r="F1880" s="40" t="str">
        <f>IF(Agent10_Withdrawals!A87="","",Agent10_Withdrawals!F87)</f>
        <v/>
      </c>
      <c r="G1880" s="42" t="str">
        <f>IF(Agent10_Withdrawals!A87="","",Agent10_Withdrawals!E87)</f>
        <v/>
      </c>
      <c r="H1880" s="42" t="str">
        <f>IF(Agent10_Withdrawals!A87="","",Agent10_Withdrawals!G87)</f>
        <v/>
      </c>
      <c r="I1880" s="40" t="str">
        <f>IF(Agent10_Withdrawals!A87="","",Agent10_Withdrawals!H87)</f>
        <v/>
      </c>
      <c r="J1880" s="40" t="str">
        <f>IF(Agent10_Withdrawals!A87="","",Agent10_Withdrawals!J87)</f>
        <v/>
      </c>
      <c r="K1880" s="40" t="str">
        <f>IF(Agent10_Withdrawals!A87="","",Agent10_Withdrawals!K87)</f>
        <v/>
      </c>
      <c r="L1880" s="40" t="str">
        <f>IF(G1880="","",IF(D1880-G1880&gt;=System_Config!$B$9,"✅ OK","⚠️ BREACH"))</f>
        <v/>
      </c>
      <c r="M1880" s="40" t="str">
        <f>IFERROR(IF(Agent10_Withdrawals!A87="","",YEAR(Agent10_Withdrawals!D87)),"")</f>
        <v/>
      </c>
    </row>
    <row r="1881" spans="1:13" ht="18" customHeight="1" x14ac:dyDescent="0.25">
      <c r="A1881" s="40" t="str">
        <f>IF(Agent10_Withdrawals!A88="","",Agent10_Withdrawals!A88)</f>
        <v/>
      </c>
      <c r="B1881" s="40" t="str">
        <f ca="1">IF(Agent10_Withdrawals!A88="","","WD"&amp;TEXT(1881-3,"0000")&amp;"-"&amp;TEXT(TODAY(),"YYYYMMDD"))</f>
        <v/>
      </c>
      <c r="C1881" s="40" t="str">
        <f>IF(Agent10_Withdrawals!A88="","",Agent10_Withdrawals!B88)</f>
        <v/>
      </c>
      <c r="D1881" s="43" t="str">
        <f>IF(Agent10_Withdrawals!A88="","",Agent10_Withdrawals!C88)</f>
        <v/>
      </c>
      <c r="E1881" s="41" t="str">
        <f>IF(Agent10_Withdrawals!A88="","",Agent10_Withdrawals!D88)</f>
        <v/>
      </c>
      <c r="F1881" s="40" t="str">
        <f>IF(Agent10_Withdrawals!A88="","",Agent10_Withdrawals!F88)</f>
        <v/>
      </c>
      <c r="G1881" s="42" t="str">
        <f>IF(Agent10_Withdrawals!A88="","",Agent10_Withdrawals!E88)</f>
        <v/>
      </c>
      <c r="H1881" s="42" t="str">
        <f>IF(Agent10_Withdrawals!A88="","",Agent10_Withdrawals!G88)</f>
        <v/>
      </c>
      <c r="I1881" s="40" t="str">
        <f>IF(Agent10_Withdrawals!A88="","",Agent10_Withdrawals!H88)</f>
        <v/>
      </c>
      <c r="J1881" s="40" t="str">
        <f>IF(Agent10_Withdrawals!A88="","",Agent10_Withdrawals!J88)</f>
        <v/>
      </c>
      <c r="K1881" s="40" t="str">
        <f>IF(Agent10_Withdrawals!A88="","",Agent10_Withdrawals!K88)</f>
        <v/>
      </c>
      <c r="L1881" s="40" t="str">
        <f>IF(G1881="","",IF(D1881-G1881&gt;=System_Config!$B$9,"✅ OK","⚠️ BREACH"))</f>
        <v/>
      </c>
      <c r="M1881" s="40" t="str">
        <f>IFERROR(IF(Agent10_Withdrawals!A88="","",YEAR(Agent10_Withdrawals!D88)),"")</f>
        <v/>
      </c>
    </row>
    <row r="1882" spans="1:13" ht="18" customHeight="1" x14ac:dyDescent="0.25">
      <c r="A1882" s="40" t="str">
        <f>IF(Agent10_Withdrawals!A89="","",Agent10_Withdrawals!A89)</f>
        <v/>
      </c>
      <c r="B1882" s="40" t="str">
        <f ca="1">IF(Agent10_Withdrawals!A89="","","WD"&amp;TEXT(1882-3,"0000")&amp;"-"&amp;TEXT(TODAY(),"YYYYMMDD"))</f>
        <v/>
      </c>
      <c r="C1882" s="40" t="str">
        <f>IF(Agent10_Withdrawals!A89="","",Agent10_Withdrawals!B89)</f>
        <v/>
      </c>
      <c r="D1882" s="43" t="str">
        <f>IF(Agent10_Withdrawals!A89="","",Agent10_Withdrawals!C89)</f>
        <v/>
      </c>
      <c r="E1882" s="41" t="str">
        <f>IF(Agent10_Withdrawals!A89="","",Agent10_Withdrawals!D89)</f>
        <v/>
      </c>
      <c r="F1882" s="40" t="str">
        <f>IF(Agent10_Withdrawals!A89="","",Agent10_Withdrawals!F89)</f>
        <v/>
      </c>
      <c r="G1882" s="42" t="str">
        <f>IF(Agent10_Withdrawals!A89="","",Agent10_Withdrawals!E89)</f>
        <v/>
      </c>
      <c r="H1882" s="42" t="str">
        <f>IF(Agent10_Withdrawals!A89="","",Agent10_Withdrawals!G89)</f>
        <v/>
      </c>
      <c r="I1882" s="40" t="str">
        <f>IF(Agent10_Withdrawals!A89="","",Agent10_Withdrawals!H89)</f>
        <v/>
      </c>
      <c r="J1882" s="40" t="str">
        <f>IF(Agent10_Withdrawals!A89="","",Agent10_Withdrawals!J89)</f>
        <v/>
      </c>
      <c r="K1882" s="40" t="str">
        <f>IF(Agent10_Withdrawals!A89="","",Agent10_Withdrawals!K89)</f>
        <v/>
      </c>
      <c r="L1882" s="40" t="str">
        <f>IF(G1882="","",IF(D1882-G1882&gt;=System_Config!$B$9,"✅ OK","⚠️ BREACH"))</f>
        <v/>
      </c>
      <c r="M1882" s="40" t="str">
        <f>IFERROR(IF(Agent10_Withdrawals!A89="","",YEAR(Agent10_Withdrawals!D89)),"")</f>
        <v/>
      </c>
    </row>
    <row r="1883" spans="1:13" ht="18" customHeight="1" x14ac:dyDescent="0.25">
      <c r="A1883" s="40" t="str">
        <f>IF(Agent10_Withdrawals!A90="","",Agent10_Withdrawals!A90)</f>
        <v/>
      </c>
      <c r="B1883" s="40" t="str">
        <f ca="1">IF(Agent10_Withdrawals!A90="","","WD"&amp;TEXT(1883-3,"0000")&amp;"-"&amp;TEXT(TODAY(),"YYYYMMDD"))</f>
        <v/>
      </c>
      <c r="C1883" s="40" t="str">
        <f>IF(Agent10_Withdrawals!A90="","",Agent10_Withdrawals!B90)</f>
        <v/>
      </c>
      <c r="D1883" s="43" t="str">
        <f>IF(Agent10_Withdrawals!A90="","",Agent10_Withdrawals!C90)</f>
        <v/>
      </c>
      <c r="E1883" s="41" t="str">
        <f>IF(Agent10_Withdrawals!A90="","",Agent10_Withdrawals!D90)</f>
        <v/>
      </c>
      <c r="F1883" s="40" t="str">
        <f>IF(Agent10_Withdrawals!A90="","",Agent10_Withdrawals!F90)</f>
        <v/>
      </c>
      <c r="G1883" s="42" t="str">
        <f>IF(Agent10_Withdrawals!A90="","",Agent10_Withdrawals!E90)</f>
        <v/>
      </c>
      <c r="H1883" s="42" t="str">
        <f>IF(Agent10_Withdrawals!A90="","",Agent10_Withdrawals!G90)</f>
        <v/>
      </c>
      <c r="I1883" s="40" t="str">
        <f>IF(Agent10_Withdrawals!A90="","",Agent10_Withdrawals!H90)</f>
        <v/>
      </c>
      <c r="J1883" s="40" t="str">
        <f>IF(Agent10_Withdrawals!A90="","",Agent10_Withdrawals!J90)</f>
        <v/>
      </c>
      <c r="K1883" s="40" t="str">
        <f>IF(Agent10_Withdrawals!A90="","",Agent10_Withdrawals!K90)</f>
        <v/>
      </c>
      <c r="L1883" s="40" t="str">
        <f>IF(G1883="","",IF(D1883-G1883&gt;=System_Config!$B$9,"✅ OK","⚠️ BREACH"))</f>
        <v/>
      </c>
      <c r="M1883" s="40" t="str">
        <f>IFERROR(IF(Agent10_Withdrawals!A90="","",YEAR(Agent10_Withdrawals!D90)),"")</f>
        <v/>
      </c>
    </row>
    <row r="1884" spans="1:13" ht="18" customHeight="1" x14ac:dyDescent="0.25">
      <c r="A1884" s="40" t="str">
        <f>IF(Agent10_Withdrawals!A91="","",Agent10_Withdrawals!A91)</f>
        <v/>
      </c>
      <c r="B1884" s="40" t="str">
        <f ca="1">IF(Agent10_Withdrawals!A91="","","WD"&amp;TEXT(1884-3,"0000")&amp;"-"&amp;TEXT(TODAY(),"YYYYMMDD"))</f>
        <v/>
      </c>
      <c r="C1884" s="40" t="str">
        <f>IF(Agent10_Withdrawals!A91="","",Agent10_Withdrawals!B91)</f>
        <v/>
      </c>
      <c r="D1884" s="43" t="str">
        <f>IF(Agent10_Withdrawals!A91="","",Agent10_Withdrawals!C91)</f>
        <v/>
      </c>
      <c r="E1884" s="41" t="str">
        <f>IF(Agent10_Withdrawals!A91="","",Agent10_Withdrawals!D91)</f>
        <v/>
      </c>
      <c r="F1884" s="40" t="str">
        <f>IF(Agent10_Withdrawals!A91="","",Agent10_Withdrawals!F91)</f>
        <v/>
      </c>
      <c r="G1884" s="42" t="str">
        <f>IF(Agent10_Withdrawals!A91="","",Agent10_Withdrawals!E91)</f>
        <v/>
      </c>
      <c r="H1884" s="42" t="str">
        <f>IF(Agent10_Withdrawals!A91="","",Agent10_Withdrawals!G91)</f>
        <v/>
      </c>
      <c r="I1884" s="40" t="str">
        <f>IF(Agent10_Withdrawals!A91="","",Agent10_Withdrawals!H91)</f>
        <v/>
      </c>
      <c r="J1884" s="40" t="str">
        <f>IF(Agent10_Withdrawals!A91="","",Agent10_Withdrawals!J91)</f>
        <v/>
      </c>
      <c r="K1884" s="40" t="str">
        <f>IF(Agent10_Withdrawals!A91="","",Agent10_Withdrawals!K91)</f>
        <v/>
      </c>
      <c r="L1884" s="40" t="str">
        <f>IF(G1884="","",IF(D1884-G1884&gt;=System_Config!$B$9,"✅ OK","⚠️ BREACH"))</f>
        <v/>
      </c>
      <c r="M1884" s="40" t="str">
        <f>IFERROR(IF(Agent10_Withdrawals!A91="","",YEAR(Agent10_Withdrawals!D91)),"")</f>
        <v/>
      </c>
    </row>
    <row r="1885" spans="1:13" ht="18" customHeight="1" x14ac:dyDescent="0.25">
      <c r="A1885" s="40" t="str">
        <f>IF(Agent10_Withdrawals!A92="","",Agent10_Withdrawals!A92)</f>
        <v/>
      </c>
      <c r="B1885" s="40" t="str">
        <f ca="1">IF(Agent10_Withdrawals!A92="","","WD"&amp;TEXT(1885-3,"0000")&amp;"-"&amp;TEXT(TODAY(),"YYYYMMDD"))</f>
        <v/>
      </c>
      <c r="C1885" s="40" t="str">
        <f>IF(Agent10_Withdrawals!A92="","",Agent10_Withdrawals!B92)</f>
        <v/>
      </c>
      <c r="D1885" s="43" t="str">
        <f>IF(Agent10_Withdrawals!A92="","",Agent10_Withdrawals!C92)</f>
        <v/>
      </c>
      <c r="E1885" s="41" t="str">
        <f>IF(Agent10_Withdrawals!A92="","",Agent10_Withdrawals!D92)</f>
        <v/>
      </c>
      <c r="F1885" s="40" t="str">
        <f>IF(Agent10_Withdrawals!A92="","",Agent10_Withdrawals!F92)</f>
        <v/>
      </c>
      <c r="G1885" s="42" t="str">
        <f>IF(Agent10_Withdrawals!A92="","",Agent10_Withdrawals!E92)</f>
        <v/>
      </c>
      <c r="H1885" s="42" t="str">
        <f>IF(Agent10_Withdrawals!A92="","",Agent10_Withdrawals!G92)</f>
        <v/>
      </c>
      <c r="I1885" s="40" t="str">
        <f>IF(Agent10_Withdrawals!A92="","",Agent10_Withdrawals!H92)</f>
        <v/>
      </c>
      <c r="J1885" s="40" t="str">
        <f>IF(Agent10_Withdrawals!A92="","",Agent10_Withdrawals!J92)</f>
        <v/>
      </c>
      <c r="K1885" s="40" t="str">
        <f>IF(Agent10_Withdrawals!A92="","",Agent10_Withdrawals!K92)</f>
        <v/>
      </c>
      <c r="L1885" s="40" t="str">
        <f>IF(G1885="","",IF(D1885-G1885&gt;=System_Config!$B$9,"✅ OK","⚠️ BREACH"))</f>
        <v/>
      </c>
      <c r="M1885" s="40" t="str">
        <f>IFERROR(IF(Agent10_Withdrawals!A92="","",YEAR(Agent10_Withdrawals!D92)),"")</f>
        <v/>
      </c>
    </row>
    <row r="1886" spans="1:13" ht="18" customHeight="1" x14ac:dyDescent="0.25">
      <c r="A1886" s="40" t="str">
        <f>IF(Agent10_Withdrawals!A93="","",Agent10_Withdrawals!A93)</f>
        <v/>
      </c>
      <c r="B1886" s="40" t="str">
        <f ca="1">IF(Agent10_Withdrawals!A93="","","WD"&amp;TEXT(1886-3,"0000")&amp;"-"&amp;TEXT(TODAY(),"YYYYMMDD"))</f>
        <v/>
      </c>
      <c r="C1886" s="40" t="str">
        <f>IF(Agent10_Withdrawals!A93="","",Agent10_Withdrawals!B93)</f>
        <v/>
      </c>
      <c r="D1886" s="43" t="str">
        <f>IF(Agent10_Withdrawals!A93="","",Agent10_Withdrawals!C93)</f>
        <v/>
      </c>
      <c r="E1886" s="41" t="str">
        <f>IF(Agent10_Withdrawals!A93="","",Agent10_Withdrawals!D93)</f>
        <v/>
      </c>
      <c r="F1886" s="40" t="str">
        <f>IF(Agent10_Withdrawals!A93="","",Agent10_Withdrawals!F93)</f>
        <v/>
      </c>
      <c r="G1886" s="42" t="str">
        <f>IF(Agent10_Withdrawals!A93="","",Agent10_Withdrawals!E93)</f>
        <v/>
      </c>
      <c r="H1886" s="42" t="str">
        <f>IF(Agent10_Withdrawals!A93="","",Agent10_Withdrawals!G93)</f>
        <v/>
      </c>
      <c r="I1886" s="40" t="str">
        <f>IF(Agent10_Withdrawals!A93="","",Agent10_Withdrawals!H93)</f>
        <v/>
      </c>
      <c r="J1886" s="40" t="str">
        <f>IF(Agent10_Withdrawals!A93="","",Agent10_Withdrawals!J93)</f>
        <v/>
      </c>
      <c r="K1886" s="40" t="str">
        <f>IF(Agent10_Withdrawals!A93="","",Agent10_Withdrawals!K93)</f>
        <v/>
      </c>
      <c r="L1886" s="40" t="str">
        <f>IF(G1886="","",IF(D1886-G1886&gt;=System_Config!$B$9,"✅ OK","⚠️ BREACH"))</f>
        <v/>
      </c>
      <c r="M1886" s="40" t="str">
        <f>IFERROR(IF(Agent10_Withdrawals!A93="","",YEAR(Agent10_Withdrawals!D93)),"")</f>
        <v/>
      </c>
    </row>
    <row r="1887" spans="1:13" ht="18" customHeight="1" x14ac:dyDescent="0.25">
      <c r="A1887" s="40" t="str">
        <f>IF(Agent10_Withdrawals!A94="","",Agent10_Withdrawals!A94)</f>
        <v/>
      </c>
      <c r="B1887" s="40" t="str">
        <f ca="1">IF(Agent10_Withdrawals!A94="","","WD"&amp;TEXT(1887-3,"0000")&amp;"-"&amp;TEXT(TODAY(),"YYYYMMDD"))</f>
        <v/>
      </c>
      <c r="C1887" s="40" t="str">
        <f>IF(Agent10_Withdrawals!A94="","",Agent10_Withdrawals!B94)</f>
        <v/>
      </c>
      <c r="D1887" s="43" t="str">
        <f>IF(Agent10_Withdrawals!A94="","",Agent10_Withdrawals!C94)</f>
        <v/>
      </c>
      <c r="E1887" s="41" t="str">
        <f>IF(Agent10_Withdrawals!A94="","",Agent10_Withdrawals!D94)</f>
        <v/>
      </c>
      <c r="F1887" s="40" t="str">
        <f>IF(Agent10_Withdrawals!A94="","",Agent10_Withdrawals!F94)</f>
        <v/>
      </c>
      <c r="G1887" s="42" t="str">
        <f>IF(Agent10_Withdrawals!A94="","",Agent10_Withdrawals!E94)</f>
        <v/>
      </c>
      <c r="H1887" s="42" t="str">
        <f>IF(Agent10_Withdrawals!A94="","",Agent10_Withdrawals!G94)</f>
        <v/>
      </c>
      <c r="I1887" s="40" t="str">
        <f>IF(Agent10_Withdrawals!A94="","",Agent10_Withdrawals!H94)</f>
        <v/>
      </c>
      <c r="J1887" s="40" t="str">
        <f>IF(Agent10_Withdrawals!A94="","",Agent10_Withdrawals!J94)</f>
        <v/>
      </c>
      <c r="K1887" s="40" t="str">
        <f>IF(Agent10_Withdrawals!A94="","",Agent10_Withdrawals!K94)</f>
        <v/>
      </c>
      <c r="L1887" s="40" t="str">
        <f>IF(G1887="","",IF(D1887-G1887&gt;=System_Config!$B$9,"✅ OK","⚠️ BREACH"))</f>
        <v/>
      </c>
      <c r="M1887" s="40" t="str">
        <f>IFERROR(IF(Agent10_Withdrawals!A94="","",YEAR(Agent10_Withdrawals!D94)),"")</f>
        <v/>
      </c>
    </row>
    <row r="1888" spans="1:13" ht="18" customHeight="1" x14ac:dyDescent="0.25">
      <c r="A1888" s="40" t="str">
        <f>IF(Agent10_Withdrawals!A95="","",Agent10_Withdrawals!A95)</f>
        <v/>
      </c>
      <c r="B1888" s="40" t="str">
        <f ca="1">IF(Agent10_Withdrawals!A95="","","WD"&amp;TEXT(1888-3,"0000")&amp;"-"&amp;TEXT(TODAY(),"YYYYMMDD"))</f>
        <v/>
      </c>
      <c r="C1888" s="40" t="str">
        <f>IF(Agent10_Withdrawals!A95="","",Agent10_Withdrawals!B95)</f>
        <v/>
      </c>
      <c r="D1888" s="43" t="str">
        <f>IF(Agent10_Withdrawals!A95="","",Agent10_Withdrawals!C95)</f>
        <v/>
      </c>
      <c r="E1888" s="41" t="str">
        <f>IF(Agent10_Withdrawals!A95="","",Agent10_Withdrawals!D95)</f>
        <v/>
      </c>
      <c r="F1888" s="40" t="str">
        <f>IF(Agent10_Withdrawals!A95="","",Agent10_Withdrawals!F95)</f>
        <v/>
      </c>
      <c r="G1888" s="42" t="str">
        <f>IF(Agent10_Withdrawals!A95="","",Agent10_Withdrawals!E95)</f>
        <v/>
      </c>
      <c r="H1888" s="42" t="str">
        <f>IF(Agent10_Withdrawals!A95="","",Agent10_Withdrawals!G95)</f>
        <v/>
      </c>
      <c r="I1888" s="40" t="str">
        <f>IF(Agent10_Withdrawals!A95="","",Agent10_Withdrawals!H95)</f>
        <v/>
      </c>
      <c r="J1888" s="40" t="str">
        <f>IF(Agent10_Withdrawals!A95="","",Agent10_Withdrawals!J95)</f>
        <v/>
      </c>
      <c r="K1888" s="40" t="str">
        <f>IF(Agent10_Withdrawals!A95="","",Agent10_Withdrawals!K95)</f>
        <v/>
      </c>
      <c r="L1888" s="40" t="str">
        <f>IF(G1888="","",IF(D1888-G1888&gt;=System_Config!$B$9,"✅ OK","⚠️ BREACH"))</f>
        <v/>
      </c>
      <c r="M1888" s="40" t="str">
        <f>IFERROR(IF(Agent10_Withdrawals!A95="","",YEAR(Agent10_Withdrawals!D95)),"")</f>
        <v/>
      </c>
    </row>
    <row r="1889" spans="1:13" ht="18" customHeight="1" x14ac:dyDescent="0.25">
      <c r="A1889" s="40" t="str">
        <f>IF(Agent10_Withdrawals!A96="","",Agent10_Withdrawals!A96)</f>
        <v/>
      </c>
      <c r="B1889" s="40" t="str">
        <f ca="1">IF(Agent10_Withdrawals!A96="","","WD"&amp;TEXT(1889-3,"0000")&amp;"-"&amp;TEXT(TODAY(),"YYYYMMDD"))</f>
        <v/>
      </c>
      <c r="C1889" s="40" t="str">
        <f>IF(Agent10_Withdrawals!A96="","",Agent10_Withdrawals!B96)</f>
        <v/>
      </c>
      <c r="D1889" s="43" t="str">
        <f>IF(Agent10_Withdrawals!A96="","",Agent10_Withdrawals!C96)</f>
        <v/>
      </c>
      <c r="E1889" s="41" t="str">
        <f>IF(Agent10_Withdrawals!A96="","",Agent10_Withdrawals!D96)</f>
        <v/>
      </c>
      <c r="F1889" s="40" t="str">
        <f>IF(Agent10_Withdrawals!A96="","",Agent10_Withdrawals!F96)</f>
        <v/>
      </c>
      <c r="G1889" s="42" t="str">
        <f>IF(Agent10_Withdrawals!A96="","",Agent10_Withdrawals!E96)</f>
        <v/>
      </c>
      <c r="H1889" s="42" t="str">
        <f>IF(Agent10_Withdrawals!A96="","",Agent10_Withdrawals!G96)</f>
        <v/>
      </c>
      <c r="I1889" s="40" t="str">
        <f>IF(Agent10_Withdrawals!A96="","",Agent10_Withdrawals!H96)</f>
        <v/>
      </c>
      <c r="J1889" s="40" t="str">
        <f>IF(Agent10_Withdrawals!A96="","",Agent10_Withdrawals!J96)</f>
        <v/>
      </c>
      <c r="K1889" s="40" t="str">
        <f>IF(Agent10_Withdrawals!A96="","",Agent10_Withdrawals!K96)</f>
        <v/>
      </c>
      <c r="L1889" s="40" t="str">
        <f>IF(G1889="","",IF(D1889-G1889&gt;=System_Config!$B$9,"✅ OK","⚠️ BREACH"))</f>
        <v/>
      </c>
      <c r="M1889" s="40" t="str">
        <f>IFERROR(IF(Agent10_Withdrawals!A96="","",YEAR(Agent10_Withdrawals!D96)),"")</f>
        <v/>
      </c>
    </row>
    <row r="1890" spans="1:13" ht="18" customHeight="1" x14ac:dyDescent="0.25">
      <c r="A1890" s="40" t="str">
        <f>IF(Agent10_Withdrawals!A97="","",Agent10_Withdrawals!A97)</f>
        <v/>
      </c>
      <c r="B1890" s="40" t="str">
        <f ca="1">IF(Agent10_Withdrawals!A97="","","WD"&amp;TEXT(1890-3,"0000")&amp;"-"&amp;TEXT(TODAY(),"YYYYMMDD"))</f>
        <v/>
      </c>
      <c r="C1890" s="40" t="str">
        <f>IF(Agent10_Withdrawals!A97="","",Agent10_Withdrawals!B97)</f>
        <v/>
      </c>
      <c r="D1890" s="43" t="str">
        <f>IF(Agent10_Withdrawals!A97="","",Agent10_Withdrawals!C97)</f>
        <v/>
      </c>
      <c r="E1890" s="41" t="str">
        <f>IF(Agent10_Withdrawals!A97="","",Agent10_Withdrawals!D97)</f>
        <v/>
      </c>
      <c r="F1890" s="40" t="str">
        <f>IF(Agent10_Withdrawals!A97="","",Agent10_Withdrawals!F97)</f>
        <v/>
      </c>
      <c r="G1890" s="42" t="str">
        <f>IF(Agent10_Withdrawals!A97="","",Agent10_Withdrawals!E97)</f>
        <v/>
      </c>
      <c r="H1890" s="42" t="str">
        <f>IF(Agent10_Withdrawals!A97="","",Agent10_Withdrawals!G97)</f>
        <v/>
      </c>
      <c r="I1890" s="40" t="str">
        <f>IF(Agent10_Withdrawals!A97="","",Agent10_Withdrawals!H97)</f>
        <v/>
      </c>
      <c r="J1890" s="40" t="str">
        <f>IF(Agent10_Withdrawals!A97="","",Agent10_Withdrawals!J97)</f>
        <v/>
      </c>
      <c r="K1890" s="40" t="str">
        <f>IF(Agent10_Withdrawals!A97="","",Agent10_Withdrawals!K97)</f>
        <v/>
      </c>
      <c r="L1890" s="40" t="str">
        <f>IF(G1890="","",IF(D1890-G1890&gt;=System_Config!$B$9,"✅ OK","⚠️ BREACH"))</f>
        <v/>
      </c>
      <c r="M1890" s="40" t="str">
        <f>IFERROR(IF(Agent10_Withdrawals!A97="","",YEAR(Agent10_Withdrawals!D97)),"")</f>
        <v/>
      </c>
    </row>
    <row r="1891" spans="1:13" ht="18" customHeight="1" x14ac:dyDescent="0.25">
      <c r="A1891" s="40" t="str">
        <f>IF(Agent10_Withdrawals!A98="","",Agent10_Withdrawals!A98)</f>
        <v/>
      </c>
      <c r="B1891" s="40" t="str">
        <f ca="1">IF(Agent10_Withdrawals!A98="","","WD"&amp;TEXT(1891-3,"0000")&amp;"-"&amp;TEXT(TODAY(),"YYYYMMDD"))</f>
        <v/>
      </c>
      <c r="C1891" s="40" t="str">
        <f>IF(Agent10_Withdrawals!A98="","",Agent10_Withdrawals!B98)</f>
        <v/>
      </c>
      <c r="D1891" s="43" t="str">
        <f>IF(Agent10_Withdrawals!A98="","",Agent10_Withdrawals!C98)</f>
        <v/>
      </c>
      <c r="E1891" s="41" t="str">
        <f>IF(Agent10_Withdrawals!A98="","",Agent10_Withdrawals!D98)</f>
        <v/>
      </c>
      <c r="F1891" s="40" t="str">
        <f>IF(Agent10_Withdrawals!A98="","",Agent10_Withdrawals!F98)</f>
        <v/>
      </c>
      <c r="G1891" s="42" t="str">
        <f>IF(Agent10_Withdrawals!A98="","",Agent10_Withdrawals!E98)</f>
        <v/>
      </c>
      <c r="H1891" s="42" t="str">
        <f>IF(Agent10_Withdrawals!A98="","",Agent10_Withdrawals!G98)</f>
        <v/>
      </c>
      <c r="I1891" s="40" t="str">
        <f>IF(Agent10_Withdrawals!A98="","",Agent10_Withdrawals!H98)</f>
        <v/>
      </c>
      <c r="J1891" s="40" t="str">
        <f>IF(Agent10_Withdrawals!A98="","",Agent10_Withdrawals!J98)</f>
        <v/>
      </c>
      <c r="K1891" s="40" t="str">
        <f>IF(Agent10_Withdrawals!A98="","",Agent10_Withdrawals!K98)</f>
        <v/>
      </c>
      <c r="L1891" s="40" t="str">
        <f>IF(G1891="","",IF(D1891-G1891&gt;=System_Config!$B$9,"✅ OK","⚠️ BREACH"))</f>
        <v/>
      </c>
      <c r="M1891" s="40" t="str">
        <f>IFERROR(IF(Agent10_Withdrawals!A98="","",YEAR(Agent10_Withdrawals!D98)),"")</f>
        <v/>
      </c>
    </row>
    <row r="1892" spans="1:13" ht="18" customHeight="1" x14ac:dyDescent="0.25">
      <c r="A1892" s="40" t="str">
        <f>IF(Agent10_Withdrawals!A99="","",Agent10_Withdrawals!A99)</f>
        <v/>
      </c>
      <c r="B1892" s="40" t="str">
        <f ca="1">IF(Agent10_Withdrawals!A99="","","WD"&amp;TEXT(1892-3,"0000")&amp;"-"&amp;TEXT(TODAY(),"YYYYMMDD"))</f>
        <v/>
      </c>
      <c r="C1892" s="40" t="str">
        <f>IF(Agent10_Withdrawals!A99="","",Agent10_Withdrawals!B99)</f>
        <v/>
      </c>
      <c r="D1892" s="43" t="str">
        <f>IF(Agent10_Withdrawals!A99="","",Agent10_Withdrawals!C99)</f>
        <v/>
      </c>
      <c r="E1892" s="41" t="str">
        <f>IF(Agent10_Withdrawals!A99="","",Agent10_Withdrawals!D99)</f>
        <v/>
      </c>
      <c r="F1892" s="40" t="str">
        <f>IF(Agent10_Withdrawals!A99="","",Agent10_Withdrawals!F99)</f>
        <v/>
      </c>
      <c r="G1892" s="42" t="str">
        <f>IF(Agent10_Withdrawals!A99="","",Agent10_Withdrawals!E99)</f>
        <v/>
      </c>
      <c r="H1892" s="42" t="str">
        <f>IF(Agent10_Withdrawals!A99="","",Agent10_Withdrawals!G99)</f>
        <v/>
      </c>
      <c r="I1892" s="40" t="str">
        <f>IF(Agent10_Withdrawals!A99="","",Agent10_Withdrawals!H99)</f>
        <v/>
      </c>
      <c r="J1892" s="40" t="str">
        <f>IF(Agent10_Withdrawals!A99="","",Agent10_Withdrawals!J99)</f>
        <v/>
      </c>
      <c r="K1892" s="40" t="str">
        <f>IF(Agent10_Withdrawals!A99="","",Agent10_Withdrawals!K99)</f>
        <v/>
      </c>
      <c r="L1892" s="40" t="str">
        <f>IF(G1892="","",IF(D1892-G1892&gt;=System_Config!$B$9,"✅ OK","⚠️ BREACH"))</f>
        <v/>
      </c>
      <c r="M1892" s="40" t="str">
        <f>IFERROR(IF(Agent10_Withdrawals!A99="","",YEAR(Agent10_Withdrawals!D99)),"")</f>
        <v/>
      </c>
    </row>
    <row r="1893" spans="1:13" ht="18" customHeight="1" x14ac:dyDescent="0.25">
      <c r="A1893" s="40" t="str">
        <f>IF(Agent10_Withdrawals!A100="","",Agent10_Withdrawals!A100)</f>
        <v/>
      </c>
      <c r="B1893" s="40" t="str">
        <f ca="1">IF(Agent10_Withdrawals!A100="","","WD"&amp;TEXT(1893-3,"0000")&amp;"-"&amp;TEXT(TODAY(),"YYYYMMDD"))</f>
        <v/>
      </c>
      <c r="C1893" s="40" t="str">
        <f>IF(Agent10_Withdrawals!A100="","",Agent10_Withdrawals!B100)</f>
        <v/>
      </c>
      <c r="D1893" s="43" t="str">
        <f>IF(Agent10_Withdrawals!A100="","",Agent10_Withdrawals!C100)</f>
        <v/>
      </c>
      <c r="E1893" s="41" t="str">
        <f>IF(Agent10_Withdrawals!A100="","",Agent10_Withdrawals!D100)</f>
        <v/>
      </c>
      <c r="F1893" s="40" t="str">
        <f>IF(Agent10_Withdrawals!A100="","",Agent10_Withdrawals!F100)</f>
        <v/>
      </c>
      <c r="G1893" s="42" t="str">
        <f>IF(Agent10_Withdrawals!A100="","",Agent10_Withdrawals!E100)</f>
        <v/>
      </c>
      <c r="H1893" s="42" t="str">
        <f>IF(Agent10_Withdrawals!A100="","",Agent10_Withdrawals!G100)</f>
        <v/>
      </c>
      <c r="I1893" s="40" t="str">
        <f>IF(Agent10_Withdrawals!A100="","",Agent10_Withdrawals!H100)</f>
        <v/>
      </c>
      <c r="J1893" s="40" t="str">
        <f>IF(Agent10_Withdrawals!A100="","",Agent10_Withdrawals!J100)</f>
        <v/>
      </c>
      <c r="K1893" s="40" t="str">
        <f>IF(Agent10_Withdrawals!A100="","",Agent10_Withdrawals!K100)</f>
        <v/>
      </c>
      <c r="L1893" s="40" t="str">
        <f>IF(G1893="","",IF(D1893-G1893&gt;=System_Config!$B$9,"✅ OK","⚠️ BREACH"))</f>
        <v/>
      </c>
      <c r="M1893" s="40" t="str">
        <f>IFERROR(IF(Agent10_Withdrawals!A100="","",YEAR(Agent10_Withdrawals!D100)),"")</f>
        <v/>
      </c>
    </row>
    <row r="1894" spans="1:13" ht="18" customHeight="1" x14ac:dyDescent="0.25">
      <c r="A1894" s="40" t="str">
        <f>IF(Agent10_Withdrawals!A101="","",Agent10_Withdrawals!A101)</f>
        <v/>
      </c>
      <c r="B1894" s="40" t="str">
        <f ca="1">IF(Agent10_Withdrawals!A101="","","WD"&amp;TEXT(1894-3,"0000")&amp;"-"&amp;TEXT(TODAY(),"YYYYMMDD"))</f>
        <v/>
      </c>
      <c r="C1894" s="40" t="str">
        <f>IF(Agent10_Withdrawals!A101="","",Agent10_Withdrawals!B101)</f>
        <v/>
      </c>
      <c r="D1894" s="43" t="str">
        <f>IF(Agent10_Withdrawals!A101="","",Agent10_Withdrawals!C101)</f>
        <v/>
      </c>
      <c r="E1894" s="41" t="str">
        <f>IF(Agent10_Withdrawals!A101="","",Agent10_Withdrawals!D101)</f>
        <v/>
      </c>
      <c r="F1894" s="40" t="str">
        <f>IF(Agent10_Withdrawals!A101="","",Agent10_Withdrawals!F101)</f>
        <v/>
      </c>
      <c r="G1894" s="42" t="str">
        <f>IF(Agent10_Withdrawals!A101="","",Agent10_Withdrawals!E101)</f>
        <v/>
      </c>
      <c r="H1894" s="42" t="str">
        <f>IF(Agent10_Withdrawals!A101="","",Agent10_Withdrawals!G101)</f>
        <v/>
      </c>
      <c r="I1894" s="40" t="str">
        <f>IF(Agent10_Withdrawals!A101="","",Agent10_Withdrawals!H101)</f>
        <v/>
      </c>
      <c r="J1894" s="40" t="str">
        <f>IF(Agent10_Withdrawals!A101="","",Agent10_Withdrawals!J101)</f>
        <v/>
      </c>
      <c r="K1894" s="40" t="str">
        <f>IF(Agent10_Withdrawals!A101="","",Agent10_Withdrawals!K101)</f>
        <v/>
      </c>
      <c r="L1894" s="40" t="str">
        <f>IF(G1894="","",IF(D1894-G1894&gt;=System_Config!$B$9,"✅ OK","⚠️ BREACH"))</f>
        <v/>
      </c>
      <c r="M1894" s="40" t="str">
        <f>IFERROR(IF(Agent10_Withdrawals!A101="","",YEAR(Agent10_Withdrawals!D101)),"")</f>
        <v/>
      </c>
    </row>
    <row r="1895" spans="1:13" ht="18" customHeight="1" x14ac:dyDescent="0.25">
      <c r="A1895" s="40" t="str">
        <f>IF(Agent10_Withdrawals!A102="","",Agent10_Withdrawals!A102)</f>
        <v/>
      </c>
      <c r="B1895" s="40" t="str">
        <f ca="1">IF(Agent10_Withdrawals!A102="","","WD"&amp;TEXT(1895-3,"0000")&amp;"-"&amp;TEXT(TODAY(),"YYYYMMDD"))</f>
        <v/>
      </c>
      <c r="C1895" s="40" t="str">
        <f>IF(Agent10_Withdrawals!A102="","",Agent10_Withdrawals!B102)</f>
        <v/>
      </c>
      <c r="D1895" s="43" t="str">
        <f>IF(Agent10_Withdrawals!A102="","",Agent10_Withdrawals!C102)</f>
        <v/>
      </c>
      <c r="E1895" s="41" t="str">
        <f>IF(Agent10_Withdrawals!A102="","",Agent10_Withdrawals!D102)</f>
        <v/>
      </c>
      <c r="F1895" s="40" t="str">
        <f>IF(Agent10_Withdrawals!A102="","",Agent10_Withdrawals!F102)</f>
        <v/>
      </c>
      <c r="G1895" s="42" t="str">
        <f>IF(Agent10_Withdrawals!A102="","",Agent10_Withdrawals!E102)</f>
        <v/>
      </c>
      <c r="H1895" s="42" t="str">
        <f>IF(Agent10_Withdrawals!A102="","",Agent10_Withdrawals!G102)</f>
        <v/>
      </c>
      <c r="I1895" s="40" t="str">
        <f>IF(Agent10_Withdrawals!A102="","",Agent10_Withdrawals!H102)</f>
        <v/>
      </c>
      <c r="J1895" s="40" t="str">
        <f>IF(Agent10_Withdrawals!A102="","",Agent10_Withdrawals!J102)</f>
        <v/>
      </c>
      <c r="K1895" s="40" t="str">
        <f>IF(Agent10_Withdrawals!A102="","",Agent10_Withdrawals!K102)</f>
        <v/>
      </c>
      <c r="L1895" s="40" t="str">
        <f>IF(G1895="","",IF(D1895-G1895&gt;=System_Config!$B$9,"✅ OK","⚠️ BREACH"))</f>
        <v/>
      </c>
      <c r="M1895" s="40" t="str">
        <f>IFERROR(IF(Agent10_Withdrawals!A102="","",YEAR(Agent10_Withdrawals!D102)),"")</f>
        <v/>
      </c>
    </row>
    <row r="1896" spans="1:13" ht="18" customHeight="1" x14ac:dyDescent="0.25">
      <c r="A1896" s="40" t="str">
        <f>IF(Agent10_Withdrawals!A103="","",Agent10_Withdrawals!A103)</f>
        <v/>
      </c>
      <c r="B1896" s="40" t="str">
        <f ca="1">IF(Agent10_Withdrawals!A103="","","WD"&amp;TEXT(1896-3,"0000")&amp;"-"&amp;TEXT(TODAY(),"YYYYMMDD"))</f>
        <v/>
      </c>
      <c r="C1896" s="40" t="str">
        <f>IF(Agent10_Withdrawals!A103="","",Agent10_Withdrawals!B103)</f>
        <v/>
      </c>
      <c r="D1896" s="43" t="str">
        <f>IF(Agent10_Withdrawals!A103="","",Agent10_Withdrawals!C103)</f>
        <v/>
      </c>
      <c r="E1896" s="41" t="str">
        <f>IF(Agent10_Withdrawals!A103="","",Agent10_Withdrawals!D103)</f>
        <v/>
      </c>
      <c r="F1896" s="40" t="str">
        <f>IF(Agent10_Withdrawals!A103="","",Agent10_Withdrawals!F103)</f>
        <v/>
      </c>
      <c r="G1896" s="42" t="str">
        <f>IF(Agent10_Withdrawals!A103="","",Agent10_Withdrawals!E103)</f>
        <v/>
      </c>
      <c r="H1896" s="42" t="str">
        <f>IF(Agent10_Withdrawals!A103="","",Agent10_Withdrawals!G103)</f>
        <v/>
      </c>
      <c r="I1896" s="40" t="str">
        <f>IF(Agent10_Withdrawals!A103="","",Agent10_Withdrawals!H103)</f>
        <v/>
      </c>
      <c r="J1896" s="40" t="str">
        <f>IF(Agent10_Withdrawals!A103="","",Agent10_Withdrawals!J103)</f>
        <v/>
      </c>
      <c r="K1896" s="40" t="str">
        <f>IF(Agent10_Withdrawals!A103="","",Agent10_Withdrawals!K103)</f>
        <v/>
      </c>
      <c r="L1896" s="40" t="str">
        <f>IF(G1896="","",IF(D1896-G1896&gt;=System_Config!$B$9,"✅ OK","⚠️ BREACH"))</f>
        <v/>
      </c>
      <c r="M1896" s="40" t="str">
        <f>IFERROR(IF(Agent10_Withdrawals!A103="","",YEAR(Agent10_Withdrawals!D103)),"")</f>
        <v/>
      </c>
    </row>
    <row r="1897" spans="1:13" ht="18" customHeight="1" x14ac:dyDescent="0.25">
      <c r="A1897" s="40" t="str">
        <f>IF(Agent10_Withdrawals!A104="","",Agent10_Withdrawals!A104)</f>
        <v/>
      </c>
      <c r="B1897" s="40" t="str">
        <f ca="1">IF(Agent10_Withdrawals!A104="","","WD"&amp;TEXT(1897-3,"0000")&amp;"-"&amp;TEXT(TODAY(),"YYYYMMDD"))</f>
        <v/>
      </c>
      <c r="C1897" s="40" t="str">
        <f>IF(Agent10_Withdrawals!A104="","",Agent10_Withdrawals!B104)</f>
        <v/>
      </c>
      <c r="D1897" s="43" t="str">
        <f>IF(Agent10_Withdrawals!A104="","",Agent10_Withdrawals!C104)</f>
        <v/>
      </c>
      <c r="E1897" s="41" t="str">
        <f>IF(Agent10_Withdrawals!A104="","",Agent10_Withdrawals!D104)</f>
        <v/>
      </c>
      <c r="F1897" s="40" t="str">
        <f>IF(Agent10_Withdrawals!A104="","",Agent10_Withdrawals!F104)</f>
        <v/>
      </c>
      <c r="G1897" s="42" t="str">
        <f>IF(Agent10_Withdrawals!A104="","",Agent10_Withdrawals!E104)</f>
        <v/>
      </c>
      <c r="H1897" s="42" t="str">
        <f>IF(Agent10_Withdrawals!A104="","",Agent10_Withdrawals!G104)</f>
        <v/>
      </c>
      <c r="I1897" s="40" t="str">
        <f>IF(Agent10_Withdrawals!A104="","",Agent10_Withdrawals!H104)</f>
        <v/>
      </c>
      <c r="J1897" s="40" t="str">
        <f>IF(Agent10_Withdrawals!A104="","",Agent10_Withdrawals!J104)</f>
        <v/>
      </c>
      <c r="K1897" s="40" t="str">
        <f>IF(Agent10_Withdrawals!A104="","",Agent10_Withdrawals!K104)</f>
        <v/>
      </c>
      <c r="L1897" s="40" t="str">
        <f>IF(G1897="","",IF(D1897-G1897&gt;=System_Config!$B$9,"✅ OK","⚠️ BREACH"))</f>
        <v/>
      </c>
      <c r="M1897" s="40" t="str">
        <f>IFERROR(IF(Agent10_Withdrawals!A104="","",YEAR(Agent10_Withdrawals!D104)),"")</f>
        <v/>
      </c>
    </row>
    <row r="1898" spans="1:13" ht="18" customHeight="1" x14ac:dyDescent="0.25">
      <c r="A1898" s="40" t="str">
        <f>IF(Agent10_Withdrawals!A105="","",Agent10_Withdrawals!A105)</f>
        <v/>
      </c>
      <c r="B1898" s="40" t="str">
        <f ca="1">IF(Agent10_Withdrawals!A105="","","WD"&amp;TEXT(1898-3,"0000")&amp;"-"&amp;TEXT(TODAY(),"YYYYMMDD"))</f>
        <v/>
      </c>
      <c r="C1898" s="40" t="str">
        <f>IF(Agent10_Withdrawals!A105="","",Agent10_Withdrawals!B105)</f>
        <v/>
      </c>
      <c r="D1898" s="43" t="str">
        <f>IF(Agent10_Withdrawals!A105="","",Agent10_Withdrawals!C105)</f>
        <v/>
      </c>
      <c r="E1898" s="41" t="str">
        <f>IF(Agent10_Withdrawals!A105="","",Agent10_Withdrawals!D105)</f>
        <v/>
      </c>
      <c r="F1898" s="40" t="str">
        <f>IF(Agent10_Withdrawals!A105="","",Agent10_Withdrawals!F105)</f>
        <v/>
      </c>
      <c r="G1898" s="42" t="str">
        <f>IF(Agent10_Withdrawals!A105="","",Agent10_Withdrawals!E105)</f>
        <v/>
      </c>
      <c r="H1898" s="42" t="str">
        <f>IF(Agent10_Withdrawals!A105="","",Agent10_Withdrawals!G105)</f>
        <v/>
      </c>
      <c r="I1898" s="40" t="str">
        <f>IF(Agent10_Withdrawals!A105="","",Agent10_Withdrawals!H105)</f>
        <v/>
      </c>
      <c r="J1898" s="40" t="str">
        <f>IF(Agent10_Withdrawals!A105="","",Agent10_Withdrawals!J105)</f>
        <v/>
      </c>
      <c r="K1898" s="40" t="str">
        <f>IF(Agent10_Withdrawals!A105="","",Agent10_Withdrawals!K105)</f>
        <v/>
      </c>
      <c r="L1898" s="40" t="str">
        <f>IF(G1898="","",IF(D1898-G1898&gt;=System_Config!$B$9,"✅ OK","⚠️ BREACH"))</f>
        <v/>
      </c>
      <c r="M1898" s="40" t="str">
        <f>IFERROR(IF(Agent10_Withdrawals!A105="","",YEAR(Agent10_Withdrawals!D105)),"")</f>
        <v/>
      </c>
    </row>
    <row r="1899" spans="1:13" ht="18" customHeight="1" x14ac:dyDescent="0.25">
      <c r="A1899" s="40" t="str">
        <f>IF(Agent10_Withdrawals!A106="","",Agent10_Withdrawals!A106)</f>
        <v/>
      </c>
      <c r="B1899" s="40" t="str">
        <f ca="1">IF(Agent10_Withdrawals!A106="","","WD"&amp;TEXT(1899-3,"0000")&amp;"-"&amp;TEXT(TODAY(),"YYYYMMDD"))</f>
        <v/>
      </c>
      <c r="C1899" s="40" t="str">
        <f>IF(Agent10_Withdrawals!A106="","",Agent10_Withdrawals!B106)</f>
        <v/>
      </c>
      <c r="D1899" s="43" t="str">
        <f>IF(Agent10_Withdrawals!A106="","",Agent10_Withdrawals!C106)</f>
        <v/>
      </c>
      <c r="E1899" s="41" t="str">
        <f>IF(Agent10_Withdrawals!A106="","",Agent10_Withdrawals!D106)</f>
        <v/>
      </c>
      <c r="F1899" s="40" t="str">
        <f>IF(Agent10_Withdrawals!A106="","",Agent10_Withdrawals!F106)</f>
        <v/>
      </c>
      <c r="G1899" s="42" t="str">
        <f>IF(Agent10_Withdrawals!A106="","",Agent10_Withdrawals!E106)</f>
        <v/>
      </c>
      <c r="H1899" s="42" t="str">
        <f>IF(Agent10_Withdrawals!A106="","",Agent10_Withdrawals!G106)</f>
        <v/>
      </c>
      <c r="I1899" s="40" t="str">
        <f>IF(Agent10_Withdrawals!A106="","",Agent10_Withdrawals!H106)</f>
        <v/>
      </c>
      <c r="J1899" s="40" t="str">
        <f>IF(Agent10_Withdrawals!A106="","",Agent10_Withdrawals!J106)</f>
        <v/>
      </c>
      <c r="K1899" s="40" t="str">
        <f>IF(Agent10_Withdrawals!A106="","",Agent10_Withdrawals!K106)</f>
        <v/>
      </c>
      <c r="L1899" s="40" t="str">
        <f>IF(G1899="","",IF(D1899-G1899&gt;=System_Config!$B$9,"✅ OK","⚠️ BREACH"))</f>
        <v/>
      </c>
      <c r="M1899" s="40" t="str">
        <f>IFERROR(IF(Agent10_Withdrawals!A106="","",YEAR(Agent10_Withdrawals!D106)),"")</f>
        <v/>
      </c>
    </row>
    <row r="1900" spans="1:13" ht="18" customHeight="1" x14ac:dyDescent="0.25">
      <c r="A1900" s="40" t="str">
        <f>IF(Agent10_Withdrawals!A107="","",Agent10_Withdrawals!A107)</f>
        <v/>
      </c>
      <c r="B1900" s="40" t="str">
        <f ca="1">IF(Agent10_Withdrawals!A107="","","WD"&amp;TEXT(1900-3,"0000")&amp;"-"&amp;TEXT(TODAY(),"YYYYMMDD"))</f>
        <v/>
      </c>
      <c r="C1900" s="40" t="str">
        <f>IF(Agent10_Withdrawals!A107="","",Agent10_Withdrawals!B107)</f>
        <v/>
      </c>
      <c r="D1900" s="43" t="str">
        <f>IF(Agent10_Withdrawals!A107="","",Agent10_Withdrawals!C107)</f>
        <v/>
      </c>
      <c r="E1900" s="41" t="str">
        <f>IF(Agent10_Withdrawals!A107="","",Agent10_Withdrawals!D107)</f>
        <v/>
      </c>
      <c r="F1900" s="40" t="str">
        <f>IF(Agent10_Withdrawals!A107="","",Agent10_Withdrawals!F107)</f>
        <v/>
      </c>
      <c r="G1900" s="42" t="str">
        <f>IF(Agent10_Withdrawals!A107="","",Agent10_Withdrawals!E107)</f>
        <v/>
      </c>
      <c r="H1900" s="42" t="str">
        <f>IF(Agent10_Withdrawals!A107="","",Agent10_Withdrawals!G107)</f>
        <v/>
      </c>
      <c r="I1900" s="40" t="str">
        <f>IF(Agent10_Withdrawals!A107="","",Agent10_Withdrawals!H107)</f>
        <v/>
      </c>
      <c r="J1900" s="40" t="str">
        <f>IF(Agent10_Withdrawals!A107="","",Agent10_Withdrawals!J107)</f>
        <v/>
      </c>
      <c r="K1900" s="40" t="str">
        <f>IF(Agent10_Withdrawals!A107="","",Agent10_Withdrawals!K107)</f>
        <v/>
      </c>
      <c r="L1900" s="40" t="str">
        <f>IF(G1900="","",IF(D1900-G1900&gt;=System_Config!$B$9,"✅ OK","⚠️ BREACH"))</f>
        <v/>
      </c>
      <c r="M1900" s="40" t="str">
        <f>IFERROR(IF(Agent10_Withdrawals!A107="","",YEAR(Agent10_Withdrawals!D107)),"")</f>
        <v/>
      </c>
    </row>
    <row r="1901" spans="1:13" ht="18" customHeight="1" x14ac:dyDescent="0.25">
      <c r="A1901" s="40" t="str">
        <f>IF(Agent10_Withdrawals!A108="","",Agent10_Withdrawals!A108)</f>
        <v/>
      </c>
      <c r="B1901" s="40" t="str">
        <f ca="1">IF(Agent10_Withdrawals!A108="","","WD"&amp;TEXT(1901-3,"0000")&amp;"-"&amp;TEXT(TODAY(),"YYYYMMDD"))</f>
        <v/>
      </c>
      <c r="C1901" s="40" t="str">
        <f>IF(Agent10_Withdrawals!A108="","",Agent10_Withdrawals!B108)</f>
        <v/>
      </c>
      <c r="D1901" s="43" t="str">
        <f>IF(Agent10_Withdrawals!A108="","",Agent10_Withdrawals!C108)</f>
        <v/>
      </c>
      <c r="E1901" s="41" t="str">
        <f>IF(Agent10_Withdrawals!A108="","",Agent10_Withdrawals!D108)</f>
        <v/>
      </c>
      <c r="F1901" s="40" t="str">
        <f>IF(Agent10_Withdrawals!A108="","",Agent10_Withdrawals!F108)</f>
        <v/>
      </c>
      <c r="G1901" s="42" t="str">
        <f>IF(Agent10_Withdrawals!A108="","",Agent10_Withdrawals!E108)</f>
        <v/>
      </c>
      <c r="H1901" s="42" t="str">
        <f>IF(Agent10_Withdrawals!A108="","",Agent10_Withdrawals!G108)</f>
        <v/>
      </c>
      <c r="I1901" s="40" t="str">
        <f>IF(Agent10_Withdrawals!A108="","",Agent10_Withdrawals!H108)</f>
        <v/>
      </c>
      <c r="J1901" s="40" t="str">
        <f>IF(Agent10_Withdrawals!A108="","",Agent10_Withdrawals!J108)</f>
        <v/>
      </c>
      <c r="K1901" s="40" t="str">
        <f>IF(Agent10_Withdrawals!A108="","",Agent10_Withdrawals!K108)</f>
        <v/>
      </c>
      <c r="L1901" s="40" t="str">
        <f>IF(G1901="","",IF(D1901-G1901&gt;=System_Config!$B$9,"✅ OK","⚠️ BREACH"))</f>
        <v/>
      </c>
      <c r="M1901" s="40" t="str">
        <f>IFERROR(IF(Agent10_Withdrawals!A108="","",YEAR(Agent10_Withdrawals!D108)),"")</f>
        <v/>
      </c>
    </row>
    <row r="1902" spans="1:13" ht="18" customHeight="1" x14ac:dyDescent="0.25">
      <c r="A1902" s="40" t="str">
        <f>IF(Agent10_Withdrawals!A109="","",Agent10_Withdrawals!A109)</f>
        <v/>
      </c>
      <c r="B1902" s="40" t="str">
        <f ca="1">IF(Agent10_Withdrawals!A109="","","WD"&amp;TEXT(1902-3,"0000")&amp;"-"&amp;TEXT(TODAY(),"YYYYMMDD"))</f>
        <v/>
      </c>
      <c r="C1902" s="40" t="str">
        <f>IF(Agent10_Withdrawals!A109="","",Agent10_Withdrawals!B109)</f>
        <v/>
      </c>
      <c r="D1902" s="43" t="str">
        <f>IF(Agent10_Withdrawals!A109="","",Agent10_Withdrawals!C109)</f>
        <v/>
      </c>
      <c r="E1902" s="41" t="str">
        <f>IF(Agent10_Withdrawals!A109="","",Agent10_Withdrawals!D109)</f>
        <v/>
      </c>
      <c r="F1902" s="40" t="str">
        <f>IF(Agent10_Withdrawals!A109="","",Agent10_Withdrawals!F109)</f>
        <v/>
      </c>
      <c r="G1902" s="42" t="str">
        <f>IF(Agent10_Withdrawals!A109="","",Agent10_Withdrawals!E109)</f>
        <v/>
      </c>
      <c r="H1902" s="42" t="str">
        <f>IF(Agent10_Withdrawals!A109="","",Agent10_Withdrawals!G109)</f>
        <v/>
      </c>
      <c r="I1902" s="40" t="str">
        <f>IF(Agent10_Withdrawals!A109="","",Agent10_Withdrawals!H109)</f>
        <v/>
      </c>
      <c r="J1902" s="40" t="str">
        <f>IF(Agent10_Withdrawals!A109="","",Agent10_Withdrawals!J109)</f>
        <v/>
      </c>
      <c r="K1902" s="40" t="str">
        <f>IF(Agent10_Withdrawals!A109="","",Agent10_Withdrawals!K109)</f>
        <v/>
      </c>
      <c r="L1902" s="40" t="str">
        <f>IF(G1902="","",IF(D1902-G1902&gt;=System_Config!$B$9,"✅ OK","⚠️ BREACH"))</f>
        <v/>
      </c>
      <c r="M1902" s="40" t="str">
        <f>IFERROR(IF(Agent10_Withdrawals!A109="","",YEAR(Agent10_Withdrawals!D109)),"")</f>
        <v/>
      </c>
    </row>
    <row r="1903" spans="1:13" ht="18" customHeight="1" x14ac:dyDescent="0.25">
      <c r="A1903" s="40" t="str">
        <f>IF(Agent10_Withdrawals!A110="","",Agent10_Withdrawals!A110)</f>
        <v/>
      </c>
      <c r="B1903" s="40" t="str">
        <f ca="1">IF(Agent10_Withdrawals!A110="","","WD"&amp;TEXT(1903-3,"0000")&amp;"-"&amp;TEXT(TODAY(),"YYYYMMDD"))</f>
        <v/>
      </c>
      <c r="C1903" s="40" t="str">
        <f>IF(Agent10_Withdrawals!A110="","",Agent10_Withdrawals!B110)</f>
        <v/>
      </c>
      <c r="D1903" s="43" t="str">
        <f>IF(Agent10_Withdrawals!A110="","",Agent10_Withdrawals!C110)</f>
        <v/>
      </c>
      <c r="E1903" s="41" t="str">
        <f>IF(Agent10_Withdrawals!A110="","",Agent10_Withdrawals!D110)</f>
        <v/>
      </c>
      <c r="F1903" s="40" t="str">
        <f>IF(Agent10_Withdrawals!A110="","",Agent10_Withdrawals!F110)</f>
        <v/>
      </c>
      <c r="G1903" s="42" t="str">
        <f>IF(Agent10_Withdrawals!A110="","",Agent10_Withdrawals!E110)</f>
        <v/>
      </c>
      <c r="H1903" s="42" t="str">
        <f>IF(Agent10_Withdrawals!A110="","",Agent10_Withdrawals!G110)</f>
        <v/>
      </c>
      <c r="I1903" s="40" t="str">
        <f>IF(Agent10_Withdrawals!A110="","",Agent10_Withdrawals!H110)</f>
        <v/>
      </c>
      <c r="J1903" s="40" t="str">
        <f>IF(Agent10_Withdrawals!A110="","",Agent10_Withdrawals!J110)</f>
        <v/>
      </c>
      <c r="K1903" s="40" t="str">
        <f>IF(Agent10_Withdrawals!A110="","",Agent10_Withdrawals!K110)</f>
        <v/>
      </c>
      <c r="L1903" s="40" t="str">
        <f>IF(G1903="","",IF(D1903-G1903&gt;=System_Config!$B$9,"✅ OK","⚠️ BREACH"))</f>
        <v/>
      </c>
      <c r="M1903" s="40" t="str">
        <f>IFERROR(IF(Agent10_Withdrawals!A110="","",YEAR(Agent10_Withdrawals!D110)),"")</f>
        <v/>
      </c>
    </row>
    <row r="1904" spans="1:13" ht="18" customHeight="1" x14ac:dyDescent="0.25">
      <c r="A1904" s="40" t="str">
        <f>IF(Agent10_Withdrawals!A111="","",Agent10_Withdrawals!A111)</f>
        <v/>
      </c>
      <c r="B1904" s="40" t="str">
        <f ca="1">IF(Agent10_Withdrawals!A111="","","WD"&amp;TEXT(1904-3,"0000")&amp;"-"&amp;TEXT(TODAY(),"YYYYMMDD"))</f>
        <v/>
      </c>
      <c r="C1904" s="40" t="str">
        <f>IF(Agent10_Withdrawals!A111="","",Agent10_Withdrawals!B111)</f>
        <v/>
      </c>
      <c r="D1904" s="43" t="str">
        <f>IF(Agent10_Withdrawals!A111="","",Agent10_Withdrawals!C111)</f>
        <v/>
      </c>
      <c r="E1904" s="41" t="str">
        <f>IF(Agent10_Withdrawals!A111="","",Agent10_Withdrawals!D111)</f>
        <v/>
      </c>
      <c r="F1904" s="40" t="str">
        <f>IF(Agent10_Withdrawals!A111="","",Agent10_Withdrawals!F111)</f>
        <v/>
      </c>
      <c r="G1904" s="42" t="str">
        <f>IF(Agent10_Withdrawals!A111="","",Agent10_Withdrawals!E111)</f>
        <v/>
      </c>
      <c r="H1904" s="42" t="str">
        <f>IF(Agent10_Withdrawals!A111="","",Agent10_Withdrawals!G111)</f>
        <v/>
      </c>
      <c r="I1904" s="40" t="str">
        <f>IF(Agent10_Withdrawals!A111="","",Agent10_Withdrawals!H111)</f>
        <v/>
      </c>
      <c r="J1904" s="40" t="str">
        <f>IF(Agent10_Withdrawals!A111="","",Agent10_Withdrawals!J111)</f>
        <v/>
      </c>
      <c r="K1904" s="40" t="str">
        <f>IF(Agent10_Withdrawals!A111="","",Agent10_Withdrawals!K111)</f>
        <v/>
      </c>
      <c r="L1904" s="40" t="str">
        <f>IF(G1904="","",IF(D1904-G1904&gt;=System_Config!$B$9,"✅ OK","⚠️ BREACH"))</f>
        <v/>
      </c>
      <c r="M1904" s="40" t="str">
        <f>IFERROR(IF(Agent10_Withdrawals!A111="","",YEAR(Agent10_Withdrawals!D111)),"")</f>
        <v/>
      </c>
    </row>
    <row r="1905" spans="1:13" ht="18" customHeight="1" x14ac:dyDescent="0.25">
      <c r="A1905" s="40" t="str">
        <f>IF(Agent10_Withdrawals!A112="","",Agent10_Withdrawals!A112)</f>
        <v/>
      </c>
      <c r="B1905" s="40" t="str">
        <f ca="1">IF(Agent10_Withdrawals!A112="","","WD"&amp;TEXT(1905-3,"0000")&amp;"-"&amp;TEXT(TODAY(),"YYYYMMDD"))</f>
        <v/>
      </c>
      <c r="C1905" s="40" t="str">
        <f>IF(Agent10_Withdrawals!A112="","",Agent10_Withdrawals!B112)</f>
        <v/>
      </c>
      <c r="D1905" s="43" t="str">
        <f>IF(Agent10_Withdrawals!A112="","",Agent10_Withdrawals!C112)</f>
        <v/>
      </c>
      <c r="E1905" s="41" t="str">
        <f>IF(Agent10_Withdrawals!A112="","",Agent10_Withdrawals!D112)</f>
        <v/>
      </c>
      <c r="F1905" s="40" t="str">
        <f>IF(Agent10_Withdrawals!A112="","",Agent10_Withdrawals!F112)</f>
        <v/>
      </c>
      <c r="G1905" s="42" t="str">
        <f>IF(Agent10_Withdrawals!A112="","",Agent10_Withdrawals!E112)</f>
        <v/>
      </c>
      <c r="H1905" s="42" t="str">
        <f>IF(Agent10_Withdrawals!A112="","",Agent10_Withdrawals!G112)</f>
        <v/>
      </c>
      <c r="I1905" s="40" t="str">
        <f>IF(Agent10_Withdrawals!A112="","",Agent10_Withdrawals!H112)</f>
        <v/>
      </c>
      <c r="J1905" s="40" t="str">
        <f>IF(Agent10_Withdrawals!A112="","",Agent10_Withdrawals!J112)</f>
        <v/>
      </c>
      <c r="K1905" s="40" t="str">
        <f>IF(Agent10_Withdrawals!A112="","",Agent10_Withdrawals!K112)</f>
        <v/>
      </c>
      <c r="L1905" s="40" t="str">
        <f>IF(G1905="","",IF(D1905-G1905&gt;=System_Config!$B$9,"✅ OK","⚠️ BREACH"))</f>
        <v/>
      </c>
      <c r="M1905" s="40" t="str">
        <f>IFERROR(IF(Agent10_Withdrawals!A112="","",YEAR(Agent10_Withdrawals!D112)),"")</f>
        <v/>
      </c>
    </row>
    <row r="1906" spans="1:13" ht="18" customHeight="1" x14ac:dyDescent="0.25">
      <c r="A1906" s="40" t="str">
        <f>IF(Agent10_Withdrawals!A113="","",Agent10_Withdrawals!A113)</f>
        <v/>
      </c>
      <c r="B1906" s="40" t="str">
        <f ca="1">IF(Agent10_Withdrawals!A113="","","WD"&amp;TEXT(1906-3,"0000")&amp;"-"&amp;TEXT(TODAY(),"YYYYMMDD"))</f>
        <v/>
      </c>
      <c r="C1906" s="40" t="str">
        <f>IF(Agent10_Withdrawals!A113="","",Agent10_Withdrawals!B113)</f>
        <v/>
      </c>
      <c r="D1906" s="43" t="str">
        <f>IF(Agent10_Withdrawals!A113="","",Agent10_Withdrawals!C113)</f>
        <v/>
      </c>
      <c r="E1906" s="41" t="str">
        <f>IF(Agent10_Withdrawals!A113="","",Agent10_Withdrawals!D113)</f>
        <v/>
      </c>
      <c r="F1906" s="40" t="str">
        <f>IF(Agent10_Withdrawals!A113="","",Agent10_Withdrawals!F113)</f>
        <v/>
      </c>
      <c r="G1906" s="42" t="str">
        <f>IF(Agent10_Withdrawals!A113="","",Agent10_Withdrawals!E113)</f>
        <v/>
      </c>
      <c r="H1906" s="42" t="str">
        <f>IF(Agent10_Withdrawals!A113="","",Agent10_Withdrawals!G113)</f>
        <v/>
      </c>
      <c r="I1906" s="40" t="str">
        <f>IF(Agent10_Withdrawals!A113="","",Agent10_Withdrawals!H113)</f>
        <v/>
      </c>
      <c r="J1906" s="40" t="str">
        <f>IF(Agent10_Withdrawals!A113="","",Agent10_Withdrawals!J113)</f>
        <v/>
      </c>
      <c r="K1906" s="40" t="str">
        <f>IF(Agent10_Withdrawals!A113="","",Agent10_Withdrawals!K113)</f>
        <v/>
      </c>
      <c r="L1906" s="40" t="str">
        <f>IF(G1906="","",IF(D1906-G1906&gt;=System_Config!$B$9,"✅ OK","⚠️ BREACH"))</f>
        <v/>
      </c>
      <c r="M1906" s="40" t="str">
        <f>IFERROR(IF(Agent10_Withdrawals!A113="","",YEAR(Agent10_Withdrawals!D113)),"")</f>
        <v/>
      </c>
    </row>
    <row r="1907" spans="1:13" ht="18" customHeight="1" x14ac:dyDescent="0.25">
      <c r="A1907" s="40" t="str">
        <f>IF(Agent10_Withdrawals!A114="","",Agent10_Withdrawals!A114)</f>
        <v/>
      </c>
      <c r="B1907" s="40" t="str">
        <f ca="1">IF(Agent10_Withdrawals!A114="","","WD"&amp;TEXT(1907-3,"0000")&amp;"-"&amp;TEXT(TODAY(),"YYYYMMDD"))</f>
        <v/>
      </c>
      <c r="C1907" s="40" t="str">
        <f>IF(Agent10_Withdrawals!A114="","",Agent10_Withdrawals!B114)</f>
        <v/>
      </c>
      <c r="D1907" s="43" t="str">
        <f>IF(Agent10_Withdrawals!A114="","",Agent10_Withdrawals!C114)</f>
        <v/>
      </c>
      <c r="E1907" s="41" t="str">
        <f>IF(Agent10_Withdrawals!A114="","",Agent10_Withdrawals!D114)</f>
        <v/>
      </c>
      <c r="F1907" s="40" t="str">
        <f>IF(Agent10_Withdrawals!A114="","",Agent10_Withdrawals!F114)</f>
        <v/>
      </c>
      <c r="G1907" s="42" t="str">
        <f>IF(Agent10_Withdrawals!A114="","",Agent10_Withdrawals!E114)</f>
        <v/>
      </c>
      <c r="H1907" s="42" t="str">
        <f>IF(Agent10_Withdrawals!A114="","",Agent10_Withdrawals!G114)</f>
        <v/>
      </c>
      <c r="I1907" s="40" t="str">
        <f>IF(Agent10_Withdrawals!A114="","",Agent10_Withdrawals!H114)</f>
        <v/>
      </c>
      <c r="J1907" s="40" t="str">
        <f>IF(Agent10_Withdrawals!A114="","",Agent10_Withdrawals!J114)</f>
        <v/>
      </c>
      <c r="K1907" s="40" t="str">
        <f>IF(Agent10_Withdrawals!A114="","",Agent10_Withdrawals!K114)</f>
        <v/>
      </c>
      <c r="L1907" s="40" t="str">
        <f>IF(G1907="","",IF(D1907-G1907&gt;=System_Config!$B$9,"✅ OK","⚠️ BREACH"))</f>
        <v/>
      </c>
      <c r="M1907" s="40" t="str">
        <f>IFERROR(IF(Agent10_Withdrawals!A114="","",YEAR(Agent10_Withdrawals!D114)),"")</f>
        <v/>
      </c>
    </row>
    <row r="1908" spans="1:13" ht="18" customHeight="1" x14ac:dyDescent="0.25">
      <c r="A1908" s="40" t="str">
        <f>IF(Agent10_Withdrawals!A115="","",Agent10_Withdrawals!A115)</f>
        <v/>
      </c>
      <c r="B1908" s="40" t="str">
        <f ca="1">IF(Agent10_Withdrawals!A115="","","WD"&amp;TEXT(1908-3,"0000")&amp;"-"&amp;TEXT(TODAY(),"YYYYMMDD"))</f>
        <v/>
      </c>
      <c r="C1908" s="40" t="str">
        <f>IF(Agent10_Withdrawals!A115="","",Agent10_Withdrawals!B115)</f>
        <v/>
      </c>
      <c r="D1908" s="43" t="str">
        <f>IF(Agent10_Withdrawals!A115="","",Agent10_Withdrawals!C115)</f>
        <v/>
      </c>
      <c r="E1908" s="41" t="str">
        <f>IF(Agent10_Withdrawals!A115="","",Agent10_Withdrawals!D115)</f>
        <v/>
      </c>
      <c r="F1908" s="40" t="str">
        <f>IF(Agent10_Withdrawals!A115="","",Agent10_Withdrawals!F115)</f>
        <v/>
      </c>
      <c r="G1908" s="42" t="str">
        <f>IF(Agent10_Withdrawals!A115="","",Agent10_Withdrawals!E115)</f>
        <v/>
      </c>
      <c r="H1908" s="42" t="str">
        <f>IF(Agent10_Withdrawals!A115="","",Agent10_Withdrawals!G115)</f>
        <v/>
      </c>
      <c r="I1908" s="40" t="str">
        <f>IF(Agent10_Withdrawals!A115="","",Agent10_Withdrawals!H115)</f>
        <v/>
      </c>
      <c r="J1908" s="40" t="str">
        <f>IF(Agent10_Withdrawals!A115="","",Agent10_Withdrawals!J115)</f>
        <v/>
      </c>
      <c r="K1908" s="40" t="str">
        <f>IF(Agent10_Withdrawals!A115="","",Agent10_Withdrawals!K115)</f>
        <v/>
      </c>
      <c r="L1908" s="40" t="str">
        <f>IF(G1908="","",IF(D1908-G1908&gt;=System_Config!$B$9,"✅ OK","⚠️ BREACH"))</f>
        <v/>
      </c>
      <c r="M1908" s="40" t="str">
        <f>IFERROR(IF(Agent10_Withdrawals!A115="","",YEAR(Agent10_Withdrawals!D115)),"")</f>
        <v/>
      </c>
    </row>
    <row r="1909" spans="1:13" ht="18" customHeight="1" x14ac:dyDescent="0.25">
      <c r="A1909" s="40" t="str">
        <f>IF(Agent10_Withdrawals!A116="","",Agent10_Withdrawals!A116)</f>
        <v/>
      </c>
      <c r="B1909" s="40" t="str">
        <f ca="1">IF(Agent10_Withdrawals!A116="","","WD"&amp;TEXT(1909-3,"0000")&amp;"-"&amp;TEXT(TODAY(),"YYYYMMDD"))</f>
        <v/>
      </c>
      <c r="C1909" s="40" t="str">
        <f>IF(Agent10_Withdrawals!A116="","",Agent10_Withdrawals!B116)</f>
        <v/>
      </c>
      <c r="D1909" s="43" t="str">
        <f>IF(Agent10_Withdrawals!A116="","",Agent10_Withdrawals!C116)</f>
        <v/>
      </c>
      <c r="E1909" s="41" t="str">
        <f>IF(Agent10_Withdrawals!A116="","",Agent10_Withdrawals!D116)</f>
        <v/>
      </c>
      <c r="F1909" s="40" t="str">
        <f>IF(Agent10_Withdrawals!A116="","",Agent10_Withdrawals!F116)</f>
        <v/>
      </c>
      <c r="G1909" s="42" t="str">
        <f>IF(Agent10_Withdrawals!A116="","",Agent10_Withdrawals!E116)</f>
        <v/>
      </c>
      <c r="H1909" s="42" t="str">
        <f>IF(Agent10_Withdrawals!A116="","",Agent10_Withdrawals!G116)</f>
        <v/>
      </c>
      <c r="I1909" s="40" t="str">
        <f>IF(Agent10_Withdrawals!A116="","",Agent10_Withdrawals!H116)</f>
        <v/>
      </c>
      <c r="J1909" s="40" t="str">
        <f>IF(Agent10_Withdrawals!A116="","",Agent10_Withdrawals!J116)</f>
        <v/>
      </c>
      <c r="K1909" s="40" t="str">
        <f>IF(Agent10_Withdrawals!A116="","",Agent10_Withdrawals!K116)</f>
        <v/>
      </c>
      <c r="L1909" s="40" t="str">
        <f>IF(G1909="","",IF(D1909-G1909&gt;=System_Config!$B$9,"✅ OK","⚠️ BREACH"))</f>
        <v/>
      </c>
      <c r="M1909" s="40" t="str">
        <f>IFERROR(IF(Agent10_Withdrawals!A116="","",YEAR(Agent10_Withdrawals!D116)),"")</f>
        <v/>
      </c>
    </row>
    <row r="1910" spans="1:13" ht="18" customHeight="1" x14ac:dyDescent="0.25">
      <c r="A1910" s="40" t="str">
        <f>IF(Agent10_Withdrawals!A117="","",Agent10_Withdrawals!A117)</f>
        <v/>
      </c>
      <c r="B1910" s="40" t="str">
        <f ca="1">IF(Agent10_Withdrawals!A117="","","WD"&amp;TEXT(1910-3,"0000")&amp;"-"&amp;TEXT(TODAY(),"YYYYMMDD"))</f>
        <v/>
      </c>
      <c r="C1910" s="40" t="str">
        <f>IF(Agent10_Withdrawals!A117="","",Agent10_Withdrawals!B117)</f>
        <v/>
      </c>
      <c r="D1910" s="43" t="str">
        <f>IF(Agent10_Withdrawals!A117="","",Agent10_Withdrawals!C117)</f>
        <v/>
      </c>
      <c r="E1910" s="41" t="str">
        <f>IF(Agent10_Withdrawals!A117="","",Agent10_Withdrawals!D117)</f>
        <v/>
      </c>
      <c r="F1910" s="40" t="str">
        <f>IF(Agent10_Withdrawals!A117="","",Agent10_Withdrawals!F117)</f>
        <v/>
      </c>
      <c r="G1910" s="42" t="str">
        <f>IF(Agent10_Withdrawals!A117="","",Agent10_Withdrawals!E117)</f>
        <v/>
      </c>
      <c r="H1910" s="42" t="str">
        <f>IF(Agent10_Withdrawals!A117="","",Agent10_Withdrawals!G117)</f>
        <v/>
      </c>
      <c r="I1910" s="40" t="str">
        <f>IF(Agent10_Withdrawals!A117="","",Agent10_Withdrawals!H117)</f>
        <v/>
      </c>
      <c r="J1910" s="40" t="str">
        <f>IF(Agent10_Withdrawals!A117="","",Agent10_Withdrawals!J117)</f>
        <v/>
      </c>
      <c r="K1910" s="40" t="str">
        <f>IF(Agent10_Withdrawals!A117="","",Agent10_Withdrawals!K117)</f>
        <v/>
      </c>
      <c r="L1910" s="40" t="str">
        <f>IF(G1910="","",IF(D1910-G1910&gt;=System_Config!$B$9,"✅ OK","⚠️ BREACH"))</f>
        <v/>
      </c>
      <c r="M1910" s="40" t="str">
        <f>IFERROR(IF(Agent10_Withdrawals!A117="","",YEAR(Agent10_Withdrawals!D117)),"")</f>
        <v/>
      </c>
    </row>
    <row r="1911" spans="1:13" ht="18" customHeight="1" x14ac:dyDescent="0.25">
      <c r="A1911" s="40" t="str">
        <f>IF(Agent10_Withdrawals!A118="","",Agent10_Withdrawals!A118)</f>
        <v/>
      </c>
      <c r="B1911" s="40" t="str">
        <f ca="1">IF(Agent10_Withdrawals!A118="","","WD"&amp;TEXT(1911-3,"0000")&amp;"-"&amp;TEXT(TODAY(),"YYYYMMDD"))</f>
        <v/>
      </c>
      <c r="C1911" s="40" t="str">
        <f>IF(Agent10_Withdrawals!A118="","",Agent10_Withdrawals!B118)</f>
        <v/>
      </c>
      <c r="D1911" s="43" t="str">
        <f>IF(Agent10_Withdrawals!A118="","",Agent10_Withdrawals!C118)</f>
        <v/>
      </c>
      <c r="E1911" s="41" t="str">
        <f>IF(Agent10_Withdrawals!A118="","",Agent10_Withdrawals!D118)</f>
        <v/>
      </c>
      <c r="F1911" s="40" t="str">
        <f>IF(Agent10_Withdrawals!A118="","",Agent10_Withdrawals!F118)</f>
        <v/>
      </c>
      <c r="G1911" s="42" t="str">
        <f>IF(Agent10_Withdrawals!A118="","",Agent10_Withdrawals!E118)</f>
        <v/>
      </c>
      <c r="H1911" s="42" t="str">
        <f>IF(Agent10_Withdrawals!A118="","",Agent10_Withdrawals!G118)</f>
        <v/>
      </c>
      <c r="I1911" s="40" t="str">
        <f>IF(Agent10_Withdrawals!A118="","",Agent10_Withdrawals!H118)</f>
        <v/>
      </c>
      <c r="J1911" s="40" t="str">
        <f>IF(Agent10_Withdrawals!A118="","",Agent10_Withdrawals!J118)</f>
        <v/>
      </c>
      <c r="K1911" s="40" t="str">
        <f>IF(Agent10_Withdrawals!A118="","",Agent10_Withdrawals!K118)</f>
        <v/>
      </c>
      <c r="L1911" s="40" t="str">
        <f>IF(G1911="","",IF(D1911-G1911&gt;=System_Config!$B$9,"✅ OK","⚠️ BREACH"))</f>
        <v/>
      </c>
      <c r="M1911" s="40" t="str">
        <f>IFERROR(IF(Agent10_Withdrawals!A118="","",YEAR(Agent10_Withdrawals!D118)),"")</f>
        <v/>
      </c>
    </row>
    <row r="1912" spans="1:13" ht="18" customHeight="1" x14ac:dyDescent="0.25">
      <c r="A1912" s="40" t="str">
        <f>IF(Agent10_Withdrawals!A119="","",Agent10_Withdrawals!A119)</f>
        <v/>
      </c>
      <c r="B1912" s="40" t="str">
        <f ca="1">IF(Agent10_Withdrawals!A119="","","WD"&amp;TEXT(1912-3,"0000")&amp;"-"&amp;TEXT(TODAY(),"YYYYMMDD"))</f>
        <v/>
      </c>
      <c r="C1912" s="40" t="str">
        <f>IF(Agent10_Withdrawals!A119="","",Agent10_Withdrawals!B119)</f>
        <v/>
      </c>
      <c r="D1912" s="43" t="str">
        <f>IF(Agent10_Withdrawals!A119="","",Agent10_Withdrawals!C119)</f>
        <v/>
      </c>
      <c r="E1912" s="41" t="str">
        <f>IF(Agent10_Withdrawals!A119="","",Agent10_Withdrawals!D119)</f>
        <v/>
      </c>
      <c r="F1912" s="40" t="str">
        <f>IF(Agent10_Withdrawals!A119="","",Agent10_Withdrawals!F119)</f>
        <v/>
      </c>
      <c r="G1912" s="42" t="str">
        <f>IF(Agent10_Withdrawals!A119="","",Agent10_Withdrawals!E119)</f>
        <v/>
      </c>
      <c r="H1912" s="42" t="str">
        <f>IF(Agent10_Withdrawals!A119="","",Agent10_Withdrawals!G119)</f>
        <v/>
      </c>
      <c r="I1912" s="40" t="str">
        <f>IF(Agent10_Withdrawals!A119="","",Agent10_Withdrawals!H119)</f>
        <v/>
      </c>
      <c r="J1912" s="40" t="str">
        <f>IF(Agent10_Withdrawals!A119="","",Agent10_Withdrawals!J119)</f>
        <v/>
      </c>
      <c r="K1912" s="40" t="str">
        <f>IF(Agent10_Withdrawals!A119="","",Agent10_Withdrawals!K119)</f>
        <v/>
      </c>
      <c r="L1912" s="40" t="str">
        <f>IF(G1912="","",IF(D1912-G1912&gt;=System_Config!$B$9,"✅ OK","⚠️ BREACH"))</f>
        <v/>
      </c>
      <c r="M1912" s="40" t="str">
        <f>IFERROR(IF(Agent10_Withdrawals!A119="","",YEAR(Agent10_Withdrawals!D119)),"")</f>
        <v/>
      </c>
    </row>
    <row r="1913" spans="1:13" ht="18" customHeight="1" x14ac:dyDescent="0.25">
      <c r="A1913" s="40" t="str">
        <f>IF(Agent10_Withdrawals!A120="","",Agent10_Withdrawals!A120)</f>
        <v/>
      </c>
      <c r="B1913" s="40" t="str">
        <f ca="1">IF(Agent10_Withdrawals!A120="","","WD"&amp;TEXT(1913-3,"0000")&amp;"-"&amp;TEXT(TODAY(),"YYYYMMDD"))</f>
        <v/>
      </c>
      <c r="C1913" s="40" t="str">
        <f>IF(Agent10_Withdrawals!A120="","",Agent10_Withdrawals!B120)</f>
        <v/>
      </c>
      <c r="D1913" s="43" t="str">
        <f>IF(Agent10_Withdrawals!A120="","",Agent10_Withdrawals!C120)</f>
        <v/>
      </c>
      <c r="E1913" s="41" t="str">
        <f>IF(Agent10_Withdrawals!A120="","",Agent10_Withdrawals!D120)</f>
        <v/>
      </c>
      <c r="F1913" s="40" t="str">
        <f>IF(Agent10_Withdrawals!A120="","",Agent10_Withdrawals!F120)</f>
        <v/>
      </c>
      <c r="G1913" s="42" t="str">
        <f>IF(Agent10_Withdrawals!A120="","",Agent10_Withdrawals!E120)</f>
        <v/>
      </c>
      <c r="H1913" s="42" t="str">
        <f>IF(Agent10_Withdrawals!A120="","",Agent10_Withdrawals!G120)</f>
        <v/>
      </c>
      <c r="I1913" s="40" t="str">
        <f>IF(Agent10_Withdrawals!A120="","",Agent10_Withdrawals!H120)</f>
        <v/>
      </c>
      <c r="J1913" s="40" t="str">
        <f>IF(Agent10_Withdrawals!A120="","",Agent10_Withdrawals!J120)</f>
        <v/>
      </c>
      <c r="K1913" s="40" t="str">
        <f>IF(Agent10_Withdrawals!A120="","",Agent10_Withdrawals!K120)</f>
        <v/>
      </c>
      <c r="L1913" s="40" t="str">
        <f>IF(G1913="","",IF(D1913-G1913&gt;=System_Config!$B$9,"✅ OK","⚠️ BREACH"))</f>
        <v/>
      </c>
      <c r="M1913" s="40" t="str">
        <f>IFERROR(IF(Agent10_Withdrawals!A120="","",YEAR(Agent10_Withdrawals!D120)),"")</f>
        <v/>
      </c>
    </row>
    <row r="1914" spans="1:13" ht="18" customHeight="1" x14ac:dyDescent="0.25">
      <c r="A1914" s="40" t="str">
        <f>IF(Agent10_Withdrawals!A121="","",Agent10_Withdrawals!A121)</f>
        <v/>
      </c>
      <c r="B1914" s="40" t="str">
        <f ca="1">IF(Agent10_Withdrawals!A121="","","WD"&amp;TEXT(1914-3,"0000")&amp;"-"&amp;TEXT(TODAY(),"YYYYMMDD"))</f>
        <v/>
      </c>
      <c r="C1914" s="40" t="str">
        <f>IF(Agent10_Withdrawals!A121="","",Agent10_Withdrawals!B121)</f>
        <v/>
      </c>
      <c r="D1914" s="43" t="str">
        <f>IF(Agent10_Withdrawals!A121="","",Agent10_Withdrawals!C121)</f>
        <v/>
      </c>
      <c r="E1914" s="41" t="str">
        <f>IF(Agent10_Withdrawals!A121="","",Agent10_Withdrawals!D121)</f>
        <v/>
      </c>
      <c r="F1914" s="40" t="str">
        <f>IF(Agent10_Withdrawals!A121="","",Agent10_Withdrawals!F121)</f>
        <v/>
      </c>
      <c r="G1914" s="42" t="str">
        <f>IF(Agent10_Withdrawals!A121="","",Agent10_Withdrawals!E121)</f>
        <v/>
      </c>
      <c r="H1914" s="42" t="str">
        <f>IF(Agent10_Withdrawals!A121="","",Agent10_Withdrawals!G121)</f>
        <v/>
      </c>
      <c r="I1914" s="40" t="str">
        <f>IF(Agent10_Withdrawals!A121="","",Agent10_Withdrawals!H121)</f>
        <v/>
      </c>
      <c r="J1914" s="40" t="str">
        <f>IF(Agent10_Withdrawals!A121="","",Agent10_Withdrawals!J121)</f>
        <v/>
      </c>
      <c r="K1914" s="40" t="str">
        <f>IF(Agent10_Withdrawals!A121="","",Agent10_Withdrawals!K121)</f>
        <v/>
      </c>
      <c r="L1914" s="40" t="str">
        <f>IF(G1914="","",IF(D1914-G1914&gt;=System_Config!$B$9,"✅ OK","⚠️ BREACH"))</f>
        <v/>
      </c>
      <c r="M1914" s="40" t="str">
        <f>IFERROR(IF(Agent10_Withdrawals!A121="","",YEAR(Agent10_Withdrawals!D121)),"")</f>
        <v/>
      </c>
    </row>
    <row r="1915" spans="1:13" ht="18" customHeight="1" x14ac:dyDescent="0.25">
      <c r="A1915" s="40" t="str">
        <f>IF(Agent10_Withdrawals!A122="","",Agent10_Withdrawals!A122)</f>
        <v/>
      </c>
      <c r="B1915" s="40" t="str">
        <f ca="1">IF(Agent10_Withdrawals!A122="","","WD"&amp;TEXT(1915-3,"0000")&amp;"-"&amp;TEXT(TODAY(),"YYYYMMDD"))</f>
        <v/>
      </c>
      <c r="C1915" s="40" t="str">
        <f>IF(Agent10_Withdrawals!A122="","",Agent10_Withdrawals!B122)</f>
        <v/>
      </c>
      <c r="D1915" s="43" t="str">
        <f>IF(Agent10_Withdrawals!A122="","",Agent10_Withdrawals!C122)</f>
        <v/>
      </c>
      <c r="E1915" s="41" t="str">
        <f>IF(Agent10_Withdrawals!A122="","",Agent10_Withdrawals!D122)</f>
        <v/>
      </c>
      <c r="F1915" s="40" t="str">
        <f>IF(Agent10_Withdrawals!A122="","",Agent10_Withdrawals!F122)</f>
        <v/>
      </c>
      <c r="G1915" s="42" t="str">
        <f>IF(Agent10_Withdrawals!A122="","",Agent10_Withdrawals!E122)</f>
        <v/>
      </c>
      <c r="H1915" s="42" t="str">
        <f>IF(Agent10_Withdrawals!A122="","",Agent10_Withdrawals!G122)</f>
        <v/>
      </c>
      <c r="I1915" s="40" t="str">
        <f>IF(Agent10_Withdrawals!A122="","",Agent10_Withdrawals!H122)</f>
        <v/>
      </c>
      <c r="J1915" s="40" t="str">
        <f>IF(Agent10_Withdrawals!A122="","",Agent10_Withdrawals!J122)</f>
        <v/>
      </c>
      <c r="K1915" s="40" t="str">
        <f>IF(Agent10_Withdrawals!A122="","",Agent10_Withdrawals!K122)</f>
        <v/>
      </c>
      <c r="L1915" s="40" t="str">
        <f>IF(G1915="","",IF(D1915-G1915&gt;=System_Config!$B$9,"✅ OK","⚠️ BREACH"))</f>
        <v/>
      </c>
      <c r="M1915" s="40" t="str">
        <f>IFERROR(IF(Agent10_Withdrawals!A122="","",YEAR(Agent10_Withdrawals!D122)),"")</f>
        <v/>
      </c>
    </row>
    <row r="1916" spans="1:13" ht="18" customHeight="1" x14ac:dyDescent="0.25">
      <c r="A1916" s="40" t="str">
        <f>IF(Agent10_Withdrawals!A123="","",Agent10_Withdrawals!A123)</f>
        <v/>
      </c>
      <c r="B1916" s="40" t="str">
        <f ca="1">IF(Agent10_Withdrawals!A123="","","WD"&amp;TEXT(1916-3,"0000")&amp;"-"&amp;TEXT(TODAY(),"YYYYMMDD"))</f>
        <v/>
      </c>
      <c r="C1916" s="40" t="str">
        <f>IF(Agent10_Withdrawals!A123="","",Agent10_Withdrawals!B123)</f>
        <v/>
      </c>
      <c r="D1916" s="43" t="str">
        <f>IF(Agent10_Withdrawals!A123="","",Agent10_Withdrawals!C123)</f>
        <v/>
      </c>
      <c r="E1916" s="41" t="str">
        <f>IF(Agent10_Withdrawals!A123="","",Agent10_Withdrawals!D123)</f>
        <v/>
      </c>
      <c r="F1916" s="40" t="str">
        <f>IF(Agent10_Withdrawals!A123="","",Agent10_Withdrawals!F123)</f>
        <v/>
      </c>
      <c r="G1916" s="42" t="str">
        <f>IF(Agent10_Withdrawals!A123="","",Agent10_Withdrawals!E123)</f>
        <v/>
      </c>
      <c r="H1916" s="42" t="str">
        <f>IF(Agent10_Withdrawals!A123="","",Agent10_Withdrawals!G123)</f>
        <v/>
      </c>
      <c r="I1916" s="40" t="str">
        <f>IF(Agent10_Withdrawals!A123="","",Agent10_Withdrawals!H123)</f>
        <v/>
      </c>
      <c r="J1916" s="40" t="str">
        <f>IF(Agent10_Withdrawals!A123="","",Agent10_Withdrawals!J123)</f>
        <v/>
      </c>
      <c r="K1916" s="40" t="str">
        <f>IF(Agent10_Withdrawals!A123="","",Agent10_Withdrawals!K123)</f>
        <v/>
      </c>
      <c r="L1916" s="40" t="str">
        <f>IF(G1916="","",IF(D1916-G1916&gt;=System_Config!$B$9,"✅ OK","⚠️ BREACH"))</f>
        <v/>
      </c>
      <c r="M1916" s="40" t="str">
        <f>IFERROR(IF(Agent10_Withdrawals!A123="","",YEAR(Agent10_Withdrawals!D123)),"")</f>
        <v/>
      </c>
    </row>
    <row r="1917" spans="1:13" ht="18" customHeight="1" x14ac:dyDescent="0.25">
      <c r="A1917" s="40" t="str">
        <f>IF(Agent10_Withdrawals!A124="","",Agent10_Withdrawals!A124)</f>
        <v/>
      </c>
      <c r="B1917" s="40" t="str">
        <f ca="1">IF(Agent10_Withdrawals!A124="","","WD"&amp;TEXT(1917-3,"0000")&amp;"-"&amp;TEXT(TODAY(),"YYYYMMDD"))</f>
        <v/>
      </c>
      <c r="C1917" s="40" t="str">
        <f>IF(Agent10_Withdrawals!A124="","",Agent10_Withdrawals!B124)</f>
        <v/>
      </c>
      <c r="D1917" s="43" t="str">
        <f>IF(Agent10_Withdrawals!A124="","",Agent10_Withdrawals!C124)</f>
        <v/>
      </c>
      <c r="E1917" s="41" t="str">
        <f>IF(Agent10_Withdrawals!A124="","",Agent10_Withdrawals!D124)</f>
        <v/>
      </c>
      <c r="F1917" s="40" t="str">
        <f>IF(Agent10_Withdrawals!A124="","",Agent10_Withdrawals!F124)</f>
        <v/>
      </c>
      <c r="G1917" s="42" t="str">
        <f>IF(Agent10_Withdrawals!A124="","",Agent10_Withdrawals!E124)</f>
        <v/>
      </c>
      <c r="H1917" s="42" t="str">
        <f>IF(Agent10_Withdrawals!A124="","",Agent10_Withdrawals!G124)</f>
        <v/>
      </c>
      <c r="I1917" s="40" t="str">
        <f>IF(Agent10_Withdrawals!A124="","",Agent10_Withdrawals!H124)</f>
        <v/>
      </c>
      <c r="J1917" s="40" t="str">
        <f>IF(Agent10_Withdrawals!A124="","",Agent10_Withdrawals!J124)</f>
        <v/>
      </c>
      <c r="K1917" s="40" t="str">
        <f>IF(Agent10_Withdrawals!A124="","",Agent10_Withdrawals!K124)</f>
        <v/>
      </c>
      <c r="L1917" s="40" t="str">
        <f>IF(G1917="","",IF(D1917-G1917&gt;=System_Config!$B$9,"✅ OK","⚠️ BREACH"))</f>
        <v/>
      </c>
      <c r="M1917" s="40" t="str">
        <f>IFERROR(IF(Agent10_Withdrawals!A124="","",YEAR(Agent10_Withdrawals!D124)),"")</f>
        <v/>
      </c>
    </row>
    <row r="1918" spans="1:13" ht="18" customHeight="1" x14ac:dyDescent="0.25">
      <c r="A1918" s="40" t="str">
        <f>IF(Agent10_Withdrawals!A125="","",Agent10_Withdrawals!A125)</f>
        <v/>
      </c>
      <c r="B1918" s="40" t="str">
        <f ca="1">IF(Agent10_Withdrawals!A125="","","WD"&amp;TEXT(1918-3,"0000")&amp;"-"&amp;TEXT(TODAY(),"YYYYMMDD"))</f>
        <v/>
      </c>
      <c r="C1918" s="40" t="str">
        <f>IF(Agent10_Withdrawals!A125="","",Agent10_Withdrawals!B125)</f>
        <v/>
      </c>
      <c r="D1918" s="43" t="str">
        <f>IF(Agent10_Withdrawals!A125="","",Agent10_Withdrawals!C125)</f>
        <v/>
      </c>
      <c r="E1918" s="41" t="str">
        <f>IF(Agent10_Withdrawals!A125="","",Agent10_Withdrawals!D125)</f>
        <v/>
      </c>
      <c r="F1918" s="40" t="str">
        <f>IF(Agent10_Withdrawals!A125="","",Agent10_Withdrawals!F125)</f>
        <v/>
      </c>
      <c r="G1918" s="42" t="str">
        <f>IF(Agent10_Withdrawals!A125="","",Agent10_Withdrawals!E125)</f>
        <v/>
      </c>
      <c r="H1918" s="42" t="str">
        <f>IF(Agent10_Withdrawals!A125="","",Agent10_Withdrawals!G125)</f>
        <v/>
      </c>
      <c r="I1918" s="40" t="str">
        <f>IF(Agent10_Withdrawals!A125="","",Agent10_Withdrawals!H125)</f>
        <v/>
      </c>
      <c r="J1918" s="40" t="str">
        <f>IF(Agent10_Withdrawals!A125="","",Agent10_Withdrawals!J125)</f>
        <v/>
      </c>
      <c r="K1918" s="40" t="str">
        <f>IF(Agent10_Withdrawals!A125="","",Agent10_Withdrawals!K125)</f>
        <v/>
      </c>
      <c r="L1918" s="40" t="str">
        <f>IF(G1918="","",IF(D1918-G1918&gt;=System_Config!$B$9,"✅ OK","⚠️ BREACH"))</f>
        <v/>
      </c>
      <c r="M1918" s="40" t="str">
        <f>IFERROR(IF(Agent10_Withdrawals!A125="","",YEAR(Agent10_Withdrawals!D125)),"")</f>
        <v/>
      </c>
    </row>
    <row r="1919" spans="1:13" ht="18" customHeight="1" x14ac:dyDescent="0.25">
      <c r="A1919" s="40" t="str">
        <f>IF(Agent10_Withdrawals!A126="","",Agent10_Withdrawals!A126)</f>
        <v/>
      </c>
      <c r="B1919" s="40" t="str">
        <f ca="1">IF(Agent10_Withdrawals!A126="","","WD"&amp;TEXT(1919-3,"0000")&amp;"-"&amp;TEXT(TODAY(),"YYYYMMDD"))</f>
        <v/>
      </c>
      <c r="C1919" s="40" t="str">
        <f>IF(Agent10_Withdrawals!A126="","",Agent10_Withdrawals!B126)</f>
        <v/>
      </c>
      <c r="D1919" s="43" t="str">
        <f>IF(Agent10_Withdrawals!A126="","",Agent10_Withdrawals!C126)</f>
        <v/>
      </c>
      <c r="E1919" s="41" t="str">
        <f>IF(Agent10_Withdrawals!A126="","",Agent10_Withdrawals!D126)</f>
        <v/>
      </c>
      <c r="F1919" s="40" t="str">
        <f>IF(Agent10_Withdrawals!A126="","",Agent10_Withdrawals!F126)</f>
        <v/>
      </c>
      <c r="G1919" s="42" t="str">
        <f>IF(Agent10_Withdrawals!A126="","",Agent10_Withdrawals!E126)</f>
        <v/>
      </c>
      <c r="H1919" s="42" t="str">
        <f>IF(Agent10_Withdrawals!A126="","",Agent10_Withdrawals!G126)</f>
        <v/>
      </c>
      <c r="I1919" s="40" t="str">
        <f>IF(Agent10_Withdrawals!A126="","",Agent10_Withdrawals!H126)</f>
        <v/>
      </c>
      <c r="J1919" s="40" t="str">
        <f>IF(Agent10_Withdrawals!A126="","",Agent10_Withdrawals!J126)</f>
        <v/>
      </c>
      <c r="K1919" s="40" t="str">
        <f>IF(Agent10_Withdrawals!A126="","",Agent10_Withdrawals!K126)</f>
        <v/>
      </c>
      <c r="L1919" s="40" t="str">
        <f>IF(G1919="","",IF(D1919-G1919&gt;=System_Config!$B$9,"✅ OK","⚠️ BREACH"))</f>
        <v/>
      </c>
      <c r="M1919" s="40" t="str">
        <f>IFERROR(IF(Agent10_Withdrawals!A126="","",YEAR(Agent10_Withdrawals!D126)),"")</f>
        <v/>
      </c>
    </row>
    <row r="1920" spans="1:13" ht="18" customHeight="1" x14ac:dyDescent="0.25">
      <c r="A1920" s="40" t="str">
        <f>IF(Agent10_Withdrawals!A127="","",Agent10_Withdrawals!A127)</f>
        <v/>
      </c>
      <c r="B1920" s="40" t="str">
        <f ca="1">IF(Agent10_Withdrawals!A127="","","WD"&amp;TEXT(1920-3,"0000")&amp;"-"&amp;TEXT(TODAY(),"YYYYMMDD"))</f>
        <v/>
      </c>
      <c r="C1920" s="40" t="str">
        <f>IF(Agent10_Withdrawals!A127="","",Agent10_Withdrawals!B127)</f>
        <v/>
      </c>
      <c r="D1920" s="43" t="str">
        <f>IF(Agent10_Withdrawals!A127="","",Agent10_Withdrawals!C127)</f>
        <v/>
      </c>
      <c r="E1920" s="41" t="str">
        <f>IF(Agent10_Withdrawals!A127="","",Agent10_Withdrawals!D127)</f>
        <v/>
      </c>
      <c r="F1920" s="40" t="str">
        <f>IF(Agent10_Withdrawals!A127="","",Agent10_Withdrawals!F127)</f>
        <v/>
      </c>
      <c r="G1920" s="42" t="str">
        <f>IF(Agent10_Withdrawals!A127="","",Agent10_Withdrawals!E127)</f>
        <v/>
      </c>
      <c r="H1920" s="42" t="str">
        <f>IF(Agent10_Withdrawals!A127="","",Agent10_Withdrawals!G127)</f>
        <v/>
      </c>
      <c r="I1920" s="40" t="str">
        <f>IF(Agent10_Withdrawals!A127="","",Agent10_Withdrawals!H127)</f>
        <v/>
      </c>
      <c r="J1920" s="40" t="str">
        <f>IF(Agent10_Withdrawals!A127="","",Agent10_Withdrawals!J127)</f>
        <v/>
      </c>
      <c r="K1920" s="40" t="str">
        <f>IF(Agent10_Withdrawals!A127="","",Agent10_Withdrawals!K127)</f>
        <v/>
      </c>
      <c r="L1920" s="40" t="str">
        <f>IF(G1920="","",IF(D1920-G1920&gt;=System_Config!$B$9,"✅ OK","⚠️ BREACH"))</f>
        <v/>
      </c>
      <c r="M1920" s="40" t="str">
        <f>IFERROR(IF(Agent10_Withdrawals!A127="","",YEAR(Agent10_Withdrawals!D127)),"")</f>
        <v/>
      </c>
    </row>
    <row r="1921" spans="1:13" ht="18" customHeight="1" x14ac:dyDescent="0.25">
      <c r="A1921" s="40" t="str">
        <f>IF(Agent10_Withdrawals!A128="","",Agent10_Withdrawals!A128)</f>
        <v/>
      </c>
      <c r="B1921" s="40" t="str">
        <f ca="1">IF(Agent10_Withdrawals!A128="","","WD"&amp;TEXT(1921-3,"0000")&amp;"-"&amp;TEXT(TODAY(),"YYYYMMDD"))</f>
        <v/>
      </c>
      <c r="C1921" s="40" t="str">
        <f>IF(Agent10_Withdrawals!A128="","",Agent10_Withdrawals!B128)</f>
        <v/>
      </c>
      <c r="D1921" s="43" t="str">
        <f>IF(Agent10_Withdrawals!A128="","",Agent10_Withdrawals!C128)</f>
        <v/>
      </c>
      <c r="E1921" s="41" t="str">
        <f>IF(Agent10_Withdrawals!A128="","",Agent10_Withdrawals!D128)</f>
        <v/>
      </c>
      <c r="F1921" s="40" t="str">
        <f>IF(Agent10_Withdrawals!A128="","",Agent10_Withdrawals!F128)</f>
        <v/>
      </c>
      <c r="G1921" s="42" t="str">
        <f>IF(Agent10_Withdrawals!A128="","",Agent10_Withdrawals!E128)</f>
        <v/>
      </c>
      <c r="H1921" s="42" t="str">
        <f>IF(Agent10_Withdrawals!A128="","",Agent10_Withdrawals!G128)</f>
        <v/>
      </c>
      <c r="I1921" s="40" t="str">
        <f>IF(Agent10_Withdrawals!A128="","",Agent10_Withdrawals!H128)</f>
        <v/>
      </c>
      <c r="J1921" s="40" t="str">
        <f>IF(Agent10_Withdrawals!A128="","",Agent10_Withdrawals!J128)</f>
        <v/>
      </c>
      <c r="K1921" s="40" t="str">
        <f>IF(Agent10_Withdrawals!A128="","",Agent10_Withdrawals!K128)</f>
        <v/>
      </c>
      <c r="L1921" s="40" t="str">
        <f>IF(G1921="","",IF(D1921-G1921&gt;=System_Config!$B$9,"✅ OK","⚠️ BREACH"))</f>
        <v/>
      </c>
      <c r="M1921" s="40" t="str">
        <f>IFERROR(IF(Agent10_Withdrawals!A128="","",YEAR(Agent10_Withdrawals!D128)),"")</f>
        <v/>
      </c>
    </row>
    <row r="1922" spans="1:13" ht="18" customHeight="1" x14ac:dyDescent="0.25">
      <c r="A1922" s="40" t="str">
        <f>IF(Agent10_Withdrawals!A129="","",Agent10_Withdrawals!A129)</f>
        <v/>
      </c>
      <c r="B1922" s="40" t="str">
        <f ca="1">IF(Agent10_Withdrawals!A129="","","WD"&amp;TEXT(1922-3,"0000")&amp;"-"&amp;TEXT(TODAY(),"YYYYMMDD"))</f>
        <v/>
      </c>
      <c r="C1922" s="40" t="str">
        <f>IF(Agent10_Withdrawals!A129="","",Agent10_Withdrawals!B129)</f>
        <v/>
      </c>
      <c r="D1922" s="43" t="str">
        <f>IF(Agent10_Withdrawals!A129="","",Agent10_Withdrawals!C129)</f>
        <v/>
      </c>
      <c r="E1922" s="41" t="str">
        <f>IF(Agent10_Withdrawals!A129="","",Agent10_Withdrawals!D129)</f>
        <v/>
      </c>
      <c r="F1922" s="40" t="str">
        <f>IF(Agent10_Withdrawals!A129="","",Agent10_Withdrawals!F129)</f>
        <v/>
      </c>
      <c r="G1922" s="42" t="str">
        <f>IF(Agent10_Withdrawals!A129="","",Agent10_Withdrawals!E129)</f>
        <v/>
      </c>
      <c r="H1922" s="42" t="str">
        <f>IF(Agent10_Withdrawals!A129="","",Agent10_Withdrawals!G129)</f>
        <v/>
      </c>
      <c r="I1922" s="40" t="str">
        <f>IF(Agent10_Withdrawals!A129="","",Agent10_Withdrawals!H129)</f>
        <v/>
      </c>
      <c r="J1922" s="40" t="str">
        <f>IF(Agent10_Withdrawals!A129="","",Agent10_Withdrawals!J129)</f>
        <v/>
      </c>
      <c r="K1922" s="40" t="str">
        <f>IF(Agent10_Withdrawals!A129="","",Agent10_Withdrawals!K129)</f>
        <v/>
      </c>
      <c r="L1922" s="40" t="str">
        <f>IF(G1922="","",IF(D1922-G1922&gt;=System_Config!$B$9,"✅ OK","⚠️ BREACH"))</f>
        <v/>
      </c>
      <c r="M1922" s="40" t="str">
        <f>IFERROR(IF(Agent10_Withdrawals!A129="","",YEAR(Agent10_Withdrawals!D129)),"")</f>
        <v/>
      </c>
    </row>
    <row r="1923" spans="1:13" ht="18" customHeight="1" x14ac:dyDescent="0.25">
      <c r="A1923" s="40" t="str">
        <f>IF(Agent10_Withdrawals!A130="","",Agent10_Withdrawals!A130)</f>
        <v/>
      </c>
      <c r="B1923" s="40" t="str">
        <f ca="1">IF(Agent10_Withdrawals!A130="","","WD"&amp;TEXT(1923-3,"0000")&amp;"-"&amp;TEXT(TODAY(),"YYYYMMDD"))</f>
        <v/>
      </c>
      <c r="C1923" s="40" t="str">
        <f>IF(Agent10_Withdrawals!A130="","",Agent10_Withdrawals!B130)</f>
        <v/>
      </c>
      <c r="D1923" s="43" t="str">
        <f>IF(Agent10_Withdrawals!A130="","",Agent10_Withdrawals!C130)</f>
        <v/>
      </c>
      <c r="E1923" s="41" t="str">
        <f>IF(Agent10_Withdrawals!A130="","",Agent10_Withdrawals!D130)</f>
        <v/>
      </c>
      <c r="F1923" s="40" t="str">
        <f>IF(Agent10_Withdrawals!A130="","",Agent10_Withdrawals!F130)</f>
        <v/>
      </c>
      <c r="G1923" s="42" t="str">
        <f>IF(Agent10_Withdrawals!A130="","",Agent10_Withdrawals!E130)</f>
        <v/>
      </c>
      <c r="H1923" s="42" t="str">
        <f>IF(Agent10_Withdrawals!A130="","",Agent10_Withdrawals!G130)</f>
        <v/>
      </c>
      <c r="I1923" s="40" t="str">
        <f>IF(Agent10_Withdrawals!A130="","",Agent10_Withdrawals!H130)</f>
        <v/>
      </c>
      <c r="J1923" s="40" t="str">
        <f>IF(Agent10_Withdrawals!A130="","",Agent10_Withdrawals!J130)</f>
        <v/>
      </c>
      <c r="K1923" s="40" t="str">
        <f>IF(Agent10_Withdrawals!A130="","",Agent10_Withdrawals!K130)</f>
        <v/>
      </c>
      <c r="L1923" s="40" t="str">
        <f>IF(G1923="","",IF(D1923-G1923&gt;=System_Config!$B$9,"✅ OK","⚠️ BREACH"))</f>
        <v/>
      </c>
      <c r="M1923" s="40" t="str">
        <f>IFERROR(IF(Agent10_Withdrawals!A130="","",YEAR(Agent10_Withdrawals!D130)),"")</f>
        <v/>
      </c>
    </row>
    <row r="1924" spans="1:13" ht="18" customHeight="1" x14ac:dyDescent="0.25">
      <c r="A1924" s="40" t="str">
        <f>IF(Agent10_Withdrawals!A131="","",Agent10_Withdrawals!A131)</f>
        <v/>
      </c>
      <c r="B1924" s="40" t="str">
        <f ca="1">IF(Agent10_Withdrawals!A131="","","WD"&amp;TEXT(1924-3,"0000")&amp;"-"&amp;TEXT(TODAY(),"YYYYMMDD"))</f>
        <v/>
      </c>
      <c r="C1924" s="40" t="str">
        <f>IF(Agent10_Withdrawals!A131="","",Agent10_Withdrawals!B131)</f>
        <v/>
      </c>
      <c r="D1924" s="43" t="str">
        <f>IF(Agent10_Withdrawals!A131="","",Agent10_Withdrawals!C131)</f>
        <v/>
      </c>
      <c r="E1924" s="41" t="str">
        <f>IF(Agent10_Withdrawals!A131="","",Agent10_Withdrawals!D131)</f>
        <v/>
      </c>
      <c r="F1924" s="40" t="str">
        <f>IF(Agent10_Withdrawals!A131="","",Agent10_Withdrawals!F131)</f>
        <v/>
      </c>
      <c r="G1924" s="42" t="str">
        <f>IF(Agent10_Withdrawals!A131="","",Agent10_Withdrawals!E131)</f>
        <v/>
      </c>
      <c r="H1924" s="42" t="str">
        <f>IF(Agent10_Withdrawals!A131="","",Agent10_Withdrawals!G131)</f>
        <v/>
      </c>
      <c r="I1924" s="40" t="str">
        <f>IF(Agent10_Withdrawals!A131="","",Agent10_Withdrawals!H131)</f>
        <v/>
      </c>
      <c r="J1924" s="40" t="str">
        <f>IF(Agent10_Withdrawals!A131="","",Agent10_Withdrawals!J131)</f>
        <v/>
      </c>
      <c r="K1924" s="40" t="str">
        <f>IF(Agent10_Withdrawals!A131="","",Agent10_Withdrawals!K131)</f>
        <v/>
      </c>
      <c r="L1924" s="40" t="str">
        <f>IF(G1924="","",IF(D1924-G1924&gt;=System_Config!$B$9,"✅ OK","⚠️ BREACH"))</f>
        <v/>
      </c>
      <c r="M1924" s="40" t="str">
        <f>IFERROR(IF(Agent10_Withdrawals!A131="","",YEAR(Agent10_Withdrawals!D131)),"")</f>
        <v/>
      </c>
    </row>
    <row r="1925" spans="1:13" ht="18" customHeight="1" x14ac:dyDescent="0.25">
      <c r="A1925" s="40" t="str">
        <f>IF(Agent10_Withdrawals!A132="","",Agent10_Withdrawals!A132)</f>
        <v/>
      </c>
      <c r="B1925" s="40" t="str">
        <f ca="1">IF(Agent10_Withdrawals!A132="","","WD"&amp;TEXT(1925-3,"0000")&amp;"-"&amp;TEXT(TODAY(),"YYYYMMDD"))</f>
        <v/>
      </c>
      <c r="C1925" s="40" t="str">
        <f>IF(Agent10_Withdrawals!A132="","",Agent10_Withdrawals!B132)</f>
        <v/>
      </c>
      <c r="D1925" s="43" t="str">
        <f>IF(Agent10_Withdrawals!A132="","",Agent10_Withdrawals!C132)</f>
        <v/>
      </c>
      <c r="E1925" s="41" t="str">
        <f>IF(Agent10_Withdrawals!A132="","",Agent10_Withdrawals!D132)</f>
        <v/>
      </c>
      <c r="F1925" s="40" t="str">
        <f>IF(Agent10_Withdrawals!A132="","",Agent10_Withdrawals!F132)</f>
        <v/>
      </c>
      <c r="G1925" s="42" t="str">
        <f>IF(Agent10_Withdrawals!A132="","",Agent10_Withdrawals!E132)</f>
        <v/>
      </c>
      <c r="H1925" s="42" t="str">
        <f>IF(Agent10_Withdrawals!A132="","",Agent10_Withdrawals!G132)</f>
        <v/>
      </c>
      <c r="I1925" s="40" t="str">
        <f>IF(Agent10_Withdrawals!A132="","",Agent10_Withdrawals!H132)</f>
        <v/>
      </c>
      <c r="J1925" s="40" t="str">
        <f>IF(Agent10_Withdrawals!A132="","",Agent10_Withdrawals!J132)</f>
        <v/>
      </c>
      <c r="K1925" s="40" t="str">
        <f>IF(Agent10_Withdrawals!A132="","",Agent10_Withdrawals!K132)</f>
        <v/>
      </c>
      <c r="L1925" s="40" t="str">
        <f>IF(G1925="","",IF(D1925-G1925&gt;=System_Config!$B$9,"✅ OK","⚠️ BREACH"))</f>
        <v/>
      </c>
      <c r="M1925" s="40" t="str">
        <f>IFERROR(IF(Agent10_Withdrawals!A132="","",YEAR(Agent10_Withdrawals!D132)),"")</f>
        <v/>
      </c>
    </row>
    <row r="1926" spans="1:13" ht="18" customHeight="1" x14ac:dyDescent="0.25">
      <c r="A1926" s="40" t="str">
        <f>IF(Agent10_Withdrawals!A133="","",Agent10_Withdrawals!A133)</f>
        <v/>
      </c>
      <c r="B1926" s="40" t="str">
        <f ca="1">IF(Agent10_Withdrawals!A133="","","WD"&amp;TEXT(1926-3,"0000")&amp;"-"&amp;TEXT(TODAY(),"YYYYMMDD"))</f>
        <v/>
      </c>
      <c r="C1926" s="40" t="str">
        <f>IF(Agent10_Withdrawals!A133="","",Agent10_Withdrawals!B133)</f>
        <v/>
      </c>
      <c r="D1926" s="43" t="str">
        <f>IF(Agent10_Withdrawals!A133="","",Agent10_Withdrawals!C133)</f>
        <v/>
      </c>
      <c r="E1926" s="41" t="str">
        <f>IF(Agent10_Withdrawals!A133="","",Agent10_Withdrawals!D133)</f>
        <v/>
      </c>
      <c r="F1926" s="40" t="str">
        <f>IF(Agent10_Withdrawals!A133="","",Agent10_Withdrawals!F133)</f>
        <v/>
      </c>
      <c r="G1926" s="42" t="str">
        <f>IF(Agent10_Withdrawals!A133="","",Agent10_Withdrawals!E133)</f>
        <v/>
      </c>
      <c r="H1926" s="42" t="str">
        <f>IF(Agent10_Withdrawals!A133="","",Agent10_Withdrawals!G133)</f>
        <v/>
      </c>
      <c r="I1926" s="40" t="str">
        <f>IF(Agent10_Withdrawals!A133="","",Agent10_Withdrawals!H133)</f>
        <v/>
      </c>
      <c r="J1926" s="40" t="str">
        <f>IF(Agent10_Withdrawals!A133="","",Agent10_Withdrawals!J133)</f>
        <v/>
      </c>
      <c r="K1926" s="40" t="str">
        <f>IF(Agent10_Withdrawals!A133="","",Agent10_Withdrawals!K133)</f>
        <v/>
      </c>
      <c r="L1926" s="40" t="str">
        <f>IF(G1926="","",IF(D1926-G1926&gt;=System_Config!$B$9,"✅ OK","⚠️ BREACH"))</f>
        <v/>
      </c>
      <c r="M1926" s="40" t="str">
        <f>IFERROR(IF(Agent10_Withdrawals!A133="","",YEAR(Agent10_Withdrawals!D133)),"")</f>
        <v/>
      </c>
    </row>
    <row r="1927" spans="1:13" ht="18" customHeight="1" x14ac:dyDescent="0.25">
      <c r="A1927" s="40" t="str">
        <f>IF(Agent10_Withdrawals!A134="","",Agent10_Withdrawals!A134)</f>
        <v/>
      </c>
      <c r="B1927" s="40" t="str">
        <f ca="1">IF(Agent10_Withdrawals!A134="","","WD"&amp;TEXT(1927-3,"0000")&amp;"-"&amp;TEXT(TODAY(),"YYYYMMDD"))</f>
        <v/>
      </c>
      <c r="C1927" s="40" t="str">
        <f>IF(Agent10_Withdrawals!A134="","",Agent10_Withdrawals!B134)</f>
        <v/>
      </c>
      <c r="D1927" s="43" t="str">
        <f>IF(Agent10_Withdrawals!A134="","",Agent10_Withdrawals!C134)</f>
        <v/>
      </c>
      <c r="E1927" s="41" t="str">
        <f>IF(Agent10_Withdrawals!A134="","",Agent10_Withdrawals!D134)</f>
        <v/>
      </c>
      <c r="F1927" s="40" t="str">
        <f>IF(Agent10_Withdrawals!A134="","",Agent10_Withdrawals!F134)</f>
        <v/>
      </c>
      <c r="G1927" s="42" t="str">
        <f>IF(Agent10_Withdrawals!A134="","",Agent10_Withdrawals!E134)</f>
        <v/>
      </c>
      <c r="H1927" s="42" t="str">
        <f>IF(Agent10_Withdrawals!A134="","",Agent10_Withdrawals!G134)</f>
        <v/>
      </c>
      <c r="I1927" s="40" t="str">
        <f>IF(Agent10_Withdrawals!A134="","",Agent10_Withdrawals!H134)</f>
        <v/>
      </c>
      <c r="J1927" s="40" t="str">
        <f>IF(Agent10_Withdrawals!A134="","",Agent10_Withdrawals!J134)</f>
        <v/>
      </c>
      <c r="K1927" s="40" t="str">
        <f>IF(Agent10_Withdrawals!A134="","",Agent10_Withdrawals!K134)</f>
        <v/>
      </c>
      <c r="L1927" s="40" t="str">
        <f>IF(G1927="","",IF(D1927-G1927&gt;=System_Config!$B$9,"✅ OK","⚠️ BREACH"))</f>
        <v/>
      </c>
      <c r="M1927" s="40" t="str">
        <f>IFERROR(IF(Agent10_Withdrawals!A134="","",YEAR(Agent10_Withdrawals!D134)),"")</f>
        <v/>
      </c>
    </row>
    <row r="1928" spans="1:13" ht="18" customHeight="1" x14ac:dyDescent="0.25">
      <c r="A1928" s="40" t="str">
        <f>IF(Agent10_Withdrawals!A135="","",Agent10_Withdrawals!A135)</f>
        <v/>
      </c>
      <c r="B1928" s="40" t="str">
        <f ca="1">IF(Agent10_Withdrawals!A135="","","WD"&amp;TEXT(1928-3,"0000")&amp;"-"&amp;TEXT(TODAY(),"YYYYMMDD"))</f>
        <v/>
      </c>
      <c r="C1928" s="40" t="str">
        <f>IF(Agent10_Withdrawals!A135="","",Agent10_Withdrawals!B135)</f>
        <v/>
      </c>
      <c r="D1928" s="43" t="str">
        <f>IF(Agent10_Withdrawals!A135="","",Agent10_Withdrawals!C135)</f>
        <v/>
      </c>
      <c r="E1928" s="41" t="str">
        <f>IF(Agent10_Withdrawals!A135="","",Agent10_Withdrawals!D135)</f>
        <v/>
      </c>
      <c r="F1928" s="40" t="str">
        <f>IF(Agent10_Withdrawals!A135="","",Agent10_Withdrawals!F135)</f>
        <v/>
      </c>
      <c r="G1928" s="42" t="str">
        <f>IF(Agent10_Withdrawals!A135="","",Agent10_Withdrawals!E135)</f>
        <v/>
      </c>
      <c r="H1928" s="42" t="str">
        <f>IF(Agent10_Withdrawals!A135="","",Agent10_Withdrawals!G135)</f>
        <v/>
      </c>
      <c r="I1928" s="40" t="str">
        <f>IF(Agent10_Withdrawals!A135="","",Agent10_Withdrawals!H135)</f>
        <v/>
      </c>
      <c r="J1928" s="40" t="str">
        <f>IF(Agent10_Withdrawals!A135="","",Agent10_Withdrawals!J135)</f>
        <v/>
      </c>
      <c r="K1928" s="40" t="str">
        <f>IF(Agent10_Withdrawals!A135="","",Agent10_Withdrawals!K135)</f>
        <v/>
      </c>
      <c r="L1928" s="40" t="str">
        <f>IF(G1928="","",IF(D1928-G1928&gt;=System_Config!$B$9,"✅ OK","⚠️ BREACH"))</f>
        <v/>
      </c>
      <c r="M1928" s="40" t="str">
        <f>IFERROR(IF(Agent10_Withdrawals!A135="","",YEAR(Agent10_Withdrawals!D135)),"")</f>
        <v/>
      </c>
    </row>
    <row r="1929" spans="1:13" ht="18" customHeight="1" x14ac:dyDescent="0.25">
      <c r="A1929" s="40" t="str">
        <f>IF(Agent10_Withdrawals!A136="","",Agent10_Withdrawals!A136)</f>
        <v/>
      </c>
      <c r="B1929" s="40" t="str">
        <f ca="1">IF(Agent10_Withdrawals!A136="","","WD"&amp;TEXT(1929-3,"0000")&amp;"-"&amp;TEXT(TODAY(),"YYYYMMDD"))</f>
        <v/>
      </c>
      <c r="C1929" s="40" t="str">
        <f>IF(Agent10_Withdrawals!A136="","",Agent10_Withdrawals!B136)</f>
        <v/>
      </c>
      <c r="D1929" s="43" t="str">
        <f>IF(Agent10_Withdrawals!A136="","",Agent10_Withdrawals!C136)</f>
        <v/>
      </c>
      <c r="E1929" s="41" t="str">
        <f>IF(Agent10_Withdrawals!A136="","",Agent10_Withdrawals!D136)</f>
        <v/>
      </c>
      <c r="F1929" s="40" t="str">
        <f>IF(Agent10_Withdrawals!A136="","",Agent10_Withdrawals!F136)</f>
        <v/>
      </c>
      <c r="G1929" s="42" t="str">
        <f>IF(Agent10_Withdrawals!A136="","",Agent10_Withdrawals!E136)</f>
        <v/>
      </c>
      <c r="H1929" s="42" t="str">
        <f>IF(Agent10_Withdrawals!A136="","",Agent10_Withdrawals!G136)</f>
        <v/>
      </c>
      <c r="I1929" s="40" t="str">
        <f>IF(Agent10_Withdrawals!A136="","",Agent10_Withdrawals!H136)</f>
        <v/>
      </c>
      <c r="J1929" s="40" t="str">
        <f>IF(Agent10_Withdrawals!A136="","",Agent10_Withdrawals!J136)</f>
        <v/>
      </c>
      <c r="K1929" s="40" t="str">
        <f>IF(Agent10_Withdrawals!A136="","",Agent10_Withdrawals!K136)</f>
        <v/>
      </c>
      <c r="L1929" s="40" t="str">
        <f>IF(G1929="","",IF(D1929-G1929&gt;=System_Config!$B$9,"✅ OK","⚠️ BREACH"))</f>
        <v/>
      </c>
      <c r="M1929" s="40" t="str">
        <f>IFERROR(IF(Agent10_Withdrawals!A136="","",YEAR(Agent10_Withdrawals!D136)),"")</f>
        <v/>
      </c>
    </row>
    <row r="1930" spans="1:13" ht="18" customHeight="1" x14ac:dyDescent="0.25">
      <c r="A1930" s="40" t="str">
        <f>IF(Agent10_Withdrawals!A137="","",Agent10_Withdrawals!A137)</f>
        <v/>
      </c>
      <c r="B1930" s="40" t="str">
        <f ca="1">IF(Agent10_Withdrawals!A137="","","WD"&amp;TEXT(1930-3,"0000")&amp;"-"&amp;TEXT(TODAY(),"YYYYMMDD"))</f>
        <v/>
      </c>
      <c r="C1930" s="40" t="str">
        <f>IF(Agent10_Withdrawals!A137="","",Agent10_Withdrawals!B137)</f>
        <v/>
      </c>
      <c r="D1930" s="43" t="str">
        <f>IF(Agent10_Withdrawals!A137="","",Agent10_Withdrawals!C137)</f>
        <v/>
      </c>
      <c r="E1930" s="41" t="str">
        <f>IF(Agent10_Withdrawals!A137="","",Agent10_Withdrawals!D137)</f>
        <v/>
      </c>
      <c r="F1930" s="40" t="str">
        <f>IF(Agent10_Withdrawals!A137="","",Agent10_Withdrawals!F137)</f>
        <v/>
      </c>
      <c r="G1930" s="42" t="str">
        <f>IF(Agent10_Withdrawals!A137="","",Agent10_Withdrawals!E137)</f>
        <v/>
      </c>
      <c r="H1930" s="42" t="str">
        <f>IF(Agent10_Withdrawals!A137="","",Agent10_Withdrawals!G137)</f>
        <v/>
      </c>
      <c r="I1930" s="40" t="str">
        <f>IF(Agent10_Withdrawals!A137="","",Agent10_Withdrawals!H137)</f>
        <v/>
      </c>
      <c r="J1930" s="40" t="str">
        <f>IF(Agent10_Withdrawals!A137="","",Agent10_Withdrawals!J137)</f>
        <v/>
      </c>
      <c r="K1930" s="40" t="str">
        <f>IF(Agent10_Withdrawals!A137="","",Agent10_Withdrawals!K137)</f>
        <v/>
      </c>
      <c r="L1930" s="40" t="str">
        <f>IF(G1930="","",IF(D1930-G1930&gt;=System_Config!$B$9,"✅ OK","⚠️ BREACH"))</f>
        <v/>
      </c>
      <c r="M1930" s="40" t="str">
        <f>IFERROR(IF(Agent10_Withdrawals!A137="","",YEAR(Agent10_Withdrawals!D137)),"")</f>
        <v/>
      </c>
    </row>
    <row r="1931" spans="1:13" ht="18" customHeight="1" x14ac:dyDescent="0.25">
      <c r="A1931" s="40" t="str">
        <f>IF(Agent10_Withdrawals!A138="","",Agent10_Withdrawals!A138)</f>
        <v/>
      </c>
      <c r="B1931" s="40" t="str">
        <f ca="1">IF(Agent10_Withdrawals!A138="","","WD"&amp;TEXT(1931-3,"0000")&amp;"-"&amp;TEXT(TODAY(),"YYYYMMDD"))</f>
        <v/>
      </c>
      <c r="C1931" s="40" t="str">
        <f>IF(Agent10_Withdrawals!A138="","",Agent10_Withdrawals!B138)</f>
        <v/>
      </c>
      <c r="D1931" s="43" t="str">
        <f>IF(Agent10_Withdrawals!A138="","",Agent10_Withdrawals!C138)</f>
        <v/>
      </c>
      <c r="E1931" s="41" t="str">
        <f>IF(Agent10_Withdrawals!A138="","",Agent10_Withdrawals!D138)</f>
        <v/>
      </c>
      <c r="F1931" s="40" t="str">
        <f>IF(Agent10_Withdrawals!A138="","",Agent10_Withdrawals!F138)</f>
        <v/>
      </c>
      <c r="G1931" s="42" t="str">
        <f>IF(Agent10_Withdrawals!A138="","",Agent10_Withdrawals!E138)</f>
        <v/>
      </c>
      <c r="H1931" s="42" t="str">
        <f>IF(Agent10_Withdrawals!A138="","",Agent10_Withdrawals!G138)</f>
        <v/>
      </c>
      <c r="I1931" s="40" t="str">
        <f>IF(Agent10_Withdrawals!A138="","",Agent10_Withdrawals!H138)</f>
        <v/>
      </c>
      <c r="J1931" s="40" t="str">
        <f>IF(Agent10_Withdrawals!A138="","",Agent10_Withdrawals!J138)</f>
        <v/>
      </c>
      <c r="K1931" s="40" t="str">
        <f>IF(Agent10_Withdrawals!A138="","",Agent10_Withdrawals!K138)</f>
        <v/>
      </c>
      <c r="L1931" s="40" t="str">
        <f>IF(G1931="","",IF(D1931-G1931&gt;=System_Config!$B$9,"✅ OK","⚠️ BREACH"))</f>
        <v/>
      </c>
      <c r="M1931" s="40" t="str">
        <f>IFERROR(IF(Agent10_Withdrawals!A138="","",YEAR(Agent10_Withdrawals!D138)),"")</f>
        <v/>
      </c>
    </row>
    <row r="1932" spans="1:13" ht="18" customHeight="1" x14ac:dyDescent="0.25">
      <c r="A1932" s="40" t="str">
        <f>IF(Agent10_Withdrawals!A139="","",Agent10_Withdrawals!A139)</f>
        <v/>
      </c>
      <c r="B1932" s="40" t="str">
        <f ca="1">IF(Agent10_Withdrawals!A139="","","WD"&amp;TEXT(1932-3,"0000")&amp;"-"&amp;TEXT(TODAY(),"YYYYMMDD"))</f>
        <v/>
      </c>
      <c r="C1932" s="40" t="str">
        <f>IF(Agent10_Withdrawals!A139="","",Agent10_Withdrawals!B139)</f>
        <v/>
      </c>
      <c r="D1932" s="43" t="str">
        <f>IF(Agent10_Withdrawals!A139="","",Agent10_Withdrawals!C139)</f>
        <v/>
      </c>
      <c r="E1932" s="41" t="str">
        <f>IF(Agent10_Withdrawals!A139="","",Agent10_Withdrawals!D139)</f>
        <v/>
      </c>
      <c r="F1932" s="40" t="str">
        <f>IF(Agent10_Withdrawals!A139="","",Agent10_Withdrawals!F139)</f>
        <v/>
      </c>
      <c r="G1932" s="42" t="str">
        <f>IF(Agent10_Withdrawals!A139="","",Agent10_Withdrawals!E139)</f>
        <v/>
      </c>
      <c r="H1932" s="42" t="str">
        <f>IF(Agent10_Withdrawals!A139="","",Agent10_Withdrawals!G139)</f>
        <v/>
      </c>
      <c r="I1932" s="40" t="str">
        <f>IF(Agent10_Withdrawals!A139="","",Agent10_Withdrawals!H139)</f>
        <v/>
      </c>
      <c r="J1932" s="40" t="str">
        <f>IF(Agent10_Withdrawals!A139="","",Agent10_Withdrawals!J139)</f>
        <v/>
      </c>
      <c r="K1932" s="40" t="str">
        <f>IF(Agent10_Withdrawals!A139="","",Agent10_Withdrawals!K139)</f>
        <v/>
      </c>
      <c r="L1932" s="40" t="str">
        <f>IF(G1932="","",IF(D1932-G1932&gt;=System_Config!$B$9,"✅ OK","⚠️ BREACH"))</f>
        <v/>
      </c>
      <c r="M1932" s="40" t="str">
        <f>IFERROR(IF(Agent10_Withdrawals!A139="","",YEAR(Agent10_Withdrawals!D139)),"")</f>
        <v/>
      </c>
    </row>
    <row r="1933" spans="1:13" ht="18" customHeight="1" x14ac:dyDescent="0.25">
      <c r="A1933" s="40" t="str">
        <f>IF(Agent10_Withdrawals!A140="","",Agent10_Withdrawals!A140)</f>
        <v/>
      </c>
      <c r="B1933" s="40" t="str">
        <f ca="1">IF(Agent10_Withdrawals!A140="","","WD"&amp;TEXT(1933-3,"0000")&amp;"-"&amp;TEXT(TODAY(),"YYYYMMDD"))</f>
        <v/>
      </c>
      <c r="C1933" s="40" t="str">
        <f>IF(Agent10_Withdrawals!A140="","",Agent10_Withdrawals!B140)</f>
        <v/>
      </c>
      <c r="D1933" s="43" t="str">
        <f>IF(Agent10_Withdrawals!A140="","",Agent10_Withdrawals!C140)</f>
        <v/>
      </c>
      <c r="E1933" s="41" t="str">
        <f>IF(Agent10_Withdrawals!A140="","",Agent10_Withdrawals!D140)</f>
        <v/>
      </c>
      <c r="F1933" s="40" t="str">
        <f>IF(Agent10_Withdrawals!A140="","",Agent10_Withdrawals!F140)</f>
        <v/>
      </c>
      <c r="G1933" s="42" t="str">
        <f>IF(Agent10_Withdrawals!A140="","",Agent10_Withdrawals!E140)</f>
        <v/>
      </c>
      <c r="H1933" s="42" t="str">
        <f>IF(Agent10_Withdrawals!A140="","",Agent10_Withdrawals!G140)</f>
        <v/>
      </c>
      <c r="I1933" s="40" t="str">
        <f>IF(Agent10_Withdrawals!A140="","",Agent10_Withdrawals!H140)</f>
        <v/>
      </c>
      <c r="J1933" s="40" t="str">
        <f>IF(Agent10_Withdrawals!A140="","",Agent10_Withdrawals!J140)</f>
        <v/>
      </c>
      <c r="K1933" s="40" t="str">
        <f>IF(Agent10_Withdrawals!A140="","",Agent10_Withdrawals!K140)</f>
        <v/>
      </c>
      <c r="L1933" s="40" t="str">
        <f>IF(G1933="","",IF(D1933-G1933&gt;=System_Config!$B$9,"✅ OK","⚠️ BREACH"))</f>
        <v/>
      </c>
      <c r="M1933" s="40" t="str">
        <f>IFERROR(IF(Agent10_Withdrawals!A140="","",YEAR(Agent10_Withdrawals!D140)),"")</f>
        <v/>
      </c>
    </row>
    <row r="1934" spans="1:13" ht="18" customHeight="1" x14ac:dyDescent="0.25">
      <c r="A1934" s="40" t="str">
        <f>IF(Agent10_Withdrawals!A141="","",Agent10_Withdrawals!A141)</f>
        <v/>
      </c>
      <c r="B1934" s="40" t="str">
        <f ca="1">IF(Agent10_Withdrawals!A141="","","WD"&amp;TEXT(1934-3,"0000")&amp;"-"&amp;TEXT(TODAY(),"YYYYMMDD"))</f>
        <v/>
      </c>
      <c r="C1934" s="40" t="str">
        <f>IF(Agent10_Withdrawals!A141="","",Agent10_Withdrawals!B141)</f>
        <v/>
      </c>
      <c r="D1934" s="43" t="str">
        <f>IF(Agent10_Withdrawals!A141="","",Agent10_Withdrawals!C141)</f>
        <v/>
      </c>
      <c r="E1934" s="41" t="str">
        <f>IF(Agent10_Withdrawals!A141="","",Agent10_Withdrawals!D141)</f>
        <v/>
      </c>
      <c r="F1934" s="40" t="str">
        <f>IF(Agent10_Withdrawals!A141="","",Agent10_Withdrawals!F141)</f>
        <v/>
      </c>
      <c r="G1934" s="42" t="str">
        <f>IF(Agent10_Withdrawals!A141="","",Agent10_Withdrawals!E141)</f>
        <v/>
      </c>
      <c r="H1934" s="42" t="str">
        <f>IF(Agent10_Withdrawals!A141="","",Agent10_Withdrawals!G141)</f>
        <v/>
      </c>
      <c r="I1934" s="40" t="str">
        <f>IF(Agent10_Withdrawals!A141="","",Agent10_Withdrawals!H141)</f>
        <v/>
      </c>
      <c r="J1934" s="40" t="str">
        <f>IF(Agent10_Withdrawals!A141="","",Agent10_Withdrawals!J141)</f>
        <v/>
      </c>
      <c r="K1934" s="40" t="str">
        <f>IF(Agent10_Withdrawals!A141="","",Agent10_Withdrawals!K141)</f>
        <v/>
      </c>
      <c r="L1934" s="40" t="str">
        <f>IF(G1934="","",IF(D1934-G1934&gt;=System_Config!$B$9,"✅ OK","⚠️ BREACH"))</f>
        <v/>
      </c>
      <c r="M1934" s="40" t="str">
        <f>IFERROR(IF(Agent10_Withdrawals!A141="","",YEAR(Agent10_Withdrawals!D141)),"")</f>
        <v/>
      </c>
    </row>
    <row r="1935" spans="1:13" ht="18" customHeight="1" x14ac:dyDescent="0.25">
      <c r="A1935" s="40" t="str">
        <f>IF(Agent10_Withdrawals!A142="","",Agent10_Withdrawals!A142)</f>
        <v/>
      </c>
      <c r="B1935" s="40" t="str">
        <f ca="1">IF(Agent10_Withdrawals!A142="","","WD"&amp;TEXT(1935-3,"0000")&amp;"-"&amp;TEXT(TODAY(),"YYYYMMDD"))</f>
        <v/>
      </c>
      <c r="C1935" s="40" t="str">
        <f>IF(Agent10_Withdrawals!A142="","",Agent10_Withdrawals!B142)</f>
        <v/>
      </c>
      <c r="D1935" s="43" t="str">
        <f>IF(Agent10_Withdrawals!A142="","",Agent10_Withdrawals!C142)</f>
        <v/>
      </c>
      <c r="E1935" s="41" t="str">
        <f>IF(Agent10_Withdrawals!A142="","",Agent10_Withdrawals!D142)</f>
        <v/>
      </c>
      <c r="F1935" s="40" t="str">
        <f>IF(Agent10_Withdrawals!A142="","",Agent10_Withdrawals!F142)</f>
        <v/>
      </c>
      <c r="G1935" s="42" t="str">
        <f>IF(Agent10_Withdrawals!A142="","",Agent10_Withdrawals!E142)</f>
        <v/>
      </c>
      <c r="H1935" s="42" t="str">
        <f>IF(Agent10_Withdrawals!A142="","",Agent10_Withdrawals!G142)</f>
        <v/>
      </c>
      <c r="I1935" s="40" t="str">
        <f>IF(Agent10_Withdrawals!A142="","",Agent10_Withdrawals!H142)</f>
        <v/>
      </c>
      <c r="J1935" s="40" t="str">
        <f>IF(Agent10_Withdrawals!A142="","",Agent10_Withdrawals!J142)</f>
        <v/>
      </c>
      <c r="K1935" s="40" t="str">
        <f>IF(Agent10_Withdrawals!A142="","",Agent10_Withdrawals!K142)</f>
        <v/>
      </c>
      <c r="L1935" s="40" t="str">
        <f>IF(G1935="","",IF(D1935-G1935&gt;=System_Config!$B$9,"✅ OK","⚠️ BREACH"))</f>
        <v/>
      </c>
      <c r="M1935" s="40" t="str">
        <f>IFERROR(IF(Agent10_Withdrawals!A142="","",YEAR(Agent10_Withdrawals!D142)),"")</f>
        <v/>
      </c>
    </row>
    <row r="1936" spans="1:13" ht="18" customHeight="1" x14ac:dyDescent="0.25">
      <c r="A1936" s="40" t="str">
        <f>IF(Agent10_Withdrawals!A143="","",Agent10_Withdrawals!A143)</f>
        <v/>
      </c>
      <c r="B1936" s="40" t="str">
        <f ca="1">IF(Agent10_Withdrawals!A143="","","WD"&amp;TEXT(1936-3,"0000")&amp;"-"&amp;TEXT(TODAY(),"YYYYMMDD"))</f>
        <v/>
      </c>
      <c r="C1936" s="40" t="str">
        <f>IF(Agent10_Withdrawals!A143="","",Agent10_Withdrawals!B143)</f>
        <v/>
      </c>
      <c r="D1936" s="43" t="str">
        <f>IF(Agent10_Withdrawals!A143="","",Agent10_Withdrawals!C143)</f>
        <v/>
      </c>
      <c r="E1936" s="41" t="str">
        <f>IF(Agent10_Withdrawals!A143="","",Agent10_Withdrawals!D143)</f>
        <v/>
      </c>
      <c r="F1936" s="40" t="str">
        <f>IF(Agent10_Withdrawals!A143="","",Agent10_Withdrawals!F143)</f>
        <v/>
      </c>
      <c r="G1936" s="42" t="str">
        <f>IF(Agent10_Withdrawals!A143="","",Agent10_Withdrawals!E143)</f>
        <v/>
      </c>
      <c r="H1936" s="42" t="str">
        <f>IF(Agent10_Withdrawals!A143="","",Agent10_Withdrawals!G143)</f>
        <v/>
      </c>
      <c r="I1936" s="40" t="str">
        <f>IF(Agent10_Withdrawals!A143="","",Agent10_Withdrawals!H143)</f>
        <v/>
      </c>
      <c r="J1936" s="40" t="str">
        <f>IF(Agent10_Withdrawals!A143="","",Agent10_Withdrawals!J143)</f>
        <v/>
      </c>
      <c r="K1936" s="40" t="str">
        <f>IF(Agent10_Withdrawals!A143="","",Agent10_Withdrawals!K143)</f>
        <v/>
      </c>
      <c r="L1936" s="40" t="str">
        <f>IF(G1936="","",IF(D1936-G1936&gt;=System_Config!$B$9,"✅ OK","⚠️ BREACH"))</f>
        <v/>
      </c>
      <c r="M1936" s="40" t="str">
        <f>IFERROR(IF(Agent10_Withdrawals!A143="","",YEAR(Agent10_Withdrawals!D143)),"")</f>
        <v/>
      </c>
    </row>
    <row r="1937" spans="1:13" ht="18" customHeight="1" x14ac:dyDescent="0.25">
      <c r="A1937" s="40" t="str">
        <f>IF(Agent10_Withdrawals!A144="","",Agent10_Withdrawals!A144)</f>
        <v/>
      </c>
      <c r="B1937" s="40" t="str">
        <f ca="1">IF(Agent10_Withdrawals!A144="","","WD"&amp;TEXT(1937-3,"0000")&amp;"-"&amp;TEXT(TODAY(),"YYYYMMDD"))</f>
        <v/>
      </c>
      <c r="C1937" s="40" t="str">
        <f>IF(Agent10_Withdrawals!A144="","",Agent10_Withdrawals!B144)</f>
        <v/>
      </c>
      <c r="D1937" s="43" t="str">
        <f>IF(Agent10_Withdrawals!A144="","",Agent10_Withdrawals!C144)</f>
        <v/>
      </c>
      <c r="E1937" s="41" t="str">
        <f>IF(Agent10_Withdrawals!A144="","",Agent10_Withdrawals!D144)</f>
        <v/>
      </c>
      <c r="F1937" s="40" t="str">
        <f>IF(Agent10_Withdrawals!A144="","",Agent10_Withdrawals!F144)</f>
        <v/>
      </c>
      <c r="G1937" s="42" t="str">
        <f>IF(Agent10_Withdrawals!A144="","",Agent10_Withdrawals!E144)</f>
        <v/>
      </c>
      <c r="H1937" s="42" t="str">
        <f>IF(Agent10_Withdrawals!A144="","",Agent10_Withdrawals!G144)</f>
        <v/>
      </c>
      <c r="I1937" s="40" t="str">
        <f>IF(Agent10_Withdrawals!A144="","",Agent10_Withdrawals!H144)</f>
        <v/>
      </c>
      <c r="J1937" s="40" t="str">
        <f>IF(Agent10_Withdrawals!A144="","",Agent10_Withdrawals!J144)</f>
        <v/>
      </c>
      <c r="K1937" s="40" t="str">
        <f>IF(Agent10_Withdrawals!A144="","",Agent10_Withdrawals!K144)</f>
        <v/>
      </c>
      <c r="L1937" s="40" t="str">
        <f>IF(G1937="","",IF(D1937-G1937&gt;=System_Config!$B$9,"✅ OK","⚠️ BREACH"))</f>
        <v/>
      </c>
      <c r="M1937" s="40" t="str">
        <f>IFERROR(IF(Agent10_Withdrawals!A144="","",YEAR(Agent10_Withdrawals!D144)),"")</f>
        <v/>
      </c>
    </row>
    <row r="1938" spans="1:13" ht="18" customHeight="1" x14ac:dyDescent="0.25">
      <c r="A1938" s="40" t="str">
        <f>IF(Agent10_Withdrawals!A145="","",Agent10_Withdrawals!A145)</f>
        <v/>
      </c>
      <c r="B1938" s="40" t="str">
        <f ca="1">IF(Agent10_Withdrawals!A145="","","WD"&amp;TEXT(1938-3,"0000")&amp;"-"&amp;TEXT(TODAY(),"YYYYMMDD"))</f>
        <v/>
      </c>
      <c r="C1938" s="40" t="str">
        <f>IF(Agent10_Withdrawals!A145="","",Agent10_Withdrawals!B145)</f>
        <v/>
      </c>
      <c r="D1938" s="43" t="str">
        <f>IF(Agent10_Withdrawals!A145="","",Agent10_Withdrawals!C145)</f>
        <v/>
      </c>
      <c r="E1938" s="41" t="str">
        <f>IF(Agent10_Withdrawals!A145="","",Agent10_Withdrawals!D145)</f>
        <v/>
      </c>
      <c r="F1938" s="40" t="str">
        <f>IF(Agent10_Withdrawals!A145="","",Agent10_Withdrawals!F145)</f>
        <v/>
      </c>
      <c r="G1938" s="42" t="str">
        <f>IF(Agent10_Withdrawals!A145="","",Agent10_Withdrawals!E145)</f>
        <v/>
      </c>
      <c r="H1938" s="42" t="str">
        <f>IF(Agent10_Withdrawals!A145="","",Agent10_Withdrawals!G145)</f>
        <v/>
      </c>
      <c r="I1938" s="40" t="str">
        <f>IF(Agent10_Withdrawals!A145="","",Agent10_Withdrawals!H145)</f>
        <v/>
      </c>
      <c r="J1938" s="40" t="str">
        <f>IF(Agent10_Withdrawals!A145="","",Agent10_Withdrawals!J145)</f>
        <v/>
      </c>
      <c r="K1938" s="40" t="str">
        <f>IF(Agent10_Withdrawals!A145="","",Agent10_Withdrawals!K145)</f>
        <v/>
      </c>
      <c r="L1938" s="40" t="str">
        <f>IF(G1938="","",IF(D1938-G1938&gt;=System_Config!$B$9,"✅ OK","⚠️ BREACH"))</f>
        <v/>
      </c>
      <c r="M1938" s="40" t="str">
        <f>IFERROR(IF(Agent10_Withdrawals!A145="","",YEAR(Agent10_Withdrawals!D145)),"")</f>
        <v/>
      </c>
    </row>
    <row r="1939" spans="1:13" ht="18" customHeight="1" x14ac:dyDescent="0.25">
      <c r="A1939" s="40" t="str">
        <f>IF(Agent10_Withdrawals!A146="","",Agent10_Withdrawals!A146)</f>
        <v/>
      </c>
      <c r="B1939" s="40" t="str">
        <f ca="1">IF(Agent10_Withdrawals!A146="","","WD"&amp;TEXT(1939-3,"0000")&amp;"-"&amp;TEXT(TODAY(),"YYYYMMDD"))</f>
        <v/>
      </c>
      <c r="C1939" s="40" t="str">
        <f>IF(Agent10_Withdrawals!A146="","",Agent10_Withdrawals!B146)</f>
        <v/>
      </c>
      <c r="D1939" s="43" t="str">
        <f>IF(Agent10_Withdrawals!A146="","",Agent10_Withdrawals!C146)</f>
        <v/>
      </c>
      <c r="E1939" s="41" t="str">
        <f>IF(Agent10_Withdrawals!A146="","",Agent10_Withdrawals!D146)</f>
        <v/>
      </c>
      <c r="F1939" s="40" t="str">
        <f>IF(Agent10_Withdrawals!A146="","",Agent10_Withdrawals!F146)</f>
        <v/>
      </c>
      <c r="G1939" s="42" t="str">
        <f>IF(Agent10_Withdrawals!A146="","",Agent10_Withdrawals!E146)</f>
        <v/>
      </c>
      <c r="H1939" s="42" t="str">
        <f>IF(Agent10_Withdrawals!A146="","",Agent10_Withdrawals!G146)</f>
        <v/>
      </c>
      <c r="I1939" s="40" t="str">
        <f>IF(Agent10_Withdrawals!A146="","",Agent10_Withdrawals!H146)</f>
        <v/>
      </c>
      <c r="J1939" s="40" t="str">
        <f>IF(Agent10_Withdrawals!A146="","",Agent10_Withdrawals!J146)</f>
        <v/>
      </c>
      <c r="K1939" s="40" t="str">
        <f>IF(Agent10_Withdrawals!A146="","",Agent10_Withdrawals!K146)</f>
        <v/>
      </c>
      <c r="L1939" s="40" t="str">
        <f>IF(G1939="","",IF(D1939-G1939&gt;=System_Config!$B$9,"✅ OK","⚠️ BREACH"))</f>
        <v/>
      </c>
      <c r="M1939" s="40" t="str">
        <f>IFERROR(IF(Agent10_Withdrawals!A146="","",YEAR(Agent10_Withdrawals!D146)),"")</f>
        <v/>
      </c>
    </row>
    <row r="1940" spans="1:13" ht="18" customHeight="1" x14ac:dyDescent="0.25">
      <c r="A1940" s="40" t="str">
        <f>IF(Agent10_Withdrawals!A147="","",Agent10_Withdrawals!A147)</f>
        <v/>
      </c>
      <c r="B1940" s="40" t="str">
        <f ca="1">IF(Agent10_Withdrawals!A147="","","WD"&amp;TEXT(1940-3,"0000")&amp;"-"&amp;TEXT(TODAY(),"YYYYMMDD"))</f>
        <v/>
      </c>
      <c r="C1940" s="40" t="str">
        <f>IF(Agent10_Withdrawals!A147="","",Agent10_Withdrawals!B147)</f>
        <v/>
      </c>
      <c r="D1940" s="43" t="str">
        <f>IF(Agent10_Withdrawals!A147="","",Agent10_Withdrawals!C147)</f>
        <v/>
      </c>
      <c r="E1940" s="41" t="str">
        <f>IF(Agent10_Withdrawals!A147="","",Agent10_Withdrawals!D147)</f>
        <v/>
      </c>
      <c r="F1940" s="40" t="str">
        <f>IF(Agent10_Withdrawals!A147="","",Agent10_Withdrawals!F147)</f>
        <v/>
      </c>
      <c r="G1940" s="42" t="str">
        <f>IF(Agent10_Withdrawals!A147="","",Agent10_Withdrawals!E147)</f>
        <v/>
      </c>
      <c r="H1940" s="42" t="str">
        <f>IF(Agent10_Withdrawals!A147="","",Agent10_Withdrawals!G147)</f>
        <v/>
      </c>
      <c r="I1940" s="40" t="str">
        <f>IF(Agent10_Withdrawals!A147="","",Agent10_Withdrawals!H147)</f>
        <v/>
      </c>
      <c r="J1940" s="40" t="str">
        <f>IF(Agent10_Withdrawals!A147="","",Agent10_Withdrawals!J147)</f>
        <v/>
      </c>
      <c r="K1940" s="40" t="str">
        <f>IF(Agent10_Withdrawals!A147="","",Agent10_Withdrawals!K147)</f>
        <v/>
      </c>
      <c r="L1940" s="40" t="str">
        <f>IF(G1940="","",IF(D1940-G1940&gt;=System_Config!$B$9,"✅ OK","⚠️ BREACH"))</f>
        <v/>
      </c>
      <c r="M1940" s="40" t="str">
        <f>IFERROR(IF(Agent10_Withdrawals!A147="","",YEAR(Agent10_Withdrawals!D147)),"")</f>
        <v/>
      </c>
    </row>
    <row r="1941" spans="1:13" ht="18" customHeight="1" x14ac:dyDescent="0.25">
      <c r="A1941" s="40" t="str">
        <f>IF(Agent10_Withdrawals!A148="","",Agent10_Withdrawals!A148)</f>
        <v/>
      </c>
      <c r="B1941" s="40" t="str">
        <f ca="1">IF(Agent10_Withdrawals!A148="","","WD"&amp;TEXT(1941-3,"0000")&amp;"-"&amp;TEXT(TODAY(),"YYYYMMDD"))</f>
        <v/>
      </c>
      <c r="C1941" s="40" t="str">
        <f>IF(Agent10_Withdrawals!A148="","",Agent10_Withdrawals!B148)</f>
        <v/>
      </c>
      <c r="D1941" s="43" t="str">
        <f>IF(Agent10_Withdrawals!A148="","",Agent10_Withdrawals!C148)</f>
        <v/>
      </c>
      <c r="E1941" s="41" t="str">
        <f>IF(Agent10_Withdrawals!A148="","",Agent10_Withdrawals!D148)</f>
        <v/>
      </c>
      <c r="F1941" s="40" t="str">
        <f>IF(Agent10_Withdrawals!A148="","",Agent10_Withdrawals!F148)</f>
        <v/>
      </c>
      <c r="G1941" s="42" t="str">
        <f>IF(Agent10_Withdrawals!A148="","",Agent10_Withdrawals!E148)</f>
        <v/>
      </c>
      <c r="H1941" s="42" t="str">
        <f>IF(Agent10_Withdrawals!A148="","",Agent10_Withdrawals!G148)</f>
        <v/>
      </c>
      <c r="I1941" s="40" t="str">
        <f>IF(Agent10_Withdrawals!A148="","",Agent10_Withdrawals!H148)</f>
        <v/>
      </c>
      <c r="J1941" s="40" t="str">
        <f>IF(Agent10_Withdrawals!A148="","",Agent10_Withdrawals!J148)</f>
        <v/>
      </c>
      <c r="K1941" s="40" t="str">
        <f>IF(Agent10_Withdrawals!A148="","",Agent10_Withdrawals!K148)</f>
        <v/>
      </c>
      <c r="L1941" s="40" t="str">
        <f>IF(G1941="","",IF(D1941-G1941&gt;=System_Config!$B$9,"✅ OK","⚠️ BREACH"))</f>
        <v/>
      </c>
      <c r="M1941" s="40" t="str">
        <f>IFERROR(IF(Agent10_Withdrawals!A148="","",YEAR(Agent10_Withdrawals!D148)),"")</f>
        <v/>
      </c>
    </row>
    <row r="1942" spans="1:13" ht="18" customHeight="1" x14ac:dyDescent="0.25">
      <c r="A1942" s="40" t="str">
        <f>IF(Agent10_Withdrawals!A149="","",Agent10_Withdrawals!A149)</f>
        <v/>
      </c>
      <c r="B1942" s="40" t="str">
        <f ca="1">IF(Agent10_Withdrawals!A149="","","WD"&amp;TEXT(1942-3,"0000")&amp;"-"&amp;TEXT(TODAY(),"YYYYMMDD"))</f>
        <v/>
      </c>
      <c r="C1942" s="40" t="str">
        <f>IF(Agent10_Withdrawals!A149="","",Agent10_Withdrawals!B149)</f>
        <v/>
      </c>
      <c r="D1942" s="43" t="str">
        <f>IF(Agent10_Withdrawals!A149="","",Agent10_Withdrawals!C149)</f>
        <v/>
      </c>
      <c r="E1942" s="41" t="str">
        <f>IF(Agent10_Withdrawals!A149="","",Agent10_Withdrawals!D149)</f>
        <v/>
      </c>
      <c r="F1942" s="40" t="str">
        <f>IF(Agent10_Withdrawals!A149="","",Agent10_Withdrawals!F149)</f>
        <v/>
      </c>
      <c r="G1942" s="42" t="str">
        <f>IF(Agent10_Withdrawals!A149="","",Agent10_Withdrawals!E149)</f>
        <v/>
      </c>
      <c r="H1942" s="42" t="str">
        <f>IF(Agent10_Withdrawals!A149="","",Agent10_Withdrawals!G149)</f>
        <v/>
      </c>
      <c r="I1942" s="40" t="str">
        <f>IF(Agent10_Withdrawals!A149="","",Agent10_Withdrawals!H149)</f>
        <v/>
      </c>
      <c r="J1942" s="40" t="str">
        <f>IF(Agent10_Withdrawals!A149="","",Agent10_Withdrawals!J149)</f>
        <v/>
      </c>
      <c r="K1942" s="40" t="str">
        <f>IF(Agent10_Withdrawals!A149="","",Agent10_Withdrawals!K149)</f>
        <v/>
      </c>
      <c r="L1942" s="40" t="str">
        <f>IF(G1942="","",IF(D1942-G1942&gt;=System_Config!$B$9,"✅ OK","⚠️ BREACH"))</f>
        <v/>
      </c>
      <c r="M1942" s="40" t="str">
        <f>IFERROR(IF(Agent10_Withdrawals!A149="","",YEAR(Agent10_Withdrawals!D149)),"")</f>
        <v/>
      </c>
    </row>
    <row r="1943" spans="1:13" ht="18" customHeight="1" x14ac:dyDescent="0.25">
      <c r="A1943" s="40" t="str">
        <f>IF(Agent10_Withdrawals!A150="","",Agent10_Withdrawals!A150)</f>
        <v/>
      </c>
      <c r="B1943" s="40" t="str">
        <f ca="1">IF(Agent10_Withdrawals!A150="","","WD"&amp;TEXT(1943-3,"0000")&amp;"-"&amp;TEXT(TODAY(),"YYYYMMDD"))</f>
        <v/>
      </c>
      <c r="C1943" s="40" t="str">
        <f>IF(Agent10_Withdrawals!A150="","",Agent10_Withdrawals!B150)</f>
        <v/>
      </c>
      <c r="D1943" s="43" t="str">
        <f>IF(Agent10_Withdrawals!A150="","",Agent10_Withdrawals!C150)</f>
        <v/>
      </c>
      <c r="E1943" s="41" t="str">
        <f>IF(Agent10_Withdrawals!A150="","",Agent10_Withdrawals!D150)</f>
        <v/>
      </c>
      <c r="F1943" s="40" t="str">
        <f>IF(Agent10_Withdrawals!A150="","",Agent10_Withdrawals!F150)</f>
        <v/>
      </c>
      <c r="G1943" s="42" t="str">
        <f>IF(Agent10_Withdrawals!A150="","",Agent10_Withdrawals!E150)</f>
        <v/>
      </c>
      <c r="H1943" s="42" t="str">
        <f>IF(Agent10_Withdrawals!A150="","",Agent10_Withdrawals!G150)</f>
        <v/>
      </c>
      <c r="I1943" s="40" t="str">
        <f>IF(Agent10_Withdrawals!A150="","",Agent10_Withdrawals!H150)</f>
        <v/>
      </c>
      <c r="J1943" s="40" t="str">
        <f>IF(Agent10_Withdrawals!A150="","",Agent10_Withdrawals!J150)</f>
        <v/>
      </c>
      <c r="K1943" s="40" t="str">
        <f>IF(Agent10_Withdrawals!A150="","",Agent10_Withdrawals!K150)</f>
        <v/>
      </c>
      <c r="L1943" s="40" t="str">
        <f>IF(G1943="","",IF(D1943-G1943&gt;=System_Config!$B$9,"✅ OK","⚠️ BREACH"))</f>
        <v/>
      </c>
      <c r="M1943" s="40" t="str">
        <f>IFERROR(IF(Agent10_Withdrawals!A150="","",YEAR(Agent10_Withdrawals!D150)),"")</f>
        <v/>
      </c>
    </row>
    <row r="1944" spans="1:13" ht="18" customHeight="1" x14ac:dyDescent="0.25">
      <c r="A1944" s="40" t="str">
        <f>IF(Agent10_Withdrawals!A151="","",Agent10_Withdrawals!A151)</f>
        <v/>
      </c>
      <c r="B1944" s="40" t="str">
        <f ca="1">IF(Agent10_Withdrawals!A151="","","WD"&amp;TEXT(1944-3,"0000")&amp;"-"&amp;TEXT(TODAY(),"YYYYMMDD"))</f>
        <v/>
      </c>
      <c r="C1944" s="40" t="str">
        <f>IF(Agent10_Withdrawals!A151="","",Agent10_Withdrawals!B151)</f>
        <v/>
      </c>
      <c r="D1944" s="43" t="str">
        <f>IF(Agent10_Withdrawals!A151="","",Agent10_Withdrawals!C151)</f>
        <v/>
      </c>
      <c r="E1944" s="41" t="str">
        <f>IF(Agent10_Withdrawals!A151="","",Agent10_Withdrawals!D151)</f>
        <v/>
      </c>
      <c r="F1944" s="40" t="str">
        <f>IF(Agent10_Withdrawals!A151="","",Agent10_Withdrawals!F151)</f>
        <v/>
      </c>
      <c r="G1944" s="42" t="str">
        <f>IF(Agent10_Withdrawals!A151="","",Agent10_Withdrawals!E151)</f>
        <v/>
      </c>
      <c r="H1944" s="42" t="str">
        <f>IF(Agent10_Withdrawals!A151="","",Agent10_Withdrawals!G151)</f>
        <v/>
      </c>
      <c r="I1944" s="40" t="str">
        <f>IF(Agent10_Withdrawals!A151="","",Agent10_Withdrawals!H151)</f>
        <v/>
      </c>
      <c r="J1944" s="40" t="str">
        <f>IF(Agent10_Withdrawals!A151="","",Agent10_Withdrawals!J151)</f>
        <v/>
      </c>
      <c r="K1944" s="40" t="str">
        <f>IF(Agent10_Withdrawals!A151="","",Agent10_Withdrawals!K151)</f>
        <v/>
      </c>
      <c r="L1944" s="40" t="str">
        <f>IF(G1944="","",IF(D1944-G1944&gt;=System_Config!$B$9,"✅ OK","⚠️ BREACH"))</f>
        <v/>
      </c>
      <c r="M1944" s="40" t="str">
        <f>IFERROR(IF(Agent10_Withdrawals!A151="","",YEAR(Agent10_Withdrawals!D151)),"")</f>
        <v/>
      </c>
    </row>
    <row r="1945" spans="1:13" ht="18" customHeight="1" x14ac:dyDescent="0.25">
      <c r="A1945" s="40" t="str">
        <f>IF(Agent10_Withdrawals!A152="","",Agent10_Withdrawals!A152)</f>
        <v/>
      </c>
      <c r="B1945" s="40" t="str">
        <f ca="1">IF(Agent10_Withdrawals!A152="","","WD"&amp;TEXT(1945-3,"0000")&amp;"-"&amp;TEXT(TODAY(),"YYYYMMDD"))</f>
        <v/>
      </c>
      <c r="C1945" s="40" t="str">
        <f>IF(Agent10_Withdrawals!A152="","",Agent10_Withdrawals!B152)</f>
        <v/>
      </c>
      <c r="D1945" s="43" t="str">
        <f>IF(Agent10_Withdrawals!A152="","",Agent10_Withdrawals!C152)</f>
        <v/>
      </c>
      <c r="E1945" s="41" t="str">
        <f>IF(Agent10_Withdrawals!A152="","",Agent10_Withdrawals!D152)</f>
        <v/>
      </c>
      <c r="F1945" s="40" t="str">
        <f>IF(Agent10_Withdrawals!A152="","",Agent10_Withdrawals!F152)</f>
        <v/>
      </c>
      <c r="G1945" s="42" t="str">
        <f>IF(Agent10_Withdrawals!A152="","",Agent10_Withdrawals!E152)</f>
        <v/>
      </c>
      <c r="H1945" s="42" t="str">
        <f>IF(Agent10_Withdrawals!A152="","",Agent10_Withdrawals!G152)</f>
        <v/>
      </c>
      <c r="I1945" s="40" t="str">
        <f>IF(Agent10_Withdrawals!A152="","",Agent10_Withdrawals!H152)</f>
        <v/>
      </c>
      <c r="J1945" s="40" t="str">
        <f>IF(Agent10_Withdrawals!A152="","",Agent10_Withdrawals!J152)</f>
        <v/>
      </c>
      <c r="K1945" s="40" t="str">
        <f>IF(Agent10_Withdrawals!A152="","",Agent10_Withdrawals!K152)</f>
        <v/>
      </c>
      <c r="L1945" s="40" t="str">
        <f>IF(G1945="","",IF(D1945-G1945&gt;=System_Config!$B$9,"✅ OK","⚠️ BREACH"))</f>
        <v/>
      </c>
      <c r="M1945" s="40" t="str">
        <f>IFERROR(IF(Agent10_Withdrawals!A152="","",YEAR(Agent10_Withdrawals!D152)),"")</f>
        <v/>
      </c>
    </row>
    <row r="1946" spans="1:13" ht="18" customHeight="1" x14ac:dyDescent="0.25">
      <c r="A1946" s="40" t="str">
        <f>IF(Agent10_Withdrawals!A153="","",Agent10_Withdrawals!A153)</f>
        <v/>
      </c>
      <c r="B1946" s="40" t="str">
        <f ca="1">IF(Agent10_Withdrawals!A153="","","WD"&amp;TEXT(1946-3,"0000")&amp;"-"&amp;TEXT(TODAY(),"YYYYMMDD"))</f>
        <v/>
      </c>
      <c r="C1946" s="40" t="str">
        <f>IF(Agent10_Withdrawals!A153="","",Agent10_Withdrawals!B153)</f>
        <v/>
      </c>
      <c r="D1946" s="43" t="str">
        <f>IF(Agent10_Withdrawals!A153="","",Agent10_Withdrawals!C153)</f>
        <v/>
      </c>
      <c r="E1946" s="41" t="str">
        <f>IF(Agent10_Withdrawals!A153="","",Agent10_Withdrawals!D153)</f>
        <v/>
      </c>
      <c r="F1946" s="40" t="str">
        <f>IF(Agent10_Withdrawals!A153="","",Agent10_Withdrawals!F153)</f>
        <v/>
      </c>
      <c r="G1946" s="42" t="str">
        <f>IF(Agent10_Withdrawals!A153="","",Agent10_Withdrawals!E153)</f>
        <v/>
      </c>
      <c r="H1946" s="42" t="str">
        <f>IF(Agent10_Withdrawals!A153="","",Agent10_Withdrawals!G153)</f>
        <v/>
      </c>
      <c r="I1946" s="40" t="str">
        <f>IF(Agent10_Withdrawals!A153="","",Agent10_Withdrawals!H153)</f>
        <v/>
      </c>
      <c r="J1946" s="40" t="str">
        <f>IF(Agent10_Withdrawals!A153="","",Agent10_Withdrawals!J153)</f>
        <v/>
      </c>
      <c r="K1946" s="40" t="str">
        <f>IF(Agent10_Withdrawals!A153="","",Agent10_Withdrawals!K153)</f>
        <v/>
      </c>
      <c r="L1946" s="40" t="str">
        <f>IF(G1946="","",IF(D1946-G1946&gt;=System_Config!$B$9,"✅ OK","⚠️ BREACH"))</f>
        <v/>
      </c>
      <c r="M1946" s="40" t="str">
        <f>IFERROR(IF(Agent10_Withdrawals!A153="","",YEAR(Agent10_Withdrawals!D153)),"")</f>
        <v/>
      </c>
    </row>
    <row r="1947" spans="1:13" ht="18" customHeight="1" x14ac:dyDescent="0.25">
      <c r="A1947" s="40" t="str">
        <f>IF(Agent10_Withdrawals!A154="","",Agent10_Withdrawals!A154)</f>
        <v/>
      </c>
      <c r="B1947" s="40" t="str">
        <f ca="1">IF(Agent10_Withdrawals!A154="","","WD"&amp;TEXT(1947-3,"0000")&amp;"-"&amp;TEXT(TODAY(),"YYYYMMDD"))</f>
        <v/>
      </c>
      <c r="C1947" s="40" t="str">
        <f>IF(Agent10_Withdrawals!A154="","",Agent10_Withdrawals!B154)</f>
        <v/>
      </c>
      <c r="D1947" s="43" t="str">
        <f>IF(Agent10_Withdrawals!A154="","",Agent10_Withdrawals!C154)</f>
        <v/>
      </c>
      <c r="E1947" s="41" t="str">
        <f>IF(Agent10_Withdrawals!A154="","",Agent10_Withdrawals!D154)</f>
        <v/>
      </c>
      <c r="F1947" s="40" t="str">
        <f>IF(Agent10_Withdrawals!A154="","",Agent10_Withdrawals!F154)</f>
        <v/>
      </c>
      <c r="G1947" s="42" t="str">
        <f>IF(Agent10_Withdrawals!A154="","",Agent10_Withdrawals!E154)</f>
        <v/>
      </c>
      <c r="H1947" s="42" t="str">
        <f>IF(Agent10_Withdrawals!A154="","",Agent10_Withdrawals!G154)</f>
        <v/>
      </c>
      <c r="I1947" s="40" t="str">
        <f>IF(Agent10_Withdrawals!A154="","",Agent10_Withdrawals!H154)</f>
        <v/>
      </c>
      <c r="J1947" s="40" t="str">
        <f>IF(Agent10_Withdrawals!A154="","",Agent10_Withdrawals!J154)</f>
        <v/>
      </c>
      <c r="K1947" s="40" t="str">
        <f>IF(Agent10_Withdrawals!A154="","",Agent10_Withdrawals!K154)</f>
        <v/>
      </c>
      <c r="L1947" s="40" t="str">
        <f>IF(G1947="","",IF(D1947-G1947&gt;=System_Config!$B$9,"✅ OK","⚠️ BREACH"))</f>
        <v/>
      </c>
      <c r="M1947" s="40" t="str">
        <f>IFERROR(IF(Agent10_Withdrawals!A154="","",YEAR(Agent10_Withdrawals!D154)),"")</f>
        <v/>
      </c>
    </row>
    <row r="1948" spans="1:13" ht="18" customHeight="1" x14ac:dyDescent="0.25">
      <c r="A1948" s="40" t="str">
        <f>IF(Agent10_Withdrawals!A155="","",Agent10_Withdrawals!A155)</f>
        <v/>
      </c>
      <c r="B1948" s="40" t="str">
        <f ca="1">IF(Agent10_Withdrawals!A155="","","WD"&amp;TEXT(1948-3,"0000")&amp;"-"&amp;TEXT(TODAY(),"YYYYMMDD"))</f>
        <v/>
      </c>
      <c r="C1948" s="40" t="str">
        <f>IF(Agent10_Withdrawals!A155="","",Agent10_Withdrawals!B155)</f>
        <v/>
      </c>
      <c r="D1948" s="43" t="str">
        <f>IF(Agent10_Withdrawals!A155="","",Agent10_Withdrawals!C155)</f>
        <v/>
      </c>
      <c r="E1948" s="41" t="str">
        <f>IF(Agent10_Withdrawals!A155="","",Agent10_Withdrawals!D155)</f>
        <v/>
      </c>
      <c r="F1948" s="40" t="str">
        <f>IF(Agent10_Withdrawals!A155="","",Agent10_Withdrawals!F155)</f>
        <v/>
      </c>
      <c r="G1948" s="42" t="str">
        <f>IF(Agent10_Withdrawals!A155="","",Agent10_Withdrawals!E155)</f>
        <v/>
      </c>
      <c r="H1948" s="42" t="str">
        <f>IF(Agent10_Withdrawals!A155="","",Agent10_Withdrawals!G155)</f>
        <v/>
      </c>
      <c r="I1948" s="40" t="str">
        <f>IF(Agent10_Withdrawals!A155="","",Agent10_Withdrawals!H155)</f>
        <v/>
      </c>
      <c r="J1948" s="40" t="str">
        <f>IF(Agent10_Withdrawals!A155="","",Agent10_Withdrawals!J155)</f>
        <v/>
      </c>
      <c r="K1948" s="40" t="str">
        <f>IF(Agent10_Withdrawals!A155="","",Agent10_Withdrawals!K155)</f>
        <v/>
      </c>
      <c r="L1948" s="40" t="str">
        <f>IF(G1948="","",IF(D1948-G1948&gt;=System_Config!$B$9,"✅ OK","⚠️ BREACH"))</f>
        <v/>
      </c>
      <c r="M1948" s="40" t="str">
        <f>IFERROR(IF(Agent10_Withdrawals!A155="","",YEAR(Agent10_Withdrawals!D155)),"")</f>
        <v/>
      </c>
    </row>
    <row r="1949" spans="1:13" ht="18" customHeight="1" x14ac:dyDescent="0.25">
      <c r="A1949" s="40" t="str">
        <f>IF(Agent10_Withdrawals!A156="","",Agent10_Withdrawals!A156)</f>
        <v/>
      </c>
      <c r="B1949" s="40" t="str">
        <f ca="1">IF(Agent10_Withdrawals!A156="","","WD"&amp;TEXT(1949-3,"0000")&amp;"-"&amp;TEXT(TODAY(),"YYYYMMDD"))</f>
        <v/>
      </c>
      <c r="C1949" s="40" t="str">
        <f>IF(Agent10_Withdrawals!A156="","",Agent10_Withdrawals!B156)</f>
        <v/>
      </c>
      <c r="D1949" s="43" t="str">
        <f>IF(Agent10_Withdrawals!A156="","",Agent10_Withdrawals!C156)</f>
        <v/>
      </c>
      <c r="E1949" s="41" t="str">
        <f>IF(Agent10_Withdrawals!A156="","",Agent10_Withdrawals!D156)</f>
        <v/>
      </c>
      <c r="F1949" s="40" t="str">
        <f>IF(Agent10_Withdrawals!A156="","",Agent10_Withdrawals!F156)</f>
        <v/>
      </c>
      <c r="G1949" s="42" t="str">
        <f>IF(Agent10_Withdrawals!A156="","",Agent10_Withdrawals!E156)</f>
        <v/>
      </c>
      <c r="H1949" s="42" t="str">
        <f>IF(Agent10_Withdrawals!A156="","",Agent10_Withdrawals!G156)</f>
        <v/>
      </c>
      <c r="I1949" s="40" t="str">
        <f>IF(Agent10_Withdrawals!A156="","",Agent10_Withdrawals!H156)</f>
        <v/>
      </c>
      <c r="J1949" s="40" t="str">
        <f>IF(Agent10_Withdrawals!A156="","",Agent10_Withdrawals!J156)</f>
        <v/>
      </c>
      <c r="K1949" s="40" t="str">
        <f>IF(Agent10_Withdrawals!A156="","",Agent10_Withdrawals!K156)</f>
        <v/>
      </c>
      <c r="L1949" s="40" t="str">
        <f>IF(G1949="","",IF(D1949-G1949&gt;=System_Config!$B$9,"✅ OK","⚠️ BREACH"))</f>
        <v/>
      </c>
      <c r="M1949" s="40" t="str">
        <f>IFERROR(IF(Agent10_Withdrawals!A156="","",YEAR(Agent10_Withdrawals!D156)),"")</f>
        <v/>
      </c>
    </row>
    <row r="1950" spans="1:13" ht="18" customHeight="1" x14ac:dyDescent="0.25">
      <c r="A1950" s="40" t="str">
        <f>IF(Agent10_Withdrawals!A157="","",Agent10_Withdrawals!A157)</f>
        <v/>
      </c>
      <c r="B1950" s="40" t="str">
        <f ca="1">IF(Agent10_Withdrawals!A157="","","WD"&amp;TEXT(1950-3,"0000")&amp;"-"&amp;TEXT(TODAY(),"YYYYMMDD"))</f>
        <v/>
      </c>
      <c r="C1950" s="40" t="str">
        <f>IF(Agent10_Withdrawals!A157="","",Agent10_Withdrawals!B157)</f>
        <v/>
      </c>
      <c r="D1950" s="43" t="str">
        <f>IF(Agent10_Withdrawals!A157="","",Agent10_Withdrawals!C157)</f>
        <v/>
      </c>
      <c r="E1950" s="41" t="str">
        <f>IF(Agent10_Withdrawals!A157="","",Agent10_Withdrawals!D157)</f>
        <v/>
      </c>
      <c r="F1950" s="40" t="str">
        <f>IF(Agent10_Withdrawals!A157="","",Agent10_Withdrawals!F157)</f>
        <v/>
      </c>
      <c r="G1950" s="42" t="str">
        <f>IF(Agent10_Withdrawals!A157="","",Agent10_Withdrawals!E157)</f>
        <v/>
      </c>
      <c r="H1950" s="42" t="str">
        <f>IF(Agent10_Withdrawals!A157="","",Agent10_Withdrawals!G157)</f>
        <v/>
      </c>
      <c r="I1950" s="40" t="str">
        <f>IF(Agent10_Withdrawals!A157="","",Agent10_Withdrawals!H157)</f>
        <v/>
      </c>
      <c r="J1950" s="40" t="str">
        <f>IF(Agent10_Withdrawals!A157="","",Agent10_Withdrawals!J157)</f>
        <v/>
      </c>
      <c r="K1950" s="40" t="str">
        <f>IF(Agent10_Withdrawals!A157="","",Agent10_Withdrawals!K157)</f>
        <v/>
      </c>
      <c r="L1950" s="40" t="str">
        <f>IF(G1950="","",IF(D1950-G1950&gt;=System_Config!$B$9,"✅ OK","⚠️ BREACH"))</f>
        <v/>
      </c>
      <c r="M1950" s="40" t="str">
        <f>IFERROR(IF(Agent10_Withdrawals!A157="","",YEAR(Agent10_Withdrawals!D157)),"")</f>
        <v/>
      </c>
    </row>
    <row r="1951" spans="1:13" ht="18" customHeight="1" x14ac:dyDescent="0.25">
      <c r="A1951" s="40" t="str">
        <f>IF(Agent10_Withdrawals!A158="","",Agent10_Withdrawals!A158)</f>
        <v/>
      </c>
      <c r="B1951" s="40" t="str">
        <f ca="1">IF(Agent10_Withdrawals!A158="","","WD"&amp;TEXT(1951-3,"0000")&amp;"-"&amp;TEXT(TODAY(),"YYYYMMDD"))</f>
        <v/>
      </c>
      <c r="C1951" s="40" t="str">
        <f>IF(Agent10_Withdrawals!A158="","",Agent10_Withdrawals!B158)</f>
        <v/>
      </c>
      <c r="D1951" s="43" t="str">
        <f>IF(Agent10_Withdrawals!A158="","",Agent10_Withdrawals!C158)</f>
        <v/>
      </c>
      <c r="E1951" s="41" t="str">
        <f>IF(Agent10_Withdrawals!A158="","",Agent10_Withdrawals!D158)</f>
        <v/>
      </c>
      <c r="F1951" s="40" t="str">
        <f>IF(Agent10_Withdrawals!A158="","",Agent10_Withdrawals!F158)</f>
        <v/>
      </c>
      <c r="G1951" s="42" t="str">
        <f>IF(Agent10_Withdrawals!A158="","",Agent10_Withdrawals!E158)</f>
        <v/>
      </c>
      <c r="H1951" s="42" t="str">
        <f>IF(Agent10_Withdrawals!A158="","",Agent10_Withdrawals!G158)</f>
        <v/>
      </c>
      <c r="I1951" s="40" t="str">
        <f>IF(Agent10_Withdrawals!A158="","",Agent10_Withdrawals!H158)</f>
        <v/>
      </c>
      <c r="J1951" s="40" t="str">
        <f>IF(Agent10_Withdrawals!A158="","",Agent10_Withdrawals!J158)</f>
        <v/>
      </c>
      <c r="K1951" s="40" t="str">
        <f>IF(Agent10_Withdrawals!A158="","",Agent10_Withdrawals!K158)</f>
        <v/>
      </c>
      <c r="L1951" s="40" t="str">
        <f>IF(G1951="","",IF(D1951-G1951&gt;=System_Config!$B$9,"✅ OK","⚠️ BREACH"))</f>
        <v/>
      </c>
      <c r="M1951" s="40" t="str">
        <f>IFERROR(IF(Agent10_Withdrawals!A158="","",YEAR(Agent10_Withdrawals!D158)),"")</f>
        <v/>
      </c>
    </row>
    <row r="1952" spans="1:13" ht="18" customHeight="1" x14ac:dyDescent="0.25">
      <c r="A1952" s="40" t="str">
        <f>IF(Agent10_Withdrawals!A159="","",Agent10_Withdrawals!A159)</f>
        <v/>
      </c>
      <c r="B1952" s="40" t="str">
        <f ca="1">IF(Agent10_Withdrawals!A159="","","WD"&amp;TEXT(1952-3,"0000")&amp;"-"&amp;TEXT(TODAY(),"YYYYMMDD"))</f>
        <v/>
      </c>
      <c r="C1952" s="40" t="str">
        <f>IF(Agent10_Withdrawals!A159="","",Agent10_Withdrawals!B159)</f>
        <v/>
      </c>
      <c r="D1952" s="43" t="str">
        <f>IF(Agent10_Withdrawals!A159="","",Agent10_Withdrawals!C159)</f>
        <v/>
      </c>
      <c r="E1952" s="41" t="str">
        <f>IF(Agent10_Withdrawals!A159="","",Agent10_Withdrawals!D159)</f>
        <v/>
      </c>
      <c r="F1952" s="40" t="str">
        <f>IF(Agent10_Withdrawals!A159="","",Agent10_Withdrawals!F159)</f>
        <v/>
      </c>
      <c r="G1952" s="42" t="str">
        <f>IF(Agent10_Withdrawals!A159="","",Agent10_Withdrawals!E159)</f>
        <v/>
      </c>
      <c r="H1952" s="42" t="str">
        <f>IF(Agent10_Withdrawals!A159="","",Agent10_Withdrawals!G159)</f>
        <v/>
      </c>
      <c r="I1952" s="40" t="str">
        <f>IF(Agent10_Withdrawals!A159="","",Agent10_Withdrawals!H159)</f>
        <v/>
      </c>
      <c r="J1952" s="40" t="str">
        <f>IF(Agent10_Withdrawals!A159="","",Agent10_Withdrawals!J159)</f>
        <v/>
      </c>
      <c r="K1952" s="40" t="str">
        <f>IF(Agent10_Withdrawals!A159="","",Agent10_Withdrawals!K159)</f>
        <v/>
      </c>
      <c r="L1952" s="40" t="str">
        <f>IF(G1952="","",IF(D1952-G1952&gt;=System_Config!$B$9,"✅ OK","⚠️ BREACH"))</f>
        <v/>
      </c>
      <c r="M1952" s="40" t="str">
        <f>IFERROR(IF(Agent10_Withdrawals!A159="","",YEAR(Agent10_Withdrawals!D159)),"")</f>
        <v/>
      </c>
    </row>
    <row r="1953" spans="1:13" ht="18" customHeight="1" x14ac:dyDescent="0.25">
      <c r="A1953" s="40" t="str">
        <f>IF(Agent10_Withdrawals!A160="","",Agent10_Withdrawals!A160)</f>
        <v/>
      </c>
      <c r="B1953" s="40" t="str">
        <f ca="1">IF(Agent10_Withdrawals!A160="","","WD"&amp;TEXT(1953-3,"0000")&amp;"-"&amp;TEXT(TODAY(),"YYYYMMDD"))</f>
        <v/>
      </c>
      <c r="C1953" s="40" t="str">
        <f>IF(Agent10_Withdrawals!A160="","",Agent10_Withdrawals!B160)</f>
        <v/>
      </c>
      <c r="D1953" s="43" t="str">
        <f>IF(Agent10_Withdrawals!A160="","",Agent10_Withdrawals!C160)</f>
        <v/>
      </c>
      <c r="E1953" s="41" t="str">
        <f>IF(Agent10_Withdrawals!A160="","",Agent10_Withdrawals!D160)</f>
        <v/>
      </c>
      <c r="F1953" s="40" t="str">
        <f>IF(Agent10_Withdrawals!A160="","",Agent10_Withdrawals!F160)</f>
        <v/>
      </c>
      <c r="G1953" s="42" t="str">
        <f>IF(Agent10_Withdrawals!A160="","",Agent10_Withdrawals!E160)</f>
        <v/>
      </c>
      <c r="H1953" s="42" t="str">
        <f>IF(Agent10_Withdrawals!A160="","",Agent10_Withdrawals!G160)</f>
        <v/>
      </c>
      <c r="I1953" s="40" t="str">
        <f>IF(Agent10_Withdrawals!A160="","",Agent10_Withdrawals!H160)</f>
        <v/>
      </c>
      <c r="J1953" s="40" t="str">
        <f>IF(Agent10_Withdrawals!A160="","",Agent10_Withdrawals!J160)</f>
        <v/>
      </c>
      <c r="K1953" s="40" t="str">
        <f>IF(Agent10_Withdrawals!A160="","",Agent10_Withdrawals!K160)</f>
        <v/>
      </c>
      <c r="L1953" s="40" t="str">
        <f>IF(G1953="","",IF(D1953-G1953&gt;=System_Config!$B$9,"✅ OK","⚠️ BREACH"))</f>
        <v/>
      </c>
      <c r="M1953" s="40" t="str">
        <f>IFERROR(IF(Agent10_Withdrawals!A160="","",YEAR(Agent10_Withdrawals!D160)),"")</f>
        <v/>
      </c>
    </row>
    <row r="1954" spans="1:13" ht="18" customHeight="1" x14ac:dyDescent="0.25">
      <c r="A1954" s="40" t="str">
        <f>IF(Agent10_Withdrawals!A161="","",Agent10_Withdrawals!A161)</f>
        <v/>
      </c>
      <c r="B1954" s="40" t="str">
        <f ca="1">IF(Agent10_Withdrawals!A161="","","WD"&amp;TEXT(1954-3,"0000")&amp;"-"&amp;TEXT(TODAY(),"YYYYMMDD"))</f>
        <v/>
      </c>
      <c r="C1954" s="40" t="str">
        <f>IF(Agent10_Withdrawals!A161="","",Agent10_Withdrawals!B161)</f>
        <v/>
      </c>
      <c r="D1954" s="43" t="str">
        <f>IF(Agent10_Withdrawals!A161="","",Agent10_Withdrawals!C161)</f>
        <v/>
      </c>
      <c r="E1954" s="41" t="str">
        <f>IF(Agent10_Withdrawals!A161="","",Agent10_Withdrawals!D161)</f>
        <v/>
      </c>
      <c r="F1954" s="40" t="str">
        <f>IF(Agent10_Withdrawals!A161="","",Agent10_Withdrawals!F161)</f>
        <v/>
      </c>
      <c r="G1954" s="42" t="str">
        <f>IF(Agent10_Withdrawals!A161="","",Agent10_Withdrawals!E161)</f>
        <v/>
      </c>
      <c r="H1954" s="42" t="str">
        <f>IF(Agent10_Withdrawals!A161="","",Agent10_Withdrawals!G161)</f>
        <v/>
      </c>
      <c r="I1954" s="40" t="str">
        <f>IF(Agent10_Withdrawals!A161="","",Agent10_Withdrawals!H161)</f>
        <v/>
      </c>
      <c r="J1954" s="40" t="str">
        <f>IF(Agent10_Withdrawals!A161="","",Agent10_Withdrawals!J161)</f>
        <v/>
      </c>
      <c r="K1954" s="40" t="str">
        <f>IF(Agent10_Withdrawals!A161="","",Agent10_Withdrawals!K161)</f>
        <v/>
      </c>
      <c r="L1954" s="40" t="str">
        <f>IF(G1954="","",IF(D1954-G1954&gt;=System_Config!$B$9,"✅ OK","⚠️ BREACH"))</f>
        <v/>
      </c>
      <c r="M1954" s="40" t="str">
        <f>IFERROR(IF(Agent10_Withdrawals!A161="","",YEAR(Agent10_Withdrawals!D161)),"")</f>
        <v/>
      </c>
    </row>
    <row r="1955" spans="1:13" ht="18" customHeight="1" x14ac:dyDescent="0.25">
      <c r="A1955" s="40" t="str">
        <f>IF(Agent10_Withdrawals!A162="","",Agent10_Withdrawals!A162)</f>
        <v/>
      </c>
      <c r="B1955" s="40" t="str">
        <f ca="1">IF(Agent10_Withdrawals!A162="","","WD"&amp;TEXT(1955-3,"0000")&amp;"-"&amp;TEXT(TODAY(),"YYYYMMDD"))</f>
        <v/>
      </c>
      <c r="C1955" s="40" t="str">
        <f>IF(Agent10_Withdrawals!A162="","",Agent10_Withdrawals!B162)</f>
        <v/>
      </c>
      <c r="D1955" s="43" t="str">
        <f>IF(Agent10_Withdrawals!A162="","",Agent10_Withdrawals!C162)</f>
        <v/>
      </c>
      <c r="E1955" s="41" t="str">
        <f>IF(Agent10_Withdrawals!A162="","",Agent10_Withdrawals!D162)</f>
        <v/>
      </c>
      <c r="F1955" s="40" t="str">
        <f>IF(Agent10_Withdrawals!A162="","",Agent10_Withdrawals!F162)</f>
        <v/>
      </c>
      <c r="G1955" s="42" t="str">
        <f>IF(Agent10_Withdrawals!A162="","",Agent10_Withdrawals!E162)</f>
        <v/>
      </c>
      <c r="H1955" s="42" t="str">
        <f>IF(Agent10_Withdrawals!A162="","",Agent10_Withdrawals!G162)</f>
        <v/>
      </c>
      <c r="I1955" s="40" t="str">
        <f>IF(Agent10_Withdrawals!A162="","",Agent10_Withdrawals!H162)</f>
        <v/>
      </c>
      <c r="J1955" s="40" t="str">
        <f>IF(Agent10_Withdrawals!A162="","",Agent10_Withdrawals!J162)</f>
        <v/>
      </c>
      <c r="K1955" s="40" t="str">
        <f>IF(Agent10_Withdrawals!A162="","",Agent10_Withdrawals!K162)</f>
        <v/>
      </c>
      <c r="L1955" s="40" t="str">
        <f>IF(G1955="","",IF(D1955-G1955&gt;=System_Config!$B$9,"✅ OK","⚠️ BREACH"))</f>
        <v/>
      </c>
      <c r="M1955" s="40" t="str">
        <f>IFERROR(IF(Agent10_Withdrawals!A162="","",YEAR(Agent10_Withdrawals!D162)),"")</f>
        <v/>
      </c>
    </row>
    <row r="1956" spans="1:13" ht="18" customHeight="1" x14ac:dyDescent="0.25">
      <c r="A1956" s="40" t="str">
        <f>IF(Agent10_Withdrawals!A163="","",Agent10_Withdrawals!A163)</f>
        <v/>
      </c>
      <c r="B1956" s="40" t="str">
        <f ca="1">IF(Agent10_Withdrawals!A163="","","WD"&amp;TEXT(1956-3,"0000")&amp;"-"&amp;TEXT(TODAY(),"YYYYMMDD"))</f>
        <v/>
      </c>
      <c r="C1956" s="40" t="str">
        <f>IF(Agent10_Withdrawals!A163="","",Agent10_Withdrawals!B163)</f>
        <v/>
      </c>
      <c r="D1956" s="43" t="str">
        <f>IF(Agent10_Withdrawals!A163="","",Agent10_Withdrawals!C163)</f>
        <v/>
      </c>
      <c r="E1956" s="41" t="str">
        <f>IF(Agent10_Withdrawals!A163="","",Agent10_Withdrawals!D163)</f>
        <v/>
      </c>
      <c r="F1956" s="40" t="str">
        <f>IF(Agent10_Withdrawals!A163="","",Agent10_Withdrawals!F163)</f>
        <v/>
      </c>
      <c r="G1956" s="42" t="str">
        <f>IF(Agent10_Withdrawals!A163="","",Agent10_Withdrawals!E163)</f>
        <v/>
      </c>
      <c r="H1956" s="42" t="str">
        <f>IF(Agent10_Withdrawals!A163="","",Agent10_Withdrawals!G163)</f>
        <v/>
      </c>
      <c r="I1956" s="40" t="str">
        <f>IF(Agent10_Withdrawals!A163="","",Agent10_Withdrawals!H163)</f>
        <v/>
      </c>
      <c r="J1956" s="40" t="str">
        <f>IF(Agent10_Withdrawals!A163="","",Agent10_Withdrawals!J163)</f>
        <v/>
      </c>
      <c r="K1956" s="40" t="str">
        <f>IF(Agent10_Withdrawals!A163="","",Agent10_Withdrawals!K163)</f>
        <v/>
      </c>
      <c r="L1956" s="40" t="str">
        <f>IF(G1956="","",IF(D1956-G1956&gt;=System_Config!$B$9,"✅ OK","⚠️ BREACH"))</f>
        <v/>
      </c>
      <c r="M1956" s="40" t="str">
        <f>IFERROR(IF(Agent10_Withdrawals!A163="","",YEAR(Agent10_Withdrawals!D163)),"")</f>
        <v/>
      </c>
    </row>
    <row r="1957" spans="1:13" ht="18" customHeight="1" x14ac:dyDescent="0.25">
      <c r="A1957" s="40" t="str">
        <f>IF(Agent10_Withdrawals!A164="","",Agent10_Withdrawals!A164)</f>
        <v/>
      </c>
      <c r="B1957" s="40" t="str">
        <f ca="1">IF(Agent10_Withdrawals!A164="","","WD"&amp;TEXT(1957-3,"0000")&amp;"-"&amp;TEXT(TODAY(),"YYYYMMDD"))</f>
        <v/>
      </c>
      <c r="C1957" s="40" t="str">
        <f>IF(Agent10_Withdrawals!A164="","",Agent10_Withdrawals!B164)</f>
        <v/>
      </c>
      <c r="D1957" s="43" t="str">
        <f>IF(Agent10_Withdrawals!A164="","",Agent10_Withdrawals!C164)</f>
        <v/>
      </c>
      <c r="E1957" s="41" t="str">
        <f>IF(Agent10_Withdrawals!A164="","",Agent10_Withdrawals!D164)</f>
        <v/>
      </c>
      <c r="F1957" s="40" t="str">
        <f>IF(Agent10_Withdrawals!A164="","",Agent10_Withdrawals!F164)</f>
        <v/>
      </c>
      <c r="G1957" s="42" t="str">
        <f>IF(Agent10_Withdrawals!A164="","",Agent10_Withdrawals!E164)</f>
        <v/>
      </c>
      <c r="H1957" s="42" t="str">
        <f>IF(Agent10_Withdrawals!A164="","",Agent10_Withdrawals!G164)</f>
        <v/>
      </c>
      <c r="I1957" s="40" t="str">
        <f>IF(Agent10_Withdrawals!A164="","",Agent10_Withdrawals!H164)</f>
        <v/>
      </c>
      <c r="J1957" s="40" t="str">
        <f>IF(Agent10_Withdrawals!A164="","",Agent10_Withdrawals!J164)</f>
        <v/>
      </c>
      <c r="K1957" s="40" t="str">
        <f>IF(Agent10_Withdrawals!A164="","",Agent10_Withdrawals!K164)</f>
        <v/>
      </c>
      <c r="L1957" s="40" t="str">
        <f>IF(G1957="","",IF(D1957-G1957&gt;=System_Config!$B$9,"✅ OK","⚠️ BREACH"))</f>
        <v/>
      </c>
      <c r="M1957" s="40" t="str">
        <f>IFERROR(IF(Agent10_Withdrawals!A164="","",YEAR(Agent10_Withdrawals!D164)),"")</f>
        <v/>
      </c>
    </row>
    <row r="1958" spans="1:13" ht="18" customHeight="1" x14ac:dyDescent="0.25">
      <c r="A1958" s="40" t="str">
        <f>IF(Agent10_Withdrawals!A165="","",Agent10_Withdrawals!A165)</f>
        <v/>
      </c>
      <c r="B1958" s="40" t="str">
        <f ca="1">IF(Agent10_Withdrawals!A165="","","WD"&amp;TEXT(1958-3,"0000")&amp;"-"&amp;TEXT(TODAY(),"YYYYMMDD"))</f>
        <v/>
      </c>
      <c r="C1958" s="40" t="str">
        <f>IF(Agent10_Withdrawals!A165="","",Agent10_Withdrawals!B165)</f>
        <v/>
      </c>
      <c r="D1958" s="43" t="str">
        <f>IF(Agent10_Withdrawals!A165="","",Agent10_Withdrawals!C165)</f>
        <v/>
      </c>
      <c r="E1958" s="41" t="str">
        <f>IF(Agent10_Withdrawals!A165="","",Agent10_Withdrawals!D165)</f>
        <v/>
      </c>
      <c r="F1958" s="40" t="str">
        <f>IF(Agent10_Withdrawals!A165="","",Agent10_Withdrawals!F165)</f>
        <v/>
      </c>
      <c r="G1958" s="42" t="str">
        <f>IF(Agent10_Withdrawals!A165="","",Agent10_Withdrawals!E165)</f>
        <v/>
      </c>
      <c r="H1958" s="42" t="str">
        <f>IF(Agent10_Withdrawals!A165="","",Agent10_Withdrawals!G165)</f>
        <v/>
      </c>
      <c r="I1958" s="40" t="str">
        <f>IF(Agent10_Withdrawals!A165="","",Agent10_Withdrawals!H165)</f>
        <v/>
      </c>
      <c r="J1958" s="40" t="str">
        <f>IF(Agent10_Withdrawals!A165="","",Agent10_Withdrawals!J165)</f>
        <v/>
      </c>
      <c r="K1958" s="40" t="str">
        <f>IF(Agent10_Withdrawals!A165="","",Agent10_Withdrawals!K165)</f>
        <v/>
      </c>
      <c r="L1958" s="40" t="str">
        <f>IF(G1958="","",IF(D1958-G1958&gt;=System_Config!$B$9,"✅ OK","⚠️ BREACH"))</f>
        <v/>
      </c>
      <c r="M1958" s="40" t="str">
        <f>IFERROR(IF(Agent10_Withdrawals!A165="","",YEAR(Agent10_Withdrawals!D165)),"")</f>
        <v/>
      </c>
    </row>
    <row r="1959" spans="1:13" ht="18" customHeight="1" x14ac:dyDescent="0.25">
      <c r="A1959" s="40" t="str">
        <f>IF(Agent10_Withdrawals!A166="","",Agent10_Withdrawals!A166)</f>
        <v/>
      </c>
      <c r="B1959" s="40" t="str">
        <f ca="1">IF(Agent10_Withdrawals!A166="","","WD"&amp;TEXT(1959-3,"0000")&amp;"-"&amp;TEXT(TODAY(),"YYYYMMDD"))</f>
        <v/>
      </c>
      <c r="C1959" s="40" t="str">
        <f>IF(Agent10_Withdrawals!A166="","",Agent10_Withdrawals!B166)</f>
        <v/>
      </c>
      <c r="D1959" s="43" t="str">
        <f>IF(Agent10_Withdrawals!A166="","",Agent10_Withdrawals!C166)</f>
        <v/>
      </c>
      <c r="E1959" s="41" t="str">
        <f>IF(Agent10_Withdrawals!A166="","",Agent10_Withdrawals!D166)</f>
        <v/>
      </c>
      <c r="F1959" s="40" t="str">
        <f>IF(Agent10_Withdrawals!A166="","",Agent10_Withdrawals!F166)</f>
        <v/>
      </c>
      <c r="G1959" s="42" t="str">
        <f>IF(Agent10_Withdrawals!A166="","",Agent10_Withdrawals!E166)</f>
        <v/>
      </c>
      <c r="H1959" s="42" t="str">
        <f>IF(Agent10_Withdrawals!A166="","",Agent10_Withdrawals!G166)</f>
        <v/>
      </c>
      <c r="I1959" s="40" t="str">
        <f>IF(Agent10_Withdrawals!A166="","",Agent10_Withdrawals!H166)</f>
        <v/>
      </c>
      <c r="J1959" s="40" t="str">
        <f>IF(Agent10_Withdrawals!A166="","",Agent10_Withdrawals!J166)</f>
        <v/>
      </c>
      <c r="K1959" s="40" t="str">
        <f>IF(Agent10_Withdrawals!A166="","",Agent10_Withdrawals!K166)</f>
        <v/>
      </c>
      <c r="L1959" s="40" t="str">
        <f>IF(G1959="","",IF(D1959-G1959&gt;=System_Config!$B$9,"✅ OK","⚠️ BREACH"))</f>
        <v/>
      </c>
      <c r="M1959" s="40" t="str">
        <f>IFERROR(IF(Agent10_Withdrawals!A166="","",YEAR(Agent10_Withdrawals!D166)),"")</f>
        <v/>
      </c>
    </row>
    <row r="1960" spans="1:13" ht="18" customHeight="1" x14ac:dyDescent="0.25">
      <c r="A1960" s="40" t="str">
        <f>IF(Agent10_Withdrawals!A167="","",Agent10_Withdrawals!A167)</f>
        <v/>
      </c>
      <c r="B1960" s="40" t="str">
        <f ca="1">IF(Agent10_Withdrawals!A167="","","WD"&amp;TEXT(1960-3,"0000")&amp;"-"&amp;TEXT(TODAY(),"YYYYMMDD"))</f>
        <v/>
      </c>
      <c r="C1960" s="40" t="str">
        <f>IF(Agent10_Withdrawals!A167="","",Agent10_Withdrawals!B167)</f>
        <v/>
      </c>
      <c r="D1960" s="43" t="str">
        <f>IF(Agent10_Withdrawals!A167="","",Agent10_Withdrawals!C167)</f>
        <v/>
      </c>
      <c r="E1960" s="41" t="str">
        <f>IF(Agent10_Withdrawals!A167="","",Agent10_Withdrawals!D167)</f>
        <v/>
      </c>
      <c r="F1960" s="40" t="str">
        <f>IF(Agent10_Withdrawals!A167="","",Agent10_Withdrawals!F167)</f>
        <v/>
      </c>
      <c r="G1960" s="42" t="str">
        <f>IF(Agent10_Withdrawals!A167="","",Agent10_Withdrawals!E167)</f>
        <v/>
      </c>
      <c r="H1960" s="42" t="str">
        <f>IF(Agent10_Withdrawals!A167="","",Agent10_Withdrawals!G167)</f>
        <v/>
      </c>
      <c r="I1960" s="40" t="str">
        <f>IF(Agent10_Withdrawals!A167="","",Agent10_Withdrawals!H167)</f>
        <v/>
      </c>
      <c r="J1960" s="40" t="str">
        <f>IF(Agent10_Withdrawals!A167="","",Agent10_Withdrawals!J167)</f>
        <v/>
      </c>
      <c r="K1960" s="40" t="str">
        <f>IF(Agent10_Withdrawals!A167="","",Agent10_Withdrawals!K167)</f>
        <v/>
      </c>
      <c r="L1960" s="40" t="str">
        <f>IF(G1960="","",IF(D1960-G1960&gt;=System_Config!$B$9,"✅ OK","⚠️ BREACH"))</f>
        <v/>
      </c>
      <c r="M1960" s="40" t="str">
        <f>IFERROR(IF(Agent10_Withdrawals!A167="","",YEAR(Agent10_Withdrawals!D167)),"")</f>
        <v/>
      </c>
    </row>
    <row r="1961" spans="1:13" ht="18" customHeight="1" x14ac:dyDescent="0.25">
      <c r="A1961" s="40" t="str">
        <f>IF(Agent10_Withdrawals!A168="","",Agent10_Withdrawals!A168)</f>
        <v/>
      </c>
      <c r="B1961" s="40" t="str">
        <f ca="1">IF(Agent10_Withdrawals!A168="","","WD"&amp;TEXT(1961-3,"0000")&amp;"-"&amp;TEXT(TODAY(),"YYYYMMDD"))</f>
        <v/>
      </c>
      <c r="C1961" s="40" t="str">
        <f>IF(Agent10_Withdrawals!A168="","",Agent10_Withdrawals!B168)</f>
        <v/>
      </c>
      <c r="D1961" s="43" t="str">
        <f>IF(Agent10_Withdrawals!A168="","",Agent10_Withdrawals!C168)</f>
        <v/>
      </c>
      <c r="E1961" s="41" t="str">
        <f>IF(Agent10_Withdrawals!A168="","",Agent10_Withdrawals!D168)</f>
        <v/>
      </c>
      <c r="F1961" s="40" t="str">
        <f>IF(Agent10_Withdrawals!A168="","",Agent10_Withdrawals!F168)</f>
        <v/>
      </c>
      <c r="G1961" s="42" t="str">
        <f>IF(Agent10_Withdrawals!A168="","",Agent10_Withdrawals!E168)</f>
        <v/>
      </c>
      <c r="H1961" s="42" t="str">
        <f>IF(Agent10_Withdrawals!A168="","",Agent10_Withdrawals!G168)</f>
        <v/>
      </c>
      <c r="I1961" s="40" t="str">
        <f>IF(Agent10_Withdrawals!A168="","",Agent10_Withdrawals!H168)</f>
        <v/>
      </c>
      <c r="J1961" s="40" t="str">
        <f>IF(Agent10_Withdrawals!A168="","",Agent10_Withdrawals!J168)</f>
        <v/>
      </c>
      <c r="K1961" s="40" t="str">
        <f>IF(Agent10_Withdrawals!A168="","",Agent10_Withdrawals!K168)</f>
        <v/>
      </c>
      <c r="L1961" s="40" t="str">
        <f>IF(G1961="","",IF(D1961-G1961&gt;=System_Config!$B$9,"✅ OK","⚠️ BREACH"))</f>
        <v/>
      </c>
      <c r="M1961" s="40" t="str">
        <f>IFERROR(IF(Agent10_Withdrawals!A168="","",YEAR(Agent10_Withdrawals!D168)),"")</f>
        <v/>
      </c>
    </row>
    <row r="1962" spans="1:13" ht="18" customHeight="1" x14ac:dyDescent="0.25">
      <c r="A1962" s="40" t="str">
        <f>IF(Agent10_Withdrawals!A169="","",Agent10_Withdrawals!A169)</f>
        <v/>
      </c>
      <c r="B1962" s="40" t="str">
        <f ca="1">IF(Agent10_Withdrawals!A169="","","WD"&amp;TEXT(1962-3,"0000")&amp;"-"&amp;TEXT(TODAY(),"YYYYMMDD"))</f>
        <v/>
      </c>
      <c r="C1962" s="40" t="str">
        <f>IF(Agent10_Withdrawals!A169="","",Agent10_Withdrawals!B169)</f>
        <v/>
      </c>
      <c r="D1962" s="43" t="str">
        <f>IF(Agent10_Withdrawals!A169="","",Agent10_Withdrawals!C169)</f>
        <v/>
      </c>
      <c r="E1962" s="41" t="str">
        <f>IF(Agent10_Withdrawals!A169="","",Agent10_Withdrawals!D169)</f>
        <v/>
      </c>
      <c r="F1962" s="40" t="str">
        <f>IF(Agent10_Withdrawals!A169="","",Agent10_Withdrawals!F169)</f>
        <v/>
      </c>
      <c r="G1962" s="42" t="str">
        <f>IF(Agent10_Withdrawals!A169="","",Agent10_Withdrawals!E169)</f>
        <v/>
      </c>
      <c r="H1962" s="42" t="str">
        <f>IF(Agent10_Withdrawals!A169="","",Agent10_Withdrawals!G169)</f>
        <v/>
      </c>
      <c r="I1962" s="40" t="str">
        <f>IF(Agent10_Withdrawals!A169="","",Agent10_Withdrawals!H169)</f>
        <v/>
      </c>
      <c r="J1962" s="40" t="str">
        <f>IF(Agent10_Withdrawals!A169="","",Agent10_Withdrawals!J169)</f>
        <v/>
      </c>
      <c r="K1962" s="40" t="str">
        <f>IF(Agent10_Withdrawals!A169="","",Agent10_Withdrawals!K169)</f>
        <v/>
      </c>
      <c r="L1962" s="40" t="str">
        <f>IF(G1962="","",IF(D1962-G1962&gt;=System_Config!$B$9,"✅ OK","⚠️ BREACH"))</f>
        <v/>
      </c>
      <c r="M1962" s="40" t="str">
        <f>IFERROR(IF(Agent10_Withdrawals!A169="","",YEAR(Agent10_Withdrawals!D169)),"")</f>
        <v/>
      </c>
    </row>
    <row r="1963" spans="1:13" ht="18" customHeight="1" x14ac:dyDescent="0.25">
      <c r="A1963" s="40" t="str">
        <f>IF(Agent10_Withdrawals!A170="","",Agent10_Withdrawals!A170)</f>
        <v/>
      </c>
      <c r="B1963" s="40" t="str">
        <f ca="1">IF(Agent10_Withdrawals!A170="","","WD"&amp;TEXT(1963-3,"0000")&amp;"-"&amp;TEXT(TODAY(),"YYYYMMDD"))</f>
        <v/>
      </c>
      <c r="C1963" s="40" t="str">
        <f>IF(Agent10_Withdrawals!A170="","",Agent10_Withdrawals!B170)</f>
        <v/>
      </c>
      <c r="D1963" s="43" t="str">
        <f>IF(Agent10_Withdrawals!A170="","",Agent10_Withdrawals!C170)</f>
        <v/>
      </c>
      <c r="E1963" s="41" t="str">
        <f>IF(Agent10_Withdrawals!A170="","",Agent10_Withdrawals!D170)</f>
        <v/>
      </c>
      <c r="F1963" s="40" t="str">
        <f>IF(Agent10_Withdrawals!A170="","",Agent10_Withdrawals!F170)</f>
        <v/>
      </c>
      <c r="G1963" s="42" t="str">
        <f>IF(Agent10_Withdrawals!A170="","",Agent10_Withdrawals!E170)</f>
        <v/>
      </c>
      <c r="H1963" s="42" t="str">
        <f>IF(Agent10_Withdrawals!A170="","",Agent10_Withdrawals!G170)</f>
        <v/>
      </c>
      <c r="I1963" s="40" t="str">
        <f>IF(Agent10_Withdrawals!A170="","",Agent10_Withdrawals!H170)</f>
        <v/>
      </c>
      <c r="J1963" s="40" t="str">
        <f>IF(Agent10_Withdrawals!A170="","",Agent10_Withdrawals!J170)</f>
        <v/>
      </c>
      <c r="K1963" s="40" t="str">
        <f>IF(Agent10_Withdrawals!A170="","",Agent10_Withdrawals!K170)</f>
        <v/>
      </c>
      <c r="L1963" s="40" t="str">
        <f>IF(G1963="","",IF(D1963-G1963&gt;=System_Config!$B$9,"✅ OK","⚠️ BREACH"))</f>
        <v/>
      </c>
      <c r="M1963" s="40" t="str">
        <f>IFERROR(IF(Agent10_Withdrawals!A170="","",YEAR(Agent10_Withdrawals!D170)),"")</f>
        <v/>
      </c>
    </row>
    <row r="1964" spans="1:13" ht="18" customHeight="1" x14ac:dyDescent="0.25">
      <c r="A1964" s="40" t="str">
        <f>IF(Agent10_Withdrawals!A171="","",Agent10_Withdrawals!A171)</f>
        <v/>
      </c>
      <c r="B1964" s="40" t="str">
        <f ca="1">IF(Agent10_Withdrawals!A171="","","WD"&amp;TEXT(1964-3,"0000")&amp;"-"&amp;TEXT(TODAY(),"YYYYMMDD"))</f>
        <v/>
      </c>
      <c r="C1964" s="40" t="str">
        <f>IF(Agent10_Withdrawals!A171="","",Agent10_Withdrawals!B171)</f>
        <v/>
      </c>
      <c r="D1964" s="43" t="str">
        <f>IF(Agent10_Withdrawals!A171="","",Agent10_Withdrawals!C171)</f>
        <v/>
      </c>
      <c r="E1964" s="41" t="str">
        <f>IF(Agent10_Withdrawals!A171="","",Agent10_Withdrawals!D171)</f>
        <v/>
      </c>
      <c r="F1964" s="40" t="str">
        <f>IF(Agent10_Withdrawals!A171="","",Agent10_Withdrawals!F171)</f>
        <v/>
      </c>
      <c r="G1964" s="42" t="str">
        <f>IF(Agent10_Withdrawals!A171="","",Agent10_Withdrawals!E171)</f>
        <v/>
      </c>
      <c r="H1964" s="42" t="str">
        <f>IF(Agent10_Withdrawals!A171="","",Agent10_Withdrawals!G171)</f>
        <v/>
      </c>
      <c r="I1964" s="40" t="str">
        <f>IF(Agent10_Withdrawals!A171="","",Agent10_Withdrawals!H171)</f>
        <v/>
      </c>
      <c r="J1964" s="40" t="str">
        <f>IF(Agent10_Withdrawals!A171="","",Agent10_Withdrawals!J171)</f>
        <v/>
      </c>
      <c r="K1964" s="40" t="str">
        <f>IF(Agent10_Withdrawals!A171="","",Agent10_Withdrawals!K171)</f>
        <v/>
      </c>
      <c r="L1964" s="40" t="str">
        <f>IF(G1964="","",IF(D1964-G1964&gt;=System_Config!$B$9,"✅ OK","⚠️ BREACH"))</f>
        <v/>
      </c>
      <c r="M1964" s="40" t="str">
        <f>IFERROR(IF(Agent10_Withdrawals!A171="","",YEAR(Agent10_Withdrawals!D171)),"")</f>
        <v/>
      </c>
    </row>
    <row r="1965" spans="1:13" ht="18" customHeight="1" x14ac:dyDescent="0.25">
      <c r="A1965" s="40" t="str">
        <f>IF(Agent10_Withdrawals!A172="","",Agent10_Withdrawals!A172)</f>
        <v/>
      </c>
      <c r="B1965" s="40" t="str">
        <f ca="1">IF(Agent10_Withdrawals!A172="","","WD"&amp;TEXT(1965-3,"0000")&amp;"-"&amp;TEXT(TODAY(),"YYYYMMDD"))</f>
        <v/>
      </c>
      <c r="C1965" s="40" t="str">
        <f>IF(Agent10_Withdrawals!A172="","",Agent10_Withdrawals!B172)</f>
        <v/>
      </c>
      <c r="D1965" s="43" t="str">
        <f>IF(Agent10_Withdrawals!A172="","",Agent10_Withdrawals!C172)</f>
        <v/>
      </c>
      <c r="E1965" s="41" t="str">
        <f>IF(Agent10_Withdrawals!A172="","",Agent10_Withdrawals!D172)</f>
        <v/>
      </c>
      <c r="F1965" s="40" t="str">
        <f>IF(Agent10_Withdrawals!A172="","",Agent10_Withdrawals!F172)</f>
        <v/>
      </c>
      <c r="G1965" s="42" t="str">
        <f>IF(Agent10_Withdrawals!A172="","",Agent10_Withdrawals!E172)</f>
        <v/>
      </c>
      <c r="H1965" s="42" t="str">
        <f>IF(Agent10_Withdrawals!A172="","",Agent10_Withdrawals!G172)</f>
        <v/>
      </c>
      <c r="I1965" s="40" t="str">
        <f>IF(Agent10_Withdrawals!A172="","",Agent10_Withdrawals!H172)</f>
        <v/>
      </c>
      <c r="J1965" s="40" t="str">
        <f>IF(Agent10_Withdrawals!A172="","",Agent10_Withdrawals!J172)</f>
        <v/>
      </c>
      <c r="K1965" s="40" t="str">
        <f>IF(Agent10_Withdrawals!A172="","",Agent10_Withdrawals!K172)</f>
        <v/>
      </c>
      <c r="L1965" s="40" t="str">
        <f>IF(G1965="","",IF(D1965-G1965&gt;=System_Config!$B$9,"✅ OK","⚠️ BREACH"))</f>
        <v/>
      </c>
      <c r="M1965" s="40" t="str">
        <f>IFERROR(IF(Agent10_Withdrawals!A172="","",YEAR(Agent10_Withdrawals!D172)),"")</f>
        <v/>
      </c>
    </row>
    <row r="1966" spans="1:13" ht="18" customHeight="1" x14ac:dyDescent="0.25">
      <c r="A1966" s="40" t="str">
        <f>IF(Agent10_Withdrawals!A173="","",Agent10_Withdrawals!A173)</f>
        <v/>
      </c>
      <c r="B1966" s="40" t="str">
        <f ca="1">IF(Agent10_Withdrawals!A173="","","WD"&amp;TEXT(1966-3,"0000")&amp;"-"&amp;TEXT(TODAY(),"YYYYMMDD"))</f>
        <v/>
      </c>
      <c r="C1966" s="40" t="str">
        <f>IF(Agent10_Withdrawals!A173="","",Agent10_Withdrawals!B173)</f>
        <v/>
      </c>
      <c r="D1966" s="43" t="str">
        <f>IF(Agent10_Withdrawals!A173="","",Agent10_Withdrawals!C173)</f>
        <v/>
      </c>
      <c r="E1966" s="41" t="str">
        <f>IF(Agent10_Withdrawals!A173="","",Agent10_Withdrawals!D173)</f>
        <v/>
      </c>
      <c r="F1966" s="40" t="str">
        <f>IF(Agent10_Withdrawals!A173="","",Agent10_Withdrawals!F173)</f>
        <v/>
      </c>
      <c r="G1966" s="42" t="str">
        <f>IF(Agent10_Withdrawals!A173="","",Agent10_Withdrawals!E173)</f>
        <v/>
      </c>
      <c r="H1966" s="42" t="str">
        <f>IF(Agent10_Withdrawals!A173="","",Agent10_Withdrawals!G173)</f>
        <v/>
      </c>
      <c r="I1966" s="40" t="str">
        <f>IF(Agent10_Withdrawals!A173="","",Agent10_Withdrawals!H173)</f>
        <v/>
      </c>
      <c r="J1966" s="40" t="str">
        <f>IF(Agent10_Withdrawals!A173="","",Agent10_Withdrawals!J173)</f>
        <v/>
      </c>
      <c r="K1966" s="40" t="str">
        <f>IF(Agent10_Withdrawals!A173="","",Agent10_Withdrawals!K173)</f>
        <v/>
      </c>
      <c r="L1966" s="40" t="str">
        <f>IF(G1966="","",IF(D1966-G1966&gt;=System_Config!$B$9,"✅ OK","⚠️ BREACH"))</f>
        <v/>
      </c>
      <c r="M1966" s="40" t="str">
        <f>IFERROR(IF(Agent10_Withdrawals!A173="","",YEAR(Agent10_Withdrawals!D173)),"")</f>
        <v/>
      </c>
    </row>
    <row r="1967" spans="1:13" ht="18" customHeight="1" x14ac:dyDescent="0.25">
      <c r="A1967" s="40" t="str">
        <f>IF(Agent10_Withdrawals!A174="","",Agent10_Withdrawals!A174)</f>
        <v/>
      </c>
      <c r="B1967" s="40" t="str">
        <f ca="1">IF(Agent10_Withdrawals!A174="","","WD"&amp;TEXT(1967-3,"0000")&amp;"-"&amp;TEXT(TODAY(),"YYYYMMDD"))</f>
        <v/>
      </c>
      <c r="C1967" s="40" t="str">
        <f>IF(Agent10_Withdrawals!A174="","",Agent10_Withdrawals!B174)</f>
        <v/>
      </c>
      <c r="D1967" s="43" t="str">
        <f>IF(Agent10_Withdrawals!A174="","",Agent10_Withdrawals!C174)</f>
        <v/>
      </c>
      <c r="E1967" s="41" t="str">
        <f>IF(Agent10_Withdrawals!A174="","",Agent10_Withdrawals!D174)</f>
        <v/>
      </c>
      <c r="F1967" s="40" t="str">
        <f>IF(Agent10_Withdrawals!A174="","",Agent10_Withdrawals!F174)</f>
        <v/>
      </c>
      <c r="G1967" s="42" t="str">
        <f>IF(Agent10_Withdrawals!A174="","",Agent10_Withdrawals!E174)</f>
        <v/>
      </c>
      <c r="H1967" s="42" t="str">
        <f>IF(Agent10_Withdrawals!A174="","",Agent10_Withdrawals!G174)</f>
        <v/>
      </c>
      <c r="I1967" s="40" t="str">
        <f>IF(Agent10_Withdrawals!A174="","",Agent10_Withdrawals!H174)</f>
        <v/>
      </c>
      <c r="J1967" s="40" t="str">
        <f>IF(Agent10_Withdrawals!A174="","",Agent10_Withdrawals!J174)</f>
        <v/>
      </c>
      <c r="K1967" s="40" t="str">
        <f>IF(Agent10_Withdrawals!A174="","",Agent10_Withdrawals!K174)</f>
        <v/>
      </c>
      <c r="L1967" s="40" t="str">
        <f>IF(G1967="","",IF(D1967-G1967&gt;=System_Config!$B$9,"✅ OK","⚠️ BREACH"))</f>
        <v/>
      </c>
      <c r="M1967" s="40" t="str">
        <f>IFERROR(IF(Agent10_Withdrawals!A174="","",YEAR(Agent10_Withdrawals!D174)),"")</f>
        <v/>
      </c>
    </row>
    <row r="1968" spans="1:13" ht="18" customHeight="1" x14ac:dyDescent="0.25">
      <c r="A1968" s="40" t="str">
        <f>IF(Agent10_Withdrawals!A175="","",Agent10_Withdrawals!A175)</f>
        <v/>
      </c>
      <c r="B1968" s="40" t="str">
        <f ca="1">IF(Agent10_Withdrawals!A175="","","WD"&amp;TEXT(1968-3,"0000")&amp;"-"&amp;TEXT(TODAY(),"YYYYMMDD"))</f>
        <v/>
      </c>
      <c r="C1968" s="40" t="str">
        <f>IF(Agent10_Withdrawals!A175="","",Agent10_Withdrawals!B175)</f>
        <v/>
      </c>
      <c r="D1968" s="43" t="str">
        <f>IF(Agent10_Withdrawals!A175="","",Agent10_Withdrawals!C175)</f>
        <v/>
      </c>
      <c r="E1968" s="41" t="str">
        <f>IF(Agent10_Withdrawals!A175="","",Agent10_Withdrawals!D175)</f>
        <v/>
      </c>
      <c r="F1968" s="40" t="str">
        <f>IF(Agent10_Withdrawals!A175="","",Agent10_Withdrawals!F175)</f>
        <v/>
      </c>
      <c r="G1968" s="42" t="str">
        <f>IF(Agent10_Withdrawals!A175="","",Agent10_Withdrawals!E175)</f>
        <v/>
      </c>
      <c r="H1968" s="42" t="str">
        <f>IF(Agent10_Withdrawals!A175="","",Agent10_Withdrawals!G175)</f>
        <v/>
      </c>
      <c r="I1968" s="40" t="str">
        <f>IF(Agent10_Withdrawals!A175="","",Agent10_Withdrawals!H175)</f>
        <v/>
      </c>
      <c r="J1968" s="40" t="str">
        <f>IF(Agent10_Withdrawals!A175="","",Agent10_Withdrawals!J175)</f>
        <v/>
      </c>
      <c r="K1968" s="40" t="str">
        <f>IF(Agent10_Withdrawals!A175="","",Agent10_Withdrawals!K175)</f>
        <v/>
      </c>
      <c r="L1968" s="40" t="str">
        <f>IF(G1968="","",IF(D1968-G1968&gt;=System_Config!$B$9,"✅ OK","⚠️ BREACH"))</f>
        <v/>
      </c>
      <c r="M1968" s="40" t="str">
        <f>IFERROR(IF(Agent10_Withdrawals!A175="","",YEAR(Agent10_Withdrawals!D175)),"")</f>
        <v/>
      </c>
    </row>
    <row r="1969" spans="1:13" ht="18" customHeight="1" x14ac:dyDescent="0.25">
      <c r="A1969" s="40" t="str">
        <f>IF(Agent10_Withdrawals!A176="","",Agent10_Withdrawals!A176)</f>
        <v/>
      </c>
      <c r="B1969" s="40" t="str">
        <f ca="1">IF(Agent10_Withdrawals!A176="","","WD"&amp;TEXT(1969-3,"0000")&amp;"-"&amp;TEXT(TODAY(),"YYYYMMDD"))</f>
        <v/>
      </c>
      <c r="C1969" s="40" t="str">
        <f>IF(Agent10_Withdrawals!A176="","",Agent10_Withdrawals!B176)</f>
        <v/>
      </c>
      <c r="D1969" s="43" t="str">
        <f>IF(Agent10_Withdrawals!A176="","",Agent10_Withdrawals!C176)</f>
        <v/>
      </c>
      <c r="E1969" s="41" t="str">
        <f>IF(Agent10_Withdrawals!A176="","",Agent10_Withdrawals!D176)</f>
        <v/>
      </c>
      <c r="F1969" s="40" t="str">
        <f>IF(Agent10_Withdrawals!A176="","",Agent10_Withdrawals!F176)</f>
        <v/>
      </c>
      <c r="G1969" s="42" t="str">
        <f>IF(Agent10_Withdrawals!A176="","",Agent10_Withdrawals!E176)</f>
        <v/>
      </c>
      <c r="H1969" s="42" t="str">
        <f>IF(Agent10_Withdrawals!A176="","",Agent10_Withdrawals!G176)</f>
        <v/>
      </c>
      <c r="I1969" s="40" t="str">
        <f>IF(Agent10_Withdrawals!A176="","",Agent10_Withdrawals!H176)</f>
        <v/>
      </c>
      <c r="J1969" s="40" t="str">
        <f>IF(Agent10_Withdrawals!A176="","",Agent10_Withdrawals!J176)</f>
        <v/>
      </c>
      <c r="K1969" s="40" t="str">
        <f>IF(Agent10_Withdrawals!A176="","",Agent10_Withdrawals!K176)</f>
        <v/>
      </c>
      <c r="L1969" s="40" t="str">
        <f>IF(G1969="","",IF(D1969-G1969&gt;=System_Config!$B$9,"✅ OK","⚠️ BREACH"))</f>
        <v/>
      </c>
      <c r="M1969" s="40" t="str">
        <f>IFERROR(IF(Agent10_Withdrawals!A176="","",YEAR(Agent10_Withdrawals!D176)),"")</f>
        <v/>
      </c>
    </row>
    <row r="1970" spans="1:13" ht="18" customHeight="1" x14ac:dyDescent="0.25">
      <c r="A1970" s="40" t="str">
        <f>IF(Agent10_Withdrawals!A177="","",Agent10_Withdrawals!A177)</f>
        <v/>
      </c>
      <c r="B1970" s="40" t="str">
        <f ca="1">IF(Agent10_Withdrawals!A177="","","WD"&amp;TEXT(1970-3,"0000")&amp;"-"&amp;TEXT(TODAY(),"YYYYMMDD"))</f>
        <v/>
      </c>
      <c r="C1970" s="40" t="str">
        <f>IF(Agent10_Withdrawals!A177="","",Agent10_Withdrawals!B177)</f>
        <v/>
      </c>
      <c r="D1970" s="43" t="str">
        <f>IF(Agent10_Withdrawals!A177="","",Agent10_Withdrawals!C177)</f>
        <v/>
      </c>
      <c r="E1970" s="41" t="str">
        <f>IF(Agent10_Withdrawals!A177="","",Agent10_Withdrawals!D177)</f>
        <v/>
      </c>
      <c r="F1970" s="40" t="str">
        <f>IF(Agent10_Withdrawals!A177="","",Agent10_Withdrawals!F177)</f>
        <v/>
      </c>
      <c r="G1970" s="42" t="str">
        <f>IF(Agent10_Withdrawals!A177="","",Agent10_Withdrawals!E177)</f>
        <v/>
      </c>
      <c r="H1970" s="42" t="str">
        <f>IF(Agent10_Withdrawals!A177="","",Agent10_Withdrawals!G177)</f>
        <v/>
      </c>
      <c r="I1970" s="40" t="str">
        <f>IF(Agent10_Withdrawals!A177="","",Agent10_Withdrawals!H177)</f>
        <v/>
      </c>
      <c r="J1970" s="40" t="str">
        <f>IF(Agent10_Withdrawals!A177="","",Agent10_Withdrawals!J177)</f>
        <v/>
      </c>
      <c r="K1970" s="40" t="str">
        <f>IF(Agent10_Withdrawals!A177="","",Agent10_Withdrawals!K177)</f>
        <v/>
      </c>
      <c r="L1970" s="40" t="str">
        <f>IF(G1970="","",IF(D1970-G1970&gt;=System_Config!$B$9,"✅ OK","⚠️ BREACH"))</f>
        <v/>
      </c>
      <c r="M1970" s="40" t="str">
        <f>IFERROR(IF(Agent10_Withdrawals!A177="","",YEAR(Agent10_Withdrawals!D177)),"")</f>
        <v/>
      </c>
    </row>
    <row r="1971" spans="1:13" ht="18" customHeight="1" x14ac:dyDescent="0.25">
      <c r="A1971" s="40" t="str">
        <f>IF(Agent10_Withdrawals!A178="","",Agent10_Withdrawals!A178)</f>
        <v/>
      </c>
      <c r="B1971" s="40" t="str">
        <f ca="1">IF(Agent10_Withdrawals!A178="","","WD"&amp;TEXT(1971-3,"0000")&amp;"-"&amp;TEXT(TODAY(),"YYYYMMDD"))</f>
        <v/>
      </c>
      <c r="C1971" s="40" t="str">
        <f>IF(Agent10_Withdrawals!A178="","",Agent10_Withdrawals!B178)</f>
        <v/>
      </c>
      <c r="D1971" s="43" t="str">
        <f>IF(Agent10_Withdrawals!A178="","",Agent10_Withdrawals!C178)</f>
        <v/>
      </c>
      <c r="E1971" s="41" t="str">
        <f>IF(Agent10_Withdrawals!A178="","",Agent10_Withdrawals!D178)</f>
        <v/>
      </c>
      <c r="F1971" s="40" t="str">
        <f>IF(Agent10_Withdrawals!A178="","",Agent10_Withdrawals!F178)</f>
        <v/>
      </c>
      <c r="G1971" s="42" t="str">
        <f>IF(Agent10_Withdrawals!A178="","",Agent10_Withdrawals!E178)</f>
        <v/>
      </c>
      <c r="H1971" s="42" t="str">
        <f>IF(Agent10_Withdrawals!A178="","",Agent10_Withdrawals!G178)</f>
        <v/>
      </c>
      <c r="I1971" s="40" t="str">
        <f>IF(Agent10_Withdrawals!A178="","",Agent10_Withdrawals!H178)</f>
        <v/>
      </c>
      <c r="J1971" s="40" t="str">
        <f>IF(Agent10_Withdrawals!A178="","",Agent10_Withdrawals!J178)</f>
        <v/>
      </c>
      <c r="K1971" s="40" t="str">
        <f>IF(Agent10_Withdrawals!A178="","",Agent10_Withdrawals!K178)</f>
        <v/>
      </c>
      <c r="L1971" s="40" t="str">
        <f>IF(G1971="","",IF(D1971-G1971&gt;=System_Config!$B$9,"✅ OK","⚠️ BREACH"))</f>
        <v/>
      </c>
      <c r="M1971" s="40" t="str">
        <f>IFERROR(IF(Agent10_Withdrawals!A178="","",YEAR(Agent10_Withdrawals!D178)),"")</f>
        <v/>
      </c>
    </row>
    <row r="1972" spans="1:13" ht="18" customHeight="1" x14ac:dyDescent="0.25">
      <c r="A1972" s="40" t="str">
        <f>IF(Agent10_Withdrawals!A179="","",Agent10_Withdrawals!A179)</f>
        <v/>
      </c>
      <c r="B1972" s="40" t="str">
        <f ca="1">IF(Agent10_Withdrawals!A179="","","WD"&amp;TEXT(1972-3,"0000")&amp;"-"&amp;TEXT(TODAY(),"YYYYMMDD"))</f>
        <v/>
      </c>
      <c r="C1972" s="40" t="str">
        <f>IF(Agent10_Withdrawals!A179="","",Agent10_Withdrawals!B179)</f>
        <v/>
      </c>
      <c r="D1972" s="43" t="str">
        <f>IF(Agent10_Withdrawals!A179="","",Agent10_Withdrawals!C179)</f>
        <v/>
      </c>
      <c r="E1972" s="41" t="str">
        <f>IF(Agent10_Withdrawals!A179="","",Agent10_Withdrawals!D179)</f>
        <v/>
      </c>
      <c r="F1972" s="40" t="str">
        <f>IF(Agent10_Withdrawals!A179="","",Agent10_Withdrawals!F179)</f>
        <v/>
      </c>
      <c r="G1972" s="42" t="str">
        <f>IF(Agent10_Withdrawals!A179="","",Agent10_Withdrawals!E179)</f>
        <v/>
      </c>
      <c r="H1972" s="42" t="str">
        <f>IF(Agent10_Withdrawals!A179="","",Agent10_Withdrawals!G179)</f>
        <v/>
      </c>
      <c r="I1972" s="40" t="str">
        <f>IF(Agent10_Withdrawals!A179="","",Agent10_Withdrawals!H179)</f>
        <v/>
      </c>
      <c r="J1972" s="40" t="str">
        <f>IF(Agent10_Withdrawals!A179="","",Agent10_Withdrawals!J179)</f>
        <v/>
      </c>
      <c r="K1972" s="40" t="str">
        <f>IF(Agent10_Withdrawals!A179="","",Agent10_Withdrawals!K179)</f>
        <v/>
      </c>
      <c r="L1972" s="40" t="str">
        <f>IF(G1972="","",IF(D1972-G1972&gt;=System_Config!$B$9,"✅ OK","⚠️ BREACH"))</f>
        <v/>
      </c>
      <c r="M1972" s="40" t="str">
        <f>IFERROR(IF(Agent10_Withdrawals!A179="","",YEAR(Agent10_Withdrawals!D179)),"")</f>
        <v/>
      </c>
    </row>
    <row r="1973" spans="1:13" ht="18" customHeight="1" x14ac:dyDescent="0.25">
      <c r="A1973" s="40" t="str">
        <f>IF(Agent10_Withdrawals!A180="","",Agent10_Withdrawals!A180)</f>
        <v/>
      </c>
      <c r="B1973" s="40" t="str">
        <f ca="1">IF(Agent10_Withdrawals!A180="","","WD"&amp;TEXT(1973-3,"0000")&amp;"-"&amp;TEXT(TODAY(),"YYYYMMDD"))</f>
        <v/>
      </c>
      <c r="C1973" s="40" t="str">
        <f>IF(Agent10_Withdrawals!A180="","",Agent10_Withdrawals!B180)</f>
        <v/>
      </c>
      <c r="D1973" s="43" t="str">
        <f>IF(Agent10_Withdrawals!A180="","",Agent10_Withdrawals!C180)</f>
        <v/>
      </c>
      <c r="E1973" s="41" t="str">
        <f>IF(Agent10_Withdrawals!A180="","",Agent10_Withdrawals!D180)</f>
        <v/>
      </c>
      <c r="F1973" s="40" t="str">
        <f>IF(Agent10_Withdrawals!A180="","",Agent10_Withdrawals!F180)</f>
        <v/>
      </c>
      <c r="G1973" s="42" t="str">
        <f>IF(Agent10_Withdrawals!A180="","",Agent10_Withdrawals!E180)</f>
        <v/>
      </c>
      <c r="H1973" s="42" t="str">
        <f>IF(Agent10_Withdrawals!A180="","",Agent10_Withdrawals!G180)</f>
        <v/>
      </c>
      <c r="I1973" s="40" t="str">
        <f>IF(Agent10_Withdrawals!A180="","",Agent10_Withdrawals!H180)</f>
        <v/>
      </c>
      <c r="J1973" s="40" t="str">
        <f>IF(Agent10_Withdrawals!A180="","",Agent10_Withdrawals!J180)</f>
        <v/>
      </c>
      <c r="K1973" s="40" t="str">
        <f>IF(Agent10_Withdrawals!A180="","",Agent10_Withdrawals!K180)</f>
        <v/>
      </c>
      <c r="L1973" s="40" t="str">
        <f>IF(G1973="","",IF(D1973-G1973&gt;=System_Config!$B$9,"✅ OK","⚠️ BREACH"))</f>
        <v/>
      </c>
      <c r="M1973" s="40" t="str">
        <f>IFERROR(IF(Agent10_Withdrawals!A180="","",YEAR(Agent10_Withdrawals!D180)),"")</f>
        <v/>
      </c>
    </row>
    <row r="1974" spans="1:13" ht="18" customHeight="1" x14ac:dyDescent="0.25">
      <c r="A1974" s="40" t="str">
        <f>IF(Agent10_Withdrawals!A181="","",Agent10_Withdrawals!A181)</f>
        <v/>
      </c>
      <c r="B1974" s="40" t="str">
        <f ca="1">IF(Agent10_Withdrawals!A181="","","WD"&amp;TEXT(1974-3,"0000")&amp;"-"&amp;TEXT(TODAY(),"YYYYMMDD"))</f>
        <v/>
      </c>
      <c r="C1974" s="40" t="str">
        <f>IF(Agent10_Withdrawals!A181="","",Agent10_Withdrawals!B181)</f>
        <v/>
      </c>
      <c r="D1974" s="43" t="str">
        <f>IF(Agent10_Withdrawals!A181="","",Agent10_Withdrawals!C181)</f>
        <v/>
      </c>
      <c r="E1974" s="41" t="str">
        <f>IF(Agent10_Withdrawals!A181="","",Agent10_Withdrawals!D181)</f>
        <v/>
      </c>
      <c r="F1974" s="40" t="str">
        <f>IF(Agent10_Withdrawals!A181="","",Agent10_Withdrawals!F181)</f>
        <v/>
      </c>
      <c r="G1974" s="42" t="str">
        <f>IF(Agent10_Withdrawals!A181="","",Agent10_Withdrawals!E181)</f>
        <v/>
      </c>
      <c r="H1974" s="42" t="str">
        <f>IF(Agent10_Withdrawals!A181="","",Agent10_Withdrawals!G181)</f>
        <v/>
      </c>
      <c r="I1974" s="40" t="str">
        <f>IF(Agent10_Withdrawals!A181="","",Agent10_Withdrawals!H181)</f>
        <v/>
      </c>
      <c r="J1974" s="40" t="str">
        <f>IF(Agent10_Withdrawals!A181="","",Agent10_Withdrawals!J181)</f>
        <v/>
      </c>
      <c r="K1974" s="40" t="str">
        <f>IF(Agent10_Withdrawals!A181="","",Agent10_Withdrawals!K181)</f>
        <v/>
      </c>
      <c r="L1974" s="40" t="str">
        <f>IF(G1974="","",IF(D1974-G1974&gt;=System_Config!$B$9,"✅ OK","⚠️ BREACH"))</f>
        <v/>
      </c>
      <c r="M1974" s="40" t="str">
        <f>IFERROR(IF(Agent10_Withdrawals!A181="","",YEAR(Agent10_Withdrawals!D181)),"")</f>
        <v/>
      </c>
    </row>
    <row r="1975" spans="1:13" ht="18" customHeight="1" x14ac:dyDescent="0.25">
      <c r="A1975" s="40" t="str">
        <f>IF(Agent10_Withdrawals!A182="","",Agent10_Withdrawals!A182)</f>
        <v/>
      </c>
      <c r="B1975" s="40" t="str">
        <f ca="1">IF(Agent10_Withdrawals!A182="","","WD"&amp;TEXT(1975-3,"0000")&amp;"-"&amp;TEXT(TODAY(),"YYYYMMDD"))</f>
        <v/>
      </c>
      <c r="C1975" s="40" t="str">
        <f>IF(Agent10_Withdrawals!A182="","",Agent10_Withdrawals!B182)</f>
        <v/>
      </c>
      <c r="D1975" s="43" t="str">
        <f>IF(Agent10_Withdrawals!A182="","",Agent10_Withdrawals!C182)</f>
        <v/>
      </c>
      <c r="E1975" s="41" t="str">
        <f>IF(Agent10_Withdrawals!A182="","",Agent10_Withdrawals!D182)</f>
        <v/>
      </c>
      <c r="F1975" s="40" t="str">
        <f>IF(Agent10_Withdrawals!A182="","",Agent10_Withdrawals!F182)</f>
        <v/>
      </c>
      <c r="G1975" s="42" t="str">
        <f>IF(Agent10_Withdrawals!A182="","",Agent10_Withdrawals!E182)</f>
        <v/>
      </c>
      <c r="H1975" s="42" t="str">
        <f>IF(Agent10_Withdrawals!A182="","",Agent10_Withdrawals!G182)</f>
        <v/>
      </c>
      <c r="I1975" s="40" t="str">
        <f>IF(Agent10_Withdrawals!A182="","",Agent10_Withdrawals!H182)</f>
        <v/>
      </c>
      <c r="J1975" s="40" t="str">
        <f>IF(Agent10_Withdrawals!A182="","",Agent10_Withdrawals!J182)</f>
        <v/>
      </c>
      <c r="K1975" s="40" t="str">
        <f>IF(Agent10_Withdrawals!A182="","",Agent10_Withdrawals!K182)</f>
        <v/>
      </c>
      <c r="L1975" s="40" t="str">
        <f>IF(G1975="","",IF(D1975-G1975&gt;=System_Config!$B$9,"✅ OK","⚠️ BREACH"))</f>
        <v/>
      </c>
      <c r="M1975" s="40" t="str">
        <f>IFERROR(IF(Agent10_Withdrawals!A182="","",YEAR(Agent10_Withdrawals!D182)),"")</f>
        <v/>
      </c>
    </row>
    <row r="1976" spans="1:13" ht="18" customHeight="1" x14ac:dyDescent="0.25">
      <c r="A1976" s="40" t="str">
        <f>IF(Agent10_Withdrawals!A183="","",Agent10_Withdrawals!A183)</f>
        <v/>
      </c>
      <c r="B1976" s="40" t="str">
        <f ca="1">IF(Agent10_Withdrawals!A183="","","WD"&amp;TEXT(1976-3,"0000")&amp;"-"&amp;TEXT(TODAY(),"YYYYMMDD"))</f>
        <v/>
      </c>
      <c r="C1976" s="40" t="str">
        <f>IF(Agent10_Withdrawals!A183="","",Agent10_Withdrawals!B183)</f>
        <v/>
      </c>
      <c r="D1976" s="43" t="str">
        <f>IF(Agent10_Withdrawals!A183="","",Agent10_Withdrawals!C183)</f>
        <v/>
      </c>
      <c r="E1976" s="41" t="str">
        <f>IF(Agent10_Withdrawals!A183="","",Agent10_Withdrawals!D183)</f>
        <v/>
      </c>
      <c r="F1976" s="40" t="str">
        <f>IF(Agent10_Withdrawals!A183="","",Agent10_Withdrawals!F183)</f>
        <v/>
      </c>
      <c r="G1976" s="42" t="str">
        <f>IF(Agent10_Withdrawals!A183="","",Agent10_Withdrawals!E183)</f>
        <v/>
      </c>
      <c r="H1976" s="42" t="str">
        <f>IF(Agent10_Withdrawals!A183="","",Agent10_Withdrawals!G183)</f>
        <v/>
      </c>
      <c r="I1976" s="40" t="str">
        <f>IF(Agent10_Withdrawals!A183="","",Agent10_Withdrawals!H183)</f>
        <v/>
      </c>
      <c r="J1976" s="40" t="str">
        <f>IF(Agent10_Withdrawals!A183="","",Agent10_Withdrawals!J183)</f>
        <v/>
      </c>
      <c r="K1976" s="40" t="str">
        <f>IF(Agent10_Withdrawals!A183="","",Agent10_Withdrawals!K183)</f>
        <v/>
      </c>
      <c r="L1976" s="40" t="str">
        <f>IF(G1976="","",IF(D1976-G1976&gt;=System_Config!$B$9,"✅ OK","⚠️ BREACH"))</f>
        <v/>
      </c>
      <c r="M1976" s="40" t="str">
        <f>IFERROR(IF(Agent10_Withdrawals!A183="","",YEAR(Agent10_Withdrawals!D183)),"")</f>
        <v/>
      </c>
    </row>
    <row r="1977" spans="1:13" ht="18" customHeight="1" x14ac:dyDescent="0.25">
      <c r="A1977" s="40" t="str">
        <f>IF(Agent10_Withdrawals!A184="","",Agent10_Withdrawals!A184)</f>
        <v/>
      </c>
      <c r="B1977" s="40" t="str">
        <f ca="1">IF(Agent10_Withdrawals!A184="","","WD"&amp;TEXT(1977-3,"0000")&amp;"-"&amp;TEXT(TODAY(),"YYYYMMDD"))</f>
        <v/>
      </c>
      <c r="C1977" s="40" t="str">
        <f>IF(Agent10_Withdrawals!A184="","",Agent10_Withdrawals!B184)</f>
        <v/>
      </c>
      <c r="D1977" s="43" t="str">
        <f>IF(Agent10_Withdrawals!A184="","",Agent10_Withdrawals!C184)</f>
        <v/>
      </c>
      <c r="E1977" s="41" t="str">
        <f>IF(Agent10_Withdrawals!A184="","",Agent10_Withdrawals!D184)</f>
        <v/>
      </c>
      <c r="F1977" s="40" t="str">
        <f>IF(Agent10_Withdrawals!A184="","",Agent10_Withdrawals!F184)</f>
        <v/>
      </c>
      <c r="G1977" s="42" t="str">
        <f>IF(Agent10_Withdrawals!A184="","",Agent10_Withdrawals!E184)</f>
        <v/>
      </c>
      <c r="H1977" s="42" t="str">
        <f>IF(Agent10_Withdrawals!A184="","",Agent10_Withdrawals!G184)</f>
        <v/>
      </c>
      <c r="I1977" s="40" t="str">
        <f>IF(Agent10_Withdrawals!A184="","",Agent10_Withdrawals!H184)</f>
        <v/>
      </c>
      <c r="J1977" s="40" t="str">
        <f>IF(Agent10_Withdrawals!A184="","",Agent10_Withdrawals!J184)</f>
        <v/>
      </c>
      <c r="K1977" s="40" t="str">
        <f>IF(Agent10_Withdrawals!A184="","",Agent10_Withdrawals!K184)</f>
        <v/>
      </c>
      <c r="L1977" s="40" t="str">
        <f>IF(G1977="","",IF(D1977-G1977&gt;=System_Config!$B$9,"✅ OK","⚠️ BREACH"))</f>
        <v/>
      </c>
      <c r="M1977" s="40" t="str">
        <f>IFERROR(IF(Agent10_Withdrawals!A184="","",YEAR(Agent10_Withdrawals!D184)),"")</f>
        <v/>
      </c>
    </row>
    <row r="1978" spans="1:13" ht="18" customHeight="1" x14ac:dyDescent="0.25">
      <c r="A1978" s="40" t="str">
        <f>IF(Agent10_Withdrawals!A185="","",Agent10_Withdrawals!A185)</f>
        <v/>
      </c>
      <c r="B1978" s="40" t="str">
        <f ca="1">IF(Agent10_Withdrawals!A185="","","WD"&amp;TEXT(1978-3,"0000")&amp;"-"&amp;TEXT(TODAY(),"YYYYMMDD"))</f>
        <v/>
      </c>
      <c r="C1978" s="40" t="str">
        <f>IF(Agent10_Withdrawals!A185="","",Agent10_Withdrawals!B185)</f>
        <v/>
      </c>
      <c r="D1978" s="43" t="str">
        <f>IF(Agent10_Withdrawals!A185="","",Agent10_Withdrawals!C185)</f>
        <v/>
      </c>
      <c r="E1978" s="41" t="str">
        <f>IF(Agent10_Withdrawals!A185="","",Agent10_Withdrawals!D185)</f>
        <v/>
      </c>
      <c r="F1978" s="40" t="str">
        <f>IF(Agent10_Withdrawals!A185="","",Agent10_Withdrawals!F185)</f>
        <v/>
      </c>
      <c r="G1978" s="42" t="str">
        <f>IF(Agent10_Withdrawals!A185="","",Agent10_Withdrawals!E185)</f>
        <v/>
      </c>
      <c r="H1978" s="42" t="str">
        <f>IF(Agent10_Withdrawals!A185="","",Agent10_Withdrawals!G185)</f>
        <v/>
      </c>
      <c r="I1978" s="40" t="str">
        <f>IF(Agent10_Withdrawals!A185="","",Agent10_Withdrawals!H185)</f>
        <v/>
      </c>
      <c r="J1978" s="40" t="str">
        <f>IF(Agent10_Withdrawals!A185="","",Agent10_Withdrawals!J185)</f>
        <v/>
      </c>
      <c r="K1978" s="40" t="str">
        <f>IF(Agent10_Withdrawals!A185="","",Agent10_Withdrawals!K185)</f>
        <v/>
      </c>
      <c r="L1978" s="40" t="str">
        <f>IF(G1978="","",IF(D1978-G1978&gt;=System_Config!$B$9,"✅ OK","⚠️ BREACH"))</f>
        <v/>
      </c>
      <c r="M1978" s="40" t="str">
        <f>IFERROR(IF(Agent10_Withdrawals!A185="","",YEAR(Agent10_Withdrawals!D185)),"")</f>
        <v/>
      </c>
    </row>
    <row r="1979" spans="1:13" ht="18" customHeight="1" x14ac:dyDescent="0.25">
      <c r="A1979" s="40" t="str">
        <f>IF(Agent10_Withdrawals!A186="","",Agent10_Withdrawals!A186)</f>
        <v/>
      </c>
      <c r="B1979" s="40" t="str">
        <f ca="1">IF(Agent10_Withdrawals!A186="","","WD"&amp;TEXT(1979-3,"0000")&amp;"-"&amp;TEXT(TODAY(),"YYYYMMDD"))</f>
        <v/>
      </c>
      <c r="C1979" s="40" t="str">
        <f>IF(Agent10_Withdrawals!A186="","",Agent10_Withdrawals!B186)</f>
        <v/>
      </c>
      <c r="D1979" s="43" t="str">
        <f>IF(Agent10_Withdrawals!A186="","",Agent10_Withdrawals!C186)</f>
        <v/>
      </c>
      <c r="E1979" s="41" t="str">
        <f>IF(Agent10_Withdrawals!A186="","",Agent10_Withdrawals!D186)</f>
        <v/>
      </c>
      <c r="F1979" s="40" t="str">
        <f>IF(Agent10_Withdrawals!A186="","",Agent10_Withdrawals!F186)</f>
        <v/>
      </c>
      <c r="G1979" s="42" t="str">
        <f>IF(Agent10_Withdrawals!A186="","",Agent10_Withdrawals!E186)</f>
        <v/>
      </c>
      <c r="H1979" s="42" t="str">
        <f>IF(Agent10_Withdrawals!A186="","",Agent10_Withdrawals!G186)</f>
        <v/>
      </c>
      <c r="I1979" s="40" t="str">
        <f>IF(Agent10_Withdrawals!A186="","",Agent10_Withdrawals!H186)</f>
        <v/>
      </c>
      <c r="J1979" s="40" t="str">
        <f>IF(Agent10_Withdrawals!A186="","",Agent10_Withdrawals!J186)</f>
        <v/>
      </c>
      <c r="K1979" s="40" t="str">
        <f>IF(Agent10_Withdrawals!A186="","",Agent10_Withdrawals!K186)</f>
        <v/>
      </c>
      <c r="L1979" s="40" t="str">
        <f>IF(G1979="","",IF(D1979-G1979&gt;=System_Config!$B$9,"✅ OK","⚠️ BREACH"))</f>
        <v/>
      </c>
      <c r="M1979" s="40" t="str">
        <f>IFERROR(IF(Agent10_Withdrawals!A186="","",YEAR(Agent10_Withdrawals!D186)),"")</f>
        <v/>
      </c>
    </row>
    <row r="1980" spans="1:13" ht="18" customHeight="1" x14ac:dyDescent="0.25">
      <c r="A1980" s="40" t="str">
        <f>IF(Agent10_Withdrawals!A187="","",Agent10_Withdrawals!A187)</f>
        <v/>
      </c>
      <c r="B1980" s="40" t="str">
        <f ca="1">IF(Agent10_Withdrawals!A187="","","WD"&amp;TEXT(1980-3,"0000")&amp;"-"&amp;TEXT(TODAY(),"YYYYMMDD"))</f>
        <v/>
      </c>
      <c r="C1980" s="40" t="str">
        <f>IF(Agent10_Withdrawals!A187="","",Agent10_Withdrawals!B187)</f>
        <v/>
      </c>
      <c r="D1980" s="43" t="str">
        <f>IF(Agent10_Withdrawals!A187="","",Agent10_Withdrawals!C187)</f>
        <v/>
      </c>
      <c r="E1980" s="41" t="str">
        <f>IF(Agent10_Withdrawals!A187="","",Agent10_Withdrawals!D187)</f>
        <v/>
      </c>
      <c r="F1980" s="40" t="str">
        <f>IF(Agent10_Withdrawals!A187="","",Agent10_Withdrawals!F187)</f>
        <v/>
      </c>
      <c r="G1980" s="42" t="str">
        <f>IF(Agent10_Withdrawals!A187="","",Agent10_Withdrawals!E187)</f>
        <v/>
      </c>
      <c r="H1980" s="42" t="str">
        <f>IF(Agent10_Withdrawals!A187="","",Agent10_Withdrawals!G187)</f>
        <v/>
      </c>
      <c r="I1980" s="40" t="str">
        <f>IF(Agent10_Withdrawals!A187="","",Agent10_Withdrawals!H187)</f>
        <v/>
      </c>
      <c r="J1980" s="40" t="str">
        <f>IF(Agent10_Withdrawals!A187="","",Agent10_Withdrawals!J187)</f>
        <v/>
      </c>
      <c r="K1980" s="40" t="str">
        <f>IF(Agent10_Withdrawals!A187="","",Agent10_Withdrawals!K187)</f>
        <v/>
      </c>
      <c r="L1980" s="40" t="str">
        <f>IF(G1980="","",IF(D1980-G1980&gt;=System_Config!$B$9,"✅ OK","⚠️ BREACH"))</f>
        <v/>
      </c>
      <c r="M1980" s="40" t="str">
        <f>IFERROR(IF(Agent10_Withdrawals!A187="","",YEAR(Agent10_Withdrawals!D187)),"")</f>
        <v/>
      </c>
    </row>
    <row r="1981" spans="1:13" ht="18" customHeight="1" x14ac:dyDescent="0.25">
      <c r="A1981" s="40" t="str">
        <f>IF(Agent10_Withdrawals!A188="","",Agent10_Withdrawals!A188)</f>
        <v/>
      </c>
      <c r="B1981" s="40" t="str">
        <f ca="1">IF(Agent10_Withdrawals!A188="","","WD"&amp;TEXT(1981-3,"0000")&amp;"-"&amp;TEXT(TODAY(),"YYYYMMDD"))</f>
        <v/>
      </c>
      <c r="C1981" s="40" t="str">
        <f>IF(Agent10_Withdrawals!A188="","",Agent10_Withdrawals!B188)</f>
        <v/>
      </c>
      <c r="D1981" s="43" t="str">
        <f>IF(Agent10_Withdrawals!A188="","",Agent10_Withdrawals!C188)</f>
        <v/>
      </c>
      <c r="E1981" s="41" t="str">
        <f>IF(Agent10_Withdrawals!A188="","",Agent10_Withdrawals!D188)</f>
        <v/>
      </c>
      <c r="F1981" s="40" t="str">
        <f>IF(Agent10_Withdrawals!A188="","",Agent10_Withdrawals!F188)</f>
        <v/>
      </c>
      <c r="G1981" s="42" t="str">
        <f>IF(Agent10_Withdrawals!A188="","",Agent10_Withdrawals!E188)</f>
        <v/>
      </c>
      <c r="H1981" s="42" t="str">
        <f>IF(Agent10_Withdrawals!A188="","",Agent10_Withdrawals!G188)</f>
        <v/>
      </c>
      <c r="I1981" s="40" t="str">
        <f>IF(Agent10_Withdrawals!A188="","",Agent10_Withdrawals!H188)</f>
        <v/>
      </c>
      <c r="J1981" s="40" t="str">
        <f>IF(Agent10_Withdrawals!A188="","",Agent10_Withdrawals!J188)</f>
        <v/>
      </c>
      <c r="K1981" s="40" t="str">
        <f>IF(Agent10_Withdrawals!A188="","",Agent10_Withdrawals!K188)</f>
        <v/>
      </c>
      <c r="L1981" s="40" t="str">
        <f>IF(G1981="","",IF(D1981-G1981&gt;=System_Config!$B$9,"✅ OK","⚠️ BREACH"))</f>
        <v/>
      </c>
      <c r="M1981" s="40" t="str">
        <f>IFERROR(IF(Agent10_Withdrawals!A188="","",YEAR(Agent10_Withdrawals!D188)),"")</f>
        <v/>
      </c>
    </row>
    <row r="1982" spans="1:13" ht="18" customHeight="1" x14ac:dyDescent="0.25">
      <c r="A1982" s="40" t="str">
        <f>IF(Agent10_Withdrawals!A189="","",Agent10_Withdrawals!A189)</f>
        <v/>
      </c>
      <c r="B1982" s="40" t="str">
        <f ca="1">IF(Agent10_Withdrawals!A189="","","WD"&amp;TEXT(1982-3,"0000")&amp;"-"&amp;TEXT(TODAY(),"YYYYMMDD"))</f>
        <v/>
      </c>
      <c r="C1982" s="40" t="str">
        <f>IF(Agent10_Withdrawals!A189="","",Agent10_Withdrawals!B189)</f>
        <v/>
      </c>
      <c r="D1982" s="43" t="str">
        <f>IF(Agent10_Withdrawals!A189="","",Agent10_Withdrawals!C189)</f>
        <v/>
      </c>
      <c r="E1982" s="41" t="str">
        <f>IF(Agent10_Withdrawals!A189="","",Agent10_Withdrawals!D189)</f>
        <v/>
      </c>
      <c r="F1982" s="40" t="str">
        <f>IF(Agent10_Withdrawals!A189="","",Agent10_Withdrawals!F189)</f>
        <v/>
      </c>
      <c r="G1982" s="42" t="str">
        <f>IF(Agent10_Withdrawals!A189="","",Agent10_Withdrawals!E189)</f>
        <v/>
      </c>
      <c r="H1982" s="42" t="str">
        <f>IF(Agent10_Withdrawals!A189="","",Agent10_Withdrawals!G189)</f>
        <v/>
      </c>
      <c r="I1982" s="40" t="str">
        <f>IF(Agent10_Withdrawals!A189="","",Agent10_Withdrawals!H189)</f>
        <v/>
      </c>
      <c r="J1982" s="40" t="str">
        <f>IF(Agent10_Withdrawals!A189="","",Agent10_Withdrawals!J189)</f>
        <v/>
      </c>
      <c r="K1982" s="40" t="str">
        <f>IF(Agent10_Withdrawals!A189="","",Agent10_Withdrawals!K189)</f>
        <v/>
      </c>
      <c r="L1982" s="40" t="str">
        <f>IF(G1982="","",IF(D1982-G1982&gt;=System_Config!$B$9,"✅ OK","⚠️ BREACH"))</f>
        <v/>
      </c>
      <c r="M1982" s="40" t="str">
        <f>IFERROR(IF(Agent10_Withdrawals!A189="","",YEAR(Agent10_Withdrawals!D189)),"")</f>
        <v/>
      </c>
    </row>
    <row r="1983" spans="1:13" ht="18" customHeight="1" x14ac:dyDescent="0.25">
      <c r="A1983" s="40" t="str">
        <f>IF(Agent10_Withdrawals!A190="","",Agent10_Withdrawals!A190)</f>
        <v/>
      </c>
      <c r="B1983" s="40" t="str">
        <f ca="1">IF(Agent10_Withdrawals!A190="","","WD"&amp;TEXT(1983-3,"0000")&amp;"-"&amp;TEXT(TODAY(),"YYYYMMDD"))</f>
        <v/>
      </c>
      <c r="C1983" s="40" t="str">
        <f>IF(Agent10_Withdrawals!A190="","",Agent10_Withdrawals!B190)</f>
        <v/>
      </c>
      <c r="D1983" s="43" t="str">
        <f>IF(Agent10_Withdrawals!A190="","",Agent10_Withdrawals!C190)</f>
        <v/>
      </c>
      <c r="E1983" s="41" t="str">
        <f>IF(Agent10_Withdrawals!A190="","",Agent10_Withdrawals!D190)</f>
        <v/>
      </c>
      <c r="F1983" s="40" t="str">
        <f>IF(Agent10_Withdrawals!A190="","",Agent10_Withdrawals!F190)</f>
        <v/>
      </c>
      <c r="G1983" s="42" t="str">
        <f>IF(Agent10_Withdrawals!A190="","",Agent10_Withdrawals!E190)</f>
        <v/>
      </c>
      <c r="H1983" s="42" t="str">
        <f>IF(Agent10_Withdrawals!A190="","",Agent10_Withdrawals!G190)</f>
        <v/>
      </c>
      <c r="I1983" s="40" t="str">
        <f>IF(Agent10_Withdrawals!A190="","",Agent10_Withdrawals!H190)</f>
        <v/>
      </c>
      <c r="J1983" s="40" t="str">
        <f>IF(Agent10_Withdrawals!A190="","",Agent10_Withdrawals!J190)</f>
        <v/>
      </c>
      <c r="K1983" s="40" t="str">
        <f>IF(Agent10_Withdrawals!A190="","",Agent10_Withdrawals!K190)</f>
        <v/>
      </c>
      <c r="L1983" s="40" t="str">
        <f>IF(G1983="","",IF(D1983-G1983&gt;=System_Config!$B$9,"✅ OK","⚠️ BREACH"))</f>
        <v/>
      </c>
      <c r="M1983" s="40" t="str">
        <f>IFERROR(IF(Agent10_Withdrawals!A190="","",YEAR(Agent10_Withdrawals!D190)),"")</f>
        <v/>
      </c>
    </row>
    <row r="1984" spans="1:13" ht="18" customHeight="1" x14ac:dyDescent="0.25">
      <c r="A1984" s="40" t="str">
        <f>IF(Agent10_Withdrawals!A191="","",Agent10_Withdrawals!A191)</f>
        <v/>
      </c>
      <c r="B1984" s="40" t="str">
        <f ca="1">IF(Agent10_Withdrawals!A191="","","WD"&amp;TEXT(1984-3,"0000")&amp;"-"&amp;TEXT(TODAY(),"YYYYMMDD"))</f>
        <v/>
      </c>
      <c r="C1984" s="40" t="str">
        <f>IF(Agent10_Withdrawals!A191="","",Agent10_Withdrawals!B191)</f>
        <v/>
      </c>
      <c r="D1984" s="43" t="str">
        <f>IF(Agent10_Withdrawals!A191="","",Agent10_Withdrawals!C191)</f>
        <v/>
      </c>
      <c r="E1984" s="41" t="str">
        <f>IF(Agent10_Withdrawals!A191="","",Agent10_Withdrawals!D191)</f>
        <v/>
      </c>
      <c r="F1984" s="40" t="str">
        <f>IF(Agent10_Withdrawals!A191="","",Agent10_Withdrawals!F191)</f>
        <v/>
      </c>
      <c r="G1984" s="42" t="str">
        <f>IF(Agent10_Withdrawals!A191="","",Agent10_Withdrawals!E191)</f>
        <v/>
      </c>
      <c r="H1984" s="42" t="str">
        <f>IF(Agent10_Withdrawals!A191="","",Agent10_Withdrawals!G191)</f>
        <v/>
      </c>
      <c r="I1984" s="40" t="str">
        <f>IF(Agent10_Withdrawals!A191="","",Agent10_Withdrawals!H191)</f>
        <v/>
      </c>
      <c r="J1984" s="40" t="str">
        <f>IF(Agent10_Withdrawals!A191="","",Agent10_Withdrawals!J191)</f>
        <v/>
      </c>
      <c r="K1984" s="40" t="str">
        <f>IF(Agent10_Withdrawals!A191="","",Agent10_Withdrawals!K191)</f>
        <v/>
      </c>
      <c r="L1984" s="40" t="str">
        <f>IF(G1984="","",IF(D1984-G1984&gt;=System_Config!$B$9,"✅ OK","⚠️ BREACH"))</f>
        <v/>
      </c>
      <c r="M1984" s="40" t="str">
        <f>IFERROR(IF(Agent10_Withdrawals!A191="","",YEAR(Agent10_Withdrawals!D191)),"")</f>
        <v/>
      </c>
    </row>
    <row r="1985" spans="1:13" ht="18" customHeight="1" x14ac:dyDescent="0.25">
      <c r="A1985" s="40" t="str">
        <f>IF(Agent10_Withdrawals!A192="","",Agent10_Withdrawals!A192)</f>
        <v/>
      </c>
      <c r="B1985" s="40" t="str">
        <f ca="1">IF(Agent10_Withdrawals!A192="","","WD"&amp;TEXT(1985-3,"0000")&amp;"-"&amp;TEXT(TODAY(),"YYYYMMDD"))</f>
        <v/>
      </c>
      <c r="C1985" s="40" t="str">
        <f>IF(Agent10_Withdrawals!A192="","",Agent10_Withdrawals!B192)</f>
        <v/>
      </c>
      <c r="D1985" s="43" t="str">
        <f>IF(Agent10_Withdrawals!A192="","",Agent10_Withdrawals!C192)</f>
        <v/>
      </c>
      <c r="E1985" s="41" t="str">
        <f>IF(Agent10_Withdrawals!A192="","",Agent10_Withdrawals!D192)</f>
        <v/>
      </c>
      <c r="F1985" s="40" t="str">
        <f>IF(Agent10_Withdrawals!A192="","",Agent10_Withdrawals!F192)</f>
        <v/>
      </c>
      <c r="G1985" s="42" t="str">
        <f>IF(Agent10_Withdrawals!A192="","",Agent10_Withdrawals!E192)</f>
        <v/>
      </c>
      <c r="H1985" s="42" t="str">
        <f>IF(Agent10_Withdrawals!A192="","",Agent10_Withdrawals!G192)</f>
        <v/>
      </c>
      <c r="I1985" s="40" t="str">
        <f>IF(Agent10_Withdrawals!A192="","",Agent10_Withdrawals!H192)</f>
        <v/>
      </c>
      <c r="J1985" s="40" t="str">
        <f>IF(Agent10_Withdrawals!A192="","",Agent10_Withdrawals!J192)</f>
        <v/>
      </c>
      <c r="K1985" s="40" t="str">
        <f>IF(Agent10_Withdrawals!A192="","",Agent10_Withdrawals!K192)</f>
        <v/>
      </c>
      <c r="L1985" s="40" t="str">
        <f>IF(G1985="","",IF(D1985-G1985&gt;=System_Config!$B$9,"✅ OK","⚠️ BREACH"))</f>
        <v/>
      </c>
      <c r="M1985" s="40" t="str">
        <f>IFERROR(IF(Agent10_Withdrawals!A192="","",YEAR(Agent10_Withdrawals!D192)),"")</f>
        <v/>
      </c>
    </row>
    <row r="1986" spans="1:13" ht="18" customHeight="1" x14ac:dyDescent="0.25">
      <c r="A1986" s="40" t="str">
        <f>IF(Agent10_Withdrawals!A193="","",Agent10_Withdrawals!A193)</f>
        <v/>
      </c>
      <c r="B1986" s="40" t="str">
        <f ca="1">IF(Agent10_Withdrawals!A193="","","WD"&amp;TEXT(1986-3,"0000")&amp;"-"&amp;TEXT(TODAY(),"YYYYMMDD"))</f>
        <v/>
      </c>
      <c r="C1986" s="40" t="str">
        <f>IF(Agent10_Withdrawals!A193="","",Agent10_Withdrawals!B193)</f>
        <v/>
      </c>
      <c r="D1986" s="43" t="str">
        <f>IF(Agent10_Withdrawals!A193="","",Agent10_Withdrawals!C193)</f>
        <v/>
      </c>
      <c r="E1986" s="41" t="str">
        <f>IF(Agent10_Withdrawals!A193="","",Agent10_Withdrawals!D193)</f>
        <v/>
      </c>
      <c r="F1986" s="40" t="str">
        <f>IF(Agent10_Withdrawals!A193="","",Agent10_Withdrawals!F193)</f>
        <v/>
      </c>
      <c r="G1986" s="42" t="str">
        <f>IF(Agent10_Withdrawals!A193="","",Agent10_Withdrawals!E193)</f>
        <v/>
      </c>
      <c r="H1986" s="42" t="str">
        <f>IF(Agent10_Withdrawals!A193="","",Agent10_Withdrawals!G193)</f>
        <v/>
      </c>
      <c r="I1986" s="40" t="str">
        <f>IF(Agent10_Withdrawals!A193="","",Agent10_Withdrawals!H193)</f>
        <v/>
      </c>
      <c r="J1986" s="40" t="str">
        <f>IF(Agent10_Withdrawals!A193="","",Agent10_Withdrawals!J193)</f>
        <v/>
      </c>
      <c r="K1986" s="40" t="str">
        <f>IF(Agent10_Withdrawals!A193="","",Agent10_Withdrawals!K193)</f>
        <v/>
      </c>
      <c r="L1986" s="40" t="str">
        <f>IF(G1986="","",IF(D1986-G1986&gt;=System_Config!$B$9,"✅ OK","⚠️ BREACH"))</f>
        <v/>
      </c>
      <c r="M1986" s="40" t="str">
        <f>IFERROR(IF(Agent10_Withdrawals!A193="","",YEAR(Agent10_Withdrawals!D193)),"")</f>
        <v/>
      </c>
    </row>
    <row r="1987" spans="1:13" ht="18" customHeight="1" x14ac:dyDescent="0.25">
      <c r="A1987" s="40" t="str">
        <f>IF(Agent10_Withdrawals!A194="","",Agent10_Withdrawals!A194)</f>
        <v/>
      </c>
      <c r="B1987" s="40" t="str">
        <f ca="1">IF(Agent10_Withdrawals!A194="","","WD"&amp;TEXT(1987-3,"0000")&amp;"-"&amp;TEXT(TODAY(),"YYYYMMDD"))</f>
        <v/>
      </c>
      <c r="C1987" s="40" t="str">
        <f>IF(Agent10_Withdrawals!A194="","",Agent10_Withdrawals!B194)</f>
        <v/>
      </c>
      <c r="D1987" s="43" t="str">
        <f>IF(Agent10_Withdrawals!A194="","",Agent10_Withdrawals!C194)</f>
        <v/>
      </c>
      <c r="E1987" s="41" t="str">
        <f>IF(Agent10_Withdrawals!A194="","",Agent10_Withdrawals!D194)</f>
        <v/>
      </c>
      <c r="F1987" s="40" t="str">
        <f>IF(Agent10_Withdrawals!A194="","",Agent10_Withdrawals!F194)</f>
        <v/>
      </c>
      <c r="G1987" s="42" t="str">
        <f>IF(Agent10_Withdrawals!A194="","",Agent10_Withdrawals!E194)</f>
        <v/>
      </c>
      <c r="H1987" s="42" t="str">
        <f>IF(Agent10_Withdrawals!A194="","",Agent10_Withdrawals!G194)</f>
        <v/>
      </c>
      <c r="I1987" s="40" t="str">
        <f>IF(Agent10_Withdrawals!A194="","",Agent10_Withdrawals!H194)</f>
        <v/>
      </c>
      <c r="J1987" s="40" t="str">
        <f>IF(Agent10_Withdrawals!A194="","",Agent10_Withdrawals!J194)</f>
        <v/>
      </c>
      <c r="K1987" s="40" t="str">
        <f>IF(Agent10_Withdrawals!A194="","",Agent10_Withdrawals!K194)</f>
        <v/>
      </c>
      <c r="L1987" s="40" t="str">
        <f>IF(G1987="","",IF(D1987-G1987&gt;=System_Config!$B$9,"✅ OK","⚠️ BREACH"))</f>
        <v/>
      </c>
      <c r="M1987" s="40" t="str">
        <f>IFERROR(IF(Agent10_Withdrawals!A194="","",YEAR(Agent10_Withdrawals!D194)),"")</f>
        <v/>
      </c>
    </row>
    <row r="1988" spans="1:13" ht="18" customHeight="1" x14ac:dyDescent="0.25">
      <c r="A1988" s="40" t="str">
        <f>IF(Agent10_Withdrawals!A195="","",Agent10_Withdrawals!A195)</f>
        <v/>
      </c>
      <c r="B1988" s="40" t="str">
        <f ca="1">IF(Agent10_Withdrawals!A195="","","WD"&amp;TEXT(1988-3,"0000")&amp;"-"&amp;TEXT(TODAY(),"YYYYMMDD"))</f>
        <v/>
      </c>
      <c r="C1988" s="40" t="str">
        <f>IF(Agent10_Withdrawals!A195="","",Agent10_Withdrawals!B195)</f>
        <v/>
      </c>
      <c r="D1988" s="43" t="str">
        <f>IF(Agent10_Withdrawals!A195="","",Agent10_Withdrawals!C195)</f>
        <v/>
      </c>
      <c r="E1988" s="41" t="str">
        <f>IF(Agent10_Withdrawals!A195="","",Agent10_Withdrawals!D195)</f>
        <v/>
      </c>
      <c r="F1988" s="40" t="str">
        <f>IF(Agent10_Withdrawals!A195="","",Agent10_Withdrawals!F195)</f>
        <v/>
      </c>
      <c r="G1988" s="42" t="str">
        <f>IF(Agent10_Withdrawals!A195="","",Agent10_Withdrawals!E195)</f>
        <v/>
      </c>
      <c r="H1988" s="42" t="str">
        <f>IF(Agent10_Withdrawals!A195="","",Agent10_Withdrawals!G195)</f>
        <v/>
      </c>
      <c r="I1988" s="40" t="str">
        <f>IF(Agent10_Withdrawals!A195="","",Agent10_Withdrawals!H195)</f>
        <v/>
      </c>
      <c r="J1988" s="40" t="str">
        <f>IF(Agent10_Withdrawals!A195="","",Agent10_Withdrawals!J195)</f>
        <v/>
      </c>
      <c r="K1988" s="40" t="str">
        <f>IF(Agent10_Withdrawals!A195="","",Agent10_Withdrawals!K195)</f>
        <v/>
      </c>
      <c r="L1988" s="40" t="str">
        <f>IF(G1988="","",IF(D1988-G1988&gt;=System_Config!$B$9,"✅ OK","⚠️ BREACH"))</f>
        <v/>
      </c>
      <c r="M1988" s="40" t="str">
        <f>IFERROR(IF(Agent10_Withdrawals!A195="","",YEAR(Agent10_Withdrawals!D195)),"")</f>
        <v/>
      </c>
    </row>
    <row r="1989" spans="1:13" ht="18" customHeight="1" x14ac:dyDescent="0.25">
      <c r="A1989" s="40" t="str">
        <f>IF(Agent10_Withdrawals!A196="","",Agent10_Withdrawals!A196)</f>
        <v/>
      </c>
      <c r="B1989" s="40" t="str">
        <f ca="1">IF(Agent10_Withdrawals!A196="","","WD"&amp;TEXT(1989-3,"0000")&amp;"-"&amp;TEXT(TODAY(),"YYYYMMDD"))</f>
        <v/>
      </c>
      <c r="C1989" s="40" t="str">
        <f>IF(Agent10_Withdrawals!A196="","",Agent10_Withdrawals!B196)</f>
        <v/>
      </c>
      <c r="D1989" s="43" t="str">
        <f>IF(Agent10_Withdrawals!A196="","",Agent10_Withdrawals!C196)</f>
        <v/>
      </c>
      <c r="E1989" s="41" t="str">
        <f>IF(Agent10_Withdrawals!A196="","",Agent10_Withdrawals!D196)</f>
        <v/>
      </c>
      <c r="F1989" s="40" t="str">
        <f>IF(Agent10_Withdrawals!A196="","",Agent10_Withdrawals!F196)</f>
        <v/>
      </c>
      <c r="G1989" s="42" t="str">
        <f>IF(Agent10_Withdrawals!A196="","",Agent10_Withdrawals!E196)</f>
        <v/>
      </c>
      <c r="H1989" s="42" t="str">
        <f>IF(Agent10_Withdrawals!A196="","",Agent10_Withdrawals!G196)</f>
        <v/>
      </c>
      <c r="I1989" s="40" t="str">
        <f>IF(Agent10_Withdrawals!A196="","",Agent10_Withdrawals!H196)</f>
        <v/>
      </c>
      <c r="J1989" s="40" t="str">
        <f>IF(Agent10_Withdrawals!A196="","",Agent10_Withdrawals!J196)</f>
        <v/>
      </c>
      <c r="K1989" s="40" t="str">
        <f>IF(Agent10_Withdrawals!A196="","",Agent10_Withdrawals!K196)</f>
        <v/>
      </c>
      <c r="L1989" s="40" t="str">
        <f>IF(G1989="","",IF(D1989-G1989&gt;=System_Config!$B$9,"✅ OK","⚠️ BREACH"))</f>
        <v/>
      </c>
      <c r="M1989" s="40" t="str">
        <f>IFERROR(IF(Agent10_Withdrawals!A196="","",YEAR(Agent10_Withdrawals!D196)),"")</f>
        <v/>
      </c>
    </row>
    <row r="1990" spans="1:13" ht="18" customHeight="1" x14ac:dyDescent="0.25">
      <c r="A1990" s="40" t="str">
        <f>IF(Agent10_Withdrawals!A197="","",Agent10_Withdrawals!A197)</f>
        <v/>
      </c>
      <c r="B1990" s="40" t="str">
        <f ca="1">IF(Agent10_Withdrawals!A197="","","WD"&amp;TEXT(1990-3,"0000")&amp;"-"&amp;TEXT(TODAY(),"YYYYMMDD"))</f>
        <v/>
      </c>
      <c r="C1990" s="40" t="str">
        <f>IF(Agent10_Withdrawals!A197="","",Agent10_Withdrawals!B197)</f>
        <v/>
      </c>
      <c r="D1990" s="43" t="str">
        <f>IF(Agent10_Withdrawals!A197="","",Agent10_Withdrawals!C197)</f>
        <v/>
      </c>
      <c r="E1990" s="41" t="str">
        <f>IF(Agent10_Withdrawals!A197="","",Agent10_Withdrawals!D197)</f>
        <v/>
      </c>
      <c r="F1990" s="40" t="str">
        <f>IF(Agent10_Withdrawals!A197="","",Agent10_Withdrawals!F197)</f>
        <v/>
      </c>
      <c r="G1990" s="42" t="str">
        <f>IF(Agent10_Withdrawals!A197="","",Agent10_Withdrawals!E197)</f>
        <v/>
      </c>
      <c r="H1990" s="42" t="str">
        <f>IF(Agent10_Withdrawals!A197="","",Agent10_Withdrawals!G197)</f>
        <v/>
      </c>
      <c r="I1990" s="40" t="str">
        <f>IF(Agent10_Withdrawals!A197="","",Agent10_Withdrawals!H197)</f>
        <v/>
      </c>
      <c r="J1990" s="40" t="str">
        <f>IF(Agent10_Withdrawals!A197="","",Agent10_Withdrawals!J197)</f>
        <v/>
      </c>
      <c r="K1990" s="40" t="str">
        <f>IF(Agent10_Withdrawals!A197="","",Agent10_Withdrawals!K197)</f>
        <v/>
      </c>
      <c r="L1990" s="40" t="str">
        <f>IF(G1990="","",IF(D1990-G1990&gt;=System_Config!$B$9,"✅ OK","⚠️ BREACH"))</f>
        <v/>
      </c>
      <c r="M1990" s="40" t="str">
        <f>IFERROR(IF(Agent10_Withdrawals!A197="","",YEAR(Agent10_Withdrawals!D197)),"")</f>
        <v/>
      </c>
    </row>
    <row r="1991" spans="1:13" ht="18" customHeight="1" x14ac:dyDescent="0.25">
      <c r="A1991" s="40" t="str">
        <f>IF(Agent10_Withdrawals!A198="","",Agent10_Withdrawals!A198)</f>
        <v/>
      </c>
      <c r="B1991" s="40" t="str">
        <f ca="1">IF(Agent10_Withdrawals!A198="","","WD"&amp;TEXT(1991-3,"0000")&amp;"-"&amp;TEXT(TODAY(),"YYYYMMDD"))</f>
        <v/>
      </c>
      <c r="C1991" s="40" t="str">
        <f>IF(Agent10_Withdrawals!A198="","",Agent10_Withdrawals!B198)</f>
        <v/>
      </c>
      <c r="D1991" s="43" t="str">
        <f>IF(Agent10_Withdrawals!A198="","",Agent10_Withdrawals!C198)</f>
        <v/>
      </c>
      <c r="E1991" s="41" t="str">
        <f>IF(Agent10_Withdrawals!A198="","",Agent10_Withdrawals!D198)</f>
        <v/>
      </c>
      <c r="F1991" s="40" t="str">
        <f>IF(Agent10_Withdrawals!A198="","",Agent10_Withdrawals!F198)</f>
        <v/>
      </c>
      <c r="G1991" s="42" t="str">
        <f>IF(Agent10_Withdrawals!A198="","",Agent10_Withdrawals!E198)</f>
        <v/>
      </c>
      <c r="H1991" s="42" t="str">
        <f>IF(Agent10_Withdrawals!A198="","",Agent10_Withdrawals!G198)</f>
        <v/>
      </c>
      <c r="I1991" s="40" t="str">
        <f>IF(Agent10_Withdrawals!A198="","",Agent10_Withdrawals!H198)</f>
        <v/>
      </c>
      <c r="J1991" s="40" t="str">
        <f>IF(Agent10_Withdrawals!A198="","",Agent10_Withdrawals!J198)</f>
        <v/>
      </c>
      <c r="K1991" s="40" t="str">
        <f>IF(Agent10_Withdrawals!A198="","",Agent10_Withdrawals!K198)</f>
        <v/>
      </c>
      <c r="L1991" s="40" t="str">
        <f>IF(G1991="","",IF(D1991-G1991&gt;=System_Config!$B$9,"✅ OK","⚠️ BREACH"))</f>
        <v/>
      </c>
      <c r="M1991" s="40" t="str">
        <f>IFERROR(IF(Agent10_Withdrawals!A198="","",YEAR(Agent10_Withdrawals!D198)),"")</f>
        <v/>
      </c>
    </row>
    <row r="1992" spans="1:13" ht="18" customHeight="1" x14ac:dyDescent="0.25">
      <c r="A1992" s="40" t="str">
        <f>IF(Agent10_Withdrawals!A199="","",Agent10_Withdrawals!A199)</f>
        <v/>
      </c>
      <c r="B1992" s="40" t="str">
        <f ca="1">IF(Agent10_Withdrawals!A199="","","WD"&amp;TEXT(1992-3,"0000")&amp;"-"&amp;TEXT(TODAY(),"YYYYMMDD"))</f>
        <v/>
      </c>
      <c r="C1992" s="40" t="str">
        <f>IF(Agent10_Withdrawals!A199="","",Agent10_Withdrawals!B199)</f>
        <v/>
      </c>
      <c r="D1992" s="43" t="str">
        <f>IF(Agent10_Withdrawals!A199="","",Agent10_Withdrawals!C199)</f>
        <v/>
      </c>
      <c r="E1992" s="41" t="str">
        <f>IF(Agent10_Withdrawals!A199="","",Agent10_Withdrawals!D199)</f>
        <v/>
      </c>
      <c r="F1992" s="40" t="str">
        <f>IF(Agent10_Withdrawals!A199="","",Agent10_Withdrawals!F199)</f>
        <v/>
      </c>
      <c r="G1992" s="42" t="str">
        <f>IF(Agent10_Withdrawals!A199="","",Agent10_Withdrawals!E199)</f>
        <v/>
      </c>
      <c r="H1992" s="42" t="str">
        <f>IF(Agent10_Withdrawals!A199="","",Agent10_Withdrawals!G199)</f>
        <v/>
      </c>
      <c r="I1992" s="40" t="str">
        <f>IF(Agent10_Withdrawals!A199="","",Agent10_Withdrawals!H199)</f>
        <v/>
      </c>
      <c r="J1992" s="40" t="str">
        <f>IF(Agent10_Withdrawals!A199="","",Agent10_Withdrawals!J199)</f>
        <v/>
      </c>
      <c r="K1992" s="40" t="str">
        <f>IF(Agent10_Withdrawals!A199="","",Agent10_Withdrawals!K199)</f>
        <v/>
      </c>
      <c r="L1992" s="40" t="str">
        <f>IF(G1992="","",IF(D1992-G1992&gt;=System_Config!$B$9,"✅ OK","⚠️ BREACH"))</f>
        <v/>
      </c>
      <c r="M1992" s="40" t="str">
        <f>IFERROR(IF(Agent10_Withdrawals!A199="","",YEAR(Agent10_Withdrawals!D199)),"")</f>
        <v/>
      </c>
    </row>
    <row r="1993" spans="1:13" ht="18" customHeight="1" x14ac:dyDescent="0.25">
      <c r="A1993" s="40" t="str">
        <f>IF(Agent10_Withdrawals!A200="","",Agent10_Withdrawals!A200)</f>
        <v/>
      </c>
      <c r="B1993" s="40" t="str">
        <f ca="1">IF(Agent10_Withdrawals!A200="","","WD"&amp;TEXT(1993-3,"0000")&amp;"-"&amp;TEXT(TODAY(),"YYYYMMDD"))</f>
        <v/>
      </c>
      <c r="C1993" s="40" t="str">
        <f>IF(Agent10_Withdrawals!A200="","",Agent10_Withdrawals!B200)</f>
        <v/>
      </c>
      <c r="D1993" s="43" t="str">
        <f>IF(Agent10_Withdrawals!A200="","",Agent10_Withdrawals!C200)</f>
        <v/>
      </c>
      <c r="E1993" s="41" t="str">
        <f>IF(Agent10_Withdrawals!A200="","",Agent10_Withdrawals!D200)</f>
        <v/>
      </c>
      <c r="F1993" s="40" t="str">
        <f>IF(Agent10_Withdrawals!A200="","",Agent10_Withdrawals!F200)</f>
        <v/>
      </c>
      <c r="G1993" s="42" t="str">
        <f>IF(Agent10_Withdrawals!A200="","",Agent10_Withdrawals!E200)</f>
        <v/>
      </c>
      <c r="H1993" s="42" t="str">
        <f>IF(Agent10_Withdrawals!A200="","",Agent10_Withdrawals!G200)</f>
        <v/>
      </c>
      <c r="I1993" s="40" t="str">
        <f>IF(Agent10_Withdrawals!A200="","",Agent10_Withdrawals!H200)</f>
        <v/>
      </c>
      <c r="J1993" s="40" t="str">
        <f>IF(Agent10_Withdrawals!A200="","",Agent10_Withdrawals!J200)</f>
        <v/>
      </c>
      <c r="K1993" s="40" t="str">
        <f>IF(Agent10_Withdrawals!A200="","",Agent10_Withdrawals!K200)</f>
        <v/>
      </c>
      <c r="L1993" s="40" t="str">
        <f>IF(G1993="","",IF(D1993-G1993&gt;=System_Config!$B$9,"✅ OK","⚠️ BREACH"))</f>
        <v/>
      </c>
      <c r="M1993" s="40" t="str">
        <f>IFERROR(IF(Agent10_Withdrawals!A200="","",YEAR(Agent10_Withdrawals!D200)),"")</f>
        <v/>
      </c>
    </row>
    <row r="1994" spans="1:13" ht="18" customHeight="1" x14ac:dyDescent="0.25">
      <c r="A1994" s="40" t="str">
        <f>IF(Agent10_Withdrawals!A201="","",Agent10_Withdrawals!A201)</f>
        <v/>
      </c>
      <c r="B1994" s="40" t="str">
        <f ca="1">IF(Agent10_Withdrawals!A201="","","WD"&amp;TEXT(1994-3,"0000")&amp;"-"&amp;TEXT(TODAY(),"YYYYMMDD"))</f>
        <v/>
      </c>
      <c r="C1994" s="40" t="str">
        <f>IF(Agent10_Withdrawals!A201="","",Agent10_Withdrawals!B201)</f>
        <v/>
      </c>
      <c r="D1994" s="43" t="str">
        <f>IF(Agent10_Withdrawals!A201="","",Agent10_Withdrawals!C201)</f>
        <v/>
      </c>
      <c r="E1994" s="41" t="str">
        <f>IF(Agent10_Withdrawals!A201="","",Agent10_Withdrawals!D201)</f>
        <v/>
      </c>
      <c r="F1994" s="40" t="str">
        <f>IF(Agent10_Withdrawals!A201="","",Agent10_Withdrawals!F201)</f>
        <v/>
      </c>
      <c r="G1994" s="42" t="str">
        <f>IF(Agent10_Withdrawals!A201="","",Agent10_Withdrawals!E201)</f>
        <v/>
      </c>
      <c r="H1994" s="42" t="str">
        <f>IF(Agent10_Withdrawals!A201="","",Agent10_Withdrawals!G201)</f>
        <v/>
      </c>
      <c r="I1994" s="40" t="str">
        <f>IF(Agent10_Withdrawals!A201="","",Agent10_Withdrawals!H201)</f>
        <v/>
      </c>
      <c r="J1994" s="40" t="str">
        <f>IF(Agent10_Withdrawals!A201="","",Agent10_Withdrawals!J201)</f>
        <v/>
      </c>
      <c r="K1994" s="40" t="str">
        <f>IF(Agent10_Withdrawals!A201="","",Agent10_Withdrawals!K201)</f>
        <v/>
      </c>
      <c r="L1994" s="40" t="str">
        <f>IF(G1994="","",IF(D1994-G1994&gt;=System_Config!$B$9,"✅ OK","⚠️ BREACH"))</f>
        <v/>
      </c>
      <c r="M1994" s="40" t="str">
        <f>IFERROR(IF(Agent10_Withdrawals!A201="","",YEAR(Agent10_Withdrawals!D201)),"")</f>
        <v/>
      </c>
    </row>
    <row r="1995" spans="1:13" ht="18" customHeight="1" x14ac:dyDescent="0.25">
      <c r="A1995" s="40" t="str">
        <f>IF(Agent10_Withdrawals!A202="","",Agent10_Withdrawals!A202)</f>
        <v/>
      </c>
      <c r="B1995" s="40" t="str">
        <f ca="1">IF(Agent10_Withdrawals!A202="","","WD"&amp;TEXT(1995-3,"0000")&amp;"-"&amp;TEXT(TODAY(),"YYYYMMDD"))</f>
        <v/>
      </c>
      <c r="C1995" s="40" t="str">
        <f>IF(Agent10_Withdrawals!A202="","",Agent10_Withdrawals!B202)</f>
        <v/>
      </c>
      <c r="D1995" s="43" t="str">
        <f>IF(Agent10_Withdrawals!A202="","",Agent10_Withdrawals!C202)</f>
        <v/>
      </c>
      <c r="E1995" s="41" t="str">
        <f>IF(Agent10_Withdrawals!A202="","",Agent10_Withdrawals!D202)</f>
        <v/>
      </c>
      <c r="F1995" s="40" t="str">
        <f>IF(Agent10_Withdrawals!A202="","",Agent10_Withdrawals!F202)</f>
        <v/>
      </c>
      <c r="G1995" s="42" t="str">
        <f>IF(Agent10_Withdrawals!A202="","",Agent10_Withdrawals!E202)</f>
        <v/>
      </c>
      <c r="H1995" s="42" t="str">
        <f>IF(Agent10_Withdrawals!A202="","",Agent10_Withdrawals!G202)</f>
        <v/>
      </c>
      <c r="I1995" s="40" t="str">
        <f>IF(Agent10_Withdrawals!A202="","",Agent10_Withdrawals!H202)</f>
        <v/>
      </c>
      <c r="J1995" s="40" t="str">
        <f>IF(Agent10_Withdrawals!A202="","",Agent10_Withdrawals!J202)</f>
        <v/>
      </c>
      <c r="K1995" s="40" t="str">
        <f>IF(Agent10_Withdrawals!A202="","",Agent10_Withdrawals!K202)</f>
        <v/>
      </c>
      <c r="L1995" s="40" t="str">
        <f>IF(G1995="","",IF(D1995-G1995&gt;=System_Config!$B$9,"✅ OK","⚠️ BREACH"))</f>
        <v/>
      </c>
      <c r="M1995" s="40" t="str">
        <f>IFERROR(IF(Agent10_Withdrawals!A202="","",YEAR(Agent10_Withdrawals!D202)),"")</f>
        <v/>
      </c>
    </row>
    <row r="1996" spans="1:13" ht="18" customHeight="1" x14ac:dyDescent="0.25">
      <c r="A1996" s="40" t="str">
        <f>IF(Agent10_Withdrawals!A203="","",Agent10_Withdrawals!A203)</f>
        <v/>
      </c>
      <c r="B1996" s="40" t="str">
        <f ca="1">IF(Agent10_Withdrawals!A203="","","WD"&amp;TEXT(1996-3,"0000")&amp;"-"&amp;TEXT(TODAY(),"YYYYMMDD"))</f>
        <v/>
      </c>
      <c r="C1996" s="40" t="str">
        <f>IF(Agent10_Withdrawals!A203="","",Agent10_Withdrawals!B203)</f>
        <v/>
      </c>
      <c r="D1996" s="43" t="str">
        <f>IF(Agent10_Withdrawals!A203="","",Agent10_Withdrawals!C203)</f>
        <v/>
      </c>
      <c r="E1996" s="41" t="str">
        <f>IF(Agent10_Withdrawals!A203="","",Agent10_Withdrawals!D203)</f>
        <v/>
      </c>
      <c r="F1996" s="40" t="str">
        <f>IF(Agent10_Withdrawals!A203="","",Agent10_Withdrawals!F203)</f>
        <v/>
      </c>
      <c r="G1996" s="42" t="str">
        <f>IF(Agent10_Withdrawals!A203="","",Agent10_Withdrawals!E203)</f>
        <v/>
      </c>
      <c r="H1996" s="42" t="str">
        <f>IF(Agent10_Withdrawals!A203="","",Agent10_Withdrawals!G203)</f>
        <v/>
      </c>
      <c r="I1996" s="40" t="str">
        <f>IF(Agent10_Withdrawals!A203="","",Agent10_Withdrawals!H203)</f>
        <v/>
      </c>
      <c r="J1996" s="40" t="str">
        <f>IF(Agent10_Withdrawals!A203="","",Agent10_Withdrawals!J203)</f>
        <v/>
      </c>
      <c r="K1996" s="40" t="str">
        <f>IF(Agent10_Withdrawals!A203="","",Agent10_Withdrawals!K203)</f>
        <v/>
      </c>
      <c r="L1996" s="40" t="str">
        <f>IF(G1996="","",IF(D1996-G1996&gt;=System_Config!$B$9,"✅ OK","⚠️ BREACH"))</f>
        <v/>
      </c>
      <c r="M1996" s="40" t="str">
        <f>IFERROR(IF(Agent10_Withdrawals!A203="","",YEAR(Agent10_Withdrawals!D203)),"")</f>
        <v/>
      </c>
    </row>
    <row r="1997" spans="1:13" ht="18" customHeight="1" x14ac:dyDescent="0.25">
      <c r="A1997" s="40" t="str">
        <f>IF(Agent10_Withdrawals!A204="","",Agent10_Withdrawals!A204)</f>
        <v/>
      </c>
      <c r="B1997" s="40" t="str">
        <f ca="1">IF(Agent10_Withdrawals!A204="","","WD"&amp;TEXT(1997-3,"0000")&amp;"-"&amp;TEXT(TODAY(),"YYYYMMDD"))</f>
        <v/>
      </c>
      <c r="C1997" s="40" t="str">
        <f>IF(Agent10_Withdrawals!A204="","",Agent10_Withdrawals!B204)</f>
        <v/>
      </c>
      <c r="D1997" s="43" t="str">
        <f>IF(Agent10_Withdrawals!A204="","",Agent10_Withdrawals!C204)</f>
        <v/>
      </c>
      <c r="E1997" s="41" t="str">
        <f>IF(Agent10_Withdrawals!A204="","",Agent10_Withdrawals!D204)</f>
        <v/>
      </c>
      <c r="F1997" s="40" t="str">
        <f>IF(Agent10_Withdrawals!A204="","",Agent10_Withdrawals!F204)</f>
        <v/>
      </c>
      <c r="G1997" s="42" t="str">
        <f>IF(Agent10_Withdrawals!A204="","",Agent10_Withdrawals!E204)</f>
        <v/>
      </c>
      <c r="H1997" s="42" t="str">
        <f>IF(Agent10_Withdrawals!A204="","",Agent10_Withdrawals!G204)</f>
        <v/>
      </c>
      <c r="I1997" s="40" t="str">
        <f>IF(Agent10_Withdrawals!A204="","",Agent10_Withdrawals!H204)</f>
        <v/>
      </c>
      <c r="J1997" s="40" t="str">
        <f>IF(Agent10_Withdrawals!A204="","",Agent10_Withdrawals!J204)</f>
        <v/>
      </c>
      <c r="K1997" s="40" t="str">
        <f>IF(Agent10_Withdrawals!A204="","",Agent10_Withdrawals!K204)</f>
        <v/>
      </c>
      <c r="L1997" s="40" t="str">
        <f>IF(G1997="","",IF(D1997-G1997&gt;=System_Config!$B$9,"✅ OK","⚠️ BREACH"))</f>
        <v/>
      </c>
      <c r="M1997" s="40" t="str">
        <f>IFERROR(IF(Agent10_Withdrawals!A204="","",YEAR(Agent10_Withdrawals!D204)),"")</f>
        <v/>
      </c>
    </row>
    <row r="1998" spans="1:13" ht="18" customHeight="1" x14ac:dyDescent="0.25">
      <c r="A1998" s="40" t="str">
        <f>IF(Agent10_Withdrawals!A205="","",Agent10_Withdrawals!A205)</f>
        <v/>
      </c>
      <c r="B1998" s="40" t="str">
        <f ca="1">IF(Agent10_Withdrawals!A205="","","WD"&amp;TEXT(1998-3,"0000")&amp;"-"&amp;TEXT(TODAY(),"YYYYMMDD"))</f>
        <v/>
      </c>
      <c r="C1998" s="40" t="str">
        <f>IF(Agent10_Withdrawals!A205="","",Agent10_Withdrawals!B205)</f>
        <v/>
      </c>
      <c r="D1998" s="43" t="str">
        <f>IF(Agent10_Withdrawals!A205="","",Agent10_Withdrawals!C205)</f>
        <v/>
      </c>
      <c r="E1998" s="41" t="str">
        <f>IF(Agent10_Withdrawals!A205="","",Agent10_Withdrawals!D205)</f>
        <v/>
      </c>
      <c r="F1998" s="40" t="str">
        <f>IF(Agent10_Withdrawals!A205="","",Agent10_Withdrawals!F205)</f>
        <v/>
      </c>
      <c r="G1998" s="42" t="str">
        <f>IF(Agent10_Withdrawals!A205="","",Agent10_Withdrawals!E205)</f>
        <v/>
      </c>
      <c r="H1998" s="42" t="str">
        <f>IF(Agent10_Withdrawals!A205="","",Agent10_Withdrawals!G205)</f>
        <v/>
      </c>
      <c r="I1998" s="40" t="str">
        <f>IF(Agent10_Withdrawals!A205="","",Agent10_Withdrawals!H205)</f>
        <v/>
      </c>
      <c r="J1998" s="40" t="str">
        <f>IF(Agent10_Withdrawals!A205="","",Agent10_Withdrawals!J205)</f>
        <v/>
      </c>
      <c r="K1998" s="40" t="str">
        <f>IF(Agent10_Withdrawals!A205="","",Agent10_Withdrawals!K205)</f>
        <v/>
      </c>
      <c r="L1998" s="40" t="str">
        <f>IF(G1998="","",IF(D1998-G1998&gt;=System_Config!$B$9,"✅ OK","⚠️ BREACH"))</f>
        <v/>
      </c>
      <c r="M1998" s="40" t="str">
        <f>IFERROR(IF(Agent10_Withdrawals!A205="","",YEAR(Agent10_Withdrawals!D205)),"")</f>
        <v/>
      </c>
    </row>
    <row r="1999" spans="1:13" ht="18" customHeight="1" x14ac:dyDescent="0.25">
      <c r="A1999" s="40" t="str">
        <f>IF(Agent10_Withdrawals!A206="","",Agent10_Withdrawals!A206)</f>
        <v/>
      </c>
      <c r="B1999" s="40" t="str">
        <f ca="1">IF(Agent10_Withdrawals!A206="","","WD"&amp;TEXT(1999-3,"0000")&amp;"-"&amp;TEXT(TODAY(),"YYYYMMDD"))</f>
        <v/>
      </c>
      <c r="C1999" s="40" t="str">
        <f>IF(Agent10_Withdrawals!A206="","",Agent10_Withdrawals!B206)</f>
        <v/>
      </c>
      <c r="D1999" s="43" t="str">
        <f>IF(Agent10_Withdrawals!A206="","",Agent10_Withdrawals!C206)</f>
        <v/>
      </c>
      <c r="E1999" s="41" t="str">
        <f>IF(Agent10_Withdrawals!A206="","",Agent10_Withdrawals!D206)</f>
        <v/>
      </c>
      <c r="F1999" s="40" t="str">
        <f>IF(Agent10_Withdrawals!A206="","",Agent10_Withdrawals!F206)</f>
        <v/>
      </c>
      <c r="G1999" s="42" t="str">
        <f>IF(Agent10_Withdrawals!A206="","",Agent10_Withdrawals!E206)</f>
        <v/>
      </c>
      <c r="H1999" s="42" t="str">
        <f>IF(Agent10_Withdrawals!A206="","",Agent10_Withdrawals!G206)</f>
        <v/>
      </c>
      <c r="I1999" s="40" t="str">
        <f>IF(Agent10_Withdrawals!A206="","",Agent10_Withdrawals!H206)</f>
        <v/>
      </c>
      <c r="J1999" s="40" t="str">
        <f>IF(Agent10_Withdrawals!A206="","",Agent10_Withdrawals!J206)</f>
        <v/>
      </c>
      <c r="K1999" s="40" t="str">
        <f>IF(Agent10_Withdrawals!A206="","",Agent10_Withdrawals!K206)</f>
        <v/>
      </c>
      <c r="L1999" s="40" t="str">
        <f>IF(G1999="","",IF(D1999-G1999&gt;=System_Config!$B$9,"✅ OK","⚠️ BREACH"))</f>
        <v/>
      </c>
      <c r="M1999" s="40" t="str">
        <f>IFERROR(IF(Agent10_Withdrawals!A206="","",YEAR(Agent10_Withdrawals!D206)),"")</f>
        <v/>
      </c>
    </row>
    <row r="2000" spans="1:13" ht="18" customHeight="1" x14ac:dyDescent="0.25">
      <c r="A2000" s="40" t="str">
        <f>IF(Agent10_Withdrawals!A207="","",Agent10_Withdrawals!A207)</f>
        <v/>
      </c>
      <c r="B2000" s="40" t="str">
        <f ca="1">IF(Agent10_Withdrawals!A207="","","WD"&amp;TEXT(2000-3,"0000")&amp;"-"&amp;TEXT(TODAY(),"YYYYMMDD"))</f>
        <v/>
      </c>
      <c r="C2000" s="40" t="str">
        <f>IF(Agent10_Withdrawals!A207="","",Agent10_Withdrawals!B207)</f>
        <v/>
      </c>
      <c r="D2000" s="43" t="str">
        <f>IF(Agent10_Withdrawals!A207="","",Agent10_Withdrawals!C207)</f>
        <v/>
      </c>
      <c r="E2000" s="41" t="str">
        <f>IF(Agent10_Withdrawals!A207="","",Agent10_Withdrawals!D207)</f>
        <v/>
      </c>
      <c r="F2000" s="40" t="str">
        <f>IF(Agent10_Withdrawals!A207="","",Agent10_Withdrawals!F207)</f>
        <v/>
      </c>
      <c r="G2000" s="42" t="str">
        <f>IF(Agent10_Withdrawals!A207="","",Agent10_Withdrawals!E207)</f>
        <v/>
      </c>
      <c r="H2000" s="42" t="str">
        <f>IF(Agent10_Withdrawals!A207="","",Agent10_Withdrawals!G207)</f>
        <v/>
      </c>
      <c r="I2000" s="40" t="str">
        <f>IF(Agent10_Withdrawals!A207="","",Agent10_Withdrawals!H207)</f>
        <v/>
      </c>
      <c r="J2000" s="40" t="str">
        <f>IF(Agent10_Withdrawals!A207="","",Agent10_Withdrawals!J207)</f>
        <v/>
      </c>
      <c r="K2000" s="40" t="str">
        <f>IF(Agent10_Withdrawals!A207="","",Agent10_Withdrawals!K207)</f>
        <v/>
      </c>
      <c r="L2000" s="40" t="str">
        <f>IF(G2000="","",IF(D2000-G2000&gt;=System_Config!$B$9,"✅ OK","⚠️ BREACH"))</f>
        <v/>
      </c>
      <c r="M2000" s="40" t="str">
        <f>IFERROR(IF(Agent10_Withdrawals!A207="","",YEAR(Agent10_Withdrawals!D207)),"")</f>
        <v/>
      </c>
    </row>
    <row r="2001" spans="1:13" ht="18" customHeight="1" x14ac:dyDescent="0.25">
      <c r="A2001" s="40" t="str">
        <f>IF(Agent10_Withdrawals!A208="","",Agent10_Withdrawals!A208)</f>
        <v/>
      </c>
      <c r="B2001" s="40" t="str">
        <f ca="1">IF(Agent10_Withdrawals!A208="","","WD"&amp;TEXT(2001-3,"0000")&amp;"-"&amp;TEXT(TODAY(),"YYYYMMDD"))</f>
        <v/>
      </c>
      <c r="C2001" s="40" t="str">
        <f>IF(Agent10_Withdrawals!A208="","",Agent10_Withdrawals!B208)</f>
        <v/>
      </c>
      <c r="D2001" s="43" t="str">
        <f>IF(Agent10_Withdrawals!A208="","",Agent10_Withdrawals!C208)</f>
        <v/>
      </c>
      <c r="E2001" s="41" t="str">
        <f>IF(Agent10_Withdrawals!A208="","",Agent10_Withdrawals!D208)</f>
        <v/>
      </c>
      <c r="F2001" s="40" t="str">
        <f>IF(Agent10_Withdrawals!A208="","",Agent10_Withdrawals!F208)</f>
        <v/>
      </c>
      <c r="G2001" s="42" t="str">
        <f>IF(Agent10_Withdrawals!A208="","",Agent10_Withdrawals!E208)</f>
        <v/>
      </c>
      <c r="H2001" s="42" t="str">
        <f>IF(Agent10_Withdrawals!A208="","",Agent10_Withdrawals!G208)</f>
        <v/>
      </c>
      <c r="I2001" s="40" t="str">
        <f>IF(Agent10_Withdrawals!A208="","",Agent10_Withdrawals!H208)</f>
        <v/>
      </c>
      <c r="J2001" s="40" t="str">
        <f>IF(Agent10_Withdrawals!A208="","",Agent10_Withdrawals!J208)</f>
        <v/>
      </c>
      <c r="K2001" s="40" t="str">
        <f>IF(Agent10_Withdrawals!A208="","",Agent10_Withdrawals!K208)</f>
        <v/>
      </c>
      <c r="L2001" s="40" t="str">
        <f>IF(G2001="","",IF(D2001-G2001&gt;=System_Config!$B$9,"✅ OK","⚠️ BREACH"))</f>
        <v/>
      </c>
      <c r="M2001" s="40" t="str">
        <f>IFERROR(IF(Agent10_Withdrawals!A208="","",YEAR(Agent10_Withdrawals!D208)),"")</f>
        <v/>
      </c>
    </row>
    <row r="2002" spans="1:13" ht="18" customHeight="1" x14ac:dyDescent="0.25">
      <c r="A2002" s="40" t="str">
        <f>IF(Agent10_Withdrawals!A209="","",Agent10_Withdrawals!A209)</f>
        <v/>
      </c>
      <c r="B2002" s="40" t="str">
        <f ca="1">IF(Agent10_Withdrawals!A209="","","WD"&amp;TEXT(2002-3,"0000")&amp;"-"&amp;TEXT(TODAY(),"YYYYMMDD"))</f>
        <v/>
      </c>
      <c r="C2002" s="40" t="str">
        <f>IF(Agent10_Withdrawals!A209="","",Agent10_Withdrawals!B209)</f>
        <v/>
      </c>
      <c r="D2002" s="43" t="str">
        <f>IF(Agent10_Withdrawals!A209="","",Agent10_Withdrawals!C209)</f>
        <v/>
      </c>
      <c r="E2002" s="41" t="str">
        <f>IF(Agent10_Withdrawals!A209="","",Agent10_Withdrawals!D209)</f>
        <v/>
      </c>
      <c r="F2002" s="40" t="str">
        <f>IF(Agent10_Withdrawals!A209="","",Agent10_Withdrawals!F209)</f>
        <v/>
      </c>
      <c r="G2002" s="42" t="str">
        <f>IF(Agent10_Withdrawals!A209="","",Agent10_Withdrawals!E209)</f>
        <v/>
      </c>
      <c r="H2002" s="42" t="str">
        <f>IF(Agent10_Withdrawals!A209="","",Agent10_Withdrawals!G209)</f>
        <v/>
      </c>
      <c r="I2002" s="40" t="str">
        <f>IF(Agent10_Withdrawals!A209="","",Agent10_Withdrawals!H209)</f>
        <v/>
      </c>
      <c r="J2002" s="40" t="str">
        <f>IF(Agent10_Withdrawals!A209="","",Agent10_Withdrawals!J209)</f>
        <v/>
      </c>
      <c r="K2002" s="40" t="str">
        <f>IF(Agent10_Withdrawals!A209="","",Agent10_Withdrawals!K209)</f>
        <v/>
      </c>
      <c r="L2002" s="40" t="str">
        <f>IF(G2002="","",IF(D2002-G2002&gt;=System_Config!$B$9,"✅ OK","⚠️ BREACH"))</f>
        <v/>
      </c>
      <c r="M2002" s="40" t="str">
        <f>IFERROR(IF(Agent10_Withdrawals!A209="","",YEAR(Agent10_Withdrawals!D209)),"")</f>
        <v/>
      </c>
    </row>
    <row r="2003" spans="1:13" ht="18" customHeight="1" x14ac:dyDescent="0.25">
      <c r="A2003" s="40" t="str">
        <f>IF(Agent10_Withdrawals!A210="","",Agent10_Withdrawals!A210)</f>
        <v/>
      </c>
      <c r="B2003" s="40" t="str">
        <f ca="1">IF(Agent10_Withdrawals!A210="","","WD"&amp;TEXT(2003-3,"0000")&amp;"-"&amp;TEXT(TODAY(),"YYYYMMDD"))</f>
        <v/>
      </c>
      <c r="C2003" s="40" t="str">
        <f>IF(Agent10_Withdrawals!A210="","",Agent10_Withdrawals!B210)</f>
        <v/>
      </c>
      <c r="D2003" s="43" t="str">
        <f>IF(Agent10_Withdrawals!A210="","",Agent10_Withdrawals!C210)</f>
        <v/>
      </c>
      <c r="E2003" s="41" t="str">
        <f>IF(Agent10_Withdrawals!A210="","",Agent10_Withdrawals!D210)</f>
        <v/>
      </c>
      <c r="F2003" s="40" t="str">
        <f>IF(Agent10_Withdrawals!A210="","",Agent10_Withdrawals!F210)</f>
        <v/>
      </c>
      <c r="G2003" s="42" t="str">
        <f>IF(Agent10_Withdrawals!A210="","",Agent10_Withdrawals!E210)</f>
        <v/>
      </c>
      <c r="H2003" s="42" t="str">
        <f>IF(Agent10_Withdrawals!A210="","",Agent10_Withdrawals!G210)</f>
        <v/>
      </c>
      <c r="I2003" s="40" t="str">
        <f>IF(Agent10_Withdrawals!A210="","",Agent10_Withdrawals!H210)</f>
        <v/>
      </c>
      <c r="J2003" s="40" t="str">
        <f>IF(Agent10_Withdrawals!A210="","",Agent10_Withdrawals!J210)</f>
        <v/>
      </c>
      <c r="K2003" s="40" t="str">
        <f>IF(Agent10_Withdrawals!A210="","",Agent10_Withdrawals!K210)</f>
        <v/>
      </c>
      <c r="L2003" s="40" t="str">
        <f>IF(G2003="","",IF(D2003-G2003&gt;=System_Config!$B$9,"✅ OK","⚠️ BREACH"))</f>
        <v/>
      </c>
      <c r="M2003" s="40" t="str">
        <f>IFERROR(IF(Agent10_Withdrawals!A210="","",YEAR(Agent10_Withdrawals!D210)),"")</f>
        <v/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5C6B"/>
  </sheetPr>
  <dimension ref="A1:M2003"/>
  <sheetViews>
    <sheetView showGridLines="0" zoomScaleNormal="100" workbookViewId="0">
      <pane ySplit="3" topLeftCell="A4" activePane="bottomLeft" state="frozen"/>
      <selection pane="bottomLeft" sqref="A1:M1"/>
    </sheetView>
  </sheetViews>
  <sheetFormatPr defaultColWidth="8.7109375" defaultRowHeight="15" x14ac:dyDescent="0.25"/>
  <cols>
    <col min="1" max="1" width="26" customWidth="1"/>
    <col min="2" max="2" width="18" customWidth="1"/>
    <col min="3" max="3" width="26" customWidth="1"/>
    <col min="4" max="4" width="14" customWidth="1"/>
    <col min="5" max="5" width="18" customWidth="1"/>
    <col min="6" max="6" width="22" customWidth="1"/>
    <col min="7" max="8" width="10" customWidth="1"/>
    <col min="9" max="10" width="20" customWidth="1"/>
    <col min="11" max="11" width="18" customWidth="1"/>
    <col min="12" max="12" width="14" customWidth="1"/>
    <col min="13" max="13" width="10" customWidth="1"/>
  </cols>
  <sheetData>
    <row r="1" spans="1:13" ht="31.5" customHeight="1" x14ac:dyDescent="0.25">
      <c r="A1" s="105" t="s">
        <v>104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1:13" ht="24" customHeight="1" x14ac:dyDescent="0.25">
      <c r="A2" s="102" t="s">
        <v>105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13" ht="30" customHeight="1" x14ac:dyDescent="0.25">
      <c r="A3" s="19" t="s">
        <v>106</v>
      </c>
      <c r="B3" s="19" t="s">
        <v>88</v>
      </c>
      <c r="C3" s="19" t="s">
        <v>90</v>
      </c>
      <c r="D3" s="19" t="s">
        <v>107</v>
      </c>
      <c r="E3" s="19" t="s">
        <v>108</v>
      </c>
      <c r="F3" s="19" t="s">
        <v>109</v>
      </c>
      <c r="G3" s="19" t="s">
        <v>110</v>
      </c>
      <c r="H3" s="19" t="s">
        <v>111</v>
      </c>
      <c r="I3" s="19" t="s">
        <v>112</v>
      </c>
      <c r="J3" s="19" t="s">
        <v>113</v>
      </c>
      <c r="K3" s="19" t="s">
        <v>77</v>
      </c>
      <c r="L3" s="19" t="s">
        <v>45</v>
      </c>
      <c r="M3" s="19" t="s">
        <v>96</v>
      </c>
    </row>
    <row r="4" spans="1:13" ht="18" customHeight="1" x14ac:dyDescent="0.25">
      <c r="A4" s="40" t="str">
        <f>IF(Agent01_Loans!B16="","",Agent01_Loans!A16)</f>
        <v/>
      </c>
      <c r="B4" s="40" t="str">
        <f>IF(Agent01_Loans!B16="","",Agent01_Loans!B16)</f>
        <v>ACC0001</v>
      </c>
      <c r="C4" s="40" t="str">
        <f>IF(Agent01_Loans!B16="","",Agent01_Loans!C16)</f>
        <v/>
      </c>
      <c r="D4" s="41" t="str">
        <f ca="1">IF(Agent01_Loans!B16="","",Agent01_Loans!D16)</f>
        <v/>
      </c>
      <c r="E4" s="43">
        <f>IF(Agent01_Loans!B16="","",Agent01_Loans!E16)</f>
        <v>0</v>
      </c>
      <c r="F4" s="40">
        <f>IF(Agent01_Loans!B16="","",Agent01_Loans!F16)</f>
        <v>0</v>
      </c>
      <c r="G4" s="40">
        <f>IF(Agent01_Loans!B16="","",Agent01_Loans!G16)</f>
        <v>0</v>
      </c>
      <c r="H4" s="40">
        <f>IF(Agent01_Loans!B16="","",Agent01_Loans!H16)</f>
        <v>2.5</v>
      </c>
      <c r="I4" s="43" t="str">
        <f>IF(Agent01_Loans!B16="","",Agent01_Loans!I16)</f>
        <v/>
      </c>
      <c r="J4" s="43" t="str">
        <f>IF(Agent01_Loans!B16="","",Agent01_Loans!J16)</f>
        <v/>
      </c>
      <c r="K4" s="40" t="str">
        <f>IF(Agent01_Loans!B16="","",Agent01_Loans!K16)</f>
        <v>Pending</v>
      </c>
      <c r="L4" s="40" t="str">
        <f>IF(Agent01_Loans!B16="","",Agent01_Loans!L16)</f>
        <v>Agent 01</v>
      </c>
      <c r="M4" s="40" t="str">
        <f ca="1">IFERROR(IF(Agent01_Loans!B16="","",YEAR(Agent01_Loans!D16)),"")</f>
        <v/>
      </c>
    </row>
    <row r="5" spans="1:13" ht="18" customHeight="1" x14ac:dyDescent="0.25">
      <c r="A5" s="40" t="str">
        <f>IF(Agent01_Loans!B17="","",Agent01_Loans!A17)</f>
        <v/>
      </c>
      <c r="B5" s="40" t="str">
        <f>IF(Agent01_Loans!B17="","",Agent01_Loans!B17)</f>
        <v/>
      </c>
      <c r="C5" s="40" t="str">
        <f>IF(Agent01_Loans!B17="","",Agent01_Loans!C17)</f>
        <v/>
      </c>
      <c r="D5" s="41" t="str">
        <f>IF(Agent01_Loans!B17="","",Agent01_Loans!D17)</f>
        <v/>
      </c>
      <c r="E5" s="43" t="str">
        <f>IF(Agent01_Loans!B17="","",Agent01_Loans!E17)</f>
        <v/>
      </c>
      <c r="F5" s="40" t="str">
        <f>IF(Agent01_Loans!B17="","",Agent01_Loans!F17)</f>
        <v/>
      </c>
      <c r="G5" s="40" t="str">
        <f>IF(Agent01_Loans!B17="","",Agent01_Loans!G17)</f>
        <v/>
      </c>
      <c r="H5" s="40" t="str">
        <f>IF(Agent01_Loans!B17="","",Agent01_Loans!H17)</f>
        <v/>
      </c>
      <c r="I5" s="43" t="str">
        <f>IF(Agent01_Loans!B17="","",Agent01_Loans!I17)</f>
        <v/>
      </c>
      <c r="J5" s="43" t="str">
        <f>IF(Agent01_Loans!B17="","",Agent01_Loans!J17)</f>
        <v/>
      </c>
      <c r="K5" s="40" t="str">
        <f>IF(Agent01_Loans!B17="","",Agent01_Loans!K17)</f>
        <v/>
      </c>
      <c r="L5" s="40" t="str">
        <f>IF(Agent01_Loans!B17="","",Agent01_Loans!L17)</f>
        <v/>
      </c>
      <c r="M5" s="40" t="str">
        <f>IFERROR(IF(Agent01_Loans!B17="","",YEAR(Agent01_Loans!D17)),"")</f>
        <v/>
      </c>
    </row>
    <row r="6" spans="1:13" ht="18" customHeight="1" x14ac:dyDescent="0.25">
      <c r="A6" s="40" t="str">
        <f>IF(Agent01_Loans!B18="","",Agent01_Loans!A18)</f>
        <v/>
      </c>
      <c r="B6" s="40" t="str">
        <f>IF(Agent01_Loans!B18="","",Agent01_Loans!B18)</f>
        <v/>
      </c>
      <c r="C6" s="40" t="str">
        <f>IF(Agent01_Loans!B18="","",Agent01_Loans!C18)</f>
        <v/>
      </c>
      <c r="D6" s="41" t="str">
        <f>IF(Agent01_Loans!B18="","",Agent01_Loans!D18)</f>
        <v/>
      </c>
      <c r="E6" s="43" t="str">
        <f>IF(Agent01_Loans!B18="","",Agent01_Loans!E18)</f>
        <v/>
      </c>
      <c r="F6" s="40" t="str">
        <f>IF(Agent01_Loans!B18="","",Agent01_Loans!F18)</f>
        <v/>
      </c>
      <c r="G6" s="40" t="str">
        <f>IF(Agent01_Loans!B18="","",Agent01_Loans!G18)</f>
        <v/>
      </c>
      <c r="H6" s="40" t="str">
        <f>IF(Agent01_Loans!B18="","",Agent01_Loans!H18)</f>
        <v/>
      </c>
      <c r="I6" s="43" t="str">
        <f>IF(Agent01_Loans!B18="","",Agent01_Loans!I18)</f>
        <v/>
      </c>
      <c r="J6" s="43" t="str">
        <f>IF(Agent01_Loans!B18="","",Agent01_Loans!J18)</f>
        <v/>
      </c>
      <c r="K6" s="40" t="str">
        <f>IF(Agent01_Loans!B18="","",Agent01_Loans!K18)</f>
        <v/>
      </c>
      <c r="L6" s="40" t="str">
        <f>IF(Agent01_Loans!B18="","",Agent01_Loans!L18)</f>
        <v/>
      </c>
      <c r="M6" s="40" t="str">
        <f>IFERROR(IF(Agent01_Loans!B18="","",YEAR(Agent01_Loans!D18)),"")</f>
        <v/>
      </c>
    </row>
    <row r="7" spans="1:13" ht="18" customHeight="1" x14ac:dyDescent="0.25">
      <c r="A7" s="40" t="str">
        <f>IF(Agent01_Loans!B19="","",Agent01_Loans!A19)</f>
        <v/>
      </c>
      <c r="B7" s="40" t="str">
        <f>IF(Agent01_Loans!B19="","",Agent01_Loans!B19)</f>
        <v/>
      </c>
      <c r="C7" s="40" t="str">
        <f>IF(Agent01_Loans!B19="","",Agent01_Loans!C19)</f>
        <v/>
      </c>
      <c r="D7" s="41" t="str">
        <f>IF(Agent01_Loans!B19="","",Agent01_Loans!D19)</f>
        <v/>
      </c>
      <c r="E7" s="43" t="str">
        <f>IF(Agent01_Loans!B19="","",Agent01_Loans!E19)</f>
        <v/>
      </c>
      <c r="F7" s="40" t="str">
        <f>IF(Agent01_Loans!B19="","",Agent01_Loans!F19)</f>
        <v/>
      </c>
      <c r="G7" s="40" t="str">
        <f>IF(Agent01_Loans!B19="","",Agent01_Loans!G19)</f>
        <v/>
      </c>
      <c r="H7" s="40" t="str">
        <f>IF(Agent01_Loans!B19="","",Agent01_Loans!H19)</f>
        <v/>
      </c>
      <c r="I7" s="43" t="str">
        <f>IF(Agent01_Loans!B19="","",Agent01_Loans!I19)</f>
        <v/>
      </c>
      <c r="J7" s="43" t="str">
        <f>IF(Agent01_Loans!B19="","",Agent01_Loans!J19)</f>
        <v/>
      </c>
      <c r="K7" s="40" t="str">
        <f>IF(Agent01_Loans!B19="","",Agent01_Loans!K19)</f>
        <v/>
      </c>
      <c r="L7" s="40" t="str">
        <f>IF(Agent01_Loans!B19="","",Agent01_Loans!L19)</f>
        <v/>
      </c>
      <c r="M7" s="40" t="str">
        <f>IFERROR(IF(Agent01_Loans!B19="","",YEAR(Agent01_Loans!D19)),"")</f>
        <v/>
      </c>
    </row>
    <row r="8" spans="1:13" ht="18" customHeight="1" x14ac:dyDescent="0.25">
      <c r="A8" s="40" t="str">
        <f>IF(Agent01_Loans!B20="","",Agent01_Loans!A20)</f>
        <v/>
      </c>
      <c r="B8" s="40" t="str">
        <f>IF(Agent01_Loans!B20="","",Agent01_Loans!B20)</f>
        <v/>
      </c>
      <c r="C8" s="40" t="str">
        <f>IF(Agent01_Loans!B20="","",Agent01_Loans!C20)</f>
        <v/>
      </c>
      <c r="D8" s="41" t="str">
        <f>IF(Agent01_Loans!B20="","",Agent01_Loans!D20)</f>
        <v/>
      </c>
      <c r="E8" s="43" t="str">
        <f>IF(Agent01_Loans!B20="","",Agent01_Loans!E20)</f>
        <v/>
      </c>
      <c r="F8" s="40" t="str">
        <f>IF(Agent01_Loans!B20="","",Agent01_Loans!F20)</f>
        <v/>
      </c>
      <c r="G8" s="40" t="str">
        <f>IF(Agent01_Loans!B20="","",Agent01_Loans!G20)</f>
        <v/>
      </c>
      <c r="H8" s="40" t="str">
        <f>IF(Agent01_Loans!B20="","",Agent01_Loans!H20)</f>
        <v/>
      </c>
      <c r="I8" s="43" t="str">
        <f>IF(Agent01_Loans!B20="","",Agent01_Loans!I20)</f>
        <v/>
      </c>
      <c r="J8" s="43" t="str">
        <f>IF(Agent01_Loans!B20="","",Agent01_Loans!J20)</f>
        <v/>
      </c>
      <c r="K8" s="40" t="str">
        <f>IF(Agent01_Loans!B20="","",Agent01_Loans!K20)</f>
        <v/>
      </c>
      <c r="L8" s="40" t="str">
        <f>IF(Agent01_Loans!B20="","",Agent01_Loans!L20)</f>
        <v/>
      </c>
      <c r="M8" s="40" t="str">
        <f>IFERROR(IF(Agent01_Loans!B20="","",YEAR(Agent01_Loans!D20)),"")</f>
        <v/>
      </c>
    </row>
    <row r="9" spans="1:13" ht="18" customHeight="1" x14ac:dyDescent="0.25">
      <c r="A9" s="40" t="str">
        <f>IF(Agent01_Loans!B21="","",Agent01_Loans!A21)</f>
        <v/>
      </c>
      <c r="B9" s="40" t="str">
        <f>IF(Agent01_Loans!B21="","",Agent01_Loans!B21)</f>
        <v/>
      </c>
      <c r="C9" s="40" t="str">
        <f>IF(Agent01_Loans!B21="","",Agent01_Loans!C21)</f>
        <v/>
      </c>
      <c r="D9" s="41" t="str">
        <f>IF(Agent01_Loans!B21="","",Agent01_Loans!D21)</f>
        <v/>
      </c>
      <c r="E9" s="43" t="str">
        <f>IF(Agent01_Loans!B21="","",Agent01_Loans!E21)</f>
        <v/>
      </c>
      <c r="F9" s="40" t="str">
        <f>IF(Agent01_Loans!B21="","",Agent01_Loans!F21)</f>
        <v/>
      </c>
      <c r="G9" s="40" t="str">
        <f>IF(Agent01_Loans!B21="","",Agent01_Loans!G21)</f>
        <v/>
      </c>
      <c r="H9" s="40" t="str">
        <f>IF(Agent01_Loans!B21="","",Agent01_Loans!H21)</f>
        <v/>
      </c>
      <c r="I9" s="43" t="str">
        <f>IF(Agent01_Loans!B21="","",Agent01_Loans!I21)</f>
        <v/>
      </c>
      <c r="J9" s="43" t="str">
        <f>IF(Agent01_Loans!B21="","",Agent01_Loans!J21)</f>
        <v/>
      </c>
      <c r="K9" s="40" t="str">
        <f>IF(Agent01_Loans!B21="","",Agent01_Loans!K21)</f>
        <v/>
      </c>
      <c r="L9" s="40" t="str">
        <f>IF(Agent01_Loans!B21="","",Agent01_Loans!L21)</f>
        <v/>
      </c>
      <c r="M9" s="40" t="str">
        <f>IFERROR(IF(Agent01_Loans!B21="","",YEAR(Agent01_Loans!D21)),"")</f>
        <v/>
      </c>
    </row>
    <row r="10" spans="1:13" ht="18" customHeight="1" x14ac:dyDescent="0.25">
      <c r="A10" s="40" t="str">
        <f>IF(Agent01_Loans!B22="","",Agent01_Loans!A22)</f>
        <v/>
      </c>
      <c r="B10" s="40" t="str">
        <f>IF(Agent01_Loans!B22="","",Agent01_Loans!B22)</f>
        <v/>
      </c>
      <c r="C10" s="40" t="str">
        <f>IF(Agent01_Loans!B22="","",Agent01_Loans!C22)</f>
        <v/>
      </c>
      <c r="D10" s="41" t="str">
        <f>IF(Agent01_Loans!B22="","",Agent01_Loans!D22)</f>
        <v/>
      </c>
      <c r="E10" s="43" t="str">
        <f>IF(Agent01_Loans!B22="","",Agent01_Loans!E22)</f>
        <v/>
      </c>
      <c r="F10" s="40" t="str">
        <f>IF(Agent01_Loans!B22="","",Agent01_Loans!F22)</f>
        <v/>
      </c>
      <c r="G10" s="40" t="str">
        <f>IF(Agent01_Loans!B22="","",Agent01_Loans!G22)</f>
        <v/>
      </c>
      <c r="H10" s="40" t="str">
        <f>IF(Agent01_Loans!B22="","",Agent01_Loans!H22)</f>
        <v/>
      </c>
      <c r="I10" s="43" t="str">
        <f>IF(Agent01_Loans!B22="","",Agent01_Loans!I22)</f>
        <v/>
      </c>
      <c r="J10" s="43" t="str">
        <f>IF(Agent01_Loans!B22="","",Agent01_Loans!J22)</f>
        <v/>
      </c>
      <c r="K10" s="40" t="str">
        <f>IF(Agent01_Loans!B22="","",Agent01_Loans!K22)</f>
        <v/>
      </c>
      <c r="L10" s="40" t="str">
        <f>IF(Agent01_Loans!B22="","",Agent01_Loans!L22)</f>
        <v/>
      </c>
      <c r="M10" s="40" t="str">
        <f>IFERROR(IF(Agent01_Loans!B22="","",YEAR(Agent01_Loans!D22)),"")</f>
        <v/>
      </c>
    </row>
    <row r="11" spans="1:13" ht="18" customHeight="1" x14ac:dyDescent="0.25">
      <c r="A11" s="40" t="str">
        <f>IF(Agent01_Loans!B23="","",Agent01_Loans!A23)</f>
        <v/>
      </c>
      <c r="B11" s="40" t="str">
        <f>IF(Agent01_Loans!B23="","",Agent01_Loans!B23)</f>
        <v/>
      </c>
      <c r="C11" s="40" t="str">
        <f>IF(Agent01_Loans!B23="","",Agent01_Loans!C23)</f>
        <v/>
      </c>
      <c r="D11" s="41" t="str">
        <f>IF(Agent01_Loans!B23="","",Agent01_Loans!D23)</f>
        <v/>
      </c>
      <c r="E11" s="43" t="str">
        <f>IF(Agent01_Loans!B23="","",Agent01_Loans!E23)</f>
        <v/>
      </c>
      <c r="F11" s="40" t="str">
        <f>IF(Agent01_Loans!B23="","",Agent01_Loans!F23)</f>
        <v/>
      </c>
      <c r="G11" s="40" t="str">
        <f>IF(Agent01_Loans!B23="","",Agent01_Loans!G23)</f>
        <v/>
      </c>
      <c r="H11" s="40" t="str">
        <f>IF(Agent01_Loans!B23="","",Agent01_Loans!H23)</f>
        <v/>
      </c>
      <c r="I11" s="43" t="str">
        <f>IF(Agent01_Loans!B23="","",Agent01_Loans!I23)</f>
        <v/>
      </c>
      <c r="J11" s="43" t="str">
        <f>IF(Agent01_Loans!B23="","",Agent01_Loans!J23)</f>
        <v/>
      </c>
      <c r="K11" s="40" t="str">
        <f>IF(Agent01_Loans!B23="","",Agent01_Loans!K23)</f>
        <v/>
      </c>
      <c r="L11" s="40" t="str">
        <f>IF(Agent01_Loans!B23="","",Agent01_Loans!L23)</f>
        <v/>
      </c>
      <c r="M11" s="40" t="str">
        <f>IFERROR(IF(Agent01_Loans!B23="","",YEAR(Agent01_Loans!D23)),"")</f>
        <v/>
      </c>
    </row>
    <row r="12" spans="1:13" ht="18" customHeight="1" x14ac:dyDescent="0.25">
      <c r="A12" s="40" t="str">
        <f>IF(Agent01_Loans!B24="","",Agent01_Loans!A24)</f>
        <v/>
      </c>
      <c r="B12" s="40" t="str">
        <f>IF(Agent01_Loans!B24="","",Agent01_Loans!B24)</f>
        <v/>
      </c>
      <c r="C12" s="40" t="str">
        <f>IF(Agent01_Loans!B24="","",Agent01_Loans!C24)</f>
        <v/>
      </c>
      <c r="D12" s="41" t="str">
        <f>IF(Agent01_Loans!B24="","",Agent01_Loans!D24)</f>
        <v/>
      </c>
      <c r="E12" s="43" t="str">
        <f>IF(Agent01_Loans!B24="","",Agent01_Loans!E24)</f>
        <v/>
      </c>
      <c r="F12" s="40" t="str">
        <f>IF(Agent01_Loans!B24="","",Agent01_Loans!F24)</f>
        <v/>
      </c>
      <c r="G12" s="40" t="str">
        <f>IF(Agent01_Loans!B24="","",Agent01_Loans!G24)</f>
        <v/>
      </c>
      <c r="H12" s="40" t="str">
        <f>IF(Agent01_Loans!B24="","",Agent01_Loans!H24)</f>
        <v/>
      </c>
      <c r="I12" s="43" t="str">
        <f>IF(Agent01_Loans!B24="","",Agent01_Loans!I24)</f>
        <v/>
      </c>
      <c r="J12" s="43" t="str">
        <f>IF(Agent01_Loans!B24="","",Agent01_Loans!J24)</f>
        <v/>
      </c>
      <c r="K12" s="40" t="str">
        <f>IF(Agent01_Loans!B24="","",Agent01_Loans!K24)</f>
        <v/>
      </c>
      <c r="L12" s="40" t="str">
        <f>IF(Agent01_Loans!B24="","",Agent01_Loans!L24)</f>
        <v/>
      </c>
      <c r="M12" s="40" t="str">
        <f>IFERROR(IF(Agent01_Loans!B24="","",YEAR(Agent01_Loans!D24)),"")</f>
        <v/>
      </c>
    </row>
    <row r="13" spans="1:13" ht="18" customHeight="1" x14ac:dyDescent="0.25">
      <c r="A13" s="40" t="str">
        <f>IF(Agent01_Loans!B25="","",Agent01_Loans!A25)</f>
        <v/>
      </c>
      <c r="B13" s="40" t="str">
        <f>IF(Agent01_Loans!B25="","",Agent01_Loans!B25)</f>
        <v/>
      </c>
      <c r="C13" s="40" t="str">
        <f>IF(Agent01_Loans!B25="","",Agent01_Loans!C25)</f>
        <v/>
      </c>
      <c r="D13" s="41" t="str">
        <f>IF(Agent01_Loans!B25="","",Agent01_Loans!D25)</f>
        <v/>
      </c>
      <c r="E13" s="43" t="str">
        <f>IF(Agent01_Loans!B25="","",Agent01_Loans!E25)</f>
        <v/>
      </c>
      <c r="F13" s="40" t="str">
        <f>IF(Agent01_Loans!B25="","",Agent01_Loans!F25)</f>
        <v/>
      </c>
      <c r="G13" s="40" t="str">
        <f>IF(Agent01_Loans!B25="","",Agent01_Loans!G25)</f>
        <v/>
      </c>
      <c r="H13" s="40" t="str">
        <f>IF(Agent01_Loans!B25="","",Agent01_Loans!H25)</f>
        <v/>
      </c>
      <c r="I13" s="43" t="str">
        <f>IF(Agent01_Loans!B25="","",Agent01_Loans!I25)</f>
        <v/>
      </c>
      <c r="J13" s="43" t="str">
        <f>IF(Agent01_Loans!B25="","",Agent01_Loans!J25)</f>
        <v/>
      </c>
      <c r="K13" s="40" t="str">
        <f>IF(Agent01_Loans!B25="","",Agent01_Loans!K25)</f>
        <v/>
      </c>
      <c r="L13" s="40" t="str">
        <f>IF(Agent01_Loans!B25="","",Agent01_Loans!L25)</f>
        <v/>
      </c>
      <c r="M13" s="40" t="str">
        <f>IFERROR(IF(Agent01_Loans!B25="","",YEAR(Agent01_Loans!D25)),"")</f>
        <v/>
      </c>
    </row>
    <row r="14" spans="1:13" ht="18" customHeight="1" x14ac:dyDescent="0.25">
      <c r="A14" s="40" t="str">
        <f>IF(Agent01_Loans!B26="","",Agent01_Loans!A26)</f>
        <v/>
      </c>
      <c r="B14" s="40" t="str">
        <f>IF(Agent01_Loans!B26="","",Agent01_Loans!B26)</f>
        <v/>
      </c>
      <c r="C14" s="40" t="str">
        <f>IF(Agent01_Loans!B26="","",Agent01_Loans!C26)</f>
        <v/>
      </c>
      <c r="D14" s="41" t="str">
        <f>IF(Agent01_Loans!B26="","",Agent01_Loans!D26)</f>
        <v/>
      </c>
      <c r="E14" s="43" t="str">
        <f>IF(Agent01_Loans!B26="","",Agent01_Loans!E26)</f>
        <v/>
      </c>
      <c r="F14" s="40" t="str">
        <f>IF(Agent01_Loans!B26="","",Agent01_Loans!F26)</f>
        <v/>
      </c>
      <c r="G14" s="40" t="str">
        <f>IF(Agent01_Loans!B26="","",Agent01_Loans!G26)</f>
        <v/>
      </c>
      <c r="H14" s="40" t="str">
        <f>IF(Agent01_Loans!B26="","",Agent01_Loans!H26)</f>
        <v/>
      </c>
      <c r="I14" s="43" t="str">
        <f>IF(Agent01_Loans!B26="","",Agent01_Loans!I26)</f>
        <v/>
      </c>
      <c r="J14" s="43" t="str">
        <f>IF(Agent01_Loans!B26="","",Agent01_Loans!J26)</f>
        <v/>
      </c>
      <c r="K14" s="40" t="str">
        <f>IF(Agent01_Loans!B26="","",Agent01_Loans!K26)</f>
        <v/>
      </c>
      <c r="L14" s="40" t="str">
        <f>IF(Agent01_Loans!B26="","",Agent01_Loans!L26)</f>
        <v/>
      </c>
      <c r="M14" s="40" t="str">
        <f>IFERROR(IF(Agent01_Loans!B26="","",YEAR(Agent01_Loans!D26)),"")</f>
        <v/>
      </c>
    </row>
    <row r="15" spans="1:13" ht="18" customHeight="1" x14ac:dyDescent="0.25">
      <c r="A15" s="40" t="str">
        <f>IF(Agent01_Loans!B27="","",Agent01_Loans!A27)</f>
        <v/>
      </c>
      <c r="B15" s="40" t="str">
        <f>IF(Agent01_Loans!B27="","",Agent01_Loans!B27)</f>
        <v/>
      </c>
      <c r="C15" s="40" t="str">
        <f>IF(Agent01_Loans!B27="","",Agent01_Loans!C27)</f>
        <v/>
      </c>
      <c r="D15" s="41" t="str">
        <f>IF(Agent01_Loans!B27="","",Agent01_Loans!D27)</f>
        <v/>
      </c>
      <c r="E15" s="43" t="str">
        <f>IF(Agent01_Loans!B27="","",Agent01_Loans!E27)</f>
        <v/>
      </c>
      <c r="F15" s="40" t="str">
        <f>IF(Agent01_Loans!B27="","",Agent01_Loans!F27)</f>
        <v/>
      </c>
      <c r="G15" s="40" t="str">
        <f>IF(Agent01_Loans!B27="","",Agent01_Loans!G27)</f>
        <v/>
      </c>
      <c r="H15" s="40" t="str">
        <f>IF(Agent01_Loans!B27="","",Agent01_Loans!H27)</f>
        <v/>
      </c>
      <c r="I15" s="43" t="str">
        <f>IF(Agent01_Loans!B27="","",Agent01_Loans!I27)</f>
        <v/>
      </c>
      <c r="J15" s="43" t="str">
        <f>IF(Agent01_Loans!B27="","",Agent01_Loans!J27)</f>
        <v/>
      </c>
      <c r="K15" s="40" t="str">
        <f>IF(Agent01_Loans!B27="","",Agent01_Loans!K27)</f>
        <v/>
      </c>
      <c r="L15" s="40" t="str">
        <f>IF(Agent01_Loans!B27="","",Agent01_Loans!L27)</f>
        <v/>
      </c>
      <c r="M15" s="40" t="str">
        <f>IFERROR(IF(Agent01_Loans!B27="","",YEAR(Agent01_Loans!D27)),"")</f>
        <v/>
      </c>
    </row>
    <row r="16" spans="1:13" ht="18" customHeight="1" x14ac:dyDescent="0.25">
      <c r="A16" s="40" t="str">
        <f>IF(Agent01_Loans!B28="","",Agent01_Loans!A28)</f>
        <v/>
      </c>
      <c r="B16" s="40" t="str">
        <f>IF(Agent01_Loans!B28="","",Agent01_Loans!B28)</f>
        <v/>
      </c>
      <c r="C16" s="40" t="str">
        <f>IF(Agent01_Loans!B28="","",Agent01_Loans!C28)</f>
        <v/>
      </c>
      <c r="D16" s="41" t="str">
        <f>IF(Agent01_Loans!B28="","",Agent01_Loans!D28)</f>
        <v/>
      </c>
      <c r="E16" s="43" t="str">
        <f>IF(Agent01_Loans!B28="","",Agent01_Loans!E28)</f>
        <v/>
      </c>
      <c r="F16" s="40" t="str">
        <f>IF(Agent01_Loans!B28="","",Agent01_Loans!F28)</f>
        <v/>
      </c>
      <c r="G16" s="40" t="str">
        <f>IF(Agent01_Loans!B28="","",Agent01_Loans!G28)</f>
        <v/>
      </c>
      <c r="H16" s="40" t="str">
        <f>IF(Agent01_Loans!B28="","",Agent01_Loans!H28)</f>
        <v/>
      </c>
      <c r="I16" s="43" t="str">
        <f>IF(Agent01_Loans!B28="","",Agent01_Loans!I28)</f>
        <v/>
      </c>
      <c r="J16" s="43" t="str">
        <f>IF(Agent01_Loans!B28="","",Agent01_Loans!J28)</f>
        <v/>
      </c>
      <c r="K16" s="40" t="str">
        <f>IF(Agent01_Loans!B28="","",Agent01_Loans!K28)</f>
        <v/>
      </c>
      <c r="L16" s="40" t="str">
        <f>IF(Agent01_Loans!B28="","",Agent01_Loans!L28)</f>
        <v/>
      </c>
      <c r="M16" s="40" t="str">
        <f>IFERROR(IF(Agent01_Loans!B28="","",YEAR(Agent01_Loans!D28)),"")</f>
        <v/>
      </c>
    </row>
    <row r="17" spans="1:13" ht="18" customHeight="1" x14ac:dyDescent="0.25">
      <c r="A17" s="40" t="str">
        <f>IF(Agent01_Loans!B29="","",Agent01_Loans!A29)</f>
        <v/>
      </c>
      <c r="B17" s="40" t="str">
        <f>IF(Agent01_Loans!B29="","",Agent01_Loans!B29)</f>
        <v/>
      </c>
      <c r="C17" s="40" t="str">
        <f>IF(Agent01_Loans!B29="","",Agent01_Loans!C29)</f>
        <v/>
      </c>
      <c r="D17" s="41" t="str">
        <f>IF(Agent01_Loans!B29="","",Agent01_Loans!D29)</f>
        <v/>
      </c>
      <c r="E17" s="43" t="str">
        <f>IF(Agent01_Loans!B29="","",Agent01_Loans!E29)</f>
        <v/>
      </c>
      <c r="F17" s="40" t="str">
        <f>IF(Agent01_Loans!B29="","",Agent01_Loans!F29)</f>
        <v/>
      </c>
      <c r="G17" s="40" t="str">
        <f>IF(Agent01_Loans!B29="","",Agent01_Loans!G29)</f>
        <v/>
      </c>
      <c r="H17" s="40" t="str">
        <f>IF(Agent01_Loans!B29="","",Agent01_Loans!H29)</f>
        <v/>
      </c>
      <c r="I17" s="43" t="str">
        <f>IF(Agent01_Loans!B29="","",Agent01_Loans!I29)</f>
        <v/>
      </c>
      <c r="J17" s="43" t="str">
        <f>IF(Agent01_Loans!B29="","",Agent01_Loans!J29)</f>
        <v/>
      </c>
      <c r="K17" s="40" t="str">
        <f>IF(Agent01_Loans!B29="","",Agent01_Loans!K29)</f>
        <v/>
      </c>
      <c r="L17" s="40" t="str">
        <f>IF(Agent01_Loans!B29="","",Agent01_Loans!L29)</f>
        <v/>
      </c>
      <c r="M17" s="40" t="str">
        <f>IFERROR(IF(Agent01_Loans!B29="","",YEAR(Agent01_Loans!D29)),"")</f>
        <v/>
      </c>
    </row>
    <row r="18" spans="1:13" ht="18" customHeight="1" x14ac:dyDescent="0.25">
      <c r="A18" s="40" t="str">
        <f>IF(Agent01_Loans!B30="","",Agent01_Loans!A30)</f>
        <v/>
      </c>
      <c r="B18" s="40" t="str">
        <f>IF(Agent01_Loans!B30="","",Agent01_Loans!B30)</f>
        <v/>
      </c>
      <c r="C18" s="40" t="str">
        <f>IF(Agent01_Loans!B30="","",Agent01_Loans!C30)</f>
        <v/>
      </c>
      <c r="D18" s="41" t="str">
        <f>IF(Agent01_Loans!B30="","",Agent01_Loans!D30)</f>
        <v/>
      </c>
      <c r="E18" s="43" t="str">
        <f>IF(Agent01_Loans!B30="","",Agent01_Loans!E30)</f>
        <v/>
      </c>
      <c r="F18" s="40" t="str">
        <f>IF(Agent01_Loans!B30="","",Agent01_Loans!F30)</f>
        <v/>
      </c>
      <c r="G18" s="40" t="str">
        <f>IF(Agent01_Loans!B30="","",Agent01_Loans!G30)</f>
        <v/>
      </c>
      <c r="H18" s="40" t="str">
        <f>IF(Agent01_Loans!B30="","",Agent01_Loans!H30)</f>
        <v/>
      </c>
      <c r="I18" s="43" t="str">
        <f>IF(Agent01_Loans!B30="","",Agent01_Loans!I30)</f>
        <v/>
      </c>
      <c r="J18" s="43" t="str">
        <f>IF(Agent01_Loans!B30="","",Agent01_Loans!J30)</f>
        <v/>
      </c>
      <c r="K18" s="40" t="str">
        <f>IF(Agent01_Loans!B30="","",Agent01_Loans!K30)</f>
        <v/>
      </c>
      <c r="L18" s="40" t="str">
        <f>IF(Agent01_Loans!B30="","",Agent01_Loans!L30)</f>
        <v/>
      </c>
      <c r="M18" s="40" t="str">
        <f>IFERROR(IF(Agent01_Loans!B30="","",YEAR(Agent01_Loans!D30)),"")</f>
        <v/>
      </c>
    </row>
    <row r="19" spans="1:13" ht="18" customHeight="1" x14ac:dyDescent="0.25">
      <c r="A19" s="40" t="str">
        <f>IF(Agent01_Loans!B31="","",Agent01_Loans!A31)</f>
        <v/>
      </c>
      <c r="B19" s="40" t="str">
        <f>IF(Agent01_Loans!B31="","",Agent01_Loans!B31)</f>
        <v/>
      </c>
      <c r="C19" s="40" t="str">
        <f>IF(Agent01_Loans!B31="","",Agent01_Loans!C31)</f>
        <v/>
      </c>
      <c r="D19" s="41" t="str">
        <f>IF(Agent01_Loans!B31="","",Agent01_Loans!D31)</f>
        <v/>
      </c>
      <c r="E19" s="43" t="str">
        <f>IF(Agent01_Loans!B31="","",Agent01_Loans!E31)</f>
        <v/>
      </c>
      <c r="F19" s="40" t="str">
        <f>IF(Agent01_Loans!B31="","",Agent01_Loans!F31)</f>
        <v/>
      </c>
      <c r="G19" s="40" t="str">
        <f>IF(Agent01_Loans!B31="","",Agent01_Loans!G31)</f>
        <v/>
      </c>
      <c r="H19" s="40" t="str">
        <f>IF(Agent01_Loans!B31="","",Agent01_Loans!H31)</f>
        <v/>
      </c>
      <c r="I19" s="43" t="str">
        <f>IF(Agent01_Loans!B31="","",Agent01_Loans!I31)</f>
        <v/>
      </c>
      <c r="J19" s="43" t="str">
        <f>IF(Agent01_Loans!B31="","",Agent01_Loans!J31)</f>
        <v/>
      </c>
      <c r="K19" s="40" t="str">
        <f>IF(Agent01_Loans!B31="","",Agent01_Loans!K31)</f>
        <v/>
      </c>
      <c r="L19" s="40" t="str">
        <f>IF(Agent01_Loans!B31="","",Agent01_Loans!L31)</f>
        <v/>
      </c>
      <c r="M19" s="40" t="str">
        <f>IFERROR(IF(Agent01_Loans!B31="","",YEAR(Agent01_Loans!D31)),"")</f>
        <v/>
      </c>
    </row>
    <row r="20" spans="1:13" ht="18" customHeight="1" x14ac:dyDescent="0.25">
      <c r="A20" s="40" t="str">
        <f>IF(Agent01_Loans!B32="","",Agent01_Loans!A32)</f>
        <v/>
      </c>
      <c r="B20" s="40" t="str">
        <f>IF(Agent01_Loans!B32="","",Agent01_Loans!B32)</f>
        <v/>
      </c>
      <c r="C20" s="40" t="str">
        <f>IF(Agent01_Loans!B32="","",Agent01_Loans!C32)</f>
        <v/>
      </c>
      <c r="D20" s="41" t="str">
        <f>IF(Agent01_Loans!B32="","",Agent01_Loans!D32)</f>
        <v/>
      </c>
      <c r="E20" s="43" t="str">
        <f>IF(Agent01_Loans!B32="","",Agent01_Loans!E32)</f>
        <v/>
      </c>
      <c r="F20" s="40" t="str">
        <f>IF(Agent01_Loans!B32="","",Agent01_Loans!F32)</f>
        <v/>
      </c>
      <c r="G20" s="40" t="str">
        <f>IF(Agent01_Loans!B32="","",Agent01_Loans!G32)</f>
        <v/>
      </c>
      <c r="H20" s="40" t="str">
        <f>IF(Agent01_Loans!B32="","",Agent01_Loans!H32)</f>
        <v/>
      </c>
      <c r="I20" s="43" t="str">
        <f>IF(Agent01_Loans!B32="","",Agent01_Loans!I32)</f>
        <v/>
      </c>
      <c r="J20" s="43" t="str">
        <f>IF(Agent01_Loans!B32="","",Agent01_Loans!J32)</f>
        <v/>
      </c>
      <c r="K20" s="40" t="str">
        <f>IF(Agent01_Loans!B32="","",Agent01_Loans!K32)</f>
        <v/>
      </c>
      <c r="L20" s="40" t="str">
        <f>IF(Agent01_Loans!B32="","",Agent01_Loans!L32)</f>
        <v/>
      </c>
      <c r="M20" s="40" t="str">
        <f>IFERROR(IF(Agent01_Loans!B32="","",YEAR(Agent01_Loans!D32)),"")</f>
        <v/>
      </c>
    </row>
    <row r="21" spans="1:13" ht="18" customHeight="1" x14ac:dyDescent="0.25">
      <c r="A21" s="40" t="str">
        <f>IF(Agent01_Loans!B33="","",Agent01_Loans!A33)</f>
        <v/>
      </c>
      <c r="B21" s="40" t="str">
        <f>IF(Agent01_Loans!B33="","",Agent01_Loans!B33)</f>
        <v/>
      </c>
      <c r="C21" s="40" t="str">
        <f>IF(Agent01_Loans!B33="","",Agent01_Loans!C33)</f>
        <v/>
      </c>
      <c r="D21" s="41" t="str">
        <f>IF(Agent01_Loans!B33="","",Agent01_Loans!D33)</f>
        <v/>
      </c>
      <c r="E21" s="43" t="str">
        <f>IF(Agent01_Loans!B33="","",Agent01_Loans!E33)</f>
        <v/>
      </c>
      <c r="F21" s="40" t="str">
        <f>IF(Agent01_Loans!B33="","",Agent01_Loans!F33)</f>
        <v/>
      </c>
      <c r="G21" s="40" t="str">
        <f>IF(Agent01_Loans!B33="","",Agent01_Loans!G33)</f>
        <v/>
      </c>
      <c r="H21" s="40" t="str">
        <f>IF(Agent01_Loans!B33="","",Agent01_Loans!H33)</f>
        <v/>
      </c>
      <c r="I21" s="43" t="str">
        <f>IF(Agent01_Loans!B33="","",Agent01_Loans!I33)</f>
        <v/>
      </c>
      <c r="J21" s="43" t="str">
        <f>IF(Agent01_Loans!B33="","",Agent01_Loans!J33)</f>
        <v/>
      </c>
      <c r="K21" s="40" t="str">
        <f>IF(Agent01_Loans!B33="","",Agent01_Loans!K33)</f>
        <v/>
      </c>
      <c r="L21" s="40" t="str">
        <f>IF(Agent01_Loans!B33="","",Agent01_Loans!L33)</f>
        <v/>
      </c>
      <c r="M21" s="40" t="str">
        <f>IFERROR(IF(Agent01_Loans!B33="","",YEAR(Agent01_Loans!D33)),"")</f>
        <v/>
      </c>
    </row>
    <row r="22" spans="1:13" ht="18" customHeight="1" x14ac:dyDescent="0.25">
      <c r="A22" s="40" t="str">
        <f>IF(Agent01_Loans!B34="","",Agent01_Loans!A34)</f>
        <v/>
      </c>
      <c r="B22" s="40" t="str">
        <f>IF(Agent01_Loans!B34="","",Agent01_Loans!B34)</f>
        <v/>
      </c>
      <c r="C22" s="40" t="str">
        <f>IF(Agent01_Loans!B34="","",Agent01_Loans!C34)</f>
        <v/>
      </c>
      <c r="D22" s="41" t="str">
        <f>IF(Agent01_Loans!B34="","",Agent01_Loans!D34)</f>
        <v/>
      </c>
      <c r="E22" s="43" t="str">
        <f>IF(Agent01_Loans!B34="","",Agent01_Loans!E34)</f>
        <v/>
      </c>
      <c r="F22" s="40" t="str">
        <f>IF(Agent01_Loans!B34="","",Agent01_Loans!F34)</f>
        <v/>
      </c>
      <c r="G22" s="40" t="str">
        <f>IF(Agent01_Loans!B34="","",Agent01_Loans!G34)</f>
        <v/>
      </c>
      <c r="H22" s="40" t="str">
        <f>IF(Agent01_Loans!B34="","",Agent01_Loans!H34)</f>
        <v/>
      </c>
      <c r="I22" s="43" t="str">
        <f>IF(Agent01_Loans!B34="","",Agent01_Loans!I34)</f>
        <v/>
      </c>
      <c r="J22" s="43" t="str">
        <f>IF(Agent01_Loans!B34="","",Agent01_Loans!J34)</f>
        <v/>
      </c>
      <c r="K22" s="40" t="str">
        <f>IF(Agent01_Loans!B34="","",Agent01_Loans!K34)</f>
        <v/>
      </c>
      <c r="L22" s="40" t="str">
        <f>IF(Agent01_Loans!B34="","",Agent01_Loans!L34)</f>
        <v/>
      </c>
      <c r="M22" s="40" t="str">
        <f>IFERROR(IF(Agent01_Loans!B34="","",YEAR(Agent01_Loans!D34)),"")</f>
        <v/>
      </c>
    </row>
    <row r="23" spans="1:13" ht="18" customHeight="1" x14ac:dyDescent="0.25">
      <c r="A23" s="40" t="str">
        <f>IF(Agent01_Loans!B35="","",Agent01_Loans!A35)</f>
        <v/>
      </c>
      <c r="B23" s="40" t="str">
        <f>IF(Agent01_Loans!B35="","",Agent01_Loans!B35)</f>
        <v/>
      </c>
      <c r="C23" s="40" t="str">
        <f>IF(Agent01_Loans!B35="","",Agent01_Loans!C35)</f>
        <v/>
      </c>
      <c r="D23" s="41" t="str">
        <f>IF(Agent01_Loans!B35="","",Agent01_Loans!D35)</f>
        <v/>
      </c>
      <c r="E23" s="43" t="str">
        <f>IF(Agent01_Loans!B35="","",Agent01_Loans!E35)</f>
        <v/>
      </c>
      <c r="F23" s="40" t="str">
        <f>IF(Agent01_Loans!B35="","",Agent01_Loans!F35)</f>
        <v/>
      </c>
      <c r="G23" s="40" t="str">
        <f>IF(Agent01_Loans!B35="","",Agent01_Loans!G35)</f>
        <v/>
      </c>
      <c r="H23" s="40" t="str">
        <f>IF(Agent01_Loans!B35="","",Agent01_Loans!H35)</f>
        <v/>
      </c>
      <c r="I23" s="43" t="str">
        <f>IF(Agent01_Loans!B35="","",Agent01_Loans!I35)</f>
        <v/>
      </c>
      <c r="J23" s="43" t="str">
        <f>IF(Agent01_Loans!B35="","",Agent01_Loans!J35)</f>
        <v/>
      </c>
      <c r="K23" s="40" t="str">
        <f>IF(Agent01_Loans!B35="","",Agent01_Loans!K35)</f>
        <v/>
      </c>
      <c r="L23" s="40" t="str">
        <f>IF(Agent01_Loans!B35="","",Agent01_Loans!L35)</f>
        <v/>
      </c>
      <c r="M23" s="40" t="str">
        <f>IFERROR(IF(Agent01_Loans!B35="","",YEAR(Agent01_Loans!D35)),"")</f>
        <v/>
      </c>
    </row>
    <row r="24" spans="1:13" ht="18" customHeight="1" x14ac:dyDescent="0.25">
      <c r="A24" s="40" t="str">
        <f>IF(Agent01_Loans!B36="","",Agent01_Loans!A36)</f>
        <v/>
      </c>
      <c r="B24" s="40" t="str">
        <f>IF(Agent01_Loans!B36="","",Agent01_Loans!B36)</f>
        <v/>
      </c>
      <c r="C24" s="40" t="str">
        <f>IF(Agent01_Loans!B36="","",Agent01_Loans!C36)</f>
        <v/>
      </c>
      <c r="D24" s="41" t="str">
        <f>IF(Agent01_Loans!B36="","",Agent01_Loans!D36)</f>
        <v/>
      </c>
      <c r="E24" s="43" t="str">
        <f>IF(Agent01_Loans!B36="","",Agent01_Loans!E36)</f>
        <v/>
      </c>
      <c r="F24" s="40" t="str">
        <f>IF(Agent01_Loans!B36="","",Agent01_Loans!F36)</f>
        <v/>
      </c>
      <c r="G24" s="40" t="str">
        <f>IF(Agent01_Loans!B36="","",Agent01_Loans!G36)</f>
        <v/>
      </c>
      <c r="H24" s="40" t="str">
        <f>IF(Agent01_Loans!B36="","",Agent01_Loans!H36)</f>
        <v/>
      </c>
      <c r="I24" s="43" t="str">
        <f>IF(Agent01_Loans!B36="","",Agent01_Loans!I36)</f>
        <v/>
      </c>
      <c r="J24" s="43" t="str">
        <f>IF(Agent01_Loans!B36="","",Agent01_Loans!J36)</f>
        <v/>
      </c>
      <c r="K24" s="40" t="str">
        <f>IF(Agent01_Loans!B36="","",Agent01_Loans!K36)</f>
        <v/>
      </c>
      <c r="L24" s="40" t="str">
        <f>IF(Agent01_Loans!B36="","",Agent01_Loans!L36)</f>
        <v/>
      </c>
      <c r="M24" s="40" t="str">
        <f>IFERROR(IF(Agent01_Loans!B36="","",YEAR(Agent01_Loans!D36)),"")</f>
        <v/>
      </c>
    </row>
    <row r="25" spans="1:13" ht="18" customHeight="1" x14ac:dyDescent="0.25">
      <c r="A25" s="40" t="str">
        <f>IF(Agent01_Loans!B37="","",Agent01_Loans!A37)</f>
        <v/>
      </c>
      <c r="B25" s="40" t="str">
        <f>IF(Agent01_Loans!B37="","",Agent01_Loans!B37)</f>
        <v/>
      </c>
      <c r="C25" s="40" t="str">
        <f>IF(Agent01_Loans!B37="","",Agent01_Loans!C37)</f>
        <v/>
      </c>
      <c r="D25" s="41" t="str">
        <f>IF(Agent01_Loans!B37="","",Agent01_Loans!D37)</f>
        <v/>
      </c>
      <c r="E25" s="43" t="str">
        <f>IF(Agent01_Loans!B37="","",Agent01_Loans!E37)</f>
        <v/>
      </c>
      <c r="F25" s="40" t="str">
        <f>IF(Agent01_Loans!B37="","",Agent01_Loans!F37)</f>
        <v/>
      </c>
      <c r="G25" s="40" t="str">
        <f>IF(Agent01_Loans!B37="","",Agent01_Loans!G37)</f>
        <v/>
      </c>
      <c r="H25" s="40" t="str">
        <f>IF(Agent01_Loans!B37="","",Agent01_Loans!H37)</f>
        <v/>
      </c>
      <c r="I25" s="43" t="str">
        <f>IF(Agent01_Loans!B37="","",Agent01_Loans!I37)</f>
        <v/>
      </c>
      <c r="J25" s="43" t="str">
        <f>IF(Agent01_Loans!B37="","",Agent01_Loans!J37)</f>
        <v/>
      </c>
      <c r="K25" s="40" t="str">
        <f>IF(Agent01_Loans!B37="","",Agent01_Loans!K37)</f>
        <v/>
      </c>
      <c r="L25" s="40" t="str">
        <f>IF(Agent01_Loans!B37="","",Agent01_Loans!L37)</f>
        <v/>
      </c>
      <c r="M25" s="40" t="str">
        <f>IFERROR(IF(Agent01_Loans!B37="","",YEAR(Agent01_Loans!D37)),"")</f>
        <v/>
      </c>
    </row>
    <row r="26" spans="1:13" ht="18" customHeight="1" x14ac:dyDescent="0.25">
      <c r="A26" s="40" t="str">
        <f>IF(Agent01_Loans!B38="","",Agent01_Loans!A38)</f>
        <v/>
      </c>
      <c r="B26" s="40" t="str">
        <f>IF(Agent01_Loans!B38="","",Agent01_Loans!B38)</f>
        <v/>
      </c>
      <c r="C26" s="40" t="str">
        <f>IF(Agent01_Loans!B38="","",Agent01_Loans!C38)</f>
        <v/>
      </c>
      <c r="D26" s="41" t="str">
        <f>IF(Agent01_Loans!B38="","",Agent01_Loans!D38)</f>
        <v/>
      </c>
      <c r="E26" s="43" t="str">
        <f>IF(Agent01_Loans!B38="","",Agent01_Loans!E38)</f>
        <v/>
      </c>
      <c r="F26" s="40" t="str">
        <f>IF(Agent01_Loans!B38="","",Agent01_Loans!F38)</f>
        <v/>
      </c>
      <c r="G26" s="40" t="str">
        <f>IF(Agent01_Loans!B38="","",Agent01_Loans!G38)</f>
        <v/>
      </c>
      <c r="H26" s="40" t="str">
        <f>IF(Agent01_Loans!B38="","",Agent01_Loans!H38)</f>
        <v/>
      </c>
      <c r="I26" s="43" t="str">
        <f>IF(Agent01_Loans!B38="","",Agent01_Loans!I38)</f>
        <v/>
      </c>
      <c r="J26" s="43" t="str">
        <f>IF(Agent01_Loans!B38="","",Agent01_Loans!J38)</f>
        <v/>
      </c>
      <c r="K26" s="40" t="str">
        <f>IF(Agent01_Loans!B38="","",Agent01_Loans!K38)</f>
        <v/>
      </c>
      <c r="L26" s="40" t="str">
        <f>IF(Agent01_Loans!B38="","",Agent01_Loans!L38)</f>
        <v/>
      </c>
      <c r="M26" s="40" t="str">
        <f>IFERROR(IF(Agent01_Loans!B38="","",YEAR(Agent01_Loans!D38)),"")</f>
        <v/>
      </c>
    </row>
    <row r="27" spans="1:13" ht="18" customHeight="1" x14ac:dyDescent="0.25">
      <c r="A27" s="40" t="str">
        <f>IF(Agent01_Loans!B39="","",Agent01_Loans!A39)</f>
        <v/>
      </c>
      <c r="B27" s="40" t="str">
        <f>IF(Agent01_Loans!B39="","",Agent01_Loans!B39)</f>
        <v/>
      </c>
      <c r="C27" s="40" t="str">
        <f>IF(Agent01_Loans!B39="","",Agent01_Loans!C39)</f>
        <v/>
      </c>
      <c r="D27" s="41" t="str">
        <f>IF(Agent01_Loans!B39="","",Agent01_Loans!D39)</f>
        <v/>
      </c>
      <c r="E27" s="43" t="str">
        <f>IF(Agent01_Loans!B39="","",Agent01_Loans!E39)</f>
        <v/>
      </c>
      <c r="F27" s="40" t="str">
        <f>IF(Agent01_Loans!B39="","",Agent01_Loans!F39)</f>
        <v/>
      </c>
      <c r="G27" s="40" t="str">
        <f>IF(Agent01_Loans!B39="","",Agent01_Loans!G39)</f>
        <v/>
      </c>
      <c r="H27" s="40" t="str">
        <f>IF(Agent01_Loans!B39="","",Agent01_Loans!H39)</f>
        <v/>
      </c>
      <c r="I27" s="43" t="str">
        <f>IF(Agent01_Loans!B39="","",Agent01_Loans!I39)</f>
        <v/>
      </c>
      <c r="J27" s="43" t="str">
        <f>IF(Agent01_Loans!B39="","",Agent01_Loans!J39)</f>
        <v/>
      </c>
      <c r="K27" s="40" t="str">
        <f>IF(Agent01_Loans!B39="","",Agent01_Loans!K39)</f>
        <v/>
      </c>
      <c r="L27" s="40" t="str">
        <f>IF(Agent01_Loans!B39="","",Agent01_Loans!L39)</f>
        <v/>
      </c>
      <c r="M27" s="40" t="str">
        <f>IFERROR(IF(Agent01_Loans!B39="","",YEAR(Agent01_Loans!D39)),"")</f>
        <v/>
      </c>
    </row>
    <row r="28" spans="1:13" ht="18" customHeight="1" x14ac:dyDescent="0.25">
      <c r="A28" s="40" t="str">
        <f>IF(Agent01_Loans!B40="","",Agent01_Loans!A40)</f>
        <v/>
      </c>
      <c r="B28" s="40" t="str">
        <f>IF(Agent01_Loans!B40="","",Agent01_Loans!B40)</f>
        <v/>
      </c>
      <c r="C28" s="40" t="str">
        <f>IF(Agent01_Loans!B40="","",Agent01_Loans!C40)</f>
        <v/>
      </c>
      <c r="D28" s="41" t="str">
        <f>IF(Agent01_Loans!B40="","",Agent01_Loans!D40)</f>
        <v/>
      </c>
      <c r="E28" s="43" t="str">
        <f>IF(Agent01_Loans!B40="","",Agent01_Loans!E40)</f>
        <v/>
      </c>
      <c r="F28" s="40" t="str">
        <f>IF(Agent01_Loans!B40="","",Agent01_Loans!F40)</f>
        <v/>
      </c>
      <c r="G28" s="40" t="str">
        <f>IF(Agent01_Loans!B40="","",Agent01_Loans!G40)</f>
        <v/>
      </c>
      <c r="H28" s="40" t="str">
        <f>IF(Agent01_Loans!B40="","",Agent01_Loans!H40)</f>
        <v/>
      </c>
      <c r="I28" s="43" t="str">
        <f>IF(Agent01_Loans!B40="","",Agent01_Loans!I40)</f>
        <v/>
      </c>
      <c r="J28" s="43" t="str">
        <f>IF(Agent01_Loans!B40="","",Agent01_Loans!J40)</f>
        <v/>
      </c>
      <c r="K28" s="40" t="str">
        <f>IF(Agent01_Loans!B40="","",Agent01_Loans!K40)</f>
        <v/>
      </c>
      <c r="L28" s="40" t="str">
        <f>IF(Agent01_Loans!B40="","",Agent01_Loans!L40)</f>
        <v/>
      </c>
      <c r="M28" s="40" t="str">
        <f>IFERROR(IF(Agent01_Loans!B40="","",YEAR(Agent01_Loans!D40)),"")</f>
        <v/>
      </c>
    </row>
    <row r="29" spans="1:13" ht="18" customHeight="1" x14ac:dyDescent="0.25">
      <c r="A29" s="40" t="str">
        <f>IF(Agent01_Loans!B41="","",Agent01_Loans!A41)</f>
        <v/>
      </c>
      <c r="B29" s="40" t="str">
        <f>IF(Agent01_Loans!B41="","",Agent01_Loans!B41)</f>
        <v/>
      </c>
      <c r="C29" s="40" t="str">
        <f>IF(Agent01_Loans!B41="","",Agent01_Loans!C41)</f>
        <v/>
      </c>
      <c r="D29" s="41" t="str">
        <f>IF(Agent01_Loans!B41="","",Agent01_Loans!D41)</f>
        <v/>
      </c>
      <c r="E29" s="43" t="str">
        <f>IF(Agent01_Loans!B41="","",Agent01_Loans!E41)</f>
        <v/>
      </c>
      <c r="F29" s="40" t="str">
        <f>IF(Agent01_Loans!B41="","",Agent01_Loans!F41)</f>
        <v/>
      </c>
      <c r="G29" s="40" t="str">
        <f>IF(Agent01_Loans!B41="","",Agent01_Loans!G41)</f>
        <v/>
      </c>
      <c r="H29" s="40" t="str">
        <f>IF(Agent01_Loans!B41="","",Agent01_Loans!H41)</f>
        <v/>
      </c>
      <c r="I29" s="43" t="str">
        <f>IF(Agent01_Loans!B41="","",Agent01_Loans!I41)</f>
        <v/>
      </c>
      <c r="J29" s="43" t="str">
        <f>IF(Agent01_Loans!B41="","",Agent01_Loans!J41)</f>
        <v/>
      </c>
      <c r="K29" s="40" t="str">
        <f>IF(Agent01_Loans!B41="","",Agent01_Loans!K41)</f>
        <v/>
      </c>
      <c r="L29" s="40" t="str">
        <f>IF(Agent01_Loans!B41="","",Agent01_Loans!L41)</f>
        <v/>
      </c>
      <c r="M29" s="40" t="str">
        <f>IFERROR(IF(Agent01_Loans!B41="","",YEAR(Agent01_Loans!D41)),"")</f>
        <v/>
      </c>
    </row>
    <row r="30" spans="1:13" ht="18" customHeight="1" x14ac:dyDescent="0.25">
      <c r="A30" s="40" t="str">
        <f>IF(Agent01_Loans!B42="","",Agent01_Loans!A42)</f>
        <v/>
      </c>
      <c r="B30" s="40" t="str">
        <f>IF(Agent01_Loans!B42="","",Agent01_Loans!B42)</f>
        <v/>
      </c>
      <c r="C30" s="40" t="str">
        <f>IF(Agent01_Loans!B42="","",Agent01_Loans!C42)</f>
        <v/>
      </c>
      <c r="D30" s="41" t="str">
        <f>IF(Agent01_Loans!B42="","",Agent01_Loans!D42)</f>
        <v/>
      </c>
      <c r="E30" s="43" t="str">
        <f>IF(Agent01_Loans!B42="","",Agent01_Loans!E42)</f>
        <v/>
      </c>
      <c r="F30" s="40" t="str">
        <f>IF(Agent01_Loans!B42="","",Agent01_Loans!F42)</f>
        <v/>
      </c>
      <c r="G30" s="40" t="str">
        <f>IF(Agent01_Loans!B42="","",Agent01_Loans!G42)</f>
        <v/>
      </c>
      <c r="H30" s="40" t="str">
        <f>IF(Agent01_Loans!B42="","",Agent01_Loans!H42)</f>
        <v/>
      </c>
      <c r="I30" s="43" t="str">
        <f>IF(Agent01_Loans!B42="","",Agent01_Loans!I42)</f>
        <v/>
      </c>
      <c r="J30" s="43" t="str">
        <f>IF(Agent01_Loans!B42="","",Agent01_Loans!J42)</f>
        <v/>
      </c>
      <c r="K30" s="40" t="str">
        <f>IF(Agent01_Loans!B42="","",Agent01_Loans!K42)</f>
        <v/>
      </c>
      <c r="L30" s="40" t="str">
        <f>IF(Agent01_Loans!B42="","",Agent01_Loans!L42)</f>
        <v/>
      </c>
      <c r="M30" s="40" t="str">
        <f>IFERROR(IF(Agent01_Loans!B42="","",YEAR(Agent01_Loans!D42)),"")</f>
        <v/>
      </c>
    </row>
    <row r="31" spans="1:13" ht="18" customHeight="1" x14ac:dyDescent="0.25">
      <c r="A31" s="40" t="str">
        <f>IF(Agent01_Loans!B43="","",Agent01_Loans!A43)</f>
        <v/>
      </c>
      <c r="B31" s="40" t="str">
        <f>IF(Agent01_Loans!B43="","",Agent01_Loans!B43)</f>
        <v/>
      </c>
      <c r="C31" s="40" t="str">
        <f>IF(Agent01_Loans!B43="","",Agent01_Loans!C43)</f>
        <v/>
      </c>
      <c r="D31" s="41" t="str">
        <f>IF(Agent01_Loans!B43="","",Agent01_Loans!D43)</f>
        <v/>
      </c>
      <c r="E31" s="43" t="str">
        <f>IF(Agent01_Loans!B43="","",Agent01_Loans!E43)</f>
        <v/>
      </c>
      <c r="F31" s="40" t="str">
        <f>IF(Agent01_Loans!B43="","",Agent01_Loans!F43)</f>
        <v/>
      </c>
      <c r="G31" s="40" t="str">
        <f>IF(Agent01_Loans!B43="","",Agent01_Loans!G43)</f>
        <v/>
      </c>
      <c r="H31" s="40" t="str">
        <f>IF(Agent01_Loans!B43="","",Agent01_Loans!H43)</f>
        <v/>
      </c>
      <c r="I31" s="43" t="str">
        <f>IF(Agent01_Loans!B43="","",Agent01_Loans!I43)</f>
        <v/>
      </c>
      <c r="J31" s="43" t="str">
        <f>IF(Agent01_Loans!B43="","",Agent01_Loans!J43)</f>
        <v/>
      </c>
      <c r="K31" s="40" t="str">
        <f>IF(Agent01_Loans!B43="","",Agent01_Loans!K43)</f>
        <v/>
      </c>
      <c r="L31" s="40" t="str">
        <f>IF(Agent01_Loans!B43="","",Agent01_Loans!L43)</f>
        <v/>
      </c>
      <c r="M31" s="40" t="str">
        <f>IFERROR(IF(Agent01_Loans!B43="","",YEAR(Agent01_Loans!D43)),"")</f>
        <v/>
      </c>
    </row>
    <row r="32" spans="1:13" ht="18" customHeight="1" x14ac:dyDescent="0.25">
      <c r="A32" s="40" t="str">
        <f>IF(Agent01_Loans!B44="","",Agent01_Loans!A44)</f>
        <v/>
      </c>
      <c r="B32" s="40" t="str">
        <f>IF(Agent01_Loans!B44="","",Agent01_Loans!B44)</f>
        <v/>
      </c>
      <c r="C32" s="40" t="str">
        <f>IF(Agent01_Loans!B44="","",Agent01_Loans!C44)</f>
        <v/>
      </c>
      <c r="D32" s="41" t="str">
        <f>IF(Agent01_Loans!B44="","",Agent01_Loans!D44)</f>
        <v/>
      </c>
      <c r="E32" s="43" t="str">
        <f>IF(Agent01_Loans!B44="","",Agent01_Loans!E44)</f>
        <v/>
      </c>
      <c r="F32" s="40" t="str">
        <f>IF(Agent01_Loans!B44="","",Agent01_Loans!F44)</f>
        <v/>
      </c>
      <c r="G32" s="40" t="str">
        <f>IF(Agent01_Loans!B44="","",Agent01_Loans!G44)</f>
        <v/>
      </c>
      <c r="H32" s="40" t="str">
        <f>IF(Agent01_Loans!B44="","",Agent01_Loans!H44)</f>
        <v/>
      </c>
      <c r="I32" s="43" t="str">
        <f>IF(Agent01_Loans!B44="","",Agent01_Loans!I44)</f>
        <v/>
      </c>
      <c r="J32" s="43" t="str">
        <f>IF(Agent01_Loans!B44="","",Agent01_Loans!J44)</f>
        <v/>
      </c>
      <c r="K32" s="40" t="str">
        <f>IF(Agent01_Loans!B44="","",Agent01_Loans!K44)</f>
        <v/>
      </c>
      <c r="L32" s="40" t="str">
        <f>IF(Agent01_Loans!B44="","",Agent01_Loans!L44)</f>
        <v/>
      </c>
      <c r="M32" s="40" t="str">
        <f>IFERROR(IF(Agent01_Loans!B44="","",YEAR(Agent01_Loans!D44)),"")</f>
        <v/>
      </c>
    </row>
    <row r="33" spans="1:13" ht="18" customHeight="1" x14ac:dyDescent="0.25">
      <c r="A33" s="40" t="str">
        <f>IF(Agent01_Loans!B45="","",Agent01_Loans!A45)</f>
        <v/>
      </c>
      <c r="B33" s="40" t="str">
        <f>IF(Agent01_Loans!B45="","",Agent01_Loans!B45)</f>
        <v/>
      </c>
      <c r="C33" s="40" t="str">
        <f>IF(Agent01_Loans!B45="","",Agent01_Loans!C45)</f>
        <v/>
      </c>
      <c r="D33" s="41" t="str">
        <f>IF(Agent01_Loans!B45="","",Agent01_Loans!D45)</f>
        <v/>
      </c>
      <c r="E33" s="43" t="str">
        <f>IF(Agent01_Loans!B45="","",Agent01_Loans!E45)</f>
        <v/>
      </c>
      <c r="F33" s="40" t="str">
        <f>IF(Agent01_Loans!B45="","",Agent01_Loans!F45)</f>
        <v/>
      </c>
      <c r="G33" s="40" t="str">
        <f>IF(Agent01_Loans!B45="","",Agent01_Loans!G45)</f>
        <v/>
      </c>
      <c r="H33" s="40" t="str">
        <f>IF(Agent01_Loans!B45="","",Agent01_Loans!H45)</f>
        <v/>
      </c>
      <c r="I33" s="43" t="str">
        <f>IF(Agent01_Loans!B45="","",Agent01_Loans!I45)</f>
        <v/>
      </c>
      <c r="J33" s="43" t="str">
        <f>IF(Agent01_Loans!B45="","",Agent01_Loans!J45)</f>
        <v/>
      </c>
      <c r="K33" s="40" t="str">
        <f>IF(Agent01_Loans!B45="","",Agent01_Loans!K45)</f>
        <v/>
      </c>
      <c r="L33" s="40" t="str">
        <f>IF(Agent01_Loans!B45="","",Agent01_Loans!L45)</f>
        <v/>
      </c>
      <c r="M33" s="40" t="str">
        <f>IFERROR(IF(Agent01_Loans!B45="","",YEAR(Agent01_Loans!D45)),"")</f>
        <v/>
      </c>
    </row>
    <row r="34" spans="1:13" ht="18" customHeight="1" x14ac:dyDescent="0.25">
      <c r="A34" s="40" t="str">
        <f>IF(Agent01_Loans!B46="","",Agent01_Loans!A46)</f>
        <v/>
      </c>
      <c r="B34" s="40" t="str">
        <f>IF(Agent01_Loans!B46="","",Agent01_Loans!B46)</f>
        <v/>
      </c>
      <c r="C34" s="40" t="str">
        <f>IF(Agent01_Loans!B46="","",Agent01_Loans!C46)</f>
        <v/>
      </c>
      <c r="D34" s="41" t="str">
        <f>IF(Agent01_Loans!B46="","",Agent01_Loans!D46)</f>
        <v/>
      </c>
      <c r="E34" s="43" t="str">
        <f>IF(Agent01_Loans!B46="","",Agent01_Loans!E46)</f>
        <v/>
      </c>
      <c r="F34" s="40" t="str">
        <f>IF(Agent01_Loans!B46="","",Agent01_Loans!F46)</f>
        <v/>
      </c>
      <c r="G34" s="40" t="str">
        <f>IF(Agent01_Loans!B46="","",Agent01_Loans!G46)</f>
        <v/>
      </c>
      <c r="H34" s="40" t="str">
        <f>IF(Agent01_Loans!B46="","",Agent01_Loans!H46)</f>
        <v/>
      </c>
      <c r="I34" s="43" t="str">
        <f>IF(Agent01_Loans!B46="","",Agent01_Loans!I46)</f>
        <v/>
      </c>
      <c r="J34" s="43" t="str">
        <f>IF(Agent01_Loans!B46="","",Agent01_Loans!J46)</f>
        <v/>
      </c>
      <c r="K34" s="40" t="str">
        <f>IF(Agent01_Loans!B46="","",Agent01_Loans!K46)</f>
        <v/>
      </c>
      <c r="L34" s="40" t="str">
        <f>IF(Agent01_Loans!B46="","",Agent01_Loans!L46)</f>
        <v/>
      </c>
      <c r="M34" s="40" t="str">
        <f>IFERROR(IF(Agent01_Loans!B46="","",YEAR(Agent01_Loans!D46)),"")</f>
        <v/>
      </c>
    </row>
    <row r="35" spans="1:13" ht="18" customHeight="1" x14ac:dyDescent="0.25">
      <c r="A35" s="40" t="str">
        <f>IF(Agent01_Loans!B47="","",Agent01_Loans!A47)</f>
        <v/>
      </c>
      <c r="B35" s="40" t="str">
        <f>IF(Agent01_Loans!B47="","",Agent01_Loans!B47)</f>
        <v/>
      </c>
      <c r="C35" s="40" t="str">
        <f>IF(Agent01_Loans!B47="","",Agent01_Loans!C47)</f>
        <v/>
      </c>
      <c r="D35" s="41" t="str">
        <f>IF(Agent01_Loans!B47="","",Agent01_Loans!D47)</f>
        <v/>
      </c>
      <c r="E35" s="43" t="str">
        <f>IF(Agent01_Loans!B47="","",Agent01_Loans!E47)</f>
        <v/>
      </c>
      <c r="F35" s="40" t="str">
        <f>IF(Agent01_Loans!B47="","",Agent01_Loans!F47)</f>
        <v/>
      </c>
      <c r="G35" s="40" t="str">
        <f>IF(Agent01_Loans!B47="","",Agent01_Loans!G47)</f>
        <v/>
      </c>
      <c r="H35" s="40" t="str">
        <f>IF(Agent01_Loans!B47="","",Agent01_Loans!H47)</f>
        <v/>
      </c>
      <c r="I35" s="43" t="str">
        <f>IF(Agent01_Loans!B47="","",Agent01_Loans!I47)</f>
        <v/>
      </c>
      <c r="J35" s="43" t="str">
        <f>IF(Agent01_Loans!B47="","",Agent01_Loans!J47)</f>
        <v/>
      </c>
      <c r="K35" s="40" t="str">
        <f>IF(Agent01_Loans!B47="","",Agent01_Loans!K47)</f>
        <v/>
      </c>
      <c r="L35" s="40" t="str">
        <f>IF(Agent01_Loans!B47="","",Agent01_Loans!L47)</f>
        <v/>
      </c>
      <c r="M35" s="40" t="str">
        <f>IFERROR(IF(Agent01_Loans!B47="","",YEAR(Agent01_Loans!D47)),"")</f>
        <v/>
      </c>
    </row>
    <row r="36" spans="1:13" ht="18" customHeight="1" x14ac:dyDescent="0.25">
      <c r="A36" s="40" t="str">
        <f>IF(Agent01_Loans!B48="","",Agent01_Loans!A48)</f>
        <v/>
      </c>
      <c r="B36" s="40" t="str">
        <f>IF(Agent01_Loans!B48="","",Agent01_Loans!B48)</f>
        <v/>
      </c>
      <c r="C36" s="40" t="str">
        <f>IF(Agent01_Loans!B48="","",Agent01_Loans!C48)</f>
        <v/>
      </c>
      <c r="D36" s="41" t="str">
        <f>IF(Agent01_Loans!B48="","",Agent01_Loans!D48)</f>
        <v/>
      </c>
      <c r="E36" s="43" t="str">
        <f>IF(Agent01_Loans!B48="","",Agent01_Loans!E48)</f>
        <v/>
      </c>
      <c r="F36" s="40" t="str">
        <f>IF(Agent01_Loans!B48="","",Agent01_Loans!F48)</f>
        <v/>
      </c>
      <c r="G36" s="40" t="str">
        <f>IF(Agent01_Loans!B48="","",Agent01_Loans!G48)</f>
        <v/>
      </c>
      <c r="H36" s="40" t="str">
        <f>IF(Agent01_Loans!B48="","",Agent01_Loans!H48)</f>
        <v/>
      </c>
      <c r="I36" s="43" t="str">
        <f>IF(Agent01_Loans!B48="","",Agent01_Loans!I48)</f>
        <v/>
      </c>
      <c r="J36" s="43" t="str">
        <f>IF(Agent01_Loans!B48="","",Agent01_Loans!J48)</f>
        <v/>
      </c>
      <c r="K36" s="40" t="str">
        <f>IF(Agent01_Loans!B48="","",Agent01_Loans!K48)</f>
        <v/>
      </c>
      <c r="L36" s="40" t="str">
        <f>IF(Agent01_Loans!B48="","",Agent01_Loans!L48)</f>
        <v/>
      </c>
      <c r="M36" s="40" t="str">
        <f>IFERROR(IF(Agent01_Loans!B48="","",YEAR(Agent01_Loans!D48)),"")</f>
        <v/>
      </c>
    </row>
    <row r="37" spans="1:13" ht="18" customHeight="1" x14ac:dyDescent="0.25">
      <c r="A37" s="40" t="str">
        <f>IF(Agent01_Loans!B49="","",Agent01_Loans!A49)</f>
        <v/>
      </c>
      <c r="B37" s="40" t="str">
        <f>IF(Agent01_Loans!B49="","",Agent01_Loans!B49)</f>
        <v/>
      </c>
      <c r="C37" s="40" t="str">
        <f>IF(Agent01_Loans!B49="","",Agent01_Loans!C49)</f>
        <v/>
      </c>
      <c r="D37" s="41" t="str">
        <f>IF(Agent01_Loans!B49="","",Agent01_Loans!D49)</f>
        <v/>
      </c>
      <c r="E37" s="43" t="str">
        <f>IF(Agent01_Loans!B49="","",Agent01_Loans!E49)</f>
        <v/>
      </c>
      <c r="F37" s="40" t="str">
        <f>IF(Agent01_Loans!B49="","",Agent01_Loans!F49)</f>
        <v/>
      </c>
      <c r="G37" s="40" t="str">
        <f>IF(Agent01_Loans!B49="","",Agent01_Loans!G49)</f>
        <v/>
      </c>
      <c r="H37" s="40" t="str">
        <f>IF(Agent01_Loans!B49="","",Agent01_Loans!H49)</f>
        <v/>
      </c>
      <c r="I37" s="43" t="str">
        <f>IF(Agent01_Loans!B49="","",Agent01_Loans!I49)</f>
        <v/>
      </c>
      <c r="J37" s="43" t="str">
        <f>IF(Agent01_Loans!B49="","",Agent01_Loans!J49)</f>
        <v/>
      </c>
      <c r="K37" s="40" t="str">
        <f>IF(Agent01_Loans!B49="","",Agent01_Loans!K49)</f>
        <v/>
      </c>
      <c r="L37" s="40" t="str">
        <f>IF(Agent01_Loans!B49="","",Agent01_Loans!L49)</f>
        <v/>
      </c>
      <c r="M37" s="40" t="str">
        <f>IFERROR(IF(Agent01_Loans!B49="","",YEAR(Agent01_Loans!D49)),"")</f>
        <v/>
      </c>
    </row>
    <row r="38" spans="1:13" ht="18" customHeight="1" x14ac:dyDescent="0.25">
      <c r="A38" s="40" t="str">
        <f>IF(Agent01_Loans!B50="","",Agent01_Loans!A50)</f>
        <v/>
      </c>
      <c r="B38" s="40" t="str">
        <f>IF(Agent01_Loans!B50="","",Agent01_Loans!B50)</f>
        <v/>
      </c>
      <c r="C38" s="40" t="str">
        <f>IF(Agent01_Loans!B50="","",Agent01_Loans!C50)</f>
        <v/>
      </c>
      <c r="D38" s="41" t="str">
        <f>IF(Agent01_Loans!B50="","",Agent01_Loans!D50)</f>
        <v/>
      </c>
      <c r="E38" s="43" t="str">
        <f>IF(Agent01_Loans!B50="","",Agent01_Loans!E50)</f>
        <v/>
      </c>
      <c r="F38" s="40" t="str">
        <f>IF(Agent01_Loans!B50="","",Agent01_Loans!F50)</f>
        <v/>
      </c>
      <c r="G38" s="40" t="str">
        <f>IF(Agent01_Loans!B50="","",Agent01_Loans!G50)</f>
        <v/>
      </c>
      <c r="H38" s="40" t="str">
        <f>IF(Agent01_Loans!B50="","",Agent01_Loans!H50)</f>
        <v/>
      </c>
      <c r="I38" s="43" t="str">
        <f>IF(Agent01_Loans!B50="","",Agent01_Loans!I50)</f>
        <v/>
      </c>
      <c r="J38" s="43" t="str">
        <f>IF(Agent01_Loans!B50="","",Agent01_Loans!J50)</f>
        <v/>
      </c>
      <c r="K38" s="40" t="str">
        <f>IF(Agent01_Loans!B50="","",Agent01_Loans!K50)</f>
        <v/>
      </c>
      <c r="L38" s="40" t="str">
        <f>IF(Agent01_Loans!B50="","",Agent01_Loans!L50)</f>
        <v/>
      </c>
      <c r="M38" s="40" t="str">
        <f>IFERROR(IF(Agent01_Loans!B50="","",YEAR(Agent01_Loans!D50)),"")</f>
        <v/>
      </c>
    </row>
    <row r="39" spans="1:13" ht="18" customHeight="1" x14ac:dyDescent="0.25">
      <c r="A39" s="40" t="str">
        <f>IF(Agent01_Loans!B51="","",Agent01_Loans!A51)</f>
        <v/>
      </c>
      <c r="B39" s="40" t="str">
        <f>IF(Agent01_Loans!B51="","",Agent01_Loans!B51)</f>
        <v/>
      </c>
      <c r="C39" s="40" t="str">
        <f>IF(Agent01_Loans!B51="","",Agent01_Loans!C51)</f>
        <v/>
      </c>
      <c r="D39" s="41" t="str">
        <f>IF(Agent01_Loans!B51="","",Agent01_Loans!D51)</f>
        <v/>
      </c>
      <c r="E39" s="43" t="str">
        <f>IF(Agent01_Loans!B51="","",Agent01_Loans!E51)</f>
        <v/>
      </c>
      <c r="F39" s="40" t="str">
        <f>IF(Agent01_Loans!B51="","",Agent01_Loans!F51)</f>
        <v/>
      </c>
      <c r="G39" s="40" t="str">
        <f>IF(Agent01_Loans!B51="","",Agent01_Loans!G51)</f>
        <v/>
      </c>
      <c r="H39" s="40" t="str">
        <f>IF(Agent01_Loans!B51="","",Agent01_Loans!H51)</f>
        <v/>
      </c>
      <c r="I39" s="43" t="str">
        <f>IF(Agent01_Loans!B51="","",Agent01_Loans!I51)</f>
        <v/>
      </c>
      <c r="J39" s="43" t="str">
        <f>IF(Agent01_Loans!B51="","",Agent01_Loans!J51)</f>
        <v/>
      </c>
      <c r="K39" s="40" t="str">
        <f>IF(Agent01_Loans!B51="","",Agent01_Loans!K51)</f>
        <v/>
      </c>
      <c r="L39" s="40" t="str">
        <f>IF(Agent01_Loans!B51="","",Agent01_Loans!L51)</f>
        <v/>
      </c>
      <c r="M39" s="40" t="str">
        <f>IFERROR(IF(Agent01_Loans!B51="","",YEAR(Agent01_Loans!D51)),"")</f>
        <v/>
      </c>
    </row>
    <row r="40" spans="1:13" ht="18" customHeight="1" x14ac:dyDescent="0.25">
      <c r="A40" s="40" t="str">
        <f>IF(Agent01_Loans!B52="","",Agent01_Loans!A52)</f>
        <v/>
      </c>
      <c r="B40" s="40" t="str">
        <f>IF(Agent01_Loans!B52="","",Agent01_Loans!B52)</f>
        <v/>
      </c>
      <c r="C40" s="40" t="str">
        <f>IF(Agent01_Loans!B52="","",Agent01_Loans!C52)</f>
        <v/>
      </c>
      <c r="D40" s="41" t="str">
        <f>IF(Agent01_Loans!B52="","",Agent01_Loans!D52)</f>
        <v/>
      </c>
      <c r="E40" s="43" t="str">
        <f>IF(Agent01_Loans!B52="","",Agent01_Loans!E52)</f>
        <v/>
      </c>
      <c r="F40" s="40" t="str">
        <f>IF(Agent01_Loans!B52="","",Agent01_Loans!F52)</f>
        <v/>
      </c>
      <c r="G40" s="40" t="str">
        <f>IF(Agent01_Loans!B52="","",Agent01_Loans!G52)</f>
        <v/>
      </c>
      <c r="H40" s="40" t="str">
        <f>IF(Agent01_Loans!B52="","",Agent01_Loans!H52)</f>
        <v/>
      </c>
      <c r="I40" s="43" t="str">
        <f>IF(Agent01_Loans!B52="","",Agent01_Loans!I52)</f>
        <v/>
      </c>
      <c r="J40" s="43" t="str">
        <f>IF(Agent01_Loans!B52="","",Agent01_Loans!J52)</f>
        <v/>
      </c>
      <c r="K40" s="40" t="str">
        <f>IF(Agent01_Loans!B52="","",Agent01_Loans!K52)</f>
        <v/>
      </c>
      <c r="L40" s="40" t="str">
        <f>IF(Agent01_Loans!B52="","",Agent01_Loans!L52)</f>
        <v/>
      </c>
      <c r="M40" s="40" t="str">
        <f>IFERROR(IF(Agent01_Loans!B52="","",YEAR(Agent01_Loans!D52)),"")</f>
        <v/>
      </c>
    </row>
    <row r="41" spans="1:13" ht="18" customHeight="1" x14ac:dyDescent="0.25">
      <c r="A41" s="40" t="str">
        <f>IF(Agent01_Loans!B53="","",Agent01_Loans!A53)</f>
        <v/>
      </c>
      <c r="B41" s="40" t="str">
        <f>IF(Agent01_Loans!B53="","",Agent01_Loans!B53)</f>
        <v/>
      </c>
      <c r="C41" s="40" t="str">
        <f>IF(Agent01_Loans!B53="","",Agent01_Loans!C53)</f>
        <v/>
      </c>
      <c r="D41" s="41" t="str">
        <f>IF(Agent01_Loans!B53="","",Agent01_Loans!D53)</f>
        <v/>
      </c>
      <c r="E41" s="43" t="str">
        <f>IF(Agent01_Loans!B53="","",Agent01_Loans!E53)</f>
        <v/>
      </c>
      <c r="F41" s="40" t="str">
        <f>IF(Agent01_Loans!B53="","",Agent01_Loans!F53)</f>
        <v/>
      </c>
      <c r="G41" s="40" t="str">
        <f>IF(Agent01_Loans!B53="","",Agent01_Loans!G53)</f>
        <v/>
      </c>
      <c r="H41" s="40" t="str">
        <f>IF(Agent01_Loans!B53="","",Agent01_Loans!H53)</f>
        <v/>
      </c>
      <c r="I41" s="43" t="str">
        <f>IF(Agent01_Loans!B53="","",Agent01_Loans!I53)</f>
        <v/>
      </c>
      <c r="J41" s="43" t="str">
        <f>IF(Agent01_Loans!B53="","",Agent01_Loans!J53)</f>
        <v/>
      </c>
      <c r="K41" s="40" t="str">
        <f>IF(Agent01_Loans!B53="","",Agent01_Loans!K53)</f>
        <v/>
      </c>
      <c r="L41" s="40" t="str">
        <f>IF(Agent01_Loans!B53="","",Agent01_Loans!L53)</f>
        <v/>
      </c>
      <c r="M41" s="40" t="str">
        <f>IFERROR(IF(Agent01_Loans!B53="","",YEAR(Agent01_Loans!D53)),"")</f>
        <v/>
      </c>
    </row>
    <row r="42" spans="1:13" ht="18" customHeight="1" x14ac:dyDescent="0.25">
      <c r="A42" s="40" t="str">
        <f>IF(Agent01_Loans!B54="","",Agent01_Loans!A54)</f>
        <v/>
      </c>
      <c r="B42" s="40" t="str">
        <f>IF(Agent01_Loans!B54="","",Agent01_Loans!B54)</f>
        <v/>
      </c>
      <c r="C42" s="40" t="str">
        <f>IF(Agent01_Loans!B54="","",Agent01_Loans!C54)</f>
        <v/>
      </c>
      <c r="D42" s="41" t="str">
        <f>IF(Agent01_Loans!B54="","",Agent01_Loans!D54)</f>
        <v/>
      </c>
      <c r="E42" s="43" t="str">
        <f>IF(Agent01_Loans!B54="","",Agent01_Loans!E54)</f>
        <v/>
      </c>
      <c r="F42" s="40" t="str">
        <f>IF(Agent01_Loans!B54="","",Agent01_Loans!F54)</f>
        <v/>
      </c>
      <c r="G42" s="40" t="str">
        <f>IF(Agent01_Loans!B54="","",Agent01_Loans!G54)</f>
        <v/>
      </c>
      <c r="H42" s="40" t="str">
        <f>IF(Agent01_Loans!B54="","",Agent01_Loans!H54)</f>
        <v/>
      </c>
      <c r="I42" s="43" t="str">
        <f>IF(Agent01_Loans!B54="","",Agent01_Loans!I54)</f>
        <v/>
      </c>
      <c r="J42" s="43" t="str">
        <f>IF(Agent01_Loans!B54="","",Agent01_Loans!J54)</f>
        <v/>
      </c>
      <c r="K42" s="40" t="str">
        <f>IF(Agent01_Loans!B54="","",Agent01_Loans!K54)</f>
        <v/>
      </c>
      <c r="L42" s="40" t="str">
        <f>IF(Agent01_Loans!B54="","",Agent01_Loans!L54)</f>
        <v/>
      </c>
      <c r="M42" s="40" t="str">
        <f>IFERROR(IF(Agent01_Loans!B54="","",YEAR(Agent01_Loans!D54)),"")</f>
        <v/>
      </c>
    </row>
    <row r="43" spans="1:13" ht="18" customHeight="1" x14ac:dyDescent="0.25">
      <c r="A43" s="40" t="str">
        <f>IF(Agent01_Loans!B55="","",Agent01_Loans!A55)</f>
        <v/>
      </c>
      <c r="B43" s="40" t="str">
        <f>IF(Agent01_Loans!B55="","",Agent01_Loans!B55)</f>
        <v/>
      </c>
      <c r="C43" s="40" t="str">
        <f>IF(Agent01_Loans!B55="","",Agent01_Loans!C55)</f>
        <v/>
      </c>
      <c r="D43" s="41" t="str">
        <f>IF(Agent01_Loans!B55="","",Agent01_Loans!D55)</f>
        <v/>
      </c>
      <c r="E43" s="43" t="str">
        <f>IF(Agent01_Loans!B55="","",Agent01_Loans!E55)</f>
        <v/>
      </c>
      <c r="F43" s="40" t="str">
        <f>IF(Agent01_Loans!B55="","",Agent01_Loans!F55)</f>
        <v/>
      </c>
      <c r="G43" s="40" t="str">
        <f>IF(Agent01_Loans!B55="","",Agent01_Loans!G55)</f>
        <v/>
      </c>
      <c r="H43" s="40" t="str">
        <f>IF(Agent01_Loans!B55="","",Agent01_Loans!H55)</f>
        <v/>
      </c>
      <c r="I43" s="43" t="str">
        <f>IF(Agent01_Loans!B55="","",Agent01_Loans!I55)</f>
        <v/>
      </c>
      <c r="J43" s="43" t="str">
        <f>IF(Agent01_Loans!B55="","",Agent01_Loans!J55)</f>
        <v/>
      </c>
      <c r="K43" s="40" t="str">
        <f>IF(Agent01_Loans!B55="","",Agent01_Loans!K55)</f>
        <v/>
      </c>
      <c r="L43" s="40" t="str">
        <f>IF(Agent01_Loans!B55="","",Agent01_Loans!L55)</f>
        <v/>
      </c>
      <c r="M43" s="40" t="str">
        <f>IFERROR(IF(Agent01_Loans!B55="","",YEAR(Agent01_Loans!D55)),"")</f>
        <v/>
      </c>
    </row>
    <row r="44" spans="1:13" ht="18" customHeight="1" x14ac:dyDescent="0.25">
      <c r="A44" s="40" t="str">
        <f>IF(Agent01_Loans!B56="","",Agent01_Loans!A56)</f>
        <v/>
      </c>
      <c r="B44" s="40" t="str">
        <f>IF(Agent01_Loans!B56="","",Agent01_Loans!B56)</f>
        <v/>
      </c>
      <c r="C44" s="40" t="str">
        <f>IF(Agent01_Loans!B56="","",Agent01_Loans!C56)</f>
        <v/>
      </c>
      <c r="D44" s="41" t="str">
        <f>IF(Agent01_Loans!B56="","",Agent01_Loans!D56)</f>
        <v/>
      </c>
      <c r="E44" s="43" t="str">
        <f>IF(Agent01_Loans!B56="","",Agent01_Loans!E56)</f>
        <v/>
      </c>
      <c r="F44" s="40" t="str">
        <f>IF(Agent01_Loans!B56="","",Agent01_Loans!F56)</f>
        <v/>
      </c>
      <c r="G44" s="40" t="str">
        <f>IF(Agent01_Loans!B56="","",Agent01_Loans!G56)</f>
        <v/>
      </c>
      <c r="H44" s="40" t="str">
        <f>IF(Agent01_Loans!B56="","",Agent01_Loans!H56)</f>
        <v/>
      </c>
      <c r="I44" s="43" t="str">
        <f>IF(Agent01_Loans!B56="","",Agent01_Loans!I56)</f>
        <v/>
      </c>
      <c r="J44" s="43" t="str">
        <f>IF(Agent01_Loans!B56="","",Agent01_Loans!J56)</f>
        <v/>
      </c>
      <c r="K44" s="40" t="str">
        <f>IF(Agent01_Loans!B56="","",Agent01_Loans!K56)</f>
        <v/>
      </c>
      <c r="L44" s="40" t="str">
        <f>IF(Agent01_Loans!B56="","",Agent01_Loans!L56)</f>
        <v/>
      </c>
      <c r="M44" s="40" t="str">
        <f>IFERROR(IF(Agent01_Loans!B56="","",YEAR(Agent01_Loans!D56)),"")</f>
        <v/>
      </c>
    </row>
    <row r="45" spans="1:13" ht="18" customHeight="1" x14ac:dyDescent="0.25">
      <c r="A45" s="40" t="str">
        <f>IF(Agent01_Loans!B57="","",Agent01_Loans!A57)</f>
        <v/>
      </c>
      <c r="B45" s="40" t="str">
        <f>IF(Agent01_Loans!B57="","",Agent01_Loans!B57)</f>
        <v/>
      </c>
      <c r="C45" s="40" t="str">
        <f>IF(Agent01_Loans!B57="","",Agent01_Loans!C57)</f>
        <v/>
      </c>
      <c r="D45" s="41" t="str">
        <f>IF(Agent01_Loans!B57="","",Agent01_Loans!D57)</f>
        <v/>
      </c>
      <c r="E45" s="43" t="str">
        <f>IF(Agent01_Loans!B57="","",Agent01_Loans!E57)</f>
        <v/>
      </c>
      <c r="F45" s="40" t="str">
        <f>IF(Agent01_Loans!B57="","",Agent01_Loans!F57)</f>
        <v/>
      </c>
      <c r="G45" s="40" t="str">
        <f>IF(Agent01_Loans!B57="","",Agent01_Loans!G57)</f>
        <v/>
      </c>
      <c r="H45" s="40" t="str">
        <f>IF(Agent01_Loans!B57="","",Agent01_Loans!H57)</f>
        <v/>
      </c>
      <c r="I45" s="43" t="str">
        <f>IF(Agent01_Loans!B57="","",Agent01_Loans!I57)</f>
        <v/>
      </c>
      <c r="J45" s="43" t="str">
        <f>IF(Agent01_Loans!B57="","",Agent01_Loans!J57)</f>
        <v/>
      </c>
      <c r="K45" s="40" t="str">
        <f>IF(Agent01_Loans!B57="","",Agent01_Loans!K57)</f>
        <v/>
      </c>
      <c r="L45" s="40" t="str">
        <f>IF(Agent01_Loans!B57="","",Agent01_Loans!L57)</f>
        <v/>
      </c>
      <c r="M45" s="40" t="str">
        <f>IFERROR(IF(Agent01_Loans!B57="","",YEAR(Agent01_Loans!D57)),"")</f>
        <v/>
      </c>
    </row>
    <row r="46" spans="1:13" ht="18" customHeight="1" x14ac:dyDescent="0.25">
      <c r="A46" s="40" t="str">
        <f>IF(Agent01_Loans!B58="","",Agent01_Loans!A58)</f>
        <v/>
      </c>
      <c r="B46" s="40" t="str">
        <f>IF(Agent01_Loans!B58="","",Agent01_Loans!B58)</f>
        <v/>
      </c>
      <c r="C46" s="40" t="str">
        <f>IF(Agent01_Loans!B58="","",Agent01_Loans!C58)</f>
        <v/>
      </c>
      <c r="D46" s="41" t="str">
        <f>IF(Agent01_Loans!B58="","",Agent01_Loans!D58)</f>
        <v/>
      </c>
      <c r="E46" s="43" t="str">
        <f>IF(Agent01_Loans!B58="","",Agent01_Loans!E58)</f>
        <v/>
      </c>
      <c r="F46" s="40" t="str">
        <f>IF(Agent01_Loans!B58="","",Agent01_Loans!F58)</f>
        <v/>
      </c>
      <c r="G46" s="40" t="str">
        <f>IF(Agent01_Loans!B58="","",Agent01_Loans!G58)</f>
        <v/>
      </c>
      <c r="H46" s="40" t="str">
        <f>IF(Agent01_Loans!B58="","",Agent01_Loans!H58)</f>
        <v/>
      </c>
      <c r="I46" s="43" t="str">
        <f>IF(Agent01_Loans!B58="","",Agent01_Loans!I58)</f>
        <v/>
      </c>
      <c r="J46" s="43" t="str">
        <f>IF(Agent01_Loans!B58="","",Agent01_Loans!J58)</f>
        <v/>
      </c>
      <c r="K46" s="40" t="str">
        <f>IF(Agent01_Loans!B58="","",Agent01_Loans!K58)</f>
        <v/>
      </c>
      <c r="L46" s="40" t="str">
        <f>IF(Agent01_Loans!B58="","",Agent01_Loans!L58)</f>
        <v/>
      </c>
      <c r="M46" s="40" t="str">
        <f>IFERROR(IF(Agent01_Loans!B58="","",YEAR(Agent01_Loans!D58)),"")</f>
        <v/>
      </c>
    </row>
    <row r="47" spans="1:13" ht="18" customHeight="1" x14ac:dyDescent="0.25">
      <c r="A47" s="40" t="str">
        <f>IF(Agent01_Loans!B59="","",Agent01_Loans!A59)</f>
        <v/>
      </c>
      <c r="B47" s="40" t="str">
        <f>IF(Agent01_Loans!B59="","",Agent01_Loans!B59)</f>
        <v/>
      </c>
      <c r="C47" s="40" t="str">
        <f>IF(Agent01_Loans!B59="","",Agent01_Loans!C59)</f>
        <v/>
      </c>
      <c r="D47" s="41" t="str">
        <f>IF(Agent01_Loans!B59="","",Agent01_Loans!D59)</f>
        <v/>
      </c>
      <c r="E47" s="43" t="str">
        <f>IF(Agent01_Loans!B59="","",Agent01_Loans!E59)</f>
        <v/>
      </c>
      <c r="F47" s="40" t="str">
        <f>IF(Agent01_Loans!B59="","",Agent01_Loans!F59)</f>
        <v/>
      </c>
      <c r="G47" s="40" t="str">
        <f>IF(Agent01_Loans!B59="","",Agent01_Loans!G59)</f>
        <v/>
      </c>
      <c r="H47" s="40" t="str">
        <f>IF(Agent01_Loans!B59="","",Agent01_Loans!H59)</f>
        <v/>
      </c>
      <c r="I47" s="43" t="str">
        <f>IF(Agent01_Loans!B59="","",Agent01_Loans!I59)</f>
        <v/>
      </c>
      <c r="J47" s="43" t="str">
        <f>IF(Agent01_Loans!B59="","",Agent01_Loans!J59)</f>
        <v/>
      </c>
      <c r="K47" s="40" t="str">
        <f>IF(Agent01_Loans!B59="","",Agent01_Loans!K59)</f>
        <v/>
      </c>
      <c r="L47" s="40" t="str">
        <f>IF(Agent01_Loans!B59="","",Agent01_Loans!L59)</f>
        <v/>
      </c>
      <c r="M47" s="40" t="str">
        <f>IFERROR(IF(Agent01_Loans!B59="","",YEAR(Agent01_Loans!D59)),"")</f>
        <v/>
      </c>
    </row>
    <row r="48" spans="1:13" ht="18" customHeight="1" x14ac:dyDescent="0.25">
      <c r="A48" s="40" t="str">
        <f>IF(Agent01_Loans!B60="","",Agent01_Loans!A60)</f>
        <v/>
      </c>
      <c r="B48" s="40" t="str">
        <f>IF(Agent01_Loans!B60="","",Agent01_Loans!B60)</f>
        <v/>
      </c>
      <c r="C48" s="40" t="str">
        <f>IF(Agent01_Loans!B60="","",Agent01_Loans!C60)</f>
        <v/>
      </c>
      <c r="D48" s="41" t="str">
        <f>IF(Agent01_Loans!B60="","",Agent01_Loans!D60)</f>
        <v/>
      </c>
      <c r="E48" s="43" t="str">
        <f>IF(Agent01_Loans!B60="","",Agent01_Loans!E60)</f>
        <v/>
      </c>
      <c r="F48" s="40" t="str">
        <f>IF(Agent01_Loans!B60="","",Agent01_Loans!F60)</f>
        <v/>
      </c>
      <c r="G48" s="40" t="str">
        <f>IF(Agent01_Loans!B60="","",Agent01_Loans!G60)</f>
        <v/>
      </c>
      <c r="H48" s="40" t="str">
        <f>IF(Agent01_Loans!B60="","",Agent01_Loans!H60)</f>
        <v/>
      </c>
      <c r="I48" s="43" t="str">
        <f>IF(Agent01_Loans!B60="","",Agent01_Loans!I60)</f>
        <v/>
      </c>
      <c r="J48" s="43" t="str">
        <f>IF(Agent01_Loans!B60="","",Agent01_Loans!J60)</f>
        <v/>
      </c>
      <c r="K48" s="40" t="str">
        <f>IF(Agent01_Loans!B60="","",Agent01_Loans!K60)</f>
        <v/>
      </c>
      <c r="L48" s="40" t="str">
        <f>IF(Agent01_Loans!B60="","",Agent01_Loans!L60)</f>
        <v/>
      </c>
      <c r="M48" s="40" t="str">
        <f>IFERROR(IF(Agent01_Loans!B60="","",YEAR(Agent01_Loans!D60)),"")</f>
        <v/>
      </c>
    </row>
    <row r="49" spans="1:13" ht="18" customHeight="1" x14ac:dyDescent="0.25">
      <c r="A49" s="40" t="str">
        <f>IF(Agent01_Loans!B61="","",Agent01_Loans!A61)</f>
        <v/>
      </c>
      <c r="B49" s="40" t="str">
        <f>IF(Agent01_Loans!B61="","",Agent01_Loans!B61)</f>
        <v/>
      </c>
      <c r="C49" s="40" t="str">
        <f>IF(Agent01_Loans!B61="","",Agent01_Loans!C61)</f>
        <v/>
      </c>
      <c r="D49" s="41" t="str">
        <f>IF(Agent01_Loans!B61="","",Agent01_Loans!D61)</f>
        <v/>
      </c>
      <c r="E49" s="43" t="str">
        <f>IF(Agent01_Loans!B61="","",Agent01_Loans!E61)</f>
        <v/>
      </c>
      <c r="F49" s="40" t="str">
        <f>IF(Agent01_Loans!B61="","",Agent01_Loans!F61)</f>
        <v/>
      </c>
      <c r="G49" s="40" t="str">
        <f>IF(Agent01_Loans!B61="","",Agent01_Loans!G61)</f>
        <v/>
      </c>
      <c r="H49" s="40" t="str">
        <f>IF(Agent01_Loans!B61="","",Agent01_Loans!H61)</f>
        <v/>
      </c>
      <c r="I49" s="43" t="str">
        <f>IF(Agent01_Loans!B61="","",Agent01_Loans!I61)</f>
        <v/>
      </c>
      <c r="J49" s="43" t="str">
        <f>IF(Agent01_Loans!B61="","",Agent01_Loans!J61)</f>
        <v/>
      </c>
      <c r="K49" s="40" t="str">
        <f>IF(Agent01_Loans!B61="","",Agent01_Loans!K61)</f>
        <v/>
      </c>
      <c r="L49" s="40" t="str">
        <f>IF(Agent01_Loans!B61="","",Agent01_Loans!L61)</f>
        <v/>
      </c>
      <c r="M49" s="40" t="str">
        <f>IFERROR(IF(Agent01_Loans!B61="","",YEAR(Agent01_Loans!D61)),"")</f>
        <v/>
      </c>
    </row>
    <row r="50" spans="1:13" ht="18" customHeight="1" x14ac:dyDescent="0.25">
      <c r="A50" s="40" t="str">
        <f>IF(Agent01_Loans!B62="","",Agent01_Loans!A62)</f>
        <v/>
      </c>
      <c r="B50" s="40" t="str">
        <f>IF(Agent01_Loans!B62="","",Agent01_Loans!B62)</f>
        <v/>
      </c>
      <c r="C50" s="40" t="str">
        <f>IF(Agent01_Loans!B62="","",Agent01_Loans!C62)</f>
        <v/>
      </c>
      <c r="D50" s="41" t="str">
        <f>IF(Agent01_Loans!B62="","",Agent01_Loans!D62)</f>
        <v/>
      </c>
      <c r="E50" s="43" t="str">
        <f>IF(Agent01_Loans!B62="","",Agent01_Loans!E62)</f>
        <v/>
      </c>
      <c r="F50" s="40" t="str">
        <f>IF(Agent01_Loans!B62="","",Agent01_Loans!F62)</f>
        <v/>
      </c>
      <c r="G50" s="40" t="str">
        <f>IF(Agent01_Loans!B62="","",Agent01_Loans!G62)</f>
        <v/>
      </c>
      <c r="H50" s="40" t="str">
        <f>IF(Agent01_Loans!B62="","",Agent01_Loans!H62)</f>
        <v/>
      </c>
      <c r="I50" s="43" t="str">
        <f>IF(Agent01_Loans!B62="","",Agent01_Loans!I62)</f>
        <v/>
      </c>
      <c r="J50" s="43" t="str">
        <f>IF(Agent01_Loans!B62="","",Agent01_Loans!J62)</f>
        <v/>
      </c>
      <c r="K50" s="40" t="str">
        <f>IF(Agent01_Loans!B62="","",Agent01_Loans!K62)</f>
        <v/>
      </c>
      <c r="L50" s="40" t="str">
        <f>IF(Agent01_Loans!B62="","",Agent01_Loans!L62)</f>
        <v/>
      </c>
      <c r="M50" s="40" t="str">
        <f>IFERROR(IF(Agent01_Loans!B62="","",YEAR(Agent01_Loans!D62)),"")</f>
        <v/>
      </c>
    </row>
    <row r="51" spans="1:13" ht="18" customHeight="1" x14ac:dyDescent="0.25">
      <c r="A51" s="40" t="str">
        <f>IF(Agent01_Loans!B63="","",Agent01_Loans!A63)</f>
        <v/>
      </c>
      <c r="B51" s="40" t="str">
        <f>IF(Agent01_Loans!B63="","",Agent01_Loans!B63)</f>
        <v/>
      </c>
      <c r="C51" s="40" t="str">
        <f>IF(Agent01_Loans!B63="","",Agent01_Loans!C63)</f>
        <v/>
      </c>
      <c r="D51" s="41" t="str">
        <f>IF(Agent01_Loans!B63="","",Agent01_Loans!D63)</f>
        <v/>
      </c>
      <c r="E51" s="43" t="str">
        <f>IF(Agent01_Loans!B63="","",Agent01_Loans!E63)</f>
        <v/>
      </c>
      <c r="F51" s="40" t="str">
        <f>IF(Agent01_Loans!B63="","",Agent01_Loans!F63)</f>
        <v/>
      </c>
      <c r="G51" s="40" t="str">
        <f>IF(Agent01_Loans!B63="","",Agent01_Loans!G63)</f>
        <v/>
      </c>
      <c r="H51" s="40" t="str">
        <f>IF(Agent01_Loans!B63="","",Agent01_Loans!H63)</f>
        <v/>
      </c>
      <c r="I51" s="43" t="str">
        <f>IF(Agent01_Loans!B63="","",Agent01_Loans!I63)</f>
        <v/>
      </c>
      <c r="J51" s="43" t="str">
        <f>IF(Agent01_Loans!B63="","",Agent01_Loans!J63)</f>
        <v/>
      </c>
      <c r="K51" s="40" t="str">
        <f>IF(Agent01_Loans!B63="","",Agent01_Loans!K63)</f>
        <v/>
      </c>
      <c r="L51" s="40" t="str">
        <f>IF(Agent01_Loans!B63="","",Agent01_Loans!L63)</f>
        <v/>
      </c>
      <c r="M51" s="40" t="str">
        <f>IFERROR(IF(Agent01_Loans!B63="","",YEAR(Agent01_Loans!D63)),"")</f>
        <v/>
      </c>
    </row>
    <row r="52" spans="1:13" ht="18" customHeight="1" x14ac:dyDescent="0.25">
      <c r="A52" s="40" t="str">
        <f>IF(Agent01_Loans!B64="","",Agent01_Loans!A64)</f>
        <v/>
      </c>
      <c r="B52" s="40" t="str">
        <f>IF(Agent01_Loans!B64="","",Agent01_Loans!B64)</f>
        <v/>
      </c>
      <c r="C52" s="40" t="str">
        <f>IF(Agent01_Loans!B64="","",Agent01_Loans!C64)</f>
        <v/>
      </c>
      <c r="D52" s="41" t="str">
        <f>IF(Agent01_Loans!B64="","",Agent01_Loans!D64)</f>
        <v/>
      </c>
      <c r="E52" s="43" t="str">
        <f>IF(Agent01_Loans!B64="","",Agent01_Loans!E64)</f>
        <v/>
      </c>
      <c r="F52" s="40" t="str">
        <f>IF(Agent01_Loans!B64="","",Agent01_Loans!F64)</f>
        <v/>
      </c>
      <c r="G52" s="40" t="str">
        <f>IF(Agent01_Loans!B64="","",Agent01_Loans!G64)</f>
        <v/>
      </c>
      <c r="H52" s="40" t="str">
        <f>IF(Agent01_Loans!B64="","",Agent01_Loans!H64)</f>
        <v/>
      </c>
      <c r="I52" s="43" t="str">
        <f>IF(Agent01_Loans!B64="","",Agent01_Loans!I64)</f>
        <v/>
      </c>
      <c r="J52" s="43" t="str">
        <f>IF(Agent01_Loans!B64="","",Agent01_Loans!J64)</f>
        <v/>
      </c>
      <c r="K52" s="40" t="str">
        <f>IF(Agent01_Loans!B64="","",Agent01_Loans!K64)</f>
        <v/>
      </c>
      <c r="L52" s="40" t="str">
        <f>IF(Agent01_Loans!B64="","",Agent01_Loans!L64)</f>
        <v/>
      </c>
      <c r="M52" s="40" t="str">
        <f>IFERROR(IF(Agent01_Loans!B64="","",YEAR(Agent01_Loans!D64)),"")</f>
        <v/>
      </c>
    </row>
    <row r="53" spans="1:13" ht="18" customHeight="1" x14ac:dyDescent="0.25">
      <c r="A53" s="40" t="str">
        <f>IF(Agent01_Loans!B65="","",Agent01_Loans!A65)</f>
        <v/>
      </c>
      <c r="B53" s="40" t="str">
        <f>IF(Agent01_Loans!B65="","",Agent01_Loans!B65)</f>
        <v/>
      </c>
      <c r="C53" s="40" t="str">
        <f>IF(Agent01_Loans!B65="","",Agent01_Loans!C65)</f>
        <v/>
      </c>
      <c r="D53" s="41" t="str">
        <f>IF(Agent01_Loans!B65="","",Agent01_Loans!D65)</f>
        <v/>
      </c>
      <c r="E53" s="43" t="str">
        <f>IF(Agent01_Loans!B65="","",Agent01_Loans!E65)</f>
        <v/>
      </c>
      <c r="F53" s="40" t="str">
        <f>IF(Agent01_Loans!B65="","",Agent01_Loans!F65)</f>
        <v/>
      </c>
      <c r="G53" s="40" t="str">
        <f>IF(Agent01_Loans!B65="","",Agent01_Loans!G65)</f>
        <v/>
      </c>
      <c r="H53" s="40" t="str">
        <f>IF(Agent01_Loans!B65="","",Agent01_Loans!H65)</f>
        <v/>
      </c>
      <c r="I53" s="43" t="str">
        <f>IF(Agent01_Loans!B65="","",Agent01_Loans!I65)</f>
        <v/>
      </c>
      <c r="J53" s="43" t="str">
        <f>IF(Agent01_Loans!B65="","",Agent01_Loans!J65)</f>
        <v/>
      </c>
      <c r="K53" s="40" t="str">
        <f>IF(Agent01_Loans!B65="","",Agent01_Loans!K65)</f>
        <v/>
      </c>
      <c r="L53" s="40" t="str">
        <f>IF(Agent01_Loans!B65="","",Agent01_Loans!L65)</f>
        <v/>
      </c>
      <c r="M53" s="40" t="str">
        <f>IFERROR(IF(Agent01_Loans!B65="","",YEAR(Agent01_Loans!D65)),"")</f>
        <v/>
      </c>
    </row>
    <row r="54" spans="1:13" ht="18" customHeight="1" x14ac:dyDescent="0.25">
      <c r="A54" s="40" t="str">
        <f>IF(Agent01_Loans!B66="","",Agent01_Loans!A66)</f>
        <v/>
      </c>
      <c r="B54" s="40" t="str">
        <f>IF(Agent01_Loans!B66="","",Agent01_Loans!B66)</f>
        <v/>
      </c>
      <c r="C54" s="40" t="str">
        <f>IF(Agent01_Loans!B66="","",Agent01_Loans!C66)</f>
        <v/>
      </c>
      <c r="D54" s="41" t="str">
        <f>IF(Agent01_Loans!B66="","",Agent01_Loans!D66)</f>
        <v/>
      </c>
      <c r="E54" s="43" t="str">
        <f>IF(Agent01_Loans!B66="","",Agent01_Loans!E66)</f>
        <v/>
      </c>
      <c r="F54" s="40" t="str">
        <f>IF(Agent01_Loans!B66="","",Agent01_Loans!F66)</f>
        <v/>
      </c>
      <c r="G54" s="40" t="str">
        <f>IF(Agent01_Loans!B66="","",Agent01_Loans!G66)</f>
        <v/>
      </c>
      <c r="H54" s="40" t="str">
        <f>IF(Agent01_Loans!B66="","",Agent01_Loans!H66)</f>
        <v/>
      </c>
      <c r="I54" s="43" t="str">
        <f>IF(Agent01_Loans!B66="","",Agent01_Loans!I66)</f>
        <v/>
      </c>
      <c r="J54" s="43" t="str">
        <f>IF(Agent01_Loans!B66="","",Agent01_Loans!J66)</f>
        <v/>
      </c>
      <c r="K54" s="40" t="str">
        <f>IF(Agent01_Loans!B66="","",Agent01_Loans!K66)</f>
        <v/>
      </c>
      <c r="L54" s="40" t="str">
        <f>IF(Agent01_Loans!B66="","",Agent01_Loans!L66)</f>
        <v/>
      </c>
      <c r="M54" s="40" t="str">
        <f>IFERROR(IF(Agent01_Loans!B66="","",YEAR(Agent01_Loans!D66)),"")</f>
        <v/>
      </c>
    </row>
    <row r="55" spans="1:13" ht="18" customHeight="1" x14ac:dyDescent="0.25">
      <c r="A55" s="40" t="str">
        <f>IF(Agent01_Loans!B67="","",Agent01_Loans!A67)</f>
        <v/>
      </c>
      <c r="B55" s="40" t="str">
        <f>IF(Agent01_Loans!B67="","",Agent01_Loans!B67)</f>
        <v/>
      </c>
      <c r="C55" s="40" t="str">
        <f>IF(Agent01_Loans!B67="","",Agent01_Loans!C67)</f>
        <v/>
      </c>
      <c r="D55" s="41" t="str">
        <f>IF(Agent01_Loans!B67="","",Agent01_Loans!D67)</f>
        <v/>
      </c>
      <c r="E55" s="43" t="str">
        <f>IF(Agent01_Loans!B67="","",Agent01_Loans!E67)</f>
        <v/>
      </c>
      <c r="F55" s="40" t="str">
        <f>IF(Agent01_Loans!B67="","",Agent01_Loans!F67)</f>
        <v/>
      </c>
      <c r="G55" s="40" t="str">
        <f>IF(Agent01_Loans!B67="","",Agent01_Loans!G67)</f>
        <v/>
      </c>
      <c r="H55" s="40" t="str">
        <f>IF(Agent01_Loans!B67="","",Agent01_Loans!H67)</f>
        <v/>
      </c>
      <c r="I55" s="43" t="str">
        <f>IF(Agent01_Loans!B67="","",Agent01_Loans!I67)</f>
        <v/>
      </c>
      <c r="J55" s="43" t="str">
        <f>IF(Agent01_Loans!B67="","",Agent01_Loans!J67)</f>
        <v/>
      </c>
      <c r="K55" s="40" t="str">
        <f>IF(Agent01_Loans!B67="","",Agent01_Loans!K67)</f>
        <v/>
      </c>
      <c r="L55" s="40" t="str">
        <f>IF(Agent01_Loans!B67="","",Agent01_Loans!L67)</f>
        <v/>
      </c>
      <c r="M55" s="40" t="str">
        <f>IFERROR(IF(Agent01_Loans!B67="","",YEAR(Agent01_Loans!D67)),"")</f>
        <v/>
      </c>
    </row>
    <row r="56" spans="1:13" ht="18" customHeight="1" x14ac:dyDescent="0.25">
      <c r="A56" s="40" t="str">
        <f>IF(Agent01_Loans!B68="","",Agent01_Loans!A68)</f>
        <v/>
      </c>
      <c r="B56" s="40" t="str">
        <f>IF(Agent01_Loans!B68="","",Agent01_Loans!B68)</f>
        <v/>
      </c>
      <c r="C56" s="40" t="str">
        <f>IF(Agent01_Loans!B68="","",Agent01_Loans!C68)</f>
        <v/>
      </c>
      <c r="D56" s="41" t="str">
        <f>IF(Agent01_Loans!B68="","",Agent01_Loans!D68)</f>
        <v/>
      </c>
      <c r="E56" s="43" t="str">
        <f>IF(Agent01_Loans!B68="","",Agent01_Loans!E68)</f>
        <v/>
      </c>
      <c r="F56" s="40" t="str">
        <f>IF(Agent01_Loans!B68="","",Agent01_Loans!F68)</f>
        <v/>
      </c>
      <c r="G56" s="40" t="str">
        <f>IF(Agent01_Loans!B68="","",Agent01_Loans!G68)</f>
        <v/>
      </c>
      <c r="H56" s="40" t="str">
        <f>IF(Agent01_Loans!B68="","",Agent01_Loans!H68)</f>
        <v/>
      </c>
      <c r="I56" s="43" t="str">
        <f>IF(Agent01_Loans!B68="","",Agent01_Loans!I68)</f>
        <v/>
      </c>
      <c r="J56" s="43" t="str">
        <f>IF(Agent01_Loans!B68="","",Agent01_Loans!J68)</f>
        <v/>
      </c>
      <c r="K56" s="40" t="str">
        <f>IF(Agent01_Loans!B68="","",Agent01_Loans!K68)</f>
        <v/>
      </c>
      <c r="L56" s="40" t="str">
        <f>IF(Agent01_Loans!B68="","",Agent01_Loans!L68)</f>
        <v/>
      </c>
      <c r="M56" s="40" t="str">
        <f>IFERROR(IF(Agent01_Loans!B68="","",YEAR(Agent01_Loans!D68)),"")</f>
        <v/>
      </c>
    </row>
    <row r="57" spans="1:13" ht="18" customHeight="1" x14ac:dyDescent="0.25">
      <c r="A57" s="40" t="str">
        <f>IF(Agent01_Loans!B69="","",Agent01_Loans!A69)</f>
        <v/>
      </c>
      <c r="B57" s="40" t="str">
        <f>IF(Agent01_Loans!B69="","",Agent01_Loans!B69)</f>
        <v/>
      </c>
      <c r="C57" s="40" t="str">
        <f>IF(Agent01_Loans!B69="","",Agent01_Loans!C69)</f>
        <v/>
      </c>
      <c r="D57" s="41" t="str">
        <f>IF(Agent01_Loans!B69="","",Agent01_Loans!D69)</f>
        <v/>
      </c>
      <c r="E57" s="43" t="str">
        <f>IF(Agent01_Loans!B69="","",Agent01_Loans!E69)</f>
        <v/>
      </c>
      <c r="F57" s="40" t="str">
        <f>IF(Agent01_Loans!B69="","",Agent01_Loans!F69)</f>
        <v/>
      </c>
      <c r="G57" s="40" t="str">
        <f>IF(Agent01_Loans!B69="","",Agent01_Loans!G69)</f>
        <v/>
      </c>
      <c r="H57" s="40" t="str">
        <f>IF(Agent01_Loans!B69="","",Agent01_Loans!H69)</f>
        <v/>
      </c>
      <c r="I57" s="43" t="str">
        <f>IF(Agent01_Loans!B69="","",Agent01_Loans!I69)</f>
        <v/>
      </c>
      <c r="J57" s="43" t="str">
        <f>IF(Agent01_Loans!B69="","",Agent01_Loans!J69)</f>
        <v/>
      </c>
      <c r="K57" s="40" t="str">
        <f>IF(Agent01_Loans!B69="","",Agent01_Loans!K69)</f>
        <v/>
      </c>
      <c r="L57" s="40" t="str">
        <f>IF(Agent01_Loans!B69="","",Agent01_Loans!L69)</f>
        <v/>
      </c>
      <c r="M57" s="40" t="str">
        <f>IFERROR(IF(Agent01_Loans!B69="","",YEAR(Agent01_Loans!D69)),"")</f>
        <v/>
      </c>
    </row>
    <row r="58" spans="1:13" ht="18" customHeight="1" x14ac:dyDescent="0.25">
      <c r="A58" s="40" t="str">
        <f>IF(Agent01_Loans!B70="","",Agent01_Loans!A70)</f>
        <v/>
      </c>
      <c r="B58" s="40" t="str">
        <f>IF(Agent01_Loans!B70="","",Agent01_Loans!B70)</f>
        <v/>
      </c>
      <c r="C58" s="40" t="str">
        <f>IF(Agent01_Loans!B70="","",Agent01_Loans!C70)</f>
        <v/>
      </c>
      <c r="D58" s="41" t="str">
        <f>IF(Agent01_Loans!B70="","",Agent01_Loans!D70)</f>
        <v/>
      </c>
      <c r="E58" s="43" t="str">
        <f>IF(Agent01_Loans!B70="","",Agent01_Loans!E70)</f>
        <v/>
      </c>
      <c r="F58" s="40" t="str">
        <f>IF(Agent01_Loans!B70="","",Agent01_Loans!F70)</f>
        <v/>
      </c>
      <c r="G58" s="40" t="str">
        <f>IF(Agent01_Loans!B70="","",Agent01_Loans!G70)</f>
        <v/>
      </c>
      <c r="H58" s="40" t="str">
        <f>IF(Agent01_Loans!B70="","",Agent01_Loans!H70)</f>
        <v/>
      </c>
      <c r="I58" s="43" t="str">
        <f>IF(Agent01_Loans!B70="","",Agent01_Loans!I70)</f>
        <v/>
      </c>
      <c r="J58" s="43" t="str">
        <f>IF(Agent01_Loans!B70="","",Agent01_Loans!J70)</f>
        <v/>
      </c>
      <c r="K58" s="40" t="str">
        <f>IF(Agent01_Loans!B70="","",Agent01_Loans!K70)</f>
        <v/>
      </c>
      <c r="L58" s="40" t="str">
        <f>IF(Agent01_Loans!B70="","",Agent01_Loans!L70)</f>
        <v/>
      </c>
      <c r="M58" s="40" t="str">
        <f>IFERROR(IF(Agent01_Loans!B70="","",YEAR(Agent01_Loans!D70)),"")</f>
        <v/>
      </c>
    </row>
    <row r="59" spans="1:13" ht="18" customHeight="1" x14ac:dyDescent="0.25">
      <c r="A59" s="40" t="str">
        <f>IF(Agent01_Loans!B71="","",Agent01_Loans!A71)</f>
        <v/>
      </c>
      <c r="B59" s="40" t="str">
        <f>IF(Agent01_Loans!B71="","",Agent01_Loans!B71)</f>
        <v/>
      </c>
      <c r="C59" s="40" t="str">
        <f>IF(Agent01_Loans!B71="","",Agent01_Loans!C71)</f>
        <v/>
      </c>
      <c r="D59" s="41" t="str">
        <f>IF(Agent01_Loans!B71="","",Agent01_Loans!D71)</f>
        <v/>
      </c>
      <c r="E59" s="43" t="str">
        <f>IF(Agent01_Loans!B71="","",Agent01_Loans!E71)</f>
        <v/>
      </c>
      <c r="F59" s="40" t="str">
        <f>IF(Agent01_Loans!B71="","",Agent01_Loans!F71)</f>
        <v/>
      </c>
      <c r="G59" s="40" t="str">
        <f>IF(Agent01_Loans!B71="","",Agent01_Loans!G71)</f>
        <v/>
      </c>
      <c r="H59" s="40" t="str">
        <f>IF(Agent01_Loans!B71="","",Agent01_Loans!H71)</f>
        <v/>
      </c>
      <c r="I59" s="43" t="str">
        <f>IF(Agent01_Loans!B71="","",Agent01_Loans!I71)</f>
        <v/>
      </c>
      <c r="J59" s="43" t="str">
        <f>IF(Agent01_Loans!B71="","",Agent01_Loans!J71)</f>
        <v/>
      </c>
      <c r="K59" s="40" t="str">
        <f>IF(Agent01_Loans!B71="","",Agent01_Loans!K71)</f>
        <v/>
      </c>
      <c r="L59" s="40" t="str">
        <f>IF(Agent01_Loans!B71="","",Agent01_Loans!L71)</f>
        <v/>
      </c>
      <c r="M59" s="40" t="str">
        <f>IFERROR(IF(Agent01_Loans!B71="","",YEAR(Agent01_Loans!D71)),"")</f>
        <v/>
      </c>
    </row>
    <row r="60" spans="1:13" ht="18" customHeight="1" x14ac:dyDescent="0.25">
      <c r="A60" s="40" t="str">
        <f>IF(Agent01_Loans!B72="","",Agent01_Loans!A72)</f>
        <v/>
      </c>
      <c r="B60" s="40" t="str">
        <f>IF(Agent01_Loans!B72="","",Agent01_Loans!B72)</f>
        <v/>
      </c>
      <c r="C60" s="40" t="str">
        <f>IF(Agent01_Loans!B72="","",Agent01_Loans!C72)</f>
        <v/>
      </c>
      <c r="D60" s="41" t="str">
        <f>IF(Agent01_Loans!B72="","",Agent01_Loans!D72)</f>
        <v/>
      </c>
      <c r="E60" s="43" t="str">
        <f>IF(Agent01_Loans!B72="","",Agent01_Loans!E72)</f>
        <v/>
      </c>
      <c r="F60" s="40" t="str">
        <f>IF(Agent01_Loans!B72="","",Agent01_Loans!F72)</f>
        <v/>
      </c>
      <c r="G60" s="40" t="str">
        <f>IF(Agent01_Loans!B72="","",Agent01_Loans!G72)</f>
        <v/>
      </c>
      <c r="H60" s="40" t="str">
        <f>IF(Agent01_Loans!B72="","",Agent01_Loans!H72)</f>
        <v/>
      </c>
      <c r="I60" s="43" t="str">
        <f>IF(Agent01_Loans!B72="","",Agent01_Loans!I72)</f>
        <v/>
      </c>
      <c r="J60" s="43" t="str">
        <f>IF(Agent01_Loans!B72="","",Agent01_Loans!J72)</f>
        <v/>
      </c>
      <c r="K60" s="40" t="str">
        <f>IF(Agent01_Loans!B72="","",Agent01_Loans!K72)</f>
        <v/>
      </c>
      <c r="L60" s="40" t="str">
        <f>IF(Agent01_Loans!B72="","",Agent01_Loans!L72)</f>
        <v/>
      </c>
      <c r="M60" s="40" t="str">
        <f>IFERROR(IF(Agent01_Loans!B72="","",YEAR(Agent01_Loans!D72)),"")</f>
        <v/>
      </c>
    </row>
    <row r="61" spans="1:13" ht="18" customHeight="1" x14ac:dyDescent="0.25">
      <c r="A61" s="40" t="str">
        <f>IF(Agent01_Loans!B73="","",Agent01_Loans!A73)</f>
        <v/>
      </c>
      <c r="B61" s="40" t="str">
        <f>IF(Agent01_Loans!B73="","",Agent01_Loans!B73)</f>
        <v/>
      </c>
      <c r="C61" s="40" t="str">
        <f>IF(Agent01_Loans!B73="","",Agent01_Loans!C73)</f>
        <v/>
      </c>
      <c r="D61" s="41" t="str">
        <f>IF(Agent01_Loans!B73="","",Agent01_Loans!D73)</f>
        <v/>
      </c>
      <c r="E61" s="43" t="str">
        <f>IF(Agent01_Loans!B73="","",Agent01_Loans!E73)</f>
        <v/>
      </c>
      <c r="F61" s="40" t="str">
        <f>IF(Agent01_Loans!B73="","",Agent01_Loans!F73)</f>
        <v/>
      </c>
      <c r="G61" s="40" t="str">
        <f>IF(Agent01_Loans!B73="","",Agent01_Loans!G73)</f>
        <v/>
      </c>
      <c r="H61" s="40" t="str">
        <f>IF(Agent01_Loans!B73="","",Agent01_Loans!H73)</f>
        <v/>
      </c>
      <c r="I61" s="43" t="str">
        <f>IF(Agent01_Loans!B73="","",Agent01_Loans!I73)</f>
        <v/>
      </c>
      <c r="J61" s="43" t="str">
        <f>IF(Agent01_Loans!B73="","",Agent01_Loans!J73)</f>
        <v/>
      </c>
      <c r="K61" s="40" t="str">
        <f>IF(Agent01_Loans!B73="","",Agent01_Loans!K73)</f>
        <v/>
      </c>
      <c r="L61" s="40" t="str">
        <f>IF(Agent01_Loans!B73="","",Agent01_Loans!L73)</f>
        <v/>
      </c>
      <c r="M61" s="40" t="str">
        <f>IFERROR(IF(Agent01_Loans!B73="","",YEAR(Agent01_Loans!D73)),"")</f>
        <v/>
      </c>
    </row>
    <row r="62" spans="1:13" ht="18" customHeight="1" x14ac:dyDescent="0.25">
      <c r="A62" s="40" t="str">
        <f>IF(Agent01_Loans!B74="","",Agent01_Loans!A74)</f>
        <v/>
      </c>
      <c r="B62" s="40" t="str">
        <f>IF(Agent01_Loans!B74="","",Agent01_Loans!B74)</f>
        <v/>
      </c>
      <c r="C62" s="40" t="str">
        <f>IF(Agent01_Loans!B74="","",Agent01_Loans!C74)</f>
        <v/>
      </c>
      <c r="D62" s="41" t="str">
        <f>IF(Agent01_Loans!B74="","",Agent01_Loans!D74)</f>
        <v/>
      </c>
      <c r="E62" s="43" t="str">
        <f>IF(Agent01_Loans!B74="","",Agent01_Loans!E74)</f>
        <v/>
      </c>
      <c r="F62" s="40" t="str">
        <f>IF(Agent01_Loans!B74="","",Agent01_Loans!F74)</f>
        <v/>
      </c>
      <c r="G62" s="40" t="str">
        <f>IF(Agent01_Loans!B74="","",Agent01_Loans!G74)</f>
        <v/>
      </c>
      <c r="H62" s="40" t="str">
        <f>IF(Agent01_Loans!B74="","",Agent01_Loans!H74)</f>
        <v/>
      </c>
      <c r="I62" s="43" t="str">
        <f>IF(Agent01_Loans!B74="","",Agent01_Loans!I74)</f>
        <v/>
      </c>
      <c r="J62" s="43" t="str">
        <f>IF(Agent01_Loans!B74="","",Agent01_Loans!J74)</f>
        <v/>
      </c>
      <c r="K62" s="40" t="str">
        <f>IF(Agent01_Loans!B74="","",Agent01_Loans!K74)</f>
        <v/>
      </c>
      <c r="L62" s="40" t="str">
        <f>IF(Agent01_Loans!B74="","",Agent01_Loans!L74)</f>
        <v/>
      </c>
      <c r="M62" s="40" t="str">
        <f>IFERROR(IF(Agent01_Loans!B74="","",YEAR(Agent01_Loans!D74)),"")</f>
        <v/>
      </c>
    </row>
    <row r="63" spans="1:13" ht="18" customHeight="1" x14ac:dyDescent="0.25">
      <c r="A63" s="40" t="str">
        <f>IF(Agent01_Loans!B75="","",Agent01_Loans!A75)</f>
        <v/>
      </c>
      <c r="B63" s="40" t="str">
        <f>IF(Agent01_Loans!B75="","",Agent01_Loans!B75)</f>
        <v/>
      </c>
      <c r="C63" s="40" t="str">
        <f>IF(Agent01_Loans!B75="","",Agent01_Loans!C75)</f>
        <v/>
      </c>
      <c r="D63" s="41" t="str">
        <f>IF(Agent01_Loans!B75="","",Agent01_Loans!D75)</f>
        <v/>
      </c>
      <c r="E63" s="43" t="str">
        <f>IF(Agent01_Loans!B75="","",Agent01_Loans!E75)</f>
        <v/>
      </c>
      <c r="F63" s="40" t="str">
        <f>IF(Agent01_Loans!B75="","",Agent01_Loans!F75)</f>
        <v/>
      </c>
      <c r="G63" s="40" t="str">
        <f>IF(Agent01_Loans!B75="","",Agent01_Loans!G75)</f>
        <v/>
      </c>
      <c r="H63" s="40" t="str">
        <f>IF(Agent01_Loans!B75="","",Agent01_Loans!H75)</f>
        <v/>
      </c>
      <c r="I63" s="43" t="str">
        <f>IF(Agent01_Loans!B75="","",Agent01_Loans!I75)</f>
        <v/>
      </c>
      <c r="J63" s="43" t="str">
        <f>IF(Agent01_Loans!B75="","",Agent01_Loans!J75)</f>
        <v/>
      </c>
      <c r="K63" s="40" t="str">
        <f>IF(Agent01_Loans!B75="","",Agent01_Loans!K75)</f>
        <v/>
      </c>
      <c r="L63" s="40" t="str">
        <f>IF(Agent01_Loans!B75="","",Agent01_Loans!L75)</f>
        <v/>
      </c>
      <c r="M63" s="40" t="str">
        <f>IFERROR(IF(Agent01_Loans!B75="","",YEAR(Agent01_Loans!D75)),"")</f>
        <v/>
      </c>
    </row>
    <row r="64" spans="1:13" ht="18" customHeight="1" x14ac:dyDescent="0.25">
      <c r="A64" s="40" t="str">
        <f>IF(Agent01_Loans!B76="","",Agent01_Loans!A76)</f>
        <v/>
      </c>
      <c r="B64" s="40" t="str">
        <f>IF(Agent01_Loans!B76="","",Agent01_Loans!B76)</f>
        <v/>
      </c>
      <c r="C64" s="40" t="str">
        <f>IF(Agent01_Loans!B76="","",Agent01_Loans!C76)</f>
        <v/>
      </c>
      <c r="D64" s="41" t="str">
        <f>IF(Agent01_Loans!B76="","",Agent01_Loans!D76)</f>
        <v/>
      </c>
      <c r="E64" s="43" t="str">
        <f>IF(Agent01_Loans!B76="","",Agent01_Loans!E76)</f>
        <v/>
      </c>
      <c r="F64" s="40" t="str">
        <f>IF(Agent01_Loans!B76="","",Agent01_Loans!F76)</f>
        <v/>
      </c>
      <c r="G64" s="40" t="str">
        <f>IF(Agent01_Loans!B76="","",Agent01_Loans!G76)</f>
        <v/>
      </c>
      <c r="H64" s="40" t="str">
        <f>IF(Agent01_Loans!B76="","",Agent01_Loans!H76)</f>
        <v/>
      </c>
      <c r="I64" s="43" t="str">
        <f>IF(Agent01_Loans!B76="","",Agent01_Loans!I76)</f>
        <v/>
      </c>
      <c r="J64" s="43" t="str">
        <f>IF(Agent01_Loans!B76="","",Agent01_Loans!J76)</f>
        <v/>
      </c>
      <c r="K64" s="40" t="str">
        <f>IF(Agent01_Loans!B76="","",Agent01_Loans!K76)</f>
        <v/>
      </c>
      <c r="L64" s="40" t="str">
        <f>IF(Agent01_Loans!B76="","",Agent01_Loans!L76)</f>
        <v/>
      </c>
      <c r="M64" s="40" t="str">
        <f>IFERROR(IF(Agent01_Loans!B76="","",YEAR(Agent01_Loans!D76)),"")</f>
        <v/>
      </c>
    </row>
    <row r="65" spans="1:13" ht="18" customHeight="1" x14ac:dyDescent="0.25">
      <c r="A65" s="40" t="str">
        <f>IF(Agent01_Loans!B77="","",Agent01_Loans!A77)</f>
        <v/>
      </c>
      <c r="B65" s="40" t="str">
        <f>IF(Agent01_Loans!B77="","",Agent01_Loans!B77)</f>
        <v/>
      </c>
      <c r="C65" s="40" t="str">
        <f>IF(Agent01_Loans!B77="","",Agent01_Loans!C77)</f>
        <v/>
      </c>
      <c r="D65" s="41" t="str">
        <f>IF(Agent01_Loans!B77="","",Agent01_Loans!D77)</f>
        <v/>
      </c>
      <c r="E65" s="43" t="str">
        <f>IF(Agent01_Loans!B77="","",Agent01_Loans!E77)</f>
        <v/>
      </c>
      <c r="F65" s="40" t="str">
        <f>IF(Agent01_Loans!B77="","",Agent01_Loans!F77)</f>
        <v/>
      </c>
      <c r="G65" s="40" t="str">
        <f>IF(Agent01_Loans!B77="","",Agent01_Loans!G77)</f>
        <v/>
      </c>
      <c r="H65" s="40" t="str">
        <f>IF(Agent01_Loans!B77="","",Agent01_Loans!H77)</f>
        <v/>
      </c>
      <c r="I65" s="43" t="str">
        <f>IF(Agent01_Loans!B77="","",Agent01_Loans!I77)</f>
        <v/>
      </c>
      <c r="J65" s="43" t="str">
        <f>IF(Agent01_Loans!B77="","",Agent01_Loans!J77)</f>
        <v/>
      </c>
      <c r="K65" s="40" t="str">
        <f>IF(Agent01_Loans!B77="","",Agent01_Loans!K77)</f>
        <v/>
      </c>
      <c r="L65" s="40" t="str">
        <f>IF(Agent01_Loans!B77="","",Agent01_Loans!L77)</f>
        <v/>
      </c>
      <c r="M65" s="40" t="str">
        <f>IFERROR(IF(Agent01_Loans!B77="","",YEAR(Agent01_Loans!D77)),"")</f>
        <v/>
      </c>
    </row>
    <row r="66" spans="1:13" ht="18" customHeight="1" x14ac:dyDescent="0.25">
      <c r="A66" s="40" t="str">
        <f>IF(Agent01_Loans!B78="","",Agent01_Loans!A78)</f>
        <v/>
      </c>
      <c r="B66" s="40" t="str">
        <f>IF(Agent01_Loans!B78="","",Agent01_Loans!B78)</f>
        <v/>
      </c>
      <c r="C66" s="40" t="str">
        <f>IF(Agent01_Loans!B78="","",Agent01_Loans!C78)</f>
        <v/>
      </c>
      <c r="D66" s="41" t="str">
        <f>IF(Agent01_Loans!B78="","",Agent01_Loans!D78)</f>
        <v/>
      </c>
      <c r="E66" s="43" t="str">
        <f>IF(Agent01_Loans!B78="","",Agent01_Loans!E78)</f>
        <v/>
      </c>
      <c r="F66" s="40" t="str">
        <f>IF(Agent01_Loans!B78="","",Agent01_Loans!F78)</f>
        <v/>
      </c>
      <c r="G66" s="40" t="str">
        <f>IF(Agent01_Loans!B78="","",Agent01_Loans!G78)</f>
        <v/>
      </c>
      <c r="H66" s="40" t="str">
        <f>IF(Agent01_Loans!B78="","",Agent01_Loans!H78)</f>
        <v/>
      </c>
      <c r="I66" s="43" t="str">
        <f>IF(Agent01_Loans!B78="","",Agent01_Loans!I78)</f>
        <v/>
      </c>
      <c r="J66" s="43" t="str">
        <f>IF(Agent01_Loans!B78="","",Agent01_Loans!J78)</f>
        <v/>
      </c>
      <c r="K66" s="40" t="str">
        <f>IF(Agent01_Loans!B78="","",Agent01_Loans!K78)</f>
        <v/>
      </c>
      <c r="L66" s="40" t="str">
        <f>IF(Agent01_Loans!B78="","",Agent01_Loans!L78)</f>
        <v/>
      </c>
      <c r="M66" s="40" t="str">
        <f>IFERROR(IF(Agent01_Loans!B78="","",YEAR(Agent01_Loans!D78)),"")</f>
        <v/>
      </c>
    </row>
    <row r="67" spans="1:13" ht="18" customHeight="1" x14ac:dyDescent="0.25">
      <c r="A67" s="40" t="str">
        <f>IF(Agent01_Loans!B79="","",Agent01_Loans!A79)</f>
        <v/>
      </c>
      <c r="B67" s="40" t="str">
        <f>IF(Agent01_Loans!B79="","",Agent01_Loans!B79)</f>
        <v/>
      </c>
      <c r="C67" s="40" t="str">
        <f>IF(Agent01_Loans!B79="","",Agent01_Loans!C79)</f>
        <v/>
      </c>
      <c r="D67" s="41" t="str">
        <f>IF(Agent01_Loans!B79="","",Agent01_Loans!D79)</f>
        <v/>
      </c>
      <c r="E67" s="43" t="str">
        <f>IF(Agent01_Loans!B79="","",Agent01_Loans!E79)</f>
        <v/>
      </c>
      <c r="F67" s="40" t="str">
        <f>IF(Agent01_Loans!B79="","",Agent01_Loans!F79)</f>
        <v/>
      </c>
      <c r="G67" s="40" t="str">
        <f>IF(Agent01_Loans!B79="","",Agent01_Loans!G79)</f>
        <v/>
      </c>
      <c r="H67" s="40" t="str">
        <f>IF(Agent01_Loans!B79="","",Agent01_Loans!H79)</f>
        <v/>
      </c>
      <c r="I67" s="43" t="str">
        <f>IF(Agent01_Loans!B79="","",Agent01_Loans!I79)</f>
        <v/>
      </c>
      <c r="J67" s="43" t="str">
        <f>IF(Agent01_Loans!B79="","",Agent01_Loans!J79)</f>
        <v/>
      </c>
      <c r="K67" s="40" t="str">
        <f>IF(Agent01_Loans!B79="","",Agent01_Loans!K79)</f>
        <v/>
      </c>
      <c r="L67" s="40" t="str">
        <f>IF(Agent01_Loans!B79="","",Agent01_Loans!L79)</f>
        <v/>
      </c>
      <c r="M67" s="40" t="str">
        <f>IFERROR(IF(Agent01_Loans!B79="","",YEAR(Agent01_Loans!D79)),"")</f>
        <v/>
      </c>
    </row>
    <row r="68" spans="1:13" ht="18" customHeight="1" x14ac:dyDescent="0.25">
      <c r="A68" s="40" t="str">
        <f>IF(Agent01_Loans!B80="","",Agent01_Loans!A80)</f>
        <v/>
      </c>
      <c r="B68" s="40" t="str">
        <f>IF(Agent01_Loans!B80="","",Agent01_Loans!B80)</f>
        <v/>
      </c>
      <c r="C68" s="40" t="str">
        <f>IF(Agent01_Loans!B80="","",Agent01_Loans!C80)</f>
        <v/>
      </c>
      <c r="D68" s="41" t="str">
        <f>IF(Agent01_Loans!B80="","",Agent01_Loans!D80)</f>
        <v/>
      </c>
      <c r="E68" s="43" t="str">
        <f>IF(Agent01_Loans!B80="","",Agent01_Loans!E80)</f>
        <v/>
      </c>
      <c r="F68" s="40" t="str">
        <f>IF(Agent01_Loans!B80="","",Agent01_Loans!F80)</f>
        <v/>
      </c>
      <c r="G68" s="40" t="str">
        <f>IF(Agent01_Loans!B80="","",Agent01_Loans!G80)</f>
        <v/>
      </c>
      <c r="H68" s="40" t="str">
        <f>IF(Agent01_Loans!B80="","",Agent01_Loans!H80)</f>
        <v/>
      </c>
      <c r="I68" s="43" t="str">
        <f>IF(Agent01_Loans!B80="","",Agent01_Loans!I80)</f>
        <v/>
      </c>
      <c r="J68" s="43" t="str">
        <f>IF(Agent01_Loans!B80="","",Agent01_Loans!J80)</f>
        <v/>
      </c>
      <c r="K68" s="40" t="str">
        <f>IF(Agent01_Loans!B80="","",Agent01_Loans!K80)</f>
        <v/>
      </c>
      <c r="L68" s="40" t="str">
        <f>IF(Agent01_Loans!B80="","",Agent01_Loans!L80)</f>
        <v/>
      </c>
      <c r="M68" s="40" t="str">
        <f>IFERROR(IF(Agent01_Loans!B80="","",YEAR(Agent01_Loans!D80)),"")</f>
        <v/>
      </c>
    </row>
    <row r="69" spans="1:13" ht="18" customHeight="1" x14ac:dyDescent="0.25">
      <c r="A69" s="40" t="str">
        <f>IF(Agent01_Loans!B81="","",Agent01_Loans!A81)</f>
        <v/>
      </c>
      <c r="B69" s="40" t="str">
        <f>IF(Agent01_Loans!B81="","",Agent01_Loans!B81)</f>
        <v/>
      </c>
      <c r="C69" s="40" t="str">
        <f>IF(Agent01_Loans!B81="","",Agent01_Loans!C81)</f>
        <v/>
      </c>
      <c r="D69" s="41" t="str">
        <f>IF(Agent01_Loans!B81="","",Agent01_Loans!D81)</f>
        <v/>
      </c>
      <c r="E69" s="43" t="str">
        <f>IF(Agent01_Loans!B81="","",Agent01_Loans!E81)</f>
        <v/>
      </c>
      <c r="F69" s="40" t="str">
        <f>IF(Agent01_Loans!B81="","",Agent01_Loans!F81)</f>
        <v/>
      </c>
      <c r="G69" s="40" t="str">
        <f>IF(Agent01_Loans!B81="","",Agent01_Loans!G81)</f>
        <v/>
      </c>
      <c r="H69" s="40" t="str">
        <f>IF(Agent01_Loans!B81="","",Agent01_Loans!H81)</f>
        <v/>
      </c>
      <c r="I69" s="43" t="str">
        <f>IF(Agent01_Loans!B81="","",Agent01_Loans!I81)</f>
        <v/>
      </c>
      <c r="J69" s="43" t="str">
        <f>IF(Agent01_Loans!B81="","",Agent01_Loans!J81)</f>
        <v/>
      </c>
      <c r="K69" s="40" t="str">
        <f>IF(Agent01_Loans!B81="","",Agent01_Loans!K81)</f>
        <v/>
      </c>
      <c r="L69" s="40" t="str">
        <f>IF(Agent01_Loans!B81="","",Agent01_Loans!L81)</f>
        <v/>
      </c>
      <c r="M69" s="40" t="str">
        <f>IFERROR(IF(Agent01_Loans!B81="","",YEAR(Agent01_Loans!D81)),"")</f>
        <v/>
      </c>
    </row>
    <row r="70" spans="1:13" ht="18" customHeight="1" x14ac:dyDescent="0.25">
      <c r="A70" s="40" t="str">
        <f>IF(Agent01_Loans!B82="","",Agent01_Loans!A82)</f>
        <v/>
      </c>
      <c r="B70" s="40" t="str">
        <f>IF(Agent01_Loans!B82="","",Agent01_Loans!B82)</f>
        <v/>
      </c>
      <c r="C70" s="40" t="str">
        <f>IF(Agent01_Loans!B82="","",Agent01_Loans!C82)</f>
        <v/>
      </c>
      <c r="D70" s="41" t="str">
        <f>IF(Agent01_Loans!B82="","",Agent01_Loans!D82)</f>
        <v/>
      </c>
      <c r="E70" s="43" t="str">
        <f>IF(Agent01_Loans!B82="","",Agent01_Loans!E82)</f>
        <v/>
      </c>
      <c r="F70" s="40" t="str">
        <f>IF(Agent01_Loans!B82="","",Agent01_Loans!F82)</f>
        <v/>
      </c>
      <c r="G70" s="40" t="str">
        <f>IF(Agent01_Loans!B82="","",Agent01_Loans!G82)</f>
        <v/>
      </c>
      <c r="H70" s="40" t="str">
        <f>IF(Agent01_Loans!B82="","",Agent01_Loans!H82)</f>
        <v/>
      </c>
      <c r="I70" s="43" t="str">
        <f>IF(Agent01_Loans!B82="","",Agent01_Loans!I82)</f>
        <v/>
      </c>
      <c r="J70" s="43" t="str">
        <f>IF(Agent01_Loans!B82="","",Agent01_Loans!J82)</f>
        <v/>
      </c>
      <c r="K70" s="40" t="str">
        <f>IF(Agent01_Loans!B82="","",Agent01_Loans!K82)</f>
        <v/>
      </c>
      <c r="L70" s="40" t="str">
        <f>IF(Agent01_Loans!B82="","",Agent01_Loans!L82)</f>
        <v/>
      </c>
      <c r="M70" s="40" t="str">
        <f>IFERROR(IF(Agent01_Loans!B82="","",YEAR(Agent01_Loans!D82)),"")</f>
        <v/>
      </c>
    </row>
    <row r="71" spans="1:13" ht="18" customHeight="1" x14ac:dyDescent="0.25">
      <c r="A71" s="40" t="str">
        <f>IF(Agent01_Loans!B83="","",Agent01_Loans!A83)</f>
        <v/>
      </c>
      <c r="B71" s="40" t="str">
        <f>IF(Agent01_Loans!B83="","",Agent01_Loans!B83)</f>
        <v/>
      </c>
      <c r="C71" s="40" t="str">
        <f>IF(Agent01_Loans!B83="","",Agent01_Loans!C83)</f>
        <v/>
      </c>
      <c r="D71" s="41" t="str">
        <f>IF(Agent01_Loans!B83="","",Agent01_Loans!D83)</f>
        <v/>
      </c>
      <c r="E71" s="43" t="str">
        <f>IF(Agent01_Loans!B83="","",Agent01_Loans!E83)</f>
        <v/>
      </c>
      <c r="F71" s="40" t="str">
        <f>IF(Agent01_Loans!B83="","",Agent01_Loans!F83)</f>
        <v/>
      </c>
      <c r="G71" s="40" t="str">
        <f>IF(Agent01_Loans!B83="","",Agent01_Loans!G83)</f>
        <v/>
      </c>
      <c r="H71" s="40" t="str">
        <f>IF(Agent01_Loans!B83="","",Agent01_Loans!H83)</f>
        <v/>
      </c>
      <c r="I71" s="43" t="str">
        <f>IF(Agent01_Loans!B83="","",Agent01_Loans!I83)</f>
        <v/>
      </c>
      <c r="J71" s="43" t="str">
        <f>IF(Agent01_Loans!B83="","",Agent01_Loans!J83)</f>
        <v/>
      </c>
      <c r="K71" s="40" t="str">
        <f>IF(Agent01_Loans!B83="","",Agent01_Loans!K83)</f>
        <v/>
      </c>
      <c r="L71" s="40" t="str">
        <f>IF(Agent01_Loans!B83="","",Agent01_Loans!L83)</f>
        <v/>
      </c>
      <c r="M71" s="40" t="str">
        <f>IFERROR(IF(Agent01_Loans!B83="","",YEAR(Agent01_Loans!D83)),"")</f>
        <v/>
      </c>
    </row>
    <row r="72" spans="1:13" ht="18" customHeight="1" x14ac:dyDescent="0.25">
      <c r="A72" s="40" t="str">
        <f>IF(Agent01_Loans!B84="","",Agent01_Loans!A84)</f>
        <v/>
      </c>
      <c r="B72" s="40" t="str">
        <f>IF(Agent01_Loans!B84="","",Agent01_Loans!B84)</f>
        <v/>
      </c>
      <c r="C72" s="40" t="str">
        <f>IF(Agent01_Loans!B84="","",Agent01_Loans!C84)</f>
        <v/>
      </c>
      <c r="D72" s="41" t="str">
        <f>IF(Agent01_Loans!B84="","",Agent01_Loans!D84)</f>
        <v/>
      </c>
      <c r="E72" s="43" t="str">
        <f>IF(Agent01_Loans!B84="","",Agent01_Loans!E84)</f>
        <v/>
      </c>
      <c r="F72" s="40" t="str">
        <f>IF(Agent01_Loans!B84="","",Agent01_Loans!F84)</f>
        <v/>
      </c>
      <c r="G72" s="40" t="str">
        <f>IF(Agent01_Loans!B84="","",Agent01_Loans!G84)</f>
        <v/>
      </c>
      <c r="H72" s="40" t="str">
        <f>IF(Agent01_Loans!B84="","",Agent01_Loans!H84)</f>
        <v/>
      </c>
      <c r="I72" s="43" t="str">
        <f>IF(Agent01_Loans!B84="","",Agent01_Loans!I84)</f>
        <v/>
      </c>
      <c r="J72" s="43" t="str">
        <f>IF(Agent01_Loans!B84="","",Agent01_Loans!J84)</f>
        <v/>
      </c>
      <c r="K72" s="40" t="str">
        <f>IF(Agent01_Loans!B84="","",Agent01_Loans!K84)</f>
        <v/>
      </c>
      <c r="L72" s="40" t="str">
        <f>IF(Agent01_Loans!B84="","",Agent01_Loans!L84)</f>
        <v/>
      </c>
      <c r="M72" s="40" t="str">
        <f>IFERROR(IF(Agent01_Loans!B84="","",YEAR(Agent01_Loans!D84)),"")</f>
        <v/>
      </c>
    </row>
    <row r="73" spans="1:13" ht="18" customHeight="1" x14ac:dyDescent="0.25">
      <c r="A73" s="40" t="str">
        <f>IF(Agent01_Loans!B85="","",Agent01_Loans!A85)</f>
        <v/>
      </c>
      <c r="B73" s="40" t="str">
        <f>IF(Agent01_Loans!B85="","",Agent01_Loans!B85)</f>
        <v/>
      </c>
      <c r="C73" s="40" t="str">
        <f>IF(Agent01_Loans!B85="","",Agent01_Loans!C85)</f>
        <v/>
      </c>
      <c r="D73" s="41" t="str">
        <f>IF(Agent01_Loans!B85="","",Agent01_Loans!D85)</f>
        <v/>
      </c>
      <c r="E73" s="43" t="str">
        <f>IF(Agent01_Loans!B85="","",Agent01_Loans!E85)</f>
        <v/>
      </c>
      <c r="F73" s="40" t="str">
        <f>IF(Agent01_Loans!B85="","",Agent01_Loans!F85)</f>
        <v/>
      </c>
      <c r="G73" s="40" t="str">
        <f>IF(Agent01_Loans!B85="","",Agent01_Loans!G85)</f>
        <v/>
      </c>
      <c r="H73" s="40" t="str">
        <f>IF(Agent01_Loans!B85="","",Agent01_Loans!H85)</f>
        <v/>
      </c>
      <c r="I73" s="43" t="str">
        <f>IF(Agent01_Loans!B85="","",Agent01_Loans!I85)</f>
        <v/>
      </c>
      <c r="J73" s="43" t="str">
        <f>IF(Agent01_Loans!B85="","",Agent01_Loans!J85)</f>
        <v/>
      </c>
      <c r="K73" s="40" t="str">
        <f>IF(Agent01_Loans!B85="","",Agent01_Loans!K85)</f>
        <v/>
      </c>
      <c r="L73" s="40" t="str">
        <f>IF(Agent01_Loans!B85="","",Agent01_Loans!L85)</f>
        <v/>
      </c>
      <c r="M73" s="40" t="str">
        <f>IFERROR(IF(Agent01_Loans!B85="","",YEAR(Agent01_Loans!D85)),"")</f>
        <v/>
      </c>
    </row>
    <row r="74" spans="1:13" ht="18" customHeight="1" x14ac:dyDescent="0.25">
      <c r="A74" s="40" t="str">
        <f>IF(Agent01_Loans!B86="","",Agent01_Loans!A86)</f>
        <v/>
      </c>
      <c r="B74" s="40" t="str">
        <f>IF(Agent01_Loans!B86="","",Agent01_Loans!B86)</f>
        <v/>
      </c>
      <c r="C74" s="40" t="str">
        <f>IF(Agent01_Loans!B86="","",Agent01_Loans!C86)</f>
        <v/>
      </c>
      <c r="D74" s="41" t="str">
        <f>IF(Agent01_Loans!B86="","",Agent01_Loans!D86)</f>
        <v/>
      </c>
      <c r="E74" s="43" t="str">
        <f>IF(Agent01_Loans!B86="","",Agent01_Loans!E86)</f>
        <v/>
      </c>
      <c r="F74" s="40" t="str">
        <f>IF(Agent01_Loans!B86="","",Agent01_Loans!F86)</f>
        <v/>
      </c>
      <c r="G74" s="40" t="str">
        <f>IF(Agent01_Loans!B86="","",Agent01_Loans!G86)</f>
        <v/>
      </c>
      <c r="H74" s="40" t="str">
        <f>IF(Agent01_Loans!B86="","",Agent01_Loans!H86)</f>
        <v/>
      </c>
      <c r="I74" s="43" t="str">
        <f>IF(Agent01_Loans!B86="","",Agent01_Loans!I86)</f>
        <v/>
      </c>
      <c r="J74" s="43" t="str">
        <f>IF(Agent01_Loans!B86="","",Agent01_Loans!J86)</f>
        <v/>
      </c>
      <c r="K74" s="40" t="str">
        <f>IF(Agent01_Loans!B86="","",Agent01_Loans!K86)</f>
        <v/>
      </c>
      <c r="L74" s="40" t="str">
        <f>IF(Agent01_Loans!B86="","",Agent01_Loans!L86)</f>
        <v/>
      </c>
      <c r="M74" s="40" t="str">
        <f>IFERROR(IF(Agent01_Loans!B86="","",YEAR(Agent01_Loans!D86)),"")</f>
        <v/>
      </c>
    </row>
    <row r="75" spans="1:13" ht="18" customHeight="1" x14ac:dyDescent="0.25">
      <c r="A75" s="40" t="str">
        <f>IF(Agent01_Loans!B87="","",Agent01_Loans!A87)</f>
        <v/>
      </c>
      <c r="B75" s="40" t="str">
        <f>IF(Agent01_Loans!B87="","",Agent01_Loans!B87)</f>
        <v/>
      </c>
      <c r="C75" s="40" t="str">
        <f>IF(Agent01_Loans!B87="","",Agent01_Loans!C87)</f>
        <v/>
      </c>
      <c r="D75" s="41" t="str">
        <f>IF(Agent01_Loans!B87="","",Agent01_Loans!D87)</f>
        <v/>
      </c>
      <c r="E75" s="43" t="str">
        <f>IF(Agent01_Loans!B87="","",Agent01_Loans!E87)</f>
        <v/>
      </c>
      <c r="F75" s="40" t="str">
        <f>IF(Agent01_Loans!B87="","",Agent01_Loans!F87)</f>
        <v/>
      </c>
      <c r="G75" s="40" t="str">
        <f>IF(Agent01_Loans!B87="","",Agent01_Loans!G87)</f>
        <v/>
      </c>
      <c r="H75" s="40" t="str">
        <f>IF(Agent01_Loans!B87="","",Agent01_Loans!H87)</f>
        <v/>
      </c>
      <c r="I75" s="43" t="str">
        <f>IF(Agent01_Loans!B87="","",Agent01_Loans!I87)</f>
        <v/>
      </c>
      <c r="J75" s="43" t="str">
        <f>IF(Agent01_Loans!B87="","",Agent01_Loans!J87)</f>
        <v/>
      </c>
      <c r="K75" s="40" t="str">
        <f>IF(Agent01_Loans!B87="","",Agent01_Loans!K87)</f>
        <v/>
      </c>
      <c r="L75" s="40" t="str">
        <f>IF(Agent01_Loans!B87="","",Agent01_Loans!L87)</f>
        <v/>
      </c>
      <c r="M75" s="40" t="str">
        <f>IFERROR(IF(Agent01_Loans!B87="","",YEAR(Agent01_Loans!D87)),"")</f>
        <v/>
      </c>
    </row>
    <row r="76" spans="1:13" ht="18" customHeight="1" x14ac:dyDescent="0.25">
      <c r="A76" s="40" t="str">
        <f>IF(Agent01_Loans!B88="","",Agent01_Loans!A88)</f>
        <v/>
      </c>
      <c r="B76" s="40" t="str">
        <f>IF(Agent01_Loans!B88="","",Agent01_Loans!B88)</f>
        <v/>
      </c>
      <c r="C76" s="40" t="str">
        <f>IF(Agent01_Loans!B88="","",Agent01_Loans!C88)</f>
        <v/>
      </c>
      <c r="D76" s="41" t="str">
        <f>IF(Agent01_Loans!B88="","",Agent01_Loans!D88)</f>
        <v/>
      </c>
      <c r="E76" s="43" t="str">
        <f>IF(Agent01_Loans!B88="","",Agent01_Loans!E88)</f>
        <v/>
      </c>
      <c r="F76" s="40" t="str">
        <f>IF(Agent01_Loans!B88="","",Agent01_Loans!F88)</f>
        <v/>
      </c>
      <c r="G76" s="40" t="str">
        <f>IF(Agent01_Loans!B88="","",Agent01_Loans!G88)</f>
        <v/>
      </c>
      <c r="H76" s="40" t="str">
        <f>IF(Agent01_Loans!B88="","",Agent01_Loans!H88)</f>
        <v/>
      </c>
      <c r="I76" s="43" t="str">
        <f>IF(Agent01_Loans!B88="","",Agent01_Loans!I88)</f>
        <v/>
      </c>
      <c r="J76" s="43" t="str">
        <f>IF(Agent01_Loans!B88="","",Agent01_Loans!J88)</f>
        <v/>
      </c>
      <c r="K76" s="40" t="str">
        <f>IF(Agent01_Loans!B88="","",Agent01_Loans!K88)</f>
        <v/>
      </c>
      <c r="L76" s="40" t="str">
        <f>IF(Agent01_Loans!B88="","",Agent01_Loans!L88)</f>
        <v/>
      </c>
      <c r="M76" s="40" t="str">
        <f>IFERROR(IF(Agent01_Loans!B88="","",YEAR(Agent01_Loans!D88)),"")</f>
        <v/>
      </c>
    </row>
    <row r="77" spans="1:13" ht="18" customHeight="1" x14ac:dyDescent="0.25">
      <c r="A77" s="40" t="str">
        <f>IF(Agent01_Loans!B89="","",Agent01_Loans!A89)</f>
        <v/>
      </c>
      <c r="B77" s="40" t="str">
        <f>IF(Agent01_Loans!B89="","",Agent01_Loans!B89)</f>
        <v/>
      </c>
      <c r="C77" s="40" t="str">
        <f>IF(Agent01_Loans!B89="","",Agent01_Loans!C89)</f>
        <v/>
      </c>
      <c r="D77" s="41" t="str">
        <f>IF(Agent01_Loans!B89="","",Agent01_Loans!D89)</f>
        <v/>
      </c>
      <c r="E77" s="43" t="str">
        <f>IF(Agent01_Loans!B89="","",Agent01_Loans!E89)</f>
        <v/>
      </c>
      <c r="F77" s="40" t="str">
        <f>IF(Agent01_Loans!B89="","",Agent01_Loans!F89)</f>
        <v/>
      </c>
      <c r="G77" s="40" t="str">
        <f>IF(Agent01_Loans!B89="","",Agent01_Loans!G89)</f>
        <v/>
      </c>
      <c r="H77" s="40" t="str">
        <f>IF(Agent01_Loans!B89="","",Agent01_Loans!H89)</f>
        <v/>
      </c>
      <c r="I77" s="43" t="str">
        <f>IF(Agent01_Loans!B89="","",Agent01_Loans!I89)</f>
        <v/>
      </c>
      <c r="J77" s="43" t="str">
        <f>IF(Agent01_Loans!B89="","",Agent01_Loans!J89)</f>
        <v/>
      </c>
      <c r="K77" s="40" t="str">
        <f>IF(Agent01_Loans!B89="","",Agent01_Loans!K89)</f>
        <v/>
      </c>
      <c r="L77" s="40" t="str">
        <f>IF(Agent01_Loans!B89="","",Agent01_Loans!L89)</f>
        <v/>
      </c>
      <c r="M77" s="40" t="str">
        <f>IFERROR(IF(Agent01_Loans!B89="","",YEAR(Agent01_Loans!D89)),"")</f>
        <v/>
      </c>
    </row>
    <row r="78" spans="1:13" ht="18" customHeight="1" x14ac:dyDescent="0.25">
      <c r="A78" s="40" t="str">
        <f>IF(Agent01_Loans!B90="","",Agent01_Loans!A90)</f>
        <v/>
      </c>
      <c r="B78" s="40" t="str">
        <f>IF(Agent01_Loans!B90="","",Agent01_Loans!B90)</f>
        <v/>
      </c>
      <c r="C78" s="40" t="str">
        <f>IF(Agent01_Loans!B90="","",Agent01_Loans!C90)</f>
        <v/>
      </c>
      <c r="D78" s="41" t="str">
        <f>IF(Agent01_Loans!B90="","",Agent01_Loans!D90)</f>
        <v/>
      </c>
      <c r="E78" s="43" t="str">
        <f>IF(Agent01_Loans!B90="","",Agent01_Loans!E90)</f>
        <v/>
      </c>
      <c r="F78" s="40" t="str">
        <f>IF(Agent01_Loans!B90="","",Agent01_Loans!F90)</f>
        <v/>
      </c>
      <c r="G78" s="40" t="str">
        <f>IF(Agent01_Loans!B90="","",Agent01_Loans!G90)</f>
        <v/>
      </c>
      <c r="H78" s="40" t="str">
        <f>IF(Agent01_Loans!B90="","",Agent01_Loans!H90)</f>
        <v/>
      </c>
      <c r="I78" s="43" t="str">
        <f>IF(Agent01_Loans!B90="","",Agent01_Loans!I90)</f>
        <v/>
      </c>
      <c r="J78" s="43" t="str">
        <f>IF(Agent01_Loans!B90="","",Agent01_Loans!J90)</f>
        <v/>
      </c>
      <c r="K78" s="40" t="str">
        <f>IF(Agent01_Loans!B90="","",Agent01_Loans!K90)</f>
        <v/>
      </c>
      <c r="L78" s="40" t="str">
        <f>IF(Agent01_Loans!B90="","",Agent01_Loans!L90)</f>
        <v/>
      </c>
      <c r="M78" s="40" t="str">
        <f>IFERROR(IF(Agent01_Loans!B90="","",YEAR(Agent01_Loans!D90)),"")</f>
        <v/>
      </c>
    </row>
    <row r="79" spans="1:13" ht="18" customHeight="1" x14ac:dyDescent="0.25">
      <c r="A79" s="40" t="str">
        <f>IF(Agent01_Loans!B91="","",Agent01_Loans!A91)</f>
        <v/>
      </c>
      <c r="B79" s="40" t="str">
        <f>IF(Agent01_Loans!B91="","",Agent01_Loans!B91)</f>
        <v/>
      </c>
      <c r="C79" s="40" t="str">
        <f>IF(Agent01_Loans!B91="","",Agent01_Loans!C91)</f>
        <v/>
      </c>
      <c r="D79" s="41" t="str">
        <f>IF(Agent01_Loans!B91="","",Agent01_Loans!D91)</f>
        <v/>
      </c>
      <c r="E79" s="43" t="str">
        <f>IF(Agent01_Loans!B91="","",Agent01_Loans!E91)</f>
        <v/>
      </c>
      <c r="F79" s="40" t="str">
        <f>IF(Agent01_Loans!B91="","",Agent01_Loans!F91)</f>
        <v/>
      </c>
      <c r="G79" s="40" t="str">
        <f>IF(Agent01_Loans!B91="","",Agent01_Loans!G91)</f>
        <v/>
      </c>
      <c r="H79" s="40" t="str">
        <f>IF(Agent01_Loans!B91="","",Agent01_Loans!H91)</f>
        <v/>
      </c>
      <c r="I79" s="43" t="str">
        <f>IF(Agent01_Loans!B91="","",Agent01_Loans!I91)</f>
        <v/>
      </c>
      <c r="J79" s="43" t="str">
        <f>IF(Agent01_Loans!B91="","",Agent01_Loans!J91)</f>
        <v/>
      </c>
      <c r="K79" s="40" t="str">
        <f>IF(Agent01_Loans!B91="","",Agent01_Loans!K91)</f>
        <v/>
      </c>
      <c r="L79" s="40" t="str">
        <f>IF(Agent01_Loans!B91="","",Agent01_Loans!L91)</f>
        <v/>
      </c>
      <c r="M79" s="40" t="str">
        <f>IFERROR(IF(Agent01_Loans!B91="","",YEAR(Agent01_Loans!D91)),"")</f>
        <v/>
      </c>
    </row>
    <row r="80" spans="1:13" ht="18" customHeight="1" x14ac:dyDescent="0.25">
      <c r="A80" s="40" t="str">
        <f>IF(Agent01_Loans!B92="","",Agent01_Loans!A92)</f>
        <v/>
      </c>
      <c r="B80" s="40" t="str">
        <f>IF(Agent01_Loans!B92="","",Agent01_Loans!B92)</f>
        <v/>
      </c>
      <c r="C80" s="40" t="str">
        <f>IF(Agent01_Loans!B92="","",Agent01_Loans!C92)</f>
        <v/>
      </c>
      <c r="D80" s="41" t="str">
        <f>IF(Agent01_Loans!B92="","",Agent01_Loans!D92)</f>
        <v/>
      </c>
      <c r="E80" s="43" t="str">
        <f>IF(Agent01_Loans!B92="","",Agent01_Loans!E92)</f>
        <v/>
      </c>
      <c r="F80" s="40" t="str">
        <f>IF(Agent01_Loans!B92="","",Agent01_Loans!F92)</f>
        <v/>
      </c>
      <c r="G80" s="40" t="str">
        <f>IF(Agent01_Loans!B92="","",Agent01_Loans!G92)</f>
        <v/>
      </c>
      <c r="H80" s="40" t="str">
        <f>IF(Agent01_Loans!B92="","",Agent01_Loans!H92)</f>
        <v/>
      </c>
      <c r="I80" s="43" t="str">
        <f>IF(Agent01_Loans!B92="","",Agent01_Loans!I92)</f>
        <v/>
      </c>
      <c r="J80" s="43" t="str">
        <f>IF(Agent01_Loans!B92="","",Agent01_Loans!J92)</f>
        <v/>
      </c>
      <c r="K80" s="40" t="str">
        <f>IF(Agent01_Loans!B92="","",Agent01_Loans!K92)</f>
        <v/>
      </c>
      <c r="L80" s="40" t="str">
        <f>IF(Agent01_Loans!B92="","",Agent01_Loans!L92)</f>
        <v/>
      </c>
      <c r="M80" s="40" t="str">
        <f>IFERROR(IF(Agent01_Loans!B92="","",YEAR(Agent01_Loans!D92)),"")</f>
        <v/>
      </c>
    </row>
    <row r="81" spans="1:13" ht="18" customHeight="1" x14ac:dyDescent="0.25">
      <c r="A81" s="40" t="str">
        <f>IF(Agent01_Loans!B93="","",Agent01_Loans!A93)</f>
        <v/>
      </c>
      <c r="B81" s="40" t="str">
        <f>IF(Agent01_Loans!B93="","",Agent01_Loans!B93)</f>
        <v/>
      </c>
      <c r="C81" s="40" t="str">
        <f>IF(Agent01_Loans!B93="","",Agent01_Loans!C93)</f>
        <v/>
      </c>
      <c r="D81" s="41" t="str">
        <f>IF(Agent01_Loans!B93="","",Agent01_Loans!D93)</f>
        <v/>
      </c>
      <c r="E81" s="43" t="str">
        <f>IF(Agent01_Loans!B93="","",Agent01_Loans!E93)</f>
        <v/>
      </c>
      <c r="F81" s="40" t="str">
        <f>IF(Agent01_Loans!B93="","",Agent01_Loans!F93)</f>
        <v/>
      </c>
      <c r="G81" s="40" t="str">
        <f>IF(Agent01_Loans!B93="","",Agent01_Loans!G93)</f>
        <v/>
      </c>
      <c r="H81" s="40" t="str">
        <f>IF(Agent01_Loans!B93="","",Agent01_Loans!H93)</f>
        <v/>
      </c>
      <c r="I81" s="43" t="str">
        <f>IF(Agent01_Loans!B93="","",Agent01_Loans!I93)</f>
        <v/>
      </c>
      <c r="J81" s="43" t="str">
        <f>IF(Agent01_Loans!B93="","",Agent01_Loans!J93)</f>
        <v/>
      </c>
      <c r="K81" s="40" t="str">
        <f>IF(Agent01_Loans!B93="","",Agent01_Loans!K93)</f>
        <v/>
      </c>
      <c r="L81" s="40" t="str">
        <f>IF(Agent01_Loans!B93="","",Agent01_Loans!L93)</f>
        <v/>
      </c>
      <c r="M81" s="40" t="str">
        <f>IFERROR(IF(Agent01_Loans!B93="","",YEAR(Agent01_Loans!D93)),"")</f>
        <v/>
      </c>
    </row>
    <row r="82" spans="1:13" ht="18" customHeight="1" x14ac:dyDescent="0.25">
      <c r="A82" s="40" t="str">
        <f>IF(Agent01_Loans!B94="","",Agent01_Loans!A94)</f>
        <v/>
      </c>
      <c r="B82" s="40" t="str">
        <f>IF(Agent01_Loans!B94="","",Agent01_Loans!B94)</f>
        <v/>
      </c>
      <c r="C82" s="40" t="str">
        <f>IF(Agent01_Loans!B94="","",Agent01_Loans!C94)</f>
        <v/>
      </c>
      <c r="D82" s="41" t="str">
        <f>IF(Agent01_Loans!B94="","",Agent01_Loans!D94)</f>
        <v/>
      </c>
      <c r="E82" s="43" t="str">
        <f>IF(Agent01_Loans!B94="","",Agent01_Loans!E94)</f>
        <v/>
      </c>
      <c r="F82" s="40" t="str">
        <f>IF(Agent01_Loans!B94="","",Agent01_Loans!F94)</f>
        <v/>
      </c>
      <c r="G82" s="40" t="str">
        <f>IF(Agent01_Loans!B94="","",Agent01_Loans!G94)</f>
        <v/>
      </c>
      <c r="H82" s="40" t="str">
        <f>IF(Agent01_Loans!B94="","",Agent01_Loans!H94)</f>
        <v/>
      </c>
      <c r="I82" s="43" t="str">
        <f>IF(Agent01_Loans!B94="","",Agent01_Loans!I94)</f>
        <v/>
      </c>
      <c r="J82" s="43" t="str">
        <f>IF(Agent01_Loans!B94="","",Agent01_Loans!J94)</f>
        <v/>
      </c>
      <c r="K82" s="40" t="str">
        <f>IF(Agent01_Loans!B94="","",Agent01_Loans!K94)</f>
        <v/>
      </c>
      <c r="L82" s="40" t="str">
        <f>IF(Agent01_Loans!B94="","",Agent01_Loans!L94)</f>
        <v/>
      </c>
      <c r="M82" s="40" t="str">
        <f>IFERROR(IF(Agent01_Loans!B94="","",YEAR(Agent01_Loans!D94)),"")</f>
        <v/>
      </c>
    </row>
    <row r="83" spans="1:13" ht="18" customHeight="1" x14ac:dyDescent="0.25">
      <c r="A83" s="40" t="str">
        <f>IF(Agent01_Loans!B95="","",Agent01_Loans!A95)</f>
        <v/>
      </c>
      <c r="B83" s="40" t="str">
        <f>IF(Agent01_Loans!B95="","",Agent01_Loans!B95)</f>
        <v/>
      </c>
      <c r="C83" s="40" t="str">
        <f>IF(Agent01_Loans!B95="","",Agent01_Loans!C95)</f>
        <v/>
      </c>
      <c r="D83" s="41" t="str">
        <f>IF(Agent01_Loans!B95="","",Agent01_Loans!D95)</f>
        <v/>
      </c>
      <c r="E83" s="43" t="str">
        <f>IF(Agent01_Loans!B95="","",Agent01_Loans!E95)</f>
        <v/>
      </c>
      <c r="F83" s="40" t="str">
        <f>IF(Agent01_Loans!B95="","",Agent01_Loans!F95)</f>
        <v/>
      </c>
      <c r="G83" s="40" t="str">
        <f>IF(Agent01_Loans!B95="","",Agent01_Loans!G95)</f>
        <v/>
      </c>
      <c r="H83" s="40" t="str">
        <f>IF(Agent01_Loans!B95="","",Agent01_Loans!H95)</f>
        <v/>
      </c>
      <c r="I83" s="43" t="str">
        <f>IF(Agent01_Loans!B95="","",Agent01_Loans!I95)</f>
        <v/>
      </c>
      <c r="J83" s="43" t="str">
        <f>IF(Agent01_Loans!B95="","",Agent01_Loans!J95)</f>
        <v/>
      </c>
      <c r="K83" s="40" t="str">
        <f>IF(Agent01_Loans!B95="","",Agent01_Loans!K95)</f>
        <v/>
      </c>
      <c r="L83" s="40" t="str">
        <f>IF(Agent01_Loans!B95="","",Agent01_Loans!L95)</f>
        <v/>
      </c>
      <c r="M83" s="40" t="str">
        <f>IFERROR(IF(Agent01_Loans!B95="","",YEAR(Agent01_Loans!D95)),"")</f>
        <v/>
      </c>
    </row>
    <row r="84" spans="1:13" ht="18" customHeight="1" x14ac:dyDescent="0.25">
      <c r="A84" s="40" t="str">
        <f>IF(Agent01_Loans!B96="","",Agent01_Loans!A96)</f>
        <v/>
      </c>
      <c r="B84" s="40" t="str">
        <f>IF(Agent01_Loans!B96="","",Agent01_Loans!B96)</f>
        <v/>
      </c>
      <c r="C84" s="40" t="str">
        <f>IF(Agent01_Loans!B96="","",Agent01_Loans!C96)</f>
        <v/>
      </c>
      <c r="D84" s="41" t="str">
        <f>IF(Agent01_Loans!B96="","",Agent01_Loans!D96)</f>
        <v/>
      </c>
      <c r="E84" s="43" t="str">
        <f>IF(Agent01_Loans!B96="","",Agent01_Loans!E96)</f>
        <v/>
      </c>
      <c r="F84" s="40" t="str">
        <f>IF(Agent01_Loans!B96="","",Agent01_Loans!F96)</f>
        <v/>
      </c>
      <c r="G84" s="40" t="str">
        <f>IF(Agent01_Loans!B96="","",Agent01_Loans!G96)</f>
        <v/>
      </c>
      <c r="H84" s="40" t="str">
        <f>IF(Agent01_Loans!B96="","",Agent01_Loans!H96)</f>
        <v/>
      </c>
      <c r="I84" s="43" t="str">
        <f>IF(Agent01_Loans!B96="","",Agent01_Loans!I96)</f>
        <v/>
      </c>
      <c r="J84" s="43" t="str">
        <f>IF(Agent01_Loans!B96="","",Agent01_Loans!J96)</f>
        <v/>
      </c>
      <c r="K84" s="40" t="str">
        <f>IF(Agent01_Loans!B96="","",Agent01_Loans!K96)</f>
        <v/>
      </c>
      <c r="L84" s="40" t="str">
        <f>IF(Agent01_Loans!B96="","",Agent01_Loans!L96)</f>
        <v/>
      </c>
      <c r="M84" s="40" t="str">
        <f>IFERROR(IF(Agent01_Loans!B96="","",YEAR(Agent01_Loans!D96)),"")</f>
        <v/>
      </c>
    </row>
    <row r="85" spans="1:13" ht="18" customHeight="1" x14ac:dyDescent="0.25">
      <c r="A85" s="40" t="str">
        <f>IF(Agent01_Loans!B97="","",Agent01_Loans!A97)</f>
        <v/>
      </c>
      <c r="B85" s="40" t="str">
        <f>IF(Agent01_Loans!B97="","",Agent01_Loans!B97)</f>
        <v/>
      </c>
      <c r="C85" s="40" t="str">
        <f>IF(Agent01_Loans!B97="","",Agent01_Loans!C97)</f>
        <v/>
      </c>
      <c r="D85" s="41" t="str">
        <f>IF(Agent01_Loans!B97="","",Agent01_Loans!D97)</f>
        <v/>
      </c>
      <c r="E85" s="43" t="str">
        <f>IF(Agent01_Loans!B97="","",Agent01_Loans!E97)</f>
        <v/>
      </c>
      <c r="F85" s="40" t="str">
        <f>IF(Agent01_Loans!B97="","",Agent01_Loans!F97)</f>
        <v/>
      </c>
      <c r="G85" s="40" t="str">
        <f>IF(Agent01_Loans!B97="","",Agent01_Loans!G97)</f>
        <v/>
      </c>
      <c r="H85" s="40" t="str">
        <f>IF(Agent01_Loans!B97="","",Agent01_Loans!H97)</f>
        <v/>
      </c>
      <c r="I85" s="43" t="str">
        <f>IF(Agent01_Loans!B97="","",Agent01_Loans!I97)</f>
        <v/>
      </c>
      <c r="J85" s="43" t="str">
        <f>IF(Agent01_Loans!B97="","",Agent01_Loans!J97)</f>
        <v/>
      </c>
      <c r="K85" s="40" t="str">
        <f>IF(Agent01_Loans!B97="","",Agent01_Loans!K97)</f>
        <v/>
      </c>
      <c r="L85" s="40" t="str">
        <f>IF(Agent01_Loans!B97="","",Agent01_Loans!L97)</f>
        <v/>
      </c>
      <c r="M85" s="40" t="str">
        <f>IFERROR(IF(Agent01_Loans!B97="","",YEAR(Agent01_Loans!D97)),"")</f>
        <v/>
      </c>
    </row>
    <row r="86" spans="1:13" ht="18" customHeight="1" x14ac:dyDescent="0.25">
      <c r="A86" s="40" t="str">
        <f>IF(Agent01_Loans!B98="","",Agent01_Loans!A98)</f>
        <v/>
      </c>
      <c r="B86" s="40" t="str">
        <f>IF(Agent01_Loans!B98="","",Agent01_Loans!B98)</f>
        <v/>
      </c>
      <c r="C86" s="40" t="str">
        <f>IF(Agent01_Loans!B98="","",Agent01_Loans!C98)</f>
        <v/>
      </c>
      <c r="D86" s="41" t="str">
        <f>IF(Agent01_Loans!B98="","",Agent01_Loans!D98)</f>
        <v/>
      </c>
      <c r="E86" s="43" t="str">
        <f>IF(Agent01_Loans!B98="","",Agent01_Loans!E98)</f>
        <v/>
      </c>
      <c r="F86" s="40" t="str">
        <f>IF(Agent01_Loans!B98="","",Agent01_Loans!F98)</f>
        <v/>
      </c>
      <c r="G86" s="40" t="str">
        <f>IF(Agent01_Loans!B98="","",Agent01_Loans!G98)</f>
        <v/>
      </c>
      <c r="H86" s="40" t="str">
        <f>IF(Agent01_Loans!B98="","",Agent01_Loans!H98)</f>
        <v/>
      </c>
      <c r="I86" s="43" t="str">
        <f>IF(Agent01_Loans!B98="","",Agent01_Loans!I98)</f>
        <v/>
      </c>
      <c r="J86" s="43" t="str">
        <f>IF(Agent01_Loans!B98="","",Agent01_Loans!J98)</f>
        <v/>
      </c>
      <c r="K86" s="40" t="str">
        <f>IF(Agent01_Loans!B98="","",Agent01_Loans!K98)</f>
        <v/>
      </c>
      <c r="L86" s="40" t="str">
        <f>IF(Agent01_Loans!B98="","",Agent01_Loans!L98)</f>
        <v/>
      </c>
      <c r="M86" s="40" t="str">
        <f>IFERROR(IF(Agent01_Loans!B98="","",YEAR(Agent01_Loans!D98)),"")</f>
        <v/>
      </c>
    </row>
    <row r="87" spans="1:13" ht="18" customHeight="1" x14ac:dyDescent="0.25">
      <c r="A87" s="40" t="str">
        <f>IF(Agent01_Loans!B99="","",Agent01_Loans!A99)</f>
        <v/>
      </c>
      <c r="B87" s="40" t="str">
        <f>IF(Agent01_Loans!B99="","",Agent01_Loans!B99)</f>
        <v/>
      </c>
      <c r="C87" s="40" t="str">
        <f>IF(Agent01_Loans!B99="","",Agent01_Loans!C99)</f>
        <v/>
      </c>
      <c r="D87" s="41" t="str">
        <f>IF(Agent01_Loans!B99="","",Agent01_Loans!D99)</f>
        <v/>
      </c>
      <c r="E87" s="43" t="str">
        <f>IF(Agent01_Loans!B99="","",Agent01_Loans!E99)</f>
        <v/>
      </c>
      <c r="F87" s="40" t="str">
        <f>IF(Agent01_Loans!B99="","",Agent01_Loans!F99)</f>
        <v/>
      </c>
      <c r="G87" s="40" t="str">
        <f>IF(Agent01_Loans!B99="","",Agent01_Loans!G99)</f>
        <v/>
      </c>
      <c r="H87" s="40" t="str">
        <f>IF(Agent01_Loans!B99="","",Agent01_Loans!H99)</f>
        <v/>
      </c>
      <c r="I87" s="43" t="str">
        <f>IF(Agent01_Loans!B99="","",Agent01_Loans!I99)</f>
        <v/>
      </c>
      <c r="J87" s="43" t="str">
        <f>IF(Agent01_Loans!B99="","",Agent01_Loans!J99)</f>
        <v/>
      </c>
      <c r="K87" s="40" t="str">
        <f>IF(Agent01_Loans!B99="","",Agent01_Loans!K99)</f>
        <v/>
      </c>
      <c r="L87" s="40" t="str">
        <f>IF(Agent01_Loans!B99="","",Agent01_Loans!L99)</f>
        <v/>
      </c>
      <c r="M87" s="40" t="str">
        <f>IFERROR(IF(Agent01_Loans!B99="","",YEAR(Agent01_Loans!D99)),"")</f>
        <v/>
      </c>
    </row>
    <row r="88" spans="1:13" ht="18" customHeight="1" x14ac:dyDescent="0.25">
      <c r="A88" s="40" t="str">
        <f>IF(Agent01_Loans!B100="","",Agent01_Loans!A100)</f>
        <v/>
      </c>
      <c r="B88" s="40" t="str">
        <f>IF(Agent01_Loans!B100="","",Agent01_Loans!B100)</f>
        <v/>
      </c>
      <c r="C88" s="40" t="str">
        <f>IF(Agent01_Loans!B100="","",Agent01_Loans!C100)</f>
        <v/>
      </c>
      <c r="D88" s="41" t="str">
        <f>IF(Agent01_Loans!B100="","",Agent01_Loans!D100)</f>
        <v/>
      </c>
      <c r="E88" s="43" t="str">
        <f>IF(Agent01_Loans!B100="","",Agent01_Loans!E100)</f>
        <v/>
      </c>
      <c r="F88" s="40" t="str">
        <f>IF(Agent01_Loans!B100="","",Agent01_Loans!F100)</f>
        <v/>
      </c>
      <c r="G88" s="40" t="str">
        <f>IF(Agent01_Loans!B100="","",Agent01_Loans!G100)</f>
        <v/>
      </c>
      <c r="H88" s="40" t="str">
        <f>IF(Agent01_Loans!B100="","",Agent01_Loans!H100)</f>
        <v/>
      </c>
      <c r="I88" s="43" t="str">
        <f>IF(Agent01_Loans!B100="","",Agent01_Loans!I100)</f>
        <v/>
      </c>
      <c r="J88" s="43" t="str">
        <f>IF(Agent01_Loans!B100="","",Agent01_Loans!J100)</f>
        <v/>
      </c>
      <c r="K88" s="40" t="str">
        <f>IF(Agent01_Loans!B100="","",Agent01_Loans!K100)</f>
        <v/>
      </c>
      <c r="L88" s="40" t="str">
        <f>IF(Agent01_Loans!B100="","",Agent01_Loans!L100)</f>
        <v/>
      </c>
      <c r="M88" s="40" t="str">
        <f>IFERROR(IF(Agent01_Loans!B100="","",YEAR(Agent01_Loans!D100)),"")</f>
        <v/>
      </c>
    </row>
    <row r="89" spans="1:13" ht="18" customHeight="1" x14ac:dyDescent="0.25">
      <c r="A89" s="40" t="str">
        <f>IF(Agent01_Loans!B101="","",Agent01_Loans!A101)</f>
        <v/>
      </c>
      <c r="B89" s="40" t="str">
        <f>IF(Agent01_Loans!B101="","",Agent01_Loans!B101)</f>
        <v/>
      </c>
      <c r="C89" s="40" t="str">
        <f>IF(Agent01_Loans!B101="","",Agent01_Loans!C101)</f>
        <v/>
      </c>
      <c r="D89" s="41" t="str">
        <f>IF(Agent01_Loans!B101="","",Agent01_Loans!D101)</f>
        <v/>
      </c>
      <c r="E89" s="43" t="str">
        <f>IF(Agent01_Loans!B101="","",Agent01_Loans!E101)</f>
        <v/>
      </c>
      <c r="F89" s="40" t="str">
        <f>IF(Agent01_Loans!B101="","",Agent01_Loans!F101)</f>
        <v/>
      </c>
      <c r="G89" s="40" t="str">
        <f>IF(Agent01_Loans!B101="","",Agent01_Loans!G101)</f>
        <v/>
      </c>
      <c r="H89" s="40" t="str">
        <f>IF(Agent01_Loans!B101="","",Agent01_Loans!H101)</f>
        <v/>
      </c>
      <c r="I89" s="43" t="str">
        <f>IF(Agent01_Loans!B101="","",Agent01_Loans!I101)</f>
        <v/>
      </c>
      <c r="J89" s="43" t="str">
        <f>IF(Agent01_Loans!B101="","",Agent01_Loans!J101)</f>
        <v/>
      </c>
      <c r="K89" s="40" t="str">
        <f>IF(Agent01_Loans!B101="","",Agent01_Loans!K101)</f>
        <v/>
      </c>
      <c r="L89" s="40" t="str">
        <f>IF(Agent01_Loans!B101="","",Agent01_Loans!L101)</f>
        <v/>
      </c>
      <c r="M89" s="40" t="str">
        <f>IFERROR(IF(Agent01_Loans!B101="","",YEAR(Agent01_Loans!D101)),"")</f>
        <v/>
      </c>
    </row>
    <row r="90" spans="1:13" ht="18" customHeight="1" x14ac:dyDescent="0.25">
      <c r="A90" s="40" t="str">
        <f>IF(Agent01_Loans!B102="","",Agent01_Loans!A102)</f>
        <v/>
      </c>
      <c r="B90" s="40" t="str">
        <f>IF(Agent01_Loans!B102="","",Agent01_Loans!B102)</f>
        <v/>
      </c>
      <c r="C90" s="40" t="str">
        <f>IF(Agent01_Loans!B102="","",Agent01_Loans!C102)</f>
        <v/>
      </c>
      <c r="D90" s="41" t="str">
        <f>IF(Agent01_Loans!B102="","",Agent01_Loans!D102)</f>
        <v/>
      </c>
      <c r="E90" s="43" t="str">
        <f>IF(Agent01_Loans!B102="","",Agent01_Loans!E102)</f>
        <v/>
      </c>
      <c r="F90" s="40" t="str">
        <f>IF(Agent01_Loans!B102="","",Agent01_Loans!F102)</f>
        <v/>
      </c>
      <c r="G90" s="40" t="str">
        <f>IF(Agent01_Loans!B102="","",Agent01_Loans!G102)</f>
        <v/>
      </c>
      <c r="H90" s="40" t="str">
        <f>IF(Agent01_Loans!B102="","",Agent01_Loans!H102)</f>
        <v/>
      </c>
      <c r="I90" s="43" t="str">
        <f>IF(Agent01_Loans!B102="","",Agent01_Loans!I102)</f>
        <v/>
      </c>
      <c r="J90" s="43" t="str">
        <f>IF(Agent01_Loans!B102="","",Agent01_Loans!J102)</f>
        <v/>
      </c>
      <c r="K90" s="40" t="str">
        <f>IF(Agent01_Loans!B102="","",Agent01_Loans!K102)</f>
        <v/>
      </c>
      <c r="L90" s="40" t="str">
        <f>IF(Agent01_Loans!B102="","",Agent01_Loans!L102)</f>
        <v/>
      </c>
      <c r="M90" s="40" t="str">
        <f>IFERROR(IF(Agent01_Loans!B102="","",YEAR(Agent01_Loans!D102)),"")</f>
        <v/>
      </c>
    </row>
    <row r="91" spans="1:13" ht="18" customHeight="1" x14ac:dyDescent="0.25">
      <c r="A91" s="40" t="str">
        <f>IF(Agent01_Loans!B103="","",Agent01_Loans!A103)</f>
        <v/>
      </c>
      <c r="B91" s="40" t="str">
        <f>IF(Agent01_Loans!B103="","",Agent01_Loans!B103)</f>
        <v/>
      </c>
      <c r="C91" s="40" t="str">
        <f>IF(Agent01_Loans!B103="","",Agent01_Loans!C103)</f>
        <v/>
      </c>
      <c r="D91" s="41" t="str">
        <f>IF(Agent01_Loans!B103="","",Agent01_Loans!D103)</f>
        <v/>
      </c>
      <c r="E91" s="43" t="str">
        <f>IF(Agent01_Loans!B103="","",Agent01_Loans!E103)</f>
        <v/>
      </c>
      <c r="F91" s="40" t="str">
        <f>IF(Agent01_Loans!B103="","",Agent01_Loans!F103)</f>
        <v/>
      </c>
      <c r="G91" s="40" t="str">
        <f>IF(Agent01_Loans!B103="","",Agent01_Loans!G103)</f>
        <v/>
      </c>
      <c r="H91" s="40" t="str">
        <f>IF(Agent01_Loans!B103="","",Agent01_Loans!H103)</f>
        <v/>
      </c>
      <c r="I91" s="43" t="str">
        <f>IF(Agent01_Loans!B103="","",Agent01_Loans!I103)</f>
        <v/>
      </c>
      <c r="J91" s="43" t="str">
        <f>IF(Agent01_Loans!B103="","",Agent01_Loans!J103)</f>
        <v/>
      </c>
      <c r="K91" s="40" t="str">
        <f>IF(Agent01_Loans!B103="","",Agent01_Loans!K103)</f>
        <v/>
      </c>
      <c r="L91" s="40" t="str">
        <f>IF(Agent01_Loans!B103="","",Agent01_Loans!L103)</f>
        <v/>
      </c>
      <c r="M91" s="40" t="str">
        <f>IFERROR(IF(Agent01_Loans!B103="","",YEAR(Agent01_Loans!D103)),"")</f>
        <v/>
      </c>
    </row>
    <row r="92" spans="1:13" ht="18" customHeight="1" x14ac:dyDescent="0.25">
      <c r="A92" s="40" t="str">
        <f>IF(Agent01_Loans!B104="","",Agent01_Loans!A104)</f>
        <v/>
      </c>
      <c r="B92" s="40" t="str">
        <f>IF(Agent01_Loans!B104="","",Agent01_Loans!B104)</f>
        <v/>
      </c>
      <c r="C92" s="40" t="str">
        <f>IF(Agent01_Loans!B104="","",Agent01_Loans!C104)</f>
        <v/>
      </c>
      <c r="D92" s="41" t="str">
        <f>IF(Agent01_Loans!B104="","",Agent01_Loans!D104)</f>
        <v/>
      </c>
      <c r="E92" s="43" t="str">
        <f>IF(Agent01_Loans!B104="","",Agent01_Loans!E104)</f>
        <v/>
      </c>
      <c r="F92" s="40" t="str">
        <f>IF(Agent01_Loans!B104="","",Agent01_Loans!F104)</f>
        <v/>
      </c>
      <c r="G92" s="40" t="str">
        <f>IF(Agent01_Loans!B104="","",Agent01_Loans!G104)</f>
        <v/>
      </c>
      <c r="H92" s="40" t="str">
        <f>IF(Agent01_Loans!B104="","",Agent01_Loans!H104)</f>
        <v/>
      </c>
      <c r="I92" s="43" t="str">
        <f>IF(Agent01_Loans!B104="","",Agent01_Loans!I104)</f>
        <v/>
      </c>
      <c r="J92" s="43" t="str">
        <f>IF(Agent01_Loans!B104="","",Agent01_Loans!J104)</f>
        <v/>
      </c>
      <c r="K92" s="40" t="str">
        <f>IF(Agent01_Loans!B104="","",Agent01_Loans!K104)</f>
        <v/>
      </c>
      <c r="L92" s="40" t="str">
        <f>IF(Agent01_Loans!B104="","",Agent01_Loans!L104)</f>
        <v/>
      </c>
      <c r="M92" s="40" t="str">
        <f>IFERROR(IF(Agent01_Loans!B104="","",YEAR(Agent01_Loans!D104)),"")</f>
        <v/>
      </c>
    </row>
    <row r="93" spans="1:13" ht="18" customHeight="1" x14ac:dyDescent="0.25">
      <c r="A93" s="40" t="str">
        <f>IF(Agent01_Loans!B105="","",Agent01_Loans!A105)</f>
        <v/>
      </c>
      <c r="B93" s="40" t="str">
        <f>IF(Agent01_Loans!B105="","",Agent01_Loans!B105)</f>
        <v/>
      </c>
      <c r="C93" s="40" t="str">
        <f>IF(Agent01_Loans!B105="","",Agent01_Loans!C105)</f>
        <v/>
      </c>
      <c r="D93" s="41" t="str">
        <f>IF(Agent01_Loans!B105="","",Agent01_Loans!D105)</f>
        <v/>
      </c>
      <c r="E93" s="43" t="str">
        <f>IF(Agent01_Loans!B105="","",Agent01_Loans!E105)</f>
        <v/>
      </c>
      <c r="F93" s="40" t="str">
        <f>IF(Agent01_Loans!B105="","",Agent01_Loans!F105)</f>
        <v/>
      </c>
      <c r="G93" s="40" t="str">
        <f>IF(Agent01_Loans!B105="","",Agent01_Loans!G105)</f>
        <v/>
      </c>
      <c r="H93" s="40" t="str">
        <f>IF(Agent01_Loans!B105="","",Agent01_Loans!H105)</f>
        <v/>
      </c>
      <c r="I93" s="43" t="str">
        <f>IF(Agent01_Loans!B105="","",Agent01_Loans!I105)</f>
        <v/>
      </c>
      <c r="J93" s="43" t="str">
        <f>IF(Agent01_Loans!B105="","",Agent01_Loans!J105)</f>
        <v/>
      </c>
      <c r="K93" s="40" t="str">
        <f>IF(Agent01_Loans!B105="","",Agent01_Loans!K105)</f>
        <v/>
      </c>
      <c r="L93" s="40" t="str">
        <f>IF(Agent01_Loans!B105="","",Agent01_Loans!L105)</f>
        <v/>
      </c>
      <c r="M93" s="40" t="str">
        <f>IFERROR(IF(Agent01_Loans!B105="","",YEAR(Agent01_Loans!D105)),"")</f>
        <v/>
      </c>
    </row>
    <row r="94" spans="1:13" ht="18" customHeight="1" x14ac:dyDescent="0.25">
      <c r="A94" s="40" t="str">
        <f>IF(Agent01_Loans!B106="","",Agent01_Loans!A106)</f>
        <v/>
      </c>
      <c r="B94" s="40" t="str">
        <f>IF(Agent01_Loans!B106="","",Agent01_Loans!B106)</f>
        <v/>
      </c>
      <c r="C94" s="40" t="str">
        <f>IF(Agent01_Loans!B106="","",Agent01_Loans!C106)</f>
        <v/>
      </c>
      <c r="D94" s="41" t="str">
        <f>IF(Agent01_Loans!B106="","",Agent01_Loans!D106)</f>
        <v/>
      </c>
      <c r="E94" s="43" t="str">
        <f>IF(Agent01_Loans!B106="","",Agent01_Loans!E106)</f>
        <v/>
      </c>
      <c r="F94" s="40" t="str">
        <f>IF(Agent01_Loans!B106="","",Agent01_Loans!F106)</f>
        <v/>
      </c>
      <c r="G94" s="40" t="str">
        <f>IF(Agent01_Loans!B106="","",Agent01_Loans!G106)</f>
        <v/>
      </c>
      <c r="H94" s="40" t="str">
        <f>IF(Agent01_Loans!B106="","",Agent01_Loans!H106)</f>
        <v/>
      </c>
      <c r="I94" s="43" t="str">
        <f>IF(Agent01_Loans!B106="","",Agent01_Loans!I106)</f>
        <v/>
      </c>
      <c r="J94" s="43" t="str">
        <f>IF(Agent01_Loans!B106="","",Agent01_Loans!J106)</f>
        <v/>
      </c>
      <c r="K94" s="40" t="str">
        <f>IF(Agent01_Loans!B106="","",Agent01_Loans!K106)</f>
        <v/>
      </c>
      <c r="L94" s="40" t="str">
        <f>IF(Agent01_Loans!B106="","",Agent01_Loans!L106)</f>
        <v/>
      </c>
      <c r="M94" s="40" t="str">
        <f>IFERROR(IF(Agent01_Loans!B106="","",YEAR(Agent01_Loans!D106)),"")</f>
        <v/>
      </c>
    </row>
    <row r="95" spans="1:13" ht="18" customHeight="1" x14ac:dyDescent="0.25">
      <c r="A95" s="40" t="str">
        <f>IF(Agent01_Loans!B107="","",Agent01_Loans!A107)</f>
        <v/>
      </c>
      <c r="B95" s="40" t="str">
        <f>IF(Agent01_Loans!B107="","",Agent01_Loans!B107)</f>
        <v/>
      </c>
      <c r="C95" s="40" t="str">
        <f>IF(Agent01_Loans!B107="","",Agent01_Loans!C107)</f>
        <v/>
      </c>
      <c r="D95" s="41" t="str">
        <f>IF(Agent01_Loans!B107="","",Agent01_Loans!D107)</f>
        <v/>
      </c>
      <c r="E95" s="43" t="str">
        <f>IF(Agent01_Loans!B107="","",Agent01_Loans!E107)</f>
        <v/>
      </c>
      <c r="F95" s="40" t="str">
        <f>IF(Agent01_Loans!B107="","",Agent01_Loans!F107)</f>
        <v/>
      </c>
      <c r="G95" s="40" t="str">
        <f>IF(Agent01_Loans!B107="","",Agent01_Loans!G107)</f>
        <v/>
      </c>
      <c r="H95" s="40" t="str">
        <f>IF(Agent01_Loans!B107="","",Agent01_Loans!H107)</f>
        <v/>
      </c>
      <c r="I95" s="43" t="str">
        <f>IF(Agent01_Loans!B107="","",Agent01_Loans!I107)</f>
        <v/>
      </c>
      <c r="J95" s="43" t="str">
        <f>IF(Agent01_Loans!B107="","",Agent01_Loans!J107)</f>
        <v/>
      </c>
      <c r="K95" s="40" t="str">
        <f>IF(Agent01_Loans!B107="","",Agent01_Loans!K107)</f>
        <v/>
      </c>
      <c r="L95" s="40" t="str">
        <f>IF(Agent01_Loans!B107="","",Agent01_Loans!L107)</f>
        <v/>
      </c>
      <c r="M95" s="40" t="str">
        <f>IFERROR(IF(Agent01_Loans!B107="","",YEAR(Agent01_Loans!D107)),"")</f>
        <v/>
      </c>
    </row>
    <row r="96" spans="1:13" ht="18" customHeight="1" x14ac:dyDescent="0.25">
      <c r="A96" s="40" t="str">
        <f>IF(Agent01_Loans!B108="","",Agent01_Loans!A108)</f>
        <v/>
      </c>
      <c r="B96" s="40" t="str">
        <f>IF(Agent01_Loans!B108="","",Agent01_Loans!B108)</f>
        <v/>
      </c>
      <c r="C96" s="40" t="str">
        <f>IF(Agent01_Loans!B108="","",Agent01_Loans!C108)</f>
        <v/>
      </c>
      <c r="D96" s="41" t="str">
        <f>IF(Agent01_Loans!B108="","",Agent01_Loans!D108)</f>
        <v/>
      </c>
      <c r="E96" s="43" t="str">
        <f>IF(Agent01_Loans!B108="","",Agent01_Loans!E108)</f>
        <v/>
      </c>
      <c r="F96" s="40" t="str">
        <f>IF(Agent01_Loans!B108="","",Agent01_Loans!F108)</f>
        <v/>
      </c>
      <c r="G96" s="40" t="str">
        <f>IF(Agent01_Loans!B108="","",Agent01_Loans!G108)</f>
        <v/>
      </c>
      <c r="H96" s="40" t="str">
        <f>IF(Agent01_Loans!B108="","",Agent01_Loans!H108)</f>
        <v/>
      </c>
      <c r="I96" s="43" t="str">
        <f>IF(Agent01_Loans!B108="","",Agent01_Loans!I108)</f>
        <v/>
      </c>
      <c r="J96" s="43" t="str">
        <f>IF(Agent01_Loans!B108="","",Agent01_Loans!J108)</f>
        <v/>
      </c>
      <c r="K96" s="40" t="str">
        <f>IF(Agent01_Loans!B108="","",Agent01_Loans!K108)</f>
        <v/>
      </c>
      <c r="L96" s="40" t="str">
        <f>IF(Agent01_Loans!B108="","",Agent01_Loans!L108)</f>
        <v/>
      </c>
      <c r="M96" s="40" t="str">
        <f>IFERROR(IF(Agent01_Loans!B108="","",YEAR(Agent01_Loans!D108)),"")</f>
        <v/>
      </c>
    </row>
    <row r="97" spans="1:13" ht="18" customHeight="1" x14ac:dyDescent="0.25">
      <c r="A97" s="40" t="str">
        <f>IF(Agent01_Loans!B109="","",Agent01_Loans!A109)</f>
        <v/>
      </c>
      <c r="B97" s="40" t="str">
        <f>IF(Agent01_Loans!B109="","",Agent01_Loans!B109)</f>
        <v/>
      </c>
      <c r="C97" s="40" t="str">
        <f>IF(Agent01_Loans!B109="","",Agent01_Loans!C109)</f>
        <v/>
      </c>
      <c r="D97" s="41" t="str">
        <f>IF(Agent01_Loans!B109="","",Agent01_Loans!D109)</f>
        <v/>
      </c>
      <c r="E97" s="43" t="str">
        <f>IF(Agent01_Loans!B109="","",Agent01_Loans!E109)</f>
        <v/>
      </c>
      <c r="F97" s="40" t="str">
        <f>IF(Agent01_Loans!B109="","",Agent01_Loans!F109)</f>
        <v/>
      </c>
      <c r="G97" s="40" t="str">
        <f>IF(Agent01_Loans!B109="","",Agent01_Loans!G109)</f>
        <v/>
      </c>
      <c r="H97" s="40" t="str">
        <f>IF(Agent01_Loans!B109="","",Agent01_Loans!H109)</f>
        <v/>
      </c>
      <c r="I97" s="43" t="str">
        <f>IF(Agent01_Loans!B109="","",Agent01_Loans!I109)</f>
        <v/>
      </c>
      <c r="J97" s="43" t="str">
        <f>IF(Agent01_Loans!B109="","",Agent01_Loans!J109)</f>
        <v/>
      </c>
      <c r="K97" s="40" t="str">
        <f>IF(Agent01_Loans!B109="","",Agent01_Loans!K109)</f>
        <v/>
      </c>
      <c r="L97" s="40" t="str">
        <f>IF(Agent01_Loans!B109="","",Agent01_Loans!L109)</f>
        <v/>
      </c>
      <c r="M97" s="40" t="str">
        <f>IFERROR(IF(Agent01_Loans!B109="","",YEAR(Agent01_Loans!D109)),"")</f>
        <v/>
      </c>
    </row>
    <row r="98" spans="1:13" ht="18" customHeight="1" x14ac:dyDescent="0.25">
      <c r="A98" s="40" t="str">
        <f>IF(Agent01_Loans!B110="","",Agent01_Loans!A110)</f>
        <v/>
      </c>
      <c r="B98" s="40" t="str">
        <f>IF(Agent01_Loans!B110="","",Agent01_Loans!B110)</f>
        <v/>
      </c>
      <c r="C98" s="40" t="str">
        <f>IF(Agent01_Loans!B110="","",Agent01_Loans!C110)</f>
        <v/>
      </c>
      <c r="D98" s="41" t="str">
        <f>IF(Agent01_Loans!B110="","",Agent01_Loans!D110)</f>
        <v/>
      </c>
      <c r="E98" s="43" t="str">
        <f>IF(Agent01_Loans!B110="","",Agent01_Loans!E110)</f>
        <v/>
      </c>
      <c r="F98" s="40" t="str">
        <f>IF(Agent01_Loans!B110="","",Agent01_Loans!F110)</f>
        <v/>
      </c>
      <c r="G98" s="40" t="str">
        <f>IF(Agent01_Loans!B110="","",Agent01_Loans!G110)</f>
        <v/>
      </c>
      <c r="H98" s="40" t="str">
        <f>IF(Agent01_Loans!B110="","",Agent01_Loans!H110)</f>
        <v/>
      </c>
      <c r="I98" s="43" t="str">
        <f>IF(Agent01_Loans!B110="","",Agent01_Loans!I110)</f>
        <v/>
      </c>
      <c r="J98" s="43" t="str">
        <f>IF(Agent01_Loans!B110="","",Agent01_Loans!J110)</f>
        <v/>
      </c>
      <c r="K98" s="40" t="str">
        <f>IF(Agent01_Loans!B110="","",Agent01_Loans!K110)</f>
        <v/>
      </c>
      <c r="L98" s="40" t="str">
        <f>IF(Agent01_Loans!B110="","",Agent01_Loans!L110)</f>
        <v/>
      </c>
      <c r="M98" s="40" t="str">
        <f>IFERROR(IF(Agent01_Loans!B110="","",YEAR(Agent01_Loans!D110)),"")</f>
        <v/>
      </c>
    </row>
    <row r="99" spans="1:13" ht="18" customHeight="1" x14ac:dyDescent="0.25">
      <c r="A99" s="40" t="str">
        <f>IF(Agent01_Loans!B111="","",Agent01_Loans!A111)</f>
        <v/>
      </c>
      <c r="B99" s="40" t="str">
        <f>IF(Agent01_Loans!B111="","",Agent01_Loans!B111)</f>
        <v/>
      </c>
      <c r="C99" s="40" t="str">
        <f>IF(Agent01_Loans!B111="","",Agent01_Loans!C111)</f>
        <v/>
      </c>
      <c r="D99" s="41" t="str">
        <f>IF(Agent01_Loans!B111="","",Agent01_Loans!D111)</f>
        <v/>
      </c>
      <c r="E99" s="43" t="str">
        <f>IF(Agent01_Loans!B111="","",Agent01_Loans!E111)</f>
        <v/>
      </c>
      <c r="F99" s="40" t="str">
        <f>IF(Agent01_Loans!B111="","",Agent01_Loans!F111)</f>
        <v/>
      </c>
      <c r="G99" s="40" t="str">
        <f>IF(Agent01_Loans!B111="","",Agent01_Loans!G111)</f>
        <v/>
      </c>
      <c r="H99" s="40" t="str">
        <f>IF(Agent01_Loans!B111="","",Agent01_Loans!H111)</f>
        <v/>
      </c>
      <c r="I99" s="43" t="str">
        <f>IF(Agent01_Loans!B111="","",Agent01_Loans!I111)</f>
        <v/>
      </c>
      <c r="J99" s="43" t="str">
        <f>IF(Agent01_Loans!B111="","",Agent01_Loans!J111)</f>
        <v/>
      </c>
      <c r="K99" s="40" t="str">
        <f>IF(Agent01_Loans!B111="","",Agent01_Loans!K111)</f>
        <v/>
      </c>
      <c r="L99" s="40" t="str">
        <f>IF(Agent01_Loans!B111="","",Agent01_Loans!L111)</f>
        <v/>
      </c>
      <c r="M99" s="40" t="str">
        <f>IFERROR(IF(Agent01_Loans!B111="","",YEAR(Agent01_Loans!D111)),"")</f>
        <v/>
      </c>
    </row>
    <row r="100" spans="1:13" ht="18" customHeight="1" x14ac:dyDescent="0.25">
      <c r="A100" s="40" t="str">
        <f>IF(Agent01_Loans!B112="","",Agent01_Loans!A112)</f>
        <v/>
      </c>
      <c r="B100" s="40" t="str">
        <f>IF(Agent01_Loans!B112="","",Agent01_Loans!B112)</f>
        <v/>
      </c>
      <c r="C100" s="40" t="str">
        <f>IF(Agent01_Loans!B112="","",Agent01_Loans!C112)</f>
        <v/>
      </c>
      <c r="D100" s="41" t="str">
        <f>IF(Agent01_Loans!B112="","",Agent01_Loans!D112)</f>
        <v/>
      </c>
      <c r="E100" s="43" t="str">
        <f>IF(Agent01_Loans!B112="","",Agent01_Loans!E112)</f>
        <v/>
      </c>
      <c r="F100" s="40" t="str">
        <f>IF(Agent01_Loans!B112="","",Agent01_Loans!F112)</f>
        <v/>
      </c>
      <c r="G100" s="40" t="str">
        <f>IF(Agent01_Loans!B112="","",Agent01_Loans!G112)</f>
        <v/>
      </c>
      <c r="H100" s="40" t="str">
        <f>IF(Agent01_Loans!B112="","",Agent01_Loans!H112)</f>
        <v/>
      </c>
      <c r="I100" s="43" t="str">
        <f>IF(Agent01_Loans!B112="","",Agent01_Loans!I112)</f>
        <v/>
      </c>
      <c r="J100" s="43" t="str">
        <f>IF(Agent01_Loans!B112="","",Agent01_Loans!J112)</f>
        <v/>
      </c>
      <c r="K100" s="40" t="str">
        <f>IF(Agent01_Loans!B112="","",Agent01_Loans!K112)</f>
        <v/>
      </c>
      <c r="L100" s="40" t="str">
        <f>IF(Agent01_Loans!B112="","",Agent01_Loans!L112)</f>
        <v/>
      </c>
      <c r="M100" s="40" t="str">
        <f>IFERROR(IF(Agent01_Loans!B112="","",YEAR(Agent01_Loans!D112)),"")</f>
        <v/>
      </c>
    </row>
    <row r="101" spans="1:13" ht="18" customHeight="1" x14ac:dyDescent="0.25">
      <c r="A101" s="40" t="str">
        <f>IF(Agent01_Loans!B113="","",Agent01_Loans!A113)</f>
        <v/>
      </c>
      <c r="B101" s="40" t="str">
        <f>IF(Agent01_Loans!B113="","",Agent01_Loans!B113)</f>
        <v/>
      </c>
      <c r="C101" s="40" t="str">
        <f>IF(Agent01_Loans!B113="","",Agent01_Loans!C113)</f>
        <v/>
      </c>
      <c r="D101" s="41" t="str">
        <f>IF(Agent01_Loans!B113="","",Agent01_Loans!D113)</f>
        <v/>
      </c>
      <c r="E101" s="43" t="str">
        <f>IF(Agent01_Loans!B113="","",Agent01_Loans!E113)</f>
        <v/>
      </c>
      <c r="F101" s="40" t="str">
        <f>IF(Agent01_Loans!B113="","",Agent01_Loans!F113)</f>
        <v/>
      </c>
      <c r="G101" s="40" t="str">
        <f>IF(Agent01_Loans!B113="","",Agent01_Loans!G113)</f>
        <v/>
      </c>
      <c r="H101" s="40" t="str">
        <f>IF(Agent01_Loans!B113="","",Agent01_Loans!H113)</f>
        <v/>
      </c>
      <c r="I101" s="43" t="str">
        <f>IF(Agent01_Loans!B113="","",Agent01_Loans!I113)</f>
        <v/>
      </c>
      <c r="J101" s="43" t="str">
        <f>IF(Agent01_Loans!B113="","",Agent01_Loans!J113)</f>
        <v/>
      </c>
      <c r="K101" s="40" t="str">
        <f>IF(Agent01_Loans!B113="","",Agent01_Loans!K113)</f>
        <v/>
      </c>
      <c r="L101" s="40" t="str">
        <f>IF(Agent01_Loans!B113="","",Agent01_Loans!L113)</f>
        <v/>
      </c>
      <c r="M101" s="40" t="str">
        <f>IFERROR(IF(Agent01_Loans!B113="","",YEAR(Agent01_Loans!D113)),"")</f>
        <v/>
      </c>
    </row>
    <row r="102" spans="1:13" ht="18" customHeight="1" x14ac:dyDescent="0.25">
      <c r="A102" s="40" t="str">
        <f>IF(Agent01_Loans!B114="","",Agent01_Loans!A114)</f>
        <v/>
      </c>
      <c r="B102" s="40" t="str">
        <f>IF(Agent01_Loans!B114="","",Agent01_Loans!B114)</f>
        <v/>
      </c>
      <c r="C102" s="40" t="str">
        <f>IF(Agent01_Loans!B114="","",Agent01_Loans!C114)</f>
        <v/>
      </c>
      <c r="D102" s="41" t="str">
        <f>IF(Agent01_Loans!B114="","",Agent01_Loans!D114)</f>
        <v/>
      </c>
      <c r="E102" s="43" t="str">
        <f>IF(Agent01_Loans!B114="","",Agent01_Loans!E114)</f>
        <v/>
      </c>
      <c r="F102" s="40" t="str">
        <f>IF(Agent01_Loans!B114="","",Agent01_Loans!F114)</f>
        <v/>
      </c>
      <c r="G102" s="40" t="str">
        <f>IF(Agent01_Loans!B114="","",Agent01_Loans!G114)</f>
        <v/>
      </c>
      <c r="H102" s="40" t="str">
        <f>IF(Agent01_Loans!B114="","",Agent01_Loans!H114)</f>
        <v/>
      </c>
      <c r="I102" s="43" t="str">
        <f>IF(Agent01_Loans!B114="","",Agent01_Loans!I114)</f>
        <v/>
      </c>
      <c r="J102" s="43" t="str">
        <f>IF(Agent01_Loans!B114="","",Agent01_Loans!J114)</f>
        <v/>
      </c>
      <c r="K102" s="40" t="str">
        <f>IF(Agent01_Loans!B114="","",Agent01_Loans!K114)</f>
        <v/>
      </c>
      <c r="L102" s="40" t="str">
        <f>IF(Agent01_Loans!B114="","",Agent01_Loans!L114)</f>
        <v/>
      </c>
      <c r="M102" s="40" t="str">
        <f>IFERROR(IF(Agent01_Loans!B114="","",YEAR(Agent01_Loans!D114)),"")</f>
        <v/>
      </c>
    </row>
    <row r="103" spans="1:13" ht="18" customHeight="1" x14ac:dyDescent="0.25">
      <c r="A103" s="40" t="str">
        <f>IF(Agent01_Loans!B115="","",Agent01_Loans!A115)</f>
        <v/>
      </c>
      <c r="B103" s="40" t="str">
        <f>IF(Agent01_Loans!B115="","",Agent01_Loans!B115)</f>
        <v/>
      </c>
      <c r="C103" s="40" t="str">
        <f>IF(Agent01_Loans!B115="","",Agent01_Loans!C115)</f>
        <v/>
      </c>
      <c r="D103" s="41" t="str">
        <f>IF(Agent01_Loans!B115="","",Agent01_Loans!D115)</f>
        <v/>
      </c>
      <c r="E103" s="43" t="str">
        <f>IF(Agent01_Loans!B115="","",Agent01_Loans!E115)</f>
        <v/>
      </c>
      <c r="F103" s="40" t="str">
        <f>IF(Agent01_Loans!B115="","",Agent01_Loans!F115)</f>
        <v/>
      </c>
      <c r="G103" s="40" t="str">
        <f>IF(Agent01_Loans!B115="","",Agent01_Loans!G115)</f>
        <v/>
      </c>
      <c r="H103" s="40" t="str">
        <f>IF(Agent01_Loans!B115="","",Agent01_Loans!H115)</f>
        <v/>
      </c>
      <c r="I103" s="43" t="str">
        <f>IF(Agent01_Loans!B115="","",Agent01_Loans!I115)</f>
        <v/>
      </c>
      <c r="J103" s="43" t="str">
        <f>IF(Agent01_Loans!B115="","",Agent01_Loans!J115)</f>
        <v/>
      </c>
      <c r="K103" s="40" t="str">
        <f>IF(Agent01_Loans!B115="","",Agent01_Loans!K115)</f>
        <v/>
      </c>
      <c r="L103" s="40" t="str">
        <f>IF(Agent01_Loans!B115="","",Agent01_Loans!L115)</f>
        <v/>
      </c>
      <c r="M103" s="40" t="str">
        <f>IFERROR(IF(Agent01_Loans!B115="","",YEAR(Agent01_Loans!D115)),"")</f>
        <v/>
      </c>
    </row>
    <row r="104" spans="1:13" ht="18" customHeight="1" x14ac:dyDescent="0.25">
      <c r="A104" s="40" t="str">
        <f>IF(Agent01_Loans!B116="","",Agent01_Loans!A116)</f>
        <v/>
      </c>
      <c r="B104" s="40" t="str">
        <f>IF(Agent01_Loans!B116="","",Agent01_Loans!B116)</f>
        <v/>
      </c>
      <c r="C104" s="40" t="str">
        <f>IF(Agent01_Loans!B116="","",Agent01_Loans!C116)</f>
        <v/>
      </c>
      <c r="D104" s="41" t="str">
        <f>IF(Agent01_Loans!B116="","",Agent01_Loans!D116)</f>
        <v/>
      </c>
      <c r="E104" s="43" t="str">
        <f>IF(Agent01_Loans!B116="","",Agent01_Loans!E116)</f>
        <v/>
      </c>
      <c r="F104" s="40" t="str">
        <f>IF(Agent01_Loans!B116="","",Agent01_Loans!F116)</f>
        <v/>
      </c>
      <c r="G104" s="40" t="str">
        <f>IF(Agent01_Loans!B116="","",Agent01_Loans!G116)</f>
        <v/>
      </c>
      <c r="H104" s="40" t="str">
        <f>IF(Agent01_Loans!B116="","",Agent01_Loans!H116)</f>
        <v/>
      </c>
      <c r="I104" s="43" t="str">
        <f>IF(Agent01_Loans!B116="","",Agent01_Loans!I116)</f>
        <v/>
      </c>
      <c r="J104" s="43" t="str">
        <f>IF(Agent01_Loans!B116="","",Agent01_Loans!J116)</f>
        <v/>
      </c>
      <c r="K104" s="40" t="str">
        <f>IF(Agent01_Loans!B116="","",Agent01_Loans!K116)</f>
        <v/>
      </c>
      <c r="L104" s="40" t="str">
        <f>IF(Agent01_Loans!B116="","",Agent01_Loans!L116)</f>
        <v/>
      </c>
      <c r="M104" s="40" t="str">
        <f>IFERROR(IF(Agent01_Loans!B116="","",YEAR(Agent01_Loans!D116)),"")</f>
        <v/>
      </c>
    </row>
    <row r="105" spans="1:13" ht="18" customHeight="1" x14ac:dyDescent="0.25">
      <c r="A105" s="40" t="str">
        <f>IF(Agent01_Loans!B117="","",Agent01_Loans!A117)</f>
        <v/>
      </c>
      <c r="B105" s="40" t="str">
        <f>IF(Agent01_Loans!B117="","",Agent01_Loans!B117)</f>
        <v/>
      </c>
      <c r="C105" s="40" t="str">
        <f>IF(Agent01_Loans!B117="","",Agent01_Loans!C117)</f>
        <v/>
      </c>
      <c r="D105" s="41" t="str">
        <f>IF(Agent01_Loans!B117="","",Agent01_Loans!D117)</f>
        <v/>
      </c>
      <c r="E105" s="43" t="str">
        <f>IF(Agent01_Loans!B117="","",Agent01_Loans!E117)</f>
        <v/>
      </c>
      <c r="F105" s="40" t="str">
        <f>IF(Agent01_Loans!B117="","",Agent01_Loans!F117)</f>
        <v/>
      </c>
      <c r="G105" s="40" t="str">
        <f>IF(Agent01_Loans!B117="","",Agent01_Loans!G117)</f>
        <v/>
      </c>
      <c r="H105" s="40" t="str">
        <f>IF(Agent01_Loans!B117="","",Agent01_Loans!H117)</f>
        <v/>
      </c>
      <c r="I105" s="43" t="str">
        <f>IF(Agent01_Loans!B117="","",Agent01_Loans!I117)</f>
        <v/>
      </c>
      <c r="J105" s="43" t="str">
        <f>IF(Agent01_Loans!B117="","",Agent01_Loans!J117)</f>
        <v/>
      </c>
      <c r="K105" s="40" t="str">
        <f>IF(Agent01_Loans!B117="","",Agent01_Loans!K117)</f>
        <v/>
      </c>
      <c r="L105" s="40" t="str">
        <f>IF(Agent01_Loans!B117="","",Agent01_Loans!L117)</f>
        <v/>
      </c>
      <c r="M105" s="40" t="str">
        <f>IFERROR(IF(Agent01_Loans!B117="","",YEAR(Agent01_Loans!D117)),"")</f>
        <v/>
      </c>
    </row>
    <row r="106" spans="1:13" ht="18" customHeight="1" x14ac:dyDescent="0.25">
      <c r="A106" s="40" t="str">
        <f>IF(Agent01_Loans!B118="","",Agent01_Loans!A118)</f>
        <v/>
      </c>
      <c r="B106" s="40" t="str">
        <f>IF(Agent01_Loans!B118="","",Agent01_Loans!B118)</f>
        <v/>
      </c>
      <c r="C106" s="40" t="str">
        <f>IF(Agent01_Loans!B118="","",Agent01_Loans!C118)</f>
        <v/>
      </c>
      <c r="D106" s="41" t="str">
        <f>IF(Agent01_Loans!B118="","",Agent01_Loans!D118)</f>
        <v/>
      </c>
      <c r="E106" s="43" t="str">
        <f>IF(Agent01_Loans!B118="","",Agent01_Loans!E118)</f>
        <v/>
      </c>
      <c r="F106" s="40" t="str">
        <f>IF(Agent01_Loans!B118="","",Agent01_Loans!F118)</f>
        <v/>
      </c>
      <c r="G106" s="40" t="str">
        <f>IF(Agent01_Loans!B118="","",Agent01_Loans!G118)</f>
        <v/>
      </c>
      <c r="H106" s="40" t="str">
        <f>IF(Agent01_Loans!B118="","",Agent01_Loans!H118)</f>
        <v/>
      </c>
      <c r="I106" s="43" t="str">
        <f>IF(Agent01_Loans!B118="","",Agent01_Loans!I118)</f>
        <v/>
      </c>
      <c r="J106" s="43" t="str">
        <f>IF(Agent01_Loans!B118="","",Agent01_Loans!J118)</f>
        <v/>
      </c>
      <c r="K106" s="40" t="str">
        <f>IF(Agent01_Loans!B118="","",Agent01_Loans!K118)</f>
        <v/>
      </c>
      <c r="L106" s="40" t="str">
        <f>IF(Agent01_Loans!B118="","",Agent01_Loans!L118)</f>
        <v/>
      </c>
      <c r="M106" s="40" t="str">
        <f>IFERROR(IF(Agent01_Loans!B118="","",YEAR(Agent01_Loans!D118)),"")</f>
        <v/>
      </c>
    </row>
    <row r="107" spans="1:13" ht="18" customHeight="1" x14ac:dyDescent="0.25">
      <c r="A107" s="40" t="str">
        <f>IF(Agent01_Loans!B119="","",Agent01_Loans!A119)</f>
        <v/>
      </c>
      <c r="B107" s="40" t="str">
        <f>IF(Agent01_Loans!B119="","",Agent01_Loans!B119)</f>
        <v/>
      </c>
      <c r="C107" s="40" t="str">
        <f>IF(Agent01_Loans!B119="","",Agent01_Loans!C119)</f>
        <v/>
      </c>
      <c r="D107" s="41" t="str">
        <f>IF(Agent01_Loans!B119="","",Agent01_Loans!D119)</f>
        <v/>
      </c>
      <c r="E107" s="43" t="str">
        <f>IF(Agent01_Loans!B119="","",Agent01_Loans!E119)</f>
        <v/>
      </c>
      <c r="F107" s="40" t="str">
        <f>IF(Agent01_Loans!B119="","",Agent01_Loans!F119)</f>
        <v/>
      </c>
      <c r="G107" s="40" t="str">
        <f>IF(Agent01_Loans!B119="","",Agent01_Loans!G119)</f>
        <v/>
      </c>
      <c r="H107" s="40" t="str">
        <f>IF(Agent01_Loans!B119="","",Agent01_Loans!H119)</f>
        <v/>
      </c>
      <c r="I107" s="43" t="str">
        <f>IF(Agent01_Loans!B119="","",Agent01_Loans!I119)</f>
        <v/>
      </c>
      <c r="J107" s="43" t="str">
        <f>IF(Agent01_Loans!B119="","",Agent01_Loans!J119)</f>
        <v/>
      </c>
      <c r="K107" s="40" t="str">
        <f>IF(Agent01_Loans!B119="","",Agent01_Loans!K119)</f>
        <v/>
      </c>
      <c r="L107" s="40" t="str">
        <f>IF(Agent01_Loans!B119="","",Agent01_Loans!L119)</f>
        <v/>
      </c>
      <c r="M107" s="40" t="str">
        <f>IFERROR(IF(Agent01_Loans!B119="","",YEAR(Agent01_Loans!D119)),"")</f>
        <v/>
      </c>
    </row>
    <row r="108" spans="1:13" ht="18" customHeight="1" x14ac:dyDescent="0.25">
      <c r="A108" s="40" t="str">
        <f>IF(Agent01_Loans!B120="","",Agent01_Loans!A120)</f>
        <v/>
      </c>
      <c r="B108" s="40" t="str">
        <f>IF(Agent01_Loans!B120="","",Agent01_Loans!B120)</f>
        <v/>
      </c>
      <c r="C108" s="40" t="str">
        <f>IF(Agent01_Loans!B120="","",Agent01_Loans!C120)</f>
        <v/>
      </c>
      <c r="D108" s="41" t="str">
        <f>IF(Agent01_Loans!B120="","",Agent01_Loans!D120)</f>
        <v/>
      </c>
      <c r="E108" s="43" t="str">
        <f>IF(Agent01_Loans!B120="","",Agent01_Loans!E120)</f>
        <v/>
      </c>
      <c r="F108" s="40" t="str">
        <f>IF(Agent01_Loans!B120="","",Agent01_Loans!F120)</f>
        <v/>
      </c>
      <c r="G108" s="40" t="str">
        <f>IF(Agent01_Loans!B120="","",Agent01_Loans!G120)</f>
        <v/>
      </c>
      <c r="H108" s="40" t="str">
        <f>IF(Agent01_Loans!B120="","",Agent01_Loans!H120)</f>
        <v/>
      </c>
      <c r="I108" s="43" t="str">
        <f>IF(Agent01_Loans!B120="","",Agent01_Loans!I120)</f>
        <v/>
      </c>
      <c r="J108" s="43" t="str">
        <f>IF(Agent01_Loans!B120="","",Agent01_Loans!J120)</f>
        <v/>
      </c>
      <c r="K108" s="40" t="str">
        <f>IF(Agent01_Loans!B120="","",Agent01_Loans!K120)</f>
        <v/>
      </c>
      <c r="L108" s="40" t="str">
        <f>IF(Agent01_Loans!B120="","",Agent01_Loans!L120)</f>
        <v/>
      </c>
      <c r="M108" s="40" t="str">
        <f>IFERROR(IF(Agent01_Loans!B120="","",YEAR(Agent01_Loans!D120)),"")</f>
        <v/>
      </c>
    </row>
    <row r="109" spans="1:13" ht="18" customHeight="1" x14ac:dyDescent="0.25">
      <c r="A109" s="40" t="str">
        <f>IF(Agent01_Loans!B121="","",Agent01_Loans!A121)</f>
        <v/>
      </c>
      <c r="B109" s="40" t="str">
        <f>IF(Agent01_Loans!B121="","",Agent01_Loans!B121)</f>
        <v/>
      </c>
      <c r="C109" s="40" t="str">
        <f>IF(Agent01_Loans!B121="","",Agent01_Loans!C121)</f>
        <v/>
      </c>
      <c r="D109" s="41" t="str">
        <f>IF(Agent01_Loans!B121="","",Agent01_Loans!D121)</f>
        <v/>
      </c>
      <c r="E109" s="43" t="str">
        <f>IF(Agent01_Loans!B121="","",Agent01_Loans!E121)</f>
        <v/>
      </c>
      <c r="F109" s="40" t="str">
        <f>IF(Agent01_Loans!B121="","",Agent01_Loans!F121)</f>
        <v/>
      </c>
      <c r="G109" s="40" t="str">
        <f>IF(Agent01_Loans!B121="","",Agent01_Loans!G121)</f>
        <v/>
      </c>
      <c r="H109" s="40" t="str">
        <f>IF(Agent01_Loans!B121="","",Agent01_Loans!H121)</f>
        <v/>
      </c>
      <c r="I109" s="43" t="str">
        <f>IF(Agent01_Loans!B121="","",Agent01_Loans!I121)</f>
        <v/>
      </c>
      <c r="J109" s="43" t="str">
        <f>IF(Agent01_Loans!B121="","",Agent01_Loans!J121)</f>
        <v/>
      </c>
      <c r="K109" s="40" t="str">
        <f>IF(Agent01_Loans!B121="","",Agent01_Loans!K121)</f>
        <v/>
      </c>
      <c r="L109" s="40" t="str">
        <f>IF(Agent01_Loans!B121="","",Agent01_Loans!L121)</f>
        <v/>
      </c>
      <c r="M109" s="40" t="str">
        <f>IFERROR(IF(Agent01_Loans!B121="","",YEAR(Agent01_Loans!D121)),"")</f>
        <v/>
      </c>
    </row>
    <row r="110" spans="1:13" ht="18" customHeight="1" x14ac:dyDescent="0.25">
      <c r="A110" s="40" t="str">
        <f>IF(Agent01_Loans!B122="","",Agent01_Loans!A122)</f>
        <v/>
      </c>
      <c r="B110" s="40" t="str">
        <f>IF(Agent01_Loans!B122="","",Agent01_Loans!B122)</f>
        <v/>
      </c>
      <c r="C110" s="40" t="str">
        <f>IF(Agent01_Loans!B122="","",Agent01_Loans!C122)</f>
        <v/>
      </c>
      <c r="D110" s="41" t="str">
        <f>IF(Agent01_Loans!B122="","",Agent01_Loans!D122)</f>
        <v/>
      </c>
      <c r="E110" s="43" t="str">
        <f>IF(Agent01_Loans!B122="","",Agent01_Loans!E122)</f>
        <v/>
      </c>
      <c r="F110" s="40" t="str">
        <f>IF(Agent01_Loans!B122="","",Agent01_Loans!F122)</f>
        <v/>
      </c>
      <c r="G110" s="40" t="str">
        <f>IF(Agent01_Loans!B122="","",Agent01_Loans!G122)</f>
        <v/>
      </c>
      <c r="H110" s="40" t="str">
        <f>IF(Agent01_Loans!B122="","",Agent01_Loans!H122)</f>
        <v/>
      </c>
      <c r="I110" s="43" t="str">
        <f>IF(Agent01_Loans!B122="","",Agent01_Loans!I122)</f>
        <v/>
      </c>
      <c r="J110" s="43" t="str">
        <f>IF(Agent01_Loans!B122="","",Agent01_Loans!J122)</f>
        <v/>
      </c>
      <c r="K110" s="40" t="str">
        <f>IF(Agent01_Loans!B122="","",Agent01_Loans!K122)</f>
        <v/>
      </c>
      <c r="L110" s="40" t="str">
        <f>IF(Agent01_Loans!B122="","",Agent01_Loans!L122)</f>
        <v/>
      </c>
      <c r="M110" s="40" t="str">
        <f>IFERROR(IF(Agent01_Loans!B122="","",YEAR(Agent01_Loans!D122)),"")</f>
        <v/>
      </c>
    </row>
    <row r="111" spans="1:13" ht="18" customHeight="1" x14ac:dyDescent="0.25">
      <c r="A111" s="40" t="str">
        <f>IF(Agent01_Loans!B123="","",Agent01_Loans!A123)</f>
        <v/>
      </c>
      <c r="B111" s="40" t="str">
        <f>IF(Agent01_Loans!B123="","",Agent01_Loans!B123)</f>
        <v/>
      </c>
      <c r="C111" s="40" t="str">
        <f>IF(Agent01_Loans!B123="","",Agent01_Loans!C123)</f>
        <v/>
      </c>
      <c r="D111" s="41" t="str">
        <f>IF(Agent01_Loans!B123="","",Agent01_Loans!D123)</f>
        <v/>
      </c>
      <c r="E111" s="43" t="str">
        <f>IF(Agent01_Loans!B123="","",Agent01_Loans!E123)</f>
        <v/>
      </c>
      <c r="F111" s="40" t="str">
        <f>IF(Agent01_Loans!B123="","",Agent01_Loans!F123)</f>
        <v/>
      </c>
      <c r="G111" s="40" t="str">
        <f>IF(Agent01_Loans!B123="","",Agent01_Loans!G123)</f>
        <v/>
      </c>
      <c r="H111" s="40" t="str">
        <f>IF(Agent01_Loans!B123="","",Agent01_Loans!H123)</f>
        <v/>
      </c>
      <c r="I111" s="43" t="str">
        <f>IF(Agent01_Loans!B123="","",Agent01_Loans!I123)</f>
        <v/>
      </c>
      <c r="J111" s="43" t="str">
        <f>IF(Agent01_Loans!B123="","",Agent01_Loans!J123)</f>
        <v/>
      </c>
      <c r="K111" s="40" t="str">
        <f>IF(Agent01_Loans!B123="","",Agent01_Loans!K123)</f>
        <v/>
      </c>
      <c r="L111" s="40" t="str">
        <f>IF(Agent01_Loans!B123="","",Agent01_Loans!L123)</f>
        <v/>
      </c>
      <c r="M111" s="40" t="str">
        <f>IFERROR(IF(Agent01_Loans!B123="","",YEAR(Agent01_Loans!D123)),"")</f>
        <v/>
      </c>
    </row>
    <row r="112" spans="1:13" ht="18" customHeight="1" x14ac:dyDescent="0.25">
      <c r="A112" s="40" t="str">
        <f>IF(Agent01_Loans!B124="","",Agent01_Loans!A124)</f>
        <v/>
      </c>
      <c r="B112" s="40" t="str">
        <f>IF(Agent01_Loans!B124="","",Agent01_Loans!B124)</f>
        <v/>
      </c>
      <c r="C112" s="40" t="str">
        <f>IF(Agent01_Loans!B124="","",Agent01_Loans!C124)</f>
        <v/>
      </c>
      <c r="D112" s="41" t="str">
        <f>IF(Agent01_Loans!B124="","",Agent01_Loans!D124)</f>
        <v/>
      </c>
      <c r="E112" s="43" t="str">
        <f>IF(Agent01_Loans!B124="","",Agent01_Loans!E124)</f>
        <v/>
      </c>
      <c r="F112" s="40" t="str">
        <f>IF(Agent01_Loans!B124="","",Agent01_Loans!F124)</f>
        <v/>
      </c>
      <c r="G112" s="40" t="str">
        <f>IF(Agent01_Loans!B124="","",Agent01_Loans!G124)</f>
        <v/>
      </c>
      <c r="H112" s="40" t="str">
        <f>IF(Agent01_Loans!B124="","",Agent01_Loans!H124)</f>
        <v/>
      </c>
      <c r="I112" s="43" t="str">
        <f>IF(Agent01_Loans!B124="","",Agent01_Loans!I124)</f>
        <v/>
      </c>
      <c r="J112" s="43" t="str">
        <f>IF(Agent01_Loans!B124="","",Agent01_Loans!J124)</f>
        <v/>
      </c>
      <c r="K112" s="40" t="str">
        <f>IF(Agent01_Loans!B124="","",Agent01_Loans!K124)</f>
        <v/>
      </c>
      <c r="L112" s="40" t="str">
        <f>IF(Agent01_Loans!B124="","",Agent01_Loans!L124)</f>
        <v/>
      </c>
      <c r="M112" s="40" t="str">
        <f>IFERROR(IF(Agent01_Loans!B124="","",YEAR(Agent01_Loans!D124)),"")</f>
        <v/>
      </c>
    </row>
    <row r="113" spans="1:13" ht="18" customHeight="1" x14ac:dyDescent="0.25">
      <c r="A113" s="40" t="str">
        <f>IF(Agent01_Loans!B125="","",Agent01_Loans!A125)</f>
        <v/>
      </c>
      <c r="B113" s="40" t="str">
        <f>IF(Agent01_Loans!B125="","",Agent01_Loans!B125)</f>
        <v/>
      </c>
      <c r="C113" s="40" t="str">
        <f>IF(Agent01_Loans!B125="","",Agent01_Loans!C125)</f>
        <v/>
      </c>
      <c r="D113" s="41" t="str">
        <f>IF(Agent01_Loans!B125="","",Agent01_Loans!D125)</f>
        <v/>
      </c>
      <c r="E113" s="43" t="str">
        <f>IF(Agent01_Loans!B125="","",Agent01_Loans!E125)</f>
        <v/>
      </c>
      <c r="F113" s="40" t="str">
        <f>IF(Agent01_Loans!B125="","",Agent01_Loans!F125)</f>
        <v/>
      </c>
      <c r="G113" s="40" t="str">
        <f>IF(Agent01_Loans!B125="","",Agent01_Loans!G125)</f>
        <v/>
      </c>
      <c r="H113" s="40" t="str">
        <f>IF(Agent01_Loans!B125="","",Agent01_Loans!H125)</f>
        <v/>
      </c>
      <c r="I113" s="43" t="str">
        <f>IF(Agent01_Loans!B125="","",Agent01_Loans!I125)</f>
        <v/>
      </c>
      <c r="J113" s="43" t="str">
        <f>IF(Agent01_Loans!B125="","",Agent01_Loans!J125)</f>
        <v/>
      </c>
      <c r="K113" s="40" t="str">
        <f>IF(Agent01_Loans!B125="","",Agent01_Loans!K125)</f>
        <v/>
      </c>
      <c r="L113" s="40" t="str">
        <f>IF(Agent01_Loans!B125="","",Agent01_Loans!L125)</f>
        <v/>
      </c>
      <c r="M113" s="40" t="str">
        <f>IFERROR(IF(Agent01_Loans!B125="","",YEAR(Agent01_Loans!D125)),"")</f>
        <v/>
      </c>
    </row>
    <row r="114" spans="1:13" ht="18" customHeight="1" x14ac:dyDescent="0.25">
      <c r="A114" s="40" t="str">
        <f>IF(Agent01_Loans!B126="","",Agent01_Loans!A126)</f>
        <v/>
      </c>
      <c r="B114" s="40" t="str">
        <f>IF(Agent01_Loans!B126="","",Agent01_Loans!B126)</f>
        <v/>
      </c>
      <c r="C114" s="40" t="str">
        <f>IF(Agent01_Loans!B126="","",Agent01_Loans!C126)</f>
        <v/>
      </c>
      <c r="D114" s="41" t="str">
        <f>IF(Agent01_Loans!B126="","",Agent01_Loans!D126)</f>
        <v/>
      </c>
      <c r="E114" s="43" t="str">
        <f>IF(Agent01_Loans!B126="","",Agent01_Loans!E126)</f>
        <v/>
      </c>
      <c r="F114" s="40" t="str">
        <f>IF(Agent01_Loans!B126="","",Agent01_Loans!F126)</f>
        <v/>
      </c>
      <c r="G114" s="40" t="str">
        <f>IF(Agent01_Loans!B126="","",Agent01_Loans!G126)</f>
        <v/>
      </c>
      <c r="H114" s="40" t="str">
        <f>IF(Agent01_Loans!B126="","",Agent01_Loans!H126)</f>
        <v/>
      </c>
      <c r="I114" s="43" t="str">
        <f>IF(Agent01_Loans!B126="","",Agent01_Loans!I126)</f>
        <v/>
      </c>
      <c r="J114" s="43" t="str">
        <f>IF(Agent01_Loans!B126="","",Agent01_Loans!J126)</f>
        <v/>
      </c>
      <c r="K114" s="40" t="str">
        <f>IF(Agent01_Loans!B126="","",Agent01_Loans!K126)</f>
        <v/>
      </c>
      <c r="L114" s="40" t="str">
        <f>IF(Agent01_Loans!B126="","",Agent01_Loans!L126)</f>
        <v/>
      </c>
      <c r="M114" s="40" t="str">
        <f>IFERROR(IF(Agent01_Loans!B126="","",YEAR(Agent01_Loans!D126)),"")</f>
        <v/>
      </c>
    </row>
    <row r="115" spans="1:13" ht="18" customHeight="1" x14ac:dyDescent="0.25">
      <c r="A115" s="40" t="str">
        <f>IF(Agent01_Loans!B127="","",Agent01_Loans!A127)</f>
        <v/>
      </c>
      <c r="B115" s="40" t="str">
        <f>IF(Agent01_Loans!B127="","",Agent01_Loans!B127)</f>
        <v/>
      </c>
      <c r="C115" s="40" t="str">
        <f>IF(Agent01_Loans!B127="","",Agent01_Loans!C127)</f>
        <v/>
      </c>
      <c r="D115" s="41" t="str">
        <f>IF(Agent01_Loans!B127="","",Agent01_Loans!D127)</f>
        <v/>
      </c>
      <c r="E115" s="43" t="str">
        <f>IF(Agent01_Loans!B127="","",Agent01_Loans!E127)</f>
        <v/>
      </c>
      <c r="F115" s="40" t="str">
        <f>IF(Agent01_Loans!B127="","",Agent01_Loans!F127)</f>
        <v/>
      </c>
      <c r="G115" s="40" t="str">
        <f>IF(Agent01_Loans!B127="","",Agent01_Loans!G127)</f>
        <v/>
      </c>
      <c r="H115" s="40" t="str">
        <f>IF(Agent01_Loans!B127="","",Agent01_Loans!H127)</f>
        <v/>
      </c>
      <c r="I115" s="43" t="str">
        <f>IF(Agent01_Loans!B127="","",Agent01_Loans!I127)</f>
        <v/>
      </c>
      <c r="J115" s="43" t="str">
        <f>IF(Agent01_Loans!B127="","",Agent01_Loans!J127)</f>
        <v/>
      </c>
      <c r="K115" s="40" t="str">
        <f>IF(Agent01_Loans!B127="","",Agent01_Loans!K127)</f>
        <v/>
      </c>
      <c r="L115" s="40" t="str">
        <f>IF(Agent01_Loans!B127="","",Agent01_Loans!L127)</f>
        <v/>
      </c>
      <c r="M115" s="40" t="str">
        <f>IFERROR(IF(Agent01_Loans!B127="","",YEAR(Agent01_Loans!D127)),"")</f>
        <v/>
      </c>
    </row>
    <row r="116" spans="1:13" ht="18" customHeight="1" x14ac:dyDescent="0.25">
      <c r="A116" s="40" t="str">
        <f>IF(Agent01_Loans!B128="","",Agent01_Loans!A128)</f>
        <v/>
      </c>
      <c r="B116" s="40" t="str">
        <f>IF(Agent01_Loans!B128="","",Agent01_Loans!B128)</f>
        <v/>
      </c>
      <c r="C116" s="40" t="str">
        <f>IF(Agent01_Loans!B128="","",Agent01_Loans!C128)</f>
        <v/>
      </c>
      <c r="D116" s="41" t="str">
        <f>IF(Agent01_Loans!B128="","",Agent01_Loans!D128)</f>
        <v/>
      </c>
      <c r="E116" s="43" t="str">
        <f>IF(Agent01_Loans!B128="","",Agent01_Loans!E128)</f>
        <v/>
      </c>
      <c r="F116" s="40" t="str">
        <f>IF(Agent01_Loans!B128="","",Agent01_Loans!F128)</f>
        <v/>
      </c>
      <c r="G116" s="40" t="str">
        <f>IF(Agent01_Loans!B128="","",Agent01_Loans!G128)</f>
        <v/>
      </c>
      <c r="H116" s="40" t="str">
        <f>IF(Agent01_Loans!B128="","",Agent01_Loans!H128)</f>
        <v/>
      </c>
      <c r="I116" s="43" t="str">
        <f>IF(Agent01_Loans!B128="","",Agent01_Loans!I128)</f>
        <v/>
      </c>
      <c r="J116" s="43" t="str">
        <f>IF(Agent01_Loans!B128="","",Agent01_Loans!J128)</f>
        <v/>
      </c>
      <c r="K116" s="40" t="str">
        <f>IF(Agent01_Loans!B128="","",Agent01_Loans!K128)</f>
        <v/>
      </c>
      <c r="L116" s="40" t="str">
        <f>IF(Agent01_Loans!B128="","",Agent01_Loans!L128)</f>
        <v/>
      </c>
      <c r="M116" s="40" t="str">
        <f>IFERROR(IF(Agent01_Loans!B128="","",YEAR(Agent01_Loans!D128)),"")</f>
        <v/>
      </c>
    </row>
    <row r="117" spans="1:13" ht="18" customHeight="1" x14ac:dyDescent="0.25">
      <c r="A117" s="40" t="str">
        <f>IF(Agent01_Loans!B129="","",Agent01_Loans!A129)</f>
        <v/>
      </c>
      <c r="B117" s="40" t="str">
        <f>IF(Agent01_Loans!B129="","",Agent01_Loans!B129)</f>
        <v/>
      </c>
      <c r="C117" s="40" t="str">
        <f>IF(Agent01_Loans!B129="","",Agent01_Loans!C129)</f>
        <v/>
      </c>
      <c r="D117" s="41" t="str">
        <f>IF(Agent01_Loans!B129="","",Agent01_Loans!D129)</f>
        <v/>
      </c>
      <c r="E117" s="43" t="str">
        <f>IF(Agent01_Loans!B129="","",Agent01_Loans!E129)</f>
        <v/>
      </c>
      <c r="F117" s="40" t="str">
        <f>IF(Agent01_Loans!B129="","",Agent01_Loans!F129)</f>
        <v/>
      </c>
      <c r="G117" s="40" t="str">
        <f>IF(Agent01_Loans!B129="","",Agent01_Loans!G129)</f>
        <v/>
      </c>
      <c r="H117" s="40" t="str">
        <f>IF(Agent01_Loans!B129="","",Agent01_Loans!H129)</f>
        <v/>
      </c>
      <c r="I117" s="43" t="str">
        <f>IF(Agent01_Loans!B129="","",Agent01_Loans!I129)</f>
        <v/>
      </c>
      <c r="J117" s="43" t="str">
        <f>IF(Agent01_Loans!B129="","",Agent01_Loans!J129)</f>
        <v/>
      </c>
      <c r="K117" s="40" t="str">
        <f>IF(Agent01_Loans!B129="","",Agent01_Loans!K129)</f>
        <v/>
      </c>
      <c r="L117" s="40" t="str">
        <f>IF(Agent01_Loans!B129="","",Agent01_Loans!L129)</f>
        <v/>
      </c>
      <c r="M117" s="40" t="str">
        <f>IFERROR(IF(Agent01_Loans!B129="","",YEAR(Agent01_Loans!D129)),"")</f>
        <v/>
      </c>
    </row>
    <row r="118" spans="1:13" ht="18" customHeight="1" x14ac:dyDescent="0.25">
      <c r="A118" s="40" t="str">
        <f>IF(Agent01_Loans!B130="","",Agent01_Loans!A130)</f>
        <v/>
      </c>
      <c r="B118" s="40" t="str">
        <f>IF(Agent01_Loans!B130="","",Agent01_Loans!B130)</f>
        <v/>
      </c>
      <c r="C118" s="40" t="str">
        <f>IF(Agent01_Loans!B130="","",Agent01_Loans!C130)</f>
        <v/>
      </c>
      <c r="D118" s="41" t="str">
        <f>IF(Agent01_Loans!B130="","",Agent01_Loans!D130)</f>
        <v/>
      </c>
      <c r="E118" s="43" t="str">
        <f>IF(Agent01_Loans!B130="","",Agent01_Loans!E130)</f>
        <v/>
      </c>
      <c r="F118" s="40" t="str">
        <f>IF(Agent01_Loans!B130="","",Agent01_Loans!F130)</f>
        <v/>
      </c>
      <c r="G118" s="40" t="str">
        <f>IF(Agent01_Loans!B130="","",Agent01_Loans!G130)</f>
        <v/>
      </c>
      <c r="H118" s="40" t="str">
        <f>IF(Agent01_Loans!B130="","",Agent01_Loans!H130)</f>
        <v/>
      </c>
      <c r="I118" s="43" t="str">
        <f>IF(Agent01_Loans!B130="","",Agent01_Loans!I130)</f>
        <v/>
      </c>
      <c r="J118" s="43" t="str">
        <f>IF(Agent01_Loans!B130="","",Agent01_Loans!J130)</f>
        <v/>
      </c>
      <c r="K118" s="40" t="str">
        <f>IF(Agent01_Loans!B130="","",Agent01_Loans!K130)</f>
        <v/>
      </c>
      <c r="L118" s="40" t="str">
        <f>IF(Agent01_Loans!B130="","",Agent01_Loans!L130)</f>
        <v/>
      </c>
      <c r="M118" s="40" t="str">
        <f>IFERROR(IF(Agent01_Loans!B130="","",YEAR(Agent01_Loans!D130)),"")</f>
        <v/>
      </c>
    </row>
    <row r="119" spans="1:13" ht="18" customHeight="1" x14ac:dyDescent="0.25">
      <c r="A119" s="40" t="str">
        <f>IF(Agent01_Loans!B131="","",Agent01_Loans!A131)</f>
        <v/>
      </c>
      <c r="B119" s="40" t="str">
        <f>IF(Agent01_Loans!B131="","",Agent01_Loans!B131)</f>
        <v/>
      </c>
      <c r="C119" s="40" t="str">
        <f>IF(Agent01_Loans!B131="","",Agent01_Loans!C131)</f>
        <v/>
      </c>
      <c r="D119" s="41" t="str">
        <f>IF(Agent01_Loans!B131="","",Agent01_Loans!D131)</f>
        <v/>
      </c>
      <c r="E119" s="43" t="str">
        <f>IF(Agent01_Loans!B131="","",Agent01_Loans!E131)</f>
        <v/>
      </c>
      <c r="F119" s="40" t="str">
        <f>IF(Agent01_Loans!B131="","",Agent01_Loans!F131)</f>
        <v/>
      </c>
      <c r="G119" s="40" t="str">
        <f>IF(Agent01_Loans!B131="","",Agent01_Loans!G131)</f>
        <v/>
      </c>
      <c r="H119" s="40" t="str">
        <f>IF(Agent01_Loans!B131="","",Agent01_Loans!H131)</f>
        <v/>
      </c>
      <c r="I119" s="43" t="str">
        <f>IF(Agent01_Loans!B131="","",Agent01_Loans!I131)</f>
        <v/>
      </c>
      <c r="J119" s="43" t="str">
        <f>IF(Agent01_Loans!B131="","",Agent01_Loans!J131)</f>
        <v/>
      </c>
      <c r="K119" s="40" t="str">
        <f>IF(Agent01_Loans!B131="","",Agent01_Loans!K131)</f>
        <v/>
      </c>
      <c r="L119" s="40" t="str">
        <f>IF(Agent01_Loans!B131="","",Agent01_Loans!L131)</f>
        <v/>
      </c>
      <c r="M119" s="40" t="str">
        <f>IFERROR(IF(Agent01_Loans!B131="","",YEAR(Agent01_Loans!D131)),"")</f>
        <v/>
      </c>
    </row>
    <row r="120" spans="1:13" ht="18" customHeight="1" x14ac:dyDescent="0.25">
      <c r="A120" s="40" t="str">
        <f>IF(Agent01_Loans!B132="","",Agent01_Loans!A132)</f>
        <v/>
      </c>
      <c r="B120" s="40" t="str">
        <f>IF(Agent01_Loans!B132="","",Agent01_Loans!B132)</f>
        <v/>
      </c>
      <c r="C120" s="40" t="str">
        <f>IF(Agent01_Loans!B132="","",Agent01_Loans!C132)</f>
        <v/>
      </c>
      <c r="D120" s="41" t="str">
        <f>IF(Agent01_Loans!B132="","",Agent01_Loans!D132)</f>
        <v/>
      </c>
      <c r="E120" s="43" t="str">
        <f>IF(Agent01_Loans!B132="","",Agent01_Loans!E132)</f>
        <v/>
      </c>
      <c r="F120" s="40" t="str">
        <f>IF(Agent01_Loans!B132="","",Agent01_Loans!F132)</f>
        <v/>
      </c>
      <c r="G120" s="40" t="str">
        <f>IF(Agent01_Loans!B132="","",Agent01_Loans!G132)</f>
        <v/>
      </c>
      <c r="H120" s="40" t="str">
        <f>IF(Agent01_Loans!B132="","",Agent01_Loans!H132)</f>
        <v/>
      </c>
      <c r="I120" s="43" t="str">
        <f>IF(Agent01_Loans!B132="","",Agent01_Loans!I132)</f>
        <v/>
      </c>
      <c r="J120" s="43" t="str">
        <f>IF(Agent01_Loans!B132="","",Agent01_Loans!J132)</f>
        <v/>
      </c>
      <c r="K120" s="40" t="str">
        <f>IF(Agent01_Loans!B132="","",Agent01_Loans!K132)</f>
        <v/>
      </c>
      <c r="L120" s="40" t="str">
        <f>IF(Agent01_Loans!B132="","",Agent01_Loans!L132)</f>
        <v/>
      </c>
      <c r="M120" s="40" t="str">
        <f>IFERROR(IF(Agent01_Loans!B132="","",YEAR(Agent01_Loans!D132)),"")</f>
        <v/>
      </c>
    </row>
    <row r="121" spans="1:13" ht="18" customHeight="1" x14ac:dyDescent="0.25">
      <c r="A121" s="40" t="str">
        <f>IF(Agent01_Loans!B133="","",Agent01_Loans!A133)</f>
        <v/>
      </c>
      <c r="B121" s="40" t="str">
        <f>IF(Agent01_Loans!B133="","",Agent01_Loans!B133)</f>
        <v/>
      </c>
      <c r="C121" s="40" t="str">
        <f>IF(Agent01_Loans!B133="","",Agent01_Loans!C133)</f>
        <v/>
      </c>
      <c r="D121" s="41" t="str">
        <f>IF(Agent01_Loans!B133="","",Agent01_Loans!D133)</f>
        <v/>
      </c>
      <c r="E121" s="43" t="str">
        <f>IF(Agent01_Loans!B133="","",Agent01_Loans!E133)</f>
        <v/>
      </c>
      <c r="F121" s="40" t="str">
        <f>IF(Agent01_Loans!B133="","",Agent01_Loans!F133)</f>
        <v/>
      </c>
      <c r="G121" s="40" t="str">
        <f>IF(Agent01_Loans!B133="","",Agent01_Loans!G133)</f>
        <v/>
      </c>
      <c r="H121" s="40" t="str">
        <f>IF(Agent01_Loans!B133="","",Agent01_Loans!H133)</f>
        <v/>
      </c>
      <c r="I121" s="43" t="str">
        <f>IF(Agent01_Loans!B133="","",Agent01_Loans!I133)</f>
        <v/>
      </c>
      <c r="J121" s="43" t="str">
        <f>IF(Agent01_Loans!B133="","",Agent01_Loans!J133)</f>
        <v/>
      </c>
      <c r="K121" s="40" t="str">
        <f>IF(Agent01_Loans!B133="","",Agent01_Loans!K133)</f>
        <v/>
      </c>
      <c r="L121" s="40" t="str">
        <f>IF(Agent01_Loans!B133="","",Agent01_Loans!L133)</f>
        <v/>
      </c>
      <c r="M121" s="40" t="str">
        <f>IFERROR(IF(Agent01_Loans!B133="","",YEAR(Agent01_Loans!D133)),"")</f>
        <v/>
      </c>
    </row>
    <row r="122" spans="1:13" ht="18" customHeight="1" x14ac:dyDescent="0.25">
      <c r="A122" s="40" t="str">
        <f>IF(Agent01_Loans!B134="","",Agent01_Loans!A134)</f>
        <v/>
      </c>
      <c r="B122" s="40" t="str">
        <f>IF(Agent01_Loans!B134="","",Agent01_Loans!B134)</f>
        <v/>
      </c>
      <c r="C122" s="40" t="str">
        <f>IF(Agent01_Loans!B134="","",Agent01_Loans!C134)</f>
        <v/>
      </c>
      <c r="D122" s="41" t="str">
        <f>IF(Agent01_Loans!B134="","",Agent01_Loans!D134)</f>
        <v/>
      </c>
      <c r="E122" s="43" t="str">
        <f>IF(Agent01_Loans!B134="","",Agent01_Loans!E134)</f>
        <v/>
      </c>
      <c r="F122" s="40" t="str">
        <f>IF(Agent01_Loans!B134="","",Agent01_Loans!F134)</f>
        <v/>
      </c>
      <c r="G122" s="40" t="str">
        <f>IF(Agent01_Loans!B134="","",Agent01_Loans!G134)</f>
        <v/>
      </c>
      <c r="H122" s="40" t="str">
        <f>IF(Agent01_Loans!B134="","",Agent01_Loans!H134)</f>
        <v/>
      </c>
      <c r="I122" s="43" t="str">
        <f>IF(Agent01_Loans!B134="","",Agent01_Loans!I134)</f>
        <v/>
      </c>
      <c r="J122" s="43" t="str">
        <f>IF(Agent01_Loans!B134="","",Agent01_Loans!J134)</f>
        <v/>
      </c>
      <c r="K122" s="40" t="str">
        <f>IF(Agent01_Loans!B134="","",Agent01_Loans!K134)</f>
        <v/>
      </c>
      <c r="L122" s="40" t="str">
        <f>IF(Agent01_Loans!B134="","",Agent01_Loans!L134)</f>
        <v/>
      </c>
      <c r="M122" s="40" t="str">
        <f>IFERROR(IF(Agent01_Loans!B134="","",YEAR(Agent01_Loans!D134)),"")</f>
        <v/>
      </c>
    </row>
    <row r="123" spans="1:13" ht="18" customHeight="1" x14ac:dyDescent="0.25">
      <c r="A123" s="40" t="str">
        <f>IF(Agent01_Loans!B135="","",Agent01_Loans!A135)</f>
        <v/>
      </c>
      <c r="B123" s="40" t="str">
        <f>IF(Agent01_Loans!B135="","",Agent01_Loans!B135)</f>
        <v/>
      </c>
      <c r="C123" s="40" t="str">
        <f>IF(Agent01_Loans!B135="","",Agent01_Loans!C135)</f>
        <v/>
      </c>
      <c r="D123" s="41" t="str">
        <f>IF(Agent01_Loans!B135="","",Agent01_Loans!D135)</f>
        <v/>
      </c>
      <c r="E123" s="43" t="str">
        <f>IF(Agent01_Loans!B135="","",Agent01_Loans!E135)</f>
        <v/>
      </c>
      <c r="F123" s="40" t="str">
        <f>IF(Agent01_Loans!B135="","",Agent01_Loans!F135)</f>
        <v/>
      </c>
      <c r="G123" s="40" t="str">
        <f>IF(Agent01_Loans!B135="","",Agent01_Loans!G135)</f>
        <v/>
      </c>
      <c r="H123" s="40" t="str">
        <f>IF(Agent01_Loans!B135="","",Agent01_Loans!H135)</f>
        <v/>
      </c>
      <c r="I123" s="43" t="str">
        <f>IF(Agent01_Loans!B135="","",Agent01_Loans!I135)</f>
        <v/>
      </c>
      <c r="J123" s="43" t="str">
        <f>IF(Agent01_Loans!B135="","",Agent01_Loans!J135)</f>
        <v/>
      </c>
      <c r="K123" s="40" t="str">
        <f>IF(Agent01_Loans!B135="","",Agent01_Loans!K135)</f>
        <v/>
      </c>
      <c r="L123" s="40" t="str">
        <f>IF(Agent01_Loans!B135="","",Agent01_Loans!L135)</f>
        <v/>
      </c>
      <c r="M123" s="40" t="str">
        <f>IFERROR(IF(Agent01_Loans!B135="","",YEAR(Agent01_Loans!D135)),"")</f>
        <v/>
      </c>
    </row>
    <row r="124" spans="1:13" ht="18" customHeight="1" x14ac:dyDescent="0.25">
      <c r="A124" s="40" t="str">
        <f>IF(Agent01_Loans!B136="","",Agent01_Loans!A136)</f>
        <v/>
      </c>
      <c r="B124" s="40" t="str">
        <f>IF(Agent01_Loans!B136="","",Agent01_Loans!B136)</f>
        <v/>
      </c>
      <c r="C124" s="40" t="str">
        <f>IF(Agent01_Loans!B136="","",Agent01_Loans!C136)</f>
        <v/>
      </c>
      <c r="D124" s="41" t="str">
        <f>IF(Agent01_Loans!B136="","",Agent01_Loans!D136)</f>
        <v/>
      </c>
      <c r="E124" s="43" t="str">
        <f>IF(Agent01_Loans!B136="","",Agent01_Loans!E136)</f>
        <v/>
      </c>
      <c r="F124" s="40" t="str">
        <f>IF(Agent01_Loans!B136="","",Agent01_Loans!F136)</f>
        <v/>
      </c>
      <c r="G124" s="40" t="str">
        <f>IF(Agent01_Loans!B136="","",Agent01_Loans!G136)</f>
        <v/>
      </c>
      <c r="H124" s="40" t="str">
        <f>IF(Agent01_Loans!B136="","",Agent01_Loans!H136)</f>
        <v/>
      </c>
      <c r="I124" s="43" t="str">
        <f>IF(Agent01_Loans!B136="","",Agent01_Loans!I136)</f>
        <v/>
      </c>
      <c r="J124" s="43" t="str">
        <f>IF(Agent01_Loans!B136="","",Agent01_Loans!J136)</f>
        <v/>
      </c>
      <c r="K124" s="40" t="str">
        <f>IF(Agent01_Loans!B136="","",Agent01_Loans!K136)</f>
        <v/>
      </c>
      <c r="L124" s="40" t="str">
        <f>IF(Agent01_Loans!B136="","",Agent01_Loans!L136)</f>
        <v/>
      </c>
      <c r="M124" s="40" t="str">
        <f>IFERROR(IF(Agent01_Loans!B136="","",YEAR(Agent01_Loans!D136)),"")</f>
        <v/>
      </c>
    </row>
    <row r="125" spans="1:13" ht="18" customHeight="1" x14ac:dyDescent="0.25">
      <c r="A125" s="40" t="str">
        <f>IF(Agent01_Loans!B137="","",Agent01_Loans!A137)</f>
        <v/>
      </c>
      <c r="B125" s="40" t="str">
        <f>IF(Agent01_Loans!B137="","",Agent01_Loans!B137)</f>
        <v/>
      </c>
      <c r="C125" s="40" t="str">
        <f>IF(Agent01_Loans!B137="","",Agent01_Loans!C137)</f>
        <v/>
      </c>
      <c r="D125" s="41" t="str">
        <f>IF(Agent01_Loans!B137="","",Agent01_Loans!D137)</f>
        <v/>
      </c>
      <c r="E125" s="43" t="str">
        <f>IF(Agent01_Loans!B137="","",Agent01_Loans!E137)</f>
        <v/>
      </c>
      <c r="F125" s="40" t="str">
        <f>IF(Agent01_Loans!B137="","",Agent01_Loans!F137)</f>
        <v/>
      </c>
      <c r="G125" s="40" t="str">
        <f>IF(Agent01_Loans!B137="","",Agent01_Loans!G137)</f>
        <v/>
      </c>
      <c r="H125" s="40" t="str">
        <f>IF(Agent01_Loans!B137="","",Agent01_Loans!H137)</f>
        <v/>
      </c>
      <c r="I125" s="43" t="str">
        <f>IF(Agent01_Loans!B137="","",Agent01_Loans!I137)</f>
        <v/>
      </c>
      <c r="J125" s="43" t="str">
        <f>IF(Agent01_Loans!B137="","",Agent01_Loans!J137)</f>
        <v/>
      </c>
      <c r="K125" s="40" t="str">
        <f>IF(Agent01_Loans!B137="","",Agent01_Loans!K137)</f>
        <v/>
      </c>
      <c r="L125" s="40" t="str">
        <f>IF(Agent01_Loans!B137="","",Agent01_Loans!L137)</f>
        <v/>
      </c>
      <c r="M125" s="40" t="str">
        <f>IFERROR(IF(Agent01_Loans!B137="","",YEAR(Agent01_Loans!D137)),"")</f>
        <v/>
      </c>
    </row>
    <row r="126" spans="1:13" ht="18" customHeight="1" x14ac:dyDescent="0.25">
      <c r="A126" s="40" t="str">
        <f>IF(Agent01_Loans!B138="","",Agent01_Loans!A138)</f>
        <v/>
      </c>
      <c r="B126" s="40" t="str">
        <f>IF(Agent01_Loans!B138="","",Agent01_Loans!B138)</f>
        <v/>
      </c>
      <c r="C126" s="40" t="str">
        <f>IF(Agent01_Loans!B138="","",Agent01_Loans!C138)</f>
        <v/>
      </c>
      <c r="D126" s="41" t="str">
        <f>IF(Agent01_Loans!B138="","",Agent01_Loans!D138)</f>
        <v/>
      </c>
      <c r="E126" s="43" t="str">
        <f>IF(Agent01_Loans!B138="","",Agent01_Loans!E138)</f>
        <v/>
      </c>
      <c r="F126" s="40" t="str">
        <f>IF(Agent01_Loans!B138="","",Agent01_Loans!F138)</f>
        <v/>
      </c>
      <c r="G126" s="40" t="str">
        <f>IF(Agent01_Loans!B138="","",Agent01_Loans!G138)</f>
        <v/>
      </c>
      <c r="H126" s="40" t="str">
        <f>IF(Agent01_Loans!B138="","",Agent01_Loans!H138)</f>
        <v/>
      </c>
      <c r="I126" s="43" t="str">
        <f>IF(Agent01_Loans!B138="","",Agent01_Loans!I138)</f>
        <v/>
      </c>
      <c r="J126" s="43" t="str">
        <f>IF(Agent01_Loans!B138="","",Agent01_Loans!J138)</f>
        <v/>
      </c>
      <c r="K126" s="40" t="str">
        <f>IF(Agent01_Loans!B138="","",Agent01_Loans!K138)</f>
        <v/>
      </c>
      <c r="L126" s="40" t="str">
        <f>IF(Agent01_Loans!B138="","",Agent01_Loans!L138)</f>
        <v/>
      </c>
      <c r="M126" s="40" t="str">
        <f>IFERROR(IF(Agent01_Loans!B138="","",YEAR(Agent01_Loans!D138)),"")</f>
        <v/>
      </c>
    </row>
    <row r="127" spans="1:13" ht="18" customHeight="1" x14ac:dyDescent="0.25">
      <c r="A127" s="40" t="str">
        <f>IF(Agent01_Loans!B139="","",Agent01_Loans!A139)</f>
        <v/>
      </c>
      <c r="B127" s="40" t="str">
        <f>IF(Agent01_Loans!B139="","",Agent01_Loans!B139)</f>
        <v/>
      </c>
      <c r="C127" s="40" t="str">
        <f>IF(Agent01_Loans!B139="","",Agent01_Loans!C139)</f>
        <v/>
      </c>
      <c r="D127" s="41" t="str">
        <f>IF(Agent01_Loans!B139="","",Agent01_Loans!D139)</f>
        <v/>
      </c>
      <c r="E127" s="43" t="str">
        <f>IF(Agent01_Loans!B139="","",Agent01_Loans!E139)</f>
        <v/>
      </c>
      <c r="F127" s="40" t="str">
        <f>IF(Agent01_Loans!B139="","",Agent01_Loans!F139)</f>
        <v/>
      </c>
      <c r="G127" s="40" t="str">
        <f>IF(Agent01_Loans!B139="","",Agent01_Loans!G139)</f>
        <v/>
      </c>
      <c r="H127" s="40" t="str">
        <f>IF(Agent01_Loans!B139="","",Agent01_Loans!H139)</f>
        <v/>
      </c>
      <c r="I127" s="43" t="str">
        <f>IF(Agent01_Loans!B139="","",Agent01_Loans!I139)</f>
        <v/>
      </c>
      <c r="J127" s="43" t="str">
        <f>IF(Agent01_Loans!B139="","",Agent01_Loans!J139)</f>
        <v/>
      </c>
      <c r="K127" s="40" t="str">
        <f>IF(Agent01_Loans!B139="","",Agent01_Loans!K139)</f>
        <v/>
      </c>
      <c r="L127" s="40" t="str">
        <f>IF(Agent01_Loans!B139="","",Agent01_Loans!L139)</f>
        <v/>
      </c>
      <c r="M127" s="40" t="str">
        <f>IFERROR(IF(Agent01_Loans!B139="","",YEAR(Agent01_Loans!D139)),"")</f>
        <v/>
      </c>
    </row>
    <row r="128" spans="1:13" ht="18" customHeight="1" x14ac:dyDescent="0.25">
      <c r="A128" s="40" t="str">
        <f>IF(Agent01_Loans!B140="","",Agent01_Loans!A140)</f>
        <v/>
      </c>
      <c r="B128" s="40" t="str">
        <f>IF(Agent01_Loans!B140="","",Agent01_Loans!B140)</f>
        <v/>
      </c>
      <c r="C128" s="40" t="str">
        <f>IF(Agent01_Loans!B140="","",Agent01_Loans!C140)</f>
        <v/>
      </c>
      <c r="D128" s="41" t="str">
        <f>IF(Agent01_Loans!B140="","",Agent01_Loans!D140)</f>
        <v/>
      </c>
      <c r="E128" s="43" t="str">
        <f>IF(Agent01_Loans!B140="","",Agent01_Loans!E140)</f>
        <v/>
      </c>
      <c r="F128" s="40" t="str">
        <f>IF(Agent01_Loans!B140="","",Agent01_Loans!F140)</f>
        <v/>
      </c>
      <c r="G128" s="40" t="str">
        <f>IF(Agent01_Loans!B140="","",Agent01_Loans!G140)</f>
        <v/>
      </c>
      <c r="H128" s="40" t="str">
        <f>IF(Agent01_Loans!B140="","",Agent01_Loans!H140)</f>
        <v/>
      </c>
      <c r="I128" s="43" t="str">
        <f>IF(Agent01_Loans!B140="","",Agent01_Loans!I140)</f>
        <v/>
      </c>
      <c r="J128" s="43" t="str">
        <f>IF(Agent01_Loans!B140="","",Agent01_Loans!J140)</f>
        <v/>
      </c>
      <c r="K128" s="40" t="str">
        <f>IF(Agent01_Loans!B140="","",Agent01_Loans!K140)</f>
        <v/>
      </c>
      <c r="L128" s="40" t="str">
        <f>IF(Agent01_Loans!B140="","",Agent01_Loans!L140)</f>
        <v/>
      </c>
      <c r="M128" s="40" t="str">
        <f>IFERROR(IF(Agent01_Loans!B140="","",YEAR(Agent01_Loans!D140)),"")</f>
        <v/>
      </c>
    </row>
    <row r="129" spans="1:13" ht="18" customHeight="1" x14ac:dyDescent="0.25">
      <c r="A129" s="40" t="str">
        <f>IF(Agent01_Loans!B141="","",Agent01_Loans!A141)</f>
        <v/>
      </c>
      <c r="B129" s="40" t="str">
        <f>IF(Agent01_Loans!B141="","",Agent01_Loans!B141)</f>
        <v/>
      </c>
      <c r="C129" s="40" t="str">
        <f>IF(Agent01_Loans!B141="","",Agent01_Loans!C141)</f>
        <v/>
      </c>
      <c r="D129" s="41" t="str">
        <f>IF(Agent01_Loans!B141="","",Agent01_Loans!D141)</f>
        <v/>
      </c>
      <c r="E129" s="43" t="str">
        <f>IF(Agent01_Loans!B141="","",Agent01_Loans!E141)</f>
        <v/>
      </c>
      <c r="F129" s="40" t="str">
        <f>IF(Agent01_Loans!B141="","",Agent01_Loans!F141)</f>
        <v/>
      </c>
      <c r="G129" s="40" t="str">
        <f>IF(Agent01_Loans!B141="","",Agent01_Loans!G141)</f>
        <v/>
      </c>
      <c r="H129" s="40" t="str">
        <f>IF(Agent01_Loans!B141="","",Agent01_Loans!H141)</f>
        <v/>
      </c>
      <c r="I129" s="43" t="str">
        <f>IF(Agent01_Loans!B141="","",Agent01_Loans!I141)</f>
        <v/>
      </c>
      <c r="J129" s="43" t="str">
        <f>IF(Agent01_Loans!B141="","",Agent01_Loans!J141)</f>
        <v/>
      </c>
      <c r="K129" s="40" t="str">
        <f>IF(Agent01_Loans!B141="","",Agent01_Loans!K141)</f>
        <v/>
      </c>
      <c r="L129" s="40" t="str">
        <f>IF(Agent01_Loans!B141="","",Agent01_Loans!L141)</f>
        <v/>
      </c>
      <c r="M129" s="40" t="str">
        <f>IFERROR(IF(Agent01_Loans!B141="","",YEAR(Agent01_Loans!D141)),"")</f>
        <v/>
      </c>
    </row>
    <row r="130" spans="1:13" ht="18" customHeight="1" x14ac:dyDescent="0.25">
      <c r="A130" s="40" t="str">
        <f>IF(Agent01_Loans!B142="","",Agent01_Loans!A142)</f>
        <v/>
      </c>
      <c r="B130" s="40" t="str">
        <f>IF(Agent01_Loans!B142="","",Agent01_Loans!B142)</f>
        <v/>
      </c>
      <c r="C130" s="40" t="str">
        <f>IF(Agent01_Loans!B142="","",Agent01_Loans!C142)</f>
        <v/>
      </c>
      <c r="D130" s="41" t="str">
        <f>IF(Agent01_Loans!B142="","",Agent01_Loans!D142)</f>
        <v/>
      </c>
      <c r="E130" s="43" t="str">
        <f>IF(Agent01_Loans!B142="","",Agent01_Loans!E142)</f>
        <v/>
      </c>
      <c r="F130" s="40" t="str">
        <f>IF(Agent01_Loans!B142="","",Agent01_Loans!F142)</f>
        <v/>
      </c>
      <c r="G130" s="40" t="str">
        <f>IF(Agent01_Loans!B142="","",Agent01_Loans!G142)</f>
        <v/>
      </c>
      <c r="H130" s="40" t="str">
        <f>IF(Agent01_Loans!B142="","",Agent01_Loans!H142)</f>
        <v/>
      </c>
      <c r="I130" s="43" t="str">
        <f>IF(Agent01_Loans!B142="","",Agent01_Loans!I142)</f>
        <v/>
      </c>
      <c r="J130" s="43" t="str">
        <f>IF(Agent01_Loans!B142="","",Agent01_Loans!J142)</f>
        <v/>
      </c>
      <c r="K130" s="40" t="str">
        <f>IF(Agent01_Loans!B142="","",Agent01_Loans!K142)</f>
        <v/>
      </c>
      <c r="L130" s="40" t="str">
        <f>IF(Agent01_Loans!B142="","",Agent01_Loans!L142)</f>
        <v/>
      </c>
      <c r="M130" s="40" t="str">
        <f>IFERROR(IF(Agent01_Loans!B142="","",YEAR(Agent01_Loans!D142)),"")</f>
        <v/>
      </c>
    </row>
    <row r="131" spans="1:13" ht="18" customHeight="1" x14ac:dyDescent="0.25">
      <c r="A131" s="40" t="str">
        <f>IF(Agent01_Loans!B143="","",Agent01_Loans!A143)</f>
        <v/>
      </c>
      <c r="B131" s="40" t="str">
        <f>IF(Agent01_Loans!B143="","",Agent01_Loans!B143)</f>
        <v/>
      </c>
      <c r="C131" s="40" t="str">
        <f>IF(Agent01_Loans!B143="","",Agent01_Loans!C143)</f>
        <v/>
      </c>
      <c r="D131" s="41" t="str">
        <f>IF(Agent01_Loans!B143="","",Agent01_Loans!D143)</f>
        <v/>
      </c>
      <c r="E131" s="43" t="str">
        <f>IF(Agent01_Loans!B143="","",Agent01_Loans!E143)</f>
        <v/>
      </c>
      <c r="F131" s="40" t="str">
        <f>IF(Agent01_Loans!B143="","",Agent01_Loans!F143)</f>
        <v/>
      </c>
      <c r="G131" s="40" t="str">
        <f>IF(Agent01_Loans!B143="","",Agent01_Loans!G143)</f>
        <v/>
      </c>
      <c r="H131" s="40" t="str">
        <f>IF(Agent01_Loans!B143="","",Agent01_Loans!H143)</f>
        <v/>
      </c>
      <c r="I131" s="43" t="str">
        <f>IF(Agent01_Loans!B143="","",Agent01_Loans!I143)</f>
        <v/>
      </c>
      <c r="J131" s="43" t="str">
        <f>IF(Agent01_Loans!B143="","",Agent01_Loans!J143)</f>
        <v/>
      </c>
      <c r="K131" s="40" t="str">
        <f>IF(Agent01_Loans!B143="","",Agent01_Loans!K143)</f>
        <v/>
      </c>
      <c r="L131" s="40" t="str">
        <f>IF(Agent01_Loans!B143="","",Agent01_Loans!L143)</f>
        <v/>
      </c>
      <c r="M131" s="40" t="str">
        <f>IFERROR(IF(Agent01_Loans!B143="","",YEAR(Agent01_Loans!D143)),"")</f>
        <v/>
      </c>
    </row>
    <row r="132" spans="1:13" ht="18" customHeight="1" x14ac:dyDescent="0.25">
      <c r="A132" s="40" t="str">
        <f>IF(Agent01_Loans!B144="","",Agent01_Loans!A144)</f>
        <v/>
      </c>
      <c r="B132" s="40" t="str">
        <f>IF(Agent01_Loans!B144="","",Agent01_Loans!B144)</f>
        <v/>
      </c>
      <c r="C132" s="40" t="str">
        <f>IF(Agent01_Loans!B144="","",Agent01_Loans!C144)</f>
        <v/>
      </c>
      <c r="D132" s="41" t="str">
        <f>IF(Agent01_Loans!B144="","",Agent01_Loans!D144)</f>
        <v/>
      </c>
      <c r="E132" s="43" t="str">
        <f>IF(Agent01_Loans!B144="","",Agent01_Loans!E144)</f>
        <v/>
      </c>
      <c r="F132" s="40" t="str">
        <f>IF(Agent01_Loans!B144="","",Agent01_Loans!F144)</f>
        <v/>
      </c>
      <c r="G132" s="40" t="str">
        <f>IF(Agent01_Loans!B144="","",Agent01_Loans!G144)</f>
        <v/>
      </c>
      <c r="H132" s="40" t="str">
        <f>IF(Agent01_Loans!B144="","",Agent01_Loans!H144)</f>
        <v/>
      </c>
      <c r="I132" s="43" t="str">
        <f>IF(Agent01_Loans!B144="","",Agent01_Loans!I144)</f>
        <v/>
      </c>
      <c r="J132" s="43" t="str">
        <f>IF(Agent01_Loans!B144="","",Agent01_Loans!J144)</f>
        <v/>
      </c>
      <c r="K132" s="40" t="str">
        <f>IF(Agent01_Loans!B144="","",Agent01_Loans!K144)</f>
        <v/>
      </c>
      <c r="L132" s="40" t="str">
        <f>IF(Agent01_Loans!B144="","",Agent01_Loans!L144)</f>
        <v/>
      </c>
      <c r="M132" s="40" t="str">
        <f>IFERROR(IF(Agent01_Loans!B144="","",YEAR(Agent01_Loans!D144)),"")</f>
        <v/>
      </c>
    </row>
    <row r="133" spans="1:13" ht="18" customHeight="1" x14ac:dyDescent="0.25">
      <c r="A133" s="40" t="str">
        <f>IF(Agent01_Loans!B145="","",Agent01_Loans!A145)</f>
        <v/>
      </c>
      <c r="B133" s="40" t="str">
        <f>IF(Agent01_Loans!B145="","",Agent01_Loans!B145)</f>
        <v/>
      </c>
      <c r="C133" s="40" t="str">
        <f>IF(Agent01_Loans!B145="","",Agent01_Loans!C145)</f>
        <v/>
      </c>
      <c r="D133" s="41" t="str">
        <f>IF(Agent01_Loans!B145="","",Agent01_Loans!D145)</f>
        <v/>
      </c>
      <c r="E133" s="43" t="str">
        <f>IF(Agent01_Loans!B145="","",Agent01_Loans!E145)</f>
        <v/>
      </c>
      <c r="F133" s="40" t="str">
        <f>IF(Agent01_Loans!B145="","",Agent01_Loans!F145)</f>
        <v/>
      </c>
      <c r="G133" s="40" t="str">
        <f>IF(Agent01_Loans!B145="","",Agent01_Loans!G145)</f>
        <v/>
      </c>
      <c r="H133" s="40" t="str">
        <f>IF(Agent01_Loans!B145="","",Agent01_Loans!H145)</f>
        <v/>
      </c>
      <c r="I133" s="43" t="str">
        <f>IF(Agent01_Loans!B145="","",Agent01_Loans!I145)</f>
        <v/>
      </c>
      <c r="J133" s="43" t="str">
        <f>IF(Agent01_Loans!B145="","",Agent01_Loans!J145)</f>
        <v/>
      </c>
      <c r="K133" s="40" t="str">
        <f>IF(Agent01_Loans!B145="","",Agent01_Loans!K145)</f>
        <v/>
      </c>
      <c r="L133" s="40" t="str">
        <f>IF(Agent01_Loans!B145="","",Agent01_Loans!L145)</f>
        <v/>
      </c>
      <c r="M133" s="40" t="str">
        <f>IFERROR(IF(Agent01_Loans!B145="","",YEAR(Agent01_Loans!D145)),"")</f>
        <v/>
      </c>
    </row>
    <row r="134" spans="1:13" ht="18" customHeight="1" x14ac:dyDescent="0.25">
      <c r="A134" s="40" t="str">
        <f>IF(Agent01_Loans!B146="","",Agent01_Loans!A146)</f>
        <v/>
      </c>
      <c r="B134" s="40" t="str">
        <f>IF(Agent01_Loans!B146="","",Agent01_Loans!B146)</f>
        <v/>
      </c>
      <c r="C134" s="40" t="str">
        <f>IF(Agent01_Loans!B146="","",Agent01_Loans!C146)</f>
        <v/>
      </c>
      <c r="D134" s="41" t="str">
        <f>IF(Agent01_Loans!B146="","",Agent01_Loans!D146)</f>
        <v/>
      </c>
      <c r="E134" s="43" t="str">
        <f>IF(Agent01_Loans!B146="","",Agent01_Loans!E146)</f>
        <v/>
      </c>
      <c r="F134" s="40" t="str">
        <f>IF(Agent01_Loans!B146="","",Agent01_Loans!F146)</f>
        <v/>
      </c>
      <c r="G134" s="40" t="str">
        <f>IF(Agent01_Loans!B146="","",Agent01_Loans!G146)</f>
        <v/>
      </c>
      <c r="H134" s="40" t="str">
        <f>IF(Agent01_Loans!B146="","",Agent01_Loans!H146)</f>
        <v/>
      </c>
      <c r="I134" s="43" t="str">
        <f>IF(Agent01_Loans!B146="","",Agent01_Loans!I146)</f>
        <v/>
      </c>
      <c r="J134" s="43" t="str">
        <f>IF(Agent01_Loans!B146="","",Agent01_Loans!J146)</f>
        <v/>
      </c>
      <c r="K134" s="40" t="str">
        <f>IF(Agent01_Loans!B146="","",Agent01_Loans!K146)</f>
        <v/>
      </c>
      <c r="L134" s="40" t="str">
        <f>IF(Agent01_Loans!B146="","",Agent01_Loans!L146)</f>
        <v/>
      </c>
      <c r="M134" s="40" t="str">
        <f>IFERROR(IF(Agent01_Loans!B146="","",YEAR(Agent01_Loans!D146)),"")</f>
        <v/>
      </c>
    </row>
    <row r="135" spans="1:13" ht="18" customHeight="1" x14ac:dyDescent="0.25">
      <c r="A135" s="40" t="str">
        <f>IF(Agent01_Loans!B147="","",Agent01_Loans!A147)</f>
        <v/>
      </c>
      <c r="B135" s="40" t="str">
        <f>IF(Agent01_Loans!B147="","",Agent01_Loans!B147)</f>
        <v/>
      </c>
      <c r="C135" s="40" t="str">
        <f>IF(Agent01_Loans!B147="","",Agent01_Loans!C147)</f>
        <v/>
      </c>
      <c r="D135" s="41" t="str">
        <f>IF(Agent01_Loans!B147="","",Agent01_Loans!D147)</f>
        <v/>
      </c>
      <c r="E135" s="43" t="str">
        <f>IF(Agent01_Loans!B147="","",Agent01_Loans!E147)</f>
        <v/>
      </c>
      <c r="F135" s="40" t="str">
        <f>IF(Agent01_Loans!B147="","",Agent01_Loans!F147)</f>
        <v/>
      </c>
      <c r="G135" s="40" t="str">
        <f>IF(Agent01_Loans!B147="","",Agent01_Loans!G147)</f>
        <v/>
      </c>
      <c r="H135" s="40" t="str">
        <f>IF(Agent01_Loans!B147="","",Agent01_Loans!H147)</f>
        <v/>
      </c>
      <c r="I135" s="43" t="str">
        <f>IF(Agent01_Loans!B147="","",Agent01_Loans!I147)</f>
        <v/>
      </c>
      <c r="J135" s="43" t="str">
        <f>IF(Agent01_Loans!B147="","",Agent01_Loans!J147)</f>
        <v/>
      </c>
      <c r="K135" s="40" t="str">
        <f>IF(Agent01_Loans!B147="","",Agent01_Loans!K147)</f>
        <v/>
      </c>
      <c r="L135" s="40" t="str">
        <f>IF(Agent01_Loans!B147="","",Agent01_Loans!L147)</f>
        <v/>
      </c>
      <c r="M135" s="40" t="str">
        <f>IFERROR(IF(Agent01_Loans!B147="","",YEAR(Agent01_Loans!D147)),"")</f>
        <v/>
      </c>
    </row>
    <row r="136" spans="1:13" ht="18" customHeight="1" x14ac:dyDescent="0.25">
      <c r="A136" s="40" t="str">
        <f>IF(Agent01_Loans!B148="","",Agent01_Loans!A148)</f>
        <v/>
      </c>
      <c r="B136" s="40" t="str">
        <f>IF(Agent01_Loans!B148="","",Agent01_Loans!B148)</f>
        <v/>
      </c>
      <c r="C136" s="40" t="str">
        <f>IF(Agent01_Loans!B148="","",Agent01_Loans!C148)</f>
        <v/>
      </c>
      <c r="D136" s="41" t="str">
        <f>IF(Agent01_Loans!B148="","",Agent01_Loans!D148)</f>
        <v/>
      </c>
      <c r="E136" s="43" t="str">
        <f>IF(Agent01_Loans!B148="","",Agent01_Loans!E148)</f>
        <v/>
      </c>
      <c r="F136" s="40" t="str">
        <f>IF(Agent01_Loans!B148="","",Agent01_Loans!F148)</f>
        <v/>
      </c>
      <c r="G136" s="40" t="str">
        <f>IF(Agent01_Loans!B148="","",Agent01_Loans!G148)</f>
        <v/>
      </c>
      <c r="H136" s="40" t="str">
        <f>IF(Agent01_Loans!B148="","",Agent01_Loans!H148)</f>
        <v/>
      </c>
      <c r="I136" s="43" t="str">
        <f>IF(Agent01_Loans!B148="","",Agent01_Loans!I148)</f>
        <v/>
      </c>
      <c r="J136" s="43" t="str">
        <f>IF(Agent01_Loans!B148="","",Agent01_Loans!J148)</f>
        <v/>
      </c>
      <c r="K136" s="40" t="str">
        <f>IF(Agent01_Loans!B148="","",Agent01_Loans!K148)</f>
        <v/>
      </c>
      <c r="L136" s="40" t="str">
        <f>IF(Agent01_Loans!B148="","",Agent01_Loans!L148)</f>
        <v/>
      </c>
      <c r="M136" s="40" t="str">
        <f>IFERROR(IF(Agent01_Loans!B148="","",YEAR(Agent01_Loans!D148)),"")</f>
        <v/>
      </c>
    </row>
    <row r="137" spans="1:13" ht="18" customHeight="1" x14ac:dyDescent="0.25">
      <c r="A137" s="40" t="str">
        <f>IF(Agent01_Loans!B149="","",Agent01_Loans!A149)</f>
        <v/>
      </c>
      <c r="B137" s="40" t="str">
        <f>IF(Agent01_Loans!B149="","",Agent01_Loans!B149)</f>
        <v/>
      </c>
      <c r="C137" s="40" t="str">
        <f>IF(Agent01_Loans!B149="","",Agent01_Loans!C149)</f>
        <v/>
      </c>
      <c r="D137" s="41" t="str">
        <f>IF(Agent01_Loans!B149="","",Agent01_Loans!D149)</f>
        <v/>
      </c>
      <c r="E137" s="43" t="str">
        <f>IF(Agent01_Loans!B149="","",Agent01_Loans!E149)</f>
        <v/>
      </c>
      <c r="F137" s="40" t="str">
        <f>IF(Agent01_Loans!B149="","",Agent01_Loans!F149)</f>
        <v/>
      </c>
      <c r="G137" s="40" t="str">
        <f>IF(Agent01_Loans!B149="","",Agent01_Loans!G149)</f>
        <v/>
      </c>
      <c r="H137" s="40" t="str">
        <f>IF(Agent01_Loans!B149="","",Agent01_Loans!H149)</f>
        <v/>
      </c>
      <c r="I137" s="43" t="str">
        <f>IF(Agent01_Loans!B149="","",Agent01_Loans!I149)</f>
        <v/>
      </c>
      <c r="J137" s="43" t="str">
        <f>IF(Agent01_Loans!B149="","",Agent01_Loans!J149)</f>
        <v/>
      </c>
      <c r="K137" s="40" t="str">
        <f>IF(Agent01_Loans!B149="","",Agent01_Loans!K149)</f>
        <v/>
      </c>
      <c r="L137" s="40" t="str">
        <f>IF(Agent01_Loans!B149="","",Agent01_Loans!L149)</f>
        <v/>
      </c>
      <c r="M137" s="40" t="str">
        <f>IFERROR(IF(Agent01_Loans!B149="","",YEAR(Agent01_Loans!D149)),"")</f>
        <v/>
      </c>
    </row>
    <row r="138" spans="1:13" ht="18" customHeight="1" x14ac:dyDescent="0.25">
      <c r="A138" s="40" t="str">
        <f>IF(Agent01_Loans!B150="","",Agent01_Loans!A150)</f>
        <v/>
      </c>
      <c r="B138" s="40" t="str">
        <f>IF(Agent01_Loans!B150="","",Agent01_Loans!B150)</f>
        <v/>
      </c>
      <c r="C138" s="40" t="str">
        <f>IF(Agent01_Loans!B150="","",Agent01_Loans!C150)</f>
        <v/>
      </c>
      <c r="D138" s="41" t="str">
        <f>IF(Agent01_Loans!B150="","",Agent01_Loans!D150)</f>
        <v/>
      </c>
      <c r="E138" s="43" t="str">
        <f>IF(Agent01_Loans!B150="","",Agent01_Loans!E150)</f>
        <v/>
      </c>
      <c r="F138" s="40" t="str">
        <f>IF(Agent01_Loans!B150="","",Agent01_Loans!F150)</f>
        <v/>
      </c>
      <c r="G138" s="40" t="str">
        <f>IF(Agent01_Loans!B150="","",Agent01_Loans!G150)</f>
        <v/>
      </c>
      <c r="H138" s="40" t="str">
        <f>IF(Agent01_Loans!B150="","",Agent01_Loans!H150)</f>
        <v/>
      </c>
      <c r="I138" s="43" t="str">
        <f>IF(Agent01_Loans!B150="","",Agent01_Loans!I150)</f>
        <v/>
      </c>
      <c r="J138" s="43" t="str">
        <f>IF(Agent01_Loans!B150="","",Agent01_Loans!J150)</f>
        <v/>
      </c>
      <c r="K138" s="40" t="str">
        <f>IF(Agent01_Loans!B150="","",Agent01_Loans!K150)</f>
        <v/>
      </c>
      <c r="L138" s="40" t="str">
        <f>IF(Agent01_Loans!B150="","",Agent01_Loans!L150)</f>
        <v/>
      </c>
      <c r="M138" s="40" t="str">
        <f>IFERROR(IF(Agent01_Loans!B150="","",YEAR(Agent01_Loans!D150)),"")</f>
        <v/>
      </c>
    </row>
    <row r="139" spans="1:13" ht="18" customHeight="1" x14ac:dyDescent="0.25">
      <c r="A139" s="40" t="str">
        <f>IF(Agent01_Loans!B151="","",Agent01_Loans!A151)</f>
        <v/>
      </c>
      <c r="B139" s="40" t="str">
        <f>IF(Agent01_Loans!B151="","",Agent01_Loans!B151)</f>
        <v/>
      </c>
      <c r="C139" s="40" t="str">
        <f>IF(Agent01_Loans!B151="","",Agent01_Loans!C151)</f>
        <v/>
      </c>
      <c r="D139" s="41" t="str">
        <f>IF(Agent01_Loans!B151="","",Agent01_Loans!D151)</f>
        <v/>
      </c>
      <c r="E139" s="43" t="str">
        <f>IF(Agent01_Loans!B151="","",Agent01_Loans!E151)</f>
        <v/>
      </c>
      <c r="F139" s="40" t="str">
        <f>IF(Agent01_Loans!B151="","",Agent01_Loans!F151)</f>
        <v/>
      </c>
      <c r="G139" s="40" t="str">
        <f>IF(Agent01_Loans!B151="","",Agent01_Loans!G151)</f>
        <v/>
      </c>
      <c r="H139" s="40" t="str">
        <f>IF(Agent01_Loans!B151="","",Agent01_Loans!H151)</f>
        <v/>
      </c>
      <c r="I139" s="43" t="str">
        <f>IF(Agent01_Loans!B151="","",Agent01_Loans!I151)</f>
        <v/>
      </c>
      <c r="J139" s="43" t="str">
        <f>IF(Agent01_Loans!B151="","",Agent01_Loans!J151)</f>
        <v/>
      </c>
      <c r="K139" s="40" t="str">
        <f>IF(Agent01_Loans!B151="","",Agent01_Loans!K151)</f>
        <v/>
      </c>
      <c r="L139" s="40" t="str">
        <f>IF(Agent01_Loans!B151="","",Agent01_Loans!L151)</f>
        <v/>
      </c>
      <c r="M139" s="40" t="str">
        <f>IFERROR(IF(Agent01_Loans!B151="","",YEAR(Agent01_Loans!D151)),"")</f>
        <v/>
      </c>
    </row>
    <row r="140" spans="1:13" ht="18" customHeight="1" x14ac:dyDescent="0.25">
      <c r="A140" s="40" t="str">
        <f>IF(Agent01_Loans!B152="","",Agent01_Loans!A152)</f>
        <v/>
      </c>
      <c r="B140" s="40" t="str">
        <f>IF(Agent01_Loans!B152="","",Agent01_Loans!B152)</f>
        <v/>
      </c>
      <c r="C140" s="40" t="str">
        <f>IF(Agent01_Loans!B152="","",Agent01_Loans!C152)</f>
        <v/>
      </c>
      <c r="D140" s="41" t="str">
        <f>IF(Agent01_Loans!B152="","",Agent01_Loans!D152)</f>
        <v/>
      </c>
      <c r="E140" s="43" t="str">
        <f>IF(Agent01_Loans!B152="","",Agent01_Loans!E152)</f>
        <v/>
      </c>
      <c r="F140" s="40" t="str">
        <f>IF(Agent01_Loans!B152="","",Agent01_Loans!F152)</f>
        <v/>
      </c>
      <c r="G140" s="40" t="str">
        <f>IF(Agent01_Loans!B152="","",Agent01_Loans!G152)</f>
        <v/>
      </c>
      <c r="H140" s="40" t="str">
        <f>IF(Agent01_Loans!B152="","",Agent01_Loans!H152)</f>
        <v/>
      </c>
      <c r="I140" s="43" t="str">
        <f>IF(Agent01_Loans!B152="","",Agent01_Loans!I152)</f>
        <v/>
      </c>
      <c r="J140" s="43" t="str">
        <f>IF(Agent01_Loans!B152="","",Agent01_Loans!J152)</f>
        <v/>
      </c>
      <c r="K140" s="40" t="str">
        <f>IF(Agent01_Loans!B152="","",Agent01_Loans!K152)</f>
        <v/>
      </c>
      <c r="L140" s="40" t="str">
        <f>IF(Agent01_Loans!B152="","",Agent01_Loans!L152)</f>
        <v/>
      </c>
      <c r="M140" s="40" t="str">
        <f>IFERROR(IF(Agent01_Loans!B152="","",YEAR(Agent01_Loans!D152)),"")</f>
        <v/>
      </c>
    </row>
    <row r="141" spans="1:13" ht="18" customHeight="1" x14ac:dyDescent="0.25">
      <c r="A141" s="40" t="str">
        <f>IF(Agent01_Loans!B153="","",Agent01_Loans!A153)</f>
        <v/>
      </c>
      <c r="B141" s="40" t="str">
        <f>IF(Agent01_Loans!B153="","",Agent01_Loans!B153)</f>
        <v/>
      </c>
      <c r="C141" s="40" t="str">
        <f>IF(Agent01_Loans!B153="","",Agent01_Loans!C153)</f>
        <v/>
      </c>
      <c r="D141" s="41" t="str">
        <f>IF(Agent01_Loans!B153="","",Agent01_Loans!D153)</f>
        <v/>
      </c>
      <c r="E141" s="43" t="str">
        <f>IF(Agent01_Loans!B153="","",Agent01_Loans!E153)</f>
        <v/>
      </c>
      <c r="F141" s="40" t="str">
        <f>IF(Agent01_Loans!B153="","",Agent01_Loans!F153)</f>
        <v/>
      </c>
      <c r="G141" s="40" t="str">
        <f>IF(Agent01_Loans!B153="","",Agent01_Loans!G153)</f>
        <v/>
      </c>
      <c r="H141" s="40" t="str">
        <f>IF(Agent01_Loans!B153="","",Agent01_Loans!H153)</f>
        <v/>
      </c>
      <c r="I141" s="43" t="str">
        <f>IF(Agent01_Loans!B153="","",Agent01_Loans!I153)</f>
        <v/>
      </c>
      <c r="J141" s="43" t="str">
        <f>IF(Agent01_Loans!B153="","",Agent01_Loans!J153)</f>
        <v/>
      </c>
      <c r="K141" s="40" t="str">
        <f>IF(Agent01_Loans!B153="","",Agent01_Loans!K153)</f>
        <v/>
      </c>
      <c r="L141" s="40" t="str">
        <f>IF(Agent01_Loans!B153="","",Agent01_Loans!L153)</f>
        <v/>
      </c>
      <c r="M141" s="40" t="str">
        <f>IFERROR(IF(Agent01_Loans!B153="","",YEAR(Agent01_Loans!D153)),"")</f>
        <v/>
      </c>
    </row>
    <row r="142" spans="1:13" ht="18" customHeight="1" x14ac:dyDescent="0.25">
      <c r="A142" s="40" t="str">
        <f>IF(Agent01_Loans!B154="","",Agent01_Loans!A154)</f>
        <v/>
      </c>
      <c r="B142" s="40" t="str">
        <f>IF(Agent01_Loans!B154="","",Agent01_Loans!B154)</f>
        <v/>
      </c>
      <c r="C142" s="40" t="str">
        <f>IF(Agent01_Loans!B154="","",Agent01_Loans!C154)</f>
        <v/>
      </c>
      <c r="D142" s="41" t="str">
        <f>IF(Agent01_Loans!B154="","",Agent01_Loans!D154)</f>
        <v/>
      </c>
      <c r="E142" s="43" t="str">
        <f>IF(Agent01_Loans!B154="","",Agent01_Loans!E154)</f>
        <v/>
      </c>
      <c r="F142" s="40" t="str">
        <f>IF(Agent01_Loans!B154="","",Agent01_Loans!F154)</f>
        <v/>
      </c>
      <c r="G142" s="40" t="str">
        <f>IF(Agent01_Loans!B154="","",Agent01_Loans!G154)</f>
        <v/>
      </c>
      <c r="H142" s="40" t="str">
        <f>IF(Agent01_Loans!B154="","",Agent01_Loans!H154)</f>
        <v/>
      </c>
      <c r="I142" s="43" t="str">
        <f>IF(Agent01_Loans!B154="","",Agent01_Loans!I154)</f>
        <v/>
      </c>
      <c r="J142" s="43" t="str">
        <f>IF(Agent01_Loans!B154="","",Agent01_Loans!J154)</f>
        <v/>
      </c>
      <c r="K142" s="40" t="str">
        <f>IF(Agent01_Loans!B154="","",Agent01_Loans!K154)</f>
        <v/>
      </c>
      <c r="L142" s="40" t="str">
        <f>IF(Agent01_Loans!B154="","",Agent01_Loans!L154)</f>
        <v/>
      </c>
      <c r="M142" s="40" t="str">
        <f>IFERROR(IF(Agent01_Loans!B154="","",YEAR(Agent01_Loans!D154)),"")</f>
        <v/>
      </c>
    </row>
    <row r="143" spans="1:13" ht="18" customHeight="1" x14ac:dyDescent="0.25">
      <c r="A143" s="40" t="str">
        <f>IF(Agent01_Loans!B155="","",Agent01_Loans!A155)</f>
        <v/>
      </c>
      <c r="B143" s="40" t="str">
        <f>IF(Agent01_Loans!B155="","",Agent01_Loans!B155)</f>
        <v/>
      </c>
      <c r="C143" s="40" t="str">
        <f>IF(Agent01_Loans!B155="","",Agent01_Loans!C155)</f>
        <v/>
      </c>
      <c r="D143" s="41" t="str">
        <f>IF(Agent01_Loans!B155="","",Agent01_Loans!D155)</f>
        <v/>
      </c>
      <c r="E143" s="43" t="str">
        <f>IF(Agent01_Loans!B155="","",Agent01_Loans!E155)</f>
        <v/>
      </c>
      <c r="F143" s="40" t="str">
        <f>IF(Agent01_Loans!B155="","",Agent01_Loans!F155)</f>
        <v/>
      </c>
      <c r="G143" s="40" t="str">
        <f>IF(Agent01_Loans!B155="","",Agent01_Loans!G155)</f>
        <v/>
      </c>
      <c r="H143" s="40" t="str">
        <f>IF(Agent01_Loans!B155="","",Agent01_Loans!H155)</f>
        <v/>
      </c>
      <c r="I143" s="43" t="str">
        <f>IF(Agent01_Loans!B155="","",Agent01_Loans!I155)</f>
        <v/>
      </c>
      <c r="J143" s="43" t="str">
        <f>IF(Agent01_Loans!B155="","",Agent01_Loans!J155)</f>
        <v/>
      </c>
      <c r="K143" s="40" t="str">
        <f>IF(Agent01_Loans!B155="","",Agent01_Loans!K155)</f>
        <v/>
      </c>
      <c r="L143" s="40" t="str">
        <f>IF(Agent01_Loans!B155="","",Agent01_Loans!L155)</f>
        <v/>
      </c>
      <c r="M143" s="40" t="str">
        <f>IFERROR(IF(Agent01_Loans!B155="","",YEAR(Agent01_Loans!D155)),"")</f>
        <v/>
      </c>
    </row>
    <row r="144" spans="1:13" ht="18" customHeight="1" x14ac:dyDescent="0.25">
      <c r="A144" s="40" t="str">
        <f>IF(Agent01_Loans!B156="","",Agent01_Loans!A156)</f>
        <v/>
      </c>
      <c r="B144" s="40" t="str">
        <f>IF(Agent01_Loans!B156="","",Agent01_Loans!B156)</f>
        <v/>
      </c>
      <c r="C144" s="40" t="str">
        <f>IF(Agent01_Loans!B156="","",Agent01_Loans!C156)</f>
        <v/>
      </c>
      <c r="D144" s="41" t="str">
        <f>IF(Agent01_Loans!B156="","",Agent01_Loans!D156)</f>
        <v/>
      </c>
      <c r="E144" s="43" t="str">
        <f>IF(Agent01_Loans!B156="","",Agent01_Loans!E156)</f>
        <v/>
      </c>
      <c r="F144" s="40" t="str">
        <f>IF(Agent01_Loans!B156="","",Agent01_Loans!F156)</f>
        <v/>
      </c>
      <c r="G144" s="40" t="str">
        <f>IF(Agent01_Loans!B156="","",Agent01_Loans!G156)</f>
        <v/>
      </c>
      <c r="H144" s="40" t="str">
        <f>IF(Agent01_Loans!B156="","",Agent01_Loans!H156)</f>
        <v/>
      </c>
      <c r="I144" s="43" t="str">
        <f>IF(Agent01_Loans!B156="","",Agent01_Loans!I156)</f>
        <v/>
      </c>
      <c r="J144" s="43" t="str">
        <f>IF(Agent01_Loans!B156="","",Agent01_Loans!J156)</f>
        <v/>
      </c>
      <c r="K144" s="40" t="str">
        <f>IF(Agent01_Loans!B156="","",Agent01_Loans!K156)</f>
        <v/>
      </c>
      <c r="L144" s="40" t="str">
        <f>IF(Agent01_Loans!B156="","",Agent01_Loans!L156)</f>
        <v/>
      </c>
      <c r="M144" s="40" t="str">
        <f>IFERROR(IF(Agent01_Loans!B156="","",YEAR(Agent01_Loans!D156)),"")</f>
        <v/>
      </c>
    </row>
    <row r="145" spans="1:13" ht="18" customHeight="1" x14ac:dyDescent="0.25">
      <c r="A145" s="40" t="str">
        <f>IF(Agent01_Loans!B157="","",Agent01_Loans!A157)</f>
        <v/>
      </c>
      <c r="B145" s="40" t="str">
        <f>IF(Agent01_Loans!B157="","",Agent01_Loans!B157)</f>
        <v/>
      </c>
      <c r="C145" s="40" t="str">
        <f>IF(Agent01_Loans!B157="","",Agent01_Loans!C157)</f>
        <v/>
      </c>
      <c r="D145" s="41" t="str">
        <f>IF(Agent01_Loans!B157="","",Agent01_Loans!D157)</f>
        <v/>
      </c>
      <c r="E145" s="43" t="str">
        <f>IF(Agent01_Loans!B157="","",Agent01_Loans!E157)</f>
        <v/>
      </c>
      <c r="F145" s="40" t="str">
        <f>IF(Agent01_Loans!B157="","",Agent01_Loans!F157)</f>
        <v/>
      </c>
      <c r="G145" s="40" t="str">
        <f>IF(Agent01_Loans!B157="","",Agent01_Loans!G157)</f>
        <v/>
      </c>
      <c r="H145" s="40" t="str">
        <f>IF(Agent01_Loans!B157="","",Agent01_Loans!H157)</f>
        <v/>
      </c>
      <c r="I145" s="43" t="str">
        <f>IF(Agent01_Loans!B157="","",Agent01_Loans!I157)</f>
        <v/>
      </c>
      <c r="J145" s="43" t="str">
        <f>IF(Agent01_Loans!B157="","",Agent01_Loans!J157)</f>
        <v/>
      </c>
      <c r="K145" s="40" t="str">
        <f>IF(Agent01_Loans!B157="","",Agent01_Loans!K157)</f>
        <v/>
      </c>
      <c r="L145" s="40" t="str">
        <f>IF(Agent01_Loans!B157="","",Agent01_Loans!L157)</f>
        <v/>
      </c>
      <c r="M145" s="40" t="str">
        <f>IFERROR(IF(Agent01_Loans!B157="","",YEAR(Agent01_Loans!D157)),"")</f>
        <v/>
      </c>
    </row>
    <row r="146" spans="1:13" ht="18" customHeight="1" x14ac:dyDescent="0.25">
      <c r="A146" s="40" t="str">
        <f>IF(Agent01_Loans!B158="","",Agent01_Loans!A158)</f>
        <v/>
      </c>
      <c r="B146" s="40" t="str">
        <f>IF(Agent01_Loans!B158="","",Agent01_Loans!B158)</f>
        <v/>
      </c>
      <c r="C146" s="40" t="str">
        <f>IF(Agent01_Loans!B158="","",Agent01_Loans!C158)</f>
        <v/>
      </c>
      <c r="D146" s="41" t="str">
        <f>IF(Agent01_Loans!B158="","",Agent01_Loans!D158)</f>
        <v/>
      </c>
      <c r="E146" s="43" t="str">
        <f>IF(Agent01_Loans!B158="","",Agent01_Loans!E158)</f>
        <v/>
      </c>
      <c r="F146" s="40" t="str">
        <f>IF(Agent01_Loans!B158="","",Agent01_Loans!F158)</f>
        <v/>
      </c>
      <c r="G146" s="40" t="str">
        <f>IF(Agent01_Loans!B158="","",Agent01_Loans!G158)</f>
        <v/>
      </c>
      <c r="H146" s="40" t="str">
        <f>IF(Agent01_Loans!B158="","",Agent01_Loans!H158)</f>
        <v/>
      </c>
      <c r="I146" s="43" t="str">
        <f>IF(Agent01_Loans!B158="","",Agent01_Loans!I158)</f>
        <v/>
      </c>
      <c r="J146" s="43" t="str">
        <f>IF(Agent01_Loans!B158="","",Agent01_Loans!J158)</f>
        <v/>
      </c>
      <c r="K146" s="40" t="str">
        <f>IF(Agent01_Loans!B158="","",Agent01_Loans!K158)</f>
        <v/>
      </c>
      <c r="L146" s="40" t="str">
        <f>IF(Agent01_Loans!B158="","",Agent01_Loans!L158)</f>
        <v/>
      </c>
      <c r="M146" s="40" t="str">
        <f>IFERROR(IF(Agent01_Loans!B158="","",YEAR(Agent01_Loans!D158)),"")</f>
        <v/>
      </c>
    </row>
    <row r="147" spans="1:13" ht="18" customHeight="1" x14ac:dyDescent="0.25">
      <c r="A147" s="40" t="str">
        <f>IF(Agent01_Loans!B159="","",Agent01_Loans!A159)</f>
        <v/>
      </c>
      <c r="B147" s="40" t="str">
        <f>IF(Agent01_Loans!B159="","",Agent01_Loans!B159)</f>
        <v/>
      </c>
      <c r="C147" s="40" t="str">
        <f>IF(Agent01_Loans!B159="","",Agent01_Loans!C159)</f>
        <v/>
      </c>
      <c r="D147" s="41" t="str">
        <f>IF(Agent01_Loans!B159="","",Agent01_Loans!D159)</f>
        <v/>
      </c>
      <c r="E147" s="43" t="str">
        <f>IF(Agent01_Loans!B159="","",Agent01_Loans!E159)</f>
        <v/>
      </c>
      <c r="F147" s="40" t="str">
        <f>IF(Agent01_Loans!B159="","",Agent01_Loans!F159)</f>
        <v/>
      </c>
      <c r="G147" s="40" t="str">
        <f>IF(Agent01_Loans!B159="","",Agent01_Loans!G159)</f>
        <v/>
      </c>
      <c r="H147" s="40" t="str">
        <f>IF(Agent01_Loans!B159="","",Agent01_Loans!H159)</f>
        <v/>
      </c>
      <c r="I147" s="43" t="str">
        <f>IF(Agent01_Loans!B159="","",Agent01_Loans!I159)</f>
        <v/>
      </c>
      <c r="J147" s="43" t="str">
        <f>IF(Agent01_Loans!B159="","",Agent01_Loans!J159)</f>
        <v/>
      </c>
      <c r="K147" s="40" t="str">
        <f>IF(Agent01_Loans!B159="","",Agent01_Loans!K159)</f>
        <v/>
      </c>
      <c r="L147" s="40" t="str">
        <f>IF(Agent01_Loans!B159="","",Agent01_Loans!L159)</f>
        <v/>
      </c>
      <c r="M147" s="40" t="str">
        <f>IFERROR(IF(Agent01_Loans!B159="","",YEAR(Agent01_Loans!D159)),"")</f>
        <v/>
      </c>
    </row>
    <row r="148" spans="1:13" ht="18" customHeight="1" x14ac:dyDescent="0.25">
      <c r="A148" s="40" t="str">
        <f>IF(Agent01_Loans!B160="","",Agent01_Loans!A160)</f>
        <v/>
      </c>
      <c r="B148" s="40" t="str">
        <f>IF(Agent01_Loans!B160="","",Agent01_Loans!B160)</f>
        <v/>
      </c>
      <c r="C148" s="40" t="str">
        <f>IF(Agent01_Loans!B160="","",Agent01_Loans!C160)</f>
        <v/>
      </c>
      <c r="D148" s="41" t="str">
        <f>IF(Agent01_Loans!B160="","",Agent01_Loans!D160)</f>
        <v/>
      </c>
      <c r="E148" s="43" t="str">
        <f>IF(Agent01_Loans!B160="","",Agent01_Loans!E160)</f>
        <v/>
      </c>
      <c r="F148" s="40" t="str">
        <f>IF(Agent01_Loans!B160="","",Agent01_Loans!F160)</f>
        <v/>
      </c>
      <c r="G148" s="40" t="str">
        <f>IF(Agent01_Loans!B160="","",Agent01_Loans!G160)</f>
        <v/>
      </c>
      <c r="H148" s="40" t="str">
        <f>IF(Agent01_Loans!B160="","",Agent01_Loans!H160)</f>
        <v/>
      </c>
      <c r="I148" s="43" t="str">
        <f>IF(Agent01_Loans!B160="","",Agent01_Loans!I160)</f>
        <v/>
      </c>
      <c r="J148" s="43" t="str">
        <f>IF(Agent01_Loans!B160="","",Agent01_Loans!J160)</f>
        <v/>
      </c>
      <c r="K148" s="40" t="str">
        <f>IF(Agent01_Loans!B160="","",Agent01_Loans!K160)</f>
        <v/>
      </c>
      <c r="L148" s="40" t="str">
        <f>IF(Agent01_Loans!B160="","",Agent01_Loans!L160)</f>
        <v/>
      </c>
      <c r="M148" s="40" t="str">
        <f>IFERROR(IF(Agent01_Loans!B160="","",YEAR(Agent01_Loans!D160)),"")</f>
        <v/>
      </c>
    </row>
    <row r="149" spans="1:13" ht="18" customHeight="1" x14ac:dyDescent="0.25">
      <c r="A149" s="40" t="str">
        <f>IF(Agent01_Loans!B161="","",Agent01_Loans!A161)</f>
        <v/>
      </c>
      <c r="B149" s="40" t="str">
        <f>IF(Agent01_Loans!B161="","",Agent01_Loans!B161)</f>
        <v/>
      </c>
      <c r="C149" s="40" t="str">
        <f>IF(Agent01_Loans!B161="","",Agent01_Loans!C161)</f>
        <v/>
      </c>
      <c r="D149" s="41" t="str">
        <f>IF(Agent01_Loans!B161="","",Agent01_Loans!D161)</f>
        <v/>
      </c>
      <c r="E149" s="43" t="str">
        <f>IF(Agent01_Loans!B161="","",Agent01_Loans!E161)</f>
        <v/>
      </c>
      <c r="F149" s="40" t="str">
        <f>IF(Agent01_Loans!B161="","",Agent01_Loans!F161)</f>
        <v/>
      </c>
      <c r="G149" s="40" t="str">
        <f>IF(Agent01_Loans!B161="","",Agent01_Loans!G161)</f>
        <v/>
      </c>
      <c r="H149" s="40" t="str">
        <f>IF(Agent01_Loans!B161="","",Agent01_Loans!H161)</f>
        <v/>
      </c>
      <c r="I149" s="43" t="str">
        <f>IF(Agent01_Loans!B161="","",Agent01_Loans!I161)</f>
        <v/>
      </c>
      <c r="J149" s="43" t="str">
        <f>IF(Agent01_Loans!B161="","",Agent01_Loans!J161)</f>
        <v/>
      </c>
      <c r="K149" s="40" t="str">
        <f>IF(Agent01_Loans!B161="","",Agent01_Loans!K161)</f>
        <v/>
      </c>
      <c r="L149" s="40" t="str">
        <f>IF(Agent01_Loans!B161="","",Agent01_Loans!L161)</f>
        <v/>
      </c>
      <c r="M149" s="40" t="str">
        <f>IFERROR(IF(Agent01_Loans!B161="","",YEAR(Agent01_Loans!D161)),"")</f>
        <v/>
      </c>
    </row>
    <row r="150" spans="1:13" ht="18" customHeight="1" x14ac:dyDescent="0.25">
      <c r="A150" s="40" t="str">
        <f>IF(Agent01_Loans!B162="","",Agent01_Loans!A162)</f>
        <v/>
      </c>
      <c r="B150" s="40" t="str">
        <f>IF(Agent01_Loans!B162="","",Agent01_Loans!B162)</f>
        <v/>
      </c>
      <c r="C150" s="40" t="str">
        <f>IF(Agent01_Loans!B162="","",Agent01_Loans!C162)</f>
        <v/>
      </c>
      <c r="D150" s="41" t="str">
        <f>IF(Agent01_Loans!B162="","",Agent01_Loans!D162)</f>
        <v/>
      </c>
      <c r="E150" s="43" t="str">
        <f>IF(Agent01_Loans!B162="","",Agent01_Loans!E162)</f>
        <v/>
      </c>
      <c r="F150" s="40" t="str">
        <f>IF(Agent01_Loans!B162="","",Agent01_Loans!F162)</f>
        <v/>
      </c>
      <c r="G150" s="40" t="str">
        <f>IF(Agent01_Loans!B162="","",Agent01_Loans!G162)</f>
        <v/>
      </c>
      <c r="H150" s="40" t="str">
        <f>IF(Agent01_Loans!B162="","",Agent01_Loans!H162)</f>
        <v/>
      </c>
      <c r="I150" s="43" t="str">
        <f>IF(Agent01_Loans!B162="","",Agent01_Loans!I162)</f>
        <v/>
      </c>
      <c r="J150" s="43" t="str">
        <f>IF(Agent01_Loans!B162="","",Agent01_Loans!J162)</f>
        <v/>
      </c>
      <c r="K150" s="40" t="str">
        <f>IF(Agent01_Loans!B162="","",Agent01_Loans!K162)</f>
        <v/>
      </c>
      <c r="L150" s="40" t="str">
        <f>IF(Agent01_Loans!B162="","",Agent01_Loans!L162)</f>
        <v/>
      </c>
      <c r="M150" s="40" t="str">
        <f>IFERROR(IF(Agent01_Loans!B162="","",YEAR(Agent01_Loans!D162)),"")</f>
        <v/>
      </c>
    </row>
    <row r="151" spans="1:13" ht="18" customHeight="1" x14ac:dyDescent="0.25">
      <c r="A151" s="40" t="str">
        <f>IF(Agent01_Loans!B163="","",Agent01_Loans!A163)</f>
        <v/>
      </c>
      <c r="B151" s="40" t="str">
        <f>IF(Agent01_Loans!B163="","",Agent01_Loans!B163)</f>
        <v/>
      </c>
      <c r="C151" s="40" t="str">
        <f>IF(Agent01_Loans!B163="","",Agent01_Loans!C163)</f>
        <v/>
      </c>
      <c r="D151" s="41" t="str">
        <f>IF(Agent01_Loans!B163="","",Agent01_Loans!D163)</f>
        <v/>
      </c>
      <c r="E151" s="43" t="str">
        <f>IF(Agent01_Loans!B163="","",Agent01_Loans!E163)</f>
        <v/>
      </c>
      <c r="F151" s="40" t="str">
        <f>IF(Agent01_Loans!B163="","",Agent01_Loans!F163)</f>
        <v/>
      </c>
      <c r="G151" s="40" t="str">
        <f>IF(Agent01_Loans!B163="","",Agent01_Loans!G163)</f>
        <v/>
      </c>
      <c r="H151" s="40" t="str">
        <f>IF(Agent01_Loans!B163="","",Agent01_Loans!H163)</f>
        <v/>
      </c>
      <c r="I151" s="43" t="str">
        <f>IF(Agent01_Loans!B163="","",Agent01_Loans!I163)</f>
        <v/>
      </c>
      <c r="J151" s="43" t="str">
        <f>IF(Agent01_Loans!B163="","",Agent01_Loans!J163)</f>
        <v/>
      </c>
      <c r="K151" s="40" t="str">
        <f>IF(Agent01_Loans!B163="","",Agent01_Loans!K163)</f>
        <v/>
      </c>
      <c r="L151" s="40" t="str">
        <f>IF(Agent01_Loans!B163="","",Agent01_Loans!L163)</f>
        <v/>
      </c>
      <c r="M151" s="40" t="str">
        <f>IFERROR(IF(Agent01_Loans!B163="","",YEAR(Agent01_Loans!D163)),"")</f>
        <v/>
      </c>
    </row>
    <row r="152" spans="1:13" ht="18" customHeight="1" x14ac:dyDescent="0.25">
      <c r="A152" s="40" t="str">
        <f>IF(Agent01_Loans!B164="","",Agent01_Loans!A164)</f>
        <v/>
      </c>
      <c r="B152" s="40" t="str">
        <f>IF(Agent01_Loans!B164="","",Agent01_Loans!B164)</f>
        <v/>
      </c>
      <c r="C152" s="40" t="str">
        <f>IF(Agent01_Loans!B164="","",Agent01_Loans!C164)</f>
        <v/>
      </c>
      <c r="D152" s="41" t="str">
        <f>IF(Agent01_Loans!B164="","",Agent01_Loans!D164)</f>
        <v/>
      </c>
      <c r="E152" s="43" t="str">
        <f>IF(Agent01_Loans!B164="","",Agent01_Loans!E164)</f>
        <v/>
      </c>
      <c r="F152" s="40" t="str">
        <f>IF(Agent01_Loans!B164="","",Agent01_Loans!F164)</f>
        <v/>
      </c>
      <c r="G152" s="40" t="str">
        <f>IF(Agent01_Loans!B164="","",Agent01_Loans!G164)</f>
        <v/>
      </c>
      <c r="H152" s="40" t="str">
        <f>IF(Agent01_Loans!B164="","",Agent01_Loans!H164)</f>
        <v/>
      </c>
      <c r="I152" s="43" t="str">
        <f>IF(Agent01_Loans!B164="","",Agent01_Loans!I164)</f>
        <v/>
      </c>
      <c r="J152" s="43" t="str">
        <f>IF(Agent01_Loans!B164="","",Agent01_Loans!J164)</f>
        <v/>
      </c>
      <c r="K152" s="40" t="str">
        <f>IF(Agent01_Loans!B164="","",Agent01_Loans!K164)</f>
        <v/>
      </c>
      <c r="L152" s="40" t="str">
        <f>IF(Agent01_Loans!B164="","",Agent01_Loans!L164)</f>
        <v/>
      </c>
      <c r="M152" s="40" t="str">
        <f>IFERROR(IF(Agent01_Loans!B164="","",YEAR(Agent01_Loans!D164)),"")</f>
        <v/>
      </c>
    </row>
    <row r="153" spans="1:13" ht="18" customHeight="1" x14ac:dyDescent="0.25">
      <c r="A153" s="40" t="str">
        <f>IF(Agent01_Loans!B165="","",Agent01_Loans!A165)</f>
        <v/>
      </c>
      <c r="B153" s="40" t="str">
        <f>IF(Agent01_Loans!B165="","",Agent01_Loans!B165)</f>
        <v/>
      </c>
      <c r="C153" s="40" t="str">
        <f>IF(Agent01_Loans!B165="","",Agent01_Loans!C165)</f>
        <v/>
      </c>
      <c r="D153" s="41" t="str">
        <f>IF(Agent01_Loans!B165="","",Agent01_Loans!D165)</f>
        <v/>
      </c>
      <c r="E153" s="43" t="str">
        <f>IF(Agent01_Loans!B165="","",Agent01_Loans!E165)</f>
        <v/>
      </c>
      <c r="F153" s="40" t="str">
        <f>IF(Agent01_Loans!B165="","",Agent01_Loans!F165)</f>
        <v/>
      </c>
      <c r="G153" s="40" t="str">
        <f>IF(Agent01_Loans!B165="","",Agent01_Loans!G165)</f>
        <v/>
      </c>
      <c r="H153" s="40" t="str">
        <f>IF(Agent01_Loans!B165="","",Agent01_Loans!H165)</f>
        <v/>
      </c>
      <c r="I153" s="43" t="str">
        <f>IF(Agent01_Loans!B165="","",Agent01_Loans!I165)</f>
        <v/>
      </c>
      <c r="J153" s="43" t="str">
        <f>IF(Agent01_Loans!B165="","",Agent01_Loans!J165)</f>
        <v/>
      </c>
      <c r="K153" s="40" t="str">
        <f>IF(Agent01_Loans!B165="","",Agent01_Loans!K165)</f>
        <v/>
      </c>
      <c r="L153" s="40" t="str">
        <f>IF(Agent01_Loans!B165="","",Agent01_Loans!L165)</f>
        <v/>
      </c>
      <c r="M153" s="40" t="str">
        <f>IFERROR(IF(Agent01_Loans!B165="","",YEAR(Agent01_Loans!D165)),"")</f>
        <v/>
      </c>
    </row>
    <row r="154" spans="1:13" ht="18" customHeight="1" x14ac:dyDescent="0.25">
      <c r="A154" s="40" t="str">
        <f>IF(Agent01_Loans!B166="","",Agent01_Loans!A166)</f>
        <v/>
      </c>
      <c r="B154" s="40" t="str">
        <f>IF(Agent01_Loans!B166="","",Agent01_Loans!B166)</f>
        <v/>
      </c>
      <c r="C154" s="40" t="str">
        <f>IF(Agent01_Loans!B166="","",Agent01_Loans!C166)</f>
        <v/>
      </c>
      <c r="D154" s="41" t="str">
        <f>IF(Agent01_Loans!B166="","",Agent01_Loans!D166)</f>
        <v/>
      </c>
      <c r="E154" s="43" t="str">
        <f>IF(Agent01_Loans!B166="","",Agent01_Loans!E166)</f>
        <v/>
      </c>
      <c r="F154" s="40" t="str">
        <f>IF(Agent01_Loans!B166="","",Agent01_Loans!F166)</f>
        <v/>
      </c>
      <c r="G154" s="40" t="str">
        <f>IF(Agent01_Loans!B166="","",Agent01_Loans!G166)</f>
        <v/>
      </c>
      <c r="H154" s="40" t="str">
        <f>IF(Agent01_Loans!B166="","",Agent01_Loans!H166)</f>
        <v/>
      </c>
      <c r="I154" s="43" t="str">
        <f>IF(Agent01_Loans!B166="","",Agent01_Loans!I166)</f>
        <v/>
      </c>
      <c r="J154" s="43" t="str">
        <f>IF(Agent01_Loans!B166="","",Agent01_Loans!J166)</f>
        <v/>
      </c>
      <c r="K154" s="40" t="str">
        <f>IF(Agent01_Loans!B166="","",Agent01_Loans!K166)</f>
        <v/>
      </c>
      <c r="L154" s="40" t="str">
        <f>IF(Agent01_Loans!B166="","",Agent01_Loans!L166)</f>
        <v/>
      </c>
      <c r="M154" s="40" t="str">
        <f>IFERROR(IF(Agent01_Loans!B166="","",YEAR(Agent01_Loans!D166)),"")</f>
        <v/>
      </c>
    </row>
    <row r="155" spans="1:13" ht="18" customHeight="1" x14ac:dyDescent="0.25">
      <c r="A155" s="40" t="str">
        <f>IF(Agent01_Loans!B167="","",Agent01_Loans!A167)</f>
        <v/>
      </c>
      <c r="B155" s="40" t="str">
        <f>IF(Agent01_Loans!B167="","",Agent01_Loans!B167)</f>
        <v/>
      </c>
      <c r="C155" s="40" t="str">
        <f>IF(Agent01_Loans!B167="","",Agent01_Loans!C167)</f>
        <v/>
      </c>
      <c r="D155" s="41" t="str">
        <f>IF(Agent01_Loans!B167="","",Agent01_Loans!D167)</f>
        <v/>
      </c>
      <c r="E155" s="43" t="str">
        <f>IF(Agent01_Loans!B167="","",Agent01_Loans!E167)</f>
        <v/>
      </c>
      <c r="F155" s="40" t="str">
        <f>IF(Agent01_Loans!B167="","",Agent01_Loans!F167)</f>
        <v/>
      </c>
      <c r="G155" s="40" t="str">
        <f>IF(Agent01_Loans!B167="","",Agent01_Loans!G167)</f>
        <v/>
      </c>
      <c r="H155" s="40" t="str">
        <f>IF(Agent01_Loans!B167="","",Agent01_Loans!H167)</f>
        <v/>
      </c>
      <c r="I155" s="43" t="str">
        <f>IF(Agent01_Loans!B167="","",Agent01_Loans!I167)</f>
        <v/>
      </c>
      <c r="J155" s="43" t="str">
        <f>IF(Agent01_Loans!B167="","",Agent01_Loans!J167)</f>
        <v/>
      </c>
      <c r="K155" s="40" t="str">
        <f>IF(Agent01_Loans!B167="","",Agent01_Loans!K167)</f>
        <v/>
      </c>
      <c r="L155" s="40" t="str">
        <f>IF(Agent01_Loans!B167="","",Agent01_Loans!L167)</f>
        <v/>
      </c>
      <c r="M155" s="40" t="str">
        <f>IFERROR(IF(Agent01_Loans!B167="","",YEAR(Agent01_Loans!D167)),"")</f>
        <v/>
      </c>
    </row>
    <row r="156" spans="1:13" ht="18" customHeight="1" x14ac:dyDescent="0.25">
      <c r="A156" s="40" t="str">
        <f>IF(Agent01_Loans!B168="","",Agent01_Loans!A168)</f>
        <v/>
      </c>
      <c r="B156" s="40" t="str">
        <f>IF(Agent01_Loans!B168="","",Agent01_Loans!B168)</f>
        <v/>
      </c>
      <c r="C156" s="40" t="str">
        <f>IF(Agent01_Loans!B168="","",Agent01_Loans!C168)</f>
        <v/>
      </c>
      <c r="D156" s="41" t="str">
        <f>IF(Agent01_Loans!B168="","",Agent01_Loans!D168)</f>
        <v/>
      </c>
      <c r="E156" s="43" t="str">
        <f>IF(Agent01_Loans!B168="","",Agent01_Loans!E168)</f>
        <v/>
      </c>
      <c r="F156" s="40" t="str">
        <f>IF(Agent01_Loans!B168="","",Agent01_Loans!F168)</f>
        <v/>
      </c>
      <c r="G156" s="40" t="str">
        <f>IF(Agent01_Loans!B168="","",Agent01_Loans!G168)</f>
        <v/>
      </c>
      <c r="H156" s="40" t="str">
        <f>IF(Agent01_Loans!B168="","",Agent01_Loans!H168)</f>
        <v/>
      </c>
      <c r="I156" s="43" t="str">
        <f>IF(Agent01_Loans!B168="","",Agent01_Loans!I168)</f>
        <v/>
      </c>
      <c r="J156" s="43" t="str">
        <f>IF(Agent01_Loans!B168="","",Agent01_Loans!J168)</f>
        <v/>
      </c>
      <c r="K156" s="40" t="str">
        <f>IF(Agent01_Loans!B168="","",Agent01_Loans!K168)</f>
        <v/>
      </c>
      <c r="L156" s="40" t="str">
        <f>IF(Agent01_Loans!B168="","",Agent01_Loans!L168)</f>
        <v/>
      </c>
      <c r="M156" s="40" t="str">
        <f>IFERROR(IF(Agent01_Loans!B168="","",YEAR(Agent01_Loans!D168)),"")</f>
        <v/>
      </c>
    </row>
    <row r="157" spans="1:13" ht="18" customHeight="1" x14ac:dyDescent="0.25">
      <c r="A157" s="40" t="str">
        <f>IF(Agent01_Loans!B169="","",Agent01_Loans!A169)</f>
        <v/>
      </c>
      <c r="B157" s="40" t="str">
        <f>IF(Agent01_Loans!B169="","",Agent01_Loans!B169)</f>
        <v/>
      </c>
      <c r="C157" s="40" t="str">
        <f>IF(Agent01_Loans!B169="","",Agent01_Loans!C169)</f>
        <v/>
      </c>
      <c r="D157" s="41" t="str">
        <f>IF(Agent01_Loans!B169="","",Agent01_Loans!D169)</f>
        <v/>
      </c>
      <c r="E157" s="43" t="str">
        <f>IF(Agent01_Loans!B169="","",Agent01_Loans!E169)</f>
        <v/>
      </c>
      <c r="F157" s="40" t="str">
        <f>IF(Agent01_Loans!B169="","",Agent01_Loans!F169)</f>
        <v/>
      </c>
      <c r="G157" s="40" t="str">
        <f>IF(Agent01_Loans!B169="","",Agent01_Loans!G169)</f>
        <v/>
      </c>
      <c r="H157" s="40" t="str">
        <f>IF(Agent01_Loans!B169="","",Agent01_Loans!H169)</f>
        <v/>
      </c>
      <c r="I157" s="43" t="str">
        <f>IF(Agent01_Loans!B169="","",Agent01_Loans!I169)</f>
        <v/>
      </c>
      <c r="J157" s="43" t="str">
        <f>IF(Agent01_Loans!B169="","",Agent01_Loans!J169)</f>
        <v/>
      </c>
      <c r="K157" s="40" t="str">
        <f>IF(Agent01_Loans!B169="","",Agent01_Loans!K169)</f>
        <v/>
      </c>
      <c r="L157" s="40" t="str">
        <f>IF(Agent01_Loans!B169="","",Agent01_Loans!L169)</f>
        <v/>
      </c>
      <c r="M157" s="40" t="str">
        <f>IFERROR(IF(Agent01_Loans!B169="","",YEAR(Agent01_Loans!D169)),"")</f>
        <v/>
      </c>
    </row>
    <row r="158" spans="1:13" ht="18" customHeight="1" x14ac:dyDescent="0.25">
      <c r="A158" s="40" t="str">
        <f>IF(Agent01_Loans!B170="","",Agent01_Loans!A170)</f>
        <v/>
      </c>
      <c r="B158" s="40" t="str">
        <f>IF(Agent01_Loans!B170="","",Agent01_Loans!B170)</f>
        <v/>
      </c>
      <c r="C158" s="40" t="str">
        <f>IF(Agent01_Loans!B170="","",Agent01_Loans!C170)</f>
        <v/>
      </c>
      <c r="D158" s="41" t="str">
        <f>IF(Agent01_Loans!B170="","",Agent01_Loans!D170)</f>
        <v/>
      </c>
      <c r="E158" s="43" t="str">
        <f>IF(Agent01_Loans!B170="","",Agent01_Loans!E170)</f>
        <v/>
      </c>
      <c r="F158" s="40" t="str">
        <f>IF(Agent01_Loans!B170="","",Agent01_Loans!F170)</f>
        <v/>
      </c>
      <c r="G158" s="40" t="str">
        <f>IF(Agent01_Loans!B170="","",Agent01_Loans!G170)</f>
        <v/>
      </c>
      <c r="H158" s="40" t="str">
        <f>IF(Agent01_Loans!B170="","",Agent01_Loans!H170)</f>
        <v/>
      </c>
      <c r="I158" s="43" t="str">
        <f>IF(Agent01_Loans!B170="","",Agent01_Loans!I170)</f>
        <v/>
      </c>
      <c r="J158" s="43" t="str">
        <f>IF(Agent01_Loans!B170="","",Agent01_Loans!J170)</f>
        <v/>
      </c>
      <c r="K158" s="40" t="str">
        <f>IF(Agent01_Loans!B170="","",Agent01_Loans!K170)</f>
        <v/>
      </c>
      <c r="L158" s="40" t="str">
        <f>IF(Agent01_Loans!B170="","",Agent01_Loans!L170)</f>
        <v/>
      </c>
      <c r="M158" s="40" t="str">
        <f>IFERROR(IF(Agent01_Loans!B170="","",YEAR(Agent01_Loans!D170)),"")</f>
        <v/>
      </c>
    </row>
    <row r="159" spans="1:13" ht="18" customHeight="1" x14ac:dyDescent="0.25">
      <c r="A159" s="40" t="str">
        <f>IF(Agent01_Loans!B171="","",Agent01_Loans!A171)</f>
        <v/>
      </c>
      <c r="B159" s="40" t="str">
        <f>IF(Agent01_Loans!B171="","",Agent01_Loans!B171)</f>
        <v/>
      </c>
      <c r="C159" s="40" t="str">
        <f>IF(Agent01_Loans!B171="","",Agent01_Loans!C171)</f>
        <v/>
      </c>
      <c r="D159" s="41" t="str">
        <f>IF(Agent01_Loans!B171="","",Agent01_Loans!D171)</f>
        <v/>
      </c>
      <c r="E159" s="43" t="str">
        <f>IF(Agent01_Loans!B171="","",Agent01_Loans!E171)</f>
        <v/>
      </c>
      <c r="F159" s="40" t="str">
        <f>IF(Agent01_Loans!B171="","",Agent01_Loans!F171)</f>
        <v/>
      </c>
      <c r="G159" s="40" t="str">
        <f>IF(Agent01_Loans!B171="","",Agent01_Loans!G171)</f>
        <v/>
      </c>
      <c r="H159" s="40" t="str">
        <f>IF(Agent01_Loans!B171="","",Agent01_Loans!H171)</f>
        <v/>
      </c>
      <c r="I159" s="43" t="str">
        <f>IF(Agent01_Loans!B171="","",Agent01_Loans!I171)</f>
        <v/>
      </c>
      <c r="J159" s="43" t="str">
        <f>IF(Agent01_Loans!B171="","",Agent01_Loans!J171)</f>
        <v/>
      </c>
      <c r="K159" s="40" t="str">
        <f>IF(Agent01_Loans!B171="","",Agent01_Loans!K171)</f>
        <v/>
      </c>
      <c r="L159" s="40" t="str">
        <f>IF(Agent01_Loans!B171="","",Agent01_Loans!L171)</f>
        <v/>
      </c>
      <c r="M159" s="40" t="str">
        <f>IFERROR(IF(Agent01_Loans!B171="","",YEAR(Agent01_Loans!D171)),"")</f>
        <v/>
      </c>
    </row>
    <row r="160" spans="1:13" ht="18" customHeight="1" x14ac:dyDescent="0.25">
      <c r="A160" s="40" t="str">
        <f>IF(Agent01_Loans!B172="","",Agent01_Loans!A172)</f>
        <v/>
      </c>
      <c r="B160" s="40" t="str">
        <f>IF(Agent01_Loans!B172="","",Agent01_Loans!B172)</f>
        <v/>
      </c>
      <c r="C160" s="40" t="str">
        <f>IF(Agent01_Loans!B172="","",Agent01_Loans!C172)</f>
        <v/>
      </c>
      <c r="D160" s="41" t="str">
        <f>IF(Agent01_Loans!B172="","",Agent01_Loans!D172)</f>
        <v/>
      </c>
      <c r="E160" s="43" t="str">
        <f>IF(Agent01_Loans!B172="","",Agent01_Loans!E172)</f>
        <v/>
      </c>
      <c r="F160" s="40" t="str">
        <f>IF(Agent01_Loans!B172="","",Agent01_Loans!F172)</f>
        <v/>
      </c>
      <c r="G160" s="40" t="str">
        <f>IF(Agent01_Loans!B172="","",Agent01_Loans!G172)</f>
        <v/>
      </c>
      <c r="H160" s="40" t="str">
        <f>IF(Agent01_Loans!B172="","",Agent01_Loans!H172)</f>
        <v/>
      </c>
      <c r="I160" s="43" t="str">
        <f>IF(Agent01_Loans!B172="","",Agent01_Loans!I172)</f>
        <v/>
      </c>
      <c r="J160" s="43" t="str">
        <f>IF(Agent01_Loans!B172="","",Agent01_Loans!J172)</f>
        <v/>
      </c>
      <c r="K160" s="40" t="str">
        <f>IF(Agent01_Loans!B172="","",Agent01_Loans!K172)</f>
        <v/>
      </c>
      <c r="L160" s="40" t="str">
        <f>IF(Agent01_Loans!B172="","",Agent01_Loans!L172)</f>
        <v/>
      </c>
      <c r="M160" s="40" t="str">
        <f>IFERROR(IF(Agent01_Loans!B172="","",YEAR(Agent01_Loans!D172)),"")</f>
        <v/>
      </c>
    </row>
    <row r="161" spans="1:13" ht="18" customHeight="1" x14ac:dyDescent="0.25">
      <c r="A161" s="40" t="str">
        <f>IF(Agent01_Loans!B173="","",Agent01_Loans!A173)</f>
        <v/>
      </c>
      <c r="B161" s="40" t="str">
        <f>IF(Agent01_Loans!B173="","",Agent01_Loans!B173)</f>
        <v/>
      </c>
      <c r="C161" s="40" t="str">
        <f>IF(Agent01_Loans!B173="","",Agent01_Loans!C173)</f>
        <v/>
      </c>
      <c r="D161" s="41" t="str">
        <f>IF(Agent01_Loans!B173="","",Agent01_Loans!D173)</f>
        <v/>
      </c>
      <c r="E161" s="43" t="str">
        <f>IF(Agent01_Loans!B173="","",Agent01_Loans!E173)</f>
        <v/>
      </c>
      <c r="F161" s="40" t="str">
        <f>IF(Agent01_Loans!B173="","",Agent01_Loans!F173)</f>
        <v/>
      </c>
      <c r="G161" s="40" t="str">
        <f>IF(Agent01_Loans!B173="","",Agent01_Loans!G173)</f>
        <v/>
      </c>
      <c r="H161" s="40" t="str">
        <f>IF(Agent01_Loans!B173="","",Agent01_Loans!H173)</f>
        <v/>
      </c>
      <c r="I161" s="43" t="str">
        <f>IF(Agent01_Loans!B173="","",Agent01_Loans!I173)</f>
        <v/>
      </c>
      <c r="J161" s="43" t="str">
        <f>IF(Agent01_Loans!B173="","",Agent01_Loans!J173)</f>
        <v/>
      </c>
      <c r="K161" s="40" t="str">
        <f>IF(Agent01_Loans!B173="","",Agent01_Loans!K173)</f>
        <v/>
      </c>
      <c r="L161" s="40" t="str">
        <f>IF(Agent01_Loans!B173="","",Agent01_Loans!L173)</f>
        <v/>
      </c>
      <c r="M161" s="40" t="str">
        <f>IFERROR(IF(Agent01_Loans!B173="","",YEAR(Agent01_Loans!D173)),"")</f>
        <v/>
      </c>
    </row>
    <row r="162" spans="1:13" ht="18" customHeight="1" x14ac:dyDescent="0.25">
      <c r="A162" s="40" t="str">
        <f>IF(Agent01_Loans!B174="","",Agent01_Loans!A174)</f>
        <v/>
      </c>
      <c r="B162" s="40" t="str">
        <f>IF(Agent01_Loans!B174="","",Agent01_Loans!B174)</f>
        <v/>
      </c>
      <c r="C162" s="40" t="str">
        <f>IF(Agent01_Loans!B174="","",Agent01_Loans!C174)</f>
        <v/>
      </c>
      <c r="D162" s="41" t="str">
        <f>IF(Agent01_Loans!B174="","",Agent01_Loans!D174)</f>
        <v/>
      </c>
      <c r="E162" s="43" t="str">
        <f>IF(Agent01_Loans!B174="","",Agent01_Loans!E174)</f>
        <v/>
      </c>
      <c r="F162" s="40" t="str">
        <f>IF(Agent01_Loans!B174="","",Agent01_Loans!F174)</f>
        <v/>
      </c>
      <c r="G162" s="40" t="str">
        <f>IF(Agent01_Loans!B174="","",Agent01_Loans!G174)</f>
        <v/>
      </c>
      <c r="H162" s="40" t="str">
        <f>IF(Agent01_Loans!B174="","",Agent01_Loans!H174)</f>
        <v/>
      </c>
      <c r="I162" s="43" t="str">
        <f>IF(Agent01_Loans!B174="","",Agent01_Loans!I174)</f>
        <v/>
      </c>
      <c r="J162" s="43" t="str">
        <f>IF(Agent01_Loans!B174="","",Agent01_Loans!J174)</f>
        <v/>
      </c>
      <c r="K162" s="40" t="str">
        <f>IF(Agent01_Loans!B174="","",Agent01_Loans!K174)</f>
        <v/>
      </c>
      <c r="L162" s="40" t="str">
        <f>IF(Agent01_Loans!B174="","",Agent01_Loans!L174)</f>
        <v/>
      </c>
      <c r="M162" s="40" t="str">
        <f>IFERROR(IF(Agent01_Loans!B174="","",YEAR(Agent01_Loans!D174)),"")</f>
        <v/>
      </c>
    </row>
    <row r="163" spans="1:13" ht="18" customHeight="1" x14ac:dyDescent="0.25">
      <c r="A163" s="40" t="str">
        <f>IF(Agent01_Loans!B175="","",Agent01_Loans!A175)</f>
        <v/>
      </c>
      <c r="B163" s="40" t="str">
        <f>IF(Agent01_Loans!B175="","",Agent01_Loans!B175)</f>
        <v/>
      </c>
      <c r="C163" s="40" t="str">
        <f>IF(Agent01_Loans!B175="","",Agent01_Loans!C175)</f>
        <v/>
      </c>
      <c r="D163" s="41" t="str">
        <f>IF(Agent01_Loans!B175="","",Agent01_Loans!D175)</f>
        <v/>
      </c>
      <c r="E163" s="43" t="str">
        <f>IF(Agent01_Loans!B175="","",Agent01_Loans!E175)</f>
        <v/>
      </c>
      <c r="F163" s="40" t="str">
        <f>IF(Agent01_Loans!B175="","",Agent01_Loans!F175)</f>
        <v/>
      </c>
      <c r="G163" s="40" t="str">
        <f>IF(Agent01_Loans!B175="","",Agent01_Loans!G175)</f>
        <v/>
      </c>
      <c r="H163" s="40" t="str">
        <f>IF(Agent01_Loans!B175="","",Agent01_Loans!H175)</f>
        <v/>
      </c>
      <c r="I163" s="43" t="str">
        <f>IF(Agent01_Loans!B175="","",Agent01_Loans!I175)</f>
        <v/>
      </c>
      <c r="J163" s="43" t="str">
        <f>IF(Agent01_Loans!B175="","",Agent01_Loans!J175)</f>
        <v/>
      </c>
      <c r="K163" s="40" t="str">
        <f>IF(Agent01_Loans!B175="","",Agent01_Loans!K175)</f>
        <v/>
      </c>
      <c r="L163" s="40" t="str">
        <f>IF(Agent01_Loans!B175="","",Agent01_Loans!L175)</f>
        <v/>
      </c>
      <c r="M163" s="40" t="str">
        <f>IFERROR(IF(Agent01_Loans!B175="","",YEAR(Agent01_Loans!D175)),"")</f>
        <v/>
      </c>
    </row>
    <row r="164" spans="1:13" ht="18" customHeight="1" x14ac:dyDescent="0.25">
      <c r="A164" s="40" t="str">
        <f>IF(Agent01_Loans!B176="","",Agent01_Loans!A176)</f>
        <v/>
      </c>
      <c r="B164" s="40" t="str">
        <f>IF(Agent01_Loans!B176="","",Agent01_Loans!B176)</f>
        <v/>
      </c>
      <c r="C164" s="40" t="str">
        <f>IF(Agent01_Loans!B176="","",Agent01_Loans!C176)</f>
        <v/>
      </c>
      <c r="D164" s="41" t="str">
        <f>IF(Agent01_Loans!B176="","",Agent01_Loans!D176)</f>
        <v/>
      </c>
      <c r="E164" s="43" t="str">
        <f>IF(Agent01_Loans!B176="","",Agent01_Loans!E176)</f>
        <v/>
      </c>
      <c r="F164" s="40" t="str">
        <f>IF(Agent01_Loans!B176="","",Agent01_Loans!F176)</f>
        <v/>
      </c>
      <c r="G164" s="40" t="str">
        <f>IF(Agent01_Loans!B176="","",Agent01_Loans!G176)</f>
        <v/>
      </c>
      <c r="H164" s="40" t="str">
        <f>IF(Agent01_Loans!B176="","",Agent01_Loans!H176)</f>
        <v/>
      </c>
      <c r="I164" s="43" t="str">
        <f>IF(Agent01_Loans!B176="","",Agent01_Loans!I176)</f>
        <v/>
      </c>
      <c r="J164" s="43" t="str">
        <f>IF(Agent01_Loans!B176="","",Agent01_Loans!J176)</f>
        <v/>
      </c>
      <c r="K164" s="40" t="str">
        <f>IF(Agent01_Loans!B176="","",Agent01_Loans!K176)</f>
        <v/>
      </c>
      <c r="L164" s="40" t="str">
        <f>IF(Agent01_Loans!B176="","",Agent01_Loans!L176)</f>
        <v/>
      </c>
      <c r="M164" s="40" t="str">
        <f>IFERROR(IF(Agent01_Loans!B176="","",YEAR(Agent01_Loans!D176)),"")</f>
        <v/>
      </c>
    </row>
    <row r="165" spans="1:13" ht="18" customHeight="1" x14ac:dyDescent="0.25">
      <c r="A165" s="40" t="str">
        <f>IF(Agent01_Loans!B177="","",Agent01_Loans!A177)</f>
        <v/>
      </c>
      <c r="B165" s="40" t="str">
        <f>IF(Agent01_Loans!B177="","",Agent01_Loans!B177)</f>
        <v/>
      </c>
      <c r="C165" s="40" t="str">
        <f>IF(Agent01_Loans!B177="","",Agent01_Loans!C177)</f>
        <v/>
      </c>
      <c r="D165" s="41" t="str">
        <f>IF(Agent01_Loans!B177="","",Agent01_Loans!D177)</f>
        <v/>
      </c>
      <c r="E165" s="43" t="str">
        <f>IF(Agent01_Loans!B177="","",Agent01_Loans!E177)</f>
        <v/>
      </c>
      <c r="F165" s="40" t="str">
        <f>IF(Agent01_Loans!B177="","",Agent01_Loans!F177)</f>
        <v/>
      </c>
      <c r="G165" s="40" t="str">
        <f>IF(Agent01_Loans!B177="","",Agent01_Loans!G177)</f>
        <v/>
      </c>
      <c r="H165" s="40" t="str">
        <f>IF(Agent01_Loans!B177="","",Agent01_Loans!H177)</f>
        <v/>
      </c>
      <c r="I165" s="43" t="str">
        <f>IF(Agent01_Loans!B177="","",Agent01_Loans!I177)</f>
        <v/>
      </c>
      <c r="J165" s="43" t="str">
        <f>IF(Agent01_Loans!B177="","",Agent01_Loans!J177)</f>
        <v/>
      </c>
      <c r="K165" s="40" t="str">
        <f>IF(Agent01_Loans!B177="","",Agent01_Loans!K177)</f>
        <v/>
      </c>
      <c r="L165" s="40" t="str">
        <f>IF(Agent01_Loans!B177="","",Agent01_Loans!L177)</f>
        <v/>
      </c>
      <c r="M165" s="40" t="str">
        <f>IFERROR(IF(Agent01_Loans!B177="","",YEAR(Agent01_Loans!D177)),"")</f>
        <v/>
      </c>
    </row>
    <row r="166" spans="1:13" ht="18" customHeight="1" x14ac:dyDescent="0.25">
      <c r="A166" s="40" t="str">
        <f>IF(Agent01_Loans!B178="","",Agent01_Loans!A178)</f>
        <v/>
      </c>
      <c r="B166" s="40" t="str">
        <f>IF(Agent01_Loans!B178="","",Agent01_Loans!B178)</f>
        <v/>
      </c>
      <c r="C166" s="40" t="str">
        <f>IF(Agent01_Loans!B178="","",Agent01_Loans!C178)</f>
        <v/>
      </c>
      <c r="D166" s="41" t="str">
        <f>IF(Agent01_Loans!B178="","",Agent01_Loans!D178)</f>
        <v/>
      </c>
      <c r="E166" s="43" t="str">
        <f>IF(Agent01_Loans!B178="","",Agent01_Loans!E178)</f>
        <v/>
      </c>
      <c r="F166" s="40" t="str">
        <f>IF(Agent01_Loans!B178="","",Agent01_Loans!F178)</f>
        <v/>
      </c>
      <c r="G166" s="40" t="str">
        <f>IF(Agent01_Loans!B178="","",Agent01_Loans!G178)</f>
        <v/>
      </c>
      <c r="H166" s="40" t="str">
        <f>IF(Agent01_Loans!B178="","",Agent01_Loans!H178)</f>
        <v/>
      </c>
      <c r="I166" s="43" t="str">
        <f>IF(Agent01_Loans!B178="","",Agent01_Loans!I178)</f>
        <v/>
      </c>
      <c r="J166" s="43" t="str">
        <f>IF(Agent01_Loans!B178="","",Agent01_Loans!J178)</f>
        <v/>
      </c>
      <c r="K166" s="40" t="str">
        <f>IF(Agent01_Loans!B178="","",Agent01_Loans!K178)</f>
        <v/>
      </c>
      <c r="L166" s="40" t="str">
        <f>IF(Agent01_Loans!B178="","",Agent01_Loans!L178)</f>
        <v/>
      </c>
      <c r="M166" s="40" t="str">
        <f>IFERROR(IF(Agent01_Loans!B178="","",YEAR(Agent01_Loans!D178)),"")</f>
        <v/>
      </c>
    </row>
    <row r="167" spans="1:13" ht="18" customHeight="1" x14ac:dyDescent="0.25">
      <c r="A167" s="40" t="str">
        <f>IF(Agent01_Loans!B179="","",Agent01_Loans!A179)</f>
        <v/>
      </c>
      <c r="B167" s="40" t="str">
        <f>IF(Agent01_Loans!B179="","",Agent01_Loans!B179)</f>
        <v/>
      </c>
      <c r="C167" s="40" t="str">
        <f>IF(Agent01_Loans!B179="","",Agent01_Loans!C179)</f>
        <v/>
      </c>
      <c r="D167" s="41" t="str">
        <f>IF(Agent01_Loans!B179="","",Agent01_Loans!D179)</f>
        <v/>
      </c>
      <c r="E167" s="43" t="str">
        <f>IF(Agent01_Loans!B179="","",Agent01_Loans!E179)</f>
        <v/>
      </c>
      <c r="F167" s="40" t="str">
        <f>IF(Agent01_Loans!B179="","",Agent01_Loans!F179)</f>
        <v/>
      </c>
      <c r="G167" s="40" t="str">
        <f>IF(Agent01_Loans!B179="","",Agent01_Loans!G179)</f>
        <v/>
      </c>
      <c r="H167" s="40" t="str">
        <f>IF(Agent01_Loans!B179="","",Agent01_Loans!H179)</f>
        <v/>
      </c>
      <c r="I167" s="43" t="str">
        <f>IF(Agent01_Loans!B179="","",Agent01_Loans!I179)</f>
        <v/>
      </c>
      <c r="J167" s="43" t="str">
        <f>IF(Agent01_Loans!B179="","",Agent01_Loans!J179)</f>
        <v/>
      </c>
      <c r="K167" s="40" t="str">
        <f>IF(Agent01_Loans!B179="","",Agent01_Loans!K179)</f>
        <v/>
      </c>
      <c r="L167" s="40" t="str">
        <f>IF(Agent01_Loans!B179="","",Agent01_Loans!L179)</f>
        <v/>
      </c>
      <c r="M167" s="40" t="str">
        <f>IFERROR(IF(Agent01_Loans!B179="","",YEAR(Agent01_Loans!D179)),"")</f>
        <v/>
      </c>
    </row>
    <row r="168" spans="1:13" ht="18" customHeight="1" x14ac:dyDescent="0.25">
      <c r="A168" s="40" t="str">
        <f>IF(Agent01_Loans!B180="","",Agent01_Loans!A180)</f>
        <v/>
      </c>
      <c r="B168" s="40" t="str">
        <f>IF(Agent01_Loans!B180="","",Agent01_Loans!B180)</f>
        <v/>
      </c>
      <c r="C168" s="40" t="str">
        <f>IF(Agent01_Loans!B180="","",Agent01_Loans!C180)</f>
        <v/>
      </c>
      <c r="D168" s="41" t="str">
        <f>IF(Agent01_Loans!B180="","",Agent01_Loans!D180)</f>
        <v/>
      </c>
      <c r="E168" s="43" t="str">
        <f>IF(Agent01_Loans!B180="","",Agent01_Loans!E180)</f>
        <v/>
      </c>
      <c r="F168" s="40" t="str">
        <f>IF(Agent01_Loans!B180="","",Agent01_Loans!F180)</f>
        <v/>
      </c>
      <c r="G168" s="40" t="str">
        <f>IF(Agent01_Loans!B180="","",Agent01_Loans!G180)</f>
        <v/>
      </c>
      <c r="H168" s="40" t="str">
        <f>IF(Agent01_Loans!B180="","",Agent01_Loans!H180)</f>
        <v/>
      </c>
      <c r="I168" s="43" t="str">
        <f>IF(Agent01_Loans!B180="","",Agent01_Loans!I180)</f>
        <v/>
      </c>
      <c r="J168" s="43" t="str">
        <f>IF(Agent01_Loans!B180="","",Agent01_Loans!J180)</f>
        <v/>
      </c>
      <c r="K168" s="40" t="str">
        <f>IF(Agent01_Loans!B180="","",Agent01_Loans!K180)</f>
        <v/>
      </c>
      <c r="L168" s="40" t="str">
        <f>IF(Agent01_Loans!B180="","",Agent01_Loans!L180)</f>
        <v/>
      </c>
      <c r="M168" s="40" t="str">
        <f>IFERROR(IF(Agent01_Loans!B180="","",YEAR(Agent01_Loans!D180)),"")</f>
        <v/>
      </c>
    </row>
    <row r="169" spans="1:13" ht="18" customHeight="1" x14ac:dyDescent="0.25">
      <c r="A169" s="40" t="str">
        <f>IF(Agent01_Loans!B181="","",Agent01_Loans!A181)</f>
        <v/>
      </c>
      <c r="B169" s="40" t="str">
        <f>IF(Agent01_Loans!B181="","",Agent01_Loans!B181)</f>
        <v/>
      </c>
      <c r="C169" s="40" t="str">
        <f>IF(Agent01_Loans!B181="","",Agent01_Loans!C181)</f>
        <v/>
      </c>
      <c r="D169" s="41" t="str">
        <f>IF(Agent01_Loans!B181="","",Agent01_Loans!D181)</f>
        <v/>
      </c>
      <c r="E169" s="43" t="str">
        <f>IF(Agent01_Loans!B181="","",Agent01_Loans!E181)</f>
        <v/>
      </c>
      <c r="F169" s="40" t="str">
        <f>IF(Agent01_Loans!B181="","",Agent01_Loans!F181)</f>
        <v/>
      </c>
      <c r="G169" s="40" t="str">
        <f>IF(Agent01_Loans!B181="","",Agent01_Loans!G181)</f>
        <v/>
      </c>
      <c r="H169" s="40" t="str">
        <f>IF(Agent01_Loans!B181="","",Agent01_Loans!H181)</f>
        <v/>
      </c>
      <c r="I169" s="43" t="str">
        <f>IF(Agent01_Loans!B181="","",Agent01_Loans!I181)</f>
        <v/>
      </c>
      <c r="J169" s="43" t="str">
        <f>IF(Agent01_Loans!B181="","",Agent01_Loans!J181)</f>
        <v/>
      </c>
      <c r="K169" s="40" t="str">
        <f>IF(Agent01_Loans!B181="","",Agent01_Loans!K181)</f>
        <v/>
      </c>
      <c r="L169" s="40" t="str">
        <f>IF(Agent01_Loans!B181="","",Agent01_Loans!L181)</f>
        <v/>
      </c>
      <c r="M169" s="40" t="str">
        <f>IFERROR(IF(Agent01_Loans!B181="","",YEAR(Agent01_Loans!D181)),"")</f>
        <v/>
      </c>
    </row>
    <row r="170" spans="1:13" ht="18" customHeight="1" x14ac:dyDescent="0.25">
      <c r="A170" s="40" t="str">
        <f>IF(Agent01_Loans!B182="","",Agent01_Loans!A182)</f>
        <v/>
      </c>
      <c r="B170" s="40" t="str">
        <f>IF(Agent01_Loans!B182="","",Agent01_Loans!B182)</f>
        <v/>
      </c>
      <c r="C170" s="40" t="str">
        <f>IF(Agent01_Loans!B182="","",Agent01_Loans!C182)</f>
        <v/>
      </c>
      <c r="D170" s="41" t="str">
        <f>IF(Agent01_Loans!B182="","",Agent01_Loans!D182)</f>
        <v/>
      </c>
      <c r="E170" s="43" t="str">
        <f>IF(Agent01_Loans!B182="","",Agent01_Loans!E182)</f>
        <v/>
      </c>
      <c r="F170" s="40" t="str">
        <f>IF(Agent01_Loans!B182="","",Agent01_Loans!F182)</f>
        <v/>
      </c>
      <c r="G170" s="40" t="str">
        <f>IF(Agent01_Loans!B182="","",Agent01_Loans!G182)</f>
        <v/>
      </c>
      <c r="H170" s="40" t="str">
        <f>IF(Agent01_Loans!B182="","",Agent01_Loans!H182)</f>
        <v/>
      </c>
      <c r="I170" s="43" t="str">
        <f>IF(Agent01_Loans!B182="","",Agent01_Loans!I182)</f>
        <v/>
      </c>
      <c r="J170" s="43" t="str">
        <f>IF(Agent01_Loans!B182="","",Agent01_Loans!J182)</f>
        <v/>
      </c>
      <c r="K170" s="40" t="str">
        <f>IF(Agent01_Loans!B182="","",Agent01_Loans!K182)</f>
        <v/>
      </c>
      <c r="L170" s="40" t="str">
        <f>IF(Agent01_Loans!B182="","",Agent01_Loans!L182)</f>
        <v/>
      </c>
      <c r="M170" s="40" t="str">
        <f>IFERROR(IF(Agent01_Loans!B182="","",YEAR(Agent01_Loans!D182)),"")</f>
        <v/>
      </c>
    </row>
    <row r="171" spans="1:13" ht="18" customHeight="1" x14ac:dyDescent="0.25">
      <c r="A171" s="40" t="str">
        <f>IF(Agent01_Loans!B183="","",Agent01_Loans!A183)</f>
        <v/>
      </c>
      <c r="B171" s="40" t="str">
        <f>IF(Agent01_Loans!B183="","",Agent01_Loans!B183)</f>
        <v/>
      </c>
      <c r="C171" s="40" t="str">
        <f>IF(Agent01_Loans!B183="","",Agent01_Loans!C183)</f>
        <v/>
      </c>
      <c r="D171" s="41" t="str">
        <f>IF(Agent01_Loans!B183="","",Agent01_Loans!D183)</f>
        <v/>
      </c>
      <c r="E171" s="43" t="str">
        <f>IF(Agent01_Loans!B183="","",Agent01_Loans!E183)</f>
        <v/>
      </c>
      <c r="F171" s="40" t="str">
        <f>IF(Agent01_Loans!B183="","",Agent01_Loans!F183)</f>
        <v/>
      </c>
      <c r="G171" s="40" t="str">
        <f>IF(Agent01_Loans!B183="","",Agent01_Loans!G183)</f>
        <v/>
      </c>
      <c r="H171" s="40" t="str">
        <f>IF(Agent01_Loans!B183="","",Agent01_Loans!H183)</f>
        <v/>
      </c>
      <c r="I171" s="43" t="str">
        <f>IF(Agent01_Loans!B183="","",Agent01_Loans!I183)</f>
        <v/>
      </c>
      <c r="J171" s="43" t="str">
        <f>IF(Agent01_Loans!B183="","",Agent01_Loans!J183)</f>
        <v/>
      </c>
      <c r="K171" s="40" t="str">
        <f>IF(Agent01_Loans!B183="","",Agent01_Loans!K183)</f>
        <v/>
      </c>
      <c r="L171" s="40" t="str">
        <f>IF(Agent01_Loans!B183="","",Agent01_Loans!L183)</f>
        <v/>
      </c>
      <c r="M171" s="40" t="str">
        <f>IFERROR(IF(Agent01_Loans!B183="","",YEAR(Agent01_Loans!D183)),"")</f>
        <v/>
      </c>
    </row>
    <row r="172" spans="1:13" ht="18" customHeight="1" x14ac:dyDescent="0.25">
      <c r="A172" s="40" t="str">
        <f>IF(Agent01_Loans!B184="","",Agent01_Loans!A184)</f>
        <v/>
      </c>
      <c r="B172" s="40" t="str">
        <f>IF(Agent01_Loans!B184="","",Agent01_Loans!B184)</f>
        <v/>
      </c>
      <c r="C172" s="40" t="str">
        <f>IF(Agent01_Loans!B184="","",Agent01_Loans!C184)</f>
        <v/>
      </c>
      <c r="D172" s="41" t="str">
        <f>IF(Agent01_Loans!B184="","",Agent01_Loans!D184)</f>
        <v/>
      </c>
      <c r="E172" s="43" t="str">
        <f>IF(Agent01_Loans!B184="","",Agent01_Loans!E184)</f>
        <v/>
      </c>
      <c r="F172" s="40" t="str">
        <f>IF(Agent01_Loans!B184="","",Agent01_Loans!F184)</f>
        <v/>
      </c>
      <c r="G172" s="40" t="str">
        <f>IF(Agent01_Loans!B184="","",Agent01_Loans!G184)</f>
        <v/>
      </c>
      <c r="H172" s="40" t="str">
        <f>IF(Agent01_Loans!B184="","",Agent01_Loans!H184)</f>
        <v/>
      </c>
      <c r="I172" s="43" t="str">
        <f>IF(Agent01_Loans!B184="","",Agent01_Loans!I184)</f>
        <v/>
      </c>
      <c r="J172" s="43" t="str">
        <f>IF(Agent01_Loans!B184="","",Agent01_Loans!J184)</f>
        <v/>
      </c>
      <c r="K172" s="40" t="str">
        <f>IF(Agent01_Loans!B184="","",Agent01_Loans!K184)</f>
        <v/>
      </c>
      <c r="L172" s="40" t="str">
        <f>IF(Agent01_Loans!B184="","",Agent01_Loans!L184)</f>
        <v/>
      </c>
      <c r="M172" s="40" t="str">
        <f>IFERROR(IF(Agent01_Loans!B184="","",YEAR(Agent01_Loans!D184)),"")</f>
        <v/>
      </c>
    </row>
    <row r="173" spans="1:13" ht="18" customHeight="1" x14ac:dyDescent="0.25">
      <c r="A173" s="40" t="str">
        <f>IF(Agent01_Loans!B185="","",Agent01_Loans!A185)</f>
        <v/>
      </c>
      <c r="B173" s="40" t="str">
        <f>IF(Agent01_Loans!B185="","",Agent01_Loans!B185)</f>
        <v/>
      </c>
      <c r="C173" s="40" t="str">
        <f>IF(Agent01_Loans!B185="","",Agent01_Loans!C185)</f>
        <v/>
      </c>
      <c r="D173" s="41" t="str">
        <f>IF(Agent01_Loans!B185="","",Agent01_Loans!D185)</f>
        <v/>
      </c>
      <c r="E173" s="43" t="str">
        <f>IF(Agent01_Loans!B185="","",Agent01_Loans!E185)</f>
        <v/>
      </c>
      <c r="F173" s="40" t="str">
        <f>IF(Agent01_Loans!B185="","",Agent01_Loans!F185)</f>
        <v/>
      </c>
      <c r="G173" s="40" t="str">
        <f>IF(Agent01_Loans!B185="","",Agent01_Loans!G185)</f>
        <v/>
      </c>
      <c r="H173" s="40" t="str">
        <f>IF(Agent01_Loans!B185="","",Agent01_Loans!H185)</f>
        <v/>
      </c>
      <c r="I173" s="43" t="str">
        <f>IF(Agent01_Loans!B185="","",Agent01_Loans!I185)</f>
        <v/>
      </c>
      <c r="J173" s="43" t="str">
        <f>IF(Agent01_Loans!B185="","",Agent01_Loans!J185)</f>
        <v/>
      </c>
      <c r="K173" s="40" t="str">
        <f>IF(Agent01_Loans!B185="","",Agent01_Loans!K185)</f>
        <v/>
      </c>
      <c r="L173" s="40" t="str">
        <f>IF(Agent01_Loans!B185="","",Agent01_Loans!L185)</f>
        <v/>
      </c>
      <c r="M173" s="40" t="str">
        <f>IFERROR(IF(Agent01_Loans!B185="","",YEAR(Agent01_Loans!D185)),"")</f>
        <v/>
      </c>
    </row>
    <row r="174" spans="1:13" ht="18" customHeight="1" x14ac:dyDescent="0.25">
      <c r="A174" s="40" t="str">
        <f>IF(Agent01_Loans!B186="","",Agent01_Loans!A186)</f>
        <v/>
      </c>
      <c r="B174" s="40" t="str">
        <f>IF(Agent01_Loans!B186="","",Agent01_Loans!B186)</f>
        <v/>
      </c>
      <c r="C174" s="40" t="str">
        <f>IF(Agent01_Loans!B186="","",Agent01_Loans!C186)</f>
        <v/>
      </c>
      <c r="D174" s="41" t="str">
        <f>IF(Agent01_Loans!B186="","",Agent01_Loans!D186)</f>
        <v/>
      </c>
      <c r="E174" s="43" t="str">
        <f>IF(Agent01_Loans!B186="","",Agent01_Loans!E186)</f>
        <v/>
      </c>
      <c r="F174" s="40" t="str">
        <f>IF(Agent01_Loans!B186="","",Agent01_Loans!F186)</f>
        <v/>
      </c>
      <c r="G174" s="40" t="str">
        <f>IF(Agent01_Loans!B186="","",Agent01_Loans!G186)</f>
        <v/>
      </c>
      <c r="H174" s="40" t="str">
        <f>IF(Agent01_Loans!B186="","",Agent01_Loans!H186)</f>
        <v/>
      </c>
      <c r="I174" s="43" t="str">
        <f>IF(Agent01_Loans!B186="","",Agent01_Loans!I186)</f>
        <v/>
      </c>
      <c r="J174" s="43" t="str">
        <f>IF(Agent01_Loans!B186="","",Agent01_Loans!J186)</f>
        <v/>
      </c>
      <c r="K174" s="40" t="str">
        <f>IF(Agent01_Loans!B186="","",Agent01_Loans!K186)</f>
        <v/>
      </c>
      <c r="L174" s="40" t="str">
        <f>IF(Agent01_Loans!B186="","",Agent01_Loans!L186)</f>
        <v/>
      </c>
      <c r="M174" s="40" t="str">
        <f>IFERROR(IF(Agent01_Loans!B186="","",YEAR(Agent01_Loans!D186)),"")</f>
        <v/>
      </c>
    </row>
    <row r="175" spans="1:13" ht="18" customHeight="1" x14ac:dyDescent="0.25">
      <c r="A175" s="40" t="str">
        <f>IF(Agent01_Loans!B187="","",Agent01_Loans!A187)</f>
        <v/>
      </c>
      <c r="B175" s="40" t="str">
        <f>IF(Agent01_Loans!B187="","",Agent01_Loans!B187)</f>
        <v/>
      </c>
      <c r="C175" s="40" t="str">
        <f>IF(Agent01_Loans!B187="","",Agent01_Loans!C187)</f>
        <v/>
      </c>
      <c r="D175" s="41" t="str">
        <f>IF(Agent01_Loans!B187="","",Agent01_Loans!D187)</f>
        <v/>
      </c>
      <c r="E175" s="43" t="str">
        <f>IF(Agent01_Loans!B187="","",Agent01_Loans!E187)</f>
        <v/>
      </c>
      <c r="F175" s="40" t="str">
        <f>IF(Agent01_Loans!B187="","",Agent01_Loans!F187)</f>
        <v/>
      </c>
      <c r="G175" s="40" t="str">
        <f>IF(Agent01_Loans!B187="","",Agent01_Loans!G187)</f>
        <v/>
      </c>
      <c r="H175" s="40" t="str">
        <f>IF(Agent01_Loans!B187="","",Agent01_Loans!H187)</f>
        <v/>
      </c>
      <c r="I175" s="43" t="str">
        <f>IF(Agent01_Loans!B187="","",Agent01_Loans!I187)</f>
        <v/>
      </c>
      <c r="J175" s="43" t="str">
        <f>IF(Agent01_Loans!B187="","",Agent01_Loans!J187)</f>
        <v/>
      </c>
      <c r="K175" s="40" t="str">
        <f>IF(Agent01_Loans!B187="","",Agent01_Loans!K187)</f>
        <v/>
      </c>
      <c r="L175" s="40" t="str">
        <f>IF(Agent01_Loans!B187="","",Agent01_Loans!L187)</f>
        <v/>
      </c>
      <c r="M175" s="40" t="str">
        <f>IFERROR(IF(Agent01_Loans!B187="","",YEAR(Agent01_Loans!D187)),"")</f>
        <v/>
      </c>
    </row>
    <row r="176" spans="1:13" ht="18" customHeight="1" x14ac:dyDescent="0.25">
      <c r="A176" s="40" t="str">
        <f>IF(Agent01_Loans!B188="","",Agent01_Loans!A188)</f>
        <v/>
      </c>
      <c r="B176" s="40" t="str">
        <f>IF(Agent01_Loans!B188="","",Agent01_Loans!B188)</f>
        <v/>
      </c>
      <c r="C176" s="40" t="str">
        <f>IF(Agent01_Loans!B188="","",Agent01_Loans!C188)</f>
        <v/>
      </c>
      <c r="D176" s="41" t="str">
        <f>IF(Agent01_Loans!B188="","",Agent01_Loans!D188)</f>
        <v/>
      </c>
      <c r="E176" s="43" t="str">
        <f>IF(Agent01_Loans!B188="","",Agent01_Loans!E188)</f>
        <v/>
      </c>
      <c r="F176" s="40" t="str">
        <f>IF(Agent01_Loans!B188="","",Agent01_Loans!F188)</f>
        <v/>
      </c>
      <c r="G176" s="40" t="str">
        <f>IF(Agent01_Loans!B188="","",Agent01_Loans!G188)</f>
        <v/>
      </c>
      <c r="H176" s="40" t="str">
        <f>IF(Agent01_Loans!B188="","",Agent01_Loans!H188)</f>
        <v/>
      </c>
      <c r="I176" s="43" t="str">
        <f>IF(Agent01_Loans!B188="","",Agent01_Loans!I188)</f>
        <v/>
      </c>
      <c r="J176" s="43" t="str">
        <f>IF(Agent01_Loans!B188="","",Agent01_Loans!J188)</f>
        <v/>
      </c>
      <c r="K176" s="40" t="str">
        <f>IF(Agent01_Loans!B188="","",Agent01_Loans!K188)</f>
        <v/>
      </c>
      <c r="L176" s="40" t="str">
        <f>IF(Agent01_Loans!B188="","",Agent01_Loans!L188)</f>
        <v/>
      </c>
      <c r="M176" s="40" t="str">
        <f>IFERROR(IF(Agent01_Loans!B188="","",YEAR(Agent01_Loans!D188)),"")</f>
        <v/>
      </c>
    </row>
    <row r="177" spans="1:13" ht="18" customHeight="1" x14ac:dyDescent="0.25">
      <c r="A177" s="40" t="str">
        <f>IF(Agent01_Loans!B189="","",Agent01_Loans!A189)</f>
        <v/>
      </c>
      <c r="B177" s="40" t="str">
        <f>IF(Agent01_Loans!B189="","",Agent01_Loans!B189)</f>
        <v/>
      </c>
      <c r="C177" s="40" t="str">
        <f>IF(Agent01_Loans!B189="","",Agent01_Loans!C189)</f>
        <v/>
      </c>
      <c r="D177" s="41" t="str">
        <f>IF(Agent01_Loans!B189="","",Agent01_Loans!D189)</f>
        <v/>
      </c>
      <c r="E177" s="43" t="str">
        <f>IF(Agent01_Loans!B189="","",Agent01_Loans!E189)</f>
        <v/>
      </c>
      <c r="F177" s="40" t="str">
        <f>IF(Agent01_Loans!B189="","",Agent01_Loans!F189)</f>
        <v/>
      </c>
      <c r="G177" s="40" t="str">
        <f>IF(Agent01_Loans!B189="","",Agent01_Loans!G189)</f>
        <v/>
      </c>
      <c r="H177" s="40" t="str">
        <f>IF(Agent01_Loans!B189="","",Agent01_Loans!H189)</f>
        <v/>
      </c>
      <c r="I177" s="43" t="str">
        <f>IF(Agent01_Loans!B189="","",Agent01_Loans!I189)</f>
        <v/>
      </c>
      <c r="J177" s="43" t="str">
        <f>IF(Agent01_Loans!B189="","",Agent01_Loans!J189)</f>
        <v/>
      </c>
      <c r="K177" s="40" t="str">
        <f>IF(Agent01_Loans!B189="","",Agent01_Loans!K189)</f>
        <v/>
      </c>
      <c r="L177" s="40" t="str">
        <f>IF(Agent01_Loans!B189="","",Agent01_Loans!L189)</f>
        <v/>
      </c>
      <c r="M177" s="40" t="str">
        <f>IFERROR(IF(Agent01_Loans!B189="","",YEAR(Agent01_Loans!D189)),"")</f>
        <v/>
      </c>
    </row>
    <row r="178" spans="1:13" ht="18" customHeight="1" x14ac:dyDescent="0.25">
      <c r="A178" s="40" t="str">
        <f>IF(Agent01_Loans!B190="","",Agent01_Loans!A190)</f>
        <v/>
      </c>
      <c r="B178" s="40" t="str">
        <f>IF(Agent01_Loans!B190="","",Agent01_Loans!B190)</f>
        <v/>
      </c>
      <c r="C178" s="40" t="str">
        <f>IF(Agent01_Loans!B190="","",Agent01_Loans!C190)</f>
        <v/>
      </c>
      <c r="D178" s="41" t="str">
        <f>IF(Agent01_Loans!B190="","",Agent01_Loans!D190)</f>
        <v/>
      </c>
      <c r="E178" s="43" t="str">
        <f>IF(Agent01_Loans!B190="","",Agent01_Loans!E190)</f>
        <v/>
      </c>
      <c r="F178" s="40" t="str">
        <f>IF(Agent01_Loans!B190="","",Agent01_Loans!F190)</f>
        <v/>
      </c>
      <c r="G178" s="40" t="str">
        <f>IF(Agent01_Loans!B190="","",Agent01_Loans!G190)</f>
        <v/>
      </c>
      <c r="H178" s="40" t="str">
        <f>IF(Agent01_Loans!B190="","",Agent01_Loans!H190)</f>
        <v/>
      </c>
      <c r="I178" s="43" t="str">
        <f>IF(Agent01_Loans!B190="","",Agent01_Loans!I190)</f>
        <v/>
      </c>
      <c r="J178" s="43" t="str">
        <f>IF(Agent01_Loans!B190="","",Agent01_Loans!J190)</f>
        <v/>
      </c>
      <c r="K178" s="40" t="str">
        <f>IF(Agent01_Loans!B190="","",Agent01_Loans!K190)</f>
        <v/>
      </c>
      <c r="L178" s="40" t="str">
        <f>IF(Agent01_Loans!B190="","",Agent01_Loans!L190)</f>
        <v/>
      </c>
      <c r="M178" s="40" t="str">
        <f>IFERROR(IF(Agent01_Loans!B190="","",YEAR(Agent01_Loans!D190)),"")</f>
        <v/>
      </c>
    </row>
    <row r="179" spans="1:13" ht="18" customHeight="1" x14ac:dyDescent="0.25">
      <c r="A179" s="40" t="str">
        <f>IF(Agent01_Loans!B191="","",Agent01_Loans!A191)</f>
        <v/>
      </c>
      <c r="B179" s="40" t="str">
        <f>IF(Agent01_Loans!B191="","",Agent01_Loans!B191)</f>
        <v/>
      </c>
      <c r="C179" s="40" t="str">
        <f>IF(Agent01_Loans!B191="","",Agent01_Loans!C191)</f>
        <v/>
      </c>
      <c r="D179" s="41" t="str">
        <f>IF(Agent01_Loans!B191="","",Agent01_Loans!D191)</f>
        <v/>
      </c>
      <c r="E179" s="43" t="str">
        <f>IF(Agent01_Loans!B191="","",Agent01_Loans!E191)</f>
        <v/>
      </c>
      <c r="F179" s="40" t="str">
        <f>IF(Agent01_Loans!B191="","",Agent01_Loans!F191)</f>
        <v/>
      </c>
      <c r="G179" s="40" t="str">
        <f>IF(Agent01_Loans!B191="","",Agent01_Loans!G191)</f>
        <v/>
      </c>
      <c r="H179" s="40" t="str">
        <f>IF(Agent01_Loans!B191="","",Agent01_Loans!H191)</f>
        <v/>
      </c>
      <c r="I179" s="43" t="str">
        <f>IF(Agent01_Loans!B191="","",Agent01_Loans!I191)</f>
        <v/>
      </c>
      <c r="J179" s="43" t="str">
        <f>IF(Agent01_Loans!B191="","",Agent01_Loans!J191)</f>
        <v/>
      </c>
      <c r="K179" s="40" t="str">
        <f>IF(Agent01_Loans!B191="","",Agent01_Loans!K191)</f>
        <v/>
      </c>
      <c r="L179" s="40" t="str">
        <f>IF(Agent01_Loans!B191="","",Agent01_Loans!L191)</f>
        <v/>
      </c>
      <c r="M179" s="40" t="str">
        <f>IFERROR(IF(Agent01_Loans!B191="","",YEAR(Agent01_Loans!D191)),"")</f>
        <v/>
      </c>
    </row>
    <row r="180" spans="1:13" ht="18" customHeight="1" x14ac:dyDescent="0.25">
      <c r="A180" s="40" t="str">
        <f>IF(Agent01_Loans!B192="","",Agent01_Loans!A192)</f>
        <v/>
      </c>
      <c r="B180" s="40" t="str">
        <f>IF(Agent01_Loans!B192="","",Agent01_Loans!B192)</f>
        <v/>
      </c>
      <c r="C180" s="40" t="str">
        <f>IF(Agent01_Loans!B192="","",Agent01_Loans!C192)</f>
        <v/>
      </c>
      <c r="D180" s="41" t="str">
        <f>IF(Agent01_Loans!B192="","",Agent01_Loans!D192)</f>
        <v/>
      </c>
      <c r="E180" s="43" t="str">
        <f>IF(Agent01_Loans!B192="","",Agent01_Loans!E192)</f>
        <v/>
      </c>
      <c r="F180" s="40" t="str">
        <f>IF(Agent01_Loans!B192="","",Agent01_Loans!F192)</f>
        <v/>
      </c>
      <c r="G180" s="40" t="str">
        <f>IF(Agent01_Loans!B192="","",Agent01_Loans!G192)</f>
        <v/>
      </c>
      <c r="H180" s="40" t="str">
        <f>IF(Agent01_Loans!B192="","",Agent01_Loans!H192)</f>
        <v/>
      </c>
      <c r="I180" s="43" t="str">
        <f>IF(Agent01_Loans!B192="","",Agent01_Loans!I192)</f>
        <v/>
      </c>
      <c r="J180" s="43" t="str">
        <f>IF(Agent01_Loans!B192="","",Agent01_Loans!J192)</f>
        <v/>
      </c>
      <c r="K180" s="40" t="str">
        <f>IF(Agent01_Loans!B192="","",Agent01_Loans!K192)</f>
        <v/>
      </c>
      <c r="L180" s="40" t="str">
        <f>IF(Agent01_Loans!B192="","",Agent01_Loans!L192)</f>
        <v/>
      </c>
      <c r="M180" s="40" t="str">
        <f>IFERROR(IF(Agent01_Loans!B192="","",YEAR(Agent01_Loans!D192)),"")</f>
        <v/>
      </c>
    </row>
    <row r="181" spans="1:13" ht="18" customHeight="1" x14ac:dyDescent="0.25">
      <c r="A181" s="40" t="str">
        <f>IF(Agent01_Loans!B193="","",Agent01_Loans!A193)</f>
        <v/>
      </c>
      <c r="B181" s="40" t="str">
        <f>IF(Agent01_Loans!B193="","",Agent01_Loans!B193)</f>
        <v/>
      </c>
      <c r="C181" s="40" t="str">
        <f>IF(Agent01_Loans!B193="","",Agent01_Loans!C193)</f>
        <v/>
      </c>
      <c r="D181" s="41" t="str">
        <f>IF(Agent01_Loans!B193="","",Agent01_Loans!D193)</f>
        <v/>
      </c>
      <c r="E181" s="43" t="str">
        <f>IF(Agent01_Loans!B193="","",Agent01_Loans!E193)</f>
        <v/>
      </c>
      <c r="F181" s="40" t="str">
        <f>IF(Agent01_Loans!B193="","",Agent01_Loans!F193)</f>
        <v/>
      </c>
      <c r="G181" s="40" t="str">
        <f>IF(Agent01_Loans!B193="","",Agent01_Loans!G193)</f>
        <v/>
      </c>
      <c r="H181" s="40" t="str">
        <f>IF(Agent01_Loans!B193="","",Agent01_Loans!H193)</f>
        <v/>
      </c>
      <c r="I181" s="43" t="str">
        <f>IF(Agent01_Loans!B193="","",Agent01_Loans!I193)</f>
        <v/>
      </c>
      <c r="J181" s="43" t="str">
        <f>IF(Agent01_Loans!B193="","",Agent01_Loans!J193)</f>
        <v/>
      </c>
      <c r="K181" s="40" t="str">
        <f>IF(Agent01_Loans!B193="","",Agent01_Loans!K193)</f>
        <v/>
      </c>
      <c r="L181" s="40" t="str">
        <f>IF(Agent01_Loans!B193="","",Agent01_Loans!L193)</f>
        <v/>
      </c>
      <c r="M181" s="40" t="str">
        <f>IFERROR(IF(Agent01_Loans!B193="","",YEAR(Agent01_Loans!D193)),"")</f>
        <v/>
      </c>
    </row>
    <row r="182" spans="1:13" ht="18" customHeight="1" x14ac:dyDescent="0.25">
      <c r="A182" s="40" t="str">
        <f>IF(Agent01_Loans!B194="","",Agent01_Loans!A194)</f>
        <v/>
      </c>
      <c r="B182" s="40" t="str">
        <f>IF(Agent01_Loans!B194="","",Agent01_Loans!B194)</f>
        <v/>
      </c>
      <c r="C182" s="40" t="str">
        <f>IF(Agent01_Loans!B194="","",Agent01_Loans!C194)</f>
        <v/>
      </c>
      <c r="D182" s="41" t="str">
        <f>IF(Agent01_Loans!B194="","",Agent01_Loans!D194)</f>
        <v/>
      </c>
      <c r="E182" s="43" t="str">
        <f>IF(Agent01_Loans!B194="","",Agent01_Loans!E194)</f>
        <v/>
      </c>
      <c r="F182" s="40" t="str">
        <f>IF(Agent01_Loans!B194="","",Agent01_Loans!F194)</f>
        <v/>
      </c>
      <c r="G182" s="40" t="str">
        <f>IF(Agent01_Loans!B194="","",Agent01_Loans!G194)</f>
        <v/>
      </c>
      <c r="H182" s="40" t="str">
        <f>IF(Agent01_Loans!B194="","",Agent01_Loans!H194)</f>
        <v/>
      </c>
      <c r="I182" s="43" t="str">
        <f>IF(Agent01_Loans!B194="","",Agent01_Loans!I194)</f>
        <v/>
      </c>
      <c r="J182" s="43" t="str">
        <f>IF(Agent01_Loans!B194="","",Agent01_Loans!J194)</f>
        <v/>
      </c>
      <c r="K182" s="40" t="str">
        <f>IF(Agent01_Loans!B194="","",Agent01_Loans!K194)</f>
        <v/>
      </c>
      <c r="L182" s="40" t="str">
        <f>IF(Agent01_Loans!B194="","",Agent01_Loans!L194)</f>
        <v/>
      </c>
      <c r="M182" s="40" t="str">
        <f>IFERROR(IF(Agent01_Loans!B194="","",YEAR(Agent01_Loans!D194)),"")</f>
        <v/>
      </c>
    </row>
    <row r="183" spans="1:13" ht="18" customHeight="1" x14ac:dyDescent="0.25">
      <c r="A183" s="40" t="str">
        <f>IF(Agent01_Loans!B195="","",Agent01_Loans!A195)</f>
        <v/>
      </c>
      <c r="B183" s="40" t="str">
        <f>IF(Agent01_Loans!B195="","",Agent01_Loans!B195)</f>
        <v/>
      </c>
      <c r="C183" s="40" t="str">
        <f>IF(Agent01_Loans!B195="","",Agent01_Loans!C195)</f>
        <v/>
      </c>
      <c r="D183" s="41" t="str">
        <f>IF(Agent01_Loans!B195="","",Agent01_Loans!D195)</f>
        <v/>
      </c>
      <c r="E183" s="43" t="str">
        <f>IF(Agent01_Loans!B195="","",Agent01_Loans!E195)</f>
        <v/>
      </c>
      <c r="F183" s="40" t="str">
        <f>IF(Agent01_Loans!B195="","",Agent01_Loans!F195)</f>
        <v/>
      </c>
      <c r="G183" s="40" t="str">
        <f>IF(Agent01_Loans!B195="","",Agent01_Loans!G195)</f>
        <v/>
      </c>
      <c r="H183" s="40" t="str">
        <f>IF(Agent01_Loans!B195="","",Agent01_Loans!H195)</f>
        <v/>
      </c>
      <c r="I183" s="43" t="str">
        <f>IF(Agent01_Loans!B195="","",Agent01_Loans!I195)</f>
        <v/>
      </c>
      <c r="J183" s="43" t="str">
        <f>IF(Agent01_Loans!B195="","",Agent01_Loans!J195)</f>
        <v/>
      </c>
      <c r="K183" s="40" t="str">
        <f>IF(Agent01_Loans!B195="","",Agent01_Loans!K195)</f>
        <v/>
      </c>
      <c r="L183" s="40" t="str">
        <f>IF(Agent01_Loans!B195="","",Agent01_Loans!L195)</f>
        <v/>
      </c>
      <c r="M183" s="40" t="str">
        <f>IFERROR(IF(Agent01_Loans!B195="","",YEAR(Agent01_Loans!D195)),"")</f>
        <v/>
      </c>
    </row>
    <row r="184" spans="1:13" ht="18" customHeight="1" x14ac:dyDescent="0.25">
      <c r="A184" s="40" t="str">
        <f>IF(Agent01_Loans!B196="","",Agent01_Loans!A196)</f>
        <v/>
      </c>
      <c r="B184" s="40" t="str">
        <f>IF(Agent01_Loans!B196="","",Agent01_Loans!B196)</f>
        <v/>
      </c>
      <c r="C184" s="40" t="str">
        <f>IF(Agent01_Loans!B196="","",Agent01_Loans!C196)</f>
        <v/>
      </c>
      <c r="D184" s="41" t="str">
        <f>IF(Agent01_Loans!B196="","",Agent01_Loans!D196)</f>
        <v/>
      </c>
      <c r="E184" s="43" t="str">
        <f>IF(Agent01_Loans!B196="","",Agent01_Loans!E196)</f>
        <v/>
      </c>
      <c r="F184" s="40" t="str">
        <f>IF(Agent01_Loans!B196="","",Agent01_Loans!F196)</f>
        <v/>
      </c>
      <c r="G184" s="40" t="str">
        <f>IF(Agent01_Loans!B196="","",Agent01_Loans!G196)</f>
        <v/>
      </c>
      <c r="H184" s="40" t="str">
        <f>IF(Agent01_Loans!B196="","",Agent01_Loans!H196)</f>
        <v/>
      </c>
      <c r="I184" s="43" t="str">
        <f>IF(Agent01_Loans!B196="","",Agent01_Loans!I196)</f>
        <v/>
      </c>
      <c r="J184" s="43" t="str">
        <f>IF(Agent01_Loans!B196="","",Agent01_Loans!J196)</f>
        <v/>
      </c>
      <c r="K184" s="40" t="str">
        <f>IF(Agent01_Loans!B196="","",Agent01_Loans!K196)</f>
        <v/>
      </c>
      <c r="L184" s="40" t="str">
        <f>IF(Agent01_Loans!B196="","",Agent01_Loans!L196)</f>
        <v/>
      </c>
      <c r="M184" s="40" t="str">
        <f>IFERROR(IF(Agent01_Loans!B196="","",YEAR(Agent01_Loans!D196)),"")</f>
        <v/>
      </c>
    </row>
    <row r="185" spans="1:13" ht="18" customHeight="1" x14ac:dyDescent="0.25">
      <c r="A185" s="40" t="str">
        <f>IF(Agent01_Loans!B197="","",Agent01_Loans!A197)</f>
        <v/>
      </c>
      <c r="B185" s="40" t="str">
        <f>IF(Agent01_Loans!B197="","",Agent01_Loans!B197)</f>
        <v/>
      </c>
      <c r="C185" s="40" t="str">
        <f>IF(Agent01_Loans!B197="","",Agent01_Loans!C197)</f>
        <v/>
      </c>
      <c r="D185" s="41" t="str">
        <f>IF(Agent01_Loans!B197="","",Agent01_Loans!D197)</f>
        <v/>
      </c>
      <c r="E185" s="43" t="str">
        <f>IF(Agent01_Loans!B197="","",Agent01_Loans!E197)</f>
        <v/>
      </c>
      <c r="F185" s="40" t="str">
        <f>IF(Agent01_Loans!B197="","",Agent01_Loans!F197)</f>
        <v/>
      </c>
      <c r="G185" s="40" t="str">
        <f>IF(Agent01_Loans!B197="","",Agent01_Loans!G197)</f>
        <v/>
      </c>
      <c r="H185" s="40" t="str">
        <f>IF(Agent01_Loans!B197="","",Agent01_Loans!H197)</f>
        <v/>
      </c>
      <c r="I185" s="43" t="str">
        <f>IF(Agent01_Loans!B197="","",Agent01_Loans!I197)</f>
        <v/>
      </c>
      <c r="J185" s="43" t="str">
        <f>IF(Agent01_Loans!B197="","",Agent01_Loans!J197)</f>
        <v/>
      </c>
      <c r="K185" s="40" t="str">
        <f>IF(Agent01_Loans!B197="","",Agent01_Loans!K197)</f>
        <v/>
      </c>
      <c r="L185" s="40" t="str">
        <f>IF(Agent01_Loans!B197="","",Agent01_Loans!L197)</f>
        <v/>
      </c>
      <c r="M185" s="40" t="str">
        <f>IFERROR(IF(Agent01_Loans!B197="","",YEAR(Agent01_Loans!D197)),"")</f>
        <v/>
      </c>
    </row>
    <row r="186" spans="1:13" ht="18" customHeight="1" x14ac:dyDescent="0.25">
      <c r="A186" s="40" t="str">
        <f>IF(Agent01_Loans!B198="","",Agent01_Loans!A198)</f>
        <v/>
      </c>
      <c r="B186" s="40" t="str">
        <f>IF(Agent01_Loans!B198="","",Agent01_Loans!B198)</f>
        <v/>
      </c>
      <c r="C186" s="40" t="str">
        <f>IF(Agent01_Loans!B198="","",Agent01_Loans!C198)</f>
        <v/>
      </c>
      <c r="D186" s="41" t="str">
        <f>IF(Agent01_Loans!B198="","",Agent01_Loans!D198)</f>
        <v/>
      </c>
      <c r="E186" s="43" t="str">
        <f>IF(Agent01_Loans!B198="","",Agent01_Loans!E198)</f>
        <v/>
      </c>
      <c r="F186" s="40" t="str">
        <f>IF(Agent01_Loans!B198="","",Agent01_Loans!F198)</f>
        <v/>
      </c>
      <c r="G186" s="40" t="str">
        <f>IF(Agent01_Loans!B198="","",Agent01_Loans!G198)</f>
        <v/>
      </c>
      <c r="H186" s="40" t="str">
        <f>IF(Agent01_Loans!B198="","",Agent01_Loans!H198)</f>
        <v/>
      </c>
      <c r="I186" s="43" t="str">
        <f>IF(Agent01_Loans!B198="","",Agent01_Loans!I198)</f>
        <v/>
      </c>
      <c r="J186" s="43" t="str">
        <f>IF(Agent01_Loans!B198="","",Agent01_Loans!J198)</f>
        <v/>
      </c>
      <c r="K186" s="40" t="str">
        <f>IF(Agent01_Loans!B198="","",Agent01_Loans!K198)</f>
        <v/>
      </c>
      <c r="L186" s="40" t="str">
        <f>IF(Agent01_Loans!B198="","",Agent01_Loans!L198)</f>
        <v/>
      </c>
      <c r="M186" s="40" t="str">
        <f>IFERROR(IF(Agent01_Loans!B198="","",YEAR(Agent01_Loans!D198)),"")</f>
        <v/>
      </c>
    </row>
    <row r="187" spans="1:13" ht="18" customHeight="1" x14ac:dyDescent="0.25">
      <c r="A187" s="40" t="str">
        <f>IF(Agent01_Loans!B199="","",Agent01_Loans!A199)</f>
        <v/>
      </c>
      <c r="B187" s="40" t="str">
        <f>IF(Agent01_Loans!B199="","",Agent01_Loans!B199)</f>
        <v/>
      </c>
      <c r="C187" s="40" t="str">
        <f>IF(Agent01_Loans!B199="","",Agent01_Loans!C199)</f>
        <v/>
      </c>
      <c r="D187" s="41" t="str">
        <f>IF(Agent01_Loans!B199="","",Agent01_Loans!D199)</f>
        <v/>
      </c>
      <c r="E187" s="43" t="str">
        <f>IF(Agent01_Loans!B199="","",Agent01_Loans!E199)</f>
        <v/>
      </c>
      <c r="F187" s="40" t="str">
        <f>IF(Agent01_Loans!B199="","",Agent01_Loans!F199)</f>
        <v/>
      </c>
      <c r="G187" s="40" t="str">
        <f>IF(Agent01_Loans!B199="","",Agent01_Loans!G199)</f>
        <v/>
      </c>
      <c r="H187" s="40" t="str">
        <f>IF(Agent01_Loans!B199="","",Agent01_Loans!H199)</f>
        <v/>
      </c>
      <c r="I187" s="43" t="str">
        <f>IF(Agent01_Loans!B199="","",Agent01_Loans!I199)</f>
        <v/>
      </c>
      <c r="J187" s="43" t="str">
        <f>IF(Agent01_Loans!B199="","",Agent01_Loans!J199)</f>
        <v/>
      </c>
      <c r="K187" s="40" t="str">
        <f>IF(Agent01_Loans!B199="","",Agent01_Loans!K199)</f>
        <v/>
      </c>
      <c r="L187" s="40" t="str">
        <f>IF(Agent01_Loans!B199="","",Agent01_Loans!L199)</f>
        <v/>
      </c>
      <c r="M187" s="40" t="str">
        <f>IFERROR(IF(Agent01_Loans!B199="","",YEAR(Agent01_Loans!D199)),"")</f>
        <v/>
      </c>
    </row>
    <row r="188" spans="1:13" ht="18" customHeight="1" x14ac:dyDescent="0.25">
      <c r="A188" s="40" t="str">
        <f>IF(Agent01_Loans!B200="","",Agent01_Loans!A200)</f>
        <v/>
      </c>
      <c r="B188" s="40" t="str">
        <f>IF(Agent01_Loans!B200="","",Agent01_Loans!B200)</f>
        <v/>
      </c>
      <c r="C188" s="40" t="str">
        <f>IF(Agent01_Loans!B200="","",Agent01_Loans!C200)</f>
        <v/>
      </c>
      <c r="D188" s="41" t="str">
        <f>IF(Agent01_Loans!B200="","",Agent01_Loans!D200)</f>
        <v/>
      </c>
      <c r="E188" s="43" t="str">
        <f>IF(Agent01_Loans!B200="","",Agent01_Loans!E200)</f>
        <v/>
      </c>
      <c r="F188" s="40" t="str">
        <f>IF(Agent01_Loans!B200="","",Agent01_Loans!F200)</f>
        <v/>
      </c>
      <c r="G188" s="40" t="str">
        <f>IF(Agent01_Loans!B200="","",Agent01_Loans!G200)</f>
        <v/>
      </c>
      <c r="H188" s="40" t="str">
        <f>IF(Agent01_Loans!B200="","",Agent01_Loans!H200)</f>
        <v/>
      </c>
      <c r="I188" s="43" t="str">
        <f>IF(Agent01_Loans!B200="","",Agent01_Loans!I200)</f>
        <v/>
      </c>
      <c r="J188" s="43" t="str">
        <f>IF(Agent01_Loans!B200="","",Agent01_Loans!J200)</f>
        <v/>
      </c>
      <c r="K188" s="40" t="str">
        <f>IF(Agent01_Loans!B200="","",Agent01_Loans!K200)</f>
        <v/>
      </c>
      <c r="L188" s="40" t="str">
        <f>IF(Agent01_Loans!B200="","",Agent01_Loans!L200)</f>
        <v/>
      </c>
      <c r="M188" s="40" t="str">
        <f>IFERROR(IF(Agent01_Loans!B200="","",YEAR(Agent01_Loans!D200)),"")</f>
        <v/>
      </c>
    </row>
    <row r="189" spans="1:13" ht="18" customHeight="1" x14ac:dyDescent="0.25">
      <c r="A189" s="40" t="str">
        <f>IF(Agent01_Loans!B201="","",Agent01_Loans!A201)</f>
        <v/>
      </c>
      <c r="B189" s="40" t="str">
        <f>IF(Agent01_Loans!B201="","",Agent01_Loans!B201)</f>
        <v/>
      </c>
      <c r="C189" s="40" t="str">
        <f>IF(Agent01_Loans!B201="","",Agent01_Loans!C201)</f>
        <v/>
      </c>
      <c r="D189" s="41" t="str">
        <f>IF(Agent01_Loans!B201="","",Agent01_Loans!D201)</f>
        <v/>
      </c>
      <c r="E189" s="43" t="str">
        <f>IF(Agent01_Loans!B201="","",Agent01_Loans!E201)</f>
        <v/>
      </c>
      <c r="F189" s="40" t="str">
        <f>IF(Agent01_Loans!B201="","",Agent01_Loans!F201)</f>
        <v/>
      </c>
      <c r="G189" s="40" t="str">
        <f>IF(Agent01_Loans!B201="","",Agent01_Loans!G201)</f>
        <v/>
      </c>
      <c r="H189" s="40" t="str">
        <f>IF(Agent01_Loans!B201="","",Agent01_Loans!H201)</f>
        <v/>
      </c>
      <c r="I189" s="43" t="str">
        <f>IF(Agent01_Loans!B201="","",Agent01_Loans!I201)</f>
        <v/>
      </c>
      <c r="J189" s="43" t="str">
        <f>IF(Agent01_Loans!B201="","",Agent01_Loans!J201)</f>
        <v/>
      </c>
      <c r="K189" s="40" t="str">
        <f>IF(Agent01_Loans!B201="","",Agent01_Loans!K201)</f>
        <v/>
      </c>
      <c r="L189" s="40" t="str">
        <f>IF(Agent01_Loans!B201="","",Agent01_Loans!L201)</f>
        <v/>
      </c>
      <c r="M189" s="40" t="str">
        <f>IFERROR(IF(Agent01_Loans!B201="","",YEAR(Agent01_Loans!D201)),"")</f>
        <v/>
      </c>
    </row>
    <row r="190" spans="1:13" ht="18" customHeight="1" x14ac:dyDescent="0.25">
      <c r="A190" s="40" t="str">
        <f>IF(Agent01_Loans!B202="","",Agent01_Loans!A202)</f>
        <v/>
      </c>
      <c r="B190" s="40" t="str">
        <f>IF(Agent01_Loans!B202="","",Agent01_Loans!B202)</f>
        <v/>
      </c>
      <c r="C190" s="40" t="str">
        <f>IF(Agent01_Loans!B202="","",Agent01_Loans!C202)</f>
        <v/>
      </c>
      <c r="D190" s="41" t="str">
        <f>IF(Agent01_Loans!B202="","",Agent01_Loans!D202)</f>
        <v/>
      </c>
      <c r="E190" s="43" t="str">
        <f>IF(Agent01_Loans!B202="","",Agent01_Loans!E202)</f>
        <v/>
      </c>
      <c r="F190" s="40" t="str">
        <f>IF(Agent01_Loans!B202="","",Agent01_Loans!F202)</f>
        <v/>
      </c>
      <c r="G190" s="40" t="str">
        <f>IF(Agent01_Loans!B202="","",Agent01_Loans!G202)</f>
        <v/>
      </c>
      <c r="H190" s="40" t="str">
        <f>IF(Agent01_Loans!B202="","",Agent01_Loans!H202)</f>
        <v/>
      </c>
      <c r="I190" s="43" t="str">
        <f>IF(Agent01_Loans!B202="","",Agent01_Loans!I202)</f>
        <v/>
      </c>
      <c r="J190" s="43" t="str">
        <f>IF(Agent01_Loans!B202="","",Agent01_Loans!J202)</f>
        <v/>
      </c>
      <c r="K190" s="40" t="str">
        <f>IF(Agent01_Loans!B202="","",Agent01_Loans!K202)</f>
        <v/>
      </c>
      <c r="L190" s="40" t="str">
        <f>IF(Agent01_Loans!B202="","",Agent01_Loans!L202)</f>
        <v/>
      </c>
      <c r="M190" s="40" t="str">
        <f>IFERROR(IF(Agent01_Loans!B202="","",YEAR(Agent01_Loans!D202)),"")</f>
        <v/>
      </c>
    </row>
    <row r="191" spans="1:13" ht="18" customHeight="1" x14ac:dyDescent="0.25">
      <c r="A191" s="40" t="str">
        <f>IF(Agent01_Loans!B203="","",Agent01_Loans!A203)</f>
        <v/>
      </c>
      <c r="B191" s="40" t="str">
        <f>IF(Agent01_Loans!B203="","",Agent01_Loans!B203)</f>
        <v/>
      </c>
      <c r="C191" s="40" t="str">
        <f>IF(Agent01_Loans!B203="","",Agent01_Loans!C203)</f>
        <v/>
      </c>
      <c r="D191" s="41" t="str">
        <f>IF(Agent01_Loans!B203="","",Agent01_Loans!D203)</f>
        <v/>
      </c>
      <c r="E191" s="43" t="str">
        <f>IF(Agent01_Loans!B203="","",Agent01_Loans!E203)</f>
        <v/>
      </c>
      <c r="F191" s="40" t="str">
        <f>IF(Agent01_Loans!B203="","",Agent01_Loans!F203)</f>
        <v/>
      </c>
      <c r="G191" s="40" t="str">
        <f>IF(Agent01_Loans!B203="","",Agent01_Loans!G203)</f>
        <v/>
      </c>
      <c r="H191" s="40" t="str">
        <f>IF(Agent01_Loans!B203="","",Agent01_Loans!H203)</f>
        <v/>
      </c>
      <c r="I191" s="43" t="str">
        <f>IF(Agent01_Loans!B203="","",Agent01_Loans!I203)</f>
        <v/>
      </c>
      <c r="J191" s="43" t="str">
        <f>IF(Agent01_Loans!B203="","",Agent01_Loans!J203)</f>
        <v/>
      </c>
      <c r="K191" s="40" t="str">
        <f>IF(Agent01_Loans!B203="","",Agent01_Loans!K203)</f>
        <v/>
      </c>
      <c r="L191" s="40" t="str">
        <f>IF(Agent01_Loans!B203="","",Agent01_Loans!L203)</f>
        <v/>
      </c>
      <c r="M191" s="40" t="str">
        <f>IFERROR(IF(Agent01_Loans!B203="","",YEAR(Agent01_Loans!D203)),"")</f>
        <v/>
      </c>
    </row>
    <row r="192" spans="1:13" ht="18" customHeight="1" x14ac:dyDescent="0.25">
      <c r="A192" s="40" t="str">
        <f>IF(Agent01_Loans!B204="","",Agent01_Loans!A204)</f>
        <v/>
      </c>
      <c r="B192" s="40" t="str">
        <f>IF(Agent01_Loans!B204="","",Agent01_Loans!B204)</f>
        <v/>
      </c>
      <c r="C192" s="40" t="str">
        <f>IF(Agent01_Loans!B204="","",Agent01_Loans!C204)</f>
        <v/>
      </c>
      <c r="D192" s="41" t="str">
        <f>IF(Agent01_Loans!B204="","",Agent01_Loans!D204)</f>
        <v/>
      </c>
      <c r="E192" s="43" t="str">
        <f>IF(Agent01_Loans!B204="","",Agent01_Loans!E204)</f>
        <v/>
      </c>
      <c r="F192" s="40" t="str">
        <f>IF(Agent01_Loans!B204="","",Agent01_Loans!F204)</f>
        <v/>
      </c>
      <c r="G192" s="40" t="str">
        <f>IF(Agent01_Loans!B204="","",Agent01_Loans!G204)</f>
        <v/>
      </c>
      <c r="H192" s="40" t="str">
        <f>IF(Agent01_Loans!B204="","",Agent01_Loans!H204)</f>
        <v/>
      </c>
      <c r="I192" s="43" t="str">
        <f>IF(Agent01_Loans!B204="","",Agent01_Loans!I204)</f>
        <v/>
      </c>
      <c r="J192" s="43" t="str">
        <f>IF(Agent01_Loans!B204="","",Agent01_Loans!J204)</f>
        <v/>
      </c>
      <c r="K192" s="40" t="str">
        <f>IF(Agent01_Loans!B204="","",Agent01_Loans!K204)</f>
        <v/>
      </c>
      <c r="L192" s="40" t="str">
        <f>IF(Agent01_Loans!B204="","",Agent01_Loans!L204)</f>
        <v/>
      </c>
      <c r="M192" s="40" t="str">
        <f>IFERROR(IF(Agent01_Loans!B204="","",YEAR(Agent01_Loans!D204)),"")</f>
        <v/>
      </c>
    </row>
    <row r="193" spans="1:13" ht="18" customHeight="1" x14ac:dyDescent="0.25">
      <c r="A193" s="40" t="str">
        <f>IF(Agent01_Loans!B205="","",Agent01_Loans!A205)</f>
        <v/>
      </c>
      <c r="B193" s="40" t="str">
        <f>IF(Agent01_Loans!B205="","",Agent01_Loans!B205)</f>
        <v/>
      </c>
      <c r="C193" s="40" t="str">
        <f>IF(Agent01_Loans!B205="","",Agent01_Loans!C205)</f>
        <v/>
      </c>
      <c r="D193" s="41" t="str">
        <f>IF(Agent01_Loans!B205="","",Agent01_Loans!D205)</f>
        <v/>
      </c>
      <c r="E193" s="43" t="str">
        <f>IF(Agent01_Loans!B205="","",Agent01_Loans!E205)</f>
        <v/>
      </c>
      <c r="F193" s="40" t="str">
        <f>IF(Agent01_Loans!B205="","",Agent01_Loans!F205)</f>
        <v/>
      </c>
      <c r="G193" s="40" t="str">
        <f>IF(Agent01_Loans!B205="","",Agent01_Loans!G205)</f>
        <v/>
      </c>
      <c r="H193" s="40" t="str">
        <f>IF(Agent01_Loans!B205="","",Agent01_Loans!H205)</f>
        <v/>
      </c>
      <c r="I193" s="43" t="str">
        <f>IF(Agent01_Loans!B205="","",Agent01_Loans!I205)</f>
        <v/>
      </c>
      <c r="J193" s="43" t="str">
        <f>IF(Agent01_Loans!B205="","",Agent01_Loans!J205)</f>
        <v/>
      </c>
      <c r="K193" s="40" t="str">
        <f>IF(Agent01_Loans!B205="","",Agent01_Loans!K205)</f>
        <v/>
      </c>
      <c r="L193" s="40" t="str">
        <f>IF(Agent01_Loans!B205="","",Agent01_Loans!L205)</f>
        <v/>
      </c>
      <c r="M193" s="40" t="str">
        <f>IFERROR(IF(Agent01_Loans!B205="","",YEAR(Agent01_Loans!D205)),"")</f>
        <v/>
      </c>
    </row>
    <row r="194" spans="1:13" ht="18" customHeight="1" x14ac:dyDescent="0.25">
      <c r="A194" s="40" t="str">
        <f>IF(Agent01_Loans!B206="","",Agent01_Loans!A206)</f>
        <v/>
      </c>
      <c r="B194" s="40" t="str">
        <f>IF(Agent01_Loans!B206="","",Agent01_Loans!B206)</f>
        <v/>
      </c>
      <c r="C194" s="40" t="str">
        <f>IF(Agent01_Loans!B206="","",Agent01_Loans!C206)</f>
        <v/>
      </c>
      <c r="D194" s="41" t="str">
        <f>IF(Agent01_Loans!B206="","",Agent01_Loans!D206)</f>
        <v/>
      </c>
      <c r="E194" s="43" t="str">
        <f>IF(Agent01_Loans!B206="","",Agent01_Loans!E206)</f>
        <v/>
      </c>
      <c r="F194" s="40" t="str">
        <f>IF(Agent01_Loans!B206="","",Agent01_Loans!F206)</f>
        <v/>
      </c>
      <c r="G194" s="40" t="str">
        <f>IF(Agent01_Loans!B206="","",Agent01_Loans!G206)</f>
        <v/>
      </c>
      <c r="H194" s="40" t="str">
        <f>IF(Agent01_Loans!B206="","",Agent01_Loans!H206)</f>
        <v/>
      </c>
      <c r="I194" s="43" t="str">
        <f>IF(Agent01_Loans!B206="","",Agent01_Loans!I206)</f>
        <v/>
      </c>
      <c r="J194" s="43" t="str">
        <f>IF(Agent01_Loans!B206="","",Agent01_Loans!J206)</f>
        <v/>
      </c>
      <c r="K194" s="40" t="str">
        <f>IF(Agent01_Loans!B206="","",Agent01_Loans!K206)</f>
        <v/>
      </c>
      <c r="L194" s="40" t="str">
        <f>IF(Agent01_Loans!B206="","",Agent01_Loans!L206)</f>
        <v/>
      </c>
      <c r="M194" s="40" t="str">
        <f>IFERROR(IF(Agent01_Loans!B206="","",YEAR(Agent01_Loans!D206)),"")</f>
        <v/>
      </c>
    </row>
    <row r="195" spans="1:13" ht="18" customHeight="1" x14ac:dyDescent="0.25">
      <c r="A195" s="40" t="str">
        <f>IF(Agent01_Loans!B207="","",Agent01_Loans!A207)</f>
        <v/>
      </c>
      <c r="B195" s="40" t="str">
        <f>IF(Agent01_Loans!B207="","",Agent01_Loans!B207)</f>
        <v/>
      </c>
      <c r="C195" s="40" t="str">
        <f>IF(Agent01_Loans!B207="","",Agent01_Loans!C207)</f>
        <v/>
      </c>
      <c r="D195" s="41" t="str">
        <f>IF(Agent01_Loans!B207="","",Agent01_Loans!D207)</f>
        <v/>
      </c>
      <c r="E195" s="43" t="str">
        <f>IF(Agent01_Loans!B207="","",Agent01_Loans!E207)</f>
        <v/>
      </c>
      <c r="F195" s="40" t="str">
        <f>IF(Agent01_Loans!B207="","",Agent01_Loans!F207)</f>
        <v/>
      </c>
      <c r="G195" s="40" t="str">
        <f>IF(Agent01_Loans!B207="","",Agent01_Loans!G207)</f>
        <v/>
      </c>
      <c r="H195" s="40" t="str">
        <f>IF(Agent01_Loans!B207="","",Agent01_Loans!H207)</f>
        <v/>
      </c>
      <c r="I195" s="43" t="str">
        <f>IF(Agent01_Loans!B207="","",Agent01_Loans!I207)</f>
        <v/>
      </c>
      <c r="J195" s="43" t="str">
        <f>IF(Agent01_Loans!B207="","",Agent01_Loans!J207)</f>
        <v/>
      </c>
      <c r="K195" s="40" t="str">
        <f>IF(Agent01_Loans!B207="","",Agent01_Loans!K207)</f>
        <v/>
      </c>
      <c r="L195" s="40" t="str">
        <f>IF(Agent01_Loans!B207="","",Agent01_Loans!L207)</f>
        <v/>
      </c>
      <c r="M195" s="40" t="str">
        <f>IFERROR(IF(Agent01_Loans!B207="","",YEAR(Agent01_Loans!D207)),"")</f>
        <v/>
      </c>
    </row>
    <row r="196" spans="1:13" ht="18" customHeight="1" x14ac:dyDescent="0.25">
      <c r="A196" s="40" t="str">
        <f>IF(Agent01_Loans!B208="","",Agent01_Loans!A208)</f>
        <v/>
      </c>
      <c r="B196" s="40" t="str">
        <f>IF(Agent01_Loans!B208="","",Agent01_Loans!B208)</f>
        <v/>
      </c>
      <c r="C196" s="40" t="str">
        <f>IF(Agent01_Loans!B208="","",Agent01_Loans!C208)</f>
        <v/>
      </c>
      <c r="D196" s="41" t="str">
        <f>IF(Agent01_Loans!B208="","",Agent01_Loans!D208)</f>
        <v/>
      </c>
      <c r="E196" s="43" t="str">
        <f>IF(Agent01_Loans!B208="","",Agent01_Loans!E208)</f>
        <v/>
      </c>
      <c r="F196" s="40" t="str">
        <f>IF(Agent01_Loans!B208="","",Agent01_Loans!F208)</f>
        <v/>
      </c>
      <c r="G196" s="40" t="str">
        <f>IF(Agent01_Loans!B208="","",Agent01_Loans!G208)</f>
        <v/>
      </c>
      <c r="H196" s="40" t="str">
        <f>IF(Agent01_Loans!B208="","",Agent01_Loans!H208)</f>
        <v/>
      </c>
      <c r="I196" s="43" t="str">
        <f>IF(Agent01_Loans!B208="","",Agent01_Loans!I208)</f>
        <v/>
      </c>
      <c r="J196" s="43" t="str">
        <f>IF(Agent01_Loans!B208="","",Agent01_Loans!J208)</f>
        <v/>
      </c>
      <c r="K196" s="40" t="str">
        <f>IF(Agent01_Loans!B208="","",Agent01_Loans!K208)</f>
        <v/>
      </c>
      <c r="L196" s="40" t="str">
        <f>IF(Agent01_Loans!B208="","",Agent01_Loans!L208)</f>
        <v/>
      </c>
      <c r="M196" s="40" t="str">
        <f>IFERROR(IF(Agent01_Loans!B208="","",YEAR(Agent01_Loans!D208)),"")</f>
        <v/>
      </c>
    </row>
    <row r="197" spans="1:13" ht="18" customHeight="1" x14ac:dyDescent="0.25">
      <c r="A197" s="40" t="str">
        <f>IF(Agent01_Loans!B209="","",Agent01_Loans!A209)</f>
        <v/>
      </c>
      <c r="B197" s="40" t="str">
        <f>IF(Agent01_Loans!B209="","",Agent01_Loans!B209)</f>
        <v/>
      </c>
      <c r="C197" s="40" t="str">
        <f>IF(Agent01_Loans!B209="","",Agent01_Loans!C209)</f>
        <v/>
      </c>
      <c r="D197" s="41" t="str">
        <f>IF(Agent01_Loans!B209="","",Agent01_Loans!D209)</f>
        <v/>
      </c>
      <c r="E197" s="43" t="str">
        <f>IF(Agent01_Loans!B209="","",Agent01_Loans!E209)</f>
        <v/>
      </c>
      <c r="F197" s="40" t="str">
        <f>IF(Agent01_Loans!B209="","",Agent01_Loans!F209)</f>
        <v/>
      </c>
      <c r="G197" s="40" t="str">
        <f>IF(Agent01_Loans!B209="","",Agent01_Loans!G209)</f>
        <v/>
      </c>
      <c r="H197" s="40" t="str">
        <f>IF(Agent01_Loans!B209="","",Agent01_Loans!H209)</f>
        <v/>
      </c>
      <c r="I197" s="43" t="str">
        <f>IF(Agent01_Loans!B209="","",Agent01_Loans!I209)</f>
        <v/>
      </c>
      <c r="J197" s="43" t="str">
        <f>IF(Agent01_Loans!B209="","",Agent01_Loans!J209)</f>
        <v/>
      </c>
      <c r="K197" s="40" t="str">
        <f>IF(Agent01_Loans!B209="","",Agent01_Loans!K209)</f>
        <v/>
      </c>
      <c r="L197" s="40" t="str">
        <f>IF(Agent01_Loans!B209="","",Agent01_Loans!L209)</f>
        <v/>
      </c>
      <c r="M197" s="40" t="str">
        <f>IFERROR(IF(Agent01_Loans!B209="","",YEAR(Agent01_Loans!D209)),"")</f>
        <v/>
      </c>
    </row>
    <row r="198" spans="1:13" ht="18" customHeight="1" x14ac:dyDescent="0.25">
      <c r="A198" s="40" t="str">
        <f>IF(Agent01_Loans!B210="","",Agent01_Loans!A210)</f>
        <v/>
      </c>
      <c r="B198" s="40" t="str">
        <f>IF(Agent01_Loans!B210="","",Agent01_Loans!B210)</f>
        <v/>
      </c>
      <c r="C198" s="40" t="str">
        <f>IF(Agent01_Loans!B210="","",Agent01_Loans!C210)</f>
        <v/>
      </c>
      <c r="D198" s="41" t="str">
        <f>IF(Agent01_Loans!B210="","",Agent01_Loans!D210)</f>
        <v/>
      </c>
      <c r="E198" s="43" t="str">
        <f>IF(Agent01_Loans!B210="","",Agent01_Loans!E210)</f>
        <v/>
      </c>
      <c r="F198" s="40" t="str">
        <f>IF(Agent01_Loans!B210="","",Agent01_Loans!F210)</f>
        <v/>
      </c>
      <c r="G198" s="40" t="str">
        <f>IF(Agent01_Loans!B210="","",Agent01_Loans!G210)</f>
        <v/>
      </c>
      <c r="H198" s="40" t="str">
        <f>IF(Agent01_Loans!B210="","",Agent01_Loans!H210)</f>
        <v/>
      </c>
      <c r="I198" s="43" t="str">
        <f>IF(Agent01_Loans!B210="","",Agent01_Loans!I210)</f>
        <v/>
      </c>
      <c r="J198" s="43" t="str">
        <f>IF(Agent01_Loans!B210="","",Agent01_Loans!J210)</f>
        <v/>
      </c>
      <c r="K198" s="40" t="str">
        <f>IF(Agent01_Loans!B210="","",Agent01_Loans!K210)</f>
        <v/>
      </c>
      <c r="L198" s="40" t="str">
        <f>IF(Agent01_Loans!B210="","",Agent01_Loans!L210)</f>
        <v/>
      </c>
      <c r="M198" s="40" t="str">
        <f>IFERROR(IF(Agent01_Loans!B210="","",YEAR(Agent01_Loans!D210)),"")</f>
        <v/>
      </c>
    </row>
    <row r="199" spans="1:13" ht="18" customHeight="1" x14ac:dyDescent="0.25">
      <c r="A199" s="40" t="str">
        <f>IF(Agent01_Loans!B211="","",Agent01_Loans!A211)</f>
        <v/>
      </c>
      <c r="B199" s="40" t="str">
        <f>IF(Agent01_Loans!B211="","",Agent01_Loans!B211)</f>
        <v/>
      </c>
      <c r="C199" s="40" t="str">
        <f>IF(Agent01_Loans!B211="","",Agent01_Loans!C211)</f>
        <v/>
      </c>
      <c r="D199" s="41" t="str">
        <f>IF(Agent01_Loans!B211="","",Agent01_Loans!D211)</f>
        <v/>
      </c>
      <c r="E199" s="43" t="str">
        <f>IF(Agent01_Loans!B211="","",Agent01_Loans!E211)</f>
        <v/>
      </c>
      <c r="F199" s="40" t="str">
        <f>IF(Agent01_Loans!B211="","",Agent01_Loans!F211)</f>
        <v/>
      </c>
      <c r="G199" s="40" t="str">
        <f>IF(Agent01_Loans!B211="","",Agent01_Loans!G211)</f>
        <v/>
      </c>
      <c r="H199" s="40" t="str">
        <f>IF(Agent01_Loans!B211="","",Agent01_Loans!H211)</f>
        <v/>
      </c>
      <c r="I199" s="43" t="str">
        <f>IF(Agent01_Loans!B211="","",Agent01_Loans!I211)</f>
        <v/>
      </c>
      <c r="J199" s="43" t="str">
        <f>IF(Agent01_Loans!B211="","",Agent01_Loans!J211)</f>
        <v/>
      </c>
      <c r="K199" s="40" t="str">
        <f>IF(Agent01_Loans!B211="","",Agent01_Loans!K211)</f>
        <v/>
      </c>
      <c r="L199" s="40" t="str">
        <f>IF(Agent01_Loans!B211="","",Agent01_Loans!L211)</f>
        <v/>
      </c>
      <c r="M199" s="40" t="str">
        <f>IFERROR(IF(Agent01_Loans!B211="","",YEAR(Agent01_Loans!D211)),"")</f>
        <v/>
      </c>
    </row>
    <row r="200" spans="1:13" ht="18" customHeight="1" x14ac:dyDescent="0.25">
      <c r="A200" s="40" t="str">
        <f>IF(Agent01_Loans!B212="","",Agent01_Loans!A212)</f>
        <v/>
      </c>
      <c r="B200" s="40" t="str">
        <f>IF(Agent01_Loans!B212="","",Agent01_Loans!B212)</f>
        <v/>
      </c>
      <c r="C200" s="40" t="str">
        <f>IF(Agent01_Loans!B212="","",Agent01_Loans!C212)</f>
        <v/>
      </c>
      <c r="D200" s="41" t="str">
        <f>IF(Agent01_Loans!B212="","",Agent01_Loans!D212)</f>
        <v/>
      </c>
      <c r="E200" s="43" t="str">
        <f>IF(Agent01_Loans!B212="","",Agent01_Loans!E212)</f>
        <v/>
      </c>
      <c r="F200" s="40" t="str">
        <f>IF(Agent01_Loans!B212="","",Agent01_Loans!F212)</f>
        <v/>
      </c>
      <c r="G200" s="40" t="str">
        <f>IF(Agent01_Loans!B212="","",Agent01_Loans!G212)</f>
        <v/>
      </c>
      <c r="H200" s="40" t="str">
        <f>IF(Agent01_Loans!B212="","",Agent01_Loans!H212)</f>
        <v/>
      </c>
      <c r="I200" s="43" t="str">
        <f>IF(Agent01_Loans!B212="","",Agent01_Loans!I212)</f>
        <v/>
      </c>
      <c r="J200" s="43" t="str">
        <f>IF(Agent01_Loans!B212="","",Agent01_Loans!J212)</f>
        <v/>
      </c>
      <c r="K200" s="40" t="str">
        <f>IF(Agent01_Loans!B212="","",Agent01_Loans!K212)</f>
        <v/>
      </c>
      <c r="L200" s="40" t="str">
        <f>IF(Agent01_Loans!B212="","",Agent01_Loans!L212)</f>
        <v/>
      </c>
      <c r="M200" s="40" t="str">
        <f>IFERROR(IF(Agent01_Loans!B212="","",YEAR(Agent01_Loans!D212)),"")</f>
        <v/>
      </c>
    </row>
    <row r="201" spans="1:13" ht="18" customHeight="1" x14ac:dyDescent="0.25">
      <c r="A201" s="40" t="str">
        <f>IF(Agent01_Loans!B213="","",Agent01_Loans!A213)</f>
        <v/>
      </c>
      <c r="B201" s="40" t="str">
        <f>IF(Agent01_Loans!B213="","",Agent01_Loans!B213)</f>
        <v/>
      </c>
      <c r="C201" s="40" t="str">
        <f>IF(Agent01_Loans!B213="","",Agent01_Loans!C213)</f>
        <v/>
      </c>
      <c r="D201" s="41" t="str">
        <f>IF(Agent01_Loans!B213="","",Agent01_Loans!D213)</f>
        <v/>
      </c>
      <c r="E201" s="43" t="str">
        <f>IF(Agent01_Loans!B213="","",Agent01_Loans!E213)</f>
        <v/>
      </c>
      <c r="F201" s="40" t="str">
        <f>IF(Agent01_Loans!B213="","",Agent01_Loans!F213)</f>
        <v/>
      </c>
      <c r="G201" s="40" t="str">
        <f>IF(Agent01_Loans!B213="","",Agent01_Loans!G213)</f>
        <v/>
      </c>
      <c r="H201" s="40" t="str">
        <f>IF(Agent01_Loans!B213="","",Agent01_Loans!H213)</f>
        <v/>
      </c>
      <c r="I201" s="43" t="str">
        <f>IF(Agent01_Loans!B213="","",Agent01_Loans!I213)</f>
        <v/>
      </c>
      <c r="J201" s="43" t="str">
        <f>IF(Agent01_Loans!B213="","",Agent01_Loans!J213)</f>
        <v/>
      </c>
      <c r="K201" s="40" t="str">
        <f>IF(Agent01_Loans!B213="","",Agent01_Loans!K213)</f>
        <v/>
      </c>
      <c r="L201" s="40" t="str">
        <f>IF(Agent01_Loans!B213="","",Agent01_Loans!L213)</f>
        <v/>
      </c>
      <c r="M201" s="40" t="str">
        <f>IFERROR(IF(Agent01_Loans!B213="","",YEAR(Agent01_Loans!D213)),"")</f>
        <v/>
      </c>
    </row>
    <row r="202" spans="1:13" ht="18" customHeight="1" x14ac:dyDescent="0.25">
      <c r="A202" s="40" t="str">
        <f>IF(Agent01_Loans!B214="","",Agent01_Loans!A214)</f>
        <v/>
      </c>
      <c r="B202" s="40" t="str">
        <f>IF(Agent01_Loans!B214="","",Agent01_Loans!B214)</f>
        <v/>
      </c>
      <c r="C202" s="40" t="str">
        <f>IF(Agent01_Loans!B214="","",Agent01_Loans!C214)</f>
        <v/>
      </c>
      <c r="D202" s="41" t="str">
        <f>IF(Agent01_Loans!B214="","",Agent01_Loans!D214)</f>
        <v/>
      </c>
      <c r="E202" s="43" t="str">
        <f>IF(Agent01_Loans!B214="","",Agent01_Loans!E214)</f>
        <v/>
      </c>
      <c r="F202" s="40" t="str">
        <f>IF(Agent01_Loans!B214="","",Agent01_Loans!F214)</f>
        <v/>
      </c>
      <c r="G202" s="40" t="str">
        <f>IF(Agent01_Loans!B214="","",Agent01_Loans!G214)</f>
        <v/>
      </c>
      <c r="H202" s="40" t="str">
        <f>IF(Agent01_Loans!B214="","",Agent01_Loans!H214)</f>
        <v/>
      </c>
      <c r="I202" s="43" t="str">
        <f>IF(Agent01_Loans!B214="","",Agent01_Loans!I214)</f>
        <v/>
      </c>
      <c r="J202" s="43" t="str">
        <f>IF(Agent01_Loans!B214="","",Agent01_Loans!J214)</f>
        <v/>
      </c>
      <c r="K202" s="40" t="str">
        <f>IF(Agent01_Loans!B214="","",Agent01_Loans!K214)</f>
        <v/>
      </c>
      <c r="L202" s="40" t="str">
        <f>IF(Agent01_Loans!B214="","",Agent01_Loans!L214)</f>
        <v/>
      </c>
      <c r="M202" s="40" t="str">
        <f>IFERROR(IF(Agent01_Loans!B214="","",YEAR(Agent01_Loans!D214)),"")</f>
        <v/>
      </c>
    </row>
    <row r="203" spans="1:13" ht="18" customHeight="1" x14ac:dyDescent="0.25">
      <c r="A203" s="40" t="str">
        <f>IF(Agent01_Loans!B215="","",Agent01_Loans!A215)</f>
        <v/>
      </c>
      <c r="B203" s="40" t="str">
        <f>IF(Agent01_Loans!B215="","",Agent01_Loans!B215)</f>
        <v/>
      </c>
      <c r="C203" s="40" t="str">
        <f>IF(Agent01_Loans!B215="","",Agent01_Loans!C215)</f>
        <v/>
      </c>
      <c r="D203" s="41" t="str">
        <f>IF(Agent01_Loans!B215="","",Agent01_Loans!D215)</f>
        <v/>
      </c>
      <c r="E203" s="43" t="str">
        <f>IF(Agent01_Loans!B215="","",Agent01_Loans!E215)</f>
        <v/>
      </c>
      <c r="F203" s="40" t="str">
        <f>IF(Agent01_Loans!B215="","",Agent01_Loans!F215)</f>
        <v/>
      </c>
      <c r="G203" s="40" t="str">
        <f>IF(Agent01_Loans!B215="","",Agent01_Loans!G215)</f>
        <v/>
      </c>
      <c r="H203" s="40" t="str">
        <f>IF(Agent01_Loans!B215="","",Agent01_Loans!H215)</f>
        <v/>
      </c>
      <c r="I203" s="43" t="str">
        <f>IF(Agent01_Loans!B215="","",Agent01_Loans!I215)</f>
        <v/>
      </c>
      <c r="J203" s="43" t="str">
        <f>IF(Agent01_Loans!B215="","",Agent01_Loans!J215)</f>
        <v/>
      </c>
      <c r="K203" s="40" t="str">
        <f>IF(Agent01_Loans!B215="","",Agent01_Loans!K215)</f>
        <v/>
      </c>
      <c r="L203" s="40" t="str">
        <f>IF(Agent01_Loans!B215="","",Agent01_Loans!L215)</f>
        <v/>
      </c>
      <c r="M203" s="40" t="str">
        <f>IFERROR(IF(Agent01_Loans!B215="","",YEAR(Agent01_Loans!D215)),"")</f>
        <v/>
      </c>
    </row>
    <row r="204" spans="1:13" ht="18" customHeight="1" x14ac:dyDescent="0.25">
      <c r="A204" s="40" t="str">
        <f>IF(Agent02_Loans!B16="","",Agent02_Loans!A16)</f>
        <v/>
      </c>
      <c r="B204" s="40" t="str">
        <f>IF(Agent02_Loans!B16="","",Agent02_Loans!B16)</f>
        <v/>
      </c>
      <c r="C204" s="40" t="str">
        <f>IF(Agent02_Loans!B16="","",Agent02_Loans!C16)</f>
        <v/>
      </c>
      <c r="D204" s="41" t="str">
        <f>IF(Agent02_Loans!B16="","",Agent02_Loans!D16)</f>
        <v/>
      </c>
      <c r="E204" s="43" t="str">
        <f>IF(Agent02_Loans!B16="","",Agent02_Loans!E16)</f>
        <v/>
      </c>
      <c r="F204" s="40" t="str">
        <f>IF(Agent02_Loans!B16="","",Agent02_Loans!F16)</f>
        <v/>
      </c>
      <c r="G204" s="40" t="str">
        <f>IF(Agent02_Loans!B16="","",Agent02_Loans!G16)</f>
        <v/>
      </c>
      <c r="H204" s="40" t="str">
        <f>IF(Agent02_Loans!B16="","",Agent02_Loans!H16)</f>
        <v/>
      </c>
      <c r="I204" s="43" t="str">
        <f>IF(Agent02_Loans!B16="","",Agent02_Loans!I16)</f>
        <v/>
      </c>
      <c r="J204" s="43" t="str">
        <f>IF(Agent02_Loans!B16="","",Agent02_Loans!J16)</f>
        <v/>
      </c>
      <c r="K204" s="40" t="str">
        <f>IF(Agent02_Loans!B16="","",Agent02_Loans!K16)</f>
        <v/>
      </c>
      <c r="L204" s="40" t="str">
        <f>IF(Agent02_Loans!B16="","",Agent02_Loans!L16)</f>
        <v/>
      </c>
      <c r="M204" s="40" t="str">
        <f>IFERROR(IF(Agent02_Loans!B16="","",YEAR(Agent02_Loans!D16)),"")</f>
        <v/>
      </c>
    </row>
    <row r="205" spans="1:13" ht="18" customHeight="1" x14ac:dyDescent="0.25">
      <c r="A205" s="40" t="str">
        <f>IF(Agent02_Loans!B17="","",Agent02_Loans!A17)</f>
        <v/>
      </c>
      <c r="B205" s="40" t="str">
        <f>IF(Agent02_Loans!B17="","",Agent02_Loans!B17)</f>
        <v/>
      </c>
      <c r="C205" s="40" t="str">
        <f>IF(Agent02_Loans!B17="","",Agent02_Loans!C17)</f>
        <v/>
      </c>
      <c r="D205" s="41" t="str">
        <f>IF(Agent02_Loans!B17="","",Agent02_Loans!D17)</f>
        <v/>
      </c>
      <c r="E205" s="43" t="str">
        <f>IF(Agent02_Loans!B17="","",Agent02_Loans!E17)</f>
        <v/>
      </c>
      <c r="F205" s="40" t="str">
        <f>IF(Agent02_Loans!B17="","",Agent02_Loans!F17)</f>
        <v/>
      </c>
      <c r="G205" s="40" t="str">
        <f>IF(Agent02_Loans!B17="","",Agent02_Loans!G17)</f>
        <v/>
      </c>
      <c r="H205" s="40" t="str">
        <f>IF(Agent02_Loans!B17="","",Agent02_Loans!H17)</f>
        <v/>
      </c>
      <c r="I205" s="43" t="str">
        <f>IF(Agent02_Loans!B17="","",Agent02_Loans!I17)</f>
        <v/>
      </c>
      <c r="J205" s="43" t="str">
        <f>IF(Agent02_Loans!B17="","",Agent02_Loans!J17)</f>
        <v/>
      </c>
      <c r="K205" s="40" t="str">
        <f>IF(Agent02_Loans!B17="","",Agent02_Loans!K17)</f>
        <v/>
      </c>
      <c r="L205" s="40" t="str">
        <f>IF(Agent02_Loans!B17="","",Agent02_Loans!L17)</f>
        <v/>
      </c>
      <c r="M205" s="40" t="str">
        <f>IFERROR(IF(Agent02_Loans!B17="","",YEAR(Agent02_Loans!D17)),"")</f>
        <v/>
      </c>
    </row>
    <row r="206" spans="1:13" ht="18" customHeight="1" x14ac:dyDescent="0.25">
      <c r="A206" s="40" t="str">
        <f>IF(Agent02_Loans!B18="","",Agent02_Loans!A18)</f>
        <v/>
      </c>
      <c r="B206" s="40" t="str">
        <f>IF(Agent02_Loans!B18="","",Agent02_Loans!B18)</f>
        <v/>
      </c>
      <c r="C206" s="40" t="str">
        <f>IF(Agent02_Loans!B18="","",Agent02_Loans!C18)</f>
        <v/>
      </c>
      <c r="D206" s="41" t="str">
        <f>IF(Agent02_Loans!B18="","",Agent02_Loans!D18)</f>
        <v/>
      </c>
      <c r="E206" s="43" t="str">
        <f>IF(Agent02_Loans!B18="","",Agent02_Loans!E18)</f>
        <v/>
      </c>
      <c r="F206" s="40" t="str">
        <f>IF(Agent02_Loans!B18="","",Agent02_Loans!F18)</f>
        <v/>
      </c>
      <c r="G206" s="40" t="str">
        <f>IF(Agent02_Loans!B18="","",Agent02_Loans!G18)</f>
        <v/>
      </c>
      <c r="H206" s="40" t="str">
        <f>IF(Agent02_Loans!B18="","",Agent02_Loans!H18)</f>
        <v/>
      </c>
      <c r="I206" s="43" t="str">
        <f>IF(Agent02_Loans!B18="","",Agent02_Loans!I18)</f>
        <v/>
      </c>
      <c r="J206" s="43" t="str">
        <f>IF(Agent02_Loans!B18="","",Agent02_Loans!J18)</f>
        <v/>
      </c>
      <c r="K206" s="40" t="str">
        <f>IF(Agent02_Loans!B18="","",Agent02_Loans!K18)</f>
        <v/>
      </c>
      <c r="L206" s="40" t="str">
        <f>IF(Agent02_Loans!B18="","",Agent02_Loans!L18)</f>
        <v/>
      </c>
      <c r="M206" s="40" t="str">
        <f>IFERROR(IF(Agent02_Loans!B18="","",YEAR(Agent02_Loans!D18)),"")</f>
        <v/>
      </c>
    </row>
    <row r="207" spans="1:13" ht="18" customHeight="1" x14ac:dyDescent="0.25">
      <c r="A207" s="40" t="str">
        <f>IF(Agent02_Loans!B19="","",Agent02_Loans!A19)</f>
        <v/>
      </c>
      <c r="B207" s="40" t="str">
        <f>IF(Agent02_Loans!B19="","",Agent02_Loans!B19)</f>
        <v/>
      </c>
      <c r="C207" s="40" t="str">
        <f>IF(Agent02_Loans!B19="","",Agent02_Loans!C19)</f>
        <v/>
      </c>
      <c r="D207" s="41" t="str">
        <f>IF(Agent02_Loans!B19="","",Agent02_Loans!D19)</f>
        <v/>
      </c>
      <c r="E207" s="43" t="str">
        <f>IF(Agent02_Loans!B19="","",Agent02_Loans!E19)</f>
        <v/>
      </c>
      <c r="F207" s="40" t="str">
        <f>IF(Agent02_Loans!B19="","",Agent02_Loans!F19)</f>
        <v/>
      </c>
      <c r="G207" s="40" t="str">
        <f>IF(Agent02_Loans!B19="","",Agent02_Loans!G19)</f>
        <v/>
      </c>
      <c r="H207" s="40" t="str">
        <f>IF(Agent02_Loans!B19="","",Agent02_Loans!H19)</f>
        <v/>
      </c>
      <c r="I207" s="43" t="str">
        <f>IF(Agent02_Loans!B19="","",Agent02_Loans!I19)</f>
        <v/>
      </c>
      <c r="J207" s="43" t="str">
        <f>IF(Agent02_Loans!B19="","",Agent02_Loans!J19)</f>
        <v/>
      </c>
      <c r="K207" s="40" t="str">
        <f>IF(Agent02_Loans!B19="","",Agent02_Loans!K19)</f>
        <v/>
      </c>
      <c r="L207" s="40" t="str">
        <f>IF(Agent02_Loans!B19="","",Agent02_Loans!L19)</f>
        <v/>
      </c>
      <c r="M207" s="40" t="str">
        <f>IFERROR(IF(Agent02_Loans!B19="","",YEAR(Agent02_Loans!D19)),"")</f>
        <v/>
      </c>
    </row>
    <row r="208" spans="1:13" ht="18" customHeight="1" x14ac:dyDescent="0.25">
      <c r="A208" s="40" t="str">
        <f>IF(Agent02_Loans!B20="","",Agent02_Loans!A20)</f>
        <v/>
      </c>
      <c r="B208" s="40" t="str">
        <f>IF(Agent02_Loans!B20="","",Agent02_Loans!B20)</f>
        <v/>
      </c>
      <c r="C208" s="40" t="str">
        <f>IF(Agent02_Loans!B20="","",Agent02_Loans!C20)</f>
        <v/>
      </c>
      <c r="D208" s="41" t="str">
        <f>IF(Agent02_Loans!B20="","",Agent02_Loans!D20)</f>
        <v/>
      </c>
      <c r="E208" s="43" t="str">
        <f>IF(Agent02_Loans!B20="","",Agent02_Loans!E20)</f>
        <v/>
      </c>
      <c r="F208" s="40" t="str">
        <f>IF(Agent02_Loans!B20="","",Agent02_Loans!F20)</f>
        <v/>
      </c>
      <c r="G208" s="40" t="str">
        <f>IF(Agent02_Loans!B20="","",Agent02_Loans!G20)</f>
        <v/>
      </c>
      <c r="H208" s="40" t="str">
        <f>IF(Agent02_Loans!B20="","",Agent02_Loans!H20)</f>
        <v/>
      </c>
      <c r="I208" s="43" t="str">
        <f>IF(Agent02_Loans!B20="","",Agent02_Loans!I20)</f>
        <v/>
      </c>
      <c r="J208" s="43" t="str">
        <f>IF(Agent02_Loans!B20="","",Agent02_Loans!J20)</f>
        <v/>
      </c>
      <c r="K208" s="40" t="str">
        <f>IF(Agent02_Loans!B20="","",Agent02_Loans!K20)</f>
        <v/>
      </c>
      <c r="L208" s="40" t="str">
        <f>IF(Agent02_Loans!B20="","",Agent02_Loans!L20)</f>
        <v/>
      </c>
      <c r="M208" s="40" t="str">
        <f>IFERROR(IF(Agent02_Loans!B20="","",YEAR(Agent02_Loans!D20)),"")</f>
        <v/>
      </c>
    </row>
    <row r="209" spans="1:13" ht="18" customHeight="1" x14ac:dyDescent="0.25">
      <c r="A209" s="40" t="str">
        <f>IF(Agent02_Loans!B21="","",Agent02_Loans!A21)</f>
        <v/>
      </c>
      <c r="B209" s="40" t="str">
        <f>IF(Agent02_Loans!B21="","",Agent02_Loans!B21)</f>
        <v/>
      </c>
      <c r="C209" s="40" t="str">
        <f>IF(Agent02_Loans!B21="","",Agent02_Loans!C21)</f>
        <v/>
      </c>
      <c r="D209" s="41" t="str">
        <f>IF(Agent02_Loans!B21="","",Agent02_Loans!D21)</f>
        <v/>
      </c>
      <c r="E209" s="43" t="str">
        <f>IF(Agent02_Loans!B21="","",Agent02_Loans!E21)</f>
        <v/>
      </c>
      <c r="F209" s="40" t="str">
        <f>IF(Agent02_Loans!B21="","",Agent02_Loans!F21)</f>
        <v/>
      </c>
      <c r="G209" s="40" t="str">
        <f>IF(Agent02_Loans!B21="","",Agent02_Loans!G21)</f>
        <v/>
      </c>
      <c r="H209" s="40" t="str">
        <f>IF(Agent02_Loans!B21="","",Agent02_Loans!H21)</f>
        <v/>
      </c>
      <c r="I209" s="43" t="str">
        <f>IF(Agent02_Loans!B21="","",Agent02_Loans!I21)</f>
        <v/>
      </c>
      <c r="J209" s="43" t="str">
        <f>IF(Agent02_Loans!B21="","",Agent02_Loans!J21)</f>
        <v/>
      </c>
      <c r="K209" s="40" t="str">
        <f>IF(Agent02_Loans!B21="","",Agent02_Loans!K21)</f>
        <v/>
      </c>
      <c r="L209" s="40" t="str">
        <f>IF(Agent02_Loans!B21="","",Agent02_Loans!L21)</f>
        <v/>
      </c>
      <c r="M209" s="40" t="str">
        <f>IFERROR(IF(Agent02_Loans!B21="","",YEAR(Agent02_Loans!D21)),"")</f>
        <v/>
      </c>
    </row>
    <row r="210" spans="1:13" ht="18" customHeight="1" x14ac:dyDescent="0.25">
      <c r="A210" s="40" t="str">
        <f>IF(Agent02_Loans!B22="","",Agent02_Loans!A22)</f>
        <v/>
      </c>
      <c r="B210" s="40" t="str">
        <f>IF(Agent02_Loans!B22="","",Agent02_Loans!B22)</f>
        <v/>
      </c>
      <c r="C210" s="40" t="str">
        <f>IF(Agent02_Loans!B22="","",Agent02_Loans!C22)</f>
        <v/>
      </c>
      <c r="D210" s="41" t="str">
        <f>IF(Agent02_Loans!B22="","",Agent02_Loans!D22)</f>
        <v/>
      </c>
      <c r="E210" s="43" t="str">
        <f>IF(Agent02_Loans!B22="","",Agent02_Loans!E22)</f>
        <v/>
      </c>
      <c r="F210" s="40" t="str">
        <f>IF(Agent02_Loans!B22="","",Agent02_Loans!F22)</f>
        <v/>
      </c>
      <c r="G210" s="40" t="str">
        <f>IF(Agent02_Loans!B22="","",Agent02_Loans!G22)</f>
        <v/>
      </c>
      <c r="H210" s="40" t="str">
        <f>IF(Agent02_Loans!B22="","",Agent02_Loans!H22)</f>
        <v/>
      </c>
      <c r="I210" s="43" t="str">
        <f>IF(Agent02_Loans!B22="","",Agent02_Loans!I22)</f>
        <v/>
      </c>
      <c r="J210" s="43" t="str">
        <f>IF(Agent02_Loans!B22="","",Agent02_Loans!J22)</f>
        <v/>
      </c>
      <c r="K210" s="40" t="str">
        <f>IF(Agent02_Loans!B22="","",Agent02_Loans!K22)</f>
        <v/>
      </c>
      <c r="L210" s="40" t="str">
        <f>IF(Agent02_Loans!B22="","",Agent02_Loans!L22)</f>
        <v/>
      </c>
      <c r="M210" s="40" t="str">
        <f>IFERROR(IF(Agent02_Loans!B22="","",YEAR(Agent02_Loans!D22)),"")</f>
        <v/>
      </c>
    </row>
    <row r="211" spans="1:13" ht="18" customHeight="1" x14ac:dyDescent="0.25">
      <c r="A211" s="40" t="str">
        <f>IF(Agent02_Loans!B23="","",Agent02_Loans!A23)</f>
        <v/>
      </c>
      <c r="B211" s="40" t="str">
        <f>IF(Agent02_Loans!B23="","",Agent02_Loans!B23)</f>
        <v/>
      </c>
      <c r="C211" s="40" t="str">
        <f>IF(Agent02_Loans!B23="","",Agent02_Loans!C23)</f>
        <v/>
      </c>
      <c r="D211" s="41" t="str">
        <f>IF(Agent02_Loans!B23="","",Agent02_Loans!D23)</f>
        <v/>
      </c>
      <c r="E211" s="43" t="str">
        <f>IF(Agent02_Loans!B23="","",Agent02_Loans!E23)</f>
        <v/>
      </c>
      <c r="F211" s="40" t="str">
        <f>IF(Agent02_Loans!B23="","",Agent02_Loans!F23)</f>
        <v/>
      </c>
      <c r="G211" s="40" t="str">
        <f>IF(Agent02_Loans!B23="","",Agent02_Loans!G23)</f>
        <v/>
      </c>
      <c r="H211" s="40" t="str">
        <f>IF(Agent02_Loans!B23="","",Agent02_Loans!H23)</f>
        <v/>
      </c>
      <c r="I211" s="43" t="str">
        <f>IF(Agent02_Loans!B23="","",Agent02_Loans!I23)</f>
        <v/>
      </c>
      <c r="J211" s="43" t="str">
        <f>IF(Agent02_Loans!B23="","",Agent02_Loans!J23)</f>
        <v/>
      </c>
      <c r="K211" s="40" t="str">
        <f>IF(Agent02_Loans!B23="","",Agent02_Loans!K23)</f>
        <v/>
      </c>
      <c r="L211" s="40" t="str">
        <f>IF(Agent02_Loans!B23="","",Agent02_Loans!L23)</f>
        <v/>
      </c>
      <c r="M211" s="40" t="str">
        <f>IFERROR(IF(Agent02_Loans!B23="","",YEAR(Agent02_Loans!D23)),"")</f>
        <v/>
      </c>
    </row>
    <row r="212" spans="1:13" ht="18" customHeight="1" x14ac:dyDescent="0.25">
      <c r="A212" s="40" t="str">
        <f>IF(Agent02_Loans!B24="","",Agent02_Loans!A24)</f>
        <v/>
      </c>
      <c r="B212" s="40" t="str">
        <f>IF(Agent02_Loans!B24="","",Agent02_Loans!B24)</f>
        <v/>
      </c>
      <c r="C212" s="40" t="str">
        <f>IF(Agent02_Loans!B24="","",Agent02_Loans!C24)</f>
        <v/>
      </c>
      <c r="D212" s="41" t="str">
        <f>IF(Agent02_Loans!B24="","",Agent02_Loans!D24)</f>
        <v/>
      </c>
      <c r="E212" s="43" t="str">
        <f>IF(Agent02_Loans!B24="","",Agent02_Loans!E24)</f>
        <v/>
      </c>
      <c r="F212" s="40" t="str">
        <f>IF(Agent02_Loans!B24="","",Agent02_Loans!F24)</f>
        <v/>
      </c>
      <c r="G212" s="40" t="str">
        <f>IF(Agent02_Loans!B24="","",Agent02_Loans!G24)</f>
        <v/>
      </c>
      <c r="H212" s="40" t="str">
        <f>IF(Agent02_Loans!B24="","",Agent02_Loans!H24)</f>
        <v/>
      </c>
      <c r="I212" s="43" t="str">
        <f>IF(Agent02_Loans!B24="","",Agent02_Loans!I24)</f>
        <v/>
      </c>
      <c r="J212" s="43" t="str">
        <f>IF(Agent02_Loans!B24="","",Agent02_Loans!J24)</f>
        <v/>
      </c>
      <c r="K212" s="40" t="str">
        <f>IF(Agent02_Loans!B24="","",Agent02_Loans!K24)</f>
        <v/>
      </c>
      <c r="L212" s="40" t="str">
        <f>IF(Agent02_Loans!B24="","",Agent02_Loans!L24)</f>
        <v/>
      </c>
      <c r="M212" s="40" t="str">
        <f>IFERROR(IF(Agent02_Loans!B24="","",YEAR(Agent02_Loans!D24)),"")</f>
        <v/>
      </c>
    </row>
    <row r="213" spans="1:13" ht="18" customHeight="1" x14ac:dyDescent="0.25">
      <c r="A213" s="40" t="str">
        <f>IF(Agent02_Loans!B25="","",Agent02_Loans!A25)</f>
        <v/>
      </c>
      <c r="B213" s="40" t="str">
        <f>IF(Agent02_Loans!B25="","",Agent02_Loans!B25)</f>
        <v/>
      </c>
      <c r="C213" s="40" t="str">
        <f>IF(Agent02_Loans!B25="","",Agent02_Loans!C25)</f>
        <v/>
      </c>
      <c r="D213" s="41" t="str">
        <f>IF(Agent02_Loans!B25="","",Agent02_Loans!D25)</f>
        <v/>
      </c>
      <c r="E213" s="43" t="str">
        <f>IF(Agent02_Loans!B25="","",Agent02_Loans!E25)</f>
        <v/>
      </c>
      <c r="F213" s="40" t="str">
        <f>IF(Agent02_Loans!B25="","",Agent02_Loans!F25)</f>
        <v/>
      </c>
      <c r="G213" s="40" t="str">
        <f>IF(Agent02_Loans!B25="","",Agent02_Loans!G25)</f>
        <v/>
      </c>
      <c r="H213" s="40" t="str">
        <f>IF(Agent02_Loans!B25="","",Agent02_Loans!H25)</f>
        <v/>
      </c>
      <c r="I213" s="43" t="str">
        <f>IF(Agent02_Loans!B25="","",Agent02_Loans!I25)</f>
        <v/>
      </c>
      <c r="J213" s="43" t="str">
        <f>IF(Agent02_Loans!B25="","",Agent02_Loans!J25)</f>
        <v/>
      </c>
      <c r="K213" s="40" t="str">
        <f>IF(Agent02_Loans!B25="","",Agent02_Loans!K25)</f>
        <v/>
      </c>
      <c r="L213" s="40" t="str">
        <f>IF(Agent02_Loans!B25="","",Agent02_Loans!L25)</f>
        <v/>
      </c>
      <c r="M213" s="40" t="str">
        <f>IFERROR(IF(Agent02_Loans!B25="","",YEAR(Agent02_Loans!D25)),"")</f>
        <v/>
      </c>
    </row>
    <row r="214" spans="1:13" ht="18" customHeight="1" x14ac:dyDescent="0.25">
      <c r="A214" s="40" t="str">
        <f>IF(Agent02_Loans!B26="","",Agent02_Loans!A26)</f>
        <v/>
      </c>
      <c r="B214" s="40" t="str">
        <f>IF(Agent02_Loans!B26="","",Agent02_Loans!B26)</f>
        <v/>
      </c>
      <c r="C214" s="40" t="str">
        <f>IF(Agent02_Loans!B26="","",Agent02_Loans!C26)</f>
        <v/>
      </c>
      <c r="D214" s="41" t="str">
        <f>IF(Agent02_Loans!B26="","",Agent02_Loans!D26)</f>
        <v/>
      </c>
      <c r="E214" s="43" t="str">
        <f>IF(Agent02_Loans!B26="","",Agent02_Loans!E26)</f>
        <v/>
      </c>
      <c r="F214" s="40" t="str">
        <f>IF(Agent02_Loans!B26="","",Agent02_Loans!F26)</f>
        <v/>
      </c>
      <c r="G214" s="40" t="str">
        <f>IF(Agent02_Loans!B26="","",Agent02_Loans!G26)</f>
        <v/>
      </c>
      <c r="H214" s="40" t="str">
        <f>IF(Agent02_Loans!B26="","",Agent02_Loans!H26)</f>
        <v/>
      </c>
      <c r="I214" s="43" t="str">
        <f>IF(Agent02_Loans!B26="","",Agent02_Loans!I26)</f>
        <v/>
      </c>
      <c r="J214" s="43" t="str">
        <f>IF(Agent02_Loans!B26="","",Agent02_Loans!J26)</f>
        <v/>
      </c>
      <c r="K214" s="40" t="str">
        <f>IF(Agent02_Loans!B26="","",Agent02_Loans!K26)</f>
        <v/>
      </c>
      <c r="L214" s="40" t="str">
        <f>IF(Agent02_Loans!B26="","",Agent02_Loans!L26)</f>
        <v/>
      </c>
      <c r="M214" s="40" t="str">
        <f>IFERROR(IF(Agent02_Loans!B26="","",YEAR(Agent02_Loans!D26)),"")</f>
        <v/>
      </c>
    </row>
    <row r="215" spans="1:13" ht="18" customHeight="1" x14ac:dyDescent="0.25">
      <c r="A215" s="40" t="str">
        <f>IF(Agent02_Loans!B27="","",Agent02_Loans!A27)</f>
        <v/>
      </c>
      <c r="B215" s="40" t="str">
        <f>IF(Agent02_Loans!B27="","",Agent02_Loans!B27)</f>
        <v/>
      </c>
      <c r="C215" s="40" t="str">
        <f>IF(Agent02_Loans!B27="","",Agent02_Loans!C27)</f>
        <v/>
      </c>
      <c r="D215" s="41" t="str">
        <f>IF(Agent02_Loans!B27="","",Agent02_Loans!D27)</f>
        <v/>
      </c>
      <c r="E215" s="43" t="str">
        <f>IF(Agent02_Loans!B27="","",Agent02_Loans!E27)</f>
        <v/>
      </c>
      <c r="F215" s="40" t="str">
        <f>IF(Agent02_Loans!B27="","",Agent02_Loans!F27)</f>
        <v/>
      </c>
      <c r="G215" s="40" t="str">
        <f>IF(Agent02_Loans!B27="","",Agent02_Loans!G27)</f>
        <v/>
      </c>
      <c r="H215" s="40" t="str">
        <f>IF(Agent02_Loans!B27="","",Agent02_Loans!H27)</f>
        <v/>
      </c>
      <c r="I215" s="43" t="str">
        <f>IF(Agent02_Loans!B27="","",Agent02_Loans!I27)</f>
        <v/>
      </c>
      <c r="J215" s="43" t="str">
        <f>IF(Agent02_Loans!B27="","",Agent02_Loans!J27)</f>
        <v/>
      </c>
      <c r="K215" s="40" t="str">
        <f>IF(Agent02_Loans!B27="","",Agent02_Loans!K27)</f>
        <v/>
      </c>
      <c r="L215" s="40" t="str">
        <f>IF(Agent02_Loans!B27="","",Agent02_Loans!L27)</f>
        <v/>
      </c>
      <c r="M215" s="40" t="str">
        <f>IFERROR(IF(Agent02_Loans!B27="","",YEAR(Agent02_Loans!D27)),"")</f>
        <v/>
      </c>
    </row>
    <row r="216" spans="1:13" ht="18" customHeight="1" x14ac:dyDescent="0.25">
      <c r="A216" s="40" t="str">
        <f>IF(Agent02_Loans!B28="","",Agent02_Loans!A28)</f>
        <v/>
      </c>
      <c r="B216" s="40" t="str">
        <f>IF(Agent02_Loans!B28="","",Agent02_Loans!B28)</f>
        <v/>
      </c>
      <c r="C216" s="40" t="str">
        <f>IF(Agent02_Loans!B28="","",Agent02_Loans!C28)</f>
        <v/>
      </c>
      <c r="D216" s="41" t="str">
        <f>IF(Agent02_Loans!B28="","",Agent02_Loans!D28)</f>
        <v/>
      </c>
      <c r="E216" s="43" t="str">
        <f>IF(Agent02_Loans!B28="","",Agent02_Loans!E28)</f>
        <v/>
      </c>
      <c r="F216" s="40" t="str">
        <f>IF(Agent02_Loans!B28="","",Agent02_Loans!F28)</f>
        <v/>
      </c>
      <c r="G216" s="40" t="str">
        <f>IF(Agent02_Loans!B28="","",Agent02_Loans!G28)</f>
        <v/>
      </c>
      <c r="H216" s="40" t="str">
        <f>IF(Agent02_Loans!B28="","",Agent02_Loans!H28)</f>
        <v/>
      </c>
      <c r="I216" s="43" t="str">
        <f>IF(Agent02_Loans!B28="","",Agent02_Loans!I28)</f>
        <v/>
      </c>
      <c r="J216" s="43" t="str">
        <f>IF(Agent02_Loans!B28="","",Agent02_Loans!J28)</f>
        <v/>
      </c>
      <c r="K216" s="40" t="str">
        <f>IF(Agent02_Loans!B28="","",Agent02_Loans!K28)</f>
        <v/>
      </c>
      <c r="L216" s="40" t="str">
        <f>IF(Agent02_Loans!B28="","",Agent02_Loans!L28)</f>
        <v/>
      </c>
      <c r="M216" s="40" t="str">
        <f>IFERROR(IF(Agent02_Loans!B28="","",YEAR(Agent02_Loans!D28)),"")</f>
        <v/>
      </c>
    </row>
    <row r="217" spans="1:13" ht="18" customHeight="1" x14ac:dyDescent="0.25">
      <c r="A217" s="40" t="str">
        <f>IF(Agent02_Loans!B29="","",Agent02_Loans!A29)</f>
        <v/>
      </c>
      <c r="B217" s="40" t="str">
        <f>IF(Agent02_Loans!B29="","",Agent02_Loans!B29)</f>
        <v/>
      </c>
      <c r="C217" s="40" t="str">
        <f>IF(Agent02_Loans!B29="","",Agent02_Loans!C29)</f>
        <v/>
      </c>
      <c r="D217" s="41" t="str">
        <f>IF(Agent02_Loans!B29="","",Agent02_Loans!D29)</f>
        <v/>
      </c>
      <c r="E217" s="43" t="str">
        <f>IF(Agent02_Loans!B29="","",Agent02_Loans!E29)</f>
        <v/>
      </c>
      <c r="F217" s="40" t="str">
        <f>IF(Agent02_Loans!B29="","",Agent02_Loans!F29)</f>
        <v/>
      </c>
      <c r="G217" s="40" t="str">
        <f>IF(Agent02_Loans!B29="","",Agent02_Loans!G29)</f>
        <v/>
      </c>
      <c r="H217" s="40" t="str">
        <f>IF(Agent02_Loans!B29="","",Agent02_Loans!H29)</f>
        <v/>
      </c>
      <c r="I217" s="43" t="str">
        <f>IF(Agent02_Loans!B29="","",Agent02_Loans!I29)</f>
        <v/>
      </c>
      <c r="J217" s="43" t="str">
        <f>IF(Agent02_Loans!B29="","",Agent02_Loans!J29)</f>
        <v/>
      </c>
      <c r="K217" s="40" t="str">
        <f>IF(Agent02_Loans!B29="","",Agent02_Loans!K29)</f>
        <v/>
      </c>
      <c r="L217" s="40" t="str">
        <f>IF(Agent02_Loans!B29="","",Agent02_Loans!L29)</f>
        <v/>
      </c>
      <c r="M217" s="40" t="str">
        <f>IFERROR(IF(Agent02_Loans!B29="","",YEAR(Agent02_Loans!D29)),"")</f>
        <v/>
      </c>
    </row>
    <row r="218" spans="1:13" ht="18" customHeight="1" x14ac:dyDescent="0.25">
      <c r="A218" s="40" t="str">
        <f>IF(Agent02_Loans!B30="","",Agent02_Loans!A30)</f>
        <v/>
      </c>
      <c r="B218" s="40" t="str">
        <f>IF(Agent02_Loans!B30="","",Agent02_Loans!B30)</f>
        <v/>
      </c>
      <c r="C218" s="40" t="str">
        <f>IF(Agent02_Loans!B30="","",Agent02_Loans!C30)</f>
        <v/>
      </c>
      <c r="D218" s="41" t="str">
        <f>IF(Agent02_Loans!B30="","",Agent02_Loans!D30)</f>
        <v/>
      </c>
      <c r="E218" s="43" t="str">
        <f>IF(Agent02_Loans!B30="","",Agent02_Loans!E30)</f>
        <v/>
      </c>
      <c r="F218" s="40" t="str">
        <f>IF(Agent02_Loans!B30="","",Agent02_Loans!F30)</f>
        <v/>
      </c>
      <c r="G218" s="40" t="str">
        <f>IF(Agent02_Loans!B30="","",Agent02_Loans!G30)</f>
        <v/>
      </c>
      <c r="H218" s="40" t="str">
        <f>IF(Agent02_Loans!B30="","",Agent02_Loans!H30)</f>
        <v/>
      </c>
      <c r="I218" s="43" t="str">
        <f>IF(Agent02_Loans!B30="","",Agent02_Loans!I30)</f>
        <v/>
      </c>
      <c r="J218" s="43" t="str">
        <f>IF(Agent02_Loans!B30="","",Agent02_Loans!J30)</f>
        <v/>
      </c>
      <c r="K218" s="40" t="str">
        <f>IF(Agent02_Loans!B30="","",Agent02_Loans!K30)</f>
        <v/>
      </c>
      <c r="L218" s="40" t="str">
        <f>IF(Agent02_Loans!B30="","",Agent02_Loans!L30)</f>
        <v/>
      </c>
      <c r="M218" s="40" t="str">
        <f>IFERROR(IF(Agent02_Loans!B30="","",YEAR(Agent02_Loans!D30)),"")</f>
        <v/>
      </c>
    </row>
    <row r="219" spans="1:13" ht="18" customHeight="1" x14ac:dyDescent="0.25">
      <c r="A219" s="40" t="str">
        <f>IF(Agent02_Loans!B31="","",Agent02_Loans!A31)</f>
        <v/>
      </c>
      <c r="B219" s="40" t="str">
        <f>IF(Agent02_Loans!B31="","",Agent02_Loans!B31)</f>
        <v/>
      </c>
      <c r="C219" s="40" t="str">
        <f>IF(Agent02_Loans!B31="","",Agent02_Loans!C31)</f>
        <v/>
      </c>
      <c r="D219" s="41" t="str">
        <f>IF(Agent02_Loans!B31="","",Agent02_Loans!D31)</f>
        <v/>
      </c>
      <c r="E219" s="43" t="str">
        <f>IF(Agent02_Loans!B31="","",Agent02_Loans!E31)</f>
        <v/>
      </c>
      <c r="F219" s="40" t="str">
        <f>IF(Agent02_Loans!B31="","",Agent02_Loans!F31)</f>
        <v/>
      </c>
      <c r="G219" s="40" t="str">
        <f>IF(Agent02_Loans!B31="","",Agent02_Loans!G31)</f>
        <v/>
      </c>
      <c r="H219" s="40" t="str">
        <f>IF(Agent02_Loans!B31="","",Agent02_Loans!H31)</f>
        <v/>
      </c>
      <c r="I219" s="43" t="str">
        <f>IF(Agent02_Loans!B31="","",Agent02_Loans!I31)</f>
        <v/>
      </c>
      <c r="J219" s="43" t="str">
        <f>IF(Agent02_Loans!B31="","",Agent02_Loans!J31)</f>
        <v/>
      </c>
      <c r="K219" s="40" t="str">
        <f>IF(Agent02_Loans!B31="","",Agent02_Loans!K31)</f>
        <v/>
      </c>
      <c r="L219" s="40" t="str">
        <f>IF(Agent02_Loans!B31="","",Agent02_Loans!L31)</f>
        <v/>
      </c>
      <c r="M219" s="40" t="str">
        <f>IFERROR(IF(Agent02_Loans!B31="","",YEAR(Agent02_Loans!D31)),"")</f>
        <v/>
      </c>
    </row>
    <row r="220" spans="1:13" ht="18" customHeight="1" x14ac:dyDescent="0.25">
      <c r="A220" s="40" t="str">
        <f>IF(Agent02_Loans!B32="","",Agent02_Loans!A32)</f>
        <v/>
      </c>
      <c r="B220" s="40" t="str">
        <f>IF(Agent02_Loans!B32="","",Agent02_Loans!B32)</f>
        <v/>
      </c>
      <c r="C220" s="40" t="str">
        <f>IF(Agent02_Loans!B32="","",Agent02_Loans!C32)</f>
        <v/>
      </c>
      <c r="D220" s="41" t="str">
        <f>IF(Agent02_Loans!B32="","",Agent02_Loans!D32)</f>
        <v/>
      </c>
      <c r="E220" s="43" t="str">
        <f>IF(Agent02_Loans!B32="","",Agent02_Loans!E32)</f>
        <v/>
      </c>
      <c r="F220" s="40" t="str">
        <f>IF(Agent02_Loans!B32="","",Agent02_Loans!F32)</f>
        <v/>
      </c>
      <c r="G220" s="40" t="str">
        <f>IF(Agent02_Loans!B32="","",Agent02_Loans!G32)</f>
        <v/>
      </c>
      <c r="H220" s="40" t="str">
        <f>IF(Agent02_Loans!B32="","",Agent02_Loans!H32)</f>
        <v/>
      </c>
      <c r="I220" s="43" t="str">
        <f>IF(Agent02_Loans!B32="","",Agent02_Loans!I32)</f>
        <v/>
      </c>
      <c r="J220" s="43" t="str">
        <f>IF(Agent02_Loans!B32="","",Agent02_Loans!J32)</f>
        <v/>
      </c>
      <c r="K220" s="40" t="str">
        <f>IF(Agent02_Loans!B32="","",Agent02_Loans!K32)</f>
        <v/>
      </c>
      <c r="L220" s="40" t="str">
        <f>IF(Agent02_Loans!B32="","",Agent02_Loans!L32)</f>
        <v/>
      </c>
      <c r="M220" s="40" t="str">
        <f>IFERROR(IF(Agent02_Loans!B32="","",YEAR(Agent02_Loans!D32)),"")</f>
        <v/>
      </c>
    </row>
    <row r="221" spans="1:13" ht="18" customHeight="1" x14ac:dyDescent="0.25">
      <c r="A221" s="40" t="str">
        <f>IF(Agent02_Loans!B33="","",Agent02_Loans!A33)</f>
        <v/>
      </c>
      <c r="B221" s="40" t="str">
        <f>IF(Agent02_Loans!B33="","",Agent02_Loans!B33)</f>
        <v/>
      </c>
      <c r="C221" s="40" t="str">
        <f>IF(Agent02_Loans!B33="","",Agent02_Loans!C33)</f>
        <v/>
      </c>
      <c r="D221" s="41" t="str">
        <f>IF(Agent02_Loans!B33="","",Agent02_Loans!D33)</f>
        <v/>
      </c>
      <c r="E221" s="43" t="str">
        <f>IF(Agent02_Loans!B33="","",Agent02_Loans!E33)</f>
        <v/>
      </c>
      <c r="F221" s="40" t="str">
        <f>IF(Agent02_Loans!B33="","",Agent02_Loans!F33)</f>
        <v/>
      </c>
      <c r="G221" s="40" t="str">
        <f>IF(Agent02_Loans!B33="","",Agent02_Loans!G33)</f>
        <v/>
      </c>
      <c r="H221" s="40" t="str">
        <f>IF(Agent02_Loans!B33="","",Agent02_Loans!H33)</f>
        <v/>
      </c>
      <c r="I221" s="43" t="str">
        <f>IF(Agent02_Loans!B33="","",Agent02_Loans!I33)</f>
        <v/>
      </c>
      <c r="J221" s="43" t="str">
        <f>IF(Agent02_Loans!B33="","",Agent02_Loans!J33)</f>
        <v/>
      </c>
      <c r="K221" s="40" t="str">
        <f>IF(Agent02_Loans!B33="","",Agent02_Loans!K33)</f>
        <v/>
      </c>
      <c r="L221" s="40" t="str">
        <f>IF(Agent02_Loans!B33="","",Agent02_Loans!L33)</f>
        <v/>
      </c>
      <c r="M221" s="40" t="str">
        <f>IFERROR(IF(Agent02_Loans!B33="","",YEAR(Agent02_Loans!D33)),"")</f>
        <v/>
      </c>
    </row>
    <row r="222" spans="1:13" ht="18" customHeight="1" x14ac:dyDescent="0.25">
      <c r="A222" s="40" t="str">
        <f>IF(Agent02_Loans!B34="","",Agent02_Loans!A34)</f>
        <v/>
      </c>
      <c r="B222" s="40" t="str">
        <f>IF(Agent02_Loans!B34="","",Agent02_Loans!B34)</f>
        <v/>
      </c>
      <c r="C222" s="40" t="str">
        <f>IF(Agent02_Loans!B34="","",Agent02_Loans!C34)</f>
        <v/>
      </c>
      <c r="D222" s="41" t="str">
        <f>IF(Agent02_Loans!B34="","",Agent02_Loans!D34)</f>
        <v/>
      </c>
      <c r="E222" s="43" t="str">
        <f>IF(Agent02_Loans!B34="","",Agent02_Loans!E34)</f>
        <v/>
      </c>
      <c r="F222" s="40" t="str">
        <f>IF(Agent02_Loans!B34="","",Agent02_Loans!F34)</f>
        <v/>
      </c>
      <c r="G222" s="40" t="str">
        <f>IF(Agent02_Loans!B34="","",Agent02_Loans!G34)</f>
        <v/>
      </c>
      <c r="H222" s="40" t="str">
        <f>IF(Agent02_Loans!B34="","",Agent02_Loans!H34)</f>
        <v/>
      </c>
      <c r="I222" s="43" t="str">
        <f>IF(Agent02_Loans!B34="","",Agent02_Loans!I34)</f>
        <v/>
      </c>
      <c r="J222" s="43" t="str">
        <f>IF(Agent02_Loans!B34="","",Agent02_Loans!J34)</f>
        <v/>
      </c>
      <c r="K222" s="40" t="str">
        <f>IF(Agent02_Loans!B34="","",Agent02_Loans!K34)</f>
        <v/>
      </c>
      <c r="L222" s="40" t="str">
        <f>IF(Agent02_Loans!B34="","",Agent02_Loans!L34)</f>
        <v/>
      </c>
      <c r="M222" s="40" t="str">
        <f>IFERROR(IF(Agent02_Loans!B34="","",YEAR(Agent02_Loans!D34)),"")</f>
        <v/>
      </c>
    </row>
    <row r="223" spans="1:13" ht="18" customHeight="1" x14ac:dyDescent="0.25">
      <c r="A223" s="40" t="str">
        <f>IF(Agent02_Loans!B35="","",Agent02_Loans!A35)</f>
        <v/>
      </c>
      <c r="B223" s="40" t="str">
        <f>IF(Agent02_Loans!B35="","",Agent02_Loans!B35)</f>
        <v/>
      </c>
      <c r="C223" s="40" t="str">
        <f>IF(Agent02_Loans!B35="","",Agent02_Loans!C35)</f>
        <v/>
      </c>
      <c r="D223" s="41" t="str">
        <f>IF(Agent02_Loans!B35="","",Agent02_Loans!D35)</f>
        <v/>
      </c>
      <c r="E223" s="43" t="str">
        <f>IF(Agent02_Loans!B35="","",Agent02_Loans!E35)</f>
        <v/>
      </c>
      <c r="F223" s="40" t="str">
        <f>IF(Agent02_Loans!B35="","",Agent02_Loans!F35)</f>
        <v/>
      </c>
      <c r="G223" s="40" t="str">
        <f>IF(Agent02_Loans!B35="","",Agent02_Loans!G35)</f>
        <v/>
      </c>
      <c r="H223" s="40" t="str">
        <f>IF(Agent02_Loans!B35="","",Agent02_Loans!H35)</f>
        <v/>
      </c>
      <c r="I223" s="43" t="str">
        <f>IF(Agent02_Loans!B35="","",Agent02_Loans!I35)</f>
        <v/>
      </c>
      <c r="J223" s="43" t="str">
        <f>IF(Agent02_Loans!B35="","",Agent02_Loans!J35)</f>
        <v/>
      </c>
      <c r="K223" s="40" t="str">
        <f>IF(Agent02_Loans!B35="","",Agent02_Loans!K35)</f>
        <v/>
      </c>
      <c r="L223" s="40" t="str">
        <f>IF(Agent02_Loans!B35="","",Agent02_Loans!L35)</f>
        <v/>
      </c>
      <c r="M223" s="40" t="str">
        <f>IFERROR(IF(Agent02_Loans!B35="","",YEAR(Agent02_Loans!D35)),"")</f>
        <v/>
      </c>
    </row>
    <row r="224" spans="1:13" ht="18" customHeight="1" x14ac:dyDescent="0.25">
      <c r="A224" s="40" t="str">
        <f>IF(Agent02_Loans!B36="","",Agent02_Loans!A36)</f>
        <v/>
      </c>
      <c r="B224" s="40" t="str">
        <f>IF(Agent02_Loans!B36="","",Agent02_Loans!B36)</f>
        <v/>
      </c>
      <c r="C224" s="40" t="str">
        <f>IF(Agent02_Loans!B36="","",Agent02_Loans!C36)</f>
        <v/>
      </c>
      <c r="D224" s="41" t="str">
        <f>IF(Agent02_Loans!B36="","",Agent02_Loans!D36)</f>
        <v/>
      </c>
      <c r="E224" s="43" t="str">
        <f>IF(Agent02_Loans!B36="","",Agent02_Loans!E36)</f>
        <v/>
      </c>
      <c r="F224" s="40" t="str">
        <f>IF(Agent02_Loans!B36="","",Agent02_Loans!F36)</f>
        <v/>
      </c>
      <c r="G224" s="40" t="str">
        <f>IF(Agent02_Loans!B36="","",Agent02_Loans!G36)</f>
        <v/>
      </c>
      <c r="H224" s="40" t="str">
        <f>IF(Agent02_Loans!B36="","",Agent02_Loans!H36)</f>
        <v/>
      </c>
      <c r="I224" s="43" t="str">
        <f>IF(Agent02_Loans!B36="","",Agent02_Loans!I36)</f>
        <v/>
      </c>
      <c r="J224" s="43" t="str">
        <f>IF(Agent02_Loans!B36="","",Agent02_Loans!J36)</f>
        <v/>
      </c>
      <c r="K224" s="40" t="str">
        <f>IF(Agent02_Loans!B36="","",Agent02_Loans!K36)</f>
        <v/>
      </c>
      <c r="L224" s="40" t="str">
        <f>IF(Agent02_Loans!B36="","",Agent02_Loans!L36)</f>
        <v/>
      </c>
      <c r="M224" s="40" t="str">
        <f>IFERROR(IF(Agent02_Loans!B36="","",YEAR(Agent02_Loans!D36)),"")</f>
        <v/>
      </c>
    </row>
    <row r="225" spans="1:13" ht="18" customHeight="1" x14ac:dyDescent="0.25">
      <c r="A225" s="40" t="str">
        <f>IF(Agent02_Loans!B37="","",Agent02_Loans!A37)</f>
        <v/>
      </c>
      <c r="B225" s="40" t="str">
        <f>IF(Agent02_Loans!B37="","",Agent02_Loans!B37)</f>
        <v/>
      </c>
      <c r="C225" s="40" t="str">
        <f>IF(Agent02_Loans!B37="","",Agent02_Loans!C37)</f>
        <v/>
      </c>
      <c r="D225" s="41" t="str">
        <f>IF(Agent02_Loans!B37="","",Agent02_Loans!D37)</f>
        <v/>
      </c>
      <c r="E225" s="43" t="str">
        <f>IF(Agent02_Loans!B37="","",Agent02_Loans!E37)</f>
        <v/>
      </c>
      <c r="F225" s="40" t="str">
        <f>IF(Agent02_Loans!B37="","",Agent02_Loans!F37)</f>
        <v/>
      </c>
      <c r="G225" s="40" t="str">
        <f>IF(Agent02_Loans!B37="","",Agent02_Loans!G37)</f>
        <v/>
      </c>
      <c r="H225" s="40" t="str">
        <f>IF(Agent02_Loans!B37="","",Agent02_Loans!H37)</f>
        <v/>
      </c>
      <c r="I225" s="43" t="str">
        <f>IF(Agent02_Loans!B37="","",Agent02_Loans!I37)</f>
        <v/>
      </c>
      <c r="J225" s="43" t="str">
        <f>IF(Agent02_Loans!B37="","",Agent02_Loans!J37)</f>
        <v/>
      </c>
      <c r="K225" s="40" t="str">
        <f>IF(Agent02_Loans!B37="","",Agent02_Loans!K37)</f>
        <v/>
      </c>
      <c r="L225" s="40" t="str">
        <f>IF(Agent02_Loans!B37="","",Agent02_Loans!L37)</f>
        <v/>
      </c>
      <c r="M225" s="40" t="str">
        <f>IFERROR(IF(Agent02_Loans!B37="","",YEAR(Agent02_Loans!D37)),"")</f>
        <v/>
      </c>
    </row>
    <row r="226" spans="1:13" ht="18" customHeight="1" x14ac:dyDescent="0.25">
      <c r="A226" s="40" t="str">
        <f>IF(Agent02_Loans!B38="","",Agent02_Loans!A38)</f>
        <v/>
      </c>
      <c r="B226" s="40" t="str">
        <f>IF(Agent02_Loans!B38="","",Agent02_Loans!B38)</f>
        <v/>
      </c>
      <c r="C226" s="40" t="str">
        <f>IF(Agent02_Loans!B38="","",Agent02_Loans!C38)</f>
        <v/>
      </c>
      <c r="D226" s="41" t="str">
        <f>IF(Agent02_Loans!B38="","",Agent02_Loans!D38)</f>
        <v/>
      </c>
      <c r="E226" s="43" t="str">
        <f>IF(Agent02_Loans!B38="","",Agent02_Loans!E38)</f>
        <v/>
      </c>
      <c r="F226" s="40" t="str">
        <f>IF(Agent02_Loans!B38="","",Agent02_Loans!F38)</f>
        <v/>
      </c>
      <c r="G226" s="40" t="str">
        <f>IF(Agent02_Loans!B38="","",Agent02_Loans!G38)</f>
        <v/>
      </c>
      <c r="H226" s="40" t="str">
        <f>IF(Agent02_Loans!B38="","",Agent02_Loans!H38)</f>
        <v/>
      </c>
      <c r="I226" s="43" t="str">
        <f>IF(Agent02_Loans!B38="","",Agent02_Loans!I38)</f>
        <v/>
      </c>
      <c r="J226" s="43" t="str">
        <f>IF(Agent02_Loans!B38="","",Agent02_Loans!J38)</f>
        <v/>
      </c>
      <c r="K226" s="40" t="str">
        <f>IF(Agent02_Loans!B38="","",Agent02_Loans!K38)</f>
        <v/>
      </c>
      <c r="L226" s="40" t="str">
        <f>IF(Agent02_Loans!B38="","",Agent02_Loans!L38)</f>
        <v/>
      </c>
      <c r="M226" s="40" t="str">
        <f>IFERROR(IF(Agent02_Loans!B38="","",YEAR(Agent02_Loans!D38)),"")</f>
        <v/>
      </c>
    </row>
    <row r="227" spans="1:13" ht="18" customHeight="1" x14ac:dyDescent="0.25">
      <c r="A227" s="40" t="str">
        <f>IF(Agent02_Loans!B39="","",Agent02_Loans!A39)</f>
        <v/>
      </c>
      <c r="B227" s="40" t="str">
        <f>IF(Agent02_Loans!B39="","",Agent02_Loans!B39)</f>
        <v/>
      </c>
      <c r="C227" s="40" t="str">
        <f>IF(Agent02_Loans!B39="","",Agent02_Loans!C39)</f>
        <v/>
      </c>
      <c r="D227" s="41" t="str">
        <f>IF(Agent02_Loans!B39="","",Agent02_Loans!D39)</f>
        <v/>
      </c>
      <c r="E227" s="43" t="str">
        <f>IF(Agent02_Loans!B39="","",Agent02_Loans!E39)</f>
        <v/>
      </c>
      <c r="F227" s="40" t="str">
        <f>IF(Agent02_Loans!B39="","",Agent02_Loans!F39)</f>
        <v/>
      </c>
      <c r="G227" s="40" t="str">
        <f>IF(Agent02_Loans!B39="","",Agent02_Loans!G39)</f>
        <v/>
      </c>
      <c r="H227" s="40" t="str">
        <f>IF(Agent02_Loans!B39="","",Agent02_Loans!H39)</f>
        <v/>
      </c>
      <c r="I227" s="43" t="str">
        <f>IF(Agent02_Loans!B39="","",Agent02_Loans!I39)</f>
        <v/>
      </c>
      <c r="J227" s="43" t="str">
        <f>IF(Agent02_Loans!B39="","",Agent02_Loans!J39)</f>
        <v/>
      </c>
      <c r="K227" s="40" t="str">
        <f>IF(Agent02_Loans!B39="","",Agent02_Loans!K39)</f>
        <v/>
      </c>
      <c r="L227" s="40" t="str">
        <f>IF(Agent02_Loans!B39="","",Agent02_Loans!L39)</f>
        <v/>
      </c>
      <c r="M227" s="40" t="str">
        <f>IFERROR(IF(Agent02_Loans!B39="","",YEAR(Agent02_Loans!D39)),"")</f>
        <v/>
      </c>
    </row>
    <row r="228" spans="1:13" ht="18" customHeight="1" x14ac:dyDescent="0.25">
      <c r="A228" s="40" t="str">
        <f>IF(Agent02_Loans!B40="","",Agent02_Loans!A40)</f>
        <v/>
      </c>
      <c r="B228" s="40" t="str">
        <f>IF(Agent02_Loans!B40="","",Agent02_Loans!B40)</f>
        <v/>
      </c>
      <c r="C228" s="40" t="str">
        <f>IF(Agent02_Loans!B40="","",Agent02_Loans!C40)</f>
        <v/>
      </c>
      <c r="D228" s="41" t="str">
        <f>IF(Agent02_Loans!B40="","",Agent02_Loans!D40)</f>
        <v/>
      </c>
      <c r="E228" s="43" t="str">
        <f>IF(Agent02_Loans!B40="","",Agent02_Loans!E40)</f>
        <v/>
      </c>
      <c r="F228" s="40" t="str">
        <f>IF(Agent02_Loans!B40="","",Agent02_Loans!F40)</f>
        <v/>
      </c>
      <c r="G228" s="40" t="str">
        <f>IF(Agent02_Loans!B40="","",Agent02_Loans!G40)</f>
        <v/>
      </c>
      <c r="H228" s="40" t="str">
        <f>IF(Agent02_Loans!B40="","",Agent02_Loans!H40)</f>
        <v/>
      </c>
      <c r="I228" s="43" t="str">
        <f>IF(Agent02_Loans!B40="","",Agent02_Loans!I40)</f>
        <v/>
      </c>
      <c r="J228" s="43" t="str">
        <f>IF(Agent02_Loans!B40="","",Agent02_Loans!J40)</f>
        <v/>
      </c>
      <c r="K228" s="40" t="str">
        <f>IF(Agent02_Loans!B40="","",Agent02_Loans!K40)</f>
        <v/>
      </c>
      <c r="L228" s="40" t="str">
        <f>IF(Agent02_Loans!B40="","",Agent02_Loans!L40)</f>
        <v/>
      </c>
      <c r="M228" s="40" t="str">
        <f>IFERROR(IF(Agent02_Loans!B40="","",YEAR(Agent02_Loans!D40)),"")</f>
        <v/>
      </c>
    </row>
    <row r="229" spans="1:13" ht="18" customHeight="1" x14ac:dyDescent="0.25">
      <c r="A229" s="40" t="str">
        <f>IF(Agent02_Loans!B41="","",Agent02_Loans!A41)</f>
        <v/>
      </c>
      <c r="B229" s="40" t="str">
        <f>IF(Agent02_Loans!B41="","",Agent02_Loans!B41)</f>
        <v/>
      </c>
      <c r="C229" s="40" t="str">
        <f>IF(Agent02_Loans!B41="","",Agent02_Loans!C41)</f>
        <v/>
      </c>
      <c r="D229" s="41" t="str">
        <f>IF(Agent02_Loans!B41="","",Agent02_Loans!D41)</f>
        <v/>
      </c>
      <c r="E229" s="43" t="str">
        <f>IF(Agent02_Loans!B41="","",Agent02_Loans!E41)</f>
        <v/>
      </c>
      <c r="F229" s="40" t="str">
        <f>IF(Agent02_Loans!B41="","",Agent02_Loans!F41)</f>
        <v/>
      </c>
      <c r="G229" s="40" t="str">
        <f>IF(Agent02_Loans!B41="","",Agent02_Loans!G41)</f>
        <v/>
      </c>
      <c r="H229" s="40" t="str">
        <f>IF(Agent02_Loans!B41="","",Agent02_Loans!H41)</f>
        <v/>
      </c>
      <c r="I229" s="43" t="str">
        <f>IF(Agent02_Loans!B41="","",Agent02_Loans!I41)</f>
        <v/>
      </c>
      <c r="J229" s="43" t="str">
        <f>IF(Agent02_Loans!B41="","",Agent02_Loans!J41)</f>
        <v/>
      </c>
      <c r="K229" s="40" t="str">
        <f>IF(Agent02_Loans!B41="","",Agent02_Loans!K41)</f>
        <v/>
      </c>
      <c r="L229" s="40" t="str">
        <f>IF(Agent02_Loans!B41="","",Agent02_Loans!L41)</f>
        <v/>
      </c>
      <c r="M229" s="40" t="str">
        <f>IFERROR(IF(Agent02_Loans!B41="","",YEAR(Agent02_Loans!D41)),"")</f>
        <v/>
      </c>
    </row>
    <row r="230" spans="1:13" ht="18" customHeight="1" x14ac:dyDescent="0.25">
      <c r="A230" s="40" t="str">
        <f>IF(Agent02_Loans!B42="","",Agent02_Loans!A42)</f>
        <v/>
      </c>
      <c r="B230" s="40" t="str">
        <f>IF(Agent02_Loans!B42="","",Agent02_Loans!B42)</f>
        <v/>
      </c>
      <c r="C230" s="40" t="str">
        <f>IF(Agent02_Loans!B42="","",Agent02_Loans!C42)</f>
        <v/>
      </c>
      <c r="D230" s="41" t="str">
        <f>IF(Agent02_Loans!B42="","",Agent02_Loans!D42)</f>
        <v/>
      </c>
      <c r="E230" s="43" t="str">
        <f>IF(Agent02_Loans!B42="","",Agent02_Loans!E42)</f>
        <v/>
      </c>
      <c r="F230" s="40" t="str">
        <f>IF(Agent02_Loans!B42="","",Agent02_Loans!F42)</f>
        <v/>
      </c>
      <c r="G230" s="40" t="str">
        <f>IF(Agent02_Loans!B42="","",Agent02_Loans!G42)</f>
        <v/>
      </c>
      <c r="H230" s="40" t="str">
        <f>IF(Agent02_Loans!B42="","",Agent02_Loans!H42)</f>
        <v/>
      </c>
      <c r="I230" s="43" t="str">
        <f>IF(Agent02_Loans!B42="","",Agent02_Loans!I42)</f>
        <v/>
      </c>
      <c r="J230" s="43" t="str">
        <f>IF(Agent02_Loans!B42="","",Agent02_Loans!J42)</f>
        <v/>
      </c>
      <c r="K230" s="40" t="str">
        <f>IF(Agent02_Loans!B42="","",Agent02_Loans!K42)</f>
        <v/>
      </c>
      <c r="L230" s="40" t="str">
        <f>IF(Agent02_Loans!B42="","",Agent02_Loans!L42)</f>
        <v/>
      </c>
      <c r="M230" s="40" t="str">
        <f>IFERROR(IF(Agent02_Loans!B42="","",YEAR(Agent02_Loans!D42)),"")</f>
        <v/>
      </c>
    </row>
    <row r="231" spans="1:13" ht="18" customHeight="1" x14ac:dyDescent="0.25">
      <c r="A231" s="40" t="str">
        <f>IF(Agent02_Loans!B43="","",Agent02_Loans!A43)</f>
        <v/>
      </c>
      <c r="B231" s="40" t="str">
        <f>IF(Agent02_Loans!B43="","",Agent02_Loans!B43)</f>
        <v/>
      </c>
      <c r="C231" s="40" t="str">
        <f>IF(Agent02_Loans!B43="","",Agent02_Loans!C43)</f>
        <v/>
      </c>
      <c r="D231" s="41" t="str">
        <f>IF(Agent02_Loans!B43="","",Agent02_Loans!D43)</f>
        <v/>
      </c>
      <c r="E231" s="43" t="str">
        <f>IF(Agent02_Loans!B43="","",Agent02_Loans!E43)</f>
        <v/>
      </c>
      <c r="F231" s="40" t="str">
        <f>IF(Agent02_Loans!B43="","",Agent02_Loans!F43)</f>
        <v/>
      </c>
      <c r="G231" s="40" t="str">
        <f>IF(Agent02_Loans!B43="","",Agent02_Loans!G43)</f>
        <v/>
      </c>
      <c r="H231" s="40" t="str">
        <f>IF(Agent02_Loans!B43="","",Agent02_Loans!H43)</f>
        <v/>
      </c>
      <c r="I231" s="43" t="str">
        <f>IF(Agent02_Loans!B43="","",Agent02_Loans!I43)</f>
        <v/>
      </c>
      <c r="J231" s="43" t="str">
        <f>IF(Agent02_Loans!B43="","",Agent02_Loans!J43)</f>
        <v/>
      </c>
      <c r="K231" s="40" t="str">
        <f>IF(Agent02_Loans!B43="","",Agent02_Loans!K43)</f>
        <v/>
      </c>
      <c r="L231" s="40" t="str">
        <f>IF(Agent02_Loans!B43="","",Agent02_Loans!L43)</f>
        <v/>
      </c>
      <c r="M231" s="40" t="str">
        <f>IFERROR(IF(Agent02_Loans!B43="","",YEAR(Agent02_Loans!D43)),"")</f>
        <v/>
      </c>
    </row>
    <row r="232" spans="1:13" ht="18" customHeight="1" x14ac:dyDescent="0.25">
      <c r="A232" s="40" t="str">
        <f>IF(Agent02_Loans!B44="","",Agent02_Loans!A44)</f>
        <v/>
      </c>
      <c r="B232" s="40" t="str">
        <f>IF(Agent02_Loans!B44="","",Agent02_Loans!B44)</f>
        <v/>
      </c>
      <c r="C232" s="40" t="str">
        <f>IF(Agent02_Loans!B44="","",Agent02_Loans!C44)</f>
        <v/>
      </c>
      <c r="D232" s="41" t="str">
        <f>IF(Agent02_Loans!B44="","",Agent02_Loans!D44)</f>
        <v/>
      </c>
      <c r="E232" s="43" t="str">
        <f>IF(Agent02_Loans!B44="","",Agent02_Loans!E44)</f>
        <v/>
      </c>
      <c r="F232" s="40" t="str">
        <f>IF(Agent02_Loans!B44="","",Agent02_Loans!F44)</f>
        <v/>
      </c>
      <c r="G232" s="40" t="str">
        <f>IF(Agent02_Loans!B44="","",Agent02_Loans!G44)</f>
        <v/>
      </c>
      <c r="H232" s="40" t="str">
        <f>IF(Agent02_Loans!B44="","",Agent02_Loans!H44)</f>
        <v/>
      </c>
      <c r="I232" s="43" t="str">
        <f>IF(Agent02_Loans!B44="","",Agent02_Loans!I44)</f>
        <v/>
      </c>
      <c r="J232" s="43" t="str">
        <f>IF(Agent02_Loans!B44="","",Agent02_Loans!J44)</f>
        <v/>
      </c>
      <c r="K232" s="40" t="str">
        <f>IF(Agent02_Loans!B44="","",Agent02_Loans!K44)</f>
        <v/>
      </c>
      <c r="L232" s="40" t="str">
        <f>IF(Agent02_Loans!B44="","",Agent02_Loans!L44)</f>
        <v/>
      </c>
      <c r="M232" s="40" t="str">
        <f>IFERROR(IF(Agent02_Loans!B44="","",YEAR(Agent02_Loans!D44)),"")</f>
        <v/>
      </c>
    </row>
    <row r="233" spans="1:13" ht="18" customHeight="1" x14ac:dyDescent="0.25">
      <c r="A233" s="40" t="str">
        <f>IF(Agent02_Loans!B45="","",Agent02_Loans!A45)</f>
        <v/>
      </c>
      <c r="B233" s="40" t="str">
        <f>IF(Agent02_Loans!B45="","",Agent02_Loans!B45)</f>
        <v/>
      </c>
      <c r="C233" s="40" t="str">
        <f>IF(Agent02_Loans!B45="","",Agent02_Loans!C45)</f>
        <v/>
      </c>
      <c r="D233" s="41" t="str">
        <f>IF(Agent02_Loans!B45="","",Agent02_Loans!D45)</f>
        <v/>
      </c>
      <c r="E233" s="43" t="str">
        <f>IF(Agent02_Loans!B45="","",Agent02_Loans!E45)</f>
        <v/>
      </c>
      <c r="F233" s="40" t="str">
        <f>IF(Agent02_Loans!B45="","",Agent02_Loans!F45)</f>
        <v/>
      </c>
      <c r="G233" s="40" t="str">
        <f>IF(Agent02_Loans!B45="","",Agent02_Loans!G45)</f>
        <v/>
      </c>
      <c r="H233" s="40" t="str">
        <f>IF(Agent02_Loans!B45="","",Agent02_Loans!H45)</f>
        <v/>
      </c>
      <c r="I233" s="43" t="str">
        <f>IF(Agent02_Loans!B45="","",Agent02_Loans!I45)</f>
        <v/>
      </c>
      <c r="J233" s="43" t="str">
        <f>IF(Agent02_Loans!B45="","",Agent02_Loans!J45)</f>
        <v/>
      </c>
      <c r="K233" s="40" t="str">
        <f>IF(Agent02_Loans!B45="","",Agent02_Loans!K45)</f>
        <v/>
      </c>
      <c r="L233" s="40" t="str">
        <f>IF(Agent02_Loans!B45="","",Agent02_Loans!L45)</f>
        <v/>
      </c>
      <c r="M233" s="40" t="str">
        <f>IFERROR(IF(Agent02_Loans!B45="","",YEAR(Agent02_Loans!D45)),"")</f>
        <v/>
      </c>
    </row>
    <row r="234" spans="1:13" ht="18" customHeight="1" x14ac:dyDescent="0.25">
      <c r="A234" s="40" t="str">
        <f>IF(Agent02_Loans!B46="","",Agent02_Loans!A46)</f>
        <v/>
      </c>
      <c r="B234" s="40" t="str">
        <f>IF(Agent02_Loans!B46="","",Agent02_Loans!B46)</f>
        <v/>
      </c>
      <c r="C234" s="40" t="str">
        <f>IF(Agent02_Loans!B46="","",Agent02_Loans!C46)</f>
        <v/>
      </c>
      <c r="D234" s="41" t="str">
        <f>IF(Agent02_Loans!B46="","",Agent02_Loans!D46)</f>
        <v/>
      </c>
      <c r="E234" s="43" t="str">
        <f>IF(Agent02_Loans!B46="","",Agent02_Loans!E46)</f>
        <v/>
      </c>
      <c r="F234" s="40" t="str">
        <f>IF(Agent02_Loans!B46="","",Agent02_Loans!F46)</f>
        <v/>
      </c>
      <c r="G234" s="40" t="str">
        <f>IF(Agent02_Loans!B46="","",Agent02_Loans!G46)</f>
        <v/>
      </c>
      <c r="H234" s="40" t="str">
        <f>IF(Agent02_Loans!B46="","",Agent02_Loans!H46)</f>
        <v/>
      </c>
      <c r="I234" s="43" t="str">
        <f>IF(Agent02_Loans!B46="","",Agent02_Loans!I46)</f>
        <v/>
      </c>
      <c r="J234" s="43" t="str">
        <f>IF(Agent02_Loans!B46="","",Agent02_Loans!J46)</f>
        <v/>
      </c>
      <c r="K234" s="40" t="str">
        <f>IF(Agent02_Loans!B46="","",Agent02_Loans!K46)</f>
        <v/>
      </c>
      <c r="L234" s="40" t="str">
        <f>IF(Agent02_Loans!B46="","",Agent02_Loans!L46)</f>
        <v/>
      </c>
      <c r="M234" s="40" t="str">
        <f>IFERROR(IF(Agent02_Loans!B46="","",YEAR(Agent02_Loans!D46)),"")</f>
        <v/>
      </c>
    </row>
    <row r="235" spans="1:13" ht="18" customHeight="1" x14ac:dyDescent="0.25">
      <c r="A235" s="40" t="str">
        <f>IF(Agent02_Loans!B47="","",Agent02_Loans!A47)</f>
        <v/>
      </c>
      <c r="B235" s="40" t="str">
        <f>IF(Agent02_Loans!B47="","",Agent02_Loans!B47)</f>
        <v/>
      </c>
      <c r="C235" s="40" t="str">
        <f>IF(Agent02_Loans!B47="","",Agent02_Loans!C47)</f>
        <v/>
      </c>
      <c r="D235" s="41" t="str">
        <f>IF(Agent02_Loans!B47="","",Agent02_Loans!D47)</f>
        <v/>
      </c>
      <c r="E235" s="43" t="str">
        <f>IF(Agent02_Loans!B47="","",Agent02_Loans!E47)</f>
        <v/>
      </c>
      <c r="F235" s="40" t="str">
        <f>IF(Agent02_Loans!B47="","",Agent02_Loans!F47)</f>
        <v/>
      </c>
      <c r="G235" s="40" t="str">
        <f>IF(Agent02_Loans!B47="","",Agent02_Loans!G47)</f>
        <v/>
      </c>
      <c r="H235" s="40" t="str">
        <f>IF(Agent02_Loans!B47="","",Agent02_Loans!H47)</f>
        <v/>
      </c>
      <c r="I235" s="43" t="str">
        <f>IF(Agent02_Loans!B47="","",Agent02_Loans!I47)</f>
        <v/>
      </c>
      <c r="J235" s="43" t="str">
        <f>IF(Agent02_Loans!B47="","",Agent02_Loans!J47)</f>
        <v/>
      </c>
      <c r="K235" s="40" t="str">
        <f>IF(Agent02_Loans!B47="","",Agent02_Loans!K47)</f>
        <v/>
      </c>
      <c r="L235" s="40" t="str">
        <f>IF(Agent02_Loans!B47="","",Agent02_Loans!L47)</f>
        <v/>
      </c>
      <c r="M235" s="40" t="str">
        <f>IFERROR(IF(Agent02_Loans!B47="","",YEAR(Agent02_Loans!D47)),"")</f>
        <v/>
      </c>
    </row>
    <row r="236" spans="1:13" ht="18" customHeight="1" x14ac:dyDescent="0.25">
      <c r="A236" s="40" t="str">
        <f>IF(Agent02_Loans!B48="","",Agent02_Loans!A48)</f>
        <v/>
      </c>
      <c r="B236" s="40" t="str">
        <f>IF(Agent02_Loans!B48="","",Agent02_Loans!B48)</f>
        <v/>
      </c>
      <c r="C236" s="40" t="str">
        <f>IF(Agent02_Loans!B48="","",Agent02_Loans!C48)</f>
        <v/>
      </c>
      <c r="D236" s="41" t="str">
        <f>IF(Agent02_Loans!B48="","",Agent02_Loans!D48)</f>
        <v/>
      </c>
      <c r="E236" s="43" t="str">
        <f>IF(Agent02_Loans!B48="","",Agent02_Loans!E48)</f>
        <v/>
      </c>
      <c r="F236" s="40" t="str">
        <f>IF(Agent02_Loans!B48="","",Agent02_Loans!F48)</f>
        <v/>
      </c>
      <c r="G236" s="40" t="str">
        <f>IF(Agent02_Loans!B48="","",Agent02_Loans!G48)</f>
        <v/>
      </c>
      <c r="H236" s="40" t="str">
        <f>IF(Agent02_Loans!B48="","",Agent02_Loans!H48)</f>
        <v/>
      </c>
      <c r="I236" s="43" t="str">
        <f>IF(Agent02_Loans!B48="","",Agent02_Loans!I48)</f>
        <v/>
      </c>
      <c r="J236" s="43" t="str">
        <f>IF(Agent02_Loans!B48="","",Agent02_Loans!J48)</f>
        <v/>
      </c>
      <c r="K236" s="40" t="str">
        <f>IF(Agent02_Loans!B48="","",Agent02_Loans!K48)</f>
        <v/>
      </c>
      <c r="L236" s="40" t="str">
        <f>IF(Agent02_Loans!B48="","",Agent02_Loans!L48)</f>
        <v/>
      </c>
      <c r="M236" s="40" t="str">
        <f>IFERROR(IF(Agent02_Loans!B48="","",YEAR(Agent02_Loans!D48)),"")</f>
        <v/>
      </c>
    </row>
    <row r="237" spans="1:13" ht="18" customHeight="1" x14ac:dyDescent="0.25">
      <c r="A237" s="40" t="str">
        <f>IF(Agent02_Loans!B49="","",Agent02_Loans!A49)</f>
        <v/>
      </c>
      <c r="B237" s="40" t="str">
        <f>IF(Agent02_Loans!B49="","",Agent02_Loans!B49)</f>
        <v/>
      </c>
      <c r="C237" s="40" t="str">
        <f>IF(Agent02_Loans!B49="","",Agent02_Loans!C49)</f>
        <v/>
      </c>
      <c r="D237" s="41" t="str">
        <f>IF(Agent02_Loans!B49="","",Agent02_Loans!D49)</f>
        <v/>
      </c>
      <c r="E237" s="43" t="str">
        <f>IF(Agent02_Loans!B49="","",Agent02_Loans!E49)</f>
        <v/>
      </c>
      <c r="F237" s="40" t="str">
        <f>IF(Agent02_Loans!B49="","",Agent02_Loans!F49)</f>
        <v/>
      </c>
      <c r="G237" s="40" t="str">
        <f>IF(Agent02_Loans!B49="","",Agent02_Loans!G49)</f>
        <v/>
      </c>
      <c r="H237" s="40" t="str">
        <f>IF(Agent02_Loans!B49="","",Agent02_Loans!H49)</f>
        <v/>
      </c>
      <c r="I237" s="43" t="str">
        <f>IF(Agent02_Loans!B49="","",Agent02_Loans!I49)</f>
        <v/>
      </c>
      <c r="J237" s="43" t="str">
        <f>IF(Agent02_Loans!B49="","",Agent02_Loans!J49)</f>
        <v/>
      </c>
      <c r="K237" s="40" t="str">
        <f>IF(Agent02_Loans!B49="","",Agent02_Loans!K49)</f>
        <v/>
      </c>
      <c r="L237" s="40" t="str">
        <f>IF(Agent02_Loans!B49="","",Agent02_Loans!L49)</f>
        <v/>
      </c>
      <c r="M237" s="40" t="str">
        <f>IFERROR(IF(Agent02_Loans!B49="","",YEAR(Agent02_Loans!D49)),"")</f>
        <v/>
      </c>
    </row>
    <row r="238" spans="1:13" ht="18" customHeight="1" x14ac:dyDescent="0.25">
      <c r="A238" s="40" t="str">
        <f>IF(Agent02_Loans!B50="","",Agent02_Loans!A50)</f>
        <v/>
      </c>
      <c r="B238" s="40" t="str">
        <f>IF(Agent02_Loans!B50="","",Agent02_Loans!B50)</f>
        <v/>
      </c>
      <c r="C238" s="40" t="str">
        <f>IF(Agent02_Loans!B50="","",Agent02_Loans!C50)</f>
        <v/>
      </c>
      <c r="D238" s="41" t="str">
        <f>IF(Agent02_Loans!B50="","",Agent02_Loans!D50)</f>
        <v/>
      </c>
      <c r="E238" s="43" t="str">
        <f>IF(Agent02_Loans!B50="","",Agent02_Loans!E50)</f>
        <v/>
      </c>
      <c r="F238" s="40" t="str">
        <f>IF(Agent02_Loans!B50="","",Agent02_Loans!F50)</f>
        <v/>
      </c>
      <c r="G238" s="40" t="str">
        <f>IF(Agent02_Loans!B50="","",Agent02_Loans!G50)</f>
        <v/>
      </c>
      <c r="H238" s="40" t="str">
        <f>IF(Agent02_Loans!B50="","",Agent02_Loans!H50)</f>
        <v/>
      </c>
      <c r="I238" s="43" t="str">
        <f>IF(Agent02_Loans!B50="","",Agent02_Loans!I50)</f>
        <v/>
      </c>
      <c r="J238" s="43" t="str">
        <f>IF(Agent02_Loans!B50="","",Agent02_Loans!J50)</f>
        <v/>
      </c>
      <c r="K238" s="40" t="str">
        <f>IF(Agent02_Loans!B50="","",Agent02_Loans!K50)</f>
        <v/>
      </c>
      <c r="L238" s="40" t="str">
        <f>IF(Agent02_Loans!B50="","",Agent02_Loans!L50)</f>
        <v/>
      </c>
      <c r="M238" s="40" t="str">
        <f>IFERROR(IF(Agent02_Loans!B50="","",YEAR(Agent02_Loans!D50)),"")</f>
        <v/>
      </c>
    </row>
    <row r="239" spans="1:13" ht="18" customHeight="1" x14ac:dyDescent="0.25">
      <c r="A239" s="40" t="str">
        <f>IF(Agent02_Loans!B51="","",Agent02_Loans!A51)</f>
        <v/>
      </c>
      <c r="B239" s="40" t="str">
        <f>IF(Agent02_Loans!B51="","",Agent02_Loans!B51)</f>
        <v/>
      </c>
      <c r="C239" s="40" t="str">
        <f>IF(Agent02_Loans!B51="","",Agent02_Loans!C51)</f>
        <v/>
      </c>
      <c r="D239" s="41" t="str">
        <f>IF(Agent02_Loans!B51="","",Agent02_Loans!D51)</f>
        <v/>
      </c>
      <c r="E239" s="43" t="str">
        <f>IF(Agent02_Loans!B51="","",Agent02_Loans!E51)</f>
        <v/>
      </c>
      <c r="F239" s="40" t="str">
        <f>IF(Agent02_Loans!B51="","",Agent02_Loans!F51)</f>
        <v/>
      </c>
      <c r="G239" s="40" t="str">
        <f>IF(Agent02_Loans!B51="","",Agent02_Loans!G51)</f>
        <v/>
      </c>
      <c r="H239" s="40" t="str">
        <f>IF(Agent02_Loans!B51="","",Agent02_Loans!H51)</f>
        <v/>
      </c>
      <c r="I239" s="43" t="str">
        <f>IF(Agent02_Loans!B51="","",Agent02_Loans!I51)</f>
        <v/>
      </c>
      <c r="J239" s="43" t="str">
        <f>IF(Agent02_Loans!B51="","",Agent02_Loans!J51)</f>
        <v/>
      </c>
      <c r="K239" s="40" t="str">
        <f>IF(Agent02_Loans!B51="","",Agent02_Loans!K51)</f>
        <v/>
      </c>
      <c r="L239" s="40" t="str">
        <f>IF(Agent02_Loans!B51="","",Agent02_Loans!L51)</f>
        <v/>
      </c>
      <c r="M239" s="40" t="str">
        <f>IFERROR(IF(Agent02_Loans!B51="","",YEAR(Agent02_Loans!D51)),"")</f>
        <v/>
      </c>
    </row>
    <row r="240" spans="1:13" ht="18" customHeight="1" x14ac:dyDescent="0.25">
      <c r="A240" s="40" t="str">
        <f>IF(Agent02_Loans!B52="","",Agent02_Loans!A52)</f>
        <v/>
      </c>
      <c r="B240" s="40" t="str">
        <f>IF(Agent02_Loans!B52="","",Agent02_Loans!B52)</f>
        <v/>
      </c>
      <c r="C240" s="40" t="str">
        <f>IF(Agent02_Loans!B52="","",Agent02_Loans!C52)</f>
        <v/>
      </c>
      <c r="D240" s="41" t="str">
        <f>IF(Agent02_Loans!B52="","",Agent02_Loans!D52)</f>
        <v/>
      </c>
      <c r="E240" s="43" t="str">
        <f>IF(Agent02_Loans!B52="","",Agent02_Loans!E52)</f>
        <v/>
      </c>
      <c r="F240" s="40" t="str">
        <f>IF(Agent02_Loans!B52="","",Agent02_Loans!F52)</f>
        <v/>
      </c>
      <c r="G240" s="40" t="str">
        <f>IF(Agent02_Loans!B52="","",Agent02_Loans!G52)</f>
        <v/>
      </c>
      <c r="H240" s="40" t="str">
        <f>IF(Agent02_Loans!B52="","",Agent02_Loans!H52)</f>
        <v/>
      </c>
      <c r="I240" s="43" t="str">
        <f>IF(Agent02_Loans!B52="","",Agent02_Loans!I52)</f>
        <v/>
      </c>
      <c r="J240" s="43" t="str">
        <f>IF(Agent02_Loans!B52="","",Agent02_Loans!J52)</f>
        <v/>
      </c>
      <c r="K240" s="40" t="str">
        <f>IF(Agent02_Loans!B52="","",Agent02_Loans!K52)</f>
        <v/>
      </c>
      <c r="L240" s="40" t="str">
        <f>IF(Agent02_Loans!B52="","",Agent02_Loans!L52)</f>
        <v/>
      </c>
      <c r="M240" s="40" t="str">
        <f>IFERROR(IF(Agent02_Loans!B52="","",YEAR(Agent02_Loans!D52)),"")</f>
        <v/>
      </c>
    </row>
    <row r="241" spans="1:13" ht="18" customHeight="1" x14ac:dyDescent="0.25">
      <c r="A241" s="40" t="str">
        <f>IF(Agent02_Loans!B53="","",Agent02_Loans!A53)</f>
        <v/>
      </c>
      <c r="B241" s="40" t="str">
        <f>IF(Agent02_Loans!B53="","",Agent02_Loans!B53)</f>
        <v/>
      </c>
      <c r="C241" s="40" t="str">
        <f>IF(Agent02_Loans!B53="","",Agent02_Loans!C53)</f>
        <v/>
      </c>
      <c r="D241" s="41" t="str">
        <f>IF(Agent02_Loans!B53="","",Agent02_Loans!D53)</f>
        <v/>
      </c>
      <c r="E241" s="43" t="str">
        <f>IF(Agent02_Loans!B53="","",Agent02_Loans!E53)</f>
        <v/>
      </c>
      <c r="F241" s="40" t="str">
        <f>IF(Agent02_Loans!B53="","",Agent02_Loans!F53)</f>
        <v/>
      </c>
      <c r="G241" s="40" t="str">
        <f>IF(Agent02_Loans!B53="","",Agent02_Loans!G53)</f>
        <v/>
      </c>
      <c r="H241" s="40" t="str">
        <f>IF(Agent02_Loans!B53="","",Agent02_Loans!H53)</f>
        <v/>
      </c>
      <c r="I241" s="43" t="str">
        <f>IF(Agent02_Loans!B53="","",Agent02_Loans!I53)</f>
        <v/>
      </c>
      <c r="J241" s="43" t="str">
        <f>IF(Agent02_Loans!B53="","",Agent02_Loans!J53)</f>
        <v/>
      </c>
      <c r="K241" s="40" t="str">
        <f>IF(Agent02_Loans!B53="","",Agent02_Loans!K53)</f>
        <v/>
      </c>
      <c r="L241" s="40" t="str">
        <f>IF(Agent02_Loans!B53="","",Agent02_Loans!L53)</f>
        <v/>
      </c>
      <c r="M241" s="40" t="str">
        <f>IFERROR(IF(Agent02_Loans!B53="","",YEAR(Agent02_Loans!D53)),"")</f>
        <v/>
      </c>
    </row>
    <row r="242" spans="1:13" ht="18" customHeight="1" x14ac:dyDescent="0.25">
      <c r="A242" s="40" t="str">
        <f>IF(Agent02_Loans!B54="","",Agent02_Loans!A54)</f>
        <v/>
      </c>
      <c r="B242" s="40" t="str">
        <f>IF(Agent02_Loans!B54="","",Agent02_Loans!B54)</f>
        <v/>
      </c>
      <c r="C242" s="40" t="str">
        <f>IF(Agent02_Loans!B54="","",Agent02_Loans!C54)</f>
        <v/>
      </c>
      <c r="D242" s="41" t="str">
        <f>IF(Agent02_Loans!B54="","",Agent02_Loans!D54)</f>
        <v/>
      </c>
      <c r="E242" s="43" t="str">
        <f>IF(Agent02_Loans!B54="","",Agent02_Loans!E54)</f>
        <v/>
      </c>
      <c r="F242" s="40" t="str">
        <f>IF(Agent02_Loans!B54="","",Agent02_Loans!F54)</f>
        <v/>
      </c>
      <c r="G242" s="40" t="str">
        <f>IF(Agent02_Loans!B54="","",Agent02_Loans!G54)</f>
        <v/>
      </c>
      <c r="H242" s="40" t="str">
        <f>IF(Agent02_Loans!B54="","",Agent02_Loans!H54)</f>
        <v/>
      </c>
      <c r="I242" s="43" t="str">
        <f>IF(Agent02_Loans!B54="","",Agent02_Loans!I54)</f>
        <v/>
      </c>
      <c r="J242" s="43" t="str">
        <f>IF(Agent02_Loans!B54="","",Agent02_Loans!J54)</f>
        <v/>
      </c>
      <c r="K242" s="40" t="str">
        <f>IF(Agent02_Loans!B54="","",Agent02_Loans!K54)</f>
        <v/>
      </c>
      <c r="L242" s="40" t="str">
        <f>IF(Agent02_Loans!B54="","",Agent02_Loans!L54)</f>
        <v/>
      </c>
      <c r="M242" s="40" t="str">
        <f>IFERROR(IF(Agent02_Loans!B54="","",YEAR(Agent02_Loans!D54)),"")</f>
        <v/>
      </c>
    </row>
    <row r="243" spans="1:13" ht="18" customHeight="1" x14ac:dyDescent="0.25">
      <c r="A243" s="40" t="str">
        <f>IF(Agent02_Loans!B55="","",Agent02_Loans!A55)</f>
        <v/>
      </c>
      <c r="B243" s="40" t="str">
        <f>IF(Agent02_Loans!B55="","",Agent02_Loans!B55)</f>
        <v/>
      </c>
      <c r="C243" s="40" t="str">
        <f>IF(Agent02_Loans!B55="","",Agent02_Loans!C55)</f>
        <v/>
      </c>
      <c r="D243" s="41" t="str">
        <f>IF(Agent02_Loans!B55="","",Agent02_Loans!D55)</f>
        <v/>
      </c>
      <c r="E243" s="43" t="str">
        <f>IF(Agent02_Loans!B55="","",Agent02_Loans!E55)</f>
        <v/>
      </c>
      <c r="F243" s="40" t="str">
        <f>IF(Agent02_Loans!B55="","",Agent02_Loans!F55)</f>
        <v/>
      </c>
      <c r="G243" s="40" t="str">
        <f>IF(Agent02_Loans!B55="","",Agent02_Loans!G55)</f>
        <v/>
      </c>
      <c r="H243" s="40" t="str">
        <f>IF(Agent02_Loans!B55="","",Agent02_Loans!H55)</f>
        <v/>
      </c>
      <c r="I243" s="43" t="str">
        <f>IF(Agent02_Loans!B55="","",Agent02_Loans!I55)</f>
        <v/>
      </c>
      <c r="J243" s="43" t="str">
        <f>IF(Agent02_Loans!B55="","",Agent02_Loans!J55)</f>
        <v/>
      </c>
      <c r="K243" s="40" t="str">
        <f>IF(Agent02_Loans!B55="","",Agent02_Loans!K55)</f>
        <v/>
      </c>
      <c r="L243" s="40" t="str">
        <f>IF(Agent02_Loans!B55="","",Agent02_Loans!L55)</f>
        <v/>
      </c>
      <c r="M243" s="40" t="str">
        <f>IFERROR(IF(Agent02_Loans!B55="","",YEAR(Agent02_Loans!D55)),"")</f>
        <v/>
      </c>
    </row>
    <row r="244" spans="1:13" ht="18" customHeight="1" x14ac:dyDescent="0.25">
      <c r="A244" s="40" t="str">
        <f>IF(Agent02_Loans!B56="","",Agent02_Loans!A56)</f>
        <v/>
      </c>
      <c r="B244" s="40" t="str">
        <f>IF(Agent02_Loans!B56="","",Agent02_Loans!B56)</f>
        <v/>
      </c>
      <c r="C244" s="40" t="str">
        <f>IF(Agent02_Loans!B56="","",Agent02_Loans!C56)</f>
        <v/>
      </c>
      <c r="D244" s="41" t="str">
        <f>IF(Agent02_Loans!B56="","",Agent02_Loans!D56)</f>
        <v/>
      </c>
      <c r="E244" s="43" t="str">
        <f>IF(Agent02_Loans!B56="","",Agent02_Loans!E56)</f>
        <v/>
      </c>
      <c r="F244" s="40" t="str">
        <f>IF(Agent02_Loans!B56="","",Agent02_Loans!F56)</f>
        <v/>
      </c>
      <c r="G244" s="40" t="str">
        <f>IF(Agent02_Loans!B56="","",Agent02_Loans!G56)</f>
        <v/>
      </c>
      <c r="H244" s="40" t="str">
        <f>IF(Agent02_Loans!B56="","",Agent02_Loans!H56)</f>
        <v/>
      </c>
      <c r="I244" s="43" t="str">
        <f>IF(Agent02_Loans!B56="","",Agent02_Loans!I56)</f>
        <v/>
      </c>
      <c r="J244" s="43" t="str">
        <f>IF(Agent02_Loans!B56="","",Agent02_Loans!J56)</f>
        <v/>
      </c>
      <c r="K244" s="40" t="str">
        <f>IF(Agent02_Loans!B56="","",Agent02_Loans!K56)</f>
        <v/>
      </c>
      <c r="L244" s="40" t="str">
        <f>IF(Agent02_Loans!B56="","",Agent02_Loans!L56)</f>
        <v/>
      </c>
      <c r="M244" s="40" t="str">
        <f>IFERROR(IF(Agent02_Loans!B56="","",YEAR(Agent02_Loans!D56)),"")</f>
        <v/>
      </c>
    </row>
    <row r="245" spans="1:13" ht="18" customHeight="1" x14ac:dyDescent="0.25">
      <c r="A245" s="40" t="str">
        <f>IF(Agent02_Loans!B57="","",Agent02_Loans!A57)</f>
        <v/>
      </c>
      <c r="B245" s="40" t="str">
        <f>IF(Agent02_Loans!B57="","",Agent02_Loans!B57)</f>
        <v/>
      </c>
      <c r="C245" s="40" t="str">
        <f>IF(Agent02_Loans!B57="","",Agent02_Loans!C57)</f>
        <v/>
      </c>
      <c r="D245" s="41" t="str">
        <f>IF(Agent02_Loans!B57="","",Agent02_Loans!D57)</f>
        <v/>
      </c>
      <c r="E245" s="43" t="str">
        <f>IF(Agent02_Loans!B57="","",Agent02_Loans!E57)</f>
        <v/>
      </c>
      <c r="F245" s="40" t="str">
        <f>IF(Agent02_Loans!B57="","",Agent02_Loans!F57)</f>
        <v/>
      </c>
      <c r="G245" s="40" t="str">
        <f>IF(Agent02_Loans!B57="","",Agent02_Loans!G57)</f>
        <v/>
      </c>
      <c r="H245" s="40" t="str">
        <f>IF(Agent02_Loans!B57="","",Agent02_Loans!H57)</f>
        <v/>
      </c>
      <c r="I245" s="43" t="str">
        <f>IF(Agent02_Loans!B57="","",Agent02_Loans!I57)</f>
        <v/>
      </c>
      <c r="J245" s="43" t="str">
        <f>IF(Agent02_Loans!B57="","",Agent02_Loans!J57)</f>
        <v/>
      </c>
      <c r="K245" s="40" t="str">
        <f>IF(Agent02_Loans!B57="","",Agent02_Loans!K57)</f>
        <v/>
      </c>
      <c r="L245" s="40" t="str">
        <f>IF(Agent02_Loans!B57="","",Agent02_Loans!L57)</f>
        <v/>
      </c>
      <c r="M245" s="40" t="str">
        <f>IFERROR(IF(Agent02_Loans!B57="","",YEAR(Agent02_Loans!D57)),"")</f>
        <v/>
      </c>
    </row>
    <row r="246" spans="1:13" ht="18" customHeight="1" x14ac:dyDescent="0.25">
      <c r="A246" s="40" t="str">
        <f>IF(Agent02_Loans!B58="","",Agent02_Loans!A58)</f>
        <v/>
      </c>
      <c r="B246" s="40" t="str">
        <f>IF(Agent02_Loans!B58="","",Agent02_Loans!B58)</f>
        <v/>
      </c>
      <c r="C246" s="40" t="str">
        <f>IF(Agent02_Loans!B58="","",Agent02_Loans!C58)</f>
        <v/>
      </c>
      <c r="D246" s="41" t="str">
        <f>IF(Agent02_Loans!B58="","",Agent02_Loans!D58)</f>
        <v/>
      </c>
      <c r="E246" s="43" t="str">
        <f>IF(Agent02_Loans!B58="","",Agent02_Loans!E58)</f>
        <v/>
      </c>
      <c r="F246" s="40" t="str">
        <f>IF(Agent02_Loans!B58="","",Agent02_Loans!F58)</f>
        <v/>
      </c>
      <c r="G246" s="40" t="str">
        <f>IF(Agent02_Loans!B58="","",Agent02_Loans!G58)</f>
        <v/>
      </c>
      <c r="H246" s="40" t="str">
        <f>IF(Agent02_Loans!B58="","",Agent02_Loans!H58)</f>
        <v/>
      </c>
      <c r="I246" s="43" t="str">
        <f>IF(Agent02_Loans!B58="","",Agent02_Loans!I58)</f>
        <v/>
      </c>
      <c r="J246" s="43" t="str">
        <f>IF(Agent02_Loans!B58="","",Agent02_Loans!J58)</f>
        <v/>
      </c>
      <c r="K246" s="40" t="str">
        <f>IF(Agent02_Loans!B58="","",Agent02_Loans!K58)</f>
        <v/>
      </c>
      <c r="L246" s="40" t="str">
        <f>IF(Agent02_Loans!B58="","",Agent02_Loans!L58)</f>
        <v/>
      </c>
      <c r="M246" s="40" t="str">
        <f>IFERROR(IF(Agent02_Loans!B58="","",YEAR(Agent02_Loans!D58)),"")</f>
        <v/>
      </c>
    </row>
    <row r="247" spans="1:13" ht="18" customHeight="1" x14ac:dyDescent="0.25">
      <c r="A247" s="40" t="str">
        <f>IF(Agent02_Loans!B59="","",Agent02_Loans!A59)</f>
        <v/>
      </c>
      <c r="B247" s="40" t="str">
        <f>IF(Agent02_Loans!B59="","",Agent02_Loans!B59)</f>
        <v/>
      </c>
      <c r="C247" s="40" t="str">
        <f>IF(Agent02_Loans!B59="","",Agent02_Loans!C59)</f>
        <v/>
      </c>
      <c r="D247" s="41" t="str">
        <f>IF(Agent02_Loans!B59="","",Agent02_Loans!D59)</f>
        <v/>
      </c>
      <c r="E247" s="43" t="str">
        <f>IF(Agent02_Loans!B59="","",Agent02_Loans!E59)</f>
        <v/>
      </c>
      <c r="F247" s="40" t="str">
        <f>IF(Agent02_Loans!B59="","",Agent02_Loans!F59)</f>
        <v/>
      </c>
      <c r="G247" s="40" t="str">
        <f>IF(Agent02_Loans!B59="","",Agent02_Loans!G59)</f>
        <v/>
      </c>
      <c r="H247" s="40" t="str">
        <f>IF(Agent02_Loans!B59="","",Agent02_Loans!H59)</f>
        <v/>
      </c>
      <c r="I247" s="43" t="str">
        <f>IF(Agent02_Loans!B59="","",Agent02_Loans!I59)</f>
        <v/>
      </c>
      <c r="J247" s="43" t="str">
        <f>IF(Agent02_Loans!B59="","",Agent02_Loans!J59)</f>
        <v/>
      </c>
      <c r="K247" s="40" t="str">
        <f>IF(Agent02_Loans!B59="","",Agent02_Loans!K59)</f>
        <v/>
      </c>
      <c r="L247" s="40" t="str">
        <f>IF(Agent02_Loans!B59="","",Agent02_Loans!L59)</f>
        <v/>
      </c>
      <c r="M247" s="40" t="str">
        <f>IFERROR(IF(Agent02_Loans!B59="","",YEAR(Agent02_Loans!D59)),"")</f>
        <v/>
      </c>
    </row>
    <row r="248" spans="1:13" ht="18" customHeight="1" x14ac:dyDescent="0.25">
      <c r="A248" s="40" t="str">
        <f>IF(Agent02_Loans!B60="","",Agent02_Loans!A60)</f>
        <v/>
      </c>
      <c r="B248" s="40" t="str">
        <f>IF(Agent02_Loans!B60="","",Agent02_Loans!B60)</f>
        <v/>
      </c>
      <c r="C248" s="40" t="str">
        <f>IF(Agent02_Loans!B60="","",Agent02_Loans!C60)</f>
        <v/>
      </c>
      <c r="D248" s="41" t="str">
        <f>IF(Agent02_Loans!B60="","",Agent02_Loans!D60)</f>
        <v/>
      </c>
      <c r="E248" s="43" t="str">
        <f>IF(Agent02_Loans!B60="","",Agent02_Loans!E60)</f>
        <v/>
      </c>
      <c r="F248" s="40" t="str">
        <f>IF(Agent02_Loans!B60="","",Agent02_Loans!F60)</f>
        <v/>
      </c>
      <c r="G248" s="40" t="str">
        <f>IF(Agent02_Loans!B60="","",Agent02_Loans!G60)</f>
        <v/>
      </c>
      <c r="H248" s="40" t="str">
        <f>IF(Agent02_Loans!B60="","",Agent02_Loans!H60)</f>
        <v/>
      </c>
      <c r="I248" s="43" t="str">
        <f>IF(Agent02_Loans!B60="","",Agent02_Loans!I60)</f>
        <v/>
      </c>
      <c r="J248" s="43" t="str">
        <f>IF(Agent02_Loans!B60="","",Agent02_Loans!J60)</f>
        <v/>
      </c>
      <c r="K248" s="40" t="str">
        <f>IF(Agent02_Loans!B60="","",Agent02_Loans!K60)</f>
        <v/>
      </c>
      <c r="L248" s="40" t="str">
        <f>IF(Agent02_Loans!B60="","",Agent02_Loans!L60)</f>
        <v/>
      </c>
      <c r="M248" s="40" t="str">
        <f>IFERROR(IF(Agent02_Loans!B60="","",YEAR(Agent02_Loans!D60)),"")</f>
        <v/>
      </c>
    </row>
    <row r="249" spans="1:13" ht="18" customHeight="1" x14ac:dyDescent="0.25">
      <c r="A249" s="40" t="str">
        <f>IF(Agent02_Loans!B61="","",Agent02_Loans!A61)</f>
        <v/>
      </c>
      <c r="B249" s="40" t="str">
        <f>IF(Agent02_Loans!B61="","",Agent02_Loans!B61)</f>
        <v/>
      </c>
      <c r="C249" s="40" t="str">
        <f>IF(Agent02_Loans!B61="","",Agent02_Loans!C61)</f>
        <v/>
      </c>
      <c r="D249" s="41" t="str">
        <f>IF(Agent02_Loans!B61="","",Agent02_Loans!D61)</f>
        <v/>
      </c>
      <c r="E249" s="43" t="str">
        <f>IF(Agent02_Loans!B61="","",Agent02_Loans!E61)</f>
        <v/>
      </c>
      <c r="F249" s="40" t="str">
        <f>IF(Agent02_Loans!B61="","",Agent02_Loans!F61)</f>
        <v/>
      </c>
      <c r="G249" s="40" t="str">
        <f>IF(Agent02_Loans!B61="","",Agent02_Loans!G61)</f>
        <v/>
      </c>
      <c r="H249" s="40" t="str">
        <f>IF(Agent02_Loans!B61="","",Agent02_Loans!H61)</f>
        <v/>
      </c>
      <c r="I249" s="43" t="str">
        <f>IF(Agent02_Loans!B61="","",Agent02_Loans!I61)</f>
        <v/>
      </c>
      <c r="J249" s="43" t="str">
        <f>IF(Agent02_Loans!B61="","",Agent02_Loans!J61)</f>
        <v/>
      </c>
      <c r="K249" s="40" t="str">
        <f>IF(Agent02_Loans!B61="","",Agent02_Loans!K61)</f>
        <v/>
      </c>
      <c r="L249" s="40" t="str">
        <f>IF(Agent02_Loans!B61="","",Agent02_Loans!L61)</f>
        <v/>
      </c>
      <c r="M249" s="40" t="str">
        <f>IFERROR(IF(Agent02_Loans!B61="","",YEAR(Agent02_Loans!D61)),"")</f>
        <v/>
      </c>
    </row>
    <row r="250" spans="1:13" ht="18" customHeight="1" x14ac:dyDescent="0.25">
      <c r="A250" s="40" t="str">
        <f>IF(Agent02_Loans!B62="","",Agent02_Loans!A62)</f>
        <v/>
      </c>
      <c r="B250" s="40" t="str">
        <f>IF(Agent02_Loans!B62="","",Agent02_Loans!B62)</f>
        <v/>
      </c>
      <c r="C250" s="40" t="str">
        <f>IF(Agent02_Loans!B62="","",Agent02_Loans!C62)</f>
        <v/>
      </c>
      <c r="D250" s="41" t="str">
        <f>IF(Agent02_Loans!B62="","",Agent02_Loans!D62)</f>
        <v/>
      </c>
      <c r="E250" s="43" t="str">
        <f>IF(Agent02_Loans!B62="","",Agent02_Loans!E62)</f>
        <v/>
      </c>
      <c r="F250" s="40" t="str">
        <f>IF(Agent02_Loans!B62="","",Agent02_Loans!F62)</f>
        <v/>
      </c>
      <c r="G250" s="40" t="str">
        <f>IF(Agent02_Loans!B62="","",Agent02_Loans!G62)</f>
        <v/>
      </c>
      <c r="H250" s="40" t="str">
        <f>IF(Agent02_Loans!B62="","",Agent02_Loans!H62)</f>
        <v/>
      </c>
      <c r="I250" s="43" t="str">
        <f>IF(Agent02_Loans!B62="","",Agent02_Loans!I62)</f>
        <v/>
      </c>
      <c r="J250" s="43" t="str">
        <f>IF(Agent02_Loans!B62="","",Agent02_Loans!J62)</f>
        <v/>
      </c>
      <c r="K250" s="40" t="str">
        <f>IF(Agent02_Loans!B62="","",Agent02_Loans!K62)</f>
        <v/>
      </c>
      <c r="L250" s="40" t="str">
        <f>IF(Agent02_Loans!B62="","",Agent02_Loans!L62)</f>
        <v/>
      </c>
      <c r="M250" s="40" t="str">
        <f>IFERROR(IF(Agent02_Loans!B62="","",YEAR(Agent02_Loans!D62)),"")</f>
        <v/>
      </c>
    </row>
    <row r="251" spans="1:13" ht="18" customHeight="1" x14ac:dyDescent="0.25">
      <c r="A251" s="40" t="str">
        <f>IF(Agent02_Loans!B63="","",Agent02_Loans!A63)</f>
        <v/>
      </c>
      <c r="B251" s="40" t="str">
        <f>IF(Agent02_Loans!B63="","",Agent02_Loans!B63)</f>
        <v/>
      </c>
      <c r="C251" s="40" t="str">
        <f>IF(Agent02_Loans!B63="","",Agent02_Loans!C63)</f>
        <v/>
      </c>
      <c r="D251" s="41" t="str">
        <f>IF(Agent02_Loans!B63="","",Agent02_Loans!D63)</f>
        <v/>
      </c>
      <c r="E251" s="43" t="str">
        <f>IF(Agent02_Loans!B63="","",Agent02_Loans!E63)</f>
        <v/>
      </c>
      <c r="F251" s="40" t="str">
        <f>IF(Agent02_Loans!B63="","",Agent02_Loans!F63)</f>
        <v/>
      </c>
      <c r="G251" s="40" t="str">
        <f>IF(Agent02_Loans!B63="","",Agent02_Loans!G63)</f>
        <v/>
      </c>
      <c r="H251" s="40" t="str">
        <f>IF(Agent02_Loans!B63="","",Agent02_Loans!H63)</f>
        <v/>
      </c>
      <c r="I251" s="43" t="str">
        <f>IF(Agent02_Loans!B63="","",Agent02_Loans!I63)</f>
        <v/>
      </c>
      <c r="J251" s="43" t="str">
        <f>IF(Agent02_Loans!B63="","",Agent02_Loans!J63)</f>
        <v/>
      </c>
      <c r="K251" s="40" t="str">
        <f>IF(Agent02_Loans!B63="","",Agent02_Loans!K63)</f>
        <v/>
      </c>
      <c r="L251" s="40" t="str">
        <f>IF(Agent02_Loans!B63="","",Agent02_Loans!L63)</f>
        <v/>
      </c>
      <c r="M251" s="40" t="str">
        <f>IFERROR(IF(Agent02_Loans!B63="","",YEAR(Agent02_Loans!D63)),"")</f>
        <v/>
      </c>
    </row>
    <row r="252" spans="1:13" ht="18" customHeight="1" x14ac:dyDescent="0.25">
      <c r="A252" s="40" t="str">
        <f>IF(Agent02_Loans!B64="","",Agent02_Loans!A64)</f>
        <v/>
      </c>
      <c r="B252" s="40" t="str">
        <f>IF(Agent02_Loans!B64="","",Agent02_Loans!B64)</f>
        <v/>
      </c>
      <c r="C252" s="40" t="str">
        <f>IF(Agent02_Loans!B64="","",Agent02_Loans!C64)</f>
        <v/>
      </c>
      <c r="D252" s="41" t="str">
        <f>IF(Agent02_Loans!B64="","",Agent02_Loans!D64)</f>
        <v/>
      </c>
      <c r="E252" s="43" t="str">
        <f>IF(Agent02_Loans!B64="","",Agent02_Loans!E64)</f>
        <v/>
      </c>
      <c r="F252" s="40" t="str">
        <f>IF(Agent02_Loans!B64="","",Agent02_Loans!F64)</f>
        <v/>
      </c>
      <c r="G252" s="40" t="str">
        <f>IF(Agent02_Loans!B64="","",Agent02_Loans!G64)</f>
        <v/>
      </c>
      <c r="H252" s="40" t="str">
        <f>IF(Agent02_Loans!B64="","",Agent02_Loans!H64)</f>
        <v/>
      </c>
      <c r="I252" s="43" t="str">
        <f>IF(Agent02_Loans!B64="","",Agent02_Loans!I64)</f>
        <v/>
      </c>
      <c r="J252" s="43" t="str">
        <f>IF(Agent02_Loans!B64="","",Agent02_Loans!J64)</f>
        <v/>
      </c>
      <c r="K252" s="40" t="str">
        <f>IF(Agent02_Loans!B64="","",Agent02_Loans!K64)</f>
        <v/>
      </c>
      <c r="L252" s="40" t="str">
        <f>IF(Agent02_Loans!B64="","",Agent02_Loans!L64)</f>
        <v/>
      </c>
      <c r="M252" s="40" t="str">
        <f>IFERROR(IF(Agent02_Loans!B64="","",YEAR(Agent02_Loans!D64)),"")</f>
        <v/>
      </c>
    </row>
    <row r="253" spans="1:13" ht="18" customHeight="1" x14ac:dyDescent="0.25">
      <c r="A253" s="40" t="str">
        <f>IF(Agent02_Loans!B65="","",Agent02_Loans!A65)</f>
        <v/>
      </c>
      <c r="B253" s="40" t="str">
        <f>IF(Agent02_Loans!B65="","",Agent02_Loans!B65)</f>
        <v/>
      </c>
      <c r="C253" s="40" t="str">
        <f>IF(Agent02_Loans!B65="","",Agent02_Loans!C65)</f>
        <v/>
      </c>
      <c r="D253" s="41" t="str">
        <f>IF(Agent02_Loans!B65="","",Agent02_Loans!D65)</f>
        <v/>
      </c>
      <c r="E253" s="43" t="str">
        <f>IF(Agent02_Loans!B65="","",Agent02_Loans!E65)</f>
        <v/>
      </c>
      <c r="F253" s="40" t="str">
        <f>IF(Agent02_Loans!B65="","",Agent02_Loans!F65)</f>
        <v/>
      </c>
      <c r="G253" s="40" t="str">
        <f>IF(Agent02_Loans!B65="","",Agent02_Loans!G65)</f>
        <v/>
      </c>
      <c r="H253" s="40" t="str">
        <f>IF(Agent02_Loans!B65="","",Agent02_Loans!H65)</f>
        <v/>
      </c>
      <c r="I253" s="43" t="str">
        <f>IF(Agent02_Loans!B65="","",Agent02_Loans!I65)</f>
        <v/>
      </c>
      <c r="J253" s="43" t="str">
        <f>IF(Agent02_Loans!B65="","",Agent02_Loans!J65)</f>
        <v/>
      </c>
      <c r="K253" s="40" t="str">
        <f>IF(Agent02_Loans!B65="","",Agent02_Loans!K65)</f>
        <v/>
      </c>
      <c r="L253" s="40" t="str">
        <f>IF(Agent02_Loans!B65="","",Agent02_Loans!L65)</f>
        <v/>
      </c>
      <c r="M253" s="40" t="str">
        <f>IFERROR(IF(Agent02_Loans!B65="","",YEAR(Agent02_Loans!D65)),"")</f>
        <v/>
      </c>
    </row>
    <row r="254" spans="1:13" ht="18" customHeight="1" x14ac:dyDescent="0.25">
      <c r="A254" s="40" t="str">
        <f>IF(Agent02_Loans!B66="","",Agent02_Loans!A66)</f>
        <v/>
      </c>
      <c r="B254" s="40" t="str">
        <f>IF(Agent02_Loans!B66="","",Agent02_Loans!B66)</f>
        <v/>
      </c>
      <c r="C254" s="40" t="str">
        <f>IF(Agent02_Loans!B66="","",Agent02_Loans!C66)</f>
        <v/>
      </c>
      <c r="D254" s="41" t="str">
        <f>IF(Agent02_Loans!B66="","",Agent02_Loans!D66)</f>
        <v/>
      </c>
      <c r="E254" s="43" t="str">
        <f>IF(Agent02_Loans!B66="","",Agent02_Loans!E66)</f>
        <v/>
      </c>
      <c r="F254" s="40" t="str">
        <f>IF(Agent02_Loans!B66="","",Agent02_Loans!F66)</f>
        <v/>
      </c>
      <c r="G254" s="40" t="str">
        <f>IF(Agent02_Loans!B66="","",Agent02_Loans!G66)</f>
        <v/>
      </c>
      <c r="H254" s="40" t="str">
        <f>IF(Agent02_Loans!B66="","",Agent02_Loans!H66)</f>
        <v/>
      </c>
      <c r="I254" s="43" t="str">
        <f>IF(Agent02_Loans!B66="","",Agent02_Loans!I66)</f>
        <v/>
      </c>
      <c r="J254" s="43" t="str">
        <f>IF(Agent02_Loans!B66="","",Agent02_Loans!J66)</f>
        <v/>
      </c>
      <c r="K254" s="40" t="str">
        <f>IF(Agent02_Loans!B66="","",Agent02_Loans!K66)</f>
        <v/>
      </c>
      <c r="L254" s="40" t="str">
        <f>IF(Agent02_Loans!B66="","",Agent02_Loans!L66)</f>
        <v/>
      </c>
      <c r="M254" s="40" t="str">
        <f>IFERROR(IF(Agent02_Loans!B66="","",YEAR(Agent02_Loans!D66)),"")</f>
        <v/>
      </c>
    </row>
    <row r="255" spans="1:13" ht="18" customHeight="1" x14ac:dyDescent="0.25">
      <c r="A255" s="40" t="str">
        <f>IF(Agent02_Loans!B67="","",Agent02_Loans!A67)</f>
        <v/>
      </c>
      <c r="B255" s="40" t="str">
        <f>IF(Agent02_Loans!B67="","",Agent02_Loans!B67)</f>
        <v/>
      </c>
      <c r="C255" s="40" t="str">
        <f>IF(Agent02_Loans!B67="","",Agent02_Loans!C67)</f>
        <v/>
      </c>
      <c r="D255" s="41" t="str">
        <f>IF(Agent02_Loans!B67="","",Agent02_Loans!D67)</f>
        <v/>
      </c>
      <c r="E255" s="43" t="str">
        <f>IF(Agent02_Loans!B67="","",Agent02_Loans!E67)</f>
        <v/>
      </c>
      <c r="F255" s="40" t="str">
        <f>IF(Agent02_Loans!B67="","",Agent02_Loans!F67)</f>
        <v/>
      </c>
      <c r="G255" s="40" t="str">
        <f>IF(Agent02_Loans!B67="","",Agent02_Loans!G67)</f>
        <v/>
      </c>
      <c r="H255" s="40" t="str">
        <f>IF(Agent02_Loans!B67="","",Agent02_Loans!H67)</f>
        <v/>
      </c>
      <c r="I255" s="43" t="str">
        <f>IF(Agent02_Loans!B67="","",Agent02_Loans!I67)</f>
        <v/>
      </c>
      <c r="J255" s="43" t="str">
        <f>IF(Agent02_Loans!B67="","",Agent02_Loans!J67)</f>
        <v/>
      </c>
      <c r="K255" s="40" t="str">
        <f>IF(Agent02_Loans!B67="","",Agent02_Loans!K67)</f>
        <v/>
      </c>
      <c r="L255" s="40" t="str">
        <f>IF(Agent02_Loans!B67="","",Agent02_Loans!L67)</f>
        <v/>
      </c>
      <c r="M255" s="40" t="str">
        <f>IFERROR(IF(Agent02_Loans!B67="","",YEAR(Agent02_Loans!D67)),"")</f>
        <v/>
      </c>
    </row>
    <row r="256" spans="1:13" ht="18" customHeight="1" x14ac:dyDescent="0.25">
      <c r="A256" s="40" t="str">
        <f>IF(Agent02_Loans!B68="","",Agent02_Loans!A68)</f>
        <v/>
      </c>
      <c r="B256" s="40" t="str">
        <f>IF(Agent02_Loans!B68="","",Agent02_Loans!B68)</f>
        <v/>
      </c>
      <c r="C256" s="40" t="str">
        <f>IF(Agent02_Loans!B68="","",Agent02_Loans!C68)</f>
        <v/>
      </c>
      <c r="D256" s="41" t="str">
        <f>IF(Agent02_Loans!B68="","",Agent02_Loans!D68)</f>
        <v/>
      </c>
      <c r="E256" s="43" t="str">
        <f>IF(Agent02_Loans!B68="","",Agent02_Loans!E68)</f>
        <v/>
      </c>
      <c r="F256" s="40" t="str">
        <f>IF(Agent02_Loans!B68="","",Agent02_Loans!F68)</f>
        <v/>
      </c>
      <c r="G256" s="40" t="str">
        <f>IF(Agent02_Loans!B68="","",Agent02_Loans!G68)</f>
        <v/>
      </c>
      <c r="H256" s="40" t="str">
        <f>IF(Agent02_Loans!B68="","",Agent02_Loans!H68)</f>
        <v/>
      </c>
      <c r="I256" s="43" t="str">
        <f>IF(Agent02_Loans!B68="","",Agent02_Loans!I68)</f>
        <v/>
      </c>
      <c r="J256" s="43" t="str">
        <f>IF(Agent02_Loans!B68="","",Agent02_Loans!J68)</f>
        <v/>
      </c>
      <c r="K256" s="40" t="str">
        <f>IF(Agent02_Loans!B68="","",Agent02_Loans!K68)</f>
        <v/>
      </c>
      <c r="L256" s="40" t="str">
        <f>IF(Agent02_Loans!B68="","",Agent02_Loans!L68)</f>
        <v/>
      </c>
      <c r="M256" s="40" t="str">
        <f>IFERROR(IF(Agent02_Loans!B68="","",YEAR(Agent02_Loans!D68)),"")</f>
        <v/>
      </c>
    </row>
    <row r="257" spans="1:13" ht="18" customHeight="1" x14ac:dyDescent="0.25">
      <c r="A257" s="40" t="str">
        <f>IF(Agent02_Loans!B69="","",Agent02_Loans!A69)</f>
        <v/>
      </c>
      <c r="B257" s="40" t="str">
        <f>IF(Agent02_Loans!B69="","",Agent02_Loans!B69)</f>
        <v/>
      </c>
      <c r="C257" s="40" t="str">
        <f>IF(Agent02_Loans!B69="","",Agent02_Loans!C69)</f>
        <v/>
      </c>
      <c r="D257" s="41" t="str">
        <f>IF(Agent02_Loans!B69="","",Agent02_Loans!D69)</f>
        <v/>
      </c>
      <c r="E257" s="43" t="str">
        <f>IF(Agent02_Loans!B69="","",Agent02_Loans!E69)</f>
        <v/>
      </c>
      <c r="F257" s="40" t="str">
        <f>IF(Agent02_Loans!B69="","",Agent02_Loans!F69)</f>
        <v/>
      </c>
      <c r="G257" s="40" t="str">
        <f>IF(Agent02_Loans!B69="","",Agent02_Loans!G69)</f>
        <v/>
      </c>
      <c r="H257" s="40" t="str">
        <f>IF(Agent02_Loans!B69="","",Agent02_Loans!H69)</f>
        <v/>
      </c>
      <c r="I257" s="43" t="str">
        <f>IF(Agent02_Loans!B69="","",Agent02_Loans!I69)</f>
        <v/>
      </c>
      <c r="J257" s="43" t="str">
        <f>IF(Agent02_Loans!B69="","",Agent02_Loans!J69)</f>
        <v/>
      </c>
      <c r="K257" s="40" t="str">
        <f>IF(Agent02_Loans!B69="","",Agent02_Loans!K69)</f>
        <v/>
      </c>
      <c r="L257" s="40" t="str">
        <f>IF(Agent02_Loans!B69="","",Agent02_Loans!L69)</f>
        <v/>
      </c>
      <c r="M257" s="40" t="str">
        <f>IFERROR(IF(Agent02_Loans!B69="","",YEAR(Agent02_Loans!D69)),"")</f>
        <v/>
      </c>
    </row>
    <row r="258" spans="1:13" ht="18" customHeight="1" x14ac:dyDescent="0.25">
      <c r="A258" s="40" t="str">
        <f>IF(Agent02_Loans!B70="","",Agent02_Loans!A70)</f>
        <v/>
      </c>
      <c r="B258" s="40" t="str">
        <f>IF(Agent02_Loans!B70="","",Agent02_Loans!B70)</f>
        <v/>
      </c>
      <c r="C258" s="40" t="str">
        <f>IF(Agent02_Loans!B70="","",Agent02_Loans!C70)</f>
        <v/>
      </c>
      <c r="D258" s="41" t="str">
        <f>IF(Agent02_Loans!B70="","",Agent02_Loans!D70)</f>
        <v/>
      </c>
      <c r="E258" s="43" t="str">
        <f>IF(Agent02_Loans!B70="","",Agent02_Loans!E70)</f>
        <v/>
      </c>
      <c r="F258" s="40" t="str">
        <f>IF(Agent02_Loans!B70="","",Agent02_Loans!F70)</f>
        <v/>
      </c>
      <c r="G258" s="40" t="str">
        <f>IF(Agent02_Loans!B70="","",Agent02_Loans!G70)</f>
        <v/>
      </c>
      <c r="H258" s="40" t="str">
        <f>IF(Agent02_Loans!B70="","",Agent02_Loans!H70)</f>
        <v/>
      </c>
      <c r="I258" s="43" t="str">
        <f>IF(Agent02_Loans!B70="","",Agent02_Loans!I70)</f>
        <v/>
      </c>
      <c r="J258" s="43" t="str">
        <f>IF(Agent02_Loans!B70="","",Agent02_Loans!J70)</f>
        <v/>
      </c>
      <c r="K258" s="40" t="str">
        <f>IF(Agent02_Loans!B70="","",Agent02_Loans!K70)</f>
        <v/>
      </c>
      <c r="L258" s="40" t="str">
        <f>IF(Agent02_Loans!B70="","",Agent02_Loans!L70)</f>
        <v/>
      </c>
      <c r="M258" s="40" t="str">
        <f>IFERROR(IF(Agent02_Loans!B70="","",YEAR(Agent02_Loans!D70)),"")</f>
        <v/>
      </c>
    </row>
    <row r="259" spans="1:13" ht="18" customHeight="1" x14ac:dyDescent="0.25">
      <c r="A259" s="40" t="str">
        <f>IF(Agent02_Loans!B71="","",Agent02_Loans!A71)</f>
        <v/>
      </c>
      <c r="B259" s="40" t="str">
        <f>IF(Agent02_Loans!B71="","",Agent02_Loans!B71)</f>
        <v/>
      </c>
      <c r="C259" s="40" t="str">
        <f>IF(Agent02_Loans!B71="","",Agent02_Loans!C71)</f>
        <v/>
      </c>
      <c r="D259" s="41" t="str">
        <f>IF(Agent02_Loans!B71="","",Agent02_Loans!D71)</f>
        <v/>
      </c>
      <c r="E259" s="43" t="str">
        <f>IF(Agent02_Loans!B71="","",Agent02_Loans!E71)</f>
        <v/>
      </c>
      <c r="F259" s="40" t="str">
        <f>IF(Agent02_Loans!B71="","",Agent02_Loans!F71)</f>
        <v/>
      </c>
      <c r="G259" s="40" t="str">
        <f>IF(Agent02_Loans!B71="","",Agent02_Loans!G71)</f>
        <v/>
      </c>
      <c r="H259" s="40" t="str">
        <f>IF(Agent02_Loans!B71="","",Agent02_Loans!H71)</f>
        <v/>
      </c>
      <c r="I259" s="43" t="str">
        <f>IF(Agent02_Loans!B71="","",Agent02_Loans!I71)</f>
        <v/>
      </c>
      <c r="J259" s="43" t="str">
        <f>IF(Agent02_Loans!B71="","",Agent02_Loans!J71)</f>
        <v/>
      </c>
      <c r="K259" s="40" t="str">
        <f>IF(Agent02_Loans!B71="","",Agent02_Loans!K71)</f>
        <v/>
      </c>
      <c r="L259" s="40" t="str">
        <f>IF(Agent02_Loans!B71="","",Agent02_Loans!L71)</f>
        <v/>
      </c>
      <c r="M259" s="40" t="str">
        <f>IFERROR(IF(Agent02_Loans!B71="","",YEAR(Agent02_Loans!D71)),"")</f>
        <v/>
      </c>
    </row>
    <row r="260" spans="1:13" ht="18" customHeight="1" x14ac:dyDescent="0.25">
      <c r="A260" s="40" t="str">
        <f>IF(Agent02_Loans!B72="","",Agent02_Loans!A72)</f>
        <v/>
      </c>
      <c r="B260" s="40" t="str">
        <f>IF(Agent02_Loans!B72="","",Agent02_Loans!B72)</f>
        <v/>
      </c>
      <c r="C260" s="40" t="str">
        <f>IF(Agent02_Loans!B72="","",Agent02_Loans!C72)</f>
        <v/>
      </c>
      <c r="D260" s="41" t="str">
        <f>IF(Agent02_Loans!B72="","",Agent02_Loans!D72)</f>
        <v/>
      </c>
      <c r="E260" s="43" t="str">
        <f>IF(Agent02_Loans!B72="","",Agent02_Loans!E72)</f>
        <v/>
      </c>
      <c r="F260" s="40" t="str">
        <f>IF(Agent02_Loans!B72="","",Agent02_Loans!F72)</f>
        <v/>
      </c>
      <c r="G260" s="40" t="str">
        <f>IF(Agent02_Loans!B72="","",Agent02_Loans!G72)</f>
        <v/>
      </c>
      <c r="H260" s="40" t="str">
        <f>IF(Agent02_Loans!B72="","",Agent02_Loans!H72)</f>
        <v/>
      </c>
      <c r="I260" s="43" t="str">
        <f>IF(Agent02_Loans!B72="","",Agent02_Loans!I72)</f>
        <v/>
      </c>
      <c r="J260" s="43" t="str">
        <f>IF(Agent02_Loans!B72="","",Agent02_Loans!J72)</f>
        <v/>
      </c>
      <c r="K260" s="40" t="str">
        <f>IF(Agent02_Loans!B72="","",Agent02_Loans!K72)</f>
        <v/>
      </c>
      <c r="L260" s="40" t="str">
        <f>IF(Agent02_Loans!B72="","",Agent02_Loans!L72)</f>
        <v/>
      </c>
      <c r="M260" s="40" t="str">
        <f>IFERROR(IF(Agent02_Loans!B72="","",YEAR(Agent02_Loans!D72)),"")</f>
        <v/>
      </c>
    </row>
    <row r="261" spans="1:13" ht="18" customHeight="1" x14ac:dyDescent="0.25">
      <c r="A261" s="40" t="str">
        <f>IF(Agent02_Loans!B73="","",Agent02_Loans!A73)</f>
        <v/>
      </c>
      <c r="B261" s="40" t="str">
        <f>IF(Agent02_Loans!B73="","",Agent02_Loans!B73)</f>
        <v/>
      </c>
      <c r="C261" s="40" t="str">
        <f>IF(Agent02_Loans!B73="","",Agent02_Loans!C73)</f>
        <v/>
      </c>
      <c r="D261" s="41" t="str">
        <f>IF(Agent02_Loans!B73="","",Agent02_Loans!D73)</f>
        <v/>
      </c>
      <c r="E261" s="43" t="str">
        <f>IF(Agent02_Loans!B73="","",Agent02_Loans!E73)</f>
        <v/>
      </c>
      <c r="F261" s="40" t="str">
        <f>IF(Agent02_Loans!B73="","",Agent02_Loans!F73)</f>
        <v/>
      </c>
      <c r="G261" s="40" t="str">
        <f>IF(Agent02_Loans!B73="","",Agent02_Loans!G73)</f>
        <v/>
      </c>
      <c r="H261" s="40" t="str">
        <f>IF(Agent02_Loans!B73="","",Agent02_Loans!H73)</f>
        <v/>
      </c>
      <c r="I261" s="43" t="str">
        <f>IF(Agent02_Loans!B73="","",Agent02_Loans!I73)</f>
        <v/>
      </c>
      <c r="J261" s="43" t="str">
        <f>IF(Agent02_Loans!B73="","",Agent02_Loans!J73)</f>
        <v/>
      </c>
      <c r="K261" s="40" t="str">
        <f>IF(Agent02_Loans!B73="","",Agent02_Loans!K73)</f>
        <v/>
      </c>
      <c r="L261" s="40" t="str">
        <f>IF(Agent02_Loans!B73="","",Agent02_Loans!L73)</f>
        <v/>
      </c>
      <c r="M261" s="40" t="str">
        <f>IFERROR(IF(Agent02_Loans!B73="","",YEAR(Agent02_Loans!D73)),"")</f>
        <v/>
      </c>
    </row>
    <row r="262" spans="1:13" ht="18" customHeight="1" x14ac:dyDescent="0.25">
      <c r="A262" s="40" t="str">
        <f>IF(Agent02_Loans!B74="","",Agent02_Loans!A74)</f>
        <v/>
      </c>
      <c r="B262" s="40" t="str">
        <f>IF(Agent02_Loans!B74="","",Agent02_Loans!B74)</f>
        <v/>
      </c>
      <c r="C262" s="40" t="str">
        <f>IF(Agent02_Loans!B74="","",Agent02_Loans!C74)</f>
        <v/>
      </c>
      <c r="D262" s="41" t="str">
        <f>IF(Agent02_Loans!B74="","",Agent02_Loans!D74)</f>
        <v/>
      </c>
      <c r="E262" s="43" t="str">
        <f>IF(Agent02_Loans!B74="","",Agent02_Loans!E74)</f>
        <v/>
      </c>
      <c r="F262" s="40" t="str">
        <f>IF(Agent02_Loans!B74="","",Agent02_Loans!F74)</f>
        <v/>
      </c>
      <c r="G262" s="40" t="str">
        <f>IF(Agent02_Loans!B74="","",Agent02_Loans!G74)</f>
        <v/>
      </c>
      <c r="H262" s="40" t="str">
        <f>IF(Agent02_Loans!B74="","",Agent02_Loans!H74)</f>
        <v/>
      </c>
      <c r="I262" s="43" t="str">
        <f>IF(Agent02_Loans!B74="","",Agent02_Loans!I74)</f>
        <v/>
      </c>
      <c r="J262" s="43" t="str">
        <f>IF(Agent02_Loans!B74="","",Agent02_Loans!J74)</f>
        <v/>
      </c>
      <c r="K262" s="40" t="str">
        <f>IF(Agent02_Loans!B74="","",Agent02_Loans!K74)</f>
        <v/>
      </c>
      <c r="L262" s="40" t="str">
        <f>IF(Agent02_Loans!B74="","",Agent02_Loans!L74)</f>
        <v/>
      </c>
      <c r="M262" s="40" t="str">
        <f>IFERROR(IF(Agent02_Loans!B74="","",YEAR(Agent02_Loans!D74)),"")</f>
        <v/>
      </c>
    </row>
    <row r="263" spans="1:13" ht="18" customHeight="1" x14ac:dyDescent="0.25">
      <c r="A263" s="40" t="str">
        <f>IF(Agent02_Loans!B75="","",Agent02_Loans!A75)</f>
        <v/>
      </c>
      <c r="B263" s="40" t="str">
        <f>IF(Agent02_Loans!B75="","",Agent02_Loans!B75)</f>
        <v/>
      </c>
      <c r="C263" s="40" t="str">
        <f>IF(Agent02_Loans!B75="","",Agent02_Loans!C75)</f>
        <v/>
      </c>
      <c r="D263" s="41" t="str">
        <f>IF(Agent02_Loans!B75="","",Agent02_Loans!D75)</f>
        <v/>
      </c>
      <c r="E263" s="43" t="str">
        <f>IF(Agent02_Loans!B75="","",Agent02_Loans!E75)</f>
        <v/>
      </c>
      <c r="F263" s="40" t="str">
        <f>IF(Agent02_Loans!B75="","",Agent02_Loans!F75)</f>
        <v/>
      </c>
      <c r="G263" s="40" t="str">
        <f>IF(Agent02_Loans!B75="","",Agent02_Loans!G75)</f>
        <v/>
      </c>
      <c r="H263" s="40" t="str">
        <f>IF(Agent02_Loans!B75="","",Agent02_Loans!H75)</f>
        <v/>
      </c>
      <c r="I263" s="43" t="str">
        <f>IF(Agent02_Loans!B75="","",Agent02_Loans!I75)</f>
        <v/>
      </c>
      <c r="J263" s="43" t="str">
        <f>IF(Agent02_Loans!B75="","",Agent02_Loans!J75)</f>
        <v/>
      </c>
      <c r="K263" s="40" t="str">
        <f>IF(Agent02_Loans!B75="","",Agent02_Loans!K75)</f>
        <v/>
      </c>
      <c r="L263" s="40" t="str">
        <f>IF(Agent02_Loans!B75="","",Agent02_Loans!L75)</f>
        <v/>
      </c>
      <c r="M263" s="40" t="str">
        <f>IFERROR(IF(Agent02_Loans!B75="","",YEAR(Agent02_Loans!D75)),"")</f>
        <v/>
      </c>
    </row>
    <row r="264" spans="1:13" ht="18" customHeight="1" x14ac:dyDescent="0.25">
      <c r="A264" s="40" t="str">
        <f>IF(Agent02_Loans!B76="","",Agent02_Loans!A76)</f>
        <v/>
      </c>
      <c r="B264" s="40" t="str">
        <f>IF(Agent02_Loans!B76="","",Agent02_Loans!B76)</f>
        <v/>
      </c>
      <c r="C264" s="40" t="str">
        <f>IF(Agent02_Loans!B76="","",Agent02_Loans!C76)</f>
        <v/>
      </c>
      <c r="D264" s="41" t="str">
        <f>IF(Agent02_Loans!B76="","",Agent02_Loans!D76)</f>
        <v/>
      </c>
      <c r="E264" s="43" t="str">
        <f>IF(Agent02_Loans!B76="","",Agent02_Loans!E76)</f>
        <v/>
      </c>
      <c r="F264" s="40" t="str">
        <f>IF(Agent02_Loans!B76="","",Agent02_Loans!F76)</f>
        <v/>
      </c>
      <c r="G264" s="40" t="str">
        <f>IF(Agent02_Loans!B76="","",Agent02_Loans!G76)</f>
        <v/>
      </c>
      <c r="H264" s="40" t="str">
        <f>IF(Agent02_Loans!B76="","",Agent02_Loans!H76)</f>
        <v/>
      </c>
      <c r="I264" s="43" t="str">
        <f>IF(Agent02_Loans!B76="","",Agent02_Loans!I76)</f>
        <v/>
      </c>
      <c r="J264" s="43" t="str">
        <f>IF(Agent02_Loans!B76="","",Agent02_Loans!J76)</f>
        <v/>
      </c>
      <c r="K264" s="40" t="str">
        <f>IF(Agent02_Loans!B76="","",Agent02_Loans!K76)</f>
        <v/>
      </c>
      <c r="L264" s="40" t="str">
        <f>IF(Agent02_Loans!B76="","",Agent02_Loans!L76)</f>
        <v/>
      </c>
      <c r="M264" s="40" t="str">
        <f>IFERROR(IF(Agent02_Loans!B76="","",YEAR(Agent02_Loans!D76)),"")</f>
        <v/>
      </c>
    </row>
    <row r="265" spans="1:13" ht="18" customHeight="1" x14ac:dyDescent="0.25">
      <c r="A265" s="40" t="str">
        <f>IF(Agent02_Loans!B77="","",Agent02_Loans!A77)</f>
        <v/>
      </c>
      <c r="B265" s="40" t="str">
        <f>IF(Agent02_Loans!B77="","",Agent02_Loans!B77)</f>
        <v/>
      </c>
      <c r="C265" s="40" t="str">
        <f>IF(Agent02_Loans!B77="","",Agent02_Loans!C77)</f>
        <v/>
      </c>
      <c r="D265" s="41" t="str">
        <f>IF(Agent02_Loans!B77="","",Agent02_Loans!D77)</f>
        <v/>
      </c>
      <c r="E265" s="43" t="str">
        <f>IF(Agent02_Loans!B77="","",Agent02_Loans!E77)</f>
        <v/>
      </c>
      <c r="F265" s="40" t="str">
        <f>IF(Agent02_Loans!B77="","",Agent02_Loans!F77)</f>
        <v/>
      </c>
      <c r="G265" s="40" t="str">
        <f>IF(Agent02_Loans!B77="","",Agent02_Loans!G77)</f>
        <v/>
      </c>
      <c r="H265" s="40" t="str">
        <f>IF(Agent02_Loans!B77="","",Agent02_Loans!H77)</f>
        <v/>
      </c>
      <c r="I265" s="43" t="str">
        <f>IF(Agent02_Loans!B77="","",Agent02_Loans!I77)</f>
        <v/>
      </c>
      <c r="J265" s="43" t="str">
        <f>IF(Agent02_Loans!B77="","",Agent02_Loans!J77)</f>
        <v/>
      </c>
      <c r="K265" s="40" t="str">
        <f>IF(Agent02_Loans!B77="","",Agent02_Loans!K77)</f>
        <v/>
      </c>
      <c r="L265" s="40" t="str">
        <f>IF(Agent02_Loans!B77="","",Agent02_Loans!L77)</f>
        <v/>
      </c>
      <c r="M265" s="40" t="str">
        <f>IFERROR(IF(Agent02_Loans!B77="","",YEAR(Agent02_Loans!D77)),"")</f>
        <v/>
      </c>
    </row>
    <row r="266" spans="1:13" ht="18" customHeight="1" x14ac:dyDescent="0.25">
      <c r="A266" s="40" t="str">
        <f>IF(Agent02_Loans!B78="","",Agent02_Loans!A78)</f>
        <v/>
      </c>
      <c r="B266" s="40" t="str">
        <f>IF(Agent02_Loans!B78="","",Agent02_Loans!B78)</f>
        <v/>
      </c>
      <c r="C266" s="40" t="str">
        <f>IF(Agent02_Loans!B78="","",Agent02_Loans!C78)</f>
        <v/>
      </c>
      <c r="D266" s="41" t="str">
        <f>IF(Agent02_Loans!B78="","",Agent02_Loans!D78)</f>
        <v/>
      </c>
      <c r="E266" s="43" t="str">
        <f>IF(Agent02_Loans!B78="","",Agent02_Loans!E78)</f>
        <v/>
      </c>
      <c r="F266" s="40" t="str">
        <f>IF(Agent02_Loans!B78="","",Agent02_Loans!F78)</f>
        <v/>
      </c>
      <c r="G266" s="40" t="str">
        <f>IF(Agent02_Loans!B78="","",Agent02_Loans!G78)</f>
        <v/>
      </c>
      <c r="H266" s="40" t="str">
        <f>IF(Agent02_Loans!B78="","",Agent02_Loans!H78)</f>
        <v/>
      </c>
      <c r="I266" s="43" t="str">
        <f>IF(Agent02_Loans!B78="","",Agent02_Loans!I78)</f>
        <v/>
      </c>
      <c r="J266" s="43" t="str">
        <f>IF(Agent02_Loans!B78="","",Agent02_Loans!J78)</f>
        <v/>
      </c>
      <c r="K266" s="40" t="str">
        <f>IF(Agent02_Loans!B78="","",Agent02_Loans!K78)</f>
        <v/>
      </c>
      <c r="L266" s="40" t="str">
        <f>IF(Agent02_Loans!B78="","",Agent02_Loans!L78)</f>
        <v/>
      </c>
      <c r="M266" s="40" t="str">
        <f>IFERROR(IF(Agent02_Loans!B78="","",YEAR(Agent02_Loans!D78)),"")</f>
        <v/>
      </c>
    </row>
    <row r="267" spans="1:13" ht="18" customHeight="1" x14ac:dyDescent="0.25">
      <c r="A267" s="40" t="str">
        <f>IF(Agent02_Loans!B79="","",Agent02_Loans!A79)</f>
        <v/>
      </c>
      <c r="B267" s="40" t="str">
        <f>IF(Agent02_Loans!B79="","",Agent02_Loans!B79)</f>
        <v/>
      </c>
      <c r="C267" s="40" t="str">
        <f>IF(Agent02_Loans!B79="","",Agent02_Loans!C79)</f>
        <v/>
      </c>
      <c r="D267" s="41" t="str">
        <f>IF(Agent02_Loans!B79="","",Agent02_Loans!D79)</f>
        <v/>
      </c>
      <c r="E267" s="43" t="str">
        <f>IF(Agent02_Loans!B79="","",Agent02_Loans!E79)</f>
        <v/>
      </c>
      <c r="F267" s="40" t="str">
        <f>IF(Agent02_Loans!B79="","",Agent02_Loans!F79)</f>
        <v/>
      </c>
      <c r="G267" s="40" t="str">
        <f>IF(Agent02_Loans!B79="","",Agent02_Loans!G79)</f>
        <v/>
      </c>
      <c r="H267" s="40" t="str">
        <f>IF(Agent02_Loans!B79="","",Agent02_Loans!H79)</f>
        <v/>
      </c>
      <c r="I267" s="43" t="str">
        <f>IF(Agent02_Loans!B79="","",Agent02_Loans!I79)</f>
        <v/>
      </c>
      <c r="J267" s="43" t="str">
        <f>IF(Agent02_Loans!B79="","",Agent02_Loans!J79)</f>
        <v/>
      </c>
      <c r="K267" s="40" t="str">
        <f>IF(Agent02_Loans!B79="","",Agent02_Loans!K79)</f>
        <v/>
      </c>
      <c r="L267" s="40" t="str">
        <f>IF(Agent02_Loans!B79="","",Agent02_Loans!L79)</f>
        <v/>
      </c>
      <c r="M267" s="40" t="str">
        <f>IFERROR(IF(Agent02_Loans!B79="","",YEAR(Agent02_Loans!D79)),"")</f>
        <v/>
      </c>
    </row>
    <row r="268" spans="1:13" ht="18" customHeight="1" x14ac:dyDescent="0.25">
      <c r="A268" s="40" t="str">
        <f>IF(Agent02_Loans!B80="","",Agent02_Loans!A80)</f>
        <v/>
      </c>
      <c r="B268" s="40" t="str">
        <f>IF(Agent02_Loans!B80="","",Agent02_Loans!B80)</f>
        <v/>
      </c>
      <c r="C268" s="40" t="str">
        <f>IF(Agent02_Loans!B80="","",Agent02_Loans!C80)</f>
        <v/>
      </c>
      <c r="D268" s="41" t="str">
        <f>IF(Agent02_Loans!B80="","",Agent02_Loans!D80)</f>
        <v/>
      </c>
      <c r="E268" s="43" t="str">
        <f>IF(Agent02_Loans!B80="","",Agent02_Loans!E80)</f>
        <v/>
      </c>
      <c r="F268" s="40" t="str">
        <f>IF(Agent02_Loans!B80="","",Agent02_Loans!F80)</f>
        <v/>
      </c>
      <c r="G268" s="40" t="str">
        <f>IF(Agent02_Loans!B80="","",Agent02_Loans!G80)</f>
        <v/>
      </c>
      <c r="H268" s="40" t="str">
        <f>IF(Agent02_Loans!B80="","",Agent02_Loans!H80)</f>
        <v/>
      </c>
      <c r="I268" s="43" t="str">
        <f>IF(Agent02_Loans!B80="","",Agent02_Loans!I80)</f>
        <v/>
      </c>
      <c r="J268" s="43" t="str">
        <f>IF(Agent02_Loans!B80="","",Agent02_Loans!J80)</f>
        <v/>
      </c>
      <c r="K268" s="40" t="str">
        <f>IF(Agent02_Loans!B80="","",Agent02_Loans!K80)</f>
        <v/>
      </c>
      <c r="L268" s="40" t="str">
        <f>IF(Agent02_Loans!B80="","",Agent02_Loans!L80)</f>
        <v/>
      </c>
      <c r="M268" s="40" t="str">
        <f>IFERROR(IF(Agent02_Loans!B80="","",YEAR(Agent02_Loans!D80)),"")</f>
        <v/>
      </c>
    </row>
    <row r="269" spans="1:13" ht="18" customHeight="1" x14ac:dyDescent="0.25">
      <c r="A269" s="40" t="str">
        <f>IF(Agent02_Loans!B81="","",Agent02_Loans!A81)</f>
        <v/>
      </c>
      <c r="B269" s="40" t="str">
        <f>IF(Agent02_Loans!B81="","",Agent02_Loans!B81)</f>
        <v/>
      </c>
      <c r="C269" s="40" t="str">
        <f>IF(Agent02_Loans!B81="","",Agent02_Loans!C81)</f>
        <v/>
      </c>
      <c r="D269" s="41" t="str">
        <f>IF(Agent02_Loans!B81="","",Agent02_Loans!D81)</f>
        <v/>
      </c>
      <c r="E269" s="43" t="str">
        <f>IF(Agent02_Loans!B81="","",Agent02_Loans!E81)</f>
        <v/>
      </c>
      <c r="F269" s="40" t="str">
        <f>IF(Agent02_Loans!B81="","",Agent02_Loans!F81)</f>
        <v/>
      </c>
      <c r="G269" s="40" t="str">
        <f>IF(Agent02_Loans!B81="","",Agent02_Loans!G81)</f>
        <v/>
      </c>
      <c r="H269" s="40" t="str">
        <f>IF(Agent02_Loans!B81="","",Agent02_Loans!H81)</f>
        <v/>
      </c>
      <c r="I269" s="43" t="str">
        <f>IF(Agent02_Loans!B81="","",Agent02_Loans!I81)</f>
        <v/>
      </c>
      <c r="J269" s="43" t="str">
        <f>IF(Agent02_Loans!B81="","",Agent02_Loans!J81)</f>
        <v/>
      </c>
      <c r="K269" s="40" t="str">
        <f>IF(Agent02_Loans!B81="","",Agent02_Loans!K81)</f>
        <v/>
      </c>
      <c r="L269" s="40" t="str">
        <f>IF(Agent02_Loans!B81="","",Agent02_Loans!L81)</f>
        <v/>
      </c>
      <c r="M269" s="40" t="str">
        <f>IFERROR(IF(Agent02_Loans!B81="","",YEAR(Agent02_Loans!D81)),"")</f>
        <v/>
      </c>
    </row>
    <row r="270" spans="1:13" ht="18" customHeight="1" x14ac:dyDescent="0.25">
      <c r="A270" s="40" t="str">
        <f>IF(Agent02_Loans!B82="","",Agent02_Loans!A82)</f>
        <v/>
      </c>
      <c r="B270" s="40" t="str">
        <f>IF(Agent02_Loans!B82="","",Agent02_Loans!B82)</f>
        <v/>
      </c>
      <c r="C270" s="40" t="str">
        <f>IF(Agent02_Loans!B82="","",Agent02_Loans!C82)</f>
        <v/>
      </c>
      <c r="D270" s="41" t="str">
        <f>IF(Agent02_Loans!B82="","",Agent02_Loans!D82)</f>
        <v/>
      </c>
      <c r="E270" s="43" t="str">
        <f>IF(Agent02_Loans!B82="","",Agent02_Loans!E82)</f>
        <v/>
      </c>
      <c r="F270" s="40" t="str">
        <f>IF(Agent02_Loans!B82="","",Agent02_Loans!F82)</f>
        <v/>
      </c>
      <c r="G270" s="40" t="str">
        <f>IF(Agent02_Loans!B82="","",Agent02_Loans!G82)</f>
        <v/>
      </c>
      <c r="H270" s="40" t="str">
        <f>IF(Agent02_Loans!B82="","",Agent02_Loans!H82)</f>
        <v/>
      </c>
      <c r="I270" s="43" t="str">
        <f>IF(Agent02_Loans!B82="","",Agent02_Loans!I82)</f>
        <v/>
      </c>
      <c r="J270" s="43" t="str">
        <f>IF(Agent02_Loans!B82="","",Agent02_Loans!J82)</f>
        <v/>
      </c>
      <c r="K270" s="40" t="str">
        <f>IF(Agent02_Loans!B82="","",Agent02_Loans!K82)</f>
        <v/>
      </c>
      <c r="L270" s="40" t="str">
        <f>IF(Agent02_Loans!B82="","",Agent02_Loans!L82)</f>
        <v/>
      </c>
      <c r="M270" s="40" t="str">
        <f>IFERROR(IF(Agent02_Loans!B82="","",YEAR(Agent02_Loans!D82)),"")</f>
        <v/>
      </c>
    </row>
    <row r="271" spans="1:13" ht="18" customHeight="1" x14ac:dyDescent="0.25">
      <c r="A271" s="40" t="str">
        <f>IF(Agent02_Loans!B83="","",Agent02_Loans!A83)</f>
        <v/>
      </c>
      <c r="B271" s="40" t="str">
        <f>IF(Agent02_Loans!B83="","",Agent02_Loans!B83)</f>
        <v/>
      </c>
      <c r="C271" s="40" t="str">
        <f>IF(Agent02_Loans!B83="","",Agent02_Loans!C83)</f>
        <v/>
      </c>
      <c r="D271" s="41" t="str">
        <f>IF(Agent02_Loans!B83="","",Agent02_Loans!D83)</f>
        <v/>
      </c>
      <c r="E271" s="43" t="str">
        <f>IF(Agent02_Loans!B83="","",Agent02_Loans!E83)</f>
        <v/>
      </c>
      <c r="F271" s="40" t="str">
        <f>IF(Agent02_Loans!B83="","",Agent02_Loans!F83)</f>
        <v/>
      </c>
      <c r="G271" s="40" t="str">
        <f>IF(Agent02_Loans!B83="","",Agent02_Loans!G83)</f>
        <v/>
      </c>
      <c r="H271" s="40" t="str">
        <f>IF(Agent02_Loans!B83="","",Agent02_Loans!H83)</f>
        <v/>
      </c>
      <c r="I271" s="43" t="str">
        <f>IF(Agent02_Loans!B83="","",Agent02_Loans!I83)</f>
        <v/>
      </c>
      <c r="J271" s="43" t="str">
        <f>IF(Agent02_Loans!B83="","",Agent02_Loans!J83)</f>
        <v/>
      </c>
      <c r="K271" s="40" t="str">
        <f>IF(Agent02_Loans!B83="","",Agent02_Loans!K83)</f>
        <v/>
      </c>
      <c r="L271" s="40" t="str">
        <f>IF(Agent02_Loans!B83="","",Agent02_Loans!L83)</f>
        <v/>
      </c>
      <c r="M271" s="40" t="str">
        <f>IFERROR(IF(Agent02_Loans!B83="","",YEAR(Agent02_Loans!D83)),"")</f>
        <v/>
      </c>
    </row>
    <row r="272" spans="1:13" ht="18" customHeight="1" x14ac:dyDescent="0.25">
      <c r="A272" s="40" t="str">
        <f>IF(Agent02_Loans!B84="","",Agent02_Loans!A84)</f>
        <v/>
      </c>
      <c r="B272" s="40" t="str">
        <f>IF(Agent02_Loans!B84="","",Agent02_Loans!B84)</f>
        <v/>
      </c>
      <c r="C272" s="40" t="str">
        <f>IF(Agent02_Loans!B84="","",Agent02_Loans!C84)</f>
        <v/>
      </c>
      <c r="D272" s="41" t="str">
        <f>IF(Agent02_Loans!B84="","",Agent02_Loans!D84)</f>
        <v/>
      </c>
      <c r="E272" s="43" t="str">
        <f>IF(Agent02_Loans!B84="","",Agent02_Loans!E84)</f>
        <v/>
      </c>
      <c r="F272" s="40" t="str">
        <f>IF(Agent02_Loans!B84="","",Agent02_Loans!F84)</f>
        <v/>
      </c>
      <c r="G272" s="40" t="str">
        <f>IF(Agent02_Loans!B84="","",Agent02_Loans!G84)</f>
        <v/>
      </c>
      <c r="H272" s="40" t="str">
        <f>IF(Agent02_Loans!B84="","",Agent02_Loans!H84)</f>
        <v/>
      </c>
      <c r="I272" s="43" t="str">
        <f>IF(Agent02_Loans!B84="","",Agent02_Loans!I84)</f>
        <v/>
      </c>
      <c r="J272" s="43" t="str">
        <f>IF(Agent02_Loans!B84="","",Agent02_Loans!J84)</f>
        <v/>
      </c>
      <c r="K272" s="40" t="str">
        <f>IF(Agent02_Loans!B84="","",Agent02_Loans!K84)</f>
        <v/>
      </c>
      <c r="L272" s="40" t="str">
        <f>IF(Agent02_Loans!B84="","",Agent02_Loans!L84)</f>
        <v/>
      </c>
      <c r="M272" s="40" t="str">
        <f>IFERROR(IF(Agent02_Loans!B84="","",YEAR(Agent02_Loans!D84)),"")</f>
        <v/>
      </c>
    </row>
    <row r="273" spans="1:13" ht="18" customHeight="1" x14ac:dyDescent="0.25">
      <c r="A273" s="40" t="str">
        <f>IF(Agent02_Loans!B85="","",Agent02_Loans!A85)</f>
        <v/>
      </c>
      <c r="B273" s="40" t="str">
        <f>IF(Agent02_Loans!B85="","",Agent02_Loans!B85)</f>
        <v/>
      </c>
      <c r="C273" s="40" t="str">
        <f>IF(Agent02_Loans!B85="","",Agent02_Loans!C85)</f>
        <v/>
      </c>
      <c r="D273" s="41" t="str">
        <f>IF(Agent02_Loans!B85="","",Agent02_Loans!D85)</f>
        <v/>
      </c>
      <c r="E273" s="43" t="str">
        <f>IF(Agent02_Loans!B85="","",Agent02_Loans!E85)</f>
        <v/>
      </c>
      <c r="F273" s="40" t="str">
        <f>IF(Agent02_Loans!B85="","",Agent02_Loans!F85)</f>
        <v/>
      </c>
      <c r="G273" s="40" t="str">
        <f>IF(Agent02_Loans!B85="","",Agent02_Loans!G85)</f>
        <v/>
      </c>
      <c r="H273" s="40" t="str">
        <f>IF(Agent02_Loans!B85="","",Agent02_Loans!H85)</f>
        <v/>
      </c>
      <c r="I273" s="43" t="str">
        <f>IF(Agent02_Loans!B85="","",Agent02_Loans!I85)</f>
        <v/>
      </c>
      <c r="J273" s="43" t="str">
        <f>IF(Agent02_Loans!B85="","",Agent02_Loans!J85)</f>
        <v/>
      </c>
      <c r="K273" s="40" t="str">
        <f>IF(Agent02_Loans!B85="","",Agent02_Loans!K85)</f>
        <v/>
      </c>
      <c r="L273" s="40" t="str">
        <f>IF(Agent02_Loans!B85="","",Agent02_Loans!L85)</f>
        <v/>
      </c>
      <c r="M273" s="40" t="str">
        <f>IFERROR(IF(Agent02_Loans!B85="","",YEAR(Agent02_Loans!D85)),"")</f>
        <v/>
      </c>
    </row>
    <row r="274" spans="1:13" ht="18" customHeight="1" x14ac:dyDescent="0.25">
      <c r="A274" s="40" t="str">
        <f>IF(Agent02_Loans!B86="","",Agent02_Loans!A86)</f>
        <v/>
      </c>
      <c r="B274" s="40" t="str">
        <f>IF(Agent02_Loans!B86="","",Agent02_Loans!B86)</f>
        <v/>
      </c>
      <c r="C274" s="40" t="str">
        <f>IF(Agent02_Loans!B86="","",Agent02_Loans!C86)</f>
        <v/>
      </c>
      <c r="D274" s="41" t="str">
        <f>IF(Agent02_Loans!B86="","",Agent02_Loans!D86)</f>
        <v/>
      </c>
      <c r="E274" s="43" t="str">
        <f>IF(Agent02_Loans!B86="","",Agent02_Loans!E86)</f>
        <v/>
      </c>
      <c r="F274" s="40" t="str">
        <f>IF(Agent02_Loans!B86="","",Agent02_Loans!F86)</f>
        <v/>
      </c>
      <c r="G274" s="40" t="str">
        <f>IF(Agent02_Loans!B86="","",Agent02_Loans!G86)</f>
        <v/>
      </c>
      <c r="H274" s="40" t="str">
        <f>IF(Agent02_Loans!B86="","",Agent02_Loans!H86)</f>
        <v/>
      </c>
      <c r="I274" s="43" t="str">
        <f>IF(Agent02_Loans!B86="","",Agent02_Loans!I86)</f>
        <v/>
      </c>
      <c r="J274" s="43" t="str">
        <f>IF(Agent02_Loans!B86="","",Agent02_Loans!J86)</f>
        <v/>
      </c>
      <c r="K274" s="40" t="str">
        <f>IF(Agent02_Loans!B86="","",Agent02_Loans!K86)</f>
        <v/>
      </c>
      <c r="L274" s="40" t="str">
        <f>IF(Agent02_Loans!B86="","",Agent02_Loans!L86)</f>
        <v/>
      </c>
      <c r="M274" s="40" t="str">
        <f>IFERROR(IF(Agent02_Loans!B86="","",YEAR(Agent02_Loans!D86)),"")</f>
        <v/>
      </c>
    </row>
    <row r="275" spans="1:13" ht="18" customHeight="1" x14ac:dyDescent="0.25">
      <c r="A275" s="40" t="str">
        <f>IF(Agent02_Loans!B87="","",Agent02_Loans!A87)</f>
        <v/>
      </c>
      <c r="B275" s="40" t="str">
        <f>IF(Agent02_Loans!B87="","",Agent02_Loans!B87)</f>
        <v/>
      </c>
      <c r="C275" s="40" t="str">
        <f>IF(Agent02_Loans!B87="","",Agent02_Loans!C87)</f>
        <v/>
      </c>
      <c r="D275" s="41" t="str">
        <f>IF(Agent02_Loans!B87="","",Agent02_Loans!D87)</f>
        <v/>
      </c>
      <c r="E275" s="43" t="str">
        <f>IF(Agent02_Loans!B87="","",Agent02_Loans!E87)</f>
        <v/>
      </c>
      <c r="F275" s="40" t="str">
        <f>IF(Agent02_Loans!B87="","",Agent02_Loans!F87)</f>
        <v/>
      </c>
      <c r="G275" s="40" t="str">
        <f>IF(Agent02_Loans!B87="","",Agent02_Loans!G87)</f>
        <v/>
      </c>
      <c r="H275" s="40" t="str">
        <f>IF(Agent02_Loans!B87="","",Agent02_Loans!H87)</f>
        <v/>
      </c>
      <c r="I275" s="43" t="str">
        <f>IF(Agent02_Loans!B87="","",Agent02_Loans!I87)</f>
        <v/>
      </c>
      <c r="J275" s="43" t="str">
        <f>IF(Agent02_Loans!B87="","",Agent02_Loans!J87)</f>
        <v/>
      </c>
      <c r="K275" s="40" t="str">
        <f>IF(Agent02_Loans!B87="","",Agent02_Loans!K87)</f>
        <v/>
      </c>
      <c r="L275" s="40" t="str">
        <f>IF(Agent02_Loans!B87="","",Agent02_Loans!L87)</f>
        <v/>
      </c>
      <c r="M275" s="40" t="str">
        <f>IFERROR(IF(Agent02_Loans!B87="","",YEAR(Agent02_Loans!D87)),"")</f>
        <v/>
      </c>
    </row>
    <row r="276" spans="1:13" ht="18" customHeight="1" x14ac:dyDescent="0.25">
      <c r="A276" s="40" t="str">
        <f>IF(Agent02_Loans!B88="","",Agent02_Loans!A88)</f>
        <v/>
      </c>
      <c r="B276" s="40" t="str">
        <f>IF(Agent02_Loans!B88="","",Agent02_Loans!B88)</f>
        <v/>
      </c>
      <c r="C276" s="40" t="str">
        <f>IF(Agent02_Loans!B88="","",Agent02_Loans!C88)</f>
        <v/>
      </c>
      <c r="D276" s="41" t="str">
        <f>IF(Agent02_Loans!B88="","",Agent02_Loans!D88)</f>
        <v/>
      </c>
      <c r="E276" s="43" t="str">
        <f>IF(Agent02_Loans!B88="","",Agent02_Loans!E88)</f>
        <v/>
      </c>
      <c r="F276" s="40" t="str">
        <f>IF(Agent02_Loans!B88="","",Agent02_Loans!F88)</f>
        <v/>
      </c>
      <c r="G276" s="40" t="str">
        <f>IF(Agent02_Loans!B88="","",Agent02_Loans!G88)</f>
        <v/>
      </c>
      <c r="H276" s="40" t="str">
        <f>IF(Agent02_Loans!B88="","",Agent02_Loans!H88)</f>
        <v/>
      </c>
      <c r="I276" s="43" t="str">
        <f>IF(Agent02_Loans!B88="","",Agent02_Loans!I88)</f>
        <v/>
      </c>
      <c r="J276" s="43" t="str">
        <f>IF(Agent02_Loans!B88="","",Agent02_Loans!J88)</f>
        <v/>
      </c>
      <c r="K276" s="40" t="str">
        <f>IF(Agent02_Loans!B88="","",Agent02_Loans!K88)</f>
        <v/>
      </c>
      <c r="L276" s="40" t="str">
        <f>IF(Agent02_Loans!B88="","",Agent02_Loans!L88)</f>
        <v/>
      </c>
      <c r="M276" s="40" t="str">
        <f>IFERROR(IF(Agent02_Loans!B88="","",YEAR(Agent02_Loans!D88)),"")</f>
        <v/>
      </c>
    </row>
    <row r="277" spans="1:13" ht="18" customHeight="1" x14ac:dyDescent="0.25">
      <c r="A277" s="40" t="str">
        <f>IF(Agent02_Loans!B89="","",Agent02_Loans!A89)</f>
        <v/>
      </c>
      <c r="B277" s="40" t="str">
        <f>IF(Agent02_Loans!B89="","",Agent02_Loans!B89)</f>
        <v/>
      </c>
      <c r="C277" s="40" t="str">
        <f>IF(Agent02_Loans!B89="","",Agent02_Loans!C89)</f>
        <v/>
      </c>
      <c r="D277" s="41" t="str">
        <f>IF(Agent02_Loans!B89="","",Agent02_Loans!D89)</f>
        <v/>
      </c>
      <c r="E277" s="43" t="str">
        <f>IF(Agent02_Loans!B89="","",Agent02_Loans!E89)</f>
        <v/>
      </c>
      <c r="F277" s="40" t="str">
        <f>IF(Agent02_Loans!B89="","",Agent02_Loans!F89)</f>
        <v/>
      </c>
      <c r="G277" s="40" t="str">
        <f>IF(Agent02_Loans!B89="","",Agent02_Loans!G89)</f>
        <v/>
      </c>
      <c r="H277" s="40" t="str">
        <f>IF(Agent02_Loans!B89="","",Agent02_Loans!H89)</f>
        <v/>
      </c>
      <c r="I277" s="43" t="str">
        <f>IF(Agent02_Loans!B89="","",Agent02_Loans!I89)</f>
        <v/>
      </c>
      <c r="J277" s="43" t="str">
        <f>IF(Agent02_Loans!B89="","",Agent02_Loans!J89)</f>
        <v/>
      </c>
      <c r="K277" s="40" t="str">
        <f>IF(Agent02_Loans!B89="","",Agent02_Loans!K89)</f>
        <v/>
      </c>
      <c r="L277" s="40" t="str">
        <f>IF(Agent02_Loans!B89="","",Agent02_Loans!L89)</f>
        <v/>
      </c>
      <c r="M277" s="40" t="str">
        <f>IFERROR(IF(Agent02_Loans!B89="","",YEAR(Agent02_Loans!D89)),"")</f>
        <v/>
      </c>
    </row>
    <row r="278" spans="1:13" ht="18" customHeight="1" x14ac:dyDescent="0.25">
      <c r="A278" s="40" t="str">
        <f>IF(Agent02_Loans!B90="","",Agent02_Loans!A90)</f>
        <v/>
      </c>
      <c r="B278" s="40" t="str">
        <f>IF(Agent02_Loans!B90="","",Agent02_Loans!B90)</f>
        <v/>
      </c>
      <c r="C278" s="40" t="str">
        <f>IF(Agent02_Loans!B90="","",Agent02_Loans!C90)</f>
        <v/>
      </c>
      <c r="D278" s="41" t="str">
        <f>IF(Agent02_Loans!B90="","",Agent02_Loans!D90)</f>
        <v/>
      </c>
      <c r="E278" s="43" t="str">
        <f>IF(Agent02_Loans!B90="","",Agent02_Loans!E90)</f>
        <v/>
      </c>
      <c r="F278" s="40" t="str">
        <f>IF(Agent02_Loans!B90="","",Agent02_Loans!F90)</f>
        <v/>
      </c>
      <c r="G278" s="40" t="str">
        <f>IF(Agent02_Loans!B90="","",Agent02_Loans!G90)</f>
        <v/>
      </c>
      <c r="H278" s="40" t="str">
        <f>IF(Agent02_Loans!B90="","",Agent02_Loans!H90)</f>
        <v/>
      </c>
      <c r="I278" s="43" t="str">
        <f>IF(Agent02_Loans!B90="","",Agent02_Loans!I90)</f>
        <v/>
      </c>
      <c r="J278" s="43" t="str">
        <f>IF(Agent02_Loans!B90="","",Agent02_Loans!J90)</f>
        <v/>
      </c>
      <c r="K278" s="40" t="str">
        <f>IF(Agent02_Loans!B90="","",Agent02_Loans!K90)</f>
        <v/>
      </c>
      <c r="L278" s="40" t="str">
        <f>IF(Agent02_Loans!B90="","",Agent02_Loans!L90)</f>
        <v/>
      </c>
      <c r="M278" s="40" t="str">
        <f>IFERROR(IF(Agent02_Loans!B90="","",YEAR(Agent02_Loans!D90)),"")</f>
        <v/>
      </c>
    </row>
    <row r="279" spans="1:13" ht="18" customHeight="1" x14ac:dyDescent="0.25">
      <c r="A279" s="40" t="str">
        <f>IF(Agent02_Loans!B91="","",Agent02_Loans!A91)</f>
        <v/>
      </c>
      <c r="B279" s="40" t="str">
        <f>IF(Agent02_Loans!B91="","",Agent02_Loans!B91)</f>
        <v/>
      </c>
      <c r="C279" s="40" t="str">
        <f>IF(Agent02_Loans!B91="","",Agent02_Loans!C91)</f>
        <v/>
      </c>
      <c r="D279" s="41" t="str">
        <f>IF(Agent02_Loans!B91="","",Agent02_Loans!D91)</f>
        <v/>
      </c>
      <c r="E279" s="43" t="str">
        <f>IF(Agent02_Loans!B91="","",Agent02_Loans!E91)</f>
        <v/>
      </c>
      <c r="F279" s="40" t="str">
        <f>IF(Agent02_Loans!B91="","",Agent02_Loans!F91)</f>
        <v/>
      </c>
      <c r="G279" s="40" t="str">
        <f>IF(Agent02_Loans!B91="","",Agent02_Loans!G91)</f>
        <v/>
      </c>
      <c r="H279" s="40" t="str">
        <f>IF(Agent02_Loans!B91="","",Agent02_Loans!H91)</f>
        <v/>
      </c>
      <c r="I279" s="43" t="str">
        <f>IF(Agent02_Loans!B91="","",Agent02_Loans!I91)</f>
        <v/>
      </c>
      <c r="J279" s="43" t="str">
        <f>IF(Agent02_Loans!B91="","",Agent02_Loans!J91)</f>
        <v/>
      </c>
      <c r="K279" s="40" t="str">
        <f>IF(Agent02_Loans!B91="","",Agent02_Loans!K91)</f>
        <v/>
      </c>
      <c r="L279" s="40" t="str">
        <f>IF(Agent02_Loans!B91="","",Agent02_Loans!L91)</f>
        <v/>
      </c>
      <c r="M279" s="40" t="str">
        <f>IFERROR(IF(Agent02_Loans!B91="","",YEAR(Agent02_Loans!D91)),"")</f>
        <v/>
      </c>
    </row>
    <row r="280" spans="1:13" ht="18" customHeight="1" x14ac:dyDescent="0.25">
      <c r="A280" s="40" t="str">
        <f>IF(Agent02_Loans!B92="","",Agent02_Loans!A92)</f>
        <v/>
      </c>
      <c r="B280" s="40" t="str">
        <f>IF(Agent02_Loans!B92="","",Agent02_Loans!B92)</f>
        <v/>
      </c>
      <c r="C280" s="40" t="str">
        <f>IF(Agent02_Loans!B92="","",Agent02_Loans!C92)</f>
        <v/>
      </c>
      <c r="D280" s="41" t="str">
        <f>IF(Agent02_Loans!B92="","",Agent02_Loans!D92)</f>
        <v/>
      </c>
      <c r="E280" s="43" t="str">
        <f>IF(Agent02_Loans!B92="","",Agent02_Loans!E92)</f>
        <v/>
      </c>
      <c r="F280" s="40" t="str">
        <f>IF(Agent02_Loans!B92="","",Agent02_Loans!F92)</f>
        <v/>
      </c>
      <c r="G280" s="40" t="str">
        <f>IF(Agent02_Loans!B92="","",Agent02_Loans!G92)</f>
        <v/>
      </c>
      <c r="H280" s="40" t="str">
        <f>IF(Agent02_Loans!B92="","",Agent02_Loans!H92)</f>
        <v/>
      </c>
      <c r="I280" s="43" t="str">
        <f>IF(Agent02_Loans!B92="","",Agent02_Loans!I92)</f>
        <v/>
      </c>
      <c r="J280" s="43" t="str">
        <f>IF(Agent02_Loans!B92="","",Agent02_Loans!J92)</f>
        <v/>
      </c>
      <c r="K280" s="40" t="str">
        <f>IF(Agent02_Loans!B92="","",Agent02_Loans!K92)</f>
        <v/>
      </c>
      <c r="L280" s="40" t="str">
        <f>IF(Agent02_Loans!B92="","",Agent02_Loans!L92)</f>
        <v/>
      </c>
      <c r="M280" s="40" t="str">
        <f>IFERROR(IF(Agent02_Loans!B92="","",YEAR(Agent02_Loans!D92)),"")</f>
        <v/>
      </c>
    </row>
    <row r="281" spans="1:13" ht="18" customHeight="1" x14ac:dyDescent="0.25">
      <c r="A281" s="40" t="str">
        <f>IF(Agent02_Loans!B93="","",Agent02_Loans!A93)</f>
        <v/>
      </c>
      <c r="B281" s="40" t="str">
        <f>IF(Agent02_Loans!B93="","",Agent02_Loans!B93)</f>
        <v/>
      </c>
      <c r="C281" s="40" t="str">
        <f>IF(Agent02_Loans!B93="","",Agent02_Loans!C93)</f>
        <v/>
      </c>
      <c r="D281" s="41" t="str">
        <f>IF(Agent02_Loans!B93="","",Agent02_Loans!D93)</f>
        <v/>
      </c>
      <c r="E281" s="43" t="str">
        <f>IF(Agent02_Loans!B93="","",Agent02_Loans!E93)</f>
        <v/>
      </c>
      <c r="F281" s="40" t="str">
        <f>IF(Agent02_Loans!B93="","",Agent02_Loans!F93)</f>
        <v/>
      </c>
      <c r="G281" s="40" t="str">
        <f>IF(Agent02_Loans!B93="","",Agent02_Loans!G93)</f>
        <v/>
      </c>
      <c r="H281" s="40" t="str">
        <f>IF(Agent02_Loans!B93="","",Agent02_Loans!H93)</f>
        <v/>
      </c>
      <c r="I281" s="43" t="str">
        <f>IF(Agent02_Loans!B93="","",Agent02_Loans!I93)</f>
        <v/>
      </c>
      <c r="J281" s="43" t="str">
        <f>IF(Agent02_Loans!B93="","",Agent02_Loans!J93)</f>
        <v/>
      </c>
      <c r="K281" s="40" t="str">
        <f>IF(Agent02_Loans!B93="","",Agent02_Loans!K93)</f>
        <v/>
      </c>
      <c r="L281" s="40" t="str">
        <f>IF(Agent02_Loans!B93="","",Agent02_Loans!L93)</f>
        <v/>
      </c>
      <c r="M281" s="40" t="str">
        <f>IFERROR(IF(Agent02_Loans!B93="","",YEAR(Agent02_Loans!D93)),"")</f>
        <v/>
      </c>
    </row>
    <row r="282" spans="1:13" ht="18" customHeight="1" x14ac:dyDescent="0.25">
      <c r="A282" s="40" t="str">
        <f>IF(Agent02_Loans!B94="","",Agent02_Loans!A94)</f>
        <v/>
      </c>
      <c r="B282" s="40" t="str">
        <f>IF(Agent02_Loans!B94="","",Agent02_Loans!B94)</f>
        <v/>
      </c>
      <c r="C282" s="40" t="str">
        <f>IF(Agent02_Loans!B94="","",Agent02_Loans!C94)</f>
        <v/>
      </c>
      <c r="D282" s="41" t="str">
        <f>IF(Agent02_Loans!B94="","",Agent02_Loans!D94)</f>
        <v/>
      </c>
      <c r="E282" s="43" t="str">
        <f>IF(Agent02_Loans!B94="","",Agent02_Loans!E94)</f>
        <v/>
      </c>
      <c r="F282" s="40" t="str">
        <f>IF(Agent02_Loans!B94="","",Agent02_Loans!F94)</f>
        <v/>
      </c>
      <c r="G282" s="40" t="str">
        <f>IF(Agent02_Loans!B94="","",Agent02_Loans!G94)</f>
        <v/>
      </c>
      <c r="H282" s="40" t="str">
        <f>IF(Agent02_Loans!B94="","",Agent02_Loans!H94)</f>
        <v/>
      </c>
      <c r="I282" s="43" t="str">
        <f>IF(Agent02_Loans!B94="","",Agent02_Loans!I94)</f>
        <v/>
      </c>
      <c r="J282" s="43" t="str">
        <f>IF(Agent02_Loans!B94="","",Agent02_Loans!J94)</f>
        <v/>
      </c>
      <c r="K282" s="40" t="str">
        <f>IF(Agent02_Loans!B94="","",Agent02_Loans!K94)</f>
        <v/>
      </c>
      <c r="L282" s="40" t="str">
        <f>IF(Agent02_Loans!B94="","",Agent02_Loans!L94)</f>
        <v/>
      </c>
      <c r="M282" s="40" t="str">
        <f>IFERROR(IF(Agent02_Loans!B94="","",YEAR(Agent02_Loans!D94)),"")</f>
        <v/>
      </c>
    </row>
    <row r="283" spans="1:13" ht="18" customHeight="1" x14ac:dyDescent="0.25">
      <c r="A283" s="40" t="str">
        <f>IF(Agent02_Loans!B95="","",Agent02_Loans!A95)</f>
        <v/>
      </c>
      <c r="B283" s="40" t="str">
        <f>IF(Agent02_Loans!B95="","",Agent02_Loans!B95)</f>
        <v/>
      </c>
      <c r="C283" s="40" t="str">
        <f>IF(Agent02_Loans!B95="","",Agent02_Loans!C95)</f>
        <v/>
      </c>
      <c r="D283" s="41" t="str">
        <f>IF(Agent02_Loans!B95="","",Agent02_Loans!D95)</f>
        <v/>
      </c>
      <c r="E283" s="43" t="str">
        <f>IF(Agent02_Loans!B95="","",Agent02_Loans!E95)</f>
        <v/>
      </c>
      <c r="F283" s="40" t="str">
        <f>IF(Agent02_Loans!B95="","",Agent02_Loans!F95)</f>
        <v/>
      </c>
      <c r="G283" s="40" t="str">
        <f>IF(Agent02_Loans!B95="","",Agent02_Loans!G95)</f>
        <v/>
      </c>
      <c r="H283" s="40" t="str">
        <f>IF(Agent02_Loans!B95="","",Agent02_Loans!H95)</f>
        <v/>
      </c>
      <c r="I283" s="43" t="str">
        <f>IF(Agent02_Loans!B95="","",Agent02_Loans!I95)</f>
        <v/>
      </c>
      <c r="J283" s="43" t="str">
        <f>IF(Agent02_Loans!B95="","",Agent02_Loans!J95)</f>
        <v/>
      </c>
      <c r="K283" s="40" t="str">
        <f>IF(Agent02_Loans!B95="","",Agent02_Loans!K95)</f>
        <v/>
      </c>
      <c r="L283" s="40" t="str">
        <f>IF(Agent02_Loans!B95="","",Agent02_Loans!L95)</f>
        <v/>
      </c>
      <c r="M283" s="40" t="str">
        <f>IFERROR(IF(Agent02_Loans!B95="","",YEAR(Agent02_Loans!D95)),"")</f>
        <v/>
      </c>
    </row>
    <row r="284" spans="1:13" ht="18" customHeight="1" x14ac:dyDescent="0.25">
      <c r="A284" s="40" t="str">
        <f>IF(Agent02_Loans!B96="","",Agent02_Loans!A96)</f>
        <v/>
      </c>
      <c r="B284" s="40" t="str">
        <f>IF(Agent02_Loans!B96="","",Agent02_Loans!B96)</f>
        <v/>
      </c>
      <c r="C284" s="40" t="str">
        <f>IF(Agent02_Loans!B96="","",Agent02_Loans!C96)</f>
        <v/>
      </c>
      <c r="D284" s="41" t="str">
        <f>IF(Agent02_Loans!B96="","",Agent02_Loans!D96)</f>
        <v/>
      </c>
      <c r="E284" s="43" t="str">
        <f>IF(Agent02_Loans!B96="","",Agent02_Loans!E96)</f>
        <v/>
      </c>
      <c r="F284" s="40" t="str">
        <f>IF(Agent02_Loans!B96="","",Agent02_Loans!F96)</f>
        <v/>
      </c>
      <c r="G284" s="40" t="str">
        <f>IF(Agent02_Loans!B96="","",Agent02_Loans!G96)</f>
        <v/>
      </c>
      <c r="H284" s="40" t="str">
        <f>IF(Agent02_Loans!B96="","",Agent02_Loans!H96)</f>
        <v/>
      </c>
      <c r="I284" s="43" t="str">
        <f>IF(Agent02_Loans!B96="","",Agent02_Loans!I96)</f>
        <v/>
      </c>
      <c r="J284" s="43" t="str">
        <f>IF(Agent02_Loans!B96="","",Agent02_Loans!J96)</f>
        <v/>
      </c>
      <c r="K284" s="40" t="str">
        <f>IF(Agent02_Loans!B96="","",Agent02_Loans!K96)</f>
        <v/>
      </c>
      <c r="L284" s="40" t="str">
        <f>IF(Agent02_Loans!B96="","",Agent02_Loans!L96)</f>
        <v/>
      </c>
      <c r="M284" s="40" t="str">
        <f>IFERROR(IF(Agent02_Loans!B96="","",YEAR(Agent02_Loans!D96)),"")</f>
        <v/>
      </c>
    </row>
    <row r="285" spans="1:13" ht="18" customHeight="1" x14ac:dyDescent="0.25">
      <c r="A285" s="40" t="str">
        <f>IF(Agent02_Loans!B97="","",Agent02_Loans!A97)</f>
        <v/>
      </c>
      <c r="B285" s="40" t="str">
        <f>IF(Agent02_Loans!B97="","",Agent02_Loans!B97)</f>
        <v/>
      </c>
      <c r="C285" s="40" t="str">
        <f>IF(Agent02_Loans!B97="","",Agent02_Loans!C97)</f>
        <v/>
      </c>
      <c r="D285" s="41" t="str">
        <f>IF(Agent02_Loans!B97="","",Agent02_Loans!D97)</f>
        <v/>
      </c>
      <c r="E285" s="43" t="str">
        <f>IF(Agent02_Loans!B97="","",Agent02_Loans!E97)</f>
        <v/>
      </c>
      <c r="F285" s="40" t="str">
        <f>IF(Agent02_Loans!B97="","",Agent02_Loans!F97)</f>
        <v/>
      </c>
      <c r="G285" s="40" t="str">
        <f>IF(Agent02_Loans!B97="","",Agent02_Loans!G97)</f>
        <v/>
      </c>
      <c r="H285" s="40" t="str">
        <f>IF(Agent02_Loans!B97="","",Agent02_Loans!H97)</f>
        <v/>
      </c>
      <c r="I285" s="43" t="str">
        <f>IF(Agent02_Loans!B97="","",Agent02_Loans!I97)</f>
        <v/>
      </c>
      <c r="J285" s="43" t="str">
        <f>IF(Agent02_Loans!B97="","",Agent02_Loans!J97)</f>
        <v/>
      </c>
      <c r="K285" s="40" t="str">
        <f>IF(Agent02_Loans!B97="","",Agent02_Loans!K97)</f>
        <v/>
      </c>
      <c r="L285" s="40" t="str">
        <f>IF(Agent02_Loans!B97="","",Agent02_Loans!L97)</f>
        <v/>
      </c>
      <c r="M285" s="40" t="str">
        <f>IFERROR(IF(Agent02_Loans!B97="","",YEAR(Agent02_Loans!D97)),"")</f>
        <v/>
      </c>
    </row>
    <row r="286" spans="1:13" ht="18" customHeight="1" x14ac:dyDescent="0.25">
      <c r="A286" s="40" t="str">
        <f>IF(Agent02_Loans!B98="","",Agent02_Loans!A98)</f>
        <v/>
      </c>
      <c r="B286" s="40" t="str">
        <f>IF(Agent02_Loans!B98="","",Agent02_Loans!B98)</f>
        <v/>
      </c>
      <c r="C286" s="40" t="str">
        <f>IF(Agent02_Loans!B98="","",Agent02_Loans!C98)</f>
        <v/>
      </c>
      <c r="D286" s="41" t="str">
        <f>IF(Agent02_Loans!B98="","",Agent02_Loans!D98)</f>
        <v/>
      </c>
      <c r="E286" s="43" t="str">
        <f>IF(Agent02_Loans!B98="","",Agent02_Loans!E98)</f>
        <v/>
      </c>
      <c r="F286" s="40" t="str">
        <f>IF(Agent02_Loans!B98="","",Agent02_Loans!F98)</f>
        <v/>
      </c>
      <c r="G286" s="40" t="str">
        <f>IF(Agent02_Loans!B98="","",Agent02_Loans!G98)</f>
        <v/>
      </c>
      <c r="H286" s="40" t="str">
        <f>IF(Agent02_Loans!B98="","",Agent02_Loans!H98)</f>
        <v/>
      </c>
      <c r="I286" s="43" t="str">
        <f>IF(Agent02_Loans!B98="","",Agent02_Loans!I98)</f>
        <v/>
      </c>
      <c r="J286" s="43" t="str">
        <f>IF(Agent02_Loans!B98="","",Agent02_Loans!J98)</f>
        <v/>
      </c>
      <c r="K286" s="40" t="str">
        <f>IF(Agent02_Loans!B98="","",Agent02_Loans!K98)</f>
        <v/>
      </c>
      <c r="L286" s="40" t="str">
        <f>IF(Agent02_Loans!B98="","",Agent02_Loans!L98)</f>
        <v/>
      </c>
      <c r="M286" s="40" t="str">
        <f>IFERROR(IF(Agent02_Loans!B98="","",YEAR(Agent02_Loans!D98)),"")</f>
        <v/>
      </c>
    </row>
    <row r="287" spans="1:13" ht="18" customHeight="1" x14ac:dyDescent="0.25">
      <c r="A287" s="40" t="str">
        <f>IF(Agent02_Loans!B99="","",Agent02_Loans!A99)</f>
        <v/>
      </c>
      <c r="B287" s="40" t="str">
        <f>IF(Agent02_Loans!B99="","",Agent02_Loans!B99)</f>
        <v/>
      </c>
      <c r="C287" s="40" t="str">
        <f>IF(Agent02_Loans!B99="","",Agent02_Loans!C99)</f>
        <v/>
      </c>
      <c r="D287" s="41" t="str">
        <f>IF(Agent02_Loans!B99="","",Agent02_Loans!D99)</f>
        <v/>
      </c>
      <c r="E287" s="43" t="str">
        <f>IF(Agent02_Loans!B99="","",Agent02_Loans!E99)</f>
        <v/>
      </c>
      <c r="F287" s="40" t="str">
        <f>IF(Agent02_Loans!B99="","",Agent02_Loans!F99)</f>
        <v/>
      </c>
      <c r="G287" s="40" t="str">
        <f>IF(Agent02_Loans!B99="","",Agent02_Loans!G99)</f>
        <v/>
      </c>
      <c r="H287" s="40" t="str">
        <f>IF(Agent02_Loans!B99="","",Agent02_Loans!H99)</f>
        <v/>
      </c>
      <c r="I287" s="43" t="str">
        <f>IF(Agent02_Loans!B99="","",Agent02_Loans!I99)</f>
        <v/>
      </c>
      <c r="J287" s="43" t="str">
        <f>IF(Agent02_Loans!B99="","",Agent02_Loans!J99)</f>
        <v/>
      </c>
      <c r="K287" s="40" t="str">
        <f>IF(Agent02_Loans!B99="","",Agent02_Loans!K99)</f>
        <v/>
      </c>
      <c r="L287" s="40" t="str">
        <f>IF(Agent02_Loans!B99="","",Agent02_Loans!L99)</f>
        <v/>
      </c>
      <c r="M287" s="40" t="str">
        <f>IFERROR(IF(Agent02_Loans!B99="","",YEAR(Agent02_Loans!D99)),"")</f>
        <v/>
      </c>
    </row>
    <row r="288" spans="1:13" ht="18" customHeight="1" x14ac:dyDescent="0.25">
      <c r="A288" s="40" t="str">
        <f>IF(Agent02_Loans!B100="","",Agent02_Loans!A100)</f>
        <v/>
      </c>
      <c r="B288" s="40" t="str">
        <f>IF(Agent02_Loans!B100="","",Agent02_Loans!B100)</f>
        <v/>
      </c>
      <c r="C288" s="40" t="str">
        <f>IF(Agent02_Loans!B100="","",Agent02_Loans!C100)</f>
        <v/>
      </c>
      <c r="D288" s="41" t="str">
        <f>IF(Agent02_Loans!B100="","",Agent02_Loans!D100)</f>
        <v/>
      </c>
      <c r="E288" s="43" t="str">
        <f>IF(Agent02_Loans!B100="","",Agent02_Loans!E100)</f>
        <v/>
      </c>
      <c r="F288" s="40" t="str">
        <f>IF(Agent02_Loans!B100="","",Agent02_Loans!F100)</f>
        <v/>
      </c>
      <c r="G288" s="40" t="str">
        <f>IF(Agent02_Loans!B100="","",Agent02_Loans!G100)</f>
        <v/>
      </c>
      <c r="H288" s="40" t="str">
        <f>IF(Agent02_Loans!B100="","",Agent02_Loans!H100)</f>
        <v/>
      </c>
      <c r="I288" s="43" t="str">
        <f>IF(Agent02_Loans!B100="","",Agent02_Loans!I100)</f>
        <v/>
      </c>
      <c r="J288" s="43" t="str">
        <f>IF(Agent02_Loans!B100="","",Agent02_Loans!J100)</f>
        <v/>
      </c>
      <c r="K288" s="40" t="str">
        <f>IF(Agent02_Loans!B100="","",Agent02_Loans!K100)</f>
        <v/>
      </c>
      <c r="L288" s="40" t="str">
        <f>IF(Agent02_Loans!B100="","",Agent02_Loans!L100)</f>
        <v/>
      </c>
      <c r="M288" s="40" t="str">
        <f>IFERROR(IF(Agent02_Loans!B100="","",YEAR(Agent02_Loans!D100)),"")</f>
        <v/>
      </c>
    </row>
    <row r="289" spans="1:13" ht="18" customHeight="1" x14ac:dyDescent="0.25">
      <c r="A289" s="40" t="str">
        <f>IF(Agent02_Loans!B101="","",Agent02_Loans!A101)</f>
        <v/>
      </c>
      <c r="B289" s="40" t="str">
        <f>IF(Agent02_Loans!B101="","",Agent02_Loans!B101)</f>
        <v/>
      </c>
      <c r="C289" s="40" t="str">
        <f>IF(Agent02_Loans!B101="","",Agent02_Loans!C101)</f>
        <v/>
      </c>
      <c r="D289" s="41" t="str">
        <f>IF(Agent02_Loans!B101="","",Agent02_Loans!D101)</f>
        <v/>
      </c>
      <c r="E289" s="43" t="str">
        <f>IF(Agent02_Loans!B101="","",Agent02_Loans!E101)</f>
        <v/>
      </c>
      <c r="F289" s="40" t="str">
        <f>IF(Agent02_Loans!B101="","",Agent02_Loans!F101)</f>
        <v/>
      </c>
      <c r="G289" s="40" t="str">
        <f>IF(Agent02_Loans!B101="","",Agent02_Loans!G101)</f>
        <v/>
      </c>
      <c r="H289" s="40" t="str">
        <f>IF(Agent02_Loans!B101="","",Agent02_Loans!H101)</f>
        <v/>
      </c>
      <c r="I289" s="43" t="str">
        <f>IF(Agent02_Loans!B101="","",Agent02_Loans!I101)</f>
        <v/>
      </c>
      <c r="J289" s="43" t="str">
        <f>IF(Agent02_Loans!B101="","",Agent02_Loans!J101)</f>
        <v/>
      </c>
      <c r="K289" s="40" t="str">
        <f>IF(Agent02_Loans!B101="","",Agent02_Loans!K101)</f>
        <v/>
      </c>
      <c r="L289" s="40" t="str">
        <f>IF(Agent02_Loans!B101="","",Agent02_Loans!L101)</f>
        <v/>
      </c>
      <c r="M289" s="40" t="str">
        <f>IFERROR(IF(Agent02_Loans!B101="","",YEAR(Agent02_Loans!D101)),"")</f>
        <v/>
      </c>
    </row>
    <row r="290" spans="1:13" ht="18" customHeight="1" x14ac:dyDescent="0.25">
      <c r="A290" s="40" t="str">
        <f>IF(Agent02_Loans!B102="","",Agent02_Loans!A102)</f>
        <v/>
      </c>
      <c r="B290" s="40" t="str">
        <f>IF(Agent02_Loans!B102="","",Agent02_Loans!B102)</f>
        <v/>
      </c>
      <c r="C290" s="40" t="str">
        <f>IF(Agent02_Loans!B102="","",Agent02_Loans!C102)</f>
        <v/>
      </c>
      <c r="D290" s="41" t="str">
        <f>IF(Agent02_Loans!B102="","",Agent02_Loans!D102)</f>
        <v/>
      </c>
      <c r="E290" s="43" t="str">
        <f>IF(Agent02_Loans!B102="","",Agent02_Loans!E102)</f>
        <v/>
      </c>
      <c r="F290" s="40" t="str">
        <f>IF(Agent02_Loans!B102="","",Agent02_Loans!F102)</f>
        <v/>
      </c>
      <c r="G290" s="40" t="str">
        <f>IF(Agent02_Loans!B102="","",Agent02_Loans!G102)</f>
        <v/>
      </c>
      <c r="H290" s="40" t="str">
        <f>IF(Agent02_Loans!B102="","",Agent02_Loans!H102)</f>
        <v/>
      </c>
      <c r="I290" s="43" t="str">
        <f>IF(Agent02_Loans!B102="","",Agent02_Loans!I102)</f>
        <v/>
      </c>
      <c r="J290" s="43" t="str">
        <f>IF(Agent02_Loans!B102="","",Agent02_Loans!J102)</f>
        <v/>
      </c>
      <c r="K290" s="40" t="str">
        <f>IF(Agent02_Loans!B102="","",Agent02_Loans!K102)</f>
        <v/>
      </c>
      <c r="L290" s="40" t="str">
        <f>IF(Agent02_Loans!B102="","",Agent02_Loans!L102)</f>
        <v/>
      </c>
      <c r="M290" s="40" t="str">
        <f>IFERROR(IF(Agent02_Loans!B102="","",YEAR(Agent02_Loans!D102)),"")</f>
        <v/>
      </c>
    </row>
    <row r="291" spans="1:13" ht="18" customHeight="1" x14ac:dyDescent="0.25">
      <c r="A291" s="40" t="str">
        <f>IF(Agent02_Loans!B103="","",Agent02_Loans!A103)</f>
        <v/>
      </c>
      <c r="B291" s="40" t="str">
        <f>IF(Agent02_Loans!B103="","",Agent02_Loans!B103)</f>
        <v/>
      </c>
      <c r="C291" s="40" t="str">
        <f>IF(Agent02_Loans!B103="","",Agent02_Loans!C103)</f>
        <v/>
      </c>
      <c r="D291" s="41" t="str">
        <f>IF(Agent02_Loans!B103="","",Agent02_Loans!D103)</f>
        <v/>
      </c>
      <c r="E291" s="43" t="str">
        <f>IF(Agent02_Loans!B103="","",Agent02_Loans!E103)</f>
        <v/>
      </c>
      <c r="F291" s="40" t="str">
        <f>IF(Agent02_Loans!B103="","",Agent02_Loans!F103)</f>
        <v/>
      </c>
      <c r="G291" s="40" t="str">
        <f>IF(Agent02_Loans!B103="","",Agent02_Loans!G103)</f>
        <v/>
      </c>
      <c r="H291" s="40" t="str">
        <f>IF(Agent02_Loans!B103="","",Agent02_Loans!H103)</f>
        <v/>
      </c>
      <c r="I291" s="43" t="str">
        <f>IF(Agent02_Loans!B103="","",Agent02_Loans!I103)</f>
        <v/>
      </c>
      <c r="J291" s="43" t="str">
        <f>IF(Agent02_Loans!B103="","",Agent02_Loans!J103)</f>
        <v/>
      </c>
      <c r="K291" s="40" t="str">
        <f>IF(Agent02_Loans!B103="","",Agent02_Loans!K103)</f>
        <v/>
      </c>
      <c r="L291" s="40" t="str">
        <f>IF(Agent02_Loans!B103="","",Agent02_Loans!L103)</f>
        <v/>
      </c>
      <c r="M291" s="40" t="str">
        <f>IFERROR(IF(Agent02_Loans!B103="","",YEAR(Agent02_Loans!D103)),"")</f>
        <v/>
      </c>
    </row>
    <row r="292" spans="1:13" ht="18" customHeight="1" x14ac:dyDescent="0.25">
      <c r="A292" s="40" t="str">
        <f>IF(Agent02_Loans!B104="","",Agent02_Loans!A104)</f>
        <v/>
      </c>
      <c r="B292" s="40" t="str">
        <f>IF(Agent02_Loans!B104="","",Agent02_Loans!B104)</f>
        <v/>
      </c>
      <c r="C292" s="40" t="str">
        <f>IF(Agent02_Loans!B104="","",Agent02_Loans!C104)</f>
        <v/>
      </c>
      <c r="D292" s="41" t="str">
        <f>IF(Agent02_Loans!B104="","",Agent02_Loans!D104)</f>
        <v/>
      </c>
      <c r="E292" s="43" t="str">
        <f>IF(Agent02_Loans!B104="","",Agent02_Loans!E104)</f>
        <v/>
      </c>
      <c r="F292" s="40" t="str">
        <f>IF(Agent02_Loans!B104="","",Agent02_Loans!F104)</f>
        <v/>
      </c>
      <c r="G292" s="40" t="str">
        <f>IF(Agent02_Loans!B104="","",Agent02_Loans!G104)</f>
        <v/>
      </c>
      <c r="H292" s="40" t="str">
        <f>IF(Agent02_Loans!B104="","",Agent02_Loans!H104)</f>
        <v/>
      </c>
      <c r="I292" s="43" t="str">
        <f>IF(Agent02_Loans!B104="","",Agent02_Loans!I104)</f>
        <v/>
      </c>
      <c r="J292" s="43" t="str">
        <f>IF(Agent02_Loans!B104="","",Agent02_Loans!J104)</f>
        <v/>
      </c>
      <c r="K292" s="40" t="str">
        <f>IF(Agent02_Loans!B104="","",Agent02_Loans!K104)</f>
        <v/>
      </c>
      <c r="L292" s="40" t="str">
        <f>IF(Agent02_Loans!B104="","",Agent02_Loans!L104)</f>
        <v/>
      </c>
      <c r="M292" s="40" t="str">
        <f>IFERROR(IF(Agent02_Loans!B104="","",YEAR(Agent02_Loans!D104)),"")</f>
        <v/>
      </c>
    </row>
    <row r="293" spans="1:13" ht="18" customHeight="1" x14ac:dyDescent="0.25">
      <c r="A293" s="40" t="str">
        <f>IF(Agent02_Loans!B105="","",Agent02_Loans!A105)</f>
        <v/>
      </c>
      <c r="B293" s="40" t="str">
        <f>IF(Agent02_Loans!B105="","",Agent02_Loans!B105)</f>
        <v/>
      </c>
      <c r="C293" s="40" t="str">
        <f>IF(Agent02_Loans!B105="","",Agent02_Loans!C105)</f>
        <v/>
      </c>
      <c r="D293" s="41" t="str">
        <f>IF(Agent02_Loans!B105="","",Agent02_Loans!D105)</f>
        <v/>
      </c>
      <c r="E293" s="43" t="str">
        <f>IF(Agent02_Loans!B105="","",Agent02_Loans!E105)</f>
        <v/>
      </c>
      <c r="F293" s="40" t="str">
        <f>IF(Agent02_Loans!B105="","",Agent02_Loans!F105)</f>
        <v/>
      </c>
      <c r="G293" s="40" t="str">
        <f>IF(Agent02_Loans!B105="","",Agent02_Loans!G105)</f>
        <v/>
      </c>
      <c r="H293" s="40" t="str">
        <f>IF(Agent02_Loans!B105="","",Agent02_Loans!H105)</f>
        <v/>
      </c>
      <c r="I293" s="43" t="str">
        <f>IF(Agent02_Loans!B105="","",Agent02_Loans!I105)</f>
        <v/>
      </c>
      <c r="J293" s="43" t="str">
        <f>IF(Agent02_Loans!B105="","",Agent02_Loans!J105)</f>
        <v/>
      </c>
      <c r="K293" s="40" t="str">
        <f>IF(Agent02_Loans!B105="","",Agent02_Loans!K105)</f>
        <v/>
      </c>
      <c r="L293" s="40" t="str">
        <f>IF(Agent02_Loans!B105="","",Agent02_Loans!L105)</f>
        <v/>
      </c>
      <c r="M293" s="40" t="str">
        <f>IFERROR(IF(Agent02_Loans!B105="","",YEAR(Agent02_Loans!D105)),"")</f>
        <v/>
      </c>
    </row>
    <row r="294" spans="1:13" ht="18" customHeight="1" x14ac:dyDescent="0.25">
      <c r="A294" s="40" t="str">
        <f>IF(Agent02_Loans!B106="","",Agent02_Loans!A106)</f>
        <v/>
      </c>
      <c r="B294" s="40" t="str">
        <f>IF(Agent02_Loans!B106="","",Agent02_Loans!B106)</f>
        <v/>
      </c>
      <c r="C294" s="40" t="str">
        <f>IF(Agent02_Loans!B106="","",Agent02_Loans!C106)</f>
        <v/>
      </c>
      <c r="D294" s="41" t="str">
        <f>IF(Agent02_Loans!B106="","",Agent02_Loans!D106)</f>
        <v/>
      </c>
      <c r="E294" s="43" t="str">
        <f>IF(Agent02_Loans!B106="","",Agent02_Loans!E106)</f>
        <v/>
      </c>
      <c r="F294" s="40" t="str">
        <f>IF(Agent02_Loans!B106="","",Agent02_Loans!F106)</f>
        <v/>
      </c>
      <c r="G294" s="40" t="str">
        <f>IF(Agent02_Loans!B106="","",Agent02_Loans!G106)</f>
        <v/>
      </c>
      <c r="H294" s="40" t="str">
        <f>IF(Agent02_Loans!B106="","",Agent02_Loans!H106)</f>
        <v/>
      </c>
      <c r="I294" s="43" t="str">
        <f>IF(Agent02_Loans!B106="","",Agent02_Loans!I106)</f>
        <v/>
      </c>
      <c r="J294" s="43" t="str">
        <f>IF(Agent02_Loans!B106="","",Agent02_Loans!J106)</f>
        <v/>
      </c>
      <c r="K294" s="40" t="str">
        <f>IF(Agent02_Loans!B106="","",Agent02_Loans!K106)</f>
        <v/>
      </c>
      <c r="L294" s="40" t="str">
        <f>IF(Agent02_Loans!B106="","",Agent02_Loans!L106)</f>
        <v/>
      </c>
      <c r="M294" s="40" t="str">
        <f>IFERROR(IF(Agent02_Loans!B106="","",YEAR(Agent02_Loans!D106)),"")</f>
        <v/>
      </c>
    </row>
    <row r="295" spans="1:13" ht="18" customHeight="1" x14ac:dyDescent="0.25">
      <c r="A295" s="40" t="str">
        <f>IF(Agent02_Loans!B107="","",Agent02_Loans!A107)</f>
        <v/>
      </c>
      <c r="B295" s="40" t="str">
        <f>IF(Agent02_Loans!B107="","",Agent02_Loans!B107)</f>
        <v/>
      </c>
      <c r="C295" s="40" t="str">
        <f>IF(Agent02_Loans!B107="","",Agent02_Loans!C107)</f>
        <v/>
      </c>
      <c r="D295" s="41" t="str">
        <f>IF(Agent02_Loans!B107="","",Agent02_Loans!D107)</f>
        <v/>
      </c>
      <c r="E295" s="43" t="str">
        <f>IF(Agent02_Loans!B107="","",Agent02_Loans!E107)</f>
        <v/>
      </c>
      <c r="F295" s="40" t="str">
        <f>IF(Agent02_Loans!B107="","",Agent02_Loans!F107)</f>
        <v/>
      </c>
      <c r="G295" s="40" t="str">
        <f>IF(Agent02_Loans!B107="","",Agent02_Loans!G107)</f>
        <v/>
      </c>
      <c r="H295" s="40" t="str">
        <f>IF(Agent02_Loans!B107="","",Agent02_Loans!H107)</f>
        <v/>
      </c>
      <c r="I295" s="43" t="str">
        <f>IF(Agent02_Loans!B107="","",Agent02_Loans!I107)</f>
        <v/>
      </c>
      <c r="J295" s="43" t="str">
        <f>IF(Agent02_Loans!B107="","",Agent02_Loans!J107)</f>
        <v/>
      </c>
      <c r="K295" s="40" t="str">
        <f>IF(Agent02_Loans!B107="","",Agent02_Loans!K107)</f>
        <v/>
      </c>
      <c r="L295" s="40" t="str">
        <f>IF(Agent02_Loans!B107="","",Agent02_Loans!L107)</f>
        <v/>
      </c>
      <c r="M295" s="40" t="str">
        <f>IFERROR(IF(Agent02_Loans!B107="","",YEAR(Agent02_Loans!D107)),"")</f>
        <v/>
      </c>
    </row>
    <row r="296" spans="1:13" ht="18" customHeight="1" x14ac:dyDescent="0.25">
      <c r="A296" s="40" t="str">
        <f>IF(Agent02_Loans!B108="","",Agent02_Loans!A108)</f>
        <v/>
      </c>
      <c r="B296" s="40" t="str">
        <f>IF(Agent02_Loans!B108="","",Agent02_Loans!B108)</f>
        <v/>
      </c>
      <c r="C296" s="40" t="str">
        <f>IF(Agent02_Loans!B108="","",Agent02_Loans!C108)</f>
        <v/>
      </c>
      <c r="D296" s="41" t="str">
        <f>IF(Agent02_Loans!B108="","",Agent02_Loans!D108)</f>
        <v/>
      </c>
      <c r="E296" s="43" t="str">
        <f>IF(Agent02_Loans!B108="","",Agent02_Loans!E108)</f>
        <v/>
      </c>
      <c r="F296" s="40" t="str">
        <f>IF(Agent02_Loans!B108="","",Agent02_Loans!F108)</f>
        <v/>
      </c>
      <c r="G296" s="40" t="str">
        <f>IF(Agent02_Loans!B108="","",Agent02_Loans!G108)</f>
        <v/>
      </c>
      <c r="H296" s="40" t="str">
        <f>IF(Agent02_Loans!B108="","",Agent02_Loans!H108)</f>
        <v/>
      </c>
      <c r="I296" s="43" t="str">
        <f>IF(Agent02_Loans!B108="","",Agent02_Loans!I108)</f>
        <v/>
      </c>
      <c r="J296" s="43" t="str">
        <f>IF(Agent02_Loans!B108="","",Agent02_Loans!J108)</f>
        <v/>
      </c>
      <c r="K296" s="40" t="str">
        <f>IF(Agent02_Loans!B108="","",Agent02_Loans!K108)</f>
        <v/>
      </c>
      <c r="L296" s="40" t="str">
        <f>IF(Agent02_Loans!B108="","",Agent02_Loans!L108)</f>
        <v/>
      </c>
      <c r="M296" s="40" t="str">
        <f>IFERROR(IF(Agent02_Loans!B108="","",YEAR(Agent02_Loans!D108)),"")</f>
        <v/>
      </c>
    </row>
    <row r="297" spans="1:13" ht="18" customHeight="1" x14ac:dyDescent="0.25">
      <c r="A297" s="40" t="str">
        <f>IF(Agent02_Loans!B109="","",Agent02_Loans!A109)</f>
        <v/>
      </c>
      <c r="B297" s="40" t="str">
        <f>IF(Agent02_Loans!B109="","",Agent02_Loans!B109)</f>
        <v/>
      </c>
      <c r="C297" s="40" t="str">
        <f>IF(Agent02_Loans!B109="","",Agent02_Loans!C109)</f>
        <v/>
      </c>
      <c r="D297" s="41" t="str">
        <f>IF(Agent02_Loans!B109="","",Agent02_Loans!D109)</f>
        <v/>
      </c>
      <c r="E297" s="43" t="str">
        <f>IF(Agent02_Loans!B109="","",Agent02_Loans!E109)</f>
        <v/>
      </c>
      <c r="F297" s="40" t="str">
        <f>IF(Agent02_Loans!B109="","",Agent02_Loans!F109)</f>
        <v/>
      </c>
      <c r="G297" s="40" t="str">
        <f>IF(Agent02_Loans!B109="","",Agent02_Loans!G109)</f>
        <v/>
      </c>
      <c r="H297" s="40" t="str">
        <f>IF(Agent02_Loans!B109="","",Agent02_Loans!H109)</f>
        <v/>
      </c>
      <c r="I297" s="43" t="str">
        <f>IF(Agent02_Loans!B109="","",Agent02_Loans!I109)</f>
        <v/>
      </c>
      <c r="J297" s="43" t="str">
        <f>IF(Agent02_Loans!B109="","",Agent02_Loans!J109)</f>
        <v/>
      </c>
      <c r="K297" s="40" t="str">
        <f>IF(Agent02_Loans!B109="","",Agent02_Loans!K109)</f>
        <v/>
      </c>
      <c r="L297" s="40" t="str">
        <f>IF(Agent02_Loans!B109="","",Agent02_Loans!L109)</f>
        <v/>
      </c>
      <c r="M297" s="40" t="str">
        <f>IFERROR(IF(Agent02_Loans!B109="","",YEAR(Agent02_Loans!D109)),"")</f>
        <v/>
      </c>
    </row>
    <row r="298" spans="1:13" ht="18" customHeight="1" x14ac:dyDescent="0.25">
      <c r="A298" s="40" t="str">
        <f>IF(Agent02_Loans!B110="","",Agent02_Loans!A110)</f>
        <v/>
      </c>
      <c r="B298" s="40" t="str">
        <f>IF(Agent02_Loans!B110="","",Agent02_Loans!B110)</f>
        <v/>
      </c>
      <c r="C298" s="40" t="str">
        <f>IF(Agent02_Loans!B110="","",Agent02_Loans!C110)</f>
        <v/>
      </c>
      <c r="D298" s="41" t="str">
        <f>IF(Agent02_Loans!B110="","",Agent02_Loans!D110)</f>
        <v/>
      </c>
      <c r="E298" s="43" t="str">
        <f>IF(Agent02_Loans!B110="","",Agent02_Loans!E110)</f>
        <v/>
      </c>
      <c r="F298" s="40" t="str">
        <f>IF(Agent02_Loans!B110="","",Agent02_Loans!F110)</f>
        <v/>
      </c>
      <c r="G298" s="40" t="str">
        <f>IF(Agent02_Loans!B110="","",Agent02_Loans!G110)</f>
        <v/>
      </c>
      <c r="H298" s="40" t="str">
        <f>IF(Agent02_Loans!B110="","",Agent02_Loans!H110)</f>
        <v/>
      </c>
      <c r="I298" s="43" t="str">
        <f>IF(Agent02_Loans!B110="","",Agent02_Loans!I110)</f>
        <v/>
      </c>
      <c r="J298" s="43" t="str">
        <f>IF(Agent02_Loans!B110="","",Agent02_Loans!J110)</f>
        <v/>
      </c>
      <c r="K298" s="40" t="str">
        <f>IF(Agent02_Loans!B110="","",Agent02_Loans!K110)</f>
        <v/>
      </c>
      <c r="L298" s="40" t="str">
        <f>IF(Agent02_Loans!B110="","",Agent02_Loans!L110)</f>
        <v/>
      </c>
      <c r="M298" s="40" t="str">
        <f>IFERROR(IF(Agent02_Loans!B110="","",YEAR(Agent02_Loans!D110)),"")</f>
        <v/>
      </c>
    </row>
    <row r="299" spans="1:13" ht="18" customHeight="1" x14ac:dyDescent="0.25">
      <c r="A299" s="40" t="str">
        <f>IF(Agent02_Loans!B111="","",Agent02_Loans!A111)</f>
        <v/>
      </c>
      <c r="B299" s="40" t="str">
        <f>IF(Agent02_Loans!B111="","",Agent02_Loans!B111)</f>
        <v/>
      </c>
      <c r="C299" s="40" t="str">
        <f>IF(Agent02_Loans!B111="","",Agent02_Loans!C111)</f>
        <v/>
      </c>
      <c r="D299" s="41" t="str">
        <f>IF(Agent02_Loans!B111="","",Agent02_Loans!D111)</f>
        <v/>
      </c>
      <c r="E299" s="43" t="str">
        <f>IF(Agent02_Loans!B111="","",Agent02_Loans!E111)</f>
        <v/>
      </c>
      <c r="F299" s="40" t="str">
        <f>IF(Agent02_Loans!B111="","",Agent02_Loans!F111)</f>
        <v/>
      </c>
      <c r="G299" s="40" t="str">
        <f>IF(Agent02_Loans!B111="","",Agent02_Loans!G111)</f>
        <v/>
      </c>
      <c r="H299" s="40" t="str">
        <f>IF(Agent02_Loans!B111="","",Agent02_Loans!H111)</f>
        <v/>
      </c>
      <c r="I299" s="43" t="str">
        <f>IF(Agent02_Loans!B111="","",Agent02_Loans!I111)</f>
        <v/>
      </c>
      <c r="J299" s="43" t="str">
        <f>IF(Agent02_Loans!B111="","",Agent02_Loans!J111)</f>
        <v/>
      </c>
      <c r="K299" s="40" t="str">
        <f>IF(Agent02_Loans!B111="","",Agent02_Loans!K111)</f>
        <v/>
      </c>
      <c r="L299" s="40" t="str">
        <f>IF(Agent02_Loans!B111="","",Agent02_Loans!L111)</f>
        <v/>
      </c>
      <c r="M299" s="40" t="str">
        <f>IFERROR(IF(Agent02_Loans!B111="","",YEAR(Agent02_Loans!D111)),"")</f>
        <v/>
      </c>
    </row>
    <row r="300" spans="1:13" ht="18" customHeight="1" x14ac:dyDescent="0.25">
      <c r="A300" s="40" t="str">
        <f>IF(Agent02_Loans!B112="","",Agent02_Loans!A112)</f>
        <v/>
      </c>
      <c r="B300" s="40" t="str">
        <f>IF(Agent02_Loans!B112="","",Agent02_Loans!B112)</f>
        <v/>
      </c>
      <c r="C300" s="40" t="str">
        <f>IF(Agent02_Loans!B112="","",Agent02_Loans!C112)</f>
        <v/>
      </c>
      <c r="D300" s="41" t="str">
        <f>IF(Agent02_Loans!B112="","",Agent02_Loans!D112)</f>
        <v/>
      </c>
      <c r="E300" s="43" t="str">
        <f>IF(Agent02_Loans!B112="","",Agent02_Loans!E112)</f>
        <v/>
      </c>
      <c r="F300" s="40" t="str">
        <f>IF(Agent02_Loans!B112="","",Agent02_Loans!F112)</f>
        <v/>
      </c>
      <c r="G300" s="40" t="str">
        <f>IF(Agent02_Loans!B112="","",Agent02_Loans!G112)</f>
        <v/>
      </c>
      <c r="H300" s="40" t="str">
        <f>IF(Agent02_Loans!B112="","",Agent02_Loans!H112)</f>
        <v/>
      </c>
      <c r="I300" s="43" t="str">
        <f>IF(Agent02_Loans!B112="","",Agent02_Loans!I112)</f>
        <v/>
      </c>
      <c r="J300" s="43" t="str">
        <f>IF(Agent02_Loans!B112="","",Agent02_Loans!J112)</f>
        <v/>
      </c>
      <c r="K300" s="40" t="str">
        <f>IF(Agent02_Loans!B112="","",Agent02_Loans!K112)</f>
        <v/>
      </c>
      <c r="L300" s="40" t="str">
        <f>IF(Agent02_Loans!B112="","",Agent02_Loans!L112)</f>
        <v/>
      </c>
      <c r="M300" s="40" t="str">
        <f>IFERROR(IF(Agent02_Loans!B112="","",YEAR(Agent02_Loans!D112)),"")</f>
        <v/>
      </c>
    </row>
    <row r="301" spans="1:13" ht="18" customHeight="1" x14ac:dyDescent="0.25">
      <c r="A301" s="40" t="str">
        <f>IF(Agent02_Loans!B113="","",Agent02_Loans!A113)</f>
        <v/>
      </c>
      <c r="B301" s="40" t="str">
        <f>IF(Agent02_Loans!B113="","",Agent02_Loans!B113)</f>
        <v/>
      </c>
      <c r="C301" s="40" t="str">
        <f>IF(Agent02_Loans!B113="","",Agent02_Loans!C113)</f>
        <v/>
      </c>
      <c r="D301" s="41" t="str">
        <f>IF(Agent02_Loans!B113="","",Agent02_Loans!D113)</f>
        <v/>
      </c>
      <c r="E301" s="43" t="str">
        <f>IF(Agent02_Loans!B113="","",Agent02_Loans!E113)</f>
        <v/>
      </c>
      <c r="F301" s="40" t="str">
        <f>IF(Agent02_Loans!B113="","",Agent02_Loans!F113)</f>
        <v/>
      </c>
      <c r="G301" s="40" t="str">
        <f>IF(Agent02_Loans!B113="","",Agent02_Loans!G113)</f>
        <v/>
      </c>
      <c r="H301" s="40" t="str">
        <f>IF(Agent02_Loans!B113="","",Agent02_Loans!H113)</f>
        <v/>
      </c>
      <c r="I301" s="43" t="str">
        <f>IF(Agent02_Loans!B113="","",Agent02_Loans!I113)</f>
        <v/>
      </c>
      <c r="J301" s="43" t="str">
        <f>IF(Agent02_Loans!B113="","",Agent02_Loans!J113)</f>
        <v/>
      </c>
      <c r="K301" s="40" t="str">
        <f>IF(Agent02_Loans!B113="","",Agent02_Loans!K113)</f>
        <v/>
      </c>
      <c r="L301" s="40" t="str">
        <f>IF(Agent02_Loans!B113="","",Agent02_Loans!L113)</f>
        <v/>
      </c>
      <c r="M301" s="40" t="str">
        <f>IFERROR(IF(Agent02_Loans!B113="","",YEAR(Agent02_Loans!D113)),"")</f>
        <v/>
      </c>
    </row>
    <row r="302" spans="1:13" ht="18" customHeight="1" x14ac:dyDescent="0.25">
      <c r="A302" s="40" t="str">
        <f>IF(Agent02_Loans!B114="","",Agent02_Loans!A114)</f>
        <v/>
      </c>
      <c r="B302" s="40" t="str">
        <f>IF(Agent02_Loans!B114="","",Agent02_Loans!B114)</f>
        <v/>
      </c>
      <c r="C302" s="40" t="str">
        <f>IF(Agent02_Loans!B114="","",Agent02_Loans!C114)</f>
        <v/>
      </c>
      <c r="D302" s="41" t="str">
        <f>IF(Agent02_Loans!B114="","",Agent02_Loans!D114)</f>
        <v/>
      </c>
      <c r="E302" s="43" t="str">
        <f>IF(Agent02_Loans!B114="","",Agent02_Loans!E114)</f>
        <v/>
      </c>
      <c r="F302" s="40" t="str">
        <f>IF(Agent02_Loans!B114="","",Agent02_Loans!F114)</f>
        <v/>
      </c>
      <c r="G302" s="40" t="str">
        <f>IF(Agent02_Loans!B114="","",Agent02_Loans!G114)</f>
        <v/>
      </c>
      <c r="H302" s="40" t="str">
        <f>IF(Agent02_Loans!B114="","",Agent02_Loans!H114)</f>
        <v/>
      </c>
      <c r="I302" s="43" t="str">
        <f>IF(Agent02_Loans!B114="","",Agent02_Loans!I114)</f>
        <v/>
      </c>
      <c r="J302" s="43" t="str">
        <f>IF(Agent02_Loans!B114="","",Agent02_Loans!J114)</f>
        <v/>
      </c>
      <c r="K302" s="40" t="str">
        <f>IF(Agent02_Loans!B114="","",Agent02_Loans!K114)</f>
        <v/>
      </c>
      <c r="L302" s="40" t="str">
        <f>IF(Agent02_Loans!B114="","",Agent02_Loans!L114)</f>
        <v/>
      </c>
      <c r="M302" s="40" t="str">
        <f>IFERROR(IF(Agent02_Loans!B114="","",YEAR(Agent02_Loans!D114)),"")</f>
        <v/>
      </c>
    </row>
    <row r="303" spans="1:13" ht="18" customHeight="1" x14ac:dyDescent="0.25">
      <c r="A303" s="40" t="str">
        <f>IF(Agent02_Loans!B115="","",Agent02_Loans!A115)</f>
        <v/>
      </c>
      <c r="B303" s="40" t="str">
        <f>IF(Agent02_Loans!B115="","",Agent02_Loans!B115)</f>
        <v/>
      </c>
      <c r="C303" s="40" t="str">
        <f>IF(Agent02_Loans!B115="","",Agent02_Loans!C115)</f>
        <v/>
      </c>
      <c r="D303" s="41" t="str">
        <f>IF(Agent02_Loans!B115="","",Agent02_Loans!D115)</f>
        <v/>
      </c>
      <c r="E303" s="43" t="str">
        <f>IF(Agent02_Loans!B115="","",Agent02_Loans!E115)</f>
        <v/>
      </c>
      <c r="F303" s="40" t="str">
        <f>IF(Agent02_Loans!B115="","",Agent02_Loans!F115)</f>
        <v/>
      </c>
      <c r="G303" s="40" t="str">
        <f>IF(Agent02_Loans!B115="","",Agent02_Loans!G115)</f>
        <v/>
      </c>
      <c r="H303" s="40" t="str">
        <f>IF(Agent02_Loans!B115="","",Agent02_Loans!H115)</f>
        <v/>
      </c>
      <c r="I303" s="43" t="str">
        <f>IF(Agent02_Loans!B115="","",Agent02_Loans!I115)</f>
        <v/>
      </c>
      <c r="J303" s="43" t="str">
        <f>IF(Agent02_Loans!B115="","",Agent02_Loans!J115)</f>
        <v/>
      </c>
      <c r="K303" s="40" t="str">
        <f>IF(Agent02_Loans!B115="","",Agent02_Loans!K115)</f>
        <v/>
      </c>
      <c r="L303" s="40" t="str">
        <f>IF(Agent02_Loans!B115="","",Agent02_Loans!L115)</f>
        <v/>
      </c>
      <c r="M303" s="40" t="str">
        <f>IFERROR(IF(Agent02_Loans!B115="","",YEAR(Agent02_Loans!D115)),"")</f>
        <v/>
      </c>
    </row>
    <row r="304" spans="1:13" ht="18" customHeight="1" x14ac:dyDescent="0.25">
      <c r="A304" s="40" t="str">
        <f>IF(Agent02_Loans!B116="","",Agent02_Loans!A116)</f>
        <v/>
      </c>
      <c r="B304" s="40" t="str">
        <f>IF(Agent02_Loans!B116="","",Agent02_Loans!B116)</f>
        <v/>
      </c>
      <c r="C304" s="40" t="str">
        <f>IF(Agent02_Loans!B116="","",Agent02_Loans!C116)</f>
        <v/>
      </c>
      <c r="D304" s="41" t="str">
        <f>IF(Agent02_Loans!B116="","",Agent02_Loans!D116)</f>
        <v/>
      </c>
      <c r="E304" s="43" t="str">
        <f>IF(Agent02_Loans!B116="","",Agent02_Loans!E116)</f>
        <v/>
      </c>
      <c r="F304" s="40" t="str">
        <f>IF(Agent02_Loans!B116="","",Agent02_Loans!F116)</f>
        <v/>
      </c>
      <c r="G304" s="40" t="str">
        <f>IF(Agent02_Loans!B116="","",Agent02_Loans!G116)</f>
        <v/>
      </c>
      <c r="H304" s="40" t="str">
        <f>IF(Agent02_Loans!B116="","",Agent02_Loans!H116)</f>
        <v/>
      </c>
      <c r="I304" s="43" t="str">
        <f>IF(Agent02_Loans!B116="","",Agent02_Loans!I116)</f>
        <v/>
      </c>
      <c r="J304" s="43" t="str">
        <f>IF(Agent02_Loans!B116="","",Agent02_Loans!J116)</f>
        <v/>
      </c>
      <c r="K304" s="40" t="str">
        <f>IF(Agent02_Loans!B116="","",Agent02_Loans!K116)</f>
        <v/>
      </c>
      <c r="L304" s="40" t="str">
        <f>IF(Agent02_Loans!B116="","",Agent02_Loans!L116)</f>
        <v/>
      </c>
      <c r="M304" s="40" t="str">
        <f>IFERROR(IF(Agent02_Loans!B116="","",YEAR(Agent02_Loans!D116)),"")</f>
        <v/>
      </c>
    </row>
    <row r="305" spans="1:13" ht="18" customHeight="1" x14ac:dyDescent="0.25">
      <c r="A305" s="40" t="str">
        <f>IF(Agent02_Loans!B117="","",Agent02_Loans!A117)</f>
        <v/>
      </c>
      <c r="B305" s="40" t="str">
        <f>IF(Agent02_Loans!B117="","",Agent02_Loans!B117)</f>
        <v/>
      </c>
      <c r="C305" s="40" t="str">
        <f>IF(Agent02_Loans!B117="","",Agent02_Loans!C117)</f>
        <v/>
      </c>
      <c r="D305" s="41" t="str">
        <f>IF(Agent02_Loans!B117="","",Agent02_Loans!D117)</f>
        <v/>
      </c>
      <c r="E305" s="43" t="str">
        <f>IF(Agent02_Loans!B117="","",Agent02_Loans!E117)</f>
        <v/>
      </c>
      <c r="F305" s="40" t="str">
        <f>IF(Agent02_Loans!B117="","",Agent02_Loans!F117)</f>
        <v/>
      </c>
      <c r="G305" s="40" t="str">
        <f>IF(Agent02_Loans!B117="","",Agent02_Loans!G117)</f>
        <v/>
      </c>
      <c r="H305" s="40" t="str">
        <f>IF(Agent02_Loans!B117="","",Agent02_Loans!H117)</f>
        <v/>
      </c>
      <c r="I305" s="43" t="str">
        <f>IF(Agent02_Loans!B117="","",Agent02_Loans!I117)</f>
        <v/>
      </c>
      <c r="J305" s="43" t="str">
        <f>IF(Agent02_Loans!B117="","",Agent02_Loans!J117)</f>
        <v/>
      </c>
      <c r="K305" s="40" t="str">
        <f>IF(Agent02_Loans!B117="","",Agent02_Loans!K117)</f>
        <v/>
      </c>
      <c r="L305" s="40" t="str">
        <f>IF(Agent02_Loans!B117="","",Agent02_Loans!L117)</f>
        <v/>
      </c>
      <c r="M305" s="40" t="str">
        <f>IFERROR(IF(Agent02_Loans!B117="","",YEAR(Agent02_Loans!D117)),"")</f>
        <v/>
      </c>
    </row>
    <row r="306" spans="1:13" ht="18" customHeight="1" x14ac:dyDescent="0.25">
      <c r="A306" s="40" t="str">
        <f>IF(Agent02_Loans!B118="","",Agent02_Loans!A118)</f>
        <v/>
      </c>
      <c r="B306" s="40" t="str">
        <f>IF(Agent02_Loans!B118="","",Agent02_Loans!B118)</f>
        <v/>
      </c>
      <c r="C306" s="40" t="str">
        <f>IF(Agent02_Loans!B118="","",Agent02_Loans!C118)</f>
        <v/>
      </c>
      <c r="D306" s="41" t="str">
        <f>IF(Agent02_Loans!B118="","",Agent02_Loans!D118)</f>
        <v/>
      </c>
      <c r="E306" s="43" t="str">
        <f>IF(Agent02_Loans!B118="","",Agent02_Loans!E118)</f>
        <v/>
      </c>
      <c r="F306" s="40" t="str">
        <f>IF(Agent02_Loans!B118="","",Agent02_Loans!F118)</f>
        <v/>
      </c>
      <c r="G306" s="40" t="str">
        <f>IF(Agent02_Loans!B118="","",Agent02_Loans!G118)</f>
        <v/>
      </c>
      <c r="H306" s="40" t="str">
        <f>IF(Agent02_Loans!B118="","",Agent02_Loans!H118)</f>
        <v/>
      </c>
      <c r="I306" s="43" t="str">
        <f>IF(Agent02_Loans!B118="","",Agent02_Loans!I118)</f>
        <v/>
      </c>
      <c r="J306" s="43" t="str">
        <f>IF(Agent02_Loans!B118="","",Agent02_Loans!J118)</f>
        <v/>
      </c>
      <c r="K306" s="40" t="str">
        <f>IF(Agent02_Loans!B118="","",Agent02_Loans!K118)</f>
        <v/>
      </c>
      <c r="L306" s="40" t="str">
        <f>IF(Agent02_Loans!B118="","",Agent02_Loans!L118)</f>
        <v/>
      </c>
      <c r="M306" s="40" t="str">
        <f>IFERROR(IF(Agent02_Loans!B118="","",YEAR(Agent02_Loans!D118)),"")</f>
        <v/>
      </c>
    </row>
    <row r="307" spans="1:13" ht="18" customHeight="1" x14ac:dyDescent="0.25">
      <c r="A307" s="40" t="str">
        <f>IF(Agent02_Loans!B119="","",Agent02_Loans!A119)</f>
        <v/>
      </c>
      <c r="B307" s="40" t="str">
        <f>IF(Agent02_Loans!B119="","",Agent02_Loans!B119)</f>
        <v/>
      </c>
      <c r="C307" s="40" t="str">
        <f>IF(Agent02_Loans!B119="","",Agent02_Loans!C119)</f>
        <v/>
      </c>
      <c r="D307" s="41" t="str">
        <f>IF(Agent02_Loans!B119="","",Agent02_Loans!D119)</f>
        <v/>
      </c>
      <c r="E307" s="43" t="str">
        <f>IF(Agent02_Loans!B119="","",Agent02_Loans!E119)</f>
        <v/>
      </c>
      <c r="F307" s="40" t="str">
        <f>IF(Agent02_Loans!B119="","",Agent02_Loans!F119)</f>
        <v/>
      </c>
      <c r="G307" s="40" t="str">
        <f>IF(Agent02_Loans!B119="","",Agent02_Loans!G119)</f>
        <v/>
      </c>
      <c r="H307" s="40" t="str">
        <f>IF(Agent02_Loans!B119="","",Agent02_Loans!H119)</f>
        <v/>
      </c>
      <c r="I307" s="43" t="str">
        <f>IF(Agent02_Loans!B119="","",Agent02_Loans!I119)</f>
        <v/>
      </c>
      <c r="J307" s="43" t="str">
        <f>IF(Agent02_Loans!B119="","",Agent02_Loans!J119)</f>
        <v/>
      </c>
      <c r="K307" s="40" t="str">
        <f>IF(Agent02_Loans!B119="","",Agent02_Loans!K119)</f>
        <v/>
      </c>
      <c r="L307" s="40" t="str">
        <f>IF(Agent02_Loans!B119="","",Agent02_Loans!L119)</f>
        <v/>
      </c>
      <c r="M307" s="40" t="str">
        <f>IFERROR(IF(Agent02_Loans!B119="","",YEAR(Agent02_Loans!D119)),"")</f>
        <v/>
      </c>
    </row>
    <row r="308" spans="1:13" ht="18" customHeight="1" x14ac:dyDescent="0.25">
      <c r="A308" s="40" t="str">
        <f>IF(Agent02_Loans!B120="","",Agent02_Loans!A120)</f>
        <v/>
      </c>
      <c r="B308" s="40" t="str">
        <f>IF(Agent02_Loans!B120="","",Agent02_Loans!B120)</f>
        <v/>
      </c>
      <c r="C308" s="40" t="str">
        <f>IF(Agent02_Loans!B120="","",Agent02_Loans!C120)</f>
        <v/>
      </c>
      <c r="D308" s="41" t="str">
        <f>IF(Agent02_Loans!B120="","",Agent02_Loans!D120)</f>
        <v/>
      </c>
      <c r="E308" s="43" t="str">
        <f>IF(Agent02_Loans!B120="","",Agent02_Loans!E120)</f>
        <v/>
      </c>
      <c r="F308" s="40" t="str">
        <f>IF(Agent02_Loans!B120="","",Agent02_Loans!F120)</f>
        <v/>
      </c>
      <c r="G308" s="40" t="str">
        <f>IF(Agent02_Loans!B120="","",Agent02_Loans!G120)</f>
        <v/>
      </c>
      <c r="H308" s="40" t="str">
        <f>IF(Agent02_Loans!B120="","",Agent02_Loans!H120)</f>
        <v/>
      </c>
      <c r="I308" s="43" t="str">
        <f>IF(Agent02_Loans!B120="","",Agent02_Loans!I120)</f>
        <v/>
      </c>
      <c r="J308" s="43" t="str">
        <f>IF(Agent02_Loans!B120="","",Agent02_Loans!J120)</f>
        <v/>
      </c>
      <c r="K308" s="40" t="str">
        <f>IF(Agent02_Loans!B120="","",Agent02_Loans!K120)</f>
        <v/>
      </c>
      <c r="L308" s="40" t="str">
        <f>IF(Agent02_Loans!B120="","",Agent02_Loans!L120)</f>
        <v/>
      </c>
      <c r="M308" s="40" t="str">
        <f>IFERROR(IF(Agent02_Loans!B120="","",YEAR(Agent02_Loans!D120)),"")</f>
        <v/>
      </c>
    </row>
    <row r="309" spans="1:13" ht="18" customHeight="1" x14ac:dyDescent="0.25">
      <c r="A309" s="40" t="str">
        <f>IF(Agent02_Loans!B121="","",Agent02_Loans!A121)</f>
        <v/>
      </c>
      <c r="B309" s="40" t="str">
        <f>IF(Agent02_Loans!B121="","",Agent02_Loans!B121)</f>
        <v/>
      </c>
      <c r="C309" s="40" t="str">
        <f>IF(Agent02_Loans!B121="","",Agent02_Loans!C121)</f>
        <v/>
      </c>
      <c r="D309" s="41" t="str">
        <f>IF(Agent02_Loans!B121="","",Agent02_Loans!D121)</f>
        <v/>
      </c>
      <c r="E309" s="43" t="str">
        <f>IF(Agent02_Loans!B121="","",Agent02_Loans!E121)</f>
        <v/>
      </c>
      <c r="F309" s="40" t="str">
        <f>IF(Agent02_Loans!B121="","",Agent02_Loans!F121)</f>
        <v/>
      </c>
      <c r="G309" s="40" t="str">
        <f>IF(Agent02_Loans!B121="","",Agent02_Loans!G121)</f>
        <v/>
      </c>
      <c r="H309" s="40" t="str">
        <f>IF(Agent02_Loans!B121="","",Agent02_Loans!H121)</f>
        <v/>
      </c>
      <c r="I309" s="43" t="str">
        <f>IF(Agent02_Loans!B121="","",Agent02_Loans!I121)</f>
        <v/>
      </c>
      <c r="J309" s="43" t="str">
        <f>IF(Agent02_Loans!B121="","",Agent02_Loans!J121)</f>
        <v/>
      </c>
      <c r="K309" s="40" t="str">
        <f>IF(Agent02_Loans!B121="","",Agent02_Loans!K121)</f>
        <v/>
      </c>
      <c r="L309" s="40" t="str">
        <f>IF(Agent02_Loans!B121="","",Agent02_Loans!L121)</f>
        <v/>
      </c>
      <c r="M309" s="40" t="str">
        <f>IFERROR(IF(Agent02_Loans!B121="","",YEAR(Agent02_Loans!D121)),"")</f>
        <v/>
      </c>
    </row>
    <row r="310" spans="1:13" ht="18" customHeight="1" x14ac:dyDescent="0.25">
      <c r="A310" s="40" t="str">
        <f>IF(Agent02_Loans!B122="","",Agent02_Loans!A122)</f>
        <v/>
      </c>
      <c r="B310" s="40" t="str">
        <f>IF(Agent02_Loans!B122="","",Agent02_Loans!B122)</f>
        <v/>
      </c>
      <c r="C310" s="40" t="str">
        <f>IF(Agent02_Loans!B122="","",Agent02_Loans!C122)</f>
        <v/>
      </c>
      <c r="D310" s="41" t="str">
        <f>IF(Agent02_Loans!B122="","",Agent02_Loans!D122)</f>
        <v/>
      </c>
      <c r="E310" s="43" t="str">
        <f>IF(Agent02_Loans!B122="","",Agent02_Loans!E122)</f>
        <v/>
      </c>
      <c r="F310" s="40" t="str">
        <f>IF(Agent02_Loans!B122="","",Agent02_Loans!F122)</f>
        <v/>
      </c>
      <c r="G310" s="40" t="str">
        <f>IF(Agent02_Loans!B122="","",Agent02_Loans!G122)</f>
        <v/>
      </c>
      <c r="H310" s="40" t="str">
        <f>IF(Agent02_Loans!B122="","",Agent02_Loans!H122)</f>
        <v/>
      </c>
      <c r="I310" s="43" t="str">
        <f>IF(Agent02_Loans!B122="","",Agent02_Loans!I122)</f>
        <v/>
      </c>
      <c r="J310" s="43" t="str">
        <f>IF(Agent02_Loans!B122="","",Agent02_Loans!J122)</f>
        <v/>
      </c>
      <c r="K310" s="40" t="str">
        <f>IF(Agent02_Loans!B122="","",Agent02_Loans!K122)</f>
        <v/>
      </c>
      <c r="L310" s="40" t="str">
        <f>IF(Agent02_Loans!B122="","",Agent02_Loans!L122)</f>
        <v/>
      </c>
      <c r="M310" s="40" t="str">
        <f>IFERROR(IF(Agent02_Loans!B122="","",YEAR(Agent02_Loans!D122)),"")</f>
        <v/>
      </c>
    </row>
    <row r="311" spans="1:13" ht="18" customHeight="1" x14ac:dyDescent="0.25">
      <c r="A311" s="40" t="str">
        <f>IF(Agent02_Loans!B123="","",Agent02_Loans!A123)</f>
        <v/>
      </c>
      <c r="B311" s="40" t="str">
        <f>IF(Agent02_Loans!B123="","",Agent02_Loans!B123)</f>
        <v/>
      </c>
      <c r="C311" s="40" t="str">
        <f>IF(Agent02_Loans!B123="","",Agent02_Loans!C123)</f>
        <v/>
      </c>
      <c r="D311" s="41" t="str">
        <f>IF(Agent02_Loans!B123="","",Agent02_Loans!D123)</f>
        <v/>
      </c>
      <c r="E311" s="43" t="str">
        <f>IF(Agent02_Loans!B123="","",Agent02_Loans!E123)</f>
        <v/>
      </c>
      <c r="F311" s="40" t="str">
        <f>IF(Agent02_Loans!B123="","",Agent02_Loans!F123)</f>
        <v/>
      </c>
      <c r="G311" s="40" t="str">
        <f>IF(Agent02_Loans!B123="","",Agent02_Loans!G123)</f>
        <v/>
      </c>
      <c r="H311" s="40" t="str">
        <f>IF(Agent02_Loans!B123="","",Agent02_Loans!H123)</f>
        <v/>
      </c>
      <c r="I311" s="43" t="str">
        <f>IF(Agent02_Loans!B123="","",Agent02_Loans!I123)</f>
        <v/>
      </c>
      <c r="J311" s="43" t="str">
        <f>IF(Agent02_Loans!B123="","",Agent02_Loans!J123)</f>
        <v/>
      </c>
      <c r="K311" s="40" t="str">
        <f>IF(Agent02_Loans!B123="","",Agent02_Loans!K123)</f>
        <v/>
      </c>
      <c r="L311" s="40" t="str">
        <f>IF(Agent02_Loans!B123="","",Agent02_Loans!L123)</f>
        <v/>
      </c>
      <c r="M311" s="40" t="str">
        <f>IFERROR(IF(Agent02_Loans!B123="","",YEAR(Agent02_Loans!D123)),"")</f>
        <v/>
      </c>
    </row>
    <row r="312" spans="1:13" ht="18" customHeight="1" x14ac:dyDescent="0.25">
      <c r="A312" s="40" t="str">
        <f>IF(Agent02_Loans!B124="","",Agent02_Loans!A124)</f>
        <v/>
      </c>
      <c r="B312" s="40" t="str">
        <f>IF(Agent02_Loans!B124="","",Agent02_Loans!B124)</f>
        <v/>
      </c>
      <c r="C312" s="40" t="str">
        <f>IF(Agent02_Loans!B124="","",Agent02_Loans!C124)</f>
        <v/>
      </c>
      <c r="D312" s="41" t="str">
        <f>IF(Agent02_Loans!B124="","",Agent02_Loans!D124)</f>
        <v/>
      </c>
      <c r="E312" s="43" t="str">
        <f>IF(Agent02_Loans!B124="","",Agent02_Loans!E124)</f>
        <v/>
      </c>
      <c r="F312" s="40" t="str">
        <f>IF(Agent02_Loans!B124="","",Agent02_Loans!F124)</f>
        <v/>
      </c>
      <c r="G312" s="40" t="str">
        <f>IF(Agent02_Loans!B124="","",Agent02_Loans!G124)</f>
        <v/>
      </c>
      <c r="H312" s="40" t="str">
        <f>IF(Agent02_Loans!B124="","",Agent02_Loans!H124)</f>
        <v/>
      </c>
      <c r="I312" s="43" t="str">
        <f>IF(Agent02_Loans!B124="","",Agent02_Loans!I124)</f>
        <v/>
      </c>
      <c r="J312" s="43" t="str">
        <f>IF(Agent02_Loans!B124="","",Agent02_Loans!J124)</f>
        <v/>
      </c>
      <c r="K312" s="40" t="str">
        <f>IF(Agent02_Loans!B124="","",Agent02_Loans!K124)</f>
        <v/>
      </c>
      <c r="L312" s="40" t="str">
        <f>IF(Agent02_Loans!B124="","",Agent02_Loans!L124)</f>
        <v/>
      </c>
      <c r="M312" s="40" t="str">
        <f>IFERROR(IF(Agent02_Loans!B124="","",YEAR(Agent02_Loans!D124)),"")</f>
        <v/>
      </c>
    </row>
    <row r="313" spans="1:13" ht="18" customHeight="1" x14ac:dyDescent="0.25">
      <c r="A313" s="40" t="str">
        <f>IF(Agent02_Loans!B125="","",Agent02_Loans!A125)</f>
        <v/>
      </c>
      <c r="B313" s="40" t="str">
        <f>IF(Agent02_Loans!B125="","",Agent02_Loans!B125)</f>
        <v/>
      </c>
      <c r="C313" s="40" t="str">
        <f>IF(Agent02_Loans!B125="","",Agent02_Loans!C125)</f>
        <v/>
      </c>
      <c r="D313" s="41" t="str">
        <f>IF(Agent02_Loans!B125="","",Agent02_Loans!D125)</f>
        <v/>
      </c>
      <c r="E313" s="43" t="str">
        <f>IF(Agent02_Loans!B125="","",Agent02_Loans!E125)</f>
        <v/>
      </c>
      <c r="F313" s="40" t="str">
        <f>IF(Agent02_Loans!B125="","",Agent02_Loans!F125)</f>
        <v/>
      </c>
      <c r="G313" s="40" t="str">
        <f>IF(Agent02_Loans!B125="","",Agent02_Loans!G125)</f>
        <v/>
      </c>
      <c r="H313" s="40" t="str">
        <f>IF(Agent02_Loans!B125="","",Agent02_Loans!H125)</f>
        <v/>
      </c>
      <c r="I313" s="43" t="str">
        <f>IF(Agent02_Loans!B125="","",Agent02_Loans!I125)</f>
        <v/>
      </c>
      <c r="J313" s="43" t="str">
        <f>IF(Agent02_Loans!B125="","",Agent02_Loans!J125)</f>
        <v/>
      </c>
      <c r="K313" s="40" t="str">
        <f>IF(Agent02_Loans!B125="","",Agent02_Loans!K125)</f>
        <v/>
      </c>
      <c r="L313" s="40" t="str">
        <f>IF(Agent02_Loans!B125="","",Agent02_Loans!L125)</f>
        <v/>
      </c>
      <c r="M313" s="40" t="str">
        <f>IFERROR(IF(Agent02_Loans!B125="","",YEAR(Agent02_Loans!D125)),"")</f>
        <v/>
      </c>
    </row>
    <row r="314" spans="1:13" ht="18" customHeight="1" x14ac:dyDescent="0.25">
      <c r="A314" s="40" t="str">
        <f>IF(Agent02_Loans!B126="","",Agent02_Loans!A126)</f>
        <v/>
      </c>
      <c r="B314" s="40" t="str">
        <f>IF(Agent02_Loans!B126="","",Agent02_Loans!B126)</f>
        <v/>
      </c>
      <c r="C314" s="40" t="str">
        <f>IF(Agent02_Loans!B126="","",Agent02_Loans!C126)</f>
        <v/>
      </c>
      <c r="D314" s="41" t="str">
        <f>IF(Agent02_Loans!B126="","",Agent02_Loans!D126)</f>
        <v/>
      </c>
      <c r="E314" s="43" t="str">
        <f>IF(Agent02_Loans!B126="","",Agent02_Loans!E126)</f>
        <v/>
      </c>
      <c r="F314" s="40" t="str">
        <f>IF(Agent02_Loans!B126="","",Agent02_Loans!F126)</f>
        <v/>
      </c>
      <c r="G314" s="40" t="str">
        <f>IF(Agent02_Loans!B126="","",Agent02_Loans!G126)</f>
        <v/>
      </c>
      <c r="H314" s="40" t="str">
        <f>IF(Agent02_Loans!B126="","",Agent02_Loans!H126)</f>
        <v/>
      </c>
      <c r="I314" s="43" t="str">
        <f>IF(Agent02_Loans!B126="","",Agent02_Loans!I126)</f>
        <v/>
      </c>
      <c r="J314" s="43" t="str">
        <f>IF(Agent02_Loans!B126="","",Agent02_Loans!J126)</f>
        <v/>
      </c>
      <c r="K314" s="40" t="str">
        <f>IF(Agent02_Loans!B126="","",Agent02_Loans!K126)</f>
        <v/>
      </c>
      <c r="L314" s="40" t="str">
        <f>IF(Agent02_Loans!B126="","",Agent02_Loans!L126)</f>
        <v/>
      </c>
      <c r="M314" s="40" t="str">
        <f>IFERROR(IF(Agent02_Loans!B126="","",YEAR(Agent02_Loans!D126)),"")</f>
        <v/>
      </c>
    </row>
    <row r="315" spans="1:13" ht="18" customHeight="1" x14ac:dyDescent="0.25">
      <c r="A315" s="40" t="str">
        <f>IF(Agent02_Loans!B127="","",Agent02_Loans!A127)</f>
        <v/>
      </c>
      <c r="B315" s="40" t="str">
        <f>IF(Agent02_Loans!B127="","",Agent02_Loans!B127)</f>
        <v/>
      </c>
      <c r="C315" s="40" t="str">
        <f>IF(Agent02_Loans!B127="","",Agent02_Loans!C127)</f>
        <v/>
      </c>
      <c r="D315" s="41" t="str">
        <f>IF(Agent02_Loans!B127="","",Agent02_Loans!D127)</f>
        <v/>
      </c>
      <c r="E315" s="43" t="str">
        <f>IF(Agent02_Loans!B127="","",Agent02_Loans!E127)</f>
        <v/>
      </c>
      <c r="F315" s="40" t="str">
        <f>IF(Agent02_Loans!B127="","",Agent02_Loans!F127)</f>
        <v/>
      </c>
      <c r="G315" s="40" t="str">
        <f>IF(Agent02_Loans!B127="","",Agent02_Loans!G127)</f>
        <v/>
      </c>
      <c r="H315" s="40" t="str">
        <f>IF(Agent02_Loans!B127="","",Agent02_Loans!H127)</f>
        <v/>
      </c>
      <c r="I315" s="43" t="str">
        <f>IF(Agent02_Loans!B127="","",Agent02_Loans!I127)</f>
        <v/>
      </c>
      <c r="J315" s="43" t="str">
        <f>IF(Agent02_Loans!B127="","",Agent02_Loans!J127)</f>
        <v/>
      </c>
      <c r="K315" s="40" t="str">
        <f>IF(Agent02_Loans!B127="","",Agent02_Loans!K127)</f>
        <v/>
      </c>
      <c r="L315" s="40" t="str">
        <f>IF(Agent02_Loans!B127="","",Agent02_Loans!L127)</f>
        <v/>
      </c>
      <c r="M315" s="40" t="str">
        <f>IFERROR(IF(Agent02_Loans!B127="","",YEAR(Agent02_Loans!D127)),"")</f>
        <v/>
      </c>
    </row>
    <row r="316" spans="1:13" ht="18" customHeight="1" x14ac:dyDescent="0.25">
      <c r="A316" s="40" t="str">
        <f>IF(Agent02_Loans!B128="","",Agent02_Loans!A128)</f>
        <v/>
      </c>
      <c r="B316" s="40" t="str">
        <f>IF(Agent02_Loans!B128="","",Agent02_Loans!B128)</f>
        <v/>
      </c>
      <c r="C316" s="40" t="str">
        <f>IF(Agent02_Loans!B128="","",Agent02_Loans!C128)</f>
        <v/>
      </c>
      <c r="D316" s="41" t="str">
        <f>IF(Agent02_Loans!B128="","",Agent02_Loans!D128)</f>
        <v/>
      </c>
      <c r="E316" s="43" t="str">
        <f>IF(Agent02_Loans!B128="","",Agent02_Loans!E128)</f>
        <v/>
      </c>
      <c r="F316" s="40" t="str">
        <f>IF(Agent02_Loans!B128="","",Agent02_Loans!F128)</f>
        <v/>
      </c>
      <c r="G316" s="40" t="str">
        <f>IF(Agent02_Loans!B128="","",Agent02_Loans!G128)</f>
        <v/>
      </c>
      <c r="H316" s="40" t="str">
        <f>IF(Agent02_Loans!B128="","",Agent02_Loans!H128)</f>
        <v/>
      </c>
      <c r="I316" s="43" t="str">
        <f>IF(Agent02_Loans!B128="","",Agent02_Loans!I128)</f>
        <v/>
      </c>
      <c r="J316" s="43" t="str">
        <f>IF(Agent02_Loans!B128="","",Agent02_Loans!J128)</f>
        <v/>
      </c>
      <c r="K316" s="40" t="str">
        <f>IF(Agent02_Loans!B128="","",Agent02_Loans!K128)</f>
        <v/>
      </c>
      <c r="L316" s="40" t="str">
        <f>IF(Agent02_Loans!B128="","",Agent02_Loans!L128)</f>
        <v/>
      </c>
      <c r="M316" s="40" t="str">
        <f>IFERROR(IF(Agent02_Loans!B128="","",YEAR(Agent02_Loans!D128)),"")</f>
        <v/>
      </c>
    </row>
    <row r="317" spans="1:13" ht="18" customHeight="1" x14ac:dyDescent="0.25">
      <c r="A317" s="40" t="str">
        <f>IF(Agent02_Loans!B129="","",Agent02_Loans!A129)</f>
        <v/>
      </c>
      <c r="B317" s="40" t="str">
        <f>IF(Agent02_Loans!B129="","",Agent02_Loans!B129)</f>
        <v/>
      </c>
      <c r="C317" s="40" t="str">
        <f>IF(Agent02_Loans!B129="","",Agent02_Loans!C129)</f>
        <v/>
      </c>
      <c r="D317" s="41" t="str">
        <f>IF(Agent02_Loans!B129="","",Agent02_Loans!D129)</f>
        <v/>
      </c>
      <c r="E317" s="43" t="str">
        <f>IF(Agent02_Loans!B129="","",Agent02_Loans!E129)</f>
        <v/>
      </c>
      <c r="F317" s="40" t="str">
        <f>IF(Agent02_Loans!B129="","",Agent02_Loans!F129)</f>
        <v/>
      </c>
      <c r="G317" s="40" t="str">
        <f>IF(Agent02_Loans!B129="","",Agent02_Loans!G129)</f>
        <v/>
      </c>
      <c r="H317" s="40" t="str">
        <f>IF(Agent02_Loans!B129="","",Agent02_Loans!H129)</f>
        <v/>
      </c>
      <c r="I317" s="43" t="str">
        <f>IF(Agent02_Loans!B129="","",Agent02_Loans!I129)</f>
        <v/>
      </c>
      <c r="J317" s="43" t="str">
        <f>IF(Agent02_Loans!B129="","",Agent02_Loans!J129)</f>
        <v/>
      </c>
      <c r="K317" s="40" t="str">
        <f>IF(Agent02_Loans!B129="","",Agent02_Loans!K129)</f>
        <v/>
      </c>
      <c r="L317" s="40" t="str">
        <f>IF(Agent02_Loans!B129="","",Agent02_Loans!L129)</f>
        <v/>
      </c>
      <c r="M317" s="40" t="str">
        <f>IFERROR(IF(Agent02_Loans!B129="","",YEAR(Agent02_Loans!D129)),"")</f>
        <v/>
      </c>
    </row>
    <row r="318" spans="1:13" ht="18" customHeight="1" x14ac:dyDescent="0.25">
      <c r="A318" s="40" t="str">
        <f>IF(Agent02_Loans!B130="","",Agent02_Loans!A130)</f>
        <v/>
      </c>
      <c r="B318" s="40" t="str">
        <f>IF(Agent02_Loans!B130="","",Agent02_Loans!B130)</f>
        <v/>
      </c>
      <c r="C318" s="40" t="str">
        <f>IF(Agent02_Loans!B130="","",Agent02_Loans!C130)</f>
        <v/>
      </c>
      <c r="D318" s="41" t="str">
        <f>IF(Agent02_Loans!B130="","",Agent02_Loans!D130)</f>
        <v/>
      </c>
      <c r="E318" s="43" t="str">
        <f>IF(Agent02_Loans!B130="","",Agent02_Loans!E130)</f>
        <v/>
      </c>
      <c r="F318" s="40" t="str">
        <f>IF(Agent02_Loans!B130="","",Agent02_Loans!F130)</f>
        <v/>
      </c>
      <c r="G318" s="40" t="str">
        <f>IF(Agent02_Loans!B130="","",Agent02_Loans!G130)</f>
        <v/>
      </c>
      <c r="H318" s="40" t="str">
        <f>IF(Agent02_Loans!B130="","",Agent02_Loans!H130)</f>
        <v/>
      </c>
      <c r="I318" s="43" t="str">
        <f>IF(Agent02_Loans!B130="","",Agent02_Loans!I130)</f>
        <v/>
      </c>
      <c r="J318" s="43" t="str">
        <f>IF(Agent02_Loans!B130="","",Agent02_Loans!J130)</f>
        <v/>
      </c>
      <c r="K318" s="40" t="str">
        <f>IF(Agent02_Loans!B130="","",Agent02_Loans!K130)</f>
        <v/>
      </c>
      <c r="L318" s="40" t="str">
        <f>IF(Agent02_Loans!B130="","",Agent02_Loans!L130)</f>
        <v/>
      </c>
      <c r="M318" s="40" t="str">
        <f>IFERROR(IF(Agent02_Loans!B130="","",YEAR(Agent02_Loans!D130)),"")</f>
        <v/>
      </c>
    </row>
    <row r="319" spans="1:13" ht="18" customHeight="1" x14ac:dyDescent="0.25">
      <c r="A319" s="40" t="str">
        <f>IF(Agent02_Loans!B131="","",Agent02_Loans!A131)</f>
        <v/>
      </c>
      <c r="B319" s="40" t="str">
        <f>IF(Agent02_Loans!B131="","",Agent02_Loans!B131)</f>
        <v/>
      </c>
      <c r="C319" s="40" t="str">
        <f>IF(Agent02_Loans!B131="","",Agent02_Loans!C131)</f>
        <v/>
      </c>
      <c r="D319" s="41" t="str">
        <f>IF(Agent02_Loans!B131="","",Agent02_Loans!D131)</f>
        <v/>
      </c>
      <c r="E319" s="43" t="str">
        <f>IF(Agent02_Loans!B131="","",Agent02_Loans!E131)</f>
        <v/>
      </c>
      <c r="F319" s="40" t="str">
        <f>IF(Agent02_Loans!B131="","",Agent02_Loans!F131)</f>
        <v/>
      </c>
      <c r="G319" s="40" t="str">
        <f>IF(Agent02_Loans!B131="","",Agent02_Loans!G131)</f>
        <v/>
      </c>
      <c r="H319" s="40" t="str">
        <f>IF(Agent02_Loans!B131="","",Agent02_Loans!H131)</f>
        <v/>
      </c>
      <c r="I319" s="43" t="str">
        <f>IF(Agent02_Loans!B131="","",Agent02_Loans!I131)</f>
        <v/>
      </c>
      <c r="J319" s="43" t="str">
        <f>IF(Agent02_Loans!B131="","",Agent02_Loans!J131)</f>
        <v/>
      </c>
      <c r="K319" s="40" t="str">
        <f>IF(Agent02_Loans!B131="","",Agent02_Loans!K131)</f>
        <v/>
      </c>
      <c r="L319" s="40" t="str">
        <f>IF(Agent02_Loans!B131="","",Agent02_Loans!L131)</f>
        <v/>
      </c>
      <c r="M319" s="40" t="str">
        <f>IFERROR(IF(Agent02_Loans!B131="","",YEAR(Agent02_Loans!D131)),"")</f>
        <v/>
      </c>
    </row>
    <row r="320" spans="1:13" ht="18" customHeight="1" x14ac:dyDescent="0.25">
      <c r="A320" s="40" t="str">
        <f>IF(Agent02_Loans!B132="","",Agent02_Loans!A132)</f>
        <v/>
      </c>
      <c r="B320" s="40" t="str">
        <f>IF(Agent02_Loans!B132="","",Agent02_Loans!B132)</f>
        <v/>
      </c>
      <c r="C320" s="40" t="str">
        <f>IF(Agent02_Loans!B132="","",Agent02_Loans!C132)</f>
        <v/>
      </c>
      <c r="D320" s="41" t="str">
        <f>IF(Agent02_Loans!B132="","",Agent02_Loans!D132)</f>
        <v/>
      </c>
      <c r="E320" s="43" t="str">
        <f>IF(Agent02_Loans!B132="","",Agent02_Loans!E132)</f>
        <v/>
      </c>
      <c r="F320" s="40" t="str">
        <f>IF(Agent02_Loans!B132="","",Agent02_Loans!F132)</f>
        <v/>
      </c>
      <c r="G320" s="40" t="str">
        <f>IF(Agent02_Loans!B132="","",Agent02_Loans!G132)</f>
        <v/>
      </c>
      <c r="H320" s="40" t="str">
        <f>IF(Agent02_Loans!B132="","",Agent02_Loans!H132)</f>
        <v/>
      </c>
      <c r="I320" s="43" t="str">
        <f>IF(Agent02_Loans!B132="","",Agent02_Loans!I132)</f>
        <v/>
      </c>
      <c r="J320" s="43" t="str">
        <f>IF(Agent02_Loans!B132="","",Agent02_Loans!J132)</f>
        <v/>
      </c>
      <c r="K320" s="40" t="str">
        <f>IF(Agent02_Loans!B132="","",Agent02_Loans!K132)</f>
        <v/>
      </c>
      <c r="L320" s="40" t="str">
        <f>IF(Agent02_Loans!B132="","",Agent02_Loans!L132)</f>
        <v/>
      </c>
      <c r="M320" s="40" t="str">
        <f>IFERROR(IF(Agent02_Loans!B132="","",YEAR(Agent02_Loans!D132)),"")</f>
        <v/>
      </c>
    </row>
    <row r="321" spans="1:13" ht="18" customHeight="1" x14ac:dyDescent="0.25">
      <c r="A321" s="40" t="str">
        <f>IF(Agent02_Loans!B133="","",Agent02_Loans!A133)</f>
        <v/>
      </c>
      <c r="B321" s="40" t="str">
        <f>IF(Agent02_Loans!B133="","",Agent02_Loans!B133)</f>
        <v/>
      </c>
      <c r="C321" s="40" t="str">
        <f>IF(Agent02_Loans!B133="","",Agent02_Loans!C133)</f>
        <v/>
      </c>
      <c r="D321" s="41" t="str">
        <f>IF(Agent02_Loans!B133="","",Agent02_Loans!D133)</f>
        <v/>
      </c>
      <c r="E321" s="43" t="str">
        <f>IF(Agent02_Loans!B133="","",Agent02_Loans!E133)</f>
        <v/>
      </c>
      <c r="F321" s="40" t="str">
        <f>IF(Agent02_Loans!B133="","",Agent02_Loans!F133)</f>
        <v/>
      </c>
      <c r="G321" s="40" t="str">
        <f>IF(Agent02_Loans!B133="","",Agent02_Loans!G133)</f>
        <v/>
      </c>
      <c r="H321" s="40" t="str">
        <f>IF(Agent02_Loans!B133="","",Agent02_Loans!H133)</f>
        <v/>
      </c>
      <c r="I321" s="43" t="str">
        <f>IF(Agent02_Loans!B133="","",Agent02_Loans!I133)</f>
        <v/>
      </c>
      <c r="J321" s="43" t="str">
        <f>IF(Agent02_Loans!B133="","",Agent02_Loans!J133)</f>
        <v/>
      </c>
      <c r="K321" s="40" t="str">
        <f>IF(Agent02_Loans!B133="","",Agent02_Loans!K133)</f>
        <v/>
      </c>
      <c r="L321" s="40" t="str">
        <f>IF(Agent02_Loans!B133="","",Agent02_Loans!L133)</f>
        <v/>
      </c>
      <c r="M321" s="40" t="str">
        <f>IFERROR(IF(Agent02_Loans!B133="","",YEAR(Agent02_Loans!D133)),"")</f>
        <v/>
      </c>
    </row>
    <row r="322" spans="1:13" ht="18" customHeight="1" x14ac:dyDescent="0.25">
      <c r="A322" s="40" t="str">
        <f>IF(Agent02_Loans!B134="","",Agent02_Loans!A134)</f>
        <v/>
      </c>
      <c r="B322" s="40" t="str">
        <f>IF(Agent02_Loans!B134="","",Agent02_Loans!B134)</f>
        <v/>
      </c>
      <c r="C322" s="40" t="str">
        <f>IF(Agent02_Loans!B134="","",Agent02_Loans!C134)</f>
        <v/>
      </c>
      <c r="D322" s="41" t="str">
        <f>IF(Agent02_Loans!B134="","",Agent02_Loans!D134)</f>
        <v/>
      </c>
      <c r="E322" s="43" t="str">
        <f>IF(Agent02_Loans!B134="","",Agent02_Loans!E134)</f>
        <v/>
      </c>
      <c r="F322" s="40" t="str">
        <f>IF(Agent02_Loans!B134="","",Agent02_Loans!F134)</f>
        <v/>
      </c>
      <c r="G322" s="40" t="str">
        <f>IF(Agent02_Loans!B134="","",Agent02_Loans!G134)</f>
        <v/>
      </c>
      <c r="H322" s="40" t="str">
        <f>IF(Agent02_Loans!B134="","",Agent02_Loans!H134)</f>
        <v/>
      </c>
      <c r="I322" s="43" t="str">
        <f>IF(Agent02_Loans!B134="","",Agent02_Loans!I134)</f>
        <v/>
      </c>
      <c r="J322" s="43" t="str">
        <f>IF(Agent02_Loans!B134="","",Agent02_Loans!J134)</f>
        <v/>
      </c>
      <c r="K322" s="40" t="str">
        <f>IF(Agent02_Loans!B134="","",Agent02_Loans!K134)</f>
        <v/>
      </c>
      <c r="L322" s="40" t="str">
        <f>IF(Agent02_Loans!B134="","",Agent02_Loans!L134)</f>
        <v/>
      </c>
      <c r="M322" s="40" t="str">
        <f>IFERROR(IF(Agent02_Loans!B134="","",YEAR(Agent02_Loans!D134)),"")</f>
        <v/>
      </c>
    </row>
    <row r="323" spans="1:13" ht="18" customHeight="1" x14ac:dyDescent="0.25">
      <c r="A323" s="40" t="str">
        <f>IF(Agent02_Loans!B135="","",Agent02_Loans!A135)</f>
        <v/>
      </c>
      <c r="B323" s="40" t="str">
        <f>IF(Agent02_Loans!B135="","",Agent02_Loans!B135)</f>
        <v/>
      </c>
      <c r="C323" s="40" t="str">
        <f>IF(Agent02_Loans!B135="","",Agent02_Loans!C135)</f>
        <v/>
      </c>
      <c r="D323" s="41" t="str">
        <f>IF(Agent02_Loans!B135="","",Agent02_Loans!D135)</f>
        <v/>
      </c>
      <c r="E323" s="43" t="str">
        <f>IF(Agent02_Loans!B135="","",Agent02_Loans!E135)</f>
        <v/>
      </c>
      <c r="F323" s="40" t="str">
        <f>IF(Agent02_Loans!B135="","",Agent02_Loans!F135)</f>
        <v/>
      </c>
      <c r="G323" s="40" t="str">
        <f>IF(Agent02_Loans!B135="","",Agent02_Loans!G135)</f>
        <v/>
      </c>
      <c r="H323" s="40" t="str">
        <f>IF(Agent02_Loans!B135="","",Agent02_Loans!H135)</f>
        <v/>
      </c>
      <c r="I323" s="43" t="str">
        <f>IF(Agent02_Loans!B135="","",Agent02_Loans!I135)</f>
        <v/>
      </c>
      <c r="J323" s="43" t="str">
        <f>IF(Agent02_Loans!B135="","",Agent02_Loans!J135)</f>
        <v/>
      </c>
      <c r="K323" s="40" t="str">
        <f>IF(Agent02_Loans!B135="","",Agent02_Loans!K135)</f>
        <v/>
      </c>
      <c r="L323" s="40" t="str">
        <f>IF(Agent02_Loans!B135="","",Agent02_Loans!L135)</f>
        <v/>
      </c>
      <c r="M323" s="40" t="str">
        <f>IFERROR(IF(Agent02_Loans!B135="","",YEAR(Agent02_Loans!D135)),"")</f>
        <v/>
      </c>
    </row>
    <row r="324" spans="1:13" ht="18" customHeight="1" x14ac:dyDescent="0.25">
      <c r="A324" s="40" t="str">
        <f>IF(Agent02_Loans!B136="","",Agent02_Loans!A136)</f>
        <v/>
      </c>
      <c r="B324" s="40" t="str">
        <f>IF(Agent02_Loans!B136="","",Agent02_Loans!B136)</f>
        <v/>
      </c>
      <c r="C324" s="40" t="str">
        <f>IF(Agent02_Loans!B136="","",Agent02_Loans!C136)</f>
        <v/>
      </c>
      <c r="D324" s="41" t="str">
        <f>IF(Agent02_Loans!B136="","",Agent02_Loans!D136)</f>
        <v/>
      </c>
      <c r="E324" s="43" t="str">
        <f>IF(Agent02_Loans!B136="","",Agent02_Loans!E136)</f>
        <v/>
      </c>
      <c r="F324" s="40" t="str">
        <f>IF(Agent02_Loans!B136="","",Agent02_Loans!F136)</f>
        <v/>
      </c>
      <c r="G324" s="40" t="str">
        <f>IF(Agent02_Loans!B136="","",Agent02_Loans!G136)</f>
        <v/>
      </c>
      <c r="H324" s="40" t="str">
        <f>IF(Agent02_Loans!B136="","",Agent02_Loans!H136)</f>
        <v/>
      </c>
      <c r="I324" s="43" t="str">
        <f>IF(Agent02_Loans!B136="","",Agent02_Loans!I136)</f>
        <v/>
      </c>
      <c r="J324" s="43" t="str">
        <f>IF(Agent02_Loans!B136="","",Agent02_Loans!J136)</f>
        <v/>
      </c>
      <c r="K324" s="40" t="str">
        <f>IF(Agent02_Loans!B136="","",Agent02_Loans!K136)</f>
        <v/>
      </c>
      <c r="L324" s="40" t="str">
        <f>IF(Agent02_Loans!B136="","",Agent02_Loans!L136)</f>
        <v/>
      </c>
      <c r="M324" s="40" t="str">
        <f>IFERROR(IF(Agent02_Loans!B136="","",YEAR(Agent02_Loans!D136)),"")</f>
        <v/>
      </c>
    </row>
    <row r="325" spans="1:13" ht="18" customHeight="1" x14ac:dyDescent="0.25">
      <c r="A325" s="40" t="str">
        <f>IF(Agent02_Loans!B137="","",Agent02_Loans!A137)</f>
        <v/>
      </c>
      <c r="B325" s="40" t="str">
        <f>IF(Agent02_Loans!B137="","",Agent02_Loans!B137)</f>
        <v/>
      </c>
      <c r="C325" s="40" t="str">
        <f>IF(Agent02_Loans!B137="","",Agent02_Loans!C137)</f>
        <v/>
      </c>
      <c r="D325" s="41" t="str">
        <f>IF(Agent02_Loans!B137="","",Agent02_Loans!D137)</f>
        <v/>
      </c>
      <c r="E325" s="43" t="str">
        <f>IF(Agent02_Loans!B137="","",Agent02_Loans!E137)</f>
        <v/>
      </c>
      <c r="F325" s="40" t="str">
        <f>IF(Agent02_Loans!B137="","",Agent02_Loans!F137)</f>
        <v/>
      </c>
      <c r="G325" s="40" t="str">
        <f>IF(Agent02_Loans!B137="","",Agent02_Loans!G137)</f>
        <v/>
      </c>
      <c r="H325" s="40" t="str">
        <f>IF(Agent02_Loans!B137="","",Agent02_Loans!H137)</f>
        <v/>
      </c>
      <c r="I325" s="43" t="str">
        <f>IF(Agent02_Loans!B137="","",Agent02_Loans!I137)</f>
        <v/>
      </c>
      <c r="J325" s="43" t="str">
        <f>IF(Agent02_Loans!B137="","",Agent02_Loans!J137)</f>
        <v/>
      </c>
      <c r="K325" s="40" t="str">
        <f>IF(Agent02_Loans!B137="","",Agent02_Loans!K137)</f>
        <v/>
      </c>
      <c r="L325" s="40" t="str">
        <f>IF(Agent02_Loans!B137="","",Agent02_Loans!L137)</f>
        <v/>
      </c>
      <c r="M325" s="40" t="str">
        <f>IFERROR(IF(Agent02_Loans!B137="","",YEAR(Agent02_Loans!D137)),"")</f>
        <v/>
      </c>
    </row>
    <row r="326" spans="1:13" ht="18" customHeight="1" x14ac:dyDescent="0.25">
      <c r="A326" s="40" t="str">
        <f>IF(Agent02_Loans!B138="","",Agent02_Loans!A138)</f>
        <v/>
      </c>
      <c r="B326" s="40" t="str">
        <f>IF(Agent02_Loans!B138="","",Agent02_Loans!B138)</f>
        <v/>
      </c>
      <c r="C326" s="40" t="str">
        <f>IF(Agent02_Loans!B138="","",Agent02_Loans!C138)</f>
        <v/>
      </c>
      <c r="D326" s="41" t="str">
        <f>IF(Agent02_Loans!B138="","",Agent02_Loans!D138)</f>
        <v/>
      </c>
      <c r="E326" s="43" t="str">
        <f>IF(Agent02_Loans!B138="","",Agent02_Loans!E138)</f>
        <v/>
      </c>
      <c r="F326" s="40" t="str">
        <f>IF(Agent02_Loans!B138="","",Agent02_Loans!F138)</f>
        <v/>
      </c>
      <c r="G326" s="40" t="str">
        <f>IF(Agent02_Loans!B138="","",Agent02_Loans!G138)</f>
        <v/>
      </c>
      <c r="H326" s="40" t="str">
        <f>IF(Agent02_Loans!B138="","",Agent02_Loans!H138)</f>
        <v/>
      </c>
      <c r="I326" s="43" t="str">
        <f>IF(Agent02_Loans!B138="","",Agent02_Loans!I138)</f>
        <v/>
      </c>
      <c r="J326" s="43" t="str">
        <f>IF(Agent02_Loans!B138="","",Agent02_Loans!J138)</f>
        <v/>
      </c>
      <c r="K326" s="40" t="str">
        <f>IF(Agent02_Loans!B138="","",Agent02_Loans!K138)</f>
        <v/>
      </c>
      <c r="L326" s="40" t="str">
        <f>IF(Agent02_Loans!B138="","",Agent02_Loans!L138)</f>
        <v/>
      </c>
      <c r="M326" s="40" t="str">
        <f>IFERROR(IF(Agent02_Loans!B138="","",YEAR(Agent02_Loans!D138)),"")</f>
        <v/>
      </c>
    </row>
    <row r="327" spans="1:13" ht="18" customHeight="1" x14ac:dyDescent="0.25">
      <c r="A327" s="40" t="str">
        <f>IF(Agent02_Loans!B139="","",Agent02_Loans!A139)</f>
        <v/>
      </c>
      <c r="B327" s="40" t="str">
        <f>IF(Agent02_Loans!B139="","",Agent02_Loans!B139)</f>
        <v/>
      </c>
      <c r="C327" s="40" t="str">
        <f>IF(Agent02_Loans!B139="","",Agent02_Loans!C139)</f>
        <v/>
      </c>
      <c r="D327" s="41" t="str">
        <f>IF(Agent02_Loans!B139="","",Agent02_Loans!D139)</f>
        <v/>
      </c>
      <c r="E327" s="43" t="str">
        <f>IF(Agent02_Loans!B139="","",Agent02_Loans!E139)</f>
        <v/>
      </c>
      <c r="F327" s="40" t="str">
        <f>IF(Agent02_Loans!B139="","",Agent02_Loans!F139)</f>
        <v/>
      </c>
      <c r="G327" s="40" t="str">
        <f>IF(Agent02_Loans!B139="","",Agent02_Loans!G139)</f>
        <v/>
      </c>
      <c r="H327" s="40" t="str">
        <f>IF(Agent02_Loans!B139="","",Agent02_Loans!H139)</f>
        <v/>
      </c>
      <c r="I327" s="43" t="str">
        <f>IF(Agent02_Loans!B139="","",Agent02_Loans!I139)</f>
        <v/>
      </c>
      <c r="J327" s="43" t="str">
        <f>IF(Agent02_Loans!B139="","",Agent02_Loans!J139)</f>
        <v/>
      </c>
      <c r="K327" s="40" t="str">
        <f>IF(Agent02_Loans!B139="","",Agent02_Loans!K139)</f>
        <v/>
      </c>
      <c r="L327" s="40" t="str">
        <f>IF(Agent02_Loans!B139="","",Agent02_Loans!L139)</f>
        <v/>
      </c>
      <c r="M327" s="40" t="str">
        <f>IFERROR(IF(Agent02_Loans!B139="","",YEAR(Agent02_Loans!D139)),"")</f>
        <v/>
      </c>
    </row>
    <row r="328" spans="1:13" ht="18" customHeight="1" x14ac:dyDescent="0.25">
      <c r="A328" s="40" t="str">
        <f>IF(Agent02_Loans!B140="","",Agent02_Loans!A140)</f>
        <v/>
      </c>
      <c r="B328" s="40" t="str">
        <f>IF(Agent02_Loans!B140="","",Agent02_Loans!B140)</f>
        <v/>
      </c>
      <c r="C328" s="40" t="str">
        <f>IF(Agent02_Loans!B140="","",Agent02_Loans!C140)</f>
        <v/>
      </c>
      <c r="D328" s="41" t="str">
        <f>IF(Agent02_Loans!B140="","",Agent02_Loans!D140)</f>
        <v/>
      </c>
      <c r="E328" s="43" t="str">
        <f>IF(Agent02_Loans!B140="","",Agent02_Loans!E140)</f>
        <v/>
      </c>
      <c r="F328" s="40" t="str">
        <f>IF(Agent02_Loans!B140="","",Agent02_Loans!F140)</f>
        <v/>
      </c>
      <c r="G328" s="40" t="str">
        <f>IF(Agent02_Loans!B140="","",Agent02_Loans!G140)</f>
        <v/>
      </c>
      <c r="H328" s="40" t="str">
        <f>IF(Agent02_Loans!B140="","",Agent02_Loans!H140)</f>
        <v/>
      </c>
      <c r="I328" s="43" t="str">
        <f>IF(Agent02_Loans!B140="","",Agent02_Loans!I140)</f>
        <v/>
      </c>
      <c r="J328" s="43" t="str">
        <f>IF(Agent02_Loans!B140="","",Agent02_Loans!J140)</f>
        <v/>
      </c>
      <c r="K328" s="40" t="str">
        <f>IF(Agent02_Loans!B140="","",Agent02_Loans!K140)</f>
        <v/>
      </c>
      <c r="L328" s="40" t="str">
        <f>IF(Agent02_Loans!B140="","",Agent02_Loans!L140)</f>
        <v/>
      </c>
      <c r="M328" s="40" t="str">
        <f>IFERROR(IF(Agent02_Loans!B140="","",YEAR(Agent02_Loans!D140)),"")</f>
        <v/>
      </c>
    </row>
    <row r="329" spans="1:13" ht="18" customHeight="1" x14ac:dyDescent="0.25">
      <c r="A329" s="40" t="str">
        <f>IF(Agent02_Loans!B141="","",Agent02_Loans!A141)</f>
        <v/>
      </c>
      <c r="B329" s="40" t="str">
        <f>IF(Agent02_Loans!B141="","",Agent02_Loans!B141)</f>
        <v/>
      </c>
      <c r="C329" s="40" t="str">
        <f>IF(Agent02_Loans!B141="","",Agent02_Loans!C141)</f>
        <v/>
      </c>
      <c r="D329" s="41" t="str">
        <f>IF(Agent02_Loans!B141="","",Agent02_Loans!D141)</f>
        <v/>
      </c>
      <c r="E329" s="43" t="str">
        <f>IF(Agent02_Loans!B141="","",Agent02_Loans!E141)</f>
        <v/>
      </c>
      <c r="F329" s="40" t="str">
        <f>IF(Agent02_Loans!B141="","",Agent02_Loans!F141)</f>
        <v/>
      </c>
      <c r="G329" s="40" t="str">
        <f>IF(Agent02_Loans!B141="","",Agent02_Loans!G141)</f>
        <v/>
      </c>
      <c r="H329" s="40" t="str">
        <f>IF(Agent02_Loans!B141="","",Agent02_Loans!H141)</f>
        <v/>
      </c>
      <c r="I329" s="43" t="str">
        <f>IF(Agent02_Loans!B141="","",Agent02_Loans!I141)</f>
        <v/>
      </c>
      <c r="J329" s="43" t="str">
        <f>IF(Agent02_Loans!B141="","",Agent02_Loans!J141)</f>
        <v/>
      </c>
      <c r="K329" s="40" t="str">
        <f>IF(Agent02_Loans!B141="","",Agent02_Loans!K141)</f>
        <v/>
      </c>
      <c r="L329" s="40" t="str">
        <f>IF(Agent02_Loans!B141="","",Agent02_Loans!L141)</f>
        <v/>
      </c>
      <c r="M329" s="40" t="str">
        <f>IFERROR(IF(Agent02_Loans!B141="","",YEAR(Agent02_Loans!D141)),"")</f>
        <v/>
      </c>
    </row>
    <row r="330" spans="1:13" ht="18" customHeight="1" x14ac:dyDescent="0.25">
      <c r="A330" s="40" t="str">
        <f>IF(Agent02_Loans!B142="","",Agent02_Loans!A142)</f>
        <v/>
      </c>
      <c r="B330" s="40" t="str">
        <f>IF(Agent02_Loans!B142="","",Agent02_Loans!B142)</f>
        <v/>
      </c>
      <c r="C330" s="40" t="str">
        <f>IF(Agent02_Loans!B142="","",Agent02_Loans!C142)</f>
        <v/>
      </c>
      <c r="D330" s="41" t="str">
        <f>IF(Agent02_Loans!B142="","",Agent02_Loans!D142)</f>
        <v/>
      </c>
      <c r="E330" s="43" t="str">
        <f>IF(Agent02_Loans!B142="","",Agent02_Loans!E142)</f>
        <v/>
      </c>
      <c r="F330" s="40" t="str">
        <f>IF(Agent02_Loans!B142="","",Agent02_Loans!F142)</f>
        <v/>
      </c>
      <c r="G330" s="40" t="str">
        <f>IF(Agent02_Loans!B142="","",Agent02_Loans!G142)</f>
        <v/>
      </c>
      <c r="H330" s="40" t="str">
        <f>IF(Agent02_Loans!B142="","",Agent02_Loans!H142)</f>
        <v/>
      </c>
      <c r="I330" s="43" t="str">
        <f>IF(Agent02_Loans!B142="","",Agent02_Loans!I142)</f>
        <v/>
      </c>
      <c r="J330" s="43" t="str">
        <f>IF(Agent02_Loans!B142="","",Agent02_Loans!J142)</f>
        <v/>
      </c>
      <c r="K330" s="40" t="str">
        <f>IF(Agent02_Loans!B142="","",Agent02_Loans!K142)</f>
        <v/>
      </c>
      <c r="L330" s="40" t="str">
        <f>IF(Agent02_Loans!B142="","",Agent02_Loans!L142)</f>
        <v/>
      </c>
      <c r="M330" s="40" t="str">
        <f>IFERROR(IF(Agent02_Loans!B142="","",YEAR(Agent02_Loans!D142)),"")</f>
        <v/>
      </c>
    </row>
    <row r="331" spans="1:13" ht="18" customHeight="1" x14ac:dyDescent="0.25">
      <c r="A331" s="40" t="str">
        <f>IF(Agent02_Loans!B143="","",Agent02_Loans!A143)</f>
        <v/>
      </c>
      <c r="B331" s="40" t="str">
        <f>IF(Agent02_Loans!B143="","",Agent02_Loans!B143)</f>
        <v/>
      </c>
      <c r="C331" s="40" t="str">
        <f>IF(Agent02_Loans!B143="","",Agent02_Loans!C143)</f>
        <v/>
      </c>
      <c r="D331" s="41" t="str">
        <f>IF(Agent02_Loans!B143="","",Agent02_Loans!D143)</f>
        <v/>
      </c>
      <c r="E331" s="43" t="str">
        <f>IF(Agent02_Loans!B143="","",Agent02_Loans!E143)</f>
        <v/>
      </c>
      <c r="F331" s="40" t="str">
        <f>IF(Agent02_Loans!B143="","",Agent02_Loans!F143)</f>
        <v/>
      </c>
      <c r="G331" s="40" t="str">
        <f>IF(Agent02_Loans!B143="","",Agent02_Loans!G143)</f>
        <v/>
      </c>
      <c r="H331" s="40" t="str">
        <f>IF(Agent02_Loans!B143="","",Agent02_Loans!H143)</f>
        <v/>
      </c>
      <c r="I331" s="43" t="str">
        <f>IF(Agent02_Loans!B143="","",Agent02_Loans!I143)</f>
        <v/>
      </c>
      <c r="J331" s="43" t="str">
        <f>IF(Agent02_Loans!B143="","",Agent02_Loans!J143)</f>
        <v/>
      </c>
      <c r="K331" s="40" t="str">
        <f>IF(Agent02_Loans!B143="","",Agent02_Loans!K143)</f>
        <v/>
      </c>
      <c r="L331" s="40" t="str">
        <f>IF(Agent02_Loans!B143="","",Agent02_Loans!L143)</f>
        <v/>
      </c>
      <c r="M331" s="40" t="str">
        <f>IFERROR(IF(Agent02_Loans!B143="","",YEAR(Agent02_Loans!D143)),"")</f>
        <v/>
      </c>
    </row>
    <row r="332" spans="1:13" ht="18" customHeight="1" x14ac:dyDescent="0.25">
      <c r="A332" s="40" t="str">
        <f>IF(Agent02_Loans!B144="","",Agent02_Loans!A144)</f>
        <v/>
      </c>
      <c r="B332" s="40" t="str">
        <f>IF(Agent02_Loans!B144="","",Agent02_Loans!B144)</f>
        <v/>
      </c>
      <c r="C332" s="40" t="str">
        <f>IF(Agent02_Loans!B144="","",Agent02_Loans!C144)</f>
        <v/>
      </c>
      <c r="D332" s="41" t="str">
        <f>IF(Agent02_Loans!B144="","",Agent02_Loans!D144)</f>
        <v/>
      </c>
      <c r="E332" s="43" t="str">
        <f>IF(Agent02_Loans!B144="","",Agent02_Loans!E144)</f>
        <v/>
      </c>
      <c r="F332" s="40" t="str">
        <f>IF(Agent02_Loans!B144="","",Agent02_Loans!F144)</f>
        <v/>
      </c>
      <c r="G332" s="40" t="str">
        <f>IF(Agent02_Loans!B144="","",Agent02_Loans!G144)</f>
        <v/>
      </c>
      <c r="H332" s="40" t="str">
        <f>IF(Agent02_Loans!B144="","",Agent02_Loans!H144)</f>
        <v/>
      </c>
      <c r="I332" s="43" t="str">
        <f>IF(Agent02_Loans!B144="","",Agent02_Loans!I144)</f>
        <v/>
      </c>
      <c r="J332" s="43" t="str">
        <f>IF(Agent02_Loans!B144="","",Agent02_Loans!J144)</f>
        <v/>
      </c>
      <c r="K332" s="40" t="str">
        <f>IF(Agent02_Loans!B144="","",Agent02_Loans!K144)</f>
        <v/>
      </c>
      <c r="L332" s="40" t="str">
        <f>IF(Agent02_Loans!B144="","",Agent02_Loans!L144)</f>
        <v/>
      </c>
      <c r="M332" s="40" t="str">
        <f>IFERROR(IF(Agent02_Loans!B144="","",YEAR(Agent02_Loans!D144)),"")</f>
        <v/>
      </c>
    </row>
    <row r="333" spans="1:13" ht="18" customHeight="1" x14ac:dyDescent="0.25">
      <c r="A333" s="40" t="str">
        <f>IF(Agent02_Loans!B145="","",Agent02_Loans!A145)</f>
        <v/>
      </c>
      <c r="B333" s="40" t="str">
        <f>IF(Agent02_Loans!B145="","",Agent02_Loans!B145)</f>
        <v/>
      </c>
      <c r="C333" s="40" t="str">
        <f>IF(Agent02_Loans!B145="","",Agent02_Loans!C145)</f>
        <v/>
      </c>
      <c r="D333" s="41" t="str">
        <f>IF(Agent02_Loans!B145="","",Agent02_Loans!D145)</f>
        <v/>
      </c>
      <c r="E333" s="43" t="str">
        <f>IF(Agent02_Loans!B145="","",Agent02_Loans!E145)</f>
        <v/>
      </c>
      <c r="F333" s="40" t="str">
        <f>IF(Agent02_Loans!B145="","",Agent02_Loans!F145)</f>
        <v/>
      </c>
      <c r="G333" s="40" t="str">
        <f>IF(Agent02_Loans!B145="","",Agent02_Loans!G145)</f>
        <v/>
      </c>
      <c r="H333" s="40" t="str">
        <f>IF(Agent02_Loans!B145="","",Agent02_Loans!H145)</f>
        <v/>
      </c>
      <c r="I333" s="43" t="str">
        <f>IF(Agent02_Loans!B145="","",Agent02_Loans!I145)</f>
        <v/>
      </c>
      <c r="J333" s="43" t="str">
        <f>IF(Agent02_Loans!B145="","",Agent02_Loans!J145)</f>
        <v/>
      </c>
      <c r="K333" s="40" t="str">
        <f>IF(Agent02_Loans!B145="","",Agent02_Loans!K145)</f>
        <v/>
      </c>
      <c r="L333" s="40" t="str">
        <f>IF(Agent02_Loans!B145="","",Agent02_Loans!L145)</f>
        <v/>
      </c>
      <c r="M333" s="40" t="str">
        <f>IFERROR(IF(Agent02_Loans!B145="","",YEAR(Agent02_Loans!D145)),"")</f>
        <v/>
      </c>
    </row>
    <row r="334" spans="1:13" ht="18" customHeight="1" x14ac:dyDescent="0.25">
      <c r="A334" s="40" t="str">
        <f>IF(Agent02_Loans!B146="","",Agent02_Loans!A146)</f>
        <v/>
      </c>
      <c r="B334" s="40" t="str">
        <f>IF(Agent02_Loans!B146="","",Agent02_Loans!B146)</f>
        <v/>
      </c>
      <c r="C334" s="40" t="str">
        <f>IF(Agent02_Loans!B146="","",Agent02_Loans!C146)</f>
        <v/>
      </c>
      <c r="D334" s="41" t="str">
        <f>IF(Agent02_Loans!B146="","",Agent02_Loans!D146)</f>
        <v/>
      </c>
      <c r="E334" s="43" t="str">
        <f>IF(Agent02_Loans!B146="","",Agent02_Loans!E146)</f>
        <v/>
      </c>
      <c r="F334" s="40" t="str">
        <f>IF(Agent02_Loans!B146="","",Agent02_Loans!F146)</f>
        <v/>
      </c>
      <c r="G334" s="40" t="str">
        <f>IF(Agent02_Loans!B146="","",Agent02_Loans!G146)</f>
        <v/>
      </c>
      <c r="H334" s="40" t="str">
        <f>IF(Agent02_Loans!B146="","",Agent02_Loans!H146)</f>
        <v/>
      </c>
      <c r="I334" s="43" t="str">
        <f>IF(Agent02_Loans!B146="","",Agent02_Loans!I146)</f>
        <v/>
      </c>
      <c r="J334" s="43" t="str">
        <f>IF(Agent02_Loans!B146="","",Agent02_Loans!J146)</f>
        <v/>
      </c>
      <c r="K334" s="40" t="str">
        <f>IF(Agent02_Loans!B146="","",Agent02_Loans!K146)</f>
        <v/>
      </c>
      <c r="L334" s="40" t="str">
        <f>IF(Agent02_Loans!B146="","",Agent02_Loans!L146)</f>
        <v/>
      </c>
      <c r="M334" s="40" t="str">
        <f>IFERROR(IF(Agent02_Loans!B146="","",YEAR(Agent02_Loans!D146)),"")</f>
        <v/>
      </c>
    </row>
    <row r="335" spans="1:13" ht="18" customHeight="1" x14ac:dyDescent="0.25">
      <c r="A335" s="40" t="str">
        <f>IF(Agent02_Loans!B147="","",Agent02_Loans!A147)</f>
        <v/>
      </c>
      <c r="B335" s="40" t="str">
        <f>IF(Agent02_Loans!B147="","",Agent02_Loans!B147)</f>
        <v/>
      </c>
      <c r="C335" s="40" t="str">
        <f>IF(Agent02_Loans!B147="","",Agent02_Loans!C147)</f>
        <v/>
      </c>
      <c r="D335" s="41" t="str">
        <f>IF(Agent02_Loans!B147="","",Agent02_Loans!D147)</f>
        <v/>
      </c>
      <c r="E335" s="43" t="str">
        <f>IF(Agent02_Loans!B147="","",Agent02_Loans!E147)</f>
        <v/>
      </c>
      <c r="F335" s="40" t="str">
        <f>IF(Agent02_Loans!B147="","",Agent02_Loans!F147)</f>
        <v/>
      </c>
      <c r="G335" s="40" t="str">
        <f>IF(Agent02_Loans!B147="","",Agent02_Loans!G147)</f>
        <v/>
      </c>
      <c r="H335" s="40" t="str">
        <f>IF(Agent02_Loans!B147="","",Agent02_Loans!H147)</f>
        <v/>
      </c>
      <c r="I335" s="43" t="str">
        <f>IF(Agent02_Loans!B147="","",Agent02_Loans!I147)</f>
        <v/>
      </c>
      <c r="J335" s="43" t="str">
        <f>IF(Agent02_Loans!B147="","",Agent02_Loans!J147)</f>
        <v/>
      </c>
      <c r="K335" s="40" t="str">
        <f>IF(Agent02_Loans!B147="","",Agent02_Loans!K147)</f>
        <v/>
      </c>
      <c r="L335" s="40" t="str">
        <f>IF(Agent02_Loans!B147="","",Agent02_Loans!L147)</f>
        <v/>
      </c>
      <c r="M335" s="40" t="str">
        <f>IFERROR(IF(Agent02_Loans!B147="","",YEAR(Agent02_Loans!D147)),"")</f>
        <v/>
      </c>
    </row>
    <row r="336" spans="1:13" ht="18" customHeight="1" x14ac:dyDescent="0.25">
      <c r="A336" s="40" t="str">
        <f>IF(Agent02_Loans!B148="","",Agent02_Loans!A148)</f>
        <v/>
      </c>
      <c r="B336" s="40" t="str">
        <f>IF(Agent02_Loans!B148="","",Agent02_Loans!B148)</f>
        <v/>
      </c>
      <c r="C336" s="40" t="str">
        <f>IF(Agent02_Loans!B148="","",Agent02_Loans!C148)</f>
        <v/>
      </c>
      <c r="D336" s="41" t="str">
        <f>IF(Agent02_Loans!B148="","",Agent02_Loans!D148)</f>
        <v/>
      </c>
      <c r="E336" s="43" t="str">
        <f>IF(Agent02_Loans!B148="","",Agent02_Loans!E148)</f>
        <v/>
      </c>
      <c r="F336" s="40" t="str">
        <f>IF(Agent02_Loans!B148="","",Agent02_Loans!F148)</f>
        <v/>
      </c>
      <c r="G336" s="40" t="str">
        <f>IF(Agent02_Loans!B148="","",Agent02_Loans!G148)</f>
        <v/>
      </c>
      <c r="H336" s="40" t="str">
        <f>IF(Agent02_Loans!B148="","",Agent02_Loans!H148)</f>
        <v/>
      </c>
      <c r="I336" s="43" t="str">
        <f>IF(Agent02_Loans!B148="","",Agent02_Loans!I148)</f>
        <v/>
      </c>
      <c r="J336" s="43" t="str">
        <f>IF(Agent02_Loans!B148="","",Agent02_Loans!J148)</f>
        <v/>
      </c>
      <c r="K336" s="40" t="str">
        <f>IF(Agent02_Loans!B148="","",Agent02_Loans!K148)</f>
        <v/>
      </c>
      <c r="L336" s="40" t="str">
        <f>IF(Agent02_Loans!B148="","",Agent02_Loans!L148)</f>
        <v/>
      </c>
      <c r="M336" s="40" t="str">
        <f>IFERROR(IF(Agent02_Loans!B148="","",YEAR(Agent02_Loans!D148)),"")</f>
        <v/>
      </c>
    </row>
    <row r="337" spans="1:13" ht="18" customHeight="1" x14ac:dyDescent="0.25">
      <c r="A337" s="40" t="str">
        <f>IF(Agent02_Loans!B149="","",Agent02_Loans!A149)</f>
        <v/>
      </c>
      <c r="B337" s="40" t="str">
        <f>IF(Agent02_Loans!B149="","",Agent02_Loans!B149)</f>
        <v/>
      </c>
      <c r="C337" s="40" t="str">
        <f>IF(Agent02_Loans!B149="","",Agent02_Loans!C149)</f>
        <v/>
      </c>
      <c r="D337" s="41" t="str">
        <f>IF(Agent02_Loans!B149="","",Agent02_Loans!D149)</f>
        <v/>
      </c>
      <c r="E337" s="43" t="str">
        <f>IF(Agent02_Loans!B149="","",Agent02_Loans!E149)</f>
        <v/>
      </c>
      <c r="F337" s="40" t="str">
        <f>IF(Agent02_Loans!B149="","",Agent02_Loans!F149)</f>
        <v/>
      </c>
      <c r="G337" s="40" t="str">
        <f>IF(Agent02_Loans!B149="","",Agent02_Loans!G149)</f>
        <v/>
      </c>
      <c r="H337" s="40" t="str">
        <f>IF(Agent02_Loans!B149="","",Agent02_Loans!H149)</f>
        <v/>
      </c>
      <c r="I337" s="43" t="str">
        <f>IF(Agent02_Loans!B149="","",Agent02_Loans!I149)</f>
        <v/>
      </c>
      <c r="J337" s="43" t="str">
        <f>IF(Agent02_Loans!B149="","",Agent02_Loans!J149)</f>
        <v/>
      </c>
      <c r="K337" s="40" t="str">
        <f>IF(Agent02_Loans!B149="","",Agent02_Loans!K149)</f>
        <v/>
      </c>
      <c r="L337" s="40" t="str">
        <f>IF(Agent02_Loans!B149="","",Agent02_Loans!L149)</f>
        <v/>
      </c>
      <c r="M337" s="40" t="str">
        <f>IFERROR(IF(Agent02_Loans!B149="","",YEAR(Agent02_Loans!D149)),"")</f>
        <v/>
      </c>
    </row>
    <row r="338" spans="1:13" ht="18" customHeight="1" x14ac:dyDescent="0.25">
      <c r="A338" s="40" t="str">
        <f>IF(Agent02_Loans!B150="","",Agent02_Loans!A150)</f>
        <v/>
      </c>
      <c r="B338" s="40" t="str">
        <f>IF(Agent02_Loans!B150="","",Agent02_Loans!B150)</f>
        <v/>
      </c>
      <c r="C338" s="40" t="str">
        <f>IF(Agent02_Loans!B150="","",Agent02_Loans!C150)</f>
        <v/>
      </c>
      <c r="D338" s="41" t="str">
        <f>IF(Agent02_Loans!B150="","",Agent02_Loans!D150)</f>
        <v/>
      </c>
      <c r="E338" s="43" t="str">
        <f>IF(Agent02_Loans!B150="","",Agent02_Loans!E150)</f>
        <v/>
      </c>
      <c r="F338" s="40" t="str">
        <f>IF(Agent02_Loans!B150="","",Agent02_Loans!F150)</f>
        <v/>
      </c>
      <c r="G338" s="40" t="str">
        <f>IF(Agent02_Loans!B150="","",Agent02_Loans!G150)</f>
        <v/>
      </c>
      <c r="H338" s="40" t="str">
        <f>IF(Agent02_Loans!B150="","",Agent02_Loans!H150)</f>
        <v/>
      </c>
      <c r="I338" s="43" t="str">
        <f>IF(Agent02_Loans!B150="","",Agent02_Loans!I150)</f>
        <v/>
      </c>
      <c r="J338" s="43" t="str">
        <f>IF(Agent02_Loans!B150="","",Agent02_Loans!J150)</f>
        <v/>
      </c>
      <c r="K338" s="40" t="str">
        <f>IF(Agent02_Loans!B150="","",Agent02_Loans!K150)</f>
        <v/>
      </c>
      <c r="L338" s="40" t="str">
        <f>IF(Agent02_Loans!B150="","",Agent02_Loans!L150)</f>
        <v/>
      </c>
      <c r="M338" s="40" t="str">
        <f>IFERROR(IF(Agent02_Loans!B150="","",YEAR(Agent02_Loans!D150)),"")</f>
        <v/>
      </c>
    </row>
    <row r="339" spans="1:13" ht="18" customHeight="1" x14ac:dyDescent="0.25">
      <c r="A339" s="40" t="str">
        <f>IF(Agent02_Loans!B151="","",Agent02_Loans!A151)</f>
        <v/>
      </c>
      <c r="B339" s="40" t="str">
        <f>IF(Agent02_Loans!B151="","",Agent02_Loans!B151)</f>
        <v/>
      </c>
      <c r="C339" s="40" t="str">
        <f>IF(Agent02_Loans!B151="","",Agent02_Loans!C151)</f>
        <v/>
      </c>
      <c r="D339" s="41" t="str">
        <f>IF(Agent02_Loans!B151="","",Agent02_Loans!D151)</f>
        <v/>
      </c>
      <c r="E339" s="43" t="str">
        <f>IF(Agent02_Loans!B151="","",Agent02_Loans!E151)</f>
        <v/>
      </c>
      <c r="F339" s="40" t="str">
        <f>IF(Agent02_Loans!B151="","",Agent02_Loans!F151)</f>
        <v/>
      </c>
      <c r="G339" s="40" t="str">
        <f>IF(Agent02_Loans!B151="","",Agent02_Loans!G151)</f>
        <v/>
      </c>
      <c r="H339" s="40" t="str">
        <f>IF(Agent02_Loans!B151="","",Agent02_Loans!H151)</f>
        <v/>
      </c>
      <c r="I339" s="43" t="str">
        <f>IF(Agent02_Loans!B151="","",Agent02_Loans!I151)</f>
        <v/>
      </c>
      <c r="J339" s="43" t="str">
        <f>IF(Agent02_Loans!B151="","",Agent02_Loans!J151)</f>
        <v/>
      </c>
      <c r="K339" s="40" t="str">
        <f>IF(Agent02_Loans!B151="","",Agent02_Loans!K151)</f>
        <v/>
      </c>
      <c r="L339" s="40" t="str">
        <f>IF(Agent02_Loans!B151="","",Agent02_Loans!L151)</f>
        <v/>
      </c>
      <c r="M339" s="40" t="str">
        <f>IFERROR(IF(Agent02_Loans!B151="","",YEAR(Agent02_Loans!D151)),"")</f>
        <v/>
      </c>
    </row>
    <row r="340" spans="1:13" ht="18" customHeight="1" x14ac:dyDescent="0.25">
      <c r="A340" s="40" t="str">
        <f>IF(Agent02_Loans!B152="","",Agent02_Loans!A152)</f>
        <v/>
      </c>
      <c r="B340" s="40" t="str">
        <f>IF(Agent02_Loans!B152="","",Agent02_Loans!B152)</f>
        <v/>
      </c>
      <c r="C340" s="40" t="str">
        <f>IF(Agent02_Loans!B152="","",Agent02_Loans!C152)</f>
        <v/>
      </c>
      <c r="D340" s="41" t="str">
        <f>IF(Agent02_Loans!B152="","",Agent02_Loans!D152)</f>
        <v/>
      </c>
      <c r="E340" s="43" t="str">
        <f>IF(Agent02_Loans!B152="","",Agent02_Loans!E152)</f>
        <v/>
      </c>
      <c r="F340" s="40" t="str">
        <f>IF(Agent02_Loans!B152="","",Agent02_Loans!F152)</f>
        <v/>
      </c>
      <c r="G340" s="40" t="str">
        <f>IF(Agent02_Loans!B152="","",Agent02_Loans!G152)</f>
        <v/>
      </c>
      <c r="H340" s="40" t="str">
        <f>IF(Agent02_Loans!B152="","",Agent02_Loans!H152)</f>
        <v/>
      </c>
      <c r="I340" s="43" t="str">
        <f>IF(Agent02_Loans!B152="","",Agent02_Loans!I152)</f>
        <v/>
      </c>
      <c r="J340" s="43" t="str">
        <f>IF(Agent02_Loans!B152="","",Agent02_Loans!J152)</f>
        <v/>
      </c>
      <c r="K340" s="40" t="str">
        <f>IF(Agent02_Loans!B152="","",Agent02_Loans!K152)</f>
        <v/>
      </c>
      <c r="L340" s="40" t="str">
        <f>IF(Agent02_Loans!B152="","",Agent02_Loans!L152)</f>
        <v/>
      </c>
      <c r="M340" s="40" t="str">
        <f>IFERROR(IF(Agent02_Loans!B152="","",YEAR(Agent02_Loans!D152)),"")</f>
        <v/>
      </c>
    </row>
    <row r="341" spans="1:13" ht="18" customHeight="1" x14ac:dyDescent="0.25">
      <c r="A341" s="40" t="str">
        <f>IF(Agent02_Loans!B153="","",Agent02_Loans!A153)</f>
        <v/>
      </c>
      <c r="B341" s="40" t="str">
        <f>IF(Agent02_Loans!B153="","",Agent02_Loans!B153)</f>
        <v/>
      </c>
      <c r="C341" s="40" t="str">
        <f>IF(Agent02_Loans!B153="","",Agent02_Loans!C153)</f>
        <v/>
      </c>
      <c r="D341" s="41" t="str">
        <f>IF(Agent02_Loans!B153="","",Agent02_Loans!D153)</f>
        <v/>
      </c>
      <c r="E341" s="43" t="str">
        <f>IF(Agent02_Loans!B153="","",Agent02_Loans!E153)</f>
        <v/>
      </c>
      <c r="F341" s="40" t="str">
        <f>IF(Agent02_Loans!B153="","",Agent02_Loans!F153)</f>
        <v/>
      </c>
      <c r="G341" s="40" t="str">
        <f>IF(Agent02_Loans!B153="","",Agent02_Loans!G153)</f>
        <v/>
      </c>
      <c r="H341" s="40" t="str">
        <f>IF(Agent02_Loans!B153="","",Agent02_Loans!H153)</f>
        <v/>
      </c>
      <c r="I341" s="43" t="str">
        <f>IF(Agent02_Loans!B153="","",Agent02_Loans!I153)</f>
        <v/>
      </c>
      <c r="J341" s="43" t="str">
        <f>IF(Agent02_Loans!B153="","",Agent02_Loans!J153)</f>
        <v/>
      </c>
      <c r="K341" s="40" t="str">
        <f>IF(Agent02_Loans!B153="","",Agent02_Loans!K153)</f>
        <v/>
      </c>
      <c r="L341" s="40" t="str">
        <f>IF(Agent02_Loans!B153="","",Agent02_Loans!L153)</f>
        <v/>
      </c>
      <c r="M341" s="40" t="str">
        <f>IFERROR(IF(Agent02_Loans!B153="","",YEAR(Agent02_Loans!D153)),"")</f>
        <v/>
      </c>
    </row>
    <row r="342" spans="1:13" ht="18" customHeight="1" x14ac:dyDescent="0.25">
      <c r="A342" s="40" t="str">
        <f>IF(Agent02_Loans!B154="","",Agent02_Loans!A154)</f>
        <v/>
      </c>
      <c r="B342" s="40" t="str">
        <f>IF(Agent02_Loans!B154="","",Agent02_Loans!B154)</f>
        <v/>
      </c>
      <c r="C342" s="40" t="str">
        <f>IF(Agent02_Loans!B154="","",Agent02_Loans!C154)</f>
        <v/>
      </c>
      <c r="D342" s="41" t="str">
        <f>IF(Agent02_Loans!B154="","",Agent02_Loans!D154)</f>
        <v/>
      </c>
      <c r="E342" s="43" t="str">
        <f>IF(Agent02_Loans!B154="","",Agent02_Loans!E154)</f>
        <v/>
      </c>
      <c r="F342" s="40" t="str">
        <f>IF(Agent02_Loans!B154="","",Agent02_Loans!F154)</f>
        <v/>
      </c>
      <c r="G342" s="40" t="str">
        <f>IF(Agent02_Loans!B154="","",Agent02_Loans!G154)</f>
        <v/>
      </c>
      <c r="H342" s="40" t="str">
        <f>IF(Agent02_Loans!B154="","",Agent02_Loans!H154)</f>
        <v/>
      </c>
      <c r="I342" s="43" t="str">
        <f>IF(Agent02_Loans!B154="","",Agent02_Loans!I154)</f>
        <v/>
      </c>
      <c r="J342" s="43" t="str">
        <f>IF(Agent02_Loans!B154="","",Agent02_Loans!J154)</f>
        <v/>
      </c>
      <c r="K342" s="40" t="str">
        <f>IF(Agent02_Loans!B154="","",Agent02_Loans!K154)</f>
        <v/>
      </c>
      <c r="L342" s="40" t="str">
        <f>IF(Agent02_Loans!B154="","",Agent02_Loans!L154)</f>
        <v/>
      </c>
      <c r="M342" s="40" t="str">
        <f>IFERROR(IF(Agent02_Loans!B154="","",YEAR(Agent02_Loans!D154)),"")</f>
        <v/>
      </c>
    </row>
    <row r="343" spans="1:13" ht="18" customHeight="1" x14ac:dyDescent="0.25">
      <c r="A343" s="40" t="str">
        <f>IF(Agent02_Loans!B155="","",Agent02_Loans!A155)</f>
        <v/>
      </c>
      <c r="B343" s="40" t="str">
        <f>IF(Agent02_Loans!B155="","",Agent02_Loans!B155)</f>
        <v/>
      </c>
      <c r="C343" s="40" t="str">
        <f>IF(Agent02_Loans!B155="","",Agent02_Loans!C155)</f>
        <v/>
      </c>
      <c r="D343" s="41" t="str">
        <f>IF(Agent02_Loans!B155="","",Agent02_Loans!D155)</f>
        <v/>
      </c>
      <c r="E343" s="43" t="str">
        <f>IF(Agent02_Loans!B155="","",Agent02_Loans!E155)</f>
        <v/>
      </c>
      <c r="F343" s="40" t="str">
        <f>IF(Agent02_Loans!B155="","",Agent02_Loans!F155)</f>
        <v/>
      </c>
      <c r="G343" s="40" t="str">
        <f>IF(Agent02_Loans!B155="","",Agent02_Loans!G155)</f>
        <v/>
      </c>
      <c r="H343" s="40" t="str">
        <f>IF(Agent02_Loans!B155="","",Agent02_Loans!H155)</f>
        <v/>
      </c>
      <c r="I343" s="43" t="str">
        <f>IF(Agent02_Loans!B155="","",Agent02_Loans!I155)</f>
        <v/>
      </c>
      <c r="J343" s="43" t="str">
        <f>IF(Agent02_Loans!B155="","",Agent02_Loans!J155)</f>
        <v/>
      </c>
      <c r="K343" s="40" t="str">
        <f>IF(Agent02_Loans!B155="","",Agent02_Loans!K155)</f>
        <v/>
      </c>
      <c r="L343" s="40" t="str">
        <f>IF(Agent02_Loans!B155="","",Agent02_Loans!L155)</f>
        <v/>
      </c>
      <c r="M343" s="40" t="str">
        <f>IFERROR(IF(Agent02_Loans!B155="","",YEAR(Agent02_Loans!D155)),"")</f>
        <v/>
      </c>
    </row>
    <row r="344" spans="1:13" ht="18" customHeight="1" x14ac:dyDescent="0.25">
      <c r="A344" s="40" t="str">
        <f>IF(Agent02_Loans!B156="","",Agent02_Loans!A156)</f>
        <v/>
      </c>
      <c r="B344" s="40" t="str">
        <f>IF(Agent02_Loans!B156="","",Agent02_Loans!B156)</f>
        <v/>
      </c>
      <c r="C344" s="40" t="str">
        <f>IF(Agent02_Loans!B156="","",Agent02_Loans!C156)</f>
        <v/>
      </c>
      <c r="D344" s="41" t="str">
        <f>IF(Agent02_Loans!B156="","",Agent02_Loans!D156)</f>
        <v/>
      </c>
      <c r="E344" s="43" t="str">
        <f>IF(Agent02_Loans!B156="","",Agent02_Loans!E156)</f>
        <v/>
      </c>
      <c r="F344" s="40" t="str">
        <f>IF(Agent02_Loans!B156="","",Agent02_Loans!F156)</f>
        <v/>
      </c>
      <c r="G344" s="40" t="str">
        <f>IF(Agent02_Loans!B156="","",Agent02_Loans!G156)</f>
        <v/>
      </c>
      <c r="H344" s="40" t="str">
        <f>IF(Agent02_Loans!B156="","",Agent02_Loans!H156)</f>
        <v/>
      </c>
      <c r="I344" s="43" t="str">
        <f>IF(Agent02_Loans!B156="","",Agent02_Loans!I156)</f>
        <v/>
      </c>
      <c r="J344" s="43" t="str">
        <f>IF(Agent02_Loans!B156="","",Agent02_Loans!J156)</f>
        <v/>
      </c>
      <c r="K344" s="40" t="str">
        <f>IF(Agent02_Loans!B156="","",Agent02_Loans!K156)</f>
        <v/>
      </c>
      <c r="L344" s="40" t="str">
        <f>IF(Agent02_Loans!B156="","",Agent02_Loans!L156)</f>
        <v/>
      </c>
      <c r="M344" s="40" t="str">
        <f>IFERROR(IF(Agent02_Loans!B156="","",YEAR(Agent02_Loans!D156)),"")</f>
        <v/>
      </c>
    </row>
    <row r="345" spans="1:13" ht="18" customHeight="1" x14ac:dyDescent="0.25">
      <c r="A345" s="40" t="str">
        <f>IF(Agent02_Loans!B157="","",Agent02_Loans!A157)</f>
        <v/>
      </c>
      <c r="B345" s="40" t="str">
        <f>IF(Agent02_Loans!B157="","",Agent02_Loans!B157)</f>
        <v/>
      </c>
      <c r="C345" s="40" t="str">
        <f>IF(Agent02_Loans!B157="","",Agent02_Loans!C157)</f>
        <v/>
      </c>
      <c r="D345" s="41" t="str">
        <f>IF(Agent02_Loans!B157="","",Agent02_Loans!D157)</f>
        <v/>
      </c>
      <c r="E345" s="43" t="str">
        <f>IF(Agent02_Loans!B157="","",Agent02_Loans!E157)</f>
        <v/>
      </c>
      <c r="F345" s="40" t="str">
        <f>IF(Agent02_Loans!B157="","",Agent02_Loans!F157)</f>
        <v/>
      </c>
      <c r="G345" s="40" t="str">
        <f>IF(Agent02_Loans!B157="","",Agent02_Loans!G157)</f>
        <v/>
      </c>
      <c r="H345" s="40" t="str">
        <f>IF(Agent02_Loans!B157="","",Agent02_Loans!H157)</f>
        <v/>
      </c>
      <c r="I345" s="43" t="str">
        <f>IF(Agent02_Loans!B157="","",Agent02_Loans!I157)</f>
        <v/>
      </c>
      <c r="J345" s="43" t="str">
        <f>IF(Agent02_Loans!B157="","",Agent02_Loans!J157)</f>
        <v/>
      </c>
      <c r="K345" s="40" t="str">
        <f>IF(Agent02_Loans!B157="","",Agent02_Loans!K157)</f>
        <v/>
      </c>
      <c r="L345" s="40" t="str">
        <f>IF(Agent02_Loans!B157="","",Agent02_Loans!L157)</f>
        <v/>
      </c>
      <c r="M345" s="40" t="str">
        <f>IFERROR(IF(Agent02_Loans!B157="","",YEAR(Agent02_Loans!D157)),"")</f>
        <v/>
      </c>
    </row>
    <row r="346" spans="1:13" ht="18" customHeight="1" x14ac:dyDescent="0.25">
      <c r="A346" s="40" t="str">
        <f>IF(Agent02_Loans!B158="","",Agent02_Loans!A158)</f>
        <v/>
      </c>
      <c r="B346" s="40" t="str">
        <f>IF(Agent02_Loans!B158="","",Agent02_Loans!B158)</f>
        <v/>
      </c>
      <c r="C346" s="40" t="str">
        <f>IF(Agent02_Loans!B158="","",Agent02_Loans!C158)</f>
        <v/>
      </c>
      <c r="D346" s="41" t="str">
        <f>IF(Agent02_Loans!B158="","",Agent02_Loans!D158)</f>
        <v/>
      </c>
      <c r="E346" s="43" t="str">
        <f>IF(Agent02_Loans!B158="","",Agent02_Loans!E158)</f>
        <v/>
      </c>
      <c r="F346" s="40" t="str">
        <f>IF(Agent02_Loans!B158="","",Agent02_Loans!F158)</f>
        <v/>
      </c>
      <c r="G346" s="40" t="str">
        <f>IF(Agent02_Loans!B158="","",Agent02_Loans!G158)</f>
        <v/>
      </c>
      <c r="H346" s="40" t="str">
        <f>IF(Agent02_Loans!B158="","",Agent02_Loans!H158)</f>
        <v/>
      </c>
      <c r="I346" s="43" t="str">
        <f>IF(Agent02_Loans!B158="","",Agent02_Loans!I158)</f>
        <v/>
      </c>
      <c r="J346" s="43" t="str">
        <f>IF(Agent02_Loans!B158="","",Agent02_Loans!J158)</f>
        <v/>
      </c>
      <c r="K346" s="40" t="str">
        <f>IF(Agent02_Loans!B158="","",Agent02_Loans!K158)</f>
        <v/>
      </c>
      <c r="L346" s="40" t="str">
        <f>IF(Agent02_Loans!B158="","",Agent02_Loans!L158)</f>
        <v/>
      </c>
      <c r="M346" s="40" t="str">
        <f>IFERROR(IF(Agent02_Loans!B158="","",YEAR(Agent02_Loans!D158)),"")</f>
        <v/>
      </c>
    </row>
    <row r="347" spans="1:13" ht="18" customHeight="1" x14ac:dyDescent="0.25">
      <c r="A347" s="40" t="str">
        <f>IF(Agent02_Loans!B159="","",Agent02_Loans!A159)</f>
        <v/>
      </c>
      <c r="B347" s="40" t="str">
        <f>IF(Agent02_Loans!B159="","",Agent02_Loans!B159)</f>
        <v/>
      </c>
      <c r="C347" s="40" t="str">
        <f>IF(Agent02_Loans!B159="","",Agent02_Loans!C159)</f>
        <v/>
      </c>
      <c r="D347" s="41" t="str">
        <f>IF(Agent02_Loans!B159="","",Agent02_Loans!D159)</f>
        <v/>
      </c>
      <c r="E347" s="43" t="str">
        <f>IF(Agent02_Loans!B159="","",Agent02_Loans!E159)</f>
        <v/>
      </c>
      <c r="F347" s="40" t="str">
        <f>IF(Agent02_Loans!B159="","",Agent02_Loans!F159)</f>
        <v/>
      </c>
      <c r="G347" s="40" t="str">
        <f>IF(Agent02_Loans!B159="","",Agent02_Loans!G159)</f>
        <v/>
      </c>
      <c r="H347" s="40" t="str">
        <f>IF(Agent02_Loans!B159="","",Agent02_Loans!H159)</f>
        <v/>
      </c>
      <c r="I347" s="43" t="str">
        <f>IF(Agent02_Loans!B159="","",Agent02_Loans!I159)</f>
        <v/>
      </c>
      <c r="J347" s="43" t="str">
        <f>IF(Agent02_Loans!B159="","",Agent02_Loans!J159)</f>
        <v/>
      </c>
      <c r="K347" s="40" t="str">
        <f>IF(Agent02_Loans!B159="","",Agent02_Loans!K159)</f>
        <v/>
      </c>
      <c r="L347" s="40" t="str">
        <f>IF(Agent02_Loans!B159="","",Agent02_Loans!L159)</f>
        <v/>
      </c>
      <c r="M347" s="40" t="str">
        <f>IFERROR(IF(Agent02_Loans!B159="","",YEAR(Agent02_Loans!D159)),"")</f>
        <v/>
      </c>
    </row>
    <row r="348" spans="1:13" ht="18" customHeight="1" x14ac:dyDescent="0.25">
      <c r="A348" s="40" t="str">
        <f>IF(Agent02_Loans!B160="","",Agent02_Loans!A160)</f>
        <v/>
      </c>
      <c r="B348" s="40" t="str">
        <f>IF(Agent02_Loans!B160="","",Agent02_Loans!B160)</f>
        <v/>
      </c>
      <c r="C348" s="40" t="str">
        <f>IF(Agent02_Loans!B160="","",Agent02_Loans!C160)</f>
        <v/>
      </c>
      <c r="D348" s="41" t="str">
        <f>IF(Agent02_Loans!B160="","",Agent02_Loans!D160)</f>
        <v/>
      </c>
      <c r="E348" s="43" t="str">
        <f>IF(Agent02_Loans!B160="","",Agent02_Loans!E160)</f>
        <v/>
      </c>
      <c r="F348" s="40" t="str">
        <f>IF(Agent02_Loans!B160="","",Agent02_Loans!F160)</f>
        <v/>
      </c>
      <c r="G348" s="40" t="str">
        <f>IF(Agent02_Loans!B160="","",Agent02_Loans!G160)</f>
        <v/>
      </c>
      <c r="H348" s="40" t="str">
        <f>IF(Agent02_Loans!B160="","",Agent02_Loans!H160)</f>
        <v/>
      </c>
      <c r="I348" s="43" t="str">
        <f>IF(Agent02_Loans!B160="","",Agent02_Loans!I160)</f>
        <v/>
      </c>
      <c r="J348" s="43" t="str">
        <f>IF(Agent02_Loans!B160="","",Agent02_Loans!J160)</f>
        <v/>
      </c>
      <c r="K348" s="40" t="str">
        <f>IF(Agent02_Loans!B160="","",Agent02_Loans!K160)</f>
        <v/>
      </c>
      <c r="L348" s="40" t="str">
        <f>IF(Agent02_Loans!B160="","",Agent02_Loans!L160)</f>
        <v/>
      </c>
      <c r="M348" s="40" t="str">
        <f>IFERROR(IF(Agent02_Loans!B160="","",YEAR(Agent02_Loans!D160)),"")</f>
        <v/>
      </c>
    </row>
    <row r="349" spans="1:13" ht="18" customHeight="1" x14ac:dyDescent="0.25">
      <c r="A349" s="40" t="str">
        <f>IF(Agent02_Loans!B161="","",Agent02_Loans!A161)</f>
        <v/>
      </c>
      <c r="B349" s="40" t="str">
        <f>IF(Agent02_Loans!B161="","",Agent02_Loans!B161)</f>
        <v/>
      </c>
      <c r="C349" s="40" t="str">
        <f>IF(Agent02_Loans!B161="","",Agent02_Loans!C161)</f>
        <v/>
      </c>
      <c r="D349" s="41" t="str">
        <f>IF(Agent02_Loans!B161="","",Agent02_Loans!D161)</f>
        <v/>
      </c>
      <c r="E349" s="43" t="str">
        <f>IF(Agent02_Loans!B161="","",Agent02_Loans!E161)</f>
        <v/>
      </c>
      <c r="F349" s="40" t="str">
        <f>IF(Agent02_Loans!B161="","",Agent02_Loans!F161)</f>
        <v/>
      </c>
      <c r="G349" s="40" t="str">
        <f>IF(Agent02_Loans!B161="","",Agent02_Loans!G161)</f>
        <v/>
      </c>
      <c r="H349" s="40" t="str">
        <f>IF(Agent02_Loans!B161="","",Agent02_Loans!H161)</f>
        <v/>
      </c>
      <c r="I349" s="43" t="str">
        <f>IF(Agent02_Loans!B161="","",Agent02_Loans!I161)</f>
        <v/>
      </c>
      <c r="J349" s="43" t="str">
        <f>IF(Agent02_Loans!B161="","",Agent02_Loans!J161)</f>
        <v/>
      </c>
      <c r="K349" s="40" t="str">
        <f>IF(Agent02_Loans!B161="","",Agent02_Loans!K161)</f>
        <v/>
      </c>
      <c r="L349" s="40" t="str">
        <f>IF(Agent02_Loans!B161="","",Agent02_Loans!L161)</f>
        <v/>
      </c>
      <c r="M349" s="40" t="str">
        <f>IFERROR(IF(Agent02_Loans!B161="","",YEAR(Agent02_Loans!D161)),"")</f>
        <v/>
      </c>
    </row>
    <row r="350" spans="1:13" ht="18" customHeight="1" x14ac:dyDescent="0.25">
      <c r="A350" s="40" t="str">
        <f>IF(Agent02_Loans!B162="","",Agent02_Loans!A162)</f>
        <v/>
      </c>
      <c r="B350" s="40" t="str">
        <f>IF(Agent02_Loans!B162="","",Agent02_Loans!B162)</f>
        <v/>
      </c>
      <c r="C350" s="40" t="str">
        <f>IF(Agent02_Loans!B162="","",Agent02_Loans!C162)</f>
        <v/>
      </c>
      <c r="D350" s="41" t="str">
        <f>IF(Agent02_Loans!B162="","",Agent02_Loans!D162)</f>
        <v/>
      </c>
      <c r="E350" s="43" t="str">
        <f>IF(Agent02_Loans!B162="","",Agent02_Loans!E162)</f>
        <v/>
      </c>
      <c r="F350" s="40" t="str">
        <f>IF(Agent02_Loans!B162="","",Agent02_Loans!F162)</f>
        <v/>
      </c>
      <c r="G350" s="40" t="str">
        <f>IF(Agent02_Loans!B162="","",Agent02_Loans!G162)</f>
        <v/>
      </c>
      <c r="H350" s="40" t="str">
        <f>IF(Agent02_Loans!B162="","",Agent02_Loans!H162)</f>
        <v/>
      </c>
      <c r="I350" s="43" t="str">
        <f>IF(Agent02_Loans!B162="","",Agent02_Loans!I162)</f>
        <v/>
      </c>
      <c r="J350" s="43" t="str">
        <f>IF(Agent02_Loans!B162="","",Agent02_Loans!J162)</f>
        <v/>
      </c>
      <c r="K350" s="40" t="str">
        <f>IF(Agent02_Loans!B162="","",Agent02_Loans!K162)</f>
        <v/>
      </c>
      <c r="L350" s="40" t="str">
        <f>IF(Agent02_Loans!B162="","",Agent02_Loans!L162)</f>
        <v/>
      </c>
      <c r="M350" s="40" t="str">
        <f>IFERROR(IF(Agent02_Loans!B162="","",YEAR(Agent02_Loans!D162)),"")</f>
        <v/>
      </c>
    </row>
    <row r="351" spans="1:13" ht="18" customHeight="1" x14ac:dyDescent="0.25">
      <c r="A351" s="40" t="str">
        <f>IF(Agent02_Loans!B163="","",Agent02_Loans!A163)</f>
        <v/>
      </c>
      <c r="B351" s="40" t="str">
        <f>IF(Agent02_Loans!B163="","",Agent02_Loans!B163)</f>
        <v/>
      </c>
      <c r="C351" s="40" t="str">
        <f>IF(Agent02_Loans!B163="","",Agent02_Loans!C163)</f>
        <v/>
      </c>
      <c r="D351" s="41" t="str">
        <f>IF(Agent02_Loans!B163="","",Agent02_Loans!D163)</f>
        <v/>
      </c>
      <c r="E351" s="43" t="str">
        <f>IF(Agent02_Loans!B163="","",Agent02_Loans!E163)</f>
        <v/>
      </c>
      <c r="F351" s="40" t="str">
        <f>IF(Agent02_Loans!B163="","",Agent02_Loans!F163)</f>
        <v/>
      </c>
      <c r="G351" s="40" t="str">
        <f>IF(Agent02_Loans!B163="","",Agent02_Loans!G163)</f>
        <v/>
      </c>
      <c r="H351" s="40" t="str">
        <f>IF(Agent02_Loans!B163="","",Agent02_Loans!H163)</f>
        <v/>
      </c>
      <c r="I351" s="43" t="str">
        <f>IF(Agent02_Loans!B163="","",Agent02_Loans!I163)</f>
        <v/>
      </c>
      <c r="J351" s="43" t="str">
        <f>IF(Agent02_Loans!B163="","",Agent02_Loans!J163)</f>
        <v/>
      </c>
      <c r="K351" s="40" t="str">
        <f>IF(Agent02_Loans!B163="","",Agent02_Loans!K163)</f>
        <v/>
      </c>
      <c r="L351" s="40" t="str">
        <f>IF(Agent02_Loans!B163="","",Agent02_Loans!L163)</f>
        <v/>
      </c>
      <c r="M351" s="40" t="str">
        <f>IFERROR(IF(Agent02_Loans!B163="","",YEAR(Agent02_Loans!D163)),"")</f>
        <v/>
      </c>
    </row>
    <row r="352" spans="1:13" ht="18" customHeight="1" x14ac:dyDescent="0.25">
      <c r="A352" s="40" t="str">
        <f>IF(Agent02_Loans!B164="","",Agent02_Loans!A164)</f>
        <v/>
      </c>
      <c r="B352" s="40" t="str">
        <f>IF(Agent02_Loans!B164="","",Agent02_Loans!B164)</f>
        <v/>
      </c>
      <c r="C352" s="40" t="str">
        <f>IF(Agent02_Loans!B164="","",Agent02_Loans!C164)</f>
        <v/>
      </c>
      <c r="D352" s="41" t="str">
        <f>IF(Agent02_Loans!B164="","",Agent02_Loans!D164)</f>
        <v/>
      </c>
      <c r="E352" s="43" t="str">
        <f>IF(Agent02_Loans!B164="","",Agent02_Loans!E164)</f>
        <v/>
      </c>
      <c r="F352" s="40" t="str">
        <f>IF(Agent02_Loans!B164="","",Agent02_Loans!F164)</f>
        <v/>
      </c>
      <c r="G352" s="40" t="str">
        <f>IF(Agent02_Loans!B164="","",Agent02_Loans!G164)</f>
        <v/>
      </c>
      <c r="H352" s="40" t="str">
        <f>IF(Agent02_Loans!B164="","",Agent02_Loans!H164)</f>
        <v/>
      </c>
      <c r="I352" s="43" t="str">
        <f>IF(Agent02_Loans!B164="","",Agent02_Loans!I164)</f>
        <v/>
      </c>
      <c r="J352" s="43" t="str">
        <f>IF(Agent02_Loans!B164="","",Agent02_Loans!J164)</f>
        <v/>
      </c>
      <c r="K352" s="40" t="str">
        <f>IF(Agent02_Loans!B164="","",Agent02_Loans!K164)</f>
        <v/>
      </c>
      <c r="L352" s="40" t="str">
        <f>IF(Agent02_Loans!B164="","",Agent02_Loans!L164)</f>
        <v/>
      </c>
      <c r="M352" s="40" t="str">
        <f>IFERROR(IF(Agent02_Loans!B164="","",YEAR(Agent02_Loans!D164)),"")</f>
        <v/>
      </c>
    </row>
    <row r="353" spans="1:13" ht="18" customHeight="1" x14ac:dyDescent="0.25">
      <c r="A353" s="40" t="str">
        <f>IF(Agent02_Loans!B165="","",Agent02_Loans!A165)</f>
        <v/>
      </c>
      <c r="B353" s="40" t="str">
        <f>IF(Agent02_Loans!B165="","",Agent02_Loans!B165)</f>
        <v/>
      </c>
      <c r="C353" s="40" t="str">
        <f>IF(Agent02_Loans!B165="","",Agent02_Loans!C165)</f>
        <v/>
      </c>
      <c r="D353" s="41" t="str">
        <f>IF(Agent02_Loans!B165="","",Agent02_Loans!D165)</f>
        <v/>
      </c>
      <c r="E353" s="43" t="str">
        <f>IF(Agent02_Loans!B165="","",Agent02_Loans!E165)</f>
        <v/>
      </c>
      <c r="F353" s="40" t="str">
        <f>IF(Agent02_Loans!B165="","",Agent02_Loans!F165)</f>
        <v/>
      </c>
      <c r="G353" s="40" t="str">
        <f>IF(Agent02_Loans!B165="","",Agent02_Loans!G165)</f>
        <v/>
      </c>
      <c r="H353" s="40" t="str">
        <f>IF(Agent02_Loans!B165="","",Agent02_Loans!H165)</f>
        <v/>
      </c>
      <c r="I353" s="43" t="str">
        <f>IF(Agent02_Loans!B165="","",Agent02_Loans!I165)</f>
        <v/>
      </c>
      <c r="J353" s="43" t="str">
        <f>IF(Agent02_Loans!B165="","",Agent02_Loans!J165)</f>
        <v/>
      </c>
      <c r="K353" s="40" t="str">
        <f>IF(Agent02_Loans!B165="","",Agent02_Loans!K165)</f>
        <v/>
      </c>
      <c r="L353" s="40" t="str">
        <f>IF(Agent02_Loans!B165="","",Agent02_Loans!L165)</f>
        <v/>
      </c>
      <c r="M353" s="40" t="str">
        <f>IFERROR(IF(Agent02_Loans!B165="","",YEAR(Agent02_Loans!D165)),"")</f>
        <v/>
      </c>
    </row>
    <row r="354" spans="1:13" ht="18" customHeight="1" x14ac:dyDescent="0.25">
      <c r="A354" s="40" t="str">
        <f>IF(Agent02_Loans!B166="","",Agent02_Loans!A166)</f>
        <v/>
      </c>
      <c r="B354" s="40" t="str">
        <f>IF(Agent02_Loans!B166="","",Agent02_Loans!B166)</f>
        <v/>
      </c>
      <c r="C354" s="40" t="str">
        <f>IF(Agent02_Loans!B166="","",Agent02_Loans!C166)</f>
        <v/>
      </c>
      <c r="D354" s="41" t="str">
        <f>IF(Agent02_Loans!B166="","",Agent02_Loans!D166)</f>
        <v/>
      </c>
      <c r="E354" s="43" t="str">
        <f>IF(Agent02_Loans!B166="","",Agent02_Loans!E166)</f>
        <v/>
      </c>
      <c r="F354" s="40" t="str">
        <f>IF(Agent02_Loans!B166="","",Agent02_Loans!F166)</f>
        <v/>
      </c>
      <c r="G354" s="40" t="str">
        <f>IF(Agent02_Loans!B166="","",Agent02_Loans!G166)</f>
        <v/>
      </c>
      <c r="H354" s="40" t="str">
        <f>IF(Agent02_Loans!B166="","",Agent02_Loans!H166)</f>
        <v/>
      </c>
      <c r="I354" s="43" t="str">
        <f>IF(Agent02_Loans!B166="","",Agent02_Loans!I166)</f>
        <v/>
      </c>
      <c r="J354" s="43" t="str">
        <f>IF(Agent02_Loans!B166="","",Agent02_Loans!J166)</f>
        <v/>
      </c>
      <c r="K354" s="40" t="str">
        <f>IF(Agent02_Loans!B166="","",Agent02_Loans!K166)</f>
        <v/>
      </c>
      <c r="L354" s="40" t="str">
        <f>IF(Agent02_Loans!B166="","",Agent02_Loans!L166)</f>
        <v/>
      </c>
      <c r="M354" s="40" t="str">
        <f>IFERROR(IF(Agent02_Loans!B166="","",YEAR(Agent02_Loans!D166)),"")</f>
        <v/>
      </c>
    </row>
    <row r="355" spans="1:13" ht="18" customHeight="1" x14ac:dyDescent="0.25">
      <c r="A355" s="40" t="str">
        <f>IF(Agent02_Loans!B167="","",Agent02_Loans!A167)</f>
        <v/>
      </c>
      <c r="B355" s="40" t="str">
        <f>IF(Agent02_Loans!B167="","",Agent02_Loans!B167)</f>
        <v/>
      </c>
      <c r="C355" s="40" t="str">
        <f>IF(Agent02_Loans!B167="","",Agent02_Loans!C167)</f>
        <v/>
      </c>
      <c r="D355" s="41" t="str">
        <f>IF(Agent02_Loans!B167="","",Agent02_Loans!D167)</f>
        <v/>
      </c>
      <c r="E355" s="43" t="str">
        <f>IF(Agent02_Loans!B167="","",Agent02_Loans!E167)</f>
        <v/>
      </c>
      <c r="F355" s="40" t="str">
        <f>IF(Agent02_Loans!B167="","",Agent02_Loans!F167)</f>
        <v/>
      </c>
      <c r="G355" s="40" t="str">
        <f>IF(Agent02_Loans!B167="","",Agent02_Loans!G167)</f>
        <v/>
      </c>
      <c r="H355" s="40" t="str">
        <f>IF(Agent02_Loans!B167="","",Agent02_Loans!H167)</f>
        <v/>
      </c>
      <c r="I355" s="43" t="str">
        <f>IF(Agent02_Loans!B167="","",Agent02_Loans!I167)</f>
        <v/>
      </c>
      <c r="J355" s="43" t="str">
        <f>IF(Agent02_Loans!B167="","",Agent02_Loans!J167)</f>
        <v/>
      </c>
      <c r="K355" s="40" t="str">
        <f>IF(Agent02_Loans!B167="","",Agent02_Loans!K167)</f>
        <v/>
      </c>
      <c r="L355" s="40" t="str">
        <f>IF(Agent02_Loans!B167="","",Agent02_Loans!L167)</f>
        <v/>
      </c>
      <c r="M355" s="40" t="str">
        <f>IFERROR(IF(Agent02_Loans!B167="","",YEAR(Agent02_Loans!D167)),"")</f>
        <v/>
      </c>
    </row>
    <row r="356" spans="1:13" ht="18" customHeight="1" x14ac:dyDescent="0.25">
      <c r="A356" s="40" t="str">
        <f>IF(Agent02_Loans!B168="","",Agent02_Loans!A168)</f>
        <v/>
      </c>
      <c r="B356" s="40" t="str">
        <f>IF(Agent02_Loans!B168="","",Agent02_Loans!B168)</f>
        <v/>
      </c>
      <c r="C356" s="40" t="str">
        <f>IF(Agent02_Loans!B168="","",Agent02_Loans!C168)</f>
        <v/>
      </c>
      <c r="D356" s="41" t="str">
        <f>IF(Agent02_Loans!B168="","",Agent02_Loans!D168)</f>
        <v/>
      </c>
      <c r="E356" s="43" t="str">
        <f>IF(Agent02_Loans!B168="","",Agent02_Loans!E168)</f>
        <v/>
      </c>
      <c r="F356" s="40" t="str">
        <f>IF(Agent02_Loans!B168="","",Agent02_Loans!F168)</f>
        <v/>
      </c>
      <c r="G356" s="40" t="str">
        <f>IF(Agent02_Loans!B168="","",Agent02_Loans!G168)</f>
        <v/>
      </c>
      <c r="H356" s="40" t="str">
        <f>IF(Agent02_Loans!B168="","",Agent02_Loans!H168)</f>
        <v/>
      </c>
      <c r="I356" s="43" t="str">
        <f>IF(Agent02_Loans!B168="","",Agent02_Loans!I168)</f>
        <v/>
      </c>
      <c r="J356" s="43" t="str">
        <f>IF(Agent02_Loans!B168="","",Agent02_Loans!J168)</f>
        <v/>
      </c>
      <c r="K356" s="40" t="str">
        <f>IF(Agent02_Loans!B168="","",Agent02_Loans!K168)</f>
        <v/>
      </c>
      <c r="L356" s="40" t="str">
        <f>IF(Agent02_Loans!B168="","",Agent02_Loans!L168)</f>
        <v/>
      </c>
      <c r="M356" s="40" t="str">
        <f>IFERROR(IF(Agent02_Loans!B168="","",YEAR(Agent02_Loans!D168)),"")</f>
        <v/>
      </c>
    </row>
    <row r="357" spans="1:13" ht="18" customHeight="1" x14ac:dyDescent="0.25">
      <c r="A357" s="40" t="str">
        <f>IF(Agent02_Loans!B169="","",Agent02_Loans!A169)</f>
        <v/>
      </c>
      <c r="B357" s="40" t="str">
        <f>IF(Agent02_Loans!B169="","",Agent02_Loans!B169)</f>
        <v/>
      </c>
      <c r="C357" s="40" t="str">
        <f>IF(Agent02_Loans!B169="","",Agent02_Loans!C169)</f>
        <v/>
      </c>
      <c r="D357" s="41" t="str">
        <f>IF(Agent02_Loans!B169="","",Agent02_Loans!D169)</f>
        <v/>
      </c>
      <c r="E357" s="43" t="str">
        <f>IF(Agent02_Loans!B169="","",Agent02_Loans!E169)</f>
        <v/>
      </c>
      <c r="F357" s="40" t="str">
        <f>IF(Agent02_Loans!B169="","",Agent02_Loans!F169)</f>
        <v/>
      </c>
      <c r="G357" s="40" t="str">
        <f>IF(Agent02_Loans!B169="","",Agent02_Loans!G169)</f>
        <v/>
      </c>
      <c r="H357" s="40" t="str">
        <f>IF(Agent02_Loans!B169="","",Agent02_Loans!H169)</f>
        <v/>
      </c>
      <c r="I357" s="43" t="str">
        <f>IF(Agent02_Loans!B169="","",Agent02_Loans!I169)</f>
        <v/>
      </c>
      <c r="J357" s="43" t="str">
        <f>IF(Agent02_Loans!B169="","",Agent02_Loans!J169)</f>
        <v/>
      </c>
      <c r="K357" s="40" t="str">
        <f>IF(Agent02_Loans!B169="","",Agent02_Loans!K169)</f>
        <v/>
      </c>
      <c r="L357" s="40" t="str">
        <f>IF(Agent02_Loans!B169="","",Agent02_Loans!L169)</f>
        <v/>
      </c>
      <c r="M357" s="40" t="str">
        <f>IFERROR(IF(Agent02_Loans!B169="","",YEAR(Agent02_Loans!D169)),"")</f>
        <v/>
      </c>
    </row>
    <row r="358" spans="1:13" ht="18" customHeight="1" x14ac:dyDescent="0.25">
      <c r="A358" s="40" t="str">
        <f>IF(Agent02_Loans!B170="","",Agent02_Loans!A170)</f>
        <v/>
      </c>
      <c r="B358" s="40" t="str">
        <f>IF(Agent02_Loans!B170="","",Agent02_Loans!B170)</f>
        <v/>
      </c>
      <c r="C358" s="40" t="str">
        <f>IF(Agent02_Loans!B170="","",Agent02_Loans!C170)</f>
        <v/>
      </c>
      <c r="D358" s="41" t="str">
        <f>IF(Agent02_Loans!B170="","",Agent02_Loans!D170)</f>
        <v/>
      </c>
      <c r="E358" s="43" t="str">
        <f>IF(Agent02_Loans!B170="","",Agent02_Loans!E170)</f>
        <v/>
      </c>
      <c r="F358" s="40" t="str">
        <f>IF(Agent02_Loans!B170="","",Agent02_Loans!F170)</f>
        <v/>
      </c>
      <c r="G358" s="40" t="str">
        <f>IF(Agent02_Loans!B170="","",Agent02_Loans!G170)</f>
        <v/>
      </c>
      <c r="H358" s="40" t="str">
        <f>IF(Agent02_Loans!B170="","",Agent02_Loans!H170)</f>
        <v/>
      </c>
      <c r="I358" s="43" t="str">
        <f>IF(Agent02_Loans!B170="","",Agent02_Loans!I170)</f>
        <v/>
      </c>
      <c r="J358" s="43" t="str">
        <f>IF(Agent02_Loans!B170="","",Agent02_Loans!J170)</f>
        <v/>
      </c>
      <c r="K358" s="40" t="str">
        <f>IF(Agent02_Loans!B170="","",Agent02_Loans!K170)</f>
        <v/>
      </c>
      <c r="L358" s="40" t="str">
        <f>IF(Agent02_Loans!B170="","",Agent02_Loans!L170)</f>
        <v/>
      </c>
      <c r="M358" s="40" t="str">
        <f>IFERROR(IF(Agent02_Loans!B170="","",YEAR(Agent02_Loans!D170)),"")</f>
        <v/>
      </c>
    </row>
    <row r="359" spans="1:13" ht="18" customHeight="1" x14ac:dyDescent="0.25">
      <c r="A359" s="40" t="str">
        <f>IF(Agent02_Loans!B171="","",Agent02_Loans!A171)</f>
        <v/>
      </c>
      <c r="B359" s="40" t="str">
        <f>IF(Agent02_Loans!B171="","",Agent02_Loans!B171)</f>
        <v/>
      </c>
      <c r="C359" s="40" t="str">
        <f>IF(Agent02_Loans!B171="","",Agent02_Loans!C171)</f>
        <v/>
      </c>
      <c r="D359" s="41" t="str">
        <f>IF(Agent02_Loans!B171="","",Agent02_Loans!D171)</f>
        <v/>
      </c>
      <c r="E359" s="43" t="str">
        <f>IF(Agent02_Loans!B171="","",Agent02_Loans!E171)</f>
        <v/>
      </c>
      <c r="F359" s="40" t="str">
        <f>IF(Agent02_Loans!B171="","",Agent02_Loans!F171)</f>
        <v/>
      </c>
      <c r="G359" s="40" t="str">
        <f>IF(Agent02_Loans!B171="","",Agent02_Loans!G171)</f>
        <v/>
      </c>
      <c r="H359" s="40" t="str">
        <f>IF(Agent02_Loans!B171="","",Agent02_Loans!H171)</f>
        <v/>
      </c>
      <c r="I359" s="43" t="str">
        <f>IF(Agent02_Loans!B171="","",Agent02_Loans!I171)</f>
        <v/>
      </c>
      <c r="J359" s="43" t="str">
        <f>IF(Agent02_Loans!B171="","",Agent02_Loans!J171)</f>
        <v/>
      </c>
      <c r="K359" s="40" t="str">
        <f>IF(Agent02_Loans!B171="","",Agent02_Loans!K171)</f>
        <v/>
      </c>
      <c r="L359" s="40" t="str">
        <f>IF(Agent02_Loans!B171="","",Agent02_Loans!L171)</f>
        <v/>
      </c>
      <c r="M359" s="40" t="str">
        <f>IFERROR(IF(Agent02_Loans!B171="","",YEAR(Agent02_Loans!D171)),"")</f>
        <v/>
      </c>
    </row>
    <row r="360" spans="1:13" ht="18" customHeight="1" x14ac:dyDescent="0.25">
      <c r="A360" s="40" t="str">
        <f>IF(Agent02_Loans!B172="","",Agent02_Loans!A172)</f>
        <v/>
      </c>
      <c r="B360" s="40" t="str">
        <f>IF(Agent02_Loans!B172="","",Agent02_Loans!B172)</f>
        <v/>
      </c>
      <c r="C360" s="40" t="str">
        <f>IF(Agent02_Loans!B172="","",Agent02_Loans!C172)</f>
        <v/>
      </c>
      <c r="D360" s="41" t="str">
        <f>IF(Agent02_Loans!B172="","",Agent02_Loans!D172)</f>
        <v/>
      </c>
      <c r="E360" s="43" t="str">
        <f>IF(Agent02_Loans!B172="","",Agent02_Loans!E172)</f>
        <v/>
      </c>
      <c r="F360" s="40" t="str">
        <f>IF(Agent02_Loans!B172="","",Agent02_Loans!F172)</f>
        <v/>
      </c>
      <c r="G360" s="40" t="str">
        <f>IF(Agent02_Loans!B172="","",Agent02_Loans!G172)</f>
        <v/>
      </c>
      <c r="H360" s="40" t="str">
        <f>IF(Agent02_Loans!B172="","",Agent02_Loans!H172)</f>
        <v/>
      </c>
      <c r="I360" s="43" t="str">
        <f>IF(Agent02_Loans!B172="","",Agent02_Loans!I172)</f>
        <v/>
      </c>
      <c r="J360" s="43" t="str">
        <f>IF(Agent02_Loans!B172="","",Agent02_Loans!J172)</f>
        <v/>
      </c>
      <c r="K360" s="40" t="str">
        <f>IF(Agent02_Loans!B172="","",Agent02_Loans!K172)</f>
        <v/>
      </c>
      <c r="L360" s="40" t="str">
        <f>IF(Agent02_Loans!B172="","",Agent02_Loans!L172)</f>
        <v/>
      </c>
      <c r="M360" s="40" t="str">
        <f>IFERROR(IF(Agent02_Loans!B172="","",YEAR(Agent02_Loans!D172)),"")</f>
        <v/>
      </c>
    </row>
    <row r="361" spans="1:13" ht="18" customHeight="1" x14ac:dyDescent="0.25">
      <c r="A361" s="40" t="str">
        <f>IF(Agent02_Loans!B173="","",Agent02_Loans!A173)</f>
        <v/>
      </c>
      <c r="B361" s="40" t="str">
        <f>IF(Agent02_Loans!B173="","",Agent02_Loans!B173)</f>
        <v/>
      </c>
      <c r="C361" s="40" t="str">
        <f>IF(Agent02_Loans!B173="","",Agent02_Loans!C173)</f>
        <v/>
      </c>
      <c r="D361" s="41" t="str">
        <f>IF(Agent02_Loans!B173="","",Agent02_Loans!D173)</f>
        <v/>
      </c>
      <c r="E361" s="43" t="str">
        <f>IF(Agent02_Loans!B173="","",Agent02_Loans!E173)</f>
        <v/>
      </c>
      <c r="F361" s="40" t="str">
        <f>IF(Agent02_Loans!B173="","",Agent02_Loans!F173)</f>
        <v/>
      </c>
      <c r="G361" s="40" t="str">
        <f>IF(Agent02_Loans!B173="","",Agent02_Loans!G173)</f>
        <v/>
      </c>
      <c r="H361" s="40" t="str">
        <f>IF(Agent02_Loans!B173="","",Agent02_Loans!H173)</f>
        <v/>
      </c>
      <c r="I361" s="43" t="str">
        <f>IF(Agent02_Loans!B173="","",Agent02_Loans!I173)</f>
        <v/>
      </c>
      <c r="J361" s="43" t="str">
        <f>IF(Agent02_Loans!B173="","",Agent02_Loans!J173)</f>
        <v/>
      </c>
      <c r="K361" s="40" t="str">
        <f>IF(Agent02_Loans!B173="","",Agent02_Loans!K173)</f>
        <v/>
      </c>
      <c r="L361" s="40" t="str">
        <f>IF(Agent02_Loans!B173="","",Agent02_Loans!L173)</f>
        <v/>
      </c>
      <c r="M361" s="40" t="str">
        <f>IFERROR(IF(Agent02_Loans!B173="","",YEAR(Agent02_Loans!D173)),"")</f>
        <v/>
      </c>
    </row>
    <row r="362" spans="1:13" ht="18" customHeight="1" x14ac:dyDescent="0.25">
      <c r="A362" s="40" t="str">
        <f>IF(Agent02_Loans!B174="","",Agent02_Loans!A174)</f>
        <v/>
      </c>
      <c r="B362" s="40" t="str">
        <f>IF(Agent02_Loans!B174="","",Agent02_Loans!B174)</f>
        <v/>
      </c>
      <c r="C362" s="40" t="str">
        <f>IF(Agent02_Loans!B174="","",Agent02_Loans!C174)</f>
        <v/>
      </c>
      <c r="D362" s="41" t="str">
        <f>IF(Agent02_Loans!B174="","",Agent02_Loans!D174)</f>
        <v/>
      </c>
      <c r="E362" s="43" t="str">
        <f>IF(Agent02_Loans!B174="","",Agent02_Loans!E174)</f>
        <v/>
      </c>
      <c r="F362" s="40" t="str">
        <f>IF(Agent02_Loans!B174="","",Agent02_Loans!F174)</f>
        <v/>
      </c>
      <c r="G362" s="40" t="str">
        <f>IF(Agent02_Loans!B174="","",Agent02_Loans!G174)</f>
        <v/>
      </c>
      <c r="H362" s="40" t="str">
        <f>IF(Agent02_Loans!B174="","",Agent02_Loans!H174)</f>
        <v/>
      </c>
      <c r="I362" s="43" t="str">
        <f>IF(Agent02_Loans!B174="","",Agent02_Loans!I174)</f>
        <v/>
      </c>
      <c r="J362" s="43" t="str">
        <f>IF(Agent02_Loans!B174="","",Agent02_Loans!J174)</f>
        <v/>
      </c>
      <c r="K362" s="40" t="str">
        <f>IF(Agent02_Loans!B174="","",Agent02_Loans!K174)</f>
        <v/>
      </c>
      <c r="L362" s="40" t="str">
        <f>IF(Agent02_Loans!B174="","",Agent02_Loans!L174)</f>
        <v/>
      </c>
      <c r="M362" s="40" t="str">
        <f>IFERROR(IF(Agent02_Loans!B174="","",YEAR(Agent02_Loans!D174)),"")</f>
        <v/>
      </c>
    </row>
    <row r="363" spans="1:13" ht="18" customHeight="1" x14ac:dyDescent="0.25">
      <c r="A363" s="40" t="str">
        <f>IF(Agent02_Loans!B175="","",Agent02_Loans!A175)</f>
        <v/>
      </c>
      <c r="B363" s="40" t="str">
        <f>IF(Agent02_Loans!B175="","",Agent02_Loans!B175)</f>
        <v/>
      </c>
      <c r="C363" s="40" t="str">
        <f>IF(Agent02_Loans!B175="","",Agent02_Loans!C175)</f>
        <v/>
      </c>
      <c r="D363" s="41" t="str">
        <f>IF(Agent02_Loans!B175="","",Agent02_Loans!D175)</f>
        <v/>
      </c>
      <c r="E363" s="43" t="str">
        <f>IF(Agent02_Loans!B175="","",Agent02_Loans!E175)</f>
        <v/>
      </c>
      <c r="F363" s="40" t="str">
        <f>IF(Agent02_Loans!B175="","",Agent02_Loans!F175)</f>
        <v/>
      </c>
      <c r="G363" s="40" t="str">
        <f>IF(Agent02_Loans!B175="","",Agent02_Loans!G175)</f>
        <v/>
      </c>
      <c r="H363" s="40" t="str">
        <f>IF(Agent02_Loans!B175="","",Agent02_Loans!H175)</f>
        <v/>
      </c>
      <c r="I363" s="43" t="str">
        <f>IF(Agent02_Loans!B175="","",Agent02_Loans!I175)</f>
        <v/>
      </c>
      <c r="J363" s="43" t="str">
        <f>IF(Agent02_Loans!B175="","",Agent02_Loans!J175)</f>
        <v/>
      </c>
      <c r="K363" s="40" t="str">
        <f>IF(Agent02_Loans!B175="","",Agent02_Loans!K175)</f>
        <v/>
      </c>
      <c r="L363" s="40" t="str">
        <f>IF(Agent02_Loans!B175="","",Agent02_Loans!L175)</f>
        <v/>
      </c>
      <c r="M363" s="40" t="str">
        <f>IFERROR(IF(Agent02_Loans!B175="","",YEAR(Agent02_Loans!D175)),"")</f>
        <v/>
      </c>
    </row>
    <row r="364" spans="1:13" ht="18" customHeight="1" x14ac:dyDescent="0.25">
      <c r="A364" s="40" t="str">
        <f>IF(Agent02_Loans!B176="","",Agent02_Loans!A176)</f>
        <v/>
      </c>
      <c r="B364" s="40" t="str">
        <f>IF(Agent02_Loans!B176="","",Agent02_Loans!B176)</f>
        <v/>
      </c>
      <c r="C364" s="40" t="str">
        <f>IF(Agent02_Loans!B176="","",Agent02_Loans!C176)</f>
        <v/>
      </c>
      <c r="D364" s="41" t="str">
        <f>IF(Agent02_Loans!B176="","",Agent02_Loans!D176)</f>
        <v/>
      </c>
      <c r="E364" s="43" t="str">
        <f>IF(Agent02_Loans!B176="","",Agent02_Loans!E176)</f>
        <v/>
      </c>
      <c r="F364" s="40" t="str">
        <f>IF(Agent02_Loans!B176="","",Agent02_Loans!F176)</f>
        <v/>
      </c>
      <c r="G364" s="40" t="str">
        <f>IF(Agent02_Loans!B176="","",Agent02_Loans!G176)</f>
        <v/>
      </c>
      <c r="H364" s="40" t="str">
        <f>IF(Agent02_Loans!B176="","",Agent02_Loans!H176)</f>
        <v/>
      </c>
      <c r="I364" s="43" t="str">
        <f>IF(Agent02_Loans!B176="","",Agent02_Loans!I176)</f>
        <v/>
      </c>
      <c r="J364" s="43" t="str">
        <f>IF(Agent02_Loans!B176="","",Agent02_Loans!J176)</f>
        <v/>
      </c>
      <c r="K364" s="40" t="str">
        <f>IF(Agent02_Loans!B176="","",Agent02_Loans!K176)</f>
        <v/>
      </c>
      <c r="L364" s="40" t="str">
        <f>IF(Agent02_Loans!B176="","",Agent02_Loans!L176)</f>
        <v/>
      </c>
      <c r="M364" s="40" t="str">
        <f>IFERROR(IF(Agent02_Loans!B176="","",YEAR(Agent02_Loans!D176)),"")</f>
        <v/>
      </c>
    </row>
    <row r="365" spans="1:13" ht="18" customHeight="1" x14ac:dyDescent="0.25">
      <c r="A365" s="40" t="str">
        <f>IF(Agent02_Loans!B177="","",Agent02_Loans!A177)</f>
        <v/>
      </c>
      <c r="B365" s="40" t="str">
        <f>IF(Agent02_Loans!B177="","",Agent02_Loans!B177)</f>
        <v/>
      </c>
      <c r="C365" s="40" t="str">
        <f>IF(Agent02_Loans!B177="","",Agent02_Loans!C177)</f>
        <v/>
      </c>
      <c r="D365" s="41" t="str">
        <f>IF(Agent02_Loans!B177="","",Agent02_Loans!D177)</f>
        <v/>
      </c>
      <c r="E365" s="43" t="str">
        <f>IF(Agent02_Loans!B177="","",Agent02_Loans!E177)</f>
        <v/>
      </c>
      <c r="F365" s="40" t="str">
        <f>IF(Agent02_Loans!B177="","",Agent02_Loans!F177)</f>
        <v/>
      </c>
      <c r="G365" s="40" t="str">
        <f>IF(Agent02_Loans!B177="","",Agent02_Loans!G177)</f>
        <v/>
      </c>
      <c r="H365" s="40" t="str">
        <f>IF(Agent02_Loans!B177="","",Agent02_Loans!H177)</f>
        <v/>
      </c>
      <c r="I365" s="43" t="str">
        <f>IF(Agent02_Loans!B177="","",Agent02_Loans!I177)</f>
        <v/>
      </c>
      <c r="J365" s="43" t="str">
        <f>IF(Agent02_Loans!B177="","",Agent02_Loans!J177)</f>
        <v/>
      </c>
      <c r="K365" s="40" t="str">
        <f>IF(Agent02_Loans!B177="","",Agent02_Loans!K177)</f>
        <v/>
      </c>
      <c r="L365" s="40" t="str">
        <f>IF(Agent02_Loans!B177="","",Agent02_Loans!L177)</f>
        <v/>
      </c>
      <c r="M365" s="40" t="str">
        <f>IFERROR(IF(Agent02_Loans!B177="","",YEAR(Agent02_Loans!D177)),"")</f>
        <v/>
      </c>
    </row>
    <row r="366" spans="1:13" ht="18" customHeight="1" x14ac:dyDescent="0.25">
      <c r="A366" s="40" t="str">
        <f>IF(Agent02_Loans!B178="","",Agent02_Loans!A178)</f>
        <v/>
      </c>
      <c r="B366" s="40" t="str">
        <f>IF(Agent02_Loans!B178="","",Agent02_Loans!B178)</f>
        <v/>
      </c>
      <c r="C366" s="40" t="str">
        <f>IF(Agent02_Loans!B178="","",Agent02_Loans!C178)</f>
        <v/>
      </c>
      <c r="D366" s="41" t="str">
        <f>IF(Agent02_Loans!B178="","",Agent02_Loans!D178)</f>
        <v/>
      </c>
      <c r="E366" s="43" t="str">
        <f>IF(Agent02_Loans!B178="","",Agent02_Loans!E178)</f>
        <v/>
      </c>
      <c r="F366" s="40" t="str">
        <f>IF(Agent02_Loans!B178="","",Agent02_Loans!F178)</f>
        <v/>
      </c>
      <c r="G366" s="40" t="str">
        <f>IF(Agent02_Loans!B178="","",Agent02_Loans!G178)</f>
        <v/>
      </c>
      <c r="H366" s="40" t="str">
        <f>IF(Agent02_Loans!B178="","",Agent02_Loans!H178)</f>
        <v/>
      </c>
      <c r="I366" s="43" t="str">
        <f>IF(Agent02_Loans!B178="","",Agent02_Loans!I178)</f>
        <v/>
      </c>
      <c r="J366" s="43" t="str">
        <f>IF(Agent02_Loans!B178="","",Agent02_Loans!J178)</f>
        <v/>
      </c>
      <c r="K366" s="40" t="str">
        <f>IF(Agent02_Loans!B178="","",Agent02_Loans!K178)</f>
        <v/>
      </c>
      <c r="L366" s="40" t="str">
        <f>IF(Agent02_Loans!B178="","",Agent02_Loans!L178)</f>
        <v/>
      </c>
      <c r="M366" s="40" t="str">
        <f>IFERROR(IF(Agent02_Loans!B178="","",YEAR(Agent02_Loans!D178)),"")</f>
        <v/>
      </c>
    </row>
    <row r="367" spans="1:13" ht="18" customHeight="1" x14ac:dyDescent="0.25">
      <c r="A367" s="40" t="str">
        <f>IF(Agent02_Loans!B179="","",Agent02_Loans!A179)</f>
        <v/>
      </c>
      <c r="B367" s="40" t="str">
        <f>IF(Agent02_Loans!B179="","",Agent02_Loans!B179)</f>
        <v/>
      </c>
      <c r="C367" s="40" t="str">
        <f>IF(Agent02_Loans!B179="","",Agent02_Loans!C179)</f>
        <v/>
      </c>
      <c r="D367" s="41" t="str">
        <f>IF(Agent02_Loans!B179="","",Agent02_Loans!D179)</f>
        <v/>
      </c>
      <c r="E367" s="43" t="str">
        <f>IF(Agent02_Loans!B179="","",Agent02_Loans!E179)</f>
        <v/>
      </c>
      <c r="F367" s="40" t="str">
        <f>IF(Agent02_Loans!B179="","",Agent02_Loans!F179)</f>
        <v/>
      </c>
      <c r="G367" s="40" t="str">
        <f>IF(Agent02_Loans!B179="","",Agent02_Loans!G179)</f>
        <v/>
      </c>
      <c r="H367" s="40" t="str">
        <f>IF(Agent02_Loans!B179="","",Agent02_Loans!H179)</f>
        <v/>
      </c>
      <c r="I367" s="43" t="str">
        <f>IF(Agent02_Loans!B179="","",Agent02_Loans!I179)</f>
        <v/>
      </c>
      <c r="J367" s="43" t="str">
        <f>IF(Agent02_Loans!B179="","",Agent02_Loans!J179)</f>
        <v/>
      </c>
      <c r="K367" s="40" t="str">
        <f>IF(Agent02_Loans!B179="","",Agent02_Loans!K179)</f>
        <v/>
      </c>
      <c r="L367" s="40" t="str">
        <f>IF(Agent02_Loans!B179="","",Agent02_Loans!L179)</f>
        <v/>
      </c>
      <c r="M367" s="40" t="str">
        <f>IFERROR(IF(Agent02_Loans!B179="","",YEAR(Agent02_Loans!D179)),"")</f>
        <v/>
      </c>
    </row>
    <row r="368" spans="1:13" ht="18" customHeight="1" x14ac:dyDescent="0.25">
      <c r="A368" s="40" t="str">
        <f>IF(Agent02_Loans!B180="","",Agent02_Loans!A180)</f>
        <v/>
      </c>
      <c r="B368" s="40" t="str">
        <f>IF(Agent02_Loans!B180="","",Agent02_Loans!B180)</f>
        <v/>
      </c>
      <c r="C368" s="40" t="str">
        <f>IF(Agent02_Loans!B180="","",Agent02_Loans!C180)</f>
        <v/>
      </c>
      <c r="D368" s="41" t="str">
        <f>IF(Agent02_Loans!B180="","",Agent02_Loans!D180)</f>
        <v/>
      </c>
      <c r="E368" s="43" t="str">
        <f>IF(Agent02_Loans!B180="","",Agent02_Loans!E180)</f>
        <v/>
      </c>
      <c r="F368" s="40" t="str">
        <f>IF(Agent02_Loans!B180="","",Agent02_Loans!F180)</f>
        <v/>
      </c>
      <c r="G368" s="40" t="str">
        <f>IF(Agent02_Loans!B180="","",Agent02_Loans!G180)</f>
        <v/>
      </c>
      <c r="H368" s="40" t="str">
        <f>IF(Agent02_Loans!B180="","",Agent02_Loans!H180)</f>
        <v/>
      </c>
      <c r="I368" s="43" t="str">
        <f>IF(Agent02_Loans!B180="","",Agent02_Loans!I180)</f>
        <v/>
      </c>
      <c r="J368" s="43" t="str">
        <f>IF(Agent02_Loans!B180="","",Agent02_Loans!J180)</f>
        <v/>
      </c>
      <c r="K368" s="40" t="str">
        <f>IF(Agent02_Loans!B180="","",Agent02_Loans!K180)</f>
        <v/>
      </c>
      <c r="L368" s="40" t="str">
        <f>IF(Agent02_Loans!B180="","",Agent02_Loans!L180)</f>
        <v/>
      </c>
      <c r="M368" s="40" t="str">
        <f>IFERROR(IF(Agent02_Loans!B180="","",YEAR(Agent02_Loans!D180)),"")</f>
        <v/>
      </c>
    </row>
    <row r="369" spans="1:13" ht="18" customHeight="1" x14ac:dyDescent="0.25">
      <c r="A369" s="40" t="str">
        <f>IF(Agent02_Loans!B181="","",Agent02_Loans!A181)</f>
        <v/>
      </c>
      <c r="B369" s="40" t="str">
        <f>IF(Agent02_Loans!B181="","",Agent02_Loans!B181)</f>
        <v/>
      </c>
      <c r="C369" s="40" t="str">
        <f>IF(Agent02_Loans!B181="","",Agent02_Loans!C181)</f>
        <v/>
      </c>
      <c r="D369" s="41" t="str">
        <f>IF(Agent02_Loans!B181="","",Agent02_Loans!D181)</f>
        <v/>
      </c>
      <c r="E369" s="43" t="str">
        <f>IF(Agent02_Loans!B181="","",Agent02_Loans!E181)</f>
        <v/>
      </c>
      <c r="F369" s="40" t="str">
        <f>IF(Agent02_Loans!B181="","",Agent02_Loans!F181)</f>
        <v/>
      </c>
      <c r="G369" s="40" t="str">
        <f>IF(Agent02_Loans!B181="","",Agent02_Loans!G181)</f>
        <v/>
      </c>
      <c r="H369" s="40" t="str">
        <f>IF(Agent02_Loans!B181="","",Agent02_Loans!H181)</f>
        <v/>
      </c>
      <c r="I369" s="43" t="str">
        <f>IF(Agent02_Loans!B181="","",Agent02_Loans!I181)</f>
        <v/>
      </c>
      <c r="J369" s="43" t="str">
        <f>IF(Agent02_Loans!B181="","",Agent02_Loans!J181)</f>
        <v/>
      </c>
      <c r="K369" s="40" t="str">
        <f>IF(Agent02_Loans!B181="","",Agent02_Loans!K181)</f>
        <v/>
      </c>
      <c r="L369" s="40" t="str">
        <f>IF(Agent02_Loans!B181="","",Agent02_Loans!L181)</f>
        <v/>
      </c>
      <c r="M369" s="40" t="str">
        <f>IFERROR(IF(Agent02_Loans!B181="","",YEAR(Agent02_Loans!D181)),"")</f>
        <v/>
      </c>
    </row>
    <row r="370" spans="1:13" ht="18" customHeight="1" x14ac:dyDescent="0.25">
      <c r="A370" s="40" t="str">
        <f>IF(Agent02_Loans!B182="","",Agent02_Loans!A182)</f>
        <v/>
      </c>
      <c r="B370" s="40" t="str">
        <f>IF(Agent02_Loans!B182="","",Agent02_Loans!B182)</f>
        <v/>
      </c>
      <c r="C370" s="40" t="str">
        <f>IF(Agent02_Loans!B182="","",Agent02_Loans!C182)</f>
        <v/>
      </c>
      <c r="D370" s="41" t="str">
        <f>IF(Agent02_Loans!B182="","",Agent02_Loans!D182)</f>
        <v/>
      </c>
      <c r="E370" s="43" t="str">
        <f>IF(Agent02_Loans!B182="","",Agent02_Loans!E182)</f>
        <v/>
      </c>
      <c r="F370" s="40" t="str">
        <f>IF(Agent02_Loans!B182="","",Agent02_Loans!F182)</f>
        <v/>
      </c>
      <c r="G370" s="40" t="str">
        <f>IF(Agent02_Loans!B182="","",Agent02_Loans!G182)</f>
        <v/>
      </c>
      <c r="H370" s="40" t="str">
        <f>IF(Agent02_Loans!B182="","",Agent02_Loans!H182)</f>
        <v/>
      </c>
      <c r="I370" s="43" t="str">
        <f>IF(Agent02_Loans!B182="","",Agent02_Loans!I182)</f>
        <v/>
      </c>
      <c r="J370" s="43" t="str">
        <f>IF(Agent02_Loans!B182="","",Agent02_Loans!J182)</f>
        <v/>
      </c>
      <c r="K370" s="40" t="str">
        <f>IF(Agent02_Loans!B182="","",Agent02_Loans!K182)</f>
        <v/>
      </c>
      <c r="L370" s="40" t="str">
        <f>IF(Agent02_Loans!B182="","",Agent02_Loans!L182)</f>
        <v/>
      </c>
      <c r="M370" s="40" t="str">
        <f>IFERROR(IF(Agent02_Loans!B182="","",YEAR(Agent02_Loans!D182)),"")</f>
        <v/>
      </c>
    </row>
    <row r="371" spans="1:13" ht="18" customHeight="1" x14ac:dyDescent="0.25">
      <c r="A371" s="40" t="str">
        <f>IF(Agent02_Loans!B183="","",Agent02_Loans!A183)</f>
        <v/>
      </c>
      <c r="B371" s="40" t="str">
        <f>IF(Agent02_Loans!B183="","",Agent02_Loans!B183)</f>
        <v/>
      </c>
      <c r="C371" s="40" t="str">
        <f>IF(Agent02_Loans!B183="","",Agent02_Loans!C183)</f>
        <v/>
      </c>
      <c r="D371" s="41" t="str">
        <f>IF(Agent02_Loans!B183="","",Agent02_Loans!D183)</f>
        <v/>
      </c>
      <c r="E371" s="43" t="str">
        <f>IF(Agent02_Loans!B183="","",Agent02_Loans!E183)</f>
        <v/>
      </c>
      <c r="F371" s="40" t="str">
        <f>IF(Agent02_Loans!B183="","",Agent02_Loans!F183)</f>
        <v/>
      </c>
      <c r="G371" s="40" t="str">
        <f>IF(Agent02_Loans!B183="","",Agent02_Loans!G183)</f>
        <v/>
      </c>
      <c r="H371" s="40" t="str">
        <f>IF(Agent02_Loans!B183="","",Agent02_Loans!H183)</f>
        <v/>
      </c>
      <c r="I371" s="43" t="str">
        <f>IF(Agent02_Loans!B183="","",Agent02_Loans!I183)</f>
        <v/>
      </c>
      <c r="J371" s="43" t="str">
        <f>IF(Agent02_Loans!B183="","",Agent02_Loans!J183)</f>
        <v/>
      </c>
      <c r="K371" s="40" t="str">
        <f>IF(Agent02_Loans!B183="","",Agent02_Loans!K183)</f>
        <v/>
      </c>
      <c r="L371" s="40" t="str">
        <f>IF(Agent02_Loans!B183="","",Agent02_Loans!L183)</f>
        <v/>
      </c>
      <c r="M371" s="40" t="str">
        <f>IFERROR(IF(Agent02_Loans!B183="","",YEAR(Agent02_Loans!D183)),"")</f>
        <v/>
      </c>
    </row>
    <row r="372" spans="1:13" ht="18" customHeight="1" x14ac:dyDescent="0.25">
      <c r="A372" s="40" t="str">
        <f>IF(Agent02_Loans!B184="","",Agent02_Loans!A184)</f>
        <v/>
      </c>
      <c r="B372" s="40" t="str">
        <f>IF(Agent02_Loans!B184="","",Agent02_Loans!B184)</f>
        <v/>
      </c>
      <c r="C372" s="40" t="str">
        <f>IF(Agent02_Loans!B184="","",Agent02_Loans!C184)</f>
        <v/>
      </c>
      <c r="D372" s="41" t="str">
        <f>IF(Agent02_Loans!B184="","",Agent02_Loans!D184)</f>
        <v/>
      </c>
      <c r="E372" s="43" t="str">
        <f>IF(Agent02_Loans!B184="","",Agent02_Loans!E184)</f>
        <v/>
      </c>
      <c r="F372" s="40" t="str">
        <f>IF(Agent02_Loans!B184="","",Agent02_Loans!F184)</f>
        <v/>
      </c>
      <c r="G372" s="40" t="str">
        <f>IF(Agent02_Loans!B184="","",Agent02_Loans!G184)</f>
        <v/>
      </c>
      <c r="H372" s="40" t="str">
        <f>IF(Agent02_Loans!B184="","",Agent02_Loans!H184)</f>
        <v/>
      </c>
      <c r="I372" s="43" t="str">
        <f>IF(Agent02_Loans!B184="","",Agent02_Loans!I184)</f>
        <v/>
      </c>
      <c r="J372" s="43" t="str">
        <f>IF(Agent02_Loans!B184="","",Agent02_Loans!J184)</f>
        <v/>
      </c>
      <c r="K372" s="40" t="str">
        <f>IF(Agent02_Loans!B184="","",Agent02_Loans!K184)</f>
        <v/>
      </c>
      <c r="L372" s="40" t="str">
        <f>IF(Agent02_Loans!B184="","",Agent02_Loans!L184)</f>
        <v/>
      </c>
      <c r="M372" s="40" t="str">
        <f>IFERROR(IF(Agent02_Loans!B184="","",YEAR(Agent02_Loans!D184)),"")</f>
        <v/>
      </c>
    </row>
    <row r="373" spans="1:13" ht="18" customHeight="1" x14ac:dyDescent="0.25">
      <c r="A373" s="40" t="str">
        <f>IF(Agent02_Loans!B185="","",Agent02_Loans!A185)</f>
        <v/>
      </c>
      <c r="B373" s="40" t="str">
        <f>IF(Agent02_Loans!B185="","",Agent02_Loans!B185)</f>
        <v/>
      </c>
      <c r="C373" s="40" t="str">
        <f>IF(Agent02_Loans!B185="","",Agent02_Loans!C185)</f>
        <v/>
      </c>
      <c r="D373" s="41" t="str">
        <f>IF(Agent02_Loans!B185="","",Agent02_Loans!D185)</f>
        <v/>
      </c>
      <c r="E373" s="43" t="str">
        <f>IF(Agent02_Loans!B185="","",Agent02_Loans!E185)</f>
        <v/>
      </c>
      <c r="F373" s="40" t="str">
        <f>IF(Agent02_Loans!B185="","",Agent02_Loans!F185)</f>
        <v/>
      </c>
      <c r="G373" s="40" t="str">
        <f>IF(Agent02_Loans!B185="","",Agent02_Loans!G185)</f>
        <v/>
      </c>
      <c r="H373" s="40" t="str">
        <f>IF(Agent02_Loans!B185="","",Agent02_Loans!H185)</f>
        <v/>
      </c>
      <c r="I373" s="43" t="str">
        <f>IF(Agent02_Loans!B185="","",Agent02_Loans!I185)</f>
        <v/>
      </c>
      <c r="J373" s="43" t="str">
        <f>IF(Agent02_Loans!B185="","",Agent02_Loans!J185)</f>
        <v/>
      </c>
      <c r="K373" s="40" t="str">
        <f>IF(Agent02_Loans!B185="","",Agent02_Loans!K185)</f>
        <v/>
      </c>
      <c r="L373" s="40" t="str">
        <f>IF(Agent02_Loans!B185="","",Agent02_Loans!L185)</f>
        <v/>
      </c>
      <c r="M373" s="40" t="str">
        <f>IFERROR(IF(Agent02_Loans!B185="","",YEAR(Agent02_Loans!D185)),"")</f>
        <v/>
      </c>
    </row>
    <row r="374" spans="1:13" ht="18" customHeight="1" x14ac:dyDescent="0.25">
      <c r="A374" s="40" t="str">
        <f>IF(Agent02_Loans!B186="","",Agent02_Loans!A186)</f>
        <v/>
      </c>
      <c r="B374" s="40" t="str">
        <f>IF(Agent02_Loans!B186="","",Agent02_Loans!B186)</f>
        <v/>
      </c>
      <c r="C374" s="40" t="str">
        <f>IF(Agent02_Loans!B186="","",Agent02_Loans!C186)</f>
        <v/>
      </c>
      <c r="D374" s="41" t="str">
        <f>IF(Agent02_Loans!B186="","",Agent02_Loans!D186)</f>
        <v/>
      </c>
      <c r="E374" s="43" t="str">
        <f>IF(Agent02_Loans!B186="","",Agent02_Loans!E186)</f>
        <v/>
      </c>
      <c r="F374" s="40" t="str">
        <f>IF(Agent02_Loans!B186="","",Agent02_Loans!F186)</f>
        <v/>
      </c>
      <c r="G374" s="40" t="str">
        <f>IF(Agent02_Loans!B186="","",Agent02_Loans!G186)</f>
        <v/>
      </c>
      <c r="H374" s="40" t="str">
        <f>IF(Agent02_Loans!B186="","",Agent02_Loans!H186)</f>
        <v/>
      </c>
      <c r="I374" s="43" t="str">
        <f>IF(Agent02_Loans!B186="","",Agent02_Loans!I186)</f>
        <v/>
      </c>
      <c r="J374" s="43" t="str">
        <f>IF(Agent02_Loans!B186="","",Agent02_Loans!J186)</f>
        <v/>
      </c>
      <c r="K374" s="40" t="str">
        <f>IF(Agent02_Loans!B186="","",Agent02_Loans!K186)</f>
        <v/>
      </c>
      <c r="L374" s="40" t="str">
        <f>IF(Agent02_Loans!B186="","",Agent02_Loans!L186)</f>
        <v/>
      </c>
      <c r="M374" s="40" t="str">
        <f>IFERROR(IF(Agent02_Loans!B186="","",YEAR(Agent02_Loans!D186)),"")</f>
        <v/>
      </c>
    </row>
    <row r="375" spans="1:13" ht="18" customHeight="1" x14ac:dyDescent="0.25">
      <c r="A375" s="40" t="str">
        <f>IF(Agent02_Loans!B187="","",Agent02_Loans!A187)</f>
        <v/>
      </c>
      <c r="B375" s="40" t="str">
        <f>IF(Agent02_Loans!B187="","",Agent02_Loans!B187)</f>
        <v/>
      </c>
      <c r="C375" s="40" t="str">
        <f>IF(Agent02_Loans!B187="","",Agent02_Loans!C187)</f>
        <v/>
      </c>
      <c r="D375" s="41" t="str">
        <f>IF(Agent02_Loans!B187="","",Agent02_Loans!D187)</f>
        <v/>
      </c>
      <c r="E375" s="43" t="str">
        <f>IF(Agent02_Loans!B187="","",Agent02_Loans!E187)</f>
        <v/>
      </c>
      <c r="F375" s="40" t="str">
        <f>IF(Agent02_Loans!B187="","",Agent02_Loans!F187)</f>
        <v/>
      </c>
      <c r="G375" s="40" t="str">
        <f>IF(Agent02_Loans!B187="","",Agent02_Loans!G187)</f>
        <v/>
      </c>
      <c r="H375" s="40" t="str">
        <f>IF(Agent02_Loans!B187="","",Agent02_Loans!H187)</f>
        <v/>
      </c>
      <c r="I375" s="43" t="str">
        <f>IF(Agent02_Loans!B187="","",Agent02_Loans!I187)</f>
        <v/>
      </c>
      <c r="J375" s="43" t="str">
        <f>IF(Agent02_Loans!B187="","",Agent02_Loans!J187)</f>
        <v/>
      </c>
      <c r="K375" s="40" t="str">
        <f>IF(Agent02_Loans!B187="","",Agent02_Loans!K187)</f>
        <v/>
      </c>
      <c r="L375" s="40" t="str">
        <f>IF(Agent02_Loans!B187="","",Agent02_Loans!L187)</f>
        <v/>
      </c>
      <c r="M375" s="40" t="str">
        <f>IFERROR(IF(Agent02_Loans!B187="","",YEAR(Agent02_Loans!D187)),"")</f>
        <v/>
      </c>
    </row>
    <row r="376" spans="1:13" ht="18" customHeight="1" x14ac:dyDescent="0.25">
      <c r="A376" s="40" t="str">
        <f>IF(Agent02_Loans!B188="","",Agent02_Loans!A188)</f>
        <v/>
      </c>
      <c r="B376" s="40" t="str">
        <f>IF(Agent02_Loans!B188="","",Agent02_Loans!B188)</f>
        <v/>
      </c>
      <c r="C376" s="40" t="str">
        <f>IF(Agent02_Loans!B188="","",Agent02_Loans!C188)</f>
        <v/>
      </c>
      <c r="D376" s="41" t="str">
        <f>IF(Agent02_Loans!B188="","",Agent02_Loans!D188)</f>
        <v/>
      </c>
      <c r="E376" s="43" t="str">
        <f>IF(Agent02_Loans!B188="","",Agent02_Loans!E188)</f>
        <v/>
      </c>
      <c r="F376" s="40" t="str">
        <f>IF(Agent02_Loans!B188="","",Agent02_Loans!F188)</f>
        <v/>
      </c>
      <c r="G376" s="40" t="str">
        <f>IF(Agent02_Loans!B188="","",Agent02_Loans!G188)</f>
        <v/>
      </c>
      <c r="H376" s="40" t="str">
        <f>IF(Agent02_Loans!B188="","",Agent02_Loans!H188)</f>
        <v/>
      </c>
      <c r="I376" s="43" t="str">
        <f>IF(Agent02_Loans!B188="","",Agent02_Loans!I188)</f>
        <v/>
      </c>
      <c r="J376" s="43" t="str">
        <f>IF(Agent02_Loans!B188="","",Agent02_Loans!J188)</f>
        <v/>
      </c>
      <c r="K376" s="40" t="str">
        <f>IF(Agent02_Loans!B188="","",Agent02_Loans!K188)</f>
        <v/>
      </c>
      <c r="L376" s="40" t="str">
        <f>IF(Agent02_Loans!B188="","",Agent02_Loans!L188)</f>
        <v/>
      </c>
      <c r="M376" s="40" t="str">
        <f>IFERROR(IF(Agent02_Loans!B188="","",YEAR(Agent02_Loans!D188)),"")</f>
        <v/>
      </c>
    </row>
    <row r="377" spans="1:13" ht="18" customHeight="1" x14ac:dyDescent="0.25">
      <c r="A377" s="40" t="str">
        <f>IF(Agent02_Loans!B189="","",Agent02_Loans!A189)</f>
        <v/>
      </c>
      <c r="B377" s="40" t="str">
        <f>IF(Agent02_Loans!B189="","",Agent02_Loans!B189)</f>
        <v/>
      </c>
      <c r="C377" s="40" t="str">
        <f>IF(Agent02_Loans!B189="","",Agent02_Loans!C189)</f>
        <v/>
      </c>
      <c r="D377" s="41" t="str">
        <f>IF(Agent02_Loans!B189="","",Agent02_Loans!D189)</f>
        <v/>
      </c>
      <c r="E377" s="43" t="str">
        <f>IF(Agent02_Loans!B189="","",Agent02_Loans!E189)</f>
        <v/>
      </c>
      <c r="F377" s="40" t="str">
        <f>IF(Agent02_Loans!B189="","",Agent02_Loans!F189)</f>
        <v/>
      </c>
      <c r="G377" s="40" t="str">
        <f>IF(Agent02_Loans!B189="","",Agent02_Loans!G189)</f>
        <v/>
      </c>
      <c r="H377" s="40" t="str">
        <f>IF(Agent02_Loans!B189="","",Agent02_Loans!H189)</f>
        <v/>
      </c>
      <c r="I377" s="43" t="str">
        <f>IF(Agent02_Loans!B189="","",Agent02_Loans!I189)</f>
        <v/>
      </c>
      <c r="J377" s="43" t="str">
        <f>IF(Agent02_Loans!B189="","",Agent02_Loans!J189)</f>
        <v/>
      </c>
      <c r="K377" s="40" t="str">
        <f>IF(Agent02_Loans!B189="","",Agent02_Loans!K189)</f>
        <v/>
      </c>
      <c r="L377" s="40" t="str">
        <f>IF(Agent02_Loans!B189="","",Agent02_Loans!L189)</f>
        <v/>
      </c>
      <c r="M377" s="40" t="str">
        <f>IFERROR(IF(Agent02_Loans!B189="","",YEAR(Agent02_Loans!D189)),"")</f>
        <v/>
      </c>
    </row>
    <row r="378" spans="1:13" ht="18" customHeight="1" x14ac:dyDescent="0.25">
      <c r="A378" s="40" t="str">
        <f>IF(Agent02_Loans!B190="","",Agent02_Loans!A190)</f>
        <v/>
      </c>
      <c r="B378" s="40" t="str">
        <f>IF(Agent02_Loans!B190="","",Agent02_Loans!B190)</f>
        <v/>
      </c>
      <c r="C378" s="40" t="str">
        <f>IF(Agent02_Loans!B190="","",Agent02_Loans!C190)</f>
        <v/>
      </c>
      <c r="D378" s="41" t="str">
        <f>IF(Agent02_Loans!B190="","",Agent02_Loans!D190)</f>
        <v/>
      </c>
      <c r="E378" s="43" t="str">
        <f>IF(Agent02_Loans!B190="","",Agent02_Loans!E190)</f>
        <v/>
      </c>
      <c r="F378" s="40" t="str">
        <f>IF(Agent02_Loans!B190="","",Agent02_Loans!F190)</f>
        <v/>
      </c>
      <c r="G378" s="40" t="str">
        <f>IF(Agent02_Loans!B190="","",Agent02_Loans!G190)</f>
        <v/>
      </c>
      <c r="H378" s="40" t="str">
        <f>IF(Agent02_Loans!B190="","",Agent02_Loans!H190)</f>
        <v/>
      </c>
      <c r="I378" s="43" t="str">
        <f>IF(Agent02_Loans!B190="","",Agent02_Loans!I190)</f>
        <v/>
      </c>
      <c r="J378" s="43" t="str">
        <f>IF(Agent02_Loans!B190="","",Agent02_Loans!J190)</f>
        <v/>
      </c>
      <c r="K378" s="40" t="str">
        <f>IF(Agent02_Loans!B190="","",Agent02_Loans!K190)</f>
        <v/>
      </c>
      <c r="L378" s="40" t="str">
        <f>IF(Agent02_Loans!B190="","",Agent02_Loans!L190)</f>
        <v/>
      </c>
      <c r="M378" s="40" t="str">
        <f>IFERROR(IF(Agent02_Loans!B190="","",YEAR(Agent02_Loans!D190)),"")</f>
        <v/>
      </c>
    </row>
    <row r="379" spans="1:13" ht="18" customHeight="1" x14ac:dyDescent="0.25">
      <c r="A379" s="40" t="str">
        <f>IF(Agent02_Loans!B191="","",Agent02_Loans!A191)</f>
        <v/>
      </c>
      <c r="B379" s="40" t="str">
        <f>IF(Agent02_Loans!B191="","",Agent02_Loans!B191)</f>
        <v/>
      </c>
      <c r="C379" s="40" t="str">
        <f>IF(Agent02_Loans!B191="","",Agent02_Loans!C191)</f>
        <v/>
      </c>
      <c r="D379" s="41" t="str">
        <f>IF(Agent02_Loans!B191="","",Agent02_Loans!D191)</f>
        <v/>
      </c>
      <c r="E379" s="43" t="str">
        <f>IF(Agent02_Loans!B191="","",Agent02_Loans!E191)</f>
        <v/>
      </c>
      <c r="F379" s="40" t="str">
        <f>IF(Agent02_Loans!B191="","",Agent02_Loans!F191)</f>
        <v/>
      </c>
      <c r="G379" s="40" t="str">
        <f>IF(Agent02_Loans!B191="","",Agent02_Loans!G191)</f>
        <v/>
      </c>
      <c r="H379" s="40" t="str">
        <f>IF(Agent02_Loans!B191="","",Agent02_Loans!H191)</f>
        <v/>
      </c>
      <c r="I379" s="43" t="str">
        <f>IF(Agent02_Loans!B191="","",Agent02_Loans!I191)</f>
        <v/>
      </c>
      <c r="J379" s="43" t="str">
        <f>IF(Agent02_Loans!B191="","",Agent02_Loans!J191)</f>
        <v/>
      </c>
      <c r="K379" s="40" t="str">
        <f>IF(Agent02_Loans!B191="","",Agent02_Loans!K191)</f>
        <v/>
      </c>
      <c r="L379" s="40" t="str">
        <f>IF(Agent02_Loans!B191="","",Agent02_Loans!L191)</f>
        <v/>
      </c>
      <c r="M379" s="40" t="str">
        <f>IFERROR(IF(Agent02_Loans!B191="","",YEAR(Agent02_Loans!D191)),"")</f>
        <v/>
      </c>
    </row>
    <row r="380" spans="1:13" ht="18" customHeight="1" x14ac:dyDescent="0.25">
      <c r="A380" s="40" t="str">
        <f>IF(Agent02_Loans!B192="","",Agent02_Loans!A192)</f>
        <v/>
      </c>
      <c r="B380" s="40" t="str">
        <f>IF(Agent02_Loans!B192="","",Agent02_Loans!B192)</f>
        <v/>
      </c>
      <c r="C380" s="40" t="str">
        <f>IF(Agent02_Loans!B192="","",Agent02_Loans!C192)</f>
        <v/>
      </c>
      <c r="D380" s="41" t="str">
        <f>IF(Agent02_Loans!B192="","",Agent02_Loans!D192)</f>
        <v/>
      </c>
      <c r="E380" s="43" t="str">
        <f>IF(Agent02_Loans!B192="","",Agent02_Loans!E192)</f>
        <v/>
      </c>
      <c r="F380" s="40" t="str">
        <f>IF(Agent02_Loans!B192="","",Agent02_Loans!F192)</f>
        <v/>
      </c>
      <c r="G380" s="40" t="str">
        <f>IF(Agent02_Loans!B192="","",Agent02_Loans!G192)</f>
        <v/>
      </c>
      <c r="H380" s="40" t="str">
        <f>IF(Agent02_Loans!B192="","",Agent02_Loans!H192)</f>
        <v/>
      </c>
      <c r="I380" s="43" t="str">
        <f>IF(Agent02_Loans!B192="","",Agent02_Loans!I192)</f>
        <v/>
      </c>
      <c r="J380" s="43" t="str">
        <f>IF(Agent02_Loans!B192="","",Agent02_Loans!J192)</f>
        <v/>
      </c>
      <c r="K380" s="40" t="str">
        <f>IF(Agent02_Loans!B192="","",Agent02_Loans!K192)</f>
        <v/>
      </c>
      <c r="L380" s="40" t="str">
        <f>IF(Agent02_Loans!B192="","",Agent02_Loans!L192)</f>
        <v/>
      </c>
      <c r="M380" s="40" t="str">
        <f>IFERROR(IF(Agent02_Loans!B192="","",YEAR(Agent02_Loans!D192)),"")</f>
        <v/>
      </c>
    </row>
    <row r="381" spans="1:13" ht="18" customHeight="1" x14ac:dyDescent="0.25">
      <c r="A381" s="40" t="str">
        <f>IF(Agent02_Loans!B193="","",Agent02_Loans!A193)</f>
        <v/>
      </c>
      <c r="B381" s="40" t="str">
        <f>IF(Agent02_Loans!B193="","",Agent02_Loans!B193)</f>
        <v/>
      </c>
      <c r="C381" s="40" t="str">
        <f>IF(Agent02_Loans!B193="","",Agent02_Loans!C193)</f>
        <v/>
      </c>
      <c r="D381" s="41" t="str">
        <f>IF(Agent02_Loans!B193="","",Agent02_Loans!D193)</f>
        <v/>
      </c>
      <c r="E381" s="43" t="str">
        <f>IF(Agent02_Loans!B193="","",Agent02_Loans!E193)</f>
        <v/>
      </c>
      <c r="F381" s="40" t="str">
        <f>IF(Agent02_Loans!B193="","",Agent02_Loans!F193)</f>
        <v/>
      </c>
      <c r="G381" s="40" t="str">
        <f>IF(Agent02_Loans!B193="","",Agent02_Loans!G193)</f>
        <v/>
      </c>
      <c r="H381" s="40" t="str">
        <f>IF(Agent02_Loans!B193="","",Agent02_Loans!H193)</f>
        <v/>
      </c>
      <c r="I381" s="43" t="str">
        <f>IF(Agent02_Loans!B193="","",Agent02_Loans!I193)</f>
        <v/>
      </c>
      <c r="J381" s="43" t="str">
        <f>IF(Agent02_Loans!B193="","",Agent02_Loans!J193)</f>
        <v/>
      </c>
      <c r="K381" s="40" t="str">
        <f>IF(Agent02_Loans!B193="","",Agent02_Loans!K193)</f>
        <v/>
      </c>
      <c r="L381" s="40" t="str">
        <f>IF(Agent02_Loans!B193="","",Agent02_Loans!L193)</f>
        <v/>
      </c>
      <c r="M381" s="40" t="str">
        <f>IFERROR(IF(Agent02_Loans!B193="","",YEAR(Agent02_Loans!D193)),"")</f>
        <v/>
      </c>
    </row>
    <row r="382" spans="1:13" ht="18" customHeight="1" x14ac:dyDescent="0.25">
      <c r="A382" s="40" t="str">
        <f>IF(Agent02_Loans!B194="","",Agent02_Loans!A194)</f>
        <v/>
      </c>
      <c r="B382" s="40" t="str">
        <f>IF(Agent02_Loans!B194="","",Agent02_Loans!B194)</f>
        <v/>
      </c>
      <c r="C382" s="40" t="str">
        <f>IF(Agent02_Loans!B194="","",Agent02_Loans!C194)</f>
        <v/>
      </c>
      <c r="D382" s="41" t="str">
        <f>IF(Agent02_Loans!B194="","",Agent02_Loans!D194)</f>
        <v/>
      </c>
      <c r="E382" s="43" t="str">
        <f>IF(Agent02_Loans!B194="","",Agent02_Loans!E194)</f>
        <v/>
      </c>
      <c r="F382" s="40" t="str">
        <f>IF(Agent02_Loans!B194="","",Agent02_Loans!F194)</f>
        <v/>
      </c>
      <c r="G382" s="40" t="str">
        <f>IF(Agent02_Loans!B194="","",Agent02_Loans!G194)</f>
        <v/>
      </c>
      <c r="H382" s="40" t="str">
        <f>IF(Agent02_Loans!B194="","",Agent02_Loans!H194)</f>
        <v/>
      </c>
      <c r="I382" s="43" t="str">
        <f>IF(Agent02_Loans!B194="","",Agent02_Loans!I194)</f>
        <v/>
      </c>
      <c r="J382" s="43" t="str">
        <f>IF(Agent02_Loans!B194="","",Agent02_Loans!J194)</f>
        <v/>
      </c>
      <c r="K382" s="40" t="str">
        <f>IF(Agent02_Loans!B194="","",Agent02_Loans!K194)</f>
        <v/>
      </c>
      <c r="L382" s="40" t="str">
        <f>IF(Agent02_Loans!B194="","",Agent02_Loans!L194)</f>
        <v/>
      </c>
      <c r="M382" s="40" t="str">
        <f>IFERROR(IF(Agent02_Loans!B194="","",YEAR(Agent02_Loans!D194)),"")</f>
        <v/>
      </c>
    </row>
    <row r="383" spans="1:13" ht="18" customHeight="1" x14ac:dyDescent="0.25">
      <c r="A383" s="40" t="str">
        <f>IF(Agent02_Loans!B195="","",Agent02_Loans!A195)</f>
        <v/>
      </c>
      <c r="B383" s="40" t="str">
        <f>IF(Agent02_Loans!B195="","",Agent02_Loans!B195)</f>
        <v/>
      </c>
      <c r="C383" s="40" t="str">
        <f>IF(Agent02_Loans!B195="","",Agent02_Loans!C195)</f>
        <v/>
      </c>
      <c r="D383" s="41" t="str">
        <f>IF(Agent02_Loans!B195="","",Agent02_Loans!D195)</f>
        <v/>
      </c>
      <c r="E383" s="43" t="str">
        <f>IF(Agent02_Loans!B195="","",Agent02_Loans!E195)</f>
        <v/>
      </c>
      <c r="F383" s="40" t="str">
        <f>IF(Agent02_Loans!B195="","",Agent02_Loans!F195)</f>
        <v/>
      </c>
      <c r="G383" s="40" t="str">
        <f>IF(Agent02_Loans!B195="","",Agent02_Loans!G195)</f>
        <v/>
      </c>
      <c r="H383" s="40" t="str">
        <f>IF(Agent02_Loans!B195="","",Agent02_Loans!H195)</f>
        <v/>
      </c>
      <c r="I383" s="43" t="str">
        <f>IF(Agent02_Loans!B195="","",Agent02_Loans!I195)</f>
        <v/>
      </c>
      <c r="J383" s="43" t="str">
        <f>IF(Agent02_Loans!B195="","",Agent02_Loans!J195)</f>
        <v/>
      </c>
      <c r="K383" s="40" t="str">
        <f>IF(Agent02_Loans!B195="","",Agent02_Loans!K195)</f>
        <v/>
      </c>
      <c r="L383" s="40" t="str">
        <f>IF(Agent02_Loans!B195="","",Agent02_Loans!L195)</f>
        <v/>
      </c>
      <c r="M383" s="40" t="str">
        <f>IFERROR(IF(Agent02_Loans!B195="","",YEAR(Agent02_Loans!D195)),"")</f>
        <v/>
      </c>
    </row>
    <row r="384" spans="1:13" ht="18" customHeight="1" x14ac:dyDescent="0.25">
      <c r="A384" s="40" t="str">
        <f>IF(Agent02_Loans!B196="","",Agent02_Loans!A196)</f>
        <v/>
      </c>
      <c r="B384" s="40" t="str">
        <f>IF(Agent02_Loans!B196="","",Agent02_Loans!B196)</f>
        <v/>
      </c>
      <c r="C384" s="40" t="str">
        <f>IF(Agent02_Loans!B196="","",Agent02_Loans!C196)</f>
        <v/>
      </c>
      <c r="D384" s="41" t="str">
        <f>IF(Agent02_Loans!B196="","",Agent02_Loans!D196)</f>
        <v/>
      </c>
      <c r="E384" s="43" t="str">
        <f>IF(Agent02_Loans!B196="","",Agent02_Loans!E196)</f>
        <v/>
      </c>
      <c r="F384" s="40" t="str">
        <f>IF(Agent02_Loans!B196="","",Agent02_Loans!F196)</f>
        <v/>
      </c>
      <c r="G384" s="40" t="str">
        <f>IF(Agent02_Loans!B196="","",Agent02_Loans!G196)</f>
        <v/>
      </c>
      <c r="H384" s="40" t="str">
        <f>IF(Agent02_Loans!B196="","",Agent02_Loans!H196)</f>
        <v/>
      </c>
      <c r="I384" s="43" t="str">
        <f>IF(Agent02_Loans!B196="","",Agent02_Loans!I196)</f>
        <v/>
      </c>
      <c r="J384" s="43" t="str">
        <f>IF(Agent02_Loans!B196="","",Agent02_Loans!J196)</f>
        <v/>
      </c>
      <c r="K384" s="40" t="str">
        <f>IF(Agent02_Loans!B196="","",Agent02_Loans!K196)</f>
        <v/>
      </c>
      <c r="L384" s="40" t="str">
        <f>IF(Agent02_Loans!B196="","",Agent02_Loans!L196)</f>
        <v/>
      </c>
      <c r="M384" s="40" t="str">
        <f>IFERROR(IF(Agent02_Loans!B196="","",YEAR(Agent02_Loans!D196)),"")</f>
        <v/>
      </c>
    </row>
    <row r="385" spans="1:13" ht="18" customHeight="1" x14ac:dyDescent="0.25">
      <c r="A385" s="40" t="str">
        <f>IF(Agent02_Loans!B197="","",Agent02_Loans!A197)</f>
        <v/>
      </c>
      <c r="B385" s="40" t="str">
        <f>IF(Agent02_Loans!B197="","",Agent02_Loans!B197)</f>
        <v/>
      </c>
      <c r="C385" s="40" t="str">
        <f>IF(Agent02_Loans!B197="","",Agent02_Loans!C197)</f>
        <v/>
      </c>
      <c r="D385" s="41" t="str">
        <f>IF(Agent02_Loans!B197="","",Agent02_Loans!D197)</f>
        <v/>
      </c>
      <c r="E385" s="43" t="str">
        <f>IF(Agent02_Loans!B197="","",Agent02_Loans!E197)</f>
        <v/>
      </c>
      <c r="F385" s="40" t="str">
        <f>IF(Agent02_Loans!B197="","",Agent02_Loans!F197)</f>
        <v/>
      </c>
      <c r="G385" s="40" t="str">
        <f>IF(Agent02_Loans!B197="","",Agent02_Loans!G197)</f>
        <v/>
      </c>
      <c r="H385" s="40" t="str">
        <f>IF(Agent02_Loans!B197="","",Agent02_Loans!H197)</f>
        <v/>
      </c>
      <c r="I385" s="43" t="str">
        <f>IF(Agent02_Loans!B197="","",Agent02_Loans!I197)</f>
        <v/>
      </c>
      <c r="J385" s="43" t="str">
        <f>IF(Agent02_Loans!B197="","",Agent02_Loans!J197)</f>
        <v/>
      </c>
      <c r="K385" s="40" t="str">
        <f>IF(Agent02_Loans!B197="","",Agent02_Loans!K197)</f>
        <v/>
      </c>
      <c r="L385" s="40" t="str">
        <f>IF(Agent02_Loans!B197="","",Agent02_Loans!L197)</f>
        <v/>
      </c>
      <c r="M385" s="40" t="str">
        <f>IFERROR(IF(Agent02_Loans!B197="","",YEAR(Agent02_Loans!D197)),"")</f>
        <v/>
      </c>
    </row>
    <row r="386" spans="1:13" ht="18" customHeight="1" x14ac:dyDescent="0.25">
      <c r="A386" s="40" t="str">
        <f>IF(Agent02_Loans!B198="","",Agent02_Loans!A198)</f>
        <v/>
      </c>
      <c r="B386" s="40" t="str">
        <f>IF(Agent02_Loans!B198="","",Agent02_Loans!B198)</f>
        <v/>
      </c>
      <c r="C386" s="40" t="str">
        <f>IF(Agent02_Loans!B198="","",Agent02_Loans!C198)</f>
        <v/>
      </c>
      <c r="D386" s="41" t="str">
        <f>IF(Agent02_Loans!B198="","",Agent02_Loans!D198)</f>
        <v/>
      </c>
      <c r="E386" s="43" t="str">
        <f>IF(Agent02_Loans!B198="","",Agent02_Loans!E198)</f>
        <v/>
      </c>
      <c r="F386" s="40" t="str">
        <f>IF(Agent02_Loans!B198="","",Agent02_Loans!F198)</f>
        <v/>
      </c>
      <c r="G386" s="40" t="str">
        <f>IF(Agent02_Loans!B198="","",Agent02_Loans!G198)</f>
        <v/>
      </c>
      <c r="H386" s="40" t="str">
        <f>IF(Agent02_Loans!B198="","",Agent02_Loans!H198)</f>
        <v/>
      </c>
      <c r="I386" s="43" t="str">
        <f>IF(Agent02_Loans!B198="","",Agent02_Loans!I198)</f>
        <v/>
      </c>
      <c r="J386" s="43" t="str">
        <f>IF(Agent02_Loans!B198="","",Agent02_Loans!J198)</f>
        <v/>
      </c>
      <c r="K386" s="40" t="str">
        <f>IF(Agent02_Loans!B198="","",Agent02_Loans!K198)</f>
        <v/>
      </c>
      <c r="L386" s="40" t="str">
        <f>IF(Agent02_Loans!B198="","",Agent02_Loans!L198)</f>
        <v/>
      </c>
      <c r="M386" s="40" t="str">
        <f>IFERROR(IF(Agent02_Loans!B198="","",YEAR(Agent02_Loans!D198)),"")</f>
        <v/>
      </c>
    </row>
    <row r="387" spans="1:13" ht="18" customHeight="1" x14ac:dyDescent="0.25">
      <c r="A387" s="40" t="str">
        <f>IF(Agent02_Loans!B199="","",Agent02_Loans!A199)</f>
        <v/>
      </c>
      <c r="B387" s="40" t="str">
        <f>IF(Agent02_Loans!B199="","",Agent02_Loans!B199)</f>
        <v/>
      </c>
      <c r="C387" s="40" t="str">
        <f>IF(Agent02_Loans!B199="","",Agent02_Loans!C199)</f>
        <v/>
      </c>
      <c r="D387" s="41" t="str">
        <f>IF(Agent02_Loans!B199="","",Agent02_Loans!D199)</f>
        <v/>
      </c>
      <c r="E387" s="43" t="str">
        <f>IF(Agent02_Loans!B199="","",Agent02_Loans!E199)</f>
        <v/>
      </c>
      <c r="F387" s="40" t="str">
        <f>IF(Agent02_Loans!B199="","",Agent02_Loans!F199)</f>
        <v/>
      </c>
      <c r="G387" s="40" t="str">
        <f>IF(Agent02_Loans!B199="","",Agent02_Loans!G199)</f>
        <v/>
      </c>
      <c r="H387" s="40" t="str">
        <f>IF(Agent02_Loans!B199="","",Agent02_Loans!H199)</f>
        <v/>
      </c>
      <c r="I387" s="43" t="str">
        <f>IF(Agent02_Loans!B199="","",Agent02_Loans!I199)</f>
        <v/>
      </c>
      <c r="J387" s="43" t="str">
        <f>IF(Agent02_Loans!B199="","",Agent02_Loans!J199)</f>
        <v/>
      </c>
      <c r="K387" s="40" t="str">
        <f>IF(Agent02_Loans!B199="","",Agent02_Loans!K199)</f>
        <v/>
      </c>
      <c r="L387" s="40" t="str">
        <f>IF(Agent02_Loans!B199="","",Agent02_Loans!L199)</f>
        <v/>
      </c>
      <c r="M387" s="40" t="str">
        <f>IFERROR(IF(Agent02_Loans!B199="","",YEAR(Agent02_Loans!D199)),"")</f>
        <v/>
      </c>
    </row>
    <row r="388" spans="1:13" ht="18" customHeight="1" x14ac:dyDescent="0.25">
      <c r="A388" s="40" t="str">
        <f>IF(Agent02_Loans!B200="","",Agent02_Loans!A200)</f>
        <v/>
      </c>
      <c r="B388" s="40" t="str">
        <f>IF(Agent02_Loans!B200="","",Agent02_Loans!B200)</f>
        <v/>
      </c>
      <c r="C388" s="40" t="str">
        <f>IF(Agent02_Loans!B200="","",Agent02_Loans!C200)</f>
        <v/>
      </c>
      <c r="D388" s="41" t="str">
        <f>IF(Agent02_Loans!B200="","",Agent02_Loans!D200)</f>
        <v/>
      </c>
      <c r="E388" s="43" t="str">
        <f>IF(Agent02_Loans!B200="","",Agent02_Loans!E200)</f>
        <v/>
      </c>
      <c r="F388" s="40" t="str">
        <f>IF(Agent02_Loans!B200="","",Agent02_Loans!F200)</f>
        <v/>
      </c>
      <c r="G388" s="40" t="str">
        <f>IF(Agent02_Loans!B200="","",Agent02_Loans!G200)</f>
        <v/>
      </c>
      <c r="H388" s="40" t="str">
        <f>IF(Agent02_Loans!B200="","",Agent02_Loans!H200)</f>
        <v/>
      </c>
      <c r="I388" s="43" t="str">
        <f>IF(Agent02_Loans!B200="","",Agent02_Loans!I200)</f>
        <v/>
      </c>
      <c r="J388" s="43" t="str">
        <f>IF(Agent02_Loans!B200="","",Agent02_Loans!J200)</f>
        <v/>
      </c>
      <c r="K388" s="40" t="str">
        <f>IF(Agent02_Loans!B200="","",Agent02_Loans!K200)</f>
        <v/>
      </c>
      <c r="L388" s="40" t="str">
        <f>IF(Agent02_Loans!B200="","",Agent02_Loans!L200)</f>
        <v/>
      </c>
      <c r="M388" s="40" t="str">
        <f>IFERROR(IF(Agent02_Loans!B200="","",YEAR(Agent02_Loans!D200)),"")</f>
        <v/>
      </c>
    </row>
    <row r="389" spans="1:13" ht="18" customHeight="1" x14ac:dyDescent="0.25">
      <c r="A389" s="40" t="str">
        <f>IF(Agent02_Loans!B201="","",Agent02_Loans!A201)</f>
        <v/>
      </c>
      <c r="B389" s="40" t="str">
        <f>IF(Agent02_Loans!B201="","",Agent02_Loans!B201)</f>
        <v/>
      </c>
      <c r="C389" s="40" t="str">
        <f>IF(Agent02_Loans!B201="","",Agent02_Loans!C201)</f>
        <v/>
      </c>
      <c r="D389" s="41" t="str">
        <f>IF(Agent02_Loans!B201="","",Agent02_Loans!D201)</f>
        <v/>
      </c>
      <c r="E389" s="43" t="str">
        <f>IF(Agent02_Loans!B201="","",Agent02_Loans!E201)</f>
        <v/>
      </c>
      <c r="F389" s="40" t="str">
        <f>IF(Agent02_Loans!B201="","",Agent02_Loans!F201)</f>
        <v/>
      </c>
      <c r="G389" s="40" t="str">
        <f>IF(Agent02_Loans!B201="","",Agent02_Loans!G201)</f>
        <v/>
      </c>
      <c r="H389" s="40" t="str">
        <f>IF(Agent02_Loans!B201="","",Agent02_Loans!H201)</f>
        <v/>
      </c>
      <c r="I389" s="43" t="str">
        <f>IF(Agent02_Loans!B201="","",Agent02_Loans!I201)</f>
        <v/>
      </c>
      <c r="J389" s="43" t="str">
        <f>IF(Agent02_Loans!B201="","",Agent02_Loans!J201)</f>
        <v/>
      </c>
      <c r="K389" s="40" t="str">
        <f>IF(Agent02_Loans!B201="","",Agent02_Loans!K201)</f>
        <v/>
      </c>
      <c r="L389" s="40" t="str">
        <f>IF(Agent02_Loans!B201="","",Agent02_Loans!L201)</f>
        <v/>
      </c>
      <c r="M389" s="40" t="str">
        <f>IFERROR(IF(Agent02_Loans!B201="","",YEAR(Agent02_Loans!D201)),"")</f>
        <v/>
      </c>
    </row>
    <row r="390" spans="1:13" ht="18" customHeight="1" x14ac:dyDescent="0.25">
      <c r="A390" s="40" t="str">
        <f>IF(Agent02_Loans!B202="","",Agent02_Loans!A202)</f>
        <v/>
      </c>
      <c r="B390" s="40" t="str">
        <f>IF(Agent02_Loans!B202="","",Agent02_Loans!B202)</f>
        <v/>
      </c>
      <c r="C390" s="40" t="str">
        <f>IF(Agent02_Loans!B202="","",Agent02_Loans!C202)</f>
        <v/>
      </c>
      <c r="D390" s="41" t="str">
        <f>IF(Agent02_Loans!B202="","",Agent02_Loans!D202)</f>
        <v/>
      </c>
      <c r="E390" s="43" t="str">
        <f>IF(Agent02_Loans!B202="","",Agent02_Loans!E202)</f>
        <v/>
      </c>
      <c r="F390" s="40" t="str">
        <f>IF(Agent02_Loans!B202="","",Agent02_Loans!F202)</f>
        <v/>
      </c>
      <c r="G390" s="40" t="str">
        <f>IF(Agent02_Loans!B202="","",Agent02_Loans!G202)</f>
        <v/>
      </c>
      <c r="H390" s="40" t="str">
        <f>IF(Agent02_Loans!B202="","",Agent02_Loans!H202)</f>
        <v/>
      </c>
      <c r="I390" s="43" t="str">
        <f>IF(Agent02_Loans!B202="","",Agent02_Loans!I202)</f>
        <v/>
      </c>
      <c r="J390" s="43" t="str">
        <f>IF(Agent02_Loans!B202="","",Agent02_Loans!J202)</f>
        <v/>
      </c>
      <c r="K390" s="40" t="str">
        <f>IF(Agent02_Loans!B202="","",Agent02_Loans!K202)</f>
        <v/>
      </c>
      <c r="L390" s="40" t="str">
        <f>IF(Agent02_Loans!B202="","",Agent02_Loans!L202)</f>
        <v/>
      </c>
      <c r="M390" s="40" t="str">
        <f>IFERROR(IF(Agent02_Loans!B202="","",YEAR(Agent02_Loans!D202)),"")</f>
        <v/>
      </c>
    </row>
    <row r="391" spans="1:13" ht="18" customHeight="1" x14ac:dyDescent="0.25">
      <c r="A391" s="40" t="str">
        <f>IF(Agent02_Loans!B203="","",Agent02_Loans!A203)</f>
        <v/>
      </c>
      <c r="B391" s="40" t="str">
        <f>IF(Agent02_Loans!B203="","",Agent02_Loans!B203)</f>
        <v/>
      </c>
      <c r="C391" s="40" t="str">
        <f>IF(Agent02_Loans!B203="","",Agent02_Loans!C203)</f>
        <v/>
      </c>
      <c r="D391" s="41" t="str">
        <f>IF(Agent02_Loans!B203="","",Agent02_Loans!D203)</f>
        <v/>
      </c>
      <c r="E391" s="43" t="str">
        <f>IF(Agent02_Loans!B203="","",Agent02_Loans!E203)</f>
        <v/>
      </c>
      <c r="F391" s="40" t="str">
        <f>IF(Agent02_Loans!B203="","",Agent02_Loans!F203)</f>
        <v/>
      </c>
      <c r="G391" s="40" t="str">
        <f>IF(Agent02_Loans!B203="","",Agent02_Loans!G203)</f>
        <v/>
      </c>
      <c r="H391" s="40" t="str">
        <f>IF(Agent02_Loans!B203="","",Agent02_Loans!H203)</f>
        <v/>
      </c>
      <c r="I391" s="43" t="str">
        <f>IF(Agent02_Loans!B203="","",Agent02_Loans!I203)</f>
        <v/>
      </c>
      <c r="J391" s="43" t="str">
        <f>IF(Agent02_Loans!B203="","",Agent02_Loans!J203)</f>
        <v/>
      </c>
      <c r="K391" s="40" t="str">
        <f>IF(Agent02_Loans!B203="","",Agent02_Loans!K203)</f>
        <v/>
      </c>
      <c r="L391" s="40" t="str">
        <f>IF(Agent02_Loans!B203="","",Agent02_Loans!L203)</f>
        <v/>
      </c>
      <c r="M391" s="40" t="str">
        <f>IFERROR(IF(Agent02_Loans!B203="","",YEAR(Agent02_Loans!D203)),"")</f>
        <v/>
      </c>
    </row>
    <row r="392" spans="1:13" ht="18" customHeight="1" x14ac:dyDescent="0.25">
      <c r="A392" s="40" t="str">
        <f>IF(Agent02_Loans!B204="","",Agent02_Loans!A204)</f>
        <v/>
      </c>
      <c r="B392" s="40" t="str">
        <f>IF(Agent02_Loans!B204="","",Agent02_Loans!B204)</f>
        <v/>
      </c>
      <c r="C392" s="40" t="str">
        <f>IF(Agent02_Loans!B204="","",Agent02_Loans!C204)</f>
        <v/>
      </c>
      <c r="D392" s="41" t="str">
        <f>IF(Agent02_Loans!B204="","",Agent02_Loans!D204)</f>
        <v/>
      </c>
      <c r="E392" s="43" t="str">
        <f>IF(Agent02_Loans!B204="","",Agent02_Loans!E204)</f>
        <v/>
      </c>
      <c r="F392" s="40" t="str">
        <f>IF(Agent02_Loans!B204="","",Agent02_Loans!F204)</f>
        <v/>
      </c>
      <c r="G392" s="40" t="str">
        <f>IF(Agent02_Loans!B204="","",Agent02_Loans!G204)</f>
        <v/>
      </c>
      <c r="H392" s="40" t="str">
        <f>IF(Agent02_Loans!B204="","",Agent02_Loans!H204)</f>
        <v/>
      </c>
      <c r="I392" s="43" t="str">
        <f>IF(Agent02_Loans!B204="","",Agent02_Loans!I204)</f>
        <v/>
      </c>
      <c r="J392" s="43" t="str">
        <f>IF(Agent02_Loans!B204="","",Agent02_Loans!J204)</f>
        <v/>
      </c>
      <c r="K392" s="40" t="str">
        <f>IF(Agent02_Loans!B204="","",Agent02_Loans!K204)</f>
        <v/>
      </c>
      <c r="L392" s="40" t="str">
        <f>IF(Agent02_Loans!B204="","",Agent02_Loans!L204)</f>
        <v/>
      </c>
      <c r="M392" s="40" t="str">
        <f>IFERROR(IF(Agent02_Loans!B204="","",YEAR(Agent02_Loans!D204)),"")</f>
        <v/>
      </c>
    </row>
    <row r="393" spans="1:13" ht="18" customHeight="1" x14ac:dyDescent="0.25">
      <c r="A393" s="40" t="str">
        <f>IF(Agent02_Loans!B205="","",Agent02_Loans!A205)</f>
        <v/>
      </c>
      <c r="B393" s="40" t="str">
        <f>IF(Agent02_Loans!B205="","",Agent02_Loans!B205)</f>
        <v/>
      </c>
      <c r="C393" s="40" t="str">
        <f>IF(Agent02_Loans!B205="","",Agent02_Loans!C205)</f>
        <v/>
      </c>
      <c r="D393" s="41" t="str">
        <f>IF(Agent02_Loans!B205="","",Agent02_Loans!D205)</f>
        <v/>
      </c>
      <c r="E393" s="43" t="str">
        <f>IF(Agent02_Loans!B205="","",Agent02_Loans!E205)</f>
        <v/>
      </c>
      <c r="F393" s="40" t="str">
        <f>IF(Agent02_Loans!B205="","",Agent02_Loans!F205)</f>
        <v/>
      </c>
      <c r="G393" s="40" t="str">
        <f>IF(Agent02_Loans!B205="","",Agent02_Loans!G205)</f>
        <v/>
      </c>
      <c r="H393" s="40" t="str">
        <f>IF(Agent02_Loans!B205="","",Agent02_Loans!H205)</f>
        <v/>
      </c>
      <c r="I393" s="43" t="str">
        <f>IF(Agent02_Loans!B205="","",Agent02_Loans!I205)</f>
        <v/>
      </c>
      <c r="J393" s="43" t="str">
        <f>IF(Agent02_Loans!B205="","",Agent02_Loans!J205)</f>
        <v/>
      </c>
      <c r="K393" s="40" t="str">
        <f>IF(Agent02_Loans!B205="","",Agent02_Loans!K205)</f>
        <v/>
      </c>
      <c r="L393" s="40" t="str">
        <f>IF(Agent02_Loans!B205="","",Agent02_Loans!L205)</f>
        <v/>
      </c>
      <c r="M393" s="40" t="str">
        <f>IFERROR(IF(Agent02_Loans!B205="","",YEAR(Agent02_Loans!D205)),"")</f>
        <v/>
      </c>
    </row>
    <row r="394" spans="1:13" ht="18" customHeight="1" x14ac:dyDescent="0.25">
      <c r="A394" s="40" t="str">
        <f>IF(Agent02_Loans!B206="","",Agent02_Loans!A206)</f>
        <v/>
      </c>
      <c r="B394" s="40" t="str">
        <f>IF(Agent02_Loans!B206="","",Agent02_Loans!B206)</f>
        <v/>
      </c>
      <c r="C394" s="40" t="str">
        <f>IF(Agent02_Loans!B206="","",Agent02_Loans!C206)</f>
        <v/>
      </c>
      <c r="D394" s="41" t="str">
        <f>IF(Agent02_Loans!B206="","",Agent02_Loans!D206)</f>
        <v/>
      </c>
      <c r="E394" s="43" t="str">
        <f>IF(Agent02_Loans!B206="","",Agent02_Loans!E206)</f>
        <v/>
      </c>
      <c r="F394" s="40" t="str">
        <f>IF(Agent02_Loans!B206="","",Agent02_Loans!F206)</f>
        <v/>
      </c>
      <c r="G394" s="40" t="str">
        <f>IF(Agent02_Loans!B206="","",Agent02_Loans!G206)</f>
        <v/>
      </c>
      <c r="H394" s="40" t="str">
        <f>IF(Agent02_Loans!B206="","",Agent02_Loans!H206)</f>
        <v/>
      </c>
      <c r="I394" s="43" t="str">
        <f>IF(Agent02_Loans!B206="","",Agent02_Loans!I206)</f>
        <v/>
      </c>
      <c r="J394" s="43" t="str">
        <f>IF(Agent02_Loans!B206="","",Agent02_Loans!J206)</f>
        <v/>
      </c>
      <c r="K394" s="40" t="str">
        <f>IF(Agent02_Loans!B206="","",Agent02_Loans!K206)</f>
        <v/>
      </c>
      <c r="L394" s="40" t="str">
        <f>IF(Agent02_Loans!B206="","",Agent02_Loans!L206)</f>
        <v/>
      </c>
      <c r="M394" s="40" t="str">
        <f>IFERROR(IF(Agent02_Loans!B206="","",YEAR(Agent02_Loans!D206)),"")</f>
        <v/>
      </c>
    </row>
    <row r="395" spans="1:13" ht="18" customHeight="1" x14ac:dyDescent="0.25">
      <c r="A395" s="40" t="str">
        <f>IF(Agent02_Loans!B207="","",Agent02_Loans!A207)</f>
        <v/>
      </c>
      <c r="B395" s="40" t="str">
        <f>IF(Agent02_Loans!B207="","",Agent02_Loans!B207)</f>
        <v/>
      </c>
      <c r="C395" s="40" t="str">
        <f>IF(Agent02_Loans!B207="","",Agent02_Loans!C207)</f>
        <v/>
      </c>
      <c r="D395" s="41" t="str">
        <f>IF(Agent02_Loans!B207="","",Agent02_Loans!D207)</f>
        <v/>
      </c>
      <c r="E395" s="43" t="str">
        <f>IF(Agent02_Loans!B207="","",Agent02_Loans!E207)</f>
        <v/>
      </c>
      <c r="F395" s="40" t="str">
        <f>IF(Agent02_Loans!B207="","",Agent02_Loans!F207)</f>
        <v/>
      </c>
      <c r="G395" s="40" t="str">
        <f>IF(Agent02_Loans!B207="","",Agent02_Loans!G207)</f>
        <v/>
      </c>
      <c r="H395" s="40" t="str">
        <f>IF(Agent02_Loans!B207="","",Agent02_Loans!H207)</f>
        <v/>
      </c>
      <c r="I395" s="43" t="str">
        <f>IF(Agent02_Loans!B207="","",Agent02_Loans!I207)</f>
        <v/>
      </c>
      <c r="J395" s="43" t="str">
        <f>IF(Agent02_Loans!B207="","",Agent02_Loans!J207)</f>
        <v/>
      </c>
      <c r="K395" s="40" t="str">
        <f>IF(Agent02_Loans!B207="","",Agent02_Loans!K207)</f>
        <v/>
      </c>
      <c r="L395" s="40" t="str">
        <f>IF(Agent02_Loans!B207="","",Agent02_Loans!L207)</f>
        <v/>
      </c>
      <c r="M395" s="40" t="str">
        <f>IFERROR(IF(Agent02_Loans!B207="","",YEAR(Agent02_Loans!D207)),"")</f>
        <v/>
      </c>
    </row>
    <row r="396" spans="1:13" ht="18" customHeight="1" x14ac:dyDescent="0.25">
      <c r="A396" s="40" t="str">
        <f>IF(Agent02_Loans!B208="","",Agent02_Loans!A208)</f>
        <v/>
      </c>
      <c r="B396" s="40" t="str">
        <f>IF(Agent02_Loans!B208="","",Agent02_Loans!B208)</f>
        <v/>
      </c>
      <c r="C396" s="40" t="str">
        <f>IF(Agent02_Loans!B208="","",Agent02_Loans!C208)</f>
        <v/>
      </c>
      <c r="D396" s="41" t="str">
        <f>IF(Agent02_Loans!B208="","",Agent02_Loans!D208)</f>
        <v/>
      </c>
      <c r="E396" s="43" t="str">
        <f>IF(Agent02_Loans!B208="","",Agent02_Loans!E208)</f>
        <v/>
      </c>
      <c r="F396" s="40" t="str">
        <f>IF(Agent02_Loans!B208="","",Agent02_Loans!F208)</f>
        <v/>
      </c>
      <c r="G396" s="40" t="str">
        <f>IF(Agent02_Loans!B208="","",Agent02_Loans!G208)</f>
        <v/>
      </c>
      <c r="H396" s="40" t="str">
        <f>IF(Agent02_Loans!B208="","",Agent02_Loans!H208)</f>
        <v/>
      </c>
      <c r="I396" s="43" t="str">
        <f>IF(Agent02_Loans!B208="","",Agent02_Loans!I208)</f>
        <v/>
      </c>
      <c r="J396" s="43" t="str">
        <f>IF(Agent02_Loans!B208="","",Agent02_Loans!J208)</f>
        <v/>
      </c>
      <c r="K396" s="40" t="str">
        <f>IF(Agent02_Loans!B208="","",Agent02_Loans!K208)</f>
        <v/>
      </c>
      <c r="L396" s="40" t="str">
        <f>IF(Agent02_Loans!B208="","",Agent02_Loans!L208)</f>
        <v/>
      </c>
      <c r="M396" s="40" t="str">
        <f>IFERROR(IF(Agent02_Loans!B208="","",YEAR(Agent02_Loans!D208)),"")</f>
        <v/>
      </c>
    </row>
    <row r="397" spans="1:13" ht="18" customHeight="1" x14ac:dyDescent="0.25">
      <c r="A397" s="40" t="str">
        <f>IF(Agent02_Loans!B209="","",Agent02_Loans!A209)</f>
        <v/>
      </c>
      <c r="B397" s="40" t="str">
        <f>IF(Agent02_Loans!B209="","",Agent02_Loans!B209)</f>
        <v/>
      </c>
      <c r="C397" s="40" t="str">
        <f>IF(Agent02_Loans!B209="","",Agent02_Loans!C209)</f>
        <v/>
      </c>
      <c r="D397" s="41" t="str">
        <f>IF(Agent02_Loans!B209="","",Agent02_Loans!D209)</f>
        <v/>
      </c>
      <c r="E397" s="43" t="str">
        <f>IF(Agent02_Loans!B209="","",Agent02_Loans!E209)</f>
        <v/>
      </c>
      <c r="F397" s="40" t="str">
        <f>IF(Agent02_Loans!B209="","",Agent02_Loans!F209)</f>
        <v/>
      </c>
      <c r="G397" s="40" t="str">
        <f>IF(Agent02_Loans!B209="","",Agent02_Loans!G209)</f>
        <v/>
      </c>
      <c r="H397" s="40" t="str">
        <f>IF(Agent02_Loans!B209="","",Agent02_Loans!H209)</f>
        <v/>
      </c>
      <c r="I397" s="43" t="str">
        <f>IF(Agent02_Loans!B209="","",Agent02_Loans!I209)</f>
        <v/>
      </c>
      <c r="J397" s="43" t="str">
        <f>IF(Agent02_Loans!B209="","",Agent02_Loans!J209)</f>
        <v/>
      </c>
      <c r="K397" s="40" t="str">
        <f>IF(Agent02_Loans!B209="","",Agent02_Loans!K209)</f>
        <v/>
      </c>
      <c r="L397" s="40" t="str">
        <f>IF(Agent02_Loans!B209="","",Agent02_Loans!L209)</f>
        <v/>
      </c>
      <c r="M397" s="40" t="str">
        <f>IFERROR(IF(Agent02_Loans!B209="","",YEAR(Agent02_Loans!D209)),"")</f>
        <v/>
      </c>
    </row>
    <row r="398" spans="1:13" ht="18" customHeight="1" x14ac:dyDescent="0.25">
      <c r="A398" s="40" t="str">
        <f>IF(Agent02_Loans!B210="","",Agent02_Loans!A210)</f>
        <v/>
      </c>
      <c r="B398" s="40" t="str">
        <f>IF(Agent02_Loans!B210="","",Agent02_Loans!B210)</f>
        <v/>
      </c>
      <c r="C398" s="40" t="str">
        <f>IF(Agent02_Loans!B210="","",Agent02_Loans!C210)</f>
        <v/>
      </c>
      <c r="D398" s="41" t="str">
        <f>IF(Agent02_Loans!B210="","",Agent02_Loans!D210)</f>
        <v/>
      </c>
      <c r="E398" s="43" t="str">
        <f>IF(Agent02_Loans!B210="","",Agent02_Loans!E210)</f>
        <v/>
      </c>
      <c r="F398" s="40" t="str">
        <f>IF(Agent02_Loans!B210="","",Agent02_Loans!F210)</f>
        <v/>
      </c>
      <c r="G398" s="40" t="str">
        <f>IF(Agent02_Loans!B210="","",Agent02_Loans!G210)</f>
        <v/>
      </c>
      <c r="H398" s="40" t="str">
        <f>IF(Agent02_Loans!B210="","",Agent02_Loans!H210)</f>
        <v/>
      </c>
      <c r="I398" s="43" t="str">
        <f>IF(Agent02_Loans!B210="","",Agent02_Loans!I210)</f>
        <v/>
      </c>
      <c r="J398" s="43" t="str">
        <f>IF(Agent02_Loans!B210="","",Agent02_Loans!J210)</f>
        <v/>
      </c>
      <c r="K398" s="40" t="str">
        <f>IF(Agent02_Loans!B210="","",Agent02_Loans!K210)</f>
        <v/>
      </c>
      <c r="L398" s="40" t="str">
        <f>IF(Agent02_Loans!B210="","",Agent02_Loans!L210)</f>
        <v/>
      </c>
      <c r="M398" s="40" t="str">
        <f>IFERROR(IF(Agent02_Loans!B210="","",YEAR(Agent02_Loans!D210)),"")</f>
        <v/>
      </c>
    </row>
    <row r="399" spans="1:13" ht="18" customHeight="1" x14ac:dyDescent="0.25">
      <c r="A399" s="40" t="str">
        <f>IF(Agent02_Loans!B211="","",Agent02_Loans!A211)</f>
        <v/>
      </c>
      <c r="B399" s="40" t="str">
        <f>IF(Agent02_Loans!B211="","",Agent02_Loans!B211)</f>
        <v/>
      </c>
      <c r="C399" s="40" t="str">
        <f>IF(Agent02_Loans!B211="","",Agent02_Loans!C211)</f>
        <v/>
      </c>
      <c r="D399" s="41" t="str">
        <f>IF(Agent02_Loans!B211="","",Agent02_Loans!D211)</f>
        <v/>
      </c>
      <c r="E399" s="43" t="str">
        <f>IF(Agent02_Loans!B211="","",Agent02_Loans!E211)</f>
        <v/>
      </c>
      <c r="F399" s="40" t="str">
        <f>IF(Agent02_Loans!B211="","",Agent02_Loans!F211)</f>
        <v/>
      </c>
      <c r="G399" s="40" t="str">
        <f>IF(Agent02_Loans!B211="","",Agent02_Loans!G211)</f>
        <v/>
      </c>
      <c r="H399" s="40" t="str">
        <f>IF(Agent02_Loans!B211="","",Agent02_Loans!H211)</f>
        <v/>
      </c>
      <c r="I399" s="43" t="str">
        <f>IF(Agent02_Loans!B211="","",Agent02_Loans!I211)</f>
        <v/>
      </c>
      <c r="J399" s="43" t="str">
        <f>IF(Agent02_Loans!B211="","",Agent02_Loans!J211)</f>
        <v/>
      </c>
      <c r="K399" s="40" t="str">
        <f>IF(Agent02_Loans!B211="","",Agent02_Loans!K211)</f>
        <v/>
      </c>
      <c r="L399" s="40" t="str">
        <f>IF(Agent02_Loans!B211="","",Agent02_Loans!L211)</f>
        <v/>
      </c>
      <c r="M399" s="40" t="str">
        <f>IFERROR(IF(Agent02_Loans!B211="","",YEAR(Agent02_Loans!D211)),"")</f>
        <v/>
      </c>
    </row>
    <row r="400" spans="1:13" ht="18" customHeight="1" x14ac:dyDescent="0.25">
      <c r="A400" s="40" t="str">
        <f>IF(Agent02_Loans!B212="","",Agent02_Loans!A212)</f>
        <v/>
      </c>
      <c r="B400" s="40" t="str">
        <f>IF(Agent02_Loans!B212="","",Agent02_Loans!B212)</f>
        <v/>
      </c>
      <c r="C400" s="40" t="str">
        <f>IF(Agent02_Loans!B212="","",Agent02_Loans!C212)</f>
        <v/>
      </c>
      <c r="D400" s="41" t="str">
        <f>IF(Agent02_Loans!B212="","",Agent02_Loans!D212)</f>
        <v/>
      </c>
      <c r="E400" s="43" t="str">
        <f>IF(Agent02_Loans!B212="","",Agent02_Loans!E212)</f>
        <v/>
      </c>
      <c r="F400" s="40" t="str">
        <f>IF(Agent02_Loans!B212="","",Agent02_Loans!F212)</f>
        <v/>
      </c>
      <c r="G400" s="40" t="str">
        <f>IF(Agent02_Loans!B212="","",Agent02_Loans!G212)</f>
        <v/>
      </c>
      <c r="H400" s="40" t="str">
        <f>IF(Agent02_Loans!B212="","",Agent02_Loans!H212)</f>
        <v/>
      </c>
      <c r="I400" s="43" t="str">
        <f>IF(Agent02_Loans!B212="","",Agent02_Loans!I212)</f>
        <v/>
      </c>
      <c r="J400" s="43" t="str">
        <f>IF(Agent02_Loans!B212="","",Agent02_Loans!J212)</f>
        <v/>
      </c>
      <c r="K400" s="40" t="str">
        <f>IF(Agent02_Loans!B212="","",Agent02_Loans!K212)</f>
        <v/>
      </c>
      <c r="L400" s="40" t="str">
        <f>IF(Agent02_Loans!B212="","",Agent02_Loans!L212)</f>
        <v/>
      </c>
      <c r="M400" s="40" t="str">
        <f>IFERROR(IF(Agent02_Loans!B212="","",YEAR(Agent02_Loans!D212)),"")</f>
        <v/>
      </c>
    </row>
    <row r="401" spans="1:13" ht="18" customHeight="1" x14ac:dyDescent="0.25">
      <c r="A401" s="40" t="str">
        <f>IF(Agent02_Loans!B213="","",Agent02_Loans!A213)</f>
        <v/>
      </c>
      <c r="B401" s="40" t="str">
        <f>IF(Agent02_Loans!B213="","",Agent02_Loans!B213)</f>
        <v/>
      </c>
      <c r="C401" s="40" t="str">
        <f>IF(Agent02_Loans!B213="","",Agent02_Loans!C213)</f>
        <v/>
      </c>
      <c r="D401" s="41" t="str">
        <f>IF(Agent02_Loans!B213="","",Agent02_Loans!D213)</f>
        <v/>
      </c>
      <c r="E401" s="43" t="str">
        <f>IF(Agent02_Loans!B213="","",Agent02_Loans!E213)</f>
        <v/>
      </c>
      <c r="F401" s="40" t="str">
        <f>IF(Agent02_Loans!B213="","",Agent02_Loans!F213)</f>
        <v/>
      </c>
      <c r="G401" s="40" t="str">
        <f>IF(Agent02_Loans!B213="","",Agent02_Loans!G213)</f>
        <v/>
      </c>
      <c r="H401" s="40" t="str">
        <f>IF(Agent02_Loans!B213="","",Agent02_Loans!H213)</f>
        <v/>
      </c>
      <c r="I401" s="43" t="str">
        <f>IF(Agent02_Loans!B213="","",Agent02_Loans!I213)</f>
        <v/>
      </c>
      <c r="J401" s="43" t="str">
        <f>IF(Agent02_Loans!B213="","",Agent02_Loans!J213)</f>
        <v/>
      </c>
      <c r="K401" s="40" t="str">
        <f>IF(Agent02_Loans!B213="","",Agent02_Loans!K213)</f>
        <v/>
      </c>
      <c r="L401" s="40" t="str">
        <f>IF(Agent02_Loans!B213="","",Agent02_Loans!L213)</f>
        <v/>
      </c>
      <c r="M401" s="40" t="str">
        <f>IFERROR(IF(Agent02_Loans!B213="","",YEAR(Agent02_Loans!D213)),"")</f>
        <v/>
      </c>
    </row>
    <row r="402" spans="1:13" ht="18" customHeight="1" x14ac:dyDescent="0.25">
      <c r="A402" s="40" t="str">
        <f>IF(Agent02_Loans!B214="","",Agent02_Loans!A214)</f>
        <v/>
      </c>
      <c r="B402" s="40" t="str">
        <f>IF(Agent02_Loans!B214="","",Agent02_Loans!B214)</f>
        <v/>
      </c>
      <c r="C402" s="40" t="str">
        <f>IF(Agent02_Loans!B214="","",Agent02_Loans!C214)</f>
        <v/>
      </c>
      <c r="D402" s="41" t="str">
        <f>IF(Agent02_Loans!B214="","",Agent02_Loans!D214)</f>
        <v/>
      </c>
      <c r="E402" s="43" t="str">
        <f>IF(Agent02_Loans!B214="","",Agent02_Loans!E214)</f>
        <v/>
      </c>
      <c r="F402" s="40" t="str">
        <f>IF(Agent02_Loans!B214="","",Agent02_Loans!F214)</f>
        <v/>
      </c>
      <c r="G402" s="40" t="str">
        <f>IF(Agent02_Loans!B214="","",Agent02_Loans!G214)</f>
        <v/>
      </c>
      <c r="H402" s="40" t="str">
        <f>IF(Agent02_Loans!B214="","",Agent02_Loans!H214)</f>
        <v/>
      </c>
      <c r="I402" s="43" t="str">
        <f>IF(Agent02_Loans!B214="","",Agent02_Loans!I214)</f>
        <v/>
      </c>
      <c r="J402" s="43" t="str">
        <f>IF(Agent02_Loans!B214="","",Agent02_Loans!J214)</f>
        <v/>
      </c>
      <c r="K402" s="40" t="str">
        <f>IF(Agent02_Loans!B214="","",Agent02_Loans!K214)</f>
        <v/>
      </c>
      <c r="L402" s="40" t="str">
        <f>IF(Agent02_Loans!B214="","",Agent02_Loans!L214)</f>
        <v/>
      </c>
      <c r="M402" s="40" t="str">
        <f>IFERROR(IF(Agent02_Loans!B214="","",YEAR(Agent02_Loans!D214)),"")</f>
        <v/>
      </c>
    </row>
    <row r="403" spans="1:13" ht="18" customHeight="1" x14ac:dyDescent="0.25">
      <c r="A403" s="40" t="str">
        <f>IF(Agent02_Loans!B215="","",Agent02_Loans!A215)</f>
        <v/>
      </c>
      <c r="B403" s="40" t="str">
        <f>IF(Agent02_Loans!B215="","",Agent02_Loans!B215)</f>
        <v/>
      </c>
      <c r="C403" s="40" t="str">
        <f>IF(Agent02_Loans!B215="","",Agent02_Loans!C215)</f>
        <v/>
      </c>
      <c r="D403" s="41" t="str">
        <f>IF(Agent02_Loans!B215="","",Agent02_Loans!D215)</f>
        <v/>
      </c>
      <c r="E403" s="43" t="str">
        <f>IF(Agent02_Loans!B215="","",Agent02_Loans!E215)</f>
        <v/>
      </c>
      <c r="F403" s="40" t="str">
        <f>IF(Agent02_Loans!B215="","",Agent02_Loans!F215)</f>
        <v/>
      </c>
      <c r="G403" s="40" t="str">
        <f>IF(Agent02_Loans!B215="","",Agent02_Loans!G215)</f>
        <v/>
      </c>
      <c r="H403" s="40" t="str">
        <f>IF(Agent02_Loans!B215="","",Agent02_Loans!H215)</f>
        <v/>
      </c>
      <c r="I403" s="43" t="str">
        <f>IF(Agent02_Loans!B215="","",Agent02_Loans!I215)</f>
        <v/>
      </c>
      <c r="J403" s="43" t="str">
        <f>IF(Agent02_Loans!B215="","",Agent02_Loans!J215)</f>
        <v/>
      </c>
      <c r="K403" s="40" t="str">
        <f>IF(Agent02_Loans!B215="","",Agent02_Loans!K215)</f>
        <v/>
      </c>
      <c r="L403" s="40" t="str">
        <f>IF(Agent02_Loans!B215="","",Agent02_Loans!L215)</f>
        <v/>
      </c>
      <c r="M403" s="40" t="str">
        <f>IFERROR(IF(Agent02_Loans!B215="","",YEAR(Agent02_Loans!D215)),"")</f>
        <v/>
      </c>
    </row>
    <row r="404" spans="1:13" ht="18" customHeight="1" x14ac:dyDescent="0.25">
      <c r="A404" s="40" t="str">
        <f>IF(Agent03_Loans!B16="","",Agent03_Loans!A16)</f>
        <v/>
      </c>
      <c r="B404" s="40" t="str">
        <f>IF(Agent03_Loans!B16="","",Agent03_Loans!B16)</f>
        <v/>
      </c>
      <c r="C404" s="40" t="str">
        <f>IF(Agent03_Loans!B16="","",Agent03_Loans!C16)</f>
        <v/>
      </c>
      <c r="D404" s="41" t="str">
        <f>IF(Agent03_Loans!B16="","",Agent03_Loans!D16)</f>
        <v/>
      </c>
      <c r="E404" s="43" t="str">
        <f>IF(Agent03_Loans!B16="","",Agent03_Loans!E16)</f>
        <v/>
      </c>
      <c r="F404" s="40" t="str">
        <f>IF(Agent03_Loans!B16="","",Agent03_Loans!F16)</f>
        <v/>
      </c>
      <c r="G404" s="40" t="str">
        <f>IF(Agent03_Loans!B16="","",Agent03_Loans!G16)</f>
        <v/>
      </c>
      <c r="H404" s="40" t="str">
        <f>IF(Agent03_Loans!B16="","",Agent03_Loans!H16)</f>
        <v/>
      </c>
      <c r="I404" s="43" t="str">
        <f>IF(Agent03_Loans!B16="","",Agent03_Loans!I16)</f>
        <v/>
      </c>
      <c r="J404" s="43" t="str">
        <f>IF(Agent03_Loans!B16="","",Agent03_Loans!J16)</f>
        <v/>
      </c>
      <c r="K404" s="40" t="str">
        <f>IF(Agent03_Loans!B16="","",Agent03_Loans!K16)</f>
        <v/>
      </c>
      <c r="L404" s="40" t="str">
        <f>IF(Agent03_Loans!B16="","",Agent03_Loans!L16)</f>
        <v/>
      </c>
      <c r="M404" s="40" t="str">
        <f>IFERROR(IF(Agent03_Loans!B16="","",YEAR(Agent03_Loans!D16)),"")</f>
        <v/>
      </c>
    </row>
    <row r="405" spans="1:13" ht="18" customHeight="1" x14ac:dyDescent="0.25">
      <c r="A405" s="40" t="str">
        <f>IF(Agent03_Loans!B17="","",Agent03_Loans!A17)</f>
        <v/>
      </c>
      <c r="B405" s="40" t="str">
        <f>IF(Agent03_Loans!B17="","",Agent03_Loans!B17)</f>
        <v/>
      </c>
      <c r="C405" s="40" t="str">
        <f>IF(Agent03_Loans!B17="","",Agent03_Loans!C17)</f>
        <v/>
      </c>
      <c r="D405" s="41" t="str">
        <f>IF(Agent03_Loans!B17="","",Agent03_Loans!D17)</f>
        <v/>
      </c>
      <c r="E405" s="43" t="str">
        <f>IF(Agent03_Loans!B17="","",Agent03_Loans!E17)</f>
        <v/>
      </c>
      <c r="F405" s="40" t="str">
        <f>IF(Agent03_Loans!B17="","",Agent03_Loans!F17)</f>
        <v/>
      </c>
      <c r="G405" s="40" t="str">
        <f>IF(Agent03_Loans!B17="","",Agent03_Loans!G17)</f>
        <v/>
      </c>
      <c r="H405" s="40" t="str">
        <f>IF(Agent03_Loans!B17="","",Agent03_Loans!H17)</f>
        <v/>
      </c>
      <c r="I405" s="43" t="str">
        <f>IF(Agent03_Loans!B17="","",Agent03_Loans!I17)</f>
        <v/>
      </c>
      <c r="J405" s="43" t="str">
        <f>IF(Agent03_Loans!B17="","",Agent03_Loans!J17)</f>
        <v/>
      </c>
      <c r="K405" s="40" t="str">
        <f>IF(Agent03_Loans!B17="","",Agent03_Loans!K17)</f>
        <v/>
      </c>
      <c r="L405" s="40" t="str">
        <f>IF(Agent03_Loans!B17="","",Agent03_Loans!L17)</f>
        <v/>
      </c>
      <c r="M405" s="40" t="str">
        <f>IFERROR(IF(Agent03_Loans!B17="","",YEAR(Agent03_Loans!D17)),"")</f>
        <v/>
      </c>
    </row>
    <row r="406" spans="1:13" ht="18" customHeight="1" x14ac:dyDescent="0.25">
      <c r="A406" s="40" t="str">
        <f>IF(Agent03_Loans!B18="","",Agent03_Loans!A18)</f>
        <v/>
      </c>
      <c r="B406" s="40" t="str">
        <f>IF(Agent03_Loans!B18="","",Agent03_Loans!B18)</f>
        <v/>
      </c>
      <c r="C406" s="40" t="str">
        <f>IF(Agent03_Loans!B18="","",Agent03_Loans!C18)</f>
        <v/>
      </c>
      <c r="D406" s="41" t="str">
        <f>IF(Agent03_Loans!B18="","",Agent03_Loans!D18)</f>
        <v/>
      </c>
      <c r="E406" s="43" t="str">
        <f>IF(Agent03_Loans!B18="","",Agent03_Loans!E18)</f>
        <v/>
      </c>
      <c r="F406" s="40" t="str">
        <f>IF(Agent03_Loans!B18="","",Agent03_Loans!F18)</f>
        <v/>
      </c>
      <c r="G406" s="40" t="str">
        <f>IF(Agent03_Loans!B18="","",Agent03_Loans!G18)</f>
        <v/>
      </c>
      <c r="H406" s="40" t="str">
        <f>IF(Agent03_Loans!B18="","",Agent03_Loans!H18)</f>
        <v/>
      </c>
      <c r="I406" s="43" t="str">
        <f>IF(Agent03_Loans!B18="","",Agent03_Loans!I18)</f>
        <v/>
      </c>
      <c r="J406" s="43" t="str">
        <f>IF(Agent03_Loans!B18="","",Agent03_Loans!J18)</f>
        <v/>
      </c>
      <c r="K406" s="40" t="str">
        <f>IF(Agent03_Loans!B18="","",Agent03_Loans!K18)</f>
        <v/>
      </c>
      <c r="L406" s="40" t="str">
        <f>IF(Agent03_Loans!B18="","",Agent03_Loans!L18)</f>
        <v/>
      </c>
      <c r="M406" s="40" t="str">
        <f>IFERROR(IF(Agent03_Loans!B18="","",YEAR(Agent03_Loans!D18)),"")</f>
        <v/>
      </c>
    </row>
    <row r="407" spans="1:13" ht="18" customHeight="1" x14ac:dyDescent="0.25">
      <c r="A407" s="40" t="str">
        <f>IF(Agent03_Loans!B19="","",Agent03_Loans!A19)</f>
        <v/>
      </c>
      <c r="B407" s="40" t="str">
        <f>IF(Agent03_Loans!B19="","",Agent03_Loans!B19)</f>
        <v/>
      </c>
      <c r="C407" s="40" t="str">
        <f>IF(Agent03_Loans!B19="","",Agent03_Loans!C19)</f>
        <v/>
      </c>
      <c r="D407" s="41" t="str">
        <f>IF(Agent03_Loans!B19="","",Agent03_Loans!D19)</f>
        <v/>
      </c>
      <c r="E407" s="43" t="str">
        <f>IF(Agent03_Loans!B19="","",Agent03_Loans!E19)</f>
        <v/>
      </c>
      <c r="F407" s="40" t="str">
        <f>IF(Agent03_Loans!B19="","",Agent03_Loans!F19)</f>
        <v/>
      </c>
      <c r="G407" s="40" t="str">
        <f>IF(Agent03_Loans!B19="","",Agent03_Loans!G19)</f>
        <v/>
      </c>
      <c r="H407" s="40" t="str">
        <f>IF(Agent03_Loans!B19="","",Agent03_Loans!H19)</f>
        <v/>
      </c>
      <c r="I407" s="43" t="str">
        <f>IF(Agent03_Loans!B19="","",Agent03_Loans!I19)</f>
        <v/>
      </c>
      <c r="J407" s="43" t="str">
        <f>IF(Agent03_Loans!B19="","",Agent03_Loans!J19)</f>
        <v/>
      </c>
      <c r="K407" s="40" t="str">
        <f>IF(Agent03_Loans!B19="","",Agent03_Loans!K19)</f>
        <v/>
      </c>
      <c r="L407" s="40" t="str">
        <f>IF(Agent03_Loans!B19="","",Agent03_Loans!L19)</f>
        <v/>
      </c>
      <c r="M407" s="40" t="str">
        <f>IFERROR(IF(Agent03_Loans!B19="","",YEAR(Agent03_Loans!D19)),"")</f>
        <v/>
      </c>
    </row>
    <row r="408" spans="1:13" ht="18" customHeight="1" x14ac:dyDescent="0.25">
      <c r="A408" s="40" t="str">
        <f>IF(Agent03_Loans!B20="","",Agent03_Loans!A20)</f>
        <v/>
      </c>
      <c r="B408" s="40" t="str">
        <f>IF(Agent03_Loans!B20="","",Agent03_Loans!B20)</f>
        <v/>
      </c>
      <c r="C408" s="40" t="str">
        <f>IF(Agent03_Loans!B20="","",Agent03_Loans!C20)</f>
        <v/>
      </c>
      <c r="D408" s="41" t="str">
        <f>IF(Agent03_Loans!B20="","",Agent03_Loans!D20)</f>
        <v/>
      </c>
      <c r="E408" s="43" t="str">
        <f>IF(Agent03_Loans!B20="","",Agent03_Loans!E20)</f>
        <v/>
      </c>
      <c r="F408" s="40" t="str">
        <f>IF(Agent03_Loans!B20="","",Agent03_Loans!F20)</f>
        <v/>
      </c>
      <c r="G408" s="40" t="str">
        <f>IF(Agent03_Loans!B20="","",Agent03_Loans!G20)</f>
        <v/>
      </c>
      <c r="H408" s="40" t="str">
        <f>IF(Agent03_Loans!B20="","",Agent03_Loans!H20)</f>
        <v/>
      </c>
      <c r="I408" s="43" t="str">
        <f>IF(Agent03_Loans!B20="","",Agent03_Loans!I20)</f>
        <v/>
      </c>
      <c r="J408" s="43" t="str">
        <f>IF(Agent03_Loans!B20="","",Agent03_Loans!J20)</f>
        <v/>
      </c>
      <c r="K408" s="40" t="str">
        <f>IF(Agent03_Loans!B20="","",Agent03_Loans!K20)</f>
        <v/>
      </c>
      <c r="L408" s="40" t="str">
        <f>IF(Agent03_Loans!B20="","",Agent03_Loans!L20)</f>
        <v/>
      </c>
      <c r="M408" s="40" t="str">
        <f>IFERROR(IF(Agent03_Loans!B20="","",YEAR(Agent03_Loans!D20)),"")</f>
        <v/>
      </c>
    </row>
    <row r="409" spans="1:13" ht="18" customHeight="1" x14ac:dyDescent="0.25">
      <c r="A409" s="40" t="str">
        <f>IF(Agent03_Loans!B21="","",Agent03_Loans!A21)</f>
        <v/>
      </c>
      <c r="B409" s="40" t="str">
        <f>IF(Agent03_Loans!B21="","",Agent03_Loans!B21)</f>
        <v/>
      </c>
      <c r="C409" s="40" t="str">
        <f>IF(Agent03_Loans!B21="","",Agent03_Loans!C21)</f>
        <v/>
      </c>
      <c r="D409" s="41" t="str">
        <f>IF(Agent03_Loans!B21="","",Agent03_Loans!D21)</f>
        <v/>
      </c>
      <c r="E409" s="43" t="str">
        <f>IF(Agent03_Loans!B21="","",Agent03_Loans!E21)</f>
        <v/>
      </c>
      <c r="F409" s="40" t="str">
        <f>IF(Agent03_Loans!B21="","",Agent03_Loans!F21)</f>
        <v/>
      </c>
      <c r="G409" s="40" t="str">
        <f>IF(Agent03_Loans!B21="","",Agent03_Loans!G21)</f>
        <v/>
      </c>
      <c r="H409" s="40" t="str">
        <f>IF(Agent03_Loans!B21="","",Agent03_Loans!H21)</f>
        <v/>
      </c>
      <c r="I409" s="43" t="str">
        <f>IF(Agent03_Loans!B21="","",Agent03_Loans!I21)</f>
        <v/>
      </c>
      <c r="J409" s="43" t="str">
        <f>IF(Agent03_Loans!B21="","",Agent03_Loans!J21)</f>
        <v/>
      </c>
      <c r="K409" s="40" t="str">
        <f>IF(Agent03_Loans!B21="","",Agent03_Loans!K21)</f>
        <v/>
      </c>
      <c r="L409" s="40" t="str">
        <f>IF(Agent03_Loans!B21="","",Agent03_Loans!L21)</f>
        <v/>
      </c>
      <c r="M409" s="40" t="str">
        <f>IFERROR(IF(Agent03_Loans!B21="","",YEAR(Agent03_Loans!D21)),"")</f>
        <v/>
      </c>
    </row>
    <row r="410" spans="1:13" ht="18" customHeight="1" x14ac:dyDescent="0.25">
      <c r="A410" s="40" t="str">
        <f>IF(Agent03_Loans!B22="","",Agent03_Loans!A22)</f>
        <v/>
      </c>
      <c r="B410" s="40" t="str">
        <f>IF(Agent03_Loans!B22="","",Agent03_Loans!B22)</f>
        <v/>
      </c>
      <c r="C410" s="40" t="str">
        <f>IF(Agent03_Loans!B22="","",Agent03_Loans!C22)</f>
        <v/>
      </c>
      <c r="D410" s="41" t="str">
        <f>IF(Agent03_Loans!B22="","",Agent03_Loans!D22)</f>
        <v/>
      </c>
      <c r="E410" s="43" t="str">
        <f>IF(Agent03_Loans!B22="","",Agent03_Loans!E22)</f>
        <v/>
      </c>
      <c r="F410" s="40" t="str">
        <f>IF(Agent03_Loans!B22="","",Agent03_Loans!F22)</f>
        <v/>
      </c>
      <c r="G410" s="40" t="str">
        <f>IF(Agent03_Loans!B22="","",Agent03_Loans!G22)</f>
        <v/>
      </c>
      <c r="H410" s="40" t="str">
        <f>IF(Agent03_Loans!B22="","",Agent03_Loans!H22)</f>
        <v/>
      </c>
      <c r="I410" s="43" t="str">
        <f>IF(Agent03_Loans!B22="","",Agent03_Loans!I22)</f>
        <v/>
      </c>
      <c r="J410" s="43" t="str">
        <f>IF(Agent03_Loans!B22="","",Agent03_Loans!J22)</f>
        <v/>
      </c>
      <c r="K410" s="40" t="str">
        <f>IF(Agent03_Loans!B22="","",Agent03_Loans!K22)</f>
        <v/>
      </c>
      <c r="L410" s="40" t="str">
        <f>IF(Agent03_Loans!B22="","",Agent03_Loans!L22)</f>
        <v/>
      </c>
      <c r="M410" s="40" t="str">
        <f>IFERROR(IF(Agent03_Loans!B22="","",YEAR(Agent03_Loans!D22)),"")</f>
        <v/>
      </c>
    </row>
    <row r="411" spans="1:13" ht="18" customHeight="1" x14ac:dyDescent="0.25">
      <c r="A411" s="40" t="str">
        <f>IF(Agent03_Loans!B23="","",Agent03_Loans!A23)</f>
        <v/>
      </c>
      <c r="B411" s="40" t="str">
        <f>IF(Agent03_Loans!B23="","",Agent03_Loans!B23)</f>
        <v/>
      </c>
      <c r="C411" s="40" t="str">
        <f>IF(Agent03_Loans!B23="","",Agent03_Loans!C23)</f>
        <v/>
      </c>
      <c r="D411" s="41" t="str">
        <f>IF(Agent03_Loans!B23="","",Agent03_Loans!D23)</f>
        <v/>
      </c>
      <c r="E411" s="43" t="str">
        <f>IF(Agent03_Loans!B23="","",Agent03_Loans!E23)</f>
        <v/>
      </c>
      <c r="F411" s="40" t="str">
        <f>IF(Agent03_Loans!B23="","",Agent03_Loans!F23)</f>
        <v/>
      </c>
      <c r="G411" s="40" t="str">
        <f>IF(Agent03_Loans!B23="","",Agent03_Loans!G23)</f>
        <v/>
      </c>
      <c r="H411" s="40" t="str">
        <f>IF(Agent03_Loans!B23="","",Agent03_Loans!H23)</f>
        <v/>
      </c>
      <c r="I411" s="43" t="str">
        <f>IF(Agent03_Loans!B23="","",Agent03_Loans!I23)</f>
        <v/>
      </c>
      <c r="J411" s="43" t="str">
        <f>IF(Agent03_Loans!B23="","",Agent03_Loans!J23)</f>
        <v/>
      </c>
      <c r="K411" s="40" t="str">
        <f>IF(Agent03_Loans!B23="","",Agent03_Loans!K23)</f>
        <v/>
      </c>
      <c r="L411" s="40" t="str">
        <f>IF(Agent03_Loans!B23="","",Agent03_Loans!L23)</f>
        <v/>
      </c>
      <c r="M411" s="40" t="str">
        <f>IFERROR(IF(Agent03_Loans!B23="","",YEAR(Agent03_Loans!D23)),"")</f>
        <v/>
      </c>
    </row>
    <row r="412" spans="1:13" ht="18" customHeight="1" x14ac:dyDescent="0.25">
      <c r="A412" s="40" t="str">
        <f>IF(Agent03_Loans!B24="","",Agent03_Loans!A24)</f>
        <v/>
      </c>
      <c r="B412" s="40" t="str">
        <f>IF(Agent03_Loans!B24="","",Agent03_Loans!B24)</f>
        <v/>
      </c>
      <c r="C412" s="40" t="str">
        <f>IF(Agent03_Loans!B24="","",Agent03_Loans!C24)</f>
        <v/>
      </c>
      <c r="D412" s="41" t="str">
        <f>IF(Agent03_Loans!B24="","",Agent03_Loans!D24)</f>
        <v/>
      </c>
      <c r="E412" s="43" t="str">
        <f>IF(Agent03_Loans!B24="","",Agent03_Loans!E24)</f>
        <v/>
      </c>
      <c r="F412" s="40" t="str">
        <f>IF(Agent03_Loans!B24="","",Agent03_Loans!F24)</f>
        <v/>
      </c>
      <c r="G412" s="40" t="str">
        <f>IF(Agent03_Loans!B24="","",Agent03_Loans!G24)</f>
        <v/>
      </c>
      <c r="H412" s="40" t="str">
        <f>IF(Agent03_Loans!B24="","",Agent03_Loans!H24)</f>
        <v/>
      </c>
      <c r="I412" s="43" t="str">
        <f>IF(Agent03_Loans!B24="","",Agent03_Loans!I24)</f>
        <v/>
      </c>
      <c r="J412" s="43" t="str">
        <f>IF(Agent03_Loans!B24="","",Agent03_Loans!J24)</f>
        <v/>
      </c>
      <c r="K412" s="40" t="str">
        <f>IF(Agent03_Loans!B24="","",Agent03_Loans!K24)</f>
        <v/>
      </c>
      <c r="L412" s="40" t="str">
        <f>IF(Agent03_Loans!B24="","",Agent03_Loans!L24)</f>
        <v/>
      </c>
      <c r="M412" s="40" t="str">
        <f>IFERROR(IF(Agent03_Loans!B24="","",YEAR(Agent03_Loans!D24)),"")</f>
        <v/>
      </c>
    </row>
    <row r="413" spans="1:13" ht="18" customHeight="1" x14ac:dyDescent="0.25">
      <c r="A413" s="40" t="str">
        <f>IF(Agent03_Loans!B25="","",Agent03_Loans!A25)</f>
        <v/>
      </c>
      <c r="B413" s="40" t="str">
        <f>IF(Agent03_Loans!B25="","",Agent03_Loans!B25)</f>
        <v/>
      </c>
      <c r="C413" s="40" t="str">
        <f>IF(Agent03_Loans!B25="","",Agent03_Loans!C25)</f>
        <v/>
      </c>
      <c r="D413" s="41" t="str">
        <f>IF(Agent03_Loans!B25="","",Agent03_Loans!D25)</f>
        <v/>
      </c>
      <c r="E413" s="43" t="str">
        <f>IF(Agent03_Loans!B25="","",Agent03_Loans!E25)</f>
        <v/>
      </c>
      <c r="F413" s="40" t="str">
        <f>IF(Agent03_Loans!B25="","",Agent03_Loans!F25)</f>
        <v/>
      </c>
      <c r="G413" s="40" t="str">
        <f>IF(Agent03_Loans!B25="","",Agent03_Loans!G25)</f>
        <v/>
      </c>
      <c r="H413" s="40" t="str">
        <f>IF(Agent03_Loans!B25="","",Agent03_Loans!H25)</f>
        <v/>
      </c>
      <c r="I413" s="43" t="str">
        <f>IF(Agent03_Loans!B25="","",Agent03_Loans!I25)</f>
        <v/>
      </c>
      <c r="J413" s="43" t="str">
        <f>IF(Agent03_Loans!B25="","",Agent03_Loans!J25)</f>
        <v/>
      </c>
      <c r="K413" s="40" t="str">
        <f>IF(Agent03_Loans!B25="","",Agent03_Loans!K25)</f>
        <v/>
      </c>
      <c r="L413" s="40" t="str">
        <f>IF(Agent03_Loans!B25="","",Agent03_Loans!L25)</f>
        <v/>
      </c>
      <c r="M413" s="40" t="str">
        <f>IFERROR(IF(Agent03_Loans!B25="","",YEAR(Agent03_Loans!D25)),"")</f>
        <v/>
      </c>
    </row>
    <row r="414" spans="1:13" ht="18" customHeight="1" x14ac:dyDescent="0.25">
      <c r="A414" s="40" t="str">
        <f>IF(Agent03_Loans!B26="","",Agent03_Loans!A26)</f>
        <v/>
      </c>
      <c r="B414" s="40" t="str">
        <f>IF(Agent03_Loans!B26="","",Agent03_Loans!B26)</f>
        <v/>
      </c>
      <c r="C414" s="40" t="str">
        <f>IF(Agent03_Loans!B26="","",Agent03_Loans!C26)</f>
        <v/>
      </c>
      <c r="D414" s="41" t="str">
        <f>IF(Agent03_Loans!B26="","",Agent03_Loans!D26)</f>
        <v/>
      </c>
      <c r="E414" s="43" t="str">
        <f>IF(Agent03_Loans!B26="","",Agent03_Loans!E26)</f>
        <v/>
      </c>
      <c r="F414" s="40" t="str">
        <f>IF(Agent03_Loans!B26="","",Agent03_Loans!F26)</f>
        <v/>
      </c>
      <c r="G414" s="40" t="str">
        <f>IF(Agent03_Loans!B26="","",Agent03_Loans!G26)</f>
        <v/>
      </c>
      <c r="H414" s="40" t="str">
        <f>IF(Agent03_Loans!B26="","",Agent03_Loans!H26)</f>
        <v/>
      </c>
      <c r="I414" s="43" t="str">
        <f>IF(Agent03_Loans!B26="","",Agent03_Loans!I26)</f>
        <v/>
      </c>
      <c r="J414" s="43" t="str">
        <f>IF(Agent03_Loans!B26="","",Agent03_Loans!J26)</f>
        <v/>
      </c>
      <c r="K414" s="40" t="str">
        <f>IF(Agent03_Loans!B26="","",Agent03_Loans!K26)</f>
        <v/>
      </c>
      <c r="L414" s="40" t="str">
        <f>IF(Agent03_Loans!B26="","",Agent03_Loans!L26)</f>
        <v/>
      </c>
      <c r="M414" s="40" t="str">
        <f>IFERROR(IF(Agent03_Loans!B26="","",YEAR(Agent03_Loans!D26)),"")</f>
        <v/>
      </c>
    </row>
    <row r="415" spans="1:13" ht="18" customHeight="1" x14ac:dyDescent="0.25">
      <c r="A415" s="40" t="str">
        <f>IF(Agent03_Loans!B27="","",Agent03_Loans!A27)</f>
        <v/>
      </c>
      <c r="B415" s="40" t="str">
        <f>IF(Agent03_Loans!B27="","",Agent03_Loans!B27)</f>
        <v/>
      </c>
      <c r="C415" s="40" t="str">
        <f>IF(Agent03_Loans!B27="","",Agent03_Loans!C27)</f>
        <v/>
      </c>
      <c r="D415" s="41" t="str">
        <f>IF(Agent03_Loans!B27="","",Agent03_Loans!D27)</f>
        <v/>
      </c>
      <c r="E415" s="43" t="str">
        <f>IF(Agent03_Loans!B27="","",Agent03_Loans!E27)</f>
        <v/>
      </c>
      <c r="F415" s="40" t="str">
        <f>IF(Agent03_Loans!B27="","",Agent03_Loans!F27)</f>
        <v/>
      </c>
      <c r="G415" s="40" t="str">
        <f>IF(Agent03_Loans!B27="","",Agent03_Loans!G27)</f>
        <v/>
      </c>
      <c r="H415" s="40" t="str">
        <f>IF(Agent03_Loans!B27="","",Agent03_Loans!H27)</f>
        <v/>
      </c>
      <c r="I415" s="43" t="str">
        <f>IF(Agent03_Loans!B27="","",Agent03_Loans!I27)</f>
        <v/>
      </c>
      <c r="J415" s="43" t="str">
        <f>IF(Agent03_Loans!B27="","",Agent03_Loans!J27)</f>
        <v/>
      </c>
      <c r="K415" s="40" t="str">
        <f>IF(Agent03_Loans!B27="","",Agent03_Loans!K27)</f>
        <v/>
      </c>
      <c r="L415" s="40" t="str">
        <f>IF(Agent03_Loans!B27="","",Agent03_Loans!L27)</f>
        <v/>
      </c>
      <c r="M415" s="40" t="str">
        <f>IFERROR(IF(Agent03_Loans!B27="","",YEAR(Agent03_Loans!D27)),"")</f>
        <v/>
      </c>
    </row>
    <row r="416" spans="1:13" ht="18" customHeight="1" x14ac:dyDescent="0.25">
      <c r="A416" s="40" t="str">
        <f>IF(Agent03_Loans!B28="","",Agent03_Loans!A28)</f>
        <v/>
      </c>
      <c r="B416" s="40" t="str">
        <f>IF(Agent03_Loans!B28="","",Agent03_Loans!B28)</f>
        <v/>
      </c>
      <c r="C416" s="40" t="str">
        <f>IF(Agent03_Loans!B28="","",Agent03_Loans!C28)</f>
        <v/>
      </c>
      <c r="D416" s="41" t="str">
        <f>IF(Agent03_Loans!B28="","",Agent03_Loans!D28)</f>
        <v/>
      </c>
      <c r="E416" s="43" t="str">
        <f>IF(Agent03_Loans!B28="","",Agent03_Loans!E28)</f>
        <v/>
      </c>
      <c r="F416" s="40" t="str">
        <f>IF(Agent03_Loans!B28="","",Agent03_Loans!F28)</f>
        <v/>
      </c>
      <c r="G416" s="40" t="str">
        <f>IF(Agent03_Loans!B28="","",Agent03_Loans!G28)</f>
        <v/>
      </c>
      <c r="H416" s="40" t="str">
        <f>IF(Agent03_Loans!B28="","",Agent03_Loans!H28)</f>
        <v/>
      </c>
      <c r="I416" s="43" t="str">
        <f>IF(Agent03_Loans!B28="","",Agent03_Loans!I28)</f>
        <v/>
      </c>
      <c r="J416" s="43" t="str">
        <f>IF(Agent03_Loans!B28="","",Agent03_Loans!J28)</f>
        <v/>
      </c>
      <c r="K416" s="40" t="str">
        <f>IF(Agent03_Loans!B28="","",Agent03_Loans!K28)</f>
        <v/>
      </c>
      <c r="L416" s="40" t="str">
        <f>IF(Agent03_Loans!B28="","",Agent03_Loans!L28)</f>
        <v/>
      </c>
      <c r="M416" s="40" t="str">
        <f>IFERROR(IF(Agent03_Loans!B28="","",YEAR(Agent03_Loans!D28)),"")</f>
        <v/>
      </c>
    </row>
    <row r="417" spans="1:13" ht="18" customHeight="1" x14ac:dyDescent="0.25">
      <c r="A417" s="40" t="str">
        <f>IF(Agent03_Loans!B29="","",Agent03_Loans!A29)</f>
        <v/>
      </c>
      <c r="B417" s="40" t="str">
        <f>IF(Agent03_Loans!B29="","",Agent03_Loans!B29)</f>
        <v/>
      </c>
      <c r="C417" s="40" t="str">
        <f>IF(Agent03_Loans!B29="","",Agent03_Loans!C29)</f>
        <v/>
      </c>
      <c r="D417" s="41" t="str">
        <f>IF(Agent03_Loans!B29="","",Agent03_Loans!D29)</f>
        <v/>
      </c>
      <c r="E417" s="43" t="str">
        <f>IF(Agent03_Loans!B29="","",Agent03_Loans!E29)</f>
        <v/>
      </c>
      <c r="F417" s="40" t="str">
        <f>IF(Agent03_Loans!B29="","",Agent03_Loans!F29)</f>
        <v/>
      </c>
      <c r="G417" s="40" t="str">
        <f>IF(Agent03_Loans!B29="","",Agent03_Loans!G29)</f>
        <v/>
      </c>
      <c r="H417" s="40" t="str">
        <f>IF(Agent03_Loans!B29="","",Agent03_Loans!H29)</f>
        <v/>
      </c>
      <c r="I417" s="43" t="str">
        <f>IF(Agent03_Loans!B29="","",Agent03_Loans!I29)</f>
        <v/>
      </c>
      <c r="J417" s="43" t="str">
        <f>IF(Agent03_Loans!B29="","",Agent03_Loans!J29)</f>
        <v/>
      </c>
      <c r="K417" s="40" t="str">
        <f>IF(Agent03_Loans!B29="","",Agent03_Loans!K29)</f>
        <v/>
      </c>
      <c r="L417" s="40" t="str">
        <f>IF(Agent03_Loans!B29="","",Agent03_Loans!L29)</f>
        <v/>
      </c>
      <c r="M417" s="40" t="str">
        <f>IFERROR(IF(Agent03_Loans!B29="","",YEAR(Agent03_Loans!D29)),"")</f>
        <v/>
      </c>
    </row>
    <row r="418" spans="1:13" ht="18" customHeight="1" x14ac:dyDescent="0.25">
      <c r="A418" s="40" t="str">
        <f>IF(Agent03_Loans!B30="","",Agent03_Loans!A30)</f>
        <v/>
      </c>
      <c r="B418" s="40" t="str">
        <f>IF(Agent03_Loans!B30="","",Agent03_Loans!B30)</f>
        <v/>
      </c>
      <c r="C418" s="40" t="str">
        <f>IF(Agent03_Loans!B30="","",Agent03_Loans!C30)</f>
        <v/>
      </c>
      <c r="D418" s="41" t="str">
        <f>IF(Agent03_Loans!B30="","",Agent03_Loans!D30)</f>
        <v/>
      </c>
      <c r="E418" s="43" t="str">
        <f>IF(Agent03_Loans!B30="","",Agent03_Loans!E30)</f>
        <v/>
      </c>
      <c r="F418" s="40" t="str">
        <f>IF(Agent03_Loans!B30="","",Agent03_Loans!F30)</f>
        <v/>
      </c>
      <c r="G418" s="40" t="str">
        <f>IF(Agent03_Loans!B30="","",Agent03_Loans!G30)</f>
        <v/>
      </c>
      <c r="H418" s="40" t="str">
        <f>IF(Agent03_Loans!B30="","",Agent03_Loans!H30)</f>
        <v/>
      </c>
      <c r="I418" s="43" t="str">
        <f>IF(Agent03_Loans!B30="","",Agent03_Loans!I30)</f>
        <v/>
      </c>
      <c r="J418" s="43" t="str">
        <f>IF(Agent03_Loans!B30="","",Agent03_Loans!J30)</f>
        <v/>
      </c>
      <c r="K418" s="40" t="str">
        <f>IF(Agent03_Loans!B30="","",Agent03_Loans!K30)</f>
        <v/>
      </c>
      <c r="L418" s="40" t="str">
        <f>IF(Agent03_Loans!B30="","",Agent03_Loans!L30)</f>
        <v/>
      </c>
      <c r="M418" s="40" t="str">
        <f>IFERROR(IF(Agent03_Loans!B30="","",YEAR(Agent03_Loans!D30)),"")</f>
        <v/>
      </c>
    </row>
    <row r="419" spans="1:13" ht="18" customHeight="1" x14ac:dyDescent="0.25">
      <c r="A419" s="40" t="str">
        <f>IF(Agent03_Loans!B31="","",Agent03_Loans!A31)</f>
        <v/>
      </c>
      <c r="B419" s="40" t="str">
        <f>IF(Agent03_Loans!B31="","",Agent03_Loans!B31)</f>
        <v/>
      </c>
      <c r="C419" s="40" t="str">
        <f>IF(Agent03_Loans!B31="","",Agent03_Loans!C31)</f>
        <v/>
      </c>
      <c r="D419" s="41" t="str">
        <f>IF(Agent03_Loans!B31="","",Agent03_Loans!D31)</f>
        <v/>
      </c>
      <c r="E419" s="43" t="str">
        <f>IF(Agent03_Loans!B31="","",Agent03_Loans!E31)</f>
        <v/>
      </c>
      <c r="F419" s="40" t="str">
        <f>IF(Agent03_Loans!B31="","",Agent03_Loans!F31)</f>
        <v/>
      </c>
      <c r="G419" s="40" t="str">
        <f>IF(Agent03_Loans!B31="","",Agent03_Loans!G31)</f>
        <v/>
      </c>
      <c r="H419" s="40" t="str">
        <f>IF(Agent03_Loans!B31="","",Agent03_Loans!H31)</f>
        <v/>
      </c>
      <c r="I419" s="43" t="str">
        <f>IF(Agent03_Loans!B31="","",Agent03_Loans!I31)</f>
        <v/>
      </c>
      <c r="J419" s="43" t="str">
        <f>IF(Agent03_Loans!B31="","",Agent03_Loans!J31)</f>
        <v/>
      </c>
      <c r="K419" s="40" t="str">
        <f>IF(Agent03_Loans!B31="","",Agent03_Loans!K31)</f>
        <v/>
      </c>
      <c r="L419" s="40" t="str">
        <f>IF(Agent03_Loans!B31="","",Agent03_Loans!L31)</f>
        <v/>
      </c>
      <c r="M419" s="40" t="str">
        <f>IFERROR(IF(Agent03_Loans!B31="","",YEAR(Agent03_Loans!D31)),"")</f>
        <v/>
      </c>
    </row>
    <row r="420" spans="1:13" ht="18" customHeight="1" x14ac:dyDescent="0.25">
      <c r="A420" s="40" t="str">
        <f>IF(Agent03_Loans!B32="","",Agent03_Loans!A32)</f>
        <v/>
      </c>
      <c r="B420" s="40" t="str">
        <f>IF(Agent03_Loans!B32="","",Agent03_Loans!B32)</f>
        <v/>
      </c>
      <c r="C420" s="40" t="str">
        <f>IF(Agent03_Loans!B32="","",Agent03_Loans!C32)</f>
        <v/>
      </c>
      <c r="D420" s="41" t="str">
        <f>IF(Agent03_Loans!B32="","",Agent03_Loans!D32)</f>
        <v/>
      </c>
      <c r="E420" s="43" t="str">
        <f>IF(Agent03_Loans!B32="","",Agent03_Loans!E32)</f>
        <v/>
      </c>
      <c r="F420" s="40" t="str">
        <f>IF(Agent03_Loans!B32="","",Agent03_Loans!F32)</f>
        <v/>
      </c>
      <c r="G420" s="40" t="str">
        <f>IF(Agent03_Loans!B32="","",Agent03_Loans!G32)</f>
        <v/>
      </c>
      <c r="H420" s="40" t="str">
        <f>IF(Agent03_Loans!B32="","",Agent03_Loans!H32)</f>
        <v/>
      </c>
      <c r="I420" s="43" t="str">
        <f>IF(Agent03_Loans!B32="","",Agent03_Loans!I32)</f>
        <v/>
      </c>
      <c r="J420" s="43" t="str">
        <f>IF(Agent03_Loans!B32="","",Agent03_Loans!J32)</f>
        <v/>
      </c>
      <c r="K420" s="40" t="str">
        <f>IF(Agent03_Loans!B32="","",Agent03_Loans!K32)</f>
        <v/>
      </c>
      <c r="L420" s="40" t="str">
        <f>IF(Agent03_Loans!B32="","",Agent03_Loans!L32)</f>
        <v/>
      </c>
      <c r="M420" s="40" t="str">
        <f>IFERROR(IF(Agent03_Loans!B32="","",YEAR(Agent03_Loans!D32)),"")</f>
        <v/>
      </c>
    </row>
    <row r="421" spans="1:13" ht="18" customHeight="1" x14ac:dyDescent="0.25">
      <c r="A421" s="40" t="str">
        <f>IF(Agent03_Loans!B33="","",Agent03_Loans!A33)</f>
        <v/>
      </c>
      <c r="B421" s="40" t="str">
        <f>IF(Agent03_Loans!B33="","",Agent03_Loans!B33)</f>
        <v/>
      </c>
      <c r="C421" s="40" t="str">
        <f>IF(Agent03_Loans!B33="","",Agent03_Loans!C33)</f>
        <v/>
      </c>
      <c r="D421" s="41" t="str">
        <f>IF(Agent03_Loans!B33="","",Agent03_Loans!D33)</f>
        <v/>
      </c>
      <c r="E421" s="43" t="str">
        <f>IF(Agent03_Loans!B33="","",Agent03_Loans!E33)</f>
        <v/>
      </c>
      <c r="F421" s="40" t="str">
        <f>IF(Agent03_Loans!B33="","",Agent03_Loans!F33)</f>
        <v/>
      </c>
      <c r="G421" s="40" t="str">
        <f>IF(Agent03_Loans!B33="","",Agent03_Loans!G33)</f>
        <v/>
      </c>
      <c r="H421" s="40" t="str">
        <f>IF(Agent03_Loans!B33="","",Agent03_Loans!H33)</f>
        <v/>
      </c>
      <c r="I421" s="43" t="str">
        <f>IF(Agent03_Loans!B33="","",Agent03_Loans!I33)</f>
        <v/>
      </c>
      <c r="J421" s="43" t="str">
        <f>IF(Agent03_Loans!B33="","",Agent03_Loans!J33)</f>
        <v/>
      </c>
      <c r="K421" s="40" t="str">
        <f>IF(Agent03_Loans!B33="","",Agent03_Loans!K33)</f>
        <v/>
      </c>
      <c r="L421" s="40" t="str">
        <f>IF(Agent03_Loans!B33="","",Agent03_Loans!L33)</f>
        <v/>
      </c>
      <c r="M421" s="40" t="str">
        <f>IFERROR(IF(Agent03_Loans!B33="","",YEAR(Agent03_Loans!D33)),"")</f>
        <v/>
      </c>
    </row>
    <row r="422" spans="1:13" ht="18" customHeight="1" x14ac:dyDescent="0.25">
      <c r="A422" s="40" t="str">
        <f>IF(Agent03_Loans!B34="","",Agent03_Loans!A34)</f>
        <v/>
      </c>
      <c r="B422" s="40" t="str">
        <f>IF(Agent03_Loans!B34="","",Agent03_Loans!B34)</f>
        <v/>
      </c>
      <c r="C422" s="40" t="str">
        <f>IF(Agent03_Loans!B34="","",Agent03_Loans!C34)</f>
        <v/>
      </c>
      <c r="D422" s="41" t="str">
        <f>IF(Agent03_Loans!B34="","",Agent03_Loans!D34)</f>
        <v/>
      </c>
      <c r="E422" s="43" t="str">
        <f>IF(Agent03_Loans!B34="","",Agent03_Loans!E34)</f>
        <v/>
      </c>
      <c r="F422" s="40" t="str">
        <f>IF(Agent03_Loans!B34="","",Agent03_Loans!F34)</f>
        <v/>
      </c>
      <c r="G422" s="40" t="str">
        <f>IF(Agent03_Loans!B34="","",Agent03_Loans!G34)</f>
        <v/>
      </c>
      <c r="H422" s="40" t="str">
        <f>IF(Agent03_Loans!B34="","",Agent03_Loans!H34)</f>
        <v/>
      </c>
      <c r="I422" s="43" t="str">
        <f>IF(Agent03_Loans!B34="","",Agent03_Loans!I34)</f>
        <v/>
      </c>
      <c r="J422" s="43" t="str">
        <f>IF(Agent03_Loans!B34="","",Agent03_Loans!J34)</f>
        <v/>
      </c>
      <c r="K422" s="40" t="str">
        <f>IF(Agent03_Loans!B34="","",Agent03_Loans!K34)</f>
        <v/>
      </c>
      <c r="L422" s="40" t="str">
        <f>IF(Agent03_Loans!B34="","",Agent03_Loans!L34)</f>
        <v/>
      </c>
      <c r="M422" s="40" t="str">
        <f>IFERROR(IF(Agent03_Loans!B34="","",YEAR(Agent03_Loans!D34)),"")</f>
        <v/>
      </c>
    </row>
    <row r="423" spans="1:13" ht="18" customHeight="1" x14ac:dyDescent="0.25">
      <c r="A423" s="40" t="str">
        <f>IF(Agent03_Loans!B35="","",Agent03_Loans!A35)</f>
        <v/>
      </c>
      <c r="B423" s="40" t="str">
        <f>IF(Agent03_Loans!B35="","",Agent03_Loans!B35)</f>
        <v/>
      </c>
      <c r="C423" s="40" t="str">
        <f>IF(Agent03_Loans!B35="","",Agent03_Loans!C35)</f>
        <v/>
      </c>
      <c r="D423" s="41" t="str">
        <f>IF(Agent03_Loans!B35="","",Agent03_Loans!D35)</f>
        <v/>
      </c>
      <c r="E423" s="43" t="str">
        <f>IF(Agent03_Loans!B35="","",Agent03_Loans!E35)</f>
        <v/>
      </c>
      <c r="F423" s="40" t="str">
        <f>IF(Agent03_Loans!B35="","",Agent03_Loans!F35)</f>
        <v/>
      </c>
      <c r="G423" s="40" t="str">
        <f>IF(Agent03_Loans!B35="","",Agent03_Loans!G35)</f>
        <v/>
      </c>
      <c r="H423" s="40" t="str">
        <f>IF(Agent03_Loans!B35="","",Agent03_Loans!H35)</f>
        <v/>
      </c>
      <c r="I423" s="43" t="str">
        <f>IF(Agent03_Loans!B35="","",Agent03_Loans!I35)</f>
        <v/>
      </c>
      <c r="J423" s="43" t="str">
        <f>IF(Agent03_Loans!B35="","",Agent03_Loans!J35)</f>
        <v/>
      </c>
      <c r="K423" s="40" t="str">
        <f>IF(Agent03_Loans!B35="","",Agent03_Loans!K35)</f>
        <v/>
      </c>
      <c r="L423" s="40" t="str">
        <f>IF(Agent03_Loans!B35="","",Agent03_Loans!L35)</f>
        <v/>
      </c>
      <c r="M423" s="40" t="str">
        <f>IFERROR(IF(Agent03_Loans!B35="","",YEAR(Agent03_Loans!D35)),"")</f>
        <v/>
      </c>
    </row>
    <row r="424" spans="1:13" ht="18" customHeight="1" x14ac:dyDescent="0.25">
      <c r="A424" s="40" t="str">
        <f>IF(Agent03_Loans!B36="","",Agent03_Loans!A36)</f>
        <v/>
      </c>
      <c r="B424" s="40" t="str">
        <f>IF(Agent03_Loans!B36="","",Agent03_Loans!B36)</f>
        <v/>
      </c>
      <c r="C424" s="40" t="str">
        <f>IF(Agent03_Loans!B36="","",Agent03_Loans!C36)</f>
        <v/>
      </c>
      <c r="D424" s="41" t="str">
        <f>IF(Agent03_Loans!B36="","",Agent03_Loans!D36)</f>
        <v/>
      </c>
      <c r="E424" s="43" t="str">
        <f>IF(Agent03_Loans!B36="","",Agent03_Loans!E36)</f>
        <v/>
      </c>
      <c r="F424" s="40" t="str">
        <f>IF(Agent03_Loans!B36="","",Agent03_Loans!F36)</f>
        <v/>
      </c>
      <c r="G424" s="40" t="str">
        <f>IF(Agent03_Loans!B36="","",Agent03_Loans!G36)</f>
        <v/>
      </c>
      <c r="H424" s="40" t="str">
        <f>IF(Agent03_Loans!B36="","",Agent03_Loans!H36)</f>
        <v/>
      </c>
      <c r="I424" s="43" t="str">
        <f>IF(Agent03_Loans!B36="","",Agent03_Loans!I36)</f>
        <v/>
      </c>
      <c r="J424" s="43" t="str">
        <f>IF(Agent03_Loans!B36="","",Agent03_Loans!J36)</f>
        <v/>
      </c>
      <c r="K424" s="40" t="str">
        <f>IF(Agent03_Loans!B36="","",Agent03_Loans!K36)</f>
        <v/>
      </c>
      <c r="L424" s="40" t="str">
        <f>IF(Agent03_Loans!B36="","",Agent03_Loans!L36)</f>
        <v/>
      </c>
      <c r="M424" s="40" t="str">
        <f>IFERROR(IF(Agent03_Loans!B36="","",YEAR(Agent03_Loans!D36)),"")</f>
        <v/>
      </c>
    </row>
    <row r="425" spans="1:13" ht="18" customHeight="1" x14ac:dyDescent="0.25">
      <c r="A425" s="40" t="str">
        <f>IF(Agent03_Loans!B37="","",Agent03_Loans!A37)</f>
        <v/>
      </c>
      <c r="B425" s="40" t="str">
        <f>IF(Agent03_Loans!B37="","",Agent03_Loans!B37)</f>
        <v/>
      </c>
      <c r="C425" s="40" t="str">
        <f>IF(Agent03_Loans!B37="","",Agent03_Loans!C37)</f>
        <v/>
      </c>
      <c r="D425" s="41" t="str">
        <f>IF(Agent03_Loans!B37="","",Agent03_Loans!D37)</f>
        <v/>
      </c>
      <c r="E425" s="43" t="str">
        <f>IF(Agent03_Loans!B37="","",Agent03_Loans!E37)</f>
        <v/>
      </c>
      <c r="F425" s="40" t="str">
        <f>IF(Agent03_Loans!B37="","",Agent03_Loans!F37)</f>
        <v/>
      </c>
      <c r="G425" s="40" t="str">
        <f>IF(Agent03_Loans!B37="","",Agent03_Loans!G37)</f>
        <v/>
      </c>
      <c r="H425" s="40" t="str">
        <f>IF(Agent03_Loans!B37="","",Agent03_Loans!H37)</f>
        <v/>
      </c>
      <c r="I425" s="43" t="str">
        <f>IF(Agent03_Loans!B37="","",Agent03_Loans!I37)</f>
        <v/>
      </c>
      <c r="J425" s="43" t="str">
        <f>IF(Agent03_Loans!B37="","",Agent03_Loans!J37)</f>
        <v/>
      </c>
      <c r="K425" s="40" t="str">
        <f>IF(Agent03_Loans!B37="","",Agent03_Loans!K37)</f>
        <v/>
      </c>
      <c r="L425" s="40" t="str">
        <f>IF(Agent03_Loans!B37="","",Agent03_Loans!L37)</f>
        <v/>
      </c>
      <c r="M425" s="40" t="str">
        <f>IFERROR(IF(Agent03_Loans!B37="","",YEAR(Agent03_Loans!D37)),"")</f>
        <v/>
      </c>
    </row>
    <row r="426" spans="1:13" ht="18" customHeight="1" x14ac:dyDescent="0.25">
      <c r="A426" s="40" t="str">
        <f>IF(Agent03_Loans!B38="","",Agent03_Loans!A38)</f>
        <v/>
      </c>
      <c r="B426" s="40" t="str">
        <f>IF(Agent03_Loans!B38="","",Agent03_Loans!B38)</f>
        <v/>
      </c>
      <c r="C426" s="40" t="str">
        <f>IF(Agent03_Loans!B38="","",Agent03_Loans!C38)</f>
        <v/>
      </c>
      <c r="D426" s="41" t="str">
        <f>IF(Agent03_Loans!B38="","",Agent03_Loans!D38)</f>
        <v/>
      </c>
      <c r="E426" s="43" t="str">
        <f>IF(Agent03_Loans!B38="","",Agent03_Loans!E38)</f>
        <v/>
      </c>
      <c r="F426" s="40" t="str">
        <f>IF(Agent03_Loans!B38="","",Agent03_Loans!F38)</f>
        <v/>
      </c>
      <c r="G426" s="40" t="str">
        <f>IF(Agent03_Loans!B38="","",Agent03_Loans!G38)</f>
        <v/>
      </c>
      <c r="H426" s="40" t="str">
        <f>IF(Agent03_Loans!B38="","",Agent03_Loans!H38)</f>
        <v/>
      </c>
      <c r="I426" s="43" t="str">
        <f>IF(Agent03_Loans!B38="","",Agent03_Loans!I38)</f>
        <v/>
      </c>
      <c r="J426" s="43" t="str">
        <f>IF(Agent03_Loans!B38="","",Agent03_Loans!J38)</f>
        <v/>
      </c>
      <c r="K426" s="40" t="str">
        <f>IF(Agent03_Loans!B38="","",Agent03_Loans!K38)</f>
        <v/>
      </c>
      <c r="L426" s="40" t="str">
        <f>IF(Agent03_Loans!B38="","",Agent03_Loans!L38)</f>
        <v/>
      </c>
      <c r="M426" s="40" t="str">
        <f>IFERROR(IF(Agent03_Loans!B38="","",YEAR(Agent03_Loans!D38)),"")</f>
        <v/>
      </c>
    </row>
    <row r="427" spans="1:13" ht="18" customHeight="1" x14ac:dyDescent="0.25">
      <c r="A427" s="40" t="str">
        <f>IF(Agent03_Loans!B39="","",Agent03_Loans!A39)</f>
        <v/>
      </c>
      <c r="B427" s="40" t="str">
        <f>IF(Agent03_Loans!B39="","",Agent03_Loans!B39)</f>
        <v/>
      </c>
      <c r="C427" s="40" t="str">
        <f>IF(Agent03_Loans!B39="","",Agent03_Loans!C39)</f>
        <v/>
      </c>
      <c r="D427" s="41" t="str">
        <f>IF(Agent03_Loans!B39="","",Agent03_Loans!D39)</f>
        <v/>
      </c>
      <c r="E427" s="43" t="str">
        <f>IF(Agent03_Loans!B39="","",Agent03_Loans!E39)</f>
        <v/>
      </c>
      <c r="F427" s="40" t="str">
        <f>IF(Agent03_Loans!B39="","",Agent03_Loans!F39)</f>
        <v/>
      </c>
      <c r="G427" s="40" t="str">
        <f>IF(Agent03_Loans!B39="","",Agent03_Loans!G39)</f>
        <v/>
      </c>
      <c r="H427" s="40" t="str">
        <f>IF(Agent03_Loans!B39="","",Agent03_Loans!H39)</f>
        <v/>
      </c>
      <c r="I427" s="43" t="str">
        <f>IF(Agent03_Loans!B39="","",Agent03_Loans!I39)</f>
        <v/>
      </c>
      <c r="J427" s="43" t="str">
        <f>IF(Agent03_Loans!B39="","",Agent03_Loans!J39)</f>
        <v/>
      </c>
      <c r="K427" s="40" t="str">
        <f>IF(Agent03_Loans!B39="","",Agent03_Loans!K39)</f>
        <v/>
      </c>
      <c r="L427" s="40" t="str">
        <f>IF(Agent03_Loans!B39="","",Agent03_Loans!L39)</f>
        <v/>
      </c>
      <c r="M427" s="40" t="str">
        <f>IFERROR(IF(Agent03_Loans!B39="","",YEAR(Agent03_Loans!D39)),"")</f>
        <v/>
      </c>
    </row>
    <row r="428" spans="1:13" ht="18" customHeight="1" x14ac:dyDescent="0.25">
      <c r="A428" s="40" t="str">
        <f>IF(Agent03_Loans!B40="","",Agent03_Loans!A40)</f>
        <v/>
      </c>
      <c r="B428" s="40" t="str">
        <f>IF(Agent03_Loans!B40="","",Agent03_Loans!B40)</f>
        <v/>
      </c>
      <c r="C428" s="40" t="str">
        <f>IF(Agent03_Loans!B40="","",Agent03_Loans!C40)</f>
        <v/>
      </c>
      <c r="D428" s="41" t="str">
        <f>IF(Agent03_Loans!B40="","",Agent03_Loans!D40)</f>
        <v/>
      </c>
      <c r="E428" s="43" t="str">
        <f>IF(Agent03_Loans!B40="","",Agent03_Loans!E40)</f>
        <v/>
      </c>
      <c r="F428" s="40" t="str">
        <f>IF(Agent03_Loans!B40="","",Agent03_Loans!F40)</f>
        <v/>
      </c>
      <c r="G428" s="40" t="str">
        <f>IF(Agent03_Loans!B40="","",Agent03_Loans!G40)</f>
        <v/>
      </c>
      <c r="H428" s="40" t="str">
        <f>IF(Agent03_Loans!B40="","",Agent03_Loans!H40)</f>
        <v/>
      </c>
      <c r="I428" s="43" t="str">
        <f>IF(Agent03_Loans!B40="","",Agent03_Loans!I40)</f>
        <v/>
      </c>
      <c r="J428" s="43" t="str">
        <f>IF(Agent03_Loans!B40="","",Agent03_Loans!J40)</f>
        <v/>
      </c>
      <c r="K428" s="40" t="str">
        <f>IF(Agent03_Loans!B40="","",Agent03_Loans!K40)</f>
        <v/>
      </c>
      <c r="L428" s="40" t="str">
        <f>IF(Agent03_Loans!B40="","",Agent03_Loans!L40)</f>
        <v/>
      </c>
      <c r="M428" s="40" t="str">
        <f>IFERROR(IF(Agent03_Loans!B40="","",YEAR(Agent03_Loans!D40)),"")</f>
        <v/>
      </c>
    </row>
    <row r="429" spans="1:13" ht="18" customHeight="1" x14ac:dyDescent="0.25">
      <c r="A429" s="40" t="str">
        <f>IF(Agent03_Loans!B41="","",Agent03_Loans!A41)</f>
        <v/>
      </c>
      <c r="B429" s="40" t="str">
        <f>IF(Agent03_Loans!B41="","",Agent03_Loans!B41)</f>
        <v/>
      </c>
      <c r="C429" s="40" t="str">
        <f>IF(Agent03_Loans!B41="","",Agent03_Loans!C41)</f>
        <v/>
      </c>
      <c r="D429" s="41" t="str">
        <f>IF(Agent03_Loans!B41="","",Agent03_Loans!D41)</f>
        <v/>
      </c>
      <c r="E429" s="43" t="str">
        <f>IF(Agent03_Loans!B41="","",Agent03_Loans!E41)</f>
        <v/>
      </c>
      <c r="F429" s="40" t="str">
        <f>IF(Agent03_Loans!B41="","",Agent03_Loans!F41)</f>
        <v/>
      </c>
      <c r="G429" s="40" t="str">
        <f>IF(Agent03_Loans!B41="","",Agent03_Loans!G41)</f>
        <v/>
      </c>
      <c r="H429" s="40" t="str">
        <f>IF(Agent03_Loans!B41="","",Agent03_Loans!H41)</f>
        <v/>
      </c>
      <c r="I429" s="43" t="str">
        <f>IF(Agent03_Loans!B41="","",Agent03_Loans!I41)</f>
        <v/>
      </c>
      <c r="J429" s="43" t="str">
        <f>IF(Agent03_Loans!B41="","",Agent03_Loans!J41)</f>
        <v/>
      </c>
      <c r="K429" s="40" t="str">
        <f>IF(Agent03_Loans!B41="","",Agent03_Loans!K41)</f>
        <v/>
      </c>
      <c r="L429" s="40" t="str">
        <f>IF(Agent03_Loans!B41="","",Agent03_Loans!L41)</f>
        <v/>
      </c>
      <c r="M429" s="40" t="str">
        <f>IFERROR(IF(Agent03_Loans!B41="","",YEAR(Agent03_Loans!D41)),"")</f>
        <v/>
      </c>
    </row>
    <row r="430" spans="1:13" ht="18" customHeight="1" x14ac:dyDescent="0.25">
      <c r="A430" s="40" t="str">
        <f>IF(Agent03_Loans!B42="","",Agent03_Loans!A42)</f>
        <v/>
      </c>
      <c r="B430" s="40" t="str">
        <f>IF(Agent03_Loans!B42="","",Agent03_Loans!B42)</f>
        <v/>
      </c>
      <c r="C430" s="40" t="str">
        <f>IF(Agent03_Loans!B42="","",Agent03_Loans!C42)</f>
        <v/>
      </c>
      <c r="D430" s="41" t="str">
        <f>IF(Agent03_Loans!B42="","",Agent03_Loans!D42)</f>
        <v/>
      </c>
      <c r="E430" s="43" t="str">
        <f>IF(Agent03_Loans!B42="","",Agent03_Loans!E42)</f>
        <v/>
      </c>
      <c r="F430" s="40" t="str">
        <f>IF(Agent03_Loans!B42="","",Agent03_Loans!F42)</f>
        <v/>
      </c>
      <c r="G430" s="40" t="str">
        <f>IF(Agent03_Loans!B42="","",Agent03_Loans!G42)</f>
        <v/>
      </c>
      <c r="H430" s="40" t="str">
        <f>IF(Agent03_Loans!B42="","",Agent03_Loans!H42)</f>
        <v/>
      </c>
      <c r="I430" s="43" t="str">
        <f>IF(Agent03_Loans!B42="","",Agent03_Loans!I42)</f>
        <v/>
      </c>
      <c r="J430" s="43" t="str">
        <f>IF(Agent03_Loans!B42="","",Agent03_Loans!J42)</f>
        <v/>
      </c>
      <c r="K430" s="40" t="str">
        <f>IF(Agent03_Loans!B42="","",Agent03_Loans!K42)</f>
        <v/>
      </c>
      <c r="L430" s="40" t="str">
        <f>IF(Agent03_Loans!B42="","",Agent03_Loans!L42)</f>
        <v/>
      </c>
      <c r="M430" s="40" t="str">
        <f>IFERROR(IF(Agent03_Loans!B42="","",YEAR(Agent03_Loans!D42)),"")</f>
        <v/>
      </c>
    </row>
    <row r="431" spans="1:13" ht="18" customHeight="1" x14ac:dyDescent="0.25">
      <c r="A431" s="40" t="str">
        <f>IF(Agent03_Loans!B43="","",Agent03_Loans!A43)</f>
        <v/>
      </c>
      <c r="B431" s="40" t="str">
        <f>IF(Agent03_Loans!B43="","",Agent03_Loans!B43)</f>
        <v/>
      </c>
      <c r="C431" s="40" t="str">
        <f>IF(Agent03_Loans!B43="","",Agent03_Loans!C43)</f>
        <v/>
      </c>
      <c r="D431" s="41" t="str">
        <f>IF(Agent03_Loans!B43="","",Agent03_Loans!D43)</f>
        <v/>
      </c>
      <c r="E431" s="43" t="str">
        <f>IF(Agent03_Loans!B43="","",Agent03_Loans!E43)</f>
        <v/>
      </c>
      <c r="F431" s="40" t="str">
        <f>IF(Agent03_Loans!B43="","",Agent03_Loans!F43)</f>
        <v/>
      </c>
      <c r="G431" s="40" t="str">
        <f>IF(Agent03_Loans!B43="","",Agent03_Loans!G43)</f>
        <v/>
      </c>
      <c r="H431" s="40" t="str">
        <f>IF(Agent03_Loans!B43="","",Agent03_Loans!H43)</f>
        <v/>
      </c>
      <c r="I431" s="43" t="str">
        <f>IF(Agent03_Loans!B43="","",Agent03_Loans!I43)</f>
        <v/>
      </c>
      <c r="J431" s="43" t="str">
        <f>IF(Agent03_Loans!B43="","",Agent03_Loans!J43)</f>
        <v/>
      </c>
      <c r="K431" s="40" t="str">
        <f>IF(Agent03_Loans!B43="","",Agent03_Loans!K43)</f>
        <v/>
      </c>
      <c r="L431" s="40" t="str">
        <f>IF(Agent03_Loans!B43="","",Agent03_Loans!L43)</f>
        <v/>
      </c>
      <c r="M431" s="40" t="str">
        <f>IFERROR(IF(Agent03_Loans!B43="","",YEAR(Agent03_Loans!D43)),"")</f>
        <v/>
      </c>
    </row>
    <row r="432" spans="1:13" ht="18" customHeight="1" x14ac:dyDescent="0.25">
      <c r="A432" s="40" t="str">
        <f>IF(Agent03_Loans!B44="","",Agent03_Loans!A44)</f>
        <v/>
      </c>
      <c r="B432" s="40" t="str">
        <f>IF(Agent03_Loans!B44="","",Agent03_Loans!B44)</f>
        <v/>
      </c>
      <c r="C432" s="40" t="str">
        <f>IF(Agent03_Loans!B44="","",Agent03_Loans!C44)</f>
        <v/>
      </c>
      <c r="D432" s="41" t="str">
        <f>IF(Agent03_Loans!B44="","",Agent03_Loans!D44)</f>
        <v/>
      </c>
      <c r="E432" s="43" t="str">
        <f>IF(Agent03_Loans!B44="","",Agent03_Loans!E44)</f>
        <v/>
      </c>
      <c r="F432" s="40" t="str">
        <f>IF(Agent03_Loans!B44="","",Agent03_Loans!F44)</f>
        <v/>
      </c>
      <c r="G432" s="40" t="str">
        <f>IF(Agent03_Loans!B44="","",Agent03_Loans!G44)</f>
        <v/>
      </c>
      <c r="H432" s="40" t="str">
        <f>IF(Agent03_Loans!B44="","",Agent03_Loans!H44)</f>
        <v/>
      </c>
      <c r="I432" s="43" t="str">
        <f>IF(Agent03_Loans!B44="","",Agent03_Loans!I44)</f>
        <v/>
      </c>
      <c r="J432" s="43" t="str">
        <f>IF(Agent03_Loans!B44="","",Agent03_Loans!J44)</f>
        <v/>
      </c>
      <c r="K432" s="40" t="str">
        <f>IF(Agent03_Loans!B44="","",Agent03_Loans!K44)</f>
        <v/>
      </c>
      <c r="L432" s="40" t="str">
        <f>IF(Agent03_Loans!B44="","",Agent03_Loans!L44)</f>
        <v/>
      </c>
      <c r="M432" s="40" t="str">
        <f>IFERROR(IF(Agent03_Loans!B44="","",YEAR(Agent03_Loans!D44)),"")</f>
        <v/>
      </c>
    </row>
    <row r="433" spans="1:13" ht="18" customHeight="1" x14ac:dyDescent="0.25">
      <c r="A433" s="40" t="str">
        <f>IF(Agent03_Loans!B45="","",Agent03_Loans!A45)</f>
        <v/>
      </c>
      <c r="B433" s="40" t="str">
        <f>IF(Agent03_Loans!B45="","",Agent03_Loans!B45)</f>
        <v/>
      </c>
      <c r="C433" s="40" t="str">
        <f>IF(Agent03_Loans!B45="","",Agent03_Loans!C45)</f>
        <v/>
      </c>
      <c r="D433" s="41" t="str">
        <f>IF(Agent03_Loans!B45="","",Agent03_Loans!D45)</f>
        <v/>
      </c>
      <c r="E433" s="43" t="str">
        <f>IF(Agent03_Loans!B45="","",Agent03_Loans!E45)</f>
        <v/>
      </c>
      <c r="F433" s="40" t="str">
        <f>IF(Agent03_Loans!B45="","",Agent03_Loans!F45)</f>
        <v/>
      </c>
      <c r="G433" s="40" t="str">
        <f>IF(Agent03_Loans!B45="","",Agent03_Loans!G45)</f>
        <v/>
      </c>
      <c r="H433" s="40" t="str">
        <f>IF(Agent03_Loans!B45="","",Agent03_Loans!H45)</f>
        <v/>
      </c>
      <c r="I433" s="43" t="str">
        <f>IF(Agent03_Loans!B45="","",Agent03_Loans!I45)</f>
        <v/>
      </c>
      <c r="J433" s="43" t="str">
        <f>IF(Agent03_Loans!B45="","",Agent03_Loans!J45)</f>
        <v/>
      </c>
      <c r="K433" s="40" t="str">
        <f>IF(Agent03_Loans!B45="","",Agent03_Loans!K45)</f>
        <v/>
      </c>
      <c r="L433" s="40" t="str">
        <f>IF(Agent03_Loans!B45="","",Agent03_Loans!L45)</f>
        <v/>
      </c>
      <c r="M433" s="40" t="str">
        <f>IFERROR(IF(Agent03_Loans!B45="","",YEAR(Agent03_Loans!D45)),"")</f>
        <v/>
      </c>
    </row>
    <row r="434" spans="1:13" ht="18" customHeight="1" x14ac:dyDescent="0.25">
      <c r="A434" s="40" t="str">
        <f>IF(Agent03_Loans!B46="","",Agent03_Loans!A46)</f>
        <v/>
      </c>
      <c r="B434" s="40" t="str">
        <f>IF(Agent03_Loans!B46="","",Agent03_Loans!B46)</f>
        <v/>
      </c>
      <c r="C434" s="40" t="str">
        <f>IF(Agent03_Loans!B46="","",Agent03_Loans!C46)</f>
        <v/>
      </c>
      <c r="D434" s="41" t="str">
        <f>IF(Agent03_Loans!B46="","",Agent03_Loans!D46)</f>
        <v/>
      </c>
      <c r="E434" s="43" t="str">
        <f>IF(Agent03_Loans!B46="","",Agent03_Loans!E46)</f>
        <v/>
      </c>
      <c r="F434" s="40" t="str">
        <f>IF(Agent03_Loans!B46="","",Agent03_Loans!F46)</f>
        <v/>
      </c>
      <c r="G434" s="40" t="str">
        <f>IF(Agent03_Loans!B46="","",Agent03_Loans!G46)</f>
        <v/>
      </c>
      <c r="H434" s="40" t="str">
        <f>IF(Agent03_Loans!B46="","",Agent03_Loans!H46)</f>
        <v/>
      </c>
      <c r="I434" s="43" t="str">
        <f>IF(Agent03_Loans!B46="","",Agent03_Loans!I46)</f>
        <v/>
      </c>
      <c r="J434" s="43" t="str">
        <f>IF(Agent03_Loans!B46="","",Agent03_Loans!J46)</f>
        <v/>
      </c>
      <c r="K434" s="40" t="str">
        <f>IF(Agent03_Loans!B46="","",Agent03_Loans!K46)</f>
        <v/>
      </c>
      <c r="L434" s="40" t="str">
        <f>IF(Agent03_Loans!B46="","",Agent03_Loans!L46)</f>
        <v/>
      </c>
      <c r="M434" s="40" t="str">
        <f>IFERROR(IF(Agent03_Loans!B46="","",YEAR(Agent03_Loans!D46)),"")</f>
        <v/>
      </c>
    </row>
    <row r="435" spans="1:13" ht="18" customHeight="1" x14ac:dyDescent="0.25">
      <c r="A435" s="40" t="str">
        <f>IF(Agent03_Loans!B47="","",Agent03_Loans!A47)</f>
        <v/>
      </c>
      <c r="B435" s="40" t="str">
        <f>IF(Agent03_Loans!B47="","",Agent03_Loans!B47)</f>
        <v/>
      </c>
      <c r="C435" s="40" t="str">
        <f>IF(Agent03_Loans!B47="","",Agent03_Loans!C47)</f>
        <v/>
      </c>
      <c r="D435" s="41" t="str">
        <f>IF(Agent03_Loans!B47="","",Agent03_Loans!D47)</f>
        <v/>
      </c>
      <c r="E435" s="43" t="str">
        <f>IF(Agent03_Loans!B47="","",Agent03_Loans!E47)</f>
        <v/>
      </c>
      <c r="F435" s="40" t="str">
        <f>IF(Agent03_Loans!B47="","",Agent03_Loans!F47)</f>
        <v/>
      </c>
      <c r="G435" s="40" t="str">
        <f>IF(Agent03_Loans!B47="","",Agent03_Loans!G47)</f>
        <v/>
      </c>
      <c r="H435" s="40" t="str">
        <f>IF(Agent03_Loans!B47="","",Agent03_Loans!H47)</f>
        <v/>
      </c>
      <c r="I435" s="43" t="str">
        <f>IF(Agent03_Loans!B47="","",Agent03_Loans!I47)</f>
        <v/>
      </c>
      <c r="J435" s="43" t="str">
        <f>IF(Agent03_Loans!B47="","",Agent03_Loans!J47)</f>
        <v/>
      </c>
      <c r="K435" s="40" t="str">
        <f>IF(Agent03_Loans!B47="","",Agent03_Loans!K47)</f>
        <v/>
      </c>
      <c r="L435" s="40" t="str">
        <f>IF(Agent03_Loans!B47="","",Agent03_Loans!L47)</f>
        <v/>
      </c>
      <c r="M435" s="40" t="str">
        <f>IFERROR(IF(Agent03_Loans!B47="","",YEAR(Agent03_Loans!D47)),"")</f>
        <v/>
      </c>
    </row>
    <row r="436" spans="1:13" ht="18" customHeight="1" x14ac:dyDescent="0.25">
      <c r="A436" s="40" t="str">
        <f>IF(Agent03_Loans!B48="","",Agent03_Loans!A48)</f>
        <v/>
      </c>
      <c r="B436" s="40" t="str">
        <f>IF(Agent03_Loans!B48="","",Agent03_Loans!B48)</f>
        <v/>
      </c>
      <c r="C436" s="40" t="str">
        <f>IF(Agent03_Loans!B48="","",Agent03_Loans!C48)</f>
        <v/>
      </c>
      <c r="D436" s="41" t="str">
        <f>IF(Agent03_Loans!B48="","",Agent03_Loans!D48)</f>
        <v/>
      </c>
      <c r="E436" s="43" t="str">
        <f>IF(Agent03_Loans!B48="","",Agent03_Loans!E48)</f>
        <v/>
      </c>
      <c r="F436" s="40" t="str">
        <f>IF(Agent03_Loans!B48="","",Agent03_Loans!F48)</f>
        <v/>
      </c>
      <c r="G436" s="40" t="str">
        <f>IF(Agent03_Loans!B48="","",Agent03_Loans!G48)</f>
        <v/>
      </c>
      <c r="H436" s="40" t="str">
        <f>IF(Agent03_Loans!B48="","",Agent03_Loans!H48)</f>
        <v/>
      </c>
      <c r="I436" s="43" t="str">
        <f>IF(Agent03_Loans!B48="","",Agent03_Loans!I48)</f>
        <v/>
      </c>
      <c r="J436" s="43" t="str">
        <f>IF(Agent03_Loans!B48="","",Agent03_Loans!J48)</f>
        <v/>
      </c>
      <c r="K436" s="40" t="str">
        <f>IF(Agent03_Loans!B48="","",Agent03_Loans!K48)</f>
        <v/>
      </c>
      <c r="L436" s="40" t="str">
        <f>IF(Agent03_Loans!B48="","",Agent03_Loans!L48)</f>
        <v/>
      </c>
      <c r="M436" s="40" t="str">
        <f>IFERROR(IF(Agent03_Loans!B48="","",YEAR(Agent03_Loans!D48)),"")</f>
        <v/>
      </c>
    </row>
    <row r="437" spans="1:13" ht="18" customHeight="1" x14ac:dyDescent="0.25">
      <c r="A437" s="40" t="str">
        <f>IF(Agent03_Loans!B49="","",Agent03_Loans!A49)</f>
        <v/>
      </c>
      <c r="B437" s="40" t="str">
        <f>IF(Agent03_Loans!B49="","",Agent03_Loans!B49)</f>
        <v/>
      </c>
      <c r="C437" s="40" t="str">
        <f>IF(Agent03_Loans!B49="","",Agent03_Loans!C49)</f>
        <v/>
      </c>
      <c r="D437" s="41" t="str">
        <f>IF(Agent03_Loans!B49="","",Agent03_Loans!D49)</f>
        <v/>
      </c>
      <c r="E437" s="43" t="str">
        <f>IF(Agent03_Loans!B49="","",Agent03_Loans!E49)</f>
        <v/>
      </c>
      <c r="F437" s="40" t="str">
        <f>IF(Agent03_Loans!B49="","",Agent03_Loans!F49)</f>
        <v/>
      </c>
      <c r="G437" s="40" t="str">
        <f>IF(Agent03_Loans!B49="","",Agent03_Loans!G49)</f>
        <v/>
      </c>
      <c r="H437" s="40" t="str">
        <f>IF(Agent03_Loans!B49="","",Agent03_Loans!H49)</f>
        <v/>
      </c>
      <c r="I437" s="43" t="str">
        <f>IF(Agent03_Loans!B49="","",Agent03_Loans!I49)</f>
        <v/>
      </c>
      <c r="J437" s="43" t="str">
        <f>IF(Agent03_Loans!B49="","",Agent03_Loans!J49)</f>
        <v/>
      </c>
      <c r="K437" s="40" t="str">
        <f>IF(Agent03_Loans!B49="","",Agent03_Loans!K49)</f>
        <v/>
      </c>
      <c r="L437" s="40" t="str">
        <f>IF(Agent03_Loans!B49="","",Agent03_Loans!L49)</f>
        <v/>
      </c>
      <c r="M437" s="40" t="str">
        <f>IFERROR(IF(Agent03_Loans!B49="","",YEAR(Agent03_Loans!D49)),"")</f>
        <v/>
      </c>
    </row>
    <row r="438" spans="1:13" ht="18" customHeight="1" x14ac:dyDescent="0.25">
      <c r="A438" s="40" t="str">
        <f>IF(Agent03_Loans!B50="","",Agent03_Loans!A50)</f>
        <v/>
      </c>
      <c r="B438" s="40" t="str">
        <f>IF(Agent03_Loans!B50="","",Agent03_Loans!B50)</f>
        <v/>
      </c>
      <c r="C438" s="40" t="str">
        <f>IF(Agent03_Loans!B50="","",Agent03_Loans!C50)</f>
        <v/>
      </c>
      <c r="D438" s="41" t="str">
        <f>IF(Agent03_Loans!B50="","",Agent03_Loans!D50)</f>
        <v/>
      </c>
      <c r="E438" s="43" t="str">
        <f>IF(Agent03_Loans!B50="","",Agent03_Loans!E50)</f>
        <v/>
      </c>
      <c r="F438" s="40" t="str">
        <f>IF(Agent03_Loans!B50="","",Agent03_Loans!F50)</f>
        <v/>
      </c>
      <c r="G438" s="40" t="str">
        <f>IF(Agent03_Loans!B50="","",Agent03_Loans!G50)</f>
        <v/>
      </c>
      <c r="H438" s="40" t="str">
        <f>IF(Agent03_Loans!B50="","",Agent03_Loans!H50)</f>
        <v/>
      </c>
      <c r="I438" s="43" t="str">
        <f>IF(Agent03_Loans!B50="","",Agent03_Loans!I50)</f>
        <v/>
      </c>
      <c r="J438" s="43" t="str">
        <f>IF(Agent03_Loans!B50="","",Agent03_Loans!J50)</f>
        <v/>
      </c>
      <c r="K438" s="40" t="str">
        <f>IF(Agent03_Loans!B50="","",Agent03_Loans!K50)</f>
        <v/>
      </c>
      <c r="L438" s="40" t="str">
        <f>IF(Agent03_Loans!B50="","",Agent03_Loans!L50)</f>
        <v/>
      </c>
      <c r="M438" s="40" t="str">
        <f>IFERROR(IF(Agent03_Loans!B50="","",YEAR(Agent03_Loans!D50)),"")</f>
        <v/>
      </c>
    </row>
    <row r="439" spans="1:13" ht="18" customHeight="1" x14ac:dyDescent="0.25">
      <c r="A439" s="40" t="str">
        <f>IF(Agent03_Loans!B51="","",Agent03_Loans!A51)</f>
        <v/>
      </c>
      <c r="B439" s="40" t="str">
        <f>IF(Agent03_Loans!B51="","",Agent03_Loans!B51)</f>
        <v/>
      </c>
      <c r="C439" s="40" t="str">
        <f>IF(Agent03_Loans!B51="","",Agent03_Loans!C51)</f>
        <v/>
      </c>
      <c r="D439" s="41" t="str">
        <f>IF(Agent03_Loans!B51="","",Agent03_Loans!D51)</f>
        <v/>
      </c>
      <c r="E439" s="43" t="str">
        <f>IF(Agent03_Loans!B51="","",Agent03_Loans!E51)</f>
        <v/>
      </c>
      <c r="F439" s="40" t="str">
        <f>IF(Agent03_Loans!B51="","",Agent03_Loans!F51)</f>
        <v/>
      </c>
      <c r="G439" s="40" t="str">
        <f>IF(Agent03_Loans!B51="","",Agent03_Loans!G51)</f>
        <v/>
      </c>
      <c r="H439" s="40" t="str">
        <f>IF(Agent03_Loans!B51="","",Agent03_Loans!H51)</f>
        <v/>
      </c>
      <c r="I439" s="43" t="str">
        <f>IF(Agent03_Loans!B51="","",Agent03_Loans!I51)</f>
        <v/>
      </c>
      <c r="J439" s="43" t="str">
        <f>IF(Agent03_Loans!B51="","",Agent03_Loans!J51)</f>
        <v/>
      </c>
      <c r="K439" s="40" t="str">
        <f>IF(Agent03_Loans!B51="","",Agent03_Loans!K51)</f>
        <v/>
      </c>
      <c r="L439" s="40" t="str">
        <f>IF(Agent03_Loans!B51="","",Agent03_Loans!L51)</f>
        <v/>
      </c>
      <c r="M439" s="40" t="str">
        <f>IFERROR(IF(Agent03_Loans!B51="","",YEAR(Agent03_Loans!D51)),"")</f>
        <v/>
      </c>
    </row>
    <row r="440" spans="1:13" ht="18" customHeight="1" x14ac:dyDescent="0.25">
      <c r="A440" s="40" t="str">
        <f>IF(Agent03_Loans!B52="","",Agent03_Loans!A52)</f>
        <v/>
      </c>
      <c r="B440" s="40" t="str">
        <f>IF(Agent03_Loans!B52="","",Agent03_Loans!B52)</f>
        <v/>
      </c>
      <c r="C440" s="40" t="str">
        <f>IF(Agent03_Loans!B52="","",Agent03_Loans!C52)</f>
        <v/>
      </c>
      <c r="D440" s="41" t="str">
        <f>IF(Agent03_Loans!B52="","",Agent03_Loans!D52)</f>
        <v/>
      </c>
      <c r="E440" s="43" t="str">
        <f>IF(Agent03_Loans!B52="","",Agent03_Loans!E52)</f>
        <v/>
      </c>
      <c r="F440" s="40" t="str">
        <f>IF(Agent03_Loans!B52="","",Agent03_Loans!F52)</f>
        <v/>
      </c>
      <c r="G440" s="40" t="str">
        <f>IF(Agent03_Loans!B52="","",Agent03_Loans!G52)</f>
        <v/>
      </c>
      <c r="H440" s="40" t="str">
        <f>IF(Agent03_Loans!B52="","",Agent03_Loans!H52)</f>
        <v/>
      </c>
      <c r="I440" s="43" t="str">
        <f>IF(Agent03_Loans!B52="","",Agent03_Loans!I52)</f>
        <v/>
      </c>
      <c r="J440" s="43" t="str">
        <f>IF(Agent03_Loans!B52="","",Agent03_Loans!J52)</f>
        <v/>
      </c>
      <c r="K440" s="40" t="str">
        <f>IF(Agent03_Loans!B52="","",Agent03_Loans!K52)</f>
        <v/>
      </c>
      <c r="L440" s="40" t="str">
        <f>IF(Agent03_Loans!B52="","",Agent03_Loans!L52)</f>
        <v/>
      </c>
      <c r="M440" s="40" t="str">
        <f>IFERROR(IF(Agent03_Loans!B52="","",YEAR(Agent03_Loans!D52)),"")</f>
        <v/>
      </c>
    </row>
    <row r="441" spans="1:13" ht="18" customHeight="1" x14ac:dyDescent="0.25">
      <c r="A441" s="40" t="str">
        <f>IF(Agent03_Loans!B53="","",Agent03_Loans!A53)</f>
        <v/>
      </c>
      <c r="B441" s="40" t="str">
        <f>IF(Agent03_Loans!B53="","",Agent03_Loans!B53)</f>
        <v/>
      </c>
      <c r="C441" s="40" t="str">
        <f>IF(Agent03_Loans!B53="","",Agent03_Loans!C53)</f>
        <v/>
      </c>
      <c r="D441" s="41" t="str">
        <f>IF(Agent03_Loans!B53="","",Agent03_Loans!D53)</f>
        <v/>
      </c>
      <c r="E441" s="43" t="str">
        <f>IF(Agent03_Loans!B53="","",Agent03_Loans!E53)</f>
        <v/>
      </c>
      <c r="F441" s="40" t="str">
        <f>IF(Agent03_Loans!B53="","",Agent03_Loans!F53)</f>
        <v/>
      </c>
      <c r="G441" s="40" t="str">
        <f>IF(Agent03_Loans!B53="","",Agent03_Loans!G53)</f>
        <v/>
      </c>
      <c r="H441" s="40" t="str">
        <f>IF(Agent03_Loans!B53="","",Agent03_Loans!H53)</f>
        <v/>
      </c>
      <c r="I441" s="43" t="str">
        <f>IF(Agent03_Loans!B53="","",Agent03_Loans!I53)</f>
        <v/>
      </c>
      <c r="J441" s="43" t="str">
        <f>IF(Agent03_Loans!B53="","",Agent03_Loans!J53)</f>
        <v/>
      </c>
      <c r="K441" s="40" t="str">
        <f>IF(Agent03_Loans!B53="","",Agent03_Loans!K53)</f>
        <v/>
      </c>
      <c r="L441" s="40" t="str">
        <f>IF(Agent03_Loans!B53="","",Agent03_Loans!L53)</f>
        <v/>
      </c>
      <c r="M441" s="40" t="str">
        <f>IFERROR(IF(Agent03_Loans!B53="","",YEAR(Agent03_Loans!D53)),"")</f>
        <v/>
      </c>
    </row>
    <row r="442" spans="1:13" ht="18" customHeight="1" x14ac:dyDescent="0.25">
      <c r="A442" s="40" t="str">
        <f>IF(Agent03_Loans!B54="","",Agent03_Loans!A54)</f>
        <v/>
      </c>
      <c r="B442" s="40" t="str">
        <f>IF(Agent03_Loans!B54="","",Agent03_Loans!B54)</f>
        <v/>
      </c>
      <c r="C442" s="40" t="str">
        <f>IF(Agent03_Loans!B54="","",Agent03_Loans!C54)</f>
        <v/>
      </c>
      <c r="D442" s="41" t="str">
        <f>IF(Agent03_Loans!B54="","",Agent03_Loans!D54)</f>
        <v/>
      </c>
      <c r="E442" s="43" t="str">
        <f>IF(Agent03_Loans!B54="","",Agent03_Loans!E54)</f>
        <v/>
      </c>
      <c r="F442" s="40" t="str">
        <f>IF(Agent03_Loans!B54="","",Agent03_Loans!F54)</f>
        <v/>
      </c>
      <c r="G442" s="40" t="str">
        <f>IF(Agent03_Loans!B54="","",Agent03_Loans!G54)</f>
        <v/>
      </c>
      <c r="H442" s="40" t="str">
        <f>IF(Agent03_Loans!B54="","",Agent03_Loans!H54)</f>
        <v/>
      </c>
      <c r="I442" s="43" t="str">
        <f>IF(Agent03_Loans!B54="","",Agent03_Loans!I54)</f>
        <v/>
      </c>
      <c r="J442" s="43" t="str">
        <f>IF(Agent03_Loans!B54="","",Agent03_Loans!J54)</f>
        <v/>
      </c>
      <c r="K442" s="40" t="str">
        <f>IF(Agent03_Loans!B54="","",Agent03_Loans!K54)</f>
        <v/>
      </c>
      <c r="L442" s="40" t="str">
        <f>IF(Agent03_Loans!B54="","",Agent03_Loans!L54)</f>
        <v/>
      </c>
      <c r="M442" s="40" t="str">
        <f>IFERROR(IF(Agent03_Loans!B54="","",YEAR(Agent03_Loans!D54)),"")</f>
        <v/>
      </c>
    </row>
    <row r="443" spans="1:13" ht="18" customHeight="1" x14ac:dyDescent="0.25">
      <c r="A443" s="40" t="str">
        <f>IF(Agent03_Loans!B55="","",Agent03_Loans!A55)</f>
        <v/>
      </c>
      <c r="B443" s="40" t="str">
        <f>IF(Agent03_Loans!B55="","",Agent03_Loans!B55)</f>
        <v/>
      </c>
      <c r="C443" s="40" t="str">
        <f>IF(Agent03_Loans!B55="","",Agent03_Loans!C55)</f>
        <v/>
      </c>
      <c r="D443" s="41" t="str">
        <f>IF(Agent03_Loans!B55="","",Agent03_Loans!D55)</f>
        <v/>
      </c>
      <c r="E443" s="43" t="str">
        <f>IF(Agent03_Loans!B55="","",Agent03_Loans!E55)</f>
        <v/>
      </c>
      <c r="F443" s="40" t="str">
        <f>IF(Agent03_Loans!B55="","",Agent03_Loans!F55)</f>
        <v/>
      </c>
      <c r="G443" s="40" t="str">
        <f>IF(Agent03_Loans!B55="","",Agent03_Loans!G55)</f>
        <v/>
      </c>
      <c r="H443" s="40" t="str">
        <f>IF(Agent03_Loans!B55="","",Agent03_Loans!H55)</f>
        <v/>
      </c>
      <c r="I443" s="43" t="str">
        <f>IF(Agent03_Loans!B55="","",Agent03_Loans!I55)</f>
        <v/>
      </c>
      <c r="J443" s="43" t="str">
        <f>IF(Agent03_Loans!B55="","",Agent03_Loans!J55)</f>
        <v/>
      </c>
      <c r="K443" s="40" t="str">
        <f>IF(Agent03_Loans!B55="","",Agent03_Loans!K55)</f>
        <v/>
      </c>
      <c r="L443" s="40" t="str">
        <f>IF(Agent03_Loans!B55="","",Agent03_Loans!L55)</f>
        <v/>
      </c>
      <c r="M443" s="40" t="str">
        <f>IFERROR(IF(Agent03_Loans!B55="","",YEAR(Agent03_Loans!D55)),"")</f>
        <v/>
      </c>
    </row>
    <row r="444" spans="1:13" ht="18" customHeight="1" x14ac:dyDescent="0.25">
      <c r="A444" s="40" t="str">
        <f>IF(Agent03_Loans!B56="","",Agent03_Loans!A56)</f>
        <v/>
      </c>
      <c r="B444" s="40" t="str">
        <f>IF(Agent03_Loans!B56="","",Agent03_Loans!B56)</f>
        <v/>
      </c>
      <c r="C444" s="40" t="str">
        <f>IF(Agent03_Loans!B56="","",Agent03_Loans!C56)</f>
        <v/>
      </c>
      <c r="D444" s="41" t="str">
        <f>IF(Agent03_Loans!B56="","",Agent03_Loans!D56)</f>
        <v/>
      </c>
      <c r="E444" s="43" t="str">
        <f>IF(Agent03_Loans!B56="","",Agent03_Loans!E56)</f>
        <v/>
      </c>
      <c r="F444" s="40" t="str">
        <f>IF(Agent03_Loans!B56="","",Agent03_Loans!F56)</f>
        <v/>
      </c>
      <c r="G444" s="40" t="str">
        <f>IF(Agent03_Loans!B56="","",Agent03_Loans!G56)</f>
        <v/>
      </c>
      <c r="H444" s="40" t="str">
        <f>IF(Agent03_Loans!B56="","",Agent03_Loans!H56)</f>
        <v/>
      </c>
      <c r="I444" s="43" t="str">
        <f>IF(Agent03_Loans!B56="","",Agent03_Loans!I56)</f>
        <v/>
      </c>
      <c r="J444" s="43" t="str">
        <f>IF(Agent03_Loans!B56="","",Agent03_Loans!J56)</f>
        <v/>
      </c>
      <c r="K444" s="40" t="str">
        <f>IF(Agent03_Loans!B56="","",Agent03_Loans!K56)</f>
        <v/>
      </c>
      <c r="L444" s="40" t="str">
        <f>IF(Agent03_Loans!B56="","",Agent03_Loans!L56)</f>
        <v/>
      </c>
      <c r="M444" s="40" t="str">
        <f>IFERROR(IF(Agent03_Loans!B56="","",YEAR(Agent03_Loans!D56)),"")</f>
        <v/>
      </c>
    </row>
    <row r="445" spans="1:13" ht="18" customHeight="1" x14ac:dyDescent="0.25">
      <c r="A445" s="40" t="str">
        <f>IF(Agent03_Loans!B57="","",Agent03_Loans!A57)</f>
        <v/>
      </c>
      <c r="B445" s="40" t="str">
        <f>IF(Agent03_Loans!B57="","",Agent03_Loans!B57)</f>
        <v/>
      </c>
      <c r="C445" s="40" t="str">
        <f>IF(Agent03_Loans!B57="","",Agent03_Loans!C57)</f>
        <v/>
      </c>
      <c r="D445" s="41" t="str">
        <f>IF(Agent03_Loans!B57="","",Agent03_Loans!D57)</f>
        <v/>
      </c>
      <c r="E445" s="43" t="str">
        <f>IF(Agent03_Loans!B57="","",Agent03_Loans!E57)</f>
        <v/>
      </c>
      <c r="F445" s="40" t="str">
        <f>IF(Agent03_Loans!B57="","",Agent03_Loans!F57)</f>
        <v/>
      </c>
      <c r="G445" s="40" t="str">
        <f>IF(Agent03_Loans!B57="","",Agent03_Loans!G57)</f>
        <v/>
      </c>
      <c r="H445" s="40" t="str">
        <f>IF(Agent03_Loans!B57="","",Agent03_Loans!H57)</f>
        <v/>
      </c>
      <c r="I445" s="43" t="str">
        <f>IF(Agent03_Loans!B57="","",Agent03_Loans!I57)</f>
        <v/>
      </c>
      <c r="J445" s="43" t="str">
        <f>IF(Agent03_Loans!B57="","",Agent03_Loans!J57)</f>
        <v/>
      </c>
      <c r="K445" s="40" t="str">
        <f>IF(Agent03_Loans!B57="","",Agent03_Loans!K57)</f>
        <v/>
      </c>
      <c r="L445" s="40" t="str">
        <f>IF(Agent03_Loans!B57="","",Agent03_Loans!L57)</f>
        <v/>
      </c>
      <c r="M445" s="40" t="str">
        <f>IFERROR(IF(Agent03_Loans!B57="","",YEAR(Agent03_Loans!D57)),"")</f>
        <v/>
      </c>
    </row>
    <row r="446" spans="1:13" ht="18" customHeight="1" x14ac:dyDescent="0.25">
      <c r="A446" s="40" t="str">
        <f>IF(Agent03_Loans!B58="","",Agent03_Loans!A58)</f>
        <v/>
      </c>
      <c r="B446" s="40" t="str">
        <f>IF(Agent03_Loans!B58="","",Agent03_Loans!B58)</f>
        <v/>
      </c>
      <c r="C446" s="40" t="str">
        <f>IF(Agent03_Loans!B58="","",Agent03_Loans!C58)</f>
        <v/>
      </c>
      <c r="D446" s="41" t="str">
        <f>IF(Agent03_Loans!B58="","",Agent03_Loans!D58)</f>
        <v/>
      </c>
      <c r="E446" s="43" t="str">
        <f>IF(Agent03_Loans!B58="","",Agent03_Loans!E58)</f>
        <v/>
      </c>
      <c r="F446" s="40" t="str">
        <f>IF(Agent03_Loans!B58="","",Agent03_Loans!F58)</f>
        <v/>
      </c>
      <c r="G446" s="40" t="str">
        <f>IF(Agent03_Loans!B58="","",Agent03_Loans!G58)</f>
        <v/>
      </c>
      <c r="H446" s="40" t="str">
        <f>IF(Agent03_Loans!B58="","",Agent03_Loans!H58)</f>
        <v/>
      </c>
      <c r="I446" s="43" t="str">
        <f>IF(Agent03_Loans!B58="","",Agent03_Loans!I58)</f>
        <v/>
      </c>
      <c r="J446" s="43" t="str">
        <f>IF(Agent03_Loans!B58="","",Agent03_Loans!J58)</f>
        <v/>
      </c>
      <c r="K446" s="40" t="str">
        <f>IF(Agent03_Loans!B58="","",Agent03_Loans!K58)</f>
        <v/>
      </c>
      <c r="L446" s="40" t="str">
        <f>IF(Agent03_Loans!B58="","",Agent03_Loans!L58)</f>
        <v/>
      </c>
      <c r="M446" s="40" t="str">
        <f>IFERROR(IF(Agent03_Loans!B58="","",YEAR(Agent03_Loans!D58)),"")</f>
        <v/>
      </c>
    </row>
    <row r="447" spans="1:13" ht="18" customHeight="1" x14ac:dyDescent="0.25">
      <c r="A447" s="40" t="str">
        <f>IF(Agent03_Loans!B59="","",Agent03_Loans!A59)</f>
        <v/>
      </c>
      <c r="B447" s="40" t="str">
        <f>IF(Agent03_Loans!B59="","",Agent03_Loans!B59)</f>
        <v/>
      </c>
      <c r="C447" s="40" t="str">
        <f>IF(Agent03_Loans!B59="","",Agent03_Loans!C59)</f>
        <v/>
      </c>
      <c r="D447" s="41" t="str">
        <f>IF(Agent03_Loans!B59="","",Agent03_Loans!D59)</f>
        <v/>
      </c>
      <c r="E447" s="43" t="str">
        <f>IF(Agent03_Loans!B59="","",Agent03_Loans!E59)</f>
        <v/>
      </c>
      <c r="F447" s="40" t="str">
        <f>IF(Agent03_Loans!B59="","",Agent03_Loans!F59)</f>
        <v/>
      </c>
      <c r="G447" s="40" t="str">
        <f>IF(Agent03_Loans!B59="","",Agent03_Loans!G59)</f>
        <v/>
      </c>
      <c r="H447" s="40" t="str">
        <f>IF(Agent03_Loans!B59="","",Agent03_Loans!H59)</f>
        <v/>
      </c>
      <c r="I447" s="43" t="str">
        <f>IF(Agent03_Loans!B59="","",Agent03_Loans!I59)</f>
        <v/>
      </c>
      <c r="J447" s="43" t="str">
        <f>IF(Agent03_Loans!B59="","",Agent03_Loans!J59)</f>
        <v/>
      </c>
      <c r="K447" s="40" t="str">
        <f>IF(Agent03_Loans!B59="","",Agent03_Loans!K59)</f>
        <v/>
      </c>
      <c r="L447" s="40" t="str">
        <f>IF(Agent03_Loans!B59="","",Agent03_Loans!L59)</f>
        <v/>
      </c>
      <c r="M447" s="40" t="str">
        <f>IFERROR(IF(Agent03_Loans!B59="","",YEAR(Agent03_Loans!D59)),"")</f>
        <v/>
      </c>
    </row>
    <row r="448" spans="1:13" ht="18" customHeight="1" x14ac:dyDescent="0.25">
      <c r="A448" s="40" t="str">
        <f>IF(Agent03_Loans!B60="","",Agent03_Loans!A60)</f>
        <v/>
      </c>
      <c r="B448" s="40" t="str">
        <f>IF(Agent03_Loans!B60="","",Agent03_Loans!B60)</f>
        <v/>
      </c>
      <c r="C448" s="40" t="str">
        <f>IF(Agent03_Loans!B60="","",Agent03_Loans!C60)</f>
        <v/>
      </c>
      <c r="D448" s="41" t="str">
        <f>IF(Agent03_Loans!B60="","",Agent03_Loans!D60)</f>
        <v/>
      </c>
      <c r="E448" s="43" t="str">
        <f>IF(Agent03_Loans!B60="","",Agent03_Loans!E60)</f>
        <v/>
      </c>
      <c r="F448" s="40" t="str">
        <f>IF(Agent03_Loans!B60="","",Agent03_Loans!F60)</f>
        <v/>
      </c>
      <c r="G448" s="40" t="str">
        <f>IF(Agent03_Loans!B60="","",Agent03_Loans!G60)</f>
        <v/>
      </c>
      <c r="H448" s="40" t="str">
        <f>IF(Agent03_Loans!B60="","",Agent03_Loans!H60)</f>
        <v/>
      </c>
      <c r="I448" s="43" t="str">
        <f>IF(Agent03_Loans!B60="","",Agent03_Loans!I60)</f>
        <v/>
      </c>
      <c r="J448" s="43" t="str">
        <f>IF(Agent03_Loans!B60="","",Agent03_Loans!J60)</f>
        <v/>
      </c>
      <c r="K448" s="40" t="str">
        <f>IF(Agent03_Loans!B60="","",Agent03_Loans!K60)</f>
        <v/>
      </c>
      <c r="L448" s="40" t="str">
        <f>IF(Agent03_Loans!B60="","",Agent03_Loans!L60)</f>
        <v/>
      </c>
      <c r="M448" s="40" t="str">
        <f>IFERROR(IF(Agent03_Loans!B60="","",YEAR(Agent03_Loans!D60)),"")</f>
        <v/>
      </c>
    </row>
    <row r="449" spans="1:13" ht="18" customHeight="1" x14ac:dyDescent="0.25">
      <c r="A449" s="40" t="str">
        <f>IF(Agent03_Loans!B61="","",Agent03_Loans!A61)</f>
        <v/>
      </c>
      <c r="B449" s="40" t="str">
        <f>IF(Agent03_Loans!B61="","",Agent03_Loans!B61)</f>
        <v/>
      </c>
      <c r="C449" s="40" t="str">
        <f>IF(Agent03_Loans!B61="","",Agent03_Loans!C61)</f>
        <v/>
      </c>
      <c r="D449" s="41" t="str">
        <f>IF(Agent03_Loans!B61="","",Agent03_Loans!D61)</f>
        <v/>
      </c>
      <c r="E449" s="43" t="str">
        <f>IF(Agent03_Loans!B61="","",Agent03_Loans!E61)</f>
        <v/>
      </c>
      <c r="F449" s="40" t="str">
        <f>IF(Agent03_Loans!B61="","",Agent03_Loans!F61)</f>
        <v/>
      </c>
      <c r="G449" s="40" t="str">
        <f>IF(Agent03_Loans!B61="","",Agent03_Loans!G61)</f>
        <v/>
      </c>
      <c r="H449" s="40" t="str">
        <f>IF(Agent03_Loans!B61="","",Agent03_Loans!H61)</f>
        <v/>
      </c>
      <c r="I449" s="43" t="str">
        <f>IF(Agent03_Loans!B61="","",Agent03_Loans!I61)</f>
        <v/>
      </c>
      <c r="J449" s="43" t="str">
        <f>IF(Agent03_Loans!B61="","",Agent03_Loans!J61)</f>
        <v/>
      </c>
      <c r="K449" s="40" t="str">
        <f>IF(Agent03_Loans!B61="","",Agent03_Loans!K61)</f>
        <v/>
      </c>
      <c r="L449" s="40" t="str">
        <f>IF(Agent03_Loans!B61="","",Agent03_Loans!L61)</f>
        <v/>
      </c>
      <c r="M449" s="40" t="str">
        <f>IFERROR(IF(Agent03_Loans!B61="","",YEAR(Agent03_Loans!D61)),"")</f>
        <v/>
      </c>
    </row>
    <row r="450" spans="1:13" ht="18" customHeight="1" x14ac:dyDescent="0.25">
      <c r="A450" s="40" t="str">
        <f>IF(Agent03_Loans!B62="","",Agent03_Loans!A62)</f>
        <v/>
      </c>
      <c r="B450" s="40" t="str">
        <f>IF(Agent03_Loans!B62="","",Agent03_Loans!B62)</f>
        <v/>
      </c>
      <c r="C450" s="40" t="str">
        <f>IF(Agent03_Loans!B62="","",Agent03_Loans!C62)</f>
        <v/>
      </c>
      <c r="D450" s="41" t="str">
        <f>IF(Agent03_Loans!B62="","",Agent03_Loans!D62)</f>
        <v/>
      </c>
      <c r="E450" s="43" t="str">
        <f>IF(Agent03_Loans!B62="","",Agent03_Loans!E62)</f>
        <v/>
      </c>
      <c r="F450" s="40" t="str">
        <f>IF(Agent03_Loans!B62="","",Agent03_Loans!F62)</f>
        <v/>
      </c>
      <c r="G450" s="40" t="str">
        <f>IF(Agent03_Loans!B62="","",Agent03_Loans!G62)</f>
        <v/>
      </c>
      <c r="H450" s="40" t="str">
        <f>IF(Agent03_Loans!B62="","",Agent03_Loans!H62)</f>
        <v/>
      </c>
      <c r="I450" s="43" t="str">
        <f>IF(Agent03_Loans!B62="","",Agent03_Loans!I62)</f>
        <v/>
      </c>
      <c r="J450" s="43" t="str">
        <f>IF(Agent03_Loans!B62="","",Agent03_Loans!J62)</f>
        <v/>
      </c>
      <c r="K450" s="40" t="str">
        <f>IF(Agent03_Loans!B62="","",Agent03_Loans!K62)</f>
        <v/>
      </c>
      <c r="L450" s="40" t="str">
        <f>IF(Agent03_Loans!B62="","",Agent03_Loans!L62)</f>
        <v/>
      </c>
      <c r="M450" s="40" t="str">
        <f>IFERROR(IF(Agent03_Loans!B62="","",YEAR(Agent03_Loans!D62)),"")</f>
        <v/>
      </c>
    </row>
    <row r="451" spans="1:13" ht="18" customHeight="1" x14ac:dyDescent="0.25">
      <c r="A451" s="40" t="str">
        <f>IF(Agent03_Loans!B63="","",Agent03_Loans!A63)</f>
        <v/>
      </c>
      <c r="B451" s="40" t="str">
        <f>IF(Agent03_Loans!B63="","",Agent03_Loans!B63)</f>
        <v/>
      </c>
      <c r="C451" s="40" t="str">
        <f>IF(Agent03_Loans!B63="","",Agent03_Loans!C63)</f>
        <v/>
      </c>
      <c r="D451" s="41" t="str">
        <f>IF(Agent03_Loans!B63="","",Agent03_Loans!D63)</f>
        <v/>
      </c>
      <c r="E451" s="43" t="str">
        <f>IF(Agent03_Loans!B63="","",Agent03_Loans!E63)</f>
        <v/>
      </c>
      <c r="F451" s="40" t="str">
        <f>IF(Agent03_Loans!B63="","",Agent03_Loans!F63)</f>
        <v/>
      </c>
      <c r="G451" s="40" t="str">
        <f>IF(Agent03_Loans!B63="","",Agent03_Loans!G63)</f>
        <v/>
      </c>
      <c r="H451" s="40" t="str">
        <f>IF(Agent03_Loans!B63="","",Agent03_Loans!H63)</f>
        <v/>
      </c>
      <c r="I451" s="43" t="str">
        <f>IF(Agent03_Loans!B63="","",Agent03_Loans!I63)</f>
        <v/>
      </c>
      <c r="J451" s="43" t="str">
        <f>IF(Agent03_Loans!B63="","",Agent03_Loans!J63)</f>
        <v/>
      </c>
      <c r="K451" s="40" t="str">
        <f>IF(Agent03_Loans!B63="","",Agent03_Loans!K63)</f>
        <v/>
      </c>
      <c r="L451" s="40" t="str">
        <f>IF(Agent03_Loans!B63="","",Agent03_Loans!L63)</f>
        <v/>
      </c>
      <c r="M451" s="40" t="str">
        <f>IFERROR(IF(Agent03_Loans!B63="","",YEAR(Agent03_Loans!D63)),"")</f>
        <v/>
      </c>
    </row>
    <row r="452" spans="1:13" ht="18" customHeight="1" x14ac:dyDescent="0.25">
      <c r="A452" s="40" t="str">
        <f>IF(Agent03_Loans!B64="","",Agent03_Loans!A64)</f>
        <v/>
      </c>
      <c r="B452" s="40" t="str">
        <f>IF(Agent03_Loans!B64="","",Agent03_Loans!B64)</f>
        <v/>
      </c>
      <c r="C452" s="40" t="str">
        <f>IF(Agent03_Loans!B64="","",Agent03_Loans!C64)</f>
        <v/>
      </c>
      <c r="D452" s="41" t="str">
        <f>IF(Agent03_Loans!B64="","",Agent03_Loans!D64)</f>
        <v/>
      </c>
      <c r="E452" s="43" t="str">
        <f>IF(Agent03_Loans!B64="","",Agent03_Loans!E64)</f>
        <v/>
      </c>
      <c r="F452" s="40" t="str">
        <f>IF(Agent03_Loans!B64="","",Agent03_Loans!F64)</f>
        <v/>
      </c>
      <c r="G452" s="40" t="str">
        <f>IF(Agent03_Loans!B64="","",Agent03_Loans!G64)</f>
        <v/>
      </c>
      <c r="H452" s="40" t="str">
        <f>IF(Agent03_Loans!B64="","",Agent03_Loans!H64)</f>
        <v/>
      </c>
      <c r="I452" s="43" t="str">
        <f>IF(Agent03_Loans!B64="","",Agent03_Loans!I64)</f>
        <v/>
      </c>
      <c r="J452" s="43" t="str">
        <f>IF(Agent03_Loans!B64="","",Agent03_Loans!J64)</f>
        <v/>
      </c>
      <c r="K452" s="40" t="str">
        <f>IF(Agent03_Loans!B64="","",Agent03_Loans!K64)</f>
        <v/>
      </c>
      <c r="L452" s="40" t="str">
        <f>IF(Agent03_Loans!B64="","",Agent03_Loans!L64)</f>
        <v/>
      </c>
      <c r="M452" s="40" t="str">
        <f>IFERROR(IF(Agent03_Loans!B64="","",YEAR(Agent03_Loans!D64)),"")</f>
        <v/>
      </c>
    </row>
    <row r="453" spans="1:13" ht="18" customHeight="1" x14ac:dyDescent="0.25">
      <c r="A453" s="40" t="str">
        <f>IF(Agent03_Loans!B65="","",Agent03_Loans!A65)</f>
        <v/>
      </c>
      <c r="B453" s="40" t="str">
        <f>IF(Agent03_Loans!B65="","",Agent03_Loans!B65)</f>
        <v/>
      </c>
      <c r="C453" s="40" t="str">
        <f>IF(Agent03_Loans!B65="","",Agent03_Loans!C65)</f>
        <v/>
      </c>
      <c r="D453" s="41" t="str">
        <f>IF(Agent03_Loans!B65="","",Agent03_Loans!D65)</f>
        <v/>
      </c>
      <c r="E453" s="43" t="str">
        <f>IF(Agent03_Loans!B65="","",Agent03_Loans!E65)</f>
        <v/>
      </c>
      <c r="F453" s="40" t="str">
        <f>IF(Agent03_Loans!B65="","",Agent03_Loans!F65)</f>
        <v/>
      </c>
      <c r="G453" s="40" t="str">
        <f>IF(Agent03_Loans!B65="","",Agent03_Loans!G65)</f>
        <v/>
      </c>
      <c r="H453" s="40" t="str">
        <f>IF(Agent03_Loans!B65="","",Agent03_Loans!H65)</f>
        <v/>
      </c>
      <c r="I453" s="43" t="str">
        <f>IF(Agent03_Loans!B65="","",Agent03_Loans!I65)</f>
        <v/>
      </c>
      <c r="J453" s="43" t="str">
        <f>IF(Agent03_Loans!B65="","",Agent03_Loans!J65)</f>
        <v/>
      </c>
      <c r="K453" s="40" t="str">
        <f>IF(Agent03_Loans!B65="","",Agent03_Loans!K65)</f>
        <v/>
      </c>
      <c r="L453" s="40" t="str">
        <f>IF(Agent03_Loans!B65="","",Agent03_Loans!L65)</f>
        <v/>
      </c>
      <c r="M453" s="40" t="str">
        <f>IFERROR(IF(Agent03_Loans!B65="","",YEAR(Agent03_Loans!D65)),"")</f>
        <v/>
      </c>
    </row>
    <row r="454" spans="1:13" ht="18" customHeight="1" x14ac:dyDescent="0.25">
      <c r="A454" s="40" t="str">
        <f>IF(Agent03_Loans!B66="","",Agent03_Loans!A66)</f>
        <v/>
      </c>
      <c r="B454" s="40" t="str">
        <f>IF(Agent03_Loans!B66="","",Agent03_Loans!B66)</f>
        <v/>
      </c>
      <c r="C454" s="40" t="str">
        <f>IF(Agent03_Loans!B66="","",Agent03_Loans!C66)</f>
        <v/>
      </c>
      <c r="D454" s="41" t="str">
        <f>IF(Agent03_Loans!B66="","",Agent03_Loans!D66)</f>
        <v/>
      </c>
      <c r="E454" s="43" t="str">
        <f>IF(Agent03_Loans!B66="","",Agent03_Loans!E66)</f>
        <v/>
      </c>
      <c r="F454" s="40" t="str">
        <f>IF(Agent03_Loans!B66="","",Agent03_Loans!F66)</f>
        <v/>
      </c>
      <c r="G454" s="40" t="str">
        <f>IF(Agent03_Loans!B66="","",Agent03_Loans!G66)</f>
        <v/>
      </c>
      <c r="H454" s="40" t="str">
        <f>IF(Agent03_Loans!B66="","",Agent03_Loans!H66)</f>
        <v/>
      </c>
      <c r="I454" s="43" t="str">
        <f>IF(Agent03_Loans!B66="","",Agent03_Loans!I66)</f>
        <v/>
      </c>
      <c r="J454" s="43" t="str">
        <f>IF(Agent03_Loans!B66="","",Agent03_Loans!J66)</f>
        <v/>
      </c>
      <c r="K454" s="40" t="str">
        <f>IF(Agent03_Loans!B66="","",Agent03_Loans!K66)</f>
        <v/>
      </c>
      <c r="L454" s="40" t="str">
        <f>IF(Agent03_Loans!B66="","",Agent03_Loans!L66)</f>
        <v/>
      </c>
      <c r="M454" s="40" t="str">
        <f>IFERROR(IF(Agent03_Loans!B66="","",YEAR(Agent03_Loans!D66)),"")</f>
        <v/>
      </c>
    </row>
    <row r="455" spans="1:13" ht="18" customHeight="1" x14ac:dyDescent="0.25">
      <c r="A455" s="40" t="str">
        <f>IF(Agent03_Loans!B67="","",Agent03_Loans!A67)</f>
        <v/>
      </c>
      <c r="B455" s="40" t="str">
        <f>IF(Agent03_Loans!B67="","",Agent03_Loans!B67)</f>
        <v/>
      </c>
      <c r="C455" s="40" t="str">
        <f>IF(Agent03_Loans!B67="","",Agent03_Loans!C67)</f>
        <v/>
      </c>
      <c r="D455" s="41" t="str">
        <f>IF(Agent03_Loans!B67="","",Agent03_Loans!D67)</f>
        <v/>
      </c>
      <c r="E455" s="43" t="str">
        <f>IF(Agent03_Loans!B67="","",Agent03_Loans!E67)</f>
        <v/>
      </c>
      <c r="F455" s="40" t="str">
        <f>IF(Agent03_Loans!B67="","",Agent03_Loans!F67)</f>
        <v/>
      </c>
      <c r="G455" s="40" t="str">
        <f>IF(Agent03_Loans!B67="","",Agent03_Loans!G67)</f>
        <v/>
      </c>
      <c r="H455" s="40" t="str">
        <f>IF(Agent03_Loans!B67="","",Agent03_Loans!H67)</f>
        <v/>
      </c>
      <c r="I455" s="43" t="str">
        <f>IF(Agent03_Loans!B67="","",Agent03_Loans!I67)</f>
        <v/>
      </c>
      <c r="J455" s="43" t="str">
        <f>IF(Agent03_Loans!B67="","",Agent03_Loans!J67)</f>
        <v/>
      </c>
      <c r="K455" s="40" t="str">
        <f>IF(Agent03_Loans!B67="","",Agent03_Loans!K67)</f>
        <v/>
      </c>
      <c r="L455" s="40" t="str">
        <f>IF(Agent03_Loans!B67="","",Agent03_Loans!L67)</f>
        <v/>
      </c>
      <c r="M455" s="40" t="str">
        <f>IFERROR(IF(Agent03_Loans!B67="","",YEAR(Agent03_Loans!D67)),"")</f>
        <v/>
      </c>
    </row>
    <row r="456" spans="1:13" ht="18" customHeight="1" x14ac:dyDescent="0.25">
      <c r="A456" s="40" t="str">
        <f>IF(Agent03_Loans!B68="","",Agent03_Loans!A68)</f>
        <v/>
      </c>
      <c r="B456" s="40" t="str">
        <f>IF(Agent03_Loans!B68="","",Agent03_Loans!B68)</f>
        <v/>
      </c>
      <c r="C456" s="40" t="str">
        <f>IF(Agent03_Loans!B68="","",Agent03_Loans!C68)</f>
        <v/>
      </c>
      <c r="D456" s="41" t="str">
        <f>IF(Agent03_Loans!B68="","",Agent03_Loans!D68)</f>
        <v/>
      </c>
      <c r="E456" s="43" t="str">
        <f>IF(Agent03_Loans!B68="","",Agent03_Loans!E68)</f>
        <v/>
      </c>
      <c r="F456" s="40" t="str">
        <f>IF(Agent03_Loans!B68="","",Agent03_Loans!F68)</f>
        <v/>
      </c>
      <c r="G456" s="40" t="str">
        <f>IF(Agent03_Loans!B68="","",Agent03_Loans!G68)</f>
        <v/>
      </c>
      <c r="H456" s="40" t="str">
        <f>IF(Agent03_Loans!B68="","",Agent03_Loans!H68)</f>
        <v/>
      </c>
      <c r="I456" s="43" t="str">
        <f>IF(Agent03_Loans!B68="","",Agent03_Loans!I68)</f>
        <v/>
      </c>
      <c r="J456" s="43" t="str">
        <f>IF(Agent03_Loans!B68="","",Agent03_Loans!J68)</f>
        <v/>
      </c>
      <c r="K456" s="40" t="str">
        <f>IF(Agent03_Loans!B68="","",Agent03_Loans!K68)</f>
        <v/>
      </c>
      <c r="L456" s="40" t="str">
        <f>IF(Agent03_Loans!B68="","",Agent03_Loans!L68)</f>
        <v/>
      </c>
      <c r="M456" s="40" t="str">
        <f>IFERROR(IF(Agent03_Loans!B68="","",YEAR(Agent03_Loans!D68)),"")</f>
        <v/>
      </c>
    </row>
    <row r="457" spans="1:13" ht="18" customHeight="1" x14ac:dyDescent="0.25">
      <c r="A457" s="40" t="str">
        <f>IF(Agent03_Loans!B69="","",Agent03_Loans!A69)</f>
        <v/>
      </c>
      <c r="B457" s="40" t="str">
        <f>IF(Agent03_Loans!B69="","",Agent03_Loans!B69)</f>
        <v/>
      </c>
      <c r="C457" s="40" t="str">
        <f>IF(Agent03_Loans!B69="","",Agent03_Loans!C69)</f>
        <v/>
      </c>
      <c r="D457" s="41" t="str">
        <f>IF(Agent03_Loans!B69="","",Agent03_Loans!D69)</f>
        <v/>
      </c>
      <c r="E457" s="43" t="str">
        <f>IF(Agent03_Loans!B69="","",Agent03_Loans!E69)</f>
        <v/>
      </c>
      <c r="F457" s="40" t="str">
        <f>IF(Agent03_Loans!B69="","",Agent03_Loans!F69)</f>
        <v/>
      </c>
      <c r="G457" s="40" t="str">
        <f>IF(Agent03_Loans!B69="","",Agent03_Loans!G69)</f>
        <v/>
      </c>
      <c r="H457" s="40" t="str">
        <f>IF(Agent03_Loans!B69="","",Agent03_Loans!H69)</f>
        <v/>
      </c>
      <c r="I457" s="43" t="str">
        <f>IF(Agent03_Loans!B69="","",Agent03_Loans!I69)</f>
        <v/>
      </c>
      <c r="J457" s="43" t="str">
        <f>IF(Agent03_Loans!B69="","",Agent03_Loans!J69)</f>
        <v/>
      </c>
      <c r="K457" s="40" t="str">
        <f>IF(Agent03_Loans!B69="","",Agent03_Loans!K69)</f>
        <v/>
      </c>
      <c r="L457" s="40" t="str">
        <f>IF(Agent03_Loans!B69="","",Agent03_Loans!L69)</f>
        <v/>
      </c>
      <c r="M457" s="40" t="str">
        <f>IFERROR(IF(Agent03_Loans!B69="","",YEAR(Agent03_Loans!D69)),"")</f>
        <v/>
      </c>
    </row>
    <row r="458" spans="1:13" ht="18" customHeight="1" x14ac:dyDescent="0.25">
      <c r="A458" s="40" t="str">
        <f>IF(Agent03_Loans!B70="","",Agent03_Loans!A70)</f>
        <v/>
      </c>
      <c r="B458" s="40" t="str">
        <f>IF(Agent03_Loans!B70="","",Agent03_Loans!B70)</f>
        <v/>
      </c>
      <c r="C458" s="40" t="str">
        <f>IF(Agent03_Loans!B70="","",Agent03_Loans!C70)</f>
        <v/>
      </c>
      <c r="D458" s="41" t="str">
        <f>IF(Agent03_Loans!B70="","",Agent03_Loans!D70)</f>
        <v/>
      </c>
      <c r="E458" s="43" t="str">
        <f>IF(Agent03_Loans!B70="","",Agent03_Loans!E70)</f>
        <v/>
      </c>
      <c r="F458" s="40" t="str">
        <f>IF(Agent03_Loans!B70="","",Agent03_Loans!F70)</f>
        <v/>
      </c>
      <c r="G458" s="40" t="str">
        <f>IF(Agent03_Loans!B70="","",Agent03_Loans!G70)</f>
        <v/>
      </c>
      <c r="H458" s="40" t="str">
        <f>IF(Agent03_Loans!B70="","",Agent03_Loans!H70)</f>
        <v/>
      </c>
      <c r="I458" s="43" t="str">
        <f>IF(Agent03_Loans!B70="","",Agent03_Loans!I70)</f>
        <v/>
      </c>
      <c r="J458" s="43" t="str">
        <f>IF(Agent03_Loans!B70="","",Agent03_Loans!J70)</f>
        <v/>
      </c>
      <c r="K458" s="40" t="str">
        <f>IF(Agent03_Loans!B70="","",Agent03_Loans!K70)</f>
        <v/>
      </c>
      <c r="L458" s="40" t="str">
        <f>IF(Agent03_Loans!B70="","",Agent03_Loans!L70)</f>
        <v/>
      </c>
      <c r="M458" s="40" t="str">
        <f>IFERROR(IF(Agent03_Loans!B70="","",YEAR(Agent03_Loans!D70)),"")</f>
        <v/>
      </c>
    </row>
    <row r="459" spans="1:13" ht="18" customHeight="1" x14ac:dyDescent="0.25">
      <c r="A459" s="40" t="str">
        <f>IF(Agent03_Loans!B71="","",Agent03_Loans!A71)</f>
        <v/>
      </c>
      <c r="B459" s="40" t="str">
        <f>IF(Agent03_Loans!B71="","",Agent03_Loans!B71)</f>
        <v/>
      </c>
      <c r="C459" s="40" t="str">
        <f>IF(Agent03_Loans!B71="","",Agent03_Loans!C71)</f>
        <v/>
      </c>
      <c r="D459" s="41" t="str">
        <f>IF(Agent03_Loans!B71="","",Agent03_Loans!D71)</f>
        <v/>
      </c>
      <c r="E459" s="43" t="str">
        <f>IF(Agent03_Loans!B71="","",Agent03_Loans!E71)</f>
        <v/>
      </c>
      <c r="F459" s="40" t="str">
        <f>IF(Agent03_Loans!B71="","",Agent03_Loans!F71)</f>
        <v/>
      </c>
      <c r="G459" s="40" t="str">
        <f>IF(Agent03_Loans!B71="","",Agent03_Loans!G71)</f>
        <v/>
      </c>
      <c r="H459" s="40" t="str">
        <f>IF(Agent03_Loans!B71="","",Agent03_Loans!H71)</f>
        <v/>
      </c>
      <c r="I459" s="43" t="str">
        <f>IF(Agent03_Loans!B71="","",Agent03_Loans!I71)</f>
        <v/>
      </c>
      <c r="J459" s="43" t="str">
        <f>IF(Agent03_Loans!B71="","",Agent03_Loans!J71)</f>
        <v/>
      </c>
      <c r="K459" s="40" t="str">
        <f>IF(Agent03_Loans!B71="","",Agent03_Loans!K71)</f>
        <v/>
      </c>
      <c r="L459" s="40" t="str">
        <f>IF(Agent03_Loans!B71="","",Agent03_Loans!L71)</f>
        <v/>
      </c>
      <c r="M459" s="40" t="str">
        <f>IFERROR(IF(Agent03_Loans!B71="","",YEAR(Agent03_Loans!D71)),"")</f>
        <v/>
      </c>
    </row>
    <row r="460" spans="1:13" ht="18" customHeight="1" x14ac:dyDescent="0.25">
      <c r="A460" s="40" t="str">
        <f>IF(Agent03_Loans!B72="","",Agent03_Loans!A72)</f>
        <v/>
      </c>
      <c r="B460" s="40" t="str">
        <f>IF(Agent03_Loans!B72="","",Agent03_Loans!B72)</f>
        <v/>
      </c>
      <c r="C460" s="40" t="str">
        <f>IF(Agent03_Loans!B72="","",Agent03_Loans!C72)</f>
        <v/>
      </c>
      <c r="D460" s="41" t="str">
        <f>IF(Agent03_Loans!B72="","",Agent03_Loans!D72)</f>
        <v/>
      </c>
      <c r="E460" s="43" t="str">
        <f>IF(Agent03_Loans!B72="","",Agent03_Loans!E72)</f>
        <v/>
      </c>
      <c r="F460" s="40" t="str">
        <f>IF(Agent03_Loans!B72="","",Agent03_Loans!F72)</f>
        <v/>
      </c>
      <c r="G460" s="40" t="str">
        <f>IF(Agent03_Loans!B72="","",Agent03_Loans!G72)</f>
        <v/>
      </c>
      <c r="H460" s="40" t="str">
        <f>IF(Agent03_Loans!B72="","",Agent03_Loans!H72)</f>
        <v/>
      </c>
      <c r="I460" s="43" t="str">
        <f>IF(Agent03_Loans!B72="","",Agent03_Loans!I72)</f>
        <v/>
      </c>
      <c r="J460" s="43" t="str">
        <f>IF(Agent03_Loans!B72="","",Agent03_Loans!J72)</f>
        <v/>
      </c>
      <c r="K460" s="40" t="str">
        <f>IF(Agent03_Loans!B72="","",Agent03_Loans!K72)</f>
        <v/>
      </c>
      <c r="L460" s="40" t="str">
        <f>IF(Agent03_Loans!B72="","",Agent03_Loans!L72)</f>
        <v/>
      </c>
      <c r="M460" s="40" t="str">
        <f>IFERROR(IF(Agent03_Loans!B72="","",YEAR(Agent03_Loans!D72)),"")</f>
        <v/>
      </c>
    </row>
    <row r="461" spans="1:13" ht="18" customHeight="1" x14ac:dyDescent="0.25">
      <c r="A461" s="40" t="str">
        <f>IF(Agent03_Loans!B73="","",Agent03_Loans!A73)</f>
        <v/>
      </c>
      <c r="B461" s="40" t="str">
        <f>IF(Agent03_Loans!B73="","",Agent03_Loans!B73)</f>
        <v/>
      </c>
      <c r="C461" s="40" t="str">
        <f>IF(Agent03_Loans!B73="","",Agent03_Loans!C73)</f>
        <v/>
      </c>
      <c r="D461" s="41" t="str">
        <f>IF(Agent03_Loans!B73="","",Agent03_Loans!D73)</f>
        <v/>
      </c>
      <c r="E461" s="43" t="str">
        <f>IF(Agent03_Loans!B73="","",Agent03_Loans!E73)</f>
        <v/>
      </c>
      <c r="F461" s="40" t="str">
        <f>IF(Agent03_Loans!B73="","",Agent03_Loans!F73)</f>
        <v/>
      </c>
      <c r="G461" s="40" t="str">
        <f>IF(Agent03_Loans!B73="","",Agent03_Loans!G73)</f>
        <v/>
      </c>
      <c r="H461" s="40" t="str">
        <f>IF(Agent03_Loans!B73="","",Agent03_Loans!H73)</f>
        <v/>
      </c>
      <c r="I461" s="43" t="str">
        <f>IF(Agent03_Loans!B73="","",Agent03_Loans!I73)</f>
        <v/>
      </c>
      <c r="J461" s="43" t="str">
        <f>IF(Agent03_Loans!B73="","",Agent03_Loans!J73)</f>
        <v/>
      </c>
      <c r="K461" s="40" t="str">
        <f>IF(Agent03_Loans!B73="","",Agent03_Loans!K73)</f>
        <v/>
      </c>
      <c r="L461" s="40" t="str">
        <f>IF(Agent03_Loans!B73="","",Agent03_Loans!L73)</f>
        <v/>
      </c>
      <c r="M461" s="40" t="str">
        <f>IFERROR(IF(Agent03_Loans!B73="","",YEAR(Agent03_Loans!D73)),"")</f>
        <v/>
      </c>
    </row>
    <row r="462" spans="1:13" ht="18" customHeight="1" x14ac:dyDescent="0.25">
      <c r="A462" s="40" t="str">
        <f>IF(Agent03_Loans!B74="","",Agent03_Loans!A74)</f>
        <v/>
      </c>
      <c r="B462" s="40" t="str">
        <f>IF(Agent03_Loans!B74="","",Agent03_Loans!B74)</f>
        <v/>
      </c>
      <c r="C462" s="40" t="str">
        <f>IF(Agent03_Loans!B74="","",Agent03_Loans!C74)</f>
        <v/>
      </c>
      <c r="D462" s="41" t="str">
        <f>IF(Agent03_Loans!B74="","",Agent03_Loans!D74)</f>
        <v/>
      </c>
      <c r="E462" s="43" t="str">
        <f>IF(Agent03_Loans!B74="","",Agent03_Loans!E74)</f>
        <v/>
      </c>
      <c r="F462" s="40" t="str">
        <f>IF(Agent03_Loans!B74="","",Agent03_Loans!F74)</f>
        <v/>
      </c>
      <c r="G462" s="40" t="str">
        <f>IF(Agent03_Loans!B74="","",Agent03_Loans!G74)</f>
        <v/>
      </c>
      <c r="H462" s="40" t="str">
        <f>IF(Agent03_Loans!B74="","",Agent03_Loans!H74)</f>
        <v/>
      </c>
      <c r="I462" s="43" t="str">
        <f>IF(Agent03_Loans!B74="","",Agent03_Loans!I74)</f>
        <v/>
      </c>
      <c r="J462" s="43" t="str">
        <f>IF(Agent03_Loans!B74="","",Agent03_Loans!J74)</f>
        <v/>
      </c>
      <c r="K462" s="40" t="str">
        <f>IF(Agent03_Loans!B74="","",Agent03_Loans!K74)</f>
        <v/>
      </c>
      <c r="L462" s="40" t="str">
        <f>IF(Agent03_Loans!B74="","",Agent03_Loans!L74)</f>
        <v/>
      </c>
      <c r="M462" s="40" t="str">
        <f>IFERROR(IF(Agent03_Loans!B74="","",YEAR(Agent03_Loans!D74)),"")</f>
        <v/>
      </c>
    </row>
    <row r="463" spans="1:13" ht="18" customHeight="1" x14ac:dyDescent="0.25">
      <c r="A463" s="40" t="str">
        <f>IF(Agent03_Loans!B75="","",Agent03_Loans!A75)</f>
        <v/>
      </c>
      <c r="B463" s="40" t="str">
        <f>IF(Agent03_Loans!B75="","",Agent03_Loans!B75)</f>
        <v/>
      </c>
      <c r="C463" s="40" t="str">
        <f>IF(Agent03_Loans!B75="","",Agent03_Loans!C75)</f>
        <v/>
      </c>
      <c r="D463" s="41" t="str">
        <f>IF(Agent03_Loans!B75="","",Agent03_Loans!D75)</f>
        <v/>
      </c>
      <c r="E463" s="43" t="str">
        <f>IF(Agent03_Loans!B75="","",Agent03_Loans!E75)</f>
        <v/>
      </c>
      <c r="F463" s="40" t="str">
        <f>IF(Agent03_Loans!B75="","",Agent03_Loans!F75)</f>
        <v/>
      </c>
      <c r="G463" s="40" t="str">
        <f>IF(Agent03_Loans!B75="","",Agent03_Loans!G75)</f>
        <v/>
      </c>
      <c r="H463" s="40" t="str">
        <f>IF(Agent03_Loans!B75="","",Agent03_Loans!H75)</f>
        <v/>
      </c>
      <c r="I463" s="43" t="str">
        <f>IF(Agent03_Loans!B75="","",Agent03_Loans!I75)</f>
        <v/>
      </c>
      <c r="J463" s="43" t="str">
        <f>IF(Agent03_Loans!B75="","",Agent03_Loans!J75)</f>
        <v/>
      </c>
      <c r="K463" s="40" t="str">
        <f>IF(Agent03_Loans!B75="","",Agent03_Loans!K75)</f>
        <v/>
      </c>
      <c r="L463" s="40" t="str">
        <f>IF(Agent03_Loans!B75="","",Agent03_Loans!L75)</f>
        <v/>
      </c>
      <c r="M463" s="40" t="str">
        <f>IFERROR(IF(Agent03_Loans!B75="","",YEAR(Agent03_Loans!D75)),"")</f>
        <v/>
      </c>
    </row>
    <row r="464" spans="1:13" ht="18" customHeight="1" x14ac:dyDescent="0.25">
      <c r="A464" s="40" t="str">
        <f>IF(Agent03_Loans!B76="","",Agent03_Loans!A76)</f>
        <v/>
      </c>
      <c r="B464" s="40" t="str">
        <f>IF(Agent03_Loans!B76="","",Agent03_Loans!B76)</f>
        <v/>
      </c>
      <c r="C464" s="40" t="str">
        <f>IF(Agent03_Loans!B76="","",Agent03_Loans!C76)</f>
        <v/>
      </c>
      <c r="D464" s="41" t="str">
        <f>IF(Agent03_Loans!B76="","",Agent03_Loans!D76)</f>
        <v/>
      </c>
      <c r="E464" s="43" t="str">
        <f>IF(Agent03_Loans!B76="","",Agent03_Loans!E76)</f>
        <v/>
      </c>
      <c r="F464" s="40" t="str">
        <f>IF(Agent03_Loans!B76="","",Agent03_Loans!F76)</f>
        <v/>
      </c>
      <c r="G464" s="40" t="str">
        <f>IF(Agent03_Loans!B76="","",Agent03_Loans!G76)</f>
        <v/>
      </c>
      <c r="H464" s="40" t="str">
        <f>IF(Agent03_Loans!B76="","",Agent03_Loans!H76)</f>
        <v/>
      </c>
      <c r="I464" s="43" t="str">
        <f>IF(Agent03_Loans!B76="","",Agent03_Loans!I76)</f>
        <v/>
      </c>
      <c r="J464" s="43" t="str">
        <f>IF(Agent03_Loans!B76="","",Agent03_Loans!J76)</f>
        <v/>
      </c>
      <c r="K464" s="40" t="str">
        <f>IF(Agent03_Loans!B76="","",Agent03_Loans!K76)</f>
        <v/>
      </c>
      <c r="L464" s="40" t="str">
        <f>IF(Agent03_Loans!B76="","",Agent03_Loans!L76)</f>
        <v/>
      </c>
      <c r="M464" s="40" t="str">
        <f>IFERROR(IF(Agent03_Loans!B76="","",YEAR(Agent03_Loans!D76)),"")</f>
        <v/>
      </c>
    </row>
    <row r="465" spans="1:13" ht="18" customHeight="1" x14ac:dyDescent="0.25">
      <c r="A465" s="40" t="str">
        <f>IF(Agent03_Loans!B77="","",Agent03_Loans!A77)</f>
        <v/>
      </c>
      <c r="B465" s="40" t="str">
        <f>IF(Agent03_Loans!B77="","",Agent03_Loans!B77)</f>
        <v/>
      </c>
      <c r="C465" s="40" t="str">
        <f>IF(Agent03_Loans!B77="","",Agent03_Loans!C77)</f>
        <v/>
      </c>
      <c r="D465" s="41" t="str">
        <f>IF(Agent03_Loans!B77="","",Agent03_Loans!D77)</f>
        <v/>
      </c>
      <c r="E465" s="43" t="str">
        <f>IF(Agent03_Loans!B77="","",Agent03_Loans!E77)</f>
        <v/>
      </c>
      <c r="F465" s="40" t="str">
        <f>IF(Agent03_Loans!B77="","",Agent03_Loans!F77)</f>
        <v/>
      </c>
      <c r="G465" s="40" t="str">
        <f>IF(Agent03_Loans!B77="","",Agent03_Loans!G77)</f>
        <v/>
      </c>
      <c r="H465" s="40" t="str">
        <f>IF(Agent03_Loans!B77="","",Agent03_Loans!H77)</f>
        <v/>
      </c>
      <c r="I465" s="43" t="str">
        <f>IF(Agent03_Loans!B77="","",Agent03_Loans!I77)</f>
        <v/>
      </c>
      <c r="J465" s="43" t="str">
        <f>IF(Agent03_Loans!B77="","",Agent03_Loans!J77)</f>
        <v/>
      </c>
      <c r="K465" s="40" t="str">
        <f>IF(Agent03_Loans!B77="","",Agent03_Loans!K77)</f>
        <v/>
      </c>
      <c r="L465" s="40" t="str">
        <f>IF(Agent03_Loans!B77="","",Agent03_Loans!L77)</f>
        <v/>
      </c>
      <c r="M465" s="40" t="str">
        <f>IFERROR(IF(Agent03_Loans!B77="","",YEAR(Agent03_Loans!D77)),"")</f>
        <v/>
      </c>
    </row>
    <row r="466" spans="1:13" ht="18" customHeight="1" x14ac:dyDescent="0.25">
      <c r="A466" s="40" t="str">
        <f>IF(Agent03_Loans!B78="","",Agent03_Loans!A78)</f>
        <v/>
      </c>
      <c r="B466" s="40" t="str">
        <f>IF(Agent03_Loans!B78="","",Agent03_Loans!B78)</f>
        <v/>
      </c>
      <c r="C466" s="40" t="str">
        <f>IF(Agent03_Loans!B78="","",Agent03_Loans!C78)</f>
        <v/>
      </c>
      <c r="D466" s="41" t="str">
        <f>IF(Agent03_Loans!B78="","",Agent03_Loans!D78)</f>
        <v/>
      </c>
      <c r="E466" s="43" t="str">
        <f>IF(Agent03_Loans!B78="","",Agent03_Loans!E78)</f>
        <v/>
      </c>
      <c r="F466" s="40" t="str">
        <f>IF(Agent03_Loans!B78="","",Agent03_Loans!F78)</f>
        <v/>
      </c>
      <c r="G466" s="40" t="str">
        <f>IF(Agent03_Loans!B78="","",Agent03_Loans!G78)</f>
        <v/>
      </c>
      <c r="H466" s="40" t="str">
        <f>IF(Agent03_Loans!B78="","",Agent03_Loans!H78)</f>
        <v/>
      </c>
      <c r="I466" s="43" t="str">
        <f>IF(Agent03_Loans!B78="","",Agent03_Loans!I78)</f>
        <v/>
      </c>
      <c r="J466" s="43" t="str">
        <f>IF(Agent03_Loans!B78="","",Agent03_Loans!J78)</f>
        <v/>
      </c>
      <c r="K466" s="40" t="str">
        <f>IF(Agent03_Loans!B78="","",Agent03_Loans!K78)</f>
        <v/>
      </c>
      <c r="L466" s="40" t="str">
        <f>IF(Agent03_Loans!B78="","",Agent03_Loans!L78)</f>
        <v/>
      </c>
      <c r="M466" s="40" t="str">
        <f>IFERROR(IF(Agent03_Loans!B78="","",YEAR(Agent03_Loans!D78)),"")</f>
        <v/>
      </c>
    </row>
    <row r="467" spans="1:13" ht="18" customHeight="1" x14ac:dyDescent="0.25">
      <c r="A467" s="40" t="str">
        <f>IF(Agent03_Loans!B79="","",Agent03_Loans!A79)</f>
        <v/>
      </c>
      <c r="B467" s="40" t="str">
        <f>IF(Agent03_Loans!B79="","",Agent03_Loans!B79)</f>
        <v/>
      </c>
      <c r="C467" s="40" t="str">
        <f>IF(Agent03_Loans!B79="","",Agent03_Loans!C79)</f>
        <v/>
      </c>
      <c r="D467" s="41" t="str">
        <f>IF(Agent03_Loans!B79="","",Agent03_Loans!D79)</f>
        <v/>
      </c>
      <c r="E467" s="43" t="str">
        <f>IF(Agent03_Loans!B79="","",Agent03_Loans!E79)</f>
        <v/>
      </c>
      <c r="F467" s="40" t="str">
        <f>IF(Agent03_Loans!B79="","",Agent03_Loans!F79)</f>
        <v/>
      </c>
      <c r="G467" s="40" t="str">
        <f>IF(Agent03_Loans!B79="","",Agent03_Loans!G79)</f>
        <v/>
      </c>
      <c r="H467" s="40" t="str">
        <f>IF(Agent03_Loans!B79="","",Agent03_Loans!H79)</f>
        <v/>
      </c>
      <c r="I467" s="43" t="str">
        <f>IF(Agent03_Loans!B79="","",Agent03_Loans!I79)</f>
        <v/>
      </c>
      <c r="J467" s="43" t="str">
        <f>IF(Agent03_Loans!B79="","",Agent03_Loans!J79)</f>
        <v/>
      </c>
      <c r="K467" s="40" t="str">
        <f>IF(Agent03_Loans!B79="","",Agent03_Loans!K79)</f>
        <v/>
      </c>
      <c r="L467" s="40" t="str">
        <f>IF(Agent03_Loans!B79="","",Agent03_Loans!L79)</f>
        <v/>
      </c>
      <c r="M467" s="40" t="str">
        <f>IFERROR(IF(Agent03_Loans!B79="","",YEAR(Agent03_Loans!D79)),"")</f>
        <v/>
      </c>
    </row>
    <row r="468" spans="1:13" ht="18" customHeight="1" x14ac:dyDescent="0.25">
      <c r="A468" s="40" t="str">
        <f>IF(Agent03_Loans!B80="","",Agent03_Loans!A80)</f>
        <v/>
      </c>
      <c r="B468" s="40" t="str">
        <f>IF(Agent03_Loans!B80="","",Agent03_Loans!B80)</f>
        <v/>
      </c>
      <c r="C468" s="40" t="str">
        <f>IF(Agent03_Loans!B80="","",Agent03_Loans!C80)</f>
        <v/>
      </c>
      <c r="D468" s="41" t="str">
        <f>IF(Agent03_Loans!B80="","",Agent03_Loans!D80)</f>
        <v/>
      </c>
      <c r="E468" s="43" t="str">
        <f>IF(Agent03_Loans!B80="","",Agent03_Loans!E80)</f>
        <v/>
      </c>
      <c r="F468" s="40" t="str">
        <f>IF(Agent03_Loans!B80="","",Agent03_Loans!F80)</f>
        <v/>
      </c>
      <c r="G468" s="40" t="str">
        <f>IF(Agent03_Loans!B80="","",Agent03_Loans!G80)</f>
        <v/>
      </c>
      <c r="H468" s="40" t="str">
        <f>IF(Agent03_Loans!B80="","",Agent03_Loans!H80)</f>
        <v/>
      </c>
      <c r="I468" s="43" t="str">
        <f>IF(Agent03_Loans!B80="","",Agent03_Loans!I80)</f>
        <v/>
      </c>
      <c r="J468" s="43" t="str">
        <f>IF(Agent03_Loans!B80="","",Agent03_Loans!J80)</f>
        <v/>
      </c>
      <c r="K468" s="40" t="str">
        <f>IF(Agent03_Loans!B80="","",Agent03_Loans!K80)</f>
        <v/>
      </c>
      <c r="L468" s="40" t="str">
        <f>IF(Agent03_Loans!B80="","",Agent03_Loans!L80)</f>
        <v/>
      </c>
      <c r="M468" s="40" t="str">
        <f>IFERROR(IF(Agent03_Loans!B80="","",YEAR(Agent03_Loans!D80)),"")</f>
        <v/>
      </c>
    </row>
    <row r="469" spans="1:13" ht="18" customHeight="1" x14ac:dyDescent="0.25">
      <c r="A469" s="40" t="str">
        <f>IF(Agent03_Loans!B81="","",Agent03_Loans!A81)</f>
        <v/>
      </c>
      <c r="B469" s="40" t="str">
        <f>IF(Agent03_Loans!B81="","",Agent03_Loans!B81)</f>
        <v/>
      </c>
      <c r="C469" s="40" t="str">
        <f>IF(Agent03_Loans!B81="","",Agent03_Loans!C81)</f>
        <v/>
      </c>
      <c r="D469" s="41" t="str">
        <f>IF(Agent03_Loans!B81="","",Agent03_Loans!D81)</f>
        <v/>
      </c>
      <c r="E469" s="43" t="str">
        <f>IF(Agent03_Loans!B81="","",Agent03_Loans!E81)</f>
        <v/>
      </c>
      <c r="F469" s="40" t="str">
        <f>IF(Agent03_Loans!B81="","",Agent03_Loans!F81)</f>
        <v/>
      </c>
      <c r="G469" s="40" t="str">
        <f>IF(Agent03_Loans!B81="","",Agent03_Loans!G81)</f>
        <v/>
      </c>
      <c r="H469" s="40" t="str">
        <f>IF(Agent03_Loans!B81="","",Agent03_Loans!H81)</f>
        <v/>
      </c>
      <c r="I469" s="43" t="str">
        <f>IF(Agent03_Loans!B81="","",Agent03_Loans!I81)</f>
        <v/>
      </c>
      <c r="J469" s="43" t="str">
        <f>IF(Agent03_Loans!B81="","",Agent03_Loans!J81)</f>
        <v/>
      </c>
      <c r="K469" s="40" t="str">
        <f>IF(Agent03_Loans!B81="","",Agent03_Loans!K81)</f>
        <v/>
      </c>
      <c r="L469" s="40" t="str">
        <f>IF(Agent03_Loans!B81="","",Agent03_Loans!L81)</f>
        <v/>
      </c>
      <c r="M469" s="40" t="str">
        <f>IFERROR(IF(Agent03_Loans!B81="","",YEAR(Agent03_Loans!D81)),"")</f>
        <v/>
      </c>
    </row>
    <row r="470" spans="1:13" ht="18" customHeight="1" x14ac:dyDescent="0.25">
      <c r="A470" s="40" t="str">
        <f>IF(Agent03_Loans!B82="","",Agent03_Loans!A82)</f>
        <v/>
      </c>
      <c r="B470" s="40" t="str">
        <f>IF(Agent03_Loans!B82="","",Agent03_Loans!B82)</f>
        <v/>
      </c>
      <c r="C470" s="40" t="str">
        <f>IF(Agent03_Loans!B82="","",Agent03_Loans!C82)</f>
        <v/>
      </c>
      <c r="D470" s="41" t="str">
        <f>IF(Agent03_Loans!B82="","",Agent03_Loans!D82)</f>
        <v/>
      </c>
      <c r="E470" s="43" t="str">
        <f>IF(Agent03_Loans!B82="","",Agent03_Loans!E82)</f>
        <v/>
      </c>
      <c r="F470" s="40" t="str">
        <f>IF(Agent03_Loans!B82="","",Agent03_Loans!F82)</f>
        <v/>
      </c>
      <c r="G470" s="40" t="str">
        <f>IF(Agent03_Loans!B82="","",Agent03_Loans!G82)</f>
        <v/>
      </c>
      <c r="H470" s="40" t="str">
        <f>IF(Agent03_Loans!B82="","",Agent03_Loans!H82)</f>
        <v/>
      </c>
      <c r="I470" s="43" t="str">
        <f>IF(Agent03_Loans!B82="","",Agent03_Loans!I82)</f>
        <v/>
      </c>
      <c r="J470" s="43" t="str">
        <f>IF(Agent03_Loans!B82="","",Agent03_Loans!J82)</f>
        <v/>
      </c>
      <c r="K470" s="40" t="str">
        <f>IF(Agent03_Loans!B82="","",Agent03_Loans!K82)</f>
        <v/>
      </c>
      <c r="L470" s="40" t="str">
        <f>IF(Agent03_Loans!B82="","",Agent03_Loans!L82)</f>
        <v/>
      </c>
      <c r="M470" s="40" t="str">
        <f>IFERROR(IF(Agent03_Loans!B82="","",YEAR(Agent03_Loans!D82)),"")</f>
        <v/>
      </c>
    </row>
    <row r="471" spans="1:13" ht="18" customHeight="1" x14ac:dyDescent="0.25">
      <c r="A471" s="40" t="str">
        <f>IF(Agent03_Loans!B83="","",Agent03_Loans!A83)</f>
        <v/>
      </c>
      <c r="B471" s="40" t="str">
        <f>IF(Agent03_Loans!B83="","",Agent03_Loans!B83)</f>
        <v/>
      </c>
      <c r="C471" s="40" t="str">
        <f>IF(Agent03_Loans!B83="","",Agent03_Loans!C83)</f>
        <v/>
      </c>
      <c r="D471" s="41" t="str">
        <f>IF(Agent03_Loans!B83="","",Agent03_Loans!D83)</f>
        <v/>
      </c>
      <c r="E471" s="43" t="str">
        <f>IF(Agent03_Loans!B83="","",Agent03_Loans!E83)</f>
        <v/>
      </c>
      <c r="F471" s="40" t="str">
        <f>IF(Agent03_Loans!B83="","",Agent03_Loans!F83)</f>
        <v/>
      </c>
      <c r="G471" s="40" t="str">
        <f>IF(Agent03_Loans!B83="","",Agent03_Loans!G83)</f>
        <v/>
      </c>
      <c r="H471" s="40" t="str">
        <f>IF(Agent03_Loans!B83="","",Agent03_Loans!H83)</f>
        <v/>
      </c>
      <c r="I471" s="43" t="str">
        <f>IF(Agent03_Loans!B83="","",Agent03_Loans!I83)</f>
        <v/>
      </c>
      <c r="J471" s="43" t="str">
        <f>IF(Agent03_Loans!B83="","",Agent03_Loans!J83)</f>
        <v/>
      </c>
      <c r="K471" s="40" t="str">
        <f>IF(Agent03_Loans!B83="","",Agent03_Loans!K83)</f>
        <v/>
      </c>
      <c r="L471" s="40" t="str">
        <f>IF(Agent03_Loans!B83="","",Agent03_Loans!L83)</f>
        <v/>
      </c>
      <c r="M471" s="40" t="str">
        <f>IFERROR(IF(Agent03_Loans!B83="","",YEAR(Agent03_Loans!D83)),"")</f>
        <v/>
      </c>
    </row>
    <row r="472" spans="1:13" ht="18" customHeight="1" x14ac:dyDescent="0.25">
      <c r="A472" s="40" t="str">
        <f>IF(Agent03_Loans!B84="","",Agent03_Loans!A84)</f>
        <v/>
      </c>
      <c r="B472" s="40" t="str">
        <f>IF(Agent03_Loans!B84="","",Agent03_Loans!B84)</f>
        <v/>
      </c>
      <c r="C472" s="40" t="str">
        <f>IF(Agent03_Loans!B84="","",Agent03_Loans!C84)</f>
        <v/>
      </c>
      <c r="D472" s="41" t="str">
        <f>IF(Agent03_Loans!B84="","",Agent03_Loans!D84)</f>
        <v/>
      </c>
      <c r="E472" s="43" t="str">
        <f>IF(Agent03_Loans!B84="","",Agent03_Loans!E84)</f>
        <v/>
      </c>
      <c r="F472" s="40" t="str">
        <f>IF(Agent03_Loans!B84="","",Agent03_Loans!F84)</f>
        <v/>
      </c>
      <c r="G472" s="40" t="str">
        <f>IF(Agent03_Loans!B84="","",Agent03_Loans!G84)</f>
        <v/>
      </c>
      <c r="H472" s="40" t="str">
        <f>IF(Agent03_Loans!B84="","",Agent03_Loans!H84)</f>
        <v/>
      </c>
      <c r="I472" s="43" t="str">
        <f>IF(Agent03_Loans!B84="","",Agent03_Loans!I84)</f>
        <v/>
      </c>
      <c r="J472" s="43" t="str">
        <f>IF(Agent03_Loans!B84="","",Agent03_Loans!J84)</f>
        <v/>
      </c>
      <c r="K472" s="40" t="str">
        <f>IF(Agent03_Loans!B84="","",Agent03_Loans!K84)</f>
        <v/>
      </c>
      <c r="L472" s="40" t="str">
        <f>IF(Agent03_Loans!B84="","",Agent03_Loans!L84)</f>
        <v/>
      </c>
      <c r="M472" s="40" t="str">
        <f>IFERROR(IF(Agent03_Loans!B84="","",YEAR(Agent03_Loans!D84)),"")</f>
        <v/>
      </c>
    </row>
    <row r="473" spans="1:13" ht="18" customHeight="1" x14ac:dyDescent="0.25">
      <c r="A473" s="40" t="str">
        <f>IF(Agent03_Loans!B85="","",Agent03_Loans!A85)</f>
        <v/>
      </c>
      <c r="B473" s="40" t="str">
        <f>IF(Agent03_Loans!B85="","",Agent03_Loans!B85)</f>
        <v/>
      </c>
      <c r="C473" s="40" t="str">
        <f>IF(Agent03_Loans!B85="","",Agent03_Loans!C85)</f>
        <v/>
      </c>
      <c r="D473" s="41" t="str">
        <f>IF(Agent03_Loans!B85="","",Agent03_Loans!D85)</f>
        <v/>
      </c>
      <c r="E473" s="43" t="str">
        <f>IF(Agent03_Loans!B85="","",Agent03_Loans!E85)</f>
        <v/>
      </c>
      <c r="F473" s="40" t="str">
        <f>IF(Agent03_Loans!B85="","",Agent03_Loans!F85)</f>
        <v/>
      </c>
      <c r="G473" s="40" t="str">
        <f>IF(Agent03_Loans!B85="","",Agent03_Loans!G85)</f>
        <v/>
      </c>
      <c r="H473" s="40" t="str">
        <f>IF(Agent03_Loans!B85="","",Agent03_Loans!H85)</f>
        <v/>
      </c>
      <c r="I473" s="43" t="str">
        <f>IF(Agent03_Loans!B85="","",Agent03_Loans!I85)</f>
        <v/>
      </c>
      <c r="J473" s="43" t="str">
        <f>IF(Agent03_Loans!B85="","",Agent03_Loans!J85)</f>
        <v/>
      </c>
      <c r="K473" s="40" t="str">
        <f>IF(Agent03_Loans!B85="","",Agent03_Loans!K85)</f>
        <v/>
      </c>
      <c r="L473" s="40" t="str">
        <f>IF(Agent03_Loans!B85="","",Agent03_Loans!L85)</f>
        <v/>
      </c>
      <c r="M473" s="40" t="str">
        <f>IFERROR(IF(Agent03_Loans!B85="","",YEAR(Agent03_Loans!D85)),"")</f>
        <v/>
      </c>
    </row>
    <row r="474" spans="1:13" ht="18" customHeight="1" x14ac:dyDescent="0.25">
      <c r="A474" s="40" t="str">
        <f>IF(Agent03_Loans!B86="","",Agent03_Loans!A86)</f>
        <v/>
      </c>
      <c r="B474" s="40" t="str">
        <f>IF(Agent03_Loans!B86="","",Agent03_Loans!B86)</f>
        <v/>
      </c>
      <c r="C474" s="40" t="str">
        <f>IF(Agent03_Loans!B86="","",Agent03_Loans!C86)</f>
        <v/>
      </c>
      <c r="D474" s="41" t="str">
        <f>IF(Agent03_Loans!B86="","",Agent03_Loans!D86)</f>
        <v/>
      </c>
      <c r="E474" s="43" t="str">
        <f>IF(Agent03_Loans!B86="","",Agent03_Loans!E86)</f>
        <v/>
      </c>
      <c r="F474" s="40" t="str">
        <f>IF(Agent03_Loans!B86="","",Agent03_Loans!F86)</f>
        <v/>
      </c>
      <c r="G474" s="40" t="str">
        <f>IF(Agent03_Loans!B86="","",Agent03_Loans!G86)</f>
        <v/>
      </c>
      <c r="H474" s="40" t="str">
        <f>IF(Agent03_Loans!B86="","",Agent03_Loans!H86)</f>
        <v/>
      </c>
      <c r="I474" s="43" t="str">
        <f>IF(Agent03_Loans!B86="","",Agent03_Loans!I86)</f>
        <v/>
      </c>
      <c r="J474" s="43" t="str">
        <f>IF(Agent03_Loans!B86="","",Agent03_Loans!J86)</f>
        <v/>
      </c>
      <c r="K474" s="40" t="str">
        <f>IF(Agent03_Loans!B86="","",Agent03_Loans!K86)</f>
        <v/>
      </c>
      <c r="L474" s="40" t="str">
        <f>IF(Agent03_Loans!B86="","",Agent03_Loans!L86)</f>
        <v/>
      </c>
      <c r="M474" s="40" t="str">
        <f>IFERROR(IF(Agent03_Loans!B86="","",YEAR(Agent03_Loans!D86)),"")</f>
        <v/>
      </c>
    </row>
    <row r="475" spans="1:13" ht="18" customHeight="1" x14ac:dyDescent="0.25">
      <c r="A475" s="40" t="str">
        <f>IF(Agent03_Loans!B87="","",Agent03_Loans!A87)</f>
        <v/>
      </c>
      <c r="B475" s="40" t="str">
        <f>IF(Agent03_Loans!B87="","",Agent03_Loans!B87)</f>
        <v/>
      </c>
      <c r="C475" s="40" t="str">
        <f>IF(Agent03_Loans!B87="","",Agent03_Loans!C87)</f>
        <v/>
      </c>
      <c r="D475" s="41" t="str">
        <f>IF(Agent03_Loans!B87="","",Agent03_Loans!D87)</f>
        <v/>
      </c>
      <c r="E475" s="43" t="str">
        <f>IF(Agent03_Loans!B87="","",Agent03_Loans!E87)</f>
        <v/>
      </c>
      <c r="F475" s="40" t="str">
        <f>IF(Agent03_Loans!B87="","",Agent03_Loans!F87)</f>
        <v/>
      </c>
      <c r="G475" s="40" t="str">
        <f>IF(Agent03_Loans!B87="","",Agent03_Loans!G87)</f>
        <v/>
      </c>
      <c r="H475" s="40" t="str">
        <f>IF(Agent03_Loans!B87="","",Agent03_Loans!H87)</f>
        <v/>
      </c>
      <c r="I475" s="43" t="str">
        <f>IF(Agent03_Loans!B87="","",Agent03_Loans!I87)</f>
        <v/>
      </c>
      <c r="J475" s="43" t="str">
        <f>IF(Agent03_Loans!B87="","",Agent03_Loans!J87)</f>
        <v/>
      </c>
      <c r="K475" s="40" t="str">
        <f>IF(Agent03_Loans!B87="","",Agent03_Loans!K87)</f>
        <v/>
      </c>
      <c r="L475" s="40" t="str">
        <f>IF(Agent03_Loans!B87="","",Agent03_Loans!L87)</f>
        <v/>
      </c>
      <c r="M475" s="40" t="str">
        <f>IFERROR(IF(Agent03_Loans!B87="","",YEAR(Agent03_Loans!D87)),"")</f>
        <v/>
      </c>
    </row>
    <row r="476" spans="1:13" ht="18" customHeight="1" x14ac:dyDescent="0.25">
      <c r="A476" s="40" t="str">
        <f>IF(Agent03_Loans!B88="","",Agent03_Loans!A88)</f>
        <v/>
      </c>
      <c r="B476" s="40" t="str">
        <f>IF(Agent03_Loans!B88="","",Agent03_Loans!B88)</f>
        <v/>
      </c>
      <c r="C476" s="40" t="str">
        <f>IF(Agent03_Loans!B88="","",Agent03_Loans!C88)</f>
        <v/>
      </c>
      <c r="D476" s="41" t="str">
        <f>IF(Agent03_Loans!B88="","",Agent03_Loans!D88)</f>
        <v/>
      </c>
      <c r="E476" s="43" t="str">
        <f>IF(Agent03_Loans!B88="","",Agent03_Loans!E88)</f>
        <v/>
      </c>
      <c r="F476" s="40" t="str">
        <f>IF(Agent03_Loans!B88="","",Agent03_Loans!F88)</f>
        <v/>
      </c>
      <c r="G476" s="40" t="str">
        <f>IF(Agent03_Loans!B88="","",Agent03_Loans!G88)</f>
        <v/>
      </c>
      <c r="H476" s="40" t="str">
        <f>IF(Agent03_Loans!B88="","",Agent03_Loans!H88)</f>
        <v/>
      </c>
      <c r="I476" s="43" t="str">
        <f>IF(Agent03_Loans!B88="","",Agent03_Loans!I88)</f>
        <v/>
      </c>
      <c r="J476" s="43" t="str">
        <f>IF(Agent03_Loans!B88="","",Agent03_Loans!J88)</f>
        <v/>
      </c>
      <c r="K476" s="40" t="str">
        <f>IF(Agent03_Loans!B88="","",Agent03_Loans!K88)</f>
        <v/>
      </c>
      <c r="L476" s="40" t="str">
        <f>IF(Agent03_Loans!B88="","",Agent03_Loans!L88)</f>
        <v/>
      </c>
      <c r="M476" s="40" t="str">
        <f>IFERROR(IF(Agent03_Loans!B88="","",YEAR(Agent03_Loans!D88)),"")</f>
        <v/>
      </c>
    </row>
    <row r="477" spans="1:13" ht="18" customHeight="1" x14ac:dyDescent="0.25">
      <c r="A477" s="40" t="str">
        <f>IF(Agent03_Loans!B89="","",Agent03_Loans!A89)</f>
        <v/>
      </c>
      <c r="B477" s="40" t="str">
        <f>IF(Agent03_Loans!B89="","",Agent03_Loans!B89)</f>
        <v/>
      </c>
      <c r="C477" s="40" t="str">
        <f>IF(Agent03_Loans!B89="","",Agent03_Loans!C89)</f>
        <v/>
      </c>
      <c r="D477" s="41" t="str">
        <f>IF(Agent03_Loans!B89="","",Agent03_Loans!D89)</f>
        <v/>
      </c>
      <c r="E477" s="43" t="str">
        <f>IF(Agent03_Loans!B89="","",Agent03_Loans!E89)</f>
        <v/>
      </c>
      <c r="F477" s="40" t="str">
        <f>IF(Agent03_Loans!B89="","",Agent03_Loans!F89)</f>
        <v/>
      </c>
      <c r="G477" s="40" t="str">
        <f>IF(Agent03_Loans!B89="","",Agent03_Loans!G89)</f>
        <v/>
      </c>
      <c r="H477" s="40" t="str">
        <f>IF(Agent03_Loans!B89="","",Agent03_Loans!H89)</f>
        <v/>
      </c>
      <c r="I477" s="43" t="str">
        <f>IF(Agent03_Loans!B89="","",Agent03_Loans!I89)</f>
        <v/>
      </c>
      <c r="J477" s="43" t="str">
        <f>IF(Agent03_Loans!B89="","",Agent03_Loans!J89)</f>
        <v/>
      </c>
      <c r="K477" s="40" t="str">
        <f>IF(Agent03_Loans!B89="","",Agent03_Loans!K89)</f>
        <v/>
      </c>
      <c r="L477" s="40" t="str">
        <f>IF(Agent03_Loans!B89="","",Agent03_Loans!L89)</f>
        <v/>
      </c>
      <c r="M477" s="40" t="str">
        <f>IFERROR(IF(Agent03_Loans!B89="","",YEAR(Agent03_Loans!D89)),"")</f>
        <v/>
      </c>
    </row>
    <row r="478" spans="1:13" ht="18" customHeight="1" x14ac:dyDescent="0.25">
      <c r="A478" s="40" t="str">
        <f>IF(Agent03_Loans!B90="","",Agent03_Loans!A90)</f>
        <v/>
      </c>
      <c r="B478" s="40" t="str">
        <f>IF(Agent03_Loans!B90="","",Agent03_Loans!B90)</f>
        <v/>
      </c>
      <c r="C478" s="40" t="str">
        <f>IF(Agent03_Loans!B90="","",Agent03_Loans!C90)</f>
        <v/>
      </c>
      <c r="D478" s="41" t="str">
        <f>IF(Agent03_Loans!B90="","",Agent03_Loans!D90)</f>
        <v/>
      </c>
      <c r="E478" s="43" t="str">
        <f>IF(Agent03_Loans!B90="","",Agent03_Loans!E90)</f>
        <v/>
      </c>
      <c r="F478" s="40" t="str">
        <f>IF(Agent03_Loans!B90="","",Agent03_Loans!F90)</f>
        <v/>
      </c>
      <c r="G478" s="40" t="str">
        <f>IF(Agent03_Loans!B90="","",Agent03_Loans!G90)</f>
        <v/>
      </c>
      <c r="H478" s="40" t="str">
        <f>IF(Agent03_Loans!B90="","",Agent03_Loans!H90)</f>
        <v/>
      </c>
      <c r="I478" s="43" t="str">
        <f>IF(Agent03_Loans!B90="","",Agent03_Loans!I90)</f>
        <v/>
      </c>
      <c r="J478" s="43" t="str">
        <f>IF(Agent03_Loans!B90="","",Agent03_Loans!J90)</f>
        <v/>
      </c>
      <c r="K478" s="40" t="str">
        <f>IF(Agent03_Loans!B90="","",Agent03_Loans!K90)</f>
        <v/>
      </c>
      <c r="L478" s="40" t="str">
        <f>IF(Agent03_Loans!B90="","",Agent03_Loans!L90)</f>
        <v/>
      </c>
      <c r="M478" s="40" t="str">
        <f>IFERROR(IF(Agent03_Loans!B90="","",YEAR(Agent03_Loans!D90)),"")</f>
        <v/>
      </c>
    </row>
    <row r="479" spans="1:13" ht="18" customHeight="1" x14ac:dyDescent="0.25">
      <c r="A479" s="40" t="str">
        <f>IF(Agent03_Loans!B91="","",Agent03_Loans!A91)</f>
        <v/>
      </c>
      <c r="B479" s="40" t="str">
        <f>IF(Agent03_Loans!B91="","",Agent03_Loans!B91)</f>
        <v/>
      </c>
      <c r="C479" s="40" t="str">
        <f>IF(Agent03_Loans!B91="","",Agent03_Loans!C91)</f>
        <v/>
      </c>
      <c r="D479" s="41" t="str">
        <f>IF(Agent03_Loans!B91="","",Agent03_Loans!D91)</f>
        <v/>
      </c>
      <c r="E479" s="43" t="str">
        <f>IF(Agent03_Loans!B91="","",Agent03_Loans!E91)</f>
        <v/>
      </c>
      <c r="F479" s="40" t="str">
        <f>IF(Agent03_Loans!B91="","",Agent03_Loans!F91)</f>
        <v/>
      </c>
      <c r="G479" s="40" t="str">
        <f>IF(Agent03_Loans!B91="","",Agent03_Loans!G91)</f>
        <v/>
      </c>
      <c r="H479" s="40" t="str">
        <f>IF(Agent03_Loans!B91="","",Agent03_Loans!H91)</f>
        <v/>
      </c>
      <c r="I479" s="43" t="str">
        <f>IF(Agent03_Loans!B91="","",Agent03_Loans!I91)</f>
        <v/>
      </c>
      <c r="J479" s="43" t="str">
        <f>IF(Agent03_Loans!B91="","",Agent03_Loans!J91)</f>
        <v/>
      </c>
      <c r="K479" s="40" t="str">
        <f>IF(Agent03_Loans!B91="","",Agent03_Loans!K91)</f>
        <v/>
      </c>
      <c r="L479" s="40" t="str">
        <f>IF(Agent03_Loans!B91="","",Agent03_Loans!L91)</f>
        <v/>
      </c>
      <c r="M479" s="40" t="str">
        <f>IFERROR(IF(Agent03_Loans!B91="","",YEAR(Agent03_Loans!D91)),"")</f>
        <v/>
      </c>
    </row>
    <row r="480" spans="1:13" ht="18" customHeight="1" x14ac:dyDescent="0.25">
      <c r="A480" s="40" t="str">
        <f>IF(Agent03_Loans!B92="","",Agent03_Loans!A92)</f>
        <v/>
      </c>
      <c r="B480" s="40" t="str">
        <f>IF(Agent03_Loans!B92="","",Agent03_Loans!B92)</f>
        <v/>
      </c>
      <c r="C480" s="40" t="str">
        <f>IF(Agent03_Loans!B92="","",Agent03_Loans!C92)</f>
        <v/>
      </c>
      <c r="D480" s="41" t="str">
        <f>IF(Agent03_Loans!B92="","",Agent03_Loans!D92)</f>
        <v/>
      </c>
      <c r="E480" s="43" t="str">
        <f>IF(Agent03_Loans!B92="","",Agent03_Loans!E92)</f>
        <v/>
      </c>
      <c r="F480" s="40" t="str">
        <f>IF(Agent03_Loans!B92="","",Agent03_Loans!F92)</f>
        <v/>
      </c>
      <c r="G480" s="40" t="str">
        <f>IF(Agent03_Loans!B92="","",Agent03_Loans!G92)</f>
        <v/>
      </c>
      <c r="H480" s="40" t="str">
        <f>IF(Agent03_Loans!B92="","",Agent03_Loans!H92)</f>
        <v/>
      </c>
      <c r="I480" s="43" t="str">
        <f>IF(Agent03_Loans!B92="","",Agent03_Loans!I92)</f>
        <v/>
      </c>
      <c r="J480" s="43" t="str">
        <f>IF(Agent03_Loans!B92="","",Agent03_Loans!J92)</f>
        <v/>
      </c>
      <c r="K480" s="40" t="str">
        <f>IF(Agent03_Loans!B92="","",Agent03_Loans!K92)</f>
        <v/>
      </c>
      <c r="L480" s="40" t="str">
        <f>IF(Agent03_Loans!B92="","",Agent03_Loans!L92)</f>
        <v/>
      </c>
      <c r="M480" s="40" t="str">
        <f>IFERROR(IF(Agent03_Loans!B92="","",YEAR(Agent03_Loans!D92)),"")</f>
        <v/>
      </c>
    </row>
    <row r="481" spans="1:13" ht="18" customHeight="1" x14ac:dyDescent="0.25">
      <c r="A481" s="40" t="str">
        <f>IF(Agent03_Loans!B93="","",Agent03_Loans!A93)</f>
        <v/>
      </c>
      <c r="B481" s="40" t="str">
        <f>IF(Agent03_Loans!B93="","",Agent03_Loans!B93)</f>
        <v/>
      </c>
      <c r="C481" s="40" t="str">
        <f>IF(Agent03_Loans!B93="","",Agent03_Loans!C93)</f>
        <v/>
      </c>
      <c r="D481" s="41" t="str">
        <f>IF(Agent03_Loans!B93="","",Agent03_Loans!D93)</f>
        <v/>
      </c>
      <c r="E481" s="43" t="str">
        <f>IF(Agent03_Loans!B93="","",Agent03_Loans!E93)</f>
        <v/>
      </c>
      <c r="F481" s="40" t="str">
        <f>IF(Agent03_Loans!B93="","",Agent03_Loans!F93)</f>
        <v/>
      </c>
      <c r="G481" s="40" t="str">
        <f>IF(Agent03_Loans!B93="","",Agent03_Loans!G93)</f>
        <v/>
      </c>
      <c r="H481" s="40" t="str">
        <f>IF(Agent03_Loans!B93="","",Agent03_Loans!H93)</f>
        <v/>
      </c>
      <c r="I481" s="43" t="str">
        <f>IF(Agent03_Loans!B93="","",Agent03_Loans!I93)</f>
        <v/>
      </c>
      <c r="J481" s="43" t="str">
        <f>IF(Agent03_Loans!B93="","",Agent03_Loans!J93)</f>
        <v/>
      </c>
      <c r="K481" s="40" t="str">
        <f>IF(Agent03_Loans!B93="","",Agent03_Loans!K93)</f>
        <v/>
      </c>
      <c r="L481" s="40" t="str">
        <f>IF(Agent03_Loans!B93="","",Agent03_Loans!L93)</f>
        <v/>
      </c>
      <c r="M481" s="40" t="str">
        <f>IFERROR(IF(Agent03_Loans!B93="","",YEAR(Agent03_Loans!D93)),"")</f>
        <v/>
      </c>
    </row>
    <row r="482" spans="1:13" ht="18" customHeight="1" x14ac:dyDescent="0.25">
      <c r="A482" s="40" t="str">
        <f>IF(Agent03_Loans!B94="","",Agent03_Loans!A94)</f>
        <v/>
      </c>
      <c r="B482" s="40" t="str">
        <f>IF(Agent03_Loans!B94="","",Agent03_Loans!B94)</f>
        <v/>
      </c>
      <c r="C482" s="40" t="str">
        <f>IF(Agent03_Loans!B94="","",Agent03_Loans!C94)</f>
        <v/>
      </c>
      <c r="D482" s="41" t="str">
        <f>IF(Agent03_Loans!B94="","",Agent03_Loans!D94)</f>
        <v/>
      </c>
      <c r="E482" s="43" t="str">
        <f>IF(Agent03_Loans!B94="","",Agent03_Loans!E94)</f>
        <v/>
      </c>
      <c r="F482" s="40" t="str">
        <f>IF(Agent03_Loans!B94="","",Agent03_Loans!F94)</f>
        <v/>
      </c>
      <c r="G482" s="40" t="str">
        <f>IF(Agent03_Loans!B94="","",Agent03_Loans!G94)</f>
        <v/>
      </c>
      <c r="H482" s="40" t="str">
        <f>IF(Agent03_Loans!B94="","",Agent03_Loans!H94)</f>
        <v/>
      </c>
      <c r="I482" s="43" t="str">
        <f>IF(Agent03_Loans!B94="","",Agent03_Loans!I94)</f>
        <v/>
      </c>
      <c r="J482" s="43" t="str">
        <f>IF(Agent03_Loans!B94="","",Agent03_Loans!J94)</f>
        <v/>
      </c>
      <c r="K482" s="40" t="str">
        <f>IF(Agent03_Loans!B94="","",Agent03_Loans!K94)</f>
        <v/>
      </c>
      <c r="L482" s="40" t="str">
        <f>IF(Agent03_Loans!B94="","",Agent03_Loans!L94)</f>
        <v/>
      </c>
      <c r="M482" s="40" t="str">
        <f>IFERROR(IF(Agent03_Loans!B94="","",YEAR(Agent03_Loans!D94)),"")</f>
        <v/>
      </c>
    </row>
    <row r="483" spans="1:13" ht="18" customHeight="1" x14ac:dyDescent="0.25">
      <c r="A483" s="40" t="str">
        <f>IF(Agent03_Loans!B95="","",Agent03_Loans!A95)</f>
        <v/>
      </c>
      <c r="B483" s="40" t="str">
        <f>IF(Agent03_Loans!B95="","",Agent03_Loans!B95)</f>
        <v/>
      </c>
      <c r="C483" s="40" t="str">
        <f>IF(Agent03_Loans!B95="","",Agent03_Loans!C95)</f>
        <v/>
      </c>
      <c r="D483" s="41" t="str">
        <f>IF(Agent03_Loans!B95="","",Agent03_Loans!D95)</f>
        <v/>
      </c>
      <c r="E483" s="43" t="str">
        <f>IF(Agent03_Loans!B95="","",Agent03_Loans!E95)</f>
        <v/>
      </c>
      <c r="F483" s="40" t="str">
        <f>IF(Agent03_Loans!B95="","",Agent03_Loans!F95)</f>
        <v/>
      </c>
      <c r="G483" s="40" t="str">
        <f>IF(Agent03_Loans!B95="","",Agent03_Loans!G95)</f>
        <v/>
      </c>
      <c r="H483" s="40" t="str">
        <f>IF(Agent03_Loans!B95="","",Agent03_Loans!H95)</f>
        <v/>
      </c>
      <c r="I483" s="43" t="str">
        <f>IF(Agent03_Loans!B95="","",Agent03_Loans!I95)</f>
        <v/>
      </c>
      <c r="J483" s="43" t="str">
        <f>IF(Agent03_Loans!B95="","",Agent03_Loans!J95)</f>
        <v/>
      </c>
      <c r="K483" s="40" t="str">
        <f>IF(Agent03_Loans!B95="","",Agent03_Loans!K95)</f>
        <v/>
      </c>
      <c r="L483" s="40" t="str">
        <f>IF(Agent03_Loans!B95="","",Agent03_Loans!L95)</f>
        <v/>
      </c>
      <c r="M483" s="40" t="str">
        <f>IFERROR(IF(Agent03_Loans!B95="","",YEAR(Agent03_Loans!D95)),"")</f>
        <v/>
      </c>
    </row>
    <row r="484" spans="1:13" ht="18" customHeight="1" x14ac:dyDescent="0.25">
      <c r="A484" s="40" t="str">
        <f>IF(Agent03_Loans!B96="","",Agent03_Loans!A96)</f>
        <v/>
      </c>
      <c r="B484" s="40" t="str">
        <f>IF(Agent03_Loans!B96="","",Agent03_Loans!B96)</f>
        <v/>
      </c>
      <c r="C484" s="40" t="str">
        <f>IF(Agent03_Loans!B96="","",Agent03_Loans!C96)</f>
        <v/>
      </c>
      <c r="D484" s="41" t="str">
        <f>IF(Agent03_Loans!B96="","",Agent03_Loans!D96)</f>
        <v/>
      </c>
      <c r="E484" s="43" t="str">
        <f>IF(Agent03_Loans!B96="","",Agent03_Loans!E96)</f>
        <v/>
      </c>
      <c r="F484" s="40" t="str">
        <f>IF(Agent03_Loans!B96="","",Agent03_Loans!F96)</f>
        <v/>
      </c>
      <c r="G484" s="40" t="str">
        <f>IF(Agent03_Loans!B96="","",Agent03_Loans!G96)</f>
        <v/>
      </c>
      <c r="H484" s="40" t="str">
        <f>IF(Agent03_Loans!B96="","",Agent03_Loans!H96)</f>
        <v/>
      </c>
      <c r="I484" s="43" t="str">
        <f>IF(Agent03_Loans!B96="","",Agent03_Loans!I96)</f>
        <v/>
      </c>
      <c r="J484" s="43" t="str">
        <f>IF(Agent03_Loans!B96="","",Agent03_Loans!J96)</f>
        <v/>
      </c>
      <c r="K484" s="40" t="str">
        <f>IF(Agent03_Loans!B96="","",Agent03_Loans!K96)</f>
        <v/>
      </c>
      <c r="L484" s="40" t="str">
        <f>IF(Agent03_Loans!B96="","",Agent03_Loans!L96)</f>
        <v/>
      </c>
      <c r="M484" s="40" t="str">
        <f>IFERROR(IF(Agent03_Loans!B96="","",YEAR(Agent03_Loans!D96)),"")</f>
        <v/>
      </c>
    </row>
    <row r="485" spans="1:13" ht="18" customHeight="1" x14ac:dyDescent="0.25">
      <c r="A485" s="40" t="str">
        <f>IF(Agent03_Loans!B97="","",Agent03_Loans!A97)</f>
        <v/>
      </c>
      <c r="B485" s="40" t="str">
        <f>IF(Agent03_Loans!B97="","",Agent03_Loans!B97)</f>
        <v/>
      </c>
      <c r="C485" s="40" t="str">
        <f>IF(Agent03_Loans!B97="","",Agent03_Loans!C97)</f>
        <v/>
      </c>
      <c r="D485" s="41" t="str">
        <f>IF(Agent03_Loans!B97="","",Agent03_Loans!D97)</f>
        <v/>
      </c>
      <c r="E485" s="43" t="str">
        <f>IF(Agent03_Loans!B97="","",Agent03_Loans!E97)</f>
        <v/>
      </c>
      <c r="F485" s="40" t="str">
        <f>IF(Agent03_Loans!B97="","",Agent03_Loans!F97)</f>
        <v/>
      </c>
      <c r="G485" s="40" t="str">
        <f>IF(Agent03_Loans!B97="","",Agent03_Loans!G97)</f>
        <v/>
      </c>
      <c r="H485" s="40" t="str">
        <f>IF(Agent03_Loans!B97="","",Agent03_Loans!H97)</f>
        <v/>
      </c>
      <c r="I485" s="43" t="str">
        <f>IF(Agent03_Loans!B97="","",Agent03_Loans!I97)</f>
        <v/>
      </c>
      <c r="J485" s="43" t="str">
        <f>IF(Agent03_Loans!B97="","",Agent03_Loans!J97)</f>
        <v/>
      </c>
      <c r="K485" s="40" t="str">
        <f>IF(Agent03_Loans!B97="","",Agent03_Loans!K97)</f>
        <v/>
      </c>
      <c r="L485" s="40" t="str">
        <f>IF(Agent03_Loans!B97="","",Agent03_Loans!L97)</f>
        <v/>
      </c>
      <c r="M485" s="40" t="str">
        <f>IFERROR(IF(Agent03_Loans!B97="","",YEAR(Agent03_Loans!D97)),"")</f>
        <v/>
      </c>
    </row>
    <row r="486" spans="1:13" ht="18" customHeight="1" x14ac:dyDescent="0.25">
      <c r="A486" s="40" t="str">
        <f>IF(Agent03_Loans!B98="","",Agent03_Loans!A98)</f>
        <v/>
      </c>
      <c r="B486" s="40" t="str">
        <f>IF(Agent03_Loans!B98="","",Agent03_Loans!B98)</f>
        <v/>
      </c>
      <c r="C486" s="40" t="str">
        <f>IF(Agent03_Loans!B98="","",Agent03_Loans!C98)</f>
        <v/>
      </c>
      <c r="D486" s="41" t="str">
        <f>IF(Agent03_Loans!B98="","",Agent03_Loans!D98)</f>
        <v/>
      </c>
      <c r="E486" s="43" t="str">
        <f>IF(Agent03_Loans!B98="","",Agent03_Loans!E98)</f>
        <v/>
      </c>
      <c r="F486" s="40" t="str">
        <f>IF(Agent03_Loans!B98="","",Agent03_Loans!F98)</f>
        <v/>
      </c>
      <c r="G486" s="40" t="str">
        <f>IF(Agent03_Loans!B98="","",Agent03_Loans!G98)</f>
        <v/>
      </c>
      <c r="H486" s="40" t="str">
        <f>IF(Agent03_Loans!B98="","",Agent03_Loans!H98)</f>
        <v/>
      </c>
      <c r="I486" s="43" t="str">
        <f>IF(Agent03_Loans!B98="","",Agent03_Loans!I98)</f>
        <v/>
      </c>
      <c r="J486" s="43" t="str">
        <f>IF(Agent03_Loans!B98="","",Agent03_Loans!J98)</f>
        <v/>
      </c>
      <c r="K486" s="40" t="str">
        <f>IF(Agent03_Loans!B98="","",Agent03_Loans!K98)</f>
        <v/>
      </c>
      <c r="L486" s="40" t="str">
        <f>IF(Agent03_Loans!B98="","",Agent03_Loans!L98)</f>
        <v/>
      </c>
      <c r="M486" s="40" t="str">
        <f>IFERROR(IF(Agent03_Loans!B98="","",YEAR(Agent03_Loans!D98)),"")</f>
        <v/>
      </c>
    </row>
    <row r="487" spans="1:13" ht="18" customHeight="1" x14ac:dyDescent="0.25">
      <c r="A487" s="40" t="str">
        <f>IF(Agent03_Loans!B99="","",Agent03_Loans!A99)</f>
        <v/>
      </c>
      <c r="B487" s="40" t="str">
        <f>IF(Agent03_Loans!B99="","",Agent03_Loans!B99)</f>
        <v/>
      </c>
      <c r="C487" s="40" t="str">
        <f>IF(Agent03_Loans!B99="","",Agent03_Loans!C99)</f>
        <v/>
      </c>
      <c r="D487" s="41" t="str">
        <f>IF(Agent03_Loans!B99="","",Agent03_Loans!D99)</f>
        <v/>
      </c>
      <c r="E487" s="43" t="str">
        <f>IF(Agent03_Loans!B99="","",Agent03_Loans!E99)</f>
        <v/>
      </c>
      <c r="F487" s="40" t="str">
        <f>IF(Agent03_Loans!B99="","",Agent03_Loans!F99)</f>
        <v/>
      </c>
      <c r="G487" s="40" t="str">
        <f>IF(Agent03_Loans!B99="","",Agent03_Loans!G99)</f>
        <v/>
      </c>
      <c r="H487" s="40" t="str">
        <f>IF(Agent03_Loans!B99="","",Agent03_Loans!H99)</f>
        <v/>
      </c>
      <c r="I487" s="43" t="str">
        <f>IF(Agent03_Loans!B99="","",Agent03_Loans!I99)</f>
        <v/>
      </c>
      <c r="J487" s="43" t="str">
        <f>IF(Agent03_Loans!B99="","",Agent03_Loans!J99)</f>
        <v/>
      </c>
      <c r="K487" s="40" t="str">
        <f>IF(Agent03_Loans!B99="","",Agent03_Loans!K99)</f>
        <v/>
      </c>
      <c r="L487" s="40" t="str">
        <f>IF(Agent03_Loans!B99="","",Agent03_Loans!L99)</f>
        <v/>
      </c>
      <c r="M487" s="40" t="str">
        <f>IFERROR(IF(Agent03_Loans!B99="","",YEAR(Agent03_Loans!D99)),"")</f>
        <v/>
      </c>
    </row>
    <row r="488" spans="1:13" ht="18" customHeight="1" x14ac:dyDescent="0.25">
      <c r="A488" s="40" t="str">
        <f>IF(Agent03_Loans!B100="","",Agent03_Loans!A100)</f>
        <v/>
      </c>
      <c r="B488" s="40" t="str">
        <f>IF(Agent03_Loans!B100="","",Agent03_Loans!B100)</f>
        <v/>
      </c>
      <c r="C488" s="40" t="str">
        <f>IF(Agent03_Loans!B100="","",Agent03_Loans!C100)</f>
        <v/>
      </c>
      <c r="D488" s="41" t="str">
        <f>IF(Agent03_Loans!B100="","",Agent03_Loans!D100)</f>
        <v/>
      </c>
      <c r="E488" s="43" t="str">
        <f>IF(Agent03_Loans!B100="","",Agent03_Loans!E100)</f>
        <v/>
      </c>
      <c r="F488" s="40" t="str">
        <f>IF(Agent03_Loans!B100="","",Agent03_Loans!F100)</f>
        <v/>
      </c>
      <c r="G488" s="40" t="str">
        <f>IF(Agent03_Loans!B100="","",Agent03_Loans!G100)</f>
        <v/>
      </c>
      <c r="H488" s="40" t="str">
        <f>IF(Agent03_Loans!B100="","",Agent03_Loans!H100)</f>
        <v/>
      </c>
      <c r="I488" s="43" t="str">
        <f>IF(Agent03_Loans!B100="","",Agent03_Loans!I100)</f>
        <v/>
      </c>
      <c r="J488" s="43" t="str">
        <f>IF(Agent03_Loans!B100="","",Agent03_Loans!J100)</f>
        <v/>
      </c>
      <c r="K488" s="40" t="str">
        <f>IF(Agent03_Loans!B100="","",Agent03_Loans!K100)</f>
        <v/>
      </c>
      <c r="L488" s="40" t="str">
        <f>IF(Agent03_Loans!B100="","",Agent03_Loans!L100)</f>
        <v/>
      </c>
      <c r="M488" s="40" t="str">
        <f>IFERROR(IF(Agent03_Loans!B100="","",YEAR(Agent03_Loans!D100)),"")</f>
        <v/>
      </c>
    </row>
    <row r="489" spans="1:13" ht="18" customHeight="1" x14ac:dyDescent="0.25">
      <c r="A489" s="40" t="str">
        <f>IF(Agent03_Loans!B101="","",Agent03_Loans!A101)</f>
        <v/>
      </c>
      <c r="B489" s="40" t="str">
        <f>IF(Agent03_Loans!B101="","",Agent03_Loans!B101)</f>
        <v/>
      </c>
      <c r="C489" s="40" t="str">
        <f>IF(Agent03_Loans!B101="","",Agent03_Loans!C101)</f>
        <v/>
      </c>
      <c r="D489" s="41" t="str">
        <f>IF(Agent03_Loans!B101="","",Agent03_Loans!D101)</f>
        <v/>
      </c>
      <c r="E489" s="43" t="str">
        <f>IF(Agent03_Loans!B101="","",Agent03_Loans!E101)</f>
        <v/>
      </c>
      <c r="F489" s="40" t="str">
        <f>IF(Agent03_Loans!B101="","",Agent03_Loans!F101)</f>
        <v/>
      </c>
      <c r="G489" s="40" t="str">
        <f>IF(Agent03_Loans!B101="","",Agent03_Loans!G101)</f>
        <v/>
      </c>
      <c r="H489" s="40" t="str">
        <f>IF(Agent03_Loans!B101="","",Agent03_Loans!H101)</f>
        <v/>
      </c>
      <c r="I489" s="43" t="str">
        <f>IF(Agent03_Loans!B101="","",Agent03_Loans!I101)</f>
        <v/>
      </c>
      <c r="J489" s="43" t="str">
        <f>IF(Agent03_Loans!B101="","",Agent03_Loans!J101)</f>
        <v/>
      </c>
      <c r="K489" s="40" t="str">
        <f>IF(Agent03_Loans!B101="","",Agent03_Loans!K101)</f>
        <v/>
      </c>
      <c r="L489" s="40" t="str">
        <f>IF(Agent03_Loans!B101="","",Agent03_Loans!L101)</f>
        <v/>
      </c>
      <c r="M489" s="40" t="str">
        <f>IFERROR(IF(Agent03_Loans!B101="","",YEAR(Agent03_Loans!D101)),"")</f>
        <v/>
      </c>
    </row>
    <row r="490" spans="1:13" ht="18" customHeight="1" x14ac:dyDescent="0.25">
      <c r="A490" s="40" t="str">
        <f>IF(Agent03_Loans!B102="","",Agent03_Loans!A102)</f>
        <v/>
      </c>
      <c r="B490" s="40" t="str">
        <f>IF(Agent03_Loans!B102="","",Agent03_Loans!B102)</f>
        <v/>
      </c>
      <c r="C490" s="40" t="str">
        <f>IF(Agent03_Loans!B102="","",Agent03_Loans!C102)</f>
        <v/>
      </c>
      <c r="D490" s="41" t="str">
        <f>IF(Agent03_Loans!B102="","",Agent03_Loans!D102)</f>
        <v/>
      </c>
      <c r="E490" s="43" t="str">
        <f>IF(Agent03_Loans!B102="","",Agent03_Loans!E102)</f>
        <v/>
      </c>
      <c r="F490" s="40" t="str">
        <f>IF(Agent03_Loans!B102="","",Agent03_Loans!F102)</f>
        <v/>
      </c>
      <c r="G490" s="40" t="str">
        <f>IF(Agent03_Loans!B102="","",Agent03_Loans!G102)</f>
        <v/>
      </c>
      <c r="H490" s="40" t="str">
        <f>IF(Agent03_Loans!B102="","",Agent03_Loans!H102)</f>
        <v/>
      </c>
      <c r="I490" s="43" t="str">
        <f>IF(Agent03_Loans!B102="","",Agent03_Loans!I102)</f>
        <v/>
      </c>
      <c r="J490" s="43" t="str">
        <f>IF(Agent03_Loans!B102="","",Agent03_Loans!J102)</f>
        <v/>
      </c>
      <c r="K490" s="40" t="str">
        <f>IF(Agent03_Loans!B102="","",Agent03_Loans!K102)</f>
        <v/>
      </c>
      <c r="L490" s="40" t="str">
        <f>IF(Agent03_Loans!B102="","",Agent03_Loans!L102)</f>
        <v/>
      </c>
      <c r="M490" s="40" t="str">
        <f>IFERROR(IF(Agent03_Loans!B102="","",YEAR(Agent03_Loans!D102)),"")</f>
        <v/>
      </c>
    </row>
    <row r="491" spans="1:13" ht="18" customHeight="1" x14ac:dyDescent="0.25">
      <c r="A491" s="40" t="str">
        <f>IF(Agent03_Loans!B103="","",Agent03_Loans!A103)</f>
        <v/>
      </c>
      <c r="B491" s="40" t="str">
        <f>IF(Agent03_Loans!B103="","",Agent03_Loans!B103)</f>
        <v/>
      </c>
      <c r="C491" s="40" t="str">
        <f>IF(Agent03_Loans!B103="","",Agent03_Loans!C103)</f>
        <v/>
      </c>
      <c r="D491" s="41" t="str">
        <f>IF(Agent03_Loans!B103="","",Agent03_Loans!D103)</f>
        <v/>
      </c>
      <c r="E491" s="43" t="str">
        <f>IF(Agent03_Loans!B103="","",Agent03_Loans!E103)</f>
        <v/>
      </c>
      <c r="F491" s="40" t="str">
        <f>IF(Agent03_Loans!B103="","",Agent03_Loans!F103)</f>
        <v/>
      </c>
      <c r="G491" s="40" t="str">
        <f>IF(Agent03_Loans!B103="","",Agent03_Loans!G103)</f>
        <v/>
      </c>
      <c r="H491" s="40" t="str">
        <f>IF(Agent03_Loans!B103="","",Agent03_Loans!H103)</f>
        <v/>
      </c>
      <c r="I491" s="43" t="str">
        <f>IF(Agent03_Loans!B103="","",Agent03_Loans!I103)</f>
        <v/>
      </c>
      <c r="J491" s="43" t="str">
        <f>IF(Agent03_Loans!B103="","",Agent03_Loans!J103)</f>
        <v/>
      </c>
      <c r="K491" s="40" t="str">
        <f>IF(Agent03_Loans!B103="","",Agent03_Loans!K103)</f>
        <v/>
      </c>
      <c r="L491" s="40" t="str">
        <f>IF(Agent03_Loans!B103="","",Agent03_Loans!L103)</f>
        <v/>
      </c>
      <c r="M491" s="40" t="str">
        <f>IFERROR(IF(Agent03_Loans!B103="","",YEAR(Agent03_Loans!D103)),"")</f>
        <v/>
      </c>
    </row>
    <row r="492" spans="1:13" ht="18" customHeight="1" x14ac:dyDescent="0.25">
      <c r="A492" s="40" t="str">
        <f>IF(Agent03_Loans!B104="","",Agent03_Loans!A104)</f>
        <v/>
      </c>
      <c r="B492" s="40" t="str">
        <f>IF(Agent03_Loans!B104="","",Agent03_Loans!B104)</f>
        <v/>
      </c>
      <c r="C492" s="40" t="str">
        <f>IF(Agent03_Loans!B104="","",Agent03_Loans!C104)</f>
        <v/>
      </c>
      <c r="D492" s="41" t="str">
        <f>IF(Agent03_Loans!B104="","",Agent03_Loans!D104)</f>
        <v/>
      </c>
      <c r="E492" s="43" t="str">
        <f>IF(Agent03_Loans!B104="","",Agent03_Loans!E104)</f>
        <v/>
      </c>
      <c r="F492" s="40" t="str">
        <f>IF(Agent03_Loans!B104="","",Agent03_Loans!F104)</f>
        <v/>
      </c>
      <c r="G492" s="40" t="str">
        <f>IF(Agent03_Loans!B104="","",Agent03_Loans!G104)</f>
        <v/>
      </c>
      <c r="H492" s="40" t="str">
        <f>IF(Agent03_Loans!B104="","",Agent03_Loans!H104)</f>
        <v/>
      </c>
      <c r="I492" s="43" t="str">
        <f>IF(Agent03_Loans!B104="","",Agent03_Loans!I104)</f>
        <v/>
      </c>
      <c r="J492" s="43" t="str">
        <f>IF(Agent03_Loans!B104="","",Agent03_Loans!J104)</f>
        <v/>
      </c>
      <c r="K492" s="40" t="str">
        <f>IF(Agent03_Loans!B104="","",Agent03_Loans!K104)</f>
        <v/>
      </c>
      <c r="L492" s="40" t="str">
        <f>IF(Agent03_Loans!B104="","",Agent03_Loans!L104)</f>
        <v/>
      </c>
      <c r="M492" s="40" t="str">
        <f>IFERROR(IF(Agent03_Loans!B104="","",YEAR(Agent03_Loans!D104)),"")</f>
        <v/>
      </c>
    </row>
    <row r="493" spans="1:13" ht="18" customHeight="1" x14ac:dyDescent="0.25">
      <c r="A493" s="40" t="str">
        <f>IF(Agent03_Loans!B105="","",Agent03_Loans!A105)</f>
        <v/>
      </c>
      <c r="B493" s="40" t="str">
        <f>IF(Agent03_Loans!B105="","",Agent03_Loans!B105)</f>
        <v/>
      </c>
      <c r="C493" s="40" t="str">
        <f>IF(Agent03_Loans!B105="","",Agent03_Loans!C105)</f>
        <v/>
      </c>
      <c r="D493" s="41" t="str">
        <f>IF(Agent03_Loans!B105="","",Agent03_Loans!D105)</f>
        <v/>
      </c>
      <c r="E493" s="43" t="str">
        <f>IF(Agent03_Loans!B105="","",Agent03_Loans!E105)</f>
        <v/>
      </c>
      <c r="F493" s="40" t="str">
        <f>IF(Agent03_Loans!B105="","",Agent03_Loans!F105)</f>
        <v/>
      </c>
      <c r="G493" s="40" t="str">
        <f>IF(Agent03_Loans!B105="","",Agent03_Loans!G105)</f>
        <v/>
      </c>
      <c r="H493" s="40" t="str">
        <f>IF(Agent03_Loans!B105="","",Agent03_Loans!H105)</f>
        <v/>
      </c>
      <c r="I493" s="43" t="str">
        <f>IF(Agent03_Loans!B105="","",Agent03_Loans!I105)</f>
        <v/>
      </c>
      <c r="J493" s="43" t="str">
        <f>IF(Agent03_Loans!B105="","",Agent03_Loans!J105)</f>
        <v/>
      </c>
      <c r="K493" s="40" t="str">
        <f>IF(Agent03_Loans!B105="","",Agent03_Loans!K105)</f>
        <v/>
      </c>
      <c r="L493" s="40" t="str">
        <f>IF(Agent03_Loans!B105="","",Agent03_Loans!L105)</f>
        <v/>
      </c>
      <c r="M493" s="40" t="str">
        <f>IFERROR(IF(Agent03_Loans!B105="","",YEAR(Agent03_Loans!D105)),"")</f>
        <v/>
      </c>
    </row>
    <row r="494" spans="1:13" ht="18" customHeight="1" x14ac:dyDescent="0.25">
      <c r="A494" s="40" t="str">
        <f>IF(Agent03_Loans!B106="","",Agent03_Loans!A106)</f>
        <v/>
      </c>
      <c r="B494" s="40" t="str">
        <f>IF(Agent03_Loans!B106="","",Agent03_Loans!B106)</f>
        <v/>
      </c>
      <c r="C494" s="40" t="str">
        <f>IF(Agent03_Loans!B106="","",Agent03_Loans!C106)</f>
        <v/>
      </c>
      <c r="D494" s="41" t="str">
        <f>IF(Agent03_Loans!B106="","",Agent03_Loans!D106)</f>
        <v/>
      </c>
      <c r="E494" s="43" t="str">
        <f>IF(Agent03_Loans!B106="","",Agent03_Loans!E106)</f>
        <v/>
      </c>
      <c r="F494" s="40" t="str">
        <f>IF(Agent03_Loans!B106="","",Agent03_Loans!F106)</f>
        <v/>
      </c>
      <c r="G494" s="40" t="str">
        <f>IF(Agent03_Loans!B106="","",Agent03_Loans!G106)</f>
        <v/>
      </c>
      <c r="H494" s="40" t="str">
        <f>IF(Agent03_Loans!B106="","",Agent03_Loans!H106)</f>
        <v/>
      </c>
      <c r="I494" s="43" t="str">
        <f>IF(Agent03_Loans!B106="","",Agent03_Loans!I106)</f>
        <v/>
      </c>
      <c r="J494" s="43" t="str">
        <f>IF(Agent03_Loans!B106="","",Agent03_Loans!J106)</f>
        <v/>
      </c>
      <c r="K494" s="40" t="str">
        <f>IF(Agent03_Loans!B106="","",Agent03_Loans!K106)</f>
        <v/>
      </c>
      <c r="L494" s="40" t="str">
        <f>IF(Agent03_Loans!B106="","",Agent03_Loans!L106)</f>
        <v/>
      </c>
      <c r="M494" s="40" t="str">
        <f>IFERROR(IF(Agent03_Loans!B106="","",YEAR(Agent03_Loans!D106)),"")</f>
        <v/>
      </c>
    </row>
    <row r="495" spans="1:13" ht="18" customHeight="1" x14ac:dyDescent="0.25">
      <c r="A495" s="40" t="str">
        <f>IF(Agent03_Loans!B107="","",Agent03_Loans!A107)</f>
        <v/>
      </c>
      <c r="B495" s="40" t="str">
        <f>IF(Agent03_Loans!B107="","",Agent03_Loans!B107)</f>
        <v/>
      </c>
      <c r="C495" s="40" t="str">
        <f>IF(Agent03_Loans!B107="","",Agent03_Loans!C107)</f>
        <v/>
      </c>
      <c r="D495" s="41" t="str">
        <f>IF(Agent03_Loans!B107="","",Agent03_Loans!D107)</f>
        <v/>
      </c>
      <c r="E495" s="43" t="str">
        <f>IF(Agent03_Loans!B107="","",Agent03_Loans!E107)</f>
        <v/>
      </c>
      <c r="F495" s="40" t="str">
        <f>IF(Agent03_Loans!B107="","",Agent03_Loans!F107)</f>
        <v/>
      </c>
      <c r="G495" s="40" t="str">
        <f>IF(Agent03_Loans!B107="","",Agent03_Loans!G107)</f>
        <v/>
      </c>
      <c r="H495" s="40" t="str">
        <f>IF(Agent03_Loans!B107="","",Agent03_Loans!H107)</f>
        <v/>
      </c>
      <c r="I495" s="43" t="str">
        <f>IF(Agent03_Loans!B107="","",Agent03_Loans!I107)</f>
        <v/>
      </c>
      <c r="J495" s="43" t="str">
        <f>IF(Agent03_Loans!B107="","",Agent03_Loans!J107)</f>
        <v/>
      </c>
      <c r="K495" s="40" t="str">
        <f>IF(Agent03_Loans!B107="","",Agent03_Loans!K107)</f>
        <v/>
      </c>
      <c r="L495" s="40" t="str">
        <f>IF(Agent03_Loans!B107="","",Agent03_Loans!L107)</f>
        <v/>
      </c>
      <c r="M495" s="40" t="str">
        <f>IFERROR(IF(Agent03_Loans!B107="","",YEAR(Agent03_Loans!D107)),"")</f>
        <v/>
      </c>
    </row>
    <row r="496" spans="1:13" ht="18" customHeight="1" x14ac:dyDescent="0.25">
      <c r="A496" s="40" t="str">
        <f>IF(Agent03_Loans!B108="","",Agent03_Loans!A108)</f>
        <v/>
      </c>
      <c r="B496" s="40" t="str">
        <f>IF(Agent03_Loans!B108="","",Agent03_Loans!B108)</f>
        <v/>
      </c>
      <c r="C496" s="40" t="str">
        <f>IF(Agent03_Loans!B108="","",Agent03_Loans!C108)</f>
        <v/>
      </c>
      <c r="D496" s="41" t="str">
        <f>IF(Agent03_Loans!B108="","",Agent03_Loans!D108)</f>
        <v/>
      </c>
      <c r="E496" s="43" t="str">
        <f>IF(Agent03_Loans!B108="","",Agent03_Loans!E108)</f>
        <v/>
      </c>
      <c r="F496" s="40" t="str">
        <f>IF(Agent03_Loans!B108="","",Agent03_Loans!F108)</f>
        <v/>
      </c>
      <c r="G496" s="40" t="str">
        <f>IF(Agent03_Loans!B108="","",Agent03_Loans!G108)</f>
        <v/>
      </c>
      <c r="H496" s="40" t="str">
        <f>IF(Agent03_Loans!B108="","",Agent03_Loans!H108)</f>
        <v/>
      </c>
      <c r="I496" s="43" t="str">
        <f>IF(Agent03_Loans!B108="","",Agent03_Loans!I108)</f>
        <v/>
      </c>
      <c r="J496" s="43" t="str">
        <f>IF(Agent03_Loans!B108="","",Agent03_Loans!J108)</f>
        <v/>
      </c>
      <c r="K496" s="40" t="str">
        <f>IF(Agent03_Loans!B108="","",Agent03_Loans!K108)</f>
        <v/>
      </c>
      <c r="L496" s="40" t="str">
        <f>IF(Agent03_Loans!B108="","",Agent03_Loans!L108)</f>
        <v/>
      </c>
      <c r="M496" s="40" t="str">
        <f>IFERROR(IF(Agent03_Loans!B108="","",YEAR(Agent03_Loans!D108)),"")</f>
        <v/>
      </c>
    </row>
    <row r="497" spans="1:13" ht="18" customHeight="1" x14ac:dyDescent="0.25">
      <c r="A497" s="40" t="str">
        <f>IF(Agent03_Loans!B109="","",Agent03_Loans!A109)</f>
        <v/>
      </c>
      <c r="B497" s="40" t="str">
        <f>IF(Agent03_Loans!B109="","",Agent03_Loans!B109)</f>
        <v/>
      </c>
      <c r="C497" s="40" t="str">
        <f>IF(Agent03_Loans!B109="","",Agent03_Loans!C109)</f>
        <v/>
      </c>
      <c r="D497" s="41" t="str">
        <f>IF(Agent03_Loans!B109="","",Agent03_Loans!D109)</f>
        <v/>
      </c>
      <c r="E497" s="43" t="str">
        <f>IF(Agent03_Loans!B109="","",Agent03_Loans!E109)</f>
        <v/>
      </c>
      <c r="F497" s="40" t="str">
        <f>IF(Agent03_Loans!B109="","",Agent03_Loans!F109)</f>
        <v/>
      </c>
      <c r="G497" s="40" t="str">
        <f>IF(Agent03_Loans!B109="","",Agent03_Loans!G109)</f>
        <v/>
      </c>
      <c r="H497" s="40" t="str">
        <f>IF(Agent03_Loans!B109="","",Agent03_Loans!H109)</f>
        <v/>
      </c>
      <c r="I497" s="43" t="str">
        <f>IF(Agent03_Loans!B109="","",Agent03_Loans!I109)</f>
        <v/>
      </c>
      <c r="J497" s="43" t="str">
        <f>IF(Agent03_Loans!B109="","",Agent03_Loans!J109)</f>
        <v/>
      </c>
      <c r="K497" s="40" t="str">
        <f>IF(Agent03_Loans!B109="","",Agent03_Loans!K109)</f>
        <v/>
      </c>
      <c r="L497" s="40" t="str">
        <f>IF(Agent03_Loans!B109="","",Agent03_Loans!L109)</f>
        <v/>
      </c>
      <c r="M497" s="40" t="str">
        <f>IFERROR(IF(Agent03_Loans!B109="","",YEAR(Agent03_Loans!D109)),"")</f>
        <v/>
      </c>
    </row>
    <row r="498" spans="1:13" ht="18" customHeight="1" x14ac:dyDescent="0.25">
      <c r="A498" s="40" t="str">
        <f>IF(Agent03_Loans!B110="","",Agent03_Loans!A110)</f>
        <v/>
      </c>
      <c r="B498" s="40" t="str">
        <f>IF(Agent03_Loans!B110="","",Agent03_Loans!B110)</f>
        <v/>
      </c>
      <c r="C498" s="40" t="str">
        <f>IF(Agent03_Loans!B110="","",Agent03_Loans!C110)</f>
        <v/>
      </c>
      <c r="D498" s="41" t="str">
        <f>IF(Agent03_Loans!B110="","",Agent03_Loans!D110)</f>
        <v/>
      </c>
      <c r="E498" s="43" t="str">
        <f>IF(Agent03_Loans!B110="","",Agent03_Loans!E110)</f>
        <v/>
      </c>
      <c r="F498" s="40" t="str">
        <f>IF(Agent03_Loans!B110="","",Agent03_Loans!F110)</f>
        <v/>
      </c>
      <c r="G498" s="40" t="str">
        <f>IF(Agent03_Loans!B110="","",Agent03_Loans!G110)</f>
        <v/>
      </c>
      <c r="H498" s="40" t="str">
        <f>IF(Agent03_Loans!B110="","",Agent03_Loans!H110)</f>
        <v/>
      </c>
      <c r="I498" s="43" t="str">
        <f>IF(Agent03_Loans!B110="","",Agent03_Loans!I110)</f>
        <v/>
      </c>
      <c r="J498" s="43" t="str">
        <f>IF(Agent03_Loans!B110="","",Agent03_Loans!J110)</f>
        <v/>
      </c>
      <c r="K498" s="40" t="str">
        <f>IF(Agent03_Loans!B110="","",Agent03_Loans!K110)</f>
        <v/>
      </c>
      <c r="L498" s="40" t="str">
        <f>IF(Agent03_Loans!B110="","",Agent03_Loans!L110)</f>
        <v/>
      </c>
      <c r="M498" s="40" t="str">
        <f>IFERROR(IF(Agent03_Loans!B110="","",YEAR(Agent03_Loans!D110)),"")</f>
        <v/>
      </c>
    </row>
    <row r="499" spans="1:13" ht="18" customHeight="1" x14ac:dyDescent="0.25">
      <c r="A499" s="40" t="str">
        <f>IF(Agent03_Loans!B111="","",Agent03_Loans!A111)</f>
        <v/>
      </c>
      <c r="B499" s="40" t="str">
        <f>IF(Agent03_Loans!B111="","",Agent03_Loans!B111)</f>
        <v/>
      </c>
      <c r="C499" s="40" t="str">
        <f>IF(Agent03_Loans!B111="","",Agent03_Loans!C111)</f>
        <v/>
      </c>
      <c r="D499" s="41" t="str">
        <f>IF(Agent03_Loans!B111="","",Agent03_Loans!D111)</f>
        <v/>
      </c>
      <c r="E499" s="43" t="str">
        <f>IF(Agent03_Loans!B111="","",Agent03_Loans!E111)</f>
        <v/>
      </c>
      <c r="F499" s="40" t="str">
        <f>IF(Agent03_Loans!B111="","",Agent03_Loans!F111)</f>
        <v/>
      </c>
      <c r="G499" s="40" t="str">
        <f>IF(Agent03_Loans!B111="","",Agent03_Loans!G111)</f>
        <v/>
      </c>
      <c r="H499" s="40" t="str">
        <f>IF(Agent03_Loans!B111="","",Agent03_Loans!H111)</f>
        <v/>
      </c>
      <c r="I499" s="43" t="str">
        <f>IF(Agent03_Loans!B111="","",Agent03_Loans!I111)</f>
        <v/>
      </c>
      <c r="J499" s="43" t="str">
        <f>IF(Agent03_Loans!B111="","",Agent03_Loans!J111)</f>
        <v/>
      </c>
      <c r="K499" s="40" t="str">
        <f>IF(Agent03_Loans!B111="","",Agent03_Loans!K111)</f>
        <v/>
      </c>
      <c r="L499" s="40" t="str">
        <f>IF(Agent03_Loans!B111="","",Agent03_Loans!L111)</f>
        <v/>
      </c>
      <c r="M499" s="40" t="str">
        <f>IFERROR(IF(Agent03_Loans!B111="","",YEAR(Agent03_Loans!D111)),"")</f>
        <v/>
      </c>
    </row>
    <row r="500" spans="1:13" ht="18" customHeight="1" x14ac:dyDescent="0.25">
      <c r="A500" s="40" t="str">
        <f>IF(Agent03_Loans!B112="","",Agent03_Loans!A112)</f>
        <v/>
      </c>
      <c r="B500" s="40" t="str">
        <f>IF(Agent03_Loans!B112="","",Agent03_Loans!B112)</f>
        <v/>
      </c>
      <c r="C500" s="40" t="str">
        <f>IF(Agent03_Loans!B112="","",Agent03_Loans!C112)</f>
        <v/>
      </c>
      <c r="D500" s="41" t="str">
        <f>IF(Agent03_Loans!B112="","",Agent03_Loans!D112)</f>
        <v/>
      </c>
      <c r="E500" s="43" t="str">
        <f>IF(Agent03_Loans!B112="","",Agent03_Loans!E112)</f>
        <v/>
      </c>
      <c r="F500" s="40" t="str">
        <f>IF(Agent03_Loans!B112="","",Agent03_Loans!F112)</f>
        <v/>
      </c>
      <c r="G500" s="40" t="str">
        <f>IF(Agent03_Loans!B112="","",Agent03_Loans!G112)</f>
        <v/>
      </c>
      <c r="H500" s="40" t="str">
        <f>IF(Agent03_Loans!B112="","",Agent03_Loans!H112)</f>
        <v/>
      </c>
      <c r="I500" s="43" t="str">
        <f>IF(Agent03_Loans!B112="","",Agent03_Loans!I112)</f>
        <v/>
      </c>
      <c r="J500" s="43" t="str">
        <f>IF(Agent03_Loans!B112="","",Agent03_Loans!J112)</f>
        <v/>
      </c>
      <c r="K500" s="40" t="str">
        <f>IF(Agent03_Loans!B112="","",Agent03_Loans!K112)</f>
        <v/>
      </c>
      <c r="L500" s="40" t="str">
        <f>IF(Agent03_Loans!B112="","",Agent03_Loans!L112)</f>
        <v/>
      </c>
      <c r="M500" s="40" t="str">
        <f>IFERROR(IF(Agent03_Loans!B112="","",YEAR(Agent03_Loans!D112)),"")</f>
        <v/>
      </c>
    </row>
    <row r="501" spans="1:13" ht="18" customHeight="1" x14ac:dyDescent="0.25">
      <c r="A501" s="40" t="str">
        <f>IF(Agent03_Loans!B113="","",Agent03_Loans!A113)</f>
        <v/>
      </c>
      <c r="B501" s="40" t="str">
        <f>IF(Agent03_Loans!B113="","",Agent03_Loans!B113)</f>
        <v/>
      </c>
      <c r="C501" s="40" t="str">
        <f>IF(Agent03_Loans!B113="","",Agent03_Loans!C113)</f>
        <v/>
      </c>
      <c r="D501" s="41" t="str">
        <f>IF(Agent03_Loans!B113="","",Agent03_Loans!D113)</f>
        <v/>
      </c>
      <c r="E501" s="43" t="str">
        <f>IF(Agent03_Loans!B113="","",Agent03_Loans!E113)</f>
        <v/>
      </c>
      <c r="F501" s="40" t="str">
        <f>IF(Agent03_Loans!B113="","",Agent03_Loans!F113)</f>
        <v/>
      </c>
      <c r="G501" s="40" t="str">
        <f>IF(Agent03_Loans!B113="","",Agent03_Loans!G113)</f>
        <v/>
      </c>
      <c r="H501" s="40" t="str">
        <f>IF(Agent03_Loans!B113="","",Agent03_Loans!H113)</f>
        <v/>
      </c>
      <c r="I501" s="43" t="str">
        <f>IF(Agent03_Loans!B113="","",Agent03_Loans!I113)</f>
        <v/>
      </c>
      <c r="J501" s="43" t="str">
        <f>IF(Agent03_Loans!B113="","",Agent03_Loans!J113)</f>
        <v/>
      </c>
      <c r="K501" s="40" t="str">
        <f>IF(Agent03_Loans!B113="","",Agent03_Loans!K113)</f>
        <v/>
      </c>
      <c r="L501" s="40" t="str">
        <f>IF(Agent03_Loans!B113="","",Agent03_Loans!L113)</f>
        <v/>
      </c>
      <c r="M501" s="40" t="str">
        <f>IFERROR(IF(Agent03_Loans!B113="","",YEAR(Agent03_Loans!D113)),"")</f>
        <v/>
      </c>
    </row>
    <row r="502" spans="1:13" ht="18" customHeight="1" x14ac:dyDescent="0.25">
      <c r="A502" s="40" t="str">
        <f>IF(Agent03_Loans!B114="","",Agent03_Loans!A114)</f>
        <v/>
      </c>
      <c r="B502" s="40" t="str">
        <f>IF(Agent03_Loans!B114="","",Agent03_Loans!B114)</f>
        <v/>
      </c>
      <c r="C502" s="40" t="str">
        <f>IF(Agent03_Loans!B114="","",Agent03_Loans!C114)</f>
        <v/>
      </c>
      <c r="D502" s="41" t="str">
        <f>IF(Agent03_Loans!B114="","",Agent03_Loans!D114)</f>
        <v/>
      </c>
      <c r="E502" s="43" t="str">
        <f>IF(Agent03_Loans!B114="","",Agent03_Loans!E114)</f>
        <v/>
      </c>
      <c r="F502" s="40" t="str">
        <f>IF(Agent03_Loans!B114="","",Agent03_Loans!F114)</f>
        <v/>
      </c>
      <c r="G502" s="40" t="str">
        <f>IF(Agent03_Loans!B114="","",Agent03_Loans!G114)</f>
        <v/>
      </c>
      <c r="H502" s="40" t="str">
        <f>IF(Agent03_Loans!B114="","",Agent03_Loans!H114)</f>
        <v/>
      </c>
      <c r="I502" s="43" t="str">
        <f>IF(Agent03_Loans!B114="","",Agent03_Loans!I114)</f>
        <v/>
      </c>
      <c r="J502" s="43" t="str">
        <f>IF(Agent03_Loans!B114="","",Agent03_Loans!J114)</f>
        <v/>
      </c>
      <c r="K502" s="40" t="str">
        <f>IF(Agent03_Loans!B114="","",Agent03_Loans!K114)</f>
        <v/>
      </c>
      <c r="L502" s="40" t="str">
        <f>IF(Agent03_Loans!B114="","",Agent03_Loans!L114)</f>
        <v/>
      </c>
      <c r="M502" s="40" t="str">
        <f>IFERROR(IF(Agent03_Loans!B114="","",YEAR(Agent03_Loans!D114)),"")</f>
        <v/>
      </c>
    </row>
    <row r="503" spans="1:13" ht="18" customHeight="1" x14ac:dyDescent="0.25">
      <c r="A503" s="40" t="str">
        <f>IF(Agent03_Loans!B115="","",Agent03_Loans!A115)</f>
        <v/>
      </c>
      <c r="B503" s="40" t="str">
        <f>IF(Agent03_Loans!B115="","",Agent03_Loans!B115)</f>
        <v/>
      </c>
      <c r="C503" s="40" t="str">
        <f>IF(Agent03_Loans!B115="","",Agent03_Loans!C115)</f>
        <v/>
      </c>
      <c r="D503" s="41" t="str">
        <f>IF(Agent03_Loans!B115="","",Agent03_Loans!D115)</f>
        <v/>
      </c>
      <c r="E503" s="43" t="str">
        <f>IF(Agent03_Loans!B115="","",Agent03_Loans!E115)</f>
        <v/>
      </c>
      <c r="F503" s="40" t="str">
        <f>IF(Agent03_Loans!B115="","",Agent03_Loans!F115)</f>
        <v/>
      </c>
      <c r="G503" s="40" t="str">
        <f>IF(Agent03_Loans!B115="","",Agent03_Loans!G115)</f>
        <v/>
      </c>
      <c r="H503" s="40" t="str">
        <f>IF(Agent03_Loans!B115="","",Agent03_Loans!H115)</f>
        <v/>
      </c>
      <c r="I503" s="43" t="str">
        <f>IF(Agent03_Loans!B115="","",Agent03_Loans!I115)</f>
        <v/>
      </c>
      <c r="J503" s="43" t="str">
        <f>IF(Agent03_Loans!B115="","",Agent03_Loans!J115)</f>
        <v/>
      </c>
      <c r="K503" s="40" t="str">
        <f>IF(Agent03_Loans!B115="","",Agent03_Loans!K115)</f>
        <v/>
      </c>
      <c r="L503" s="40" t="str">
        <f>IF(Agent03_Loans!B115="","",Agent03_Loans!L115)</f>
        <v/>
      </c>
      <c r="M503" s="40" t="str">
        <f>IFERROR(IF(Agent03_Loans!B115="","",YEAR(Agent03_Loans!D115)),"")</f>
        <v/>
      </c>
    </row>
    <row r="504" spans="1:13" ht="18" customHeight="1" x14ac:dyDescent="0.25">
      <c r="A504" s="40" t="str">
        <f>IF(Agent03_Loans!B116="","",Agent03_Loans!A116)</f>
        <v/>
      </c>
      <c r="B504" s="40" t="str">
        <f>IF(Agent03_Loans!B116="","",Agent03_Loans!B116)</f>
        <v/>
      </c>
      <c r="C504" s="40" t="str">
        <f>IF(Agent03_Loans!B116="","",Agent03_Loans!C116)</f>
        <v/>
      </c>
      <c r="D504" s="41" t="str">
        <f>IF(Agent03_Loans!B116="","",Agent03_Loans!D116)</f>
        <v/>
      </c>
      <c r="E504" s="43" t="str">
        <f>IF(Agent03_Loans!B116="","",Agent03_Loans!E116)</f>
        <v/>
      </c>
      <c r="F504" s="40" t="str">
        <f>IF(Agent03_Loans!B116="","",Agent03_Loans!F116)</f>
        <v/>
      </c>
      <c r="G504" s="40" t="str">
        <f>IF(Agent03_Loans!B116="","",Agent03_Loans!G116)</f>
        <v/>
      </c>
      <c r="H504" s="40" t="str">
        <f>IF(Agent03_Loans!B116="","",Agent03_Loans!H116)</f>
        <v/>
      </c>
      <c r="I504" s="43" t="str">
        <f>IF(Agent03_Loans!B116="","",Agent03_Loans!I116)</f>
        <v/>
      </c>
      <c r="J504" s="43" t="str">
        <f>IF(Agent03_Loans!B116="","",Agent03_Loans!J116)</f>
        <v/>
      </c>
      <c r="K504" s="40" t="str">
        <f>IF(Agent03_Loans!B116="","",Agent03_Loans!K116)</f>
        <v/>
      </c>
      <c r="L504" s="40" t="str">
        <f>IF(Agent03_Loans!B116="","",Agent03_Loans!L116)</f>
        <v/>
      </c>
      <c r="M504" s="40" t="str">
        <f>IFERROR(IF(Agent03_Loans!B116="","",YEAR(Agent03_Loans!D116)),"")</f>
        <v/>
      </c>
    </row>
    <row r="505" spans="1:13" ht="18" customHeight="1" x14ac:dyDescent="0.25">
      <c r="A505" s="40" t="str">
        <f>IF(Agent03_Loans!B117="","",Agent03_Loans!A117)</f>
        <v/>
      </c>
      <c r="B505" s="40" t="str">
        <f>IF(Agent03_Loans!B117="","",Agent03_Loans!B117)</f>
        <v/>
      </c>
      <c r="C505" s="40" t="str">
        <f>IF(Agent03_Loans!B117="","",Agent03_Loans!C117)</f>
        <v/>
      </c>
      <c r="D505" s="41" t="str">
        <f>IF(Agent03_Loans!B117="","",Agent03_Loans!D117)</f>
        <v/>
      </c>
      <c r="E505" s="43" t="str">
        <f>IF(Agent03_Loans!B117="","",Agent03_Loans!E117)</f>
        <v/>
      </c>
      <c r="F505" s="40" t="str">
        <f>IF(Agent03_Loans!B117="","",Agent03_Loans!F117)</f>
        <v/>
      </c>
      <c r="G505" s="40" t="str">
        <f>IF(Agent03_Loans!B117="","",Agent03_Loans!G117)</f>
        <v/>
      </c>
      <c r="H505" s="40" t="str">
        <f>IF(Agent03_Loans!B117="","",Agent03_Loans!H117)</f>
        <v/>
      </c>
      <c r="I505" s="43" t="str">
        <f>IF(Agent03_Loans!B117="","",Agent03_Loans!I117)</f>
        <v/>
      </c>
      <c r="J505" s="43" t="str">
        <f>IF(Agent03_Loans!B117="","",Agent03_Loans!J117)</f>
        <v/>
      </c>
      <c r="K505" s="40" t="str">
        <f>IF(Agent03_Loans!B117="","",Agent03_Loans!K117)</f>
        <v/>
      </c>
      <c r="L505" s="40" t="str">
        <f>IF(Agent03_Loans!B117="","",Agent03_Loans!L117)</f>
        <v/>
      </c>
      <c r="M505" s="40" t="str">
        <f>IFERROR(IF(Agent03_Loans!B117="","",YEAR(Agent03_Loans!D117)),"")</f>
        <v/>
      </c>
    </row>
    <row r="506" spans="1:13" ht="18" customHeight="1" x14ac:dyDescent="0.25">
      <c r="A506" s="40" t="str">
        <f>IF(Agent03_Loans!B118="","",Agent03_Loans!A118)</f>
        <v/>
      </c>
      <c r="B506" s="40" t="str">
        <f>IF(Agent03_Loans!B118="","",Agent03_Loans!B118)</f>
        <v/>
      </c>
      <c r="C506" s="40" t="str">
        <f>IF(Agent03_Loans!B118="","",Agent03_Loans!C118)</f>
        <v/>
      </c>
      <c r="D506" s="41" t="str">
        <f>IF(Agent03_Loans!B118="","",Agent03_Loans!D118)</f>
        <v/>
      </c>
      <c r="E506" s="43" t="str">
        <f>IF(Agent03_Loans!B118="","",Agent03_Loans!E118)</f>
        <v/>
      </c>
      <c r="F506" s="40" t="str">
        <f>IF(Agent03_Loans!B118="","",Agent03_Loans!F118)</f>
        <v/>
      </c>
      <c r="G506" s="40" t="str">
        <f>IF(Agent03_Loans!B118="","",Agent03_Loans!G118)</f>
        <v/>
      </c>
      <c r="H506" s="40" t="str">
        <f>IF(Agent03_Loans!B118="","",Agent03_Loans!H118)</f>
        <v/>
      </c>
      <c r="I506" s="43" t="str">
        <f>IF(Agent03_Loans!B118="","",Agent03_Loans!I118)</f>
        <v/>
      </c>
      <c r="J506" s="43" t="str">
        <f>IF(Agent03_Loans!B118="","",Agent03_Loans!J118)</f>
        <v/>
      </c>
      <c r="K506" s="40" t="str">
        <f>IF(Agent03_Loans!B118="","",Agent03_Loans!K118)</f>
        <v/>
      </c>
      <c r="L506" s="40" t="str">
        <f>IF(Agent03_Loans!B118="","",Agent03_Loans!L118)</f>
        <v/>
      </c>
      <c r="M506" s="40" t="str">
        <f>IFERROR(IF(Agent03_Loans!B118="","",YEAR(Agent03_Loans!D118)),"")</f>
        <v/>
      </c>
    </row>
    <row r="507" spans="1:13" ht="18" customHeight="1" x14ac:dyDescent="0.25">
      <c r="A507" s="40" t="str">
        <f>IF(Agent03_Loans!B119="","",Agent03_Loans!A119)</f>
        <v/>
      </c>
      <c r="B507" s="40" t="str">
        <f>IF(Agent03_Loans!B119="","",Agent03_Loans!B119)</f>
        <v/>
      </c>
      <c r="C507" s="40" t="str">
        <f>IF(Agent03_Loans!B119="","",Agent03_Loans!C119)</f>
        <v/>
      </c>
      <c r="D507" s="41" t="str">
        <f>IF(Agent03_Loans!B119="","",Agent03_Loans!D119)</f>
        <v/>
      </c>
      <c r="E507" s="43" t="str">
        <f>IF(Agent03_Loans!B119="","",Agent03_Loans!E119)</f>
        <v/>
      </c>
      <c r="F507" s="40" t="str">
        <f>IF(Agent03_Loans!B119="","",Agent03_Loans!F119)</f>
        <v/>
      </c>
      <c r="G507" s="40" t="str">
        <f>IF(Agent03_Loans!B119="","",Agent03_Loans!G119)</f>
        <v/>
      </c>
      <c r="H507" s="40" t="str">
        <f>IF(Agent03_Loans!B119="","",Agent03_Loans!H119)</f>
        <v/>
      </c>
      <c r="I507" s="43" t="str">
        <f>IF(Agent03_Loans!B119="","",Agent03_Loans!I119)</f>
        <v/>
      </c>
      <c r="J507" s="43" t="str">
        <f>IF(Agent03_Loans!B119="","",Agent03_Loans!J119)</f>
        <v/>
      </c>
      <c r="K507" s="40" t="str">
        <f>IF(Agent03_Loans!B119="","",Agent03_Loans!K119)</f>
        <v/>
      </c>
      <c r="L507" s="40" t="str">
        <f>IF(Agent03_Loans!B119="","",Agent03_Loans!L119)</f>
        <v/>
      </c>
      <c r="M507" s="40" t="str">
        <f>IFERROR(IF(Agent03_Loans!B119="","",YEAR(Agent03_Loans!D119)),"")</f>
        <v/>
      </c>
    </row>
    <row r="508" spans="1:13" ht="18" customHeight="1" x14ac:dyDescent="0.25">
      <c r="A508" s="40" t="str">
        <f>IF(Agent03_Loans!B120="","",Agent03_Loans!A120)</f>
        <v/>
      </c>
      <c r="B508" s="40" t="str">
        <f>IF(Agent03_Loans!B120="","",Agent03_Loans!B120)</f>
        <v/>
      </c>
      <c r="C508" s="40" t="str">
        <f>IF(Agent03_Loans!B120="","",Agent03_Loans!C120)</f>
        <v/>
      </c>
      <c r="D508" s="41" t="str">
        <f>IF(Agent03_Loans!B120="","",Agent03_Loans!D120)</f>
        <v/>
      </c>
      <c r="E508" s="43" t="str">
        <f>IF(Agent03_Loans!B120="","",Agent03_Loans!E120)</f>
        <v/>
      </c>
      <c r="F508" s="40" t="str">
        <f>IF(Agent03_Loans!B120="","",Agent03_Loans!F120)</f>
        <v/>
      </c>
      <c r="G508" s="40" t="str">
        <f>IF(Agent03_Loans!B120="","",Agent03_Loans!G120)</f>
        <v/>
      </c>
      <c r="H508" s="40" t="str">
        <f>IF(Agent03_Loans!B120="","",Agent03_Loans!H120)</f>
        <v/>
      </c>
      <c r="I508" s="43" t="str">
        <f>IF(Agent03_Loans!B120="","",Agent03_Loans!I120)</f>
        <v/>
      </c>
      <c r="J508" s="43" t="str">
        <f>IF(Agent03_Loans!B120="","",Agent03_Loans!J120)</f>
        <v/>
      </c>
      <c r="K508" s="40" t="str">
        <f>IF(Agent03_Loans!B120="","",Agent03_Loans!K120)</f>
        <v/>
      </c>
      <c r="L508" s="40" t="str">
        <f>IF(Agent03_Loans!B120="","",Agent03_Loans!L120)</f>
        <v/>
      </c>
      <c r="M508" s="40" t="str">
        <f>IFERROR(IF(Agent03_Loans!B120="","",YEAR(Agent03_Loans!D120)),"")</f>
        <v/>
      </c>
    </row>
    <row r="509" spans="1:13" ht="18" customHeight="1" x14ac:dyDescent="0.25">
      <c r="A509" s="40" t="str">
        <f>IF(Agent03_Loans!B121="","",Agent03_Loans!A121)</f>
        <v/>
      </c>
      <c r="B509" s="40" t="str">
        <f>IF(Agent03_Loans!B121="","",Agent03_Loans!B121)</f>
        <v/>
      </c>
      <c r="C509" s="40" t="str">
        <f>IF(Agent03_Loans!B121="","",Agent03_Loans!C121)</f>
        <v/>
      </c>
      <c r="D509" s="41" t="str">
        <f>IF(Agent03_Loans!B121="","",Agent03_Loans!D121)</f>
        <v/>
      </c>
      <c r="E509" s="43" t="str">
        <f>IF(Agent03_Loans!B121="","",Agent03_Loans!E121)</f>
        <v/>
      </c>
      <c r="F509" s="40" t="str">
        <f>IF(Agent03_Loans!B121="","",Agent03_Loans!F121)</f>
        <v/>
      </c>
      <c r="G509" s="40" t="str">
        <f>IF(Agent03_Loans!B121="","",Agent03_Loans!G121)</f>
        <v/>
      </c>
      <c r="H509" s="40" t="str">
        <f>IF(Agent03_Loans!B121="","",Agent03_Loans!H121)</f>
        <v/>
      </c>
      <c r="I509" s="43" t="str">
        <f>IF(Agent03_Loans!B121="","",Agent03_Loans!I121)</f>
        <v/>
      </c>
      <c r="J509" s="43" t="str">
        <f>IF(Agent03_Loans!B121="","",Agent03_Loans!J121)</f>
        <v/>
      </c>
      <c r="K509" s="40" t="str">
        <f>IF(Agent03_Loans!B121="","",Agent03_Loans!K121)</f>
        <v/>
      </c>
      <c r="L509" s="40" t="str">
        <f>IF(Agent03_Loans!B121="","",Agent03_Loans!L121)</f>
        <v/>
      </c>
      <c r="M509" s="40" t="str">
        <f>IFERROR(IF(Agent03_Loans!B121="","",YEAR(Agent03_Loans!D121)),"")</f>
        <v/>
      </c>
    </row>
    <row r="510" spans="1:13" ht="18" customHeight="1" x14ac:dyDescent="0.25">
      <c r="A510" s="40" t="str">
        <f>IF(Agent03_Loans!B122="","",Agent03_Loans!A122)</f>
        <v/>
      </c>
      <c r="B510" s="40" t="str">
        <f>IF(Agent03_Loans!B122="","",Agent03_Loans!B122)</f>
        <v/>
      </c>
      <c r="C510" s="40" t="str">
        <f>IF(Agent03_Loans!B122="","",Agent03_Loans!C122)</f>
        <v/>
      </c>
      <c r="D510" s="41" t="str">
        <f>IF(Agent03_Loans!B122="","",Agent03_Loans!D122)</f>
        <v/>
      </c>
      <c r="E510" s="43" t="str">
        <f>IF(Agent03_Loans!B122="","",Agent03_Loans!E122)</f>
        <v/>
      </c>
      <c r="F510" s="40" t="str">
        <f>IF(Agent03_Loans!B122="","",Agent03_Loans!F122)</f>
        <v/>
      </c>
      <c r="G510" s="40" t="str">
        <f>IF(Agent03_Loans!B122="","",Agent03_Loans!G122)</f>
        <v/>
      </c>
      <c r="H510" s="40" t="str">
        <f>IF(Agent03_Loans!B122="","",Agent03_Loans!H122)</f>
        <v/>
      </c>
      <c r="I510" s="43" t="str">
        <f>IF(Agent03_Loans!B122="","",Agent03_Loans!I122)</f>
        <v/>
      </c>
      <c r="J510" s="43" t="str">
        <f>IF(Agent03_Loans!B122="","",Agent03_Loans!J122)</f>
        <v/>
      </c>
      <c r="K510" s="40" t="str">
        <f>IF(Agent03_Loans!B122="","",Agent03_Loans!K122)</f>
        <v/>
      </c>
      <c r="L510" s="40" t="str">
        <f>IF(Agent03_Loans!B122="","",Agent03_Loans!L122)</f>
        <v/>
      </c>
      <c r="M510" s="40" t="str">
        <f>IFERROR(IF(Agent03_Loans!B122="","",YEAR(Agent03_Loans!D122)),"")</f>
        <v/>
      </c>
    </row>
    <row r="511" spans="1:13" ht="18" customHeight="1" x14ac:dyDescent="0.25">
      <c r="A511" s="40" t="str">
        <f>IF(Agent03_Loans!B123="","",Agent03_Loans!A123)</f>
        <v/>
      </c>
      <c r="B511" s="40" t="str">
        <f>IF(Agent03_Loans!B123="","",Agent03_Loans!B123)</f>
        <v/>
      </c>
      <c r="C511" s="40" t="str">
        <f>IF(Agent03_Loans!B123="","",Agent03_Loans!C123)</f>
        <v/>
      </c>
      <c r="D511" s="41" t="str">
        <f>IF(Agent03_Loans!B123="","",Agent03_Loans!D123)</f>
        <v/>
      </c>
      <c r="E511" s="43" t="str">
        <f>IF(Agent03_Loans!B123="","",Agent03_Loans!E123)</f>
        <v/>
      </c>
      <c r="F511" s="40" t="str">
        <f>IF(Agent03_Loans!B123="","",Agent03_Loans!F123)</f>
        <v/>
      </c>
      <c r="G511" s="40" t="str">
        <f>IF(Agent03_Loans!B123="","",Agent03_Loans!G123)</f>
        <v/>
      </c>
      <c r="H511" s="40" t="str">
        <f>IF(Agent03_Loans!B123="","",Agent03_Loans!H123)</f>
        <v/>
      </c>
      <c r="I511" s="43" t="str">
        <f>IF(Agent03_Loans!B123="","",Agent03_Loans!I123)</f>
        <v/>
      </c>
      <c r="J511" s="43" t="str">
        <f>IF(Agent03_Loans!B123="","",Agent03_Loans!J123)</f>
        <v/>
      </c>
      <c r="K511" s="40" t="str">
        <f>IF(Agent03_Loans!B123="","",Agent03_Loans!K123)</f>
        <v/>
      </c>
      <c r="L511" s="40" t="str">
        <f>IF(Agent03_Loans!B123="","",Agent03_Loans!L123)</f>
        <v/>
      </c>
      <c r="M511" s="40" t="str">
        <f>IFERROR(IF(Agent03_Loans!B123="","",YEAR(Agent03_Loans!D123)),"")</f>
        <v/>
      </c>
    </row>
    <row r="512" spans="1:13" ht="18" customHeight="1" x14ac:dyDescent="0.25">
      <c r="A512" s="40" t="str">
        <f>IF(Agent03_Loans!B124="","",Agent03_Loans!A124)</f>
        <v/>
      </c>
      <c r="B512" s="40" t="str">
        <f>IF(Agent03_Loans!B124="","",Agent03_Loans!B124)</f>
        <v/>
      </c>
      <c r="C512" s="40" t="str">
        <f>IF(Agent03_Loans!B124="","",Agent03_Loans!C124)</f>
        <v/>
      </c>
      <c r="D512" s="41" t="str">
        <f>IF(Agent03_Loans!B124="","",Agent03_Loans!D124)</f>
        <v/>
      </c>
      <c r="E512" s="43" t="str">
        <f>IF(Agent03_Loans!B124="","",Agent03_Loans!E124)</f>
        <v/>
      </c>
      <c r="F512" s="40" t="str">
        <f>IF(Agent03_Loans!B124="","",Agent03_Loans!F124)</f>
        <v/>
      </c>
      <c r="G512" s="40" t="str">
        <f>IF(Agent03_Loans!B124="","",Agent03_Loans!G124)</f>
        <v/>
      </c>
      <c r="H512" s="40" t="str">
        <f>IF(Agent03_Loans!B124="","",Agent03_Loans!H124)</f>
        <v/>
      </c>
      <c r="I512" s="43" t="str">
        <f>IF(Agent03_Loans!B124="","",Agent03_Loans!I124)</f>
        <v/>
      </c>
      <c r="J512" s="43" t="str">
        <f>IF(Agent03_Loans!B124="","",Agent03_Loans!J124)</f>
        <v/>
      </c>
      <c r="K512" s="40" t="str">
        <f>IF(Agent03_Loans!B124="","",Agent03_Loans!K124)</f>
        <v/>
      </c>
      <c r="L512" s="40" t="str">
        <f>IF(Agent03_Loans!B124="","",Agent03_Loans!L124)</f>
        <v/>
      </c>
      <c r="M512" s="40" t="str">
        <f>IFERROR(IF(Agent03_Loans!B124="","",YEAR(Agent03_Loans!D124)),"")</f>
        <v/>
      </c>
    </row>
    <row r="513" spans="1:13" ht="18" customHeight="1" x14ac:dyDescent="0.25">
      <c r="A513" s="40" t="str">
        <f>IF(Agent03_Loans!B125="","",Agent03_Loans!A125)</f>
        <v/>
      </c>
      <c r="B513" s="40" t="str">
        <f>IF(Agent03_Loans!B125="","",Agent03_Loans!B125)</f>
        <v/>
      </c>
      <c r="C513" s="40" t="str">
        <f>IF(Agent03_Loans!B125="","",Agent03_Loans!C125)</f>
        <v/>
      </c>
      <c r="D513" s="41" t="str">
        <f>IF(Agent03_Loans!B125="","",Agent03_Loans!D125)</f>
        <v/>
      </c>
      <c r="E513" s="43" t="str">
        <f>IF(Agent03_Loans!B125="","",Agent03_Loans!E125)</f>
        <v/>
      </c>
      <c r="F513" s="40" t="str">
        <f>IF(Agent03_Loans!B125="","",Agent03_Loans!F125)</f>
        <v/>
      </c>
      <c r="G513" s="40" t="str">
        <f>IF(Agent03_Loans!B125="","",Agent03_Loans!G125)</f>
        <v/>
      </c>
      <c r="H513" s="40" t="str">
        <f>IF(Agent03_Loans!B125="","",Agent03_Loans!H125)</f>
        <v/>
      </c>
      <c r="I513" s="43" t="str">
        <f>IF(Agent03_Loans!B125="","",Agent03_Loans!I125)</f>
        <v/>
      </c>
      <c r="J513" s="43" t="str">
        <f>IF(Agent03_Loans!B125="","",Agent03_Loans!J125)</f>
        <v/>
      </c>
      <c r="K513" s="40" t="str">
        <f>IF(Agent03_Loans!B125="","",Agent03_Loans!K125)</f>
        <v/>
      </c>
      <c r="L513" s="40" t="str">
        <f>IF(Agent03_Loans!B125="","",Agent03_Loans!L125)</f>
        <v/>
      </c>
      <c r="M513" s="40" t="str">
        <f>IFERROR(IF(Agent03_Loans!B125="","",YEAR(Agent03_Loans!D125)),"")</f>
        <v/>
      </c>
    </row>
    <row r="514" spans="1:13" ht="18" customHeight="1" x14ac:dyDescent="0.25">
      <c r="A514" s="40" t="str">
        <f>IF(Agent03_Loans!B126="","",Agent03_Loans!A126)</f>
        <v/>
      </c>
      <c r="B514" s="40" t="str">
        <f>IF(Agent03_Loans!B126="","",Agent03_Loans!B126)</f>
        <v/>
      </c>
      <c r="C514" s="40" t="str">
        <f>IF(Agent03_Loans!B126="","",Agent03_Loans!C126)</f>
        <v/>
      </c>
      <c r="D514" s="41" t="str">
        <f>IF(Agent03_Loans!B126="","",Agent03_Loans!D126)</f>
        <v/>
      </c>
      <c r="E514" s="43" t="str">
        <f>IF(Agent03_Loans!B126="","",Agent03_Loans!E126)</f>
        <v/>
      </c>
      <c r="F514" s="40" t="str">
        <f>IF(Agent03_Loans!B126="","",Agent03_Loans!F126)</f>
        <v/>
      </c>
      <c r="G514" s="40" t="str">
        <f>IF(Agent03_Loans!B126="","",Agent03_Loans!G126)</f>
        <v/>
      </c>
      <c r="H514" s="40" t="str">
        <f>IF(Agent03_Loans!B126="","",Agent03_Loans!H126)</f>
        <v/>
      </c>
      <c r="I514" s="43" t="str">
        <f>IF(Agent03_Loans!B126="","",Agent03_Loans!I126)</f>
        <v/>
      </c>
      <c r="J514" s="43" t="str">
        <f>IF(Agent03_Loans!B126="","",Agent03_Loans!J126)</f>
        <v/>
      </c>
      <c r="K514" s="40" t="str">
        <f>IF(Agent03_Loans!B126="","",Agent03_Loans!K126)</f>
        <v/>
      </c>
      <c r="L514" s="40" t="str">
        <f>IF(Agent03_Loans!B126="","",Agent03_Loans!L126)</f>
        <v/>
      </c>
      <c r="M514" s="40" t="str">
        <f>IFERROR(IF(Agent03_Loans!B126="","",YEAR(Agent03_Loans!D126)),"")</f>
        <v/>
      </c>
    </row>
    <row r="515" spans="1:13" ht="18" customHeight="1" x14ac:dyDescent="0.25">
      <c r="A515" s="40" t="str">
        <f>IF(Agent03_Loans!B127="","",Agent03_Loans!A127)</f>
        <v/>
      </c>
      <c r="B515" s="40" t="str">
        <f>IF(Agent03_Loans!B127="","",Agent03_Loans!B127)</f>
        <v/>
      </c>
      <c r="C515" s="40" t="str">
        <f>IF(Agent03_Loans!B127="","",Agent03_Loans!C127)</f>
        <v/>
      </c>
      <c r="D515" s="41" t="str">
        <f>IF(Agent03_Loans!B127="","",Agent03_Loans!D127)</f>
        <v/>
      </c>
      <c r="E515" s="43" t="str">
        <f>IF(Agent03_Loans!B127="","",Agent03_Loans!E127)</f>
        <v/>
      </c>
      <c r="F515" s="40" t="str">
        <f>IF(Agent03_Loans!B127="","",Agent03_Loans!F127)</f>
        <v/>
      </c>
      <c r="G515" s="40" t="str">
        <f>IF(Agent03_Loans!B127="","",Agent03_Loans!G127)</f>
        <v/>
      </c>
      <c r="H515" s="40" t="str">
        <f>IF(Agent03_Loans!B127="","",Agent03_Loans!H127)</f>
        <v/>
      </c>
      <c r="I515" s="43" t="str">
        <f>IF(Agent03_Loans!B127="","",Agent03_Loans!I127)</f>
        <v/>
      </c>
      <c r="J515" s="43" t="str">
        <f>IF(Agent03_Loans!B127="","",Agent03_Loans!J127)</f>
        <v/>
      </c>
      <c r="K515" s="40" t="str">
        <f>IF(Agent03_Loans!B127="","",Agent03_Loans!K127)</f>
        <v/>
      </c>
      <c r="L515" s="40" t="str">
        <f>IF(Agent03_Loans!B127="","",Agent03_Loans!L127)</f>
        <v/>
      </c>
      <c r="M515" s="40" t="str">
        <f>IFERROR(IF(Agent03_Loans!B127="","",YEAR(Agent03_Loans!D127)),"")</f>
        <v/>
      </c>
    </row>
    <row r="516" spans="1:13" ht="18" customHeight="1" x14ac:dyDescent="0.25">
      <c r="A516" s="40" t="str">
        <f>IF(Agent03_Loans!B128="","",Agent03_Loans!A128)</f>
        <v/>
      </c>
      <c r="B516" s="40" t="str">
        <f>IF(Agent03_Loans!B128="","",Agent03_Loans!B128)</f>
        <v/>
      </c>
      <c r="C516" s="40" t="str">
        <f>IF(Agent03_Loans!B128="","",Agent03_Loans!C128)</f>
        <v/>
      </c>
      <c r="D516" s="41" t="str">
        <f>IF(Agent03_Loans!B128="","",Agent03_Loans!D128)</f>
        <v/>
      </c>
      <c r="E516" s="43" t="str">
        <f>IF(Agent03_Loans!B128="","",Agent03_Loans!E128)</f>
        <v/>
      </c>
      <c r="F516" s="40" t="str">
        <f>IF(Agent03_Loans!B128="","",Agent03_Loans!F128)</f>
        <v/>
      </c>
      <c r="G516" s="40" t="str">
        <f>IF(Agent03_Loans!B128="","",Agent03_Loans!G128)</f>
        <v/>
      </c>
      <c r="H516" s="40" t="str">
        <f>IF(Agent03_Loans!B128="","",Agent03_Loans!H128)</f>
        <v/>
      </c>
      <c r="I516" s="43" t="str">
        <f>IF(Agent03_Loans!B128="","",Agent03_Loans!I128)</f>
        <v/>
      </c>
      <c r="J516" s="43" t="str">
        <f>IF(Agent03_Loans!B128="","",Agent03_Loans!J128)</f>
        <v/>
      </c>
      <c r="K516" s="40" t="str">
        <f>IF(Agent03_Loans!B128="","",Agent03_Loans!K128)</f>
        <v/>
      </c>
      <c r="L516" s="40" t="str">
        <f>IF(Agent03_Loans!B128="","",Agent03_Loans!L128)</f>
        <v/>
      </c>
      <c r="M516" s="40" t="str">
        <f>IFERROR(IF(Agent03_Loans!B128="","",YEAR(Agent03_Loans!D128)),"")</f>
        <v/>
      </c>
    </row>
    <row r="517" spans="1:13" ht="18" customHeight="1" x14ac:dyDescent="0.25">
      <c r="A517" s="40" t="str">
        <f>IF(Agent03_Loans!B129="","",Agent03_Loans!A129)</f>
        <v/>
      </c>
      <c r="B517" s="40" t="str">
        <f>IF(Agent03_Loans!B129="","",Agent03_Loans!B129)</f>
        <v/>
      </c>
      <c r="C517" s="40" t="str">
        <f>IF(Agent03_Loans!B129="","",Agent03_Loans!C129)</f>
        <v/>
      </c>
      <c r="D517" s="41" t="str">
        <f>IF(Agent03_Loans!B129="","",Agent03_Loans!D129)</f>
        <v/>
      </c>
      <c r="E517" s="43" t="str">
        <f>IF(Agent03_Loans!B129="","",Agent03_Loans!E129)</f>
        <v/>
      </c>
      <c r="F517" s="40" t="str">
        <f>IF(Agent03_Loans!B129="","",Agent03_Loans!F129)</f>
        <v/>
      </c>
      <c r="G517" s="40" t="str">
        <f>IF(Agent03_Loans!B129="","",Agent03_Loans!G129)</f>
        <v/>
      </c>
      <c r="H517" s="40" t="str">
        <f>IF(Agent03_Loans!B129="","",Agent03_Loans!H129)</f>
        <v/>
      </c>
      <c r="I517" s="43" t="str">
        <f>IF(Agent03_Loans!B129="","",Agent03_Loans!I129)</f>
        <v/>
      </c>
      <c r="J517" s="43" t="str">
        <f>IF(Agent03_Loans!B129="","",Agent03_Loans!J129)</f>
        <v/>
      </c>
      <c r="K517" s="40" t="str">
        <f>IF(Agent03_Loans!B129="","",Agent03_Loans!K129)</f>
        <v/>
      </c>
      <c r="L517" s="40" t="str">
        <f>IF(Agent03_Loans!B129="","",Agent03_Loans!L129)</f>
        <v/>
      </c>
      <c r="M517" s="40" t="str">
        <f>IFERROR(IF(Agent03_Loans!B129="","",YEAR(Agent03_Loans!D129)),"")</f>
        <v/>
      </c>
    </row>
    <row r="518" spans="1:13" ht="18" customHeight="1" x14ac:dyDescent="0.25">
      <c r="A518" s="40" t="str">
        <f>IF(Agent03_Loans!B130="","",Agent03_Loans!A130)</f>
        <v/>
      </c>
      <c r="B518" s="40" t="str">
        <f>IF(Agent03_Loans!B130="","",Agent03_Loans!B130)</f>
        <v/>
      </c>
      <c r="C518" s="40" t="str">
        <f>IF(Agent03_Loans!B130="","",Agent03_Loans!C130)</f>
        <v/>
      </c>
      <c r="D518" s="41" t="str">
        <f>IF(Agent03_Loans!B130="","",Agent03_Loans!D130)</f>
        <v/>
      </c>
      <c r="E518" s="43" t="str">
        <f>IF(Agent03_Loans!B130="","",Agent03_Loans!E130)</f>
        <v/>
      </c>
      <c r="F518" s="40" t="str">
        <f>IF(Agent03_Loans!B130="","",Agent03_Loans!F130)</f>
        <v/>
      </c>
      <c r="G518" s="40" t="str">
        <f>IF(Agent03_Loans!B130="","",Agent03_Loans!G130)</f>
        <v/>
      </c>
      <c r="H518" s="40" t="str">
        <f>IF(Agent03_Loans!B130="","",Agent03_Loans!H130)</f>
        <v/>
      </c>
      <c r="I518" s="43" t="str">
        <f>IF(Agent03_Loans!B130="","",Agent03_Loans!I130)</f>
        <v/>
      </c>
      <c r="J518" s="43" t="str">
        <f>IF(Agent03_Loans!B130="","",Agent03_Loans!J130)</f>
        <v/>
      </c>
      <c r="K518" s="40" t="str">
        <f>IF(Agent03_Loans!B130="","",Agent03_Loans!K130)</f>
        <v/>
      </c>
      <c r="L518" s="40" t="str">
        <f>IF(Agent03_Loans!B130="","",Agent03_Loans!L130)</f>
        <v/>
      </c>
      <c r="M518" s="40" t="str">
        <f>IFERROR(IF(Agent03_Loans!B130="","",YEAR(Agent03_Loans!D130)),"")</f>
        <v/>
      </c>
    </row>
    <row r="519" spans="1:13" ht="18" customHeight="1" x14ac:dyDescent="0.25">
      <c r="A519" s="40" t="str">
        <f>IF(Agent03_Loans!B131="","",Agent03_Loans!A131)</f>
        <v/>
      </c>
      <c r="B519" s="40" t="str">
        <f>IF(Agent03_Loans!B131="","",Agent03_Loans!B131)</f>
        <v/>
      </c>
      <c r="C519" s="40" t="str">
        <f>IF(Agent03_Loans!B131="","",Agent03_Loans!C131)</f>
        <v/>
      </c>
      <c r="D519" s="41" t="str">
        <f>IF(Agent03_Loans!B131="","",Agent03_Loans!D131)</f>
        <v/>
      </c>
      <c r="E519" s="43" t="str">
        <f>IF(Agent03_Loans!B131="","",Agent03_Loans!E131)</f>
        <v/>
      </c>
      <c r="F519" s="40" t="str">
        <f>IF(Agent03_Loans!B131="","",Agent03_Loans!F131)</f>
        <v/>
      </c>
      <c r="G519" s="40" t="str">
        <f>IF(Agent03_Loans!B131="","",Agent03_Loans!G131)</f>
        <v/>
      </c>
      <c r="H519" s="40" t="str">
        <f>IF(Agent03_Loans!B131="","",Agent03_Loans!H131)</f>
        <v/>
      </c>
      <c r="I519" s="43" t="str">
        <f>IF(Agent03_Loans!B131="","",Agent03_Loans!I131)</f>
        <v/>
      </c>
      <c r="J519" s="43" t="str">
        <f>IF(Agent03_Loans!B131="","",Agent03_Loans!J131)</f>
        <v/>
      </c>
      <c r="K519" s="40" t="str">
        <f>IF(Agent03_Loans!B131="","",Agent03_Loans!K131)</f>
        <v/>
      </c>
      <c r="L519" s="40" t="str">
        <f>IF(Agent03_Loans!B131="","",Agent03_Loans!L131)</f>
        <v/>
      </c>
      <c r="M519" s="40" t="str">
        <f>IFERROR(IF(Agent03_Loans!B131="","",YEAR(Agent03_Loans!D131)),"")</f>
        <v/>
      </c>
    </row>
    <row r="520" spans="1:13" ht="18" customHeight="1" x14ac:dyDescent="0.25">
      <c r="A520" s="40" t="str">
        <f>IF(Agent03_Loans!B132="","",Agent03_Loans!A132)</f>
        <v/>
      </c>
      <c r="B520" s="40" t="str">
        <f>IF(Agent03_Loans!B132="","",Agent03_Loans!B132)</f>
        <v/>
      </c>
      <c r="C520" s="40" t="str">
        <f>IF(Agent03_Loans!B132="","",Agent03_Loans!C132)</f>
        <v/>
      </c>
      <c r="D520" s="41" t="str">
        <f>IF(Agent03_Loans!B132="","",Agent03_Loans!D132)</f>
        <v/>
      </c>
      <c r="E520" s="43" t="str">
        <f>IF(Agent03_Loans!B132="","",Agent03_Loans!E132)</f>
        <v/>
      </c>
      <c r="F520" s="40" t="str">
        <f>IF(Agent03_Loans!B132="","",Agent03_Loans!F132)</f>
        <v/>
      </c>
      <c r="G520" s="40" t="str">
        <f>IF(Agent03_Loans!B132="","",Agent03_Loans!G132)</f>
        <v/>
      </c>
      <c r="H520" s="40" t="str">
        <f>IF(Agent03_Loans!B132="","",Agent03_Loans!H132)</f>
        <v/>
      </c>
      <c r="I520" s="43" t="str">
        <f>IF(Agent03_Loans!B132="","",Agent03_Loans!I132)</f>
        <v/>
      </c>
      <c r="J520" s="43" t="str">
        <f>IF(Agent03_Loans!B132="","",Agent03_Loans!J132)</f>
        <v/>
      </c>
      <c r="K520" s="40" t="str">
        <f>IF(Agent03_Loans!B132="","",Agent03_Loans!K132)</f>
        <v/>
      </c>
      <c r="L520" s="40" t="str">
        <f>IF(Agent03_Loans!B132="","",Agent03_Loans!L132)</f>
        <v/>
      </c>
      <c r="M520" s="40" t="str">
        <f>IFERROR(IF(Agent03_Loans!B132="","",YEAR(Agent03_Loans!D132)),"")</f>
        <v/>
      </c>
    </row>
    <row r="521" spans="1:13" ht="18" customHeight="1" x14ac:dyDescent="0.25">
      <c r="A521" s="40" t="str">
        <f>IF(Agent03_Loans!B133="","",Agent03_Loans!A133)</f>
        <v/>
      </c>
      <c r="B521" s="40" t="str">
        <f>IF(Agent03_Loans!B133="","",Agent03_Loans!B133)</f>
        <v/>
      </c>
      <c r="C521" s="40" t="str">
        <f>IF(Agent03_Loans!B133="","",Agent03_Loans!C133)</f>
        <v/>
      </c>
      <c r="D521" s="41" t="str">
        <f>IF(Agent03_Loans!B133="","",Agent03_Loans!D133)</f>
        <v/>
      </c>
      <c r="E521" s="43" t="str">
        <f>IF(Agent03_Loans!B133="","",Agent03_Loans!E133)</f>
        <v/>
      </c>
      <c r="F521" s="40" t="str">
        <f>IF(Agent03_Loans!B133="","",Agent03_Loans!F133)</f>
        <v/>
      </c>
      <c r="G521" s="40" t="str">
        <f>IF(Agent03_Loans!B133="","",Agent03_Loans!G133)</f>
        <v/>
      </c>
      <c r="H521" s="40" t="str">
        <f>IF(Agent03_Loans!B133="","",Agent03_Loans!H133)</f>
        <v/>
      </c>
      <c r="I521" s="43" t="str">
        <f>IF(Agent03_Loans!B133="","",Agent03_Loans!I133)</f>
        <v/>
      </c>
      <c r="J521" s="43" t="str">
        <f>IF(Agent03_Loans!B133="","",Agent03_Loans!J133)</f>
        <v/>
      </c>
      <c r="K521" s="40" t="str">
        <f>IF(Agent03_Loans!B133="","",Agent03_Loans!K133)</f>
        <v/>
      </c>
      <c r="L521" s="40" t="str">
        <f>IF(Agent03_Loans!B133="","",Agent03_Loans!L133)</f>
        <v/>
      </c>
      <c r="M521" s="40" t="str">
        <f>IFERROR(IF(Agent03_Loans!B133="","",YEAR(Agent03_Loans!D133)),"")</f>
        <v/>
      </c>
    </row>
    <row r="522" spans="1:13" ht="18" customHeight="1" x14ac:dyDescent="0.25">
      <c r="A522" s="40" t="str">
        <f>IF(Agent03_Loans!B134="","",Agent03_Loans!A134)</f>
        <v/>
      </c>
      <c r="B522" s="40" t="str">
        <f>IF(Agent03_Loans!B134="","",Agent03_Loans!B134)</f>
        <v/>
      </c>
      <c r="C522" s="40" t="str">
        <f>IF(Agent03_Loans!B134="","",Agent03_Loans!C134)</f>
        <v/>
      </c>
      <c r="D522" s="41" t="str">
        <f>IF(Agent03_Loans!B134="","",Agent03_Loans!D134)</f>
        <v/>
      </c>
      <c r="E522" s="43" t="str">
        <f>IF(Agent03_Loans!B134="","",Agent03_Loans!E134)</f>
        <v/>
      </c>
      <c r="F522" s="40" t="str">
        <f>IF(Agent03_Loans!B134="","",Agent03_Loans!F134)</f>
        <v/>
      </c>
      <c r="G522" s="40" t="str">
        <f>IF(Agent03_Loans!B134="","",Agent03_Loans!G134)</f>
        <v/>
      </c>
      <c r="H522" s="40" t="str">
        <f>IF(Agent03_Loans!B134="","",Agent03_Loans!H134)</f>
        <v/>
      </c>
      <c r="I522" s="43" t="str">
        <f>IF(Agent03_Loans!B134="","",Agent03_Loans!I134)</f>
        <v/>
      </c>
      <c r="J522" s="43" t="str">
        <f>IF(Agent03_Loans!B134="","",Agent03_Loans!J134)</f>
        <v/>
      </c>
      <c r="K522" s="40" t="str">
        <f>IF(Agent03_Loans!B134="","",Agent03_Loans!K134)</f>
        <v/>
      </c>
      <c r="L522" s="40" t="str">
        <f>IF(Agent03_Loans!B134="","",Agent03_Loans!L134)</f>
        <v/>
      </c>
      <c r="M522" s="40" t="str">
        <f>IFERROR(IF(Agent03_Loans!B134="","",YEAR(Agent03_Loans!D134)),"")</f>
        <v/>
      </c>
    </row>
    <row r="523" spans="1:13" ht="18" customHeight="1" x14ac:dyDescent="0.25">
      <c r="A523" s="40" t="str">
        <f>IF(Agent03_Loans!B135="","",Agent03_Loans!A135)</f>
        <v/>
      </c>
      <c r="B523" s="40" t="str">
        <f>IF(Agent03_Loans!B135="","",Agent03_Loans!B135)</f>
        <v/>
      </c>
      <c r="C523" s="40" t="str">
        <f>IF(Agent03_Loans!B135="","",Agent03_Loans!C135)</f>
        <v/>
      </c>
      <c r="D523" s="41" t="str">
        <f>IF(Agent03_Loans!B135="","",Agent03_Loans!D135)</f>
        <v/>
      </c>
      <c r="E523" s="43" t="str">
        <f>IF(Agent03_Loans!B135="","",Agent03_Loans!E135)</f>
        <v/>
      </c>
      <c r="F523" s="40" t="str">
        <f>IF(Agent03_Loans!B135="","",Agent03_Loans!F135)</f>
        <v/>
      </c>
      <c r="G523" s="40" t="str">
        <f>IF(Agent03_Loans!B135="","",Agent03_Loans!G135)</f>
        <v/>
      </c>
      <c r="H523" s="40" t="str">
        <f>IF(Agent03_Loans!B135="","",Agent03_Loans!H135)</f>
        <v/>
      </c>
      <c r="I523" s="43" t="str">
        <f>IF(Agent03_Loans!B135="","",Agent03_Loans!I135)</f>
        <v/>
      </c>
      <c r="J523" s="43" t="str">
        <f>IF(Agent03_Loans!B135="","",Agent03_Loans!J135)</f>
        <v/>
      </c>
      <c r="K523" s="40" t="str">
        <f>IF(Agent03_Loans!B135="","",Agent03_Loans!K135)</f>
        <v/>
      </c>
      <c r="L523" s="40" t="str">
        <f>IF(Agent03_Loans!B135="","",Agent03_Loans!L135)</f>
        <v/>
      </c>
      <c r="M523" s="40" t="str">
        <f>IFERROR(IF(Agent03_Loans!B135="","",YEAR(Agent03_Loans!D135)),"")</f>
        <v/>
      </c>
    </row>
    <row r="524" spans="1:13" ht="18" customHeight="1" x14ac:dyDescent="0.25">
      <c r="A524" s="40" t="str">
        <f>IF(Agent03_Loans!B136="","",Agent03_Loans!A136)</f>
        <v/>
      </c>
      <c r="B524" s="40" t="str">
        <f>IF(Agent03_Loans!B136="","",Agent03_Loans!B136)</f>
        <v/>
      </c>
      <c r="C524" s="40" t="str">
        <f>IF(Agent03_Loans!B136="","",Agent03_Loans!C136)</f>
        <v/>
      </c>
      <c r="D524" s="41" t="str">
        <f>IF(Agent03_Loans!B136="","",Agent03_Loans!D136)</f>
        <v/>
      </c>
      <c r="E524" s="43" t="str">
        <f>IF(Agent03_Loans!B136="","",Agent03_Loans!E136)</f>
        <v/>
      </c>
      <c r="F524" s="40" t="str">
        <f>IF(Agent03_Loans!B136="","",Agent03_Loans!F136)</f>
        <v/>
      </c>
      <c r="G524" s="40" t="str">
        <f>IF(Agent03_Loans!B136="","",Agent03_Loans!G136)</f>
        <v/>
      </c>
      <c r="H524" s="40" t="str">
        <f>IF(Agent03_Loans!B136="","",Agent03_Loans!H136)</f>
        <v/>
      </c>
      <c r="I524" s="43" t="str">
        <f>IF(Agent03_Loans!B136="","",Agent03_Loans!I136)</f>
        <v/>
      </c>
      <c r="J524" s="43" t="str">
        <f>IF(Agent03_Loans!B136="","",Agent03_Loans!J136)</f>
        <v/>
      </c>
      <c r="K524" s="40" t="str">
        <f>IF(Agent03_Loans!B136="","",Agent03_Loans!K136)</f>
        <v/>
      </c>
      <c r="L524" s="40" t="str">
        <f>IF(Agent03_Loans!B136="","",Agent03_Loans!L136)</f>
        <v/>
      </c>
      <c r="M524" s="40" t="str">
        <f>IFERROR(IF(Agent03_Loans!B136="","",YEAR(Agent03_Loans!D136)),"")</f>
        <v/>
      </c>
    </row>
    <row r="525" spans="1:13" ht="18" customHeight="1" x14ac:dyDescent="0.25">
      <c r="A525" s="40" t="str">
        <f>IF(Agent03_Loans!B137="","",Agent03_Loans!A137)</f>
        <v/>
      </c>
      <c r="B525" s="40" t="str">
        <f>IF(Agent03_Loans!B137="","",Agent03_Loans!B137)</f>
        <v/>
      </c>
      <c r="C525" s="40" t="str">
        <f>IF(Agent03_Loans!B137="","",Agent03_Loans!C137)</f>
        <v/>
      </c>
      <c r="D525" s="41" t="str">
        <f>IF(Agent03_Loans!B137="","",Agent03_Loans!D137)</f>
        <v/>
      </c>
      <c r="E525" s="43" t="str">
        <f>IF(Agent03_Loans!B137="","",Agent03_Loans!E137)</f>
        <v/>
      </c>
      <c r="F525" s="40" t="str">
        <f>IF(Agent03_Loans!B137="","",Agent03_Loans!F137)</f>
        <v/>
      </c>
      <c r="G525" s="40" t="str">
        <f>IF(Agent03_Loans!B137="","",Agent03_Loans!G137)</f>
        <v/>
      </c>
      <c r="H525" s="40" t="str">
        <f>IF(Agent03_Loans!B137="","",Agent03_Loans!H137)</f>
        <v/>
      </c>
      <c r="I525" s="43" t="str">
        <f>IF(Agent03_Loans!B137="","",Agent03_Loans!I137)</f>
        <v/>
      </c>
      <c r="J525" s="43" t="str">
        <f>IF(Agent03_Loans!B137="","",Agent03_Loans!J137)</f>
        <v/>
      </c>
      <c r="K525" s="40" t="str">
        <f>IF(Agent03_Loans!B137="","",Agent03_Loans!K137)</f>
        <v/>
      </c>
      <c r="L525" s="40" t="str">
        <f>IF(Agent03_Loans!B137="","",Agent03_Loans!L137)</f>
        <v/>
      </c>
      <c r="M525" s="40" t="str">
        <f>IFERROR(IF(Agent03_Loans!B137="","",YEAR(Agent03_Loans!D137)),"")</f>
        <v/>
      </c>
    </row>
    <row r="526" spans="1:13" ht="18" customHeight="1" x14ac:dyDescent="0.25">
      <c r="A526" s="40" t="str">
        <f>IF(Agent03_Loans!B138="","",Agent03_Loans!A138)</f>
        <v/>
      </c>
      <c r="B526" s="40" t="str">
        <f>IF(Agent03_Loans!B138="","",Agent03_Loans!B138)</f>
        <v/>
      </c>
      <c r="C526" s="40" t="str">
        <f>IF(Agent03_Loans!B138="","",Agent03_Loans!C138)</f>
        <v/>
      </c>
      <c r="D526" s="41" t="str">
        <f>IF(Agent03_Loans!B138="","",Agent03_Loans!D138)</f>
        <v/>
      </c>
      <c r="E526" s="43" t="str">
        <f>IF(Agent03_Loans!B138="","",Agent03_Loans!E138)</f>
        <v/>
      </c>
      <c r="F526" s="40" t="str">
        <f>IF(Agent03_Loans!B138="","",Agent03_Loans!F138)</f>
        <v/>
      </c>
      <c r="G526" s="40" t="str">
        <f>IF(Agent03_Loans!B138="","",Agent03_Loans!G138)</f>
        <v/>
      </c>
      <c r="H526" s="40" t="str">
        <f>IF(Agent03_Loans!B138="","",Agent03_Loans!H138)</f>
        <v/>
      </c>
      <c r="I526" s="43" t="str">
        <f>IF(Agent03_Loans!B138="","",Agent03_Loans!I138)</f>
        <v/>
      </c>
      <c r="J526" s="43" t="str">
        <f>IF(Agent03_Loans!B138="","",Agent03_Loans!J138)</f>
        <v/>
      </c>
      <c r="K526" s="40" t="str">
        <f>IF(Agent03_Loans!B138="","",Agent03_Loans!K138)</f>
        <v/>
      </c>
      <c r="L526" s="40" t="str">
        <f>IF(Agent03_Loans!B138="","",Agent03_Loans!L138)</f>
        <v/>
      </c>
      <c r="M526" s="40" t="str">
        <f>IFERROR(IF(Agent03_Loans!B138="","",YEAR(Agent03_Loans!D138)),"")</f>
        <v/>
      </c>
    </row>
    <row r="527" spans="1:13" ht="18" customHeight="1" x14ac:dyDescent="0.25">
      <c r="A527" s="40" t="str">
        <f>IF(Agent03_Loans!B139="","",Agent03_Loans!A139)</f>
        <v/>
      </c>
      <c r="B527" s="40" t="str">
        <f>IF(Agent03_Loans!B139="","",Agent03_Loans!B139)</f>
        <v/>
      </c>
      <c r="C527" s="40" t="str">
        <f>IF(Agent03_Loans!B139="","",Agent03_Loans!C139)</f>
        <v/>
      </c>
      <c r="D527" s="41" t="str">
        <f>IF(Agent03_Loans!B139="","",Agent03_Loans!D139)</f>
        <v/>
      </c>
      <c r="E527" s="43" t="str">
        <f>IF(Agent03_Loans!B139="","",Agent03_Loans!E139)</f>
        <v/>
      </c>
      <c r="F527" s="40" t="str">
        <f>IF(Agent03_Loans!B139="","",Agent03_Loans!F139)</f>
        <v/>
      </c>
      <c r="G527" s="40" t="str">
        <f>IF(Agent03_Loans!B139="","",Agent03_Loans!G139)</f>
        <v/>
      </c>
      <c r="H527" s="40" t="str">
        <f>IF(Agent03_Loans!B139="","",Agent03_Loans!H139)</f>
        <v/>
      </c>
      <c r="I527" s="43" t="str">
        <f>IF(Agent03_Loans!B139="","",Agent03_Loans!I139)</f>
        <v/>
      </c>
      <c r="J527" s="43" t="str">
        <f>IF(Agent03_Loans!B139="","",Agent03_Loans!J139)</f>
        <v/>
      </c>
      <c r="K527" s="40" t="str">
        <f>IF(Agent03_Loans!B139="","",Agent03_Loans!K139)</f>
        <v/>
      </c>
      <c r="L527" s="40" t="str">
        <f>IF(Agent03_Loans!B139="","",Agent03_Loans!L139)</f>
        <v/>
      </c>
      <c r="M527" s="40" t="str">
        <f>IFERROR(IF(Agent03_Loans!B139="","",YEAR(Agent03_Loans!D139)),"")</f>
        <v/>
      </c>
    </row>
    <row r="528" spans="1:13" ht="18" customHeight="1" x14ac:dyDescent="0.25">
      <c r="A528" s="40" t="str">
        <f>IF(Agent03_Loans!B140="","",Agent03_Loans!A140)</f>
        <v/>
      </c>
      <c r="B528" s="40" t="str">
        <f>IF(Agent03_Loans!B140="","",Agent03_Loans!B140)</f>
        <v/>
      </c>
      <c r="C528" s="40" t="str">
        <f>IF(Agent03_Loans!B140="","",Agent03_Loans!C140)</f>
        <v/>
      </c>
      <c r="D528" s="41" t="str">
        <f>IF(Agent03_Loans!B140="","",Agent03_Loans!D140)</f>
        <v/>
      </c>
      <c r="E528" s="43" t="str">
        <f>IF(Agent03_Loans!B140="","",Agent03_Loans!E140)</f>
        <v/>
      </c>
      <c r="F528" s="40" t="str">
        <f>IF(Agent03_Loans!B140="","",Agent03_Loans!F140)</f>
        <v/>
      </c>
      <c r="G528" s="40" t="str">
        <f>IF(Agent03_Loans!B140="","",Agent03_Loans!G140)</f>
        <v/>
      </c>
      <c r="H528" s="40" t="str">
        <f>IF(Agent03_Loans!B140="","",Agent03_Loans!H140)</f>
        <v/>
      </c>
      <c r="I528" s="43" t="str">
        <f>IF(Agent03_Loans!B140="","",Agent03_Loans!I140)</f>
        <v/>
      </c>
      <c r="J528" s="43" t="str">
        <f>IF(Agent03_Loans!B140="","",Agent03_Loans!J140)</f>
        <v/>
      </c>
      <c r="K528" s="40" t="str">
        <f>IF(Agent03_Loans!B140="","",Agent03_Loans!K140)</f>
        <v/>
      </c>
      <c r="L528" s="40" t="str">
        <f>IF(Agent03_Loans!B140="","",Agent03_Loans!L140)</f>
        <v/>
      </c>
      <c r="M528" s="40" t="str">
        <f>IFERROR(IF(Agent03_Loans!B140="","",YEAR(Agent03_Loans!D140)),"")</f>
        <v/>
      </c>
    </row>
    <row r="529" spans="1:13" ht="18" customHeight="1" x14ac:dyDescent="0.25">
      <c r="A529" s="40" t="str">
        <f>IF(Agent03_Loans!B141="","",Agent03_Loans!A141)</f>
        <v/>
      </c>
      <c r="B529" s="40" t="str">
        <f>IF(Agent03_Loans!B141="","",Agent03_Loans!B141)</f>
        <v/>
      </c>
      <c r="C529" s="40" t="str">
        <f>IF(Agent03_Loans!B141="","",Agent03_Loans!C141)</f>
        <v/>
      </c>
      <c r="D529" s="41" t="str">
        <f>IF(Agent03_Loans!B141="","",Agent03_Loans!D141)</f>
        <v/>
      </c>
      <c r="E529" s="43" t="str">
        <f>IF(Agent03_Loans!B141="","",Agent03_Loans!E141)</f>
        <v/>
      </c>
      <c r="F529" s="40" t="str">
        <f>IF(Agent03_Loans!B141="","",Agent03_Loans!F141)</f>
        <v/>
      </c>
      <c r="G529" s="40" t="str">
        <f>IF(Agent03_Loans!B141="","",Agent03_Loans!G141)</f>
        <v/>
      </c>
      <c r="H529" s="40" t="str">
        <f>IF(Agent03_Loans!B141="","",Agent03_Loans!H141)</f>
        <v/>
      </c>
      <c r="I529" s="43" t="str">
        <f>IF(Agent03_Loans!B141="","",Agent03_Loans!I141)</f>
        <v/>
      </c>
      <c r="J529" s="43" t="str">
        <f>IF(Agent03_Loans!B141="","",Agent03_Loans!J141)</f>
        <v/>
      </c>
      <c r="K529" s="40" t="str">
        <f>IF(Agent03_Loans!B141="","",Agent03_Loans!K141)</f>
        <v/>
      </c>
      <c r="L529" s="40" t="str">
        <f>IF(Agent03_Loans!B141="","",Agent03_Loans!L141)</f>
        <v/>
      </c>
      <c r="M529" s="40" t="str">
        <f>IFERROR(IF(Agent03_Loans!B141="","",YEAR(Agent03_Loans!D141)),"")</f>
        <v/>
      </c>
    </row>
    <row r="530" spans="1:13" ht="18" customHeight="1" x14ac:dyDescent="0.25">
      <c r="A530" s="40" t="str">
        <f>IF(Agent03_Loans!B142="","",Agent03_Loans!A142)</f>
        <v/>
      </c>
      <c r="B530" s="40" t="str">
        <f>IF(Agent03_Loans!B142="","",Agent03_Loans!B142)</f>
        <v/>
      </c>
      <c r="C530" s="40" t="str">
        <f>IF(Agent03_Loans!B142="","",Agent03_Loans!C142)</f>
        <v/>
      </c>
      <c r="D530" s="41" t="str">
        <f>IF(Agent03_Loans!B142="","",Agent03_Loans!D142)</f>
        <v/>
      </c>
      <c r="E530" s="43" t="str">
        <f>IF(Agent03_Loans!B142="","",Agent03_Loans!E142)</f>
        <v/>
      </c>
      <c r="F530" s="40" t="str">
        <f>IF(Agent03_Loans!B142="","",Agent03_Loans!F142)</f>
        <v/>
      </c>
      <c r="G530" s="40" t="str">
        <f>IF(Agent03_Loans!B142="","",Agent03_Loans!G142)</f>
        <v/>
      </c>
      <c r="H530" s="40" t="str">
        <f>IF(Agent03_Loans!B142="","",Agent03_Loans!H142)</f>
        <v/>
      </c>
      <c r="I530" s="43" t="str">
        <f>IF(Agent03_Loans!B142="","",Agent03_Loans!I142)</f>
        <v/>
      </c>
      <c r="J530" s="43" t="str">
        <f>IF(Agent03_Loans!B142="","",Agent03_Loans!J142)</f>
        <v/>
      </c>
      <c r="K530" s="40" t="str">
        <f>IF(Agent03_Loans!B142="","",Agent03_Loans!K142)</f>
        <v/>
      </c>
      <c r="L530" s="40" t="str">
        <f>IF(Agent03_Loans!B142="","",Agent03_Loans!L142)</f>
        <v/>
      </c>
      <c r="M530" s="40" t="str">
        <f>IFERROR(IF(Agent03_Loans!B142="","",YEAR(Agent03_Loans!D142)),"")</f>
        <v/>
      </c>
    </row>
    <row r="531" spans="1:13" ht="18" customHeight="1" x14ac:dyDescent="0.25">
      <c r="A531" s="40" t="str">
        <f>IF(Agent03_Loans!B143="","",Agent03_Loans!A143)</f>
        <v/>
      </c>
      <c r="B531" s="40" t="str">
        <f>IF(Agent03_Loans!B143="","",Agent03_Loans!B143)</f>
        <v/>
      </c>
      <c r="C531" s="40" t="str">
        <f>IF(Agent03_Loans!B143="","",Agent03_Loans!C143)</f>
        <v/>
      </c>
      <c r="D531" s="41" t="str">
        <f>IF(Agent03_Loans!B143="","",Agent03_Loans!D143)</f>
        <v/>
      </c>
      <c r="E531" s="43" t="str">
        <f>IF(Agent03_Loans!B143="","",Agent03_Loans!E143)</f>
        <v/>
      </c>
      <c r="F531" s="40" t="str">
        <f>IF(Agent03_Loans!B143="","",Agent03_Loans!F143)</f>
        <v/>
      </c>
      <c r="G531" s="40" t="str">
        <f>IF(Agent03_Loans!B143="","",Agent03_Loans!G143)</f>
        <v/>
      </c>
      <c r="H531" s="40" t="str">
        <f>IF(Agent03_Loans!B143="","",Agent03_Loans!H143)</f>
        <v/>
      </c>
      <c r="I531" s="43" t="str">
        <f>IF(Agent03_Loans!B143="","",Agent03_Loans!I143)</f>
        <v/>
      </c>
      <c r="J531" s="43" t="str">
        <f>IF(Agent03_Loans!B143="","",Agent03_Loans!J143)</f>
        <v/>
      </c>
      <c r="K531" s="40" t="str">
        <f>IF(Agent03_Loans!B143="","",Agent03_Loans!K143)</f>
        <v/>
      </c>
      <c r="L531" s="40" t="str">
        <f>IF(Agent03_Loans!B143="","",Agent03_Loans!L143)</f>
        <v/>
      </c>
      <c r="M531" s="40" t="str">
        <f>IFERROR(IF(Agent03_Loans!B143="","",YEAR(Agent03_Loans!D143)),"")</f>
        <v/>
      </c>
    </row>
    <row r="532" spans="1:13" ht="18" customHeight="1" x14ac:dyDescent="0.25">
      <c r="A532" s="40" t="str">
        <f>IF(Agent03_Loans!B144="","",Agent03_Loans!A144)</f>
        <v/>
      </c>
      <c r="B532" s="40" t="str">
        <f>IF(Agent03_Loans!B144="","",Agent03_Loans!B144)</f>
        <v/>
      </c>
      <c r="C532" s="40" t="str">
        <f>IF(Agent03_Loans!B144="","",Agent03_Loans!C144)</f>
        <v/>
      </c>
      <c r="D532" s="41" t="str">
        <f>IF(Agent03_Loans!B144="","",Agent03_Loans!D144)</f>
        <v/>
      </c>
      <c r="E532" s="43" t="str">
        <f>IF(Agent03_Loans!B144="","",Agent03_Loans!E144)</f>
        <v/>
      </c>
      <c r="F532" s="40" t="str">
        <f>IF(Agent03_Loans!B144="","",Agent03_Loans!F144)</f>
        <v/>
      </c>
      <c r="G532" s="40" t="str">
        <f>IF(Agent03_Loans!B144="","",Agent03_Loans!G144)</f>
        <v/>
      </c>
      <c r="H532" s="40" t="str">
        <f>IF(Agent03_Loans!B144="","",Agent03_Loans!H144)</f>
        <v/>
      </c>
      <c r="I532" s="43" t="str">
        <f>IF(Agent03_Loans!B144="","",Agent03_Loans!I144)</f>
        <v/>
      </c>
      <c r="J532" s="43" t="str">
        <f>IF(Agent03_Loans!B144="","",Agent03_Loans!J144)</f>
        <v/>
      </c>
      <c r="K532" s="40" t="str">
        <f>IF(Agent03_Loans!B144="","",Agent03_Loans!K144)</f>
        <v/>
      </c>
      <c r="L532" s="40" t="str">
        <f>IF(Agent03_Loans!B144="","",Agent03_Loans!L144)</f>
        <v/>
      </c>
      <c r="M532" s="40" t="str">
        <f>IFERROR(IF(Agent03_Loans!B144="","",YEAR(Agent03_Loans!D144)),"")</f>
        <v/>
      </c>
    </row>
    <row r="533" spans="1:13" ht="18" customHeight="1" x14ac:dyDescent="0.25">
      <c r="A533" s="40" t="str">
        <f>IF(Agent03_Loans!B145="","",Agent03_Loans!A145)</f>
        <v/>
      </c>
      <c r="B533" s="40" t="str">
        <f>IF(Agent03_Loans!B145="","",Agent03_Loans!B145)</f>
        <v/>
      </c>
      <c r="C533" s="40" t="str">
        <f>IF(Agent03_Loans!B145="","",Agent03_Loans!C145)</f>
        <v/>
      </c>
      <c r="D533" s="41" t="str">
        <f>IF(Agent03_Loans!B145="","",Agent03_Loans!D145)</f>
        <v/>
      </c>
      <c r="E533" s="43" t="str">
        <f>IF(Agent03_Loans!B145="","",Agent03_Loans!E145)</f>
        <v/>
      </c>
      <c r="F533" s="40" t="str">
        <f>IF(Agent03_Loans!B145="","",Agent03_Loans!F145)</f>
        <v/>
      </c>
      <c r="G533" s="40" t="str">
        <f>IF(Agent03_Loans!B145="","",Agent03_Loans!G145)</f>
        <v/>
      </c>
      <c r="H533" s="40" t="str">
        <f>IF(Agent03_Loans!B145="","",Agent03_Loans!H145)</f>
        <v/>
      </c>
      <c r="I533" s="43" t="str">
        <f>IF(Agent03_Loans!B145="","",Agent03_Loans!I145)</f>
        <v/>
      </c>
      <c r="J533" s="43" t="str">
        <f>IF(Agent03_Loans!B145="","",Agent03_Loans!J145)</f>
        <v/>
      </c>
      <c r="K533" s="40" t="str">
        <f>IF(Agent03_Loans!B145="","",Agent03_Loans!K145)</f>
        <v/>
      </c>
      <c r="L533" s="40" t="str">
        <f>IF(Agent03_Loans!B145="","",Agent03_Loans!L145)</f>
        <v/>
      </c>
      <c r="M533" s="40" t="str">
        <f>IFERROR(IF(Agent03_Loans!B145="","",YEAR(Agent03_Loans!D145)),"")</f>
        <v/>
      </c>
    </row>
    <row r="534" spans="1:13" ht="18" customHeight="1" x14ac:dyDescent="0.25">
      <c r="A534" s="40" t="str">
        <f>IF(Agent03_Loans!B146="","",Agent03_Loans!A146)</f>
        <v/>
      </c>
      <c r="B534" s="40" t="str">
        <f>IF(Agent03_Loans!B146="","",Agent03_Loans!B146)</f>
        <v/>
      </c>
      <c r="C534" s="40" t="str">
        <f>IF(Agent03_Loans!B146="","",Agent03_Loans!C146)</f>
        <v/>
      </c>
      <c r="D534" s="41" t="str">
        <f>IF(Agent03_Loans!B146="","",Agent03_Loans!D146)</f>
        <v/>
      </c>
      <c r="E534" s="43" t="str">
        <f>IF(Agent03_Loans!B146="","",Agent03_Loans!E146)</f>
        <v/>
      </c>
      <c r="F534" s="40" t="str">
        <f>IF(Agent03_Loans!B146="","",Agent03_Loans!F146)</f>
        <v/>
      </c>
      <c r="G534" s="40" t="str">
        <f>IF(Agent03_Loans!B146="","",Agent03_Loans!G146)</f>
        <v/>
      </c>
      <c r="H534" s="40" t="str">
        <f>IF(Agent03_Loans!B146="","",Agent03_Loans!H146)</f>
        <v/>
      </c>
      <c r="I534" s="43" t="str">
        <f>IF(Agent03_Loans!B146="","",Agent03_Loans!I146)</f>
        <v/>
      </c>
      <c r="J534" s="43" t="str">
        <f>IF(Agent03_Loans!B146="","",Agent03_Loans!J146)</f>
        <v/>
      </c>
      <c r="K534" s="40" t="str">
        <f>IF(Agent03_Loans!B146="","",Agent03_Loans!K146)</f>
        <v/>
      </c>
      <c r="L534" s="40" t="str">
        <f>IF(Agent03_Loans!B146="","",Agent03_Loans!L146)</f>
        <v/>
      </c>
      <c r="M534" s="40" t="str">
        <f>IFERROR(IF(Agent03_Loans!B146="","",YEAR(Agent03_Loans!D146)),"")</f>
        <v/>
      </c>
    </row>
    <row r="535" spans="1:13" ht="18" customHeight="1" x14ac:dyDescent="0.25">
      <c r="A535" s="40" t="str">
        <f>IF(Agent03_Loans!B147="","",Agent03_Loans!A147)</f>
        <v/>
      </c>
      <c r="B535" s="40" t="str">
        <f>IF(Agent03_Loans!B147="","",Agent03_Loans!B147)</f>
        <v/>
      </c>
      <c r="C535" s="40" t="str">
        <f>IF(Agent03_Loans!B147="","",Agent03_Loans!C147)</f>
        <v/>
      </c>
      <c r="D535" s="41" t="str">
        <f>IF(Agent03_Loans!B147="","",Agent03_Loans!D147)</f>
        <v/>
      </c>
      <c r="E535" s="43" t="str">
        <f>IF(Agent03_Loans!B147="","",Agent03_Loans!E147)</f>
        <v/>
      </c>
      <c r="F535" s="40" t="str">
        <f>IF(Agent03_Loans!B147="","",Agent03_Loans!F147)</f>
        <v/>
      </c>
      <c r="G535" s="40" t="str">
        <f>IF(Agent03_Loans!B147="","",Agent03_Loans!G147)</f>
        <v/>
      </c>
      <c r="H535" s="40" t="str">
        <f>IF(Agent03_Loans!B147="","",Agent03_Loans!H147)</f>
        <v/>
      </c>
      <c r="I535" s="43" t="str">
        <f>IF(Agent03_Loans!B147="","",Agent03_Loans!I147)</f>
        <v/>
      </c>
      <c r="J535" s="43" t="str">
        <f>IF(Agent03_Loans!B147="","",Agent03_Loans!J147)</f>
        <v/>
      </c>
      <c r="K535" s="40" t="str">
        <f>IF(Agent03_Loans!B147="","",Agent03_Loans!K147)</f>
        <v/>
      </c>
      <c r="L535" s="40" t="str">
        <f>IF(Agent03_Loans!B147="","",Agent03_Loans!L147)</f>
        <v/>
      </c>
      <c r="M535" s="40" t="str">
        <f>IFERROR(IF(Agent03_Loans!B147="","",YEAR(Agent03_Loans!D147)),"")</f>
        <v/>
      </c>
    </row>
    <row r="536" spans="1:13" ht="18" customHeight="1" x14ac:dyDescent="0.25">
      <c r="A536" s="40" t="str">
        <f>IF(Agent03_Loans!B148="","",Agent03_Loans!A148)</f>
        <v/>
      </c>
      <c r="B536" s="40" t="str">
        <f>IF(Agent03_Loans!B148="","",Agent03_Loans!B148)</f>
        <v/>
      </c>
      <c r="C536" s="40" t="str">
        <f>IF(Agent03_Loans!B148="","",Agent03_Loans!C148)</f>
        <v/>
      </c>
      <c r="D536" s="41" t="str">
        <f>IF(Agent03_Loans!B148="","",Agent03_Loans!D148)</f>
        <v/>
      </c>
      <c r="E536" s="43" t="str">
        <f>IF(Agent03_Loans!B148="","",Agent03_Loans!E148)</f>
        <v/>
      </c>
      <c r="F536" s="40" t="str">
        <f>IF(Agent03_Loans!B148="","",Agent03_Loans!F148)</f>
        <v/>
      </c>
      <c r="G536" s="40" t="str">
        <f>IF(Agent03_Loans!B148="","",Agent03_Loans!G148)</f>
        <v/>
      </c>
      <c r="H536" s="40" t="str">
        <f>IF(Agent03_Loans!B148="","",Agent03_Loans!H148)</f>
        <v/>
      </c>
      <c r="I536" s="43" t="str">
        <f>IF(Agent03_Loans!B148="","",Agent03_Loans!I148)</f>
        <v/>
      </c>
      <c r="J536" s="43" t="str">
        <f>IF(Agent03_Loans!B148="","",Agent03_Loans!J148)</f>
        <v/>
      </c>
      <c r="K536" s="40" t="str">
        <f>IF(Agent03_Loans!B148="","",Agent03_Loans!K148)</f>
        <v/>
      </c>
      <c r="L536" s="40" t="str">
        <f>IF(Agent03_Loans!B148="","",Agent03_Loans!L148)</f>
        <v/>
      </c>
      <c r="M536" s="40" t="str">
        <f>IFERROR(IF(Agent03_Loans!B148="","",YEAR(Agent03_Loans!D148)),"")</f>
        <v/>
      </c>
    </row>
    <row r="537" spans="1:13" ht="18" customHeight="1" x14ac:dyDescent="0.25">
      <c r="A537" s="40" t="str">
        <f>IF(Agent03_Loans!B149="","",Agent03_Loans!A149)</f>
        <v/>
      </c>
      <c r="B537" s="40" t="str">
        <f>IF(Agent03_Loans!B149="","",Agent03_Loans!B149)</f>
        <v/>
      </c>
      <c r="C537" s="40" t="str">
        <f>IF(Agent03_Loans!B149="","",Agent03_Loans!C149)</f>
        <v/>
      </c>
      <c r="D537" s="41" t="str">
        <f>IF(Agent03_Loans!B149="","",Agent03_Loans!D149)</f>
        <v/>
      </c>
      <c r="E537" s="43" t="str">
        <f>IF(Agent03_Loans!B149="","",Agent03_Loans!E149)</f>
        <v/>
      </c>
      <c r="F537" s="40" t="str">
        <f>IF(Agent03_Loans!B149="","",Agent03_Loans!F149)</f>
        <v/>
      </c>
      <c r="G537" s="40" t="str">
        <f>IF(Agent03_Loans!B149="","",Agent03_Loans!G149)</f>
        <v/>
      </c>
      <c r="H537" s="40" t="str">
        <f>IF(Agent03_Loans!B149="","",Agent03_Loans!H149)</f>
        <v/>
      </c>
      <c r="I537" s="43" t="str">
        <f>IF(Agent03_Loans!B149="","",Agent03_Loans!I149)</f>
        <v/>
      </c>
      <c r="J537" s="43" t="str">
        <f>IF(Agent03_Loans!B149="","",Agent03_Loans!J149)</f>
        <v/>
      </c>
      <c r="K537" s="40" t="str">
        <f>IF(Agent03_Loans!B149="","",Agent03_Loans!K149)</f>
        <v/>
      </c>
      <c r="L537" s="40" t="str">
        <f>IF(Agent03_Loans!B149="","",Agent03_Loans!L149)</f>
        <v/>
      </c>
      <c r="M537" s="40" t="str">
        <f>IFERROR(IF(Agent03_Loans!B149="","",YEAR(Agent03_Loans!D149)),"")</f>
        <v/>
      </c>
    </row>
    <row r="538" spans="1:13" ht="18" customHeight="1" x14ac:dyDescent="0.25">
      <c r="A538" s="40" t="str">
        <f>IF(Agent03_Loans!B150="","",Agent03_Loans!A150)</f>
        <v/>
      </c>
      <c r="B538" s="40" t="str">
        <f>IF(Agent03_Loans!B150="","",Agent03_Loans!B150)</f>
        <v/>
      </c>
      <c r="C538" s="40" t="str">
        <f>IF(Agent03_Loans!B150="","",Agent03_Loans!C150)</f>
        <v/>
      </c>
      <c r="D538" s="41" t="str">
        <f>IF(Agent03_Loans!B150="","",Agent03_Loans!D150)</f>
        <v/>
      </c>
      <c r="E538" s="43" t="str">
        <f>IF(Agent03_Loans!B150="","",Agent03_Loans!E150)</f>
        <v/>
      </c>
      <c r="F538" s="40" t="str">
        <f>IF(Agent03_Loans!B150="","",Agent03_Loans!F150)</f>
        <v/>
      </c>
      <c r="G538" s="40" t="str">
        <f>IF(Agent03_Loans!B150="","",Agent03_Loans!G150)</f>
        <v/>
      </c>
      <c r="H538" s="40" t="str">
        <f>IF(Agent03_Loans!B150="","",Agent03_Loans!H150)</f>
        <v/>
      </c>
      <c r="I538" s="43" t="str">
        <f>IF(Agent03_Loans!B150="","",Agent03_Loans!I150)</f>
        <v/>
      </c>
      <c r="J538" s="43" t="str">
        <f>IF(Agent03_Loans!B150="","",Agent03_Loans!J150)</f>
        <v/>
      </c>
      <c r="K538" s="40" t="str">
        <f>IF(Agent03_Loans!B150="","",Agent03_Loans!K150)</f>
        <v/>
      </c>
      <c r="L538" s="40" t="str">
        <f>IF(Agent03_Loans!B150="","",Agent03_Loans!L150)</f>
        <v/>
      </c>
      <c r="M538" s="40" t="str">
        <f>IFERROR(IF(Agent03_Loans!B150="","",YEAR(Agent03_Loans!D150)),"")</f>
        <v/>
      </c>
    </row>
    <row r="539" spans="1:13" ht="18" customHeight="1" x14ac:dyDescent="0.25">
      <c r="A539" s="40" t="str">
        <f>IF(Agent03_Loans!B151="","",Agent03_Loans!A151)</f>
        <v/>
      </c>
      <c r="B539" s="40" t="str">
        <f>IF(Agent03_Loans!B151="","",Agent03_Loans!B151)</f>
        <v/>
      </c>
      <c r="C539" s="40" t="str">
        <f>IF(Agent03_Loans!B151="","",Agent03_Loans!C151)</f>
        <v/>
      </c>
      <c r="D539" s="41" t="str">
        <f>IF(Agent03_Loans!B151="","",Agent03_Loans!D151)</f>
        <v/>
      </c>
      <c r="E539" s="43" t="str">
        <f>IF(Agent03_Loans!B151="","",Agent03_Loans!E151)</f>
        <v/>
      </c>
      <c r="F539" s="40" t="str">
        <f>IF(Agent03_Loans!B151="","",Agent03_Loans!F151)</f>
        <v/>
      </c>
      <c r="G539" s="40" t="str">
        <f>IF(Agent03_Loans!B151="","",Agent03_Loans!G151)</f>
        <v/>
      </c>
      <c r="H539" s="40" t="str">
        <f>IF(Agent03_Loans!B151="","",Agent03_Loans!H151)</f>
        <v/>
      </c>
      <c r="I539" s="43" t="str">
        <f>IF(Agent03_Loans!B151="","",Agent03_Loans!I151)</f>
        <v/>
      </c>
      <c r="J539" s="43" t="str">
        <f>IF(Agent03_Loans!B151="","",Agent03_Loans!J151)</f>
        <v/>
      </c>
      <c r="K539" s="40" t="str">
        <f>IF(Agent03_Loans!B151="","",Agent03_Loans!K151)</f>
        <v/>
      </c>
      <c r="L539" s="40" t="str">
        <f>IF(Agent03_Loans!B151="","",Agent03_Loans!L151)</f>
        <v/>
      </c>
      <c r="M539" s="40" t="str">
        <f>IFERROR(IF(Agent03_Loans!B151="","",YEAR(Agent03_Loans!D151)),"")</f>
        <v/>
      </c>
    </row>
    <row r="540" spans="1:13" ht="18" customHeight="1" x14ac:dyDescent="0.25">
      <c r="A540" s="40" t="str">
        <f>IF(Agent03_Loans!B152="","",Agent03_Loans!A152)</f>
        <v/>
      </c>
      <c r="B540" s="40" t="str">
        <f>IF(Agent03_Loans!B152="","",Agent03_Loans!B152)</f>
        <v/>
      </c>
      <c r="C540" s="40" t="str">
        <f>IF(Agent03_Loans!B152="","",Agent03_Loans!C152)</f>
        <v/>
      </c>
      <c r="D540" s="41" t="str">
        <f>IF(Agent03_Loans!B152="","",Agent03_Loans!D152)</f>
        <v/>
      </c>
      <c r="E540" s="43" t="str">
        <f>IF(Agent03_Loans!B152="","",Agent03_Loans!E152)</f>
        <v/>
      </c>
      <c r="F540" s="40" t="str">
        <f>IF(Agent03_Loans!B152="","",Agent03_Loans!F152)</f>
        <v/>
      </c>
      <c r="G540" s="40" t="str">
        <f>IF(Agent03_Loans!B152="","",Agent03_Loans!G152)</f>
        <v/>
      </c>
      <c r="H540" s="40" t="str">
        <f>IF(Agent03_Loans!B152="","",Agent03_Loans!H152)</f>
        <v/>
      </c>
      <c r="I540" s="43" t="str">
        <f>IF(Agent03_Loans!B152="","",Agent03_Loans!I152)</f>
        <v/>
      </c>
      <c r="J540" s="43" t="str">
        <f>IF(Agent03_Loans!B152="","",Agent03_Loans!J152)</f>
        <v/>
      </c>
      <c r="K540" s="40" t="str">
        <f>IF(Agent03_Loans!B152="","",Agent03_Loans!K152)</f>
        <v/>
      </c>
      <c r="L540" s="40" t="str">
        <f>IF(Agent03_Loans!B152="","",Agent03_Loans!L152)</f>
        <v/>
      </c>
      <c r="M540" s="40" t="str">
        <f>IFERROR(IF(Agent03_Loans!B152="","",YEAR(Agent03_Loans!D152)),"")</f>
        <v/>
      </c>
    </row>
    <row r="541" spans="1:13" ht="18" customHeight="1" x14ac:dyDescent="0.25">
      <c r="A541" s="40" t="str">
        <f>IF(Agent03_Loans!B153="","",Agent03_Loans!A153)</f>
        <v/>
      </c>
      <c r="B541" s="40" t="str">
        <f>IF(Agent03_Loans!B153="","",Agent03_Loans!B153)</f>
        <v/>
      </c>
      <c r="C541" s="40" t="str">
        <f>IF(Agent03_Loans!B153="","",Agent03_Loans!C153)</f>
        <v/>
      </c>
      <c r="D541" s="41" t="str">
        <f>IF(Agent03_Loans!B153="","",Agent03_Loans!D153)</f>
        <v/>
      </c>
      <c r="E541" s="43" t="str">
        <f>IF(Agent03_Loans!B153="","",Agent03_Loans!E153)</f>
        <v/>
      </c>
      <c r="F541" s="40" t="str">
        <f>IF(Agent03_Loans!B153="","",Agent03_Loans!F153)</f>
        <v/>
      </c>
      <c r="G541" s="40" t="str">
        <f>IF(Agent03_Loans!B153="","",Agent03_Loans!G153)</f>
        <v/>
      </c>
      <c r="H541" s="40" t="str">
        <f>IF(Agent03_Loans!B153="","",Agent03_Loans!H153)</f>
        <v/>
      </c>
      <c r="I541" s="43" t="str">
        <f>IF(Agent03_Loans!B153="","",Agent03_Loans!I153)</f>
        <v/>
      </c>
      <c r="J541" s="43" t="str">
        <f>IF(Agent03_Loans!B153="","",Agent03_Loans!J153)</f>
        <v/>
      </c>
      <c r="K541" s="40" t="str">
        <f>IF(Agent03_Loans!B153="","",Agent03_Loans!K153)</f>
        <v/>
      </c>
      <c r="L541" s="40" t="str">
        <f>IF(Agent03_Loans!B153="","",Agent03_Loans!L153)</f>
        <v/>
      </c>
      <c r="M541" s="40" t="str">
        <f>IFERROR(IF(Agent03_Loans!B153="","",YEAR(Agent03_Loans!D153)),"")</f>
        <v/>
      </c>
    </row>
    <row r="542" spans="1:13" ht="18" customHeight="1" x14ac:dyDescent="0.25">
      <c r="A542" s="40" t="str">
        <f>IF(Agent03_Loans!B154="","",Agent03_Loans!A154)</f>
        <v/>
      </c>
      <c r="B542" s="40" t="str">
        <f>IF(Agent03_Loans!B154="","",Agent03_Loans!B154)</f>
        <v/>
      </c>
      <c r="C542" s="40" t="str">
        <f>IF(Agent03_Loans!B154="","",Agent03_Loans!C154)</f>
        <v/>
      </c>
      <c r="D542" s="41" t="str">
        <f>IF(Agent03_Loans!B154="","",Agent03_Loans!D154)</f>
        <v/>
      </c>
      <c r="E542" s="43" t="str">
        <f>IF(Agent03_Loans!B154="","",Agent03_Loans!E154)</f>
        <v/>
      </c>
      <c r="F542" s="40" t="str">
        <f>IF(Agent03_Loans!B154="","",Agent03_Loans!F154)</f>
        <v/>
      </c>
      <c r="G542" s="40" t="str">
        <f>IF(Agent03_Loans!B154="","",Agent03_Loans!G154)</f>
        <v/>
      </c>
      <c r="H542" s="40" t="str">
        <f>IF(Agent03_Loans!B154="","",Agent03_Loans!H154)</f>
        <v/>
      </c>
      <c r="I542" s="43" t="str">
        <f>IF(Agent03_Loans!B154="","",Agent03_Loans!I154)</f>
        <v/>
      </c>
      <c r="J542" s="43" t="str">
        <f>IF(Agent03_Loans!B154="","",Agent03_Loans!J154)</f>
        <v/>
      </c>
      <c r="K542" s="40" t="str">
        <f>IF(Agent03_Loans!B154="","",Agent03_Loans!K154)</f>
        <v/>
      </c>
      <c r="L542" s="40" t="str">
        <f>IF(Agent03_Loans!B154="","",Agent03_Loans!L154)</f>
        <v/>
      </c>
      <c r="M542" s="40" t="str">
        <f>IFERROR(IF(Agent03_Loans!B154="","",YEAR(Agent03_Loans!D154)),"")</f>
        <v/>
      </c>
    </row>
    <row r="543" spans="1:13" ht="18" customHeight="1" x14ac:dyDescent="0.25">
      <c r="A543" s="40" t="str">
        <f>IF(Agent03_Loans!B155="","",Agent03_Loans!A155)</f>
        <v/>
      </c>
      <c r="B543" s="40" t="str">
        <f>IF(Agent03_Loans!B155="","",Agent03_Loans!B155)</f>
        <v/>
      </c>
      <c r="C543" s="40" t="str">
        <f>IF(Agent03_Loans!B155="","",Agent03_Loans!C155)</f>
        <v/>
      </c>
      <c r="D543" s="41" t="str">
        <f>IF(Agent03_Loans!B155="","",Agent03_Loans!D155)</f>
        <v/>
      </c>
      <c r="E543" s="43" t="str">
        <f>IF(Agent03_Loans!B155="","",Agent03_Loans!E155)</f>
        <v/>
      </c>
      <c r="F543" s="40" t="str">
        <f>IF(Agent03_Loans!B155="","",Agent03_Loans!F155)</f>
        <v/>
      </c>
      <c r="G543" s="40" t="str">
        <f>IF(Agent03_Loans!B155="","",Agent03_Loans!G155)</f>
        <v/>
      </c>
      <c r="H543" s="40" t="str">
        <f>IF(Agent03_Loans!B155="","",Agent03_Loans!H155)</f>
        <v/>
      </c>
      <c r="I543" s="43" t="str">
        <f>IF(Agent03_Loans!B155="","",Agent03_Loans!I155)</f>
        <v/>
      </c>
      <c r="J543" s="43" t="str">
        <f>IF(Agent03_Loans!B155="","",Agent03_Loans!J155)</f>
        <v/>
      </c>
      <c r="K543" s="40" t="str">
        <f>IF(Agent03_Loans!B155="","",Agent03_Loans!K155)</f>
        <v/>
      </c>
      <c r="L543" s="40" t="str">
        <f>IF(Agent03_Loans!B155="","",Agent03_Loans!L155)</f>
        <v/>
      </c>
      <c r="M543" s="40" t="str">
        <f>IFERROR(IF(Agent03_Loans!B155="","",YEAR(Agent03_Loans!D155)),"")</f>
        <v/>
      </c>
    </row>
    <row r="544" spans="1:13" ht="18" customHeight="1" x14ac:dyDescent="0.25">
      <c r="A544" s="40" t="str">
        <f>IF(Agent03_Loans!B156="","",Agent03_Loans!A156)</f>
        <v/>
      </c>
      <c r="B544" s="40" t="str">
        <f>IF(Agent03_Loans!B156="","",Agent03_Loans!B156)</f>
        <v/>
      </c>
      <c r="C544" s="40" t="str">
        <f>IF(Agent03_Loans!B156="","",Agent03_Loans!C156)</f>
        <v/>
      </c>
      <c r="D544" s="41" t="str">
        <f>IF(Agent03_Loans!B156="","",Agent03_Loans!D156)</f>
        <v/>
      </c>
      <c r="E544" s="43" t="str">
        <f>IF(Agent03_Loans!B156="","",Agent03_Loans!E156)</f>
        <v/>
      </c>
      <c r="F544" s="40" t="str">
        <f>IF(Agent03_Loans!B156="","",Agent03_Loans!F156)</f>
        <v/>
      </c>
      <c r="G544" s="40" t="str">
        <f>IF(Agent03_Loans!B156="","",Agent03_Loans!G156)</f>
        <v/>
      </c>
      <c r="H544" s="40" t="str">
        <f>IF(Agent03_Loans!B156="","",Agent03_Loans!H156)</f>
        <v/>
      </c>
      <c r="I544" s="43" t="str">
        <f>IF(Agent03_Loans!B156="","",Agent03_Loans!I156)</f>
        <v/>
      </c>
      <c r="J544" s="43" t="str">
        <f>IF(Agent03_Loans!B156="","",Agent03_Loans!J156)</f>
        <v/>
      </c>
      <c r="K544" s="40" t="str">
        <f>IF(Agent03_Loans!B156="","",Agent03_Loans!K156)</f>
        <v/>
      </c>
      <c r="L544" s="40" t="str">
        <f>IF(Agent03_Loans!B156="","",Agent03_Loans!L156)</f>
        <v/>
      </c>
      <c r="M544" s="40" t="str">
        <f>IFERROR(IF(Agent03_Loans!B156="","",YEAR(Agent03_Loans!D156)),"")</f>
        <v/>
      </c>
    </row>
    <row r="545" spans="1:13" ht="18" customHeight="1" x14ac:dyDescent="0.25">
      <c r="A545" s="40" t="str">
        <f>IF(Agent03_Loans!B157="","",Agent03_Loans!A157)</f>
        <v/>
      </c>
      <c r="B545" s="40" t="str">
        <f>IF(Agent03_Loans!B157="","",Agent03_Loans!B157)</f>
        <v/>
      </c>
      <c r="C545" s="40" t="str">
        <f>IF(Agent03_Loans!B157="","",Agent03_Loans!C157)</f>
        <v/>
      </c>
      <c r="D545" s="41" t="str">
        <f>IF(Agent03_Loans!B157="","",Agent03_Loans!D157)</f>
        <v/>
      </c>
      <c r="E545" s="43" t="str">
        <f>IF(Agent03_Loans!B157="","",Agent03_Loans!E157)</f>
        <v/>
      </c>
      <c r="F545" s="40" t="str">
        <f>IF(Agent03_Loans!B157="","",Agent03_Loans!F157)</f>
        <v/>
      </c>
      <c r="G545" s="40" t="str">
        <f>IF(Agent03_Loans!B157="","",Agent03_Loans!G157)</f>
        <v/>
      </c>
      <c r="H545" s="40" t="str">
        <f>IF(Agent03_Loans!B157="","",Agent03_Loans!H157)</f>
        <v/>
      </c>
      <c r="I545" s="43" t="str">
        <f>IF(Agent03_Loans!B157="","",Agent03_Loans!I157)</f>
        <v/>
      </c>
      <c r="J545" s="43" t="str">
        <f>IF(Agent03_Loans!B157="","",Agent03_Loans!J157)</f>
        <v/>
      </c>
      <c r="K545" s="40" t="str">
        <f>IF(Agent03_Loans!B157="","",Agent03_Loans!K157)</f>
        <v/>
      </c>
      <c r="L545" s="40" t="str">
        <f>IF(Agent03_Loans!B157="","",Agent03_Loans!L157)</f>
        <v/>
      </c>
      <c r="M545" s="40" t="str">
        <f>IFERROR(IF(Agent03_Loans!B157="","",YEAR(Agent03_Loans!D157)),"")</f>
        <v/>
      </c>
    </row>
    <row r="546" spans="1:13" ht="18" customHeight="1" x14ac:dyDescent="0.25">
      <c r="A546" s="40" t="str">
        <f>IF(Agent03_Loans!B158="","",Agent03_Loans!A158)</f>
        <v/>
      </c>
      <c r="B546" s="40" t="str">
        <f>IF(Agent03_Loans!B158="","",Agent03_Loans!B158)</f>
        <v/>
      </c>
      <c r="C546" s="40" t="str">
        <f>IF(Agent03_Loans!B158="","",Agent03_Loans!C158)</f>
        <v/>
      </c>
      <c r="D546" s="41" t="str">
        <f>IF(Agent03_Loans!B158="","",Agent03_Loans!D158)</f>
        <v/>
      </c>
      <c r="E546" s="43" t="str">
        <f>IF(Agent03_Loans!B158="","",Agent03_Loans!E158)</f>
        <v/>
      </c>
      <c r="F546" s="40" t="str">
        <f>IF(Agent03_Loans!B158="","",Agent03_Loans!F158)</f>
        <v/>
      </c>
      <c r="G546" s="40" t="str">
        <f>IF(Agent03_Loans!B158="","",Agent03_Loans!G158)</f>
        <v/>
      </c>
      <c r="H546" s="40" t="str">
        <f>IF(Agent03_Loans!B158="","",Agent03_Loans!H158)</f>
        <v/>
      </c>
      <c r="I546" s="43" t="str">
        <f>IF(Agent03_Loans!B158="","",Agent03_Loans!I158)</f>
        <v/>
      </c>
      <c r="J546" s="43" t="str">
        <f>IF(Agent03_Loans!B158="","",Agent03_Loans!J158)</f>
        <v/>
      </c>
      <c r="K546" s="40" t="str">
        <f>IF(Agent03_Loans!B158="","",Agent03_Loans!K158)</f>
        <v/>
      </c>
      <c r="L546" s="40" t="str">
        <f>IF(Agent03_Loans!B158="","",Agent03_Loans!L158)</f>
        <v/>
      </c>
      <c r="M546" s="40" t="str">
        <f>IFERROR(IF(Agent03_Loans!B158="","",YEAR(Agent03_Loans!D158)),"")</f>
        <v/>
      </c>
    </row>
    <row r="547" spans="1:13" ht="18" customHeight="1" x14ac:dyDescent="0.25">
      <c r="A547" s="40" t="str">
        <f>IF(Agent03_Loans!B159="","",Agent03_Loans!A159)</f>
        <v/>
      </c>
      <c r="B547" s="40" t="str">
        <f>IF(Agent03_Loans!B159="","",Agent03_Loans!B159)</f>
        <v/>
      </c>
      <c r="C547" s="40" t="str">
        <f>IF(Agent03_Loans!B159="","",Agent03_Loans!C159)</f>
        <v/>
      </c>
      <c r="D547" s="41" t="str">
        <f>IF(Agent03_Loans!B159="","",Agent03_Loans!D159)</f>
        <v/>
      </c>
      <c r="E547" s="43" t="str">
        <f>IF(Agent03_Loans!B159="","",Agent03_Loans!E159)</f>
        <v/>
      </c>
      <c r="F547" s="40" t="str">
        <f>IF(Agent03_Loans!B159="","",Agent03_Loans!F159)</f>
        <v/>
      </c>
      <c r="G547" s="40" t="str">
        <f>IF(Agent03_Loans!B159="","",Agent03_Loans!G159)</f>
        <v/>
      </c>
      <c r="H547" s="40" t="str">
        <f>IF(Agent03_Loans!B159="","",Agent03_Loans!H159)</f>
        <v/>
      </c>
      <c r="I547" s="43" t="str">
        <f>IF(Agent03_Loans!B159="","",Agent03_Loans!I159)</f>
        <v/>
      </c>
      <c r="J547" s="43" t="str">
        <f>IF(Agent03_Loans!B159="","",Agent03_Loans!J159)</f>
        <v/>
      </c>
      <c r="K547" s="40" t="str">
        <f>IF(Agent03_Loans!B159="","",Agent03_Loans!K159)</f>
        <v/>
      </c>
      <c r="L547" s="40" t="str">
        <f>IF(Agent03_Loans!B159="","",Agent03_Loans!L159)</f>
        <v/>
      </c>
      <c r="M547" s="40" t="str">
        <f>IFERROR(IF(Agent03_Loans!B159="","",YEAR(Agent03_Loans!D159)),"")</f>
        <v/>
      </c>
    </row>
    <row r="548" spans="1:13" ht="18" customHeight="1" x14ac:dyDescent="0.25">
      <c r="A548" s="40" t="str">
        <f>IF(Agent03_Loans!B160="","",Agent03_Loans!A160)</f>
        <v/>
      </c>
      <c r="B548" s="40" t="str">
        <f>IF(Agent03_Loans!B160="","",Agent03_Loans!B160)</f>
        <v/>
      </c>
      <c r="C548" s="40" t="str">
        <f>IF(Agent03_Loans!B160="","",Agent03_Loans!C160)</f>
        <v/>
      </c>
      <c r="D548" s="41" t="str">
        <f>IF(Agent03_Loans!B160="","",Agent03_Loans!D160)</f>
        <v/>
      </c>
      <c r="E548" s="43" t="str">
        <f>IF(Agent03_Loans!B160="","",Agent03_Loans!E160)</f>
        <v/>
      </c>
      <c r="F548" s="40" t="str">
        <f>IF(Agent03_Loans!B160="","",Agent03_Loans!F160)</f>
        <v/>
      </c>
      <c r="G548" s="40" t="str">
        <f>IF(Agent03_Loans!B160="","",Agent03_Loans!G160)</f>
        <v/>
      </c>
      <c r="H548" s="40" t="str">
        <f>IF(Agent03_Loans!B160="","",Agent03_Loans!H160)</f>
        <v/>
      </c>
      <c r="I548" s="43" t="str">
        <f>IF(Agent03_Loans!B160="","",Agent03_Loans!I160)</f>
        <v/>
      </c>
      <c r="J548" s="43" t="str">
        <f>IF(Agent03_Loans!B160="","",Agent03_Loans!J160)</f>
        <v/>
      </c>
      <c r="K548" s="40" t="str">
        <f>IF(Agent03_Loans!B160="","",Agent03_Loans!K160)</f>
        <v/>
      </c>
      <c r="L548" s="40" t="str">
        <f>IF(Agent03_Loans!B160="","",Agent03_Loans!L160)</f>
        <v/>
      </c>
      <c r="M548" s="40" t="str">
        <f>IFERROR(IF(Agent03_Loans!B160="","",YEAR(Agent03_Loans!D160)),"")</f>
        <v/>
      </c>
    </row>
    <row r="549" spans="1:13" ht="18" customHeight="1" x14ac:dyDescent="0.25">
      <c r="A549" s="40" t="str">
        <f>IF(Agent03_Loans!B161="","",Agent03_Loans!A161)</f>
        <v/>
      </c>
      <c r="B549" s="40" t="str">
        <f>IF(Agent03_Loans!B161="","",Agent03_Loans!B161)</f>
        <v/>
      </c>
      <c r="C549" s="40" t="str">
        <f>IF(Agent03_Loans!B161="","",Agent03_Loans!C161)</f>
        <v/>
      </c>
      <c r="D549" s="41" t="str">
        <f>IF(Agent03_Loans!B161="","",Agent03_Loans!D161)</f>
        <v/>
      </c>
      <c r="E549" s="43" t="str">
        <f>IF(Agent03_Loans!B161="","",Agent03_Loans!E161)</f>
        <v/>
      </c>
      <c r="F549" s="40" t="str">
        <f>IF(Agent03_Loans!B161="","",Agent03_Loans!F161)</f>
        <v/>
      </c>
      <c r="G549" s="40" t="str">
        <f>IF(Agent03_Loans!B161="","",Agent03_Loans!G161)</f>
        <v/>
      </c>
      <c r="H549" s="40" t="str">
        <f>IF(Agent03_Loans!B161="","",Agent03_Loans!H161)</f>
        <v/>
      </c>
      <c r="I549" s="43" t="str">
        <f>IF(Agent03_Loans!B161="","",Agent03_Loans!I161)</f>
        <v/>
      </c>
      <c r="J549" s="43" t="str">
        <f>IF(Agent03_Loans!B161="","",Agent03_Loans!J161)</f>
        <v/>
      </c>
      <c r="K549" s="40" t="str">
        <f>IF(Agent03_Loans!B161="","",Agent03_Loans!K161)</f>
        <v/>
      </c>
      <c r="L549" s="40" t="str">
        <f>IF(Agent03_Loans!B161="","",Agent03_Loans!L161)</f>
        <v/>
      </c>
      <c r="M549" s="40" t="str">
        <f>IFERROR(IF(Agent03_Loans!B161="","",YEAR(Agent03_Loans!D161)),"")</f>
        <v/>
      </c>
    </row>
    <row r="550" spans="1:13" ht="18" customHeight="1" x14ac:dyDescent="0.25">
      <c r="A550" s="40" t="str">
        <f>IF(Agent03_Loans!B162="","",Agent03_Loans!A162)</f>
        <v/>
      </c>
      <c r="B550" s="40" t="str">
        <f>IF(Agent03_Loans!B162="","",Agent03_Loans!B162)</f>
        <v/>
      </c>
      <c r="C550" s="40" t="str">
        <f>IF(Agent03_Loans!B162="","",Agent03_Loans!C162)</f>
        <v/>
      </c>
      <c r="D550" s="41" t="str">
        <f>IF(Agent03_Loans!B162="","",Agent03_Loans!D162)</f>
        <v/>
      </c>
      <c r="E550" s="43" t="str">
        <f>IF(Agent03_Loans!B162="","",Agent03_Loans!E162)</f>
        <v/>
      </c>
      <c r="F550" s="40" t="str">
        <f>IF(Agent03_Loans!B162="","",Agent03_Loans!F162)</f>
        <v/>
      </c>
      <c r="G550" s="40" t="str">
        <f>IF(Agent03_Loans!B162="","",Agent03_Loans!G162)</f>
        <v/>
      </c>
      <c r="H550" s="40" t="str">
        <f>IF(Agent03_Loans!B162="","",Agent03_Loans!H162)</f>
        <v/>
      </c>
      <c r="I550" s="43" t="str">
        <f>IF(Agent03_Loans!B162="","",Agent03_Loans!I162)</f>
        <v/>
      </c>
      <c r="J550" s="43" t="str">
        <f>IF(Agent03_Loans!B162="","",Agent03_Loans!J162)</f>
        <v/>
      </c>
      <c r="K550" s="40" t="str">
        <f>IF(Agent03_Loans!B162="","",Agent03_Loans!K162)</f>
        <v/>
      </c>
      <c r="L550" s="40" t="str">
        <f>IF(Agent03_Loans!B162="","",Agent03_Loans!L162)</f>
        <v/>
      </c>
      <c r="M550" s="40" t="str">
        <f>IFERROR(IF(Agent03_Loans!B162="","",YEAR(Agent03_Loans!D162)),"")</f>
        <v/>
      </c>
    </row>
    <row r="551" spans="1:13" ht="18" customHeight="1" x14ac:dyDescent="0.25">
      <c r="A551" s="40" t="str">
        <f>IF(Agent03_Loans!B163="","",Agent03_Loans!A163)</f>
        <v/>
      </c>
      <c r="B551" s="40" t="str">
        <f>IF(Agent03_Loans!B163="","",Agent03_Loans!B163)</f>
        <v/>
      </c>
      <c r="C551" s="40" t="str">
        <f>IF(Agent03_Loans!B163="","",Agent03_Loans!C163)</f>
        <v/>
      </c>
      <c r="D551" s="41" t="str">
        <f>IF(Agent03_Loans!B163="","",Agent03_Loans!D163)</f>
        <v/>
      </c>
      <c r="E551" s="43" t="str">
        <f>IF(Agent03_Loans!B163="","",Agent03_Loans!E163)</f>
        <v/>
      </c>
      <c r="F551" s="40" t="str">
        <f>IF(Agent03_Loans!B163="","",Agent03_Loans!F163)</f>
        <v/>
      </c>
      <c r="G551" s="40" t="str">
        <f>IF(Agent03_Loans!B163="","",Agent03_Loans!G163)</f>
        <v/>
      </c>
      <c r="H551" s="40" t="str">
        <f>IF(Agent03_Loans!B163="","",Agent03_Loans!H163)</f>
        <v/>
      </c>
      <c r="I551" s="43" t="str">
        <f>IF(Agent03_Loans!B163="","",Agent03_Loans!I163)</f>
        <v/>
      </c>
      <c r="J551" s="43" t="str">
        <f>IF(Agent03_Loans!B163="","",Agent03_Loans!J163)</f>
        <v/>
      </c>
      <c r="K551" s="40" t="str">
        <f>IF(Agent03_Loans!B163="","",Agent03_Loans!K163)</f>
        <v/>
      </c>
      <c r="L551" s="40" t="str">
        <f>IF(Agent03_Loans!B163="","",Agent03_Loans!L163)</f>
        <v/>
      </c>
      <c r="M551" s="40" t="str">
        <f>IFERROR(IF(Agent03_Loans!B163="","",YEAR(Agent03_Loans!D163)),"")</f>
        <v/>
      </c>
    </row>
    <row r="552" spans="1:13" ht="18" customHeight="1" x14ac:dyDescent="0.25">
      <c r="A552" s="40" t="str">
        <f>IF(Agent03_Loans!B164="","",Agent03_Loans!A164)</f>
        <v/>
      </c>
      <c r="B552" s="40" t="str">
        <f>IF(Agent03_Loans!B164="","",Agent03_Loans!B164)</f>
        <v/>
      </c>
      <c r="C552" s="40" t="str">
        <f>IF(Agent03_Loans!B164="","",Agent03_Loans!C164)</f>
        <v/>
      </c>
      <c r="D552" s="41" t="str">
        <f>IF(Agent03_Loans!B164="","",Agent03_Loans!D164)</f>
        <v/>
      </c>
      <c r="E552" s="43" t="str">
        <f>IF(Agent03_Loans!B164="","",Agent03_Loans!E164)</f>
        <v/>
      </c>
      <c r="F552" s="40" t="str">
        <f>IF(Agent03_Loans!B164="","",Agent03_Loans!F164)</f>
        <v/>
      </c>
      <c r="G552" s="40" t="str">
        <f>IF(Agent03_Loans!B164="","",Agent03_Loans!G164)</f>
        <v/>
      </c>
      <c r="H552" s="40" t="str">
        <f>IF(Agent03_Loans!B164="","",Agent03_Loans!H164)</f>
        <v/>
      </c>
      <c r="I552" s="43" t="str">
        <f>IF(Agent03_Loans!B164="","",Agent03_Loans!I164)</f>
        <v/>
      </c>
      <c r="J552" s="43" t="str">
        <f>IF(Agent03_Loans!B164="","",Agent03_Loans!J164)</f>
        <v/>
      </c>
      <c r="K552" s="40" t="str">
        <f>IF(Agent03_Loans!B164="","",Agent03_Loans!K164)</f>
        <v/>
      </c>
      <c r="L552" s="40" t="str">
        <f>IF(Agent03_Loans!B164="","",Agent03_Loans!L164)</f>
        <v/>
      </c>
      <c r="M552" s="40" t="str">
        <f>IFERROR(IF(Agent03_Loans!B164="","",YEAR(Agent03_Loans!D164)),"")</f>
        <v/>
      </c>
    </row>
    <row r="553" spans="1:13" ht="18" customHeight="1" x14ac:dyDescent="0.25">
      <c r="A553" s="40" t="str">
        <f>IF(Agent03_Loans!B165="","",Agent03_Loans!A165)</f>
        <v/>
      </c>
      <c r="B553" s="40" t="str">
        <f>IF(Agent03_Loans!B165="","",Agent03_Loans!B165)</f>
        <v/>
      </c>
      <c r="C553" s="40" t="str">
        <f>IF(Agent03_Loans!B165="","",Agent03_Loans!C165)</f>
        <v/>
      </c>
      <c r="D553" s="41" t="str">
        <f>IF(Agent03_Loans!B165="","",Agent03_Loans!D165)</f>
        <v/>
      </c>
      <c r="E553" s="43" t="str">
        <f>IF(Agent03_Loans!B165="","",Agent03_Loans!E165)</f>
        <v/>
      </c>
      <c r="F553" s="40" t="str">
        <f>IF(Agent03_Loans!B165="","",Agent03_Loans!F165)</f>
        <v/>
      </c>
      <c r="G553" s="40" t="str">
        <f>IF(Agent03_Loans!B165="","",Agent03_Loans!G165)</f>
        <v/>
      </c>
      <c r="H553" s="40" t="str">
        <f>IF(Agent03_Loans!B165="","",Agent03_Loans!H165)</f>
        <v/>
      </c>
      <c r="I553" s="43" t="str">
        <f>IF(Agent03_Loans!B165="","",Agent03_Loans!I165)</f>
        <v/>
      </c>
      <c r="J553" s="43" t="str">
        <f>IF(Agent03_Loans!B165="","",Agent03_Loans!J165)</f>
        <v/>
      </c>
      <c r="K553" s="40" t="str">
        <f>IF(Agent03_Loans!B165="","",Agent03_Loans!K165)</f>
        <v/>
      </c>
      <c r="L553" s="40" t="str">
        <f>IF(Agent03_Loans!B165="","",Agent03_Loans!L165)</f>
        <v/>
      </c>
      <c r="M553" s="40" t="str">
        <f>IFERROR(IF(Agent03_Loans!B165="","",YEAR(Agent03_Loans!D165)),"")</f>
        <v/>
      </c>
    </row>
    <row r="554" spans="1:13" ht="18" customHeight="1" x14ac:dyDescent="0.25">
      <c r="A554" s="40" t="str">
        <f>IF(Agent03_Loans!B166="","",Agent03_Loans!A166)</f>
        <v/>
      </c>
      <c r="B554" s="40" t="str">
        <f>IF(Agent03_Loans!B166="","",Agent03_Loans!B166)</f>
        <v/>
      </c>
      <c r="C554" s="40" t="str">
        <f>IF(Agent03_Loans!B166="","",Agent03_Loans!C166)</f>
        <v/>
      </c>
      <c r="D554" s="41" t="str">
        <f>IF(Agent03_Loans!B166="","",Agent03_Loans!D166)</f>
        <v/>
      </c>
      <c r="E554" s="43" t="str">
        <f>IF(Agent03_Loans!B166="","",Agent03_Loans!E166)</f>
        <v/>
      </c>
      <c r="F554" s="40" t="str">
        <f>IF(Agent03_Loans!B166="","",Agent03_Loans!F166)</f>
        <v/>
      </c>
      <c r="G554" s="40" t="str">
        <f>IF(Agent03_Loans!B166="","",Agent03_Loans!G166)</f>
        <v/>
      </c>
      <c r="H554" s="40" t="str">
        <f>IF(Agent03_Loans!B166="","",Agent03_Loans!H166)</f>
        <v/>
      </c>
      <c r="I554" s="43" t="str">
        <f>IF(Agent03_Loans!B166="","",Agent03_Loans!I166)</f>
        <v/>
      </c>
      <c r="J554" s="43" t="str">
        <f>IF(Agent03_Loans!B166="","",Agent03_Loans!J166)</f>
        <v/>
      </c>
      <c r="K554" s="40" t="str">
        <f>IF(Agent03_Loans!B166="","",Agent03_Loans!K166)</f>
        <v/>
      </c>
      <c r="L554" s="40" t="str">
        <f>IF(Agent03_Loans!B166="","",Agent03_Loans!L166)</f>
        <v/>
      </c>
      <c r="M554" s="40" t="str">
        <f>IFERROR(IF(Agent03_Loans!B166="","",YEAR(Agent03_Loans!D166)),"")</f>
        <v/>
      </c>
    </row>
    <row r="555" spans="1:13" ht="18" customHeight="1" x14ac:dyDescent="0.25">
      <c r="A555" s="40" t="str">
        <f>IF(Agent03_Loans!B167="","",Agent03_Loans!A167)</f>
        <v/>
      </c>
      <c r="B555" s="40" t="str">
        <f>IF(Agent03_Loans!B167="","",Agent03_Loans!B167)</f>
        <v/>
      </c>
      <c r="C555" s="40" t="str">
        <f>IF(Agent03_Loans!B167="","",Agent03_Loans!C167)</f>
        <v/>
      </c>
      <c r="D555" s="41" t="str">
        <f>IF(Agent03_Loans!B167="","",Agent03_Loans!D167)</f>
        <v/>
      </c>
      <c r="E555" s="43" t="str">
        <f>IF(Agent03_Loans!B167="","",Agent03_Loans!E167)</f>
        <v/>
      </c>
      <c r="F555" s="40" t="str">
        <f>IF(Agent03_Loans!B167="","",Agent03_Loans!F167)</f>
        <v/>
      </c>
      <c r="G555" s="40" t="str">
        <f>IF(Agent03_Loans!B167="","",Agent03_Loans!G167)</f>
        <v/>
      </c>
      <c r="H555" s="40" t="str">
        <f>IF(Agent03_Loans!B167="","",Agent03_Loans!H167)</f>
        <v/>
      </c>
      <c r="I555" s="43" t="str">
        <f>IF(Agent03_Loans!B167="","",Agent03_Loans!I167)</f>
        <v/>
      </c>
      <c r="J555" s="43" t="str">
        <f>IF(Agent03_Loans!B167="","",Agent03_Loans!J167)</f>
        <v/>
      </c>
      <c r="K555" s="40" t="str">
        <f>IF(Agent03_Loans!B167="","",Agent03_Loans!K167)</f>
        <v/>
      </c>
      <c r="L555" s="40" t="str">
        <f>IF(Agent03_Loans!B167="","",Agent03_Loans!L167)</f>
        <v/>
      </c>
      <c r="M555" s="40" t="str">
        <f>IFERROR(IF(Agent03_Loans!B167="","",YEAR(Agent03_Loans!D167)),"")</f>
        <v/>
      </c>
    </row>
    <row r="556" spans="1:13" ht="18" customHeight="1" x14ac:dyDescent="0.25">
      <c r="A556" s="40" t="str">
        <f>IF(Agent03_Loans!B168="","",Agent03_Loans!A168)</f>
        <v/>
      </c>
      <c r="B556" s="40" t="str">
        <f>IF(Agent03_Loans!B168="","",Agent03_Loans!B168)</f>
        <v/>
      </c>
      <c r="C556" s="40" t="str">
        <f>IF(Agent03_Loans!B168="","",Agent03_Loans!C168)</f>
        <v/>
      </c>
      <c r="D556" s="41" t="str">
        <f>IF(Agent03_Loans!B168="","",Agent03_Loans!D168)</f>
        <v/>
      </c>
      <c r="E556" s="43" t="str">
        <f>IF(Agent03_Loans!B168="","",Agent03_Loans!E168)</f>
        <v/>
      </c>
      <c r="F556" s="40" t="str">
        <f>IF(Agent03_Loans!B168="","",Agent03_Loans!F168)</f>
        <v/>
      </c>
      <c r="G556" s="40" t="str">
        <f>IF(Agent03_Loans!B168="","",Agent03_Loans!G168)</f>
        <v/>
      </c>
      <c r="H556" s="40" t="str">
        <f>IF(Agent03_Loans!B168="","",Agent03_Loans!H168)</f>
        <v/>
      </c>
      <c r="I556" s="43" t="str">
        <f>IF(Agent03_Loans!B168="","",Agent03_Loans!I168)</f>
        <v/>
      </c>
      <c r="J556" s="43" t="str">
        <f>IF(Agent03_Loans!B168="","",Agent03_Loans!J168)</f>
        <v/>
      </c>
      <c r="K556" s="40" t="str">
        <f>IF(Agent03_Loans!B168="","",Agent03_Loans!K168)</f>
        <v/>
      </c>
      <c r="L556" s="40" t="str">
        <f>IF(Agent03_Loans!B168="","",Agent03_Loans!L168)</f>
        <v/>
      </c>
      <c r="M556" s="40" t="str">
        <f>IFERROR(IF(Agent03_Loans!B168="","",YEAR(Agent03_Loans!D168)),"")</f>
        <v/>
      </c>
    </row>
    <row r="557" spans="1:13" ht="18" customHeight="1" x14ac:dyDescent="0.25">
      <c r="A557" s="40" t="str">
        <f>IF(Agent03_Loans!B169="","",Agent03_Loans!A169)</f>
        <v/>
      </c>
      <c r="B557" s="40" t="str">
        <f>IF(Agent03_Loans!B169="","",Agent03_Loans!B169)</f>
        <v/>
      </c>
      <c r="C557" s="40" t="str">
        <f>IF(Agent03_Loans!B169="","",Agent03_Loans!C169)</f>
        <v/>
      </c>
      <c r="D557" s="41" t="str">
        <f>IF(Agent03_Loans!B169="","",Agent03_Loans!D169)</f>
        <v/>
      </c>
      <c r="E557" s="43" t="str">
        <f>IF(Agent03_Loans!B169="","",Agent03_Loans!E169)</f>
        <v/>
      </c>
      <c r="F557" s="40" t="str">
        <f>IF(Agent03_Loans!B169="","",Agent03_Loans!F169)</f>
        <v/>
      </c>
      <c r="G557" s="40" t="str">
        <f>IF(Agent03_Loans!B169="","",Agent03_Loans!G169)</f>
        <v/>
      </c>
      <c r="H557" s="40" t="str">
        <f>IF(Agent03_Loans!B169="","",Agent03_Loans!H169)</f>
        <v/>
      </c>
      <c r="I557" s="43" t="str">
        <f>IF(Agent03_Loans!B169="","",Agent03_Loans!I169)</f>
        <v/>
      </c>
      <c r="J557" s="43" t="str">
        <f>IF(Agent03_Loans!B169="","",Agent03_Loans!J169)</f>
        <v/>
      </c>
      <c r="K557" s="40" t="str">
        <f>IF(Agent03_Loans!B169="","",Agent03_Loans!K169)</f>
        <v/>
      </c>
      <c r="L557" s="40" t="str">
        <f>IF(Agent03_Loans!B169="","",Agent03_Loans!L169)</f>
        <v/>
      </c>
      <c r="M557" s="40" t="str">
        <f>IFERROR(IF(Agent03_Loans!B169="","",YEAR(Agent03_Loans!D169)),"")</f>
        <v/>
      </c>
    </row>
    <row r="558" spans="1:13" ht="18" customHeight="1" x14ac:dyDescent="0.25">
      <c r="A558" s="40" t="str">
        <f>IF(Agent03_Loans!B170="","",Agent03_Loans!A170)</f>
        <v/>
      </c>
      <c r="B558" s="40" t="str">
        <f>IF(Agent03_Loans!B170="","",Agent03_Loans!B170)</f>
        <v/>
      </c>
      <c r="C558" s="40" t="str">
        <f>IF(Agent03_Loans!B170="","",Agent03_Loans!C170)</f>
        <v/>
      </c>
      <c r="D558" s="41" t="str">
        <f>IF(Agent03_Loans!B170="","",Agent03_Loans!D170)</f>
        <v/>
      </c>
      <c r="E558" s="43" t="str">
        <f>IF(Agent03_Loans!B170="","",Agent03_Loans!E170)</f>
        <v/>
      </c>
      <c r="F558" s="40" t="str">
        <f>IF(Agent03_Loans!B170="","",Agent03_Loans!F170)</f>
        <v/>
      </c>
      <c r="G558" s="40" t="str">
        <f>IF(Agent03_Loans!B170="","",Agent03_Loans!G170)</f>
        <v/>
      </c>
      <c r="H558" s="40" t="str">
        <f>IF(Agent03_Loans!B170="","",Agent03_Loans!H170)</f>
        <v/>
      </c>
      <c r="I558" s="43" t="str">
        <f>IF(Agent03_Loans!B170="","",Agent03_Loans!I170)</f>
        <v/>
      </c>
      <c r="J558" s="43" t="str">
        <f>IF(Agent03_Loans!B170="","",Agent03_Loans!J170)</f>
        <v/>
      </c>
      <c r="K558" s="40" t="str">
        <f>IF(Agent03_Loans!B170="","",Agent03_Loans!K170)</f>
        <v/>
      </c>
      <c r="L558" s="40" t="str">
        <f>IF(Agent03_Loans!B170="","",Agent03_Loans!L170)</f>
        <v/>
      </c>
      <c r="M558" s="40" t="str">
        <f>IFERROR(IF(Agent03_Loans!B170="","",YEAR(Agent03_Loans!D170)),"")</f>
        <v/>
      </c>
    </row>
    <row r="559" spans="1:13" ht="18" customHeight="1" x14ac:dyDescent="0.25">
      <c r="A559" s="40" t="str">
        <f>IF(Agent03_Loans!B171="","",Agent03_Loans!A171)</f>
        <v/>
      </c>
      <c r="B559" s="40" t="str">
        <f>IF(Agent03_Loans!B171="","",Agent03_Loans!B171)</f>
        <v/>
      </c>
      <c r="C559" s="40" t="str">
        <f>IF(Agent03_Loans!B171="","",Agent03_Loans!C171)</f>
        <v/>
      </c>
      <c r="D559" s="41" t="str">
        <f>IF(Agent03_Loans!B171="","",Agent03_Loans!D171)</f>
        <v/>
      </c>
      <c r="E559" s="43" t="str">
        <f>IF(Agent03_Loans!B171="","",Agent03_Loans!E171)</f>
        <v/>
      </c>
      <c r="F559" s="40" t="str">
        <f>IF(Agent03_Loans!B171="","",Agent03_Loans!F171)</f>
        <v/>
      </c>
      <c r="G559" s="40" t="str">
        <f>IF(Agent03_Loans!B171="","",Agent03_Loans!G171)</f>
        <v/>
      </c>
      <c r="H559" s="40" t="str">
        <f>IF(Agent03_Loans!B171="","",Agent03_Loans!H171)</f>
        <v/>
      </c>
      <c r="I559" s="43" t="str">
        <f>IF(Agent03_Loans!B171="","",Agent03_Loans!I171)</f>
        <v/>
      </c>
      <c r="J559" s="43" t="str">
        <f>IF(Agent03_Loans!B171="","",Agent03_Loans!J171)</f>
        <v/>
      </c>
      <c r="K559" s="40" t="str">
        <f>IF(Agent03_Loans!B171="","",Agent03_Loans!K171)</f>
        <v/>
      </c>
      <c r="L559" s="40" t="str">
        <f>IF(Agent03_Loans!B171="","",Agent03_Loans!L171)</f>
        <v/>
      </c>
      <c r="M559" s="40" t="str">
        <f>IFERROR(IF(Agent03_Loans!B171="","",YEAR(Agent03_Loans!D171)),"")</f>
        <v/>
      </c>
    </row>
    <row r="560" spans="1:13" ht="18" customHeight="1" x14ac:dyDescent="0.25">
      <c r="A560" s="40" t="str">
        <f>IF(Agent03_Loans!B172="","",Agent03_Loans!A172)</f>
        <v/>
      </c>
      <c r="B560" s="40" t="str">
        <f>IF(Agent03_Loans!B172="","",Agent03_Loans!B172)</f>
        <v/>
      </c>
      <c r="C560" s="40" t="str">
        <f>IF(Agent03_Loans!B172="","",Agent03_Loans!C172)</f>
        <v/>
      </c>
      <c r="D560" s="41" t="str">
        <f>IF(Agent03_Loans!B172="","",Agent03_Loans!D172)</f>
        <v/>
      </c>
      <c r="E560" s="43" t="str">
        <f>IF(Agent03_Loans!B172="","",Agent03_Loans!E172)</f>
        <v/>
      </c>
      <c r="F560" s="40" t="str">
        <f>IF(Agent03_Loans!B172="","",Agent03_Loans!F172)</f>
        <v/>
      </c>
      <c r="G560" s="40" t="str">
        <f>IF(Agent03_Loans!B172="","",Agent03_Loans!G172)</f>
        <v/>
      </c>
      <c r="H560" s="40" t="str">
        <f>IF(Agent03_Loans!B172="","",Agent03_Loans!H172)</f>
        <v/>
      </c>
      <c r="I560" s="43" t="str">
        <f>IF(Agent03_Loans!B172="","",Agent03_Loans!I172)</f>
        <v/>
      </c>
      <c r="J560" s="43" t="str">
        <f>IF(Agent03_Loans!B172="","",Agent03_Loans!J172)</f>
        <v/>
      </c>
      <c r="K560" s="40" t="str">
        <f>IF(Agent03_Loans!B172="","",Agent03_Loans!K172)</f>
        <v/>
      </c>
      <c r="L560" s="40" t="str">
        <f>IF(Agent03_Loans!B172="","",Agent03_Loans!L172)</f>
        <v/>
      </c>
      <c r="M560" s="40" t="str">
        <f>IFERROR(IF(Agent03_Loans!B172="","",YEAR(Agent03_Loans!D172)),"")</f>
        <v/>
      </c>
    </row>
    <row r="561" spans="1:13" ht="18" customHeight="1" x14ac:dyDescent="0.25">
      <c r="A561" s="40" t="str">
        <f>IF(Agent03_Loans!B173="","",Agent03_Loans!A173)</f>
        <v/>
      </c>
      <c r="B561" s="40" t="str">
        <f>IF(Agent03_Loans!B173="","",Agent03_Loans!B173)</f>
        <v/>
      </c>
      <c r="C561" s="40" t="str">
        <f>IF(Agent03_Loans!B173="","",Agent03_Loans!C173)</f>
        <v/>
      </c>
      <c r="D561" s="41" t="str">
        <f>IF(Agent03_Loans!B173="","",Agent03_Loans!D173)</f>
        <v/>
      </c>
      <c r="E561" s="43" t="str">
        <f>IF(Agent03_Loans!B173="","",Agent03_Loans!E173)</f>
        <v/>
      </c>
      <c r="F561" s="40" t="str">
        <f>IF(Agent03_Loans!B173="","",Agent03_Loans!F173)</f>
        <v/>
      </c>
      <c r="G561" s="40" t="str">
        <f>IF(Agent03_Loans!B173="","",Agent03_Loans!G173)</f>
        <v/>
      </c>
      <c r="H561" s="40" t="str">
        <f>IF(Agent03_Loans!B173="","",Agent03_Loans!H173)</f>
        <v/>
      </c>
      <c r="I561" s="43" t="str">
        <f>IF(Agent03_Loans!B173="","",Agent03_Loans!I173)</f>
        <v/>
      </c>
      <c r="J561" s="43" t="str">
        <f>IF(Agent03_Loans!B173="","",Agent03_Loans!J173)</f>
        <v/>
      </c>
      <c r="K561" s="40" t="str">
        <f>IF(Agent03_Loans!B173="","",Agent03_Loans!K173)</f>
        <v/>
      </c>
      <c r="L561" s="40" t="str">
        <f>IF(Agent03_Loans!B173="","",Agent03_Loans!L173)</f>
        <v/>
      </c>
      <c r="M561" s="40" t="str">
        <f>IFERROR(IF(Agent03_Loans!B173="","",YEAR(Agent03_Loans!D173)),"")</f>
        <v/>
      </c>
    </row>
    <row r="562" spans="1:13" ht="18" customHeight="1" x14ac:dyDescent="0.25">
      <c r="A562" s="40" t="str">
        <f>IF(Agent03_Loans!B174="","",Agent03_Loans!A174)</f>
        <v/>
      </c>
      <c r="B562" s="40" t="str">
        <f>IF(Agent03_Loans!B174="","",Agent03_Loans!B174)</f>
        <v/>
      </c>
      <c r="C562" s="40" t="str">
        <f>IF(Agent03_Loans!B174="","",Agent03_Loans!C174)</f>
        <v/>
      </c>
      <c r="D562" s="41" t="str">
        <f>IF(Agent03_Loans!B174="","",Agent03_Loans!D174)</f>
        <v/>
      </c>
      <c r="E562" s="43" t="str">
        <f>IF(Agent03_Loans!B174="","",Agent03_Loans!E174)</f>
        <v/>
      </c>
      <c r="F562" s="40" t="str">
        <f>IF(Agent03_Loans!B174="","",Agent03_Loans!F174)</f>
        <v/>
      </c>
      <c r="G562" s="40" t="str">
        <f>IF(Agent03_Loans!B174="","",Agent03_Loans!G174)</f>
        <v/>
      </c>
      <c r="H562" s="40" t="str">
        <f>IF(Agent03_Loans!B174="","",Agent03_Loans!H174)</f>
        <v/>
      </c>
      <c r="I562" s="43" t="str">
        <f>IF(Agent03_Loans!B174="","",Agent03_Loans!I174)</f>
        <v/>
      </c>
      <c r="J562" s="43" t="str">
        <f>IF(Agent03_Loans!B174="","",Agent03_Loans!J174)</f>
        <v/>
      </c>
      <c r="K562" s="40" t="str">
        <f>IF(Agent03_Loans!B174="","",Agent03_Loans!K174)</f>
        <v/>
      </c>
      <c r="L562" s="40" t="str">
        <f>IF(Agent03_Loans!B174="","",Agent03_Loans!L174)</f>
        <v/>
      </c>
      <c r="M562" s="40" t="str">
        <f>IFERROR(IF(Agent03_Loans!B174="","",YEAR(Agent03_Loans!D174)),"")</f>
        <v/>
      </c>
    </row>
    <row r="563" spans="1:13" ht="18" customHeight="1" x14ac:dyDescent="0.25">
      <c r="A563" s="40" t="str">
        <f>IF(Agent03_Loans!B175="","",Agent03_Loans!A175)</f>
        <v/>
      </c>
      <c r="B563" s="40" t="str">
        <f>IF(Agent03_Loans!B175="","",Agent03_Loans!B175)</f>
        <v/>
      </c>
      <c r="C563" s="40" t="str">
        <f>IF(Agent03_Loans!B175="","",Agent03_Loans!C175)</f>
        <v/>
      </c>
      <c r="D563" s="41" t="str">
        <f>IF(Agent03_Loans!B175="","",Agent03_Loans!D175)</f>
        <v/>
      </c>
      <c r="E563" s="43" t="str">
        <f>IF(Agent03_Loans!B175="","",Agent03_Loans!E175)</f>
        <v/>
      </c>
      <c r="F563" s="40" t="str">
        <f>IF(Agent03_Loans!B175="","",Agent03_Loans!F175)</f>
        <v/>
      </c>
      <c r="G563" s="40" t="str">
        <f>IF(Agent03_Loans!B175="","",Agent03_Loans!G175)</f>
        <v/>
      </c>
      <c r="H563" s="40" t="str">
        <f>IF(Agent03_Loans!B175="","",Agent03_Loans!H175)</f>
        <v/>
      </c>
      <c r="I563" s="43" t="str">
        <f>IF(Agent03_Loans!B175="","",Agent03_Loans!I175)</f>
        <v/>
      </c>
      <c r="J563" s="43" t="str">
        <f>IF(Agent03_Loans!B175="","",Agent03_Loans!J175)</f>
        <v/>
      </c>
      <c r="K563" s="40" t="str">
        <f>IF(Agent03_Loans!B175="","",Agent03_Loans!K175)</f>
        <v/>
      </c>
      <c r="L563" s="40" t="str">
        <f>IF(Agent03_Loans!B175="","",Agent03_Loans!L175)</f>
        <v/>
      </c>
      <c r="M563" s="40" t="str">
        <f>IFERROR(IF(Agent03_Loans!B175="","",YEAR(Agent03_Loans!D175)),"")</f>
        <v/>
      </c>
    </row>
    <row r="564" spans="1:13" ht="18" customHeight="1" x14ac:dyDescent="0.25">
      <c r="A564" s="40" t="str">
        <f>IF(Agent03_Loans!B176="","",Agent03_Loans!A176)</f>
        <v/>
      </c>
      <c r="B564" s="40" t="str">
        <f>IF(Agent03_Loans!B176="","",Agent03_Loans!B176)</f>
        <v/>
      </c>
      <c r="C564" s="40" t="str">
        <f>IF(Agent03_Loans!B176="","",Agent03_Loans!C176)</f>
        <v/>
      </c>
      <c r="D564" s="41" t="str">
        <f>IF(Agent03_Loans!B176="","",Agent03_Loans!D176)</f>
        <v/>
      </c>
      <c r="E564" s="43" t="str">
        <f>IF(Agent03_Loans!B176="","",Agent03_Loans!E176)</f>
        <v/>
      </c>
      <c r="F564" s="40" t="str">
        <f>IF(Agent03_Loans!B176="","",Agent03_Loans!F176)</f>
        <v/>
      </c>
      <c r="G564" s="40" t="str">
        <f>IF(Agent03_Loans!B176="","",Agent03_Loans!G176)</f>
        <v/>
      </c>
      <c r="H564" s="40" t="str">
        <f>IF(Agent03_Loans!B176="","",Agent03_Loans!H176)</f>
        <v/>
      </c>
      <c r="I564" s="43" t="str">
        <f>IF(Agent03_Loans!B176="","",Agent03_Loans!I176)</f>
        <v/>
      </c>
      <c r="J564" s="43" t="str">
        <f>IF(Agent03_Loans!B176="","",Agent03_Loans!J176)</f>
        <v/>
      </c>
      <c r="K564" s="40" t="str">
        <f>IF(Agent03_Loans!B176="","",Agent03_Loans!K176)</f>
        <v/>
      </c>
      <c r="L564" s="40" t="str">
        <f>IF(Agent03_Loans!B176="","",Agent03_Loans!L176)</f>
        <v/>
      </c>
      <c r="M564" s="40" t="str">
        <f>IFERROR(IF(Agent03_Loans!B176="","",YEAR(Agent03_Loans!D176)),"")</f>
        <v/>
      </c>
    </row>
    <row r="565" spans="1:13" ht="18" customHeight="1" x14ac:dyDescent="0.25">
      <c r="A565" s="40" t="str">
        <f>IF(Agent03_Loans!B177="","",Agent03_Loans!A177)</f>
        <v/>
      </c>
      <c r="B565" s="40" t="str">
        <f>IF(Agent03_Loans!B177="","",Agent03_Loans!B177)</f>
        <v/>
      </c>
      <c r="C565" s="40" t="str">
        <f>IF(Agent03_Loans!B177="","",Agent03_Loans!C177)</f>
        <v/>
      </c>
      <c r="D565" s="41" t="str">
        <f>IF(Agent03_Loans!B177="","",Agent03_Loans!D177)</f>
        <v/>
      </c>
      <c r="E565" s="43" t="str">
        <f>IF(Agent03_Loans!B177="","",Agent03_Loans!E177)</f>
        <v/>
      </c>
      <c r="F565" s="40" t="str">
        <f>IF(Agent03_Loans!B177="","",Agent03_Loans!F177)</f>
        <v/>
      </c>
      <c r="G565" s="40" t="str">
        <f>IF(Agent03_Loans!B177="","",Agent03_Loans!G177)</f>
        <v/>
      </c>
      <c r="H565" s="40" t="str">
        <f>IF(Agent03_Loans!B177="","",Agent03_Loans!H177)</f>
        <v/>
      </c>
      <c r="I565" s="43" t="str">
        <f>IF(Agent03_Loans!B177="","",Agent03_Loans!I177)</f>
        <v/>
      </c>
      <c r="J565" s="43" t="str">
        <f>IF(Agent03_Loans!B177="","",Agent03_Loans!J177)</f>
        <v/>
      </c>
      <c r="K565" s="40" t="str">
        <f>IF(Agent03_Loans!B177="","",Agent03_Loans!K177)</f>
        <v/>
      </c>
      <c r="L565" s="40" t="str">
        <f>IF(Agent03_Loans!B177="","",Agent03_Loans!L177)</f>
        <v/>
      </c>
      <c r="M565" s="40" t="str">
        <f>IFERROR(IF(Agent03_Loans!B177="","",YEAR(Agent03_Loans!D177)),"")</f>
        <v/>
      </c>
    </row>
    <row r="566" spans="1:13" ht="18" customHeight="1" x14ac:dyDescent="0.25">
      <c r="A566" s="40" t="str">
        <f>IF(Agent03_Loans!B178="","",Agent03_Loans!A178)</f>
        <v/>
      </c>
      <c r="B566" s="40" t="str">
        <f>IF(Agent03_Loans!B178="","",Agent03_Loans!B178)</f>
        <v/>
      </c>
      <c r="C566" s="40" t="str">
        <f>IF(Agent03_Loans!B178="","",Agent03_Loans!C178)</f>
        <v/>
      </c>
      <c r="D566" s="41" t="str">
        <f>IF(Agent03_Loans!B178="","",Agent03_Loans!D178)</f>
        <v/>
      </c>
      <c r="E566" s="43" t="str">
        <f>IF(Agent03_Loans!B178="","",Agent03_Loans!E178)</f>
        <v/>
      </c>
      <c r="F566" s="40" t="str">
        <f>IF(Agent03_Loans!B178="","",Agent03_Loans!F178)</f>
        <v/>
      </c>
      <c r="G566" s="40" t="str">
        <f>IF(Agent03_Loans!B178="","",Agent03_Loans!G178)</f>
        <v/>
      </c>
      <c r="H566" s="40" t="str">
        <f>IF(Agent03_Loans!B178="","",Agent03_Loans!H178)</f>
        <v/>
      </c>
      <c r="I566" s="43" t="str">
        <f>IF(Agent03_Loans!B178="","",Agent03_Loans!I178)</f>
        <v/>
      </c>
      <c r="J566" s="43" t="str">
        <f>IF(Agent03_Loans!B178="","",Agent03_Loans!J178)</f>
        <v/>
      </c>
      <c r="K566" s="40" t="str">
        <f>IF(Agent03_Loans!B178="","",Agent03_Loans!K178)</f>
        <v/>
      </c>
      <c r="L566" s="40" t="str">
        <f>IF(Agent03_Loans!B178="","",Agent03_Loans!L178)</f>
        <v/>
      </c>
      <c r="M566" s="40" t="str">
        <f>IFERROR(IF(Agent03_Loans!B178="","",YEAR(Agent03_Loans!D178)),"")</f>
        <v/>
      </c>
    </row>
    <row r="567" spans="1:13" ht="18" customHeight="1" x14ac:dyDescent="0.25">
      <c r="A567" s="40" t="str">
        <f>IF(Agent03_Loans!B179="","",Agent03_Loans!A179)</f>
        <v/>
      </c>
      <c r="B567" s="40" t="str">
        <f>IF(Agent03_Loans!B179="","",Agent03_Loans!B179)</f>
        <v/>
      </c>
      <c r="C567" s="40" t="str">
        <f>IF(Agent03_Loans!B179="","",Agent03_Loans!C179)</f>
        <v/>
      </c>
      <c r="D567" s="41" t="str">
        <f>IF(Agent03_Loans!B179="","",Agent03_Loans!D179)</f>
        <v/>
      </c>
      <c r="E567" s="43" t="str">
        <f>IF(Agent03_Loans!B179="","",Agent03_Loans!E179)</f>
        <v/>
      </c>
      <c r="F567" s="40" t="str">
        <f>IF(Agent03_Loans!B179="","",Agent03_Loans!F179)</f>
        <v/>
      </c>
      <c r="G567" s="40" t="str">
        <f>IF(Agent03_Loans!B179="","",Agent03_Loans!G179)</f>
        <v/>
      </c>
      <c r="H567" s="40" t="str">
        <f>IF(Agent03_Loans!B179="","",Agent03_Loans!H179)</f>
        <v/>
      </c>
      <c r="I567" s="43" t="str">
        <f>IF(Agent03_Loans!B179="","",Agent03_Loans!I179)</f>
        <v/>
      </c>
      <c r="J567" s="43" t="str">
        <f>IF(Agent03_Loans!B179="","",Agent03_Loans!J179)</f>
        <v/>
      </c>
      <c r="K567" s="40" t="str">
        <f>IF(Agent03_Loans!B179="","",Agent03_Loans!K179)</f>
        <v/>
      </c>
      <c r="L567" s="40" t="str">
        <f>IF(Agent03_Loans!B179="","",Agent03_Loans!L179)</f>
        <v/>
      </c>
      <c r="M567" s="40" t="str">
        <f>IFERROR(IF(Agent03_Loans!B179="","",YEAR(Agent03_Loans!D179)),"")</f>
        <v/>
      </c>
    </row>
    <row r="568" spans="1:13" ht="18" customHeight="1" x14ac:dyDescent="0.25">
      <c r="A568" s="40" t="str">
        <f>IF(Agent03_Loans!B180="","",Agent03_Loans!A180)</f>
        <v/>
      </c>
      <c r="B568" s="40" t="str">
        <f>IF(Agent03_Loans!B180="","",Agent03_Loans!B180)</f>
        <v/>
      </c>
      <c r="C568" s="40" t="str">
        <f>IF(Agent03_Loans!B180="","",Agent03_Loans!C180)</f>
        <v/>
      </c>
      <c r="D568" s="41" t="str">
        <f>IF(Agent03_Loans!B180="","",Agent03_Loans!D180)</f>
        <v/>
      </c>
      <c r="E568" s="43" t="str">
        <f>IF(Agent03_Loans!B180="","",Agent03_Loans!E180)</f>
        <v/>
      </c>
      <c r="F568" s="40" t="str">
        <f>IF(Agent03_Loans!B180="","",Agent03_Loans!F180)</f>
        <v/>
      </c>
      <c r="G568" s="40" t="str">
        <f>IF(Agent03_Loans!B180="","",Agent03_Loans!G180)</f>
        <v/>
      </c>
      <c r="H568" s="40" t="str">
        <f>IF(Agent03_Loans!B180="","",Agent03_Loans!H180)</f>
        <v/>
      </c>
      <c r="I568" s="43" t="str">
        <f>IF(Agent03_Loans!B180="","",Agent03_Loans!I180)</f>
        <v/>
      </c>
      <c r="J568" s="43" t="str">
        <f>IF(Agent03_Loans!B180="","",Agent03_Loans!J180)</f>
        <v/>
      </c>
      <c r="K568" s="40" t="str">
        <f>IF(Agent03_Loans!B180="","",Agent03_Loans!K180)</f>
        <v/>
      </c>
      <c r="L568" s="40" t="str">
        <f>IF(Agent03_Loans!B180="","",Agent03_Loans!L180)</f>
        <v/>
      </c>
      <c r="M568" s="40" t="str">
        <f>IFERROR(IF(Agent03_Loans!B180="","",YEAR(Agent03_Loans!D180)),"")</f>
        <v/>
      </c>
    </row>
    <row r="569" spans="1:13" ht="18" customHeight="1" x14ac:dyDescent="0.25">
      <c r="A569" s="40" t="str">
        <f>IF(Agent03_Loans!B181="","",Agent03_Loans!A181)</f>
        <v/>
      </c>
      <c r="B569" s="40" t="str">
        <f>IF(Agent03_Loans!B181="","",Agent03_Loans!B181)</f>
        <v/>
      </c>
      <c r="C569" s="40" t="str">
        <f>IF(Agent03_Loans!B181="","",Agent03_Loans!C181)</f>
        <v/>
      </c>
      <c r="D569" s="41" t="str">
        <f>IF(Agent03_Loans!B181="","",Agent03_Loans!D181)</f>
        <v/>
      </c>
      <c r="E569" s="43" t="str">
        <f>IF(Agent03_Loans!B181="","",Agent03_Loans!E181)</f>
        <v/>
      </c>
      <c r="F569" s="40" t="str">
        <f>IF(Agent03_Loans!B181="","",Agent03_Loans!F181)</f>
        <v/>
      </c>
      <c r="G569" s="40" t="str">
        <f>IF(Agent03_Loans!B181="","",Agent03_Loans!G181)</f>
        <v/>
      </c>
      <c r="H569" s="40" t="str">
        <f>IF(Agent03_Loans!B181="","",Agent03_Loans!H181)</f>
        <v/>
      </c>
      <c r="I569" s="43" t="str">
        <f>IF(Agent03_Loans!B181="","",Agent03_Loans!I181)</f>
        <v/>
      </c>
      <c r="J569" s="43" t="str">
        <f>IF(Agent03_Loans!B181="","",Agent03_Loans!J181)</f>
        <v/>
      </c>
      <c r="K569" s="40" t="str">
        <f>IF(Agent03_Loans!B181="","",Agent03_Loans!K181)</f>
        <v/>
      </c>
      <c r="L569" s="40" t="str">
        <f>IF(Agent03_Loans!B181="","",Agent03_Loans!L181)</f>
        <v/>
      </c>
      <c r="M569" s="40" t="str">
        <f>IFERROR(IF(Agent03_Loans!B181="","",YEAR(Agent03_Loans!D181)),"")</f>
        <v/>
      </c>
    </row>
    <row r="570" spans="1:13" ht="18" customHeight="1" x14ac:dyDescent="0.25">
      <c r="A570" s="40" t="str">
        <f>IF(Agent03_Loans!B182="","",Agent03_Loans!A182)</f>
        <v/>
      </c>
      <c r="B570" s="40" t="str">
        <f>IF(Agent03_Loans!B182="","",Agent03_Loans!B182)</f>
        <v/>
      </c>
      <c r="C570" s="40" t="str">
        <f>IF(Agent03_Loans!B182="","",Agent03_Loans!C182)</f>
        <v/>
      </c>
      <c r="D570" s="41" t="str">
        <f>IF(Agent03_Loans!B182="","",Agent03_Loans!D182)</f>
        <v/>
      </c>
      <c r="E570" s="43" t="str">
        <f>IF(Agent03_Loans!B182="","",Agent03_Loans!E182)</f>
        <v/>
      </c>
      <c r="F570" s="40" t="str">
        <f>IF(Agent03_Loans!B182="","",Agent03_Loans!F182)</f>
        <v/>
      </c>
      <c r="G570" s="40" t="str">
        <f>IF(Agent03_Loans!B182="","",Agent03_Loans!G182)</f>
        <v/>
      </c>
      <c r="H570" s="40" t="str">
        <f>IF(Agent03_Loans!B182="","",Agent03_Loans!H182)</f>
        <v/>
      </c>
      <c r="I570" s="43" t="str">
        <f>IF(Agent03_Loans!B182="","",Agent03_Loans!I182)</f>
        <v/>
      </c>
      <c r="J570" s="43" t="str">
        <f>IF(Agent03_Loans!B182="","",Agent03_Loans!J182)</f>
        <v/>
      </c>
      <c r="K570" s="40" t="str">
        <f>IF(Agent03_Loans!B182="","",Agent03_Loans!K182)</f>
        <v/>
      </c>
      <c r="L570" s="40" t="str">
        <f>IF(Agent03_Loans!B182="","",Agent03_Loans!L182)</f>
        <v/>
      </c>
      <c r="M570" s="40" t="str">
        <f>IFERROR(IF(Agent03_Loans!B182="","",YEAR(Agent03_Loans!D182)),"")</f>
        <v/>
      </c>
    </row>
    <row r="571" spans="1:13" ht="18" customHeight="1" x14ac:dyDescent="0.25">
      <c r="A571" s="40" t="str">
        <f>IF(Agent03_Loans!B183="","",Agent03_Loans!A183)</f>
        <v/>
      </c>
      <c r="B571" s="40" t="str">
        <f>IF(Agent03_Loans!B183="","",Agent03_Loans!B183)</f>
        <v/>
      </c>
      <c r="C571" s="40" t="str">
        <f>IF(Agent03_Loans!B183="","",Agent03_Loans!C183)</f>
        <v/>
      </c>
      <c r="D571" s="41" t="str">
        <f>IF(Agent03_Loans!B183="","",Agent03_Loans!D183)</f>
        <v/>
      </c>
      <c r="E571" s="43" t="str">
        <f>IF(Agent03_Loans!B183="","",Agent03_Loans!E183)</f>
        <v/>
      </c>
      <c r="F571" s="40" t="str">
        <f>IF(Agent03_Loans!B183="","",Agent03_Loans!F183)</f>
        <v/>
      </c>
      <c r="G571" s="40" t="str">
        <f>IF(Agent03_Loans!B183="","",Agent03_Loans!G183)</f>
        <v/>
      </c>
      <c r="H571" s="40" t="str">
        <f>IF(Agent03_Loans!B183="","",Agent03_Loans!H183)</f>
        <v/>
      </c>
      <c r="I571" s="43" t="str">
        <f>IF(Agent03_Loans!B183="","",Agent03_Loans!I183)</f>
        <v/>
      </c>
      <c r="J571" s="43" t="str">
        <f>IF(Agent03_Loans!B183="","",Agent03_Loans!J183)</f>
        <v/>
      </c>
      <c r="K571" s="40" t="str">
        <f>IF(Agent03_Loans!B183="","",Agent03_Loans!K183)</f>
        <v/>
      </c>
      <c r="L571" s="40" t="str">
        <f>IF(Agent03_Loans!B183="","",Agent03_Loans!L183)</f>
        <v/>
      </c>
      <c r="M571" s="40" t="str">
        <f>IFERROR(IF(Agent03_Loans!B183="","",YEAR(Agent03_Loans!D183)),"")</f>
        <v/>
      </c>
    </row>
    <row r="572" spans="1:13" ht="18" customHeight="1" x14ac:dyDescent="0.25">
      <c r="A572" s="40" t="str">
        <f>IF(Agent03_Loans!B184="","",Agent03_Loans!A184)</f>
        <v/>
      </c>
      <c r="B572" s="40" t="str">
        <f>IF(Agent03_Loans!B184="","",Agent03_Loans!B184)</f>
        <v/>
      </c>
      <c r="C572" s="40" t="str">
        <f>IF(Agent03_Loans!B184="","",Agent03_Loans!C184)</f>
        <v/>
      </c>
      <c r="D572" s="41" t="str">
        <f>IF(Agent03_Loans!B184="","",Agent03_Loans!D184)</f>
        <v/>
      </c>
      <c r="E572" s="43" t="str">
        <f>IF(Agent03_Loans!B184="","",Agent03_Loans!E184)</f>
        <v/>
      </c>
      <c r="F572" s="40" t="str">
        <f>IF(Agent03_Loans!B184="","",Agent03_Loans!F184)</f>
        <v/>
      </c>
      <c r="G572" s="40" t="str">
        <f>IF(Agent03_Loans!B184="","",Agent03_Loans!G184)</f>
        <v/>
      </c>
      <c r="H572" s="40" t="str">
        <f>IF(Agent03_Loans!B184="","",Agent03_Loans!H184)</f>
        <v/>
      </c>
      <c r="I572" s="43" t="str">
        <f>IF(Agent03_Loans!B184="","",Agent03_Loans!I184)</f>
        <v/>
      </c>
      <c r="J572" s="43" t="str">
        <f>IF(Agent03_Loans!B184="","",Agent03_Loans!J184)</f>
        <v/>
      </c>
      <c r="K572" s="40" t="str">
        <f>IF(Agent03_Loans!B184="","",Agent03_Loans!K184)</f>
        <v/>
      </c>
      <c r="L572" s="40" t="str">
        <f>IF(Agent03_Loans!B184="","",Agent03_Loans!L184)</f>
        <v/>
      </c>
      <c r="M572" s="40" t="str">
        <f>IFERROR(IF(Agent03_Loans!B184="","",YEAR(Agent03_Loans!D184)),"")</f>
        <v/>
      </c>
    </row>
    <row r="573" spans="1:13" ht="18" customHeight="1" x14ac:dyDescent="0.25">
      <c r="A573" s="40" t="str">
        <f>IF(Agent03_Loans!B185="","",Agent03_Loans!A185)</f>
        <v/>
      </c>
      <c r="B573" s="40" t="str">
        <f>IF(Agent03_Loans!B185="","",Agent03_Loans!B185)</f>
        <v/>
      </c>
      <c r="C573" s="40" t="str">
        <f>IF(Agent03_Loans!B185="","",Agent03_Loans!C185)</f>
        <v/>
      </c>
      <c r="D573" s="41" t="str">
        <f>IF(Agent03_Loans!B185="","",Agent03_Loans!D185)</f>
        <v/>
      </c>
      <c r="E573" s="43" t="str">
        <f>IF(Agent03_Loans!B185="","",Agent03_Loans!E185)</f>
        <v/>
      </c>
      <c r="F573" s="40" t="str">
        <f>IF(Agent03_Loans!B185="","",Agent03_Loans!F185)</f>
        <v/>
      </c>
      <c r="G573" s="40" t="str">
        <f>IF(Agent03_Loans!B185="","",Agent03_Loans!G185)</f>
        <v/>
      </c>
      <c r="H573" s="40" t="str">
        <f>IF(Agent03_Loans!B185="","",Agent03_Loans!H185)</f>
        <v/>
      </c>
      <c r="I573" s="43" t="str">
        <f>IF(Agent03_Loans!B185="","",Agent03_Loans!I185)</f>
        <v/>
      </c>
      <c r="J573" s="43" t="str">
        <f>IF(Agent03_Loans!B185="","",Agent03_Loans!J185)</f>
        <v/>
      </c>
      <c r="K573" s="40" t="str">
        <f>IF(Agent03_Loans!B185="","",Agent03_Loans!K185)</f>
        <v/>
      </c>
      <c r="L573" s="40" t="str">
        <f>IF(Agent03_Loans!B185="","",Agent03_Loans!L185)</f>
        <v/>
      </c>
      <c r="M573" s="40" t="str">
        <f>IFERROR(IF(Agent03_Loans!B185="","",YEAR(Agent03_Loans!D185)),"")</f>
        <v/>
      </c>
    </row>
    <row r="574" spans="1:13" ht="18" customHeight="1" x14ac:dyDescent="0.25">
      <c r="A574" s="40" t="str">
        <f>IF(Agent03_Loans!B186="","",Agent03_Loans!A186)</f>
        <v/>
      </c>
      <c r="B574" s="40" t="str">
        <f>IF(Agent03_Loans!B186="","",Agent03_Loans!B186)</f>
        <v/>
      </c>
      <c r="C574" s="40" t="str">
        <f>IF(Agent03_Loans!B186="","",Agent03_Loans!C186)</f>
        <v/>
      </c>
      <c r="D574" s="41" t="str">
        <f>IF(Agent03_Loans!B186="","",Agent03_Loans!D186)</f>
        <v/>
      </c>
      <c r="E574" s="43" t="str">
        <f>IF(Agent03_Loans!B186="","",Agent03_Loans!E186)</f>
        <v/>
      </c>
      <c r="F574" s="40" t="str">
        <f>IF(Agent03_Loans!B186="","",Agent03_Loans!F186)</f>
        <v/>
      </c>
      <c r="G574" s="40" t="str">
        <f>IF(Agent03_Loans!B186="","",Agent03_Loans!G186)</f>
        <v/>
      </c>
      <c r="H574" s="40" t="str">
        <f>IF(Agent03_Loans!B186="","",Agent03_Loans!H186)</f>
        <v/>
      </c>
      <c r="I574" s="43" t="str">
        <f>IF(Agent03_Loans!B186="","",Agent03_Loans!I186)</f>
        <v/>
      </c>
      <c r="J574" s="43" t="str">
        <f>IF(Agent03_Loans!B186="","",Agent03_Loans!J186)</f>
        <v/>
      </c>
      <c r="K574" s="40" t="str">
        <f>IF(Agent03_Loans!B186="","",Agent03_Loans!K186)</f>
        <v/>
      </c>
      <c r="L574" s="40" t="str">
        <f>IF(Agent03_Loans!B186="","",Agent03_Loans!L186)</f>
        <v/>
      </c>
      <c r="M574" s="40" t="str">
        <f>IFERROR(IF(Agent03_Loans!B186="","",YEAR(Agent03_Loans!D186)),"")</f>
        <v/>
      </c>
    </row>
    <row r="575" spans="1:13" ht="18" customHeight="1" x14ac:dyDescent="0.25">
      <c r="A575" s="40" t="str">
        <f>IF(Agent03_Loans!B187="","",Agent03_Loans!A187)</f>
        <v/>
      </c>
      <c r="B575" s="40" t="str">
        <f>IF(Agent03_Loans!B187="","",Agent03_Loans!B187)</f>
        <v/>
      </c>
      <c r="C575" s="40" t="str">
        <f>IF(Agent03_Loans!B187="","",Agent03_Loans!C187)</f>
        <v/>
      </c>
      <c r="D575" s="41" t="str">
        <f>IF(Agent03_Loans!B187="","",Agent03_Loans!D187)</f>
        <v/>
      </c>
      <c r="E575" s="43" t="str">
        <f>IF(Agent03_Loans!B187="","",Agent03_Loans!E187)</f>
        <v/>
      </c>
      <c r="F575" s="40" t="str">
        <f>IF(Agent03_Loans!B187="","",Agent03_Loans!F187)</f>
        <v/>
      </c>
      <c r="G575" s="40" t="str">
        <f>IF(Agent03_Loans!B187="","",Agent03_Loans!G187)</f>
        <v/>
      </c>
      <c r="H575" s="40" t="str">
        <f>IF(Agent03_Loans!B187="","",Agent03_Loans!H187)</f>
        <v/>
      </c>
      <c r="I575" s="43" t="str">
        <f>IF(Agent03_Loans!B187="","",Agent03_Loans!I187)</f>
        <v/>
      </c>
      <c r="J575" s="43" t="str">
        <f>IF(Agent03_Loans!B187="","",Agent03_Loans!J187)</f>
        <v/>
      </c>
      <c r="K575" s="40" t="str">
        <f>IF(Agent03_Loans!B187="","",Agent03_Loans!K187)</f>
        <v/>
      </c>
      <c r="L575" s="40" t="str">
        <f>IF(Agent03_Loans!B187="","",Agent03_Loans!L187)</f>
        <v/>
      </c>
      <c r="M575" s="40" t="str">
        <f>IFERROR(IF(Agent03_Loans!B187="","",YEAR(Agent03_Loans!D187)),"")</f>
        <v/>
      </c>
    </row>
    <row r="576" spans="1:13" ht="18" customHeight="1" x14ac:dyDescent="0.25">
      <c r="A576" s="40" t="str">
        <f>IF(Agent03_Loans!B188="","",Agent03_Loans!A188)</f>
        <v/>
      </c>
      <c r="B576" s="40" t="str">
        <f>IF(Agent03_Loans!B188="","",Agent03_Loans!B188)</f>
        <v/>
      </c>
      <c r="C576" s="40" t="str">
        <f>IF(Agent03_Loans!B188="","",Agent03_Loans!C188)</f>
        <v/>
      </c>
      <c r="D576" s="41" t="str">
        <f>IF(Agent03_Loans!B188="","",Agent03_Loans!D188)</f>
        <v/>
      </c>
      <c r="E576" s="43" t="str">
        <f>IF(Agent03_Loans!B188="","",Agent03_Loans!E188)</f>
        <v/>
      </c>
      <c r="F576" s="40" t="str">
        <f>IF(Agent03_Loans!B188="","",Agent03_Loans!F188)</f>
        <v/>
      </c>
      <c r="G576" s="40" t="str">
        <f>IF(Agent03_Loans!B188="","",Agent03_Loans!G188)</f>
        <v/>
      </c>
      <c r="H576" s="40" t="str">
        <f>IF(Agent03_Loans!B188="","",Agent03_Loans!H188)</f>
        <v/>
      </c>
      <c r="I576" s="43" t="str">
        <f>IF(Agent03_Loans!B188="","",Agent03_Loans!I188)</f>
        <v/>
      </c>
      <c r="J576" s="43" t="str">
        <f>IF(Agent03_Loans!B188="","",Agent03_Loans!J188)</f>
        <v/>
      </c>
      <c r="K576" s="40" t="str">
        <f>IF(Agent03_Loans!B188="","",Agent03_Loans!K188)</f>
        <v/>
      </c>
      <c r="L576" s="40" t="str">
        <f>IF(Agent03_Loans!B188="","",Agent03_Loans!L188)</f>
        <v/>
      </c>
      <c r="M576" s="40" t="str">
        <f>IFERROR(IF(Agent03_Loans!B188="","",YEAR(Agent03_Loans!D188)),"")</f>
        <v/>
      </c>
    </row>
    <row r="577" spans="1:13" ht="18" customHeight="1" x14ac:dyDescent="0.25">
      <c r="A577" s="40" t="str">
        <f>IF(Agent03_Loans!B189="","",Agent03_Loans!A189)</f>
        <v/>
      </c>
      <c r="B577" s="40" t="str">
        <f>IF(Agent03_Loans!B189="","",Agent03_Loans!B189)</f>
        <v/>
      </c>
      <c r="C577" s="40" t="str">
        <f>IF(Agent03_Loans!B189="","",Agent03_Loans!C189)</f>
        <v/>
      </c>
      <c r="D577" s="41" t="str">
        <f>IF(Agent03_Loans!B189="","",Agent03_Loans!D189)</f>
        <v/>
      </c>
      <c r="E577" s="43" t="str">
        <f>IF(Agent03_Loans!B189="","",Agent03_Loans!E189)</f>
        <v/>
      </c>
      <c r="F577" s="40" t="str">
        <f>IF(Agent03_Loans!B189="","",Agent03_Loans!F189)</f>
        <v/>
      </c>
      <c r="G577" s="40" t="str">
        <f>IF(Agent03_Loans!B189="","",Agent03_Loans!G189)</f>
        <v/>
      </c>
      <c r="H577" s="40" t="str">
        <f>IF(Agent03_Loans!B189="","",Agent03_Loans!H189)</f>
        <v/>
      </c>
      <c r="I577" s="43" t="str">
        <f>IF(Agent03_Loans!B189="","",Agent03_Loans!I189)</f>
        <v/>
      </c>
      <c r="J577" s="43" t="str">
        <f>IF(Agent03_Loans!B189="","",Agent03_Loans!J189)</f>
        <v/>
      </c>
      <c r="K577" s="40" t="str">
        <f>IF(Agent03_Loans!B189="","",Agent03_Loans!K189)</f>
        <v/>
      </c>
      <c r="L577" s="40" t="str">
        <f>IF(Agent03_Loans!B189="","",Agent03_Loans!L189)</f>
        <v/>
      </c>
      <c r="M577" s="40" t="str">
        <f>IFERROR(IF(Agent03_Loans!B189="","",YEAR(Agent03_Loans!D189)),"")</f>
        <v/>
      </c>
    </row>
    <row r="578" spans="1:13" ht="18" customHeight="1" x14ac:dyDescent="0.25">
      <c r="A578" s="40" t="str">
        <f>IF(Agent03_Loans!B190="","",Agent03_Loans!A190)</f>
        <v/>
      </c>
      <c r="B578" s="40" t="str">
        <f>IF(Agent03_Loans!B190="","",Agent03_Loans!B190)</f>
        <v/>
      </c>
      <c r="C578" s="40" t="str">
        <f>IF(Agent03_Loans!B190="","",Agent03_Loans!C190)</f>
        <v/>
      </c>
      <c r="D578" s="41" t="str">
        <f>IF(Agent03_Loans!B190="","",Agent03_Loans!D190)</f>
        <v/>
      </c>
      <c r="E578" s="43" t="str">
        <f>IF(Agent03_Loans!B190="","",Agent03_Loans!E190)</f>
        <v/>
      </c>
      <c r="F578" s="40" t="str">
        <f>IF(Agent03_Loans!B190="","",Agent03_Loans!F190)</f>
        <v/>
      </c>
      <c r="G578" s="40" t="str">
        <f>IF(Agent03_Loans!B190="","",Agent03_Loans!G190)</f>
        <v/>
      </c>
      <c r="H578" s="40" t="str">
        <f>IF(Agent03_Loans!B190="","",Agent03_Loans!H190)</f>
        <v/>
      </c>
      <c r="I578" s="43" t="str">
        <f>IF(Agent03_Loans!B190="","",Agent03_Loans!I190)</f>
        <v/>
      </c>
      <c r="J578" s="43" t="str">
        <f>IF(Agent03_Loans!B190="","",Agent03_Loans!J190)</f>
        <v/>
      </c>
      <c r="K578" s="40" t="str">
        <f>IF(Agent03_Loans!B190="","",Agent03_Loans!K190)</f>
        <v/>
      </c>
      <c r="L578" s="40" t="str">
        <f>IF(Agent03_Loans!B190="","",Agent03_Loans!L190)</f>
        <v/>
      </c>
      <c r="M578" s="40" t="str">
        <f>IFERROR(IF(Agent03_Loans!B190="","",YEAR(Agent03_Loans!D190)),"")</f>
        <v/>
      </c>
    </row>
    <row r="579" spans="1:13" ht="18" customHeight="1" x14ac:dyDescent="0.25">
      <c r="A579" s="40" t="str">
        <f>IF(Agent03_Loans!B191="","",Agent03_Loans!A191)</f>
        <v/>
      </c>
      <c r="B579" s="40" t="str">
        <f>IF(Agent03_Loans!B191="","",Agent03_Loans!B191)</f>
        <v/>
      </c>
      <c r="C579" s="40" t="str">
        <f>IF(Agent03_Loans!B191="","",Agent03_Loans!C191)</f>
        <v/>
      </c>
      <c r="D579" s="41" t="str">
        <f>IF(Agent03_Loans!B191="","",Agent03_Loans!D191)</f>
        <v/>
      </c>
      <c r="E579" s="43" t="str">
        <f>IF(Agent03_Loans!B191="","",Agent03_Loans!E191)</f>
        <v/>
      </c>
      <c r="F579" s="40" t="str">
        <f>IF(Agent03_Loans!B191="","",Agent03_Loans!F191)</f>
        <v/>
      </c>
      <c r="G579" s="40" t="str">
        <f>IF(Agent03_Loans!B191="","",Agent03_Loans!G191)</f>
        <v/>
      </c>
      <c r="H579" s="40" t="str">
        <f>IF(Agent03_Loans!B191="","",Agent03_Loans!H191)</f>
        <v/>
      </c>
      <c r="I579" s="43" t="str">
        <f>IF(Agent03_Loans!B191="","",Agent03_Loans!I191)</f>
        <v/>
      </c>
      <c r="J579" s="43" t="str">
        <f>IF(Agent03_Loans!B191="","",Agent03_Loans!J191)</f>
        <v/>
      </c>
      <c r="K579" s="40" t="str">
        <f>IF(Agent03_Loans!B191="","",Agent03_Loans!K191)</f>
        <v/>
      </c>
      <c r="L579" s="40" t="str">
        <f>IF(Agent03_Loans!B191="","",Agent03_Loans!L191)</f>
        <v/>
      </c>
      <c r="M579" s="40" t="str">
        <f>IFERROR(IF(Agent03_Loans!B191="","",YEAR(Agent03_Loans!D191)),"")</f>
        <v/>
      </c>
    </row>
    <row r="580" spans="1:13" ht="18" customHeight="1" x14ac:dyDescent="0.25">
      <c r="A580" s="40" t="str">
        <f>IF(Agent03_Loans!B192="","",Agent03_Loans!A192)</f>
        <v/>
      </c>
      <c r="B580" s="40" t="str">
        <f>IF(Agent03_Loans!B192="","",Agent03_Loans!B192)</f>
        <v/>
      </c>
      <c r="C580" s="40" t="str">
        <f>IF(Agent03_Loans!B192="","",Agent03_Loans!C192)</f>
        <v/>
      </c>
      <c r="D580" s="41" t="str">
        <f>IF(Agent03_Loans!B192="","",Agent03_Loans!D192)</f>
        <v/>
      </c>
      <c r="E580" s="43" t="str">
        <f>IF(Agent03_Loans!B192="","",Agent03_Loans!E192)</f>
        <v/>
      </c>
      <c r="F580" s="40" t="str">
        <f>IF(Agent03_Loans!B192="","",Agent03_Loans!F192)</f>
        <v/>
      </c>
      <c r="G580" s="40" t="str">
        <f>IF(Agent03_Loans!B192="","",Agent03_Loans!G192)</f>
        <v/>
      </c>
      <c r="H580" s="40" t="str">
        <f>IF(Agent03_Loans!B192="","",Agent03_Loans!H192)</f>
        <v/>
      </c>
      <c r="I580" s="43" t="str">
        <f>IF(Agent03_Loans!B192="","",Agent03_Loans!I192)</f>
        <v/>
      </c>
      <c r="J580" s="43" t="str">
        <f>IF(Agent03_Loans!B192="","",Agent03_Loans!J192)</f>
        <v/>
      </c>
      <c r="K580" s="40" t="str">
        <f>IF(Agent03_Loans!B192="","",Agent03_Loans!K192)</f>
        <v/>
      </c>
      <c r="L580" s="40" t="str">
        <f>IF(Agent03_Loans!B192="","",Agent03_Loans!L192)</f>
        <v/>
      </c>
      <c r="M580" s="40" t="str">
        <f>IFERROR(IF(Agent03_Loans!B192="","",YEAR(Agent03_Loans!D192)),"")</f>
        <v/>
      </c>
    </row>
    <row r="581" spans="1:13" ht="18" customHeight="1" x14ac:dyDescent="0.25">
      <c r="A581" s="40" t="str">
        <f>IF(Agent03_Loans!B193="","",Agent03_Loans!A193)</f>
        <v/>
      </c>
      <c r="B581" s="40" t="str">
        <f>IF(Agent03_Loans!B193="","",Agent03_Loans!B193)</f>
        <v/>
      </c>
      <c r="C581" s="40" t="str">
        <f>IF(Agent03_Loans!B193="","",Agent03_Loans!C193)</f>
        <v/>
      </c>
      <c r="D581" s="41" t="str">
        <f>IF(Agent03_Loans!B193="","",Agent03_Loans!D193)</f>
        <v/>
      </c>
      <c r="E581" s="43" t="str">
        <f>IF(Agent03_Loans!B193="","",Agent03_Loans!E193)</f>
        <v/>
      </c>
      <c r="F581" s="40" t="str">
        <f>IF(Agent03_Loans!B193="","",Agent03_Loans!F193)</f>
        <v/>
      </c>
      <c r="G581" s="40" t="str">
        <f>IF(Agent03_Loans!B193="","",Agent03_Loans!G193)</f>
        <v/>
      </c>
      <c r="H581" s="40" t="str">
        <f>IF(Agent03_Loans!B193="","",Agent03_Loans!H193)</f>
        <v/>
      </c>
      <c r="I581" s="43" t="str">
        <f>IF(Agent03_Loans!B193="","",Agent03_Loans!I193)</f>
        <v/>
      </c>
      <c r="J581" s="43" t="str">
        <f>IF(Agent03_Loans!B193="","",Agent03_Loans!J193)</f>
        <v/>
      </c>
      <c r="K581" s="40" t="str">
        <f>IF(Agent03_Loans!B193="","",Agent03_Loans!K193)</f>
        <v/>
      </c>
      <c r="L581" s="40" t="str">
        <f>IF(Agent03_Loans!B193="","",Agent03_Loans!L193)</f>
        <v/>
      </c>
      <c r="M581" s="40" t="str">
        <f>IFERROR(IF(Agent03_Loans!B193="","",YEAR(Agent03_Loans!D193)),"")</f>
        <v/>
      </c>
    </row>
    <row r="582" spans="1:13" ht="18" customHeight="1" x14ac:dyDescent="0.25">
      <c r="A582" s="40" t="str">
        <f>IF(Agent03_Loans!B194="","",Agent03_Loans!A194)</f>
        <v/>
      </c>
      <c r="B582" s="40" t="str">
        <f>IF(Agent03_Loans!B194="","",Agent03_Loans!B194)</f>
        <v/>
      </c>
      <c r="C582" s="40" t="str">
        <f>IF(Agent03_Loans!B194="","",Agent03_Loans!C194)</f>
        <v/>
      </c>
      <c r="D582" s="41" t="str">
        <f>IF(Agent03_Loans!B194="","",Agent03_Loans!D194)</f>
        <v/>
      </c>
      <c r="E582" s="43" t="str">
        <f>IF(Agent03_Loans!B194="","",Agent03_Loans!E194)</f>
        <v/>
      </c>
      <c r="F582" s="40" t="str">
        <f>IF(Agent03_Loans!B194="","",Agent03_Loans!F194)</f>
        <v/>
      </c>
      <c r="G582" s="40" t="str">
        <f>IF(Agent03_Loans!B194="","",Agent03_Loans!G194)</f>
        <v/>
      </c>
      <c r="H582" s="40" t="str">
        <f>IF(Agent03_Loans!B194="","",Agent03_Loans!H194)</f>
        <v/>
      </c>
      <c r="I582" s="43" t="str">
        <f>IF(Agent03_Loans!B194="","",Agent03_Loans!I194)</f>
        <v/>
      </c>
      <c r="J582" s="43" t="str">
        <f>IF(Agent03_Loans!B194="","",Agent03_Loans!J194)</f>
        <v/>
      </c>
      <c r="K582" s="40" t="str">
        <f>IF(Agent03_Loans!B194="","",Agent03_Loans!K194)</f>
        <v/>
      </c>
      <c r="L582" s="40" t="str">
        <f>IF(Agent03_Loans!B194="","",Agent03_Loans!L194)</f>
        <v/>
      </c>
      <c r="M582" s="40" t="str">
        <f>IFERROR(IF(Agent03_Loans!B194="","",YEAR(Agent03_Loans!D194)),"")</f>
        <v/>
      </c>
    </row>
    <row r="583" spans="1:13" ht="18" customHeight="1" x14ac:dyDescent="0.25">
      <c r="A583" s="40" t="str">
        <f>IF(Agent03_Loans!B195="","",Agent03_Loans!A195)</f>
        <v/>
      </c>
      <c r="B583" s="40" t="str">
        <f>IF(Agent03_Loans!B195="","",Agent03_Loans!B195)</f>
        <v/>
      </c>
      <c r="C583" s="40" t="str">
        <f>IF(Agent03_Loans!B195="","",Agent03_Loans!C195)</f>
        <v/>
      </c>
      <c r="D583" s="41" t="str">
        <f>IF(Agent03_Loans!B195="","",Agent03_Loans!D195)</f>
        <v/>
      </c>
      <c r="E583" s="43" t="str">
        <f>IF(Agent03_Loans!B195="","",Agent03_Loans!E195)</f>
        <v/>
      </c>
      <c r="F583" s="40" t="str">
        <f>IF(Agent03_Loans!B195="","",Agent03_Loans!F195)</f>
        <v/>
      </c>
      <c r="G583" s="40" t="str">
        <f>IF(Agent03_Loans!B195="","",Agent03_Loans!G195)</f>
        <v/>
      </c>
      <c r="H583" s="40" t="str">
        <f>IF(Agent03_Loans!B195="","",Agent03_Loans!H195)</f>
        <v/>
      </c>
      <c r="I583" s="43" t="str">
        <f>IF(Agent03_Loans!B195="","",Agent03_Loans!I195)</f>
        <v/>
      </c>
      <c r="J583" s="43" t="str">
        <f>IF(Agent03_Loans!B195="","",Agent03_Loans!J195)</f>
        <v/>
      </c>
      <c r="K583" s="40" t="str">
        <f>IF(Agent03_Loans!B195="","",Agent03_Loans!K195)</f>
        <v/>
      </c>
      <c r="L583" s="40" t="str">
        <f>IF(Agent03_Loans!B195="","",Agent03_Loans!L195)</f>
        <v/>
      </c>
      <c r="M583" s="40" t="str">
        <f>IFERROR(IF(Agent03_Loans!B195="","",YEAR(Agent03_Loans!D195)),"")</f>
        <v/>
      </c>
    </row>
    <row r="584" spans="1:13" ht="18" customHeight="1" x14ac:dyDescent="0.25">
      <c r="A584" s="40" t="str">
        <f>IF(Agent03_Loans!B196="","",Agent03_Loans!A196)</f>
        <v/>
      </c>
      <c r="B584" s="40" t="str">
        <f>IF(Agent03_Loans!B196="","",Agent03_Loans!B196)</f>
        <v/>
      </c>
      <c r="C584" s="40" t="str">
        <f>IF(Agent03_Loans!B196="","",Agent03_Loans!C196)</f>
        <v/>
      </c>
      <c r="D584" s="41" t="str">
        <f>IF(Agent03_Loans!B196="","",Agent03_Loans!D196)</f>
        <v/>
      </c>
      <c r="E584" s="43" t="str">
        <f>IF(Agent03_Loans!B196="","",Agent03_Loans!E196)</f>
        <v/>
      </c>
      <c r="F584" s="40" t="str">
        <f>IF(Agent03_Loans!B196="","",Agent03_Loans!F196)</f>
        <v/>
      </c>
      <c r="G584" s="40" t="str">
        <f>IF(Agent03_Loans!B196="","",Agent03_Loans!G196)</f>
        <v/>
      </c>
      <c r="H584" s="40" t="str">
        <f>IF(Agent03_Loans!B196="","",Agent03_Loans!H196)</f>
        <v/>
      </c>
      <c r="I584" s="43" t="str">
        <f>IF(Agent03_Loans!B196="","",Agent03_Loans!I196)</f>
        <v/>
      </c>
      <c r="J584" s="43" t="str">
        <f>IF(Agent03_Loans!B196="","",Agent03_Loans!J196)</f>
        <v/>
      </c>
      <c r="K584" s="40" t="str">
        <f>IF(Agent03_Loans!B196="","",Agent03_Loans!K196)</f>
        <v/>
      </c>
      <c r="L584" s="40" t="str">
        <f>IF(Agent03_Loans!B196="","",Agent03_Loans!L196)</f>
        <v/>
      </c>
      <c r="M584" s="40" t="str">
        <f>IFERROR(IF(Agent03_Loans!B196="","",YEAR(Agent03_Loans!D196)),"")</f>
        <v/>
      </c>
    </row>
    <row r="585" spans="1:13" ht="18" customHeight="1" x14ac:dyDescent="0.25">
      <c r="A585" s="40" t="str">
        <f>IF(Agent03_Loans!B197="","",Agent03_Loans!A197)</f>
        <v/>
      </c>
      <c r="B585" s="40" t="str">
        <f>IF(Agent03_Loans!B197="","",Agent03_Loans!B197)</f>
        <v/>
      </c>
      <c r="C585" s="40" t="str">
        <f>IF(Agent03_Loans!B197="","",Agent03_Loans!C197)</f>
        <v/>
      </c>
      <c r="D585" s="41" t="str">
        <f>IF(Agent03_Loans!B197="","",Agent03_Loans!D197)</f>
        <v/>
      </c>
      <c r="E585" s="43" t="str">
        <f>IF(Agent03_Loans!B197="","",Agent03_Loans!E197)</f>
        <v/>
      </c>
      <c r="F585" s="40" t="str">
        <f>IF(Agent03_Loans!B197="","",Agent03_Loans!F197)</f>
        <v/>
      </c>
      <c r="G585" s="40" t="str">
        <f>IF(Agent03_Loans!B197="","",Agent03_Loans!G197)</f>
        <v/>
      </c>
      <c r="H585" s="40" t="str">
        <f>IF(Agent03_Loans!B197="","",Agent03_Loans!H197)</f>
        <v/>
      </c>
      <c r="I585" s="43" t="str">
        <f>IF(Agent03_Loans!B197="","",Agent03_Loans!I197)</f>
        <v/>
      </c>
      <c r="J585" s="43" t="str">
        <f>IF(Agent03_Loans!B197="","",Agent03_Loans!J197)</f>
        <v/>
      </c>
      <c r="K585" s="40" t="str">
        <f>IF(Agent03_Loans!B197="","",Agent03_Loans!K197)</f>
        <v/>
      </c>
      <c r="L585" s="40" t="str">
        <f>IF(Agent03_Loans!B197="","",Agent03_Loans!L197)</f>
        <v/>
      </c>
      <c r="M585" s="40" t="str">
        <f>IFERROR(IF(Agent03_Loans!B197="","",YEAR(Agent03_Loans!D197)),"")</f>
        <v/>
      </c>
    </row>
    <row r="586" spans="1:13" ht="18" customHeight="1" x14ac:dyDescent="0.25">
      <c r="A586" s="40" t="str">
        <f>IF(Agent03_Loans!B198="","",Agent03_Loans!A198)</f>
        <v/>
      </c>
      <c r="B586" s="40" t="str">
        <f>IF(Agent03_Loans!B198="","",Agent03_Loans!B198)</f>
        <v/>
      </c>
      <c r="C586" s="40" t="str">
        <f>IF(Agent03_Loans!B198="","",Agent03_Loans!C198)</f>
        <v/>
      </c>
      <c r="D586" s="41" t="str">
        <f>IF(Agent03_Loans!B198="","",Agent03_Loans!D198)</f>
        <v/>
      </c>
      <c r="E586" s="43" t="str">
        <f>IF(Agent03_Loans!B198="","",Agent03_Loans!E198)</f>
        <v/>
      </c>
      <c r="F586" s="40" t="str">
        <f>IF(Agent03_Loans!B198="","",Agent03_Loans!F198)</f>
        <v/>
      </c>
      <c r="G586" s="40" t="str">
        <f>IF(Agent03_Loans!B198="","",Agent03_Loans!G198)</f>
        <v/>
      </c>
      <c r="H586" s="40" t="str">
        <f>IF(Agent03_Loans!B198="","",Agent03_Loans!H198)</f>
        <v/>
      </c>
      <c r="I586" s="43" t="str">
        <f>IF(Agent03_Loans!B198="","",Agent03_Loans!I198)</f>
        <v/>
      </c>
      <c r="J586" s="43" t="str">
        <f>IF(Agent03_Loans!B198="","",Agent03_Loans!J198)</f>
        <v/>
      </c>
      <c r="K586" s="40" t="str">
        <f>IF(Agent03_Loans!B198="","",Agent03_Loans!K198)</f>
        <v/>
      </c>
      <c r="L586" s="40" t="str">
        <f>IF(Agent03_Loans!B198="","",Agent03_Loans!L198)</f>
        <v/>
      </c>
      <c r="M586" s="40" t="str">
        <f>IFERROR(IF(Agent03_Loans!B198="","",YEAR(Agent03_Loans!D198)),"")</f>
        <v/>
      </c>
    </row>
    <row r="587" spans="1:13" ht="18" customHeight="1" x14ac:dyDescent="0.25">
      <c r="A587" s="40" t="str">
        <f>IF(Agent03_Loans!B199="","",Agent03_Loans!A199)</f>
        <v/>
      </c>
      <c r="B587" s="40" t="str">
        <f>IF(Agent03_Loans!B199="","",Agent03_Loans!B199)</f>
        <v/>
      </c>
      <c r="C587" s="40" t="str">
        <f>IF(Agent03_Loans!B199="","",Agent03_Loans!C199)</f>
        <v/>
      </c>
      <c r="D587" s="41" t="str">
        <f>IF(Agent03_Loans!B199="","",Agent03_Loans!D199)</f>
        <v/>
      </c>
      <c r="E587" s="43" t="str">
        <f>IF(Agent03_Loans!B199="","",Agent03_Loans!E199)</f>
        <v/>
      </c>
      <c r="F587" s="40" t="str">
        <f>IF(Agent03_Loans!B199="","",Agent03_Loans!F199)</f>
        <v/>
      </c>
      <c r="G587" s="40" t="str">
        <f>IF(Agent03_Loans!B199="","",Agent03_Loans!G199)</f>
        <v/>
      </c>
      <c r="H587" s="40" t="str">
        <f>IF(Agent03_Loans!B199="","",Agent03_Loans!H199)</f>
        <v/>
      </c>
      <c r="I587" s="43" t="str">
        <f>IF(Agent03_Loans!B199="","",Agent03_Loans!I199)</f>
        <v/>
      </c>
      <c r="J587" s="43" t="str">
        <f>IF(Agent03_Loans!B199="","",Agent03_Loans!J199)</f>
        <v/>
      </c>
      <c r="K587" s="40" t="str">
        <f>IF(Agent03_Loans!B199="","",Agent03_Loans!K199)</f>
        <v/>
      </c>
      <c r="L587" s="40" t="str">
        <f>IF(Agent03_Loans!B199="","",Agent03_Loans!L199)</f>
        <v/>
      </c>
      <c r="M587" s="40" t="str">
        <f>IFERROR(IF(Agent03_Loans!B199="","",YEAR(Agent03_Loans!D199)),"")</f>
        <v/>
      </c>
    </row>
    <row r="588" spans="1:13" ht="18" customHeight="1" x14ac:dyDescent="0.25">
      <c r="A588" s="40" t="str">
        <f>IF(Agent03_Loans!B200="","",Agent03_Loans!A200)</f>
        <v/>
      </c>
      <c r="B588" s="40" t="str">
        <f>IF(Agent03_Loans!B200="","",Agent03_Loans!B200)</f>
        <v/>
      </c>
      <c r="C588" s="40" t="str">
        <f>IF(Agent03_Loans!B200="","",Agent03_Loans!C200)</f>
        <v/>
      </c>
      <c r="D588" s="41" t="str">
        <f>IF(Agent03_Loans!B200="","",Agent03_Loans!D200)</f>
        <v/>
      </c>
      <c r="E588" s="43" t="str">
        <f>IF(Agent03_Loans!B200="","",Agent03_Loans!E200)</f>
        <v/>
      </c>
      <c r="F588" s="40" t="str">
        <f>IF(Agent03_Loans!B200="","",Agent03_Loans!F200)</f>
        <v/>
      </c>
      <c r="G588" s="40" t="str">
        <f>IF(Agent03_Loans!B200="","",Agent03_Loans!G200)</f>
        <v/>
      </c>
      <c r="H588" s="40" t="str">
        <f>IF(Agent03_Loans!B200="","",Agent03_Loans!H200)</f>
        <v/>
      </c>
      <c r="I588" s="43" t="str">
        <f>IF(Agent03_Loans!B200="","",Agent03_Loans!I200)</f>
        <v/>
      </c>
      <c r="J588" s="43" t="str">
        <f>IF(Agent03_Loans!B200="","",Agent03_Loans!J200)</f>
        <v/>
      </c>
      <c r="K588" s="40" t="str">
        <f>IF(Agent03_Loans!B200="","",Agent03_Loans!K200)</f>
        <v/>
      </c>
      <c r="L588" s="40" t="str">
        <f>IF(Agent03_Loans!B200="","",Agent03_Loans!L200)</f>
        <v/>
      </c>
      <c r="M588" s="40" t="str">
        <f>IFERROR(IF(Agent03_Loans!B200="","",YEAR(Agent03_Loans!D200)),"")</f>
        <v/>
      </c>
    </row>
    <row r="589" spans="1:13" ht="18" customHeight="1" x14ac:dyDescent="0.25">
      <c r="A589" s="40" t="str">
        <f>IF(Agent03_Loans!B201="","",Agent03_Loans!A201)</f>
        <v/>
      </c>
      <c r="B589" s="40" t="str">
        <f>IF(Agent03_Loans!B201="","",Agent03_Loans!B201)</f>
        <v/>
      </c>
      <c r="C589" s="40" t="str">
        <f>IF(Agent03_Loans!B201="","",Agent03_Loans!C201)</f>
        <v/>
      </c>
      <c r="D589" s="41" t="str">
        <f>IF(Agent03_Loans!B201="","",Agent03_Loans!D201)</f>
        <v/>
      </c>
      <c r="E589" s="43" t="str">
        <f>IF(Agent03_Loans!B201="","",Agent03_Loans!E201)</f>
        <v/>
      </c>
      <c r="F589" s="40" t="str">
        <f>IF(Agent03_Loans!B201="","",Agent03_Loans!F201)</f>
        <v/>
      </c>
      <c r="G589" s="40" t="str">
        <f>IF(Agent03_Loans!B201="","",Agent03_Loans!G201)</f>
        <v/>
      </c>
      <c r="H589" s="40" t="str">
        <f>IF(Agent03_Loans!B201="","",Agent03_Loans!H201)</f>
        <v/>
      </c>
      <c r="I589" s="43" t="str">
        <f>IF(Agent03_Loans!B201="","",Agent03_Loans!I201)</f>
        <v/>
      </c>
      <c r="J589" s="43" t="str">
        <f>IF(Agent03_Loans!B201="","",Agent03_Loans!J201)</f>
        <v/>
      </c>
      <c r="K589" s="40" t="str">
        <f>IF(Agent03_Loans!B201="","",Agent03_Loans!K201)</f>
        <v/>
      </c>
      <c r="L589" s="40" t="str">
        <f>IF(Agent03_Loans!B201="","",Agent03_Loans!L201)</f>
        <v/>
      </c>
      <c r="M589" s="40" t="str">
        <f>IFERROR(IF(Agent03_Loans!B201="","",YEAR(Agent03_Loans!D201)),"")</f>
        <v/>
      </c>
    </row>
    <row r="590" spans="1:13" ht="18" customHeight="1" x14ac:dyDescent="0.25">
      <c r="A590" s="40" t="str">
        <f>IF(Agent03_Loans!B202="","",Agent03_Loans!A202)</f>
        <v/>
      </c>
      <c r="B590" s="40" t="str">
        <f>IF(Agent03_Loans!B202="","",Agent03_Loans!B202)</f>
        <v/>
      </c>
      <c r="C590" s="40" t="str">
        <f>IF(Agent03_Loans!B202="","",Agent03_Loans!C202)</f>
        <v/>
      </c>
      <c r="D590" s="41" t="str">
        <f>IF(Agent03_Loans!B202="","",Agent03_Loans!D202)</f>
        <v/>
      </c>
      <c r="E590" s="43" t="str">
        <f>IF(Agent03_Loans!B202="","",Agent03_Loans!E202)</f>
        <v/>
      </c>
      <c r="F590" s="40" t="str">
        <f>IF(Agent03_Loans!B202="","",Agent03_Loans!F202)</f>
        <v/>
      </c>
      <c r="G590" s="40" t="str">
        <f>IF(Agent03_Loans!B202="","",Agent03_Loans!G202)</f>
        <v/>
      </c>
      <c r="H590" s="40" t="str">
        <f>IF(Agent03_Loans!B202="","",Agent03_Loans!H202)</f>
        <v/>
      </c>
      <c r="I590" s="43" t="str">
        <f>IF(Agent03_Loans!B202="","",Agent03_Loans!I202)</f>
        <v/>
      </c>
      <c r="J590" s="43" t="str">
        <f>IF(Agent03_Loans!B202="","",Agent03_Loans!J202)</f>
        <v/>
      </c>
      <c r="K590" s="40" t="str">
        <f>IF(Agent03_Loans!B202="","",Agent03_Loans!K202)</f>
        <v/>
      </c>
      <c r="L590" s="40" t="str">
        <f>IF(Agent03_Loans!B202="","",Agent03_Loans!L202)</f>
        <v/>
      </c>
      <c r="M590" s="40" t="str">
        <f>IFERROR(IF(Agent03_Loans!B202="","",YEAR(Agent03_Loans!D202)),"")</f>
        <v/>
      </c>
    </row>
    <row r="591" spans="1:13" ht="18" customHeight="1" x14ac:dyDescent="0.25">
      <c r="A591" s="40" t="str">
        <f>IF(Agent03_Loans!B203="","",Agent03_Loans!A203)</f>
        <v/>
      </c>
      <c r="B591" s="40" t="str">
        <f>IF(Agent03_Loans!B203="","",Agent03_Loans!B203)</f>
        <v/>
      </c>
      <c r="C591" s="40" t="str">
        <f>IF(Agent03_Loans!B203="","",Agent03_Loans!C203)</f>
        <v/>
      </c>
      <c r="D591" s="41" t="str">
        <f>IF(Agent03_Loans!B203="","",Agent03_Loans!D203)</f>
        <v/>
      </c>
      <c r="E591" s="43" t="str">
        <f>IF(Agent03_Loans!B203="","",Agent03_Loans!E203)</f>
        <v/>
      </c>
      <c r="F591" s="40" t="str">
        <f>IF(Agent03_Loans!B203="","",Agent03_Loans!F203)</f>
        <v/>
      </c>
      <c r="G591" s="40" t="str">
        <f>IF(Agent03_Loans!B203="","",Agent03_Loans!G203)</f>
        <v/>
      </c>
      <c r="H591" s="40" t="str">
        <f>IF(Agent03_Loans!B203="","",Agent03_Loans!H203)</f>
        <v/>
      </c>
      <c r="I591" s="43" t="str">
        <f>IF(Agent03_Loans!B203="","",Agent03_Loans!I203)</f>
        <v/>
      </c>
      <c r="J591" s="43" t="str">
        <f>IF(Agent03_Loans!B203="","",Agent03_Loans!J203)</f>
        <v/>
      </c>
      <c r="K591" s="40" t="str">
        <f>IF(Agent03_Loans!B203="","",Agent03_Loans!K203)</f>
        <v/>
      </c>
      <c r="L591" s="40" t="str">
        <f>IF(Agent03_Loans!B203="","",Agent03_Loans!L203)</f>
        <v/>
      </c>
      <c r="M591" s="40" t="str">
        <f>IFERROR(IF(Agent03_Loans!B203="","",YEAR(Agent03_Loans!D203)),"")</f>
        <v/>
      </c>
    </row>
    <row r="592" spans="1:13" ht="18" customHeight="1" x14ac:dyDescent="0.25">
      <c r="A592" s="40" t="str">
        <f>IF(Agent03_Loans!B204="","",Agent03_Loans!A204)</f>
        <v/>
      </c>
      <c r="B592" s="40" t="str">
        <f>IF(Agent03_Loans!B204="","",Agent03_Loans!B204)</f>
        <v/>
      </c>
      <c r="C592" s="40" t="str">
        <f>IF(Agent03_Loans!B204="","",Agent03_Loans!C204)</f>
        <v/>
      </c>
      <c r="D592" s="41" t="str">
        <f>IF(Agent03_Loans!B204="","",Agent03_Loans!D204)</f>
        <v/>
      </c>
      <c r="E592" s="43" t="str">
        <f>IF(Agent03_Loans!B204="","",Agent03_Loans!E204)</f>
        <v/>
      </c>
      <c r="F592" s="40" t="str">
        <f>IF(Agent03_Loans!B204="","",Agent03_Loans!F204)</f>
        <v/>
      </c>
      <c r="G592" s="40" t="str">
        <f>IF(Agent03_Loans!B204="","",Agent03_Loans!G204)</f>
        <v/>
      </c>
      <c r="H592" s="40" t="str">
        <f>IF(Agent03_Loans!B204="","",Agent03_Loans!H204)</f>
        <v/>
      </c>
      <c r="I592" s="43" t="str">
        <f>IF(Agent03_Loans!B204="","",Agent03_Loans!I204)</f>
        <v/>
      </c>
      <c r="J592" s="43" t="str">
        <f>IF(Agent03_Loans!B204="","",Agent03_Loans!J204)</f>
        <v/>
      </c>
      <c r="K592" s="40" t="str">
        <f>IF(Agent03_Loans!B204="","",Agent03_Loans!K204)</f>
        <v/>
      </c>
      <c r="L592" s="40" t="str">
        <f>IF(Agent03_Loans!B204="","",Agent03_Loans!L204)</f>
        <v/>
      </c>
      <c r="M592" s="40" t="str">
        <f>IFERROR(IF(Agent03_Loans!B204="","",YEAR(Agent03_Loans!D204)),"")</f>
        <v/>
      </c>
    </row>
    <row r="593" spans="1:13" ht="18" customHeight="1" x14ac:dyDescent="0.25">
      <c r="A593" s="40" t="str">
        <f>IF(Agent03_Loans!B205="","",Agent03_Loans!A205)</f>
        <v/>
      </c>
      <c r="B593" s="40" t="str">
        <f>IF(Agent03_Loans!B205="","",Agent03_Loans!B205)</f>
        <v/>
      </c>
      <c r="C593" s="40" t="str">
        <f>IF(Agent03_Loans!B205="","",Agent03_Loans!C205)</f>
        <v/>
      </c>
      <c r="D593" s="41" t="str">
        <f>IF(Agent03_Loans!B205="","",Agent03_Loans!D205)</f>
        <v/>
      </c>
      <c r="E593" s="43" t="str">
        <f>IF(Agent03_Loans!B205="","",Agent03_Loans!E205)</f>
        <v/>
      </c>
      <c r="F593" s="40" t="str">
        <f>IF(Agent03_Loans!B205="","",Agent03_Loans!F205)</f>
        <v/>
      </c>
      <c r="G593" s="40" t="str">
        <f>IF(Agent03_Loans!B205="","",Agent03_Loans!G205)</f>
        <v/>
      </c>
      <c r="H593" s="40" t="str">
        <f>IF(Agent03_Loans!B205="","",Agent03_Loans!H205)</f>
        <v/>
      </c>
      <c r="I593" s="43" t="str">
        <f>IF(Agent03_Loans!B205="","",Agent03_Loans!I205)</f>
        <v/>
      </c>
      <c r="J593" s="43" t="str">
        <f>IF(Agent03_Loans!B205="","",Agent03_Loans!J205)</f>
        <v/>
      </c>
      <c r="K593" s="40" t="str">
        <f>IF(Agent03_Loans!B205="","",Agent03_Loans!K205)</f>
        <v/>
      </c>
      <c r="L593" s="40" t="str">
        <f>IF(Agent03_Loans!B205="","",Agent03_Loans!L205)</f>
        <v/>
      </c>
      <c r="M593" s="40" t="str">
        <f>IFERROR(IF(Agent03_Loans!B205="","",YEAR(Agent03_Loans!D205)),"")</f>
        <v/>
      </c>
    </row>
    <row r="594" spans="1:13" ht="18" customHeight="1" x14ac:dyDescent="0.25">
      <c r="A594" s="40" t="str">
        <f>IF(Agent03_Loans!B206="","",Agent03_Loans!A206)</f>
        <v/>
      </c>
      <c r="B594" s="40" t="str">
        <f>IF(Agent03_Loans!B206="","",Agent03_Loans!B206)</f>
        <v/>
      </c>
      <c r="C594" s="40" t="str">
        <f>IF(Agent03_Loans!B206="","",Agent03_Loans!C206)</f>
        <v/>
      </c>
      <c r="D594" s="41" t="str">
        <f>IF(Agent03_Loans!B206="","",Agent03_Loans!D206)</f>
        <v/>
      </c>
      <c r="E594" s="43" t="str">
        <f>IF(Agent03_Loans!B206="","",Agent03_Loans!E206)</f>
        <v/>
      </c>
      <c r="F594" s="40" t="str">
        <f>IF(Agent03_Loans!B206="","",Agent03_Loans!F206)</f>
        <v/>
      </c>
      <c r="G594" s="40" t="str">
        <f>IF(Agent03_Loans!B206="","",Agent03_Loans!G206)</f>
        <v/>
      </c>
      <c r="H594" s="40" t="str">
        <f>IF(Agent03_Loans!B206="","",Agent03_Loans!H206)</f>
        <v/>
      </c>
      <c r="I594" s="43" t="str">
        <f>IF(Agent03_Loans!B206="","",Agent03_Loans!I206)</f>
        <v/>
      </c>
      <c r="J594" s="43" t="str">
        <f>IF(Agent03_Loans!B206="","",Agent03_Loans!J206)</f>
        <v/>
      </c>
      <c r="K594" s="40" t="str">
        <f>IF(Agent03_Loans!B206="","",Agent03_Loans!K206)</f>
        <v/>
      </c>
      <c r="L594" s="40" t="str">
        <f>IF(Agent03_Loans!B206="","",Agent03_Loans!L206)</f>
        <v/>
      </c>
      <c r="M594" s="40" t="str">
        <f>IFERROR(IF(Agent03_Loans!B206="","",YEAR(Agent03_Loans!D206)),"")</f>
        <v/>
      </c>
    </row>
    <row r="595" spans="1:13" ht="18" customHeight="1" x14ac:dyDescent="0.25">
      <c r="A595" s="40" t="str">
        <f>IF(Agent03_Loans!B207="","",Agent03_Loans!A207)</f>
        <v/>
      </c>
      <c r="B595" s="40" t="str">
        <f>IF(Agent03_Loans!B207="","",Agent03_Loans!B207)</f>
        <v/>
      </c>
      <c r="C595" s="40" t="str">
        <f>IF(Agent03_Loans!B207="","",Agent03_Loans!C207)</f>
        <v/>
      </c>
      <c r="D595" s="41" t="str">
        <f>IF(Agent03_Loans!B207="","",Agent03_Loans!D207)</f>
        <v/>
      </c>
      <c r="E595" s="43" t="str">
        <f>IF(Agent03_Loans!B207="","",Agent03_Loans!E207)</f>
        <v/>
      </c>
      <c r="F595" s="40" t="str">
        <f>IF(Agent03_Loans!B207="","",Agent03_Loans!F207)</f>
        <v/>
      </c>
      <c r="G595" s="40" t="str">
        <f>IF(Agent03_Loans!B207="","",Agent03_Loans!G207)</f>
        <v/>
      </c>
      <c r="H595" s="40" t="str">
        <f>IF(Agent03_Loans!B207="","",Agent03_Loans!H207)</f>
        <v/>
      </c>
      <c r="I595" s="43" t="str">
        <f>IF(Agent03_Loans!B207="","",Agent03_Loans!I207)</f>
        <v/>
      </c>
      <c r="J595" s="43" t="str">
        <f>IF(Agent03_Loans!B207="","",Agent03_Loans!J207)</f>
        <v/>
      </c>
      <c r="K595" s="40" t="str">
        <f>IF(Agent03_Loans!B207="","",Agent03_Loans!K207)</f>
        <v/>
      </c>
      <c r="L595" s="40" t="str">
        <f>IF(Agent03_Loans!B207="","",Agent03_Loans!L207)</f>
        <v/>
      </c>
      <c r="M595" s="40" t="str">
        <f>IFERROR(IF(Agent03_Loans!B207="","",YEAR(Agent03_Loans!D207)),"")</f>
        <v/>
      </c>
    </row>
    <row r="596" spans="1:13" ht="18" customHeight="1" x14ac:dyDescent="0.25">
      <c r="A596" s="40" t="str">
        <f>IF(Agent03_Loans!B208="","",Agent03_Loans!A208)</f>
        <v/>
      </c>
      <c r="B596" s="40" t="str">
        <f>IF(Agent03_Loans!B208="","",Agent03_Loans!B208)</f>
        <v/>
      </c>
      <c r="C596" s="40" t="str">
        <f>IF(Agent03_Loans!B208="","",Agent03_Loans!C208)</f>
        <v/>
      </c>
      <c r="D596" s="41" t="str">
        <f>IF(Agent03_Loans!B208="","",Agent03_Loans!D208)</f>
        <v/>
      </c>
      <c r="E596" s="43" t="str">
        <f>IF(Agent03_Loans!B208="","",Agent03_Loans!E208)</f>
        <v/>
      </c>
      <c r="F596" s="40" t="str">
        <f>IF(Agent03_Loans!B208="","",Agent03_Loans!F208)</f>
        <v/>
      </c>
      <c r="G596" s="40" t="str">
        <f>IF(Agent03_Loans!B208="","",Agent03_Loans!G208)</f>
        <v/>
      </c>
      <c r="H596" s="40" t="str">
        <f>IF(Agent03_Loans!B208="","",Agent03_Loans!H208)</f>
        <v/>
      </c>
      <c r="I596" s="43" t="str">
        <f>IF(Agent03_Loans!B208="","",Agent03_Loans!I208)</f>
        <v/>
      </c>
      <c r="J596" s="43" t="str">
        <f>IF(Agent03_Loans!B208="","",Agent03_Loans!J208)</f>
        <v/>
      </c>
      <c r="K596" s="40" t="str">
        <f>IF(Agent03_Loans!B208="","",Agent03_Loans!K208)</f>
        <v/>
      </c>
      <c r="L596" s="40" t="str">
        <f>IF(Agent03_Loans!B208="","",Agent03_Loans!L208)</f>
        <v/>
      </c>
      <c r="M596" s="40" t="str">
        <f>IFERROR(IF(Agent03_Loans!B208="","",YEAR(Agent03_Loans!D208)),"")</f>
        <v/>
      </c>
    </row>
    <row r="597" spans="1:13" ht="18" customHeight="1" x14ac:dyDescent="0.25">
      <c r="A597" s="40" t="str">
        <f>IF(Agent03_Loans!B209="","",Agent03_Loans!A209)</f>
        <v/>
      </c>
      <c r="B597" s="40" t="str">
        <f>IF(Agent03_Loans!B209="","",Agent03_Loans!B209)</f>
        <v/>
      </c>
      <c r="C597" s="40" t="str">
        <f>IF(Agent03_Loans!B209="","",Agent03_Loans!C209)</f>
        <v/>
      </c>
      <c r="D597" s="41" t="str">
        <f>IF(Agent03_Loans!B209="","",Agent03_Loans!D209)</f>
        <v/>
      </c>
      <c r="E597" s="43" t="str">
        <f>IF(Agent03_Loans!B209="","",Agent03_Loans!E209)</f>
        <v/>
      </c>
      <c r="F597" s="40" t="str">
        <f>IF(Agent03_Loans!B209="","",Agent03_Loans!F209)</f>
        <v/>
      </c>
      <c r="G597" s="40" t="str">
        <f>IF(Agent03_Loans!B209="","",Agent03_Loans!G209)</f>
        <v/>
      </c>
      <c r="H597" s="40" t="str">
        <f>IF(Agent03_Loans!B209="","",Agent03_Loans!H209)</f>
        <v/>
      </c>
      <c r="I597" s="43" t="str">
        <f>IF(Agent03_Loans!B209="","",Agent03_Loans!I209)</f>
        <v/>
      </c>
      <c r="J597" s="43" t="str">
        <f>IF(Agent03_Loans!B209="","",Agent03_Loans!J209)</f>
        <v/>
      </c>
      <c r="K597" s="40" t="str">
        <f>IF(Agent03_Loans!B209="","",Agent03_Loans!K209)</f>
        <v/>
      </c>
      <c r="L597" s="40" t="str">
        <f>IF(Agent03_Loans!B209="","",Agent03_Loans!L209)</f>
        <v/>
      </c>
      <c r="M597" s="40" t="str">
        <f>IFERROR(IF(Agent03_Loans!B209="","",YEAR(Agent03_Loans!D209)),"")</f>
        <v/>
      </c>
    </row>
    <row r="598" spans="1:13" ht="18" customHeight="1" x14ac:dyDescent="0.25">
      <c r="A598" s="40" t="str">
        <f>IF(Agent03_Loans!B210="","",Agent03_Loans!A210)</f>
        <v/>
      </c>
      <c r="B598" s="40" t="str">
        <f>IF(Agent03_Loans!B210="","",Agent03_Loans!B210)</f>
        <v/>
      </c>
      <c r="C598" s="40" t="str">
        <f>IF(Agent03_Loans!B210="","",Agent03_Loans!C210)</f>
        <v/>
      </c>
      <c r="D598" s="41" t="str">
        <f>IF(Agent03_Loans!B210="","",Agent03_Loans!D210)</f>
        <v/>
      </c>
      <c r="E598" s="43" t="str">
        <f>IF(Agent03_Loans!B210="","",Agent03_Loans!E210)</f>
        <v/>
      </c>
      <c r="F598" s="40" t="str">
        <f>IF(Agent03_Loans!B210="","",Agent03_Loans!F210)</f>
        <v/>
      </c>
      <c r="G598" s="40" t="str">
        <f>IF(Agent03_Loans!B210="","",Agent03_Loans!G210)</f>
        <v/>
      </c>
      <c r="H598" s="40" t="str">
        <f>IF(Agent03_Loans!B210="","",Agent03_Loans!H210)</f>
        <v/>
      </c>
      <c r="I598" s="43" t="str">
        <f>IF(Agent03_Loans!B210="","",Agent03_Loans!I210)</f>
        <v/>
      </c>
      <c r="J598" s="43" t="str">
        <f>IF(Agent03_Loans!B210="","",Agent03_Loans!J210)</f>
        <v/>
      </c>
      <c r="K598" s="40" t="str">
        <f>IF(Agent03_Loans!B210="","",Agent03_Loans!K210)</f>
        <v/>
      </c>
      <c r="L598" s="40" t="str">
        <f>IF(Agent03_Loans!B210="","",Agent03_Loans!L210)</f>
        <v/>
      </c>
      <c r="M598" s="40" t="str">
        <f>IFERROR(IF(Agent03_Loans!B210="","",YEAR(Agent03_Loans!D210)),"")</f>
        <v/>
      </c>
    </row>
    <row r="599" spans="1:13" ht="18" customHeight="1" x14ac:dyDescent="0.25">
      <c r="A599" s="40" t="str">
        <f>IF(Agent03_Loans!B211="","",Agent03_Loans!A211)</f>
        <v/>
      </c>
      <c r="B599" s="40" t="str">
        <f>IF(Agent03_Loans!B211="","",Agent03_Loans!B211)</f>
        <v/>
      </c>
      <c r="C599" s="40" t="str">
        <f>IF(Agent03_Loans!B211="","",Agent03_Loans!C211)</f>
        <v/>
      </c>
      <c r="D599" s="41" t="str">
        <f>IF(Agent03_Loans!B211="","",Agent03_Loans!D211)</f>
        <v/>
      </c>
      <c r="E599" s="43" t="str">
        <f>IF(Agent03_Loans!B211="","",Agent03_Loans!E211)</f>
        <v/>
      </c>
      <c r="F599" s="40" t="str">
        <f>IF(Agent03_Loans!B211="","",Agent03_Loans!F211)</f>
        <v/>
      </c>
      <c r="G599" s="40" t="str">
        <f>IF(Agent03_Loans!B211="","",Agent03_Loans!G211)</f>
        <v/>
      </c>
      <c r="H599" s="40" t="str">
        <f>IF(Agent03_Loans!B211="","",Agent03_Loans!H211)</f>
        <v/>
      </c>
      <c r="I599" s="43" t="str">
        <f>IF(Agent03_Loans!B211="","",Agent03_Loans!I211)</f>
        <v/>
      </c>
      <c r="J599" s="43" t="str">
        <f>IF(Agent03_Loans!B211="","",Agent03_Loans!J211)</f>
        <v/>
      </c>
      <c r="K599" s="40" t="str">
        <f>IF(Agent03_Loans!B211="","",Agent03_Loans!K211)</f>
        <v/>
      </c>
      <c r="L599" s="40" t="str">
        <f>IF(Agent03_Loans!B211="","",Agent03_Loans!L211)</f>
        <v/>
      </c>
      <c r="M599" s="40" t="str">
        <f>IFERROR(IF(Agent03_Loans!B211="","",YEAR(Agent03_Loans!D211)),"")</f>
        <v/>
      </c>
    </row>
    <row r="600" spans="1:13" ht="18" customHeight="1" x14ac:dyDescent="0.25">
      <c r="A600" s="40" t="str">
        <f>IF(Agent03_Loans!B212="","",Agent03_Loans!A212)</f>
        <v/>
      </c>
      <c r="B600" s="40" t="str">
        <f>IF(Agent03_Loans!B212="","",Agent03_Loans!B212)</f>
        <v/>
      </c>
      <c r="C600" s="40" t="str">
        <f>IF(Agent03_Loans!B212="","",Agent03_Loans!C212)</f>
        <v/>
      </c>
      <c r="D600" s="41" t="str">
        <f>IF(Agent03_Loans!B212="","",Agent03_Loans!D212)</f>
        <v/>
      </c>
      <c r="E600" s="43" t="str">
        <f>IF(Agent03_Loans!B212="","",Agent03_Loans!E212)</f>
        <v/>
      </c>
      <c r="F600" s="40" t="str">
        <f>IF(Agent03_Loans!B212="","",Agent03_Loans!F212)</f>
        <v/>
      </c>
      <c r="G600" s="40" t="str">
        <f>IF(Agent03_Loans!B212="","",Agent03_Loans!G212)</f>
        <v/>
      </c>
      <c r="H600" s="40" t="str">
        <f>IF(Agent03_Loans!B212="","",Agent03_Loans!H212)</f>
        <v/>
      </c>
      <c r="I600" s="43" t="str">
        <f>IF(Agent03_Loans!B212="","",Agent03_Loans!I212)</f>
        <v/>
      </c>
      <c r="J600" s="43" t="str">
        <f>IF(Agent03_Loans!B212="","",Agent03_Loans!J212)</f>
        <v/>
      </c>
      <c r="K600" s="40" t="str">
        <f>IF(Agent03_Loans!B212="","",Agent03_Loans!K212)</f>
        <v/>
      </c>
      <c r="L600" s="40" t="str">
        <f>IF(Agent03_Loans!B212="","",Agent03_Loans!L212)</f>
        <v/>
      </c>
      <c r="M600" s="40" t="str">
        <f>IFERROR(IF(Agent03_Loans!B212="","",YEAR(Agent03_Loans!D212)),"")</f>
        <v/>
      </c>
    </row>
    <row r="601" spans="1:13" ht="18" customHeight="1" x14ac:dyDescent="0.25">
      <c r="A601" s="40" t="str">
        <f>IF(Agent03_Loans!B213="","",Agent03_Loans!A213)</f>
        <v/>
      </c>
      <c r="B601" s="40" t="str">
        <f>IF(Agent03_Loans!B213="","",Agent03_Loans!B213)</f>
        <v/>
      </c>
      <c r="C601" s="40" t="str">
        <f>IF(Agent03_Loans!B213="","",Agent03_Loans!C213)</f>
        <v/>
      </c>
      <c r="D601" s="41" t="str">
        <f>IF(Agent03_Loans!B213="","",Agent03_Loans!D213)</f>
        <v/>
      </c>
      <c r="E601" s="43" t="str">
        <f>IF(Agent03_Loans!B213="","",Agent03_Loans!E213)</f>
        <v/>
      </c>
      <c r="F601" s="40" t="str">
        <f>IF(Agent03_Loans!B213="","",Agent03_Loans!F213)</f>
        <v/>
      </c>
      <c r="G601" s="40" t="str">
        <f>IF(Agent03_Loans!B213="","",Agent03_Loans!G213)</f>
        <v/>
      </c>
      <c r="H601" s="40" t="str">
        <f>IF(Agent03_Loans!B213="","",Agent03_Loans!H213)</f>
        <v/>
      </c>
      <c r="I601" s="43" t="str">
        <f>IF(Agent03_Loans!B213="","",Agent03_Loans!I213)</f>
        <v/>
      </c>
      <c r="J601" s="43" t="str">
        <f>IF(Agent03_Loans!B213="","",Agent03_Loans!J213)</f>
        <v/>
      </c>
      <c r="K601" s="40" t="str">
        <f>IF(Agent03_Loans!B213="","",Agent03_Loans!K213)</f>
        <v/>
      </c>
      <c r="L601" s="40" t="str">
        <f>IF(Agent03_Loans!B213="","",Agent03_Loans!L213)</f>
        <v/>
      </c>
      <c r="M601" s="40" t="str">
        <f>IFERROR(IF(Agent03_Loans!B213="","",YEAR(Agent03_Loans!D213)),"")</f>
        <v/>
      </c>
    </row>
    <row r="602" spans="1:13" ht="18" customHeight="1" x14ac:dyDescent="0.25">
      <c r="A602" s="40" t="str">
        <f>IF(Agent03_Loans!B214="","",Agent03_Loans!A214)</f>
        <v/>
      </c>
      <c r="B602" s="40" t="str">
        <f>IF(Agent03_Loans!B214="","",Agent03_Loans!B214)</f>
        <v/>
      </c>
      <c r="C602" s="40" t="str">
        <f>IF(Agent03_Loans!B214="","",Agent03_Loans!C214)</f>
        <v/>
      </c>
      <c r="D602" s="41" t="str">
        <f>IF(Agent03_Loans!B214="","",Agent03_Loans!D214)</f>
        <v/>
      </c>
      <c r="E602" s="43" t="str">
        <f>IF(Agent03_Loans!B214="","",Agent03_Loans!E214)</f>
        <v/>
      </c>
      <c r="F602" s="40" t="str">
        <f>IF(Agent03_Loans!B214="","",Agent03_Loans!F214)</f>
        <v/>
      </c>
      <c r="G602" s="40" t="str">
        <f>IF(Agent03_Loans!B214="","",Agent03_Loans!G214)</f>
        <v/>
      </c>
      <c r="H602" s="40" t="str">
        <f>IF(Agent03_Loans!B214="","",Agent03_Loans!H214)</f>
        <v/>
      </c>
      <c r="I602" s="43" t="str">
        <f>IF(Agent03_Loans!B214="","",Agent03_Loans!I214)</f>
        <v/>
      </c>
      <c r="J602" s="43" t="str">
        <f>IF(Agent03_Loans!B214="","",Agent03_Loans!J214)</f>
        <v/>
      </c>
      <c r="K602" s="40" t="str">
        <f>IF(Agent03_Loans!B214="","",Agent03_Loans!K214)</f>
        <v/>
      </c>
      <c r="L602" s="40" t="str">
        <f>IF(Agent03_Loans!B214="","",Agent03_Loans!L214)</f>
        <v/>
      </c>
      <c r="M602" s="40" t="str">
        <f>IFERROR(IF(Agent03_Loans!B214="","",YEAR(Agent03_Loans!D214)),"")</f>
        <v/>
      </c>
    </row>
    <row r="603" spans="1:13" ht="18" customHeight="1" x14ac:dyDescent="0.25">
      <c r="A603" s="40" t="str">
        <f>IF(Agent03_Loans!B215="","",Agent03_Loans!A215)</f>
        <v/>
      </c>
      <c r="B603" s="40" t="str">
        <f>IF(Agent03_Loans!B215="","",Agent03_Loans!B215)</f>
        <v/>
      </c>
      <c r="C603" s="40" t="str">
        <f>IF(Agent03_Loans!B215="","",Agent03_Loans!C215)</f>
        <v/>
      </c>
      <c r="D603" s="41" t="str">
        <f>IF(Agent03_Loans!B215="","",Agent03_Loans!D215)</f>
        <v/>
      </c>
      <c r="E603" s="43" t="str">
        <f>IF(Agent03_Loans!B215="","",Agent03_Loans!E215)</f>
        <v/>
      </c>
      <c r="F603" s="40" t="str">
        <f>IF(Agent03_Loans!B215="","",Agent03_Loans!F215)</f>
        <v/>
      </c>
      <c r="G603" s="40" t="str">
        <f>IF(Agent03_Loans!B215="","",Agent03_Loans!G215)</f>
        <v/>
      </c>
      <c r="H603" s="40" t="str">
        <f>IF(Agent03_Loans!B215="","",Agent03_Loans!H215)</f>
        <v/>
      </c>
      <c r="I603" s="43" t="str">
        <f>IF(Agent03_Loans!B215="","",Agent03_Loans!I215)</f>
        <v/>
      </c>
      <c r="J603" s="43" t="str">
        <f>IF(Agent03_Loans!B215="","",Agent03_Loans!J215)</f>
        <v/>
      </c>
      <c r="K603" s="40" t="str">
        <f>IF(Agent03_Loans!B215="","",Agent03_Loans!K215)</f>
        <v/>
      </c>
      <c r="L603" s="40" t="str">
        <f>IF(Agent03_Loans!B215="","",Agent03_Loans!L215)</f>
        <v/>
      </c>
      <c r="M603" s="40" t="str">
        <f>IFERROR(IF(Agent03_Loans!B215="","",YEAR(Agent03_Loans!D215)),"")</f>
        <v/>
      </c>
    </row>
    <row r="604" spans="1:13" ht="18" customHeight="1" x14ac:dyDescent="0.25">
      <c r="A604" s="40" t="str">
        <f>IF(Agent04_Loans!B16="","",Agent04_Loans!A16)</f>
        <v/>
      </c>
      <c r="B604" s="40" t="str">
        <f>IF(Agent04_Loans!B16="","",Agent04_Loans!B16)</f>
        <v/>
      </c>
      <c r="C604" s="40" t="str">
        <f>IF(Agent04_Loans!B16="","",Agent04_Loans!C16)</f>
        <v/>
      </c>
      <c r="D604" s="41" t="str">
        <f>IF(Agent04_Loans!B16="","",Agent04_Loans!D16)</f>
        <v/>
      </c>
      <c r="E604" s="43" t="str">
        <f>IF(Agent04_Loans!B16="","",Agent04_Loans!E16)</f>
        <v/>
      </c>
      <c r="F604" s="40" t="str">
        <f>IF(Agent04_Loans!B16="","",Agent04_Loans!F16)</f>
        <v/>
      </c>
      <c r="G604" s="40" t="str">
        <f>IF(Agent04_Loans!B16="","",Agent04_Loans!G16)</f>
        <v/>
      </c>
      <c r="H604" s="40" t="str">
        <f>IF(Agent04_Loans!B16="","",Agent04_Loans!H16)</f>
        <v/>
      </c>
      <c r="I604" s="43" t="str">
        <f>IF(Agent04_Loans!B16="","",Agent04_Loans!I16)</f>
        <v/>
      </c>
      <c r="J604" s="43" t="str">
        <f>IF(Agent04_Loans!B16="","",Agent04_Loans!J16)</f>
        <v/>
      </c>
      <c r="K604" s="40" t="str">
        <f>IF(Agent04_Loans!B16="","",Agent04_Loans!K16)</f>
        <v/>
      </c>
      <c r="L604" s="40" t="str">
        <f>IF(Agent04_Loans!B16="","",Agent04_Loans!L16)</f>
        <v/>
      </c>
      <c r="M604" s="40" t="str">
        <f>IFERROR(IF(Agent04_Loans!B16="","",YEAR(Agent04_Loans!D16)),"")</f>
        <v/>
      </c>
    </row>
    <row r="605" spans="1:13" ht="18" customHeight="1" x14ac:dyDescent="0.25">
      <c r="A605" s="40" t="str">
        <f>IF(Agent04_Loans!B17="","",Agent04_Loans!A17)</f>
        <v/>
      </c>
      <c r="B605" s="40" t="str">
        <f>IF(Agent04_Loans!B17="","",Agent04_Loans!B17)</f>
        <v/>
      </c>
      <c r="C605" s="40" t="str">
        <f>IF(Agent04_Loans!B17="","",Agent04_Loans!C17)</f>
        <v/>
      </c>
      <c r="D605" s="41" t="str">
        <f>IF(Agent04_Loans!B17="","",Agent04_Loans!D17)</f>
        <v/>
      </c>
      <c r="E605" s="43" t="str">
        <f>IF(Agent04_Loans!B17="","",Agent04_Loans!E17)</f>
        <v/>
      </c>
      <c r="F605" s="40" t="str">
        <f>IF(Agent04_Loans!B17="","",Agent04_Loans!F17)</f>
        <v/>
      </c>
      <c r="G605" s="40" t="str">
        <f>IF(Agent04_Loans!B17="","",Agent04_Loans!G17)</f>
        <v/>
      </c>
      <c r="H605" s="40" t="str">
        <f>IF(Agent04_Loans!B17="","",Agent04_Loans!H17)</f>
        <v/>
      </c>
      <c r="I605" s="43" t="str">
        <f>IF(Agent04_Loans!B17="","",Agent04_Loans!I17)</f>
        <v/>
      </c>
      <c r="J605" s="43" t="str">
        <f>IF(Agent04_Loans!B17="","",Agent04_Loans!J17)</f>
        <v/>
      </c>
      <c r="K605" s="40" t="str">
        <f>IF(Agent04_Loans!B17="","",Agent04_Loans!K17)</f>
        <v/>
      </c>
      <c r="L605" s="40" t="str">
        <f>IF(Agent04_Loans!B17="","",Agent04_Loans!L17)</f>
        <v/>
      </c>
      <c r="M605" s="40" t="str">
        <f>IFERROR(IF(Agent04_Loans!B17="","",YEAR(Agent04_Loans!D17)),"")</f>
        <v/>
      </c>
    </row>
    <row r="606" spans="1:13" ht="18" customHeight="1" x14ac:dyDescent="0.25">
      <c r="A606" s="40" t="str">
        <f>IF(Agent04_Loans!B18="","",Agent04_Loans!A18)</f>
        <v/>
      </c>
      <c r="B606" s="40" t="str">
        <f>IF(Agent04_Loans!B18="","",Agent04_Loans!B18)</f>
        <v/>
      </c>
      <c r="C606" s="40" t="str">
        <f>IF(Agent04_Loans!B18="","",Agent04_Loans!C18)</f>
        <v/>
      </c>
      <c r="D606" s="41" t="str">
        <f>IF(Agent04_Loans!B18="","",Agent04_Loans!D18)</f>
        <v/>
      </c>
      <c r="E606" s="43" t="str">
        <f>IF(Agent04_Loans!B18="","",Agent04_Loans!E18)</f>
        <v/>
      </c>
      <c r="F606" s="40" t="str">
        <f>IF(Agent04_Loans!B18="","",Agent04_Loans!F18)</f>
        <v/>
      </c>
      <c r="G606" s="40" t="str">
        <f>IF(Agent04_Loans!B18="","",Agent04_Loans!G18)</f>
        <v/>
      </c>
      <c r="H606" s="40" t="str">
        <f>IF(Agent04_Loans!B18="","",Agent04_Loans!H18)</f>
        <v/>
      </c>
      <c r="I606" s="43" t="str">
        <f>IF(Agent04_Loans!B18="","",Agent04_Loans!I18)</f>
        <v/>
      </c>
      <c r="J606" s="43" t="str">
        <f>IF(Agent04_Loans!B18="","",Agent04_Loans!J18)</f>
        <v/>
      </c>
      <c r="K606" s="40" t="str">
        <f>IF(Agent04_Loans!B18="","",Agent04_Loans!K18)</f>
        <v/>
      </c>
      <c r="L606" s="40" t="str">
        <f>IF(Agent04_Loans!B18="","",Agent04_Loans!L18)</f>
        <v/>
      </c>
      <c r="M606" s="40" t="str">
        <f>IFERROR(IF(Agent04_Loans!B18="","",YEAR(Agent04_Loans!D18)),"")</f>
        <v/>
      </c>
    </row>
    <row r="607" spans="1:13" ht="18" customHeight="1" x14ac:dyDescent="0.25">
      <c r="A607" s="40" t="str">
        <f>IF(Agent04_Loans!B19="","",Agent04_Loans!A19)</f>
        <v/>
      </c>
      <c r="B607" s="40" t="str">
        <f>IF(Agent04_Loans!B19="","",Agent04_Loans!B19)</f>
        <v/>
      </c>
      <c r="C607" s="40" t="str">
        <f>IF(Agent04_Loans!B19="","",Agent04_Loans!C19)</f>
        <v/>
      </c>
      <c r="D607" s="41" t="str">
        <f>IF(Agent04_Loans!B19="","",Agent04_Loans!D19)</f>
        <v/>
      </c>
      <c r="E607" s="43" t="str">
        <f>IF(Agent04_Loans!B19="","",Agent04_Loans!E19)</f>
        <v/>
      </c>
      <c r="F607" s="40" t="str">
        <f>IF(Agent04_Loans!B19="","",Agent04_Loans!F19)</f>
        <v/>
      </c>
      <c r="G607" s="40" t="str">
        <f>IF(Agent04_Loans!B19="","",Agent04_Loans!G19)</f>
        <v/>
      </c>
      <c r="H607" s="40" t="str">
        <f>IF(Agent04_Loans!B19="","",Agent04_Loans!H19)</f>
        <v/>
      </c>
      <c r="I607" s="43" t="str">
        <f>IF(Agent04_Loans!B19="","",Agent04_Loans!I19)</f>
        <v/>
      </c>
      <c r="J607" s="43" t="str">
        <f>IF(Agent04_Loans!B19="","",Agent04_Loans!J19)</f>
        <v/>
      </c>
      <c r="K607" s="40" t="str">
        <f>IF(Agent04_Loans!B19="","",Agent04_Loans!K19)</f>
        <v/>
      </c>
      <c r="L607" s="40" t="str">
        <f>IF(Agent04_Loans!B19="","",Agent04_Loans!L19)</f>
        <v/>
      </c>
      <c r="M607" s="40" t="str">
        <f>IFERROR(IF(Agent04_Loans!B19="","",YEAR(Agent04_Loans!D19)),"")</f>
        <v/>
      </c>
    </row>
    <row r="608" spans="1:13" ht="18" customHeight="1" x14ac:dyDescent="0.25">
      <c r="A608" s="40" t="str">
        <f>IF(Agent04_Loans!B20="","",Agent04_Loans!A20)</f>
        <v/>
      </c>
      <c r="B608" s="40" t="str">
        <f>IF(Agent04_Loans!B20="","",Agent04_Loans!B20)</f>
        <v/>
      </c>
      <c r="C608" s="40" t="str">
        <f>IF(Agent04_Loans!B20="","",Agent04_Loans!C20)</f>
        <v/>
      </c>
      <c r="D608" s="41" t="str">
        <f>IF(Agent04_Loans!B20="","",Agent04_Loans!D20)</f>
        <v/>
      </c>
      <c r="E608" s="43" t="str">
        <f>IF(Agent04_Loans!B20="","",Agent04_Loans!E20)</f>
        <v/>
      </c>
      <c r="F608" s="40" t="str">
        <f>IF(Agent04_Loans!B20="","",Agent04_Loans!F20)</f>
        <v/>
      </c>
      <c r="G608" s="40" t="str">
        <f>IF(Agent04_Loans!B20="","",Agent04_Loans!G20)</f>
        <v/>
      </c>
      <c r="H608" s="40" t="str">
        <f>IF(Agent04_Loans!B20="","",Agent04_Loans!H20)</f>
        <v/>
      </c>
      <c r="I608" s="43" t="str">
        <f>IF(Agent04_Loans!B20="","",Agent04_Loans!I20)</f>
        <v/>
      </c>
      <c r="J608" s="43" t="str">
        <f>IF(Agent04_Loans!B20="","",Agent04_Loans!J20)</f>
        <v/>
      </c>
      <c r="K608" s="40" t="str">
        <f>IF(Agent04_Loans!B20="","",Agent04_Loans!K20)</f>
        <v/>
      </c>
      <c r="L608" s="40" t="str">
        <f>IF(Agent04_Loans!B20="","",Agent04_Loans!L20)</f>
        <v/>
      </c>
      <c r="M608" s="40" t="str">
        <f>IFERROR(IF(Agent04_Loans!B20="","",YEAR(Agent04_Loans!D20)),"")</f>
        <v/>
      </c>
    </row>
    <row r="609" spans="1:13" ht="18" customHeight="1" x14ac:dyDescent="0.25">
      <c r="A609" s="40" t="str">
        <f>IF(Agent04_Loans!B21="","",Agent04_Loans!A21)</f>
        <v/>
      </c>
      <c r="B609" s="40" t="str">
        <f>IF(Agent04_Loans!B21="","",Agent04_Loans!B21)</f>
        <v/>
      </c>
      <c r="C609" s="40" t="str">
        <f>IF(Agent04_Loans!B21="","",Agent04_Loans!C21)</f>
        <v/>
      </c>
      <c r="D609" s="41" t="str">
        <f>IF(Agent04_Loans!B21="","",Agent04_Loans!D21)</f>
        <v/>
      </c>
      <c r="E609" s="43" t="str">
        <f>IF(Agent04_Loans!B21="","",Agent04_Loans!E21)</f>
        <v/>
      </c>
      <c r="F609" s="40" t="str">
        <f>IF(Agent04_Loans!B21="","",Agent04_Loans!F21)</f>
        <v/>
      </c>
      <c r="G609" s="40" t="str">
        <f>IF(Agent04_Loans!B21="","",Agent04_Loans!G21)</f>
        <v/>
      </c>
      <c r="H609" s="40" t="str">
        <f>IF(Agent04_Loans!B21="","",Agent04_Loans!H21)</f>
        <v/>
      </c>
      <c r="I609" s="43" t="str">
        <f>IF(Agent04_Loans!B21="","",Agent04_Loans!I21)</f>
        <v/>
      </c>
      <c r="J609" s="43" t="str">
        <f>IF(Agent04_Loans!B21="","",Agent04_Loans!J21)</f>
        <v/>
      </c>
      <c r="K609" s="40" t="str">
        <f>IF(Agent04_Loans!B21="","",Agent04_Loans!K21)</f>
        <v/>
      </c>
      <c r="L609" s="40" t="str">
        <f>IF(Agent04_Loans!B21="","",Agent04_Loans!L21)</f>
        <v/>
      </c>
      <c r="M609" s="40" t="str">
        <f>IFERROR(IF(Agent04_Loans!B21="","",YEAR(Agent04_Loans!D21)),"")</f>
        <v/>
      </c>
    </row>
    <row r="610" spans="1:13" ht="18" customHeight="1" x14ac:dyDescent="0.25">
      <c r="A610" s="40" t="str">
        <f>IF(Agent04_Loans!B22="","",Agent04_Loans!A22)</f>
        <v/>
      </c>
      <c r="B610" s="40" t="str">
        <f>IF(Agent04_Loans!B22="","",Agent04_Loans!B22)</f>
        <v/>
      </c>
      <c r="C610" s="40" t="str">
        <f>IF(Agent04_Loans!B22="","",Agent04_Loans!C22)</f>
        <v/>
      </c>
      <c r="D610" s="41" t="str">
        <f>IF(Agent04_Loans!B22="","",Agent04_Loans!D22)</f>
        <v/>
      </c>
      <c r="E610" s="43" t="str">
        <f>IF(Agent04_Loans!B22="","",Agent04_Loans!E22)</f>
        <v/>
      </c>
      <c r="F610" s="40" t="str">
        <f>IF(Agent04_Loans!B22="","",Agent04_Loans!F22)</f>
        <v/>
      </c>
      <c r="G610" s="40" t="str">
        <f>IF(Agent04_Loans!B22="","",Agent04_Loans!G22)</f>
        <v/>
      </c>
      <c r="H610" s="40" t="str">
        <f>IF(Agent04_Loans!B22="","",Agent04_Loans!H22)</f>
        <v/>
      </c>
      <c r="I610" s="43" t="str">
        <f>IF(Agent04_Loans!B22="","",Agent04_Loans!I22)</f>
        <v/>
      </c>
      <c r="J610" s="43" t="str">
        <f>IF(Agent04_Loans!B22="","",Agent04_Loans!J22)</f>
        <v/>
      </c>
      <c r="K610" s="40" t="str">
        <f>IF(Agent04_Loans!B22="","",Agent04_Loans!K22)</f>
        <v/>
      </c>
      <c r="L610" s="40" t="str">
        <f>IF(Agent04_Loans!B22="","",Agent04_Loans!L22)</f>
        <v/>
      </c>
      <c r="M610" s="40" t="str">
        <f>IFERROR(IF(Agent04_Loans!B22="","",YEAR(Agent04_Loans!D22)),"")</f>
        <v/>
      </c>
    </row>
    <row r="611" spans="1:13" ht="18" customHeight="1" x14ac:dyDescent="0.25">
      <c r="A611" s="40" t="str">
        <f>IF(Agent04_Loans!B23="","",Agent04_Loans!A23)</f>
        <v/>
      </c>
      <c r="B611" s="40" t="str">
        <f>IF(Agent04_Loans!B23="","",Agent04_Loans!B23)</f>
        <v/>
      </c>
      <c r="C611" s="40" t="str">
        <f>IF(Agent04_Loans!B23="","",Agent04_Loans!C23)</f>
        <v/>
      </c>
      <c r="D611" s="41" t="str">
        <f>IF(Agent04_Loans!B23="","",Agent04_Loans!D23)</f>
        <v/>
      </c>
      <c r="E611" s="43" t="str">
        <f>IF(Agent04_Loans!B23="","",Agent04_Loans!E23)</f>
        <v/>
      </c>
      <c r="F611" s="40" t="str">
        <f>IF(Agent04_Loans!B23="","",Agent04_Loans!F23)</f>
        <v/>
      </c>
      <c r="G611" s="40" t="str">
        <f>IF(Agent04_Loans!B23="","",Agent04_Loans!G23)</f>
        <v/>
      </c>
      <c r="H611" s="40" t="str">
        <f>IF(Agent04_Loans!B23="","",Agent04_Loans!H23)</f>
        <v/>
      </c>
      <c r="I611" s="43" t="str">
        <f>IF(Agent04_Loans!B23="","",Agent04_Loans!I23)</f>
        <v/>
      </c>
      <c r="J611" s="43" t="str">
        <f>IF(Agent04_Loans!B23="","",Agent04_Loans!J23)</f>
        <v/>
      </c>
      <c r="K611" s="40" t="str">
        <f>IF(Agent04_Loans!B23="","",Agent04_Loans!K23)</f>
        <v/>
      </c>
      <c r="L611" s="40" t="str">
        <f>IF(Agent04_Loans!B23="","",Agent04_Loans!L23)</f>
        <v/>
      </c>
      <c r="M611" s="40" t="str">
        <f>IFERROR(IF(Agent04_Loans!B23="","",YEAR(Agent04_Loans!D23)),"")</f>
        <v/>
      </c>
    </row>
    <row r="612" spans="1:13" ht="18" customHeight="1" x14ac:dyDescent="0.25">
      <c r="A612" s="40" t="str">
        <f>IF(Agent04_Loans!B24="","",Agent04_Loans!A24)</f>
        <v/>
      </c>
      <c r="B612" s="40" t="str">
        <f>IF(Agent04_Loans!B24="","",Agent04_Loans!B24)</f>
        <v/>
      </c>
      <c r="C612" s="40" t="str">
        <f>IF(Agent04_Loans!B24="","",Agent04_Loans!C24)</f>
        <v/>
      </c>
      <c r="D612" s="41" t="str">
        <f>IF(Agent04_Loans!B24="","",Agent04_Loans!D24)</f>
        <v/>
      </c>
      <c r="E612" s="43" t="str">
        <f>IF(Agent04_Loans!B24="","",Agent04_Loans!E24)</f>
        <v/>
      </c>
      <c r="F612" s="40" t="str">
        <f>IF(Agent04_Loans!B24="","",Agent04_Loans!F24)</f>
        <v/>
      </c>
      <c r="G612" s="40" t="str">
        <f>IF(Agent04_Loans!B24="","",Agent04_Loans!G24)</f>
        <v/>
      </c>
      <c r="H612" s="40" t="str">
        <f>IF(Agent04_Loans!B24="","",Agent04_Loans!H24)</f>
        <v/>
      </c>
      <c r="I612" s="43" t="str">
        <f>IF(Agent04_Loans!B24="","",Agent04_Loans!I24)</f>
        <v/>
      </c>
      <c r="J612" s="43" t="str">
        <f>IF(Agent04_Loans!B24="","",Agent04_Loans!J24)</f>
        <v/>
      </c>
      <c r="K612" s="40" t="str">
        <f>IF(Agent04_Loans!B24="","",Agent04_Loans!K24)</f>
        <v/>
      </c>
      <c r="L612" s="40" t="str">
        <f>IF(Agent04_Loans!B24="","",Agent04_Loans!L24)</f>
        <v/>
      </c>
      <c r="M612" s="40" t="str">
        <f>IFERROR(IF(Agent04_Loans!B24="","",YEAR(Agent04_Loans!D24)),"")</f>
        <v/>
      </c>
    </row>
    <row r="613" spans="1:13" ht="18" customHeight="1" x14ac:dyDescent="0.25">
      <c r="A613" s="40" t="str">
        <f>IF(Agent04_Loans!B25="","",Agent04_Loans!A25)</f>
        <v/>
      </c>
      <c r="B613" s="40" t="str">
        <f>IF(Agent04_Loans!B25="","",Agent04_Loans!B25)</f>
        <v/>
      </c>
      <c r="C613" s="40" t="str">
        <f>IF(Agent04_Loans!B25="","",Agent04_Loans!C25)</f>
        <v/>
      </c>
      <c r="D613" s="41" t="str">
        <f>IF(Agent04_Loans!B25="","",Agent04_Loans!D25)</f>
        <v/>
      </c>
      <c r="E613" s="43" t="str">
        <f>IF(Agent04_Loans!B25="","",Agent04_Loans!E25)</f>
        <v/>
      </c>
      <c r="F613" s="40" t="str">
        <f>IF(Agent04_Loans!B25="","",Agent04_Loans!F25)</f>
        <v/>
      </c>
      <c r="G613" s="40" t="str">
        <f>IF(Agent04_Loans!B25="","",Agent04_Loans!G25)</f>
        <v/>
      </c>
      <c r="H613" s="40" t="str">
        <f>IF(Agent04_Loans!B25="","",Agent04_Loans!H25)</f>
        <v/>
      </c>
      <c r="I613" s="43" t="str">
        <f>IF(Agent04_Loans!B25="","",Agent04_Loans!I25)</f>
        <v/>
      </c>
      <c r="J613" s="43" t="str">
        <f>IF(Agent04_Loans!B25="","",Agent04_Loans!J25)</f>
        <v/>
      </c>
      <c r="K613" s="40" t="str">
        <f>IF(Agent04_Loans!B25="","",Agent04_Loans!K25)</f>
        <v/>
      </c>
      <c r="L613" s="40" t="str">
        <f>IF(Agent04_Loans!B25="","",Agent04_Loans!L25)</f>
        <v/>
      </c>
      <c r="M613" s="40" t="str">
        <f>IFERROR(IF(Agent04_Loans!B25="","",YEAR(Agent04_Loans!D25)),"")</f>
        <v/>
      </c>
    </row>
    <row r="614" spans="1:13" ht="18" customHeight="1" x14ac:dyDescent="0.25">
      <c r="A614" s="40" t="str">
        <f>IF(Agent04_Loans!B26="","",Agent04_Loans!A26)</f>
        <v/>
      </c>
      <c r="B614" s="40" t="str">
        <f>IF(Agent04_Loans!B26="","",Agent04_Loans!B26)</f>
        <v/>
      </c>
      <c r="C614" s="40" t="str">
        <f>IF(Agent04_Loans!B26="","",Agent04_Loans!C26)</f>
        <v/>
      </c>
      <c r="D614" s="41" t="str">
        <f>IF(Agent04_Loans!B26="","",Agent04_Loans!D26)</f>
        <v/>
      </c>
      <c r="E614" s="43" t="str">
        <f>IF(Agent04_Loans!B26="","",Agent04_Loans!E26)</f>
        <v/>
      </c>
      <c r="F614" s="40" t="str">
        <f>IF(Agent04_Loans!B26="","",Agent04_Loans!F26)</f>
        <v/>
      </c>
      <c r="G614" s="40" t="str">
        <f>IF(Agent04_Loans!B26="","",Agent04_Loans!G26)</f>
        <v/>
      </c>
      <c r="H614" s="40" t="str">
        <f>IF(Agent04_Loans!B26="","",Agent04_Loans!H26)</f>
        <v/>
      </c>
      <c r="I614" s="43" t="str">
        <f>IF(Agent04_Loans!B26="","",Agent04_Loans!I26)</f>
        <v/>
      </c>
      <c r="J614" s="43" t="str">
        <f>IF(Agent04_Loans!B26="","",Agent04_Loans!J26)</f>
        <v/>
      </c>
      <c r="K614" s="40" t="str">
        <f>IF(Agent04_Loans!B26="","",Agent04_Loans!K26)</f>
        <v/>
      </c>
      <c r="L614" s="40" t="str">
        <f>IF(Agent04_Loans!B26="","",Agent04_Loans!L26)</f>
        <v/>
      </c>
      <c r="M614" s="40" t="str">
        <f>IFERROR(IF(Agent04_Loans!B26="","",YEAR(Agent04_Loans!D26)),"")</f>
        <v/>
      </c>
    </row>
    <row r="615" spans="1:13" ht="18" customHeight="1" x14ac:dyDescent="0.25">
      <c r="A615" s="40" t="str">
        <f>IF(Agent04_Loans!B27="","",Agent04_Loans!A27)</f>
        <v/>
      </c>
      <c r="B615" s="40" t="str">
        <f>IF(Agent04_Loans!B27="","",Agent04_Loans!B27)</f>
        <v/>
      </c>
      <c r="C615" s="40" t="str">
        <f>IF(Agent04_Loans!B27="","",Agent04_Loans!C27)</f>
        <v/>
      </c>
      <c r="D615" s="41" t="str">
        <f>IF(Agent04_Loans!B27="","",Agent04_Loans!D27)</f>
        <v/>
      </c>
      <c r="E615" s="43" t="str">
        <f>IF(Agent04_Loans!B27="","",Agent04_Loans!E27)</f>
        <v/>
      </c>
      <c r="F615" s="40" t="str">
        <f>IF(Agent04_Loans!B27="","",Agent04_Loans!F27)</f>
        <v/>
      </c>
      <c r="G615" s="40" t="str">
        <f>IF(Agent04_Loans!B27="","",Agent04_Loans!G27)</f>
        <v/>
      </c>
      <c r="H615" s="40" t="str">
        <f>IF(Agent04_Loans!B27="","",Agent04_Loans!H27)</f>
        <v/>
      </c>
      <c r="I615" s="43" t="str">
        <f>IF(Agent04_Loans!B27="","",Agent04_Loans!I27)</f>
        <v/>
      </c>
      <c r="J615" s="43" t="str">
        <f>IF(Agent04_Loans!B27="","",Agent04_Loans!J27)</f>
        <v/>
      </c>
      <c r="K615" s="40" t="str">
        <f>IF(Agent04_Loans!B27="","",Agent04_Loans!K27)</f>
        <v/>
      </c>
      <c r="L615" s="40" t="str">
        <f>IF(Agent04_Loans!B27="","",Agent04_Loans!L27)</f>
        <v/>
      </c>
      <c r="M615" s="40" t="str">
        <f>IFERROR(IF(Agent04_Loans!B27="","",YEAR(Agent04_Loans!D27)),"")</f>
        <v/>
      </c>
    </row>
    <row r="616" spans="1:13" ht="18" customHeight="1" x14ac:dyDescent="0.25">
      <c r="A616" s="40" t="str">
        <f>IF(Agent04_Loans!B28="","",Agent04_Loans!A28)</f>
        <v/>
      </c>
      <c r="B616" s="40" t="str">
        <f>IF(Agent04_Loans!B28="","",Agent04_Loans!B28)</f>
        <v/>
      </c>
      <c r="C616" s="40" t="str">
        <f>IF(Agent04_Loans!B28="","",Agent04_Loans!C28)</f>
        <v/>
      </c>
      <c r="D616" s="41" t="str">
        <f>IF(Agent04_Loans!B28="","",Agent04_Loans!D28)</f>
        <v/>
      </c>
      <c r="E616" s="43" t="str">
        <f>IF(Agent04_Loans!B28="","",Agent04_Loans!E28)</f>
        <v/>
      </c>
      <c r="F616" s="40" t="str">
        <f>IF(Agent04_Loans!B28="","",Agent04_Loans!F28)</f>
        <v/>
      </c>
      <c r="G616" s="40" t="str">
        <f>IF(Agent04_Loans!B28="","",Agent04_Loans!G28)</f>
        <v/>
      </c>
      <c r="H616" s="40" t="str">
        <f>IF(Agent04_Loans!B28="","",Agent04_Loans!H28)</f>
        <v/>
      </c>
      <c r="I616" s="43" t="str">
        <f>IF(Agent04_Loans!B28="","",Agent04_Loans!I28)</f>
        <v/>
      </c>
      <c r="J616" s="43" t="str">
        <f>IF(Agent04_Loans!B28="","",Agent04_Loans!J28)</f>
        <v/>
      </c>
      <c r="K616" s="40" t="str">
        <f>IF(Agent04_Loans!B28="","",Agent04_Loans!K28)</f>
        <v/>
      </c>
      <c r="L616" s="40" t="str">
        <f>IF(Agent04_Loans!B28="","",Agent04_Loans!L28)</f>
        <v/>
      </c>
      <c r="M616" s="40" t="str">
        <f>IFERROR(IF(Agent04_Loans!B28="","",YEAR(Agent04_Loans!D28)),"")</f>
        <v/>
      </c>
    </row>
    <row r="617" spans="1:13" ht="18" customHeight="1" x14ac:dyDescent="0.25">
      <c r="A617" s="40" t="str">
        <f>IF(Agent04_Loans!B29="","",Agent04_Loans!A29)</f>
        <v/>
      </c>
      <c r="B617" s="40" t="str">
        <f>IF(Agent04_Loans!B29="","",Agent04_Loans!B29)</f>
        <v/>
      </c>
      <c r="C617" s="40" t="str">
        <f>IF(Agent04_Loans!B29="","",Agent04_Loans!C29)</f>
        <v/>
      </c>
      <c r="D617" s="41" t="str">
        <f>IF(Agent04_Loans!B29="","",Agent04_Loans!D29)</f>
        <v/>
      </c>
      <c r="E617" s="43" t="str">
        <f>IF(Agent04_Loans!B29="","",Agent04_Loans!E29)</f>
        <v/>
      </c>
      <c r="F617" s="40" t="str">
        <f>IF(Agent04_Loans!B29="","",Agent04_Loans!F29)</f>
        <v/>
      </c>
      <c r="G617" s="40" t="str">
        <f>IF(Agent04_Loans!B29="","",Agent04_Loans!G29)</f>
        <v/>
      </c>
      <c r="H617" s="40" t="str">
        <f>IF(Agent04_Loans!B29="","",Agent04_Loans!H29)</f>
        <v/>
      </c>
      <c r="I617" s="43" t="str">
        <f>IF(Agent04_Loans!B29="","",Agent04_Loans!I29)</f>
        <v/>
      </c>
      <c r="J617" s="43" t="str">
        <f>IF(Agent04_Loans!B29="","",Agent04_Loans!J29)</f>
        <v/>
      </c>
      <c r="K617" s="40" t="str">
        <f>IF(Agent04_Loans!B29="","",Agent04_Loans!K29)</f>
        <v/>
      </c>
      <c r="L617" s="40" t="str">
        <f>IF(Agent04_Loans!B29="","",Agent04_Loans!L29)</f>
        <v/>
      </c>
      <c r="M617" s="40" t="str">
        <f>IFERROR(IF(Agent04_Loans!B29="","",YEAR(Agent04_Loans!D29)),"")</f>
        <v/>
      </c>
    </row>
    <row r="618" spans="1:13" ht="18" customHeight="1" x14ac:dyDescent="0.25">
      <c r="A618" s="40" t="str">
        <f>IF(Agent04_Loans!B30="","",Agent04_Loans!A30)</f>
        <v/>
      </c>
      <c r="B618" s="40" t="str">
        <f>IF(Agent04_Loans!B30="","",Agent04_Loans!B30)</f>
        <v/>
      </c>
      <c r="C618" s="40" t="str">
        <f>IF(Agent04_Loans!B30="","",Agent04_Loans!C30)</f>
        <v/>
      </c>
      <c r="D618" s="41" t="str">
        <f>IF(Agent04_Loans!B30="","",Agent04_Loans!D30)</f>
        <v/>
      </c>
      <c r="E618" s="43" t="str">
        <f>IF(Agent04_Loans!B30="","",Agent04_Loans!E30)</f>
        <v/>
      </c>
      <c r="F618" s="40" t="str">
        <f>IF(Agent04_Loans!B30="","",Agent04_Loans!F30)</f>
        <v/>
      </c>
      <c r="G618" s="40" t="str">
        <f>IF(Agent04_Loans!B30="","",Agent04_Loans!G30)</f>
        <v/>
      </c>
      <c r="H618" s="40" t="str">
        <f>IF(Agent04_Loans!B30="","",Agent04_Loans!H30)</f>
        <v/>
      </c>
      <c r="I618" s="43" t="str">
        <f>IF(Agent04_Loans!B30="","",Agent04_Loans!I30)</f>
        <v/>
      </c>
      <c r="J618" s="43" t="str">
        <f>IF(Agent04_Loans!B30="","",Agent04_Loans!J30)</f>
        <v/>
      </c>
      <c r="K618" s="40" t="str">
        <f>IF(Agent04_Loans!B30="","",Agent04_Loans!K30)</f>
        <v/>
      </c>
      <c r="L618" s="40" t="str">
        <f>IF(Agent04_Loans!B30="","",Agent04_Loans!L30)</f>
        <v/>
      </c>
      <c r="M618" s="40" t="str">
        <f>IFERROR(IF(Agent04_Loans!B30="","",YEAR(Agent04_Loans!D30)),"")</f>
        <v/>
      </c>
    </row>
    <row r="619" spans="1:13" ht="18" customHeight="1" x14ac:dyDescent="0.25">
      <c r="A619" s="40" t="str">
        <f>IF(Agent04_Loans!B31="","",Agent04_Loans!A31)</f>
        <v/>
      </c>
      <c r="B619" s="40" t="str">
        <f>IF(Agent04_Loans!B31="","",Agent04_Loans!B31)</f>
        <v/>
      </c>
      <c r="C619" s="40" t="str">
        <f>IF(Agent04_Loans!B31="","",Agent04_Loans!C31)</f>
        <v/>
      </c>
      <c r="D619" s="41" t="str">
        <f>IF(Agent04_Loans!B31="","",Agent04_Loans!D31)</f>
        <v/>
      </c>
      <c r="E619" s="43" t="str">
        <f>IF(Agent04_Loans!B31="","",Agent04_Loans!E31)</f>
        <v/>
      </c>
      <c r="F619" s="40" t="str">
        <f>IF(Agent04_Loans!B31="","",Agent04_Loans!F31)</f>
        <v/>
      </c>
      <c r="G619" s="40" t="str">
        <f>IF(Agent04_Loans!B31="","",Agent04_Loans!G31)</f>
        <v/>
      </c>
      <c r="H619" s="40" t="str">
        <f>IF(Agent04_Loans!B31="","",Agent04_Loans!H31)</f>
        <v/>
      </c>
      <c r="I619" s="43" t="str">
        <f>IF(Agent04_Loans!B31="","",Agent04_Loans!I31)</f>
        <v/>
      </c>
      <c r="J619" s="43" t="str">
        <f>IF(Agent04_Loans!B31="","",Agent04_Loans!J31)</f>
        <v/>
      </c>
      <c r="K619" s="40" t="str">
        <f>IF(Agent04_Loans!B31="","",Agent04_Loans!K31)</f>
        <v/>
      </c>
      <c r="L619" s="40" t="str">
        <f>IF(Agent04_Loans!B31="","",Agent04_Loans!L31)</f>
        <v/>
      </c>
      <c r="M619" s="40" t="str">
        <f>IFERROR(IF(Agent04_Loans!B31="","",YEAR(Agent04_Loans!D31)),"")</f>
        <v/>
      </c>
    </row>
    <row r="620" spans="1:13" ht="18" customHeight="1" x14ac:dyDescent="0.25">
      <c r="A620" s="40" t="str">
        <f>IF(Agent04_Loans!B32="","",Agent04_Loans!A32)</f>
        <v/>
      </c>
      <c r="B620" s="40" t="str">
        <f>IF(Agent04_Loans!B32="","",Agent04_Loans!B32)</f>
        <v/>
      </c>
      <c r="C620" s="40" t="str">
        <f>IF(Agent04_Loans!B32="","",Agent04_Loans!C32)</f>
        <v/>
      </c>
      <c r="D620" s="41" t="str">
        <f>IF(Agent04_Loans!B32="","",Agent04_Loans!D32)</f>
        <v/>
      </c>
      <c r="E620" s="43" t="str">
        <f>IF(Agent04_Loans!B32="","",Agent04_Loans!E32)</f>
        <v/>
      </c>
      <c r="F620" s="40" t="str">
        <f>IF(Agent04_Loans!B32="","",Agent04_Loans!F32)</f>
        <v/>
      </c>
      <c r="G620" s="40" t="str">
        <f>IF(Agent04_Loans!B32="","",Agent04_Loans!G32)</f>
        <v/>
      </c>
      <c r="H620" s="40" t="str">
        <f>IF(Agent04_Loans!B32="","",Agent04_Loans!H32)</f>
        <v/>
      </c>
      <c r="I620" s="43" t="str">
        <f>IF(Agent04_Loans!B32="","",Agent04_Loans!I32)</f>
        <v/>
      </c>
      <c r="J620" s="43" t="str">
        <f>IF(Agent04_Loans!B32="","",Agent04_Loans!J32)</f>
        <v/>
      </c>
      <c r="K620" s="40" t="str">
        <f>IF(Agent04_Loans!B32="","",Agent04_Loans!K32)</f>
        <v/>
      </c>
      <c r="L620" s="40" t="str">
        <f>IF(Agent04_Loans!B32="","",Agent04_Loans!L32)</f>
        <v/>
      </c>
      <c r="M620" s="40" t="str">
        <f>IFERROR(IF(Agent04_Loans!B32="","",YEAR(Agent04_Loans!D32)),"")</f>
        <v/>
      </c>
    </row>
    <row r="621" spans="1:13" ht="18" customHeight="1" x14ac:dyDescent="0.25">
      <c r="A621" s="40" t="str">
        <f>IF(Agent04_Loans!B33="","",Agent04_Loans!A33)</f>
        <v/>
      </c>
      <c r="B621" s="40" t="str">
        <f>IF(Agent04_Loans!B33="","",Agent04_Loans!B33)</f>
        <v/>
      </c>
      <c r="C621" s="40" t="str">
        <f>IF(Agent04_Loans!B33="","",Agent04_Loans!C33)</f>
        <v/>
      </c>
      <c r="D621" s="41" t="str">
        <f>IF(Agent04_Loans!B33="","",Agent04_Loans!D33)</f>
        <v/>
      </c>
      <c r="E621" s="43" t="str">
        <f>IF(Agent04_Loans!B33="","",Agent04_Loans!E33)</f>
        <v/>
      </c>
      <c r="F621" s="40" t="str">
        <f>IF(Agent04_Loans!B33="","",Agent04_Loans!F33)</f>
        <v/>
      </c>
      <c r="G621" s="40" t="str">
        <f>IF(Agent04_Loans!B33="","",Agent04_Loans!G33)</f>
        <v/>
      </c>
      <c r="H621" s="40" t="str">
        <f>IF(Agent04_Loans!B33="","",Agent04_Loans!H33)</f>
        <v/>
      </c>
      <c r="I621" s="43" t="str">
        <f>IF(Agent04_Loans!B33="","",Agent04_Loans!I33)</f>
        <v/>
      </c>
      <c r="J621" s="43" t="str">
        <f>IF(Agent04_Loans!B33="","",Agent04_Loans!J33)</f>
        <v/>
      </c>
      <c r="K621" s="40" t="str">
        <f>IF(Agent04_Loans!B33="","",Agent04_Loans!K33)</f>
        <v/>
      </c>
      <c r="L621" s="40" t="str">
        <f>IF(Agent04_Loans!B33="","",Agent04_Loans!L33)</f>
        <v/>
      </c>
      <c r="M621" s="40" t="str">
        <f>IFERROR(IF(Agent04_Loans!B33="","",YEAR(Agent04_Loans!D33)),"")</f>
        <v/>
      </c>
    </row>
    <row r="622" spans="1:13" ht="18" customHeight="1" x14ac:dyDescent="0.25">
      <c r="A622" s="40" t="str">
        <f>IF(Agent04_Loans!B34="","",Agent04_Loans!A34)</f>
        <v/>
      </c>
      <c r="B622" s="40" t="str">
        <f>IF(Agent04_Loans!B34="","",Agent04_Loans!B34)</f>
        <v/>
      </c>
      <c r="C622" s="40" t="str">
        <f>IF(Agent04_Loans!B34="","",Agent04_Loans!C34)</f>
        <v/>
      </c>
      <c r="D622" s="41" t="str">
        <f>IF(Agent04_Loans!B34="","",Agent04_Loans!D34)</f>
        <v/>
      </c>
      <c r="E622" s="43" t="str">
        <f>IF(Agent04_Loans!B34="","",Agent04_Loans!E34)</f>
        <v/>
      </c>
      <c r="F622" s="40" t="str">
        <f>IF(Agent04_Loans!B34="","",Agent04_Loans!F34)</f>
        <v/>
      </c>
      <c r="G622" s="40" t="str">
        <f>IF(Agent04_Loans!B34="","",Agent04_Loans!G34)</f>
        <v/>
      </c>
      <c r="H622" s="40" t="str">
        <f>IF(Agent04_Loans!B34="","",Agent04_Loans!H34)</f>
        <v/>
      </c>
      <c r="I622" s="43" t="str">
        <f>IF(Agent04_Loans!B34="","",Agent04_Loans!I34)</f>
        <v/>
      </c>
      <c r="J622" s="43" t="str">
        <f>IF(Agent04_Loans!B34="","",Agent04_Loans!J34)</f>
        <v/>
      </c>
      <c r="K622" s="40" t="str">
        <f>IF(Agent04_Loans!B34="","",Agent04_Loans!K34)</f>
        <v/>
      </c>
      <c r="L622" s="40" t="str">
        <f>IF(Agent04_Loans!B34="","",Agent04_Loans!L34)</f>
        <v/>
      </c>
      <c r="M622" s="40" t="str">
        <f>IFERROR(IF(Agent04_Loans!B34="","",YEAR(Agent04_Loans!D34)),"")</f>
        <v/>
      </c>
    </row>
    <row r="623" spans="1:13" ht="18" customHeight="1" x14ac:dyDescent="0.25">
      <c r="A623" s="40" t="str">
        <f>IF(Agent04_Loans!B35="","",Agent04_Loans!A35)</f>
        <v/>
      </c>
      <c r="B623" s="40" t="str">
        <f>IF(Agent04_Loans!B35="","",Agent04_Loans!B35)</f>
        <v/>
      </c>
      <c r="C623" s="40" t="str">
        <f>IF(Agent04_Loans!B35="","",Agent04_Loans!C35)</f>
        <v/>
      </c>
      <c r="D623" s="41" t="str">
        <f>IF(Agent04_Loans!B35="","",Agent04_Loans!D35)</f>
        <v/>
      </c>
      <c r="E623" s="43" t="str">
        <f>IF(Agent04_Loans!B35="","",Agent04_Loans!E35)</f>
        <v/>
      </c>
      <c r="F623" s="40" t="str">
        <f>IF(Agent04_Loans!B35="","",Agent04_Loans!F35)</f>
        <v/>
      </c>
      <c r="G623" s="40" t="str">
        <f>IF(Agent04_Loans!B35="","",Agent04_Loans!G35)</f>
        <v/>
      </c>
      <c r="H623" s="40" t="str">
        <f>IF(Agent04_Loans!B35="","",Agent04_Loans!H35)</f>
        <v/>
      </c>
      <c r="I623" s="43" t="str">
        <f>IF(Agent04_Loans!B35="","",Agent04_Loans!I35)</f>
        <v/>
      </c>
      <c r="J623" s="43" t="str">
        <f>IF(Agent04_Loans!B35="","",Agent04_Loans!J35)</f>
        <v/>
      </c>
      <c r="K623" s="40" t="str">
        <f>IF(Agent04_Loans!B35="","",Agent04_Loans!K35)</f>
        <v/>
      </c>
      <c r="L623" s="40" t="str">
        <f>IF(Agent04_Loans!B35="","",Agent04_Loans!L35)</f>
        <v/>
      </c>
      <c r="M623" s="40" t="str">
        <f>IFERROR(IF(Agent04_Loans!B35="","",YEAR(Agent04_Loans!D35)),"")</f>
        <v/>
      </c>
    </row>
    <row r="624" spans="1:13" ht="18" customHeight="1" x14ac:dyDescent="0.25">
      <c r="A624" s="40" t="str">
        <f>IF(Agent04_Loans!B36="","",Agent04_Loans!A36)</f>
        <v/>
      </c>
      <c r="B624" s="40" t="str">
        <f>IF(Agent04_Loans!B36="","",Agent04_Loans!B36)</f>
        <v/>
      </c>
      <c r="C624" s="40" t="str">
        <f>IF(Agent04_Loans!B36="","",Agent04_Loans!C36)</f>
        <v/>
      </c>
      <c r="D624" s="41" t="str">
        <f>IF(Agent04_Loans!B36="","",Agent04_Loans!D36)</f>
        <v/>
      </c>
      <c r="E624" s="43" t="str">
        <f>IF(Agent04_Loans!B36="","",Agent04_Loans!E36)</f>
        <v/>
      </c>
      <c r="F624" s="40" t="str">
        <f>IF(Agent04_Loans!B36="","",Agent04_Loans!F36)</f>
        <v/>
      </c>
      <c r="G624" s="40" t="str">
        <f>IF(Agent04_Loans!B36="","",Agent04_Loans!G36)</f>
        <v/>
      </c>
      <c r="H624" s="40" t="str">
        <f>IF(Agent04_Loans!B36="","",Agent04_Loans!H36)</f>
        <v/>
      </c>
      <c r="I624" s="43" t="str">
        <f>IF(Agent04_Loans!B36="","",Agent04_Loans!I36)</f>
        <v/>
      </c>
      <c r="J624" s="43" t="str">
        <f>IF(Agent04_Loans!B36="","",Agent04_Loans!J36)</f>
        <v/>
      </c>
      <c r="K624" s="40" t="str">
        <f>IF(Agent04_Loans!B36="","",Agent04_Loans!K36)</f>
        <v/>
      </c>
      <c r="L624" s="40" t="str">
        <f>IF(Agent04_Loans!B36="","",Agent04_Loans!L36)</f>
        <v/>
      </c>
      <c r="M624" s="40" t="str">
        <f>IFERROR(IF(Agent04_Loans!B36="","",YEAR(Agent04_Loans!D36)),"")</f>
        <v/>
      </c>
    </row>
    <row r="625" spans="1:13" ht="18" customHeight="1" x14ac:dyDescent="0.25">
      <c r="A625" s="40" t="str">
        <f>IF(Agent04_Loans!B37="","",Agent04_Loans!A37)</f>
        <v/>
      </c>
      <c r="B625" s="40" t="str">
        <f>IF(Agent04_Loans!B37="","",Agent04_Loans!B37)</f>
        <v/>
      </c>
      <c r="C625" s="40" t="str">
        <f>IF(Agent04_Loans!B37="","",Agent04_Loans!C37)</f>
        <v/>
      </c>
      <c r="D625" s="41" t="str">
        <f>IF(Agent04_Loans!B37="","",Agent04_Loans!D37)</f>
        <v/>
      </c>
      <c r="E625" s="43" t="str">
        <f>IF(Agent04_Loans!B37="","",Agent04_Loans!E37)</f>
        <v/>
      </c>
      <c r="F625" s="40" t="str">
        <f>IF(Agent04_Loans!B37="","",Agent04_Loans!F37)</f>
        <v/>
      </c>
      <c r="G625" s="40" t="str">
        <f>IF(Agent04_Loans!B37="","",Agent04_Loans!G37)</f>
        <v/>
      </c>
      <c r="H625" s="40" t="str">
        <f>IF(Agent04_Loans!B37="","",Agent04_Loans!H37)</f>
        <v/>
      </c>
      <c r="I625" s="43" t="str">
        <f>IF(Agent04_Loans!B37="","",Agent04_Loans!I37)</f>
        <v/>
      </c>
      <c r="J625" s="43" t="str">
        <f>IF(Agent04_Loans!B37="","",Agent04_Loans!J37)</f>
        <v/>
      </c>
      <c r="K625" s="40" t="str">
        <f>IF(Agent04_Loans!B37="","",Agent04_Loans!K37)</f>
        <v/>
      </c>
      <c r="L625" s="40" t="str">
        <f>IF(Agent04_Loans!B37="","",Agent04_Loans!L37)</f>
        <v/>
      </c>
      <c r="M625" s="40" t="str">
        <f>IFERROR(IF(Agent04_Loans!B37="","",YEAR(Agent04_Loans!D37)),"")</f>
        <v/>
      </c>
    </row>
    <row r="626" spans="1:13" ht="18" customHeight="1" x14ac:dyDescent="0.25">
      <c r="A626" s="40" t="str">
        <f>IF(Agent04_Loans!B38="","",Agent04_Loans!A38)</f>
        <v/>
      </c>
      <c r="B626" s="40" t="str">
        <f>IF(Agent04_Loans!B38="","",Agent04_Loans!B38)</f>
        <v/>
      </c>
      <c r="C626" s="40" t="str">
        <f>IF(Agent04_Loans!B38="","",Agent04_Loans!C38)</f>
        <v/>
      </c>
      <c r="D626" s="41" t="str">
        <f>IF(Agent04_Loans!B38="","",Agent04_Loans!D38)</f>
        <v/>
      </c>
      <c r="E626" s="43" t="str">
        <f>IF(Agent04_Loans!B38="","",Agent04_Loans!E38)</f>
        <v/>
      </c>
      <c r="F626" s="40" t="str">
        <f>IF(Agent04_Loans!B38="","",Agent04_Loans!F38)</f>
        <v/>
      </c>
      <c r="G626" s="40" t="str">
        <f>IF(Agent04_Loans!B38="","",Agent04_Loans!G38)</f>
        <v/>
      </c>
      <c r="H626" s="40" t="str">
        <f>IF(Agent04_Loans!B38="","",Agent04_Loans!H38)</f>
        <v/>
      </c>
      <c r="I626" s="43" t="str">
        <f>IF(Agent04_Loans!B38="","",Agent04_Loans!I38)</f>
        <v/>
      </c>
      <c r="J626" s="43" t="str">
        <f>IF(Agent04_Loans!B38="","",Agent04_Loans!J38)</f>
        <v/>
      </c>
      <c r="K626" s="40" t="str">
        <f>IF(Agent04_Loans!B38="","",Agent04_Loans!K38)</f>
        <v/>
      </c>
      <c r="L626" s="40" t="str">
        <f>IF(Agent04_Loans!B38="","",Agent04_Loans!L38)</f>
        <v/>
      </c>
      <c r="M626" s="40" t="str">
        <f>IFERROR(IF(Agent04_Loans!B38="","",YEAR(Agent04_Loans!D38)),"")</f>
        <v/>
      </c>
    </row>
    <row r="627" spans="1:13" ht="18" customHeight="1" x14ac:dyDescent="0.25">
      <c r="A627" s="40" t="str">
        <f>IF(Agent04_Loans!B39="","",Agent04_Loans!A39)</f>
        <v/>
      </c>
      <c r="B627" s="40" t="str">
        <f>IF(Agent04_Loans!B39="","",Agent04_Loans!B39)</f>
        <v/>
      </c>
      <c r="C627" s="40" t="str">
        <f>IF(Agent04_Loans!B39="","",Agent04_Loans!C39)</f>
        <v/>
      </c>
      <c r="D627" s="41" t="str">
        <f>IF(Agent04_Loans!B39="","",Agent04_Loans!D39)</f>
        <v/>
      </c>
      <c r="E627" s="43" t="str">
        <f>IF(Agent04_Loans!B39="","",Agent04_Loans!E39)</f>
        <v/>
      </c>
      <c r="F627" s="40" t="str">
        <f>IF(Agent04_Loans!B39="","",Agent04_Loans!F39)</f>
        <v/>
      </c>
      <c r="G627" s="40" t="str">
        <f>IF(Agent04_Loans!B39="","",Agent04_Loans!G39)</f>
        <v/>
      </c>
      <c r="H627" s="40" t="str">
        <f>IF(Agent04_Loans!B39="","",Agent04_Loans!H39)</f>
        <v/>
      </c>
      <c r="I627" s="43" t="str">
        <f>IF(Agent04_Loans!B39="","",Agent04_Loans!I39)</f>
        <v/>
      </c>
      <c r="J627" s="43" t="str">
        <f>IF(Agent04_Loans!B39="","",Agent04_Loans!J39)</f>
        <v/>
      </c>
      <c r="K627" s="40" t="str">
        <f>IF(Agent04_Loans!B39="","",Agent04_Loans!K39)</f>
        <v/>
      </c>
      <c r="L627" s="40" t="str">
        <f>IF(Agent04_Loans!B39="","",Agent04_Loans!L39)</f>
        <v/>
      </c>
      <c r="M627" s="40" t="str">
        <f>IFERROR(IF(Agent04_Loans!B39="","",YEAR(Agent04_Loans!D39)),"")</f>
        <v/>
      </c>
    </row>
    <row r="628" spans="1:13" ht="18" customHeight="1" x14ac:dyDescent="0.25">
      <c r="A628" s="40" t="str">
        <f>IF(Agent04_Loans!B40="","",Agent04_Loans!A40)</f>
        <v/>
      </c>
      <c r="B628" s="40" t="str">
        <f>IF(Agent04_Loans!B40="","",Agent04_Loans!B40)</f>
        <v/>
      </c>
      <c r="C628" s="40" t="str">
        <f>IF(Agent04_Loans!B40="","",Agent04_Loans!C40)</f>
        <v/>
      </c>
      <c r="D628" s="41" t="str">
        <f>IF(Agent04_Loans!B40="","",Agent04_Loans!D40)</f>
        <v/>
      </c>
      <c r="E628" s="43" t="str">
        <f>IF(Agent04_Loans!B40="","",Agent04_Loans!E40)</f>
        <v/>
      </c>
      <c r="F628" s="40" t="str">
        <f>IF(Agent04_Loans!B40="","",Agent04_Loans!F40)</f>
        <v/>
      </c>
      <c r="G628" s="40" t="str">
        <f>IF(Agent04_Loans!B40="","",Agent04_Loans!G40)</f>
        <v/>
      </c>
      <c r="H628" s="40" t="str">
        <f>IF(Agent04_Loans!B40="","",Agent04_Loans!H40)</f>
        <v/>
      </c>
      <c r="I628" s="43" t="str">
        <f>IF(Agent04_Loans!B40="","",Agent04_Loans!I40)</f>
        <v/>
      </c>
      <c r="J628" s="43" t="str">
        <f>IF(Agent04_Loans!B40="","",Agent04_Loans!J40)</f>
        <v/>
      </c>
      <c r="K628" s="40" t="str">
        <f>IF(Agent04_Loans!B40="","",Agent04_Loans!K40)</f>
        <v/>
      </c>
      <c r="L628" s="40" t="str">
        <f>IF(Agent04_Loans!B40="","",Agent04_Loans!L40)</f>
        <v/>
      </c>
      <c r="M628" s="40" t="str">
        <f>IFERROR(IF(Agent04_Loans!B40="","",YEAR(Agent04_Loans!D40)),"")</f>
        <v/>
      </c>
    </row>
    <row r="629" spans="1:13" ht="18" customHeight="1" x14ac:dyDescent="0.25">
      <c r="A629" s="40" t="str">
        <f>IF(Agent04_Loans!B41="","",Agent04_Loans!A41)</f>
        <v/>
      </c>
      <c r="B629" s="40" t="str">
        <f>IF(Agent04_Loans!B41="","",Agent04_Loans!B41)</f>
        <v/>
      </c>
      <c r="C629" s="40" t="str">
        <f>IF(Agent04_Loans!B41="","",Agent04_Loans!C41)</f>
        <v/>
      </c>
      <c r="D629" s="41" t="str">
        <f>IF(Agent04_Loans!B41="","",Agent04_Loans!D41)</f>
        <v/>
      </c>
      <c r="E629" s="43" t="str">
        <f>IF(Agent04_Loans!B41="","",Agent04_Loans!E41)</f>
        <v/>
      </c>
      <c r="F629" s="40" t="str">
        <f>IF(Agent04_Loans!B41="","",Agent04_Loans!F41)</f>
        <v/>
      </c>
      <c r="G629" s="40" t="str">
        <f>IF(Agent04_Loans!B41="","",Agent04_Loans!G41)</f>
        <v/>
      </c>
      <c r="H629" s="40" t="str">
        <f>IF(Agent04_Loans!B41="","",Agent04_Loans!H41)</f>
        <v/>
      </c>
      <c r="I629" s="43" t="str">
        <f>IF(Agent04_Loans!B41="","",Agent04_Loans!I41)</f>
        <v/>
      </c>
      <c r="J629" s="43" t="str">
        <f>IF(Agent04_Loans!B41="","",Agent04_Loans!J41)</f>
        <v/>
      </c>
      <c r="K629" s="40" t="str">
        <f>IF(Agent04_Loans!B41="","",Agent04_Loans!K41)</f>
        <v/>
      </c>
      <c r="L629" s="40" t="str">
        <f>IF(Agent04_Loans!B41="","",Agent04_Loans!L41)</f>
        <v/>
      </c>
      <c r="M629" s="40" t="str">
        <f>IFERROR(IF(Agent04_Loans!B41="","",YEAR(Agent04_Loans!D41)),"")</f>
        <v/>
      </c>
    </row>
    <row r="630" spans="1:13" ht="18" customHeight="1" x14ac:dyDescent="0.25">
      <c r="A630" s="40" t="str">
        <f>IF(Agent04_Loans!B42="","",Agent04_Loans!A42)</f>
        <v/>
      </c>
      <c r="B630" s="40" t="str">
        <f>IF(Agent04_Loans!B42="","",Agent04_Loans!B42)</f>
        <v/>
      </c>
      <c r="C630" s="40" t="str">
        <f>IF(Agent04_Loans!B42="","",Agent04_Loans!C42)</f>
        <v/>
      </c>
      <c r="D630" s="41" t="str">
        <f>IF(Agent04_Loans!B42="","",Agent04_Loans!D42)</f>
        <v/>
      </c>
      <c r="E630" s="43" t="str">
        <f>IF(Agent04_Loans!B42="","",Agent04_Loans!E42)</f>
        <v/>
      </c>
      <c r="F630" s="40" t="str">
        <f>IF(Agent04_Loans!B42="","",Agent04_Loans!F42)</f>
        <v/>
      </c>
      <c r="G630" s="40" t="str">
        <f>IF(Agent04_Loans!B42="","",Agent04_Loans!G42)</f>
        <v/>
      </c>
      <c r="H630" s="40" t="str">
        <f>IF(Agent04_Loans!B42="","",Agent04_Loans!H42)</f>
        <v/>
      </c>
      <c r="I630" s="43" t="str">
        <f>IF(Agent04_Loans!B42="","",Agent04_Loans!I42)</f>
        <v/>
      </c>
      <c r="J630" s="43" t="str">
        <f>IF(Agent04_Loans!B42="","",Agent04_Loans!J42)</f>
        <v/>
      </c>
      <c r="K630" s="40" t="str">
        <f>IF(Agent04_Loans!B42="","",Agent04_Loans!K42)</f>
        <v/>
      </c>
      <c r="L630" s="40" t="str">
        <f>IF(Agent04_Loans!B42="","",Agent04_Loans!L42)</f>
        <v/>
      </c>
      <c r="M630" s="40" t="str">
        <f>IFERROR(IF(Agent04_Loans!B42="","",YEAR(Agent04_Loans!D42)),"")</f>
        <v/>
      </c>
    </row>
    <row r="631" spans="1:13" ht="18" customHeight="1" x14ac:dyDescent="0.25">
      <c r="A631" s="40" t="str">
        <f>IF(Agent04_Loans!B43="","",Agent04_Loans!A43)</f>
        <v/>
      </c>
      <c r="B631" s="40" t="str">
        <f>IF(Agent04_Loans!B43="","",Agent04_Loans!B43)</f>
        <v/>
      </c>
      <c r="C631" s="40" t="str">
        <f>IF(Agent04_Loans!B43="","",Agent04_Loans!C43)</f>
        <v/>
      </c>
      <c r="D631" s="41" t="str">
        <f>IF(Agent04_Loans!B43="","",Agent04_Loans!D43)</f>
        <v/>
      </c>
      <c r="E631" s="43" t="str">
        <f>IF(Agent04_Loans!B43="","",Agent04_Loans!E43)</f>
        <v/>
      </c>
      <c r="F631" s="40" t="str">
        <f>IF(Agent04_Loans!B43="","",Agent04_Loans!F43)</f>
        <v/>
      </c>
      <c r="G631" s="40" t="str">
        <f>IF(Agent04_Loans!B43="","",Agent04_Loans!G43)</f>
        <v/>
      </c>
      <c r="H631" s="40" t="str">
        <f>IF(Agent04_Loans!B43="","",Agent04_Loans!H43)</f>
        <v/>
      </c>
      <c r="I631" s="43" t="str">
        <f>IF(Agent04_Loans!B43="","",Agent04_Loans!I43)</f>
        <v/>
      </c>
      <c r="J631" s="43" t="str">
        <f>IF(Agent04_Loans!B43="","",Agent04_Loans!J43)</f>
        <v/>
      </c>
      <c r="K631" s="40" t="str">
        <f>IF(Agent04_Loans!B43="","",Agent04_Loans!K43)</f>
        <v/>
      </c>
      <c r="L631" s="40" t="str">
        <f>IF(Agent04_Loans!B43="","",Agent04_Loans!L43)</f>
        <v/>
      </c>
      <c r="M631" s="40" t="str">
        <f>IFERROR(IF(Agent04_Loans!B43="","",YEAR(Agent04_Loans!D43)),"")</f>
        <v/>
      </c>
    </row>
    <row r="632" spans="1:13" ht="18" customHeight="1" x14ac:dyDescent="0.25">
      <c r="A632" s="40" t="str">
        <f>IF(Agent04_Loans!B44="","",Agent04_Loans!A44)</f>
        <v/>
      </c>
      <c r="B632" s="40" t="str">
        <f>IF(Agent04_Loans!B44="","",Agent04_Loans!B44)</f>
        <v/>
      </c>
      <c r="C632" s="40" t="str">
        <f>IF(Agent04_Loans!B44="","",Agent04_Loans!C44)</f>
        <v/>
      </c>
      <c r="D632" s="41" t="str">
        <f>IF(Agent04_Loans!B44="","",Agent04_Loans!D44)</f>
        <v/>
      </c>
      <c r="E632" s="43" t="str">
        <f>IF(Agent04_Loans!B44="","",Agent04_Loans!E44)</f>
        <v/>
      </c>
      <c r="F632" s="40" t="str">
        <f>IF(Agent04_Loans!B44="","",Agent04_Loans!F44)</f>
        <v/>
      </c>
      <c r="G632" s="40" t="str">
        <f>IF(Agent04_Loans!B44="","",Agent04_Loans!G44)</f>
        <v/>
      </c>
      <c r="H632" s="40" t="str">
        <f>IF(Agent04_Loans!B44="","",Agent04_Loans!H44)</f>
        <v/>
      </c>
      <c r="I632" s="43" t="str">
        <f>IF(Agent04_Loans!B44="","",Agent04_Loans!I44)</f>
        <v/>
      </c>
      <c r="J632" s="43" t="str">
        <f>IF(Agent04_Loans!B44="","",Agent04_Loans!J44)</f>
        <v/>
      </c>
      <c r="K632" s="40" t="str">
        <f>IF(Agent04_Loans!B44="","",Agent04_Loans!K44)</f>
        <v/>
      </c>
      <c r="L632" s="40" t="str">
        <f>IF(Agent04_Loans!B44="","",Agent04_Loans!L44)</f>
        <v/>
      </c>
      <c r="M632" s="40" t="str">
        <f>IFERROR(IF(Agent04_Loans!B44="","",YEAR(Agent04_Loans!D44)),"")</f>
        <v/>
      </c>
    </row>
    <row r="633" spans="1:13" ht="18" customHeight="1" x14ac:dyDescent="0.25">
      <c r="A633" s="40" t="str">
        <f>IF(Agent04_Loans!B45="","",Agent04_Loans!A45)</f>
        <v/>
      </c>
      <c r="B633" s="40" t="str">
        <f>IF(Agent04_Loans!B45="","",Agent04_Loans!B45)</f>
        <v/>
      </c>
      <c r="C633" s="40" t="str">
        <f>IF(Agent04_Loans!B45="","",Agent04_Loans!C45)</f>
        <v/>
      </c>
      <c r="D633" s="41" t="str">
        <f>IF(Agent04_Loans!B45="","",Agent04_Loans!D45)</f>
        <v/>
      </c>
      <c r="E633" s="43" t="str">
        <f>IF(Agent04_Loans!B45="","",Agent04_Loans!E45)</f>
        <v/>
      </c>
      <c r="F633" s="40" t="str">
        <f>IF(Agent04_Loans!B45="","",Agent04_Loans!F45)</f>
        <v/>
      </c>
      <c r="G633" s="40" t="str">
        <f>IF(Agent04_Loans!B45="","",Agent04_Loans!G45)</f>
        <v/>
      </c>
      <c r="H633" s="40" t="str">
        <f>IF(Agent04_Loans!B45="","",Agent04_Loans!H45)</f>
        <v/>
      </c>
      <c r="I633" s="43" t="str">
        <f>IF(Agent04_Loans!B45="","",Agent04_Loans!I45)</f>
        <v/>
      </c>
      <c r="J633" s="43" t="str">
        <f>IF(Agent04_Loans!B45="","",Agent04_Loans!J45)</f>
        <v/>
      </c>
      <c r="K633" s="40" t="str">
        <f>IF(Agent04_Loans!B45="","",Agent04_Loans!K45)</f>
        <v/>
      </c>
      <c r="L633" s="40" t="str">
        <f>IF(Agent04_Loans!B45="","",Agent04_Loans!L45)</f>
        <v/>
      </c>
      <c r="M633" s="40" t="str">
        <f>IFERROR(IF(Agent04_Loans!B45="","",YEAR(Agent04_Loans!D45)),"")</f>
        <v/>
      </c>
    </row>
    <row r="634" spans="1:13" ht="18" customHeight="1" x14ac:dyDescent="0.25">
      <c r="A634" s="40" t="str">
        <f>IF(Agent04_Loans!B46="","",Agent04_Loans!A46)</f>
        <v/>
      </c>
      <c r="B634" s="40" t="str">
        <f>IF(Agent04_Loans!B46="","",Agent04_Loans!B46)</f>
        <v/>
      </c>
      <c r="C634" s="40" t="str">
        <f>IF(Agent04_Loans!B46="","",Agent04_Loans!C46)</f>
        <v/>
      </c>
      <c r="D634" s="41" t="str">
        <f>IF(Agent04_Loans!B46="","",Agent04_Loans!D46)</f>
        <v/>
      </c>
      <c r="E634" s="43" t="str">
        <f>IF(Agent04_Loans!B46="","",Agent04_Loans!E46)</f>
        <v/>
      </c>
      <c r="F634" s="40" t="str">
        <f>IF(Agent04_Loans!B46="","",Agent04_Loans!F46)</f>
        <v/>
      </c>
      <c r="G634" s="40" t="str">
        <f>IF(Agent04_Loans!B46="","",Agent04_Loans!G46)</f>
        <v/>
      </c>
      <c r="H634" s="40" t="str">
        <f>IF(Agent04_Loans!B46="","",Agent04_Loans!H46)</f>
        <v/>
      </c>
      <c r="I634" s="43" t="str">
        <f>IF(Agent04_Loans!B46="","",Agent04_Loans!I46)</f>
        <v/>
      </c>
      <c r="J634" s="43" t="str">
        <f>IF(Agent04_Loans!B46="","",Agent04_Loans!J46)</f>
        <v/>
      </c>
      <c r="K634" s="40" t="str">
        <f>IF(Agent04_Loans!B46="","",Agent04_Loans!K46)</f>
        <v/>
      </c>
      <c r="L634" s="40" t="str">
        <f>IF(Agent04_Loans!B46="","",Agent04_Loans!L46)</f>
        <v/>
      </c>
      <c r="M634" s="40" t="str">
        <f>IFERROR(IF(Agent04_Loans!B46="","",YEAR(Agent04_Loans!D46)),"")</f>
        <v/>
      </c>
    </row>
    <row r="635" spans="1:13" ht="18" customHeight="1" x14ac:dyDescent="0.25">
      <c r="A635" s="40" t="str">
        <f>IF(Agent04_Loans!B47="","",Agent04_Loans!A47)</f>
        <v/>
      </c>
      <c r="B635" s="40" t="str">
        <f>IF(Agent04_Loans!B47="","",Agent04_Loans!B47)</f>
        <v/>
      </c>
      <c r="C635" s="40" t="str">
        <f>IF(Agent04_Loans!B47="","",Agent04_Loans!C47)</f>
        <v/>
      </c>
      <c r="D635" s="41" t="str">
        <f>IF(Agent04_Loans!B47="","",Agent04_Loans!D47)</f>
        <v/>
      </c>
      <c r="E635" s="43" t="str">
        <f>IF(Agent04_Loans!B47="","",Agent04_Loans!E47)</f>
        <v/>
      </c>
      <c r="F635" s="40" t="str">
        <f>IF(Agent04_Loans!B47="","",Agent04_Loans!F47)</f>
        <v/>
      </c>
      <c r="G635" s="40" t="str">
        <f>IF(Agent04_Loans!B47="","",Agent04_Loans!G47)</f>
        <v/>
      </c>
      <c r="H635" s="40" t="str">
        <f>IF(Agent04_Loans!B47="","",Agent04_Loans!H47)</f>
        <v/>
      </c>
      <c r="I635" s="43" t="str">
        <f>IF(Agent04_Loans!B47="","",Agent04_Loans!I47)</f>
        <v/>
      </c>
      <c r="J635" s="43" t="str">
        <f>IF(Agent04_Loans!B47="","",Agent04_Loans!J47)</f>
        <v/>
      </c>
      <c r="K635" s="40" t="str">
        <f>IF(Agent04_Loans!B47="","",Agent04_Loans!K47)</f>
        <v/>
      </c>
      <c r="L635" s="40" t="str">
        <f>IF(Agent04_Loans!B47="","",Agent04_Loans!L47)</f>
        <v/>
      </c>
      <c r="M635" s="40" t="str">
        <f>IFERROR(IF(Agent04_Loans!B47="","",YEAR(Agent04_Loans!D47)),"")</f>
        <v/>
      </c>
    </row>
    <row r="636" spans="1:13" ht="18" customHeight="1" x14ac:dyDescent="0.25">
      <c r="A636" s="40" t="str">
        <f>IF(Agent04_Loans!B48="","",Agent04_Loans!A48)</f>
        <v/>
      </c>
      <c r="B636" s="40" t="str">
        <f>IF(Agent04_Loans!B48="","",Agent04_Loans!B48)</f>
        <v/>
      </c>
      <c r="C636" s="40" t="str">
        <f>IF(Agent04_Loans!B48="","",Agent04_Loans!C48)</f>
        <v/>
      </c>
      <c r="D636" s="41" t="str">
        <f>IF(Agent04_Loans!B48="","",Agent04_Loans!D48)</f>
        <v/>
      </c>
      <c r="E636" s="43" t="str">
        <f>IF(Agent04_Loans!B48="","",Agent04_Loans!E48)</f>
        <v/>
      </c>
      <c r="F636" s="40" t="str">
        <f>IF(Agent04_Loans!B48="","",Agent04_Loans!F48)</f>
        <v/>
      </c>
      <c r="G636" s="40" t="str">
        <f>IF(Agent04_Loans!B48="","",Agent04_Loans!G48)</f>
        <v/>
      </c>
      <c r="H636" s="40" t="str">
        <f>IF(Agent04_Loans!B48="","",Agent04_Loans!H48)</f>
        <v/>
      </c>
      <c r="I636" s="43" t="str">
        <f>IF(Agent04_Loans!B48="","",Agent04_Loans!I48)</f>
        <v/>
      </c>
      <c r="J636" s="43" t="str">
        <f>IF(Agent04_Loans!B48="","",Agent04_Loans!J48)</f>
        <v/>
      </c>
      <c r="K636" s="40" t="str">
        <f>IF(Agent04_Loans!B48="","",Agent04_Loans!K48)</f>
        <v/>
      </c>
      <c r="L636" s="40" t="str">
        <f>IF(Agent04_Loans!B48="","",Agent04_Loans!L48)</f>
        <v/>
      </c>
      <c r="M636" s="40" t="str">
        <f>IFERROR(IF(Agent04_Loans!B48="","",YEAR(Agent04_Loans!D48)),"")</f>
        <v/>
      </c>
    </row>
    <row r="637" spans="1:13" ht="18" customHeight="1" x14ac:dyDescent="0.25">
      <c r="A637" s="40" t="str">
        <f>IF(Agent04_Loans!B49="","",Agent04_Loans!A49)</f>
        <v/>
      </c>
      <c r="B637" s="40" t="str">
        <f>IF(Agent04_Loans!B49="","",Agent04_Loans!B49)</f>
        <v/>
      </c>
      <c r="C637" s="40" t="str">
        <f>IF(Agent04_Loans!B49="","",Agent04_Loans!C49)</f>
        <v/>
      </c>
      <c r="D637" s="41" t="str">
        <f>IF(Agent04_Loans!B49="","",Agent04_Loans!D49)</f>
        <v/>
      </c>
      <c r="E637" s="43" t="str">
        <f>IF(Agent04_Loans!B49="","",Agent04_Loans!E49)</f>
        <v/>
      </c>
      <c r="F637" s="40" t="str">
        <f>IF(Agent04_Loans!B49="","",Agent04_Loans!F49)</f>
        <v/>
      </c>
      <c r="G637" s="40" t="str">
        <f>IF(Agent04_Loans!B49="","",Agent04_Loans!G49)</f>
        <v/>
      </c>
      <c r="H637" s="40" t="str">
        <f>IF(Agent04_Loans!B49="","",Agent04_Loans!H49)</f>
        <v/>
      </c>
      <c r="I637" s="43" t="str">
        <f>IF(Agent04_Loans!B49="","",Agent04_Loans!I49)</f>
        <v/>
      </c>
      <c r="J637" s="43" t="str">
        <f>IF(Agent04_Loans!B49="","",Agent04_Loans!J49)</f>
        <v/>
      </c>
      <c r="K637" s="40" t="str">
        <f>IF(Agent04_Loans!B49="","",Agent04_Loans!K49)</f>
        <v/>
      </c>
      <c r="L637" s="40" t="str">
        <f>IF(Agent04_Loans!B49="","",Agent04_Loans!L49)</f>
        <v/>
      </c>
      <c r="M637" s="40" t="str">
        <f>IFERROR(IF(Agent04_Loans!B49="","",YEAR(Agent04_Loans!D49)),"")</f>
        <v/>
      </c>
    </row>
    <row r="638" spans="1:13" ht="18" customHeight="1" x14ac:dyDescent="0.25">
      <c r="A638" s="40" t="str">
        <f>IF(Agent04_Loans!B50="","",Agent04_Loans!A50)</f>
        <v/>
      </c>
      <c r="B638" s="40" t="str">
        <f>IF(Agent04_Loans!B50="","",Agent04_Loans!B50)</f>
        <v/>
      </c>
      <c r="C638" s="40" t="str">
        <f>IF(Agent04_Loans!B50="","",Agent04_Loans!C50)</f>
        <v/>
      </c>
      <c r="D638" s="41" t="str">
        <f>IF(Agent04_Loans!B50="","",Agent04_Loans!D50)</f>
        <v/>
      </c>
      <c r="E638" s="43" t="str">
        <f>IF(Agent04_Loans!B50="","",Agent04_Loans!E50)</f>
        <v/>
      </c>
      <c r="F638" s="40" t="str">
        <f>IF(Agent04_Loans!B50="","",Agent04_Loans!F50)</f>
        <v/>
      </c>
      <c r="G638" s="40" t="str">
        <f>IF(Agent04_Loans!B50="","",Agent04_Loans!G50)</f>
        <v/>
      </c>
      <c r="H638" s="40" t="str">
        <f>IF(Agent04_Loans!B50="","",Agent04_Loans!H50)</f>
        <v/>
      </c>
      <c r="I638" s="43" t="str">
        <f>IF(Agent04_Loans!B50="","",Agent04_Loans!I50)</f>
        <v/>
      </c>
      <c r="J638" s="43" t="str">
        <f>IF(Agent04_Loans!B50="","",Agent04_Loans!J50)</f>
        <v/>
      </c>
      <c r="K638" s="40" t="str">
        <f>IF(Agent04_Loans!B50="","",Agent04_Loans!K50)</f>
        <v/>
      </c>
      <c r="L638" s="40" t="str">
        <f>IF(Agent04_Loans!B50="","",Agent04_Loans!L50)</f>
        <v/>
      </c>
      <c r="M638" s="40" t="str">
        <f>IFERROR(IF(Agent04_Loans!B50="","",YEAR(Agent04_Loans!D50)),"")</f>
        <v/>
      </c>
    </row>
    <row r="639" spans="1:13" ht="18" customHeight="1" x14ac:dyDescent="0.25">
      <c r="A639" s="40" t="str">
        <f>IF(Agent04_Loans!B51="","",Agent04_Loans!A51)</f>
        <v/>
      </c>
      <c r="B639" s="40" t="str">
        <f>IF(Agent04_Loans!B51="","",Agent04_Loans!B51)</f>
        <v/>
      </c>
      <c r="C639" s="40" t="str">
        <f>IF(Agent04_Loans!B51="","",Agent04_Loans!C51)</f>
        <v/>
      </c>
      <c r="D639" s="41" t="str">
        <f>IF(Agent04_Loans!B51="","",Agent04_Loans!D51)</f>
        <v/>
      </c>
      <c r="E639" s="43" t="str">
        <f>IF(Agent04_Loans!B51="","",Agent04_Loans!E51)</f>
        <v/>
      </c>
      <c r="F639" s="40" t="str">
        <f>IF(Agent04_Loans!B51="","",Agent04_Loans!F51)</f>
        <v/>
      </c>
      <c r="G639" s="40" t="str">
        <f>IF(Agent04_Loans!B51="","",Agent04_Loans!G51)</f>
        <v/>
      </c>
      <c r="H639" s="40" t="str">
        <f>IF(Agent04_Loans!B51="","",Agent04_Loans!H51)</f>
        <v/>
      </c>
      <c r="I639" s="43" t="str">
        <f>IF(Agent04_Loans!B51="","",Agent04_Loans!I51)</f>
        <v/>
      </c>
      <c r="J639" s="43" t="str">
        <f>IF(Agent04_Loans!B51="","",Agent04_Loans!J51)</f>
        <v/>
      </c>
      <c r="K639" s="40" t="str">
        <f>IF(Agent04_Loans!B51="","",Agent04_Loans!K51)</f>
        <v/>
      </c>
      <c r="L639" s="40" t="str">
        <f>IF(Agent04_Loans!B51="","",Agent04_Loans!L51)</f>
        <v/>
      </c>
      <c r="M639" s="40" t="str">
        <f>IFERROR(IF(Agent04_Loans!B51="","",YEAR(Agent04_Loans!D51)),"")</f>
        <v/>
      </c>
    </row>
    <row r="640" spans="1:13" ht="18" customHeight="1" x14ac:dyDescent="0.25">
      <c r="A640" s="40" t="str">
        <f>IF(Agent04_Loans!B52="","",Agent04_Loans!A52)</f>
        <v/>
      </c>
      <c r="B640" s="40" t="str">
        <f>IF(Agent04_Loans!B52="","",Agent04_Loans!B52)</f>
        <v/>
      </c>
      <c r="C640" s="40" t="str">
        <f>IF(Agent04_Loans!B52="","",Agent04_Loans!C52)</f>
        <v/>
      </c>
      <c r="D640" s="41" t="str">
        <f>IF(Agent04_Loans!B52="","",Agent04_Loans!D52)</f>
        <v/>
      </c>
      <c r="E640" s="43" t="str">
        <f>IF(Agent04_Loans!B52="","",Agent04_Loans!E52)</f>
        <v/>
      </c>
      <c r="F640" s="40" t="str">
        <f>IF(Agent04_Loans!B52="","",Agent04_Loans!F52)</f>
        <v/>
      </c>
      <c r="G640" s="40" t="str">
        <f>IF(Agent04_Loans!B52="","",Agent04_Loans!G52)</f>
        <v/>
      </c>
      <c r="H640" s="40" t="str">
        <f>IF(Agent04_Loans!B52="","",Agent04_Loans!H52)</f>
        <v/>
      </c>
      <c r="I640" s="43" t="str">
        <f>IF(Agent04_Loans!B52="","",Agent04_Loans!I52)</f>
        <v/>
      </c>
      <c r="J640" s="43" t="str">
        <f>IF(Agent04_Loans!B52="","",Agent04_Loans!J52)</f>
        <v/>
      </c>
      <c r="K640" s="40" t="str">
        <f>IF(Agent04_Loans!B52="","",Agent04_Loans!K52)</f>
        <v/>
      </c>
      <c r="L640" s="40" t="str">
        <f>IF(Agent04_Loans!B52="","",Agent04_Loans!L52)</f>
        <v/>
      </c>
      <c r="M640" s="40" t="str">
        <f>IFERROR(IF(Agent04_Loans!B52="","",YEAR(Agent04_Loans!D52)),"")</f>
        <v/>
      </c>
    </row>
    <row r="641" spans="1:13" ht="18" customHeight="1" x14ac:dyDescent="0.25">
      <c r="A641" s="40" t="str">
        <f>IF(Agent04_Loans!B53="","",Agent04_Loans!A53)</f>
        <v/>
      </c>
      <c r="B641" s="40" t="str">
        <f>IF(Agent04_Loans!B53="","",Agent04_Loans!B53)</f>
        <v/>
      </c>
      <c r="C641" s="40" t="str">
        <f>IF(Agent04_Loans!B53="","",Agent04_Loans!C53)</f>
        <v/>
      </c>
      <c r="D641" s="41" t="str">
        <f>IF(Agent04_Loans!B53="","",Agent04_Loans!D53)</f>
        <v/>
      </c>
      <c r="E641" s="43" t="str">
        <f>IF(Agent04_Loans!B53="","",Agent04_Loans!E53)</f>
        <v/>
      </c>
      <c r="F641" s="40" t="str">
        <f>IF(Agent04_Loans!B53="","",Agent04_Loans!F53)</f>
        <v/>
      </c>
      <c r="G641" s="40" t="str">
        <f>IF(Agent04_Loans!B53="","",Agent04_Loans!G53)</f>
        <v/>
      </c>
      <c r="H641" s="40" t="str">
        <f>IF(Agent04_Loans!B53="","",Agent04_Loans!H53)</f>
        <v/>
      </c>
      <c r="I641" s="43" t="str">
        <f>IF(Agent04_Loans!B53="","",Agent04_Loans!I53)</f>
        <v/>
      </c>
      <c r="J641" s="43" t="str">
        <f>IF(Agent04_Loans!B53="","",Agent04_Loans!J53)</f>
        <v/>
      </c>
      <c r="K641" s="40" t="str">
        <f>IF(Agent04_Loans!B53="","",Agent04_Loans!K53)</f>
        <v/>
      </c>
      <c r="L641" s="40" t="str">
        <f>IF(Agent04_Loans!B53="","",Agent04_Loans!L53)</f>
        <v/>
      </c>
      <c r="M641" s="40" t="str">
        <f>IFERROR(IF(Agent04_Loans!B53="","",YEAR(Agent04_Loans!D53)),"")</f>
        <v/>
      </c>
    </row>
    <row r="642" spans="1:13" ht="18" customHeight="1" x14ac:dyDescent="0.25">
      <c r="A642" s="40" t="str">
        <f>IF(Agent04_Loans!B54="","",Agent04_Loans!A54)</f>
        <v/>
      </c>
      <c r="B642" s="40" t="str">
        <f>IF(Agent04_Loans!B54="","",Agent04_Loans!B54)</f>
        <v/>
      </c>
      <c r="C642" s="40" t="str">
        <f>IF(Agent04_Loans!B54="","",Agent04_Loans!C54)</f>
        <v/>
      </c>
      <c r="D642" s="41" t="str">
        <f>IF(Agent04_Loans!B54="","",Agent04_Loans!D54)</f>
        <v/>
      </c>
      <c r="E642" s="43" t="str">
        <f>IF(Agent04_Loans!B54="","",Agent04_Loans!E54)</f>
        <v/>
      </c>
      <c r="F642" s="40" t="str">
        <f>IF(Agent04_Loans!B54="","",Agent04_Loans!F54)</f>
        <v/>
      </c>
      <c r="G642" s="40" t="str">
        <f>IF(Agent04_Loans!B54="","",Agent04_Loans!G54)</f>
        <v/>
      </c>
      <c r="H642" s="40" t="str">
        <f>IF(Agent04_Loans!B54="","",Agent04_Loans!H54)</f>
        <v/>
      </c>
      <c r="I642" s="43" t="str">
        <f>IF(Agent04_Loans!B54="","",Agent04_Loans!I54)</f>
        <v/>
      </c>
      <c r="J642" s="43" t="str">
        <f>IF(Agent04_Loans!B54="","",Agent04_Loans!J54)</f>
        <v/>
      </c>
      <c r="K642" s="40" t="str">
        <f>IF(Agent04_Loans!B54="","",Agent04_Loans!K54)</f>
        <v/>
      </c>
      <c r="L642" s="40" t="str">
        <f>IF(Agent04_Loans!B54="","",Agent04_Loans!L54)</f>
        <v/>
      </c>
      <c r="M642" s="40" t="str">
        <f>IFERROR(IF(Agent04_Loans!B54="","",YEAR(Agent04_Loans!D54)),"")</f>
        <v/>
      </c>
    </row>
    <row r="643" spans="1:13" ht="18" customHeight="1" x14ac:dyDescent="0.25">
      <c r="A643" s="40" t="str">
        <f>IF(Agent04_Loans!B55="","",Agent04_Loans!A55)</f>
        <v/>
      </c>
      <c r="B643" s="40" t="str">
        <f>IF(Agent04_Loans!B55="","",Agent04_Loans!B55)</f>
        <v/>
      </c>
      <c r="C643" s="40" t="str">
        <f>IF(Agent04_Loans!B55="","",Agent04_Loans!C55)</f>
        <v/>
      </c>
      <c r="D643" s="41" t="str">
        <f>IF(Agent04_Loans!B55="","",Agent04_Loans!D55)</f>
        <v/>
      </c>
      <c r="E643" s="43" t="str">
        <f>IF(Agent04_Loans!B55="","",Agent04_Loans!E55)</f>
        <v/>
      </c>
      <c r="F643" s="40" t="str">
        <f>IF(Agent04_Loans!B55="","",Agent04_Loans!F55)</f>
        <v/>
      </c>
      <c r="G643" s="40" t="str">
        <f>IF(Agent04_Loans!B55="","",Agent04_Loans!G55)</f>
        <v/>
      </c>
      <c r="H643" s="40" t="str">
        <f>IF(Agent04_Loans!B55="","",Agent04_Loans!H55)</f>
        <v/>
      </c>
      <c r="I643" s="43" t="str">
        <f>IF(Agent04_Loans!B55="","",Agent04_Loans!I55)</f>
        <v/>
      </c>
      <c r="J643" s="43" t="str">
        <f>IF(Agent04_Loans!B55="","",Agent04_Loans!J55)</f>
        <v/>
      </c>
      <c r="K643" s="40" t="str">
        <f>IF(Agent04_Loans!B55="","",Agent04_Loans!K55)</f>
        <v/>
      </c>
      <c r="L643" s="40" t="str">
        <f>IF(Agent04_Loans!B55="","",Agent04_Loans!L55)</f>
        <v/>
      </c>
      <c r="M643" s="40" t="str">
        <f>IFERROR(IF(Agent04_Loans!B55="","",YEAR(Agent04_Loans!D55)),"")</f>
        <v/>
      </c>
    </row>
    <row r="644" spans="1:13" ht="18" customHeight="1" x14ac:dyDescent="0.25">
      <c r="A644" s="40" t="str">
        <f>IF(Agent04_Loans!B56="","",Agent04_Loans!A56)</f>
        <v/>
      </c>
      <c r="B644" s="40" t="str">
        <f>IF(Agent04_Loans!B56="","",Agent04_Loans!B56)</f>
        <v/>
      </c>
      <c r="C644" s="40" t="str">
        <f>IF(Agent04_Loans!B56="","",Agent04_Loans!C56)</f>
        <v/>
      </c>
      <c r="D644" s="41" t="str">
        <f>IF(Agent04_Loans!B56="","",Agent04_Loans!D56)</f>
        <v/>
      </c>
      <c r="E644" s="43" t="str">
        <f>IF(Agent04_Loans!B56="","",Agent04_Loans!E56)</f>
        <v/>
      </c>
      <c r="F644" s="40" t="str">
        <f>IF(Agent04_Loans!B56="","",Agent04_Loans!F56)</f>
        <v/>
      </c>
      <c r="G644" s="40" t="str">
        <f>IF(Agent04_Loans!B56="","",Agent04_Loans!G56)</f>
        <v/>
      </c>
      <c r="H644" s="40" t="str">
        <f>IF(Agent04_Loans!B56="","",Agent04_Loans!H56)</f>
        <v/>
      </c>
      <c r="I644" s="43" t="str">
        <f>IF(Agent04_Loans!B56="","",Agent04_Loans!I56)</f>
        <v/>
      </c>
      <c r="J644" s="43" t="str">
        <f>IF(Agent04_Loans!B56="","",Agent04_Loans!J56)</f>
        <v/>
      </c>
      <c r="K644" s="40" t="str">
        <f>IF(Agent04_Loans!B56="","",Agent04_Loans!K56)</f>
        <v/>
      </c>
      <c r="L644" s="40" t="str">
        <f>IF(Agent04_Loans!B56="","",Agent04_Loans!L56)</f>
        <v/>
      </c>
      <c r="M644" s="40" t="str">
        <f>IFERROR(IF(Agent04_Loans!B56="","",YEAR(Agent04_Loans!D56)),"")</f>
        <v/>
      </c>
    </row>
    <row r="645" spans="1:13" ht="18" customHeight="1" x14ac:dyDescent="0.25">
      <c r="A645" s="40" t="str">
        <f>IF(Agent04_Loans!B57="","",Agent04_Loans!A57)</f>
        <v/>
      </c>
      <c r="B645" s="40" t="str">
        <f>IF(Agent04_Loans!B57="","",Agent04_Loans!B57)</f>
        <v/>
      </c>
      <c r="C645" s="40" t="str">
        <f>IF(Agent04_Loans!B57="","",Agent04_Loans!C57)</f>
        <v/>
      </c>
      <c r="D645" s="41" t="str">
        <f>IF(Agent04_Loans!B57="","",Agent04_Loans!D57)</f>
        <v/>
      </c>
      <c r="E645" s="43" t="str">
        <f>IF(Agent04_Loans!B57="","",Agent04_Loans!E57)</f>
        <v/>
      </c>
      <c r="F645" s="40" t="str">
        <f>IF(Agent04_Loans!B57="","",Agent04_Loans!F57)</f>
        <v/>
      </c>
      <c r="G645" s="40" t="str">
        <f>IF(Agent04_Loans!B57="","",Agent04_Loans!G57)</f>
        <v/>
      </c>
      <c r="H645" s="40" t="str">
        <f>IF(Agent04_Loans!B57="","",Agent04_Loans!H57)</f>
        <v/>
      </c>
      <c r="I645" s="43" t="str">
        <f>IF(Agent04_Loans!B57="","",Agent04_Loans!I57)</f>
        <v/>
      </c>
      <c r="J645" s="43" t="str">
        <f>IF(Agent04_Loans!B57="","",Agent04_Loans!J57)</f>
        <v/>
      </c>
      <c r="K645" s="40" t="str">
        <f>IF(Agent04_Loans!B57="","",Agent04_Loans!K57)</f>
        <v/>
      </c>
      <c r="L645" s="40" t="str">
        <f>IF(Agent04_Loans!B57="","",Agent04_Loans!L57)</f>
        <v/>
      </c>
      <c r="M645" s="40" t="str">
        <f>IFERROR(IF(Agent04_Loans!B57="","",YEAR(Agent04_Loans!D57)),"")</f>
        <v/>
      </c>
    </row>
    <row r="646" spans="1:13" ht="18" customHeight="1" x14ac:dyDescent="0.25">
      <c r="A646" s="40" t="str">
        <f>IF(Agent04_Loans!B58="","",Agent04_Loans!A58)</f>
        <v/>
      </c>
      <c r="B646" s="40" t="str">
        <f>IF(Agent04_Loans!B58="","",Agent04_Loans!B58)</f>
        <v/>
      </c>
      <c r="C646" s="40" t="str">
        <f>IF(Agent04_Loans!B58="","",Agent04_Loans!C58)</f>
        <v/>
      </c>
      <c r="D646" s="41" t="str">
        <f>IF(Agent04_Loans!B58="","",Agent04_Loans!D58)</f>
        <v/>
      </c>
      <c r="E646" s="43" t="str">
        <f>IF(Agent04_Loans!B58="","",Agent04_Loans!E58)</f>
        <v/>
      </c>
      <c r="F646" s="40" t="str">
        <f>IF(Agent04_Loans!B58="","",Agent04_Loans!F58)</f>
        <v/>
      </c>
      <c r="G646" s="40" t="str">
        <f>IF(Agent04_Loans!B58="","",Agent04_Loans!G58)</f>
        <v/>
      </c>
      <c r="H646" s="40" t="str">
        <f>IF(Agent04_Loans!B58="","",Agent04_Loans!H58)</f>
        <v/>
      </c>
      <c r="I646" s="43" t="str">
        <f>IF(Agent04_Loans!B58="","",Agent04_Loans!I58)</f>
        <v/>
      </c>
      <c r="J646" s="43" t="str">
        <f>IF(Agent04_Loans!B58="","",Agent04_Loans!J58)</f>
        <v/>
      </c>
      <c r="K646" s="40" t="str">
        <f>IF(Agent04_Loans!B58="","",Agent04_Loans!K58)</f>
        <v/>
      </c>
      <c r="L646" s="40" t="str">
        <f>IF(Agent04_Loans!B58="","",Agent04_Loans!L58)</f>
        <v/>
      </c>
      <c r="M646" s="40" t="str">
        <f>IFERROR(IF(Agent04_Loans!B58="","",YEAR(Agent04_Loans!D58)),"")</f>
        <v/>
      </c>
    </row>
    <row r="647" spans="1:13" ht="18" customHeight="1" x14ac:dyDescent="0.25">
      <c r="A647" s="40" t="str">
        <f>IF(Agent04_Loans!B59="","",Agent04_Loans!A59)</f>
        <v/>
      </c>
      <c r="B647" s="40" t="str">
        <f>IF(Agent04_Loans!B59="","",Agent04_Loans!B59)</f>
        <v/>
      </c>
      <c r="C647" s="40" t="str">
        <f>IF(Agent04_Loans!B59="","",Agent04_Loans!C59)</f>
        <v/>
      </c>
      <c r="D647" s="41" t="str">
        <f>IF(Agent04_Loans!B59="","",Agent04_Loans!D59)</f>
        <v/>
      </c>
      <c r="E647" s="43" t="str">
        <f>IF(Agent04_Loans!B59="","",Agent04_Loans!E59)</f>
        <v/>
      </c>
      <c r="F647" s="40" t="str">
        <f>IF(Agent04_Loans!B59="","",Agent04_Loans!F59)</f>
        <v/>
      </c>
      <c r="G647" s="40" t="str">
        <f>IF(Agent04_Loans!B59="","",Agent04_Loans!G59)</f>
        <v/>
      </c>
      <c r="H647" s="40" t="str">
        <f>IF(Agent04_Loans!B59="","",Agent04_Loans!H59)</f>
        <v/>
      </c>
      <c r="I647" s="43" t="str">
        <f>IF(Agent04_Loans!B59="","",Agent04_Loans!I59)</f>
        <v/>
      </c>
      <c r="J647" s="43" t="str">
        <f>IF(Agent04_Loans!B59="","",Agent04_Loans!J59)</f>
        <v/>
      </c>
      <c r="K647" s="40" t="str">
        <f>IF(Agent04_Loans!B59="","",Agent04_Loans!K59)</f>
        <v/>
      </c>
      <c r="L647" s="40" t="str">
        <f>IF(Agent04_Loans!B59="","",Agent04_Loans!L59)</f>
        <v/>
      </c>
      <c r="M647" s="40" t="str">
        <f>IFERROR(IF(Agent04_Loans!B59="","",YEAR(Agent04_Loans!D59)),"")</f>
        <v/>
      </c>
    </row>
    <row r="648" spans="1:13" ht="18" customHeight="1" x14ac:dyDescent="0.25">
      <c r="A648" s="40" t="str">
        <f>IF(Agent04_Loans!B60="","",Agent04_Loans!A60)</f>
        <v/>
      </c>
      <c r="B648" s="40" t="str">
        <f>IF(Agent04_Loans!B60="","",Agent04_Loans!B60)</f>
        <v/>
      </c>
      <c r="C648" s="40" t="str">
        <f>IF(Agent04_Loans!B60="","",Agent04_Loans!C60)</f>
        <v/>
      </c>
      <c r="D648" s="41" t="str">
        <f>IF(Agent04_Loans!B60="","",Agent04_Loans!D60)</f>
        <v/>
      </c>
      <c r="E648" s="43" t="str">
        <f>IF(Agent04_Loans!B60="","",Agent04_Loans!E60)</f>
        <v/>
      </c>
      <c r="F648" s="40" t="str">
        <f>IF(Agent04_Loans!B60="","",Agent04_Loans!F60)</f>
        <v/>
      </c>
      <c r="G648" s="40" t="str">
        <f>IF(Agent04_Loans!B60="","",Agent04_Loans!G60)</f>
        <v/>
      </c>
      <c r="H648" s="40" t="str">
        <f>IF(Agent04_Loans!B60="","",Agent04_Loans!H60)</f>
        <v/>
      </c>
      <c r="I648" s="43" t="str">
        <f>IF(Agent04_Loans!B60="","",Agent04_Loans!I60)</f>
        <v/>
      </c>
      <c r="J648" s="43" t="str">
        <f>IF(Agent04_Loans!B60="","",Agent04_Loans!J60)</f>
        <v/>
      </c>
      <c r="K648" s="40" t="str">
        <f>IF(Agent04_Loans!B60="","",Agent04_Loans!K60)</f>
        <v/>
      </c>
      <c r="L648" s="40" t="str">
        <f>IF(Agent04_Loans!B60="","",Agent04_Loans!L60)</f>
        <v/>
      </c>
      <c r="M648" s="40" t="str">
        <f>IFERROR(IF(Agent04_Loans!B60="","",YEAR(Agent04_Loans!D60)),"")</f>
        <v/>
      </c>
    </row>
    <row r="649" spans="1:13" ht="18" customHeight="1" x14ac:dyDescent="0.25">
      <c r="A649" s="40" t="str">
        <f>IF(Agent04_Loans!B61="","",Agent04_Loans!A61)</f>
        <v/>
      </c>
      <c r="B649" s="40" t="str">
        <f>IF(Agent04_Loans!B61="","",Agent04_Loans!B61)</f>
        <v/>
      </c>
      <c r="C649" s="40" t="str">
        <f>IF(Agent04_Loans!B61="","",Agent04_Loans!C61)</f>
        <v/>
      </c>
      <c r="D649" s="41" t="str">
        <f>IF(Agent04_Loans!B61="","",Agent04_Loans!D61)</f>
        <v/>
      </c>
      <c r="E649" s="43" t="str">
        <f>IF(Agent04_Loans!B61="","",Agent04_Loans!E61)</f>
        <v/>
      </c>
      <c r="F649" s="40" t="str">
        <f>IF(Agent04_Loans!B61="","",Agent04_Loans!F61)</f>
        <v/>
      </c>
      <c r="G649" s="40" t="str">
        <f>IF(Agent04_Loans!B61="","",Agent04_Loans!G61)</f>
        <v/>
      </c>
      <c r="H649" s="40" t="str">
        <f>IF(Agent04_Loans!B61="","",Agent04_Loans!H61)</f>
        <v/>
      </c>
      <c r="I649" s="43" t="str">
        <f>IF(Agent04_Loans!B61="","",Agent04_Loans!I61)</f>
        <v/>
      </c>
      <c r="J649" s="43" t="str">
        <f>IF(Agent04_Loans!B61="","",Agent04_Loans!J61)</f>
        <v/>
      </c>
      <c r="K649" s="40" t="str">
        <f>IF(Agent04_Loans!B61="","",Agent04_Loans!K61)</f>
        <v/>
      </c>
      <c r="L649" s="40" t="str">
        <f>IF(Agent04_Loans!B61="","",Agent04_Loans!L61)</f>
        <v/>
      </c>
      <c r="M649" s="40" t="str">
        <f>IFERROR(IF(Agent04_Loans!B61="","",YEAR(Agent04_Loans!D61)),"")</f>
        <v/>
      </c>
    </row>
    <row r="650" spans="1:13" ht="18" customHeight="1" x14ac:dyDescent="0.25">
      <c r="A650" s="40" t="str">
        <f>IF(Agent04_Loans!B62="","",Agent04_Loans!A62)</f>
        <v/>
      </c>
      <c r="B650" s="40" t="str">
        <f>IF(Agent04_Loans!B62="","",Agent04_Loans!B62)</f>
        <v/>
      </c>
      <c r="C650" s="40" t="str">
        <f>IF(Agent04_Loans!B62="","",Agent04_Loans!C62)</f>
        <v/>
      </c>
      <c r="D650" s="41" t="str">
        <f>IF(Agent04_Loans!B62="","",Agent04_Loans!D62)</f>
        <v/>
      </c>
      <c r="E650" s="43" t="str">
        <f>IF(Agent04_Loans!B62="","",Agent04_Loans!E62)</f>
        <v/>
      </c>
      <c r="F650" s="40" t="str">
        <f>IF(Agent04_Loans!B62="","",Agent04_Loans!F62)</f>
        <v/>
      </c>
      <c r="G650" s="40" t="str">
        <f>IF(Agent04_Loans!B62="","",Agent04_Loans!G62)</f>
        <v/>
      </c>
      <c r="H650" s="40" t="str">
        <f>IF(Agent04_Loans!B62="","",Agent04_Loans!H62)</f>
        <v/>
      </c>
      <c r="I650" s="43" t="str">
        <f>IF(Agent04_Loans!B62="","",Agent04_Loans!I62)</f>
        <v/>
      </c>
      <c r="J650" s="43" t="str">
        <f>IF(Agent04_Loans!B62="","",Agent04_Loans!J62)</f>
        <v/>
      </c>
      <c r="K650" s="40" t="str">
        <f>IF(Agent04_Loans!B62="","",Agent04_Loans!K62)</f>
        <v/>
      </c>
      <c r="L650" s="40" t="str">
        <f>IF(Agent04_Loans!B62="","",Agent04_Loans!L62)</f>
        <v/>
      </c>
      <c r="M650" s="40" t="str">
        <f>IFERROR(IF(Agent04_Loans!B62="","",YEAR(Agent04_Loans!D62)),"")</f>
        <v/>
      </c>
    </row>
    <row r="651" spans="1:13" ht="18" customHeight="1" x14ac:dyDescent="0.25">
      <c r="A651" s="40" t="str">
        <f>IF(Agent04_Loans!B63="","",Agent04_Loans!A63)</f>
        <v/>
      </c>
      <c r="B651" s="40" t="str">
        <f>IF(Agent04_Loans!B63="","",Agent04_Loans!B63)</f>
        <v/>
      </c>
      <c r="C651" s="40" t="str">
        <f>IF(Agent04_Loans!B63="","",Agent04_Loans!C63)</f>
        <v/>
      </c>
      <c r="D651" s="41" t="str">
        <f>IF(Agent04_Loans!B63="","",Agent04_Loans!D63)</f>
        <v/>
      </c>
      <c r="E651" s="43" t="str">
        <f>IF(Agent04_Loans!B63="","",Agent04_Loans!E63)</f>
        <v/>
      </c>
      <c r="F651" s="40" t="str">
        <f>IF(Agent04_Loans!B63="","",Agent04_Loans!F63)</f>
        <v/>
      </c>
      <c r="G651" s="40" t="str">
        <f>IF(Agent04_Loans!B63="","",Agent04_Loans!G63)</f>
        <v/>
      </c>
      <c r="H651" s="40" t="str">
        <f>IF(Agent04_Loans!B63="","",Agent04_Loans!H63)</f>
        <v/>
      </c>
      <c r="I651" s="43" t="str">
        <f>IF(Agent04_Loans!B63="","",Agent04_Loans!I63)</f>
        <v/>
      </c>
      <c r="J651" s="43" t="str">
        <f>IF(Agent04_Loans!B63="","",Agent04_Loans!J63)</f>
        <v/>
      </c>
      <c r="K651" s="40" t="str">
        <f>IF(Agent04_Loans!B63="","",Agent04_Loans!K63)</f>
        <v/>
      </c>
      <c r="L651" s="40" t="str">
        <f>IF(Agent04_Loans!B63="","",Agent04_Loans!L63)</f>
        <v/>
      </c>
      <c r="M651" s="40" t="str">
        <f>IFERROR(IF(Agent04_Loans!B63="","",YEAR(Agent04_Loans!D63)),"")</f>
        <v/>
      </c>
    </row>
    <row r="652" spans="1:13" ht="18" customHeight="1" x14ac:dyDescent="0.25">
      <c r="A652" s="40" t="str">
        <f>IF(Agent04_Loans!B64="","",Agent04_Loans!A64)</f>
        <v/>
      </c>
      <c r="B652" s="40" t="str">
        <f>IF(Agent04_Loans!B64="","",Agent04_Loans!B64)</f>
        <v/>
      </c>
      <c r="C652" s="40" t="str">
        <f>IF(Agent04_Loans!B64="","",Agent04_Loans!C64)</f>
        <v/>
      </c>
      <c r="D652" s="41" t="str">
        <f>IF(Agent04_Loans!B64="","",Agent04_Loans!D64)</f>
        <v/>
      </c>
      <c r="E652" s="43" t="str">
        <f>IF(Agent04_Loans!B64="","",Agent04_Loans!E64)</f>
        <v/>
      </c>
      <c r="F652" s="40" t="str">
        <f>IF(Agent04_Loans!B64="","",Agent04_Loans!F64)</f>
        <v/>
      </c>
      <c r="G652" s="40" t="str">
        <f>IF(Agent04_Loans!B64="","",Agent04_Loans!G64)</f>
        <v/>
      </c>
      <c r="H652" s="40" t="str">
        <f>IF(Agent04_Loans!B64="","",Agent04_Loans!H64)</f>
        <v/>
      </c>
      <c r="I652" s="43" t="str">
        <f>IF(Agent04_Loans!B64="","",Agent04_Loans!I64)</f>
        <v/>
      </c>
      <c r="J652" s="43" t="str">
        <f>IF(Agent04_Loans!B64="","",Agent04_Loans!J64)</f>
        <v/>
      </c>
      <c r="K652" s="40" t="str">
        <f>IF(Agent04_Loans!B64="","",Agent04_Loans!K64)</f>
        <v/>
      </c>
      <c r="L652" s="40" t="str">
        <f>IF(Agent04_Loans!B64="","",Agent04_Loans!L64)</f>
        <v/>
      </c>
      <c r="M652" s="40" t="str">
        <f>IFERROR(IF(Agent04_Loans!B64="","",YEAR(Agent04_Loans!D64)),"")</f>
        <v/>
      </c>
    </row>
    <row r="653" spans="1:13" ht="18" customHeight="1" x14ac:dyDescent="0.25">
      <c r="A653" s="40" t="str">
        <f>IF(Agent04_Loans!B65="","",Agent04_Loans!A65)</f>
        <v/>
      </c>
      <c r="B653" s="40" t="str">
        <f>IF(Agent04_Loans!B65="","",Agent04_Loans!B65)</f>
        <v/>
      </c>
      <c r="C653" s="40" t="str">
        <f>IF(Agent04_Loans!B65="","",Agent04_Loans!C65)</f>
        <v/>
      </c>
      <c r="D653" s="41" t="str">
        <f>IF(Agent04_Loans!B65="","",Agent04_Loans!D65)</f>
        <v/>
      </c>
      <c r="E653" s="43" t="str">
        <f>IF(Agent04_Loans!B65="","",Agent04_Loans!E65)</f>
        <v/>
      </c>
      <c r="F653" s="40" t="str">
        <f>IF(Agent04_Loans!B65="","",Agent04_Loans!F65)</f>
        <v/>
      </c>
      <c r="G653" s="40" t="str">
        <f>IF(Agent04_Loans!B65="","",Agent04_Loans!G65)</f>
        <v/>
      </c>
      <c r="H653" s="40" t="str">
        <f>IF(Agent04_Loans!B65="","",Agent04_Loans!H65)</f>
        <v/>
      </c>
      <c r="I653" s="43" t="str">
        <f>IF(Agent04_Loans!B65="","",Agent04_Loans!I65)</f>
        <v/>
      </c>
      <c r="J653" s="43" t="str">
        <f>IF(Agent04_Loans!B65="","",Agent04_Loans!J65)</f>
        <v/>
      </c>
      <c r="K653" s="40" t="str">
        <f>IF(Agent04_Loans!B65="","",Agent04_Loans!K65)</f>
        <v/>
      </c>
      <c r="L653" s="40" t="str">
        <f>IF(Agent04_Loans!B65="","",Agent04_Loans!L65)</f>
        <v/>
      </c>
      <c r="M653" s="40" t="str">
        <f>IFERROR(IF(Agent04_Loans!B65="","",YEAR(Agent04_Loans!D65)),"")</f>
        <v/>
      </c>
    </row>
    <row r="654" spans="1:13" ht="18" customHeight="1" x14ac:dyDescent="0.25">
      <c r="A654" s="40" t="str">
        <f>IF(Agent04_Loans!B66="","",Agent04_Loans!A66)</f>
        <v/>
      </c>
      <c r="B654" s="40" t="str">
        <f>IF(Agent04_Loans!B66="","",Agent04_Loans!B66)</f>
        <v/>
      </c>
      <c r="C654" s="40" t="str">
        <f>IF(Agent04_Loans!B66="","",Agent04_Loans!C66)</f>
        <v/>
      </c>
      <c r="D654" s="41" t="str">
        <f>IF(Agent04_Loans!B66="","",Agent04_Loans!D66)</f>
        <v/>
      </c>
      <c r="E654" s="43" t="str">
        <f>IF(Agent04_Loans!B66="","",Agent04_Loans!E66)</f>
        <v/>
      </c>
      <c r="F654" s="40" t="str">
        <f>IF(Agent04_Loans!B66="","",Agent04_Loans!F66)</f>
        <v/>
      </c>
      <c r="G654" s="40" t="str">
        <f>IF(Agent04_Loans!B66="","",Agent04_Loans!G66)</f>
        <v/>
      </c>
      <c r="H654" s="40" t="str">
        <f>IF(Agent04_Loans!B66="","",Agent04_Loans!H66)</f>
        <v/>
      </c>
      <c r="I654" s="43" t="str">
        <f>IF(Agent04_Loans!B66="","",Agent04_Loans!I66)</f>
        <v/>
      </c>
      <c r="J654" s="43" t="str">
        <f>IF(Agent04_Loans!B66="","",Agent04_Loans!J66)</f>
        <v/>
      </c>
      <c r="K654" s="40" t="str">
        <f>IF(Agent04_Loans!B66="","",Agent04_Loans!K66)</f>
        <v/>
      </c>
      <c r="L654" s="40" t="str">
        <f>IF(Agent04_Loans!B66="","",Agent04_Loans!L66)</f>
        <v/>
      </c>
      <c r="M654" s="40" t="str">
        <f>IFERROR(IF(Agent04_Loans!B66="","",YEAR(Agent04_Loans!D66)),"")</f>
        <v/>
      </c>
    </row>
    <row r="655" spans="1:13" ht="18" customHeight="1" x14ac:dyDescent="0.25">
      <c r="A655" s="40" t="str">
        <f>IF(Agent04_Loans!B67="","",Agent04_Loans!A67)</f>
        <v/>
      </c>
      <c r="B655" s="40" t="str">
        <f>IF(Agent04_Loans!B67="","",Agent04_Loans!B67)</f>
        <v/>
      </c>
      <c r="C655" s="40" t="str">
        <f>IF(Agent04_Loans!B67="","",Agent04_Loans!C67)</f>
        <v/>
      </c>
      <c r="D655" s="41" t="str">
        <f>IF(Agent04_Loans!B67="","",Agent04_Loans!D67)</f>
        <v/>
      </c>
      <c r="E655" s="43" t="str">
        <f>IF(Agent04_Loans!B67="","",Agent04_Loans!E67)</f>
        <v/>
      </c>
      <c r="F655" s="40" t="str">
        <f>IF(Agent04_Loans!B67="","",Agent04_Loans!F67)</f>
        <v/>
      </c>
      <c r="G655" s="40" t="str">
        <f>IF(Agent04_Loans!B67="","",Agent04_Loans!G67)</f>
        <v/>
      </c>
      <c r="H655" s="40" t="str">
        <f>IF(Agent04_Loans!B67="","",Agent04_Loans!H67)</f>
        <v/>
      </c>
      <c r="I655" s="43" t="str">
        <f>IF(Agent04_Loans!B67="","",Agent04_Loans!I67)</f>
        <v/>
      </c>
      <c r="J655" s="43" t="str">
        <f>IF(Agent04_Loans!B67="","",Agent04_Loans!J67)</f>
        <v/>
      </c>
      <c r="K655" s="40" t="str">
        <f>IF(Agent04_Loans!B67="","",Agent04_Loans!K67)</f>
        <v/>
      </c>
      <c r="L655" s="40" t="str">
        <f>IF(Agent04_Loans!B67="","",Agent04_Loans!L67)</f>
        <v/>
      </c>
      <c r="M655" s="40" t="str">
        <f>IFERROR(IF(Agent04_Loans!B67="","",YEAR(Agent04_Loans!D67)),"")</f>
        <v/>
      </c>
    </row>
    <row r="656" spans="1:13" ht="18" customHeight="1" x14ac:dyDescent="0.25">
      <c r="A656" s="40" t="str">
        <f>IF(Agent04_Loans!B68="","",Agent04_Loans!A68)</f>
        <v/>
      </c>
      <c r="B656" s="40" t="str">
        <f>IF(Agent04_Loans!B68="","",Agent04_Loans!B68)</f>
        <v/>
      </c>
      <c r="C656" s="40" t="str">
        <f>IF(Agent04_Loans!B68="","",Agent04_Loans!C68)</f>
        <v/>
      </c>
      <c r="D656" s="41" t="str">
        <f>IF(Agent04_Loans!B68="","",Agent04_Loans!D68)</f>
        <v/>
      </c>
      <c r="E656" s="43" t="str">
        <f>IF(Agent04_Loans!B68="","",Agent04_Loans!E68)</f>
        <v/>
      </c>
      <c r="F656" s="40" t="str">
        <f>IF(Agent04_Loans!B68="","",Agent04_Loans!F68)</f>
        <v/>
      </c>
      <c r="G656" s="40" t="str">
        <f>IF(Agent04_Loans!B68="","",Agent04_Loans!G68)</f>
        <v/>
      </c>
      <c r="H656" s="40" t="str">
        <f>IF(Agent04_Loans!B68="","",Agent04_Loans!H68)</f>
        <v/>
      </c>
      <c r="I656" s="43" t="str">
        <f>IF(Agent04_Loans!B68="","",Agent04_Loans!I68)</f>
        <v/>
      </c>
      <c r="J656" s="43" t="str">
        <f>IF(Agent04_Loans!B68="","",Agent04_Loans!J68)</f>
        <v/>
      </c>
      <c r="K656" s="40" t="str">
        <f>IF(Agent04_Loans!B68="","",Agent04_Loans!K68)</f>
        <v/>
      </c>
      <c r="L656" s="40" t="str">
        <f>IF(Agent04_Loans!B68="","",Agent04_Loans!L68)</f>
        <v/>
      </c>
      <c r="M656" s="40" t="str">
        <f>IFERROR(IF(Agent04_Loans!B68="","",YEAR(Agent04_Loans!D68)),"")</f>
        <v/>
      </c>
    </row>
    <row r="657" spans="1:13" ht="18" customHeight="1" x14ac:dyDescent="0.25">
      <c r="A657" s="40" t="str">
        <f>IF(Agent04_Loans!B69="","",Agent04_Loans!A69)</f>
        <v/>
      </c>
      <c r="B657" s="40" t="str">
        <f>IF(Agent04_Loans!B69="","",Agent04_Loans!B69)</f>
        <v/>
      </c>
      <c r="C657" s="40" t="str">
        <f>IF(Agent04_Loans!B69="","",Agent04_Loans!C69)</f>
        <v/>
      </c>
      <c r="D657" s="41" t="str">
        <f>IF(Agent04_Loans!B69="","",Agent04_Loans!D69)</f>
        <v/>
      </c>
      <c r="E657" s="43" t="str">
        <f>IF(Agent04_Loans!B69="","",Agent04_Loans!E69)</f>
        <v/>
      </c>
      <c r="F657" s="40" t="str">
        <f>IF(Agent04_Loans!B69="","",Agent04_Loans!F69)</f>
        <v/>
      </c>
      <c r="G657" s="40" t="str">
        <f>IF(Agent04_Loans!B69="","",Agent04_Loans!G69)</f>
        <v/>
      </c>
      <c r="H657" s="40" t="str">
        <f>IF(Agent04_Loans!B69="","",Agent04_Loans!H69)</f>
        <v/>
      </c>
      <c r="I657" s="43" t="str">
        <f>IF(Agent04_Loans!B69="","",Agent04_Loans!I69)</f>
        <v/>
      </c>
      <c r="J657" s="43" t="str">
        <f>IF(Agent04_Loans!B69="","",Agent04_Loans!J69)</f>
        <v/>
      </c>
      <c r="K657" s="40" t="str">
        <f>IF(Agent04_Loans!B69="","",Agent04_Loans!K69)</f>
        <v/>
      </c>
      <c r="L657" s="40" t="str">
        <f>IF(Agent04_Loans!B69="","",Agent04_Loans!L69)</f>
        <v/>
      </c>
      <c r="M657" s="40" t="str">
        <f>IFERROR(IF(Agent04_Loans!B69="","",YEAR(Agent04_Loans!D69)),"")</f>
        <v/>
      </c>
    </row>
    <row r="658" spans="1:13" ht="18" customHeight="1" x14ac:dyDescent="0.25">
      <c r="A658" s="40" t="str">
        <f>IF(Agent04_Loans!B70="","",Agent04_Loans!A70)</f>
        <v/>
      </c>
      <c r="B658" s="40" t="str">
        <f>IF(Agent04_Loans!B70="","",Agent04_Loans!B70)</f>
        <v/>
      </c>
      <c r="C658" s="40" t="str">
        <f>IF(Agent04_Loans!B70="","",Agent04_Loans!C70)</f>
        <v/>
      </c>
      <c r="D658" s="41" t="str">
        <f>IF(Agent04_Loans!B70="","",Agent04_Loans!D70)</f>
        <v/>
      </c>
      <c r="E658" s="43" t="str">
        <f>IF(Agent04_Loans!B70="","",Agent04_Loans!E70)</f>
        <v/>
      </c>
      <c r="F658" s="40" t="str">
        <f>IF(Agent04_Loans!B70="","",Agent04_Loans!F70)</f>
        <v/>
      </c>
      <c r="G658" s="40" t="str">
        <f>IF(Agent04_Loans!B70="","",Agent04_Loans!G70)</f>
        <v/>
      </c>
      <c r="H658" s="40" t="str">
        <f>IF(Agent04_Loans!B70="","",Agent04_Loans!H70)</f>
        <v/>
      </c>
      <c r="I658" s="43" t="str">
        <f>IF(Agent04_Loans!B70="","",Agent04_Loans!I70)</f>
        <v/>
      </c>
      <c r="J658" s="43" t="str">
        <f>IF(Agent04_Loans!B70="","",Agent04_Loans!J70)</f>
        <v/>
      </c>
      <c r="K658" s="40" t="str">
        <f>IF(Agent04_Loans!B70="","",Agent04_Loans!K70)</f>
        <v/>
      </c>
      <c r="L658" s="40" t="str">
        <f>IF(Agent04_Loans!B70="","",Agent04_Loans!L70)</f>
        <v/>
      </c>
      <c r="M658" s="40" t="str">
        <f>IFERROR(IF(Agent04_Loans!B70="","",YEAR(Agent04_Loans!D70)),"")</f>
        <v/>
      </c>
    </row>
    <row r="659" spans="1:13" ht="18" customHeight="1" x14ac:dyDescent="0.25">
      <c r="A659" s="40" t="str">
        <f>IF(Agent04_Loans!B71="","",Agent04_Loans!A71)</f>
        <v/>
      </c>
      <c r="B659" s="40" t="str">
        <f>IF(Agent04_Loans!B71="","",Agent04_Loans!B71)</f>
        <v/>
      </c>
      <c r="C659" s="40" t="str">
        <f>IF(Agent04_Loans!B71="","",Agent04_Loans!C71)</f>
        <v/>
      </c>
      <c r="D659" s="41" t="str">
        <f>IF(Agent04_Loans!B71="","",Agent04_Loans!D71)</f>
        <v/>
      </c>
      <c r="E659" s="43" t="str">
        <f>IF(Agent04_Loans!B71="","",Agent04_Loans!E71)</f>
        <v/>
      </c>
      <c r="F659" s="40" t="str">
        <f>IF(Agent04_Loans!B71="","",Agent04_Loans!F71)</f>
        <v/>
      </c>
      <c r="G659" s="40" t="str">
        <f>IF(Agent04_Loans!B71="","",Agent04_Loans!G71)</f>
        <v/>
      </c>
      <c r="H659" s="40" t="str">
        <f>IF(Agent04_Loans!B71="","",Agent04_Loans!H71)</f>
        <v/>
      </c>
      <c r="I659" s="43" t="str">
        <f>IF(Agent04_Loans!B71="","",Agent04_Loans!I71)</f>
        <v/>
      </c>
      <c r="J659" s="43" t="str">
        <f>IF(Agent04_Loans!B71="","",Agent04_Loans!J71)</f>
        <v/>
      </c>
      <c r="K659" s="40" t="str">
        <f>IF(Agent04_Loans!B71="","",Agent04_Loans!K71)</f>
        <v/>
      </c>
      <c r="L659" s="40" t="str">
        <f>IF(Agent04_Loans!B71="","",Agent04_Loans!L71)</f>
        <v/>
      </c>
      <c r="M659" s="40" t="str">
        <f>IFERROR(IF(Agent04_Loans!B71="","",YEAR(Agent04_Loans!D71)),"")</f>
        <v/>
      </c>
    </row>
    <row r="660" spans="1:13" ht="18" customHeight="1" x14ac:dyDescent="0.25">
      <c r="A660" s="40" t="str">
        <f>IF(Agent04_Loans!B72="","",Agent04_Loans!A72)</f>
        <v/>
      </c>
      <c r="B660" s="40" t="str">
        <f>IF(Agent04_Loans!B72="","",Agent04_Loans!B72)</f>
        <v/>
      </c>
      <c r="C660" s="40" t="str">
        <f>IF(Agent04_Loans!B72="","",Agent04_Loans!C72)</f>
        <v/>
      </c>
      <c r="D660" s="41" t="str">
        <f>IF(Agent04_Loans!B72="","",Agent04_Loans!D72)</f>
        <v/>
      </c>
      <c r="E660" s="43" t="str">
        <f>IF(Agent04_Loans!B72="","",Agent04_Loans!E72)</f>
        <v/>
      </c>
      <c r="F660" s="40" t="str">
        <f>IF(Agent04_Loans!B72="","",Agent04_Loans!F72)</f>
        <v/>
      </c>
      <c r="G660" s="40" t="str">
        <f>IF(Agent04_Loans!B72="","",Agent04_Loans!G72)</f>
        <v/>
      </c>
      <c r="H660" s="40" t="str">
        <f>IF(Agent04_Loans!B72="","",Agent04_Loans!H72)</f>
        <v/>
      </c>
      <c r="I660" s="43" t="str">
        <f>IF(Agent04_Loans!B72="","",Agent04_Loans!I72)</f>
        <v/>
      </c>
      <c r="J660" s="43" t="str">
        <f>IF(Agent04_Loans!B72="","",Agent04_Loans!J72)</f>
        <v/>
      </c>
      <c r="K660" s="40" t="str">
        <f>IF(Agent04_Loans!B72="","",Agent04_Loans!K72)</f>
        <v/>
      </c>
      <c r="L660" s="40" t="str">
        <f>IF(Agent04_Loans!B72="","",Agent04_Loans!L72)</f>
        <v/>
      </c>
      <c r="M660" s="40" t="str">
        <f>IFERROR(IF(Agent04_Loans!B72="","",YEAR(Agent04_Loans!D72)),"")</f>
        <v/>
      </c>
    </row>
    <row r="661" spans="1:13" ht="18" customHeight="1" x14ac:dyDescent="0.25">
      <c r="A661" s="40" t="str">
        <f>IF(Agent04_Loans!B73="","",Agent04_Loans!A73)</f>
        <v/>
      </c>
      <c r="B661" s="40" t="str">
        <f>IF(Agent04_Loans!B73="","",Agent04_Loans!B73)</f>
        <v/>
      </c>
      <c r="C661" s="40" t="str">
        <f>IF(Agent04_Loans!B73="","",Agent04_Loans!C73)</f>
        <v/>
      </c>
      <c r="D661" s="41" t="str">
        <f>IF(Agent04_Loans!B73="","",Agent04_Loans!D73)</f>
        <v/>
      </c>
      <c r="E661" s="43" t="str">
        <f>IF(Agent04_Loans!B73="","",Agent04_Loans!E73)</f>
        <v/>
      </c>
      <c r="F661" s="40" t="str">
        <f>IF(Agent04_Loans!B73="","",Agent04_Loans!F73)</f>
        <v/>
      </c>
      <c r="G661" s="40" t="str">
        <f>IF(Agent04_Loans!B73="","",Agent04_Loans!G73)</f>
        <v/>
      </c>
      <c r="H661" s="40" t="str">
        <f>IF(Agent04_Loans!B73="","",Agent04_Loans!H73)</f>
        <v/>
      </c>
      <c r="I661" s="43" t="str">
        <f>IF(Agent04_Loans!B73="","",Agent04_Loans!I73)</f>
        <v/>
      </c>
      <c r="J661" s="43" t="str">
        <f>IF(Agent04_Loans!B73="","",Agent04_Loans!J73)</f>
        <v/>
      </c>
      <c r="K661" s="40" t="str">
        <f>IF(Agent04_Loans!B73="","",Agent04_Loans!K73)</f>
        <v/>
      </c>
      <c r="L661" s="40" t="str">
        <f>IF(Agent04_Loans!B73="","",Agent04_Loans!L73)</f>
        <v/>
      </c>
      <c r="M661" s="40" t="str">
        <f>IFERROR(IF(Agent04_Loans!B73="","",YEAR(Agent04_Loans!D73)),"")</f>
        <v/>
      </c>
    </row>
    <row r="662" spans="1:13" ht="18" customHeight="1" x14ac:dyDescent="0.25">
      <c r="A662" s="40" t="str">
        <f>IF(Agent04_Loans!B74="","",Agent04_Loans!A74)</f>
        <v/>
      </c>
      <c r="B662" s="40" t="str">
        <f>IF(Agent04_Loans!B74="","",Agent04_Loans!B74)</f>
        <v/>
      </c>
      <c r="C662" s="40" t="str">
        <f>IF(Agent04_Loans!B74="","",Agent04_Loans!C74)</f>
        <v/>
      </c>
      <c r="D662" s="41" t="str">
        <f>IF(Agent04_Loans!B74="","",Agent04_Loans!D74)</f>
        <v/>
      </c>
      <c r="E662" s="43" t="str">
        <f>IF(Agent04_Loans!B74="","",Agent04_Loans!E74)</f>
        <v/>
      </c>
      <c r="F662" s="40" t="str">
        <f>IF(Agent04_Loans!B74="","",Agent04_Loans!F74)</f>
        <v/>
      </c>
      <c r="G662" s="40" t="str">
        <f>IF(Agent04_Loans!B74="","",Agent04_Loans!G74)</f>
        <v/>
      </c>
      <c r="H662" s="40" t="str">
        <f>IF(Agent04_Loans!B74="","",Agent04_Loans!H74)</f>
        <v/>
      </c>
      <c r="I662" s="43" t="str">
        <f>IF(Agent04_Loans!B74="","",Agent04_Loans!I74)</f>
        <v/>
      </c>
      <c r="J662" s="43" t="str">
        <f>IF(Agent04_Loans!B74="","",Agent04_Loans!J74)</f>
        <v/>
      </c>
      <c r="K662" s="40" t="str">
        <f>IF(Agent04_Loans!B74="","",Agent04_Loans!K74)</f>
        <v/>
      </c>
      <c r="L662" s="40" t="str">
        <f>IF(Agent04_Loans!B74="","",Agent04_Loans!L74)</f>
        <v/>
      </c>
      <c r="M662" s="40" t="str">
        <f>IFERROR(IF(Agent04_Loans!B74="","",YEAR(Agent04_Loans!D74)),"")</f>
        <v/>
      </c>
    </row>
    <row r="663" spans="1:13" ht="18" customHeight="1" x14ac:dyDescent="0.25">
      <c r="A663" s="40" t="str">
        <f>IF(Agent04_Loans!B75="","",Agent04_Loans!A75)</f>
        <v/>
      </c>
      <c r="B663" s="40" t="str">
        <f>IF(Agent04_Loans!B75="","",Agent04_Loans!B75)</f>
        <v/>
      </c>
      <c r="C663" s="40" t="str">
        <f>IF(Agent04_Loans!B75="","",Agent04_Loans!C75)</f>
        <v/>
      </c>
      <c r="D663" s="41" t="str">
        <f>IF(Agent04_Loans!B75="","",Agent04_Loans!D75)</f>
        <v/>
      </c>
      <c r="E663" s="43" t="str">
        <f>IF(Agent04_Loans!B75="","",Agent04_Loans!E75)</f>
        <v/>
      </c>
      <c r="F663" s="40" t="str">
        <f>IF(Agent04_Loans!B75="","",Agent04_Loans!F75)</f>
        <v/>
      </c>
      <c r="G663" s="40" t="str">
        <f>IF(Agent04_Loans!B75="","",Agent04_Loans!G75)</f>
        <v/>
      </c>
      <c r="H663" s="40" t="str">
        <f>IF(Agent04_Loans!B75="","",Agent04_Loans!H75)</f>
        <v/>
      </c>
      <c r="I663" s="43" t="str">
        <f>IF(Agent04_Loans!B75="","",Agent04_Loans!I75)</f>
        <v/>
      </c>
      <c r="J663" s="43" t="str">
        <f>IF(Agent04_Loans!B75="","",Agent04_Loans!J75)</f>
        <v/>
      </c>
      <c r="K663" s="40" t="str">
        <f>IF(Agent04_Loans!B75="","",Agent04_Loans!K75)</f>
        <v/>
      </c>
      <c r="L663" s="40" t="str">
        <f>IF(Agent04_Loans!B75="","",Agent04_Loans!L75)</f>
        <v/>
      </c>
      <c r="M663" s="40" t="str">
        <f>IFERROR(IF(Agent04_Loans!B75="","",YEAR(Agent04_Loans!D75)),"")</f>
        <v/>
      </c>
    </row>
    <row r="664" spans="1:13" ht="18" customHeight="1" x14ac:dyDescent="0.25">
      <c r="A664" s="40" t="str">
        <f>IF(Agent04_Loans!B76="","",Agent04_Loans!A76)</f>
        <v/>
      </c>
      <c r="B664" s="40" t="str">
        <f>IF(Agent04_Loans!B76="","",Agent04_Loans!B76)</f>
        <v/>
      </c>
      <c r="C664" s="40" t="str">
        <f>IF(Agent04_Loans!B76="","",Agent04_Loans!C76)</f>
        <v/>
      </c>
      <c r="D664" s="41" t="str">
        <f>IF(Agent04_Loans!B76="","",Agent04_Loans!D76)</f>
        <v/>
      </c>
      <c r="E664" s="43" t="str">
        <f>IF(Agent04_Loans!B76="","",Agent04_Loans!E76)</f>
        <v/>
      </c>
      <c r="F664" s="40" t="str">
        <f>IF(Agent04_Loans!B76="","",Agent04_Loans!F76)</f>
        <v/>
      </c>
      <c r="G664" s="40" t="str">
        <f>IF(Agent04_Loans!B76="","",Agent04_Loans!G76)</f>
        <v/>
      </c>
      <c r="H664" s="40" t="str">
        <f>IF(Agent04_Loans!B76="","",Agent04_Loans!H76)</f>
        <v/>
      </c>
      <c r="I664" s="43" t="str">
        <f>IF(Agent04_Loans!B76="","",Agent04_Loans!I76)</f>
        <v/>
      </c>
      <c r="J664" s="43" t="str">
        <f>IF(Agent04_Loans!B76="","",Agent04_Loans!J76)</f>
        <v/>
      </c>
      <c r="K664" s="40" t="str">
        <f>IF(Agent04_Loans!B76="","",Agent04_Loans!K76)</f>
        <v/>
      </c>
      <c r="L664" s="40" t="str">
        <f>IF(Agent04_Loans!B76="","",Agent04_Loans!L76)</f>
        <v/>
      </c>
      <c r="M664" s="40" t="str">
        <f>IFERROR(IF(Agent04_Loans!B76="","",YEAR(Agent04_Loans!D76)),"")</f>
        <v/>
      </c>
    </row>
    <row r="665" spans="1:13" ht="18" customHeight="1" x14ac:dyDescent="0.25">
      <c r="A665" s="40" t="str">
        <f>IF(Agent04_Loans!B77="","",Agent04_Loans!A77)</f>
        <v/>
      </c>
      <c r="B665" s="40" t="str">
        <f>IF(Agent04_Loans!B77="","",Agent04_Loans!B77)</f>
        <v/>
      </c>
      <c r="C665" s="40" t="str">
        <f>IF(Agent04_Loans!B77="","",Agent04_Loans!C77)</f>
        <v/>
      </c>
      <c r="D665" s="41" t="str">
        <f>IF(Agent04_Loans!B77="","",Agent04_Loans!D77)</f>
        <v/>
      </c>
      <c r="E665" s="43" t="str">
        <f>IF(Agent04_Loans!B77="","",Agent04_Loans!E77)</f>
        <v/>
      </c>
      <c r="F665" s="40" t="str">
        <f>IF(Agent04_Loans!B77="","",Agent04_Loans!F77)</f>
        <v/>
      </c>
      <c r="G665" s="40" t="str">
        <f>IF(Agent04_Loans!B77="","",Agent04_Loans!G77)</f>
        <v/>
      </c>
      <c r="H665" s="40" t="str">
        <f>IF(Agent04_Loans!B77="","",Agent04_Loans!H77)</f>
        <v/>
      </c>
      <c r="I665" s="43" t="str">
        <f>IF(Agent04_Loans!B77="","",Agent04_Loans!I77)</f>
        <v/>
      </c>
      <c r="J665" s="43" t="str">
        <f>IF(Agent04_Loans!B77="","",Agent04_Loans!J77)</f>
        <v/>
      </c>
      <c r="K665" s="40" t="str">
        <f>IF(Agent04_Loans!B77="","",Agent04_Loans!K77)</f>
        <v/>
      </c>
      <c r="L665" s="40" t="str">
        <f>IF(Agent04_Loans!B77="","",Agent04_Loans!L77)</f>
        <v/>
      </c>
      <c r="M665" s="40" t="str">
        <f>IFERROR(IF(Agent04_Loans!B77="","",YEAR(Agent04_Loans!D77)),"")</f>
        <v/>
      </c>
    </row>
    <row r="666" spans="1:13" ht="18" customHeight="1" x14ac:dyDescent="0.25">
      <c r="A666" s="40" t="str">
        <f>IF(Agent04_Loans!B78="","",Agent04_Loans!A78)</f>
        <v/>
      </c>
      <c r="B666" s="40" t="str">
        <f>IF(Agent04_Loans!B78="","",Agent04_Loans!B78)</f>
        <v/>
      </c>
      <c r="C666" s="40" t="str">
        <f>IF(Agent04_Loans!B78="","",Agent04_Loans!C78)</f>
        <v/>
      </c>
      <c r="D666" s="41" t="str">
        <f>IF(Agent04_Loans!B78="","",Agent04_Loans!D78)</f>
        <v/>
      </c>
      <c r="E666" s="43" t="str">
        <f>IF(Agent04_Loans!B78="","",Agent04_Loans!E78)</f>
        <v/>
      </c>
      <c r="F666" s="40" t="str">
        <f>IF(Agent04_Loans!B78="","",Agent04_Loans!F78)</f>
        <v/>
      </c>
      <c r="G666" s="40" t="str">
        <f>IF(Agent04_Loans!B78="","",Agent04_Loans!G78)</f>
        <v/>
      </c>
      <c r="H666" s="40" t="str">
        <f>IF(Agent04_Loans!B78="","",Agent04_Loans!H78)</f>
        <v/>
      </c>
      <c r="I666" s="43" t="str">
        <f>IF(Agent04_Loans!B78="","",Agent04_Loans!I78)</f>
        <v/>
      </c>
      <c r="J666" s="43" t="str">
        <f>IF(Agent04_Loans!B78="","",Agent04_Loans!J78)</f>
        <v/>
      </c>
      <c r="K666" s="40" t="str">
        <f>IF(Agent04_Loans!B78="","",Agent04_Loans!K78)</f>
        <v/>
      </c>
      <c r="L666" s="40" t="str">
        <f>IF(Agent04_Loans!B78="","",Agent04_Loans!L78)</f>
        <v/>
      </c>
      <c r="M666" s="40" t="str">
        <f>IFERROR(IF(Agent04_Loans!B78="","",YEAR(Agent04_Loans!D78)),"")</f>
        <v/>
      </c>
    </row>
    <row r="667" spans="1:13" ht="18" customHeight="1" x14ac:dyDescent="0.25">
      <c r="A667" s="40" t="str">
        <f>IF(Agent04_Loans!B79="","",Agent04_Loans!A79)</f>
        <v/>
      </c>
      <c r="B667" s="40" t="str">
        <f>IF(Agent04_Loans!B79="","",Agent04_Loans!B79)</f>
        <v/>
      </c>
      <c r="C667" s="40" t="str">
        <f>IF(Agent04_Loans!B79="","",Agent04_Loans!C79)</f>
        <v/>
      </c>
      <c r="D667" s="41" t="str">
        <f>IF(Agent04_Loans!B79="","",Agent04_Loans!D79)</f>
        <v/>
      </c>
      <c r="E667" s="43" t="str">
        <f>IF(Agent04_Loans!B79="","",Agent04_Loans!E79)</f>
        <v/>
      </c>
      <c r="F667" s="40" t="str">
        <f>IF(Agent04_Loans!B79="","",Agent04_Loans!F79)</f>
        <v/>
      </c>
      <c r="G667" s="40" t="str">
        <f>IF(Agent04_Loans!B79="","",Agent04_Loans!G79)</f>
        <v/>
      </c>
      <c r="H667" s="40" t="str">
        <f>IF(Agent04_Loans!B79="","",Agent04_Loans!H79)</f>
        <v/>
      </c>
      <c r="I667" s="43" t="str">
        <f>IF(Agent04_Loans!B79="","",Agent04_Loans!I79)</f>
        <v/>
      </c>
      <c r="J667" s="43" t="str">
        <f>IF(Agent04_Loans!B79="","",Agent04_Loans!J79)</f>
        <v/>
      </c>
      <c r="K667" s="40" t="str">
        <f>IF(Agent04_Loans!B79="","",Agent04_Loans!K79)</f>
        <v/>
      </c>
      <c r="L667" s="40" t="str">
        <f>IF(Agent04_Loans!B79="","",Agent04_Loans!L79)</f>
        <v/>
      </c>
      <c r="M667" s="40" t="str">
        <f>IFERROR(IF(Agent04_Loans!B79="","",YEAR(Agent04_Loans!D79)),"")</f>
        <v/>
      </c>
    </row>
    <row r="668" spans="1:13" ht="18" customHeight="1" x14ac:dyDescent="0.25">
      <c r="A668" s="40" t="str">
        <f>IF(Agent04_Loans!B80="","",Agent04_Loans!A80)</f>
        <v/>
      </c>
      <c r="B668" s="40" t="str">
        <f>IF(Agent04_Loans!B80="","",Agent04_Loans!B80)</f>
        <v/>
      </c>
      <c r="C668" s="40" t="str">
        <f>IF(Agent04_Loans!B80="","",Agent04_Loans!C80)</f>
        <v/>
      </c>
      <c r="D668" s="41" t="str">
        <f>IF(Agent04_Loans!B80="","",Agent04_Loans!D80)</f>
        <v/>
      </c>
      <c r="E668" s="43" t="str">
        <f>IF(Agent04_Loans!B80="","",Agent04_Loans!E80)</f>
        <v/>
      </c>
      <c r="F668" s="40" t="str">
        <f>IF(Agent04_Loans!B80="","",Agent04_Loans!F80)</f>
        <v/>
      </c>
      <c r="G668" s="40" t="str">
        <f>IF(Agent04_Loans!B80="","",Agent04_Loans!G80)</f>
        <v/>
      </c>
      <c r="H668" s="40" t="str">
        <f>IF(Agent04_Loans!B80="","",Agent04_Loans!H80)</f>
        <v/>
      </c>
      <c r="I668" s="43" t="str">
        <f>IF(Agent04_Loans!B80="","",Agent04_Loans!I80)</f>
        <v/>
      </c>
      <c r="J668" s="43" t="str">
        <f>IF(Agent04_Loans!B80="","",Agent04_Loans!J80)</f>
        <v/>
      </c>
      <c r="K668" s="40" t="str">
        <f>IF(Agent04_Loans!B80="","",Agent04_Loans!K80)</f>
        <v/>
      </c>
      <c r="L668" s="40" t="str">
        <f>IF(Agent04_Loans!B80="","",Agent04_Loans!L80)</f>
        <v/>
      </c>
      <c r="M668" s="40" t="str">
        <f>IFERROR(IF(Agent04_Loans!B80="","",YEAR(Agent04_Loans!D80)),"")</f>
        <v/>
      </c>
    </row>
    <row r="669" spans="1:13" ht="18" customHeight="1" x14ac:dyDescent="0.25">
      <c r="A669" s="40" t="str">
        <f>IF(Agent04_Loans!B81="","",Agent04_Loans!A81)</f>
        <v/>
      </c>
      <c r="B669" s="40" t="str">
        <f>IF(Agent04_Loans!B81="","",Agent04_Loans!B81)</f>
        <v/>
      </c>
      <c r="C669" s="40" t="str">
        <f>IF(Agent04_Loans!B81="","",Agent04_Loans!C81)</f>
        <v/>
      </c>
      <c r="D669" s="41" t="str">
        <f>IF(Agent04_Loans!B81="","",Agent04_Loans!D81)</f>
        <v/>
      </c>
      <c r="E669" s="43" t="str">
        <f>IF(Agent04_Loans!B81="","",Agent04_Loans!E81)</f>
        <v/>
      </c>
      <c r="F669" s="40" t="str">
        <f>IF(Agent04_Loans!B81="","",Agent04_Loans!F81)</f>
        <v/>
      </c>
      <c r="G669" s="40" t="str">
        <f>IF(Agent04_Loans!B81="","",Agent04_Loans!G81)</f>
        <v/>
      </c>
      <c r="H669" s="40" t="str">
        <f>IF(Agent04_Loans!B81="","",Agent04_Loans!H81)</f>
        <v/>
      </c>
      <c r="I669" s="43" t="str">
        <f>IF(Agent04_Loans!B81="","",Agent04_Loans!I81)</f>
        <v/>
      </c>
      <c r="J669" s="43" t="str">
        <f>IF(Agent04_Loans!B81="","",Agent04_Loans!J81)</f>
        <v/>
      </c>
      <c r="K669" s="40" t="str">
        <f>IF(Agent04_Loans!B81="","",Agent04_Loans!K81)</f>
        <v/>
      </c>
      <c r="L669" s="40" t="str">
        <f>IF(Agent04_Loans!B81="","",Agent04_Loans!L81)</f>
        <v/>
      </c>
      <c r="M669" s="40" t="str">
        <f>IFERROR(IF(Agent04_Loans!B81="","",YEAR(Agent04_Loans!D81)),"")</f>
        <v/>
      </c>
    </row>
    <row r="670" spans="1:13" ht="18" customHeight="1" x14ac:dyDescent="0.25">
      <c r="A670" s="40" t="str">
        <f>IF(Agent04_Loans!B82="","",Agent04_Loans!A82)</f>
        <v/>
      </c>
      <c r="B670" s="40" t="str">
        <f>IF(Agent04_Loans!B82="","",Agent04_Loans!B82)</f>
        <v/>
      </c>
      <c r="C670" s="40" t="str">
        <f>IF(Agent04_Loans!B82="","",Agent04_Loans!C82)</f>
        <v/>
      </c>
      <c r="D670" s="41" t="str">
        <f>IF(Agent04_Loans!B82="","",Agent04_Loans!D82)</f>
        <v/>
      </c>
      <c r="E670" s="43" t="str">
        <f>IF(Agent04_Loans!B82="","",Agent04_Loans!E82)</f>
        <v/>
      </c>
      <c r="F670" s="40" t="str">
        <f>IF(Agent04_Loans!B82="","",Agent04_Loans!F82)</f>
        <v/>
      </c>
      <c r="G670" s="40" t="str">
        <f>IF(Agent04_Loans!B82="","",Agent04_Loans!G82)</f>
        <v/>
      </c>
      <c r="H670" s="40" t="str">
        <f>IF(Agent04_Loans!B82="","",Agent04_Loans!H82)</f>
        <v/>
      </c>
      <c r="I670" s="43" t="str">
        <f>IF(Agent04_Loans!B82="","",Agent04_Loans!I82)</f>
        <v/>
      </c>
      <c r="J670" s="43" t="str">
        <f>IF(Agent04_Loans!B82="","",Agent04_Loans!J82)</f>
        <v/>
      </c>
      <c r="K670" s="40" t="str">
        <f>IF(Agent04_Loans!B82="","",Agent04_Loans!K82)</f>
        <v/>
      </c>
      <c r="L670" s="40" t="str">
        <f>IF(Agent04_Loans!B82="","",Agent04_Loans!L82)</f>
        <v/>
      </c>
      <c r="M670" s="40" t="str">
        <f>IFERROR(IF(Agent04_Loans!B82="","",YEAR(Agent04_Loans!D82)),"")</f>
        <v/>
      </c>
    </row>
    <row r="671" spans="1:13" ht="18" customHeight="1" x14ac:dyDescent="0.25">
      <c r="A671" s="40" t="str">
        <f>IF(Agent04_Loans!B83="","",Agent04_Loans!A83)</f>
        <v/>
      </c>
      <c r="B671" s="40" t="str">
        <f>IF(Agent04_Loans!B83="","",Agent04_Loans!B83)</f>
        <v/>
      </c>
      <c r="C671" s="40" t="str">
        <f>IF(Agent04_Loans!B83="","",Agent04_Loans!C83)</f>
        <v/>
      </c>
      <c r="D671" s="41" t="str">
        <f>IF(Agent04_Loans!B83="","",Agent04_Loans!D83)</f>
        <v/>
      </c>
      <c r="E671" s="43" t="str">
        <f>IF(Agent04_Loans!B83="","",Agent04_Loans!E83)</f>
        <v/>
      </c>
      <c r="F671" s="40" t="str">
        <f>IF(Agent04_Loans!B83="","",Agent04_Loans!F83)</f>
        <v/>
      </c>
      <c r="G671" s="40" t="str">
        <f>IF(Agent04_Loans!B83="","",Agent04_Loans!G83)</f>
        <v/>
      </c>
      <c r="H671" s="40" t="str">
        <f>IF(Agent04_Loans!B83="","",Agent04_Loans!H83)</f>
        <v/>
      </c>
      <c r="I671" s="43" t="str">
        <f>IF(Agent04_Loans!B83="","",Agent04_Loans!I83)</f>
        <v/>
      </c>
      <c r="J671" s="43" t="str">
        <f>IF(Agent04_Loans!B83="","",Agent04_Loans!J83)</f>
        <v/>
      </c>
      <c r="K671" s="40" t="str">
        <f>IF(Agent04_Loans!B83="","",Agent04_Loans!K83)</f>
        <v/>
      </c>
      <c r="L671" s="40" t="str">
        <f>IF(Agent04_Loans!B83="","",Agent04_Loans!L83)</f>
        <v/>
      </c>
      <c r="M671" s="40" t="str">
        <f>IFERROR(IF(Agent04_Loans!B83="","",YEAR(Agent04_Loans!D83)),"")</f>
        <v/>
      </c>
    </row>
    <row r="672" spans="1:13" ht="18" customHeight="1" x14ac:dyDescent="0.25">
      <c r="A672" s="40" t="str">
        <f>IF(Agent04_Loans!B84="","",Agent04_Loans!A84)</f>
        <v/>
      </c>
      <c r="B672" s="40" t="str">
        <f>IF(Agent04_Loans!B84="","",Agent04_Loans!B84)</f>
        <v/>
      </c>
      <c r="C672" s="40" t="str">
        <f>IF(Agent04_Loans!B84="","",Agent04_Loans!C84)</f>
        <v/>
      </c>
      <c r="D672" s="41" t="str">
        <f>IF(Agent04_Loans!B84="","",Agent04_Loans!D84)</f>
        <v/>
      </c>
      <c r="E672" s="43" t="str">
        <f>IF(Agent04_Loans!B84="","",Agent04_Loans!E84)</f>
        <v/>
      </c>
      <c r="F672" s="40" t="str">
        <f>IF(Agent04_Loans!B84="","",Agent04_Loans!F84)</f>
        <v/>
      </c>
      <c r="G672" s="40" t="str">
        <f>IF(Agent04_Loans!B84="","",Agent04_Loans!G84)</f>
        <v/>
      </c>
      <c r="H672" s="40" t="str">
        <f>IF(Agent04_Loans!B84="","",Agent04_Loans!H84)</f>
        <v/>
      </c>
      <c r="I672" s="43" t="str">
        <f>IF(Agent04_Loans!B84="","",Agent04_Loans!I84)</f>
        <v/>
      </c>
      <c r="J672" s="43" t="str">
        <f>IF(Agent04_Loans!B84="","",Agent04_Loans!J84)</f>
        <v/>
      </c>
      <c r="K672" s="40" t="str">
        <f>IF(Agent04_Loans!B84="","",Agent04_Loans!K84)</f>
        <v/>
      </c>
      <c r="L672" s="40" t="str">
        <f>IF(Agent04_Loans!B84="","",Agent04_Loans!L84)</f>
        <v/>
      </c>
      <c r="M672" s="40" t="str">
        <f>IFERROR(IF(Agent04_Loans!B84="","",YEAR(Agent04_Loans!D84)),"")</f>
        <v/>
      </c>
    </row>
    <row r="673" spans="1:13" ht="18" customHeight="1" x14ac:dyDescent="0.25">
      <c r="A673" s="40" t="str">
        <f>IF(Agent04_Loans!B85="","",Agent04_Loans!A85)</f>
        <v/>
      </c>
      <c r="B673" s="40" t="str">
        <f>IF(Agent04_Loans!B85="","",Agent04_Loans!B85)</f>
        <v/>
      </c>
      <c r="C673" s="40" t="str">
        <f>IF(Agent04_Loans!B85="","",Agent04_Loans!C85)</f>
        <v/>
      </c>
      <c r="D673" s="41" t="str">
        <f>IF(Agent04_Loans!B85="","",Agent04_Loans!D85)</f>
        <v/>
      </c>
      <c r="E673" s="43" t="str">
        <f>IF(Agent04_Loans!B85="","",Agent04_Loans!E85)</f>
        <v/>
      </c>
      <c r="F673" s="40" t="str">
        <f>IF(Agent04_Loans!B85="","",Agent04_Loans!F85)</f>
        <v/>
      </c>
      <c r="G673" s="40" t="str">
        <f>IF(Agent04_Loans!B85="","",Agent04_Loans!G85)</f>
        <v/>
      </c>
      <c r="H673" s="40" t="str">
        <f>IF(Agent04_Loans!B85="","",Agent04_Loans!H85)</f>
        <v/>
      </c>
      <c r="I673" s="43" t="str">
        <f>IF(Agent04_Loans!B85="","",Agent04_Loans!I85)</f>
        <v/>
      </c>
      <c r="J673" s="43" t="str">
        <f>IF(Agent04_Loans!B85="","",Agent04_Loans!J85)</f>
        <v/>
      </c>
      <c r="K673" s="40" t="str">
        <f>IF(Agent04_Loans!B85="","",Agent04_Loans!K85)</f>
        <v/>
      </c>
      <c r="L673" s="40" t="str">
        <f>IF(Agent04_Loans!B85="","",Agent04_Loans!L85)</f>
        <v/>
      </c>
      <c r="M673" s="40" t="str">
        <f>IFERROR(IF(Agent04_Loans!B85="","",YEAR(Agent04_Loans!D85)),"")</f>
        <v/>
      </c>
    </row>
    <row r="674" spans="1:13" ht="18" customHeight="1" x14ac:dyDescent="0.25">
      <c r="A674" s="40" t="str">
        <f>IF(Agent04_Loans!B86="","",Agent04_Loans!A86)</f>
        <v/>
      </c>
      <c r="B674" s="40" t="str">
        <f>IF(Agent04_Loans!B86="","",Agent04_Loans!B86)</f>
        <v/>
      </c>
      <c r="C674" s="40" t="str">
        <f>IF(Agent04_Loans!B86="","",Agent04_Loans!C86)</f>
        <v/>
      </c>
      <c r="D674" s="41" t="str">
        <f>IF(Agent04_Loans!B86="","",Agent04_Loans!D86)</f>
        <v/>
      </c>
      <c r="E674" s="43" t="str">
        <f>IF(Agent04_Loans!B86="","",Agent04_Loans!E86)</f>
        <v/>
      </c>
      <c r="F674" s="40" t="str">
        <f>IF(Agent04_Loans!B86="","",Agent04_Loans!F86)</f>
        <v/>
      </c>
      <c r="G674" s="40" t="str">
        <f>IF(Agent04_Loans!B86="","",Agent04_Loans!G86)</f>
        <v/>
      </c>
      <c r="H674" s="40" t="str">
        <f>IF(Agent04_Loans!B86="","",Agent04_Loans!H86)</f>
        <v/>
      </c>
      <c r="I674" s="43" t="str">
        <f>IF(Agent04_Loans!B86="","",Agent04_Loans!I86)</f>
        <v/>
      </c>
      <c r="J674" s="43" t="str">
        <f>IF(Agent04_Loans!B86="","",Agent04_Loans!J86)</f>
        <v/>
      </c>
      <c r="K674" s="40" t="str">
        <f>IF(Agent04_Loans!B86="","",Agent04_Loans!K86)</f>
        <v/>
      </c>
      <c r="L674" s="40" t="str">
        <f>IF(Agent04_Loans!B86="","",Agent04_Loans!L86)</f>
        <v/>
      </c>
      <c r="M674" s="40" t="str">
        <f>IFERROR(IF(Agent04_Loans!B86="","",YEAR(Agent04_Loans!D86)),"")</f>
        <v/>
      </c>
    </row>
    <row r="675" spans="1:13" ht="18" customHeight="1" x14ac:dyDescent="0.25">
      <c r="A675" s="40" t="str">
        <f>IF(Agent04_Loans!B87="","",Agent04_Loans!A87)</f>
        <v/>
      </c>
      <c r="B675" s="40" t="str">
        <f>IF(Agent04_Loans!B87="","",Agent04_Loans!B87)</f>
        <v/>
      </c>
      <c r="C675" s="40" t="str">
        <f>IF(Agent04_Loans!B87="","",Agent04_Loans!C87)</f>
        <v/>
      </c>
      <c r="D675" s="41" t="str">
        <f>IF(Agent04_Loans!B87="","",Agent04_Loans!D87)</f>
        <v/>
      </c>
      <c r="E675" s="43" t="str">
        <f>IF(Agent04_Loans!B87="","",Agent04_Loans!E87)</f>
        <v/>
      </c>
      <c r="F675" s="40" t="str">
        <f>IF(Agent04_Loans!B87="","",Agent04_Loans!F87)</f>
        <v/>
      </c>
      <c r="G675" s="40" t="str">
        <f>IF(Agent04_Loans!B87="","",Agent04_Loans!G87)</f>
        <v/>
      </c>
      <c r="H675" s="40" t="str">
        <f>IF(Agent04_Loans!B87="","",Agent04_Loans!H87)</f>
        <v/>
      </c>
      <c r="I675" s="43" t="str">
        <f>IF(Agent04_Loans!B87="","",Agent04_Loans!I87)</f>
        <v/>
      </c>
      <c r="J675" s="43" t="str">
        <f>IF(Agent04_Loans!B87="","",Agent04_Loans!J87)</f>
        <v/>
      </c>
      <c r="K675" s="40" t="str">
        <f>IF(Agent04_Loans!B87="","",Agent04_Loans!K87)</f>
        <v/>
      </c>
      <c r="L675" s="40" t="str">
        <f>IF(Agent04_Loans!B87="","",Agent04_Loans!L87)</f>
        <v/>
      </c>
      <c r="M675" s="40" t="str">
        <f>IFERROR(IF(Agent04_Loans!B87="","",YEAR(Agent04_Loans!D87)),"")</f>
        <v/>
      </c>
    </row>
    <row r="676" spans="1:13" ht="18" customHeight="1" x14ac:dyDescent="0.25">
      <c r="A676" s="40" t="str">
        <f>IF(Agent04_Loans!B88="","",Agent04_Loans!A88)</f>
        <v/>
      </c>
      <c r="B676" s="40" t="str">
        <f>IF(Agent04_Loans!B88="","",Agent04_Loans!B88)</f>
        <v/>
      </c>
      <c r="C676" s="40" t="str">
        <f>IF(Agent04_Loans!B88="","",Agent04_Loans!C88)</f>
        <v/>
      </c>
      <c r="D676" s="41" t="str">
        <f>IF(Agent04_Loans!B88="","",Agent04_Loans!D88)</f>
        <v/>
      </c>
      <c r="E676" s="43" t="str">
        <f>IF(Agent04_Loans!B88="","",Agent04_Loans!E88)</f>
        <v/>
      </c>
      <c r="F676" s="40" t="str">
        <f>IF(Agent04_Loans!B88="","",Agent04_Loans!F88)</f>
        <v/>
      </c>
      <c r="G676" s="40" t="str">
        <f>IF(Agent04_Loans!B88="","",Agent04_Loans!G88)</f>
        <v/>
      </c>
      <c r="H676" s="40" t="str">
        <f>IF(Agent04_Loans!B88="","",Agent04_Loans!H88)</f>
        <v/>
      </c>
      <c r="I676" s="43" t="str">
        <f>IF(Agent04_Loans!B88="","",Agent04_Loans!I88)</f>
        <v/>
      </c>
      <c r="J676" s="43" t="str">
        <f>IF(Agent04_Loans!B88="","",Agent04_Loans!J88)</f>
        <v/>
      </c>
      <c r="K676" s="40" t="str">
        <f>IF(Agent04_Loans!B88="","",Agent04_Loans!K88)</f>
        <v/>
      </c>
      <c r="L676" s="40" t="str">
        <f>IF(Agent04_Loans!B88="","",Agent04_Loans!L88)</f>
        <v/>
      </c>
      <c r="M676" s="40" t="str">
        <f>IFERROR(IF(Agent04_Loans!B88="","",YEAR(Agent04_Loans!D88)),"")</f>
        <v/>
      </c>
    </row>
    <row r="677" spans="1:13" ht="18" customHeight="1" x14ac:dyDescent="0.25">
      <c r="A677" s="40" t="str">
        <f>IF(Agent04_Loans!B89="","",Agent04_Loans!A89)</f>
        <v/>
      </c>
      <c r="B677" s="40" t="str">
        <f>IF(Agent04_Loans!B89="","",Agent04_Loans!B89)</f>
        <v/>
      </c>
      <c r="C677" s="40" t="str">
        <f>IF(Agent04_Loans!B89="","",Agent04_Loans!C89)</f>
        <v/>
      </c>
      <c r="D677" s="41" t="str">
        <f>IF(Agent04_Loans!B89="","",Agent04_Loans!D89)</f>
        <v/>
      </c>
      <c r="E677" s="43" t="str">
        <f>IF(Agent04_Loans!B89="","",Agent04_Loans!E89)</f>
        <v/>
      </c>
      <c r="F677" s="40" t="str">
        <f>IF(Agent04_Loans!B89="","",Agent04_Loans!F89)</f>
        <v/>
      </c>
      <c r="G677" s="40" t="str">
        <f>IF(Agent04_Loans!B89="","",Agent04_Loans!G89)</f>
        <v/>
      </c>
      <c r="H677" s="40" t="str">
        <f>IF(Agent04_Loans!B89="","",Agent04_Loans!H89)</f>
        <v/>
      </c>
      <c r="I677" s="43" t="str">
        <f>IF(Agent04_Loans!B89="","",Agent04_Loans!I89)</f>
        <v/>
      </c>
      <c r="J677" s="43" t="str">
        <f>IF(Agent04_Loans!B89="","",Agent04_Loans!J89)</f>
        <v/>
      </c>
      <c r="K677" s="40" t="str">
        <f>IF(Agent04_Loans!B89="","",Agent04_Loans!K89)</f>
        <v/>
      </c>
      <c r="L677" s="40" t="str">
        <f>IF(Agent04_Loans!B89="","",Agent04_Loans!L89)</f>
        <v/>
      </c>
      <c r="M677" s="40" t="str">
        <f>IFERROR(IF(Agent04_Loans!B89="","",YEAR(Agent04_Loans!D89)),"")</f>
        <v/>
      </c>
    </row>
    <row r="678" spans="1:13" ht="18" customHeight="1" x14ac:dyDescent="0.25">
      <c r="A678" s="40" t="str">
        <f>IF(Agent04_Loans!B90="","",Agent04_Loans!A90)</f>
        <v/>
      </c>
      <c r="B678" s="40" t="str">
        <f>IF(Agent04_Loans!B90="","",Agent04_Loans!B90)</f>
        <v/>
      </c>
      <c r="C678" s="40" t="str">
        <f>IF(Agent04_Loans!B90="","",Agent04_Loans!C90)</f>
        <v/>
      </c>
      <c r="D678" s="41" t="str">
        <f>IF(Agent04_Loans!B90="","",Agent04_Loans!D90)</f>
        <v/>
      </c>
      <c r="E678" s="43" t="str">
        <f>IF(Agent04_Loans!B90="","",Agent04_Loans!E90)</f>
        <v/>
      </c>
      <c r="F678" s="40" t="str">
        <f>IF(Agent04_Loans!B90="","",Agent04_Loans!F90)</f>
        <v/>
      </c>
      <c r="G678" s="40" t="str">
        <f>IF(Agent04_Loans!B90="","",Agent04_Loans!G90)</f>
        <v/>
      </c>
      <c r="H678" s="40" t="str">
        <f>IF(Agent04_Loans!B90="","",Agent04_Loans!H90)</f>
        <v/>
      </c>
      <c r="I678" s="43" t="str">
        <f>IF(Agent04_Loans!B90="","",Agent04_Loans!I90)</f>
        <v/>
      </c>
      <c r="J678" s="43" t="str">
        <f>IF(Agent04_Loans!B90="","",Agent04_Loans!J90)</f>
        <v/>
      </c>
      <c r="K678" s="40" t="str">
        <f>IF(Agent04_Loans!B90="","",Agent04_Loans!K90)</f>
        <v/>
      </c>
      <c r="L678" s="40" t="str">
        <f>IF(Agent04_Loans!B90="","",Agent04_Loans!L90)</f>
        <v/>
      </c>
      <c r="M678" s="40" t="str">
        <f>IFERROR(IF(Agent04_Loans!B90="","",YEAR(Agent04_Loans!D90)),"")</f>
        <v/>
      </c>
    </row>
    <row r="679" spans="1:13" ht="18" customHeight="1" x14ac:dyDescent="0.25">
      <c r="A679" s="40" t="str">
        <f>IF(Agent04_Loans!B91="","",Agent04_Loans!A91)</f>
        <v/>
      </c>
      <c r="B679" s="40" t="str">
        <f>IF(Agent04_Loans!B91="","",Agent04_Loans!B91)</f>
        <v/>
      </c>
      <c r="C679" s="40" t="str">
        <f>IF(Agent04_Loans!B91="","",Agent04_Loans!C91)</f>
        <v/>
      </c>
      <c r="D679" s="41" t="str">
        <f>IF(Agent04_Loans!B91="","",Agent04_Loans!D91)</f>
        <v/>
      </c>
      <c r="E679" s="43" t="str">
        <f>IF(Agent04_Loans!B91="","",Agent04_Loans!E91)</f>
        <v/>
      </c>
      <c r="F679" s="40" t="str">
        <f>IF(Agent04_Loans!B91="","",Agent04_Loans!F91)</f>
        <v/>
      </c>
      <c r="G679" s="40" t="str">
        <f>IF(Agent04_Loans!B91="","",Agent04_Loans!G91)</f>
        <v/>
      </c>
      <c r="H679" s="40" t="str">
        <f>IF(Agent04_Loans!B91="","",Agent04_Loans!H91)</f>
        <v/>
      </c>
      <c r="I679" s="43" t="str">
        <f>IF(Agent04_Loans!B91="","",Agent04_Loans!I91)</f>
        <v/>
      </c>
      <c r="J679" s="43" t="str">
        <f>IF(Agent04_Loans!B91="","",Agent04_Loans!J91)</f>
        <v/>
      </c>
      <c r="K679" s="40" t="str">
        <f>IF(Agent04_Loans!B91="","",Agent04_Loans!K91)</f>
        <v/>
      </c>
      <c r="L679" s="40" t="str">
        <f>IF(Agent04_Loans!B91="","",Agent04_Loans!L91)</f>
        <v/>
      </c>
      <c r="M679" s="40" t="str">
        <f>IFERROR(IF(Agent04_Loans!B91="","",YEAR(Agent04_Loans!D91)),"")</f>
        <v/>
      </c>
    </row>
    <row r="680" spans="1:13" ht="18" customHeight="1" x14ac:dyDescent="0.25">
      <c r="A680" s="40" t="str">
        <f>IF(Agent04_Loans!B92="","",Agent04_Loans!A92)</f>
        <v/>
      </c>
      <c r="B680" s="40" t="str">
        <f>IF(Agent04_Loans!B92="","",Agent04_Loans!B92)</f>
        <v/>
      </c>
      <c r="C680" s="40" t="str">
        <f>IF(Agent04_Loans!B92="","",Agent04_Loans!C92)</f>
        <v/>
      </c>
      <c r="D680" s="41" t="str">
        <f>IF(Agent04_Loans!B92="","",Agent04_Loans!D92)</f>
        <v/>
      </c>
      <c r="E680" s="43" t="str">
        <f>IF(Agent04_Loans!B92="","",Agent04_Loans!E92)</f>
        <v/>
      </c>
      <c r="F680" s="40" t="str">
        <f>IF(Agent04_Loans!B92="","",Agent04_Loans!F92)</f>
        <v/>
      </c>
      <c r="G680" s="40" t="str">
        <f>IF(Agent04_Loans!B92="","",Agent04_Loans!G92)</f>
        <v/>
      </c>
      <c r="H680" s="40" t="str">
        <f>IF(Agent04_Loans!B92="","",Agent04_Loans!H92)</f>
        <v/>
      </c>
      <c r="I680" s="43" t="str">
        <f>IF(Agent04_Loans!B92="","",Agent04_Loans!I92)</f>
        <v/>
      </c>
      <c r="J680" s="43" t="str">
        <f>IF(Agent04_Loans!B92="","",Agent04_Loans!J92)</f>
        <v/>
      </c>
      <c r="K680" s="40" t="str">
        <f>IF(Agent04_Loans!B92="","",Agent04_Loans!K92)</f>
        <v/>
      </c>
      <c r="L680" s="40" t="str">
        <f>IF(Agent04_Loans!B92="","",Agent04_Loans!L92)</f>
        <v/>
      </c>
      <c r="M680" s="40" t="str">
        <f>IFERROR(IF(Agent04_Loans!B92="","",YEAR(Agent04_Loans!D92)),"")</f>
        <v/>
      </c>
    </row>
    <row r="681" spans="1:13" ht="18" customHeight="1" x14ac:dyDescent="0.25">
      <c r="A681" s="40" t="str">
        <f>IF(Agent04_Loans!B93="","",Agent04_Loans!A93)</f>
        <v/>
      </c>
      <c r="B681" s="40" t="str">
        <f>IF(Agent04_Loans!B93="","",Agent04_Loans!B93)</f>
        <v/>
      </c>
      <c r="C681" s="40" t="str">
        <f>IF(Agent04_Loans!B93="","",Agent04_Loans!C93)</f>
        <v/>
      </c>
      <c r="D681" s="41" t="str">
        <f>IF(Agent04_Loans!B93="","",Agent04_Loans!D93)</f>
        <v/>
      </c>
      <c r="E681" s="43" t="str">
        <f>IF(Agent04_Loans!B93="","",Agent04_Loans!E93)</f>
        <v/>
      </c>
      <c r="F681" s="40" t="str">
        <f>IF(Agent04_Loans!B93="","",Agent04_Loans!F93)</f>
        <v/>
      </c>
      <c r="G681" s="40" t="str">
        <f>IF(Agent04_Loans!B93="","",Agent04_Loans!G93)</f>
        <v/>
      </c>
      <c r="H681" s="40" t="str">
        <f>IF(Agent04_Loans!B93="","",Agent04_Loans!H93)</f>
        <v/>
      </c>
      <c r="I681" s="43" t="str">
        <f>IF(Agent04_Loans!B93="","",Agent04_Loans!I93)</f>
        <v/>
      </c>
      <c r="J681" s="43" t="str">
        <f>IF(Agent04_Loans!B93="","",Agent04_Loans!J93)</f>
        <v/>
      </c>
      <c r="K681" s="40" t="str">
        <f>IF(Agent04_Loans!B93="","",Agent04_Loans!K93)</f>
        <v/>
      </c>
      <c r="L681" s="40" t="str">
        <f>IF(Agent04_Loans!B93="","",Agent04_Loans!L93)</f>
        <v/>
      </c>
      <c r="M681" s="40" t="str">
        <f>IFERROR(IF(Agent04_Loans!B93="","",YEAR(Agent04_Loans!D93)),"")</f>
        <v/>
      </c>
    </row>
    <row r="682" spans="1:13" ht="18" customHeight="1" x14ac:dyDescent="0.25">
      <c r="A682" s="40" t="str">
        <f>IF(Agent04_Loans!B94="","",Agent04_Loans!A94)</f>
        <v/>
      </c>
      <c r="B682" s="40" t="str">
        <f>IF(Agent04_Loans!B94="","",Agent04_Loans!B94)</f>
        <v/>
      </c>
      <c r="C682" s="40" t="str">
        <f>IF(Agent04_Loans!B94="","",Agent04_Loans!C94)</f>
        <v/>
      </c>
      <c r="D682" s="41" t="str">
        <f>IF(Agent04_Loans!B94="","",Agent04_Loans!D94)</f>
        <v/>
      </c>
      <c r="E682" s="43" t="str">
        <f>IF(Agent04_Loans!B94="","",Agent04_Loans!E94)</f>
        <v/>
      </c>
      <c r="F682" s="40" t="str">
        <f>IF(Agent04_Loans!B94="","",Agent04_Loans!F94)</f>
        <v/>
      </c>
      <c r="G682" s="40" t="str">
        <f>IF(Agent04_Loans!B94="","",Agent04_Loans!G94)</f>
        <v/>
      </c>
      <c r="H682" s="40" t="str">
        <f>IF(Agent04_Loans!B94="","",Agent04_Loans!H94)</f>
        <v/>
      </c>
      <c r="I682" s="43" t="str">
        <f>IF(Agent04_Loans!B94="","",Agent04_Loans!I94)</f>
        <v/>
      </c>
      <c r="J682" s="43" t="str">
        <f>IF(Agent04_Loans!B94="","",Agent04_Loans!J94)</f>
        <v/>
      </c>
      <c r="K682" s="40" t="str">
        <f>IF(Agent04_Loans!B94="","",Agent04_Loans!K94)</f>
        <v/>
      </c>
      <c r="L682" s="40" t="str">
        <f>IF(Agent04_Loans!B94="","",Agent04_Loans!L94)</f>
        <v/>
      </c>
      <c r="M682" s="40" t="str">
        <f>IFERROR(IF(Agent04_Loans!B94="","",YEAR(Agent04_Loans!D94)),"")</f>
        <v/>
      </c>
    </row>
    <row r="683" spans="1:13" ht="18" customHeight="1" x14ac:dyDescent="0.25">
      <c r="A683" s="40" t="str">
        <f>IF(Agent04_Loans!B95="","",Agent04_Loans!A95)</f>
        <v/>
      </c>
      <c r="B683" s="40" t="str">
        <f>IF(Agent04_Loans!B95="","",Agent04_Loans!B95)</f>
        <v/>
      </c>
      <c r="C683" s="40" t="str">
        <f>IF(Agent04_Loans!B95="","",Agent04_Loans!C95)</f>
        <v/>
      </c>
      <c r="D683" s="41" t="str">
        <f>IF(Agent04_Loans!B95="","",Agent04_Loans!D95)</f>
        <v/>
      </c>
      <c r="E683" s="43" t="str">
        <f>IF(Agent04_Loans!B95="","",Agent04_Loans!E95)</f>
        <v/>
      </c>
      <c r="F683" s="40" t="str">
        <f>IF(Agent04_Loans!B95="","",Agent04_Loans!F95)</f>
        <v/>
      </c>
      <c r="G683" s="40" t="str">
        <f>IF(Agent04_Loans!B95="","",Agent04_Loans!G95)</f>
        <v/>
      </c>
      <c r="H683" s="40" t="str">
        <f>IF(Agent04_Loans!B95="","",Agent04_Loans!H95)</f>
        <v/>
      </c>
      <c r="I683" s="43" t="str">
        <f>IF(Agent04_Loans!B95="","",Agent04_Loans!I95)</f>
        <v/>
      </c>
      <c r="J683" s="43" t="str">
        <f>IF(Agent04_Loans!B95="","",Agent04_Loans!J95)</f>
        <v/>
      </c>
      <c r="K683" s="40" t="str">
        <f>IF(Agent04_Loans!B95="","",Agent04_Loans!K95)</f>
        <v/>
      </c>
      <c r="L683" s="40" t="str">
        <f>IF(Agent04_Loans!B95="","",Agent04_Loans!L95)</f>
        <v/>
      </c>
      <c r="M683" s="40" t="str">
        <f>IFERROR(IF(Agent04_Loans!B95="","",YEAR(Agent04_Loans!D95)),"")</f>
        <v/>
      </c>
    </row>
    <row r="684" spans="1:13" ht="18" customHeight="1" x14ac:dyDescent="0.25">
      <c r="A684" s="40" t="str">
        <f>IF(Agent04_Loans!B96="","",Agent04_Loans!A96)</f>
        <v/>
      </c>
      <c r="B684" s="40" t="str">
        <f>IF(Agent04_Loans!B96="","",Agent04_Loans!B96)</f>
        <v/>
      </c>
      <c r="C684" s="40" t="str">
        <f>IF(Agent04_Loans!B96="","",Agent04_Loans!C96)</f>
        <v/>
      </c>
      <c r="D684" s="41" t="str">
        <f>IF(Agent04_Loans!B96="","",Agent04_Loans!D96)</f>
        <v/>
      </c>
      <c r="E684" s="43" t="str">
        <f>IF(Agent04_Loans!B96="","",Agent04_Loans!E96)</f>
        <v/>
      </c>
      <c r="F684" s="40" t="str">
        <f>IF(Agent04_Loans!B96="","",Agent04_Loans!F96)</f>
        <v/>
      </c>
      <c r="G684" s="40" t="str">
        <f>IF(Agent04_Loans!B96="","",Agent04_Loans!G96)</f>
        <v/>
      </c>
      <c r="H684" s="40" t="str">
        <f>IF(Agent04_Loans!B96="","",Agent04_Loans!H96)</f>
        <v/>
      </c>
      <c r="I684" s="43" t="str">
        <f>IF(Agent04_Loans!B96="","",Agent04_Loans!I96)</f>
        <v/>
      </c>
      <c r="J684" s="43" t="str">
        <f>IF(Agent04_Loans!B96="","",Agent04_Loans!J96)</f>
        <v/>
      </c>
      <c r="K684" s="40" t="str">
        <f>IF(Agent04_Loans!B96="","",Agent04_Loans!K96)</f>
        <v/>
      </c>
      <c r="L684" s="40" t="str">
        <f>IF(Agent04_Loans!B96="","",Agent04_Loans!L96)</f>
        <v/>
      </c>
      <c r="M684" s="40" t="str">
        <f>IFERROR(IF(Agent04_Loans!B96="","",YEAR(Agent04_Loans!D96)),"")</f>
        <v/>
      </c>
    </row>
    <row r="685" spans="1:13" ht="18" customHeight="1" x14ac:dyDescent="0.25">
      <c r="A685" s="40" t="str">
        <f>IF(Agent04_Loans!B97="","",Agent04_Loans!A97)</f>
        <v/>
      </c>
      <c r="B685" s="40" t="str">
        <f>IF(Agent04_Loans!B97="","",Agent04_Loans!B97)</f>
        <v/>
      </c>
      <c r="C685" s="40" t="str">
        <f>IF(Agent04_Loans!B97="","",Agent04_Loans!C97)</f>
        <v/>
      </c>
      <c r="D685" s="41" t="str">
        <f>IF(Agent04_Loans!B97="","",Agent04_Loans!D97)</f>
        <v/>
      </c>
      <c r="E685" s="43" t="str">
        <f>IF(Agent04_Loans!B97="","",Agent04_Loans!E97)</f>
        <v/>
      </c>
      <c r="F685" s="40" t="str">
        <f>IF(Agent04_Loans!B97="","",Agent04_Loans!F97)</f>
        <v/>
      </c>
      <c r="G685" s="40" t="str">
        <f>IF(Agent04_Loans!B97="","",Agent04_Loans!G97)</f>
        <v/>
      </c>
      <c r="H685" s="40" t="str">
        <f>IF(Agent04_Loans!B97="","",Agent04_Loans!H97)</f>
        <v/>
      </c>
      <c r="I685" s="43" t="str">
        <f>IF(Agent04_Loans!B97="","",Agent04_Loans!I97)</f>
        <v/>
      </c>
      <c r="J685" s="43" t="str">
        <f>IF(Agent04_Loans!B97="","",Agent04_Loans!J97)</f>
        <v/>
      </c>
      <c r="K685" s="40" t="str">
        <f>IF(Agent04_Loans!B97="","",Agent04_Loans!K97)</f>
        <v/>
      </c>
      <c r="L685" s="40" t="str">
        <f>IF(Agent04_Loans!B97="","",Agent04_Loans!L97)</f>
        <v/>
      </c>
      <c r="M685" s="40" t="str">
        <f>IFERROR(IF(Agent04_Loans!B97="","",YEAR(Agent04_Loans!D97)),"")</f>
        <v/>
      </c>
    </row>
    <row r="686" spans="1:13" ht="18" customHeight="1" x14ac:dyDescent="0.25">
      <c r="A686" s="40" t="str">
        <f>IF(Agent04_Loans!B98="","",Agent04_Loans!A98)</f>
        <v/>
      </c>
      <c r="B686" s="40" t="str">
        <f>IF(Agent04_Loans!B98="","",Agent04_Loans!B98)</f>
        <v/>
      </c>
      <c r="C686" s="40" t="str">
        <f>IF(Agent04_Loans!B98="","",Agent04_Loans!C98)</f>
        <v/>
      </c>
      <c r="D686" s="41" t="str">
        <f>IF(Agent04_Loans!B98="","",Agent04_Loans!D98)</f>
        <v/>
      </c>
      <c r="E686" s="43" t="str">
        <f>IF(Agent04_Loans!B98="","",Agent04_Loans!E98)</f>
        <v/>
      </c>
      <c r="F686" s="40" t="str">
        <f>IF(Agent04_Loans!B98="","",Agent04_Loans!F98)</f>
        <v/>
      </c>
      <c r="G686" s="40" t="str">
        <f>IF(Agent04_Loans!B98="","",Agent04_Loans!G98)</f>
        <v/>
      </c>
      <c r="H686" s="40" t="str">
        <f>IF(Agent04_Loans!B98="","",Agent04_Loans!H98)</f>
        <v/>
      </c>
      <c r="I686" s="43" t="str">
        <f>IF(Agent04_Loans!B98="","",Agent04_Loans!I98)</f>
        <v/>
      </c>
      <c r="J686" s="43" t="str">
        <f>IF(Agent04_Loans!B98="","",Agent04_Loans!J98)</f>
        <v/>
      </c>
      <c r="K686" s="40" t="str">
        <f>IF(Agent04_Loans!B98="","",Agent04_Loans!K98)</f>
        <v/>
      </c>
      <c r="L686" s="40" t="str">
        <f>IF(Agent04_Loans!B98="","",Agent04_Loans!L98)</f>
        <v/>
      </c>
      <c r="M686" s="40" t="str">
        <f>IFERROR(IF(Agent04_Loans!B98="","",YEAR(Agent04_Loans!D98)),"")</f>
        <v/>
      </c>
    </row>
    <row r="687" spans="1:13" ht="18" customHeight="1" x14ac:dyDescent="0.25">
      <c r="A687" s="40" t="str">
        <f>IF(Agent04_Loans!B99="","",Agent04_Loans!A99)</f>
        <v/>
      </c>
      <c r="B687" s="40" t="str">
        <f>IF(Agent04_Loans!B99="","",Agent04_Loans!B99)</f>
        <v/>
      </c>
      <c r="C687" s="40" t="str">
        <f>IF(Agent04_Loans!B99="","",Agent04_Loans!C99)</f>
        <v/>
      </c>
      <c r="D687" s="41" t="str">
        <f>IF(Agent04_Loans!B99="","",Agent04_Loans!D99)</f>
        <v/>
      </c>
      <c r="E687" s="43" t="str">
        <f>IF(Agent04_Loans!B99="","",Agent04_Loans!E99)</f>
        <v/>
      </c>
      <c r="F687" s="40" t="str">
        <f>IF(Agent04_Loans!B99="","",Agent04_Loans!F99)</f>
        <v/>
      </c>
      <c r="G687" s="40" t="str">
        <f>IF(Agent04_Loans!B99="","",Agent04_Loans!G99)</f>
        <v/>
      </c>
      <c r="H687" s="40" t="str">
        <f>IF(Agent04_Loans!B99="","",Agent04_Loans!H99)</f>
        <v/>
      </c>
      <c r="I687" s="43" t="str">
        <f>IF(Agent04_Loans!B99="","",Agent04_Loans!I99)</f>
        <v/>
      </c>
      <c r="J687" s="43" t="str">
        <f>IF(Agent04_Loans!B99="","",Agent04_Loans!J99)</f>
        <v/>
      </c>
      <c r="K687" s="40" t="str">
        <f>IF(Agent04_Loans!B99="","",Agent04_Loans!K99)</f>
        <v/>
      </c>
      <c r="L687" s="40" t="str">
        <f>IF(Agent04_Loans!B99="","",Agent04_Loans!L99)</f>
        <v/>
      </c>
      <c r="M687" s="40" t="str">
        <f>IFERROR(IF(Agent04_Loans!B99="","",YEAR(Agent04_Loans!D99)),"")</f>
        <v/>
      </c>
    </row>
    <row r="688" spans="1:13" ht="18" customHeight="1" x14ac:dyDescent="0.25">
      <c r="A688" s="40" t="str">
        <f>IF(Agent04_Loans!B100="","",Agent04_Loans!A100)</f>
        <v/>
      </c>
      <c r="B688" s="40" t="str">
        <f>IF(Agent04_Loans!B100="","",Agent04_Loans!B100)</f>
        <v/>
      </c>
      <c r="C688" s="40" t="str">
        <f>IF(Agent04_Loans!B100="","",Agent04_Loans!C100)</f>
        <v/>
      </c>
      <c r="D688" s="41" t="str">
        <f>IF(Agent04_Loans!B100="","",Agent04_Loans!D100)</f>
        <v/>
      </c>
      <c r="E688" s="43" t="str">
        <f>IF(Agent04_Loans!B100="","",Agent04_Loans!E100)</f>
        <v/>
      </c>
      <c r="F688" s="40" t="str">
        <f>IF(Agent04_Loans!B100="","",Agent04_Loans!F100)</f>
        <v/>
      </c>
      <c r="G688" s="40" t="str">
        <f>IF(Agent04_Loans!B100="","",Agent04_Loans!G100)</f>
        <v/>
      </c>
      <c r="H688" s="40" t="str">
        <f>IF(Agent04_Loans!B100="","",Agent04_Loans!H100)</f>
        <v/>
      </c>
      <c r="I688" s="43" t="str">
        <f>IF(Agent04_Loans!B100="","",Agent04_Loans!I100)</f>
        <v/>
      </c>
      <c r="J688" s="43" t="str">
        <f>IF(Agent04_Loans!B100="","",Agent04_Loans!J100)</f>
        <v/>
      </c>
      <c r="K688" s="40" t="str">
        <f>IF(Agent04_Loans!B100="","",Agent04_Loans!K100)</f>
        <v/>
      </c>
      <c r="L688" s="40" t="str">
        <f>IF(Agent04_Loans!B100="","",Agent04_Loans!L100)</f>
        <v/>
      </c>
      <c r="M688" s="40" t="str">
        <f>IFERROR(IF(Agent04_Loans!B100="","",YEAR(Agent04_Loans!D100)),"")</f>
        <v/>
      </c>
    </row>
    <row r="689" spans="1:13" ht="18" customHeight="1" x14ac:dyDescent="0.25">
      <c r="A689" s="40" t="str">
        <f>IF(Agent04_Loans!B101="","",Agent04_Loans!A101)</f>
        <v/>
      </c>
      <c r="B689" s="40" t="str">
        <f>IF(Agent04_Loans!B101="","",Agent04_Loans!B101)</f>
        <v/>
      </c>
      <c r="C689" s="40" t="str">
        <f>IF(Agent04_Loans!B101="","",Agent04_Loans!C101)</f>
        <v/>
      </c>
      <c r="D689" s="41" t="str">
        <f>IF(Agent04_Loans!B101="","",Agent04_Loans!D101)</f>
        <v/>
      </c>
      <c r="E689" s="43" t="str">
        <f>IF(Agent04_Loans!B101="","",Agent04_Loans!E101)</f>
        <v/>
      </c>
      <c r="F689" s="40" t="str">
        <f>IF(Agent04_Loans!B101="","",Agent04_Loans!F101)</f>
        <v/>
      </c>
      <c r="G689" s="40" t="str">
        <f>IF(Agent04_Loans!B101="","",Agent04_Loans!G101)</f>
        <v/>
      </c>
      <c r="H689" s="40" t="str">
        <f>IF(Agent04_Loans!B101="","",Agent04_Loans!H101)</f>
        <v/>
      </c>
      <c r="I689" s="43" t="str">
        <f>IF(Agent04_Loans!B101="","",Agent04_Loans!I101)</f>
        <v/>
      </c>
      <c r="J689" s="43" t="str">
        <f>IF(Agent04_Loans!B101="","",Agent04_Loans!J101)</f>
        <v/>
      </c>
      <c r="K689" s="40" t="str">
        <f>IF(Agent04_Loans!B101="","",Agent04_Loans!K101)</f>
        <v/>
      </c>
      <c r="L689" s="40" t="str">
        <f>IF(Agent04_Loans!B101="","",Agent04_Loans!L101)</f>
        <v/>
      </c>
      <c r="M689" s="40" t="str">
        <f>IFERROR(IF(Agent04_Loans!B101="","",YEAR(Agent04_Loans!D101)),"")</f>
        <v/>
      </c>
    </row>
    <row r="690" spans="1:13" ht="18" customHeight="1" x14ac:dyDescent="0.25">
      <c r="A690" s="40" t="str">
        <f>IF(Agent04_Loans!B102="","",Agent04_Loans!A102)</f>
        <v/>
      </c>
      <c r="B690" s="40" t="str">
        <f>IF(Agent04_Loans!B102="","",Agent04_Loans!B102)</f>
        <v/>
      </c>
      <c r="C690" s="40" t="str">
        <f>IF(Agent04_Loans!B102="","",Agent04_Loans!C102)</f>
        <v/>
      </c>
      <c r="D690" s="41" t="str">
        <f>IF(Agent04_Loans!B102="","",Agent04_Loans!D102)</f>
        <v/>
      </c>
      <c r="E690" s="43" t="str">
        <f>IF(Agent04_Loans!B102="","",Agent04_Loans!E102)</f>
        <v/>
      </c>
      <c r="F690" s="40" t="str">
        <f>IF(Agent04_Loans!B102="","",Agent04_Loans!F102)</f>
        <v/>
      </c>
      <c r="G690" s="40" t="str">
        <f>IF(Agent04_Loans!B102="","",Agent04_Loans!G102)</f>
        <v/>
      </c>
      <c r="H690" s="40" t="str">
        <f>IF(Agent04_Loans!B102="","",Agent04_Loans!H102)</f>
        <v/>
      </c>
      <c r="I690" s="43" t="str">
        <f>IF(Agent04_Loans!B102="","",Agent04_Loans!I102)</f>
        <v/>
      </c>
      <c r="J690" s="43" t="str">
        <f>IF(Agent04_Loans!B102="","",Agent04_Loans!J102)</f>
        <v/>
      </c>
      <c r="K690" s="40" t="str">
        <f>IF(Agent04_Loans!B102="","",Agent04_Loans!K102)</f>
        <v/>
      </c>
      <c r="L690" s="40" t="str">
        <f>IF(Agent04_Loans!B102="","",Agent04_Loans!L102)</f>
        <v/>
      </c>
      <c r="M690" s="40" t="str">
        <f>IFERROR(IF(Agent04_Loans!B102="","",YEAR(Agent04_Loans!D102)),"")</f>
        <v/>
      </c>
    </row>
    <row r="691" spans="1:13" ht="18" customHeight="1" x14ac:dyDescent="0.25">
      <c r="A691" s="40" t="str">
        <f>IF(Agent04_Loans!B103="","",Agent04_Loans!A103)</f>
        <v/>
      </c>
      <c r="B691" s="40" t="str">
        <f>IF(Agent04_Loans!B103="","",Agent04_Loans!B103)</f>
        <v/>
      </c>
      <c r="C691" s="40" t="str">
        <f>IF(Agent04_Loans!B103="","",Agent04_Loans!C103)</f>
        <v/>
      </c>
      <c r="D691" s="41" t="str">
        <f>IF(Agent04_Loans!B103="","",Agent04_Loans!D103)</f>
        <v/>
      </c>
      <c r="E691" s="43" t="str">
        <f>IF(Agent04_Loans!B103="","",Agent04_Loans!E103)</f>
        <v/>
      </c>
      <c r="F691" s="40" t="str">
        <f>IF(Agent04_Loans!B103="","",Agent04_Loans!F103)</f>
        <v/>
      </c>
      <c r="G691" s="40" t="str">
        <f>IF(Agent04_Loans!B103="","",Agent04_Loans!G103)</f>
        <v/>
      </c>
      <c r="H691" s="40" t="str">
        <f>IF(Agent04_Loans!B103="","",Agent04_Loans!H103)</f>
        <v/>
      </c>
      <c r="I691" s="43" t="str">
        <f>IF(Agent04_Loans!B103="","",Agent04_Loans!I103)</f>
        <v/>
      </c>
      <c r="J691" s="43" t="str">
        <f>IF(Agent04_Loans!B103="","",Agent04_Loans!J103)</f>
        <v/>
      </c>
      <c r="K691" s="40" t="str">
        <f>IF(Agent04_Loans!B103="","",Agent04_Loans!K103)</f>
        <v/>
      </c>
      <c r="L691" s="40" t="str">
        <f>IF(Agent04_Loans!B103="","",Agent04_Loans!L103)</f>
        <v/>
      </c>
      <c r="M691" s="40" t="str">
        <f>IFERROR(IF(Agent04_Loans!B103="","",YEAR(Agent04_Loans!D103)),"")</f>
        <v/>
      </c>
    </row>
    <row r="692" spans="1:13" ht="18" customHeight="1" x14ac:dyDescent="0.25">
      <c r="A692" s="40" t="str">
        <f>IF(Agent04_Loans!B104="","",Agent04_Loans!A104)</f>
        <v/>
      </c>
      <c r="B692" s="40" t="str">
        <f>IF(Agent04_Loans!B104="","",Agent04_Loans!B104)</f>
        <v/>
      </c>
      <c r="C692" s="40" t="str">
        <f>IF(Agent04_Loans!B104="","",Agent04_Loans!C104)</f>
        <v/>
      </c>
      <c r="D692" s="41" t="str">
        <f>IF(Agent04_Loans!B104="","",Agent04_Loans!D104)</f>
        <v/>
      </c>
      <c r="E692" s="43" t="str">
        <f>IF(Agent04_Loans!B104="","",Agent04_Loans!E104)</f>
        <v/>
      </c>
      <c r="F692" s="40" t="str">
        <f>IF(Agent04_Loans!B104="","",Agent04_Loans!F104)</f>
        <v/>
      </c>
      <c r="G692" s="40" t="str">
        <f>IF(Agent04_Loans!B104="","",Agent04_Loans!G104)</f>
        <v/>
      </c>
      <c r="H692" s="40" t="str">
        <f>IF(Agent04_Loans!B104="","",Agent04_Loans!H104)</f>
        <v/>
      </c>
      <c r="I692" s="43" t="str">
        <f>IF(Agent04_Loans!B104="","",Agent04_Loans!I104)</f>
        <v/>
      </c>
      <c r="J692" s="43" t="str">
        <f>IF(Agent04_Loans!B104="","",Agent04_Loans!J104)</f>
        <v/>
      </c>
      <c r="K692" s="40" t="str">
        <f>IF(Agent04_Loans!B104="","",Agent04_Loans!K104)</f>
        <v/>
      </c>
      <c r="L692" s="40" t="str">
        <f>IF(Agent04_Loans!B104="","",Agent04_Loans!L104)</f>
        <v/>
      </c>
      <c r="M692" s="40" t="str">
        <f>IFERROR(IF(Agent04_Loans!B104="","",YEAR(Agent04_Loans!D104)),"")</f>
        <v/>
      </c>
    </row>
    <row r="693" spans="1:13" ht="18" customHeight="1" x14ac:dyDescent="0.25">
      <c r="A693" s="40" t="str">
        <f>IF(Agent04_Loans!B105="","",Agent04_Loans!A105)</f>
        <v/>
      </c>
      <c r="B693" s="40" t="str">
        <f>IF(Agent04_Loans!B105="","",Agent04_Loans!B105)</f>
        <v/>
      </c>
      <c r="C693" s="40" t="str">
        <f>IF(Agent04_Loans!B105="","",Agent04_Loans!C105)</f>
        <v/>
      </c>
      <c r="D693" s="41" t="str">
        <f>IF(Agent04_Loans!B105="","",Agent04_Loans!D105)</f>
        <v/>
      </c>
      <c r="E693" s="43" t="str">
        <f>IF(Agent04_Loans!B105="","",Agent04_Loans!E105)</f>
        <v/>
      </c>
      <c r="F693" s="40" t="str">
        <f>IF(Agent04_Loans!B105="","",Agent04_Loans!F105)</f>
        <v/>
      </c>
      <c r="G693" s="40" t="str">
        <f>IF(Agent04_Loans!B105="","",Agent04_Loans!G105)</f>
        <v/>
      </c>
      <c r="H693" s="40" t="str">
        <f>IF(Agent04_Loans!B105="","",Agent04_Loans!H105)</f>
        <v/>
      </c>
      <c r="I693" s="43" t="str">
        <f>IF(Agent04_Loans!B105="","",Agent04_Loans!I105)</f>
        <v/>
      </c>
      <c r="J693" s="43" t="str">
        <f>IF(Agent04_Loans!B105="","",Agent04_Loans!J105)</f>
        <v/>
      </c>
      <c r="K693" s="40" t="str">
        <f>IF(Agent04_Loans!B105="","",Agent04_Loans!K105)</f>
        <v/>
      </c>
      <c r="L693" s="40" t="str">
        <f>IF(Agent04_Loans!B105="","",Agent04_Loans!L105)</f>
        <v/>
      </c>
      <c r="M693" s="40" t="str">
        <f>IFERROR(IF(Agent04_Loans!B105="","",YEAR(Agent04_Loans!D105)),"")</f>
        <v/>
      </c>
    </row>
    <row r="694" spans="1:13" ht="18" customHeight="1" x14ac:dyDescent="0.25">
      <c r="A694" s="40" t="str">
        <f>IF(Agent04_Loans!B106="","",Agent04_Loans!A106)</f>
        <v/>
      </c>
      <c r="B694" s="40" t="str">
        <f>IF(Agent04_Loans!B106="","",Agent04_Loans!B106)</f>
        <v/>
      </c>
      <c r="C694" s="40" t="str">
        <f>IF(Agent04_Loans!B106="","",Agent04_Loans!C106)</f>
        <v/>
      </c>
      <c r="D694" s="41" t="str">
        <f>IF(Agent04_Loans!B106="","",Agent04_Loans!D106)</f>
        <v/>
      </c>
      <c r="E694" s="43" t="str">
        <f>IF(Agent04_Loans!B106="","",Agent04_Loans!E106)</f>
        <v/>
      </c>
      <c r="F694" s="40" t="str">
        <f>IF(Agent04_Loans!B106="","",Agent04_Loans!F106)</f>
        <v/>
      </c>
      <c r="G694" s="40" t="str">
        <f>IF(Agent04_Loans!B106="","",Agent04_Loans!G106)</f>
        <v/>
      </c>
      <c r="H694" s="40" t="str">
        <f>IF(Agent04_Loans!B106="","",Agent04_Loans!H106)</f>
        <v/>
      </c>
      <c r="I694" s="43" t="str">
        <f>IF(Agent04_Loans!B106="","",Agent04_Loans!I106)</f>
        <v/>
      </c>
      <c r="J694" s="43" t="str">
        <f>IF(Agent04_Loans!B106="","",Agent04_Loans!J106)</f>
        <v/>
      </c>
      <c r="K694" s="40" t="str">
        <f>IF(Agent04_Loans!B106="","",Agent04_Loans!K106)</f>
        <v/>
      </c>
      <c r="L694" s="40" t="str">
        <f>IF(Agent04_Loans!B106="","",Agent04_Loans!L106)</f>
        <v/>
      </c>
      <c r="M694" s="40" t="str">
        <f>IFERROR(IF(Agent04_Loans!B106="","",YEAR(Agent04_Loans!D106)),"")</f>
        <v/>
      </c>
    </row>
    <row r="695" spans="1:13" ht="18" customHeight="1" x14ac:dyDescent="0.25">
      <c r="A695" s="40" t="str">
        <f>IF(Agent04_Loans!B107="","",Agent04_Loans!A107)</f>
        <v/>
      </c>
      <c r="B695" s="40" t="str">
        <f>IF(Agent04_Loans!B107="","",Agent04_Loans!B107)</f>
        <v/>
      </c>
      <c r="C695" s="40" t="str">
        <f>IF(Agent04_Loans!B107="","",Agent04_Loans!C107)</f>
        <v/>
      </c>
      <c r="D695" s="41" t="str">
        <f>IF(Agent04_Loans!B107="","",Agent04_Loans!D107)</f>
        <v/>
      </c>
      <c r="E695" s="43" t="str">
        <f>IF(Agent04_Loans!B107="","",Agent04_Loans!E107)</f>
        <v/>
      </c>
      <c r="F695" s="40" t="str">
        <f>IF(Agent04_Loans!B107="","",Agent04_Loans!F107)</f>
        <v/>
      </c>
      <c r="G695" s="40" t="str">
        <f>IF(Agent04_Loans!B107="","",Agent04_Loans!G107)</f>
        <v/>
      </c>
      <c r="H695" s="40" t="str">
        <f>IF(Agent04_Loans!B107="","",Agent04_Loans!H107)</f>
        <v/>
      </c>
      <c r="I695" s="43" t="str">
        <f>IF(Agent04_Loans!B107="","",Agent04_Loans!I107)</f>
        <v/>
      </c>
      <c r="J695" s="43" t="str">
        <f>IF(Agent04_Loans!B107="","",Agent04_Loans!J107)</f>
        <v/>
      </c>
      <c r="K695" s="40" t="str">
        <f>IF(Agent04_Loans!B107="","",Agent04_Loans!K107)</f>
        <v/>
      </c>
      <c r="L695" s="40" t="str">
        <f>IF(Agent04_Loans!B107="","",Agent04_Loans!L107)</f>
        <v/>
      </c>
      <c r="M695" s="40" t="str">
        <f>IFERROR(IF(Agent04_Loans!B107="","",YEAR(Agent04_Loans!D107)),"")</f>
        <v/>
      </c>
    </row>
    <row r="696" spans="1:13" ht="18" customHeight="1" x14ac:dyDescent="0.25">
      <c r="A696" s="40" t="str">
        <f>IF(Agent04_Loans!B108="","",Agent04_Loans!A108)</f>
        <v/>
      </c>
      <c r="B696" s="40" t="str">
        <f>IF(Agent04_Loans!B108="","",Agent04_Loans!B108)</f>
        <v/>
      </c>
      <c r="C696" s="40" t="str">
        <f>IF(Agent04_Loans!B108="","",Agent04_Loans!C108)</f>
        <v/>
      </c>
      <c r="D696" s="41" t="str">
        <f>IF(Agent04_Loans!B108="","",Agent04_Loans!D108)</f>
        <v/>
      </c>
      <c r="E696" s="43" t="str">
        <f>IF(Agent04_Loans!B108="","",Agent04_Loans!E108)</f>
        <v/>
      </c>
      <c r="F696" s="40" t="str">
        <f>IF(Agent04_Loans!B108="","",Agent04_Loans!F108)</f>
        <v/>
      </c>
      <c r="G696" s="40" t="str">
        <f>IF(Agent04_Loans!B108="","",Agent04_Loans!G108)</f>
        <v/>
      </c>
      <c r="H696" s="40" t="str">
        <f>IF(Agent04_Loans!B108="","",Agent04_Loans!H108)</f>
        <v/>
      </c>
      <c r="I696" s="43" t="str">
        <f>IF(Agent04_Loans!B108="","",Agent04_Loans!I108)</f>
        <v/>
      </c>
      <c r="J696" s="43" t="str">
        <f>IF(Agent04_Loans!B108="","",Agent04_Loans!J108)</f>
        <v/>
      </c>
      <c r="K696" s="40" t="str">
        <f>IF(Agent04_Loans!B108="","",Agent04_Loans!K108)</f>
        <v/>
      </c>
      <c r="L696" s="40" t="str">
        <f>IF(Agent04_Loans!B108="","",Agent04_Loans!L108)</f>
        <v/>
      </c>
      <c r="M696" s="40" t="str">
        <f>IFERROR(IF(Agent04_Loans!B108="","",YEAR(Agent04_Loans!D108)),"")</f>
        <v/>
      </c>
    </row>
    <row r="697" spans="1:13" ht="18" customHeight="1" x14ac:dyDescent="0.25">
      <c r="A697" s="40" t="str">
        <f>IF(Agent04_Loans!B109="","",Agent04_Loans!A109)</f>
        <v/>
      </c>
      <c r="B697" s="40" t="str">
        <f>IF(Agent04_Loans!B109="","",Agent04_Loans!B109)</f>
        <v/>
      </c>
      <c r="C697" s="40" t="str">
        <f>IF(Agent04_Loans!B109="","",Agent04_Loans!C109)</f>
        <v/>
      </c>
      <c r="D697" s="41" t="str">
        <f>IF(Agent04_Loans!B109="","",Agent04_Loans!D109)</f>
        <v/>
      </c>
      <c r="E697" s="43" t="str">
        <f>IF(Agent04_Loans!B109="","",Agent04_Loans!E109)</f>
        <v/>
      </c>
      <c r="F697" s="40" t="str">
        <f>IF(Agent04_Loans!B109="","",Agent04_Loans!F109)</f>
        <v/>
      </c>
      <c r="G697" s="40" t="str">
        <f>IF(Agent04_Loans!B109="","",Agent04_Loans!G109)</f>
        <v/>
      </c>
      <c r="H697" s="40" t="str">
        <f>IF(Agent04_Loans!B109="","",Agent04_Loans!H109)</f>
        <v/>
      </c>
      <c r="I697" s="43" t="str">
        <f>IF(Agent04_Loans!B109="","",Agent04_Loans!I109)</f>
        <v/>
      </c>
      <c r="J697" s="43" t="str">
        <f>IF(Agent04_Loans!B109="","",Agent04_Loans!J109)</f>
        <v/>
      </c>
      <c r="K697" s="40" t="str">
        <f>IF(Agent04_Loans!B109="","",Agent04_Loans!K109)</f>
        <v/>
      </c>
      <c r="L697" s="40" t="str">
        <f>IF(Agent04_Loans!B109="","",Agent04_Loans!L109)</f>
        <v/>
      </c>
      <c r="M697" s="40" t="str">
        <f>IFERROR(IF(Agent04_Loans!B109="","",YEAR(Agent04_Loans!D109)),"")</f>
        <v/>
      </c>
    </row>
    <row r="698" spans="1:13" ht="18" customHeight="1" x14ac:dyDescent="0.25">
      <c r="A698" s="40" t="str">
        <f>IF(Agent04_Loans!B110="","",Agent04_Loans!A110)</f>
        <v/>
      </c>
      <c r="B698" s="40" t="str">
        <f>IF(Agent04_Loans!B110="","",Agent04_Loans!B110)</f>
        <v/>
      </c>
      <c r="C698" s="40" t="str">
        <f>IF(Agent04_Loans!B110="","",Agent04_Loans!C110)</f>
        <v/>
      </c>
      <c r="D698" s="41" t="str">
        <f>IF(Agent04_Loans!B110="","",Agent04_Loans!D110)</f>
        <v/>
      </c>
      <c r="E698" s="43" t="str">
        <f>IF(Agent04_Loans!B110="","",Agent04_Loans!E110)</f>
        <v/>
      </c>
      <c r="F698" s="40" t="str">
        <f>IF(Agent04_Loans!B110="","",Agent04_Loans!F110)</f>
        <v/>
      </c>
      <c r="G698" s="40" t="str">
        <f>IF(Agent04_Loans!B110="","",Agent04_Loans!G110)</f>
        <v/>
      </c>
      <c r="H698" s="40" t="str">
        <f>IF(Agent04_Loans!B110="","",Agent04_Loans!H110)</f>
        <v/>
      </c>
      <c r="I698" s="43" t="str">
        <f>IF(Agent04_Loans!B110="","",Agent04_Loans!I110)</f>
        <v/>
      </c>
      <c r="J698" s="43" t="str">
        <f>IF(Agent04_Loans!B110="","",Agent04_Loans!J110)</f>
        <v/>
      </c>
      <c r="K698" s="40" t="str">
        <f>IF(Agent04_Loans!B110="","",Agent04_Loans!K110)</f>
        <v/>
      </c>
      <c r="L698" s="40" t="str">
        <f>IF(Agent04_Loans!B110="","",Agent04_Loans!L110)</f>
        <v/>
      </c>
      <c r="M698" s="40" t="str">
        <f>IFERROR(IF(Agent04_Loans!B110="","",YEAR(Agent04_Loans!D110)),"")</f>
        <v/>
      </c>
    </row>
    <row r="699" spans="1:13" ht="18" customHeight="1" x14ac:dyDescent="0.25">
      <c r="A699" s="40" t="str">
        <f>IF(Agent04_Loans!B111="","",Agent04_Loans!A111)</f>
        <v/>
      </c>
      <c r="B699" s="40" t="str">
        <f>IF(Agent04_Loans!B111="","",Agent04_Loans!B111)</f>
        <v/>
      </c>
      <c r="C699" s="40" t="str">
        <f>IF(Agent04_Loans!B111="","",Agent04_Loans!C111)</f>
        <v/>
      </c>
      <c r="D699" s="41" t="str">
        <f>IF(Agent04_Loans!B111="","",Agent04_Loans!D111)</f>
        <v/>
      </c>
      <c r="E699" s="43" t="str">
        <f>IF(Agent04_Loans!B111="","",Agent04_Loans!E111)</f>
        <v/>
      </c>
      <c r="F699" s="40" t="str">
        <f>IF(Agent04_Loans!B111="","",Agent04_Loans!F111)</f>
        <v/>
      </c>
      <c r="G699" s="40" t="str">
        <f>IF(Agent04_Loans!B111="","",Agent04_Loans!G111)</f>
        <v/>
      </c>
      <c r="H699" s="40" t="str">
        <f>IF(Agent04_Loans!B111="","",Agent04_Loans!H111)</f>
        <v/>
      </c>
      <c r="I699" s="43" t="str">
        <f>IF(Agent04_Loans!B111="","",Agent04_Loans!I111)</f>
        <v/>
      </c>
      <c r="J699" s="43" t="str">
        <f>IF(Agent04_Loans!B111="","",Agent04_Loans!J111)</f>
        <v/>
      </c>
      <c r="K699" s="40" t="str">
        <f>IF(Agent04_Loans!B111="","",Agent04_Loans!K111)</f>
        <v/>
      </c>
      <c r="L699" s="40" t="str">
        <f>IF(Agent04_Loans!B111="","",Agent04_Loans!L111)</f>
        <v/>
      </c>
      <c r="M699" s="40" t="str">
        <f>IFERROR(IF(Agent04_Loans!B111="","",YEAR(Agent04_Loans!D111)),"")</f>
        <v/>
      </c>
    </row>
    <row r="700" spans="1:13" ht="18" customHeight="1" x14ac:dyDescent="0.25">
      <c r="A700" s="40" t="str">
        <f>IF(Agent04_Loans!B112="","",Agent04_Loans!A112)</f>
        <v/>
      </c>
      <c r="B700" s="40" t="str">
        <f>IF(Agent04_Loans!B112="","",Agent04_Loans!B112)</f>
        <v/>
      </c>
      <c r="C700" s="40" t="str">
        <f>IF(Agent04_Loans!B112="","",Agent04_Loans!C112)</f>
        <v/>
      </c>
      <c r="D700" s="41" t="str">
        <f>IF(Agent04_Loans!B112="","",Agent04_Loans!D112)</f>
        <v/>
      </c>
      <c r="E700" s="43" t="str">
        <f>IF(Agent04_Loans!B112="","",Agent04_Loans!E112)</f>
        <v/>
      </c>
      <c r="F700" s="40" t="str">
        <f>IF(Agent04_Loans!B112="","",Agent04_Loans!F112)</f>
        <v/>
      </c>
      <c r="G700" s="40" t="str">
        <f>IF(Agent04_Loans!B112="","",Agent04_Loans!G112)</f>
        <v/>
      </c>
      <c r="H700" s="40" t="str">
        <f>IF(Agent04_Loans!B112="","",Agent04_Loans!H112)</f>
        <v/>
      </c>
      <c r="I700" s="43" t="str">
        <f>IF(Agent04_Loans!B112="","",Agent04_Loans!I112)</f>
        <v/>
      </c>
      <c r="J700" s="43" t="str">
        <f>IF(Agent04_Loans!B112="","",Agent04_Loans!J112)</f>
        <v/>
      </c>
      <c r="K700" s="40" t="str">
        <f>IF(Agent04_Loans!B112="","",Agent04_Loans!K112)</f>
        <v/>
      </c>
      <c r="L700" s="40" t="str">
        <f>IF(Agent04_Loans!B112="","",Agent04_Loans!L112)</f>
        <v/>
      </c>
      <c r="M700" s="40" t="str">
        <f>IFERROR(IF(Agent04_Loans!B112="","",YEAR(Agent04_Loans!D112)),"")</f>
        <v/>
      </c>
    </row>
    <row r="701" spans="1:13" ht="18" customHeight="1" x14ac:dyDescent="0.25">
      <c r="A701" s="40" t="str">
        <f>IF(Agent04_Loans!B113="","",Agent04_Loans!A113)</f>
        <v/>
      </c>
      <c r="B701" s="40" t="str">
        <f>IF(Agent04_Loans!B113="","",Agent04_Loans!B113)</f>
        <v/>
      </c>
      <c r="C701" s="40" t="str">
        <f>IF(Agent04_Loans!B113="","",Agent04_Loans!C113)</f>
        <v/>
      </c>
      <c r="D701" s="41" t="str">
        <f>IF(Agent04_Loans!B113="","",Agent04_Loans!D113)</f>
        <v/>
      </c>
      <c r="E701" s="43" t="str">
        <f>IF(Agent04_Loans!B113="","",Agent04_Loans!E113)</f>
        <v/>
      </c>
      <c r="F701" s="40" t="str">
        <f>IF(Agent04_Loans!B113="","",Agent04_Loans!F113)</f>
        <v/>
      </c>
      <c r="G701" s="40" t="str">
        <f>IF(Agent04_Loans!B113="","",Agent04_Loans!G113)</f>
        <v/>
      </c>
      <c r="H701" s="40" t="str">
        <f>IF(Agent04_Loans!B113="","",Agent04_Loans!H113)</f>
        <v/>
      </c>
      <c r="I701" s="43" t="str">
        <f>IF(Agent04_Loans!B113="","",Agent04_Loans!I113)</f>
        <v/>
      </c>
      <c r="J701" s="43" t="str">
        <f>IF(Agent04_Loans!B113="","",Agent04_Loans!J113)</f>
        <v/>
      </c>
      <c r="K701" s="40" t="str">
        <f>IF(Agent04_Loans!B113="","",Agent04_Loans!K113)</f>
        <v/>
      </c>
      <c r="L701" s="40" t="str">
        <f>IF(Agent04_Loans!B113="","",Agent04_Loans!L113)</f>
        <v/>
      </c>
      <c r="M701" s="40" t="str">
        <f>IFERROR(IF(Agent04_Loans!B113="","",YEAR(Agent04_Loans!D113)),"")</f>
        <v/>
      </c>
    </row>
    <row r="702" spans="1:13" ht="18" customHeight="1" x14ac:dyDescent="0.25">
      <c r="A702" s="40" t="str">
        <f>IF(Agent04_Loans!B114="","",Agent04_Loans!A114)</f>
        <v/>
      </c>
      <c r="B702" s="40" t="str">
        <f>IF(Agent04_Loans!B114="","",Agent04_Loans!B114)</f>
        <v/>
      </c>
      <c r="C702" s="40" t="str">
        <f>IF(Agent04_Loans!B114="","",Agent04_Loans!C114)</f>
        <v/>
      </c>
      <c r="D702" s="41" t="str">
        <f>IF(Agent04_Loans!B114="","",Agent04_Loans!D114)</f>
        <v/>
      </c>
      <c r="E702" s="43" t="str">
        <f>IF(Agent04_Loans!B114="","",Agent04_Loans!E114)</f>
        <v/>
      </c>
      <c r="F702" s="40" t="str">
        <f>IF(Agent04_Loans!B114="","",Agent04_Loans!F114)</f>
        <v/>
      </c>
      <c r="G702" s="40" t="str">
        <f>IF(Agent04_Loans!B114="","",Agent04_Loans!G114)</f>
        <v/>
      </c>
      <c r="H702" s="40" t="str">
        <f>IF(Agent04_Loans!B114="","",Agent04_Loans!H114)</f>
        <v/>
      </c>
      <c r="I702" s="43" t="str">
        <f>IF(Agent04_Loans!B114="","",Agent04_Loans!I114)</f>
        <v/>
      </c>
      <c r="J702" s="43" t="str">
        <f>IF(Agent04_Loans!B114="","",Agent04_Loans!J114)</f>
        <v/>
      </c>
      <c r="K702" s="40" t="str">
        <f>IF(Agent04_Loans!B114="","",Agent04_Loans!K114)</f>
        <v/>
      </c>
      <c r="L702" s="40" t="str">
        <f>IF(Agent04_Loans!B114="","",Agent04_Loans!L114)</f>
        <v/>
      </c>
      <c r="M702" s="40" t="str">
        <f>IFERROR(IF(Agent04_Loans!B114="","",YEAR(Agent04_Loans!D114)),"")</f>
        <v/>
      </c>
    </row>
    <row r="703" spans="1:13" ht="18" customHeight="1" x14ac:dyDescent="0.25">
      <c r="A703" s="40" t="str">
        <f>IF(Agent04_Loans!B115="","",Agent04_Loans!A115)</f>
        <v/>
      </c>
      <c r="B703" s="40" t="str">
        <f>IF(Agent04_Loans!B115="","",Agent04_Loans!B115)</f>
        <v/>
      </c>
      <c r="C703" s="40" t="str">
        <f>IF(Agent04_Loans!B115="","",Agent04_Loans!C115)</f>
        <v/>
      </c>
      <c r="D703" s="41" t="str">
        <f>IF(Agent04_Loans!B115="","",Agent04_Loans!D115)</f>
        <v/>
      </c>
      <c r="E703" s="43" t="str">
        <f>IF(Agent04_Loans!B115="","",Agent04_Loans!E115)</f>
        <v/>
      </c>
      <c r="F703" s="40" t="str">
        <f>IF(Agent04_Loans!B115="","",Agent04_Loans!F115)</f>
        <v/>
      </c>
      <c r="G703" s="40" t="str">
        <f>IF(Agent04_Loans!B115="","",Agent04_Loans!G115)</f>
        <v/>
      </c>
      <c r="H703" s="40" t="str">
        <f>IF(Agent04_Loans!B115="","",Agent04_Loans!H115)</f>
        <v/>
      </c>
      <c r="I703" s="43" t="str">
        <f>IF(Agent04_Loans!B115="","",Agent04_Loans!I115)</f>
        <v/>
      </c>
      <c r="J703" s="43" t="str">
        <f>IF(Agent04_Loans!B115="","",Agent04_Loans!J115)</f>
        <v/>
      </c>
      <c r="K703" s="40" t="str">
        <f>IF(Agent04_Loans!B115="","",Agent04_Loans!K115)</f>
        <v/>
      </c>
      <c r="L703" s="40" t="str">
        <f>IF(Agent04_Loans!B115="","",Agent04_Loans!L115)</f>
        <v/>
      </c>
      <c r="M703" s="40" t="str">
        <f>IFERROR(IF(Agent04_Loans!B115="","",YEAR(Agent04_Loans!D115)),"")</f>
        <v/>
      </c>
    </row>
    <row r="704" spans="1:13" ht="18" customHeight="1" x14ac:dyDescent="0.25">
      <c r="A704" s="40" t="str">
        <f>IF(Agent04_Loans!B116="","",Agent04_Loans!A116)</f>
        <v/>
      </c>
      <c r="B704" s="40" t="str">
        <f>IF(Agent04_Loans!B116="","",Agent04_Loans!B116)</f>
        <v/>
      </c>
      <c r="C704" s="40" t="str">
        <f>IF(Agent04_Loans!B116="","",Agent04_Loans!C116)</f>
        <v/>
      </c>
      <c r="D704" s="41" t="str">
        <f>IF(Agent04_Loans!B116="","",Agent04_Loans!D116)</f>
        <v/>
      </c>
      <c r="E704" s="43" t="str">
        <f>IF(Agent04_Loans!B116="","",Agent04_Loans!E116)</f>
        <v/>
      </c>
      <c r="F704" s="40" t="str">
        <f>IF(Agent04_Loans!B116="","",Agent04_Loans!F116)</f>
        <v/>
      </c>
      <c r="G704" s="40" t="str">
        <f>IF(Agent04_Loans!B116="","",Agent04_Loans!G116)</f>
        <v/>
      </c>
      <c r="H704" s="40" t="str">
        <f>IF(Agent04_Loans!B116="","",Agent04_Loans!H116)</f>
        <v/>
      </c>
      <c r="I704" s="43" t="str">
        <f>IF(Agent04_Loans!B116="","",Agent04_Loans!I116)</f>
        <v/>
      </c>
      <c r="J704" s="43" t="str">
        <f>IF(Agent04_Loans!B116="","",Agent04_Loans!J116)</f>
        <v/>
      </c>
      <c r="K704" s="40" t="str">
        <f>IF(Agent04_Loans!B116="","",Agent04_Loans!K116)</f>
        <v/>
      </c>
      <c r="L704" s="40" t="str">
        <f>IF(Agent04_Loans!B116="","",Agent04_Loans!L116)</f>
        <v/>
      </c>
      <c r="M704" s="40" t="str">
        <f>IFERROR(IF(Agent04_Loans!B116="","",YEAR(Agent04_Loans!D116)),"")</f>
        <v/>
      </c>
    </row>
    <row r="705" spans="1:13" ht="18" customHeight="1" x14ac:dyDescent="0.25">
      <c r="A705" s="40" t="str">
        <f>IF(Agent04_Loans!B117="","",Agent04_Loans!A117)</f>
        <v/>
      </c>
      <c r="B705" s="40" t="str">
        <f>IF(Agent04_Loans!B117="","",Agent04_Loans!B117)</f>
        <v/>
      </c>
      <c r="C705" s="40" t="str">
        <f>IF(Agent04_Loans!B117="","",Agent04_Loans!C117)</f>
        <v/>
      </c>
      <c r="D705" s="41" t="str">
        <f>IF(Agent04_Loans!B117="","",Agent04_Loans!D117)</f>
        <v/>
      </c>
      <c r="E705" s="43" t="str">
        <f>IF(Agent04_Loans!B117="","",Agent04_Loans!E117)</f>
        <v/>
      </c>
      <c r="F705" s="40" t="str">
        <f>IF(Agent04_Loans!B117="","",Agent04_Loans!F117)</f>
        <v/>
      </c>
      <c r="G705" s="40" t="str">
        <f>IF(Agent04_Loans!B117="","",Agent04_Loans!G117)</f>
        <v/>
      </c>
      <c r="H705" s="40" t="str">
        <f>IF(Agent04_Loans!B117="","",Agent04_Loans!H117)</f>
        <v/>
      </c>
      <c r="I705" s="43" t="str">
        <f>IF(Agent04_Loans!B117="","",Agent04_Loans!I117)</f>
        <v/>
      </c>
      <c r="J705" s="43" t="str">
        <f>IF(Agent04_Loans!B117="","",Agent04_Loans!J117)</f>
        <v/>
      </c>
      <c r="K705" s="40" t="str">
        <f>IF(Agent04_Loans!B117="","",Agent04_Loans!K117)</f>
        <v/>
      </c>
      <c r="L705" s="40" t="str">
        <f>IF(Agent04_Loans!B117="","",Agent04_Loans!L117)</f>
        <v/>
      </c>
      <c r="M705" s="40" t="str">
        <f>IFERROR(IF(Agent04_Loans!B117="","",YEAR(Agent04_Loans!D117)),"")</f>
        <v/>
      </c>
    </row>
    <row r="706" spans="1:13" ht="18" customHeight="1" x14ac:dyDescent="0.25">
      <c r="A706" s="40" t="str">
        <f>IF(Agent04_Loans!B118="","",Agent04_Loans!A118)</f>
        <v/>
      </c>
      <c r="B706" s="40" t="str">
        <f>IF(Agent04_Loans!B118="","",Agent04_Loans!B118)</f>
        <v/>
      </c>
      <c r="C706" s="40" t="str">
        <f>IF(Agent04_Loans!B118="","",Agent04_Loans!C118)</f>
        <v/>
      </c>
      <c r="D706" s="41" t="str">
        <f>IF(Agent04_Loans!B118="","",Agent04_Loans!D118)</f>
        <v/>
      </c>
      <c r="E706" s="43" t="str">
        <f>IF(Agent04_Loans!B118="","",Agent04_Loans!E118)</f>
        <v/>
      </c>
      <c r="F706" s="40" t="str">
        <f>IF(Agent04_Loans!B118="","",Agent04_Loans!F118)</f>
        <v/>
      </c>
      <c r="G706" s="40" t="str">
        <f>IF(Agent04_Loans!B118="","",Agent04_Loans!G118)</f>
        <v/>
      </c>
      <c r="H706" s="40" t="str">
        <f>IF(Agent04_Loans!B118="","",Agent04_Loans!H118)</f>
        <v/>
      </c>
      <c r="I706" s="43" t="str">
        <f>IF(Agent04_Loans!B118="","",Agent04_Loans!I118)</f>
        <v/>
      </c>
      <c r="J706" s="43" t="str">
        <f>IF(Agent04_Loans!B118="","",Agent04_Loans!J118)</f>
        <v/>
      </c>
      <c r="K706" s="40" t="str">
        <f>IF(Agent04_Loans!B118="","",Agent04_Loans!K118)</f>
        <v/>
      </c>
      <c r="L706" s="40" t="str">
        <f>IF(Agent04_Loans!B118="","",Agent04_Loans!L118)</f>
        <v/>
      </c>
      <c r="M706" s="40" t="str">
        <f>IFERROR(IF(Agent04_Loans!B118="","",YEAR(Agent04_Loans!D118)),"")</f>
        <v/>
      </c>
    </row>
    <row r="707" spans="1:13" ht="18" customHeight="1" x14ac:dyDescent="0.25">
      <c r="A707" s="40" t="str">
        <f>IF(Agent04_Loans!B119="","",Agent04_Loans!A119)</f>
        <v/>
      </c>
      <c r="B707" s="40" t="str">
        <f>IF(Agent04_Loans!B119="","",Agent04_Loans!B119)</f>
        <v/>
      </c>
      <c r="C707" s="40" t="str">
        <f>IF(Agent04_Loans!B119="","",Agent04_Loans!C119)</f>
        <v/>
      </c>
      <c r="D707" s="41" t="str">
        <f>IF(Agent04_Loans!B119="","",Agent04_Loans!D119)</f>
        <v/>
      </c>
      <c r="E707" s="43" t="str">
        <f>IF(Agent04_Loans!B119="","",Agent04_Loans!E119)</f>
        <v/>
      </c>
      <c r="F707" s="40" t="str">
        <f>IF(Agent04_Loans!B119="","",Agent04_Loans!F119)</f>
        <v/>
      </c>
      <c r="G707" s="40" t="str">
        <f>IF(Agent04_Loans!B119="","",Agent04_Loans!G119)</f>
        <v/>
      </c>
      <c r="H707" s="40" t="str">
        <f>IF(Agent04_Loans!B119="","",Agent04_Loans!H119)</f>
        <v/>
      </c>
      <c r="I707" s="43" t="str">
        <f>IF(Agent04_Loans!B119="","",Agent04_Loans!I119)</f>
        <v/>
      </c>
      <c r="J707" s="43" t="str">
        <f>IF(Agent04_Loans!B119="","",Agent04_Loans!J119)</f>
        <v/>
      </c>
      <c r="K707" s="40" t="str">
        <f>IF(Agent04_Loans!B119="","",Agent04_Loans!K119)</f>
        <v/>
      </c>
      <c r="L707" s="40" t="str">
        <f>IF(Agent04_Loans!B119="","",Agent04_Loans!L119)</f>
        <v/>
      </c>
      <c r="M707" s="40" t="str">
        <f>IFERROR(IF(Agent04_Loans!B119="","",YEAR(Agent04_Loans!D119)),"")</f>
        <v/>
      </c>
    </row>
    <row r="708" spans="1:13" ht="18" customHeight="1" x14ac:dyDescent="0.25">
      <c r="A708" s="40" t="str">
        <f>IF(Agent04_Loans!B120="","",Agent04_Loans!A120)</f>
        <v/>
      </c>
      <c r="B708" s="40" t="str">
        <f>IF(Agent04_Loans!B120="","",Agent04_Loans!B120)</f>
        <v/>
      </c>
      <c r="C708" s="40" t="str">
        <f>IF(Agent04_Loans!B120="","",Agent04_Loans!C120)</f>
        <v/>
      </c>
      <c r="D708" s="41" t="str">
        <f>IF(Agent04_Loans!B120="","",Agent04_Loans!D120)</f>
        <v/>
      </c>
      <c r="E708" s="43" t="str">
        <f>IF(Agent04_Loans!B120="","",Agent04_Loans!E120)</f>
        <v/>
      </c>
      <c r="F708" s="40" t="str">
        <f>IF(Agent04_Loans!B120="","",Agent04_Loans!F120)</f>
        <v/>
      </c>
      <c r="G708" s="40" t="str">
        <f>IF(Agent04_Loans!B120="","",Agent04_Loans!G120)</f>
        <v/>
      </c>
      <c r="H708" s="40" t="str">
        <f>IF(Agent04_Loans!B120="","",Agent04_Loans!H120)</f>
        <v/>
      </c>
      <c r="I708" s="43" t="str">
        <f>IF(Agent04_Loans!B120="","",Agent04_Loans!I120)</f>
        <v/>
      </c>
      <c r="J708" s="43" t="str">
        <f>IF(Agent04_Loans!B120="","",Agent04_Loans!J120)</f>
        <v/>
      </c>
      <c r="K708" s="40" t="str">
        <f>IF(Agent04_Loans!B120="","",Agent04_Loans!K120)</f>
        <v/>
      </c>
      <c r="L708" s="40" t="str">
        <f>IF(Agent04_Loans!B120="","",Agent04_Loans!L120)</f>
        <v/>
      </c>
      <c r="M708" s="40" t="str">
        <f>IFERROR(IF(Agent04_Loans!B120="","",YEAR(Agent04_Loans!D120)),"")</f>
        <v/>
      </c>
    </row>
    <row r="709" spans="1:13" ht="18" customHeight="1" x14ac:dyDescent="0.25">
      <c r="A709" s="40" t="str">
        <f>IF(Agent04_Loans!B121="","",Agent04_Loans!A121)</f>
        <v/>
      </c>
      <c r="B709" s="40" t="str">
        <f>IF(Agent04_Loans!B121="","",Agent04_Loans!B121)</f>
        <v/>
      </c>
      <c r="C709" s="40" t="str">
        <f>IF(Agent04_Loans!B121="","",Agent04_Loans!C121)</f>
        <v/>
      </c>
      <c r="D709" s="41" t="str">
        <f>IF(Agent04_Loans!B121="","",Agent04_Loans!D121)</f>
        <v/>
      </c>
      <c r="E709" s="43" t="str">
        <f>IF(Agent04_Loans!B121="","",Agent04_Loans!E121)</f>
        <v/>
      </c>
      <c r="F709" s="40" t="str">
        <f>IF(Agent04_Loans!B121="","",Agent04_Loans!F121)</f>
        <v/>
      </c>
      <c r="G709" s="40" t="str">
        <f>IF(Agent04_Loans!B121="","",Agent04_Loans!G121)</f>
        <v/>
      </c>
      <c r="H709" s="40" t="str">
        <f>IF(Agent04_Loans!B121="","",Agent04_Loans!H121)</f>
        <v/>
      </c>
      <c r="I709" s="43" t="str">
        <f>IF(Agent04_Loans!B121="","",Agent04_Loans!I121)</f>
        <v/>
      </c>
      <c r="J709" s="43" t="str">
        <f>IF(Agent04_Loans!B121="","",Agent04_Loans!J121)</f>
        <v/>
      </c>
      <c r="K709" s="40" t="str">
        <f>IF(Agent04_Loans!B121="","",Agent04_Loans!K121)</f>
        <v/>
      </c>
      <c r="L709" s="40" t="str">
        <f>IF(Agent04_Loans!B121="","",Agent04_Loans!L121)</f>
        <v/>
      </c>
      <c r="M709" s="40" t="str">
        <f>IFERROR(IF(Agent04_Loans!B121="","",YEAR(Agent04_Loans!D121)),"")</f>
        <v/>
      </c>
    </row>
    <row r="710" spans="1:13" ht="18" customHeight="1" x14ac:dyDescent="0.25">
      <c r="A710" s="40" t="str">
        <f>IF(Agent04_Loans!B122="","",Agent04_Loans!A122)</f>
        <v/>
      </c>
      <c r="B710" s="40" t="str">
        <f>IF(Agent04_Loans!B122="","",Agent04_Loans!B122)</f>
        <v/>
      </c>
      <c r="C710" s="40" t="str">
        <f>IF(Agent04_Loans!B122="","",Agent04_Loans!C122)</f>
        <v/>
      </c>
      <c r="D710" s="41" t="str">
        <f>IF(Agent04_Loans!B122="","",Agent04_Loans!D122)</f>
        <v/>
      </c>
      <c r="E710" s="43" t="str">
        <f>IF(Agent04_Loans!B122="","",Agent04_Loans!E122)</f>
        <v/>
      </c>
      <c r="F710" s="40" t="str">
        <f>IF(Agent04_Loans!B122="","",Agent04_Loans!F122)</f>
        <v/>
      </c>
      <c r="G710" s="40" t="str">
        <f>IF(Agent04_Loans!B122="","",Agent04_Loans!G122)</f>
        <v/>
      </c>
      <c r="H710" s="40" t="str">
        <f>IF(Agent04_Loans!B122="","",Agent04_Loans!H122)</f>
        <v/>
      </c>
      <c r="I710" s="43" t="str">
        <f>IF(Agent04_Loans!B122="","",Agent04_Loans!I122)</f>
        <v/>
      </c>
      <c r="J710" s="43" t="str">
        <f>IF(Agent04_Loans!B122="","",Agent04_Loans!J122)</f>
        <v/>
      </c>
      <c r="K710" s="40" t="str">
        <f>IF(Agent04_Loans!B122="","",Agent04_Loans!K122)</f>
        <v/>
      </c>
      <c r="L710" s="40" t="str">
        <f>IF(Agent04_Loans!B122="","",Agent04_Loans!L122)</f>
        <v/>
      </c>
      <c r="M710" s="40" t="str">
        <f>IFERROR(IF(Agent04_Loans!B122="","",YEAR(Agent04_Loans!D122)),"")</f>
        <v/>
      </c>
    </row>
    <row r="711" spans="1:13" ht="18" customHeight="1" x14ac:dyDescent="0.25">
      <c r="A711" s="40" t="str">
        <f>IF(Agent04_Loans!B123="","",Agent04_Loans!A123)</f>
        <v/>
      </c>
      <c r="B711" s="40" t="str">
        <f>IF(Agent04_Loans!B123="","",Agent04_Loans!B123)</f>
        <v/>
      </c>
      <c r="C711" s="40" t="str">
        <f>IF(Agent04_Loans!B123="","",Agent04_Loans!C123)</f>
        <v/>
      </c>
      <c r="D711" s="41" t="str">
        <f>IF(Agent04_Loans!B123="","",Agent04_Loans!D123)</f>
        <v/>
      </c>
      <c r="E711" s="43" t="str">
        <f>IF(Agent04_Loans!B123="","",Agent04_Loans!E123)</f>
        <v/>
      </c>
      <c r="F711" s="40" t="str">
        <f>IF(Agent04_Loans!B123="","",Agent04_Loans!F123)</f>
        <v/>
      </c>
      <c r="G711" s="40" t="str">
        <f>IF(Agent04_Loans!B123="","",Agent04_Loans!G123)</f>
        <v/>
      </c>
      <c r="H711" s="40" t="str">
        <f>IF(Agent04_Loans!B123="","",Agent04_Loans!H123)</f>
        <v/>
      </c>
      <c r="I711" s="43" t="str">
        <f>IF(Agent04_Loans!B123="","",Agent04_Loans!I123)</f>
        <v/>
      </c>
      <c r="J711" s="43" t="str">
        <f>IF(Agent04_Loans!B123="","",Agent04_Loans!J123)</f>
        <v/>
      </c>
      <c r="K711" s="40" t="str">
        <f>IF(Agent04_Loans!B123="","",Agent04_Loans!K123)</f>
        <v/>
      </c>
      <c r="L711" s="40" t="str">
        <f>IF(Agent04_Loans!B123="","",Agent04_Loans!L123)</f>
        <v/>
      </c>
      <c r="M711" s="40" t="str">
        <f>IFERROR(IF(Agent04_Loans!B123="","",YEAR(Agent04_Loans!D123)),"")</f>
        <v/>
      </c>
    </row>
    <row r="712" spans="1:13" ht="18" customHeight="1" x14ac:dyDescent="0.25">
      <c r="A712" s="40" t="str">
        <f>IF(Agent04_Loans!B124="","",Agent04_Loans!A124)</f>
        <v/>
      </c>
      <c r="B712" s="40" t="str">
        <f>IF(Agent04_Loans!B124="","",Agent04_Loans!B124)</f>
        <v/>
      </c>
      <c r="C712" s="40" t="str">
        <f>IF(Agent04_Loans!B124="","",Agent04_Loans!C124)</f>
        <v/>
      </c>
      <c r="D712" s="41" t="str">
        <f>IF(Agent04_Loans!B124="","",Agent04_Loans!D124)</f>
        <v/>
      </c>
      <c r="E712" s="43" t="str">
        <f>IF(Agent04_Loans!B124="","",Agent04_Loans!E124)</f>
        <v/>
      </c>
      <c r="F712" s="40" t="str">
        <f>IF(Agent04_Loans!B124="","",Agent04_Loans!F124)</f>
        <v/>
      </c>
      <c r="G712" s="40" t="str">
        <f>IF(Agent04_Loans!B124="","",Agent04_Loans!G124)</f>
        <v/>
      </c>
      <c r="H712" s="40" t="str">
        <f>IF(Agent04_Loans!B124="","",Agent04_Loans!H124)</f>
        <v/>
      </c>
      <c r="I712" s="43" t="str">
        <f>IF(Agent04_Loans!B124="","",Agent04_Loans!I124)</f>
        <v/>
      </c>
      <c r="J712" s="43" t="str">
        <f>IF(Agent04_Loans!B124="","",Agent04_Loans!J124)</f>
        <v/>
      </c>
      <c r="K712" s="40" t="str">
        <f>IF(Agent04_Loans!B124="","",Agent04_Loans!K124)</f>
        <v/>
      </c>
      <c r="L712" s="40" t="str">
        <f>IF(Agent04_Loans!B124="","",Agent04_Loans!L124)</f>
        <v/>
      </c>
      <c r="M712" s="40" t="str">
        <f>IFERROR(IF(Agent04_Loans!B124="","",YEAR(Agent04_Loans!D124)),"")</f>
        <v/>
      </c>
    </row>
    <row r="713" spans="1:13" ht="18" customHeight="1" x14ac:dyDescent="0.25">
      <c r="A713" s="40" t="str">
        <f>IF(Agent04_Loans!B125="","",Agent04_Loans!A125)</f>
        <v/>
      </c>
      <c r="B713" s="40" t="str">
        <f>IF(Agent04_Loans!B125="","",Agent04_Loans!B125)</f>
        <v/>
      </c>
      <c r="C713" s="40" t="str">
        <f>IF(Agent04_Loans!B125="","",Agent04_Loans!C125)</f>
        <v/>
      </c>
      <c r="D713" s="41" t="str">
        <f>IF(Agent04_Loans!B125="","",Agent04_Loans!D125)</f>
        <v/>
      </c>
      <c r="E713" s="43" t="str">
        <f>IF(Agent04_Loans!B125="","",Agent04_Loans!E125)</f>
        <v/>
      </c>
      <c r="F713" s="40" t="str">
        <f>IF(Agent04_Loans!B125="","",Agent04_Loans!F125)</f>
        <v/>
      </c>
      <c r="G713" s="40" t="str">
        <f>IF(Agent04_Loans!B125="","",Agent04_Loans!G125)</f>
        <v/>
      </c>
      <c r="H713" s="40" t="str">
        <f>IF(Agent04_Loans!B125="","",Agent04_Loans!H125)</f>
        <v/>
      </c>
      <c r="I713" s="43" t="str">
        <f>IF(Agent04_Loans!B125="","",Agent04_Loans!I125)</f>
        <v/>
      </c>
      <c r="J713" s="43" t="str">
        <f>IF(Agent04_Loans!B125="","",Agent04_Loans!J125)</f>
        <v/>
      </c>
      <c r="K713" s="40" t="str">
        <f>IF(Agent04_Loans!B125="","",Agent04_Loans!K125)</f>
        <v/>
      </c>
      <c r="L713" s="40" t="str">
        <f>IF(Agent04_Loans!B125="","",Agent04_Loans!L125)</f>
        <v/>
      </c>
      <c r="M713" s="40" t="str">
        <f>IFERROR(IF(Agent04_Loans!B125="","",YEAR(Agent04_Loans!D125)),"")</f>
        <v/>
      </c>
    </row>
    <row r="714" spans="1:13" ht="18" customHeight="1" x14ac:dyDescent="0.25">
      <c r="A714" s="40" t="str">
        <f>IF(Agent04_Loans!B126="","",Agent04_Loans!A126)</f>
        <v/>
      </c>
      <c r="B714" s="40" t="str">
        <f>IF(Agent04_Loans!B126="","",Agent04_Loans!B126)</f>
        <v/>
      </c>
      <c r="C714" s="40" t="str">
        <f>IF(Agent04_Loans!B126="","",Agent04_Loans!C126)</f>
        <v/>
      </c>
      <c r="D714" s="41" t="str">
        <f>IF(Agent04_Loans!B126="","",Agent04_Loans!D126)</f>
        <v/>
      </c>
      <c r="E714" s="43" t="str">
        <f>IF(Agent04_Loans!B126="","",Agent04_Loans!E126)</f>
        <v/>
      </c>
      <c r="F714" s="40" t="str">
        <f>IF(Agent04_Loans!B126="","",Agent04_Loans!F126)</f>
        <v/>
      </c>
      <c r="G714" s="40" t="str">
        <f>IF(Agent04_Loans!B126="","",Agent04_Loans!G126)</f>
        <v/>
      </c>
      <c r="H714" s="40" t="str">
        <f>IF(Agent04_Loans!B126="","",Agent04_Loans!H126)</f>
        <v/>
      </c>
      <c r="I714" s="43" t="str">
        <f>IF(Agent04_Loans!B126="","",Agent04_Loans!I126)</f>
        <v/>
      </c>
      <c r="J714" s="43" t="str">
        <f>IF(Agent04_Loans!B126="","",Agent04_Loans!J126)</f>
        <v/>
      </c>
      <c r="K714" s="40" t="str">
        <f>IF(Agent04_Loans!B126="","",Agent04_Loans!K126)</f>
        <v/>
      </c>
      <c r="L714" s="40" t="str">
        <f>IF(Agent04_Loans!B126="","",Agent04_Loans!L126)</f>
        <v/>
      </c>
      <c r="M714" s="40" t="str">
        <f>IFERROR(IF(Agent04_Loans!B126="","",YEAR(Agent04_Loans!D126)),"")</f>
        <v/>
      </c>
    </row>
    <row r="715" spans="1:13" ht="18" customHeight="1" x14ac:dyDescent="0.25">
      <c r="A715" s="40" t="str">
        <f>IF(Agent04_Loans!B127="","",Agent04_Loans!A127)</f>
        <v/>
      </c>
      <c r="B715" s="40" t="str">
        <f>IF(Agent04_Loans!B127="","",Agent04_Loans!B127)</f>
        <v/>
      </c>
      <c r="C715" s="40" t="str">
        <f>IF(Agent04_Loans!B127="","",Agent04_Loans!C127)</f>
        <v/>
      </c>
      <c r="D715" s="41" t="str">
        <f>IF(Agent04_Loans!B127="","",Agent04_Loans!D127)</f>
        <v/>
      </c>
      <c r="E715" s="43" t="str">
        <f>IF(Agent04_Loans!B127="","",Agent04_Loans!E127)</f>
        <v/>
      </c>
      <c r="F715" s="40" t="str">
        <f>IF(Agent04_Loans!B127="","",Agent04_Loans!F127)</f>
        <v/>
      </c>
      <c r="G715" s="40" t="str">
        <f>IF(Agent04_Loans!B127="","",Agent04_Loans!G127)</f>
        <v/>
      </c>
      <c r="H715" s="40" t="str">
        <f>IF(Agent04_Loans!B127="","",Agent04_Loans!H127)</f>
        <v/>
      </c>
      <c r="I715" s="43" t="str">
        <f>IF(Agent04_Loans!B127="","",Agent04_Loans!I127)</f>
        <v/>
      </c>
      <c r="J715" s="43" t="str">
        <f>IF(Agent04_Loans!B127="","",Agent04_Loans!J127)</f>
        <v/>
      </c>
      <c r="K715" s="40" t="str">
        <f>IF(Agent04_Loans!B127="","",Agent04_Loans!K127)</f>
        <v/>
      </c>
      <c r="L715" s="40" t="str">
        <f>IF(Agent04_Loans!B127="","",Agent04_Loans!L127)</f>
        <v/>
      </c>
      <c r="M715" s="40" t="str">
        <f>IFERROR(IF(Agent04_Loans!B127="","",YEAR(Agent04_Loans!D127)),"")</f>
        <v/>
      </c>
    </row>
    <row r="716" spans="1:13" ht="18" customHeight="1" x14ac:dyDescent="0.25">
      <c r="A716" s="40" t="str">
        <f>IF(Agent04_Loans!B128="","",Agent04_Loans!A128)</f>
        <v/>
      </c>
      <c r="B716" s="40" t="str">
        <f>IF(Agent04_Loans!B128="","",Agent04_Loans!B128)</f>
        <v/>
      </c>
      <c r="C716" s="40" t="str">
        <f>IF(Agent04_Loans!B128="","",Agent04_Loans!C128)</f>
        <v/>
      </c>
      <c r="D716" s="41" t="str">
        <f>IF(Agent04_Loans!B128="","",Agent04_Loans!D128)</f>
        <v/>
      </c>
      <c r="E716" s="43" t="str">
        <f>IF(Agent04_Loans!B128="","",Agent04_Loans!E128)</f>
        <v/>
      </c>
      <c r="F716" s="40" t="str">
        <f>IF(Agent04_Loans!B128="","",Agent04_Loans!F128)</f>
        <v/>
      </c>
      <c r="G716" s="40" t="str">
        <f>IF(Agent04_Loans!B128="","",Agent04_Loans!G128)</f>
        <v/>
      </c>
      <c r="H716" s="40" t="str">
        <f>IF(Agent04_Loans!B128="","",Agent04_Loans!H128)</f>
        <v/>
      </c>
      <c r="I716" s="43" t="str">
        <f>IF(Agent04_Loans!B128="","",Agent04_Loans!I128)</f>
        <v/>
      </c>
      <c r="J716" s="43" t="str">
        <f>IF(Agent04_Loans!B128="","",Agent04_Loans!J128)</f>
        <v/>
      </c>
      <c r="K716" s="40" t="str">
        <f>IF(Agent04_Loans!B128="","",Agent04_Loans!K128)</f>
        <v/>
      </c>
      <c r="L716" s="40" t="str">
        <f>IF(Agent04_Loans!B128="","",Agent04_Loans!L128)</f>
        <v/>
      </c>
      <c r="M716" s="40" t="str">
        <f>IFERROR(IF(Agent04_Loans!B128="","",YEAR(Agent04_Loans!D128)),"")</f>
        <v/>
      </c>
    </row>
    <row r="717" spans="1:13" ht="18" customHeight="1" x14ac:dyDescent="0.25">
      <c r="A717" s="40" t="str">
        <f>IF(Agent04_Loans!B129="","",Agent04_Loans!A129)</f>
        <v/>
      </c>
      <c r="B717" s="40" t="str">
        <f>IF(Agent04_Loans!B129="","",Agent04_Loans!B129)</f>
        <v/>
      </c>
      <c r="C717" s="40" t="str">
        <f>IF(Agent04_Loans!B129="","",Agent04_Loans!C129)</f>
        <v/>
      </c>
      <c r="D717" s="41" t="str">
        <f>IF(Agent04_Loans!B129="","",Agent04_Loans!D129)</f>
        <v/>
      </c>
      <c r="E717" s="43" t="str">
        <f>IF(Agent04_Loans!B129="","",Agent04_Loans!E129)</f>
        <v/>
      </c>
      <c r="F717" s="40" t="str">
        <f>IF(Agent04_Loans!B129="","",Agent04_Loans!F129)</f>
        <v/>
      </c>
      <c r="G717" s="40" t="str">
        <f>IF(Agent04_Loans!B129="","",Agent04_Loans!G129)</f>
        <v/>
      </c>
      <c r="H717" s="40" t="str">
        <f>IF(Agent04_Loans!B129="","",Agent04_Loans!H129)</f>
        <v/>
      </c>
      <c r="I717" s="43" t="str">
        <f>IF(Agent04_Loans!B129="","",Agent04_Loans!I129)</f>
        <v/>
      </c>
      <c r="J717" s="43" t="str">
        <f>IF(Agent04_Loans!B129="","",Agent04_Loans!J129)</f>
        <v/>
      </c>
      <c r="K717" s="40" t="str">
        <f>IF(Agent04_Loans!B129="","",Agent04_Loans!K129)</f>
        <v/>
      </c>
      <c r="L717" s="40" t="str">
        <f>IF(Agent04_Loans!B129="","",Agent04_Loans!L129)</f>
        <v/>
      </c>
      <c r="M717" s="40" t="str">
        <f>IFERROR(IF(Agent04_Loans!B129="","",YEAR(Agent04_Loans!D129)),"")</f>
        <v/>
      </c>
    </row>
    <row r="718" spans="1:13" ht="18" customHeight="1" x14ac:dyDescent="0.25">
      <c r="A718" s="40" t="str">
        <f>IF(Agent04_Loans!B130="","",Agent04_Loans!A130)</f>
        <v/>
      </c>
      <c r="B718" s="40" t="str">
        <f>IF(Agent04_Loans!B130="","",Agent04_Loans!B130)</f>
        <v/>
      </c>
      <c r="C718" s="40" t="str">
        <f>IF(Agent04_Loans!B130="","",Agent04_Loans!C130)</f>
        <v/>
      </c>
      <c r="D718" s="41" t="str">
        <f>IF(Agent04_Loans!B130="","",Agent04_Loans!D130)</f>
        <v/>
      </c>
      <c r="E718" s="43" t="str">
        <f>IF(Agent04_Loans!B130="","",Agent04_Loans!E130)</f>
        <v/>
      </c>
      <c r="F718" s="40" t="str">
        <f>IF(Agent04_Loans!B130="","",Agent04_Loans!F130)</f>
        <v/>
      </c>
      <c r="G718" s="40" t="str">
        <f>IF(Agent04_Loans!B130="","",Agent04_Loans!G130)</f>
        <v/>
      </c>
      <c r="H718" s="40" t="str">
        <f>IF(Agent04_Loans!B130="","",Agent04_Loans!H130)</f>
        <v/>
      </c>
      <c r="I718" s="43" t="str">
        <f>IF(Agent04_Loans!B130="","",Agent04_Loans!I130)</f>
        <v/>
      </c>
      <c r="J718" s="43" t="str">
        <f>IF(Agent04_Loans!B130="","",Agent04_Loans!J130)</f>
        <v/>
      </c>
      <c r="K718" s="40" t="str">
        <f>IF(Agent04_Loans!B130="","",Agent04_Loans!K130)</f>
        <v/>
      </c>
      <c r="L718" s="40" t="str">
        <f>IF(Agent04_Loans!B130="","",Agent04_Loans!L130)</f>
        <v/>
      </c>
      <c r="M718" s="40" t="str">
        <f>IFERROR(IF(Agent04_Loans!B130="","",YEAR(Agent04_Loans!D130)),"")</f>
        <v/>
      </c>
    </row>
    <row r="719" spans="1:13" ht="18" customHeight="1" x14ac:dyDescent="0.25">
      <c r="A719" s="40" t="str">
        <f>IF(Agent04_Loans!B131="","",Agent04_Loans!A131)</f>
        <v/>
      </c>
      <c r="B719" s="40" t="str">
        <f>IF(Agent04_Loans!B131="","",Agent04_Loans!B131)</f>
        <v/>
      </c>
      <c r="C719" s="40" t="str">
        <f>IF(Agent04_Loans!B131="","",Agent04_Loans!C131)</f>
        <v/>
      </c>
      <c r="D719" s="41" t="str">
        <f>IF(Agent04_Loans!B131="","",Agent04_Loans!D131)</f>
        <v/>
      </c>
      <c r="E719" s="43" t="str">
        <f>IF(Agent04_Loans!B131="","",Agent04_Loans!E131)</f>
        <v/>
      </c>
      <c r="F719" s="40" t="str">
        <f>IF(Agent04_Loans!B131="","",Agent04_Loans!F131)</f>
        <v/>
      </c>
      <c r="G719" s="40" t="str">
        <f>IF(Agent04_Loans!B131="","",Agent04_Loans!G131)</f>
        <v/>
      </c>
      <c r="H719" s="40" t="str">
        <f>IF(Agent04_Loans!B131="","",Agent04_Loans!H131)</f>
        <v/>
      </c>
      <c r="I719" s="43" t="str">
        <f>IF(Agent04_Loans!B131="","",Agent04_Loans!I131)</f>
        <v/>
      </c>
      <c r="J719" s="43" t="str">
        <f>IF(Agent04_Loans!B131="","",Agent04_Loans!J131)</f>
        <v/>
      </c>
      <c r="K719" s="40" t="str">
        <f>IF(Agent04_Loans!B131="","",Agent04_Loans!K131)</f>
        <v/>
      </c>
      <c r="L719" s="40" t="str">
        <f>IF(Agent04_Loans!B131="","",Agent04_Loans!L131)</f>
        <v/>
      </c>
      <c r="M719" s="40" t="str">
        <f>IFERROR(IF(Agent04_Loans!B131="","",YEAR(Agent04_Loans!D131)),"")</f>
        <v/>
      </c>
    </row>
    <row r="720" spans="1:13" ht="18" customHeight="1" x14ac:dyDescent="0.25">
      <c r="A720" s="40" t="str">
        <f>IF(Agent04_Loans!B132="","",Agent04_Loans!A132)</f>
        <v/>
      </c>
      <c r="B720" s="40" t="str">
        <f>IF(Agent04_Loans!B132="","",Agent04_Loans!B132)</f>
        <v/>
      </c>
      <c r="C720" s="40" t="str">
        <f>IF(Agent04_Loans!B132="","",Agent04_Loans!C132)</f>
        <v/>
      </c>
      <c r="D720" s="41" t="str">
        <f>IF(Agent04_Loans!B132="","",Agent04_Loans!D132)</f>
        <v/>
      </c>
      <c r="E720" s="43" t="str">
        <f>IF(Agent04_Loans!B132="","",Agent04_Loans!E132)</f>
        <v/>
      </c>
      <c r="F720" s="40" t="str">
        <f>IF(Agent04_Loans!B132="","",Agent04_Loans!F132)</f>
        <v/>
      </c>
      <c r="G720" s="40" t="str">
        <f>IF(Agent04_Loans!B132="","",Agent04_Loans!G132)</f>
        <v/>
      </c>
      <c r="H720" s="40" t="str">
        <f>IF(Agent04_Loans!B132="","",Agent04_Loans!H132)</f>
        <v/>
      </c>
      <c r="I720" s="43" t="str">
        <f>IF(Agent04_Loans!B132="","",Agent04_Loans!I132)</f>
        <v/>
      </c>
      <c r="J720" s="43" t="str">
        <f>IF(Agent04_Loans!B132="","",Agent04_Loans!J132)</f>
        <v/>
      </c>
      <c r="K720" s="40" t="str">
        <f>IF(Agent04_Loans!B132="","",Agent04_Loans!K132)</f>
        <v/>
      </c>
      <c r="L720" s="40" t="str">
        <f>IF(Agent04_Loans!B132="","",Agent04_Loans!L132)</f>
        <v/>
      </c>
      <c r="M720" s="40" t="str">
        <f>IFERROR(IF(Agent04_Loans!B132="","",YEAR(Agent04_Loans!D132)),"")</f>
        <v/>
      </c>
    </row>
    <row r="721" spans="1:13" ht="18" customHeight="1" x14ac:dyDescent="0.25">
      <c r="A721" s="40" t="str">
        <f>IF(Agent04_Loans!B133="","",Agent04_Loans!A133)</f>
        <v/>
      </c>
      <c r="B721" s="40" t="str">
        <f>IF(Agent04_Loans!B133="","",Agent04_Loans!B133)</f>
        <v/>
      </c>
      <c r="C721" s="40" t="str">
        <f>IF(Agent04_Loans!B133="","",Agent04_Loans!C133)</f>
        <v/>
      </c>
      <c r="D721" s="41" t="str">
        <f>IF(Agent04_Loans!B133="","",Agent04_Loans!D133)</f>
        <v/>
      </c>
      <c r="E721" s="43" t="str">
        <f>IF(Agent04_Loans!B133="","",Agent04_Loans!E133)</f>
        <v/>
      </c>
      <c r="F721" s="40" t="str">
        <f>IF(Agent04_Loans!B133="","",Agent04_Loans!F133)</f>
        <v/>
      </c>
      <c r="G721" s="40" t="str">
        <f>IF(Agent04_Loans!B133="","",Agent04_Loans!G133)</f>
        <v/>
      </c>
      <c r="H721" s="40" t="str">
        <f>IF(Agent04_Loans!B133="","",Agent04_Loans!H133)</f>
        <v/>
      </c>
      <c r="I721" s="43" t="str">
        <f>IF(Agent04_Loans!B133="","",Agent04_Loans!I133)</f>
        <v/>
      </c>
      <c r="J721" s="43" t="str">
        <f>IF(Agent04_Loans!B133="","",Agent04_Loans!J133)</f>
        <v/>
      </c>
      <c r="K721" s="40" t="str">
        <f>IF(Agent04_Loans!B133="","",Agent04_Loans!K133)</f>
        <v/>
      </c>
      <c r="L721" s="40" t="str">
        <f>IF(Agent04_Loans!B133="","",Agent04_Loans!L133)</f>
        <v/>
      </c>
      <c r="M721" s="40" t="str">
        <f>IFERROR(IF(Agent04_Loans!B133="","",YEAR(Agent04_Loans!D133)),"")</f>
        <v/>
      </c>
    </row>
    <row r="722" spans="1:13" ht="18" customHeight="1" x14ac:dyDescent="0.25">
      <c r="A722" s="40" t="str">
        <f>IF(Agent04_Loans!B134="","",Agent04_Loans!A134)</f>
        <v/>
      </c>
      <c r="B722" s="40" t="str">
        <f>IF(Agent04_Loans!B134="","",Agent04_Loans!B134)</f>
        <v/>
      </c>
      <c r="C722" s="40" t="str">
        <f>IF(Agent04_Loans!B134="","",Agent04_Loans!C134)</f>
        <v/>
      </c>
      <c r="D722" s="41" t="str">
        <f>IF(Agent04_Loans!B134="","",Agent04_Loans!D134)</f>
        <v/>
      </c>
      <c r="E722" s="43" t="str">
        <f>IF(Agent04_Loans!B134="","",Agent04_Loans!E134)</f>
        <v/>
      </c>
      <c r="F722" s="40" t="str">
        <f>IF(Agent04_Loans!B134="","",Agent04_Loans!F134)</f>
        <v/>
      </c>
      <c r="G722" s="40" t="str">
        <f>IF(Agent04_Loans!B134="","",Agent04_Loans!G134)</f>
        <v/>
      </c>
      <c r="H722" s="40" t="str">
        <f>IF(Agent04_Loans!B134="","",Agent04_Loans!H134)</f>
        <v/>
      </c>
      <c r="I722" s="43" t="str">
        <f>IF(Agent04_Loans!B134="","",Agent04_Loans!I134)</f>
        <v/>
      </c>
      <c r="J722" s="43" t="str">
        <f>IF(Agent04_Loans!B134="","",Agent04_Loans!J134)</f>
        <v/>
      </c>
      <c r="K722" s="40" t="str">
        <f>IF(Agent04_Loans!B134="","",Agent04_Loans!K134)</f>
        <v/>
      </c>
      <c r="L722" s="40" t="str">
        <f>IF(Agent04_Loans!B134="","",Agent04_Loans!L134)</f>
        <v/>
      </c>
      <c r="M722" s="40" t="str">
        <f>IFERROR(IF(Agent04_Loans!B134="","",YEAR(Agent04_Loans!D134)),"")</f>
        <v/>
      </c>
    </row>
    <row r="723" spans="1:13" ht="18" customHeight="1" x14ac:dyDescent="0.25">
      <c r="A723" s="40" t="str">
        <f>IF(Agent04_Loans!B135="","",Agent04_Loans!A135)</f>
        <v/>
      </c>
      <c r="B723" s="40" t="str">
        <f>IF(Agent04_Loans!B135="","",Agent04_Loans!B135)</f>
        <v/>
      </c>
      <c r="C723" s="40" t="str">
        <f>IF(Agent04_Loans!B135="","",Agent04_Loans!C135)</f>
        <v/>
      </c>
      <c r="D723" s="41" t="str">
        <f>IF(Agent04_Loans!B135="","",Agent04_Loans!D135)</f>
        <v/>
      </c>
      <c r="E723" s="43" t="str">
        <f>IF(Agent04_Loans!B135="","",Agent04_Loans!E135)</f>
        <v/>
      </c>
      <c r="F723" s="40" t="str">
        <f>IF(Agent04_Loans!B135="","",Agent04_Loans!F135)</f>
        <v/>
      </c>
      <c r="G723" s="40" t="str">
        <f>IF(Agent04_Loans!B135="","",Agent04_Loans!G135)</f>
        <v/>
      </c>
      <c r="H723" s="40" t="str">
        <f>IF(Agent04_Loans!B135="","",Agent04_Loans!H135)</f>
        <v/>
      </c>
      <c r="I723" s="43" t="str">
        <f>IF(Agent04_Loans!B135="","",Agent04_Loans!I135)</f>
        <v/>
      </c>
      <c r="J723" s="43" t="str">
        <f>IF(Agent04_Loans!B135="","",Agent04_Loans!J135)</f>
        <v/>
      </c>
      <c r="K723" s="40" t="str">
        <f>IF(Agent04_Loans!B135="","",Agent04_Loans!K135)</f>
        <v/>
      </c>
      <c r="L723" s="40" t="str">
        <f>IF(Agent04_Loans!B135="","",Agent04_Loans!L135)</f>
        <v/>
      </c>
      <c r="M723" s="40" t="str">
        <f>IFERROR(IF(Agent04_Loans!B135="","",YEAR(Agent04_Loans!D135)),"")</f>
        <v/>
      </c>
    </row>
    <row r="724" spans="1:13" ht="18" customHeight="1" x14ac:dyDescent="0.25">
      <c r="A724" s="40" t="str">
        <f>IF(Agent04_Loans!B136="","",Agent04_Loans!A136)</f>
        <v/>
      </c>
      <c r="B724" s="40" t="str">
        <f>IF(Agent04_Loans!B136="","",Agent04_Loans!B136)</f>
        <v/>
      </c>
      <c r="C724" s="40" t="str">
        <f>IF(Agent04_Loans!B136="","",Agent04_Loans!C136)</f>
        <v/>
      </c>
      <c r="D724" s="41" t="str">
        <f>IF(Agent04_Loans!B136="","",Agent04_Loans!D136)</f>
        <v/>
      </c>
      <c r="E724" s="43" t="str">
        <f>IF(Agent04_Loans!B136="","",Agent04_Loans!E136)</f>
        <v/>
      </c>
      <c r="F724" s="40" t="str">
        <f>IF(Agent04_Loans!B136="","",Agent04_Loans!F136)</f>
        <v/>
      </c>
      <c r="G724" s="40" t="str">
        <f>IF(Agent04_Loans!B136="","",Agent04_Loans!G136)</f>
        <v/>
      </c>
      <c r="H724" s="40" t="str">
        <f>IF(Agent04_Loans!B136="","",Agent04_Loans!H136)</f>
        <v/>
      </c>
      <c r="I724" s="43" t="str">
        <f>IF(Agent04_Loans!B136="","",Agent04_Loans!I136)</f>
        <v/>
      </c>
      <c r="J724" s="43" t="str">
        <f>IF(Agent04_Loans!B136="","",Agent04_Loans!J136)</f>
        <v/>
      </c>
      <c r="K724" s="40" t="str">
        <f>IF(Agent04_Loans!B136="","",Agent04_Loans!K136)</f>
        <v/>
      </c>
      <c r="L724" s="40" t="str">
        <f>IF(Agent04_Loans!B136="","",Agent04_Loans!L136)</f>
        <v/>
      </c>
      <c r="M724" s="40" t="str">
        <f>IFERROR(IF(Agent04_Loans!B136="","",YEAR(Agent04_Loans!D136)),"")</f>
        <v/>
      </c>
    </row>
    <row r="725" spans="1:13" ht="18" customHeight="1" x14ac:dyDescent="0.25">
      <c r="A725" s="40" t="str">
        <f>IF(Agent04_Loans!B137="","",Agent04_Loans!A137)</f>
        <v/>
      </c>
      <c r="B725" s="40" t="str">
        <f>IF(Agent04_Loans!B137="","",Agent04_Loans!B137)</f>
        <v/>
      </c>
      <c r="C725" s="40" t="str">
        <f>IF(Agent04_Loans!B137="","",Agent04_Loans!C137)</f>
        <v/>
      </c>
      <c r="D725" s="41" t="str">
        <f>IF(Agent04_Loans!B137="","",Agent04_Loans!D137)</f>
        <v/>
      </c>
      <c r="E725" s="43" t="str">
        <f>IF(Agent04_Loans!B137="","",Agent04_Loans!E137)</f>
        <v/>
      </c>
      <c r="F725" s="40" t="str">
        <f>IF(Agent04_Loans!B137="","",Agent04_Loans!F137)</f>
        <v/>
      </c>
      <c r="G725" s="40" t="str">
        <f>IF(Agent04_Loans!B137="","",Agent04_Loans!G137)</f>
        <v/>
      </c>
      <c r="H725" s="40" t="str">
        <f>IF(Agent04_Loans!B137="","",Agent04_Loans!H137)</f>
        <v/>
      </c>
      <c r="I725" s="43" t="str">
        <f>IF(Agent04_Loans!B137="","",Agent04_Loans!I137)</f>
        <v/>
      </c>
      <c r="J725" s="43" t="str">
        <f>IF(Agent04_Loans!B137="","",Agent04_Loans!J137)</f>
        <v/>
      </c>
      <c r="K725" s="40" t="str">
        <f>IF(Agent04_Loans!B137="","",Agent04_Loans!K137)</f>
        <v/>
      </c>
      <c r="L725" s="40" t="str">
        <f>IF(Agent04_Loans!B137="","",Agent04_Loans!L137)</f>
        <v/>
      </c>
      <c r="M725" s="40" t="str">
        <f>IFERROR(IF(Agent04_Loans!B137="","",YEAR(Agent04_Loans!D137)),"")</f>
        <v/>
      </c>
    </row>
    <row r="726" spans="1:13" ht="18" customHeight="1" x14ac:dyDescent="0.25">
      <c r="A726" s="40" t="str">
        <f>IF(Agent04_Loans!B138="","",Agent04_Loans!A138)</f>
        <v/>
      </c>
      <c r="B726" s="40" t="str">
        <f>IF(Agent04_Loans!B138="","",Agent04_Loans!B138)</f>
        <v/>
      </c>
      <c r="C726" s="40" t="str">
        <f>IF(Agent04_Loans!B138="","",Agent04_Loans!C138)</f>
        <v/>
      </c>
      <c r="D726" s="41" t="str">
        <f>IF(Agent04_Loans!B138="","",Agent04_Loans!D138)</f>
        <v/>
      </c>
      <c r="E726" s="43" t="str">
        <f>IF(Agent04_Loans!B138="","",Agent04_Loans!E138)</f>
        <v/>
      </c>
      <c r="F726" s="40" t="str">
        <f>IF(Agent04_Loans!B138="","",Agent04_Loans!F138)</f>
        <v/>
      </c>
      <c r="G726" s="40" t="str">
        <f>IF(Agent04_Loans!B138="","",Agent04_Loans!G138)</f>
        <v/>
      </c>
      <c r="H726" s="40" t="str">
        <f>IF(Agent04_Loans!B138="","",Agent04_Loans!H138)</f>
        <v/>
      </c>
      <c r="I726" s="43" t="str">
        <f>IF(Agent04_Loans!B138="","",Agent04_Loans!I138)</f>
        <v/>
      </c>
      <c r="J726" s="43" t="str">
        <f>IF(Agent04_Loans!B138="","",Agent04_Loans!J138)</f>
        <v/>
      </c>
      <c r="K726" s="40" t="str">
        <f>IF(Agent04_Loans!B138="","",Agent04_Loans!K138)</f>
        <v/>
      </c>
      <c r="L726" s="40" t="str">
        <f>IF(Agent04_Loans!B138="","",Agent04_Loans!L138)</f>
        <v/>
      </c>
      <c r="M726" s="40" t="str">
        <f>IFERROR(IF(Agent04_Loans!B138="","",YEAR(Agent04_Loans!D138)),"")</f>
        <v/>
      </c>
    </row>
    <row r="727" spans="1:13" ht="18" customHeight="1" x14ac:dyDescent="0.25">
      <c r="A727" s="40" t="str">
        <f>IF(Agent04_Loans!B139="","",Agent04_Loans!A139)</f>
        <v/>
      </c>
      <c r="B727" s="40" t="str">
        <f>IF(Agent04_Loans!B139="","",Agent04_Loans!B139)</f>
        <v/>
      </c>
      <c r="C727" s="40" t="str">
        <f>IF(Agent04_Loans!B139="","",Agent04_Loans!C139)</f>
        <v/>
      </c>
      <c r="D727" s="41" t="str">
        <f>IF(Agent04_Loans!B139="","",Agent04_Loans!D139)</f>
        <v/>
      </c>
      <c r="E727" s="43" t="str">
        <f>IF(Agent04_Loans!B139="","",Agent04_Loans!E139)</f>
        <v/>
      </c>
      <c r="F727" s="40" t="str">
        <f>IF(Agent04_Loans!B139="","",Agent04_Loans!F139)</f>
        <v/>
      </c>
      <c r="G727" s="40" t="str">
        <f>IF(Agent04_Loans!B139="","",Agent04_Loans!G139)</f>
        <v/>
      </c>
      <c r="H727" s="40" t="str">
        <f>IF(Agent04_Loans!B139="","",Agent04_Loans!H139)</f>
        <v/>
      </c>
      <c r="I727" s="43" t="str">
        <f>IF(Agent04_Loans!B139="","",Agent04_Loans!I139)</f>
        <v/>
      </c>
      <c r="J727" s="43" t="str">
        <f>IF(Agent04_Loans!B139="","",Agent04_Loans!J139)</f>
        <v/>
      </c>
      <c r="K727" s="40" t="str">
        <f>IF(Agent04_Loans!B139="","",Agent04_Loans!K139)</f>
        <v/>
      </c>
      <c r="L727" s="40" t="str">
        <f>IF(Agent04_Loans!B139="","",Agent04_Loans!L139)</f>
        <v/>
      </c>
      <c r="M727" s="40" t="str">
        <f>IFERROR(IF(Agent04_Loans!B139="","",YEAR(Agent04_Loans!D139)),"")</f>
        <v/>
      </c>
    </row>
    <row r="728" spans="1:13" ht="18" customHeight="1" x14ac:dyDescent="0.25">
      <c r="A728" s="40" t="str">
        <f>IF(Agent04_Loans!B140="","",Agent04_Loans!A140)</f>
        <v/>
      </c>
      <c r="B728" s="40" t="str">
        <f>IF(Agent04_Loans!B140="","",Agent04_Loans!B140)</f>
        <v/>
      </c>
      <c r="C728" s="40" t="str">
        <f>IF(Agent04_Loans!B140="","",Agent04_Loans!C140)</f>
        <v/>
      </c>
      <c r="D728" s="41" t="str">
        <f>IF(Agent04_Loans!B140="","",Agent04_Loans!D140)</f>
        <v/>
      </c>
      <c r="E728" s="43" t="str">
        <f>IF(Agent04_Loans!B140="","",Agent04_Loans!E140)</f>
        <v/>
      </c>
      <c r="F728" s="40" t="str">
        <f>IF(Agent04_Loans!B140="","",Agent04_Loans!F140)</f>
        <v/>
      </c>
      <c r="G728" s="40" t="str">
        <f>IF(Agent04_Loans!B140="","",Agent04_Loans!G140)</f>
        <v/>
      </c>
      <c r="H728" s="40" t="str">
        <f>IF(Agent04_Loans!B140="","",Agent04_Loans!H140)</f>
        <v/>
      </c>
      <c r="I728" s="43" t="str">
        <f>IF(Agent04_Loans!B140="","",Agent04_Loans!I140)</f>
        <v/>
      </c>
      <c r="J728" s="43" t="str">
        <f>IF(Agent04_Loans!B140="","",Agent04_Loans!J140)</f>
        <v/>
      </c>
      <c r="K728" s="40" t="str">
        <f>IF(Agent04_Loans!B140="","",Agent04_Loans!K140)</f>
        <v/>
      </c>
      <c r="L728" s="40" t="str">
        <f>IF(Agent04_Loans!B140="","",Agent04_Loans!L140)</f>
        <v/>
      </c>
      <c r="M728" s="40" t="str">
        <f>IFERROR(IF(Agent04_Loans!B140="","",YEAR(Agent04_Loans!D140)),"")</f>
        <v/>
      </c>
    </row>
    <row r="729" spans="1:13" ht="18" customHeight="1" x14ac:dyDescent="0.25">
      <c r="A729" s="40" t="str">
        <f>IF(Agent04_Loans!B141="","",Agent04_Loans!A141)</f>
        <v/>
      </c>
      <c r="B729" s="40" t="str">
        <f>IF(Agent04_Loans!B141="","",Agent04_Loans!B141)</f>
        <v/>
      </c>
      <c r="C729" s="40" t="str">
        <f>IF(Agent04_Loans!B141="","",Agent04_Loans!C141)</f>
        <v/>
      </c>
      <c r="D729" s="41" t="str">
        <f>IF(Agent04_Loans!B141="","",Agent04_Loans!D141)</f>
        <v/>
      </c>
      <c r="E729" s="43" t="str">
        <f>IF(Agent04_Loans!B141="","",Agent04_Loans!E141)</f>
        <v/>
      </c>
      <c r="F729" s="40" t="str">
        <f>IF(Agent04_Loans!B141="","",Agent04_Loans!F141)</f>
        <v/>
      </c>
      <c r="G729" s="40" t="str">
        <f>IF(Agent04_Loans!B141="","",Agent04_Loans!G141)</f>
        <v/>
      </c>
      <c r="H729" s="40" t="str">
        <f>IF(Agent04_Loans!B141="","",Agent04_Loans!H141)</f>
        <v/>
      </c>
      <c r="I729" s="43" t="str">
        <f>IF(Agent04_Loans!B141="","",Agent04_Loans!I141)</f>
        <v/>
      </c>
      <c r="J729" s="43" t="str">
        <f>IF(Agent04_Loans!B141="","",Agent04_Loans!J141)</f>
        <v/>
      </c>
      <c r="K729" s="40" t="str">
        <f>IF(Agent04_Loans!B141="","",Agent04_Loans!K141)</f>
        <v/>
      </c>
      <c r="L729" s="40" t="str">
        <f>IF(Agent04_Loans!B141="","",Agent04_Loans!L141)</f>
        <v/>
      </c>
      <c r="M729" s="40" t="str">
        <f>IFERROR(IF(Agent04_Loans!B141="","",YEAR(Agent04_Loans!D141)),"")</f>
        <v/>
      </c>
    </row>
    <row r="730" spans="1:13" ht="18" customHeight="1" x14ac:dyDescent="0.25">
      <c r="A730" s="40" t="str">
        <f>IF(Agent04_Loans!B142="","",Agent04_Loans!A142)</f>
        <v/>
      </c>
      <c r="B730" s="40" t="str">
        <f>IF(Agent04_Loans!B142="","",Agent04_Loans!B142)</f>
        <v/>
      </c>
      <c r="C730" s="40" t="str">
        <f>IF(Agent04_Loans!B142="","",Agent04_Loans!C142)</f>
        <v/>
      </c>
      <c r="D730" s="41" t="str">
        <f>IF(Agent04_Loans!B142="","",Agent04_Loans!D142)</f>
        <v/>
      </c>
      <c r="E730" s="43" t="str">
        <f>IF(Agent04_Loans!B142="","",Agent04_Loans!E142)</f>
        <v/>
      </c>
      <c r="F730" s="40" t="str">
        <f>IF(Agent04_Loans!B142="","",Agent04_Loans!F142)</f>
        <v/>
      </c>
      <c r="G730" s="40" t="str">
        <f>IF(Agent04_Loans!B142="","",Agent04_Loans!G142)</f>
        <v/>
      </c>
      <c r="H730" s="40" t="str">
        <f>IF(Agent04_Loans!B142="","",Agent04_Loans!H142)</f>
        <v/>
      </c>
      <c r="I730" s="43" t="str">
        <f>IF(Agent04_Loans!B142="","",Agent04_Loans!I142)</f>
        <v/>
      </c>
      <c r="J730" s="43" t="str">
        <f>IF(Agent04_Loans!B142="","",Agent04_Loans!J142)</f>
        <v/>
      </c>
      <c r="K730" s="40" t="str">
        <f>IF(Agent04_Loans!B142="","",Agent04_Loans!K142)</f>
        <v/>
      </c>
      <c r="L730" s="40" t="str">
        <f>IF(Agent04_Loans!B142="","",Agent04_Loans!L142)</f>
        <v/>
      </c>
      <c r="M730" s="40" t="str">
        <f>IFERROR(IF(Agent04_Loans!B142="","",YEAR(Agent04_Loans!D142)),"")</f>
        <v/>
      </c>
    </row>
    <row r="731" spans="1:13" ht="18" customHeight="1" x14ac:dyDescent="0.25">
      <c r="A731" s="40" t="str">
        <f>IF(Agent04_Loans!B143="","",Agent04_Loans!A143)</f>
        <v/>
      </c>
      <c r="B731" s="40" t="str">
        <f>IF(Agent04_Loans!B143="","",Agent04_Loans!B143)</f>
        <v/>
      </c>
      <c r="C731" s="40" t="str">
        <f>IF(Agent04_Loans!B143="","",Agent04_Loans!C143)</f>
        <v/>
      </c>
      <c r="D731" s="41" t="str">
        <f>IF(Agent04_Loans!B143="","",Agent04_Loans!D143)</f>
        <v/>
      </c>
      <c r="E731" s="43" t="str">
        <f>IF(Agent04_Loans!B143="","",Agent04_Loans!E143)</f>
        <v/>
      </c>
      <c r="F731" s="40" t="str">
        <f>IF(Agent04_Loans!B143="","",Agent04_Loans!F143)</f>
        <v/>
      </c>
      <c r="G731" s="40" t="str">
        <f>IF(Agent04_Loans!B143="","",Agent04_Loans!G143)</f>
        <v/>
      </c>
      <c r="H731" s="40" t="str">
        <f>IF(Agent04_Loans!B143="","",Agent04_Loans!H143)</f>
        <v/>
      </c>
      <c r="I731" s="43" t="str">
        <f>IF(Agent04_Loans!B143="","",Agent04_Loans!I143)</f>
        <v/>
      </c>
      <c r="J731" s="43" t="str">
        <f>IF(Agent04_Loans!B143="","",Agent04_Loans!J143)</f>
        <v/>
      </c>
      <c r="K731" s="40" t="str">
        <f>IF(Agent04_Loans!B143="","",Agent04_Loans!K143)</f>
        <v/>
      </c>
      <c r="L731" s="40" t="str">
        <f>IF(Agent04_Loans!B143="","",Agent04_Loans!L143)</f>
        <v/>
      </c>
      <c r="M731" s="40" t="str">
        <f>IFERROR(IF(Agent04_Loans!B143="","",YEAR(Agent04_Loans!D143)),"")</f>
        <v/>
      </c>
    </row>
    <row r="732" spans="1:13" ht="18" customHeight="1" x14ac:dyDescent="0.25">
      <c r="A732" s="40" t="str">
        <f>IF(Agent04_Loans!B144="","",Agent04_Loans!A144)</f>
        <v/>
      </c>
      <c r="B732" s="40" t="str">
        <f>IF(Agent04_Loans!B144="","",Agent04_Loans!B144)</f>
        <v/>
      </c>
      <c r="C732" s="40" t="str">
        <f>IF(Agent04_Loans!B144="","",Agent04_Loans!C144)</f>
        <v/>
      </c>
      <c r="D732" s="41" t="str">
        <f>IF(Agent04_Loans!B144="","",Agent04_Loans!D144)</f>
        <v/>
      </c>
      <c r="E732" s="43" t="str">
        <f>IF(Agent04_Loans!B144="","",Agent04_Loans!E144)</f>
        <v/>
      </c>
      <c r="F732" s="40" t="str">
        <f>IF(Agent04_Loans!B144="","",Agent04_Loans!F144)</f>
        <v/>
      </c>
      <c r="G732" s="40" t="str">
        <f>IF(Agent04_Loans!B144="","",Agent04_Loans!G144)</f>
        <v/>
      </c>
      <c r="H732" s="40" t="str">
        <f>IF(Agent04_Loans!B144="","",Agent04_Loans!H144)</f>
        <v/>
      </c>
      <c r="I732" s="43" t="str">
        <f>IF(Agent04_Loans!B144="","",Agent04_Loans!I144)</f>
        <v/>
      </c>
      <c r="J732" s="43" t="str">
        <f>IF(Agent04_Loans!B144="","",Agent04_Loans!J144)</f>
        <v/>
      </c>
      <c r="K732" s="40" t="str">
        <f>IF(Agent04_Loans!B144="","",Agent04_Loans!K144)</f>
        <v/>
      </c>
      <c r="L732" s="40" t="str">
        <f>IF(Agent04_Loans!B144="","",Agent04_Loans!L144)</f>
        <v/>
      </c>
      <c r="M732" s="40" t="str">
        <f>IFERROR(IF(Agent04_Loans!B144="","",YEAR(Agent04_Loans!D144)),"")</f>
        <v/>
      </c>
    </row>
    <row r="733" spans="1:13" ht="18" customHeight="1" x14ac:dyDescent="0.25">
      <c r="A733" s="40" t="str">
        <f>IF(Agent04_Loans!B145="","",Agent04_Loans!A145)</f>
        <v/>
      </c>
      <c r="B733" s="40" t="str">
        <f>IF(Agent04_Loans!B145="","",Agent04_Loans!B145)</f>
        <v/>
      </c>
      <c r="C733" s="40" t="str">
        <f>IF(Agent04_Loans!B145="","",Agent04_Loans!C145)</f>
        <v/>
      </c>
      <c r="D733" s="41" t="str">
        <f>IF(Agent04_Loans!B145="","",Agent04_Loans!D145)</f>
        <v/>
      </c>
      <c r="E733" s="43" t="str">
        <f>IF(Agent04_Loans!B145="","",Agent04_Loans!E145)</f>
        <v/>
      </c>
      <c r="F733" s="40" t="str">
        <f>IF(Agent04_Loans!B145="","",Agent04_Loans!F145)</f>
        <v/>
      </c>
      <c r="G733" s="40" t="str">
        <f>IF(Agent04_Loans!B145="","",Agent04_Loans!G145)</f>
        <v/>
      </c>
      <c r="H733" s="40" t="str">
        <f>IF(Agent04_Loans!B145="","",Agent04_Loans!H145)</f>
        <v/>
      </c>
      <c r="I733" s="43" t="str">
        <f>IF(Agent04_Loans!B145="","",Agent04_Loans!I145)</f>
        <v/>
      </c>
      <c r="J733" s="43" t="str">
        <f>IF(Agent04_Loans!B145="","",Agent04_Loans!J145)</f>
        <v/>
      </c>
      <c r="K733" s="40" t="str">
        <f>IF(Agent04_Loans!B145="","",Agent04_Loans!K145)</f>
        <v/>
      </c>
      <c r="L733" s="40" t="str">
        <f>IF(Agent04_Loans!B145="","",Agent04_Loans!L145)</f>
        <v/>
      </c>
      <c r="M733" s="40" t="str">
        <f>IFERROR(IF(Agent04_Loans!B145="","",YEAR(Agent04_Loans!D145)),"")</f>
        <v/>
      </c>
    </row>
    <row r="734" spans="1:13" ht="18" customHeight="1" x14ac:dyDescent="0.25">
      <c r="A734" s="40" t="str">
        <f>IF(Agent04_Loans!B146="","",Agent04_Loans!A146)</f>
        <v/>
      </c>
      <c r="B734" s="40" t="str">
        <f>IF(Agent04_Loans!B146="","",Agent04_Loans!B146)</f>
        <v/>
      </c>
      <c r="C734" s="40" t="str">
        <f>IF(Agent04_Loans!B146="","",Agent04_Loans!C146)</f>
        <v/>
      </c>
      <c r="D734" s="41" t="str">
        <f>IF(Agent04_Loans!B146="","",Agent04_Loans!D146)</f>
        <v/>
      </c>
      <c r="E734" s="43" t="str">
        <f>IF(Agent04_Loans!B146="","",Agent04_Loans!E146)</f>
        <v/>
      </c>
      <c r="F734" s="40" t="str">
        <f>IF(Agent04_Loans!B146="","",Agent04_Loans!F146)</f>
        <v/>
      </c>
      <c r="G734" s="40" t="str">
        <f>IF(Agent04_Loans!B146="","",Agent04_Loans!G146)</f>
        <v/>
      </c>
      <c r="H734" s="40" t="str">
        <f>IF(Agent04_Loans!B146="","",Agent04_Loans!H146)</f>
        <v/>
      </c>
      <c r="I734" s="43" t="str">
        <f>IF(Agent04_Loans!B146="","",Agent04_Loans!I146)</f>
        <v/>
      </c>
      <c r="J734" s="43" t="str">
        <f>IF(Agent04_Loans!B146="","",Agent04_Loans!J146)</f>
        <v/>
      </c>
      <c r="K734" s="40" t="str">
        <f>IF(Agent04_Loans!B146="","",Agent04_Loans!K146)</f>
        <v/>
      </c>
      <c r="L734" s="40" t="str">
        <f>IF(Agent04_Loans!B146="","",Agent04_Loans!L146)</f>
        <v/>
      </c>
      <c r="M734" s="40" t="str">
        <f>IFERROR(IF(Agent04_Loans!B146="","",YEAR(Agent04_Loans!D146)),"")</f>
        <v/>
      </c>
    </row>
    <row r="735" spans="1:13" ht="18" customHeight="1" x14ac:dyDescent="0.25">
      <c r="A735" s="40" t="str">
        <f>IF(Agent04_Loans!B147="","",Agent04_Loans!A147)</f>
        <v/>
      </c>
      <c r="B735" s="40" t="str">
        <f>IF(Agent04_Loans!B147="","",Agent04_Loans!B147)</f>
        <v/>
      </c>
      <c r="C735" s="40" t="str">
        <f>IF(Agent04_Loans!B147="","",Agent04_Loans!C147)</f>
        <v/>
      </c>
      <c r="D735" s="41" t="str">
        <f>IF(Agent04_Loans!B147="","",Agent04_Loans!D147)</f>
        <v/>
      </c>
      <c r="E735" s="43" t="str">
        <f>IF(Agent04_Loans!B147="","",Agent04_Loans!E147)</f>
        <v/>
      </c>
      <c r="F735" s="40" t="str">
        <f>IF(Agent04_Loans!B147="","",Agent04_Loans!F147)</f>
        <v/>
      </c>
      <c r="G735" s="40" t="str">
        <f>IF(Agent04_Loans!B147="","",Agent04_Loans!G147)</f>
        <v/>
      </c>
      <c r="H735" s="40" t="str">
        <f>IF(Agent04_Loans!B147="","",Agent04_Loans!H147)</f>
        <v/>
      </c>
      <c r="I735" s="43" t="str">
        <f>IF(Agent04_Loans!B147="","",Agent04_Loans!I147)</f>
        <v/>
      </c>
      <c r="J735" s="43" t="str">
        <f>IF(Agent04_Loans!B147="","",Agent04_Loans!J147)</f>
        <v/>
      </c>
      <c r="K735" s="40" t="str">
        <f>IF(Agent04_Loans!B147="","",Agent04_Loans!K147)</f>
        <v/>
      </c>
      <c r="L735" s="40" t="str">
        <f>IF(Agent04_Loans!B147="","",Agent04_Loans!L147)</f>
        <v/>
      </c>
      <c r="M735" s="40" t="str">
        <f>IFERROR(IF(Agent04_Loans!B147="","",YEAR(Agent04_Loans!D147)),"")</f>
        <v/>
      </c>
    </row>
    <row r="736" spans="1:13" ht="18" customHeight="1" x14ac:dyDescent="0.25">
      <c r="A736" s="40" t="str">
        <f>IF(Agent04_Loans!B148="","",Agent04_Loans!A148)</f>
        <v/>
      </c>
      <c r="B736" s="40" t="str">
        <f>IF(Agent04_Loans!B148="","",Agent04_Loans!B148)</f>
        <v/>
      </c>
      <c r="C736" s="40" t="str">
        <f>IF(Agent04_Loans!B148="","",Agent04_Loans!C148)</f>
        <v/>
      </c>
      <c r="D736" s="41" t="str">
        <f>IF(Agent04_Loans!B148="","",Agent04_Loans!D148)</f>
        <v/>
      </c>
      <c r="E736" s="43" t="str">
        <f>IF(Agent04_Loans!B148="","",Agent04_Loans!E148)</f>
        <v/>
      </c>
      <c r="F736" s="40" t="str">
        <f>IF(Agent04_Loans!B148="","",Agent04_Loans!F148)</f>
        <v/>
      </c>
      <c r="G736" s="40" t="str">
        <f>IF(Agent04_Loans!B148="","",Agent04_Loans!G148)</f>
        <v/>
      </c>
      <c r="H736" s="40" t="str">
        <f>IF(Agent04_Loans!B148="","",Agent04_Loans!H148)</f>
        <v/>
      </c>
      <c r="I736" s="43" t="str">
        <f>IF(Agent04_Loans!B148="","",Agent04_Loans!I148)</f>
        <v/>
      </c>
      <c r="J736" s="43" t="str">
        <f>IF(Agent04_Loans!B148="","",Agent04_Loans!J148)</f>
        <v/>
      </c>
      <c r="K736" s="40" t="str">
        <f>IF(Agent04_Loans!B148="","",Agent04_Loans!K148)</f>
        <v/>
      </c>
      <c r="L736" s="40" t="str">
        <f>IF(Agent04_Loans!B148="","",Agent04_Loans!L148)</f>
        <v/>
      </c>
      <c r="M736" s="40" t="str">
        <f>IFERROR(IF(Agent04_Loans!B148="","",YEAR(Agent04_Loans!D148)),"")</f>
        <v/>
      </c>
    </row>
    <row r="737" spans="1:13" ht="18" customHeight="1" x14ac:dyDescent="0.25">
      <c r="A737" s="40" t="str">
        <f>IF(Agent04_Loans!B149="","",Agent04_Loans!A149)</f>
        <v/>
      </c>
      <c r="B737" s="40" t="str">
        <f>IF(Agent04_Loans!B149="","",Agent04_Loans!B149)</f>
        <v/>
      </c>
      <c r="C737" s="40" t="str">
        <f>IF(Agent04_Loans!B149="","",Agent04_Loans!C149)</f>
        <v/>
      </c>
      <c r="D737" s="41" t="str">
        <f>IF(Agent04_Loans!B149="","",Agent04_Loans!D149)</f>
        <v/>
      </c>
      <c r="E737" s="43" t="str">
        <f>IF(Agent04_Loans!B149="","",Agent04_Loans!E149)</f>
        <v/>
      </c>
      <c r="F737" s="40" t="str">
        <f>IF(Agent04_Loans!B149="","",Agent04_Loans!F149)</f>
        <v/>
      </c>
      <c r="G737" s="40" t="str">
        <f>IF(Agent04_Loans!B149="","",Agent04_Loans!G149)</f>
        <v/>
      </c>
      <c r="H737" s="40" t="str">
        <f>IF(Agent04_Loans!B149="","",Agent04_Loans!H149)</f>
        <v/>
      </c>
      <c r="I737" s="43" t="str">
        <f>IF(Agent04_Loans!B149="","",Agent04_Loans!I149)</f>
        <v/>
      </c>
      <c r="J737" s="43" t="str">
        <f>IF(Agent04_Loans!B149="","",Agent04_Loans!J149)</f>
        <v/>
      </c>
      <c r="K737" s="40" t="str">
        <f>IF(Agent04_Loans!B149="","",Agent04_Loans!K149)</f>
        <v/>
      </c>
      <c r="L737" s="40" t="str">
        <f>IF(Agent04_Loans!B149="","",Agent04_Loans!L149)</f>
        <v/>
      </c>
      <c r="M737" s="40" t="str">
        <f>IFERROR(IF(Agent04_Loans!B149="","",YEAR(Agent04_Loans!D149)),"")</f>
        <v/>
      </c>
    </row>
    <row r="738" spans="1:13" ht="18" customHeight="1" x14ac:dyDescent="0.25">
      <c r="A738" s="40" t="str">
        <f>IF(Agent04_Loans!B150="","",Agent04_Loans!A150)</f>
        <v/>
      </c>
      <c r="B738" s="40" t="str">
        <f>IF(Agent04_Loans!B150="","",Agent04_Loans!B150)</f>
        <v/>
      </c>
      <c r="C738" s="40" t="str">
        <f>IF(Agent04_Loans!B150="","",Agent04_Loans!C150)</f>
        <v/>
      </c>
      <c r="D738" s="41" t="str">
        <f>IF(Agent04_Loans!B150="","",Agent04_Loans!D150)</f>
        <v/>
      </c>
      <c r="E738" s="43" t="str">
        <f>IF(Agent04_Loans!B150="","",Agent04_Loans!E150)</f>
        <v/>
      </c>
      <c r="F738" s="40" t="str">
        <f>IF(Agent04_Loans!B150="","",Agent04_Loans!F150)</f>
        <v/>
      </c>
      <c r="G738" s="40" t="str">
        <f>IF(Agent04_Loans!B150="","",Agent04_Loans!G150)</f>
        <v/>
      </c>
      <c r="H738" s="40" t="str">
        <f>IF(Agent04_Loans!B150="","",Agent04_Loans!H150)</f>
        <v/>
      </c>
      <c r="I738" s="43" t="str">
        <f>IF(Agent04_Loans!B150="","",Agent04_Loans!I150)</f>
        <v/>
      </c>
      <c r="J738" s="43" t="str">
        <f>IF(Agent04_Loans!B150="","",Agent04_Loans!J150)</f>
        <v/>
      </c>
      <c r="K738" s="40" t="str">
        <f>IF(Agent04_Loans!B150="","",Agent04_Loans!K150)</f>
        <v/>
      </c>
      <c r="L738" s="40" t="str">
        <f>IF(Agent04_Loans!B150="","",Agent04_Loans!L150)</f>
        <v/>
      </c>
      <c r="M738" s="40" t="str">
        <f>IFERROR(IF(Agent04_Loans!B150="","",YEAR(Agent04_Loans!D150)),"")</f>
        <v/>
      </c>
    </row>
    <row r="739" spans="1:13" ht="18" customHeight="1" x14ac:dyDescent="0.25">
      <c r="A739" s="40" t="str">
        <f>IF(Agent04_Loans!B151="","",Agent04_Loans!A151)</f>
        <v/>
      </c>
      <c r="B739" s="40" t="str">
        <f>IF(Agent04_Loans!B151="","",Agent04_Loans!B151)</f>
        <v/>
      </c>
      <c r="C739" s="40" t="str">
        <f>IF(Agent04_Loans!B151="","",Agent04_Loans!C151)</f>
        <v/>
      </c>
      <c r="D739" s="41" t="str">
        <f>IF(Agent04_Loans!B151="","",Agent04_Loans!D151)</f>
        <v/>
      </c>
      <c r="E739" s="43" t="str">
        <f>IF(Agent04_Loans!B151="","",Agent04_Loans!E151)</f>
        <v/>
      </c>
      <c r="F739" s="40" t="str">
        <f>IF(Agent04_Loans!B151="","",Agent04_Loans!F151)</f>
        <v/>
      </c>
      <c r="G739" s="40" t="str">
        <f>IF(Agent04_Loans!B151="","",Agent04_Loans!G151)</f>
        <v/>
      </c>
      <c r="H739" s="40" t="str">
        <f>IF(Agent04_Loans!B151="","",Agent04_Loans!H151)</f>
        <v/>
      </c>
      <c r="I739" s="43" t="str">
        <f>IF(Agent04_Loans!B151="","",Agent04_Loans!I151)</f>
        <v/>
      </c>
      <c r="J739" s="43" t="str">
        <f>IF(Agent04_Loans!B151="","",Agent04_Loans!J151)</f>
        <v/>
      </c>
      <c r="K739" s="40" t="str">
        <f>IF(Agent04_Loans!B151="","",Agent04_Loans!K151)</f>
        <v/>
      </c>
      <c r="L739" s="40" t="str">
        <f>IF(Agent04_Loans!B151="","",Agent04_Loans!L151)</f>
        <v/>
      </c>
      <c r="M739" s="40" t="str">
        <f>IFERROR(IF(Agent04_Loans!B151="","",YEAR(Agent04_Loans!D151)),"")</f>
        <v/>
      </c>
    </row>
    <row r="740" spans="1:13" ht="18" customHeight="1" x14ac:dyDescent="0.25">
      <c r="A740" s="40" t="str">
        <f>IF(Agent04_Loans!B152="","",Agent04_Loans!A152)</f>
        <v/>
      </c>
      <c r="B740" s="40" t="str">
        <f>IF(Agent04_Loans!B152="","",Agent04_Loans!B152)</f>
        <v/>
      </c>
      <c r="C740" s="40" t="str">
        <f>IF(Agent04_Loans!B152="","",Agent04_Loans!C152)</f>
        <v/>
      </c>
      <c r="D740" s="41" t="str">
        <f>IF(Agent04_Loans!B152="","",Agent04_Loans!D152)</f>
        <v/>
      </c>
      <c r="E740" s="43" t="str">
        <f>IF(Agent04_Loans!B152="","",Agent04_Loans!E152)</f>
        <v/>
      </c>
      <c r="F740" s="40" t="str">
        <f>IF(Agent04_Loans!B152="","",Agent04_Loans!F152)</f>
        <v/>
      </c>
      <c r="G740" s="40" t="str">
        <f>IF(Agent04_Loans!B152="","",Agent04_Loans!G152)</f>
        <v/>
      </c>
      <c r="H740" s="40" t="str">
        <f>IF(Agent04_Loans!B152="","",Agent04_Loans!H152)</f>
        <v/>
      </c>
      <c r="I740" s="43" t="str">
        <f>IF(Agent04_Loans!B152="","",Agent04_Loans!I152)</f>
        <v/>
      </c>
      <c r="J740" s="43" t="str">
        <f>IF(Agent04_Loans!B152="","",Agent04_Loans!J152)</f>
        <v/>
      </c>
      <c r="K740" s="40" t="str">
        <f>IF(Agent04_Loans!B152="","",Agent04_Loans!K152)</f>
        <v/>
      </c>
      <c r="L740" s="40" t="str">
        <f>IF(Agent04_Loans!B152="","",Agent04_Loans!L152)</f>
        <v/>
      </c>
      <c r="M740" s="40" t="str">
        <f>IFERROR(IF(Agent04_Loans!B152="","",YEAR(Agent04_Loans!D152)),"")</f>
        <v/>
      </c>
    </row>
    <row r="741" spans="1:13" ht="18" customHeight="1" x14ac:dyDescent="0.25">
      <c r="A741" s="40" t="str">
        <f>IF(Agent04_Loans!B153="","",Agent04_Loans!A153)</f>
        <v/>
      </c>
      <c r="B741" s="40" t="str">
        <f>IF(Agent04_Loans!B153="","",Agent04_Loans!B153)</f>
        <v/>
      </c>
      <c r="C741" s="40" t="str">
        <f>IF(Agent04_Loans!B153="","",Agent04_Loans!C153)</f>
        <v/>
      </c>
      <c r="D741" s="41" t="str">
        <f>IF(Agent04_Loans!B153="","",Agent04_Loans!D153)</f>
        <v/>
      </c>
      <c r="E741" s="43" t="str">
        <f>IF(Agent04_Loans!B153="","",Agent04_Loans!E153)</f>
        <v/>
      </c>
      <c r="F741" s="40" t="str">
        <f>IF(Agent04_Loans!B153="","",Agent04_Loans!F153)</f>
        <v/>
      </c>
      <c r="G741" s="40" t="str">
        <f>IF(Agent04_Loans!B153="","",Agent04_Loans!G153)</f>
        <v/>
      </c>
      <c r="H741" s="40" t="str">
        <f>IF(Agent04_Loans!B153="","",Agent04_Loans!H153)</f>
        <v/>
      </c>
      <c r="I741" s="43" t="str">
        <f>IF(Agent04_Loans!B153="","",Agent04_Loans!I153)</f>
        <v/>
      </c>
      <c r="J741" s="43" t="str">
        <f>IF(Agent04_Loans!B153="","",Agent04_Loans!J153)</f>
        <v/>
      </c>
      <c r="K741" s="40" t="str">
        <f>IF(Agent04_Loans!B153="","",Agent04_Loans!K153)</f>
        <v/>
      </c>
      <c r="L741" s="40" t="str">
        <f>IF(Agent04_Loans!B153="","",Agent04_Loans!L153)</f>
        <v/>
      </c>
      <c r="M741" s="40" t="str">
        <f>IFERROR(IF(Agent04_Loans!B153="","",YEAR(Agent04_Loans!D153)),"")</f>
        <v/>
      </c>
    </row>
    <row r="742" spans="1:13" ht="18" customHeight="1" x14ac:dyDescent="0.25">
      <c r="A742" s="40" t="str">
        <f>IF(Agent04_Loans!B154="","",Agent04_Loans!A154)</f>
        <v/>
      </c>
      <c r="B742" s="40" t="str">
        <f>IF(Agent04_Loans!B154="","",Agent04_Loans!B154)</f>
        <v/>
      </c>
      <c r="C742" s="40" t="str">
        <f>IF(Agent04_Loans!B154="","",Agent04_Loans!C154)</f>
        <v/>
      </c>
      <c r="D742" s="41" t="str">
        <f>IF(Agent04_Loans!B154="","",Agent04_Loans!D154)</f>
        <v/>
      </c>
      <c r="E742" s="43" t="str">
        <f>IF(Agent04_Loans!B154="","",Agent04_Loans!E154)</f>
        <v/>
      </c>
      <c r="F742" s="40" t="str">
        <f>IF(Agent04_Loans!B154="","",Agent04_Loans!F154)</f>
        <v/>
      </c>
      <c r="G742" s="40" t="str">
        <f>IF(Agent04_Loans!B154="","",Agent04_Loans!G154)</f>
        <v/>
      </c>
      <c r="H742" s="40" t="str">
        <f>IF(Agent04_Loans!B154="","",Agent04_Loans!H154)</f>
        <v/>
      </c>
      <c r="I742" s="43" t="str">
        <f>IF(Agent04_Loans!B154="","",Agent04_Loans!I154)</f>
        <v/>
      </c>
      <c r="J742" s="43" t="str">
        <f>IF(Agent04_Loans!B154="","",Agent04_Loans!J154)</f>
        <v/>
      </c>
      <c r="K742" s="40" t="str">
        <f>IF(Agent04_Loans!B154="","",Agent04_Loans!K154)</f>
        <v/>
      </c>
      <c r="L742" s="40" t="str">
        <f>IF(Agent04_Loans!B154="","",Agent04_Loans!L154)</f>
        <v/>
      </c>
      <c r="M742" s="40" t="str">
        <f>IFERROR(IF(Agent04_Loans!B154="","",YEAR(Agent04_Loans!D154)),"")</f>
        <v/>
      </c>
    </row>
    <row r="743" spans="1:13" ht="18" customHeight="1" x14ac:dyDescent="0.25">
      <c r="A743" s="40" t="str">
        <f>IF(Agent04_Loans!B155="","",Agent04_Loans!A155)</f>
        <v/>
      </c>
      <c r="B743" s="40" t="str">
        <f>IF(Agent04_Loans!B155="","",Agent04_Loans!B155)</f>
        <v/>
      </c>
      <c r="C743" s="40" t="str">
        <f>IF(Agent04_Loans!B155="","",Agent04_Loans!C155)</f>
        <v/>
      </c>
      <c r="D743" s="41" t="str">
        <f>IF(Agent04_Loans!B155="","",Agent04_Loans!D155)</f>
        <v/>
      </c>
      <c r="E743" s="43" t="str">
        <f>IF(Agent04_Loans!B155="","",Agent04_Loans!E155)</f>
        <v/>
      </c>
      <c r="F743" s="40" t="str">
        <f>IF(Agent04_Loans!B155="","",Agent04_Loans!F155)</f>
        <v/>
      </c>
      <c r="G743" s="40" t="str">
        <f>IF(Agent04_Loans!B155="","",Agent04_Loans!G155)</f>
        <v/>
      </c>
      <c r="H743" s="40" t="str">
        <f>IF(Agent04_Loans!B155="","",Agent04_Loans!H155)</f>
        <v/>
      </c>
      <c r="I743" s="43" t="str">
        <f>IF(Agent04_Loans!B155="","",Agent04_Loans!I155)</f>
        <v/>
      </c>
      <c r="J743" s="43" t="str">
        <f>IF(Agent04_Loans!B155="","",Agent04_Loans!J155)</f>
        <v/>
      </c>
      <c r="K743" s="40" t="str">
        <f>IF(Agent04_Loans!B155="","",Agent04_Loans!K155)</f>
        <v/>
      </c>
      <c r="L743" s="40" t="str">
        <f>IF(Agent04_Loans!B155="","",Agent04_Loans!L155)</f>
        <v/>
      </c>
      <c r="M743" s="40" t="str">
        <f>IFERROR(IF(Agent04_Loans!B155="","",YEAR(Agent04_Loans!D155)),"")</f>
        <v/>
      </c>
    </row>
    <row r="744" spans="1:13" ht="18" customHeight="1" x14ac:dyDescent="0.25">
      <c r="A744" s="40" t="str">
        <f>IF(Agent04_Loans!B156="","",Agent04_Loans!A156)</f>
        <v/>
      </c>
      <c r="B744" s="40" t="str">
        <f>IF(Agent04_Loans!B156="","",Agent04_Loans!B156)</f>
        <v/>
      </c>
      <c r="C744" s="40" t="str">
        <f>IF(Agent04_Loans!B156="","",Agent04_Loans!C156)</f>
        <v/>
      </c>
      <c r="D744" s="41" t="str">
        <f>IF(Agent04_Loans!B156="","",Agent04_Loans!D156)</f>
        <v/>
      </c>
      <c r="E744" s="43" t="str">
        <f>IF(Agent04_Loans!B156="","",Agent04_Loans!E156)</f>
        <v/>
      </c>
      <c r="F744" s="40" t="str">
        <f>IF(Agent04_Loans!B156="","",Agent04_Loans!F156)</f>
        <v/>
      </c>
      <c r="G744" s="40" t="str">
        <f>IF(Agent04_Loans!B156="","",Agent04_Loans!G156)</f>
        <v/>
      </c>
      <c r="H744" s="40" t="str">
        <f>IF(Agent04_Loans!B156="","",Agent04_Loans!H156)</f>
        <v/>
      </c>
      <c r="I744" s="43" t="str">
        <f>IF(Agent04_Loans!B156="","",Agent04_Loans!I156)</f>
        <v/>
      </c>
      <c r="J744" s="43" t="str">
        <f>IF(Agent04_Loans!B156="","",Agent04_Loans!J156)</f>
        <v/>
      </c>
      <c r="K744" s="40" t="str">
        <f>IF(Agent04_Loans!B156="","",Agent04_Loans!K156)</f>
        <v/>
      </c>
      <c r="L744" s="40" t="str">
        <f>IF(Agent04_Loans!B156="","",Agent04_Loans!L156)</f>
        <v/>
      </c>
      <c r="M744" s="40" t="str">
        <f>IFERROR(IF(Agent04_Loans!B156="","",YEAR(Agent04_Loans!D156)),"")</f>
        <v/>
      </c>
    </row>
    <row r="745" spans="1:13" ht="18" customHeight="1" x14ac:dyDescent="0.25">
      <c r="A745" s="40" t="str">
        <f>IF(Agent04_Loans!B157="","",Agent04_Loans!A157)</f>
        <v/>
      </c>
      <c r="B745" s="40" t="str">
        <f>IF(Agent04_Loans!B157="","",Agent04_Loans!B157)</f>
        <v/>
      </c>
      <c r="C745" s="40" t="str">
        <f>IF(Agent04_Loans!B157="","",Agent04_Loans!C157)</f>
        <v/>
      </c>
      <c r="D745" s="41" t="str">
        <f>IF(Agent04_Loans!B157="","",Agent04_Loans!D157)</f>
        <v/>
      </c>
      <c r="E745" s="43" t="str">
        <f>IF(Agent04_Loans!B157="","",Agent04_Loans!E157)</f>
        <v/>
      </c>
      <c r="F745" s="40" t="str">
        <f>IF(Agent04_Loans!B157="","",Agent04_Loans!F157)</f>
        <v/>
      </c>
      <c r="G745" s="40" t="str">
        <f>IF(Agent04_Loans!B157="","",Agent04_Loans!G157)</f>
        <v/>
      </c>
      <c r="H745" s="40" t="str">
        <f>IF(Agent04_Loans!B157="","",Agent04_Loans!H157)</f>
        <v/>
      </c>
      <c r="I745" s="43" t="str">
        <f>IF(Agent04_Loans!B157="","",Agent04_Loans!I157)</f>
        <v/>
      </c>
      <c r="J745" s="43" t="str">
        <f>IF(Agent04_Loans!B157="","",Agent04_Loans!J157)</f>
        <v/>
      </c>
      <c r="K745" s="40" t="str">
        <f>IF(Agent04_Loans!B157="","",Agent04_Loans!K157)</f>
        <v/>
      </c>
      <c r="L745" s="40" t="str">
        <f>IF(Agent04_Loans!B157="","",Agent04_Loans!L157)</f>
        <v/>
      </c>
      <c r="M745" s="40" t="str">
        <f>IFERROR(IF(Agent04_Loans!B157="","",YEAR(Agent04_Loans!D157)),"")</f>
        <v/>
      </c>
    </row>
    <row r="746" spans="1:13" ht="18" customHeight="1" x14ac:dyDescent="0.25">
      <c r="A746" s="40" t="str">
        <f>IF(Agent04_Loans!B158="","",Agent04_Loans!A158)</f>
        <v/>
      </c>
      <c r="B746" s="40" t="str">
        <f>IF(Agent04_Loans!B158="","",Agent04_Loans!B158)</f>
        <v/>
      </c>
      <c r="C746" s="40" t="str">
        <f>IF(Agent04_Loans!B158="","",Agent04_Loans!C158)</f>
        <v/>
      </c>
      <c r="D746" s="41" t="str">
        <f>IF(Agent04_Loans!B158="","",Agent04_Loans!D158)</f>
        <v/>
      </c>
      <c r="E746" s="43" t="str">
        <f>IF(Agent04_Loans!B158="","",Agent04_Loans!E158)</f>
        <v/>
      </c>
      <c r="F746" s="40" t="str">
        <f>IF(Agent04_Loans!B158="","",Agent04_Loans!F158)</f>
        <v/>
      </c>
      <c r="G746" s="40" t="str">
        <f>IF(Agent04_Loans!B158="","",Agent04_Loans!G158)</f>
        <v/>
      </c>
      <c r="H746" s="40" t="str">
        <f>IF(Agent04_Loans!B158="","",Agent04_Loans!H158)</f>
        <v/>
      </c>
      <c r="I746" s="43" t="str">
        <f>IF(Agent04_Loans!B158="","",Agent04_Loans!I158)</f>
        <v/>
      </c>
      <c r="J746" s="43" t="str">
        <f>IF(Agent04_Loans!B158="","",Agent04_Loans!J158)</f>
        <v/>
      </c>
      <c r="K746" s="40" t="str">
        <f>IF(Agent04_Loans!B158="","",Agent04_Loans!K158)</f>
        <v/>
      </c>
      <c r="L746" s="40" t="str">
        <f>IF(Agent04_Loans!B158="","",Agent04_Loans!L158)</f>
        <v/>
      </c>
      <c r="M746" s="40" t="str">
        <f>IFERROR(IF(Agent04_Loans!B158="","",YEAR(Agent04_Loans!D158)),"")</f>
        <v/>
      </c>
    </row>
    <row r="747" spans="1:13" ht="18" customHeight="1" x14ac:dyDescent="0.25">
      <c r="A747" s="40" t="str">
        <f>IF(Agent04_Loans!B159="","",Agent04_Loans!A159)</f>
        <v/>
      </c>
      <c r="B747" s="40" t="str">
        <f>IF(Agent04_Loans!B159="","",Agent04_Loans!B159)</f>
        <v/>
      </c>
      <c r="C747" s="40" t="str">
        <f>IF(Agent04_Loans!B159="","",Agent04_Loans!C159)</f>
        <v/>
      </c>
      <c r="D747" s="41" t="str">
        <f>IF(Agent04_Loans!B159="","",Agent04_Loans!D159)</f>
        <v/>
      </c>
      <c r="E747" s="43" t="str">
        <f>IF(Agent04_Loans!B159="","",Agent04_Loans!E159)</f>
        <v/>
      </c>
      <c r="F747" s="40" t="str">
        <f>IF(Agent04_Loans!B159="","",Agent04_Loans!F159)</f>
        <v/>
      </c>
      <c r="G747" s="40" t="str">
        <f>IF(Agent04_Loans!B159="","",Agent04_Loans!G159)</f>
        <v/>
      </c>
      <c r="H747" s="40" t="str">
        <f>IF(Agent04_Loans!B159="","",Agent04_Loans!H159)</f>
        <v/>
      </c>
      <c r="I747" s="43" t="str">
        <f>IF(Agent04_Loans!B159="","",Agent04_Loans!I159)</f>
        <v/>
      </c>
      <c r="J747" s="43" t="str">
        <f>IF(Agent04_Loans!B159="","",Agent04_Loans!J159)</f>
        <v/>
      </c>
      <c r="K747" s="40" t="str">
        <f>IF(Agent04_Loans!B159="","",Agent04_Loans!K159)</f>
        <v/>
      </c>
      <c r="L747" s="40" t="str">
        <f>IF(Agent04_Loans!B159="","",Agent04_Loans!L159)</f>
        <v/>
      </c>
      <c r="M747" s="40" t="str">
        <f>IFERROR(IF(Agent04_Loans!B159="","",YEAR(Agent04_Loans!D159)),"")</f>
        <v/>
      </c>
    </row>
    <row r="748" spans="1:13" ht="18" customHeight="1" x14ac:dyDescent="0.25">
      <c r="A748" s="40" t="str">
        <f>IF(Agent04_Loans!B160="","",Agent04_Loans!A160)</f>
        <v/>
      </c>
      <c r="B748" s="40" t="str">
        <f>IF(Agent04_Loans!B160="","",Agent04_Loans!B160)</f>
        <v/>
      </c>
      <c r="C748" s="40" t="str">
        <f>IF(Agent04_Loans!B160="","",Agent04_Loans!C160)</f>
        <v/>
      </c>
      <c r="D748" s="41" t="str">
        <f>IF(Agent04_Loans!B160="","",Agent04_Loans!D160)</f>
        <v/>
      </c>
      <c r="E748" s="43" t="str">
        <f>IF(Agent04_Loans!B160="","",Agent04_Loans!E160)</f>
        <v/>
      </c>
      <c r="F748" s="40" t="str">
        <f>IF(Agent04_Loans!B160="","",Agent04_Loans!F160)</f>
        <v/>
      </c>
      <c r="G748" s="40" t="str">
        <f>IF(Agent04_Loans!B160="","",Agent04_Loans!G160)</f>
        <v/>
      </c>
      <c r="H748" s="40" t="str">
        <f>IF(Agent04_Loans!B160="","",Agent04_Loans!H160)</f>
        <v/>
      </c>
      <c r="I748" s="43" t="str">
        <f>IF(Agent04_Loans!B160="","",Agent04_Loans!I160)</f>
        <v/>
      </c>
      <c r="J748" s="43" t="str">
        <f>IF(Agent04_Loans!B160="","",Agent04_Loans!J160)</f>
        <v/>
      </c>
      <c r="K748" s="40" t="str">
        <f>IF(Agent04_Loans!B160="","",Agent04_Loans!K160)</f>
        <v/>
      </c>
      <c r="L748" s="40" t="str">
        <f>IF(Agent04_Loans!B160="","",Agent04_Loans!L160)</f>
        <v/>
      </c>
      <c r="M748" s="40" t="str">
        <f>IFERROR(IF(Agent04_Loans!B160="","",YEAR(Agent04_Loans!D160)),"")</f>
        <v/>
      </c>
    </row>
    <row r="749" spans="1:13" ht="18" customHeight="1" x14ac:dyDescent="0.25">
      <c r="A749" s="40" t="str">
        <f>IF(Agent04_Loans!B161="","",Agent04_Loans!A161)</f>
        <v/>
      </c>
      <c r="B749" s="40" t="str">
        <f>IF(Agent04_Loans!B161="","",Agent04_Loans!B161)</f>
        <v/>
      </c>
      <c r="C749" s="40" t="str">
        <f>IF(Agent04_Loans!B161="","",Agent04_Loans!C161)</f>
        <v/>
      </c>
      <c r="D749" s="41" t="str">
        <f>IF(Agent04_Loans!B161="","",Agent04_Loans!D161)</f>
        <v/>
      </c>
      <c r="E749" s="43" t="str">
        <f>IF(Agent04_Loans!B161="","",Agent04_Loans!E161)</f>
        <v/>
      </c>
      <c r="F749" s="40" t="str">
        <f>IF(Agent04_Loans!B161="","",Agent04_Loans!F161)</f>
        <v/>
      </c>
      <c r="G749" s="40" t="str">
        <f>IF(Agent04_Loans!B161="","",Agent04_Loans!G161)</f>
        <v/>
      </c>
      <c r="H749" s="40" t="str">
        <f>IF(Agent04_Loans!B161="","",Agent04_Loans!H161)</f>
        <v/>
      </c>
      <c r="I749" s="43" t="str">
        <f>IF(Agent04_Loans!B161="","",Agent04_Loans!I161)</f>
        <v/>
      </c>
      <c r="J749" s="43" t="str">
        <f>IF(Agent04_Loans!B161="","",Agent04_Loans!J161)</f>
        <v/>
      </c>
      <c r="K749" s="40" t="str">
        <f>IF(Agent04_Loans!B161="","",Agent04_Loans!K161)</f>
        <v/>
      </c>
      <c r="L749" s="40" t="str">
        <f>IF(Agent04_Loans!B161="","",Agent04_Loans!L161)</f>
        <v/>
      </c>
      <c r="M749" s="40" t="str">
        <f>IFERROR(IF(Agent04_Loans!B161="","",YEAR(Agent04_Loans!D161)),"")</f>
        <v/>
      </c>
    </row>
    <row r="750" spans="1:13" ht="18" customHeight="1" x14ac:dyDescent="0.25">
      <c r="A750" s="40" t="str">
        <f>IF(Agent04_Loans!B162="","",Agent04_Loans!A162)</f>
        <v/>
      </c>
      <c r="B750" s="40" t="str">
        <f>IF(Agent04_Loans!B162="","",Agent04_Loans!B162)</f>
        <v/>
      </c>
      <c r="C750" s="40" t="str">
        <f>IF(Agent04_Loans!B162="","",Agent04_Loans!C162)</f>
        <v/>
      </c>
      <c r="D750" s="41" t="str">
        <f>IF(Agent04_Loans!B162="","",Agent04_Loans!D162)</f>
        <v/>
      </c>
      <c r="E750" s="43" t="str">
        <f>IF(Agent04_Loans!B162="","",Agent04_Loans!E162)</f>
        <v/>
      </c>
      <c r="F750" s="40" t="str">
        <f>IF(Agent04_Loans!B162="","",Agent04_Loans!F162)</f>
        <v/>
      </c>
      <c r="G750" s="40" t="str">
        <f>IF(Agent04_Loans!B162="","",Agent04_Loans!G162)</f>
        <v/>
      </c>
      <c r="H750" s="40" t="str">
        <f>IF(Agent04_Loans!B162="","",Agent04_Loans!H162)</f>
        <v/>
      </c>
      <c r="I750" s="43" t="str">
        <f>IF(Agent04_Loans!B162="","",Agent04_Loans!I162)</f>
        <v/>
      </c>
      <c r="J750" s="43" t="str">
        <f>IF(Agent04_Loans!B162="","",Agent04_Loans!J162)</f>
        <v/>
      </c>
      <c r="K750" s="40" t="str">
        <f>IF(Agent04_Loans!B162="","",Agent04_Loans!K162)</f>
        <v/>
      </c>
      <c r="L750" s="40" t="str">
        <f>IF(Agent04_Loans!B162="","",Agent04_Loans!L162)</f>
        <v/>
      </c>
      <c r="M750" s="40" t="str">
        <f>IFERROR(IF(Agent04_Loans!B162="","",YEAR(Agent04_Loans!D162)),"")</f>
        <v/>
      </c>
    </row>
    <row r="751" spans="1:13" ht="18" customHeight="1" x14ac:dyDescent="0.25">
      <c r="A751" s="40" t="str">
        <f>IF(Agent04_Loans!B163="","",Agent04_Loans!A163)</f>
        <v/>
      </c>
      <c r="B751" s="40" t="str">
        <f>IF(Agent04_Loans!B163="","",Agent04_Loans!B163)</f>
        <v/>
      </c>
      <c r="C751" s="40" t="str">
        <f>IF(Agent04_Loans!B163="","",Agent04_Loans!C163)</f>
        <v/>
      </c>
      <c r="D751" s="41" t="str">
        <f>IF(Agent04_Loans!B163="","",Agent04_Loans!D163)</f>
        <v/>
      </c>
      <c r="E751" s="43" t="str">
        <f>IF(Agent04_Loans!B163="","",Agent04_Loans!E163)</f>
        <v/>
      </c>
      <c r="F751" s="40" t="str">
        <f>IF(Agent04_Loans!B163="","",Agent04_Loans!F163)</f>
        <v/>
      </c>
      <c r="G751" s="40" t="str">
        <f>IF(Agent04_Loans!B163="","",Agent04_Loans!G163)</f>
        <v/>
      </c>
      <c r="H751" s="40" t="str">
        <f>IF(Agent04_Loans!B163="","",Agent04_Loans!H163)</f>
        <v/>
      </c>
      <c r="I751" s="43" t="str">
        <f>IF(Agent04_Loans!B163="","",Agent04_Loans!I163)</f>
        <v/>
      </c>
      <c r="J751" s="43" t="str">
        <f>IF(Agent04_Loans!B163="","",Agent04_Loans!J163)</f>
        <v/>
      </c>
      <c r="K751" s="40" t="str">
        <f>IF(Agent04_Loans!B163="","",Agent04_Loans!K163)</f>
        <v/>
      </c>
      <c r="L751" s="40" t="str">
        <f>IF(Agent04_Loans!B163="","",Agent04_Loans!L163)</f>
        <v/>
      </c>
      <c r="M751" s="40" t="str">
        <f>IFERROR(IF(Agent04_Loans!B163="","",YEAR(Agent04_Loans!D163)),"")</f>
        <v/>
      </c>
    </row>
    <row r="752" spans="1:13" ht="18" customHeight="1" x14ac:dyDescent="0.25">
      <c r="A752" s="40" t="str">
        <f>IF(Agent04_Loans!B164="","",Agent04_Loans!A164)</f>
        <v/>
      </c>
      <c r="B752" s="40" t="str">
        <f>IF(Agent04_Loans!B164="","",Agent04_Loans!B164)</f>
        <v/>
      </c>
      <c r="C752" s="40" t="str">
        <f>IF(Agent04_Loans!B164="","",Agent04_Loans!C164)</f>
        <v/>
      </c>
      <c r="D752" s="41" t="str">
        <f>IF(Agent04_Loans!B164="","",Agent04_Loans!D164)</f>
        <v/>
      </c>
      <c r="E752" s="43" t="str">
        <f>IF(Agent04_Loans!B164="","",Agent04_Loans!E164)</f>
        <v/>
      </c>
      <c r="F752" s="40" t="str">
        <f>IF(Agent04_Loans!B164="","",Agent04_Loans!F164)</f>
        <v/>
      </c>
      <c r="G752" s="40" t="str">
        <f>IF(Agent04_Loans!B164="","",Agent04_Loans!G164)</f>
        <v/>
      </c>
      <c r="H752" s="40" t="str">
        <f>IF(Agent04_Loans!B164="","",Agent04_Loans!H164)</f>
        <v/>
      </c>
      <c r="I752" s="43" t="str">
        <f>IF(Agent04_Loans!B164="","",Agent04_Loans!I164)</f>
        <v/>
      </c>
      <c r="J752" s="43" t="str">
        <f>IF(Agent04_Loans!B164="","",Agent04_Loans!J164)</f>
        <v/>
      </c>
      <c r="K752" s="40" t="str">
        <f>IF(Agent04_Loans!B164="","",Agent04_Loans!K164)</f>
        <v/>
      </c>
      <c r="L752" s="40" t="str">
        <f>IF(Agent04_Loans!B164="","",Agent04_Loans!L164)</f>
        <v/>
      </c>
      <c r="M752" s="40" t="str">
        <f>IFERROR(IF(Agent04_Loans!B164="","",YEAR(Agent04_Loans!D164)),"")</f>
        <v/>
      </c>
    </row>
    <row r="753" spans="1:13" ht="18" customHeight="1" x14ac:dyDescent="0.25">
      <c r="A753" s="40" t="str">
        <f>IF(Agent04_Loans!B165="","",Agent04_Loans!A165)</f>
        <v/>
      </c>
      <c r="B753" s="40" t="str">
        <f>IF(Agent04_Loans!B165="","",Agent04_Loans!B165)</f>
        <v/>
      </c>
      <c r="C753" s="40" t="str">
        <f>IF(Agent04_Loans!B165="","",Agent04_Loans!C165)</f>
        <v/>
      </c>
      <c r="D753" s="41" t="str">
        <f>IF(Agent04_Loans!B165="","",Agent04_Loans!D165)</f>
        <v/>
      </c>
      <c r="E753" s="43" t="str">
        <f>IF(Agent04_Loans!B165="","",Agent04_Loans!E165)</f>
        <v/>
      </c>
      <c r="F753" s="40" t="str">
        <f>IF(Agent04_Loans!B165="","",Agent04_Loans!F165)</f>
        <v/>
      </c>
      <c r="G753" s="40" t="str">
        <f>IF(Agent04_Loans!B165="","",Agent04_Loans!G165)</f>
        <v/>
      </c>
      <c r="H753" s="40" t="str">
        <f>IF(Agent04_Loans!B165="","",Agent04_Loans!H165)</f>
        <v/>
      </c>
      <c r="I753" s="43" t="str">
        <f>IF(Agent04_Loans!B165="","",Agent04_Loans!I165)</f>
        <v/>
      </c>
      <c r="J753" s="43" t="str">
        <f>IF(Agent04_Loans!B165="","",Agent04_Loans!J165)</f>
        <v/>
      </c>
      <c r="K753" s="40" t="str">
        <f>IF(Agent04_Loans!B165="","",Agent04_Loans!K165)</f>
        <v/>
      </c>
      <c r="L753" s="40" t="str">
        <f>IF(Agent04_Loans!B165="","",Agent04_Loans!L165)</f>
        <v/>
      </c>
      <c r="M753" s="40" t="str">
        <f>IFERROR(IF(Agent04_Loans!B165="","",YEAR(Agent04_Loans!D165)),"")</f>
        <v/>
      </c>
    </row>
    <row r="754" spans="1:13" ht="18" customHeight="1" x14ac:dyDescent="0.25">
      <c r="A754" s="40" t="str">
        <f>IF(Agent04_Loans!B166="","",Agent04_Loans!A166)</f>
        <v/>
      </c>
      <c r="B754" s="40" t="str">
        <f>IF(Agent04_Loans!B166="","",Agent04_Loans!B166)</f>
        <v/>
      </c>
      <c r="C754" s="40" t="str">
        <f>IF(Agent04_Loans!B166="","",Agent04_Loans!C166)</f>
        <v/>
      </c>
      <c r="D754" s="41" t="str">
        <f>IF(Agent04_Loans!B166="","",Agent04_Loans!D166)</f>
        <v/>
      </c>
      <c r="E754" s="43" t="str">
        <f>IF(Agent04_Loans!B166="","",Agent04_Loans!E166)</f>
        <v/>
      </c>
      <c r="F754" s="40" t="str">
        <f>IF(Agent04_Loans!B166="","",Agent04_Loans!F166)</f>
        <v/>
      </c>
      <c r="G754" s="40" t="str">
        <f>IF(Agent04_Loans!B166="","",Agent04_Loans!G166)</f>
        <v/>
      </c>
      <c r="H754" s="40" t="str">
        <f>IF(Agent04_Loans!B166="","",Agent04_Loans!H166)</f>
        <v/>
      </c>
      <c r="I754" s="43" t="str">
        <f>IF(Agent04_Loans!B166="","",Agent04_Loans!I166)</f>
        <v/>
      </c>
      <c r="J754" s="43" t="str">
        <f>IF(Agent04_Loans!B166="","",Agent04_Loans!J166)</f>
        <v/>
      </c>
      <c r="K754" s="40" t="str">
        <f>IF(Agent04_Loans!B166="","",Agent04_Loans!K166)</f>
        <v/>
      </c>
      <c r="L754" s="40" t="str">
        <f>IF(Agent04_Loans!B166="","",Agent04_Loans!L166)</f>
        <v/>
      </c>
      <c r="M754" s="40" t="str">
        <f>IFERROR(IF(Agent04_Loans!B166="","",YEAR(Agent04_Loans!D166)),"")</f>
        <v/>
      </c>
    </row>
    <row r="755" spans="1:13" ht="18" customHeight="1" x14ac:dyDescent="0.25">
      <c r="A755" s="40" t="str">
        <f>IF(Agent04_Loans!B167="","",Agent04_Loans!A167)</f>
        <v/>
      </c>
      <c r="B755" s="40" t="str">
        <f>IF(Agent04_Loans!B167="","",Agent04_Loans!B167)</f>
        <v/>
      </c>
      <c r="C755" s="40" t="str">
        <f>IF(Agent04_Loans!B167="","",Agent04_Loans!C167)</f>
        <v/>
      </c>
      <c r="D755" s="41" t="str">
        <f>IF(Agent04_Loans!B167="","",Agent04_Loans!D167)</f>
        <v/>
      </c>
      <c r="E755" s="43" t="str">
        <f>IF(Agent04_Loans!B167="","",Agent04_Loans!E167)</f>
        <v/>
      </c>
      <c r="F755" s="40" t="str">
        <f>IF(Agent04_Loans!B167="","",Agent04_Loans!F167)</f>
        <v/>
      </c>
      <c r="G755" s="40" t="str">
        <f>IF(Agent04_Loans!B167="","",Agent04_Loans!G167)</f>
        <v/>
      </c>
      <c r="H755" s="40" t="str">
        <f>IF(Agent04_Loans!B167="","",Agent04_Loans!H167)</f>
        <v/>
      </c>
      <c r="I755" s="43" t="str">
        <f>IF(Agent04_Loans!B167="","",Agent04_Loans!I167)</f>
        <v/>
      </c>
      <c r="J755" s="43" t="str">
        <f>IF(Agent04_Loans!B167="","",Agent04_Loans!J167)</f>
        <v/>
      </c>
      <c r="K755" s="40" t="str">
        <f>IF(Agent04_Loans!B167="","",Agent04_Loans!K167)</f>
        <v/>
      </c>
      <c r="L755" s="40" t="str">
        <f>IF(Agent04_Loans!B167="","",Agent04_Loans!L167)</f>
        <v/>
      </c>
      <c r="M755" s="40" t="str">
        <f>IFERROR(IF(Agent04_Loans!B167="","",YEAR(Agent04_Loans!D167)),"")</f>
        <v/>
      </c>
    </row>
    <row r="756" spans="1:13" ht="18" customHeight="1" x14ac:dyDescent="0.25">
      <c r="A756" s="40" t="str">
        <f>IF(Agent04_Loans!B168="","",Agent04_Loans!A168)</f>
        <v/>
      </c>
      <c r="B756" s="40" t="str">
        <f>IF(Agent04_Loans!B168="","",Agent04_Loans!B168)</f>
        <v/>
      </c>
      <c r="C756" s="40" t="str">
        <f>IF(Agent04_Loans!B168="","",Agent04_Loans!C168)</f>
        <v/>
      </c>
      <c r="D756" s="41" t="str">
        <f>IF(Agent04_Loans!B168="","",Agent04_Loans!D168)</f>
        <v/>
      </c>
      <c r="E756" s="43" t="str">
        <f>IF(Agent04_Loans!B168="","",Agent04_Loans!E168)</f>
        <v/>
      </c>
      <c r="F756" s="40" t="str">
        <f>IF(Agent04_Loans!B168="","",Agent04_Loans!F168)</f>
        <v/>
      </c>
      <c r="G756" s="40" t="str">
        <f>IF(Agent04_Loans!B168="","",Agent04_Loans!G168)</f>
        <v/>
      </c>
      <c r="H756" s="40" t="str">
        <f>IF(Agent04_Loans!B168="","",Agent04_Loans!H168)</f>
        <v/>
      </c>
      <c r="I756" s="43" t="str">
        <f>IF(Agent04_Loans!B168="","",Agent04_Loans!I168)</f>
        <v/>
      </c>
      <c r="J756" s="43" t="str">
        <f>IF(Agent04_Loans!B168="","",Agent04_Loans!J168)</f>
        <v/>
      </c>
      <c r="K756" s="40" t="str">
        <f>IF(Agent04_Loans!B168="","",Agent04_Loans!K168)</f>
        <v/>
      </c>
      <c r="L756" s="40" t="str">
        <f>IF(Agent04_Loans!B168="","",Agent04_Loans!L168)</f>
        <v/>
      </c>
      <c r="M756" s="40" t="str">
        <f>IFERROR(IF(Agent04_Loans!B168="","",YEAR(Agent04_Loans!D168)),"")</f>
        <v/>
      </c>
    </row>
    <row r="757" spans="1:13" ht="18" customHeight="1" x14ac:dyDescent="0.25">
      <c r="A757" s="40" t="str">
        <f>IF(Agent04_Loans!B169="","",Agent04_Loans!A169)</f>
        <v/>
      </c>
      <c r="B757" s="40" t="str">
        <f>IF(Agent04_Loans!B169="","",Agent04_Loans!B169)</f>
        <v/>
      </c>
      <c r="C757" s="40" t="str">
        <f>IF(Agent04_Loans!B169="","",Agent04_Loans!C169)</f>
        <v/>
      </c>
      <c r="D757" s="41" t="str">
        <f>IF(Agent04_Loans!B169="","",Agent04_Loans!D169)</f>
        <v/>
      </c>
      <c r="E757" s="43" t="str">
        <f>IF(Agent04_Loans!B169="","",Agent04_Loans!E169)</f>
        <v/>
      </c>
      <c r="F757" s="40" t="str">
        <f>IF(Agent04_Loans!B169="","",Agent04_Loans!F169)</f>
        <v/>
      </c>
      <c r="G757" s="40" t="str">
        <f>IF(Agent04_Loans!B169="","",Agent04_Loans!G169)</f>
        <v/>
      </c>
      <c r="H757" s="40" t="str">
        <f>IF(Agent04_Loans!B169="","",Agent04_Loans!H169)</f>
        <v/>
      </c>
      <c r="I757" s="43" t="str">
        <f>IF(Agent04_Loans!B169="","",Agent04_Loans!I169)</f>
        <v/>
      </c>
      <c r="J757" s="43" t="str">
        <f>IF(Agent04_Loans!B169="","",Agent04_Loans!J169)</f>
        <v/>
      </c>
      <c r="K757" s="40" t="str">
        <f>IF(Agent04_Loans!B169="","",Agent04_Loans!K169)</f>
        <v/>
      </c>
      <c r="L757" s="40" t="str">
        <f>IF(Agent04_Loans!B169="","",Agent04_Loans!L169)</f>
        <v/>
      </c>
      <c r="M757" s="40" t="str">
        <f>IFERROR(IF(Agent04_Loans!B169="","",YEAR(Agent04_Loans!D169)),"")</f>
        <v/>
      </c>
    </row>
    <row r="758" spans="1:13" ht="18" customHeight="1" x14ac:dyDescent="0.25">
      <c r="A758" s="40" t="str">
        <f>IF(Agent04_Loans!B170="","",Agent04_Loans!A170)</f>
        <v/>
      </c>
      <c r="B758" s="40" t="str">
        <f>IF(Agent04_Loans!B170="","",Agent04_Loans!B170)</f>
        <v/>
      </c>
      <c r="C758" s="40" t="str">
        <f>IF(Agent04_Loans!B170="","",Agent04_Loans!C170)</f>
        <v/>
      </c>
      <c r="D758" s="41" t="str">
        <f>IF(Agent04_Loans!B170="","",Agent04_Loans!D170)</f>
        <v/>
      </c>
      <c r="E758" s="43" t="str">
        <f>IF(Agent04_Loans!B170="","",Agent04_Loans!E170)</f>
        <v/>
      </c>
      <c r="F758" s="40" t="str">
        <f>IF(Agent04_Loans!B170="","",Agent04_Loans!F170)</f>
        <v/>
      </c>
      <c r="G758" s="40" t="str">
        <f>IF(Agent04_Loans!B170="","",Agent04_Loans!G170)</f>
        <v/>
      </c>
      <c r="H758" s="40" t="str">
        <f>IF(Agent04_Loans!B170="","",Agent04_Loans!H170)</f>
        <v/>
      </c>
      <c r="I758" s="43" t="str">
        <f>IF(Agent04_Loans!B170="","",Agent04_Loans!I170)</f>
        <v/>
      </c>
      <c r="J758" s="43" t="str">
        <f>IF(Agent04_Loans!B170="","",Agent04_Loans!J170)</f>
        <v/>
      </c>
      <c r="K758" s="40" t="str">
        <f>IF(Agent04_Loans!B170="","",Agent04_Loans!K170)</f>
        <v/>
      </c>
      <c r="L758" s="40" t="str">
        <f>IF(Agent04_Loans!B170="","",Agent04_Loans!L170)</f>
        <v/>
      </c>
      <c r="M758" s="40" t="str">
        <f>IFERROR(IF(Agent04_Loans!B170="","",YEAR(Agent04_Loans!D170)),"")</f>
        <v/>
      </c>
    </row>
    <row r="759" spans="1:13" ht="18" customHeight="1" x14ac:dyDescent="0.25">
      <c r="A759" s="40" t="str">
        <f>IF(Agent04_Loans!B171="","",Agent04_Loans!A171)</f>
        <v/>
      </c>
      <c r="B759" s="40" t="str">
        <f>IF(Agent04_Loans!B171="","",Agent04_Loans!B171)</f>
        <v/>
      </c>
      <c r="C759" s="40" t="str">
        <f>IF(Agent04_Loans!B171="","",Agent04_Loans!C171)</f>
        <v/>
      </c>
      <c r="D759" s="41" t="str">
        <f>IF(Agent04_Loans!B171="","",Agent04_Loans!D171)</f>
        <v/>
      </c>
      <c r="E759" s="43" t="str">
        <f>IF(Agent04_Loans!B171="","",Agent04_Loans!E171)</f>
        <v/>
      </c>
      <c r="F759" s="40" t="str">
        <f>IF(Agent04_Loans!B171="","",Agent04_Loans!F171)</f>
        <v/>
      </c>
      <c r="G759" s="40" t="str">
        <f>IF(Agent04_Loans!B171="","",Agent04_Loans!G171)</f>
        <v/>
      </c>
      <c r="H759" s="40" t="str">
        <f>IF(Agent04_Loans!B171="","",Agent04_Loans!H171)</f>
        <v/>
      </c>
      <c r="I759" s="43" t="str">
        <f>IF(Agent04_Loans!B171="","",Agent04_Loans!I171)</f>
        <v/>
      </c>
      <c r="J759" s="43" t="str">
        <f>IF(Agent04_Loans!B171="","",Agent04_Loans!J171)</f>
        <v/>
      </c>
      <c r="K759" s="40" t="str">
        <f>IF(Agent04_Loans!B171="","",Agent04_Loans!K171)</f>
        <v/>
      </c>
      <c r="L759" s="40" t="str">
        <f>IF(Agent04_Loans!B171="","",Agent04_Loans!L171)</f>
        <v/>
      </c>
      <c r="M759" s="40" t="str">
        <f>IFERROR(IF(Agent04_Loans!B171="","",YEAR(Agent04_Loans!D171)),"")</f>
        <v/>
      </c>
    </row>
    <row r="760" spans="1:13" ht="18" customHeight="1" x14ac:dyDescent="0.25">
      <c r="A760" s="40" t="str">
        <f>IF(Agent04_Loans!B172="","",Agent04_Loans!A172)</f>
        <v/>
      </c>
      <c r="B760" s="40" t="str">
        <f>IF(Agent04_Loans!B172="","",Agent04_Loans!B172)</f>
        <v/>
      </c>
      <c r="C760" s="40" t="str">
        <f>IF(Agent04_Loans!B172="","",Agent04_Loans!C172)</f>
        <v/>
      </c>
      <c r="D760" s="41" t="str">
        <f>IF(Agent04_Loans!B172="","",Agent04_Loans!D172)</f>
        <v/>
      </c>
      <c r="E760" s="43" t="str">
        <f>IF(Agent04_Loans!B172="","",Agent04_Loans!E172)</f>
        <v/>
      </c>
      <c r="F760" s="40" t="str">
        <f>IF(Agent04_Loans!B172="","",Agent04_Loans!F172)</f>
        <v/>
      </c>
      <c r="G760" s="40" t="str">
        <f>IF(Agent04_Loans!B172="","",Agent04_Loans!G172)</f>
        <v/>
      </c>
      <c r="H760" s="40" t="str">
        <f>IF(Agent04_Loans!B172="","",Agent04_Loans!H172)</f>
        <v/>
      </c>
      <c r="I760" s="43" t="str">
        <f>IF(Agent04_Loans!B172="","",Agent04_Loans!I172)</f>
        <v/>
      </c>
      <c r="J760" s="43" t="str">
        <f>IF(Agent04_Loans!B172="","",Agent04_Loans!J172)</f>
        <v/>
      </c>
      <c r="K760" s="40" t="str">
        <f>IF(Agent04_Loans!B172="","",Agent04_Loans!K172)</f>
        <v/>
      </c>
      <c r="L760" s="40" t="str">
        <f>IF(Agent04_Loans!B172="","",Agent04_Loans!L172)</f>
        <v/>
      </c>
      <c r="M760" s="40" t="str">
        <f>IFERROR(IF(Agent04_Loans!B172="","",YEAR(Agent04_Loans!D172)),"")</f>
        <v/>
      </c>
    </row>
    <row r="761" spans="1:13" ht="18" customHeight="1" x14ac:dyDescent="0.25">
      <c r="A761" s="40" t="str">
        <f>IF(Agent04_Loans!B173="","",Agent04_Loans!A173)</f>
        <v/>
      </c>
      <c r="B761" s="40" t="str">
        <f>IF(Agent04_Loans!B173="","",Agent04_Loans!B173)</f>
        <v/>
      </c>
      <c r="C761" s="40" t="str">
        <f>IF(Agent04_Loans!B173="","",Agent04_Loans!C173)</f>
        <v/>
      </c>
      <c r="D761" s="41" t="str">
        <f>IF(Agent04_Loans!B173="","",Agent04_Loans!D173)</f>
        <v/>
      </c>
      <c r="E761" s="43" t="str">
        <f>IF(Agent04_Loans!B173="","",Agent04_Loans!E173)</f>
        <v/>
      </c>
      <c r="F761" s="40" t="str">
        <f>IF(Agent04_Loans!B173="","",Agent04_Loans!F173)</f>
        <v/>
      </c>
      <c r="G761" s="40" t="str">
        <f>IF(Agent04_Loans!B173="","",Agent04_Loans!G173)</f>
        <v/>
      </c>
      <c r="H761" s="40" t="str">
        <f>IF(Agent04_Loans!B173="","",Agent04_Loans!H173)</f>
        <v/>
      </c>
      <c r="I761" s="43" t="str">
        <f>IF(Agent04_Loans!B173="","",Agent04_Loans!I173)</f>
        <v/>
      </c>
      <c r="J761" s="43" t="str">
        <f>IF(Agent04_Loans!B173="","",Agent04_Loans!J173)</f>
        <v/>
      </c>
      <c r="K761" s="40" t="str">
        <f>IF(Agent04_Loans!B173="","",Agent04_Loans!K173)</f>
        <v/>
      </c>
      <c r="L761" s="40" t="str">
        <f>IF(Agent04_Loans!B173="","",Agent04_Loans!L173)</f>
        <v/>
      </c>
      <c r="M761" s="40" t="str">
        <f>IFERROR(IF(Agent04_Loans!B173="","",YEAR(Agent04_Loans!D173)),"")</f>
        <v/>
      </c>
    </row>
    <row r="762" spans="1:13" ht="18" customHeight="1" x14ac:dyDescent="0.25">
      <c r="A762" s="40" t="str">
        <f>IF(Agent04_Loans!B174="","",Agent04_Loans!A174)</f>
        <v/>
      </c>
      <c r="B762" s="40" t="str">
        <f>IF(Agent04_Loans!B174="","",Agent04_Loans!B174)</f>
        <v/>
      </c>
      <c r="C762" s="40" t="str">
        <f>IF(Agent04_Loans!B174="","",Agent04_Loans!C174)</f>
        <v/>
      </c>
      <c r="D762" s="41" t="str">
        <f>IF(Agent04_Loans!B174="","",Agent04_Loans!D174)</f>
        <v/>
      </c>
      <c r="E762" s="43" t="str">
        <f>IF(Agent04_Loans!B174="","",Agent04_Loans!E174)</f>
        <v/>
      </c>
      <c r="F762" s="40" t="str">
        <f>IF(Agent04_Loans!B174="","",Agent04_Loans!F174)</f>
        <v/>
      </c>
      <c r="G762" s="40" t="str">
        <f>IF(Agent04_Loans!B174="","",Agent04_Loans!G174)</f>
        <v/>
      </c>
      <c r="H762" s="40" t="str">
        <f>IF(Agent04_Loans!B174="","",Agent04_Loans!H174)</f>
        <v/>
      </c>
      <c r="I762" s="43" t="str">
        <f>IF(Agent04_Loans!B174="","",Agent04_Loans!I174)</f>
        <v/>
      </c>
      <c r="J762" s="43" t="str">
        <f>IF(Agent04_Loans!B174="","",Agent04_Loans!J174)</f>
        <v/>
      </c>
      <c r="K762" s="40" t="str">
        <f>IF(Agent04_Loans!B174="","",Agent04_Loans!K174)</f>
        <v/>
      </c>
      <c r="L762" s="40" t="str">
        <f>IF(Agent04_Loans!B174="","",Agent04_Loans!L174)</f>
        <v/>
      </c>
      <c r="M762" s="40" t="str">
        <f>IFERROR(IF(Agent04_Loans!B174="","",YEAR(Agent04_Loans!D174)),"")</f>
        <v/>
      </c>
    </row>
    <row r="763" spans="1:13" ht="18" customHeight="1" x14ac:dyDescent="0.25">
      <c r="A763" s="40" t="str">
        <f>IF(Agent04_Loans!B175="","",Agent04_Loans!A175)</f>
        <v/>
      </c>
      <c r="B763" s="40" t="str">
        <f>IF(Agent04_Loans!B175="","",Agent04_Loans!B175)</f>
        <v/>
      </c>
      <c r="C763" s="40" t="str">
        <f>IF(Agent04_Loans!B175="","",Agent04_Loans!C175)</f>
        <v/>
      </c>
      <c r="D763" s="41" t="str">
        <f>IF(Agent04_Loans!B175="","",Agent04_Loans!D175)</f>
        <v/>
      </c>
      <c r="E763" s="43" t="str">
        <f>IF(Agent04_Loans!B175="","",Agent04_Loans!E175)</f>
        <v/>
      </c>
      <c r="F763" s="40" t="str">
        <f>IF(Agent04_Loans!B175="","",Agent04_Loans!F175)</f>
        <v/>
      </c>
      <c r="G763" s="40" t="str">
        <f>IF(Agent04_Loans!B175="","",Agent04_Loans!G175)</f>
        <v/>
      </c>
      <c r="H763" s="40" t="str">
        <f>IF(Agent04_Loans!B175="","",Agent04_Loans!H175)</f>
        <v/>
      </c>
      <c r="I763" s="43" t="str">
        <f>IF(Agent04_Loans!B175="","",Agent04_Loans!I175)</f>
        <v/>
      </c>
      <c r="J763" s="43" t="str">
        <f>IF(Agent04_Loans!B175="","",Agent04_Loans!J175)</f>
        <v/>
      </c>
      <c r="K763" s="40" t="str">
        <f>IF(Agent04_Loans!B175="","",Agent04_Loans!K175)</f>
        <v/>
      </c>
      <c r="L763" s="40" t="str">
        <f>IF(Agent04_Loans!B175="","",Agent04_Loans!L175)</f>
        <v/>
      </c>
      <c r="M763" s="40" t="str">
        <f>IFERROR(IF(Agent04_Loans!B175="","",YEAR(Agent04_Loans!D175)),"")</f>
        <v/>
      </c>
    </row>
    <row r="764" spans="1:13" ht="18" customHeight="1" x14ac:dyDescent="0.25">
      <c r="A764" s="40" t="str">
        <f>IF(Agent04_Loans!B176="","",Agent04_Loans!A176)</f>
        <v/>
      </c>
      <c r="B764" s="40" t="str">
        <f>IF(Agent04_Loans!B176="","",Agent04_Loans!B176)</f>
        <v/>
      </c>
      <c r="C764" s="40" t="str">
        <f>IF(Agent04_Loans!B176="","",Agent04_Loans!C176)</f>
        <v/>
      </c>
      <c r="D764" s="41" t="str">
        <f>IF(Agent04_Loans!B176="","",Agent04_Loans!D176)</f>
        <v/>
      </c>
      <c r="E764" s="43" t="str">
        <f>IF(Agent04_Loans!B176="","",Agent04_Loans!E176)</f>
        <v/>
      </c>
      <c r="F764" s="40" t="str">
        <f>IF(Agent04_Loans!B176="","",Agent04_Loans!F176)</f>
        <v/>
      </c>
      <c r="G764" s="40" t="str">
        <f>IF(Agent04_Loans!B176="","",Agent04_Loans!G176)</f>
        <v/>
      </c>
      <c r="H764" s="40" t="str">
        <f>IF(Agent04_Loans!B176="","",Agent04_Loans!H176)</f>
        <v/>
      </c>
      <c r="I764" s="43" t="str">
        <f>IF(Agent04_Loans!B176="","",Agent04_Loans!I176)</f>
        <v/>
      </c>
      <c r="J764" s="43" t="str">
        <f>IF(Agent04_Loans!B176="","",Agent04_Loans!J176)</f>
        <v/>
      </c>
      <c r="K764" s="40" t="str">
        <f>IF(Agent04_Loans!B176="","",Agent04_Loans!K176)</f>
        <v/>
      </c>
      <c r="L764" s="40" t="str">
        <f>IF(Agent04_Loans!B176="","",Agent04_Loans!L176)</f>
        <v/>
      </c>
      <c r="M764" s="40" t="str">
        <f>IFERROR(IF(Agent04_Loans!B176="","",YEAR(Agent04_Loans!D176)),"")</f>
        <v/>
      </c>
    </row>
    <row r="765" spans="1:13" ht="18" customHeight="1" x14ac:dyDescent="0.25">
      <c r="A765" s="40" t="str">
        <f>IF(Agent04_Loans!B177="","",Agent04_Loans!A177)</f>
        <v/>
      </c>
      <c r="B765" s="40" t="str">
        <f>IF(Agent04_Loans!B177="","",Agent04_Loans!B177)</f>
        <v/>
      </c>
      <c r="C765" s="40" t="str">
        <f>IF(Agent04_Loans!B177="","",Agent04_Loans!C177)</f>
        <v/>
      </c>
      <c r="D765" s="41" t="str">
        <f>IF(Agent04_Loans!B177="","",Agent04_Loans!D177)</f>
        <v/>
      </c>
      <c r="E765" s="43" t="str">
        <f>IF(Agent04_Loans!B177="","",Agent04_Loans!E177)</f>
        <v/>
      </c>
      <c r="F765" s="40" t="str">
        <f>IF(Agent04_Loans!B177="","",Agent04_Loans!F177)</f>
        <v/>
      </c>
      <c r="G765" s="40" t="str">
        <f>IF(Agent04_Loans!B177="","",Agent04_Loans!G177)</f>
        <v/>
      </c>
      <c r="H765" s="40" t="str">
        <f>IF(Agent04_Loans!B177="","",Agent04_Loans!H177)</f>
        <v/>
      </c>
      <c r="I765" s="43" t="str">
        <f>IF(Agent04_Loans!B177="","",Agent04_Loans!I177)</f>
        <v/>
      </c>
      <c r="J765" s="43" t="str">
        <f>IF(Agent04_Loans!B177="","",Agent04_Loans!J177)</f>
        <v/>
      </c>
      <c r="K765" s="40" t="str">
        <f>IF(Agent04_Loans!B177="","",Agent04_Loans!K177)</f>
        <v/>
      </c>
      <c r="L765" s="40" t="str">
        <f>IF(Agent04_Loans!B177="","",Agent04_Loans!L177)</f>
        <v/>
      </c>
      <c r="M765" s="40" t="str">
        <f>IFERROR(IF(Agent04_Loans!B177="","",YEAR(Agent04_Loans!D177)),"")</f>
        <v/>
      </c>
    </row>
    <row r="766" spans="1:13" ht="18" customHeight="1" x14ac:dyDescent="0.25">
      <c r="A766" s="40" t="str">
        <f>IF(Agent04_Loans!B178="","",Agent04_Loans!A178)</f>
        <v/>
      </c>
      <c r="B766" s="40" t="str">
        <f>IF(Agent04_Loans!B178="","",Agent04_Loans!B178)</f>
        <v/>
      </c>
      <c r="C766" s="40" t="str">
        <f>IF(Agent04_Loans!B178="","",Agent04_Loans!C178)</f>
        <v/>
      </c>
      <c r="D766" s="41" t="str">
        <f>IF(Agent04_Loans!B178="","",Agent04_Loans!D178)</f>
        <v/>
      </c>
      <c r="E766" s="43" t="str">
        <f>IF(Agent04_Loans!B178="","",Agent04_Loans!E178)</f>
        <v/>
      </c>
      <c r="F766" s="40" t="str">
        <f>IF(Agent04_Loans!B178="","",Agent04_Loans!F178)</f>
        <v/>
      </c>
      <c r="G766" s="40" t="str">
        <f>IF(Agent04_Loans!B178="","",Agent04_Loans!G178)</f>
        <v/>
      </c>
      <c r="H766" s="40" t="str">
        <f>IF(Agent04_Loans!B178="","",Agent04_Loans!H178)</f>
        <v/>
      </c>
      <c r="I766" s="43" t="str">
        <f>IF(Agent04_Loans!B178="","",Agent04_Loans!I178)</f>
        <v/>
      </c>
      <c r="J766" s="43" t="str">
        <f>IF(Agent04_Loans!B178="","",Agent04_Loans!J178)</f>
        <v/>
      </c>
      <c r="K766" s="40" t="str">
        <f>IF(Agent04_Loans!B178="","",Agent04_Loans!K178)</f>
        <v/>
      </c>
      <c r="L766" s="40" t="str">
        <f>IF(Agent04_Loans!B178="","",Agent04_Loans!L178)</f>
        <v/>
      </c>
      <c r="M766" s="40" t="str">
        <f>IFERROR(IF(Agent04_Loans!B178="","",YEAR(Agent04_Loans!D178)),"")</f>
        <v/>
      </c>
    </row>
    <row r="767" spans="1:13" ht="18" customHeight="1" x14ac:dyDescent="0.25">
      <c r="A767" s="40" t="str">
        <f>IF(Agent04_Loans!B179="","",Agent04_Loans!A179)</f>
        <v/>
      </c>
      <c r="B767" s="40" t="str">
        <f>IF(Agent04_Loans!B179="","",Agent04_Loans!B179)</f>
        <v/>
      </c>
      <c r="C767" s="40" t="str">
        <f>IF(Agent04_Loans!B179="","",Agent04_Loans!C179)</f>
        <v/>
      </c>
      <c r="D767" s="41" t="str">
        <f>IF(Agent04_Loans!B179="","",Agent04_Loans!D179)</f>
        <v/>
      </c>
      <c r="E767" s="43" t="str">
        <f>IF(Agent04_Loans!B179="","",Agent04_Loans!E179)</f>
        <v/>
      </c>
      <c r="F767" s="40" t="str">
        <f>IF(Agent04_Loans!B179="","",Agent04_Loans!F179)</f>
        <v/>
      </c>
      <c r="G767" s="40" t="str">
        <f>IF(Agent04_Loans!B179="","",Agent04_Loans!G179)</f>
        <v/>
      </c>
      <c r="H767" s="40" t="str">
        <f>IF(Agent04_Loans!B179="","",Agent04_Loans!H179)</f>
        <v/>
      </c>
      <c r="I767" s="43" t="str">
        <f>IF(Agent04_Loans!B179="","",Agent04_Loans!I179)</f>
        <v/>
      </c>
      <c r="J767" s="43" t="str">
        <f>IF(Agent04_Loans!B179="","",Agent04_Loans!J179)</f>
        <v/>
      </c>
      <c r="K767" s="40" t="str">
        <f>IF(Agent04_Loans!B179="","",Agent04_Loans!K179)</f>
        <v/>
      </c>
      <c r="L767" s="40" t="str">
        <f>IF(Agent04_Loans!B179="","",Agent04_Loans!L179)</f>
        <v/>
      </c>
      <c r="M767" s="40" t="str">
        <f>IFERROR(IF(Agent04_Loans!B179="","",YEAR(Agent04_Loans!D179)),"")</f>
        <v/>
      </c>
    </row>
    <row r="768" spans="1:13" ht="18" customHeight="1" x14ac:dyDescent="0.25">
      <c r="A768" s="40" t="str">
        <f>IF(Agent04_Loans!B180="","",Agent04_Loans!A180)</f>
        <v/>
      </c>
      <c r="B768" s="40" t="str">
        <f>IF(Agent04_Loans!B180="","",Agent04_Loans!B180)</f>
        <v/>
      </c>
      <c r="C768" s="40" t="str">
        <f>IF(Agent04_Loans!B180="","",Agent04_Loans!C180)</f>
        <v/>
      </c>
      <c r="D768" s="41" t="str">
        <f>IF(Agent04_Loans!B180="","",Agent04_Loans!D180)</f>
        <v/>
      </c>
      <c r="E768" s="43" t="str">
        <f>IF(Agent04_Loans!B180="","",Agent04_Loans!E180)</f>
        <v/>
      </c>
      <c r="F768" s="40" t="str">
        <f>IF(Agent04_Loans!B180="","",Agent04_Loans!F180)</f>
        <v/>
      </c>
      <c r="G768" s="40" t="str">
        <f>IF(Agent04_Loans!B180="","",Agent04_Loans!G180)</f>
        <v/>
      </c>
      <c r="H768" s="40" t="str">
        <f>IF(Agent04_Loans!B180="","",Agent04_Loans!H180)</f>
        <v/>
      </c>
      <c r="I768" s="43" t="str">
        <f>IF(Agent04_Loans!B180="","",Agent04_Loans!I180)</f>
        <v/>
      </c>
      <c r="J768" s="43" t="str">
        <f>IF(Agent04_Loans!B180="","",Agent04_Loans!J180)</f>
        <v/>
      </c>
      <c r="K768" s="40" t="str">
        <f>IF(Agent04_Loans!B180="","",Agent04_Loans!K180)</f>
        <v/>
      </c>
      <c r="L768" s="40" t="str">
        <f>IF(Agent04_Loans!B180="","",Agent04_Loans!L180)</f>
        <v/>
      </c>
      <c r="M768" s="40" t="str">
        <f>IFERROR(IF(Agent04_Loans!B180="","",YEAR(Agent04_Loans!D180)),"")</f>
        <v/>
      </c>
    </row>
    <row r="769" spans="1:13" ht="18" customHeight="1" x14ac:dyDescent="0.25">
      <c r="A769" s="40" t="str">
        <f>IF(Agent04_Loans!B181="","",Agent04_Loans!A181)</f>
        <v/>
      </c>
      <c r="B769" s="40" t="str">
        <f>IF(Agent04_Loans!B181="","",Agent04_Loans!B181)</f>
        <v/>
      </c>
      <c r="C769" s="40" t="str">
        <f>IF(Agent04_Loans!B181="","",Agent04_Loans!C181)</f>
        <v/>
      </c>
      <c r="D769" s="41" t="str">
        <f>IF(Agent04_Loans!B181="","",Agent04_Loans!D181)</f>
        <v/>
      </c>
      <c r="E769" s="43" t="str">
        <f>IF(Agent04_Loans!B181="","",Agent04_Loans!E181)</f>
        <v/>
      </c>
      <c r="F769" s="40" t="str">
        <f>IF(Agent04_Loans!B181="","",Agent04_Loans!F181)</f>
        <v/>
      </c>
      <c r="G769" s="40" t="str">
        <f>IF(Agent04_Loans!B181="","",Agent04_Loans!G181)</f>
        <v/>
      </c>
      <c r="H769" s="40" t="str">
        <f>IF(Agent04_Loans!B181="","",Agent04_Loans!H181)</f>
        <v/>
      </c>
      <c r="I769" s="43" t="str">
        <f>IF(Agent04_Loans!B181="","",Agent04_Loans!I181)</f>
        <v/>
      </c>
      <c r="J769" s="43" t="str">
        <f>IF(Agent04_Loans!B181="","",Agent04_Loans!J181)</f>
        <v/>
      </c>
      <c r="K769" s="40" t="str">
        <f>IF(Agent04_Loans!B181="","",Agent04_Loans!K181)</f>
        <v/>
      </c>
      <c r="L769" s="40" t="str">
        <f>IF(Agent04_Loans!B181="","",Agent04_Loans!L181)</f>
        <v/>
      </c>
      <c r="M769" s="40" t="str">
        <f>IFERROR(IF(Agent04_Loans!B181="","",YEAR(Agent04_Loans!D181)),"")</f>
        <v/>
      </c>
    </row>
    <row r="770" spans="1:13" ht="18" customHeight="1" x14ac:dyDescent="0.25">
      <c r="A770" s="40" t="str">
        <f>IF(Agent04_Loans!B182="","",Agent04_Loans!A182)</f>
        <v/>
      </c>
      <c r="B770" s="40" t="str">
        <f>IF(Agent04_Loans!B182="","",Agent04_Loans!B182)</f>
        <v/>
      </c>
      <c r="C770" s="40" t="str">
        <f>IF(Agent04_Loans!B182="","",Agent04_Loans!C182)</f>
        <v/>
      </c>
      <c r="D770" s="41" t="str">
        <f>IF(Agent04_Loans!B182="","",Agent04_Loans!D182)</f>
        <v/>
      </c>
      <c r="E770" s="43" t="str">
        <f>IF(Agent04_Loans!B182="","",Agent04_Loans!E182)</f>
        <v/>
      </c>
      <c r="F770" s="40" t="str">
        <f>IF(Agent04_Loans!B182="","",Agent04_Loans!F182)</f>
        <v/>
      </c>
      <c r="G770" s="40" t="str">
        <f>IF(Agent04_Loans!B182="","",Agent04_Loans!G182)</f>
        <v/>
      </c>
      <c r="H770" s="40" t="str">
        <f>IF(Agent04_Loans!B182="","",Agent04_Loans!H182)</f>
        <v/>
      </c>
      <c r="I770" s="43" t="str">
        <f>IF(Agent04_Loans!B182="","",Agent04_Loans!I182)</f>
        <v/>
      </c>
      <c r="J770" s="43" t="str">
        <f>IF(Agent04_Loans!B182="","",Agent04_Loans!J182)</f>
        <v/>
      </c>
      <c r="K770" s="40" t="str">
        <f>IF(Agent04_Loans!B182="","",Agent04_Loans!K182)</f>
        <v/>
      </c>
      <c r="L770" s="40" t="str">
        <f>IF(Agent04_Loans!B182="","",Agent04_Loans!L182)</f>
        <v/>
      </c>
      <c r="M770" s="40" t="str">
        <f>IFERROR(IF(Agent04_Loans!B182="","",YEAR(Agent04_Loans!D182)),"")</f>
        <v/>
      </c>
    </row>
    <row r="771" spans="1:13" ht="18" customHeight="1" x14ac:dyDescent="0.25">
      <c r="A771" s="40" t="str">
        <f>IF(Agent04_Loans!B183="","",Agent04_Loans!A183)</f>
        <v/>
      </c>
      <c r="B771" s="40" t="str">
        <f>IF(Agent04_Loans!B183="","",Agent04_Loans!B183)</f>
        <v/>
      </c>
      <c r="C771" s="40" t="str">
        <f>IF(Agent04_Loans!B183="","",Agent04_Loans!C183)</f>
        <v/>
      </c>
      <c r="D771" s="41" t="str">
        <f>IF(Agent04_Loans!B183="","",Agent04_Loans!D183)</f>
        <v/>
      </c>
      <c r="E771" s="43" t="str">
        <f>IF(Agent04_Loans!B183="","",Agent04_Loans!E183)</f>
        <v/>
      </c>
      <c r="F771" s="40" t="str">
        <f>IF(Agent04_Loans!B183="","",Agent04_Loans!F183)</f>
        <v/>
      </c>
      <c r="G771" s="40" t="str">
        <f>IF(Agent04_Loans!B183="","",Agent04_Loans!G183)</f>
        <v/>
      </c>
      <c r="H771" s="40" t="str">
        <f>IF(Agent04_Loans!B183="","",Agent04_Loans!H183)</f>
        <v/>
      </c>
      <c r="I771" s="43" t="str">
        <f>IF(Agent04_Loans!B183="","",Agent04_Loans!I183)</f>
        <v/>
      </c>
      <c r="J771" s="43" t="str">
        <f>IF(Agent04_Loans!B183="","",Agent04_Loans!J183)</f>
        <v/>
      </c>
      <c r="K771" s="40" t="str">
        <f>IF(Agent04_Loans!B183="","",Agent04_Loans!K183)</f>
        <v/>
      </c>
      <c r="L771" s="40" t="str">
        <f>IF(Agent04_Loans!B183="","",Agent04_Loans!L183)</f>
        <v/>
      </c>
      <c r="M771" s="40" t="str">
        <f>IFERROR(IF(Agent04_Loans!B183="","",YEAR(Agent04_Loans!D183)),"")</f>
        <v/>
      </c>
    </row>
    <row r="772" spans="1:13" ht="18" customHeight="1" x14ac:dyDescent="0.25">
      <c r="A772" s="40" t="str">
        <f>IF(Agent04_Loans!B184="","",Agent04_Loans!A184)</f>
        <v/>
      </c>
      <c r="B772" s="40" t="str">
        <f>IF(Agent04_Loans!B184="","",Agent04_Loans!B184)</f>
        <v/>
      </c>
      <c r="C772" s="40" t="str">
        <f>IF(Agent04_Loans!B184="","",Agent04_Loans!C184)</f>
        <v/>
      </c>
      <c r="D772" s="41" t="str">
        <f>IF(Agent04_Loans!B184="","",Agent04_Loans!D184)</f>
        <v/>
      </c>
      <c r="E772" s="43" t="str">
        <f>IF(Agent04_Loans!B184="","",Agent04_Loans!E184)</f>
        <v/>
      </c>
      <c r="F772" s="40" t="str">
        <f>IF(Agent04_Loans!B184="","",Agent04_Loans!F184)</f>
        <v/>
      </c>
      <c r="G772" s="40" t="str">
        <f>IF(Agent04_Loans!B184="","",Agent04_Loans!G184)</f>
        <v/>
      </c>
      <c r="H772" s="40" t="str">
        <f>IF(Agent04_Loans!B184="","",Agent04_Loans!H184)</f>
        <v/>
      </c>
      <c r="I772" s="43" t="str">
        <f>IF(Agent04_Loans!B184="","",Agent04_Loans!I184)</f>
        <v/>
      </c>
      <c r="J772" s="43" t="str">
        <f>IF(Agent04_Loans!B184="","",Agent04_Loans!J184)</f>
        <v/>
      </c>
      <c r="K772" s="40" t="str">
        <f>IF(Agent04_Loans!B184="","",Agent04_Loans!K184)</f>
        <v/>
      </c>
      <c r="L772" s="40" t="str">
        <f>IF(Agent04_Loans!B184="","",Agent04_Loans!L184)</f>
        <v/>
      </c>
      <c r="M772" s="40" t="str">
        <f>IFERROR(IF(Agent04_Loans!B184="","",YEAR(Agent04_Loans!D184)),"")</f>
        <v/>
      </c>
    </row>
    <row r="773" spans="1:13" ht="18" customHeight="1" x14ac:dyDescent="0.25">
      <c r="A773" s="40" t="str">
        <f>IF(Agent04_Loans!B185="","",Agent04_Loans!A185)</f>
        <v/>
      </c>
      <c r="B773" s="40" t="str">
        <f>IF(Agent04_Loans!B185="","",Agent04_Loans!B185)</f>
        <v/>
      </c>
      <c r="C773" s="40" t="str">
        <f>IF(Agent04_Loans!B185="","",Agent04_Loans!C185)</f>
        <v/>
      </c>
      <c r="D773" s="41" t="str">
        <f>IF(Agent04_Loans!B185="","",Agent04_Loans!D185)</f>
        <v/>
      </c>
      <c r="E773" s="43" t="str">
        <f>IF(Agent04_Loans!B185="","",Agent04_Loans!E185)</f>
        <v/>
      </c>
      <c r="F773" s="40" t="str">
        <f>IF(Agent04_Loans!B185="","",Agent04_Loans!F185)</f>
        <v/>
      </c>
      <c r="G773" s="40" t="str">
        <f>IF(Agent04_Loans!B185="","",Agent04_Loans!G185)</f>
        <v/>
      </c>
      <c r="H773" s="40" t="str">
        <f>IF(Agent04_Loans!B185="","",Agent04_Loans!H185)</f>
        <v/>
      </c>
      <c r="I773" s="43" t="str">
        <f>IF(Agent04_Loans!B185="","",Agent04_Loans!I185)</f>
        <v/>
      </c>
      <c r="J773" s="43" t="str">
        <f>IF(Agent04_Loans!B185="","",Agent04_Loans!J185)</f>
        <v/>
      </c>
      <c r="K773" s="40" t="str">
        <f>IF(Agent04_Loans!B185="","",Agent04_Loans!K185)</f>
        <v/>
      </c>
      <c r="L773" s="40" t="str">
        <f>IF(Agent04_Loans!B185="","",Agent04_Loans!L185)</f>
        <v/>
      </c>
      <c r="M773" s="40" t="str">
        <f>IFERROR(IF(Agent04_Loans!B185="","",YEAR(Agent04_Loans!D185)),"")</f>
        <v/>
      </c>
    </row>
    <row r="774" spans="1:13" ht="18" customHeight="1" x14ac:dyDescent="0.25">
      <c r="A774" s="40" t="str">
        <f>IF(Agent04_Loans!B186="","",Agent04_Loans!A186)</f>
        <v/>
      </c>
      <c r="B774" s="40" t="str">
        <f>IF(Agent04_Loans!B186="","",Agent04_Loans!B186)</f>
        <v/>
      </c>
      <c r="C774" s="40" t="str">
        <f>IF(Agent04_Loans!B186="","",Agent04_Loans!C186)</f>
        <v/>
      </c>
      <c r="D774" s="41" t="str">
        <f>IF(Agent04_Loans!B186="","",Agent04_Loans!D186)</f>
        <v/>
      </c>
      <c r="E774" s="43" t="str">
        <f>IF(Agent04_Loans!B186="","",Agent04_Loans!E186)</f>
        <v/>
      </c>
      <c r="F774" s="40" t="str">
        <f>IF(Agent04_Loans!B186="","",Agent04_Loans!F186)</f>
        <v/>
      </c>
      <c r="G774" s="40" t="str">
        <f>IF(Agent04_Loans!B186="","",Agent04_Loans!G186)</f>
        <v/>
      </c>
      <c r="H774" s="40" t="str">
        <f>IF(Agent04_Loans!B186="","",Agent04_Loans!H186)</f>
        <v/>
      </c>
      <c r="I774" s="43" t="str">
        <f>IF(Agent04_Loans!B186="","",Agent04_Loans!I186)</f>
        <v/>
      </c>
      <c r="J774" s="43" t="str">
        <f>IF(Agent04_Loans!B186="","",Agent04_Loans!J186)</f>
        <v/>
      </c>
      <c r="K774" s="40" t="str">
        <f>IF(Agent04_Loans!B186="","",Agent04_Loans!K186)</f>
        <v/>
      </c>
      <c r="L774" s="40" t="str">
        <f>IF(Agent04_Loans!B186="","",Agent04_Loans!L186)</f>
        <v/>
      </c>
      <c r="M774" s="40" t="str">
        <f>IFERROR(IF(Agent04_Loans!B186="","",YEAR(Agent04_Loans!D186)),"")</f>
        <v/>
      </c>
    </row>
    <row r="775" spans="1:13" ht="18" customHeight="1" x14ac:dyDescent="0.25">
      <c r="A775" s="40" t="str">
        <f>IF(Agent04_Loans!B187="","",Agent04_Loans!A187)</f>
        <v/>
      </c>
      <c r="B775" s="40" t="str">
        <f>IF(Agent04_Loans!B187="","",Agent04_Loans!B187)</f>
        <v/>
      </c>
      <c r="C775" s="40" t="str">
        <f>IF(Agent04_Loans!B187="","",Agent04_Loans!C187)</f>
        <v/>
      </c>
      <c r="D775" s="41" t="str">
        <f>IF(Agent04_Loans!B187="","",Agent04_Loans!D187)</f>
        <v/>
      </c>
      <c r="E775" s="43" t="str">
        <f>IF(Agent04_Loans!B187="","",Agent04_Loans!E187)</f>
        <v/>
      </c>
      <c r="F775" s="40" t="str">
        <f>IF(Agent04_Loans!B187="","",Agent04_Loans!F187)</f>
        <v/>
      </c>
      <c r="G775" s="40" t="str">
        <f>IF(Agent04_Loans!B187="","",Agent04_Loans!G187)</f>
        <v/>
      </c>
      <c r="H775" s="40" t="str">
        <f>IF(Agent04_Loans!B187="","",Agent04_Loans!H187)</f>
        <v/>
      </c>
      <c r="I775" s="43" t="str">
        <f>IF(Agent04_Loans!B187="","",Agent04_Loans!I187)</f>
        <v/>
      </c>
      <c r="J775" s="43" t="str">
        <f>IF(Agent04_Loans!B187="","",Agent04_Loans!J187)</f>
        <v/>
      </c>
      <c r="K775" s="40" t="str">
        <f>IF(Agent04_Loans!B187="","",Agent04_Loans!K187)</f>
        <v/>
      </c>
      <c r="L775" s="40" t="str">
        <f>IF(Agent04_Loans!B187="","",Agent04_Loans!L187)</f>
        <v/>
      </c>
      <c r="M775" s="40" t="str">
        <f>IFERROR(IF(Agent04_Loans!B187="","",YEAR(Agent04_Loans!D187)),"")</f>
        <v/>
      </c>
    </row>
    <row r="776" spans="1:13" ht="18" customHeight="1" x14ac:dyDescent="0.25">
      <c r="A776" s="40" t="str">
        <f>IF(Agent04_Loans!B188="","",Agent04_Loans!A188)</f>
        <v/>
      </c>
      <c r="B776" s="40" t="str">
        <f>IF(Agent04_Loans!B188="","",Agent04_Loans!B188)</f>
        <v/>
      </c>
      <c r="C776" s="40" t="str">
        <f>IF(Agent04_Loans!B188="","",Agent04_Loans!C188)</f>
        <v/>
      </c>
      <c r="D776" s="41" t="str">
        <f>IF(Agent04_Loans!B188="","",Agent04_Loans!D188)</f>
        <v/>
      </c>
      <c r="E776" s="43" t="str">
        <f>IF(Agent04_Loans!B188="","",Agent04_Loans!E188)</f>
        <v/>
      </c>
      <c r="F776" s="40" t="str">
        <f>IF(Agent04_Loans!B188="","",Agent04_Loans!F188)</f>
        <v/>
      </c>
      <c r="G776" s="40" t="str">
        <f>IF(Agent04_Loans!B188="","",Agent04_Loans!G188)</f>
        <v/>
      </c>
      <c r="H776" s="40" t="str">
        <f>IF(Agent04_Loans!B188="","",Agent04_Loans!H188)</f>
        <v/>
      </c>
      <c r="I776" s="43" t="str">
        <f>IF(Agent04_Loans!B188="","",Agent04_Loans!I188)</f>
        <v/>
      </c>
      <c r="J776" s="43" t="str">
        <f>IF(Agent04_Loans!B188="","",Agent04_Loans!J188)</f>
        <v/>
      </c>
      <c r="K776" s="40" t="str">
        <f>IF(Agent04_Loans!B188="","",Agent04_Loans!K188)</f>
        <v/>
      </c>
      <c r="L776" s="40" t="str">
        <f>IF(Agent04_Loans!B188="","",Agent04_Loans!L188)</f>
        <v/>
      </c>
      <c r="M776" s="40" t="str">
        <f>IFERROR(IF(Agent04_Loans!B188="","",YEAR(Agent04_Loans!D188)),"")</f>
        <v/>
      </c>
    </row>
    <row r="777" spans="1:13" ht="18" customHeight="1" x14ac:dyDescent="0.25">
      <c r="A777" s="40" t="str">
        <f>IF(Agent04_Loans!B189="","",Agent04_Loans!A189)</f>
        <v/>
      </c>
      <c r="B777" s="40" t="str">
        <f>IF(Agent04_Loans!B189="","",Agent04_Loans!B189)</f>
        <v/>
      </c>
      <c r="C777" s="40" t="str">
        <f>IF(Agent04_Loans!B189="","",Agent04_Loans!C189)</f>
        <v/>
      </c>
      <c r="D777" s="41" t="str">
        <f>IF(Agent04_Loans!B189="","",Agent04_Loans!D189)</f>
        <v/>
      </c>
      <c r="E777" s="43" t="str">
        <f>IF(Agent04_Loans!B189="","",Agent04_Loans!E189)</f>
        <v/>
      </c>
      <c r="F777" s="40" t="str">
        <f>IF(Agent04_Loans!B189="","",Agent04_Loans!F189)</f>
        <v/>
      </c>
      <c r="G777" s="40" t="str">
        <f>IF(Agent04_Loans!B189="","",Agent04_Loans!G189)</f>
        <v/>
      </c>
      <c r="H777" s="40" t="str">
        <f>IF(Agent04_Loans!B189="","",Agent04_Loans!H189)</f>
        <v/>
      </c>
      <c r="I777" s="43" t="str">
        <f>IF(Agent04_Loans!B189="","",Agent04_Loans!I189)</f>
        <v/>
      </c>
      <c r="J777" s="43" t="str">
        <f>IF(Agent04_Loans!B189="","",Agent04_Loans!J189)</f>
        <v/>
      </c>
      <c r="K777" s="40" t="str">
        <f>IF(Agent04_Loans!B189="","",Agent04_Loans!K189)</f>
        <v/>
      </c>
      <c r="L777" s="40" t="str">
        <f>IF(Agent04_Loans!B189="","",Agent04_Loans!L189)</f>
        <v/>
      </c>
      <c r="M777" s="40" t="str">
        <f>IFERROR(IF(Agent04_Loans!B189="","",YEAR(Agent04_Loans!D189)),"")</f>
        <v/>
      </c>
    </row>
    <row r="778" spans="1:13" ht="18" customHeight="1" x14ac:dyDescent="0.25">
      <c r="A778" s="40" t="str">
        <f>IF(Agent04_Loans!B190="","",Agent04_Loans!A190)</f>
        <v/>
      </c>
      <c r="B778" s="40" t="str">
        <f>IF(Agent04_Loans!B190="","",Agent04_Loans!B190)</f>
        <v/>
      </c>
      <c r="C778" s="40" t="str">
        <f>IF(Agent04_Loans!B190="","",Agent04_Loans!C190)</f>
        <v/>
      </c>
      <c r="D778" s="41" t="str">
        <f>IF(Agent04_Loans!B190="","",Agent04_Loans!D190)</f>
        <v/>
      </c>
      <c r="E778" s="43" t="str">
        <f>IF(Agent04_Loans!B190="","",Agent04_Loans!E190)</f>
        <v/>
      </c>
      <c r="F778" s="40" t="str">
        <f>IF(Agent04_Loans!B190="","",Agent04_Loans!F190)</f>
        <v/>
      </c>
      <c r="G778" s="40" t="str">
        <f>IF(Agent04_Loans!B190="","",Agent04_Loans!G190)</f>
        <v/>
      </c>
      <c r="H778" s="40" t="str">
        <f>IF(Agent04_Loans!B190="","",Agent04_Loans!H190)</f>
        <v/>
      </c>
      <c r="I778" s="43" t="str">
        <f>IF(Agent04_Loans!B190="","",Agent04_Loans!I190)</f>
        <v/>
      </c>
      <c r="J778" s="43" t="str">
        <f>IF(Agent04_Loans!B190="","",Agent04_Loans!J190)</f>
        <v/>
      </c>
      <c r="K778" s="40" t="str">
        <f>IF(Agent04_Loans!B190="","",Agent04_Loans!K190)</f>
        <v/>
      </c>
      <c r="L778" s="40" t="str">
        <f>IF(Agent04_Loans!B190="","",Agent04_Loans!L190)</f>
        <v/>
      </c>
      <c r="M778" s="40" t="str">
        <f>IFERROR(IF(Agent04_Loans!B190="","",YEAR(Agent04_Loans!D190)),"")</f>
        <v/>
      </c>
    </row>
    <row r="779" spans="1:13" ht="18" customHeight="1" x14ac:dyDescent="0.25">
      <c r="A779" s="40" t="str">
        <f>IF(Agent04_Loans!B191="","",Agent04_Loans!A191)</f>
        <v/>
      </c>
      <c r="B779" s="40" t="str">
        <f>IF(Agent04_Loans!B191="","",Agent04_Loans!B191)</f>
        <v/>
      </c>
      <c r="C779" s="40" t="str">
        <f>IF(Agent04_Loans!B191="","",Agent04_Loans!C191)</f>
        <v/>
      </c>
      <c r="D779" s="41" t="str">
        <f>IF(Agent04_Loans!B191="","",Agent04_Loans!D191)</f>
        <v/>
      </c>
      <c r="E779" s="43" t="str">
        <f>IF(Agent04_Loans!B191="","",Agent04_Loans!E191)</f>
        <v/>
      </c>
      <c r="F779" s="40" t="str">
        <f>IF(Agent04_Loans!B191="","",Agent04_Loans!F191)</f>
        <v/>
      </c>
      <c r="G779" s="40" t="str">
        <f>IF(Agent04_Loans!B191="","",Agent04_Loans!G191)</f>
        <v/>
      </c>
      <c r="H779" s="40" t="str">
        <f>IF(Agent04_Loans!B191="","",Agent04_Loans!H191)</f>
        <v/>
      </c>
      <c r="I779" s="43" t="str">
        <f>IF(Agent04_Loans!B191="","",Agent04_Loans!I191)</f>
        <v/>
      </c>
      <c r="J779" s="43" t="str">
        <f>IF(Agent04_Loans!B191="","",Agent04_Loans!J191)</f>
        <v/>
      </c>
      <c r="K779" s="40" t="str">
        <f>IF(Agent04_Loans!B191="","",Agent04_Loans!K191)</f>
        <v/>
      </c>
      <c r="L779" s="40" t="str">
        <f>IF(Agent04_Loans!B191="","",Agent04_Loans!L191)</f>
        <v/>
      </c>
      <c r="M779" s="40" t="str">
        <f>IFERROR(IF(Agent04_Loans!B191="","",YEAR(Agent04_Loans!D191)),"")</f>
        <v/>
      </c>
    </row>
    <row r="780" spans="1:13" ht="18" customHeight="1" x14ac:dyDescent="0.25">
      <c r="A780" s="40" t="str">
        <f>IF(Agent04_Loans!B192="","",Agent04_Loans!A192)</f>
        <v/>
      </c>
      <c r="B780" s="40" t="str">
        <f>IF(Agent04_Loans!B192="","",Agent04_Loans!B192)</f>
        <v/>
      </c>
      <c r="C780" s="40" t="str">
        <f>IF(Agent04_Loans!B192="","",Agent04_Loans!C192)</f>
        <v/>
      </c>
      <c r="D780" s="41" t="str">
        <f>IF(Agent04_Loans!B192="","",Agent04_Loans!D192)</f>
        <v/>
      </c>
      <c r="E780" s="43" t="str">
        <f>IF(Agent04_Loans!B192="","",Agent04_Loans!E192)</f>
        <v/>
      </c>
      <c r="F780" s="40" t="str">
        <f>IF(Agent04_Loans!B192="","",Agent04_Loans!F192)</f>
        <v/>
      </c>
      <c r="G780" s="40" t="str">
        <f>IF(Agent04_Loans!B192="","",Agent04_Loans!G192)</f>
        <v/>
      </c>
      <c r="H780" s="40" t="str">
        <f>IF(Agent04_Loans!B192="","",Agent04_Loans!H192)</f>
        <v/>
      </c>
      <c r="I780" s="43" t="str">
        <f>IF(Agent04_Loans!B192="","",Agent04_Loans!I192)</f>
        <v/>
      </c>
      <c r="J780" s="43" t="str">
        <f>IF(Agent04_Loans!B192="","",Agent04_Loans!J192)</f>
        <v/>
      </c>
      <c r="K780" s="40" t="str">
        <f>IF(Agent04_Loans!B192="","",Agent04_Loans!K192)</f>
        <v/>
      </c>
      <c r="L780" s="40" t="str">
        <f>IF(Agent04_Loans!B192="","",Agent04_Loans!L192)</f>
        <v/>
      </c>
      <c r="M780" s="40" t="str">
        <f>IFERROR(IF(Agent04_Loans!B192="","",YEAR(Agent04_Loans!D192)),"")</f>
        <v/>
      </c>
    </row>
    <row r="781" spans="1:13" ht="18" customHeight="1" x14ac:dyDescent="0.25">
      <c r="A781" s="40" t="str">
        <f>IF(Agent04_Loans!B193="","",Agent04_Loans!A193)</f>
        <v/>
      </c>
      <c r="B781" s="40" t="str">
        <f>IF(Agent04_Loans!B193="","",Agent04_Loans!B193)</f>
        <v/>
      </c>
      <c r="C781" s="40" t="str">
        <f>IF(Agent04_Loans!B193="","",Agent04_Loans!C193)</f>
        <v/>
      </c>
      <c r="D781" s="41" t="str">
        <f>IF(Agent04_Loans!B193="","",Agent04_Loans!D193)</f>
        <v/>
      </c>
      <c r="E781" s="43" t="str">
        <f>IF(Agent04_Loans!B193="","",Agent04_Loans!E193)</f>
        <v/>
      </c>
      <c r="F781" s="40" t="str">
        <f>IF(Agent04_Loans!B193="","",Agent04_Loans!F193)</f>
        <v/>
      </c>
      <c r="G781" s="40" t="str">
        <f>IF(Agent04_Loans!B193="","",Agent04_Loans!G193)</f>
        <v/>
      </c>
      <c r="H781" s="40" t="str">
        <f>IF(Agent04_Loans!B193="","",Agent04_Loans!H193)</f>
        <v/>
      </c>
      <c r="I781" s="43" t="str">
        <f>IF(Agent04_Loans!B193="","",Agent04_Loans!I193)</f>
        <v/>
      </c>
      <c r="J781" s="43" t="str">
        <f>IF(Agent04_Loans!B193="","",Agent04_Loans!J193)</f>
        <v/>
      </c>
      <c r="K781" s="40" t="str">
        <f>IF(Agent04_Loans!B193="","",Agent04_Loans!K193)</f>
        <v/>
      </c>
      <c r="L781" s="40" t="str">
        <f>IF(Agent04_Loans!B193="","",Agent04_Loans!L193)</f>
        <v/>
      </c>
      <c r="M781" s="40" t="str">
        <f>IFERROR(IF(Agent04_Loans!B193="","",YEAR(Agent04_Loans!D193)),"")</f>
        <v/>
      </c>
    </row>
    <row r="782" spans="1:13" ht="18" customHeight="1" x14ac:dyDescent="0.25">
      <c r="A782" s="40" t="str">
        <f>IF(Agent04_Loans!B194="","",Agent04_Loans!A194)</f>
        <v/>
      </c>
      <c r="B782" s="40" t="str">
        <f>IF(Agent04_Loans!B194="","",Agent04_Loans!B194)</f>
        <v/>
      </c>
      <c r="C782" s="40" t="str">
        <f>IF(Agent04_Loans!B194="","",Agent04_Loans!C194)</f>
        <v/>
      </c>
      <c r="D782" s="41" t="str">
        <f>IF(Agent04_Loans!B194="","",Agent04_Loans!D194)</f>
        <v/>
      </c>
      <c r="E782" s="43" t="str">
        <f>IF(Agent04_Loans!B194="","",Agent04_Loans!E194)</f>
        <v/>
      </c>
      <c r="F782" s="40" t="str">
        <f>IF(Agent04_Loans!B194="","",Agent04_Loans!F194)</f>
        <v/>
      </c>
      <c r="G782" s="40" t="str">
        <f>IF(Agent04_Loans!B194="","",Agent04_Loans!G194)</f>
        <v/>
      </c>
      <c r="H782" s="40" t="str">
        <f>IF(Agent04_Loans!B194="","",Agent04_Loans!H194)</f>
        <v/>
      </c>
      <c r="I782" s="43" t="str">
        <f>IF(Agent04_Loans!B194="","",Agent04_Loans!I194)</f>
        <v/>
      </c>
      <c r="J782" s="43" t="str">
        <f>IF(Agent04_Loans!B194="","",Agent04_Loans!J194)</f>
        <v/>
      </c>
      <c r="K782" s="40" t="str">
        <f>IF(Agent04_Loans!B194="","",Agent04_Loans!K194)</f>
        <v/>
      </c>
      <c r="L782" s="40" t="str">
        <f>IF(Agent04_Loans!B194="","",Agent04_Loans!L194)</f>
        <v/>
      </c>
      <c r="M782" s="40" t="str">
        <f>IFERROR(IF(Agent04_Loans!B194="","",YEAR(Agent04_Loans!D194)),"")</f>
        <v/>
      </c>
    </row>
    <row r="783" spans="1:13" ht="18" customHeight="1" x14ac:dyDescent="0.25">
      <c r="A783" s="40" t="str">
        <f>IF(Agent04_Loans!B195="","",Agent04_Loans!A195)</f>
        <v/>
      </c>
      <c r="B783" s="40" t="str">
        <f>IF(Agent04_Loans!B195="","",Agent04_Loans!B195)</f>
        <v/>
      </c>
      <c r="C783" s="40" t="str">
        <f>IF(Agent04_Loans!B195="","",Agent04_Loans!C195)</f>
        <v/>
      </c>
      <c r="D783" s="41" t="str">
        <f>IF(Agent04_Loans!B195="","",Agent04_Loans!D195)</f>
        <v/>
      </c>
      <c r="E783" s="43" t="str">
        <f>IF(Agent04_Loans!B195="","",Agent04_Loans!E195)</f>
        <v/>
      </c>
      <c r="F783" s="40" t="str">
        <f>IF(Agent04_Loans!B195="","",Agent04_Loans!F195)</f>
        <v/>
      </c>
      <c r="G783" s="40" t="str">
        <f>IF(Agent04_Loans!B195="","",Agent04_Loans!G195)</f>
        <v/>
      </c>
      <c r="H783" s="40" t="str">
        <f>IF(Agent04_Loans!B195="","",Agent04_Loans!H195)</f>
        <v/>
      </c>
      <c r="I783" s="43" t="str">
        <f>IF(Agent04_Loans!B195="","",Agent04_Loans!I195)</f>
        <v/>
      </c>
      <c r="J783" s="43" t="str">
        <f>IF(Agent04_Loans!B195="","",Agent04_Loans!J195)</f>
        <v/>
      </c>
      <c r="K783" s="40" t="str">
        <f>IF(Agent04_Loans!B195="","",Agent04_Loans!K195)</f>
        <v/>
      </c>
      <c r="L783" s="40" t="str">
        <f>IF(Agent04_Loans!B195="","",Agent04_Loans!L195)</f>
        <v/>
      </c>
      <c r="M783" s="40" t="str">
        <f>IFERROR(IF(Agent04_Loans!B195="","",YEAR(Agent04_Loans!D195)),"")</f>
        <v/>
      </c>
    </row>
    <row r="784" spans="1:13" ht="18" customHeight="1" x14ac:dyDescent="0.25">
      <c r="A784" s="40" t="str">
        <f>IF(Agent04_Loans!B196="","",Agent04_Loans!A196)</f>
        <v/>
      </c>
      <c r="B784" s="40" t="str">
        <f>IF(Agent04_Loans!B196="","",Agent04_Loans!B196)</f>
        <v/>
      </c>
      <c r="C784" s="40" t="str">
        <f>IF(Agent04_Loans!B196="","",Agent04_Loans!C196)</f>
        <v/>
      </c>
      <c r="D784" s="41" t="str">
        <f>IF(Agent04_Loans!B196="","",Agent04_Loans!D196)</f>
        <v/>
      </c>
      <c r="E784" s="43" t="str">
        <f>IF(Agent04_Loans!B196="","",Agent04_Loans!E196)</f>
        <v/>
      </c>
      <c r="F784" s="40" t="str">
        <f>IF(Agent04_Loans!B196="","",Agent04_Loans!F196)</f>
        <v/>
      </c>
      <c r="G784" s="40" t="str">
        <f>IF(Agent04_Loans!B196="","",Agent04_Loans!G196)</f>
        <v/>
      </c>
      <c r="H784" s="40" t="str">
        <f>IF(Agent04_Loans!B196="","",Agent04_Loans!H196)</f>
        <v/>
      </c>
      <c r="I784" s="43" t="str">
        <f>IF(Agent04_Loans!B196="","",Agent04_Loans!I196)</f>
        <v/>
      </c>
      <c r="J784" s="43" t="str">
        <f>IF(Agent04_Loans!B196="","",Agent04_Loans!J196)</f>
        <v/>
      </c>
      <c r="K784" s="40" t="str">
        <f>IF(Agent04_Loans!B196="","",Agent04_Loans!K196)</f>
        <v/>
      </c>
      <c r="L784" s="40" t="str">
        <f>IF(Agent04_Loans!B196="","",Agent04_Loans!L196)</f>
        <v/>
      </c>
      <c r="M784" s="40" t="str">
        <f>IFERROR(IF(Agent04_Loans!B196="","",YEAR(Agent04_Loans!D196)),"")</f>
        <v/>
      </c>
    </row>
    <row r="785" spans="1:13" ht="18" customHeight="1" x14ac:dyDescent="0.25">
      <c r="A785" s="40" t="str">
        <f>IF(Agent04_Loans!B197="","",Agent04_Loans!A197)</f>
        <v/>
      </c>
      <c r="B785" s="40" t="str">
        <f>IF(Agent04_Loans!B197="","",Agent04_Loans!B197)</f>
        <v/>
      </c>
      <c r="C785" s="40" t="str">
        <f>IF(Agent04_Loans!B197="","",Agent04_Loans!C197)</f>
        <v/>
      </c>
      <c r="D785" s="41" t="str">
        <f>IF(Agent04_Loans!B197="","",Agent04_Loans!D197)</f>
        <v/>
      </c>
      <c r="E785" s="43" t="str">
        <f>IF(Agent04_Loans!B197="","",Agent04_Loans!E197)</f>
        <v/>
      </c>
      <c r="F785" s="40" t="str">
        <f>IF(Agent04_Loans!B197="","",Agent04_Loans!F197)</f>
        <v/>
      </c>
      <c r="G785" s="40" t="str">
        <f>IF(Agent04_Loans!B197="","",Agent04_Loans!G197)</f>
        <v/>
      </c>
      <c r="H785" s="40" t="str">
        <f>IF(Agent04_Loans!B197="","",Agent04_Loans!H197)</f>
        <v/>
      </c>
      <c r="I785" s="43" t="str">
        <f>IF(Agent04_Loans!B197="","",Agent04_Loans!I197)</f>
        <v/>
      </c>
      <c r="J785" s="43" t="str">
        <f>IF(Agent04_Loans!B197="","",Agent04_Loans!J197)</f>
        <v/>
      </c>
      <c r="K785" s="40" t="str">
        <f>IF(Agent04_Loans!B197="","",Agent04_Loans!K197)</f>
        <v/>
      </c>
      <c r="L785" s="40" t="str">
        <f>IF(Agent04_Loans!B197="","",Agent04_Loans!L197)</f>
        <v/>
      </c>
      <c r="M785" s="40" t="str">
        <f>IFERROR(IF(Agent04_Loans!B197="","",YEAR(Agent04_Loans!D197)),"")</f>
        <v/>
      </c>
    </row>
    <row r="786" spans="1:13" ht="18" customHeight="1" x14ac:dyDescent="0.25">
      <c r="A786" s="40" t="str">
        <f>IF(Agent04_Loans!B198="","",Agent04_Loans!A198)</f>
        <v/>
      </c>
      <c r="B786" s="40" t="str">
        <f>IF(Agent04_Loans!B198="","",Agent04_Loans!B198)</f>
        <v/>
      </c>
      <c r="C786" s="40" t="str">
        <f>IF(Agent04_Loans!B198="","",Agent04_Loans!C198)</f>
        <v/>
      </c>
      <c r="D786" s="41" t="str">
        <f>IF(Agent04_Loans!B198="","",Agent04_Loans!D198)</f>
        <v/>
      </c>
      <c r="E786" s="43" t="str">
        <f>IF(Agent04_Loans!B198="","",Agent04_Loans!E198)</f>
        <v/>
      </c>
      <c r="F786" s="40" t="str">
        <f>IF(Agent04_Loans!B198="","",Agent04_Loans!F198)</f>
        <v/>
      </c>
      <c r="G786" s="40" t="str">
        <f>IF(Agent04_Loans!B198="","",Agent04_Loans!G198)</f>
        <v/>
      </c>
      <c r="H786" s="40" t="str">
        <f>IF(Agent04_Loans!B198="","",Agent04_Loans!H198)</f>
        <v/>
      </c>
      <c r="I786" s="43" t="str">
        <f>IF(Agent04_Loans!B198="","",Agent04_Loans!I198)</f>
        <v/>
      </c>
      <c r="J786" s="43" t="str">
        <f>IF(Agent04_Loans!B198="","",Agent04_Loans!J198)</f>
        <v/>
      </c>
      <c r="K786" s="40" t="str">
        <f>IF(Agent04_Loans!B198="","",Agent04_Loans!K198)</f>
        <v/>
      </c>
      <c r="L786" s="40" t="str">
        <f>IF(Agent04_Loans!B198="","",Agent04_Loans!L198)</f>
        <v/>
      </c>
      <c r="M786" s="40" t="str">
        <f>IFERROR(IF(Agent04_Loans!B198="","",YEAR(Agent04_Loans!D198)),"")</f>
        <v/>
      </c>
    </row>
    <row r="787" spans="1:13" ht="18" customHeight="1" x14ac:dyDescent="0.25">
      <c r="A787" s="40" t="str">
        <f>IF(Agent04_Loans!B199="","",Agent04_Loans!A199)</f>
        <v/>
      </c>
      <c r="B787" s="40" t="str">
        <f>IF(Agent04_Loans!B199="","",Agent04_Loans!B199)</f>
        <v/>
      </c>
      <c r="C787" s="40" t="str">
        <f>IF(Agent04_Loans!B199="","",Agent04_Loans!C199)</f>
        <v/>
      </c>
      <c r="D787" s="41" t="str">
        <f>IF(Agent04_Loans!B199="","",Agent04_Loans!D199)</f>
        <v/>
      </c>
      <c r="E787" s="43" t="str">
        <f>IF(Agent04_Loans!B199="","",Agent04_Loans!E199)</f>
        <v/>
      </c>
      <c r="F787" s="40" t="str">
        <f>IF(Agent04_Loans!B199="","",Agent04_Loans!F199)</f>
        <v/>
      </c>
      <c r="G787" s="40" t="str">
        <f>IF(Agent04_Loans!B199="","",Agent04_Loans!G199)</f>
        <v/>
      </c>
      <c r="H787" s="40" t="str">
        <f>IF(Agent04_Loans!B199="","",Agent04_Loans!H199)</f>
        <v/>
      </c>
      <c r="I787" s="43" t="str">
        <f>IF(Agent04_Loans!B199="","",Agent04_Loans!I199)</f>
        <v/>
      </c>
      <c r="J787" s="43" t="str">
        <f>IF(Agent04_Loans!B199="","",Agent04_Loans!J199)</f>
        <v/>
      </c>
      <c r="K787" s="40" t="str">
        <f>IF(Agent04_Loans!B199="","",Agent04_Loans!K199)</f>
        <v/>
      </c>
      <c r="L787" s="40" t="str">
        <f>IF(Agent04_Loans!B199="","",Agent04_Loans!L199)</f>
        <v/>
      </c>
      <c r="M787" s="40" t="str">
        <f>IFERROR(IF(Agent04_Loans!B199="","",YEAR(Agent04_Loans!D199)),"")</f>
        <v/>
      </c>
    </row>
    <row r="788" spans="1:13" ht="18" customHeight="1" x14ac:dyDescent="0.25">
      <c r="A788" s="40" t="str">
        <f>IF(Agent04_Loans!B200="","",Agent04_Loans!A200)</f>
        <v/>
      </c>
      <c r="B788" s="40" t="str">
        <f>IF(Agent04_Loans!B200="","",Agent04_Loans!B200)</f>
        <v/>
      </c>
      <c r="C788" s="40" t="str">
        <f>IF(Agent04_Loans!B200="","",Agent04_Loans!C200)</f>
        <v/>
      </c>
      <c r="D788" s="41" t="str">
        <f>IF(Agent04_Loans!B200="","",Agent04_Loans!D200)</f>
        <v/>
      </c>
      <c r="E788" s="43" t="str">
        <f>IF(Agent04_Loans!B200="","",Agent04_Loans!E200)</f>
        <v/>
      </c>
      <c r="F788" s="40" t="str">
        <f>IF(Agent04_Loans!B200="","",Agent04_Loans!F200)</f>
        <v/>
      </c>
      <c r="G788" s="40" t="str">
        <f>IF(Agent04_Loans!B200="","",Agent04_Loans!G200)</f>
        <v/>
      </c>
      <c r="H788" s="40" t="str">
        <f>IF(Agent04_Loans!B200="","",Agent04_Loans!H200)</f>
        <v/>
      </c>
      <c r="I788" s="43" t="str">
        <f>IF(Agent04_Loans!B200="","",Agent04_Loans!I200)</f>
        <v/>
      </c>
      <c r="J788" s="43" t="str">
        <f>IF(Agent04_Loans!B200="","",Agent04_Loans!J200)</f>
        <v/>
      </c>
      <c r="K788" s="40" t="str">
        <f>IF(Agent04_Loans!B200="","",Agent04_Loans!K200)</f>
        <v/>
      </c>
      <c r="L788" s="40" t="str">
        <f>IF(Agent04_Loans!B200="","",Agent04_Loans!L200)</f>
        <v/>
      </c>
      <c r="M788" s="40" t="str">
        <f>IFERROR(IF(Agent04_Loans!B200="","",YEAR(Agent04_Loans!D200)),"")</f>
        <v/>
      </c>
    </row>
    <row r="789" spans="1:13" ht="18" customHeight="1" x14ac:dyDescent="0.25">
      <c r="A789" s="40" t="str">
        <f>IF(Agent04_Loans!B201="","",Agent04_Loans!A201)</f>
        <v/>
      </c>
      <c r="B789" s="40" t="str">
        <f>IF(Agent04_Loans!B201="","",Agent04_Loans!B201)</f>
        <v/>
      </c>
      <c r="C789" s="40" t="str">
        <f>IF(Agent04_Loans!B201="","",Agent04_Loans!C201)</f>
        <v/>
      </c>
      <c r="D789" s="41" t="str">
        <f>IF(Agent04_Loans!B201="","",Agent04_Loans!D201)</f>
        <v/>
      </c>
      <c r="E789" s="43" t="str">
        <f>IF(Agent04_Loans!B201="","",Agent04_Loans!E201)</f>
        <v/>
      </c>
      <c r="F789" s="40" t="str">
        <f>IF(Agent04_Loans!B201="","",Agent04_Loans!F201)</f>
        <v/>
      </c>
      <c r="G789" s="40" t="str">
        <f>IF(Agent04_Loans!B201="","",Agent04_Loans!G201)</f>
        <v/>
      </c>
      <c r="H789" s="40" t="str">
        <f>IF(Agent04_Loans!B201="","",Agent04_Loans!H201)</f>
        <v/>
      </c>
      <c r="I789" s="43" t="str">
        <f>IF(Agent04_Loans!B201="","",Agent04_Loans!I201)</f>
        <v/>
      </c>
      <c r="J789" s="43" t="str">
        <f>IF(Agent04_Loans!B201="","",Agent04_Loans!J201)</f>
        <v/>
      </c>
      <c r="K789" s="40" t="str">
        <f>IF(Agent04_Loans!B201="","",Agent04_Loans!K201)</f>
        <v/>
      </c>
      <c r="L789" s="40" t="str">
        <f>IF(Agent04_Loans!B201="","",Agent04_Loans!L201)</f>
        <v/>
      </c>
      <c r="M789" s="40" t="str">
        <f>IFERROR(IF(Agent04_Loans!B201="","",YEAR(Agent04_Loans!D201)),"")</f>
        <v/>
      </c>
    </row>
    <row r="790" spans="1:13" ht="18" customHeight="1" x14ac:dyDescent="0.25">
      <c r="A790" s="40" t="str">
        <f>IF(Agent04_Loans!B202="","",Agent04_Loans!A202)</f>
        <v/>
      </c>
      <c r="B790" s="40" t="str">
        <f>IF(Agent04_Loans!B202="","",Agent04_Loans!B202)</f>
        <v/>
      </c>
      <c r="C790" s="40" t="str">
        <f>IF(Agent04_Loans!B202="","",Agent04_Loans!C202)</f>
        <v/>
      </c>
      <c r="D790" s="41" t="str">
        <f>IF(Agent04_Loans!B202="","",Agent04_Loans!D202)</f>
        <v/>
      </c>
      <c r="E790" s="43" t="str">
        <f>IF(Agent04_Loans!B202="","",Agent04_Loans!E202)</f>
        <v/>
      </c>
      <c r="F790" s="40" t="str">
        <f>IF(Agent04_Loans!B202="","",Agent04_Loans!F202)</f>
        <v/>
      </c>
      <c r="G790" s="40" t="str">
        <f>IF(Agent04_Loans!B202="","",Agent04_Loans!G202)</f>
        <v/>
      </c>
      <c r="H790" s="40" t="str">
        <f>IF(Agent04_Loans!B202="","",Agent04_Loans!H202)</f>
        <v/>
      </c>
      <c r="I790" s="43" t="str">
        <f>IF(Agent04_Loans!B202="","",Agent04_Loans!I202)</f>
        <v/>
      </c>
      <c r="J790" s="43" t="str">
        <f>IF(Agent04_Loans!B202="","",Agent04_Loans!J202)</f>
        <v/>
      </c>
      <c r="K790" s="40" t="str">
        <f>IF(Agent04_Loans!B202="","",Agent04_Loans!K202)</f>
        <v/>
      </c>
      <c r="L790" s="40" t="str">
        <f>IF(Agent04_Loans!B202="","",Agent04_Loans!L202)</f>
        <v/>
      </c>
      <c r="M790" s="40" t="str">
        <f>IFERROR(IF(Agent04_Loans!B202="","",YEAR(Agent04_Loans!D202)),"")</f>
        <v/>
      </c>
    </row>
    <row r="791" spans="1:13" ht="18" customHeight="1" x14ac:dyDescent="0.25">
      <c r="A791" s="40" t="str">
        <f>IF(Agent04_Loans!B203="","",Agent04_Loans!A203)</f>
        <v/>
      </c>
      <c r="B791" s="40" t="str">
        <f>IF(Agent04_Loans!B203="","",Agent04_Loans!B203)</f>
        <v/>
      </c>
      <c r="C791" s="40" t="str">
        <f>IF(Agent04_Loans!B203="","",Agent04_Loans!C203)</f>
        <v/>
      </c>
      <c r="D791" s="41" t="str">
        <f>IF(Agent04_Loans!B203="","",Agent04_Loans!D203)</f>
        <v/>
      </c>
      <c r="E791" s="43" t="str">
        <f>IF(Agent04_Loans!B203="","",Agent04_Loans!E203)</f>
        <v/>
      </c>
      <c r="F791" s="40" t="str">
        <f>IF(Agent04_Loans!B203="","",Agent04_Loans!F203)</f>
        <v/>
      </c>
      <c r="G791" s="40" t="str">
        <f>IF(Agent04_Loans!B203="","",Agent04_Loans!G203)</f>
        <v/>
      </c>
      <c r="H791" s="40" t="str">
        <f>IF(Agent04_Loans!B203="","",Agent04_Loans!H203)</f>
        <v/>
      </c>
      <c r="I791" s="43" t="str">
        <f>IF(Agent04_Loans!B203="","",Agent04_Loans!I203)</f>
        <v/>
      </c>
      <c r="J791" s="43" t="str">
        <f>IF(Agent04_Loans!B203="","",Agent04_Loans!J203)</f>
        <v/>
      </c>
      <c r="K791" s="40" t="str">
        <f>IF(Agent04_Loans!B203="","",Agent04_Loans!K203)</f>
        <v/>
      </c>
      <c r="L791" s="40" t="str">
        <f>IF(Agent04_Loans!B203="","",Agent04_Loans!L203)</f>
        <v/>
      </c>
      <c r="M791" s="40" t="str">
        <f>IFERROR(IF(Agent04_Loans!B203="","",YEAR(Agent04_Loans!D203)),"")</f>
        <v/>
      </c>
    </row>
    <row r="792" spans="1:13" ht="18" customHeight="1" x14ac:dyDescent="0.25">
      <c r="A792" s="40" t="str">
        <f>IF(Agent04_Loans!B204="","",Agent04_Loans!A204)</f>
        <v/>
      </c>
      <c r="B792" s="40" t="str">
        <f>IF(Agent04_Loans!B204="","",Agent04_Loans!B204)</f>
        <v/>
      </c>
      <c r="C792" s="40" t="str">
        <f>IF(Agent04_Loans!B204="","",Agent04_Loans!C204)</f>
        <v/>
      </c>
      <c r="D792" s="41" t="str">
        <f>IF(Agent04_Loans!B204="","",Agent04_Loans!D204)</f>
        <v/>
      </c>
      <c r="E792" s="43" t="str">
        <f>IF(Agent04_Loans!B204="","",Agent04_Loans!E204)</f>
        <v/>
      </c>
      <c r="F792" s="40" t="str">
        <f>IF(Agent04_Loans!B204="","",Agent04_Loans!F204)</f>
        <v/>
      </c>
      <c r="G792" s="40" t="str">
        <f>IF(Agent04_Loans!B204="","",Agent04_Loans!G204)</f>
        <v/>
      </c>
      <c r="H792" s="40" t="str">
        <f>IF(Agent04_Loans!B204="","",Agent04_Loans!H204)</f>
        <v/>
      </c>
      <c r="I792" s="43" t="str">
        <f>IF(Agent04_Loans!B204="","",Agent04_Loans!I204)</f>
        <v/>
      </c>
      <c r="J792" s="43" t="str">
        <f>IF(Agent04_Loans!B204="","",Agent04_Loans!J204)</f>
        <v/>
      </c>
      <c r="K792" s="40" t="str">
        <f>IF(Agent04_Loans!B204="","",Agent04_Loans!K204)</f>
        <v/>
      </c>
      <c r="L792" s="40" t="str">
        <f>IF(Agent04_Loans!B204="","",Agent04_Loans!L204)</f>
        <v/>
      </c>
      <c r="M792" s="40" t="str">
        <f>IFERROR(IF(Agent04_Loans!B204="","",YEAR(Agent04_Loans!D204)),"")</f>
        <v/>
      </c>
    </row>
    <row r="793" spans="1:13" ht="18" customHeight="1" x14ac:dyDescent="0.25">
      <c r="A793" s="40" t="str">
        <f>IF(Agent04_Loans!B205="","",Agent04_Loans!A205)</f>
        <v/>
      </c>
      <c r="B793" s="40" t="str">
        <f>IF(Agent04_Loans!B205="","",Agent04_Loans!B205)</f>
        <v/>
      </c>
      <c r="C793" s="40" t="str">
        <f>IF(Agent04_Loans!B205="","",Agent04_Loans!C205)</f>
        <v/>
      </c>
      <c r="D793" s="41" t="str">
        <f>IF(Agent04_Loans!B205="","",Agent04_Loans!D205)</f>
        <v/>
      </c>
      <c r="E793" s="43" t="str">
        <f>IF(Agent04_Loans!B205="","",Agent04_Loans!E205)</f>
        <v/>
      </c>
      <c r="F793" s="40" t="str">
        <f>IF(Agent04_Loans!B205="","",Agent04_Loans!F205)</f>
        <v/>
      </c>
      <c r="G793" s="40" t="str">
        <f>IF(Agent04_Loans!B205="","",Agent04_Loans!G205)</f>
        <v/>
      </c>
      <c r="H793" s="40" t="str">
        <f>IF(Agent04_Loans!B205="","",Agent04_Loans!H205)</f>
        <v/>
      </c>
      <c r="I793" s="43" t="str">
        <f>IF(Agent04_Loans!B205="","",Agent04_Loans!I205)</f>
        <v/>
      </c>
      <c r="J793" s="43" t="str">
        <f>IF(Agent04_Loans!B205="","",Agent04_Loans!J205)</f>
        <v/>
      </c>
      <c r="K793" s="40" t="str">
        <f>IF(Agent04_Loans!B205="","",Agent04_Loans!K205)</f>
        <v/>
      </c>
      <c r="L793" s="40" t="str">
        <f>IF(Agent04_Loans!B205="","",Agent04_Loans!L205)</f>
        <v/>
      </c>
      <c r="M793" s="40" t="str">
        <f>IFERROR(IF(Agent04_Loans!B205="","",YEAR(Agent04_Loans!D205)),"")</f>
        <v/>
      </c>
    </row>
    <row r="794" spans="1:13" ht="18" customHeight="1" x14ac:dyDescent="0.25">
      <c r="A794" s="40" t="str">
        <f>IF(Agent04_Loans!B206="","",Agent04_Loans!A206)</f>
        <v/>
      </c>
      <c r="B794" s="40" t="str">
        <f>IF(Agent04_Loans!B206="","",Agent04_Loans!B206)</f>
        <v/>
      </c>
      <c r="C794" s="40" t="str">
        <f>IF(Agent04_Loans!B206="","",Agent04_Loans!C206)</f>
        <v/>
      </c>
      <c r="D794" s="41" t="str">
        <f>IF(Agent04_Loans!B206="","",Agent04_Loans!D206)</f>
        <v/>
      </c>
      <c r="E794" s="43" t="str">
        <f>IF(Agent04_Loans!B206="","",Agent04_Loans!E206)</f>
        <v/>
      </c>
      <c r="F794" s="40" t="str">
        <f>IF(Agent04_Loans!B206="","",Agent04_Loans!F206)</f>
        <v/>
      </c>
      <c r="G794" s="40" t="str">
        <f>IF(Agent04_Loans!B206="","",Agent04_Loans!G206)</f>
        <v/>
      </c>
      <c r="H794" s="40" t="str">
        <f>IF(Agent04_Loans!B206="","",Agent04_Loans!H206)</f>
        <v/>
      </c>
      <c r="I794" s="43" t="str">
        <f>IF(Agent04_Loans!B206="","",Agent04_Loans!I206)</f>
        <v/>
      </c>
      <c r="J794" s="43" t="str">
        <f>IF(Agent04_Loans!B206="","",Agent04_Loans!J206)</f>
        <v/>
      </c>
      <c r="K794" s="40" t="str">
        <f>IF(Agent04_Loans!B206="","",Agent04_Loans!K206)</f>
        <v/>
      </c>
      <c r="L794" s="40" t="str">
        <f>IF(Agent04_Loans!B206="","",Agent04_Loans!L206)</f>
        <v/>
      </c>
      <c r="M794" s="40" t="str">
        <f>IFERROR(IF(Agent04_Loans!B206="","",YEAR(Agent04_Loans!D206)),"")</f>
        <v/>
      </c>
    </row>
    <row r="795" spans="1:13" ht="18" customHeight="1" x14ac:dyDescent="0.25">
      <c r="A795" s="40" t="str">
        <f>IF(Agent04_Loans!B207="","",Agent04_Loans!A207)</f>
        <v/>
      </c>
      <c r="B795" s="40" t="str">
        <f>IF(Agent04_Loans!B207="","",Agent04_Loans!B207)</f>
        <v/>
      </c>
      <c r="C795" s="40" t="str">
        <f>IF(Agent04_Loans!B207="","",Agent04_Loans!C207)</f>
        <v/>
      </c>
      <c r="D795" s="41" t="str">
        <f>IF(Agent04_Loans!B207="","",Agent04_Loans!D207)</f>
        <v/>
      </c>
      <c r="E795" s="43" t="str">
        <f>IF(Agent04_Loans!B207="","",Agent04_Loans!E207)</f>
        <v/>
      </c>
      <c r="F795" s="40" t="str">
        <f>IF(Agent04_Loans!B207="","",Agent04_Loans!F207)</f>
        <v/>
      </c>
      <c r="G795" s="40" t="str">
        <f>IF(Agent04_Loans!B207="","",Agent04_Loans!G207)</f>
        <v/>
      </c>
      <c r="H795" s="40" t="str">
        <f>IF(Agent04_Loans!B207="","",Agent04_Loans!H207)</f>
        <v/>
      </c>
      <c r="I795" s="43" t="str">
        <f>IF(Agent04_Loans!B207="","",Agent04_Loans!I207)</f>
        <v/>
      </c>
      <c r="J795" s="43" t="str">
        <f>IF(Agent04_Loans!B207="","",Agent04_Loans!J207)</f>
        <v/>
      </c>
      <c r="K795" s="40" t="str">
        <f>IF(Agent04_Loans!B207="","",Agent04_Loans!K207)</f>
        <v/>
      </c>
      <c r="L795" s="40" t="str">
        <f>IF(Agent04_Loans!B207="","",Agent04_Loans!L207)</f>
        <v/>
      </c>
      <c r="M795" s="40" t="str">
        <f>IFERROR(IF(Agent04_Loans!B207="","",YEAR(Agent04_Loans!D207)),"")</f>
        <v/>
      </c>
    </row>
    <row r="796" spans="1:13" ht="18" customHeight="1" x14ac:dyDescent="0.25">
      <c r="A796" s="40" t="str">
        <f>IF(Agent04_Loans!B208="","",Agent04_Loans!A208)</f>
        <v/>
      </c>
      <c r="B796" s="40" t="str">
        <f>IF(Agent04_Loans!B208="","",Agent04_Loans!B208)</f>
        <v/>
      </c>
      <c r="C796" s="40" t="str">
        <f>IF(Agent04_Loans!B208="","",Agent04_Loans!C208)</f>
        <v/>
      </c>
      <c r="D796" s="41" t="str">
        <f>IF(Agent04_Loans!B208="","",Agent04_Loans!D208)</f>
        <v/>
      </c>
      <c r="E796" s="43" t="str">
        <f>IF(Agent04_Loans!B208="","",Agent04_Loans!E208)</f>
        <v/>
      </c>
      <c r="F796" s="40" t="str">
        <f>IF(Agent04_Loans!B208="","",Agent04_Loans!F208)</f>
        <v/>
      </c>
      <c r="G796" s="40" t="str">
        <f>IF(Agent04_Loans!B208="","",Agent04_Loans!G208)</f>
        <v/>
      </c>
      <c r="H796" s="40" t="str">
        <f>IF(Agent04_Loans!B208="","",Agent04_Loans!H208)</f>
        <v/>
      </c>
      <c r="I796" s="43" t="str">
        <f>IF(Agent04_Loans!B208="","",Agent04_Loans!I208)</f>
        <v/>
      </c>
      <c r="J796" s="43" t="str">
        <f>IF(Agent04_Loans!B208="","",Agent04_Loans!J208)</f>
        <v/>
      </c>
      <c r="K796" s="40" t="str">
        <f>IF(Agent04_Loans!B208="","",Agent04_Loans!K208)</f>
        <v/>
      </c>
      <c r="L796" s="40" t="str">
        <f>IF(Agent04_Loans!B208="","",Agent04_Loans!L208)</f>
        <v/>
      </c>
      <c r="M796" s="40" t="str">
        <f>IFERROR(IF(Agent04_Loans!B208="","",YEAR(Agent04_Loans!D208)),"")</f>
        <v/>
      </c>
    </row>
    <row r="797" spans="1:13" ht="18" customHeight="1" x14ac:dyDescent="0.25">
      <c r="A797" s="40" t="str">
        <f>IF(Agent04_Loans!B209="","",Agent04_Loans!A209)</f>
        <v/>
      </c>
      <c r="B797" s="40" t="str">
        <f>IF(Agent04_Loans!B209="","",Agent04_Loans!B209)</f>
        <v/>
      </c>
      <c r="C797" s="40" t="str">
        <f>IF(Agent04_Loans!B209="","",Agent04_Loans!C209)</f>
        <v/>
      </c>
      <c r="D797" s="41" t="str">
        <f>IF(Agent04_Loans!B209="","",Agent04_Loans!D209)</f>
        <v/>
      </c>
      <c r="E797" s="43" t="str">
        <f>IF(Agent04_Loans!B209="","",Agent04_Loans!E209)</f>
        <v/>
      </c>
      <c r="F797" s="40" t="str">
        <f>IF(Agent04_Loans!B209="","",Agent04_Loans!F209)</f>
        <v/>
      </c>
      <c r="G797" s="40" t="str">
        <f>IF(Agent04_Loans!B209="","",Agent04_Loans!G209)</f>
        <v/>
      </c>
      <c r="H797" s="40" t="str">
        <f>IF(Agent04_Loans!B209="","",Agent04_Loans!H209)</f>
        <v/>
      </c>
      <c r="I797" s="43" t="str">
        <f>IF(Agent04_Loans!B209="","",Agent04_Loans!I209)</f>
        <v/>
      </c>
      <c r="J797" s="43" t="str">
        <f>IF(Agent04_Loans!B209="","",Agent04_Loans!J209)</f>
        <v/>
      </c>
      <c r="K797" s="40" t="str">
        <f>IF(Agent04_Loans!B209="","",Agent04_Loans!K209)</f>
        <v/>
      </c>
      <c r="L797" s="40" t="str">
        <f>IF(Agent04_Loans!B209="","",Agent04_Loans!L209)</f>
        <v/>
      </c>
      <c r="M797" s="40" t="str">
        <f>IFERROR(IF(Agent04_Loans!B209="","",YEAR(Agent04_Loans!D209)),"")</f>
        <v/>
      </c>
    </row>
    <row r="798" spans="1:13" ht="18" customHeight="1" x14ac:dyDescent="0.25">
      <c r="A798" s="40" t="str">
        <f>IF(Agent04_Loans!B210="","",Agent04_Loans!A210)</f>
        <v/>
      </c>
      <c r="B798" s="40" t="str">
        <f>IF(Agent04_Loans!B210="","",Agent04_Loans!B210)</f>
        <v/>
      </c>
      <c r="C798" s="40" t="str">
        <f>IF(Agent04_Loans!B210="","",Agent04_Loans!C210)</f>
        <v/>
      </c>
      <c r="D798" s="41" t="str">
        <f>IF(Agent04_Loans!B210="","",Agent04_Loans!D210)</f>
        <v/>
      </c>
      <c r="E798" s="43" t="str">
        <f>IF(Agent04_Loans!B210="","",Agent04_Loans!E210)</f>
        <v/>
      </c>
      <c r="F798" s="40" t="str">
        <f>IF(Agent04_Loans!B210="","",Agent04_Loans!F210)</f>
        <v/>
      </c>
      <c r="G798" s="40" t="str">
        <f>IF(Agent04_Loans!B210="","",Agent04_Loans!G210)</f>
        <v/>
      </c>
      <c r="H798" s="40" t="str">
        <f>IF(Agent04_Loans!B210="","",Agent04_Loans!H210)</f>
        <v/>
      </c>
      <c r="I798" s="43" t="str">
        <f>IF(Agent04_Loans!B210="","",Agent04_Loans!I210)</f>
        <v/>
      </c>
      <c r="J798" s="43" t="str">
        <f>IF(Agent04_Loans!B210="","",Agent04_Loans!J210)</f>
        <v/>
      </c>
      <c r="K798" s="40" t="str">
        <f>IF(Agent04_Loans!B210="","",Agent04_Loans!K210)</f>
        <v/>
      </c>
      <c r="L798" s="40" t="str">
        <f>IF(Agent04_Loans!B210="","",Agent04_Loans!L210)</f>
        <v/>
      </c>
      <c r="M798" s="40" t="str">
        <f>IFERROR(IF(Agent04_Loans!B210="","",YEAR(Agent04_Loans!D210)),"")</f>
        <v/>
      </c>
    </row>
    <row r="799" spans="1:13" ht="18" customHeight="1" x14ac:dyDescent="0.25">
      <c r="A799" s="40" t="str">
        <f>IF(Agent04_Loans!B211="","",Agent04_Loans!A211)</f>
        <v/>
      </c>
      <c r="B799" s="40" t="str">
        <f>IF(Agent04_Loans!B211="","",Agent04_Loans!B211)</f>
        <v/>
      </c>
      <c r="C799" s="40" t="str">
        <f>IF(Agent04_Loans!B211="","",Agent04_Loans!C211)</f>
        <v/>
      </c>
      <c r="D799" s="41" t="str">
        <f>IF(Agent04_Loans!B211="","",Agent04_Loans!D211)</f>
        <v/>
      </c>
      <c r="E799" s="43" t="str">
        <f>IF(Agent04_Loans!B211="","",Agent04_Loans!E211)</f>
        <v/>
      </c>
      <c r="F799" s="40" t="str">
        <f>IF(Agent04_Loans!B211="","",Agent04_Loans!F211)</f>
        <v/>
      </c>
      <c r="G799" s="40" t="str">
        <f>IF(Agent04_Loans!B211="","",Agent04_Loans!G211)</f>
        <v/>
      </c>
      <c r="H799" s="40" t="str">
        <f>IF(Agent04_Loans!B211="","",Agent04_Loans!H211)</f>
        <v/>
      </c>
      <c r="I799" s="43" t="str">
        <f>IF(Agent04_Loans!B211="","",Agent04_Loans!I211)</f>
        <v/>
      </c>
      <c r="J799" s="43" t="str">
        <f>IF(Agent04_Loans!B211="","",Agent04_Loans!J211)</f>
        <v/>
      </c>
      <c r="K799" s="40" t="str">
        <f>IF(Agent04_Loans!B211="","",Agent04_Loans!K211)</f>
        <v/>
      </c>
      <c r="L799" s="40" t="str">
        <f>IF(Agent04_Loans!B211="","",Agent04_Loans!L211)</f>
        <v/>
      </c>
      <c r="M799" s="40" t="str">
        <f>IFERROR(IF(Agent04_Loans!B211="","",YEAR(Agent04_Loans!D211)),"")</f>
        <v/>
      </c>
    </row>
    <row r="800" spans="1:13" ht="18" customHeight="1" x14ac:dyDescent="0.25">
      <c r="A800" s="40" t="str">
        <f>IF(Agent04_Loans!B212="","",Agent04_Loans!A212)</f>
        <v/>
      </c>
      <c r="B800" s="40" t="str">
        <f>IF(Agent04_Loans!B212="","",Agent04_Loans!B212)</f>
        <v/>
      </c>
      <c r="C800" s="40" t="str">
        <f>IF(Agent04_Loans!B212="","",Agent04_Loans!C212)</f>
        <v/>
      </c>
      <c r="D800" s="41" t="str">
        <f>IF(Agent04_Loans!B212="","",Agent04_Loans!D212)</f>
        <v/>
      </c>
      <c r="E800" s="43" t="str">
        <f>IF(Agent04_Loans!B212="","",Agent04_Loans!E212)</f>
        <v/>
      </c>
      <c r="F800" s="40" t="str">
        <f>IF(Agent04_Loans!B212="","",Agent04_Loans!F212)</f>
        <v/>
      </c>
      <c r="G800" s="40" t="str">
        <f>IF(Agent04_Loans!B212="","",Agent04_Loans!G212)</f>
        <v/>
      </c>
      <c r="H800" s="40" t="str">
        <f>IF(Agent04_Loans!B212="","",Agent04_Loans!H212)</f>
        <v/>
      </c>
      <c r="I800" s="43" t="str">
        <f>IF(Agent04_Loans!B212="","",Agent04_Loans!I212)</f>
        <v/>
      </c>
      <c r="J800" s="43" t="str">
        <f>IF(Agent04_Loans!B212="","",Agent04_Loans!J212)</f>
        <v/>
      </c>
      <c r="K800" s="40" t="str">
        <f>IF(Agent04_Loans!B212="","",Agent04_Loans!K212)</f>
        <v/>
      </c>
      <c r="L800" s="40" t="str">
        <f>IF(Agent04_Loans!B212="","",Agent04_Loans!L212)</f>
        <v/>
      </c>
      <c r="M800" s="40" t="str">
        <f>IFERROR(IF(Agent04_Loans!B212="","",YEAR(Agent04_Loans!D212)),"")</f>
        <v/>
      </c>
    </row>
    <row r="801" spans="1:13" ht="18" customHeight="1" x14ac:dyDescent="0.25">
      <c r="A801" s="40" t="str">
        <f>IF(Agent04_Loans!B213="","",Agent04_Loans!A213)</f>
        <v/>
      </c>
      <c r="B801" s="40" t="str">
        <f>IF(Agent04_Loans!B213="","",Agent04_Loans!B213)</f>
        <v/>
      </c>
      <c r="C801" s="40" t="str">
        <f>IF(Agent04_Loans!B213="","",Agent04_Loans!C213)</f>
        <v/>
      </c>
      <c r="D801" s="41" t="str">
        <f>IF(Agent04_Loans!B213="","",Agent04_Loans!D213)</f>
        <v/>
      </c>
      <c r="E801" s="43" t="str">
        <f>IF(Agent04_Loans!B213="","",Agent04_Loans!E213)</f>
        <v/>
      </c>
      <c r="F801" s="40" t="str">
        <f>IF(Agent04_Loans!B213="","",Agent04_Loans!F213)</f>
        <v/>
      </c>
      <c r="G801" s="40" t="str">
        <f>IF(Agent04_Loans!B213="","",Agent04_Loans!G213)</f>
        <v/>
      </c>
      <c r="H801" s="40" t="str">
        <f>IF(Agent04_Loans!B213="","",Agent04_Loans!H213)</f>
        <v/>
      </c>
      <c r="I801" s="43" t="str">
        <f>IF(Agent04_Loans!B213="","",Agent04_Loans!I213)</f>
        <v/>
      </c>
      <c r="J801" s="43" t="str">
        <f>IF(Agent04_Loans!B213="","",Agent04_Loans!J213)</f>
        <v/>
      </c>
      <c r="K801" s="40" t="str">
        <f>IF(Agent04_Loans!B213="","",Agent04_Loans!K213)</f>
        <v/>
      </c>
      <c r="L801" s="40" t="str">
        <f>IF(Agent04_Loans!B213="","",Agent04_Loans!L213)</f>
        <v/>
      </c>
      <c r="M801" s="40" t="str">
        <f>IFERROR(IF(Agent04_Loans!B213="","",YEAR(Agent04_Loans!D213)),"")</f>
        <v/>
      </c>
    </row>
    <row r="802" spans="1:13" ht="18" customHeight="1" x14ac:dyDescent="0.25">
      <c r="A802" s="40" t="str">
        <f>IF(Agent04_Loans!B214="","",Agent04_Loans!A214)</f>
        <v/>
      </c>
      <c r="B802" s="40" t="str">
        <f>IF(Agent04_Loans!B214="","",Agent04_Loans!B214)</f>
        <v/>
      </c>
      <c r="C802" s="40" t="str">
        <f>IF(Agent04_Loans!B214="","",Agent04_Loans!C214)</f>
        <v/>
      </c>
      <c r="D802" s="41" t="str">
        <f>IF(Agent04_Loans!B214="","",Agent04_Loans!D214)</f>
        <v/>
      </c>
      <c r="E802" s="43" t="str">
        <f>IF(Agent04_Loans!B214="","",Agent04_Loans!E214)</f>
        <v/>
      </c>
      <c r="F802" s="40" t="str">
        <f>IF(Agent04_Loans!B214="","",Agent04_Loans!F214)</f>
        <v/>
      </c>
      <c r="G802" s="40" t="str">
        <f>IF(Agent04_Loans!B214="","",Agent04_Loans!G214)</f>
        <v/>
      </c>
      <c r="H802" s="40" t="str">
        <f>IF(Agent04_Loans!B214="","",Agent04_Loans!H214)</f>
        <v/>
      </c>
      <c r="I802" s="43" t="str">
        <f>IF(Agent04_Loans!B214="","",Agent04_Loans!I214)</f>
        <v/>
      </c>
      <c r="J802" s="43" t="str">
        <f>IF(Agent04_Loans!B214="","",Agent04_Loans!J214)</f>
        <v/>
      </c>
      <c r="K802" s="40" t="str">
        <f>IF(Agent04_Loans!B214="","",Agent04_Loans!K214)</f>
        <v/>
      </c>
      <c r="L802" s="40" t="str">
        <f>IF(Agent04_Loans!B214="","",Agent04_Loans!L214)</f>
        <v/>
      </c>
      <c r="M802" s="40" t="str">
        <f>IFERROR(IF(Agent04_Loans!B214="","",YEAR(Agent04_Loans!D214)),"")</f>
        <v/>
      </c>
    </row>
    <row r="803" spans="1:13" ht="18" customHeight="1" x14ac:dyDescent="0.25">
      <c r="A803" s="40" t="str">
        <f>IF(Agent04_Loans!B215="","",Agent04_Loans!A215)</f>
        <v/>
      </c>
      <c r="B803" s="40" t="str">
        <f>IF(Agent04_Loans!B215="","",Agent04_Loans!B215)</f>
        <v/>
      </c>
      <c r="C803" s="40" t="str">
        <f>IF(Agent04_Loans!B215="","",Agent04_Loans!C215)</f>
        <v/>
      </c>
      <c r="D803" s="41" t="str">
        <f>IF(Agent04_Loans!B215="","",Agent04_Loans!D215)</f>
        <v/>
      </c>
      <c r="E803" s="43" t="str">
        <f>IF(Agent04_Loans!B215="","",Agent04_Loans!E215)</f>
        <v/>
      </c>
      <c r="F803" s="40" t="str">
        <f>IF(Agent04_Loans!B215="","",Agent04_Loans!F215)</f>
        <v/>
      </c>
      <c r="G803" s="40" t="str">
        <f>IF(Agent04_Loans!B215="","",Agent04_Loans!G215)</f>
        <v/>
      </c>
      <c r="H803" s="40" t="str">
        <f>IF(Agent04_Loans!B215="","",Agent04_Loans!H215)</f>
        <v/>
      </c>
      <c r="I803" s="43" t="str">
        <f>IF(Agent04_Loans!B215="","",Agent04_Loans!I215)</f>
        <v/>
      </c>
      <c r="J803" s="43" t="str">
        <f>IF(Agent04_Loans!B215="","",Agent04_Loans!J215)</f>
        <v/>
      </c>
      <c r="K803" s="40" t="str">
        <f>IF(Agent04_Loans!B215="","",Agent04_Loans!K215)</f>
        <v/>
      </c>
      <c r="L803" s="40" t="str">
        <f>IF(Agent04_Loans!B215="","",Agent04_Loans!L215)</f>
        <v/>
      </c>
      <c r="M803" s="40" t="str">
        <f>IFERROR(IF(Agent04_Loans!B215="","",YEAR(Agent04_Loans!D215)),"")</f>
        <v/>
      </c>
    </row>
    <row r="804" spans="1:13" ht="18" customHeight="1" x14ac:dyDescent="0.25">
      <c r="A804" s="40" t="str">
        <f>IF(Agent05_Loans!B16="","",Agent05_Loans!A16)</f>
        <v/>
      </c>
      <c r="B804" s="40" t="str">
        <f>IF(Agent05_Loans!B16="","",Agent05_Loans!B16)</f>
        <v/>
      </c>
      <c r="C804" s="40" t="str">
        <f>IF(Agent05_Loans!B16="","",Agent05_Loans!C16)</f>
        <v/>
      </c>
      <c r="D804" s="41" t="str">
        <f>IF(Agent05_Loans!B16="","",Agent05_Loans!D16)</f>
        <v/>
      </c>
      <c r="E804" s="43" t="str">
        <f>IF(Agent05_Loans!B16="","",Agent05_Loans!E16)</f>
        <v/>
      </c>
      <c r="F804" s="40" t="str">
        <f>IF(Agent05_Loans!B16="","",Agent05_Loans!F16)</f>
        <v/>
      </c>
      <c r="G804" s="40" t="str">
        <f>IF(Agent05_Loans!B16="","",Agent05_Loans!G16)</f>
        <v/>
      </c>
      <c r="H804" s="40" t="str">
        <f>IF(Agent05_Loans!B16="","",Agent05_Loans!H16)</f>
        <v/>
      </c>
      <c r="I804" s="43" t="str">
        <f>IF(Agent05_Loans!B16="","",Agent05_Loans!I16)</f>
        <v/>
      </c>
      <c r="J804" s="43" t="str">
        <f>IF(Agent05_Loans!B16="","",Agent05_Loans!J16)</f>
        <v/>
      </c>
      <c r="K804" s="40" t="str">
        <f>IF(Agent05_Loans!B16="","",Agent05_Loans!K16)</f>
        <v/>
      </c>
      <c r="L804" s="40" t="str">
        <f>IF(Agent05_Loans!B16="","",Agent05_Loans!L16)</f>
        <v/>
      </c>
      <c r="M804" s="40" t="str">
        <f>IFERROR(IF(Agent05_Loans!B16="","",YEAR(Agent05_Loans!D16)),"")</f>
        <v/>
      </c>
    </row>
    <row r="805" spans="1:13" ht="18" customHeight="1" x14ac:dyDescent="0.25">
      <c r="A805" s="40" t="str">
        <f>IF(Agent05_Loans!B17="","",Agent05_Loans!A17)</f>
        <v/>
      </c>
      <c r="B805" s="40" t="str">
        <f>IF(Agent05_Loans!B17="","",Agent05_Loans!B17)</f>
        <v/>
      </c>
      <c r="C805" s="40" t="str">
        <f>IF(Agent05_Loans!B17="","",Agent05_Loans!C17)</f>
        <v/>
      </c>
      <c r="D805" s="41" t="str">
        <f>IF(Agent05_Loans!B17="","",Agent05_Loans!D17)</f>
        <v/>
      </c>
      <c r="E805" s="43" t="str">
        <f>IF(Agent05_Loans!B17="","",Agent05_Loans!E17)</f>
        <v/>
      </c>
      <c r="F805" s="40" t="str">
        <f>IF(Agent05_Loans!B17="","",Agent05_Loans!F17)</f>
        <v/>
      </c>
      <c r="G805" s="40" t="str">
        <f>IF(Agent05_Loans!B17="","",Agent05_Loans!G17)</f>
        <v/>
      </c>
      <c r="H805" s="40" t="str">
        <f>IF(Agent05_Loans!B17="","",Agent05_Loans!H17)</f>
        <v/>
      </c>
      <c r="I805" s="43" t="str">
        <f>IF(Agent05_Loans!B17="","",Agent05_Loans!I17)</f>
        <v/>
      </c>
      <c r="J805" s="43" t="str">
        <f>IF(Agent05_Loans!B17="","",Agent05_Loans!J17)</f>
        <v/>
      </c>
      <c r="K805" s="40" t="str">
        <f>IF(Agent05_Loans!B17="","",Agent05_Loans!K17)</f>
        <v/>
      </c>
      <c r="L805" s="40" t="str">
        <f>IF(Agent05_Loans!B17="","",Agent05_Loans!L17)</f>
        <v/>
      </c>
      <c r="M805" s="40" t="str">
        <f>IFERROR(IF(Agent05_Loans!B17="","",YEAR(Agent05_Loans!D17)),"")</f>
        <v/>
      </c>
    </row>
    <row r="806" spans="1:13" ht="18" customHeight="1" x14ac:dyDescent="0.25">
      <c r="A806" s="40" t="str">
        <f>IF(Agent05_Loans!B18="","",Agent05_Loans!A18)</f>
        <v/>
      </c>
      <c r="B806" s="40" t="str">
        <f>IF(Agent05_Loans!B18="","",Agent05_Loans!B18)</f>
        <v/>
      </c>
      <c r="C806" s="40" t="str">
        <f>IF(Agent05_Loans!B18="","",Agent05_Loans!C18)</f>
        <v/>
      </c>
      <c r="D806" s="41" t="str">
        <f>IF(Agent05_Loans!B18="","",Agent05_Loans!D18)</f>
        <v/>
      </c>
      <c r="E806" s="43" t="str">
        <f>IF(Agent05_Loans!B18="","",Agent05_Loans!E18)</f>
        <v/>
      </c>
      <c r="F806" s="40" t="str">
        <f>IF(Agent05_Loans!B18="","",Agent05_Loans!F18)</f>
        <v/>
      </c>
      <c r="G806" s="40" t="str">
        <f>IF(Agent05_Loans!B18="","",Agent05_Loans!G18)</f>
        <v/>
      </c>
      <c r="H806" s="40" t="str">
        <f>IF(Agent05_Loans!B18="","",Agent05_Loans!H18)</f>
        <v/>
      </c>
      <c r="I806" s="43" t="str">
        <f>IF(Agent05_Loans!B18="","",Agent05_Loans!I18)</f>
        <v/>
      </c>
      <c r="J806" s="43" t="str">
        <f>IF(Agent05_Loans!B18="","",Agent05_Loans!J18)</f>
        <v/>
      </c>
      <c r="K806" s="40" t="str">
        <f>IF(Agent05_Loans!B18="","",Agent05_Loans!K18)</f>
        <v/>
      </c>
      <c r="L806" s="40" t="str">
        <f>IF(Agent05_Loans!B18="","",Agent05_Loans!L18)</f>
        <v/>
      </c>
      <c r="M806" s="40" t="str">
        <f>IFERROR(IF(Agent05_Loans!B18="","",YEAR(Agent05_Loans!D18)),"")</f>
        <v/>
      </c>
    </row>
    <row r="807" spans="1:13" ht="18" customHeight="1" x14ac:dyDescent="0.25">
      <c r="A807" s="40" t="str">
        <f>IF(Agent05_Loans!B19="","",Agent05_Loans!A19)</f>
        <v/>
      </c>
      <c r="B807" s="40" t="str">
        <f>IF(Agent05_Loans!B19="","",Agent05_Loans!B19)</f>
        <v/>
      </c>
      <c r="C807" s="40" t="str">
        <f>IF(Agent05_Loans!B19="","",Agent05_Loans!C19)</f>
        <v/>
      </c>
      <c r="D807" s="41" t="str">
        <f>IF(Agent05_Loans!B19="","",Agent05_Loans!D19)</f>
        <v/>
      </c>
      <c r="E807" s="43" t="str">
        <f>IF(Agent05_Loans!B19="","",Agent05_Loans!E19)</f>
        <v/>
      </c>
      <c r="F807" s="40" t="str">
        <f>IF(Agent05_Loans!B19="","",Agent05_Loans!F19)</f>
        <v/>
      </c>
      <c r="G807" s="40" t="str">
        <f>IF(Agent05_Loans!B19="","",Agent05_Loans!G19)</f>
        <v/>
      </c>
      <c r="H807" s="40" t="str">
        <f>IF(Agent05_Loans!B19="","",Agent05_Loans!H19)</f>
        <v/>
      </c>
      <c r="I807" s="43" t="str">
        <f>IF(Agent05_Loans!B19="","",Agent05_Loans!I19)</f>
        <v/>
      </c>
      <c r="J807" s="43" t="str">
        <f>IF(Agent05_Loans!B19="","",Agent05_Loans!J19)</f>
        <v/>
      </c>
      <c r="K807" s="40" t="str">
        <f>IF(Agent05_Loans!B19="","",Agent05_Loans!K19)</f>
        <v/>
      </c>
      <c r="L807" s="40" t="str">
        <f>IF(Agent05_Loans!B19="","",Agent05_Loans!L19)</f>
        <v/>
      </c>
      <c r="M807" s="40" t="str">
        <f>IFERROR(IF(Agent05_Loans!B19="","",YEAR(Agent05_Loans!D19)),"")</f>
        <v/>
      </c>
    </row>
    <row r="808" spans="1:13" ht="18" customHeight="1" x14ac:dyDescent="0.25">
      <c r="A808" s="40" t="str">
        <f>IF(Agent05_Loans!B20="","",Agent05_Loans!A20)</f>
        <v/>
      </c>
      <c r="B808" s="40" t="str">
        <f>IF(Agent05_Loans!B20="","",Agent05_Loans!B20)</f>
        <v/>
      </c>
      <c r="C808" s="40" t="str">
        <f>IF(Agent05_Loans!B20="","",Agent05_Loans!C20)</f>
        <v/>
      </c>
      <c r="D808" s="41" t="str">
        <f>IF(Agent05_Loans!B20="","",Agent05_Loans!D20)</f>
        <v/>
      </c>
      <c r="E808" s="43" t="str">
        <f>IF(Agent05_Loans!B20="","",Agent05_Loans!E20)</f>
        <v/>
      </c>
      <c r="F808" s="40" t="str">
        <f>IF(Agent05_Loans!B20="","",Agent05_Loans!F20)</f>
        <v/>
      </c>
      <c r="G808" s="40" t="str">
        <f>IF(Agent05_Loans!B20="","",Agent05_Loans!G20)</f>
        <v/>
      </c>
      <c r="H808" s="40" t="str">
        <f>IF(Agent05_Loans!B20="","",Agent05_Loans!H20)</f>
        <v/>
      </c>
      <c r="I808" s="43" t="str">
        <f>IF(Agent05_Loans!B20="","",Agent05_Loans!I20)</f>
        <v/>
      </c>
      <c r="J808" s="43" t="str">
        <f>IF(Agent05_Loans!B20="","",Agent05_Loans!J20)</f>
        <v/>
      </c>
      <c r="K808" s="40" t="str">
        <f>IF(Agent05_Loans!B20="","",Agent05_Loans!K20)</f>
        <v/>
      </c>
      <c r="L808" s="40" t="str">
        <f>IF(Agent05_Loans!B20="","",Agent05_Loans!L20)</f>
        <v/>
      </c>
      <c r="M808" s="40" t="str">
        <f>IFERROR(IF(Agent05_Loans!B20="","",YEAR(Agent05_Loans!D20)),"")</f>
        <v/>
      </c>
    </row>
    <row r="809" spans="1:13" ht="18" customHeight="1" x14ac:dyDescent="0.25">
      <c r="A809" s="40" t="str">
        <f>IF(Agent05_Loans!B21="","",Agent05_Loans!A21)</f>
        <v/>
      </c>
      <c r="B809" s="40" t="str">
        <f>IF(Agent05_Loans!B21="","",Agent05_Loans!B21)</f>
        <v/>
      </c>
      <c r="C809" s="40" t="str">
        <f>IF(Agent05_Loans!B21="","",Agent05_Loans!C21)</f>
        <v/>
      </c>
      <c r="D809" s="41" t="str">
        <f>IF(Agent05_Loans!B21="","",Agent05_Loans!D21)</f>
        <v/>
      </c>
      <c r="E809" s="43" t="str">
        <f>IF(Agent05_Loans!B21="","",Agent05_Loans!E21)</f>
        <v/>
      </c>
      <c r="F809" s="40" t="str">
        <f>IF(Agent05_Loans!B21="","",Agent05_Loans!F21)</f>
        <v/>
      </c>
      <c r="G809" s="40" t="str">
        <f>IF(Agent05_Loans!B21="","",Agent05_Loans!G21)</f>
        <v/>
      </c>
      <c r="H809" s="40" t="str">
        <f>IF(Agent05_Loans!B21="","",Agent05_Loans!H21)</f>
        <v/>
      </c>
      <c r="I809" s="43" t="str">
        <f>IF(Agent05_Loans!B21="","",Agent05_Loans!I21)</f>
        <v/>
      </c>
      <c r="J809" s="43" t="str">
        <f>IF(Agent05_Loans!B21="","",Agent05_Loans!J21)</f>
        <v/>
      </c>
      <c r="K809" s="40" t="str">
        <f>IF(Agent05_Loans!B21="","",Agent05_Loans!K21)</f>
        <v/>
      </c>
      <c r="L809" s="40" t="str">
        <f>IF(Agent05_Loans!B21="","",Agent05_Loans!L21)</f>
        <v/>
      </c>
      <c r="M809" s="40" t="str">
        <f>IFERROR(IF(Agent05_Loans!B21="","",YEAR(Agent05_Loans!D21)),"")</f>
        <v/>
      </c>
    </row>
    <row r="810" spans="1:13" ht="18" customHeight="1" x14ac:dyDescent="0.25">
      <c r="A810" s="40" t="str">
        <f>IF(Agent05_Loans!B22="","",Agent05_Loans!A22)</f>
        <v/>
      </c>
      <c r="B810" s="40" t="str">
        <f>IF(Agent05_Loans!B22="","",Agent05_Loans!B22)</f>
        <v/>
      </c>
      <c r="C810" s="40" t="str">
        <f>IF(Agent05_Loans!B22="","",Agent05_Loans!C22)</f>
        <v/>
      </c>
      <c r="D810" s="41" t="str">
        <f>IF(Agent05_Loans!B22="","",Agent05_Loans!D22)</f>
        <v/>
      </c>
      <c r="E810" s="43" t="str">
        <f>IF(Agent05_Loans!B22="","",Agent05_Loans!E22)</f>
        <v/>
      </c>
      <c r="F810" s="40" t="str">
        <f>IF(Agent05_Loans!B22="","",Agent05_Loans!F22)</f>
        <v/>
      </c>
      <c r="G810" s="40" t="str">
        <f>IF(Agent05_Loans!B22="","",Agent05_Loans!G22)</f>
        <v/>
      </c>
      <c r="H810" s="40" t="str">
        <f>IF(Agent05_Loans!B22="","",Agent05_Loans!H22)</f>
        <v/>
      </c>
      <c r="I810" s="43" t="str">
        <f>IF(Agent05_Loans!B22="","",Agent05_Loans!I22)</f>
        <v/>
      </c>
      <c r="J810" s="43" t="str">
        <f>IF(Agent05_Loans!B22="","",Agent05_Loans!J22)</f>
        <v/>
      </c>
      <c r="K810" s="40" t="str">
        <f>IF(Agent05_Loans!B22="","",Agent05_Loans!K22)</f>
        <v/>
      </c>
      <c r="L810" s="40" t="str">
        <f>IF(Agent05_Loans!B22="","",Agent05_Loans!L22)</f>
        <v/>
      </c>
      <c r="M810" s="40" t="str">
        <f>IFERROR(IF(Agent05_Loans!B22="","",YEAR(Agent05_Loans!D22)),"")</f>
        <v/>
      </c>
    </row>
    <row r="811" spans="1:13" ht="18" customHeight="1" x14ac:dyDescent="0.25">
      <c r="A811" s="40" t="str">
        <f>IF(Agent05_Loans!B23="","",Agent05_Loans!A23)</f>
        <v/>
      </c>
      <c r="B811" s="40" t="str">
        <f>IF(Agent05_Loans!B23="","",Agent05_Loans!B23)</f>
        <v/>
      </c>
      <c r="C811" s="40" t="str">
        <f>IF(Agent05_Loans!B23="","",Agent05_Loans!C23)</f>
        <v/>
      </c>
      <c r="D811" s="41" t="str">
        <f>IF(Agent05_Loans!B23="","",Agent05_Loans!D23)</f>
        <v/>
      </c>
      <c r="E811" s="43" t="str">
        <f>IF(Agent05_Loans!B23="","",Agent05_Loans!E23)</f>
        <v/>
      </c>
      <c r="F811" s="40" t="str">
        <f>IF(Agent05_Loans!B23="","",Agent05_Loans!F23)</f>
        <v/>
      </c>
      <c r="G811" s="40" t="str">
        <f>IF(Agent05_Loans!B23="","",Agent05_Loans!G23)</f>
        <v/>
      </c>
      <c r="H811" s="40" t="str">
        <f>IF(Agent05_Loans!B23="","",Agent05_Loans!H23)</f>
        <v/>
      </c>
      <c r="I811" s="43" t="str">
        <f>IF(Agent05_Loans!B23="","",Agent05_Loans!I23)</f>
        <v/>
      </c>
      <c r="J811" s="43" t="str">
        <f>IF(Agent05_Loans!B23="","",Agent05_Loans!J23)</f>
        <v/>
      </c>
      <c r="K811" s="40" t="str">
        <f>IF(Agent05_Loans!B23="","",Agent05_Loans!K23)</f>
        <v/>
      </c>
      <c r="L811" s="40" t="str">
        <f>IF(Agent05_Loans!B23="","",Agent05_Loans!L23)</f>
        <v/>
      </c>
      <c r="M811" s="40" t="str">
        <f>IFERROR(IF(Agent05_Loans!B23="","",YEAR(Agent05_Loans!D23)),"")</f>
        <v/>
      </c>
    </row>
    <row r="812" spans="1:13" ht="18" customHeight="1" x14ac:dyDescent="0.25">
      <c r="A812" s="40" t="str">
        <f>IF(Agent05_Loans!B24="","",Agent05_Loans!A24)</f>
        <v/>
      </c>
      <c r="B812" s="40" t="str">
        <f>IF(Agent05_Loans!B24="","",Agent05_Loans!B24)</f>
        <v/>
      </c>
      <c r="C812" s="40" t="str">
        <f>IF(Agent05_Loans!B24="","",Agent05_Loans!C24)</f>
        <v/>
      </c>
      <c r="D812" s="41" t="str">
        <f>IF(Agent05_Loans!B24="","",Agent05_Loans!D24)</f>
        <v/>
      </c>
      <c r="E812" s="43" t="str">
        <f>IF(Agent05_Loans!B24="","",Agent05_Loans!E24)</f>
        <v/>
      </c>
      <c r="F812" s="40" t="str">
        <f>IF(Agent05_Loans!B24="","",Agent05_Loans!F24)</f>
        <v/>
      </c>
      <c r="G812" s="40" t="str">
        <f>IF(Agent05_Loans!B24="","",Agent05_Loans!G24)</f>
        <v/>
      </c>
      <c r="H812" s="40" t="str">
        <f>IF(Agent05_Loans!B24="","",Agent05_Loans!H24)</f>
        <v/>
      </c>
      <c r="I812" s="43" t="str">
        <f>IF(Agent05_Loans!B24="","",Agent05_Loans!I24)</f>
        <v/>
      </c>
      <c r="J812" s="43" t="str">
        <f>IF(Agent05_Loans!B24="","",Agent05_Loans!J24)</f>
        <v/>
      </c>
      <c r="K812" s="40" t="str">
        <f>IF(Agent05_Loans!B24="","",Agent05_Loans!K24)</f>
        <v/>
      </c>
      <c r="L812" s="40" t="str">
        <f>IF(Agent05_Loans!B24="","",Agent05_Loans!L24)</f>
        <v/>
      </c>
      <c r="M812" s="40" t="str">
        <f>IFERROR(IF(Agent05_Loans!B24="","",YEAR(Agent05_Loans!D24)),"")</f>
        <v/>
      </c>
    </row>
    <row r="813" spans="1:13" ht="18" customHeight="1" x14ac:dyDescent="0.25">
      <c r="A813" s="40" t="str">
        <f>IF(Agent05_Loans!B25="","",Agent05_Loans!A25)</f>
        <v/>
      </c>
      <c r="B813" s="40" t="str">
        <f>IF(Agent05_Loans!B25="","",Agent05_Loans!B25)</f>
        <v/>
      </c>
      <c r="C813" s="40" t="str">
        <f>IF(Agent05_Loans!B25="","",Agent05_Loans!C25)</f>
        <v/>
      </c>
      <c r="D813" s="41" t="str">
        <f>IF(Agent05_Loans!B25="","",Agent05_Loans!D25)</f>
        <v/>
      </c>
      <c r="E813" s="43" t="str">
        <f>IF(Agent05_Loans!B25="","",Agent05_Loans!E25)</f>
        <v/>
      </c>
      <c r="F813" s="40" t="str">
        <f>IF(Agent05_Loans!B25="","",Agent05_Loans!F25)</f>
        <v/>
      </c>
      <c r="G813" s="40" t="str">
        <f>IF(Agent05_Loans!B25="","",Agent05_Loans!G25)</f>
        <v/>
      </c>
      <c r="H813" s="40" t="str">
        <f>IF(Agent05_Loans!B25="","",Agent05_Loans!H25)</f>
        <v/>
      </c>
      <c r="I813" s="43" t="str">
        <f>IF(Agent05_Loans!B25="","",Agent05_Loans!I25)</f>
        <v/>
      </c>
      <c r="J813" s="43" t="str">
        <f>IF(Agent05_Loans!B25="","",Agent05_Loans!J25)</f>
        <v/>
      </c>
      <c r="K813" s="40" t="str">
        <f>IF(Agent05_Loans!B25="","",Agent05_Loans!K25)</f>
        <v/>
      </c>
      <c r="L813" s="40" t="str">
        <f>IF(Agent05_Loans!B25="","",Agent05_Loans!L25)</f>
        <v/>
      </c>
      <c r="M813" s="40" t="str">
        <f>IFERROR(IF(Agent05_Loans!B25="","",YEAR(Agent05_Loans!D25)),"")</f>
        <v/>
      </c>
    </row>
    <row r="814" spans="1:13" ht="18" customHeight="1" x14ac:dyDescent="0.25">
      <c r="A814" s="40" t="str">
        <f>IF(Agent05_Loans!B26="","",Agent05_Loans!A26)</f>
        <v/>
      </c>
      <c r="B814" s="40" t="str">
        <f>IF(Agent05_Loans!B26="","",Agent05_Loans!B26)</f>
        <v/>
      </c>
      <c r="C814" s="40" t="str">
        <f>IF(Agent05_Loans!B26="","",Agent05_Loans!C26)</f>
        <v/>
      </c>
      <c r="D814" s="41" t="str">
        <f>IF(Agent05_Loans!B26="","",Agent05_Loans!D26)</f>
        <v/>
      </c>
      <c r="E814" s="43" t="str">
        <f>IF(Agent05_Loans!B26="","",Agent05_Loans!E26)</f>
        <v/>
      </c>
      <c r="F814" s="40" t="str">
        <f>IF(Agent05_Loans!B26="","",Agent05_Loans!F26)</f>
        <v/>
      </c>
      <c r="G814" s="40" t="str">
        <f>IF(Agent05_Loans!B26="","",Agent05_Loans!G26)</f>
        <v/>
      </c>
      <c r="H814" s="40" t="str">
        <f>IF(Agent05_Loans!B26="","",Agent05_Loans!H26)</f>
        <v/>
      </c>
      <c r="I814" s="43" t="str">
        <f>IF(Agent05_Loans!B26="","",Agent05_Loans!I26)</f>
        <v/>
      </c>
      <c r="J814" s="43" t="str">
        <f>IF(Agent05_Loans!B26="","",Agent05_Loans!J26)</f>
        <v/>
      </c>
      <c r="K814" s="40" t="str">
        <f>IF(Agent05_Loans!B26="","",Agent05_Loans!K26)</f>
        <v/>
      </c>
      <c r="L814" s="40" t="str">
        <f>IF(Agent05_Loans!B26="","",Agent05_Loans!L26)</f>
        <v/>
      </c>
      <c r="M814" s="40" t="str">
        <f>IFERROR(IF(Agent05_Loans!B26="","",YEAR(Agent05_Loans!D26)),"")</f>
        <v/>
      </c>
    </row>
    <row r="815" spans="1:13" ht="18" customHeight="1" x14ac:dyDescent="0.25">
      <c r="A815" s="40" t="str">
        <f>IF(Agent05_Loans!B27="","",Agent05_Loans!A27)</f>
        <v/>
      </c>
      <c r="B815" s="40" t="str">
        <f>IF(Agent05_Loans!B27="","",Agent05_Loans!B27)</f>
        <v/>
      </c>
      <c r="C815" s="40" t="str">
        <f>IF(Agent05_Loans!B27="","",Agent05_Loans!C27)</f>
        <v/>
      </c>
      <c r="D815" s="41" t="str">
        <f>IF(Agent05_Loans!B27="","",Agent05_Loans!D27)</f>
        <v/>
      </c>
      <c r="E815" s="43" t="str">
        <f>IF(Agent05_Loans!B27="","",Agent05_Loans!E27)</f>
        <v/>
      </c>
      <c r="F815" s="40" t="str">
        <f>IF(Agent05_Loans!B27="","",Agent05_Loans!F27)</f>
        <v/>
      </c>
      <c r="G815" s="40" t="str">
        <f>IF(Agent05_Loans!B27="","",Agent05_Loans!G27)</f>
        <v/>
      </c>
      <c r="H815" s="40" t="str">
        <f>IF(Agent05_Loans!B27="","",Agent05_Loans!H27)</f>
        <v/>
      </c>
      <c r="I815" s="43" t="str">
        <f>IF(Agent05_Loans!B27="","",Agent05_Loans!I27)</f>
        <v/>
      </c>
      <c r="J815" s="43" t="str">
        <f>IF(Agent05_Loans!B27="","",Agent05_Loans!J27)</f>
        <v/>
      </c>
      <c r="K815" s="40" t="str">
        <f>IF(Agent05_Loans!B27="","",Agent05_Loans!K27)</f>
        <v/>
      </c>
      <c r="L815" s="40" t="str">
        <f>IF(Agent05_Loans!B27="","",Agent05_Loans!L27)</f>
        <v/>
      </c>
      <c r="M815" s="40" t="str">
        <f>IFERROR(IF(Agent05_Loans!B27="","",YEAR(Agent05_Loans!D27)),"")</f>
        <v/>
      </c>
    </row>
    <row r="816" spans="1:13" ht="18" customHeight="1" x14ac:dyDescent="0.25">
      <c r="A816" s="40" t="str">
        <f>IF(Agent05_Loans!B28="","",Agent05_Loans!A28)</f>
        <v/>
      </c>
      <c r="B816" s="40" t="str">
        <f>IF(Agent05_Loans!B28="","",Agent05_Loans!B28)</f>
        <v/>
      </c>
      <c r="C816" s="40" t="str">
        <f>IF(Agent05_Loans!B28="","",Agent05_Loans!C28)</f>
        <v/>
      </c>
      <c r="D816" s="41" t="str">
        <f>IF(Agent05_Loans!B28="","",Agent05_Loans!D28)</f>
        <v/>
      </c>
      <c r="E816" s="43" t="str">
        <f>IF(Agent05_Loans!B28="","",Agent05_Loans!E28)</f>
        <v/>
      </c>
      <c r="F816" s="40" t="str">
        <f>IF(Agent05_Loans!B28="","",Agent05_Loans!F28)</f>
        <v/>
      </c>
      <c r="G816" s="40" t="str">
        <f>IF(Agent05_Loans!B28="","",Agent05_Loans!G28)</f>
        <v/>
      </c>
      <c r="H816" s="40" t="str">
        <f>IF(Agent05_Loans!B28="","",Agent05_Loans!H28)</f>
        <v/>
      </c>
      <c r="I816" s="43" t="str">
        <f>IF(Agent05_Loans!B28="","",Agent05_Loans!I28)</f>
        <v/>
      </c>
      <c r="J816" s="43" t="str">
        <f>IF(Agent05_Loans!B28="","",Agent05_Loans!J28)</f>
        <v/>
      </c>
      <c r="K816" s="40" t="str">
        <f>IF(Agent05_Loans!B28="","",Agent05_Loans!K28)</f>
        <v/>
      </c>
      <c r="L816" s="40" t="str">
        <f>IF(Agent05_Loans!B28="","",Agent05_Loans!L28)</f>
        <v/>
      </c>
      <c r="M816" s="40" t="str">
        <f>IFERROR(IF(Agent05_Loans!B28="","",YEAR(Agent05_Loans!D28)),"")</f>
        <v/>
      </c>
    </row>
    <row r="817" spans="1:13" ht="18" customHeight="1" x14ac:dyDescent="0.25">
      <c r="A817" s="40" t="str">
        <f>IF(Agent05_Loans!B29="","",Agent05_Loans!A29)</f>
        <v/>
      </c>
      <c r="B817" s="40" t="str">
        <f>IF(Agent05_Loans!B29="","",Agent05_Loans!B29)</f>
        <v/>
      </c>
      <c r="C817" s="40" t="str">
        <f>IF(Agent05_Loans!B29="","",Agent05_Loans!C29)</f>
        <v/>
      </c>
      <c r="D817" s="41" t="str">
        <f>IF(Agent05_Loans!B29="","",Agent05_Loans!D29)</f>
        <v/>
      </c>
      <c r="E817" s="43" t="str">
        <f>IF(Agent05_Loans!B29="","",Agent05_Loans!E29)</f>
        <v/>
      </c>
      <c r="F817" s="40" t="str">
        <f>IF(Agent05_Loans!B29="","",Agent05_Loans!F29)</f>
        <v/>
      </c>
      <c r="G817" s="40" t="str">
        <f>IF(Agent05_Loans!B29="","",Agent05_Loans!G29)</f>
        <v/>
      </c>
      <c r="H817" s="40" t="str">
        <f>IF(Agent05_Loans!B29="","",Agent05_Loans!H29)</f>
        <v/>
      </c>
      <c r="I817" s="43" t="str">
        <f>IF(Agent05_Loans!B29="","",Agent05_Loans!I29)</f>
        <v/>
      </c>
      <c r="J817" s="43" t="str">
        <f>IF(Agent05_Loans!B29="","",Agent05_Loans!J29)</f>
        <v/>
      </c>
      <c r="K817" s="40" t="str">
        <f>IF(Agent05_Loans!B29="","",Agent05_Loans!K29)</f>
        <v/>
      </c>
      <c r="L817" s="40" t="str">
        <f>IF(Agent05_Loans!B29="","",Agent05_Loans!L29)</f>
        <v/>
      </c>
      <c r="M817" s="40" t="str">
        <f>IFERROR(IF(Agent05_Loans!B29="","",YEAR(Agent05_Loans!D29)),"")</f>
        <v/>
      </c>
    </row>
    <row r="818" spans="1:13" ht="18" customHeight="1" x14ac:dyDescent="0.25">
      <c r="A818" s="40" t="str">
        <f>IF(Agent05_Loans!B30="","",Agent05_Loans!A30)</f>
        <v/>
      </c>
      <c r="B818" s="40" t="str">
        <f>IF(Agent05_Loans!B30="","",Agent05_Loans!B30)</f>
        <v/>
      </c>
      <c r="C818" s="40" t="str">
        <f>IF(Agent05_Loans!B30="","",Agent05_Loans!C30)</f>
        <v/>
      </c>
      <c r="D818" s="41" t="str">
        <f>IF(Agent05_Loans!B30="","",Agent05_Loans!D30)</f>
        <v/>
      </c>
      <c r="E818" s="43" t="str">
        <f>IF(Agent05_Loans!B30="","",Agent05_Loans!E30)</f>
        <v/>
      </c>
      <c r="F818" s="40" t="str">
        <f>IF(Agent05_Loans!B30="","",Agent05_Loans!F30)</f>
        <v/>
      </c>
      <c r="G818" s="40" t="str">
        <f>IF(Agent05_Loans!B30="","",Agent05_Loans!G30)</f>
        <v/>
      </c>
      <c r="H818" s="40" t="str">
        <f>IF(Agent05_Loans!B30="","",Agent05_Loans!H30)</f>
        <v/>
      </c>
      <c r="I818" s="43" t="str">
        <f>IF(Agent05_Loans!B30="","",Agent05_Loans!I30)</f>
        <v/>
      </c>
      <c r="J818" s="43" t="str">
        <f>IF(Agent05_Loans!B30="","",Agent05_Loans!J30)</f>
        <v/>
      </c>
      <c r="K818" s="40" t="str">
        <f>IF(Agent05_Loans!B30="","",Agent05_Loans!K30)</f>
        <v/>
      </c>
      <c r="L818" s="40" t="str">
        <f>IF(Agent05_Loans!B30="","",Agent05_Loans!L30)</f>
        <v/>
      </c>
      <c r="M818" s="40" t="str">
        <f>IFERROR(IF(Agent05_Loans!B30="","",YEAR(Agent05_Loans!D30)),"")</f>
        <v/>
      </c>
    </row>
    <row r="819" spans="1:13" ht="18" customHeight="1" x14ac:dyDescent="0.25">
      <c r="A819" s="40" t="str">
        <f>IF(Agent05_Loans!B31="","",Agent05_Loans!A31)</f>
        <v/>
      </c>
      <c r="B819" s="40" t="str">
        <f>IF(Agent05_Loans!B31="","",Agent05_Loans!B31)</f>
        <v/>
      </c>
      <c r="C819" s="40" t="str">
        <f>IF(Agent05_Loans!B31="","",Agent05_Loans!C31)</f>
        <v/>
      </c>
      <c r="D819" s="41" t="str">
        <f>IF(Agent05_Loans!B31="","",Agent05_Loans!D31)</f>
        <v/>
      </c>
      <c r="E819" s="43" t="str">
        <f>IF(Agent05_Loans!B31="","",Agent05_Loans!E31)</f>
        <v/>
      </c>
      <c r="F819" s="40" t="str">
        <f>IF(Agent05_Loans!B31="","",Agent05_Loans!F31)</f>
        <v/>
      </c>
      <c r="G819" s="40" t="str">
        <f>IF(Agent05_Loans!B31="","",Agent05_Loans!G31)</f>
        <v/>
      </c>
      <c r="H819" s="40" t="str">
        <f>IF(Agent05_Loans!B31="","",Agent05_Loans!H31)</f>
        <v/>
      </c>
      <c r="I819" s="43" t="str">
        <f>IF(Agent05_Loans!B31="","",Agent05_Loans!I31)</f>
        <v/>
      </c>
      <c r="J819" s="43" t="str">
        <f>IF(Agent05_Loans!B31="","",Agent05_Loans!J31)</f>
        <v/>
      </c>
      <c r="K819" s="40" t="str">
        <f>IF(Agent05_Loans!B31="","",Agent05_Loans!K31)</f>
        <v/>
      </c>
      <c r="L819" s="40" t="str">
        <f>IF(Agent05_Loans!B31="","",Agent05_Loans!L31)</f>
        <v/>
      </c>
      <c r="M819" s="40" t="str">
        <f>IFERROR(IF(Agent05_Loans!B31="","",YEAR(Agent05_Loans!D31)),"")</f>
        <v/>
      </c>
    </row>
    <row r="820" spans="1:13" ht="18" customHeight="1" x14ac:dyDescent="0.25">
      <c r="A820" s="40" t="str">
        <f>IF(Agent05_Loans!B32="","",Agent05_Loans!A32)</f>
        <v/>
      </c>
      <c r="B820" s="40" t="str">
        <f>IF(Agent05_Loans!B32="","",Agent05_Loans!B32)</f>
        <v/>
      </c>
      <c r="C820" s="40" t="str">
        <f>IF(Agent05_Loans!B32="","",Agent05_Loans!C32)</f>
        <v/>
      </c>
      <c r="D820" s="41" t="str">
        <f>IF(Agent05_Loans!B32="","",Agent05_Loans!D32)</f>
        <v/>
      </c>
      <c r="E820" s="43" t="str">
        <f>IF(Agent05_Loans!B32="","",Agent05_Loans!E32)</f>
        <v/>
      </c>
      <c r="F820" s="40" t="str">
        <f>IF(Agent05_Loans!B32="","",Agent05_Loans!F32)</f>
        <v/>
      </c>
      <c r="G820" s="40" t="str">
        <f>IF(Agent05_Loans!B32="","",Agent05_Loans!G32)</f>
        <v/>
      </c>
      <c r="H820" s="40" t="str">
        <f>IF(Agent05_Loans!B32="","",Agent05_Loans!H32)</f>
        <v/>
      </c>
      <c r="I820" s="43" t="str">
        <f>IF(Agent05_Loans!B32="","",Agent05_Loans!I32)</f>
        <v/>
      </c>
      <c r="J820" s="43" t="str">
        <f>IF(Agent05_Loans!B32="","",Agent05_Loans!J32)</f>
        <v/>
      </c>
      <c r="K820" s="40" t="str">
        <f>IF(Agent05_Loans!B32="","",Agent05_Loans!K32)</f>
        <v/>
      </c>
      <c r="L820" s="40" t="str">
        <f>IF(Agent05_Loans!B32="","",Agent05_Loans!L32)</f>
        <v/>
      </c>
      <c r="M820" s="40" t="str">
        <f>IFERROR(IF(Agent05_Loans!B32="","",YEAR(Agent05_Loans!D32)),"")</f>
        <v/>
      </c>
    </row>
    <row r="821" spans="1:13" ht="18" customHeight="1" x14ac:dyDescent="0.25">
      <c r="A821" s="40" t="str">
        <f>IF(Agent05_Loans!B33="","",Agent05_Loans!A33)</f>
        <v/>
      </c>
      <c r="B821" s="40" t="str">
        <f>IF(Agent05_Loans!B33="","",Agent05_Loans!B33)</f>
        <v/>
      </c>
      <c r="C821" s="40" t="str">
        <f>IF(Agent05_Loans!B33="","",Agent05_Loans!C33)</f>
        <v/>
      </c>
      <c r="D821" s="41" t="str">
        <f>IF(Agent05_Loans!B33="","",Agent05_Loans!D33)</f>
        <v/>
      </c>
      <c r="E821" s="43" t="str">
        <f>IF(Agent05_Loans!B33="","",Agent05_Loans!E33)</f>
        <v/>
      </c>
      <c r="F821" s="40" t="str">
        <f>IF(Agent05_Loans!B33="","",Agent05_Loans!F33)</f>
        <v/>
      </c>
      <c r="G821" s="40" t="str">
        <f>IF(Agent05_Loans!B33="","",Agent05_Loans!G33)</f>
        <v/>
      </c>
      <c r="H821" s="40" t="str">
        <f>IF(Agent05_Loans!B33="","",Agent05_Loans!H33)</f>
        <v/>
      </c>
      <c r="I821" s="43" t="str">
        <f>IF(Agent05_Loans!B33="","",Agent05_Loans!I33)</f>
        <v/>
      </c>
      <c r="J821" s="43" t="str">
        <f>IF(Agent05_Loans!B33="","",Agent05_Loans!J33)</f>
        <v/>
      </c>
      <c r="K821" s="40" t="str">
        <f>IF(Agent05_Loans!B33="","",Agent05_Loans!K33)</f>
        <v/>
      </c>
      <c r="L821" s="40" t="str">
        <f>IF(Agent05_Loans!B33="","",Agent05_Loans!L33)</f>
        <v/>
      </c>
      <c r="M821" s="40" t="str">
        <f>IFERROR(IF(Agent05_Loans!B33="","",YEAR(Agent05_Loans!D33)),"")</f>
        <v/>
      </c>
    </row>
    <row r="822" spans="1:13" ht="18" customHeight="1" x14ac:dyDescent="0.25">
      <c r="A822" s="40" t="str">
        <f>IF(Agent05_Loans!B34="","",Agent05_Loans!A34)</f>
        <v/>
      </c>
      <c r="B822" s="40" t="str">
        <f>IF(Agent05_Loans!B34="","",Agent05_Loans!B34)</f>
        <v/>
      </c>
      <c r="C822" s="40" t="str">
        <f>IF(Agent05_Loans!B34="","",Agent05_Loans!C34)</f>
        <v/>
      </c>
      <c r="D822" s="41" t="str">
        <f>IF(Agent05_Loans!B34="","",Agent05_Loans!D34)</f>
        <v/>
      </c>
      <c r="E822" s="43" t="str">
        <f>IF(Agent05_Loans!B34="","",Agent05_Loans!E34)</f>
        <v/>
      </c>
      <c r="F822" s="40" t="str">
        <f>IF(Agent05_Loans!B34="","",Agent05_Loans!F34)</f>
        <v/>
      </c>
      <c r="G822" s="40" t="str">
        <f>IF(Agent05_Loans!B34="","",Agent05_Loans!G34)</f>
        <v/>
      </c>
      <c r="H822" s="40" t="str">
        <f>IF(Agent05_Loans!B34="","",Agent05_Loans!H34)</f>
        <v/>
      </c>
      <c r="I822" s="43" t="str">
        <f>IF(Agent05_Loans!B34="","",Agent05_Loans!I34)</f>
        <v/>
      </c>
      <c r="J822" s="43" t="str">
        <f>IF(Agent05_Loans!B34="","",Agent05_Loans!J34)</f>
        <v/>
      </c>
      <c r="K822" s="40" t="str">
        <f>IF(Agent05_Loans!B34="","",Agent05_Loans!K34)</f>
        <v/>
      </c>
      <c r="L822" s="40" t="str">
        <f>IF(Agent05_Loans!B34="","",Agent05_Loans!L34)</f>
        <v/>
      </c>
      <c r="M822" s="40" t="str">
        <f>IFERROR(IF(Agent05_Loans!B34="","",YEAR(Agent05_Loans!D34)),"")</f>
        <v/>
      </c>
    </row>
    <row r="823" spans="1:13" ht="18" customHeight="1" x14ac:dyDescent="0.25">
      <c r="A823" s="40" t="str">
        <f>IF(Agent05_Loans!B35="","",Agent05_Loans!A35)</f>
        <v/>
      </c>
      <c r="B823" s="40" t="str">
        <f>IF(Agent05_Loans!B35="","",Agent05_Loans!B35)</f>
        <v/>
      </c>
      <c r="C823" s="40" t="str">
        <f>IF(Agent05_Loans!B35="","",Agent05_Loans!C35)</f>
        <v/>
      </c>
      <c r="D823" s="41" t="str">
        <f>IF(Agent05_Loans!B35="","",Agent05_Loans!D35)</f>
        <v/>
      </c>
      <c r="E823" s="43" t="str">
        <f>IF(Agent05_Loans!B35="","",Agent05_Loans!E35)</f>
        <v/>
      </c>
      <c r="F823" s="40" t="str">
        <f>IF(Agent05_Loans!B35="","",Agent05_Loans!F35)</f>
        <v/>
      </c>
      <c r="G823" s="40" t="str">
        <f>IF(Agent05_Loans!B35="","",Agent05_Loans!G35)</f>
        <v/>
      </c>
      <c r="H823" s="40" t="str">
        <f>IF(Agent05_Loans!B35="","",Agent05_Loans!H35)</f>
        <v/>
      </c>
      <c r="I823" s="43" t="str">
        <f>IF(Agent05_Loans!B35="","",Agent05_Loans!I35)</f>
        <v/>
      </c>
      <c r="J823" s="43" t="str">
        <f>IF(Agent05_Loans!B35="","",Agent05_Loans!J35)</f>
        <v/>
      </c>
      <c r="K823" s="40" t="str">
        <f>IF(Agent05_Loans!B35="","",Agent05_Loans!K35)</f>
        <v/>
      </c>
      <c r="L823" s="40" t="str">
        <f>IF(Agent05_Loans!B35="","",Agent05_Loans!L35)</f>
        <v/>
      </c>
      <c r="M823" s="40" t="str">
        <f>IFERROR(IF(Agent05_Loans!B35="","",YEAR(Agent05_Loans!D35)),"")</f>
        <v/>
      </c>
    </row>
    <row r="824" spans="1:13" ht="18" customHeight="1" x14ac:dyDescent="0.25">
      <c r="A824" s="40" t="str">
        <f>IF(Agent05_Loans!B36="","",Agent05_Loans!A36)</f>
        <v/>
      </c>
      <c r="B824" s="40" t="str">
        <f>IF(Agent05_Loans!B36="","",Agent05_Loans!B36)</f>
        <v/>
      </c>
      <c r="C824" s="40" t="str">
        <f>IF(Agent05_Loans!B36="","",Agent05_Loans!C36)</f>
        <v/>
      </c>
      <c r="D824" s="41" t="str">
        <f>IF(Agent05_Loans!B36="","",Agent05_Loans!D36)</f>
        <v/>
      </c>
      <c r="E824" s="43" t="str">
        <f>IF(Agent05_Loans!B36="","",Agent05_Loans!E36)</f>
        <v/>
      </c>
      <c r="F824" s="40" t="str">
        <f>IF(Agent05_Loans!B36="","",Agent05_Loans!F36)</f>
        <v/>
      </c>
      <c r="G824" s="40" t="str">
        <f>IF(Agent05_Loans!B36="","",Agent05_Loans!G36)</f>
        <v/>
      </c>
      <c r="H824" s="40" t="str">
        <f>IF(Agent05_Loans!B36="","",Agent05_Loans!H36)</f>
        <v/>
      </c>
      <c r="I824" s="43" t="str">
        <f>IF(Agent05_Loans!B36="","",Agent05_Loans!I36)</f>
        <v/>
      </c>
      <c r="J824" s="43" t="str">
        <f>IF(Agent05_Loans!B36="","",Agent05_Loans!J36)</f>
        <v/>
      </c>
      <c r="K824" s="40" t="str">
        <f>IF(Agent05_Loans!B36="","",Agent05_Loans!K36)</f>
        <v/>
      </c>
      <c r="L824" s="40" t="str">
        <f>IF(Agent05_Loans!B36="","",Agent05_Loans!L36)</f>
        <v/>
      </c>
      <c r="M824" s="40" t="str">
        <f>IFERROR(IF(Agent05_Loans!B36="","",YEAR(Agent05_Loans!D36)),"")</f>
        <v/>
      </c>
    </row>
    <row r="825" spans="1:13" ht="18" customHeight="1" x14ac:dyDescent="0.25">
      <c r="A825" s="40" t="str">
        <f>IF(Agent05_Loans!B37="","",Agent05_Loans!A37)</f>
        <v/>
      </c>
      <c r="B825" s="40" t="str">
        <f>IF(Agent05_Loans!B37="","",Agent05_Loans!B37)</f>
        <v/>
      </c>
      <c r="C825" s="40" t="str">
        <f>IF(Agent05_Loans!B37="","",Agent05_Loans!C37)</f>
        <v/>
      </c>
      <c r="D825" s="41" t="str">
        <f>IF(Agent05_Loans!B37="","",Agent05_Loans!D37)</f>
        <v/>
      </c>
      <c r="E825" s="43" t="str">
        <f>IF(Agent05_Loans!B37="","",Agent05_Loans!E37)</f>
        <v/>
      </c>
      <c r="F825" s="40" t="str">
        <f>IF(Agent05_Loans!B37="","",Agent05_Loans!F37)</f>
        <v/>
      </c>
      <c r="G825" s="40" t="str">
        <f>IF(Agent05_Loans!B37="","",Agent05_Loans!G37)</f>
        <v/>
      </c>
      <c r="H825" s="40" t="str">
        <f>IF(Agent05_Loans!B37="","",Agent05_Loans!H37)</f>
        <v/>
      </c>
      <c r="I825" s="43" t="str">
        <f>IF(Agent05_Loans!B37="","",Agent05_Loans!I37)</f>
        <v/>
      </c>
      <c r="J825" s="43" t="str">
        <f>IF(Agent05_Loans!B37="","",Agent05_Loans!J37)</f>
        <v/>
      </c>
      <c r="K825" s="40" t="str">
        <f>IF(Agent05_Loans!B37="","",Agent05_Loans!K37)</f>
        <v/>
      </c>
      <c r="L825" s="40" t="str">
        <f>IF(Agent05_Loans!B37="","",Agent05_Loans!L37)</f>
        <v/>
      </c>
      <c r="M825" s="40" t="str">
        <f>IFERROR(IF(Agent05_Loans!B37="","",YEAR(Agent05_Loans!D37)),"")</f>
        <v/>
      </c>
    </row>
    <row r="826" spans="1:13" ht="18" customHeight="1" x14ac:dyDescent="0.25">
      <c r="A826" s="40" t="str">
        <f>IF(Agent05_Loans!B38="","",Agent05_Loans!A38)</f>
        <v/>
      </c>
      <c r="B826" s="40" t="str">
        <f>IF(Agent05_Loans!B38="","",Agent05_Loans!B38)</f>
        <v/>
      </c>
      <c r="C826" s="40" t="str">
        <f>IF(Agent05_Loans!B38="","",Agent05_Loans!C38)</f>
        <v/>
      </c>
      <c r="D826" s="41" t="str">
        <f>IF(Agent05_Loans!B38="","",Agent05_Loans!D38)</f>
        <v/>
      </c>
      <c r="E826" s="43" t="str">
        <f>IF(Agent05_Loans!B38="","",Agent05_Loans!E38)</f>
        <v/>
      </c>
      <c r="F826" s="40" t="str">
        <f>IF(Agent05_Loans!B38="","",Agent05_Loans!F38)</f>
        <v/>
      </c>
      <c r="G826" s="40" t="str">
        <f>IF(Agent05_Loans!B38="","",Agent05_Loans!G38)</f>
        <v/>
      </c>
      <c r="H826" s="40" t="str">
        <f>IF(Agent05_Loans!B38="","",Agent05_Loans!H38)</f>
        <v/>
      </c>
      <c r="I826" s="43" t="str">
        <f>IF(Agent05_Loans!B38="","",Agent05_Loans!I38)</f>
        <v/>
      </c>
      <c r="J826" s="43" t="str">
        <f>IF(Agent05_Loans!B38="","",Agent05_Loans!J38)</f>
        <v/>
      </c>
      <c r="K826" s="40" t="str">
        <f>IF(Agent05_Loans!B38="","",Agent05_Loans!K38)</f>
        <v/>
      </c>
      <c r="L826" s="40" t="str">
        <f>IF(Agent05_Loans!B38="","",Agent05_Loans!L38)</f>
        <v/>
      </c>
      <c r="M826" s="40" t="str">
        <f>IFERROR(IF(Agent05_Loans!B38="","",YEAR(Agent05_Loans!D38)),"")</f>
        <v/>
      </c>
    </row>
    <row r="827" spans="1:13" ht="18" customHeight="1" x14ac:dyDescent="0.25">
      <c r="A827" s="40" t="str">
        <f>IF(Agent05_Loans!B39="","",Agent05_Loans!A39)</f>
        <v/>
      </c>
      <c r="B827" s="40" t="str">
        <f>IF(Agent05_Loans!B39="","",Agent05_Loans!B39)</f>
        <v/>
      </c>
      <c r="C827" s="40" t="str">
        <f>IF(Agent05_Loans!B39="","",Agent05_Loans!C39)</f>
        <v/>
      </c>
      <c r="D827" s="41" t="str">
        <f>IF(Agent05_Loans!B39="","",Agent05_Loans!D39)</f>
        <v/>
      </c>
      <c r="E827" s="43" t="str">
        <f>IF(Agent05_Loans!B39="","",Agent05_Loans!E39)</f>
        <v/>
      </c>
      <c r="F827" s="40" t="str">
        <f>IF(Agent05_Loans!B39="","",Agent05_Loans!F39)</f>
        <v/>
      </c>
      <c r="G827" s="40" t="str">
        <f>IF(Agent05_Loans!B39="","",Agent05_Loans!G39)</f>
        <v/>
      </c>
      <c r="H827" s="40" t="str">
        <f>IF(Agent05_Loans!B39="","",Agent05_Loans!H39)</f>
        <v/>
      </c>
      <c r="I827" s="43" t="str">
        <f>IF(Agent05_Loans!B39="","",Agent05_Loans!I39)</f>
        <v/>
      </c>
      <c r="J827" s="43" t="str">
        <f>IF(Agent05_Loans!B39="","",Agent05_Loans!J39)</f>
        <v/>
      </c>
      <c r="K827" s="40" t="str">
        <f>IF(Agent05_Loans!B39="","",Agent05_Loans!K39)</f>
        <v/>
      </c>
      <c r="L827" s="40" t="str">
        <f>IF(Agent05_Loans!B39="","",Agent05_Loans!L39)</f>
        <v/>
      </c>
      <c r="M827" s="40" t="str">
        <f>IFERROR(IF(Agent05_Loans!B39="","",YEAR(Agent05_Loans!D39)),"")</f>
        <v/>
      </c>
    </row>
    <row r="828" spans="1:13" ht="18" customHeight="1" x14ac:dyDescent="0.25">
      <c r="A828" s="40" t="str">
        <f>IF(Agent05_Loans!B40="","",Agent05_Loans!A40)</f>
        <v/>
      </c>
      <c r="B828" s="40" t="str">
        <f>IF(Agent05_Loans!B40="","",Agent05_Loans!B40)</f>
        <v/>
      </c>
      <c r="C828" s="40" t="str">
        <f>IF(Agent05_Loans!B40="","",Agent05_Loans!C40)</f>
        <v/>
      </c>
      <c r="D828" s="41" t="str">
        <f>IF(Agent05_Loans!B40="","",Agent05_Loans!D40)</f>
        <v/>
      </c>
      <c r="E828" s="43" t="str">
        <f>IF(Agent05_Loans!B40="","",Agent05_Loans!E40)</f>
        <v/>
      </c>
      <c r="F828" s="40" t="str">
        <f>IF(Agent05_Loans!B40="","",Agent05_Loans!F40)</f>
        <v/>
      </c>
      <c r="G828" s="40" t="str">
        <f>IF(Agent05_Loans!B40="","",Agent05_Loans!G40)</f>
        <v/>
      </c>
      <c r="H828" s="40" t="str">
        <f>IF(Agent05_Loans!B40="","",Agent05_Loans!H40)</f>
        <v/>
      </c>
      <c r="I828" s="43" t="str">
        <f>IF(Agent05_Loans!B40="","",Agent05_Loans!I40)</f>
        <v/>
      </c>
      <c r="J828" s="43" t="str">
        <f>IF(Agent05_Loans!B40="","",Agent05_Loans!J40)</f>
        <v/>
      </c>
      <c r="K828" s="40" t="str">
        <f>IF(Agent05_Loans!B40="","",Agent05_Loans!K40)</f>
        <v/>
      </c>
      <c r="L828" s="40" t="str">
        <f>IF(Agent05_Loans!B40="","",Agent05_Loans!L40)</f>
        <v/>
      </c>
      <c r="M828" s="40" t="str">
        <f>IFERROR(IF(Agent05_Loans!B40="","",YEAR(Agent05_Loans!D40)),"")</f>
        <v/>
      </c>
    </row>
    <row r="829" spans="1:13" ht="18" customHeight="1" x14ac:dyDescent="0.25">
      <c r="A829" s="40" t="str">
        <f>IF(Agent05_Loans!B41="","",Agent05_Loans!A41)</f>
        <v/>
      </c>
      <c r="B829" s="40" t="str">
        <f>IF(Agent05_Loans!B41="","",Agent05_Loans!B41)</f>
        <v/>
      </c>
      <c r="C829" s="40" t="str">
        <f>IF(Agent05_Loans!B41="","",Agent05_Loans!C41)</f>
        <v/>
      </c>
      <c r="D829" s="41" t="str">
        <f>IF(Agent05_Loans!B41="","",Agent05_Loans!D41)</f>
        <v/>
      </c>
      <c r="E829" s="43" t="str">
        <f>IF(Agent05_Loans!B41="","",Agent05_Loans!E41)</f>
        <v/>
      </c>
      <c r="F829" s="40" t="str">
        <f>IF(Agent05_Loans!B41="","",Agent05_Loans!F41)</f>
        <v/>
      </c>
      <c r="G829" s="40" t="str">
        <f>IF(Agent05_Loans!B41="","",Agent05_Loans!G41)</f>
        <v/>
      </c>
      <c r="H829" s="40" t="str">
        <f>IF(Agent05_Loans!B41="","",Agent05_Loans!H41)</f>
        <v/>
      </c>
      <c r="I829" s="43" t="str">
        <f>IF(Agent05_Loans!B41="","",Agent05_Loans!I41)</f>
        <v/>
      </c>
      <c r="J829" s="43" t="str">
        <f>IF(Agent05_Loans!B41="","",Agent05_Loans!J41)</f>
        <v/>
      </c>
      <c r="K829" s="40" t="str">
        <f>IF(Agent05_Loans!B41="","",Agent05_Loans!K41)</f>
        <v/>
      </c>
      <c r="L829" s="40" t="str">
        <f>IF(Agent05_Loans!B41="","",Agent05_Loans!L41)</f>
        <v/>
      </c>
      <c r="M829" s="40" t="str">
        <f>IFERROR(IF(Agent05_Loans!B41="","",YEAR(Agent05_Loans!D41)),"")</f>
        <v/>
      </c>
    </row>
    <row r="830" spans="1:13" ht="18" customHeight="1" x14ac:dyDescent="0.25">
      <c r="A830" s="40" t="str">
        <f>IF(Agent05_Loans!B42="","",Agent05_Loans!A42)</f>
        <v/>
      </c>
      <c r="B830" s="40" t="str">
        <f>IF(Agent05_Loans!B42="","",Agent05_Loans!B42)</f>
        <v/>
      </c>
      <c r="C830" s="40" t="str">
        <f>IF(Agent05_Loans!B42="","",Agent05_Loans!C42)</f>
        <v/>
      </c>
      <c r="D830" s="41" t="str">
        <f>IF(Agent05_Loans!B42="","",Agent05_Loans!D42)</f>
        <v/>
      </c>
      <c r="E830" s="43" t="str">
        <f>IF(Agent05_Loans!B42="","",Agent05_Loans!E42)</f>
        <v/>
      </c>
      <c r="F830" s="40" t="str">
        <f>IF(Agent05_Loans!B42="","",Agent05_Loans!F42)</f>
        <v/>
      </c>
      <c r="G830" s="40" t="str">
        <f>IF(Agent05_Loans!B42="","",Agent05_Loans!G42)</f>
        <v/>
      </c>
      <c r="H830" s="40" t="str">
        <f>IF(Agent05_Loans!B42="","",Agent05_Loans!H42)</f>
        <v/>
      </c>
      <c r="I830" s="43" t="str">
        <f>IF(Agent05_Loans!B42="","",Agent05_Loans!I42)</f>
        <v/>
      </c>
      <c r="J830" s="43" t="str">
        <f>IF(Agent05_Loans!B42="","",Agent05_Loans!J42)</f>
        <v/>
      </c>
      <c r="K830" s="40" t="str">
        <f>IF(Agent05_Loans!B42="","",Agent05_Loans!K42)</f>
        <v/>
      </c>
      <c r="L830" s="40" t="str">
        <f>IF(Agent05_Loans!B42="","",Agent05_Loans!L42)</f>
        <v/>
      </c>
      <c r="M830" s="40" t="str">
        <f>IFERROR(IF(Agent05_Loans!B42="","",YEAR(Agent05_Loans!D42)),"")</f>
        <v/>
      </c>
    </row>
    <row r="831" spans="1:13" ht="18" customHeight="1" x14ac:dyDescent="0.25">
      <c r="A831" s="40" t="str">
        <f>IF(Agent05_Loans!B43="","",Agent05_Loans!A43)</f>
        <v/>
      </c>
      <c r="B831" s="40" t="str">
        <f>IF(Agent05_Loans!B43="","",Agent05_Loans!B43)</f>
        <v/>
      </c>
      <c r="C831" s="40" t="str">
        <f>IF(Agent05_Loans!B43="","",Agent05_Loans!C43)</f>
        <v/>
      </c>
      <c r="D831" s="41" t="str">
        <f>IF(Agent05_Loans!B43="","",Agent05_Loans!D43)</f>
        <v/>
      </c>
      <c r="E831" s="43" t="str">
        <f>IF(Agent05_Loans!B43="","",Agent05_Loans!E43)</f>
        <v/>
      </c>
      <c r="F831" s="40" t="str">
        <f>IF(Agent05_Loans!B43="","",Agent05_Loans!F43)</f>
        <v/>
      </c>
      <c r="G831" s="40" t="str">
        <f>IF(Agent05_Loans!B43="","",Agent05_Loans!G43)</f>
        <v/>
      </c>
      <c r="H831" s="40" t="str">
        <f>IF(Agent05_Loans!B43="","",Agent05_Loans!H43)</f>
        <v/>
      </c>
      <c r="I831" s="43" t="str">
        <f>IF(Agent05_Loans!B43="","",Agent05_Loans!I43)</f>
        <v/>
      </c>
      <c r="J831" s="43" t="str">
        <f>IF(Agent05_Loans!B43="","",Agent05_Loans!J43)</f>
        <v/>
      </c>
      <c r="K831" s="40" t="str">
        <f>IF(Agent05_Loans!B43="","",Agent05_Loans!K43)</f>
        <v/>
      </c>
      <c r="L831" s="40" t="str">
        <f>IF(Agent05_Loans!B43="","",Agent05_Loans!L43)</f>
        <v/>
      </c>
      <c r="M831" s="40" t="str">
        <f>IFERROR(IF(Agent05_Loans!B43="","",YEAR(Agent05_Loans!D43)),"")</f>
        <v/>
      </c>
    </row>
    <row r="832" spans="1:13" ht="18" customHeight="1" x14ac:dyDescent="0.25">
      <c r="A832" s="40" t="str">
        <f>IF(Agent05_Loans!B44="","",Agent05_Loans!A44)</f>
        <v/>
      </c>
      <c r="B832" s="40" t="str">
        <f>IF(Agent05_Loans!B44="","",Agent05_Loans!B44)</f>
        <v/>
      </c>
      <c r="C832" s="40" t="str">
        <f>IF(Agent05_Loans!B44="","",Agent05_Loans!C44)</f>
        <v/>
      </c>
      <c r="D832" s="41" t="str">
        <f>IF(Agent05_Loans!B44="","",Agent05_Loans!D44)</f>
        <v/>
      </c>
      <c r="E832" s="43" t="str">
        <f>IF(Agent05_Loans!B44="","",Agent05_Loans!E44)</f>
        <v/>
      </c>
      <c r="F832" s="40" t="str">
        <f>IF(Agent05_Loans!B44="","",Agent05_Loans!F44)</f>
        <v/>
      </c>
      <c r="G832" s="40" t="str">
        <f>IF(Agent05_Loans!B44="","",Agent05_Loans!G44)</f>
        <v/>
      </c>
      <c r="H832" s="40" t="str">
        <f>IF(Agent05_Loans!B44="","",Agent05_Loans!H44)</f>
        <v/>
      </c>
      <c r="I832" s="43" t="str">
        <f>IF(Agent05_Loans!B44="","",Agent05_Loans!I44)</f>
        <v/>
      </c>
      <c r="J832" s="43" t="str">
        <f>IF(Agent05_Loans!B44="","",Agent05_Loans!J44)</f>
        <v/>
      </c>
      <c r="K832" s="40" t="str">
        <f>IF(Agent05_Loans!B44="","",Agent05_Loans!K44)</f>
        <v/>
      </c>
      <c r="L832" s="40" t="str">
        <f>IF(Agent05_Loans!B44="","",Agent05_Loans!L44)</f>
        <v/>
      </c>
      <c r="M832" s="40" t="str">
        <f>IFERROR(IF(Agent05_Loans!B44="","",YEAR(Agent05_Loans!D44)),"")</f>
        <v/>
      </c>
    </row>
    <row r="833" spans="1:13" ht="18" customHeight="1" x14ac:dyDescent="0.25">
      <c r="A833" s="40" t="str">
        <f>IF(Agent05_Loans!B45="","",Agent05_Loans!A45)</f>
        <v/>
      </c>
      <c r="B833" s="40" t="str">
        <f>IF(Agent05_Loans!B45="","",Agent05_Loans!B45)</f>
        <v/>
      </c>
      <c r="C833" s="40" t="str">
        <f>IF(Agent05_Loans!B45="","",Agent05_Loans!C45)</f>
        <v/>
      </c>
      <c r="D833" s="41" t="str">
        <f>IF(Agent05_Loans!B45="","",Agent05_Loans!D45)</f>
        <v/>
      </c>
      <c r="E833" s="43" t="str">
        <f>IF(Agent05_Loans!B45="","",Agent05_Loans!E45)</f>
        <v/>
      </c>
      <c r="F833" s="40" t="str">
        <f>IF(Agent05_Loans!B45="","",Agent05_Loans!F45)</f>
        <v/>
      </c>
      <c r="G833" s="40" t="str">
        <f>IF(Agent05_Loans!B45="","",Agent05_Loans!G45)</f>
        <v/>
      </c>
      <c r="H833" s="40" t="str">
        <f>IF(Agent05_Loans!B45="","",Agent05_Loans!H45)</f>
        <v/>
      </c>
      <c r="I833" s="43" t="str">
        <f>IF(Agent05_Loans!B45="","",Agent05_Loans!I45)</f>
        <v/>
      </c>
      <c r="J833" s="43" t="str">
        <f>IF(Agent05_Loans!B45="","",Agent05_Loans!J45)</f>
        <v/>
      </c>
      <c r="K833" s="40" t="str">
        <f>IF(Agent05_Loans!B45="","",Agent05_Loans!K45)</f>
        <v/>
      </c>
      <c r="L833" s="40" t="str">
        <f>IF(Agent05_Loans!B45="","",Agent05_Loans!L45)</f>
        <v/>
      </c>
      <c r="M833" s="40" t="str">
        <f>IFERROR(IF(Agent05_Loans!B45="","",YEAR(Agent05_Loans!D45)),"")</f>
        <v/>
      </c>
    </row>
    <row r="834" spans="1:13" ht="18" customHeight="1" x14ac:dyDescent="0.25">
      <c r="A834" s="40" t="str">
        <f>IF(Agent05_Loans!B46="","",Agent05_Loans!A46)</f>
        <v/>
      </c>
      <c r="B834" s="40" t="str">
        <f>IF(Agent05_Loans!B46="","",Agent05_Loans!B46)</f>
        <v/>
      </c>
      <c r="C834" s="40" t="str">
        <f>IF(Agent05_Loans!B46="","",Agent05_Loans!C46)</f>
        <v/>
      </c>
      <c r="D834" s="41" t="str">
        <f>IF(Agent05_Loans!B46="","",Agent05_Loans!D46)</f>
        <v/>
      </c>
      <c r="E834" s="43" t="str">
        <f>IF(Agent05_Loans!B46="","",Agent05_Loans!E46)</f>
        <v/>
      </c>
      <c r="F834" s="40" t="str">
        <f>IF(Agent05_Loans!B46="","",Agent05_Loans!F46)</f>
        <v/>
      </c>
      <c r="G834" s="40" t="str">
        <f>IF(Agent05_Loans!B46="","",Agent05_Loans!G46)</f>
        <v/>
      </c>
      <c r="H834" s="40" t="str">
        <f>IF(Agent05_Loans!B46="","",Agent05_Loans!H46)</f>
        <v/>
      </c>
      <c r="I834" s="43" t="str">
        <f>IF(Agent05_Loans!B46="","",Agent05_Loans!I46)</f>
        <v/>
      </c>
      <c r="J834" s="43" t="str">
        <f>IF(Agent05_Loans!B46="","",Agent05_Loans!J46)</f>
        <v/>
      </c>
      <c r="K834" s="40" t="str">
        <f>IF(Agent05_Loans!B46="","",Agent05_Loans!K46)</f>
        <v/>
      </c>
      <c r="L834" s="40" t="str">
        <f>IF(Agent05_Loans!B46="","",Agent05_Loans!L46)</f>
        <v/>
      </c>
      <c r="M834" s="40" t="str">
        <f>IFERROR(IF(Agent05_Loans!B46="","",YEAR(Agent05_Loans!D46)),"")</f>
        <v/>
      </c>
    </row>
    <row r="835" spans="1:13" ht="18" customHeight="1" x14ac:dyDescent="0.25">
      <c r="A835" s="40" t="str">
        <f>IF(Agent05_Loans!B47="","",Agent05_Loans!A47)</f>
        <v/>
      </c>
      <c r="B835" s="40" t="str">
        <f>IF(Agent05_Loans!B47="","",Agent05_Loans!B47)</f>
        <v/>
      </c>
      <c r="C835" s="40" t="str">
        <f>IF(Agent05_Loans!B47="","",Agent05_Loans!C47)</f>
        <v/>
      </c>
      <c r="D835" s="41" t="str">
        <f>IF(Agent05_Loans!B47="","",Agent05_Loans!D47)</f>
        <v/>
      </c>
      <c r="E835" s="43" t="str">
        <f>IF(Agent05_Loans!B47="","",Agent05_Loans!E47)</f>
        <v/>
      </c>
      <c r="F835" s="40" t="str">
        <f>IF(Agent05_Loans!B47="","",Agent05_Loans!F47)</f>
        <v/>
      </c>
      <c r="G835" s="40" t="str">
        <f>IF(Agent05_Loans!B47="","",Agent05_Loans!G47)</f>
        <v/>
      </c>
      <c r="H835" s="40" t="str">
        <f>IF(Agent05_Loans!B47="","",Agent05_Loans!H47)</f>
        <v/>
      </c>
      <c r="I835" s="43" t="str">
        <f>IF(Agent05_Loans!B47="","",Agent05_Loans!I47)</f>
        <v/>
      </c>
      <c r="J835" s="43" t="str">
        <f>IF(Agent05_Loans!B47="","",Agent05_Loans!J47)</f>
        <v/>
      </c>
      <c r="K835" s="40" t="str">
        <f>IF(Agent05_Loans!B47="","",Agent05_Loans!K47)</f>
        <v/>
      </c>
      <c r="L835" s="40" t="str">
        <f>IF(Agent05_Loans!B47="","",Agent05_Loans!L47)</f>
        <v/>
      </c>
      <c r="M835" s="40" t="str">
        <f>IFERROR(IF(Agent05_Loans!B47="","",YEAR(Agent05_Loans!D47)),"")</f>
        <v/>
      </c>
    </row>
    <row r="836" spans="1:13" ht="18" customHeight="1" x14ac:dyDescent="0.25">
      <c r="A836" s="40" t="str">
        <f>IF(Agent05_Loans!B48="","",Agent05_Loans!A48)</f>
        <v/>
      </c>
      <c r="B836" s="40" t="str">
        <f>IF(Agent05_Loans!B48="","",Agent05_Loans!B48)</f>
        <v/>
      </c>
      <c r="C836" s="40" t="str">
        <f>IF(Agent05_Loans!B48="","",Agent05_Loans!C48)</f>
        <v/>
      </c>
      <c r="D836" s="41" t="str">
        <f>IF(Agent05_Loans!B48="","",Agent05_Loans!D48)</f>
        <v/>
      </c>
      <c r="E836" s="43" t="str">
        <f>IF(Agent05_Loans!B48="","",Agent05_Loans!E48)</f>
        <v/>
      </c>
      <c r="F836" s="40" t="str">
        <f>IF(Agent05_Loans!B48="","",Agent05_Loans!F48)</f>
        <v/>
      </c>
      <c r="G836" s="40" t="str">
        <f>IF(Agent05_Loans!B48="","",Agent05_Loans!G48)</f>
        <v/>
      </c>
      <c r="H836" s="40" t="str">
        <f>IF(Agent05_Loans!B48="","",Agent05_Loans!H48)</f>
        <v/>
      </c>
      <c r="I836" s="43" t="str">
        <f>IF(Agent05_Loans!B48="","",Agent05_Loans!I48)</f>
        <v/>
      </c>
      <c r="J836" s="43" t="str">
        <f>IF(Agent05_Loans!B48="","",Agent05_Loans!J48)</f>
        <v/>
      </c>
      <c r="K836" s="40" t="str">
        <f>IF(Agent05_Loans!B48="","",Agent05_Loans!K48)</f>
        <v/>
      </c>
      <c r="L836" s="40" t="str">
        <f>IF(Agent05_Loans!B48="","",Agent05_Loans!L48)</f>
        <v/>
      </c>
      <c r="M836" s="40" t="str">
        <f>IFERROR(IF(Agent05_Loans!B48="","",YEAR(Agent05_Loans!D48)),"")</f>
        <v/>
      </c>
    </row>
    <row r="837" spans="1:13" ht="18" customHeight="1" x14ac:dyDescent="0.25">
      <c r="A837" s="40" t="str">
        <f>IF(Agent05_Loans!B49="","",Agent05_Loans!A49)</f>
        <v/>
      </c>
      <c r="B837" s="40" t="str">
        <f>IF(Agent05_Loans!B49="","",Agent05_Loans!B49)</f>
        <v/>
      </c>
      <c r="C837" s="40" t="str">
        <f>IF(Agent05_Loans!B49="","",Agent05_Loans!C49)</f>
        <v/>
      </c>
      <c r="D837" s="41" t="str">
        <f>IF(Agent05_Loans!B49="","",Agent05_Loans!D49)</f>
        <v/>
      </c>
      <c r="E837" s="43" t="str">
        <f>IF(Agent05_Loans!B49="","",Agent05_Loans!E49)</f>
        <v/>
      </c>
      <c r="F837" s="40" t="str">
        <f>IF(Agent05_Loans!B49="","",Agent05_Loans!F49)</f>
        <v/>
      </c>
      <c r="G837" s="40" t="str">
        <f>IF(Agent05_Loans!B49="","",Agent05_Loans!G49)</f>
        <v/>
      </c>
      <c r="H837" s="40" t="str">
        <f>IF(Agent05_Loans!B49="","",Agent05_Loans!H49)</f>
        <v/>
      </c>
      <c r="I837" s="43" t="str">
        <f>IF(Agent05_Loans!B49="","",Agent05_Loans!I49)</f>
        <v/>
      </c>
      <c r="J837" s="43" t="str">
        <f>IF(Agent05_Loans!B49="","",Agent05_Loans!J49)</f>
        <v/>
      </c>
      <c r="K837" s="40" t="str">
        <f>IF(Agent05_Loans!B49="","",Agent05_Loans!K49)</f>
        <v/>
      </c>
      <c r="L837" s="40" t="str">
        <f>IF(Agent05_Loans!B49="","",Agent05_Loans!L49)</f>
        <v/>
      </c>
      <c r="M837" s="40" t="str">
        <f>IFERROR(IF(Agent05_Loans!B49="","",YEAR(Agent05_Loans!D49)),"")</f>
        <v/>
      </c>
    </row>
    <row r="838" spans="1:13" ht="18" customHeight="1" x14ac:dyDescent="0.25">
      <c r="A838" s="40" t="str">
        <f>IF(Agent05_Loans!B50="","",Agent05_Loans!A50)</f>
        <v/>
      </c>
      <c r="B838" s="40" t="str">
        <f>IF(Agent05_Loans!B50="","",Agent05_Loans!B50)</f>
        <v/>
      </c>
      <c r="C838" s="40" t="str">
        <f>IF(Agent05_Loans!B50="","",Agent05_Loans!C50)</f>
        <v/>
      </c>
      <c r="D838" s="41" t="str">
        <f>IF(Agent05_Loans!B50="","",Agent05_Loans!D50)</f>
        <v/>
      </c>
      <c r="E838" s="43" t="str">
        <f>IF(Agent05_Loans!B50="","",Agent05_Loans!E50)</f>
        <v/>
      </c>
      <c r="F838" s="40" t="str">
        <f>IF(Agent05_Loans!B50="","",Agent05_Loans!F50)</f>
        <v/>
      </c>
      <c r="G838" s="40" t="str">
        <f>IF(Agent05_Loans!B50="","",Agent05_Loans!G50)</f>
        <v/>
      </c>
      <c r="H838" s="40" t="str">
        <f>IF(Agent05_Loans!B50="","",Agent05_Loans!H50)</f>
        <v/>
      </c>
      <c r="I838" s="43" t="str">
        <f>IF(Agent05_Loans!B50="","",Agent05_Loans!I50)</f>
        <v/>
      </c>
      <c r="J838" s="43" t="str">
        <f>IF(Agent05_Loans!B50="","",Agent05_Loans!J50)</f>
        <v/>
      </c>
      <c r="K838" s="40" t="str">
        <f>IF(Agent05_Loans!B50="","",Agent05_Loans!K50)</f>
        <v/>
      </c>
      <c r="L838" s="40" t="str">
        <f>IF(Agent05_Loans!B50="","",Agent05_Loans!L50)</f>
        <v/>
      </c>
      <c r="M838" s="40" t="str">
        <f>IFERROR(IF(Agent05_Loans!B50="","",YEAR(Agent05_Loans!D50)),"")</f>
        <v/>
      </c>
    </row>
    <row r="839" spans="1:13" ht="18" customHeight="1" x14ac:dyDescent="0.25">
      <c r="A839" s="40" t="str">
        <f>IF(Agent05_Loans!B51="","",Agent05_Loans!A51)</f>
        <v/>
      </c>
      <c r="B839" s="40" t="str">
        <f>IF(Agent05_Loans!B51="","",Agent05_Loans!B51)</f>
        <v/>
      </c>
      <c r="C839" s="40" t="str">
        <f>IF(Agent05_Loans!B51="","",Agent05_Loans!C51)</f>
        <v/>
      </c>
      <c r="D839" s="41" t="str">
        <f>IF(Agent05_Loans!B51="","",Agent05_Loans!D51)</f>
        <v/>
      </c>
      <c r="E839" s="43" t="str">
        <f>IF(Agent05_Loans!B51="","",Agent05_Loans!E51)</f>
        <v/>
      </c>
      <c r="F839" s="40" t="str">
        <f>IF(Agent05_Loans!B51="","",Agent05_Loans!F51)</f>
        <v/>
      </c>
      <c r="G839" s="40" t="str">
        <f>IF(Agent05_Loans!B51="","",Agent05_Loans!G51)</f>
        <v/>
      </c>
      <c r="H839" s="40" t="str">
        <f>IF(Agent05_Loans!B51="","",Agent05_Loans!H51)</f>
        <v/>
      </c>
      <c r="I839" s="43" t="str">
        <f>IF(Agent05_Loans!B51="","",Agent05_Loans!I51)</f>
        <v/>
      </c>
      <c r="J839" s="43" t="str">
        <f>IF(Agent05_Loans!B51="","",Agent05_Loans!J51)</f>
        <v/>
      </c>
      <c r="K839" s="40" t="str">
        <f>IF(Agent05_Loans!B51="","",Agent05_Loans!K51)</f>
        <v/>
      </c>
      <c r="L839" s="40" t="str">
        <f>IF(Agent05_Loans!B51="","",Agent05_Loans!L51)</f>
        <v/>
      </c>
      <c r="M839" s="40" t="str">
        <f>IFERROR(IF(Agent05_Loans!B51="","",YEAR(Agent05_Loans!D51)),"")</f>
        <v/>
      </c>
    </row>
    <row r="840" spans="1:13" ht="18" customHeight="1" x14ac:dyDescent="0.25">
      <c r="A840" s="40" t="str">
        <f>IF(Agent05_Loans!B52="","",Agent05_Loans!A52)</f>
        <v/>
      </c>
      <c r="B840" s="40" t="str">
        <f>IF(Agent05_Loans!B52="","",Agent05_Loans!B52)</f>
        <v/>
      </c>
      <c r="C840" s="40" t="str">
        <f>IF(Agent05_Loans!B52="","",Agent05_Loans!C52)</f>
        <v/>
      </c>
      <c r="D840" s="41" t="str">
        <f>IF(Agent05_Loans!B52="","",Agent05_Loans!D52)</f>
        <v/>
      </c>
      <c r="E840" s="43" t="str">
        <f>IF(Agent05_Loans!B52="","",Agent05_Loans!E52)</f>
        <v/>
      </c>
      <c r="F840" s="40" t="str">
        <f>IF(Agent05_Loans!B52="","",Agent05_Loans!F52)</f>
        <v/>
      </c>
      <c r="G840" s="40" t="str">
        <f>IF(Agent05_Loans!B52="","",Agent05_Loans!G52)</f>
        <v/>
      </c>
      <c r="H840" s="40" t="str">
        <f>IF(Agent05_Loans!B52="","",Agent05_Loans!H52)</f>
        <v/>
      </c>
      <c r="I840" s="43" t="str">
        <f>IF(Agent05_Loans!B52="","",Agent05_Loans!I52)</f>
        <v/>
      </c>
      <c r="J840" s="43" t="str">
        <f>IF(Agent05_Loans!B52="","",Agent05_Loans!J52)</f>
        <v/>
      </c>
      <c r="K840" s="40" t="str">
        <f>IF(Agent05_Loans!B52="","",Agent05_Loans!K52)</f>
        <v/>
      </c>
      <c r="L840" s="40" t="str">
        <f>IF(Agent05_Loans!B52="","",Agent05_Loans!L52)</f>
        <v/>
      </c>
      <c r="M840" s="40" t="str">
        <f>IFERROR(IF(Agent05_Loans!B52="","",YEAR(Agent05_Loans!D52)),"")</f>
        <v/>
      </c>
    </row>
    <row r="841" spans="1:13" ht="18" customHeight="1" x14ac:dyDescent="0.25">
      <c r="A841" s="40" t="str">
        <f>IF(Agent05_Loans!B53="","",Agent05_Loans!A53)</f>
        <v/>
      </c>
      <c r="B841" s="40" t="str">
        <f>IF(Agent05_Loans!B53="","",Agent05_Loans!B53)</f>
        <v/>
      </c>
      <c r="C841" s="40" t="str">
        <f>IF(Agent05_Loans!B53="","",Agent05_Loans!C53)</f>
        <v/>
      </c>
      <c r="D841" s="41" t="str">
        <f>IF(Agent05_Loans!B53="","",Agent05_Loans!D53)</f>
        <v/>
      </c>
      <c r="E841" s="43" t="str">
        <f>IF(Agent05_Loans!B53="","",Agent05_Loans!E53)</f>
        <v/>
      </c>
      <c r="F841" s="40" t="str">
        <f>IF(Agent05_Loans!B53="","",Agent05_Loans!F53)</f>
        <v/>
      </c>
      <c r="G841" s="40" t="str">
        <f>IF(Agent05_Loans!B53="","",Agent05_Loans!G53)</f>
        <v/>
      </c>
      <c r="H841" s="40" t="str">
        <f>IF(Agent05_Loans!B53="","",Agent05_Loans!H53)</f>
        <v/>
      </c>
      <c r="I841" s="43" t="str">
        <f>IF(Agent05_Loans!B53="","",Agent05_Loans!I53)</f>
        <v/>
      </c>
      <c r="J841" s="43" t="str">
        <f>IF(Agent05_Loans!B53="","",Agent05_Loans!J53)</f>
        <v/>
      </c>
      <c r="K841" s="40" t="str">
        <f>IF(Agent05_Loans!B53="","",Agent05_Loans!K53)</f>
        <v/>
      </c>
      <c r="L841" s="40" t="str">
        <f>IF(Agent05_Loans!B53="","",Agent05_Loans!L53)</f>
        <v/>
      </c>
      <c r="M841" s="40" t="str">
        <f>IFERROR(IF(Agent05_Loans!B53="","",YEAR(Agent05_Loans!D53)),"")</f>
        <v/>
      </c>
    </row>
    <row r="842" spans="1:13" ht="18" customHeight="1" x14ac:dyDescent="0.25">
      <c r="A842" s="40" t="str">
        <f>IF(Agent05_Loans!B54="","",Agent05_Loans!A54)</f>
        <v/>
      </c>
      <c r="B842" s="40" t="str">
        <f>IF(Agent05_Loans!B54="","",Agent05_Loans!B54)</f>
        <v/>
      </c>
      <c r="C842" s="40" t="str">
        <f>IF(Agent05_Loans!B54="","",Agent05_Loans!C54)</f>
        <v/>
      </c>
      <c r="D842" s="41" t="str">
        <f>IF(Agent05_Loans!B54="","",Agent05_Loans!D54)</f>
        <v/>
      </c>
      <c r="E842" s="43" t="str">
        <f>IF(Agent05_Loans!B54="","",Agent05_Loans!E54)</f>
        <v/>
      </c>
      <c r="F842" s="40" t="str">
        <f>IF(Agent05_Loans!B54="","",Agent05_Loans!F54)</f>
        <v/>
      </c>
      <c r="G842" s="40" t="str">
        <f>IF(Agent05_Loans!B54="","",Agent05_Loans!G54)</f>
        <v/>
      </c>
      <c r="H842" s="40" t="str">
        <f>IF(Agent05_Loans!B54="","",Agent05_Loans!H54)</f>
        <v/>
      </c>
      <c r="I842" s="43" t="str">
        <f>IF(Agent05_Loans!B54="","",Agent05_Loans!I54)</f>
        <v/>
      </c>
      <c r="J842" s="43" t="str">
        <f>IF(Agent05_Loans!B54="","",Agent05_Loans!J54)</f>
        <v/>
      </c>
      <c r="K842" s="40" t="str">
        <f>IF(Agent05_Loans!B54="","",Agent05_Loans!K54)</f>
        <v/>
      </c>
      <c r="L842" s="40" t="str">
        <f>IF(Agent05_Loans!B54="","",Agent05_Loans!L54)</f>
        <v/>
      </c>
      <c r="M842" s="40" t="str">
        <f>IFERROR(IF(Agent05_Loans!B54="","",YEAR(Agent05_Loans!D54)),"")</f>
        <v/>
      </c>
    </row>
    <row r="843" spans="1:13" ht="18" customHeight="1" x14ac:dyDescent="0.25">
      <c r="A843" s="40" t="str">
        <f>IF(Agent05_Loans!B55="","",Agent05_Loans!A55)</f>
        <v/>
      </c>
      <c r="B843" s="40" t="str">
        <f>IF(Agent05_Loans!B55="","",Agent05_Loans!B55)</f>
        <v/>
      </c>
      <c r="C843" s="40" t="str">
        <f>IF(Agent05_Loans!B55="","",Agent05_Loans!C55)</f>
        <v/>
      </c>
      <c r="D843" s="41" t="str">
        <f>IF(Agent05_Loans!B55="","",Agent05_Loans!D55)</f>
        <v/>
      </c>
      <c r="E843" s="43" t="str">
        <f>IF(Agent05_Loans!B55="","",Agent05_Loans!E55)</f>
        <v/>
      </c>
      <c r="F843" s="40" t="str">
        <f>IF(Agent05_Loans!B55="","",Agent05_Loans!F55)</f>
        <v/>
      </c>
      <c r="G843" s="40" t="str">
        <f>IF(Agent05_Loans!B55="","",Agent05_Loans!G55)</f>
        <v/>
      </c>
      <c r="H843" s="40" t="str">
        <f>IF(Agent05_Loans!B55="","",Agent05_Loans!H55)</f>
        <v/>
      </c>
      <c r="I843" s="43" t="str">
        <f>IF(Agent05_Loans!B55="","",Agent05_Loans!I55)</f>
        <v/>
      </c>
      <c r="J843" s="43" t="str">
        <f>IF(Agent05_Loans!B55="","",Agent05_Loans!J55)</f>
        <v/>
      </c>
      <c r="K843" s="40" t="str">
        <f>IF(Agent05_Loans!B55="","",Agent05_Loans!K55)</f>
        <v/>
      </c>
      <c r="L843" s="40" t="str">
        <f>IF(Agent05_Loans!B55="","",Agent05_Loans!L55)</f>
        <v/>
      </c>
      <c r="M843" s="40" t="str">
        <f>IFERROR(IF(Agent05_Loans!B55="","",YEAR(Agent05_Loans!D55)),"")</f>
        <v/>
      </c>
    </row>
    <row r="844" spans="1:13" ht="18" customHeight="1" x14ac:dyDescent="0.25">
      <c r="A844" s="40" t="str">
        <f>IF(Agent05_Loans!B56="","",Agent05_Loans!A56)</f>
        <v/>
      </c>
      <c r="B844" s="40" t="str">
        <f>IF(Agent05_Loans!B56="","",Agent05_Loans!B56)</f>
        <v/>
      </c>
      <c r="C844" s="40" t="str">
        <f>IF(Agent05_Loans!B56="","",Agent05_Loans!C56)</f>
        <v/>
      </c>
      <c r="D844" s="41" t="str">
        <f>IF(Agent05_Loans!B56="","",Agent05_Loans!D56)</f>
        <v/>
      </c>
      <c r="E844" s="43" t="str">
        <f>IF(Agent05_Loans!B56="","",Agent05_Loans!E56)</f>
        <v/>
      </c>
      <c r="F844" s="40" t="str">
        <f>IF(Agent05_Loans!B56="","",Agent05_Loans!F56)</f>
        <v/>
      </c>
      <c r="G844" s="40" t="str">
        <f>IF(Agent05_Loans!B56="","",Agent05_Loans!G56)</f>
        <v/>
      </c>
      <c r="H844" s="40" t="str">
        <f>IF(Agent05_Loans!B56="","",Agent05_Loans!H56)</f>
        <v/>
      </c>
      <c r="I844" s="43" t="str">
        <f>IF(Agent05_Loans!B56="","",Agent05_Loans!I56)</f>
        <v/>
      </c>
      <c r="J844" s="43" t="str">
        <f>IF(Agent05_Loans!B56="","",Agent05_Loans!J56)</f>
        <v/>
      </c>
      <c r="K844" s="40" t="str">
        <f>IF(Agent05_Loans!B56="","",Agent05_Loans!K56)</f>
        <v/>
      </c>
      <c r="L844" s="40" t="str">
        <f>IF(Agent05_Loans!B56="","",Agent05_Loans!L56)</f>
        <v/>
      </c>
      <c r="M844" s="40" t="str">
        <f>IFERROR(IF(Agent05_Loans!B56="","",YEAR(Agent05_Loans!D56)),"")</f>
        <v/>
      </c>
    </row>
    <row r="845" spans="1:13" ht="18" customHeight="1" x14ac:dyDescent="0.25">
      <c r="A845" s="40" t="str">
        <f>IF(Agent05_Loans!B57="","",Agent05_Loans!A57)</f>
        <v/>
      </c>
      <c r="B845" s="40" t="str">
        <f>IF(Agent05_Loans!B57="","",Agent05_Loans!B57)</f>
        <v/>
      </c>
      <c r="C845" s="40" t="str">
        <f>IF(Agent05_Loans!B57="","",Agent05_Loans!C57)</f>
        <v/>
      </c>
      <c r="D845" s="41" t="str">
        <f>IF(Agent05_Loans!B57="","",Agent05_Loans!D57)</f>
        <v/>
      </c>
      <c r="E845" s="43" t="str">
        <f>IF(Agent05_Loans!B57="","",Agent05_Loans!E57)</f>
        <v/>
      </c>
      <c r="F845" s="40" t="str">
        <f>IF(Agent05_Loans!B57="","",Agent05_Loans!F57)</f>
        <v/>
      </c>
      <c r="G845" s="40" t="str">
        <f>IF(Agent05_Loans!B57="","",Agent05_Loans!G57)</f>
        <v/>
      </c>
      <c r="H845" s="40" t="str">
        <f>IF(Agent05_Loans!B57="","",Agent05_Loans!H57)</f>
        <v/>
      </c>
      <c r="I845" s="43" t="str">
        <f>IF(Agent05_Loans!B57="","",Agent05_Loans!I57)</f>
        <v/>
      </c>
      <c r="J845" s="43" t="str">
        <f>IF(Agent05_Loans!B57="","",Agent05_Loans!J57)</f>
        <v/>
      </c>
      <c r="K845" s="40" t="str">
        <f>IF(Agent05_Loans!B57="","",Agent05_Loans!K57)</f>
        <v/>
      </c>
      <c r="L845" s="40" t="str">
        <f>IF(Agent05_Loans!B57="","",Agent05_Loans!L57)</f>
        <v/>
      </c>
      <c r="M845" s="40" t="str">
        <f>IFERROR(IF(Agent05_Loans!B57="","",YEAR(Agent05_Loans!D57)),"")</f>
        <v/>
      </c>
    </row>
    <row r="846" spans="1:13" ht="18" customHeight="1" x14ac:dyDescent="0.25">
      <c r="A846" s="40" t="str">
        <f>IF(Agent05_Loans!B58="","",Agent05_Loans!A58)</f>
        <v/>
      </c>
      <c r="B846" s="40" t="str">
        <f>IF(Agent05_Loans!B58="","",Agent05_Loans!B58)</f>
        <v/>
      </c>
      <c r="C846" s="40" t="str">
        <f>IF(Agent05_Loans!B58="","",Agent05_Loans!C58)</f>
        <v/>
      </c>
      <c r="D846" s="41" t="str">
        <f>IF(Agent05_Loans!B58="","",Agent05_Loans!D58)</f>
        <v/>
      </c>
      <c r="E846" s="43" t="str">
        <f>IF(Agent05_Loans!B58="","",Agent05_Loans!E58)</f>
        <v/>
      </c>
      <c r="F846" s="40" t="str">
        <f>IF(Agent05_Loans!B58="","",Agent05_Loans!F58)</f>
        <v/>
      </c>
      <c r="G846" s="40" t="str">
        <f>IF(Agent05_Loans!B58="","",Agent05_Loans!G58)</f>
        <v/>
      </c>
      <c r="H846" s="40" t="str">
        <f>IF(Agent05_Loans!B58="","",Agent05_Loans!H58)</f>
        <v/>
      </c>
      <c r="I846" s="43" t="str">
        <f>IF(Agent05_Loans!B58="","",Agent05_Loans!I58)</f>
        <v/>
      </c>
      <c r="J846" s="43" t="str">
        <f>IF(Agent05_Loans!B58="","",Agent05_Loans!J58)</f>
        <v/>
      </c>
      <c r="K846" s="40" t="str">
        <f>IF(Agent05_Loans!B58="","",Agent05_Loans!K58)</f>
        <v/>
      </c>
      <c r="L846" s="40" t="str">
        <f>IF(Agent05_Loans!B58="","",Agent05_Loans!L58)</f>
        <v/>
      </c>
      <c r="M846" s="40" t="str">
        <f>IFERROR(IF(Agent05_Loans!B58="","",YEAR(Agent05_Loans!D58)),"")</f>
        <v/>
      </c>
    </row>
    <row r="847" spans="1:13" ht="18" customHeight="1" x14ac:dyDescent="0.25">
      <c r="A847" s="40" t="str">
        <f>IF(Agent05_Loans!B59="","",Agent05_Loans!A59)</f>
        <v/>
      </c>
      <c r="B847" s="40" t="str">
        <f>IF(Agent05_Loans!B59="","",Agent05_Loans!B59)</f>
        <v/>
      </c>
      <c r="C847" s="40" t="str">
        <f>IF(Agent05_Loans!B59="","",Agent05_Loans!C59)</f>
        <v/>
      </c>
      <c r="D847" s="41" t="str">
        <f>IF(Agent05_Loans!B59="","",Agent05_Loans!D59)</f>
        <v/>
      </c>
      <c r="E847" s="43" t="str">
        <f>IF(Agent05_Loans!B59="","",Agent05_Loans!E59)</f>
        <v/>
      </c>
      <c r="F847" s="40" t="str">
        <f>IF(Agent05_Loans!B59="","",Agent05_Loans!F59)</f>
        <v/>
      </c>
      <c r="G847" s="40" t="str">
        <f>IF(Agent05_Loans!B59="","",Agent05_Loans!G59)</f>
        <v/>
      </c>
      <c r="H847" s="40" t="str">
        <f>IF(Agent05_Loans!B59="","",Agent05_Loans!H59)</f>
        <v/>
      </c>
      <c r="I847" s="43" t="str">
        <f>IF(Agent05_Loans!B59="","",Agent05_Loans!I59)</f>
        <v/>
      </c>
      <c r="J847" s="43" t="str">
        <f>IF(Agent05_Loans!B59="","",Agent05_Loans!J59)</f>
        <v/>
      </c>
      <c r="K847" s="40" t="str">
        <f>IF(Agent05_Loans!B59="","",Agent05_Loans!K59)</f>
        <v/>
      </c>
      <c r="L847" s="40" t="str">
        <f>IF(Agent05_Loans!B59="","",Agent05_Loans!L59)</f>
        <v/>
      </c>
      <c r="M847" s="40" t="str">
        <f>IFERROR(IF(Agent05_Loans!B59="","",YEAR(Agent05_Loans!D59)),"")</f>
        <v/>
      </c>
    </row>
    <row r="848" spans="1:13" ht="18" customHeight="1" x14ac:dyDescent="0.25">
      <c r="A848" s="40" t="str">
        <f>IF(Agent05_Loans!B60="","",Agent05_Loans!A60)</f>
        <v/>
      </c>
      <c r="B848" s="40" t="str">
        <f>IF(Agent05_Loans!B60="","",Agent05_Loans!B60)</f>
        <v/>
      </c>
      <c r="C848" s="40" t="str">
        <f>IF(Agent05_Loans!B60="","",Agent05_Loans!C60)</f>
        <v/>
      </c>
      <c r="D848" s="41" t="str">
        <f>IF(Agent05_Loans!B60="","",Agent05_Loans!D60)</f>
        <v/>
      </c>
      <c r="E848" s="43" t="str">
        <f>IF(Agent05_Loans!B60="","",Agent05_Loans!E60)</f>
        <v/>
      </c>
      <c r="F848" s="40" t="str">
        <f>IF(Agent05_Loans!B60="","",Agent05_Loans!F60)</f>
        <v/>
      </c>
      <c r="G848" s="40" t="str">
        <f>IF(Agent05_Loans!B60="","",Agent05_Loans!G60)</f>
        <v/>
      </c>
      <c r="H848" s="40" t="str">
        <f>IF(Agent05_Loans!B60="","",Agent05_Loans!H60)</f>
        <v/>
      </c>
      <c r="I848" s="43" t="str">
        <f>IF(Agent05_Loans!B60="","",Agent05_Loans!I60)</f>
        <v/>
      </c>
      <c r="J848" s="43" t="str">
        <f>IF(Agent05_Loans!B60="","",Agent05_Loans!J60)</f>
        <v/>
      </c>
      <c r="K848" s="40" t="str">
        <f>IF(Agent05_Loans!B60="","",Agent05_Loans!K60)</f>
        <v/>
      </c>
      <c r="L848" s="40" t="str">
        <f>IF(Agent05_Loans!B60="","",Agent05_Loans!L60)</f>
        <v/>
      </c>
      <c r="M848" s="40" t="str">
        <f>IFERROR(IF(Agent05_Loans!B60="","",YEAR(Agent05_Loans!D60)),"")</f>
        <v/>
      </c>
    </row>
    <row r="849" spans="1:13" ht="18" customHeight="1" x14ac:dyDescent="0.25">
      <c r="A849" s="40" t="str">
        <f>IF(Agent05_Loans!B61="","",Agent05_Loans!A61)</f>
        <v/>
      </c>
      <c r="B849" s="40" t="str">
        <f>IF(Agent05_Loans!B61="","",Agent05_Loans!B61)</f>
        <v/>
      </c>
      <c r="C849" s="40" t="str">
        <f>IF(Agent05_Loans!B61="","",Agent05_Loans!C61)</f>
        <v/>
      </c>
      <c r="D849" s="41" t="str">
        <f>IF(Agent05_Loans!B61="","",Agent05_Loans!D61)</f>
        <v/>
      </c>
      <c r="E849" s="43" t="str">
        <f>IF(Agent05_Loans!B61="","",Agent05_Loans!E61)</f>
        <v/>
      </c>
      <c r="F849" s="40" t="str">
        <f>IF(Agent05_Loans!B61="","",Agent05_Loans!F61)</f>
        <v/>
      </c>
      <c r="G849" s="40" t="str">
        <f>IF(Agent05_Loans!B61="","",Agent05_Loans!G61)</f>
        <v/>
      </c>
      <c r="H849" s="40" t="str">
        <f>IF(Agent05_Loans!B61="","",Agent05_Loans!H61)</f>
        <v/>
      </c>
      <c r="I849" s="43" t="str">
        <f>IF(Agent05_Loans!B61="","",Agent05_Loans!I61)</f>
        <v/>
      </c>
      <c r="J849" s="43" t="str">
        <f>IF(Agent05_Loans!B61="","",Agent05_Loans!J61)</f>
        <v/>
      </c>
      <c r="K849" s="40" t="str">
        <f>IF(Agent05_Loans!B61="","",Agent05_Loans!K61)</f>
        <v/>
      </c>
      <c r="L849" s="40" t="str">
        <f>IF(Agent05_Loans!B61="","",Agent05_Loans!L61)</f>
        <v/>
      </c>
      <c r="M849" s="40" t="str">
        <f>IFERROR(IF(Agent05_Loans!B61="","",YEAR(Agent05_Loans!D61)),"")</f>
        <v/>
      </c>
    </row>
    <row r="850" spans="1:13" ht="18" customHeight="1" x14ac:dyDescent="0.25">
      <c r="A850" s="40" t="str">
        <f>IF(Agent05_Loans!B62="","",Agent05_Loans!A62)</f>
        <v/>
      </c>
      <c r="B850" s="40" t="str">
        <f>IF(Agent05_Loans!B62="","",Agent05_Loans!B62)</f>
        <v/>
      </c>
      <c r="C850" s="40" t="str">
        <f>IF(Agent05_Loans!B62="","",Agent05_Loans!C62)</f>
        <v/>
      </c>
      <c r="D850" s="41" t="str">
        <f>IF(Agent05_Loans!B62="","",Agent05_Loans!D62)</f>
        <v/>
      </c>
      <c r="E850" s="43" t="str">
        <f>IF(Agent05_Loans!B62="","",Agent05_Loans!E62)</f>
        <v/>
      </c>
      <c r="F850" s="40" t="str">
        <f>IF(Agent05_Loans!B62="","",Agent05_Loans!F62)</f>
        <v/>
      </c>
      <c r="G850" s="40" t="str">
        <f>IF(Agent05_Loans!B62="","",Agent05_Loans!G62)</f>
        <v/>
      </c>
      <c r="H850" s="40" t="str">
        <f>IF(Agent05_Loans!B62="","",Agent05_Loans!H62)</f>
        <v/>
      </c>
      <c r="I850" s="43" t="str">
        <f>IF(Agent05_Loans!B62="","",Agent05_Loans!I62)</f>
        <v/>
      </c>
      <c r="J850" s="43" t="str">
        <f>IF(Agent05_Loans!B62="","",Agent05_Loans!J62)</f>
        <v/>
      </c>
      <c r="K850" s="40" t="str">
        <f>IF(Agent05_Loans!B62="","",Agent05_Loans!K62)</f>
        <v/>
      </c>
      <c r="L850" s="40" t="str">
        <f>IF(Agent05_Loans!B62="","",Agent05_Loans!L62)</f>
        <v/>
      </c>
      <c r="M850" s="40" t="str">
        <f>IFERROR(IF(Agent05_Loans!B62="","",YEAR(Agent05_Loans!D62)),"")</f>
        <v/>
      </c>
    </row>
    <row r="851" spans="1:13" ht="18" customHeight="1" x14ac:dyDescent="0.25">
      <c r="A851" s="40" t="str">
        <f>IF(Agent05_Loans!B63="","",Agent05_Loans!A63)</f>
        <v/>
      </c>
      <c r="B851" s="40" t="str">
        <f>IF(Agent05_Loans!B63="","",Agent05_Loans!B63)</f>
        <v/>
      </c>
      <c r="C851" s="40" t="str">
        <f>IF(Agent05_Loans!B63="","",Agent05_Loans!C63)</f>
        <v/>
      </c>
      <c r="D851" s="41" t="str">
        <f>IF(Agent05_Loans!B63="","",Agent05_Loans!D63)</f>
        <v/>
      </c>
      <c r="E851" s="43" t="str">
        <f>IF(Agent05_Loans!B63="","",Agent05_Loans!E63)</f>
        <v/>
      </c>
      <c r="F851" s="40" t="str">
        <f>IF(Agent05_Loans!B63="","",Agent05_Loans!F63)</f>
        <v/>
      </c>
      <c r="G851" s="40" t="str">
        <f>IF(Agent05_Loans!B63="","",Agent05_Loans!G63)</f>
        <v/>
      </c>
      <c r="H851" s="40" t="str">
        <f>IF(Agent05_Loans!B63="","",Agent05_Loans!H63)</f>
        <v/>
      </c>
      <c r="I851" s="43" t="str">
        <f>IF(Agent05_Loans!B63="","",Agent05_Loans!I63)</f>
        <v/>
      </c>
      <c r="J851" s="43" t="str">
        <f>IF(Agent05_Loans!B63="","",Agent05_Loans!J63)</f>
        <v/>
      </c>
      <c r="K851" s="40" t="str">
        <f>IF(Agent05_Loans!B63="","",Agent05_Loans!K63)</f>
        <v/>
      </c>
      <c r="L851" s="40" t="str">
        <f>IF(Agent05_Loans!B63="","",Agent05_Loans!L63)</f>
        <v/>
      </c>
      <c r="M851" s="40" t="str">
        <f>IFERROR(IF(Agent05_Loans!B63="","",YEAR(Agent05_Loans!D63)),"")</f>
        <v/>
      </c>
    </row>
    <row r="852" spans="1:13" ht="18" customHeight="1" x14ac:dyDescent="0.25">
      <c r="A852" s="40" t="str">
        <f>IF(Agent05_Loans!B64="","",Agent05_Loans!A64)</f>
        <v/>
      </c>
      <c r="B852" s="40" t="str">
        <f>IF(Agent05_Loans!B64="","",Agent05_Loans!B64)</f>
        <v/>
      </c>
      <c r="C852" s="40" t="str">
        <f>IF(Agent05_Loans!B64="","",Agent05_Loans!C64)</f>
        <v/>
      </c>
      <c r="D852" s="41" t="str">
        <f>IF(Agent05_Loans!B64="","",Agent05_Loans!D64)</f>
        <v/>
      </c>
      <c r="E852" s="43" t="str">
        <f>IF(Agent05_Loans!B64="","",Agent05_Loans!E64)</f>
        <v/>
      </c>
      <c r="F852" s="40" t="str">
        <f>IF(Agent05_Loans!B64="","",Agent05_Loans!F64)</f>
        <v/>
      </c>
      <c r="G852" s="40" t="str">
        <f>IF(Agent05_Loans!B64="","",Agent05_Loans!G64)</f>
        <v/>
      </c>
      <c r="H852" s="40" t="str">
        <f>IF(Agent05_Loans!B64="","",Agent05_Loans!H64)</f>
        <v/>
      </c>
      <c r="I852" s="43" t="str">
        <f>IF(Agent05_Loans!B64="","",Agent05_Loans!I64)</f>
        <v/>
      </c>
      <c r="J852" s="43" t="str">
        <f>IF(Agent05_Loans!B64="","",Agent05_Loans!J64)</f>
        <v/>
      </c>
      <c r="K852" s="40" t="str">
        <f>IF(Agent05_Loans!B64="","",Agent05_Loans!K64)</f>
        <v/>
      </c>
      <c r="L852" s="40" t="str">
        <f>IF(Agent05_Loans!B64="","",Agent05_Loans!L64)</f>
        <v/>
      </c>
      <c r="M852" s="40" t="str">
        <f>IFERROR(IF(Agent05_Loans!B64="","",YEAR(Agent05_Loans!D64)),"")</f>
        <v/>
      </c>
    </row>
    <row r="853" spans="1:13" ht="18" customHeight="1" x14ac:dyDescent="0.25">
      <c r="A853" s="40" t="str">
        <f>IF(Agent05_Loans!B65="","",Agent05_Loans!A65)</f>
        <v/>
      </c>
      <c r="B853" s="40" t="str">
        <f>IF(Agent05_Loans!B65="","",Agent05_Loans!B65)</f>
        <v/>
      </c>
      <c r="C853" s="40" t="str">
        <f>IF(Agent05_Loans!B65="","",Agent05_Loans!C65)</f>
        <v/>
      </c>
      <c r="D853" s="41" t="str">
        <f>IF(Agent05_Loans!B65="","",Agent05_Loans!D65)</f>
        <v/>
      </c>
      <c r="E853" s="43" t="str">
        <f>IF(Agent05_Loans!B65="","",Agent05_Loans!E65)</f>
        <v/>
      </c>
      <c r="F853" s="40" t="str">
        <f>IF(Agent05_Loans!B65="","",Agent05_Loans!F65)</f>
        <v/>
      </c>
      <c r="G853" s="40" t="str">
        <f>IF(Agent05_Loans!B65="","",Agent05_Loans!G65)</f>
        <v/>
      </c>
      <c r="H853" s="40" t="str">
        <f>IF(Agent05_Loans!B65="","",Agent05_Loans!H65)</f>
        <v/>
      </c>
      <c r="I853" s="43" t="str">
        <f>IF(Agent05_Loans!B65="","",Agent05_Loans!I65)</f>
        <v/>
      </c>
      <c r="J853" s="43" t="str">
        <f>IF(Agent05_Loans!B65="","",Agent05_Loans!J65)</f>
        <v/>
      </c>
      <c r="K853" s="40" t="str">
        <f>IF(Agent05_Loans!B65="","",Agent05_Loans!K65)</f>
        <v/>
      </c>
      <c r="L853" s="40" t="str">
        <f>IF(Agent05_Loans!B65="","",Agent05_Loans!L65)</f>
        <v/>
      </c>
      <c r="M853" s="40" t="str">
        <f>IFERROR(IF(Agent05_Loans!B65="","",YEAR(Agent05_Loans!D65)),"")</f>
        <v/>
      </c>
    </row>
    <row r="854" spans="1:13" ht="18" customHeight="1" x14ac:dyDescent="0.25">
      <c r="A854" s="40" t="str">
        <f>IF(Agent05_Loans!B66="","",Agent05_Loans!A66)</f>
        <v/>
      </c>
      <c r="B854" s="40" t="str">
        <f>IF(Agent05_Loans!B66="","",Agent05_Loans!B66)</f>
        <v/>
      </c>
      <c r="C854" s="40" t="str">
        <f>IF(Agent05_Loans!B66="","",Agent05_Loans!C66)</f>
        <v/>
      </c>
      <c r="D854" s="41" t="str">
        <f>IF(Agent05_Loans!B66="","",Agent05_Loans!D66)</f>
        <v/>
      </c>
      <c r="E854" s="43" t="str">
        <f>IF(Agent05_Loans!B66="","",Agent05_Loans!E66)</f>
        <v/>
      </c>
      <c r="F854" s="40" t="str">
        <f>IF(Agent05_Loans!B66="","",Agent05_Loans!F66)</f>
        <v/>
      </c>
      <c r="G854" s="40" t="str">
        <f>IF(Agent05_Loans!B66="","",Agent05_Loans!G66)</f>
        <v/>
      </c>
      <c r="H854" s="40" t="str">
        <f>IF(Agent05_Loans!B66="","",Agent05_Loans!H66)</f>
        <v/>
      </c>
      <c r="I854" s="43" t="str">
        <f>IF(Agent05_Loans!B66="","",Agent05_Loans!I66)</f>
        <v/>
      </c>
      <c r="J854" s="43" t="str">
        <f>IF(Agent05_Loans!B66="","",Agent05_Loans!J66)</f>
        <v/>
      </c>
      <c r="K854" s="40" t="str">
        <f>IF(Agent05_Loans!B66="","",Agent05_Loans!K66)</f>
        <v/>
      </c>
      <c r="L854" s="40" t="str">
        <f>IF(Agent05_Loans!B66="","",Agent05_Loans!L66)</f>
        <v/>
      </c>
      <c r="M854" s="40" t="str">
        <f>IFERROR(IF(Agent05_Loans!B66="","",YEAR(Agent05_Loans!D66)),"")</f>
        <v/>
      </c>
    </row>
    <row r="855" spans="1:13" ht="18" customHeight="1" x14ac:dyDescent="0.25">
      <c r="A855" s="40" t="str">
        <f>IF(Agent05_Loans!B67="","",Agent05_Loans!A67)</f>
        <v/>
      </c>
      <c r="B855" s="40" t="str">
        <f>IF(Agent05_Loans!B67="","",Agent05_Loans!B67)</f>
        <v/>
      </c>
      <c r="C855" s="40" t="str">
        <f>IF(Agent05_Loans!B67="","",Agent05_Loans!C67)</f>
        <v/>
      </c>
      <c r="D855" s="41" t="str">
        <f>IF(Agent05_Loans!B67="","",Agent05_Loans!D67)</f>
        <v/>
      </c>
      <c r="E855" s="43" t="str">
        <f>IF(Agent05_Loans!B67="","",Agent05_Loans!E67)</f>
        <v/>
      </c>
      <c r="F855" s="40" t="str">
        <f>IF(Agent05_Loans!B67="","",Agent05_Loans!F67)</f>
        <v/>
      </c>
      <c r="G855" s="40" t="str">
        <f>IF(Agent05_Loans!B67="","",Agent05_Loans!G67)</f>
        <v/>
      </c>
      <c r="H855" s="40" t="str">
        <f>IF(Agent05_Loans!B67="","",Agent05_Loans!H67)</f>
        <v/>
      </c>
      <c r="I855" s="43" t="str">
        <f>IF(Agent05_Loans!B67="","",Agent05_Loans!I67)</f>
        <v/>
      </c>
      <c r="J855" s="43" t="str">
        <f>IF(Agent05_Loans!B67="","",Agent05_Loans!J67)</f>
        <v/>
      </c>
      <c r="K855" s="40" t="str">
        <f>IF(Agent05_Loans!B67="","",Agent05_Loans!K67)</f>
        <v/>
      </c>
      <c r="L855" s="40" t="str">
        <f>IF(Agent05_Loans!B67="","",Agent05_Loans!L67)</f>
        <v/>
      </c>
      <c r="M855" s="40" t="str">
        <f>IFERROR(IF(Agent05_Loans!B67="","",YEAR(Agent05_Loans!D67)),"")</f>
        <v/>
      </c>
    </row>
    <row r="856" spans="1:13" ht="18" customHeight="1" x14ac:dyDescent="0.25">
      <c r="A856" s="40" t="str">
        <f>IF(Agent05_Loans!B68="","",Agent05_Loans!A68)</f>
        <v/>
      </c>
      <c r="B856" s="40" t="str">
        <f>IF(Agent05_Loans!B68="","",Agent05_Loans!B68)</f>
        <v/>
      </c>
      <c r="C856" s="40" t="str">
        <f>IF(Agent05_Loans!B68="","",Agent05_Loans!C68)</f>
        <v/>
      </c>
      <c r="D856" s="41" t="str">
        <f>IF(Agent05_Loans!B68="","",Agent05_Loans!D68)</f>
        <v/>
      </c>
      <c r="E856" s="43" t="str">
        <f>IF(Agent05_Loans!B68="","",Agent05_Loans!E68)</f>
        <v/>
      </c>
      <c r="F856" s="40" t="str">
        <f>IF(Agent05_Loans!B68="","",Agent05_Loans!F68)</f>
        <v/>
      </c>
      <c r="G856" s="40" t="str">
        <f>IF(Agent05_Loans!B68="","",Agent05_Loans!G68)</f>
        <v/>
      </c>
      <c r="H856" s="40" t="str">
        <f>IF(Agent05_Loans!B68="","",Agent05_Loans!H68)</f>
        <v/>
      </c>
      <c r="I856" s="43" t="str">
        <f>IF(Agent05_Loans!B68="","",Agent05_Loans!I68)</f>
        <v/>
      </c>
      <c r="J856" s="43" t="str">
        <f>IF(Agent05_Loans!B68="","",Agent05_Loans!J68)</f>
        <v/>
      </c>
      <c r="K856" s="40" t="str">
        <f>IF(Agent05_Loans!B68="","",Agent05_Loans!K68)</f>
        <v/>
      </c>
      <c r="L856" s="40" t="str">
        <f>IF(Agent05_Loans!B68="","",Agent05_Loans!L68)</f>
        <v/>
      </c>
      <c r="M856" s="40" t="str">
        <f>IFERROR(IF(Agent05_Loans!B68="","",YEAR(Agent05_Loans!D68)),"")</f>
        <v/>
      </c>
    </row>
    <row r="857" spans="1:13" ht="18" customHeight="1" x14ac:dyDescent="0.25">
      <c r="A857" s="40" t="str">
        <f>IF(Agent05_Loans!B69="","",Agent05_Loans!A69)</f>
        <v/>
      </c>
      <c r="B857" s="40" t="str">
        <f>IF(Agent05_Loans!B69="","",Agent05_Loans!B69)</f>
        <v/>
      </c>
      <c r="C857" s="40" t="str">
        <f>IF(Agent05_Loans!B69="","",Agent05_Loans!C69)</f>
        <v/>
      </c>
      <c r="D857" s="41" t="str">
        <f>IF(Agent05_Loans!B69="","",Agent05_Loans!D69)</f>
        <v/>
      </c>
      <c r="E857" s="43" t="str">
        <f>IF(Agent05_Loans!B69="","",Agent05_Loans!E69)</f>
        <v/>
      </c>
      <c r="F857" s="40" t="str">
        <f>IF(Agent05_Loans!B69="","",Agent05_Loans!F69)</f>
        <v/>
      </c>
      <c r="G857" s="40" t="str">
        <f>IF(Agent05_Loans!B69="","",Agent05_Loans!G69)</f>
        <v/>
      </c>
      <c r="H857" s="40" t="str">
        <f>IF(Agent05_Loans!B69="","",Agent05_Loans!H69)</f>
        <v/>
      </c>
      <c r="I857" s="43" t="str">
        <f>IF(Agent05_Loans!B69="","",Agent05_Loans!I69)</f>
        <v/>
      </c>
      <c r="J857" s="43" t="str">
        <f>IF(Agent05_Loans!B69="","",Agent05_Loans!J69)</f>
        <v/>
      </c>
      <c r="K857" s="40" t="str">
        <f>IF(Agent05_Loans!B69="","",Agent05_Loans!K69)</f>
        <v/>
      </c>
      <c r="L857" s="40" t="str">
        <f>IF(Agent05_Loans!B69="","",Agent05_Loans!L69)</f>
        <v/>
      </c>
      <c r="M857" s="40" t="str">
        <f>IFERROR(IF(Agent05_Loans!B69="","",YEAR(Agent05_Loans!D69)),"")</f>
        <v/>
      </c>
    </row>
    <row r="858" spans="1:13" ht="18" customHeight="1" x14ac:dyDescent="0.25">
      <c r="A858" s="40" t="str">
        <f>IF(Agent05_Loans!B70="","",Agent05_Loans!A70)</f>
        <v/>
      </c>
      <c r="B858" s="40" t="str">
        <f>IF(Agent05_Loans!B70="","",Agent05_Loans!B70)</f>
        <v/>
      </c>
      <c r="C858" s="40" t="str">
        <f>IF(Agent05_Loans!B70="","",Agent05_Loans!C70)</f>
        <v/>
      </c>
      <c r="D858" s="41" t="str">
        <f>IF(Agent05_Loans!B70="","",Agent05_Loans!D70)</f>
        <v/>
      </c>
      <c r="E858" s="43" t="str">
        <f>IF(Agent05_Loans!B70="","",Agent05_Loans!E70)</f>
        <v/>
      </c>
      <c r="F858" s="40" t="str">
        <f>IF(Agent05_Loans!B70="","",Agent05_Loans!F70)</f>
        <v/>
      </c>
      <c r="G858" s="40" t="str">
        <f>IF(Agent05_Loans!B70="","",Agent05_Loans!G70)</f>
        <v/>
      </c>
      <c r="H858" s="40" t="str">
        <f>IF(Agent05_Loans!B70="","",Agent05_Loans!H70)</f>
        <v/>
      </c>
      <c r="I858" s="43" t="str">
        <f>IF(Agent05_Loans!B70="","",Agent05_Loans!I70)</f>
        <v/>
      </c>
      <c r="J858" s="43" t="str">
        <f>IF(Agent05_Loans!B70="","",Agent05_Loans!J70)</f>
        <v/>
      </c>
      <c r="K858" s="40" t="str">
        <f>IF(Agent05_Loans!B70="","",Agent05_Loans!K70)</f>
        <v/>
      </c>
      <c r="L858" s="40" t="str">
        <f>IF(Agent05_Loans!B70="","",Agent05_Loans!L70)</f>
        <v/>
      </c>
      <c r="M858" s="40" t="str">
        <f>IFERROR(IF(Agent05_Loans!B70="","",YEAR(Agent05_Loans!D70)),"")</f>
        <v/>
      </c>
    </row>
    <row r="859" spans="1:13" ht="18" customHeight="1" x14ac:dyDescent="0.25">
      <c r="A859" s="40" t="str">
        <f>IF(Agent05_Loans!B71="","",Agent05_Loans!A71)</f>
        <v/>
      </c>
      <c r="B859" s="40" t="str">
        <f>IF(Agent05_Loans!B71="","",Agent05_Loans!B71)</f>
        <v/>
      </c>
      <c r="C859" s="40" t="str">
        <f>IF(Agent05_Loans!B71="","",Agent05_Loans!C71)</f>
        <v/>
      </c>
      <c r="D859" s="41" t="str">
        <f>IF(Agent05_Loans!B71="","",Agent05_Loans!D71)</f>
        <v/>
      </c>
      <c r="E859" s="43" t="str">
        <f>IF(Agent05_Loans!B71="","",Agent05_Loans!E71)</f>
        <v/>
      </c>
      <c r="F859" s="40" t="str">
        <f>IF(Agent05_Loans!B71="","",Agent05_Loans!F71)</f>
        <v/>
      </c>
      <c r="G859" s="40" t="str">
        <f>IF(Agent05_Loans!B71="","",Agent05_Loans!G71)</f>
        <v/>
      </c>
      <c r="H859" s="40" t="str">
        <f>IF(Agent05_Loans!B71="","",Agent05_Loans!H71)</f>
        <v/>
      </c>
      <c r="I859" s="43" t="str">
        <f>IF(Agent05_Loans!B71="","",Agent05_Loans!I71)</f>
        <v/>
      </c>
      <c r="J859" s="43" t="str">
        <f>IF(Agent05_Loans!B71="","",Agent05_Loans!J71)</f>
        <v/>
      </c>
      <c r="K859" s="40" t="str">
        <f>IF(Agent05_Loans!B71="","",Agent05_Loans!K71)</f>
        <v/>
      </c>
      <c r="L859" s="40" t="str">
        <f>IF(Agent05_Loans!B71="","",Agent05_Loans!L71)</f>
        <v/>
      </c>
      <c r="M859" s="40" t="str">
        <f>IFERROR(IF(Agent05_Loans!B71="","",YEAR(Agent05_Loans!D71)),"")</f>
        <v/>
      </c>
    </row>
    <row r="860" spans="1:13" ht="18" customHeight="1" x14ac:dyDescent="0.25">
      <c r="A860" s="40" t="str">
        <f>IF(Agent05_Loans!B72="","",Agent05_Loans!A72)</f>
        <v/>
      </c>
      <c r="B860" s="40" t="str">
        <f>IF(Agent05_Loans!B72="","",Agent05_Loans!B72)</f>
        <v/>
      </c>
      <c r="C860" s="40" t="str">
        <f>IF(Agent05_Loans!B72="","",Agent05_Loans!C72)</f>
        <v/>
      </c>
      <c r="D860" s="41" t="str">
        <f>IF(Agent05_Loans!B72="","",Agent05_Loans!D72)</f>
        <v/>
      </c>
      <c r="E860" s="43" t="str">
        <f>IF(Agent05_Loans!B72="","",Agent05_Loans!E72)</f>
        <v/>
      </c>
      <c r="F860" s="40" t="str">
        <f>IF(Agent05_Loans!B72="","",Agent05_Loans!F72)</f>
        <v/>
      </c>
      <c r="G860" s="40" t="str">
        <f>IF(Agent05_Loans!B72="","",Agent05_Loans!G72)</f>
        <v/>
      </c>
      <c r="H860" s="40" t="str">
        <f>IF(Agent05_Loans!B72="","",Agent05_Loans!H72)</f>
        <v/>
      </c>
      <c r="I860" s="43" t="str">
        <f>IF(Agent05_Loans!B72="","",Agent05_Loans!I72)</f>
        <v/>
      </c>
      <c r="J860" s="43" t="str">
        <f>IF(Agent05_Loans!B72="","",Agent05_Loans!J72)</f>
        <v/>
      </c>
      <c r="K860" s="40" t="str">
        <f>IF(Agent05_Loans!B72="","",Agent05_Loans!K72)</f>
        <v/>
      </c>
      <c r="L860" s="40" t="str">
        <f>IF(Agent05_Loans!B72="","",Agent05_Loans!L72)</f>
        <v/>
      </c>
      <c r="M860" s="40" t="str">
        <f>IFERROR(IF(Agent05_Loans!B72="","",YEAR(Agent05_Loans!D72)),"")</f>
        <v/>
      </c>
    </row>
    <row r="861" spans="1:13" ht="18" customHeight="1" x14ac:dyDescent="0.25">
      <c r="A861" s="40" t="str">
        <f>IF(Agent05_Loans!B73="","",Agent05_Loans!A73)</f>
        <v/>
      </c>
      <c r="B861" s="40" t="str">
        <f>IF(Agent05_Loans!B73="","",Agent05_Loans!B73)</f>
        <v/>
      </c>
      <c r="C861" s="40" t="str">
        <f>IF(Agent05_Loans!B73="","",Agent05_Loans!C73)</f>
        <v/>
      </c>
      <c r="D861" s="41" t="str">
        <f>IF(Agent05_Loans!B73="","",Agent05_Loans!D73)</f>
        <v/>
      </c>
      <c r="E861" s="43" t="str">
        <f>IF(Agent05_Loans!B73="","",Agent05_Loans!E73)</f>
        <v/>
      </c>
      <c r="F861" s="40" t="str">
        <f>IF(Agent05_Loans!B73="","",Agent05_Loans!F73)</f>
        <v/>
      </c>
      <c r="G861" s="40" t="str">
        <f>IF(Agent05_Loans!B73="","",Agent05_Loans!G73)</f>
        <v/>
      </c>
      <c r="H861" s="40" t="str">
        <f>IF(Agent05_Loans!B73="","",Agent05_Loans!H73)</f>
        <v/>
      </c>
      <c r="I861" s="43" t="str">
        <f>IF(Agent05_Loans!B73="","",Agent05_Loans!I73)</f>
        <v/>
      </c>
      <c r="J861" s="43" t="str">
        <f>IF(Agent05_Loans!B73="","",Agent05_Loans!J73)</f>
        <v/>
      </c>
      <c r="K861" s="40" t="str">
        <f>IF(Agent05_Loans!B73="","",Agent05_Loans!K73)</f>
        <v/>
      </c>
      <c r="L861" s="40" t="str">
        <f>IF(Agent05_Loans!B73="","",Agent05_Loans!L73)</f>
        <v/>
      </c>
      <c r="M861" s="40" t="str">
        <f>IFERROR(IF(Agent05_Loans!B73="","",YEAR(Agent05_Loans!D73)),"")</f>
        <v/>
      </c>
    </row>
    <row r="862" spans="1:13" ht="18" customHeight="1" x14ac:dyDescent="0.25">
      <c r="A862" s="40" t="str">
        <f>IF(Agent05_Loans!B74="","",Agent05_Loans!A74)</f>
        <v/>
      </c>
      <c r="B862" s="40" t="str">
        <f>IF(Agent05_Loans!B74="","",Agent05_Loans!B74)</f>
        <v/>
      </c>
      <c r="C862" s="40" t="str">
        <f>IF(Agent05_Loans!B74="","",Agent05_Loans!C74)</f>
        <v/>
      </c>
      <c r="D862" s="41" t="str">
        <f>IF(Agent05_Loans!B74="","",Agent05_Loans!D74)</f>
        <v/>
      </c>
      <c r="E862" s="43" t="str">
        <f>IF(Agent05_Loans!B74="","",Agent05_Loans!E74)</f>
        <v/>
      </c>
      <c r="F862" s="40" t="str">
        <f>IF(Agent05_Loans!B74="","",Agent05_Loans!F74)</f>
        <v/>
      </c>
      <c r="G862" s="40" t="str">
        <f>IF(Agent05_Loans!B74="","",Agent05_Loans!G74)</f>
        <v/>
      </c>
      <c r="H862" s="40" t="str">
        <f>IF(Agent05_Loans!B74="","",Agent05_Loans!H74)</f>
        <v/>
      </c>
      <c r="I862" s="43" t="str">
        <f>IF(Agent05_Loans!B74="","",Agent05_Loans!I74)</f>
        <v/>
      </c>
      <c r="J862" s="43" t="str">
        <f>IF(Agent05_Loans!B74="","",Agent05_Loans!J74)</f>
        <v/>
      </c>
      <c r="K862" s="40" t="str">
        <f>IF(Agent05_Loans!B74="","",Agent05_Loans!K74)</f>
        <v/>
      </c>
      <c r="L862" s="40" t="str">
        <f>IF(Agent05_Loans!B74="","",Agent05_Loans!L74)</f>
        <v/>
      </c>
      <c r="M862" s="40" t="str">
        <f>IFERROR(IF(Agent05_Loans!B74="","",YEAR(Agent05_Loans!D74)),"")</f>
        <v/>
      </c>
    </row>
    <row r="863" spans="1:13" ht="18" customHeight="1" x14ac:dyDescent="0.25">
      <c r="A863" s="40" t="str">
        <f>IF(Agent05_Loans!B75="","",Agent05_Loans!A75)</f>
        <v/>
      </c>
      <c r="B863" s="40" t="str">
        <f>IF(Agent05_Loans!B75="","",Agent05_Loans!B75)</f>
        <v/>
      </c>
      <c r="C863" s="40" t="str">
        <f>IF(Agent05_Loans!B75="","",Agent05_Loans!C75)</f>
        <v/>
      </c>
      <c r="D863" s="41" t="str">
        <f>IF(Agent05_Loans!B75="","",Agent05_Loans!D75)</f>
        <v/>
      </c>
      <c r="E863" s="43" t="str">
        <f>IF(Agent05_Loans!B75="","",Agent05_Loans!E75)</f>
        <v/>
      </c>
      <c r="F863" s="40" t="str">
        <f>IF(Agent05_Loans!B75="","",Agent05_Loans!F75)</f>
        <v/>
      </c>
      <c r="G863" s="40" t="str">
        <f>IF(Agent05_Loans!B75="","",Agent05_Loans!G75)</f>
        <v/>
      </c>
      <c r="H863" s="40" t="str">
        <f>IF(Agent05_Loans!B75="","",Agent05_Loans!H75)</f>
        <v/>
      </c>
      <c r="I863" s="43" t="str">
        <f>IF(Agent05_Loans!B75="","",Agent05_Loans!I75)</f>
        <v/>
      </c>
      <c r="J863" s="43" t="str">
        <f>IF(Agent05_Loans!B75="","",Agent05_Loans!J75)</f>
        <v/>
      </c>
      <c r="K863" s="40" t="str">
        <f>IF(Agent05_Loans!B75="","",Agent05_Loans!K75)</f>
        <v/>
      </c>
      <c r="L863" s="40" t="str">
        <f>IF(Agent05_Loans!B75="","",Agent05_Loans!L75)</f>
        <v/>
      </c>
      <c r="M863" s="40" t="str">
        <f>IFERROR(IF(Agent05_Loans!B75="","",YEAR(Agent05_Loans!D75)),"")</f>
        <v/>
      </c>
    </row>
    <row r="864" spans="1:13" ht="18" customHeight="1" x14ac:dyDescent="0.25">
      <c r="A864" s="40" t="str">
        <f>IF(Agent05_Loans!B76="","",Agent05_Loans!A76)</f>
        <v/>
      </c>
      <c r="B864" s="40" t="str">
        <f>IF(Agent05_Loans!B76="","",Agent05_Loans!B76)</f>
        <v/>
      </c>
      <c r="C864" s="40" t="str">
        <f>IF(Agent05_Loans!B76="","",Agent05_Loans!C76)</f>
        <v/>
      </c>
      <c r="D864" s="41" t="str">
        <f>IF(Agent05_Loans!B76="","",Agent05_Loans!D76)</f>
        <v/>
      </c>
      <c r="E864" s="43" t="str">
        <f>IF(Agent05_Loans!B76="","",Agent05_Loans!E76)</f>
        <v/>
      </c>
      <c r="F864" s="40" t="str">
        <f>IF(Agent05_Loans!B76="","",Agent05_Loans!F76)</f>
        <v/>
      </c>
      <c r="G864" s="40" t="str">
        <f>IF(Agent05_Loans!B76="","",Agent05_Loans!G76)</f>
        <v/>
      </c>
      <c r="H864" s="40" t="str">
        <f>IF(Agent05_Loans!B76="","",Agent05_Loans!H76)</f>
        <v/>
      </c>
      <c r="I864" s="43" t="str">
        <f>IF(Agent05_Loans!B76="","",Agent05_Loans!I76)</f>
        <v/>
      </c>
      <c r="J864" s="43" t="str">
        <f>IF(Agent05_Loans!B76="","",Agent05_Loans!J76)</f>
        <v/>
      </c>
      <c r="K864" s="40" t="str">
        <f>IF(Agent05_Loans!B76="","",Agent05_Loans!K76)</f>
        <v/>
      </c>
      <c r="L864" s="40" t="str">
        <f>IF(Agent05_Loans!B76="","",Agent05_Loans!L76)</f>
        <v/>
      </c>
      <c r="M864" s="40" t="str">
        <f>IFERROR(IF(Agent05_Loans!B76="","",YEAR(Agent05_Loans!D76)),"")</f>
        <v/>
      </c>
    </row>
    <row r="865" spans="1:13" ht="18" customHeight="1" x14ac:dyDescent="0.25">
      <c r="A865" s="40" t="str">
        <f>IF(Agent05_Loans!B77="","",Agent05_Loans!A77)</f>
        <v/>
      </c>
      <c r="B865" s="40" t="str">
        <f>IF(Agent05_Loans!B77="","",Agent05_Loans!B77)</f>
        <v/>
      </c>
      <c r="C865" s="40" t="str">
        <f>IF(Agent05_Loans!B77="","",Agent05_Loans!C77)</f>
        <v/>
      </c>
      <c r="D865" s="41" t="str">
        <f>IF(Agent05_Loans!B77="","",Agent05_Loans!D77)</f>
        <v/>
      </c>
      <c r="E865" s="43" t="str">
        <f>IF(Agent05_Loans!B77="","",Agent05_Loans!E77)</f>
        <v/>
      </c>
      <c r="F865" s="40" t="str">
        <f>IF(Agent05_Loans!B77="","",Agent05_Loans!F77)</f>
        <v/>
      </c>
      <c r="G865" s="40" t="str">
        <f>IF(Agent05_Loans!B77="","",Agent05_Loans!G77)</f>
        <v/>
      </c>
      <c r="H865" s="40" t="str">
        <f>IF(Agent05_Loans!B77="","",Agent05_Loans!H77)</f>
        <v/>
      </c>
      <c r="I865" s="43" t="str">
        <f>IF(Agent05_Loans!B77="","",Agent05_Loans!I77)</f>
        <v/>
      </c>
      <c r="J865" s="43" t="str">
        <f>IF(Agent05_Loans!B77="","",Agent05_Loans!J77)</f>
        <v/>
      </c>
      <c r="K865" s="40" t="str">
        <f>IF(Agent05_Loans!B77="","",Agent05_Loans!K77)</f>
        <v/>
      </c>
      <c r="L865" s="40" t="str">
        <f>IF(Agent05_Loans!B77="","",Agent05_Loans!L77)</f>
        <v/>
      </c>
      <c r="M865" s="40" t="str">
        <f>IFERROR(IF(Agent05_Loans!B77="","",YEAR(Agent05_Loans!D77)),"")</f>
        <v/>
      </c>
    </row>
    <row r="866" spans="1:13" ht="18" customHeight="1" x14ac:dyDescent="0.25">
      <c r="A866" s="40" t="str">
        <f>IF(Agent05_Loans!B78="","",Agent05_Loans!A78)</f>
        <v/>
      </c>
      <c r="B866" s="40" t="str">
        <f>IF(Agent05_Loans!B78="","",Agent05_Loans!B78)</f>
        <v/>
      </c>
      <c r="C866" s="40" t="str">
        <f>IF(Agent05_Loans!B78="","",Agent05_Loans!C78)</f>
        <v/>
      </c>
      <c r="D866" s="41" t="str">
        <f>IF(Agent05_Loans!B78="","",Agent05_Loans!D78)</f>
        <v/>
      </c>
      <c r="E866" s="43" t="str">
        <f>IF(Agent05_Loans!B78="","",Agent05_Loans!E78)</f>
        <v/>
      </c>
      <c r="F866" s="40" t="str">
        <f>IF(Agent05_Loans!B78="","",Agent05_Loans!F78)</f>
        <v/>
      </c>
      <c r="G866" s="40" t="str">
        <f>IF(Agent05_Loans!B78="","",Agent05_Loans!G78)</f>
        <v/>
      </c>
      <c r="H866" s="40" t="str">
        <f>IF(Agent05_Loans!B78="","",Agent05_Loans!H78)</f>
        <v/>
      </c>
      <c r="I866" s="43" t="str">
        <f>IF(Agent05_Loans!B78="","",Agent05_Loans!I78)</f>
        <v/>
      </c>
      <c r="J866" s="43" t="str">
        <f>IF(Agent05_Loans!B78="","",Agent05_Loans!J78)</f>
        <v/>
      </c>
      <c r="K866" s="40" t="str">
        <f>IF(Agent05_Loans!B78="","",Agent05_Loans!K78)</f>
        <v/>
      </c>
      <c r="L866" s="40" t="str">
        <f>IF(Agent05_Loans!B78="","",Agent05_Loans!L78)</f>
        <v/>
      </c>
      <c r="M866" s="40" t="str">
        <f>IFERROR(IF(Agent05_Loans!B78="","",YEAR(Agent05_Loans!D78)),"")</f>
        <v/>
      </c>
    </row>
    <row r="867" spans="1:13" ht="18" customHeight="1" x14ac:dyDescent="0.25">
      <c r="A867" s="40" t="str">
        <f>IF(Agent05_Loans!B79="","",Agent05_Loans!A79)</f>
        <v/>
      </c>
      <c r="B867" s="40" t="str">
        <f>IF(Agent05_Loans!B79="","",Agent05_Loans!B79)</f>
        <v/>
      </c>
      <c r="C867" s="40" t="str">
        <f>IF(Agent05_Loans!B79="","",Agent05_Loans!C79)</f>
        <v/>
      </c>
      <c r="D867" s="41" t="str">
        <f>IF(Agent05_Loans!B79="","",Agent05_Loans!D79)</f>
        <v/>
      </c>
      <c r="E867" s="43" t="str">
        <f>IF(Agent05_Loans!B79="","",Agent05_Loans!E79)</f>
        <v/>
      </c>
      <c r="F867" s="40" t="str">
        <f>IF(Agent05_Loans!B79="","",Agent05_Loans!F79)</f>
        <v/>
      </c>
      <c r="G867" s="40" t="str">
        <f>IF(Agent05_Loans!B79="","",Agent05_Loans!G79)</f>
        <v/>
      </c>
      <c r="H867" s="40" t="str">
        <f>IF(Agent05_Loans!B79="","",Agent05_Loans!H79)</f>
        <v/>
      </c>
      <c r="I867" s="43" t="str">
        <f>IF(Agent05_Loans!B79="","",Agent05_Loans!I79)</f>
        <v/>
      </c>
      <c r="J867" s="43" t="str">
        <f>IF(Agent05_Loans!B79="","",Agent05_Loans!J79)</f>
        <v/>
      </c>
      <c r="K867" s="40" t="str">
        <f>IF(Agent05_Loans!B79="","",Agent05_Loans!K79)</f>
        <v/>
      </c>
      <c r="L867" s="40" t="str">
        <f>IF(Agent05_Loans!B79="","",Agent05_Loans!L79)</f>
        <v/>
      </c>
      <c r="M867" s="40" t="str">
        <f>IFERROR(IF(Agent05_Loans!B79="","",YEAR(Agent05_Loans!D79)),"")</f>
        <v/>
      </c>
    </row>
    <row r="868" spans="1:13" ht="18" customHeight="1" x14ac:dyDescent="0.25">
      <c r="A868" s="40" t="str">
        <f>IF(Agent05_Loans!B80="","",Agent05_Loans!A80)</f>
        <v/>
      </c>
      <c r="B868" s="40" t="str">
        <f>IF(Agent05_Loans!B80="","",Agent05_Loans!B80)</f>
        <v/>
      </c>
      <c r="C868" s="40" t="str">
        <f>IF(Agent05_Loans!B80="","",Agent05_Loans!C80)</f>
        <v/>
      </c>
      <c r="D868" s="41" t="str">
        <f>IF(Agent05_Loans!B80="","",Agent05_Loans!D80)</f>
        <v/>
      </c>
      <c r="E868" s="43" t="str">
        <f>IF(Agent05_Loans!B80="","",Agent05_Loans!E80)</f>
        <v/>
      </c>
      <c r="F868" s="40" t="str">
        <f>IF(Agent05_Loans!B80="","",Agent05_Loans!F80)</f>
        <v/>
      </c>
      <c r="G868" s="40" t="str">
        <f>IF(Agent05_Loans!B80="","",Agent05_Loans!G80)</f>
        <v/>
      </c>
      <c r="H868" s="40" t="str">
        <f>IF(Agent05_Loans!B80="","",Agent05_Loans!H80)</f>
        <v/>
      </c>
      <c r="I868" s="43" t="str">
        <f>IF(Agent05_Loans!B80="","",Agent05_Loans!I80)</f>
        <v/>
      </c>
      <c r="J868" s="43" t="str">
        <f>IF(Agent05_Loans!B80="","",Agent05_Loans!J80)</f>
        <v/>
      </c>
      <c r="K868" s="40" t="str">
        <f>IF(Agent05_Loans!B80="","",Agent05_Loans!K80)</f>
        <v/>
      </c>
      <c r="L868" s="40" t="str">
        <f>IF(Agent05_Loans!B80="","",Agent05_Loans!L80)</f>
        <v/>
      </c>
      <c r="M868" s="40" t="str">
        <f>IFERROR(IF(Agent05_Loans!B80="","",YEAR(Agent05_Loans!D80)),"")</f>
        <v/>
      </c>
    </row>
    <row r="869" spans="1:13" ht="18" customHeight="1" x14ac:dyDescent="0.25">
      <c r="A869" s="40" t="str">
        <f>IF(Agent05_Loans!B81="","",Agent05_Loans!A81)</f>
        <v/>
      </c>
      <c r="B869" s="40" t="str">
        <f>IF(Agent05_Loans!B81="","",Agent05_Loans!B81)</f>
        <v/>
      </c>
      <c r="C869" s="40" t="str">
        <f>IF(Agent05_Loans!B81="","",Agent05_Loans!C81)</f>
        <v/>
      </c>
      <c r="D869" s="41" t="str">
        <f>IF(Agent05_Loans!B81="","",Agent05_Loans!D81)</f>
        <v/>
      </c>
      <c r="E869" s="43" t="str">
        <f>IF(Agent05_Loans!B81="","",Agent05_Loans!E81)</f>
        <v/>
      </c>
      <c r="F869" s="40" t="str">
        <f>IF(Agent05_Loans!B81="","",Agent05_Loans!F81)</f>
        <v/>
      </c>
      <c r="G869" s="40" t="str">
        <f>IF(Agent05_Loans!B81="","",Agent05_Loans!G81)</f>
        <v/>
      </c>
      <c r="H869" s="40" t="str">
        <f>IF(Agent05_Loans!B81="","",Agent05_Loans!H81)</f>
        <v/>
      </c>
      <c r="I869" s="43" t="str">
        <f>IF(Agent05_Loans!B81="","",Agent05_Loans!I81)</f>
        <v/>
      </c>
      <c r="J869" s="43" t="str">
        <f>IF(Agent05_Loans!B81="","",Agent05_Loans!J81)</f>
        <v/>
      </c>
      <c r="K869" s="40" t="str">
        <f>IF(Agent05_Loans!B81="","",Agent05_Loans!K81)</f>
        <v/>
      </c>
      <c r="L869" s="40" t="str">
        <f>IF(Agent05_Loans!B81="","",Agent05_Loans!L81)</f>
        <v/>
      </c>
      <c r="M869" s="40" t="str">
        <f>IFERROR(IF(Agent05_Loans!B81="","",YEAR(Agent05_Loans!D81)),"")</f>
        <v/>
      </c>
    </row>
    <row r="870" spans="1:13" ht="18" customHeight="1" x14ac:dyDescent="0.25">
      <c r="A870" s="40" t="str">
        <f>IF(Agent05_Loans!B82="","",Agent05_Loans!A82)</f>
        <v/>
      </c>
      <c r="B870" s="40" t="str">
        <f>IF(Agent05_Loans!B82="","",Agent05_Loans!B82)</f>
        <v/>
      </c>
      <c r="C870" s="40" t="str">
        <f>IF(Agent05_Loans!B82="","",Agent05_Loans!C82)</f>
        <v/>
      </c>
      <c r="D870" s="41" t="str">
        <f>IF(Agent05_Loans!B82="","",Agent05_Loans!D82)</f>
        <v/>
      </c>
      <c r="E870" s="43" t="str">
        <f>IF(Agent05_Loans!B82="","",Agent05_Loans!E82)</f>
        <v/>
      </c>
      <c r="F870" s="40" t="str">
        <f>IF(Agent05_Loans!B82="","",Agent05_Loans!F82)</f>
        <v/>
      </c>
      <c r="G870" s="40" t="str">
        <f>IF(Agent05_Loans!B82="","",Agent05_Loans!G82)</f>
        <v/>
      </c>
      <c r="H870" s="40" t="str">
        <f>IF(Agent05_Loans!B82="","",Agent05_Loans!H82)</f>
        <v/>
      </c>
      <c r="I870" s="43" t="str">
        <f>IF(Agent05_Loans!B82="","",Agent05_Loans!I82)</f>
        <v/>
      </c>
      <c r="J870" s="43" t="str">
        <f>IF(Agent05_Loans!B82="","",Agent05_Loans!J82)</f>
        <v/>
      </c>
      <c r="K870" s="40" t="str">
        <f>IF(Agent05_Loans!B82="","",Agent05_Loans!K82)</f>
        <v/>
      </c>
      <c r="L870" s="40" t="str">
        <f>IF(Agent05_Loans!B82="","",Agent05_Loans!L82)</f>
        <v/>
      </c>
      <c r="M870" s="40" t="str">
        <f>IFERROR(IF(Agent05_Loans!B82="","",YEAR(Agent05_Loans!D82)),"")</f>
        <v/>
      </c>
    </row>
    <row r="871" spans="1:13" ht="18" customHeight="1" x14ac:dyDescent="0.25">
      <c r="A871" s="40" t="str">
        <f>IF(Agent05_Loans!B83="","",Agent05_Loans!A83)</f>
        <v/>
      </c>
      <c r="B871" s="40" t="str">
        <f>IF(Agent05_Loans!B83="","",Agent05_Loans!B83)</f>
        <v/>
      </c>
      <c r="C871" s="40" t="str">
        <f>IF(Agent05_Loans!B83="","",Agent05_Loans!C83)</f>
        <v/>
      </c>
      <c r="D871" s="41" t="str">
        <f>IF(Agent05_Loans!B83="","",Agent05_Loans!D83)</f>
        <v/>
      </c>
      <c r="E871" s="43" t="str">
        <f>IF(Agent05_Loans!B83="","",Agent05_Loans!E83)</f>
        <v/>
      </c>
      <c r="F871" s="40" t="str">
        <f>IF(Agent05_Loans!B83="","",Agent05_Loans!F83)</f>
        <v/>
      </c>
      <c r="G871" s="40" t="str">
        <f>IF(Agent05_Loans!B83="","",Agent05_Loans!G83)</f>
        <v/>
      </c>
      <c r="H871" s="40" t="str">
        <f>IF(Agent05_Loans!B83="","",Agent05_Loans!H83)</f>
        <v/>
      </c>
      <c r="I871" s="43" t="str">
        <f>IF(Agent05_Loans!B83="","",Agent05_Loans!I83)</f>
        <v/>
      </c>
      <c r="J871" s="43" t="str">
        <f>IF(Agent05_Loans!B83="","",Agent05_Loans!J83)</f>
        <v/>
      </c>
      <c r="K871" s="40" t="str">
        <f>IF(Agent05_Loans!B83="","",Agent05_Loans!K83)</f>
        <v/>
      </c>
      <c r="L871" s="40" t="str">
        <f>IF(Agent05_Loans!B83="","",Agent05_Loans!L83)</f>
        <v/>
      </c>
      <c r="M871" s="40" t="str">
        <f>IFERROR(IF(Agent05_Loans!B83="","",YEAR(Agent05_Loans!D83)),"")</f>
        <v/>
      </c>
    </row>
    <row r="872" spans="1:13" ht="18" customHeight="1" x14ac:dyDescent="0.25">
      <c r="A872" s="40" t="str">
        <f>IF(Agent05_Loans!B84="","",Agent05_Loans!A84)</f>
        <v/>
      </c>
      <c r="B872" s="40" t="str">
        <f>IF(Agent05_Loans!B84="","",Agent05_Loans!B84)</f>
        <v/>
      </c>
      <c r="C872" s="40" t="str">
        <f>IF(Agent05_Loans!B84="","",Agent05_Loans!C84)</f>
        <v/>
      </c>
      <c r="D872" s="41" t="str">
        <f>IF(Agent05_Loans!B84="","",Agent05_Loans!D84)</f>
        <v/>
      </c>
      <c r="E872" s="43" t="str">
        <f>IF(Agent05_Loans!B84="","",Agent05_Loans!E84)</f>
        <v/>
      </c>
      <c r="F872" s="40" t="str">
        <f>IF(Agent05_Loans!B84="","",Agent05_Loans!F84)</f>
        <v/>
      </c>
      <c r="G872" s="40" t="str">
        <f>IF(Agent05_Loans!B84="","",Agent05_Loans!G84)</f>
        <v/>
      </c>
      <c r="H872" s="40" t="str">
        <f>IF(Agent05_Loans!B84="","",Agent05_Loans!H84)</f>
        <v/>
      </c>
      <c r="I872" s="43" t="str">
        <f>IF(Agent05_Loans!B84="","",Agent05_Loans!I84)</f>
        <v/>
      </c>
      <c r="J872" s="43" t="str">
        <f>IF(Agent05_Loans!B84="","",Agent05_Loans!J84)</f>
        <v/>
      </c>
      <c r="K872" s="40" t="str">
        <f>IF(Agent05_Loans!B84="","",Agent05_Loans!K84)</f>
        <v/>
      </c>
      <c r="L872" s="40" t="str">
        <f>IF(Agent05_Loans!B84="","",Agent05_Loans!L84)</f>
        <v/>
      </c>
      <c r="M872" s="40" t="str">
        <f>IFERROR(IF(Agent05_Loans!B84="","",YEAR(Agent05_Loans!D84)),"")</f>
        <v/>
      </c>
    </row>
    <row r="873" spans="1:13" ht="18" customHeight="1" x14ac:dyDescent="0.25">
      <c r="A873" s="40" t="str">
        <f>IF(Agent05_Loans!B85="","",Agent05_Loans!A85)</f>
        <v/>
      </c>
      <c r="B873" s="40" t="str">
        <f>IF(Agent05_Loans!B85="","",Agent05_Loans!B85)</f>
        <v/>
      </c>
      <c r="C873" s="40" t="str">
        <f>IF(Agent05_Loans!B85="","",Agent05_Loans!C85)</f>
        <v/>
      </c>
      <c r="D873" s="41" t="str">
        <f>IF(Agent05_Loans!B85="","",Agent05_Loans!D85)</f>
        <v/>
      </c>
      <c r="E873" s="43" t="str">
        <f>IF(Agent05_Loans!B85="","",Agent05_Loans!E85)</f>
        <v/>
      </c>
      <c r="F873" s="40" t="str">
        <f>IF(Agent05_Loans!B85="","",Agent05_Loans!F85)</f>
        <v/>
      </c>
      <c r="G873" s="40" t="str">
        <f>IF(Agent05_Loans!B85="","",Agent05_Loans!G85)</f>
        <v/>
      </c>
      <c r="H873" s="40" t="str">
        <f>IF(Agent05_Loans!B85="","",Agent05_Loans!H85)</f>
        <v/>
      </c>
      <c r="I873" s="43" t="str">
        <f>IF(Agent05_Loans!B85="","",Agent05_Loans!I85)</f>
        <v/>
      </c>
      <c r="J873" s="43" t="str">
        <f>IF(Agent05_Loans!B85="","",Agent05_Loans!J85)</f>
        <v/>
      </c>
      <c r="K873" s="40" t="str">
        <f>IF(Agent05_Loans!B85="","",Agent05_Loans!K85)</f>
        <v/>
      </c>
      <c r="L873" s="40" t="str">
        <f>IF(Agent05_Loans!B85="","",Agent05_Loans!L85)</f>
        <v/>
      </c>
      <c r="M873" s="40" t="str">
        <f>IFERROR(IF(Agent05_Loans!B85="","",YEAR(Agent05_Loans!D85)),"")</f>
        <v/>
      </c>
    </row>
    <row r="874" spans="1:13" ht="18" customHeight="1" x14ac:dyDescent="0.25">
      <c r="A874" s="40" t="str">
        <f>IF(Agent05_Loans!B86="","",Agent05_Loans!A86)</f>
        <v/>
      </c>
      <c r="B874" s="40" t="str">
        <f>IF(Agent05_Loans!B86="","",Agent05_Loans!B86)</f>
        <v/>
      </c>
      <c r="C874" s="40" t="str">
        <f>IF(Agent05_Loans!B86="","",Agent05_Loans!C86)</f>
        <v/>
      </c>
      <c r="D874" s="41" t="str">
        <f>IF(Agent05_Loans!B86="","",Agent05_Loans!D86)</f>
        <v/>
      </c>
      <c r="E874" s="43" t="str">
        <f>IF(Agent05_Loans!B86="","",Agent05_Loans!E86)</f>
        <v/>
      </c>
      <c r="F874" s="40" t="str">
        <f>IF(Agent05_Loans!B86="","",Agent05_Loans!F86)</f>
        <v/>
      </c>
      <c r="G874" s="40" t="str">
        <f>IF(Agent05_Loans!B86="","",Agent05_Loans!G86)</f>
        <v/>
      </c>
      <c r="H874" s="40" t="str">
        <f>IF(Agent05_Loans!B86="","",Agent05_Loans!H86)</f>
        <v/>
      </c>
      <c r="I874" s="43" t="str">
        <f>IF(Agent05_Loans!B86="","",Agent05_Loans!I86)</f>
        <v/>
      </c>
      <c r="J874" s="43" t="str">
        <f>IF(Agent05_Loans!B86="","",Agent05_Loans!J86)</f>
        <v/>
      </c>
      <c r="K874" s="40" t="str">
        <f>IF(Agent05_Loans!B86="","",Agent05_Loans!K86)</f>
        <v/>
      </c>
      <c r="L874" s="40" t="str">
        <f>IF(Agent05_Loans!B86="","",Agent05_Loans!L86)</f>
        <v/>
      </c>
      <c r="M874" s="40" t="str">
        <f>IFERROR(IF(Agent05_Loans!B86="","",YEAR(Agent05_Loans!D86)),"")</f>
        <v/>
      </c>
    </row>
    <row r="875" spans="1:13" ht="18" customHeight="1" x14ac:dyDescent="0.25">
      <c r="A875" s="40" t="str">
        <f>IF(Agent05_Loans!B87="","",Agent05_Loans!A87)</f>
        <v/>
      </c>
      <c r="B875" s="40" t="str">
        <f>IF(Agent05_Loans!B87="","",Agent05_Loans!B87)</f>
        <v/>
      </c>
      <c r="C875" s="40" t="str">
        <f>IF(Agent05_Loans!B87="","",Agent05_Loans!C87)</f>
        <v/>
      </c>
      <c r="D875" s="41" t="str">
        <f>IF(Agent05_Loans!B87="","",Agent05_Loans!D87)</f>
        <v/>
      </c>
      <c r="E875" s="43" t="str">
        <f>IF(Agent05_Loans!B87="","",Agent05_Loans!E87)</f>
        <v/>
      </c>
      <c r="F875" s="40" t="str">
        <f>IF(Agent05_Loans!B87="","",Agent05_Loans!F87)</f>
        <v/>
      </c>
      <c r="G875" s="40" t="str">
        <f>IF(Agent05_Loans!B87="","",Agent05_Loans!G87)</f>
        <v/>
      </c>
      <c r="H875" s="40" t="str">
        <f>IF(Agent05_Loans!B87="","",Agent05_Loans!H87)</f>
        <v/>
      </c>
      <c r="I875" s="43" t="str">
        <f>IF(Agent05_Loans!B87="","",Agent05_Loans!I87)</f>
        <v/>
      </c>
      <c r="J875" s="43" t="str">
        <f>IF(Agent05_Loans!B87="","",Agent05_Loans!J87)</f>
        <v/>
      </c>
      <c r="K875" s="40" t="str">
        <f>IF(Agent05_Loans!B87="","",Agent05_Loans!K87)</f>
        <v/>
      </c>
      <c r="L875" s="40" t="str">
        <f>IF(Agent05_Loans!B87="","",Agent05_Loans!L87)</f>
        <v/>
      </c>
      <c r="M875" s="40" t="str">
        <f>IFERROR(IF(Agent05_Loans!B87="","",YEAR(Agent05_Loans!D87)),"")</f>
        <v/>
      </c>
    </row>
    <row r="876" spans="1:13" ht="18" customHeight="1" x14ac:dyDescent="0.25">
      <c r="A876" s="40" t="str">
        <f>IF(Agent05_Loans!B88="","",Agent05_Loans!A88)</f>
        <v/>
      </c>
      <c r="B876" s="40" t="str">
        <f>IF(Agent05_Loans!B88="","",Agent05_Loans!B88)</f>
        <v/>
      </c>
      <c r="C876" s="40" t="str">
        <f>IF(Agent05_Loans!B88="","",Agent05_Loans!C88)</f>
        <v/>
      </c>
      <c r="D876" s="41" t="str">
        <f>IF(Agent05_Loans!B88="","",Agent05_Loans!D88)</f>
        <v/>
      </c>
      <c r="E876" s="43" t="str">
        <f>IF(Agent05_Loans!B88="","",Agent05_Loans!E88)</f>
        <v/>
      </c>
      <c r="F876" s="40" t="str">
        <f>IF(Agent05_Loans!B88="","",Agent05_Loans!F88)</f>
        <v/>
      </c>
      <c r="G876" s="40" t="str">
        <f>IF(Agent05_Loans!B88="","",Agent05_Loans!G88)</f>
        <v/>
      </c>
      <c r="H876" s="40" t="str">
        <f>IF(Agent05_Loans!B88="","",Agent05_Loans!H88)</f>
        <v/>
      </c>
      <c r="I876" s="43" t="str">
        <f>IF(Agent05_Loans!B88="","",Agent05_Loans!I88)</f>
        <v/>
      </c>
      <c r="J876" s="43" t="str">
        <f>IF(Agent05_Loans!B88="","",Agent05_Loans!J88)</f>
        <v/>
      </c>
      <c r="K876" s="40" t="str">
        <f>IF(Agent05_Loans!B88="","",Agent05_Loans!K88)</f>
        <v/>
      </c>
      <c r="L876" s="40" t="str">
        <f>IF(Agent05_Loans!B88="","",Agent05_Loans!L88)</f>
        <v/>
      </c>
      <c r="M876" s="40" t="str">
        <f>IFERROR(IF(Agent05_Loans!B88="","",YEAR(Agent05_Loans!D88)),"")</f>
        <v/>
      </c>
    </row>
    <row r="877" spans="1:13" ht="18" customHeight="1" x14ac:dyDescent="0.25">
      <c r="A877" s="40" t="str">
        <f>IF(Agent05_Loans!B89="","",Agent05_Loans!A89)</f>
        <v/>
      </c>
      <c r="B877" s="40" t="str">
        <f>IF(Agent05_Loans!B89="","",Agent05_Loans!B89)</f>
        <v/>
      </c>
      <c r="C877" s="40" t="str">
        <f>IF(Agent05_Loans!B89="","",Agent05_Loans!C89)</f>
        <v/>
      </c>
      <c r="D877" s="41" t="str">
        <f>IF(Agent05_Loans!B89="","",Agent05_Loans!D89)</f>
        <v/>
      </c>
      <c r="E877" s="43" t="str">
        <f>IF(Agent05_Loans!B89="","",Agent05_Loans!E89)</f>
        <v/>
      </c>
      <c r="F877" s="40" t="str">
        <f>IF(Agent05_Loans!B89="","",Agent05_Loans!F89)</f>
        <v/>
      </c>
      <c r="G877" s="40" t="str">
        <f>IF(Agent05_Loans!B89="","",Agent05_Loans!G89)</f>
        <v/>
      </c>
      <c r="H877" s="40" t="str">
        <f>IF(Agent05_Loans!B89="","",Agent05_Loans!H89)</f>
        <v/>
      </c>
      <c r="I877" s="43" t="str">
        <f>IF(Agent05_Loans!B89="","",Agent05_Loans!I89)</f>
        <v/>
      </c>
      <c r="J877" s="43" t="str">
        <f>IF(Agent05_Loans!B89="","",Agent05_Loans!J89)</f>
        <v/>
      </c>
      <c r="K877" s="40" t="str">
        <f>IF(Agent05_Loans!B89="","",Agent05_Loans!K89)</f>
        <v/>
      </c>
      <c r="L877" s="40" t="str">
        <f>IF(Agent05_Loans!B89="","",Agent05_Loans!L89)</f>
        <v/>
      </c>
      <c r="M877" s="40" t="str">
        <f>IFERROR(IF(Agent05_Loans!B89="","",YEAR(Agent05_Loans!D89)),"")</f>
        <v/>
      </c>
    </row>
    <row r="878" spans="1:13" ht="18" customHeight="1" x14ac:dyDescent="0.25">
      <c r="A878" s="40" t="str">
        <f>IF(Agent05_Loans!B90="","",Agent05_Loans!A90)</f>
        <v/>
      </c>
      <c r="B878" s="40" t="str">
        <f>IF(Agent05_Loans!B90="","",Agent05_Loans!B90)</f>
        <v/>
      </c>
      <c r="C878" s="40" t="str">
        <f>IF(Agent05_Loans!B90="","",Agent05_Loans!C90)</f>
        <v/>
      </c>
      <c r="D878" s="41" t="str">
        <f>IF(Agent05_Loans!B90="","",Agent05_Loans!D90)</f>
        <v/>
      </c>
      <c r="E878" s="43" t="str">
        <f>IF(Agent05_Loans!B90="","",Agent05_Loans!E90)</f>
        <v/>
      </c>
      <c r="F878" s="40" t="str">
        <f>IF(Agent05_Loans!B90="","",Agent05_Loans!F90)</f>
        <v/>
      </c>
      <c r="G878" s="40" t="str">
        <f>IF(Agent05_Loans!B90="","",Agent05_Loans!G90)</f>
        <v/>
      </c>
      <c r="H878" s="40" t="str">
        <f>IF(Agent05_Loans!B90="","",Agent05_Loans!H90)</f>
        <v/>
      </c>
      <c r="I878" s="43" t="str">
        <f>IF(Agent05_Loans!B90="","",Agent05_Loans!I90)</f>
        <v/>
      </c>
      <c r="J878" s="43" t="str">
        <f>IF(Agent05_Loans!B90="","",Agent05_Loans!J90)</f>
        <v/>
      </c>
      <c r="K878" s="40" t="str">
        <f>IF(Agent05_Loans!B90="","",Agent05_Loans!K90)</f>
        <v/>
      </c>
      <c r="L878" s="40" t="str">
        <f>IF(Agent05_Loans!B90="","",Agent05_Loans!L90)</f>
        <v/>
      </c>
      <c r="M878" s="40" t="str">
        <f>IFERROR(IF(Agent05_Loans!B90="","",YEAR(Agent05_Loans!D90)),"")</f>
        <v/>
      </c>
    </row>
    <row r="879" spans="1:13" ht="18" customHeight="1" x14ac:dyDescent="0.25">
      <c r="A879" s="40" t="str">
        <f>IF(Agent05_Loans!B91="","",Agent05_Loans!A91)</f>
        <v/>
      </c>
      <c r="B879" s="40" t="str">
        <f>IF(Agent05_Loans!B91="","",Agent05_Loans!B91)</f>
        <v/>
      </c>
      <c r="C879" s="40" t="str">
        <f>IF(Agent05_Loans!B91="","",Agent05_Loans!C91)</f>
        <v/>
      </c>
      <c r="D879" s="41" t="str">
        <f>IF(Agent05_Loans!B91="","",Agent05_Loans!D91)</f>
        <v/>
      </c>
      <c r="E879" s="43" t="str">
        <f>IF(Agent05_Loans!B91="","",Agent05_Loans!E91)</f>
        <v/>
      </c>
      <c r="F879" s="40" t="str">
        <f>IF(Agent05_Loans!B91="","",Agent05_Loans!F91)</f>
        <v/>
      </c>
      <c r="G879" s="40" t="str">
        <f>IF(Agent05_Loans!B91="","",Agent05_Loans!G91)</f>
        <v/>
      </c>
      <c r="H879" s="40" t="str">
        <f>IF(Agent05_Loans!B91="","",Agent05_Loans!H91)</f>
        <v/>
      </c>
      <c r="I879" s="43" t="str">
        <f>IF(Agent05_Loans!B91="","",Agent05_Loans!I91)</f>
        <v/>
      </c>
      <c r="J879" s="43" t="str">
        <f>IF(Agent05_Loans!B91="","",Agent05_Loans!J91)</f>
        <v/>
      </c>
      <c r="K879" s="40" t="str">
        <f>IF(Agent05_Loans!B91="","",Agent05_Loans!K91)</f>
        <v/>
      </c>
      <c r="L879" s="40" t="str">
        <f>IF(Agent05_Loans!B91="","",Agent05_Loans!L91)</f>
        <v/>
      </c>
      <c r="M879" s="40" t="str">
        <f>IFERROR(IF(Agent05_Loans!B91="","",YEAR(Agent05_Loans!D91)),"")</f>
        <v/>
      </c>
    </row>
    <row r="880" spans="1:13" ht="18" customHeight="1" x14ac:dyDescent="0.25">
      <c r="A880" s="40" t="str">
        <f>IF(Agent05_Loans!B92="","",Agent05_Loans!A92)</f>
        <v/>
      </c>
      <c r="B880" s="40" t="str">
        <f>IF(Agent05_Loans!B92="","",Agent05_Loans!B92)</f>
        <v/>
      </c>
      <c r="C880" s="40" t="str">
        <f>IF(Agent05_Loans!B92="","",Agent05_Loans!C92)</f>
        <v/>
      </c>
      <c r="D880" s="41" t="str">
        <f>IF(Agent05_Loans!B92="","",Agent05_Loans!D92)</f>
        <v/>
      </c>
      <c r="E880" s="43" t="str">
        <f>IF(Agent05_Loans!B92="","",Agent05_Loans!E92)</f>
        <v/>
      </c>
      <c r="F880" s="40" t="str">
        <f>IF(Agent05_Loans!B92="","",Agent05_Loans!F92)</f>
        <v/>
      </c>
      <c r="G880" s="40" t="str">
        <f>IF(Agent05_Loans!B92="","",Agent05_Loans!G92)</f>
        <v/>
      </c>
      <c r="H880" s="40" t="str">
        <f>IF(Agent05_Loans!B92="","",Agent05_Loans!H92)</f>
        <v/>
      </c>
      <c r="I880" s="43" t="str">
        <f>IF(Agent05_Loans!B92="","",Agent05_Loans!I92)</f>
        <v/>
      </c>
      <c r="J880" s="43" t="str">
        <f>IF(Agent05_Loans!B92="","",Agent05_Loans!J92)</f>
        <v/>
      </c>
      <c r="K880" s="40" t="str">
        <f>IF(Agent05_Loans!B92="","",Agent05_Loans!K92)</f>
        <v/>
      </c>
      <c r="L880" s="40" t="str">
        <f>IF(Agent05_Loans!B92="","",Agent05_Loans!L92)</f>
        <v/>
      </c>
      <c r="M880" s="40" t="str">
        <f>IFERROR(IF(Agent05_Loans!B92="","",YEAR(Agent05_Loans!D92)),"")</f>
        <v/>
      </c>
    </row>
    <row r="881" spans="1:13" ht="18" customHeight="1" x14ac:dyDescent="0.25">
      <c r="A881" s="40" t="str">
        <f>IF(Agent05_Loans!B93="","",Agent05_Loans!A93)</f>
        <v/>
      </c>
      <c r="B881" s="40" t="str">
        <f>IF(Agent05_Loans!B93="","",Agent05_Loans!B93)</f>
        <v/>
      </c>
      <c r="C881" s="40" t="str">
        <f>IF(Agent05_Loans!B93="","",Agent05_Loans!C93)</f>
        <v/>
      </c>
      <c r="D881" s="41" t="str">
        <f>IF(Agent05_Loans!B93="","",Agent05_Loans!D93)</f>
        <v/>
      </c>
      <c r="E881" s="43" t="str">
        <f>IF(Agent05_Loans!B93="","",Agent05_Loans!E93)</f>
        <v/>
      </c>
      <c r="F881" s="40" t="str">
        <f>IF(Agent05_Loans!B93="","",Agent05_Loans!F93)</f>
        <v/>
      </c>
      <c r="G881" s="40" t="str">
        <f>IF(Agent05_Loans!B93="","",Agent05_Loans!G93)</f>
        <v/>
      </c>
      <c r="H881" s="40" t="str">
        <f>IF(Agent05_Loans!B93="","",Agent05_Loans!H93)</f>
        <v/>
      </c>
      <c r="I881" s="43" t="str">
        <f>IF(Agent05_Loans!B93="","",Agent05_Loans!I93)</f>
        <v/>
      </c>
      <c r="J881" s="43" t="str">
        <f>IF(Agent05_Loans!B93="","",Agent05_Loans!J93)</f>
        <v/>
      </c>
      <c r="K881" s="40" t="str">
        <f>IF(Agent05_Loans!B93="","",Agent05_Loans!K93)</f>
        <v/>
      </c>
      <c r="L881" s="40" t="str">
        <f>IF(Agent05_Loans!B93="","",Agent05_Loans!L93)</f>
        <v/>
      </c>
      <c r="M881" s="40" t="str">
        <f>IFERROR(IF(Agent05_Loans!B93="","",YEAR(Agent05_Loans!D93)),"")</f>
        <v/>
      </c>
    </row>
    <row r="882" spans="1:13" ht="18" customHeight="1" x14ac:dyDescent="0.25">
      <c r="A882" s="40" t="str">
        <f>IF(Agent05_Loans!B94="","",Agent05_Loans!A94)</f>
        <v/>
      </c>
      <c r="B882" s="40" t="str">
        <f>IF(Agent05_Loans!B94="","",Agent05_Loans!B94)</f>
        <v/>
      </c>
      <c r="C882" s="40" t="str">
        <f>IF(Agent05_Loans!B94="","",Agent05_Loans!C94)</f>
        <v/>
      </c>
      <c r="D882" s="41" t="str">
        <f>IF(Agent05_Loans!B94="","",Agent05_Loans!D94)</f>
        <v/>
      </c>
      <c r="E882" s="43" t="str">
        <f>IF(Agent05_Loans!B94="","",Agent05_Loans!E94)</f>
        <v/>
      </c>
      <c r="F882" s="40" t="str">
        <f>IF(Agent05_Loans!B94="","",Agent05_Loans!F94)</f>
        <v/>
      </c>
      <c r="G882" s="40" t="str">
        <f>IF(Agent05_Loans!B94="","",Agent05_Loans!G94)</f>
        <v/>
      </c>
      <c r="H882" s="40" t="str">
        <f>IF(Agent05_Loans!B94="","",Agent05_Loans!H94)</f>
        <v/>
      </c>
      <c r="I882" s="43" t="str">
        <f>IF(Agent05_Loans!B94="","",Agent05_Loans!I94)</f>
        <v/>
      </c>
      <c r="J882" s="43" t="str">
        <f>IF(Agent05_Loans!B94="","",Agent05_Loans!J94)</f>
        <v/>
      </c>
      <c r="K882" s="40" t="str">
        <f>IF(Agent05_Loans!B94="","",Agent05_Loans!K94)</f>
        <v/>
      </c>
      <c r="L882" s="40" t="str">
        <f>IF(Agent05_Loans!B94="","",Agent05_Loans!L94)</f>
        <v/>
      </c>
      <c r="M882" s="40" t="str">
        <f>IFERROR(IF(Agent05_Loans!B94="","",YEAR(Agent05_Loans!D94)),"")</f>
        <v/>
      </c>
    </row>
    <row r="883" spans="1:13" ht="18" customHeight="1" x14ac:dyDescent="0.25">
      <c r="A883" s="40" t="str">
        <f>IF(Agent05_Loans!B95="","",Agent05_Loans!A95)</f>
        <v/>
      </c>
      <c r="B883" s="40" t="str">
        <f>IF(Agent05_Loans!B95="","",Agent05_Loans!B95)</f>
        <v/>
      </c>
      <c r="C883" s="40" t="str">
        <f>IF(Agent05_Loans!B95="","",Agent05_Loans!C95)</f>
        <v/>
      </c>
      <c r="D883" s="41" t="str">
        <f>IF(Agent05_Loans!B95="","",Agent05_Loans!D95)</f>
        <v/>
      </c>
      <c r="E883" s="43" t="str">
        <f>IF(Agent05_Loans!B95="","",Agent05_Loans!E95)</f>
        <v/>
      </c>
      <c r="F883" s="40" t="str">
        <f>IF(Agent05_Loans!B95="","",Agent05_Loans!F95)</f>
        <v/>
      </c>
      <c r="G883" s="40" t="str">
        <f>IF(Agent05_Loans!B95="","",Agent05_Loans!G95)</f>
        <v/>
      </c>
      <c r="H883" s="40" t="str">
        <f>IF(Agent05_Loans!B95="","",Agent05_Loans!H95)</f>
        <v/>
      </c>
      <c r="I883" s="43" t="str">
        <f>IF(Agent05_Loans!B95="","",Agent05_Loans!I95)</f>
        <v/>
      </c>
      <c r="J883" s="43" t="str">
        <f>IF(Agent05_Loans!B95="","",Agent05_Loans!J95)</f>
        <v/>
      </c>
      <c r="K883" s="40" t="str">
        <f>IF(Agent05_Loans!B95="","",Agent05_Loans!K95)</f>
        <v/>
      </c>
      <c r="L883" s="40" t="str">
        <f>IF(Agent05_Loans!B95="","",Agent05_Loans!L95)</f>
        <v/>
      </c>
      <c r="M883" s="40" t="str">
        <f>IFERROR(IF(Agent05_Loans!B95="","",YEAR(Agent05_Loans!D95)),"")</f>
        <v/>
      </c>
    </row>
    <row r="884" spans="1:13" ht="18" customHeight="1" x14ac:dyDescent="0.25">
      <c r="A884" s="40" t="str">
        <f>IF(Agent05_Loans!B96="","",Agent05_Loans!A96)</f>
        <v/>
      </c>
      <c r="B884" s="40" t="str">
        <f>IF(Agent05_Loans!B96="","",Agent05_Loans!B96)</f>
        <v/>
      </c>
      <c r="C884" s="40" t="str">
        <f>IF(Agent05_Loans!B96="","",Agent05_Loans!C96)</f>
        <v/>
      </c>
      <c r="D884" s="41" t="str">
        <f>IF(Agent05_Loans!B96="","",Agent05_Loans!D96)</f>
        <v/>
      </c>
      <c r="E884" s="43" t="str">
        <f>IF(Agent05_Loans!B96="","",Agent05_Loans!E96)</f>
        <v/>
      </c>
      <c r="F884" s="40" t="str">
        <f>IF(Agent05_Loans!B96="","",Agent05_Loans!F96)</f>
        <v/>
      </c>
      <c r="G884" s="40" t="str">
        <f>IF(Agent05_Loans!B96="","",Agent05_Loans!G96)</f>
        <v/>
      </c>
      <c r="H884" s="40" t="str">
        <f>IF(Agent05_Loans!B96="","",Agent05_Loans!H96)</f>
        <v/>
      </c>
      <c r="I884" s="43" t="str">
        <f>IF(Agent05_Loans!B96="","",Agent05_Loans!I96)</f>
        <v/>
      </c>
      <c r="J884" s="43" t="str">
        <f>IF(Agent05_Loans!B96="","",Agent05_Loans!J96)</f>
        <v/>
      </c>
      <c r="K884" s="40" t="str">
        <f>IF(Agent05_Loans!B96="","",Agent05_Loans!K96)</f>
        <v/>
      </c>
      <c r="L884" s="40" t="str">
        <f>IF(Agent05_Loans!B96="","",Agent05_Loans!L96)</f>
        <v/>
      </c>
      <c r="M884" s="40" t="str">
        <f>IFERROR(IF(Agent05_Loans!B96="","",YEAR(Agent05_Loans!D96)),"")</f>
        <v/>
      </c>
    </row>
    <row r="885" spans="1:13" ht="18" customHeight="1" x14ac:dyDescent="0.25">
      <c r="A885" s="40" t="str">
        <f>IF(Agent05_Loans!B97="","",Agent05_Loans!A97)</f>
        <v/>
      </c>
      <c r="B885" s="40" t="str">
        <f>IF(Agent05_Loans!B97="","",Agent05_Loans!B97)</f>
        <v/>
      </c>
      <c r="C885" s="40" t="str">
        <f>IF(Agent05_Loans!B97="","",Agent05_Loans!C97)</f>
        <v/>
      </c>
      <c r="D885" s="41" t="str">
        <f>IF(Agent05_Loans!B97="","",Agent05_Loans!D97)</f>
        <v/>
      </c>
      <c r="E885" s="43" t="str">
        <f>IF(Agent05_Loans!B97="","",Agent05_Loans!E97)</f>
        <v/>
      </c>
      <c r="F885" s="40" t="str">
        <f>IF(Agent05_Loans!B97="","",Agent05_Loans!F97)</f>
        <v/>
      </c>
      <c r="G885" s="40" t="str">
        <f>IF(Agent05_Loans!B97="","",Agent05_Loans!G97)</f>
        <v/>
      </c>
      <c r="H885" s="40" t="str">
        <f>IF(Agent05_Loans!B97="","",Agent05_Loans!H97)</f>
        <v/>
      </c>
      <c r="I885" s="43" t="str">
        <f>IF(Agent05_Loans!B97="","",Agent05_Loans!I97)</f>
        <v/>
      </c>
      <c r="J885" s="43" t="str">
        <f>IF(Agent05_Loans!B97="","",Agent05_Loans!J97)</f>
        <v/>
      </c>
      <c r="K885" s="40" t="str">
        <f>IF(Agent05_Loans!B97="","",Agent05_Loans!K97)</f>
        <v/>
      </c>
      <c r="L885" s="40" t="str">
        <f>IF(Agent05_Loans!B97="","",Agent05_Loans!L97)</f>
        <v/>
      </c>
      <c r="M885" s="40" t="str">
        <f>IFERROR(IF(Agent05_Loans!B97="","",YEAR(Agent05_Loans!D97)),"")</f>
        <v/>
      </c>
    </row>
    <row r="886" spans="1:13" ht="18" customHeight="1" x14ac:dyDescent="0.25">
      <c r="A886" s="40" t="str">
        <f>IF(Agent05_Loans!B98="","",Agent05_Loans!A98)</f>
        <v/>
      </c>
      <c r="B886" s="40" t="str">
        <f>IF(Agent05_Loans!B98="","",Agent05_Loans!B98)</f>
        <v/>
      </c>
      <c r="C886" s="40" t="str">
        <f>IF(Agent05_Loans!B98="","",Agent05_Loans!C98)</f>
        <v/>
      </c>
      <c r="D886" s="41" t="str">
        <f>IF(Agent05_Loans!B98="","",Agent05_Loans!D98)</f>
        <v/>
      </c>
      <c r="E886" s="43" t="str">
        <f>IF(Agent05_Loans!B98="","",Agent05_Loans!E98)</f>
        <v/>
      </c>
      <c r="F886" s="40" t="str">
        <f>IF(Agent05_Loans!B98="","",Agent05_Loans!F98)</f>
        <v/>
      </c>
      <c r="G886" s="40" t="str">
        <f>IF(Agent05_Loans!B98="","",Agent05_Loans!G98)</f>
        <v/>
      </c>
      <c r="H886" s="40" t="str">
        <f>IF(Agent05_Loans!B98="","",Agent05_Loans!H98)</f>
        <v/>
      </c>
      <c r="I886" s="43" t="str">
        <f>IF(Agent05_Loans!B98="","",Agent05_Loans!I98)</f>
        <v/>
      </c>
      <c r="J886" s="43" t="str">
        <f>IF(Agent05_Loans!B98="","",Agent05_Loans!J98)</f>
        <v/>
      </c>
      <c r="K886" s="40" t="str">
        <f>IF(Agent05_Loans!B98="","",Agent05_Loans!K98)</f>
        <v/>
      </c>
      <c r="L886" s="40" t="str">
        <f>IF(Agent05_Loans!B98="","",Agent05_Loans!L98)</f>
        <v/>
      </c>
      <c r="M886" s="40" t="str">
        <f>IFERROR(IF(Agent05_Loans!B98="","",YEAR(Agent05_Loans!D98)),"")</f>
        <v/>
      </c>
    </row>
    <row r="887" spans="1:13" ht="18" customHeight="1" x14ac:dyDescent="0.25">
      <c r="A887" s="40" t="str">
        <f>IF(Agent05_Loans!B99="","",Agent05_Loans!A99)</f>
        <v/>
      </c>
      <c r="B887" s="40" t="str">
        <f>IF(Agent05_Loans!B99="","",Agent05_Loans!B99)</f>
        <v/>
      </c>
      <c r="C887" s="40" t="str">
        <f>IF(Agent05_Loans!B99="","",Agent05_Loans!C99)</f>
        <v/>
      </c>
      <c r="D887" s="41" t="str">
        <f>IF(Agent05_Loans!B99="","",Agent05_Loans!D99)</f>
        <v/>
      </c>
      <c r="E887" s="43" t="str">
        <f>IF(Agent05_Loans!B99="","",Agent05_Loans!E99)</f>
        <v/>
      </c>
      <c r="F887" s="40" t="str">
        <f>IF(Agent05_Loans!B99="","",Agent05_Loans!F99)</f>
        <v/>
      </c>
      <c r="G887" s="40" t="str">
        <f>IF(Agent05_Loans!B99="","",Agent05_Loans!G99)</f>
        <v/>
      </c>
      <c r="H887" s="40" t="str">
        <f>IF(Agent05_Loans!B99="","",Agent05_Loans!H99)</f>
        <v/>
      </c>
      <c r="I887" s="43" t="str">
        <f>IF(Agent05_Loans!B99="","",Agent05_Loans!I99)</f>
        <v/>
      </c>
      <c r="J887" s="43" t="str">
        <f>IF(Agent05_Loans!B99="","",Agent05_Loans!J99)</f>
        <v/>
      </c>
      <c r="K887" s="40" t="str">
        <f>IF(Agent05_Loans!B99="","",Agent05_Loans!K99)</f>
        <v/>
      </c>
      <c r="L887" s="40" t="str">
        <f>IF(Agent05_Loans!B99="","",Agent05_Loans!L99)</f>
        <v/>
      </c>
      <c r="M887" s="40" t="str">
        <f>IFERROR(IF(Agent05_Loans!B99="","",YEAR(Agent05_Loans!D99)),"")</f>
        <v/>
      </c>
    </row>
    <row r="888" spans="1:13" ht="18" customHeight="1" x14ac:dyDescent="0.25">
      <c r="A888" s="40" t="str">
        <f>IF(Agent05_Loans!B100="","",Agent05_Loans!A100)</f>
        <v/>
      </c>
      <c r="B888" s="40" t="str">
        <f>IF(Agent05_Loans!B100="","",Agent05_Loans!B100)</f>
        <v/>
      </c>
      <c r="C888" s="40" t="str">
        <f>IF(Agent05_Loans!B100="","",Agent05_Loans!C100)</f>
        <v/>
      </c>
      <c r="D888" s="41" t="str">
        <f>IF(Agent05_Loans!B100="","",Agent05_Loans!D100)</f>
        <v/>
      </c>
      <c r="E888" s="43" t="str">
        <f>IF(Agent05_Loans!B100="","",Agent05_Loans!E100)</f>
        <v/>
      </c>
      <c r="F888" s="40" t="str">
        <f>IF(Agent05_Loans!B100="","",Agent05_Loans!F100)</f>
        <v/>
      </c>
      <c r="G888" s="40" t="str">
        <f>IF(Agent05_Loans!B100="","",Agent05_Loans!G100)</f>
        <v/>
      </c>
      <c r="H888" s="40" t="str">
        <f>IF(Agent05_Loans!B100="","",Agent05_Loans!H100)</f>
        <v/>
      </c>
      <c r="I888" s="43" t="str">
        <f>IF(Agent05_Loans!B100="","",Agent05_Loans!I100)</f>
        <v/>
      </c>
      <c r="J888" s="43" t="str">
        <f>IF(Agent05_Loans!B100="","",Agent05_Loans!J100)</f>
        <v/>
      </c>
      <c r="K888" s="40" t="str">
        <f>IF(Agent05_Loans!B100="","",Agent05_Loans!K100)</f>
        <v/>
      </c>
      <c r="L888" s="40" t="str">
        <f>IF(Agent05_Loans!B100="","",Agent05_Loans!L100)</f>
        <v/>
      </c>
      <c r="M888" s="40" t="str">
        <f>IFERROR(IF(Agent05_Loans!B100="","",YEAR(Agent05_Loans!D100)),"")</f>
        <v/>
      </c>
    </row>
    <row r="889" spans="1:13" ht="18" customHeight="1" x14ac:dyDescent="0.25">
      <c r="A889" s="40" t="str">
        <f>IF(Agent05_Loans!B101="","",Agent05_Loans!A101)</f>
        <v/>
      </c>
      <c r="B889" s="40" t="str">
        <f>IF(Agent05_Loans!B101="","",Agent05_Loans!B101)</f>
        <v/>
      </c>
      <c r="C889" s="40" t="str">
        <f>IF(Agent05_Loans!B101="","",Agent05_Loans!C101)</f>
        <v/>
      </c>
      <c r="D889" s="41" t="str">
        <f>IF(Agent05_Loans!B101="","",Agent05_Loans!D101)</f>
        <v/>
      </c>
      <c r="E889" s="43" t="str">
        <f>IF(Agent05_Loans!B101="","",Agent05_Loans!E101)</f>
        <v/>
      </c>
      <c r="F889" s="40" t="str">
        <f>IF(Agent05_Loans!B101="","",Agent05_Loans!F101)</f>
        <v/>
      </c>
      <c r="G889" s="40" t="str">
        <f>IF(Agent05_Loans!B101="","",Agent05_Loans!G101)</f>
        <v/>
      </c>
      <c r="H889" s="40" t="str">
        <f>IF(Agent05_Loans!B101="","",Agent05_Loans!H101)</f>
        <v/>
      </c>
      <c r="I889" s="43" t="str">
        <f>IF(Agent05_Loans!B101="","",Agent05_Loans!I101)</f>
        <v/>
      </c>
      <c r="J889" s="43" t="str">
        <f>IF(Agent05_Loans!B101="","",Agent05_Loans!J101)</f>
        <v/>
      </c>
      <c r="K889" s="40" t="str">
        <f>IF(Agent05_Loans!B101="","",Agent05_Loans!K101)</f>
        <v/>
      </c>
      <c r="L889" s="40" t="str">
        <f>IF(Agent05_Loans!B101="","",Agent05_Loans!L101)</f>
        <v/>
      </c>
      <c r="M889" s="40" t="str">
        <f>IFERROR(IF(Agent05_Loans!B101="","",YEAR(Agent05_Loans!D101)),"")</f>
        <v/>
      </c>
    </row>
    <row r="890" spans="1:13" ht="18" customHeight="1" x14ac:dyDescent="0.25">
      <c r="A890" s="40" t="str">
        <f>IF(Agent05_Loans!B102="","",Agent05_Loans!A102)</f>
        <v/>
      </c>
      <c r="B890" s="40" t="str">
        <f>IF(Agent05_Loans!B102="","",Agent05_Loans!B102)</f>
        <v/>
      </c>
      <c r="C890" s="40" t="str">
        <f>IF(Agent05_Loans!B102="","",Agent05_Loans!C102)</f>
        <v/>
      </c>
      <c r="D890" s="41" t="str">
        <f>IF(Agent05_Loans!B102="","",Agent05_Loans!D102)</f>
        <v/>
      </c>
      <c r="E890" s="43" t="str">
        <f>IF(Agent05_Loans!B102="","",Agent05_Loans!E102)</f>
        <v/>
      </c>
      <c r="F890" s="40" t="str">
        <f>IF(Agent05_Loans!B102="","",Agent05_Loans!F102)</f>
        <v/>
      </c>
      <c r="G890" s="40" t="str">
        <f>IF(Agent05_Loans!B102="","",Agent05_Loans!G102)</f>
        <v/>
      </c>
      <c r="H890" s="40" t="str">
        <f>IF(Agent05_Loans!B102="","",Agent05_Loans!H102)</f>
        <v/>
      </c>
      <c r="I890" s="43" t="str">
        <f>IF(Agent05_Loans!B102="","",Agent05_Loans!I102)</f>
        <v/>
      </c>
      <c r="J890" s="43" t="str">
        <f>IF(Agent05_Loans!B102="","",Agent05_Loans!J102)</f>
        <v/>
      </c>
      <c r="K890" s="40" t="str">
        <f>IF(Agent05_Loans!B102="","",Agent05_Loans!K102)</f>
        <v/>
      </c>
      <c r="L890" s="40" t="str">
        <f>IF(Agent05_Loans!B102="","",Agent05_Loans!L102)</f>
        <v/>
      </c>
      <c r="M890" s="40" t="str">
        <f>IFERROR(IF(Agent05_Loans!B102="","",YEAR(Agent05_Loans!D102)),"")</f>
        <v/>
      </c>
    </row>
    <row r="891" spans="1:13" ht="18" customHeight="1" x14ac:dyDescent="0.25">
      <c r="A891" s="40" t="str">
        <f>IF(Agent05_Loans!B103="","",Agent05_Loans!A103)</f>
        <v/>
      </c>
      <c r="B891" s="40" t="str">
        <f>IF(Agent05_Loans!B103="","",Agent05_Loans!B103)</f>
        <v/>
      </c>
      <c r="C891" s="40" t="str">
        <f>IF(Agent05_Loans!B103="","",Agent05_Loans!C103)</f>
        <v/>
      </c>
      <c r="D891" s="41" t="str">
        <f>IF(Agent05_Loans!B103="","",Agent05_Loans!D103)</f>
        <v/>
      </c>
      <c r="E891" s="43" t="str">
        <f>IF(Agent05_Loans!B103="","",Agent05_Loans!E103)</f>
        <v/>
      </c>
      <c r="F891" s="40" t="str">
        <f>IF(Agent05_Loans!B103="","",Agent05_Loans!F103)</f>
        <v/>
      </c>
      <c r="G891" s="40" t="str">
        <f>IF(Agent05_Loans!B103="","",Agent05_Loans!G103)</f>
        <v/>
      </c>
      <c r="H891" s="40" t="str">
        <f>IF(Agent05_Loans!B103="","",Agent05_Loans!H103)</f>
        <v/>
      </c>
      <c r="I891" s="43" t="str">
        <f>IF(Agent05_Loans!B103="","",Agent05_Loans!I103)</f>
        <v/>
      </c>
      <c r="J891" s="43" t="str">
        <f>IF(Agent05_Loans!B103="","",Agent05_Loans!J103)</f>
        <v/>
      </c>
      <c r="K891" s="40" t="str">
        <f>IF(Agent05_Loans!B103="","",Agent05_Loans!K103)</f>
        <v/>
      </c>
      <c r="L891" s="40" t="str">
        <f>IF(Agent05_Loans!B103="","",Agent05_Loans!L103)</f>
        <v/>
      </c>
      <c r="M891" s="40" t="str">
        <f>IFERROR(IF(Agent05_Loans!B103="","",YEAR(Agent05_Loans!D103)),"")</f>
        <v/>
      </c>
    </row>
    <row r="892" spans="1:13" ht="18" customHeight="1" x14ac:dyDescent="0.25">
      <c r="A892" s="40" t="str">
        <f>IF(Agent05_Loans!B104="","",Agent05_Loans!A104)</f>
        <v/>
      </c>
      <c r="B892" s="40" t="str">
        <f>IF(Agent05_Loans!B104="","",Agent05_Loans!B104)</f>
        <v/>
      </c>
      <c r="C892" s="40" t="str">
        <f>IF(Agent05_Loans!B104="","",Agent05_Loans!C104)</f>
        <v/>
      </c>
      <c r="D892" s="41" t="str">
        <f>IF(Agent05_Loans!B104="","",Agent05_Loans!D104)</f>
        <v/>
      </c>
      <c r="E892" s="43" t="str">
        <f>IF(Agent05_Loans!B104="","",Agent05_Loans!E104)</f>
        <v/>
      </c>
      <c r="F892" s="40" t="str">
        <f>IF(Agent05_Loans!B104="","",Agent05_Loans!F104)</f>
        <v/>
      </c>
      <c r="G892" s="40" t="str">
        <f>IF(Agent05_Loans!B104="","",Agent05_Loans!G104)</f>
        <v/>
      </c>
      <c r="H892" s="40" t="str">
        <f>IF(Agent05_Loans!B104="","",Agent05_Loans!H104)</f>
        <v/>
      </c>
      <c r="I892" s="43" t="str">
        <f>IF(Agent05_Loans!B104="","",Agent05_Loans!I104)</f>
        <v/>
      </c>
      <c r="J892" s="43" t="str">
        <f>IF(Agent05_Loans!B104="","",Agent05_Loans!J104)</f>
        <v/>
      </c>
      <c r="K892" s="40" t="str">
        <f>IF(Agent05_Loans!B104="","",Agent05_Loans!K104)</f>
        <v/>
      </c>
      <c r="L892" s="40" t="str">
        <f>IF(Agent05_Loans!B104="","",Agent05_Loans!L104)</f>
        <v/>
      </c>
      <c r="M892" s="40" t="str">
        <f>IFERROR(IF(Agent05_Loans!B104="","",YEAR(Agent05_Loans!D104)),"")</f>
        <v/>
      </c>
    </row>
    <row r="893" spans="1:13" ht="18" customHeight="1" x14ac:dyDescent="0.25">
      <c r="A893" s="40" t="str">
        <f>IF(Agent05_Loans!B105="","",Agent05_Loans!A105)</f>
        <v/>
      </c>
      <c r="B893" s="40" t="str">
        <f>IF(Agent05_Loans!B105="","",Agent05_Loans!B105)</f>
        <v/>
      </c>
      <c r="C893" s="40" t="str">
        <f>IF(Agent05_Loans!B105="","",Agent05_Loans!C105)</f>
        <v/>
      </c>
      <c r="D893" s="41" t="str">
        <f>IF(Agent05_Loans!B105="","",Agent05_Loans!D105)</f>
        <v/>
      </c>
      <c r="E893" s="43" t="str">
        <f>IF(Agent05_Loans!B105="","",Agent05_Loans!E105)</f>
        <v/>
      </c>
      <c r="F893" s="40" t="str">
        <f>IF(Agent05_Loans!B105="","",Agent05_Loans!F105)</f>
        <v/>
      </c>
      <c r="G893" s="40" t="str">
        <f>IF(Agent05_Loans!B105="","",Agent05_Loans!G105)</f>
        <v/>
      </c>
      <c r="H893" s="40" t="str">
        <f>IF(Agent05_Loans!B105="","",Agent05_Loans!H105)</f>
        <v/>
      </c>
      <c r="I893" s="43" t="str">
        <f>IF(Agent05_Loans!B105="","",Agent05_Loans!I105)</f>
        <v/>
      </c>
      <c r="J893" s="43" t="str">
        <f>IF(Agent05_Loans!B105="","",Agent05_Loans!J105)</f>
        <v/>
      </c>
      <c r="K893" s="40" t="str">
        <f>IF(Agent05_Loans!B105="","",Agent05_Loans!K105)</f>
        <v/>
      </c>
      <c r="L893" s="40" t="str">
        <f>IF(Agent05_Loans!B105="","",Agent05_Loans!L105)</f>
        <v/>
      </c>
      <c r="M893" s="40" t="str">
        <f>IFERROR(IF(Agent05_Loans!B105="","",YEAR(Agent05_Loans!D105)),"")</f>
        <v/>
      </c>
    </row>
    <row r="894" spans="1:13" ht="18" customHeight="1" x14ac:dyDescent="0.25">
      <c r="A894" s="40" t="str">
        <f>IF(Agent05_Loans!B106="","",Agent05_Loans!A106)</f>
        <v/>
      </c>
      <c r="B894" s="40" t="str">
        <f>IF(Agent05_Loans!B106="","",Agent05_Loans!B106)</f>
        <v/>
      </c>
      <c r="C894" s="40" t="str">
        <f>IF(Agent05_Loans!B106="","",Agent05_Loans!C106)</f>
        <v/>
      </c>
      <c r="D894" s="41" t="str">
        <f>IF(Agent05_Loans!B106="","",Agent05_Loans!D106)</f>
        <v/>
      </c>
      <c r="E894" s="43" t="str">
        <f>IF(Agent05_Loans!B106="","",Agent05_Loans!E106)</f>
        <v/>
      </c>
      <c r="F894" s="40" t="str">
        <f>IF(Agent05_Loans!B106="","",Agent05_Loans!F106)</f>
        <v/>
      </c>
      <c r="G894" s="40" t="str">
        <f>IF(Agent05_Loans!B106="","",Agent05_Loans!G106)</f>
        <v/>
      </c>
      <c r="H894" s="40" t="str">
        <f>IF(Agent05_Loans!B106="","",Agent05_Loans!H106)</f>
        <v/>
      </c>
      <c r="I894" s="43" t="str">
        <f>IF(Agent05_Loans!B106="","",Agent05_Loans!I106)</f>
        <v/>
      </c>
      <c r="J894" s="43" t="str">
        <f>IF(Agent05_Loans!B106="","",Agent05_Loans!J106)</f>
        <v/>
      </c>
      <c r="K894" s="40" t="str">
        <f>IF(Agent05_Loans!B106="","",Agent05_Loans!K106)</f>
        <v/>
      </c>
      <c r="L894" s="40" t="str">
        <f>IF(Agent05_Loans!B106="","",Agent05_Loans!L106)</f>
        <v/>
      </c>
      <c r="M894" s="40" t="str">
        <f>IFERROR(IF(Agent05_Loans!B106="","",YEAR(Agent05_Loans!D106)),"")</f>
        <v/>
      </c>
    </row>
    <row r="895" spans="1:13" ht="18" customHeight="1" x14ac:dyDescent="0.25">
      <c r="A895" s="40" t="str">
        <f>IF(Agent05_Loans!B107="","",Agent05_Loans!A107)</f>
        <v/>
      </c>
      <c r="B895" s="40" t="str">
        <f>IF(Agent05_Loans!B107="","",Agent05_Loans!B107)</f>
        <v/>
      </c>
      <c r="C895" s="40" t="str">
        <f>IF(Agent05_Loans!B107="","",Agent05_Loans!C107)</f>
        <v/>
      </c>
      <c r="D895" s="41" t="str">
        <f>IF(Agent05_Loans!B107="","",Agent05_Loans!D107)</f>
        <v/>
      </c>
      <c r="E895" s="43" t="str">
        <f>IF(Agent05_Loans!B107="","",Agent05_Loans!E107)</f>
        <v/>
      </c>
      <c r="F895" s="40" t="str">
        <f>IF(Agent05_Loans!B107="","",Agent05_Loans!F107)</f>
        <v/>
      </c>
      <c r="G895" s="40" t="str">
        <f>IF(Agent05_Loans!B107="","",Agent05_Loans!G107)</f>
        <v/>
      </c>
      <c r="H895" s="40" t="str">
        <f>IF(Agent05_Loans!B107="","",Agent05_Loans!H107)</f>
        <v/>
      </c>
      <c r="I895" s="43" t="str">
        <f>IF(Agent05_Loans!B107="","",Agent05_Loans!I107)</f>
        <v/>
      </c>
      <c r="J895" s="43" t="str">
        <f>IF(Agent05_Loans!B107="","",Agent05_Loans!J107)</f>
        <v/>
      </c>
      <c r="K895" s="40" t="str">
        <f>IF(Agent05_Loans!B107="","",Agent05_Loans!K107)</f>
        <v/>
      </c>
      <c r="L895" s="40" t="str">
        <f>IF(Agent05_Loans!B107="","",Agent05_Loans!L107)</f>
        <v/>
      </c>
      <c r="M895" s="40" t="str">
        <f>IFERROR(IF(Agent05_Loans!B107="","",YEAR(Agent05_Loans!D107)),"")</f>
        <v/>
      </c>
    </row>
    <row r="896" spans="1:13" ht="18" customHeight="1" x14ac:dyDescent="0.25">
      <c r="A896" s="40" t="str">
        <f>IF(Agent05_Loans!B108="","",Agent05_Loans!A108)</f>
        <v/>
      </c>
      <c r="B896" s="40" t="str">
        <f>IF(Agent05_Loans!B108="","",Agent05_Loans!B108)</f>
        <v/>
      </c>
      <c r="C896" s="40" t="str">
        <f>IF(Agent05_Loans!B108="","",Agent05_Loans!C108)</f>
        <v/>
      </c>
      <c r="D896" s="41" t="str">
        <f>IF(Agent05_Loans!B108="","",Agent05_Loans!D108)</f>
        <v/>
      </c>
      <c r="E896" s="43" t="str">
        <f>IF(Agent05_Loans!B108="","",Agent05_Loans!E108)</f>
        <v/>
      </c>
      <c r="F896" s="40" t="str">
        <f>IF(Agent05_Loans!B108="","",Agent05_Loans!F108)</f>
        <v/>
      </c>
      <c r="G896" s="40" t="str">
        <f>IF(Agent05_Loans!B108="","",Agent05_Loans!G108)</f>
        <v/>
      </c>
      <c r="H896" s="40" t="str">
        <f>IF(Agent05_Loans!B108="","",Agent05_Loans!H108)</f>
        <v/>
      </c>
      <c r="I896" s="43" t="str">
        <f>IF(Agent05_Loans!B108="","",Agent05_Loans!I108)</f>
        <v/>
      </c>
      <c r="J896" s="43" t="str">
        <f>IF(Agent05_Loans!B108="","",Agent05_Loans!J108)</f>
        <v/>
      </c>
      <c r="K896" s="40" t="str">
        <f>IF(Agent05_Loans!B108="","",Agent05_Loans!K108)</f>
        <v/>
      </c>
      <c r="L896" s="40" t="str">
        <f>IF(Agent05_Loans!B108="","",Agent05_Loans!L108)</f>
        <v/>
      </c>
      <c r="M896" s="40" t="str">
        <f>IFERROR(IF(Agent05_Loans!B108="","",YEAR(Agent05_Loans!D108)),"")</f>
        <v/>
      </c>
    </row>
    <row r="897" spans="1:13" ht="18" customHeight="1" x14ac:dyDescent="0.25">
      <c r="A897" s="40" t="str">
        <f>IF(Agent05_Loans!B109="","",Agent05_Loans!A109)</f>
        <v/>
      </c>
      <c r="B897" s="40" t="str">
        <f>IF(Agent05_Loans!B109="","",Agent05_Loans!B109)</f>
        <v/>
      </c>
      <c r="C897" s="40" t="str">
        <f>IF(Agent05_Loans!B109="","",Agent05_Loans!C109)</f>
        <v/>
      </c>
      <c r="D897" s="41" t="str">
        <f>IF(Agent05_Loans!B109="","",Agent05_Loans!D109)</f>
        <v/>
      </c>
      <c r="E897" s="43" t="str">
        <f>IF(Agent05_Loans!B109="","",Agent05_Loans!E109)</f>
        <v/>
      </c>
      <c r="F897" s="40" t="str">
        <f>IF(Agent05_Loans!B109="","",Agent05_Loans!F109)</f>
        <v/>
      </c>
      <c r="G897" s="40" t="str">
        <f>IF(Agent05_Loans!B109="","",Agent05_Loans!G109)</f>
        <v/>
      </c>
      <c r="H897" s="40" t="str">
        <f>IF(Agent05_Loans!B109="","",Agent05_Loans!H109)</f>
        <v/>
      </c>
      <c r="I897" s="43" t="str">
        <f>IF(Agent05_Loans!B109="","",Agent05_Loans!I109)</f>
        <v/>
      </c>
      <c r="J897" s="43" t="str">
        <f>IF(Agent05_Loans!B109="","",Agent05_Loans!J109)</f>
        <v/>
      </c>
      <c r="K897" s="40" t="str">
        <f>IF(Agent05_Loans!B109="","",Agent05_Loans!K109)</f>
        <v/>
      </c>
      <c r="L897" s="40" t="str">
        <f>IF(Agent05_Loans!B109="","",Agent05_Loans!L109)</f>
        <v/>
      </c>
      <c r="M897" s="40" t="str">
        <f>IFERROR(IF(Agent05_Loans!B109="","",YEAR(Agent05_Loans!D109)),"")</f>
        <v/>
      </c>
    </row>
    <row r="898" spans="1:13" ht="18" customHeight="1" x14ac:dyDescent="0.25">
      <c r="A898" s="40" t="str">
        <f>IF(Agent05_Loans!B110="","",Agent05_Loans!A110)</f>
        <v/>
      </c>
      <c r="B898" s="40" t="str">
        <f>IF(Agent05_Loans!B110="","",Agent05_Loans!B110)</f>
        <v/>
      </c>
      <c r="C898" s="40" t="str">
        <f>IF(Agent05_Loans!B110="","",Agent05_Loans!C110)</f>
        <v/>
      </c>
      <c r="D898" s="41" t="str">
        <f>IF(Agent05_Loans!B110="","",Agent05_Loans!D110)</f>
        <v/>
      </c>
      <c r="E898" s="43" t="str">
        <f>IF(Agent05_Loans!B110="","",Agent05_Loans!E110)</f>
        <v/>
      </c>
      <c r="F898" s="40" t="str">
        <f>IF(Agent05_Loans!B110="","",Agent05_Loans!F110)</f>
        <v/>
      </c>
      <c r="G898" s="40" t="str">
        <f>IF(Agent05_Loans!B110="","",Agent05_Loans!G110)</f>
        <v/>
      </c>
      <c r="H898" s="40" t="str">
        <f>IF(Agent05_Loans!B110="","",Agent05_Loans!H110)</f>
        <v/>
      </c>
      <c r="I898" s="43" t="str">
        <f>IF(Agent05_Loans!B110="","",Agent05_Loans!I110)</f>
        <v/>
      </c>
      <c r="J898" s="43" t="str">
        <f>IF(Agent05_Loans!B110="","",Agent05_Loans!J110)</f>
        <v/>
      </c>
      <c r="K898" s="40" t="str">
        <f>IF(Agent05_Loans!B110="","",Agent05_Loans!K110)</f>
        <v/>
      </c>
      <c r="L898" s="40" t="str">
        <f>IF(Agent05_Loans!B110="","",Agent05_Loans!L110)</f>
        <v/>
      </c>
      <c r="M898" s="40" t="str">
        <f>IFERROR(IF(Agent05_Loans!B110="","",YEAR(Agent05_Loans!D110)),"")</f>
        <v/>
      </c>
    </row>
    <row r="899" spans="1:13" ht="18" customHeight="1" x14ac:dyDescent="0.25">
      <c r="A899" s="40" t="str">
        <f>IF(Agent05_Loans!B111="","",Agent05_Loans!A111)</f>
        <v/>
      </c>
      <c r="B899" s="40" t="str">
        <f>IF(Agent05_Loans!B111="","",Agent05_Loans!B111)</f>
        <v/>
      </c>
      <c r="C899" s="40" t="str">
        <f>IF(Agent05_Loans!B111="","",Agent05_Loans!C111)</f>
        <v/>
      </c>
      <c r="D899" s="41" t="str">
        <f>IF(Agent05_Loans!B111="","",Agent05_Loans!D111)</f>
        <v/>
      </c>
      <c r="E899" s="43" t="str">
        <f>IF(Agent05_Loans!B111="","",Agent05_Loans!E111)</f>
        <v/>
      </c>
      <c r="F899" s="40" t="str">
        <f>IF(Agent05_Loans!B111="","",Agent05_Loans!F111)</f>
        <v/>
      </c>
      <c r="G899" s="40" t="str">
        <f>IF(Agent05_Loans!B111="","",Agent05_Loans!G111)</f>
        <v/>
      </c>
      <c r="H899" s="40" t="str">
        <f>IF(Agent05_Loans!B111="","",Agent05_Loans!H111)</f>
        <v/>
      </c>
      <c r="I899" s="43" t="str">
        <f>IF(Agent05_Loans!B111="","",Agent05_Loans!I111)</f>
        <v/>
      </c>
      <c r="J899" s="43" t="str">
        <f>IF(Agent05_Loans!B111="","",Agent05_Loans!J111)</f>
        <v/>
      </c>
      <c r="K899" s="40" t="str">
        <f>IF(Agent05_Loans!B111="","",Agent05_Loans!K111)</f>
        <v/>
      </c>
      <c r="L899" s="40" t="str">
        <f>IF(Agent05_Loans!B111="","",Agent05_Loans!L111)</f>
        <v/>
      </c>
      <c r="M899" s="40" t="str">
        <f>IFERROR(IF(Agent05_Loans!B111="","",YEAR(Agent05_Loans!D111)),"")</f>
        <v/>
      </c>
    </row>
    <row r="900" spans="1:13" ht="18" customHeight="1" x14ac:dyDescent="0.25">
      <c r="A900" s="40" t="str">
        <f>IF(Agent05_Loans!B112="","",Agent05_Loans!A112)</f>
        <v/>
      </c>
      <c r="B900" s="40" t="str">
        <f>IF(Agent05_Loans!B112="","",Agent05_Loans!B112)</f>
        <v/>
      </c>
      <c r="C900" s="40" t="str">
        <f>IF(Agent05_Loans!B112="","",Agent05_Loans!C112)</f>
        <v/>
      </c>
      <c r="D900" s="41" t="str">
        <f>IF(Agent05_Loans!B112="","",Agent05_Loans!D112)</f>
        <v/>
      </c>
      <c r="E900" s="43" t="str">
        <f>IF(Agent05_Loans!B112="","",Agent05_Loans!E112)</f>
        <v/>
      </c>
      <c r="F900" s="40" t="str">
        <f>IF(Agent05_Loans!B112="","",Agent05_Loans!F112)</f>
        <v/>
      </c>
      <c r="G900" s="40" t="str">
        <f>IF(Agent05_Loans!B112="","",Agent05_Loans!G112)</f>
        <v/>
      </c>
      <c r="H900" s="40" t="str">
        <f>IF(Agent05_Loans!B112="","",Agent05_Loans!H112)</f>
        <v/>
      </c>
      <c r="I900" s="43" t="str">
        <f>IF(Agent05_Loans!B112="","",Agent05_Loans!I112)</f>
        <v/>
      </c>
      <c r="J900" s="43" t="str">
        <f>IF(Agent05_Loans!B112="","",Agent05_Loans!J112)</f>
        <v/>
      </c>
      <c r="K900" s="40" t="str">
        <f>IF(Agent05_Loans!B112="","",Agent05_Loans!K112)</f>
        <v/>
      </c>
      <c r="L900" s="40" t="str">
        <f>IF(Agent05_Loans!B112="","",Agent05_Loans!L112)</f>
        <v/>
      </c>
      <c r="M900" s="40" t="str">
        <f>IFERROR(IF(Agent05_Loans!B112="","",YEAR(Agent05_Loans!D112)),"")</f>
        <v/>
      </c>
    </row>
    <row r="901" spans="1:13" ht="18" customHeight="1" x14ac:dyDescent="0.25">
      <c r="A901" s="40" t="str">
        <f>IF(Agent05_Loans!B113="","",Agent05_Loans!A113)</f>
        <v/>
      </c>
      <c r="B901" s="40" t="str">
        <f>IF(Agent05_Loans!B113="","",Agent05_Loans!B113)</f>
        <v/>
      </c>
      <c r="C901" s="40" t="str">
        <f>IF(Agent05_Loans!B113="","",Agent05_Loans!C113)</f>
        <v/>
      </c>
      <c r="D901" s="41" t="str">
        <f>IF(Agent05_Loans!B113="","",Agent05_Loans!D113)</f>
        <v/>
      </c>
      <c r="E901" s="43" t="str">
        <f>IF(Agent05_Loans!B113="","",Agent05_Loans!E113)</f>
        <v/>
      </c>
      <c r="F901" s="40" t="str">
        <f>IF(Agent05_Loans!B113="","",Agent05_Loans!F113)</f>
        <v/>
      </c>
      <c r="G901" s="40" t="str">
        <f>IF(Agent05_Loans!B113="","",Agent05_Loans!G113)</f>
        <v/>
      </c>
      <c r="H901" s="40" t="str">
        <f>IF(Agent05_Loans!B113="","",Agent05_Loans!H113)</f>
        <v/>
      </c>
      <c r="I901" s="43" t="str">
        <f>IF(Agent05_Loans!B113="","",Agent05_Loans!I113)</f>
        <v/>
      </c>
      <c r="J901" s="43" t="str">
        <f>IF(Agent05_Loans!B113="","",Agent05_Loans!J113)</f>
        <v/>
      </c>
      <c r="K901" s="40" t="str">
        <f>IF(Agent05_Loans!B113="","",Agent05_Loans!K113)</f>
        <v/>
      </c>
      <c r="L901" s="40" t="str">
        <f>IF(Agent05_Loans!B113="","",Agent05_Loans!L113)</f>
        <v/>
      </c>
      <c r="M901" s="40" t="str">
        <f>IFERROR(IF(Agent05_Loans!B113="","",YEAR(Agent05_Loans!D113)),"")</f>
        <v/>
      </c>
    </row>
    <row r="902" spans="1:13" ht="18" customHeight="1" x14ac:dyDescent="0.25">
      <c r="A902" s="40" t="str">
        <f>IF(Agent05_Loans!B114="","",Agent05_Loans!A114)</f>
        <v/>
      </c>
      <c r="B902" s="40" t="str">
        <f>IF(Agent05_Loans!B114="","",Agent05_Loans!B114)</f>
        <v/>
      </c>
      <c r="C902" s="40" t="str">
        <f>IF(Agent05_Loans!B114="","",Agent05_Loans!C114)</f>
        <v/>
      </c>
      <c r="D902" s="41" t="str">
        <f>IF(Agent05_Loans!B114="","",Agent05_Loans!D114)</f>
        <v/>
      </c>
      <c r="E902" s="43" t="str">
        <f>IF(Agent05_Loans!B114="","",Agent05_Loans!E114)</f>
        <v/>
      </c>
      <c r="F902" s="40" t="str">
        <f>IF(Agent05_Loans!B114="","",Agent05_Loans!F114)</f>
        <v/>
      </c>
      <c r="G902" s="40" t="str">
        <f>IF(Agent05_Loans!B114="","",Agent05_Loans!G114)</f>
        <v/>
      </c>
      <c r="H902" s="40" t="str">
        <f>IF(Agent05_Loans!B114="","",Agent05_Loans!H114)</f>
        <v/>
      </c>
      <c r="I902" s="43" t="str">
        <f>IF(Agent05_Loans!B114="","",Agent05_Loans!I114)</f>
        <v/>
      </c>
      <c r="J902" s="43" t="str">
        <f>IF(Agent05_Loans!B114="","",Agent05_Loans!J114)</f>
        <v/>
      </c>
      <c r="K902" s="40" t="str">
        <f>IF(Agent05_Loans!B114="","",Agent05_Loans!K114)</f>
        <v/>
      </c>
      <c r="L902" s="40" t="str">
        <f>IF(Agent05_Loans!B114="","",Agent05_Loans!L114)</f>
        <v/>
      </c>
      <c r="M902" s="40" t="str">
        <f>IFERROR(IF(Agent05_Loans!B114="","",YEAR(Agent05_Loans!D114)),"")</f>
        <v/>
      </c>
    </row>
    <row r="903" spans="1:13" ht="18" customHeight="1" x14ac:dyDescent="0.25">
      <c r="A903" s="40" t="str">
        <f>IF(Agent05_Loans!B115="","",Agent05_Loans!A115)</f>
        <v/>
      </c>
      <c r="B903" s="40" t="str">
        <f>IF(Agent05_Loans!B115="","",Agent05_Loans!B115)</f>
        <v/>
      </c>
      <c r="C903" s="40" t="str">
        <f>IF(Agent05_Loans!B115="","",Agent05_Loans!C115)</f>
        <v/>
      </c>
      <c r="D903" s="41" t="str">
        <f>IF(Agent05_Loans!B115="","",Agent05_Loans!D115)</f>
        <v/>
      </c>
      <c r="E903" s="43" t="str">
        <f>IF(Agent05_Loans!B115="","",Agent05_Loans!E115)</f>
        <v/>
      </c>
      <c r="F903" s="40" t="str">
        <f>IF(Agent05_Loans!B115="","",Agent05_Loans!F115)</f>
        <v/>
      </c>
      <c r="G903" s="40" t="str">
        <f>IF(Agent05_Loans!B115="","",Agent05_Loans!G115)</f>
        <v/>
      </c>
      <c r="H903" s="40" t="str">
        <f>IF(Agent05_Loans!B115="","",Agent05_Loans!H115)</f>
        <v/>
      </c>
      <c r="I903" s="43" t="str">
        <f>IF(Agent05_Loans!B115="","",Agent05_Loans!I115)</f>
        <v/>
      </c>
      <c r="J903" s="43" t="str">
        <f>IF(Agent05_Loans!B115="","",Agent05_Loans!J115)</f>
        <v/>
      </c>
      <c r="K903" s="40" t="str">
        <f>IF(Agent05_Loans!B115="","",Agent05_Loans!K115)</f>
        <v/>
      </c>
      <c r="L903" s="40" t="str">
        <f>IF(Agent05_Loans!B115="","",Agent05_Loans!L115)</f>
        <v/>
      </c>
      <c r="M903" s="40" t="str">
        <f>IFERROR(IF(Agent05_Loans!B115="","",YEAR(Agent05_Loans!D115)),"")</f>
        <v/>
      </c>
    </row>
    <row r="904" spans="1:13" ht="18" customHeight="1" x14ac:dyDescent="0.25">
      <c r="A904" s="40" t="str">
        <f>IF(Agent05_Loans!B116="","",Agent05_Loans!A116)</f>
        <v/>
      </c>
      <c r="B904" s="40" t="str">
        <f>IF(Agent05_Loans!B116="","",Agent05_Loans!B116)</f>
        <v/>
      </c>
      <c r="C904" s="40" t="str">
        <f>IF(Agent05_Loans!B116="","",Agent05_Loans!C116)</f>
        <v/>
      </c>
      <c r="D904" s="41" t="str">
        <f>IF(Agent05_Loans!B116="","",Agent05_Loans!D116)</f>
        <v/>
      </c>
      <c r="E904" s="43" t="str">
        <f>IF(Agent05_Loans!B116="","",Agent05_Loans!E116)</f>
        <v/>
      </c>
      <c r="F904" s="40" t="str">
        <f>IF(Agent05_Loans!B116="","",Agent05_Loans!F116)</f>
        <v/>
      </c>
      <c r="G904" s="40" t="str">
        <f>IF(Agent05_Loans!B116="","",Agent05_Loans!G116)</f>
        <v/>
      </c>
      <c r="H904" s="40" t="str">
        <f>IF(Agent05_Loans!B116="","",Agent05_Loans!H116)</f>
        <v/>
      </c>
      <c r="I904" s="43" t="str">
        <f>IF(Agent05_Loans!B116="","",Agent05_Loans!I116)</f>
        <v/>
      </c>
      <c r="J904" s="43" t="str">
        <f>IF(Agent05_Loans!B116="","",Agent05_Loans!J116)</f>
        <v/>
      </c>
      <c r="K904" s="40" t="str">
        <f>IF(Agent05_Loans!B116="","",Agent05_Loans!K116)</f>
        <v/>
      </c>
      <c r="L904" s="40" t="str">
        <f>IF(Agent05_Loans!B116="","",Agent05_Loans!L116)</f>
        <v/>
      </c>
      <c r="M904" s="40" t="str">
        <f>IFERROR(IF(Agent05_Loans!B116="","",YEAR(Agent05_Loans!D116)),"")</f>
        <v/>
      </c>
    </row>
    <row r="905" spans="1:13" ht="18" customHeight="1" x14ac:dyDescent="0.25">
      <c r="A905" s="40" t="str">
        <f>IF(Agent05_Loans!B117="","",Agent05_Loans!A117)</f>
        <v/>
      </c>
      <c r="B905" s="40" t="str">
        <f>IF(Agent05_Loans!B117="","",Agent05_Loans!B117)</f>
        <v/>
      </c>
      <c r="C905" s="40" t="str">
        <f>IF(Agent05_Loans!B117="","",Agent05_Loans!C117)</f>
        <v/>
      </c>
      <c r="D905" s="41" t="str">
        <f>IF(Agent05_Loans!B117="","",Agent05_Loans!D117)</f>
        <v/>
      </c>
      <c r="E905" s="43" t="str">
        <f>IF(Agent05_Loans!B117="","",Agent05_Loans!E117)</f>
        <v/>
      </c>
      <c r="F905" s="40" t="str">
        <f>IF(Agent05_Loans!B117="","",Agent05_Loans!F117)</f>
        <v/>
      </c>
      <c r="G905" s="40" t="str">
        <f>IF(Agent05_Loans!B117="","",Agent05_Loans!G117)</f>
        <v/>
      </c>
      <c r="H905" s="40" t="str">
        <f>IF(Agent05_Loans!B117="","",Agent05_Loans!H117)</f>
        <v/>
      </c>
      <c r="I905" s="43" t="str">
        <f>IF(Agent05_Loans!B117="","",Agent05_Loans!I117)</f>
        <v/>
      </c>
      <c r="J905" s="43" t="str">
        <f>IF(Agent05_Loans!B117="","",Agent05_Loans!J117)</f>
        <v/>
      </c>
      <c r="K905" s="40" t="str">
        <f>IF(Agent05_Loans!B117="","",Agent05_Loans!K117)</f>
        <v/>
      </c>
      <c r="L905" s="40" t="str">
        <f>IF(Agent05_Loans!B117="","",Agent05_Loans!L117)</f>
        <v/>
      </c>
      <c r="M905" s="40" t="str">
        <f>IFERROR(IF(Agent05_Loans!B117="","",YEAR(Agent05_Loans!D117)),"")</f>
        <v/>
      </c>
    </row>
    <row r="906" spans="1:13" ht="18" customHeight="1" x14ac:dyDescent="0.25">
      <c r="A906" s="40" t="str">
        <f>IF(Agent05_Loans!B118="","",Agent05_Loans!A118)</f>
        <v/>
      </c>
      <c r="B906" s="40" t="str">
        <f>IF(Agent05_Loans!B118="","",Agent05_Loans!B118)</f>
        <v/>
      </c>
      <c r="C906" s="40" t="str">
        <f>IF(Agent05_Loans!B118="","",Agent05_Loans!C118)</f>
        <v/>
      </c>
      <c r="D906" s="41" t="str">
        <f>IF(Agent05_Loans!B118="","",Agent05_Loans!D118)</f>
        <v/>
      </c>
      <c r="E906" s="43" t="str">
        <f>IF(Agent05_Loans!B118="","",Agent05_Loans!E118)</f>
        <v/>
      </c>
      <c r="F906" s="40" t="str">
        <f>IF(Agent05_Loans!B118="","",Agent05_Loans!F118)</f>
        <v/>
      </c>
      <c r="G906" s="40" t="str">
        <f>IF(Agent05_Loans!B118="","",Agent05_Loans!G118)</f>
        <v/>
      </c>
      <c r="H906" s="40" t="str">
        <f>IF(Agent05_Loans!B118="","",Agent05_Loans!H118)</f>
        <v/>
      </c>
      <c r="I906" s="43" t="str">
        <f>IF(Agent05_Loans!B118="","",Agent05_Loans!I118)</f>
        <v/>
      </c>
      <c r="J906" s="43" t="str">
        <f>IF(Agent05_Loans!B118="","",Agent05_Loans!J118)</f>
        <v/>
      </c>
      <c r="K906" s="40" t="str">
        <f>IF(Agent05_Loans!B118="","",Agent05_Loans!K118)</f>
        <v/>
      </c>
      <c r="L906" s="40" t="str">
        <f>IF(Agent05_Loans!B118="","",Agent05_Loans!L118)</f>
        <v/>
      </c>
      <c r="M906" s="40" t="str">
        <f>IFERROR(IF(Agent05_Loans!B118="","",YEAR(Agent05_Loans!D118)),"")</f>
        <v/>
      </c>
    </row>
    <row r="907" spans="1:13" ht="18" customHeight="1" x14ac:dyDescent="0.25">
      <c r="A907" s="40" t="str">
        <f>IF(Agent05_Loans!B119="","",Agent05_Loans!A119)</f>
        <v/>
      </c>
      <c r="B907" s="40" t="str">
        <f>IF(Agent05_Loans!B119="","",Agent05_Loans!B119)</f>
        <v/>
      </c>
      <c r="C907" s="40" t="str">
        <f>IF(Agent05_Loans!B119="","",Agent05_Loans!C119)</f>
        <v/>
      </c>
      <c r="D907" s="41" t="str">
        <f>IF(Agent05_Loans!B119="","",Agent05_Loans!D119)</f>
        <v/>
      </c>
      <c r="E907" s="43" t="str">
        <f>IF(Agent05_Loans!B119="","",Agent05_Loans!E119)</f>
        <v/>
      </c>
      <c r="F907" s="40" t="str">
        <f>IF(Agent05_Loans!B119="","",Agent05_Loans!F119)</f>
        <v/>
      </c>
      <c r="G907" s="40" t="str">
        <f>IF(Agent05_Loans!B119="","",Agent05_Loans!G119)</f>
        <v/>
      </c>
      <c r="H907" s="40" t="str">
        <f>IF(Agent05_Loans!B119="","",Agent05_Loans!H119)</f>
        <v/>
      </c>
      <c r="I907" s="43" t="str">
        <f>IF(Agent05_Loans!B119="","",Agent05_Loans!I119)</f>
        <v/>
      </c>
      <c r="J907" s="43" t="str">
        <f>IF(Agent05_Loans!B119="","",Agent05_Loans!J119)</f>
        <v/>
      </c>
      <c r="K907" s="40" t="str">
        <f>IF(Agent05_Loans!B119="","",Agent05_Loans!K119)</f>
        <v/>
      </c>
      <c r="L907" s="40" t="str">
        <f>IF(Agent05_Loans!B119="","",Agent05_Loans!L119)</f>
        <v/>
      </c>
      <c r="M907" s="40" t="str">
        <f>IFERROR(IF(Agent05_Loans!B119="","",YEAR(Agent05_Loans!D119)),"")</f>
        <v/>
      </c>
    </row>
    <row r="908" spans="1:13" ht="18" customHeight="1" x14ac:dyDescent="0.25">
      <c r="A908" s="40" t="str">
        <f>IF(Agent05_Loans!B120="","",Agent05_Loans!A120)</f>
        <v/>
      </c>
      <c r="B908" s="40" t="str">
        <f>IF(Agent05_Loans!B120="","",Agent05_Loans!B120)</f>
        <v/>
      </c>
      <c r="C908" s="40" t="str">
        <f>IF(Agent05_Loans!B120="","",Agent05_Loans!C120)</f>
        <v/>
      </c>
      <c r="D908" s="41" t="str">
        <f>IF(Agent05_Loans!B120="","",Agent05_Loans!D120)</f>
        <v/>
      </c>
      <c r="E908" s="43" t="str">
        <f>IF(Agent05_Loans!B120="","",Agent05_Loans!E120)</f>
        <v/>
      </c>
      <c r="F908" s="40" t="str">
        <f>IF(Agent05_Loans!B120="","",Agent05_Loans!F120)</f>
        <v/>
      </c>
      <c r="G908" s="40" t="str">
        <f>IF(Agent05_Loans!B120="","",Agent05_Loans!G120)</f>
        <v/>
      </c>
      <c r="H908" s="40" t="str">
        <f>IF(Agent05_Loans!B120="","",Agent05_Loans!H120)</f>
        <v/>
      </c>
      <c r="I908" s="43" t="str">
        <f>IF(Agent05_Loans!B120="","",Agent05_Loans!I120)</f>
        <v/>
      </c>
      <c r="J908" s="43" t="str">
        <f>IF(Agent05_Loans!B120="","",Agent05_Loans!J120)</f>
        <v/>
      </c>
      <c r="K908" s="40" t="str">
        <f>IF(Agent05_Loans!B120="","",Agent05_Loans!K120)</f>
        <v/>
      </c>
      <c r="L908" s="40" t="str">
        <f>IF(Agent05_Loans!B120="","",Agent05_Loans!L120)</f>
        <v/>
      </c>
      <c r="M908" s="40" t="str">
        <f>IFERROR(IF(Agent05_Loans!B120="","",YEAR(Agent05_Loans!D120)),"")</f>
        <v/>
      </c>
    </row>
    <row r="909" spans="1:13" ht="18" customHeight="1" x14ac:dyDescent="0.25">
      <c r="A909" s="40" t="str">
        <f>IF(Agent05_Loans!B121="","",Agent05_Loans!A121)</f>
        <v/>
      </c>
      <c r="B909" s="40" t="str">
        <f>IF(Agent05_Loans!B121="","",Agent05_Loans!B121)</f>
        <v/>
      </c>
      <c r="C909" s="40" t="str">
        <f>IF(Agent05_Loans!B121="","",Agent05_Loans!C121)</f>
        <v/>
      </c>
      <c r="D909" s="41" t="str">
        <f>IF(Agent05_Loans!B121="","",Agent05_Loans!D121)</f>
        <v/>
      </c>
      <c r="E909" s="43" t="str">
        <f>IF(Agent05_Loans!B121="","",Agent05_Loans!E121)</f>
        <v/>
      </c>
      <c r="F909" s="40" t="str">
        <f>IF(Agent05_Loans!B121="","",Agent05_Loans!F121)</f>
        <v/>
      </c>
      <c r="G909" s="40" t="str">
        <f>IF(Agent05_Loans!B121="","",Agent05_Loans!G121)</f>
        <v/>
      </c>
      <c r="H909" s="40" t="str">
        <f>IF(Agent05_Loans!B121="","",Agent05_Loans!H121)</f>
        <v/>
      </c>
      <c r="I909" s="43" t="str">
        <f>IF(Agent05_Loans!B121="","",Agent05_Loans!I121)</f>
        <v/>
      </c>
      <c r="J909" s="43" t="str">
        <f>IF(Agent05_Loans!B121="","",Agent05_Loans!J121)</f>
        <v/>
      </c>
      <c r="K909" s="40" t="str">
        <f>IF(Agent05_Loans!B121="","",Agent05_Loans!K121)</f>
        <v/>
      </c>
      <c r="L909" s="40" t="str">
        <f>IF(Agent05_Loans!B121="","",Agent05_Loans!L121)</f>
        <v/>
      </c>
      <c r="M909" s="40" t="str">
        <f>IFERROR(IF(Agent05_Loans!B121="","",YEAR(Agent05_Loans!D121)),"")</f>
        <v/>
      </c>
    </row>
    <row r="910" spans="1:13" ht="18" customHeight="1" x14ac:dyDescent="0.25">
      <c r="A910" s="40" t="str">
        <f>IF(Agent05_Loans!B122="","",Agent05_Loans!A122)</f>
        <v/>
      </c>
      <c r="B910" s="40" t="str">
        <f>IF(Agent05_Loans!B122="","",Agent05_Loans!B122)</f>
        <v/>
      </c>
      <c r="C910" s="40" t="str">
        <f>IF(Agent05_Loans!B122="","",Agent05_Loans!C122)</f>
        <v/>
      </c>
      <c r="D910" s="41" t="str">
        <f>IF(Agent05_Loans!B122="","",Agent05_Loans!D122)</f>
        <v/>
      </c>
      <c r="E910" s="43" t="str">
        <f>IF(Agent05_Loans!B122="","",Agent05_Loans!E122)</f>
        <v/>
      </c>
      <c r="F910" s="40" t="str">
        <f>IF(Agent05_Loans!B122="","",Agent05_Loans!F122)</f>
        <v/>
      </c>
      <c r="G910" s="40" t="str">
        <f>IF(Agent05_Loans!B122="","",Agent05_Loans!G122)</f>
        <v/>
      </c>
      <c r="H910" s="40" t="str">
        <f>IF(Agent05_Loans!B122="","",Agent05_Loans!H122)</f>
        <v/>
      </c>
      <c r="I910" s="43" t="str">
        <f>IF(Agent05_Loans!B122="","",Agent05_Loans!I122)</f>
        <v/>
      </c>
      <c r="J910" s="43" t="str">
        <f>IF(Agent05_Loans!B122="","",Agent05_Loans!J122)</f>
        <v/>
      </c>
      <c r="K910" s="40" t="str">
        <f>IF(Agent05_Loans!B122="","",Agent05_Loans!K122)</f>
        <v/>
      </c>
      <c r="L910" s="40" t="str">
        <f>IF(Agent05_Loans!B122="","",Agent05_Loans!L122)</f>
        <v/>
      </c>
      <c r="M910" s="40" t="str">
        <f>IFERROR(IF(Agent05_Loans!B122="","",YEAR(Agent05_Loans!D122)),"")</f>
        <v/>
      </c>
    </row>
    <row r="911" spans="1:13" ht="18" customHeight="1" x14ac:dyDescent="0.25">
      <c r="A911" s="40" t="str">
        <f>IF(Agent05_Loans!B123="","",Agent05_Loans!A123)</f>
        <v/>
      </c>
      <c r="B911" s="40" t="str">
        <f>IF(Agent05_Loans!B123="","",Agent05_Loans!B123)</f>
        <v/>
      </c>
      <c r="C911" s="40" t="str">
        <f>IF(Agent05_Loans!B123="","",Agent05_Loans!C123)</f>
        <v/>
      </c>
      <c r="D911" s="41" t="str">
        <f>IF(Agent05_Loans!B123="","",Agent05_Loans!D123)</f>
        <v/>
      </c>
      <c r="E911" s="43" t="str">
        <f>IF(Agent05_Loans!B123="","",Agent05_Loans!E123)</f>
        <v/>
      </c>
      <c r="F911" s="40" t="str">
        <f>IF(Agent05_Loans!B123="","",Agent05_Loans!F123)</f>
        <v/>
      </c>
      <c r="G911" s="40" t="str">
        <f>IF(Agent05_Loans!B123="","",Agent05_Loans!G123)</f>
        <v/>
      </c>
      <c r="H911" s="40" t="str">
        <f>IF(Agent05_Loans!B123="","",Agent05_Loans!H123)</f>
        <v/>
      </c>
      <c r="I911" s="43" t="str">
        <f>IF(Agent05_Loans!B123="","",Agent05_Loans!I123)</f>
        <v/>
      </c>
      <c r="J911" s="43" t="str">
        <f>IF(Agent05_Loans!B123="","",Agent05_Loans!J123)</f>
        <v/>
      </c>
      <c r="K911" s="40" t="str">
        <f>IF(Agent05_Loans!B123="","",Agent05_Loans!K123)</f>
        <v/>
      </c>
      <c r="L911" s="40" t="str">
        <f>IF(Agent05_Loans!B123="","",Agent05_Loans!L123)</f>
        <v/>
      </c>
      <c r="M911" s="40" t="str">
        <f>IFERROR(IF(Agent05_Loans!B123="","",YEAR(Agent05_Loans!D123)),"")</f>
        <v/>
      </c>
    </row>
    <row r="912" spans="1:13" ht="18" customHeight="1" x14ac:dyDescent="0.25">
      <c r="A912" s="40" t="str">
        <f>IF(Agent05_Loans!B124="","",Agent05_Loans!A124)</f>
        <v/>
      </c>
      <c r="B912" s="40" t="str">
        <f>IF(Agent05_Loans!B124="","",Agent05_Loans!B124)</f>
        <v/>
      </c>
      <c r="C912" s="40" t="str">
        <f>IF(Agent05_Loans!B124="","",Agent05_Loans!C124)</f>
        <v/>
      </c>
      <c r="D912" s="41" t="str">
        <f>IF(Agent05_Loans!B124="","",Agent05_Loans!D124)</f>
        <v/>
      </c>
      <c r="E912" s="43" t="str">
        <f>IF(Agent05_Loans!B124="","",Agent05_Loans!E124)</f>
        <v/>
      </c>
      <c r="F912" s="40" t="str">
        <f>IF(Agent05_Loans!B124="","",Agent05_Loans!F124)</f>
        <v/>
      </c>
      <c r="G912" s="40" t="str">
        <f>IF(Agent05_Loans!B124="","",Agent05_Loans!G124)</f>
        <v/>
      </c>
      <c r="H912" s="40" t="str">
        <f>IF(Agent05_Loans!B124="","",Agent05_Loans!H124)</f>
        <v/>
      </c>
      <c r="I912" s="43" t="str">
        <f>IF(Agent05_Loans!B124="","",Agent05_Loans!I124)</f>
        <v/>
      </c>
      <c r="J912" s="43" t="str">
        <f>IF(Agent05_Loans!B124="","",Agent05_Loans!J124)</f>
        <v/>
      </c>
      <c r="K912" s="40" t="str">
        <f>IF(Agent05_Loans!B124="","",Agent05_Loans!K124)</f>
        <v/>
      </c>
      <c r="L912" s="40" t="str">
        <f>IF(Agent05_Loans!B124="","",Agent05_Loans!L124)</f>
        <v/>
      </c>
      <c r="M912" s="40" t="str">
        <f>IFERROR(IF(Agent05_Loans!B124="","",YEAR(Agent05_Loans!D124)),"")</f>
        <v/>
      </c>
    </row>
    <row r="913" spans="1:13" ht="18" customHeight="1" x14ac:dyDescent="0.25">
      <c r="A913" s="40" t="str">
        <f>IF(Agent05_Loans!B125="","",Agent05_Loans!A125)</f>
        <v/>
      </c>
      <c r="B913" s="40" t="str">
        <f>IF(Agent05_Loans!B125="","",Agent05_Loans!B125)</f>
        <v/>
      </c>
      <c r="C913" s="40" t="str">
        <f>IF(Agent05_Loans!B125="","",Agent05_Loans!C125)</f>
        <v/>
      </c>
      <c r="D913" s="41" t="str">
        <f>IF(Agent05_Loans!B125="","",Agent05_Loans!D125)</f>
        <v/>
      </c>
      <c r="E913" s="43" t="str">
        <f>IF(Agent05_Loans!B125="","",Agent05_Loans!E125)</f>
        <v/>
      </c>
      <c r="F913" s="40" t="str">
        <f>IF(Agent05_Loans!B125="","",Agent05_Loans!F125)</f>
        <v/>
      </c>
      <c r="G913" s="40" t="str">
        <f>IF(Agent05_Loans!B125="","",Agent05_Loans!G125)</f>
        <v/>
      </c>
      <c r="H913" s="40" t="str">
        <f>IF(Agent05_Loans!B125="","",Agent05_Loans!H125)</f>
        <v/>
      </c>
      <c r="I913" s="43" t="str">
        <f>IF(Agent05_Loans!B125="","",Agent05_Loans!I125)</f>
        <v/>
      </c>
      <c r="J913" s="43" t="str">
        <f>IF(Agent05_Loans!B125="","",Agent05_Loans!J125)</f>
        <v/>
      </c>
      <c r="K913" s="40" t="str">
        <f>IF(Agent05_Loans!B125="","",Agent05_Loans!K125)</f>
        <v/>
      </c>
      <c r="L913" s="40" t="str">
        <f>IF(Agent05_Loans!B125="","",Agent05_Loans!L125)</f>
        <v/>
      </c>
      <c r="M913" s="40" t="str">
        <f>IFERROR(IF(Agent05_Loans!B125="","",YEAR(Agent05_Loans!D125)),"")</f>
        <v/>
      </c>
    </row>
    <row r="914" spans="1:13" ht="18" customHeight="1" x14ac:dyDescent="0.25">
      <c r="A914" s="40" t="str">
        <f>IF(Agent05_Loans!B126="","",Agent05_Loans!A126)</f>
        <v/>
      </c>
      <c r="B914" s="40" t="str">
        <f>IF(Agent05_Loans!B126="","",Agent05_Loans!B126)</f>
        <v/>
      </c>
      <c r="C914" s="40" t="str">
        <f>IF(Agent05_Loans!B126="","",Agent05_Loans!C126)</f>
        <v/>
      </c>
      <c r="D914" s="41" t="str">
        <f>IF(Agent05_Loans!B126="","",Agent05_Loans!D126)</f>
        <v/>
      </c>
      <c r="E914" s="43" t="str">
        <f>IF(Agent05_Loans!B126="","",Agent05_Loans!E126)</f>
        <v/>
      </c>
      <c r="F914" s="40" t="str">
        <f>IF(Agent05_Loans!B126="","",Agent05_Loans!F126)</f>
        <v/>
      </c>
      <c r="G914" s="40" t="str">
        <f>IF(Agent05_Loans!B126="","",Agent05_Loans!G126)</f>
        <v/>
      </c>
      <c r="H914" s="40" t="str">
        <f>IF(Agent05_Loans!B126="","",Agent05_Loans!H126)</f>
        <v/>
      </c>
      <c r="I914" s="43" t="str">
        <f>IF(Agent05_Loans!B126="","",Agent05_Loans!I126)</f>
        <v/>
      </c>
      <c r="J914" s="43" t="str">
        <f>IF(Agent05_Loans!B126="","",Agent05_Loans!J126)</f>
        <v/>
      </c>
      <c r="K914" s="40" t="str">
        <f>IF(Agent05_Loans!B126="","",Agent05_Loans!K126)</f>
        <v/>
      </c>
      <c r="L914" s="40" t="str">
        <f>IF(Agent05_Loans!B126="","",Agent05_Loans!L126)</f>
        <v/>
      </c>
      <c r="M914" s="40" t="str">
        <f>IFERROR(IF(Agent05_Loans!B126="","",YEAR(Agent05_Loans!D126)),"")</f>
        <v/>
      </c>
    </row>
    <row r="915" spans="1:13" ht="18" customHeight="1" x14ac:dyDescent="0.25">
      <c r="A915" s="40" t="str">
        <f>IF(Agent05_Loans!B127="","",Agent05_Loans!A127)</f>
        <v/>
      </c>
      <c r="B915" s="40" t="str">
        <f>IF(Agent05_Loans!B127="","",Agent05_Loans!B127)</f>
        <v/>
      </c>
      <c r="C915" s="40" t="str">
        <f>IF(Agent05_Loans!B127="","",Agent05_Loans!C127)</f>
        <v/>
      </c>
      <c r="D915" s="41" t="str">
        <f>IF(Agent05_Loans!B127="","",Agent05_Loans!D127)</f>
        <v/>
      </c>
      <c r="E915" s="43" t="str">
        <f>IF(Agent05_Loans!B127="","",Agent05_Loans!E127)</f>
        <v/>
      </c>
      <c r="F915" s="40" t="str">
        <f>IF(Agent05_Loans!B127="","",Agent05_Loans!F127)</f>
        <v/>
      </c>
      <c r="G915" s="40" t="str">
        <f>IF(Agent05_Loans!B127="","",Agent05_Loans!G127)</f>
        <v/>
      </c>
      <c r="H915" s="40" t="str">
        <f>IF(Agent05_Loans!B127="","",Agent05_Loans!H127)</f>
        <v/>
      </c>
      <c r="I915" s="43" t="str">
        <f>IF(Agent05_Loans!B127="","",Agent05_Loans!I127)</f>
        <v/>
      </c>
      <c r="J915" s="43" t="str">
        <f>IF(Agent05_Loans!B127="","",Agent05_Loans!J127)</f>
        <v/>
      </c>
      <c r="K915" s="40" t="str">
        <f>IF(Agent05_Loans!B127="","",Agent05_Loans!K127)</f>
        <v/>
      </c>
      <c r="L915" s="40" t="str">
        <f>IF(Agent05_Loans!B127="","",Agent05_Loans!L127)</f>
        <v/>
      </c>
      <c r="M915" s="40" t="str">
        <f>IFERROR(IF(Agent05_Loans!B127="","",YEAR(Agent05_Loans!D127)),"")</f>
        <v/>
      </c>
    </row>
    <row r="916" spans="1:13" ht="18" customHeight="1" x14ac:dyDescent="0.25">
      <c r="A916" s="40" t="str">
        <f>IF(Agent05_Loans!B128="","",Agent05_Loans!A128)</f>
        <v/>
      </c>
      <c r="B916" s="40" t="str">
        <f>IF(Agent05_Loans!B128="","",Agent05_Loans!B128)</f>
        <v/>
      </c>
      <c r="C916" s="40" t="str">
        <f>IF(Agent05_Loans!B128="","",Agent05_Loans!C128)</f>
        <v/>
      </c>
      <c r="D916" s="41" t="str">
        <f>IF(Agent05_Loans!B128="","",Agent05_Loans!D128)</f>
        <v/>
      </c>
      <c r="E916" s="43" t="str">
        <f>IF(Agent05_Loans!B128="","",Agent05_Loans!E128)</f>
        <v/>
      </c>
      <c r="F916" s="40" t="str">
        <f>IF(Agent05_Loans!B128="","",Agent05_Loans!F128)</f>
        <v/>
      </c>
      <c r="G916" s="40" t="str">
        <f>IF(Agent05_Loans!B128="","",Agent05_Loans!G128)</f>
        <v/>
      </c>
      <c r="H916" s="40" t="str">
        <f>IF(Agent05_Loans!B128="","",Agent05_Loans!H128)</f>
        <v/>
      </c>
      <c r="I916" s="43" t="str">
        <f>IF(Agent05_Loans!B128="","",Agent05_Loans!I128)</f>
        <v/>
      </c>
      <c r="J916" s="43" t="str">
        <f>IF(Agent05_Loans!B128="","",Agent05_Loans!J128)</f>
        <v/>
      </c>
      <c r="K916" s="40" t="str">
        <f>IF(Agent05_Loans!B128="","",Agent05_Loans!K128)</f>
        <v/>
      </c>
      <c r="L916" s="40" t="str">
        <f>IF(Agent05_Loans!B128="","",Agent05_Loans!L128)</f>
        <v/>
      </c>
      <c r="M916" s="40" t="str">
        <f>IFERROR(IF(Agent05_Loans!B128="","",YEAR(Agent05_Loans!D128)),"")</f>
        <v/>
      </c>
    </row>
    <row r="917" spans="1:13" ht="18" customHeight="1" x14ac:dyDescent="0.25">
      <c r="A917" s="40" t="str">
        <f>IF(Agent05_Loans!B129="","",Agent05_Loans!A129)</f>
        <v/>
      </c>
      <c r="B917" s="40" t="str">
        <f>IF(Agent05_Loans!B129="","",Agent05_Loans!B129)</f>
        <v/>
      </c>
      <c r="C917" s="40" t="str">
        <f>IF(Agent05_Loans!B129="","",Agent05_Loans!C129)</f>
        <v/>
      </c>
      <c r="D917" s="41" t="str">
        <f>IF(Agent05_Loans!B129="","",Agent05_Loans!D129)</f>
        <v/>
      </c>
      <c r="E917" s="43" t="str">
        <f>IF(Agent05_Loans!B129="","",Agent05_Loans!E129)</f>
        <v/>
      </c>
      <c r="F917" s="40" t="str">
        <f>IF(Agent05_Loans!B129="","",Agent05_Loans!F129)</f>
        <v/>
      </c>
      <c r="G917" s="40" t="str">
        <f>IF(Agent05_Loans!B129="","",Agent05_Loans!G129)</f>
        <v/>
      </c>
      <c r="H917" s="40" t="str">
        <f>IF(Agent05_Loans!B129="","",Agent05_Loans!H129)</f>
        <v/>
      </c>
      <c r="I917" s="43" t="str">
        <f>IF(Agent05_Loans!B129="","",Agent05_Loans!I129)</f>
        <v/>
      </c>
      <c r="J917" s="43" t="str">
        <f>IF(Agent05_Loans!B129="","",Agent05_Loans!J129)</f>
        <v/>
      </c>
      <c r="K917" s="40" t="str">
        <f>IF(Agent05_Loans!B129="","",Agent05_Loans!K129)</f>
        <v/>
      </c>
      <c r="L917" s="40" t="str">
        <f>IF(Agent05_Loans!B129="","",Agent05_Loans!L129)</f>
        <v/>
      </c>
      <c r="M917" s="40" t="str">
        <f>IFERROR(IF(Agent05_Loans!B129="","",YEAR(Agent05_Loans!D129)),"")</f>
        <v/>
      </c>
    </row>
    <row r="918" spans="1:13" ht="18" customHeight="1" x14ac:dyDescent="0.25">
      <c r="A918" s="40" t="str">
        <f>IF(Agent05_Loans!B130="","",Agent05_Loans!A130)</f>
        <v/>
      </c>
      <c r="B918" s="40" t="str">
        <f>IF(Agent05_Loans!B130="","",Agent05_Loans!B130)</f>
        <v/>
      </c>
      <c r="C918" s="40" t="str">
        <f>IF(Agent05_Loans!B130="","",Agent05_Loans!C130)</f>
        <v/>
      </c>
      <c r="D918" s="41" t="str">
        <f>IF(Agent05_Loans!B130="","",Agent05_Loans!D130)</f>
        <v/>
      </c>
      <c r="E918" s="43" t="str">
        <f>IF(Agent05_Loans!B130="","",Agent05_Loans!E130)</f>
        <v/>
      </c>
      <c r="F918" s="40" t="str">
        <f>IF(Agent05_Loans!B130="","",Agent05_Loans!F130)</f>
        <v/>
      </c>
      <c r="G918" s="40" t="str">
        <f>IF(Agent05_Loans!B130="","",Agent05_Loans!G130)</f>
        <v/>
      </c>
      <c r="H918" s="40" t="str">
        <f>IF(Agent05_Loans!B130="","",Agent05_Loans!H130)</f>
        <v/>
      </c>
      <c r="I918" s="43" t="str">
        <f>IF(Agent05_Loans!B130="","",Agent05_Loans!I130)</f>
        <v/>
      </c>
      <c r="J918" s="43" t="str">
        <f>IF(Agent05_Loans!B130="","",Agent05_Loans!J130)</f>
        <v/>
      </c>
      <c r="K918" s="40" t="str">
        <f>IF(Agent05_Loans!B130="","",Agent05_Loans!K130)</f>
        <v/>
      </c>
      <c r="L918" s="40" t="str">
        <f>IF(Agent05_Loans!B130="","",Agent05_Loans!L130)</f>
        <v/>
      </c>
      <c r="M918" s="40" t="str">
        <f>IFERROR(IF(Agent05_Loans!B130="","",YEAR(Agent05_Loans!D130)),"")</f>
        <v/>
      </c>
    </row>
    <row r="919" spans="1:13" ht="18" customHeight="1" x14ac:dyDescent="0.25">
      <c r="A919" s="40" t="str">
        <f>IF(Agent05_Loans!B131="","",Agent05_Loans!A131)</f>
        <v/>
      </c>
      <c r="B919" s="40" t="str">
        <f>IF(Agent05_Loans!B131="","",Agent05_Loans!B131)</f>
        <v/>
      </c>
      <c r="C919" s="40" t="str">
        <f>IF(Agent05_Loans!B131="","",Agent05_Loans!C131)</f>
        <v/>
      </c>
      <c r="D919" s="41" t="str">
        <f>IF(Agent05_Loans!B131="","",Agent05_Loans!D131)</f>
        <v/>
      </c>
      <c r="E919" s="43" t="str">
        <f>IF(Agent05_Loans!B131="","",Agent05_Loans!E131)</f>
        <v/>
      </c>
      <c r="F919" s="40" t="str">
        <f>IF(Agent05_Loans!B131="","",Agent05_Loans!F131)</f>
        <v/>
      </c>
      <c r="G919" s="40" t="str">
        <f>IF(Agent05_Loans!B131="","",Agent05_Loans!G131)</f>
        <v/>
      </c>
      <c r="H919" s="40" t="str">
        <f>IF(Agent05_Loans!B131="","",Agent05_Loans!H131)</f>
        <v/>
      </c>
      <c r="I919" s="43" t="str">
        <f>IF(Agent05_Loans!B131="","",Agent05_Loans!I131)</f>
        <v/>
      </c>
      <c r="J919" s="43" t="str">
        <f>IF(Agent05_Loans!B131="","",Agent05_Loans!J131)</f>
        <v/>
      </c>
      <c r="K919" s="40" t="str">
        <f>IF(Agent05_Loans!B131="","",Agent05_Loans!K131)</f>
        <v/>
      </c>
      <c r="L919" s="40" t="str">
        <f>IF(Agent05_Loans!B131="","",Agent05_Loans!L131)</f>
        <v/>
      </c>
      <c r="M919" s="40" t="str">
        <f>IFERROR(IF(Agent05_Loans!B131="","",YEAR(Agent05_Loans!D131)),"")</f>
        <v/>
      </c>
    </row>
    <row r="920" spans="1:13" ht="18" customHeight="1" x14ac:dyDescent="0.25">
      <c r="A920" s="40" t="str">
        <f>IF(Agent05_Loans!B132="","",Agent05_Loans!A132)</f>
        <v/>
      </c>
      <c r="B920" s="40" t="str">
        <f>IF(Agent05_Loans!B132="","",Agent05_Loans!B132)</f>
        <v/>
      </c>
      <c r="C920" s="40" t="str">
        <f>IF(Agent05_Loans!B132="","",Agent05_Loans!C132)</f>
        <v/>
      </c>
      <c r="D920" s="41" t="str">
        <f>IF(Agent05_Loans!B132="","",Agent05_Loans!D132)</f>
        <v/>
      </c>
      <c r="E920" s="43" t="str">
        <f>IF(Agent05_Loans!B132="","",Agent05_Loans!E132)</f>
        <v/>
      </c>
      <c r="F920" s="40" t="str">
        <f>IF(Agent05_Loans!B132="","",Agent05_Loans!F132)</f>
        <v/>
      </c>
      <c r="G920" s="40" t="str">
        <f>IF(Agent05_Loans!B132="","",Agent05_Loans!G132)</f>
        <v/>
      </c>
      <c r="H920" s="40" t="str">
        <f>IF(Agent05_Loans!B132="","",Agent05_Loans!H132)</f>
        <v/>
      </c>
      <c r="I920" s="43" t="str">
        <f>IF(Agent05_Loans!B132="","",Agent05_Loans!I132)</f>
        <v/>
      </c>
      <c r="J920" s="43" t="str">
        <f>IF(Agent05_Loans!B132="","",Agent05_Loans!J132)</f>
        <v/>
      </c>
      <c r="K920" s="40" t="str">
        <f>IF(Agent05_Loans!B132="","",Agent05_Loans!K132)</f>
        <v/>
      </c>
      <c r="L920" s="40" t="str">
        <f>IF(Agent05_Loans!B132="","",Agent05_Loans!L132)</f>
        <v/>
      </c>
      <c r="M920" s="40" t="str">
        <f>IFERROR(IF(Agent05_Loans!B132="","",YEAR(Agent05_Loans!D132)),"")</f>
        <v/>
      </c>
    </row>
    <row r="921" spans="1:13" ht="18" customHeight="1" x14ac:dyDescent="0.25">
      <c r="A921" s="40" t="str">
        <f>IF(Agent05_Loans!B133="","",Agent05_Loans!A133)</f>
        <v/>
      </c>
      <c r="B921" s="40" t="str">
        <f>IF(Agent05_Loans!B133="","",Agent05_Loans!B133)</f>
        <v/>
      </c>
      <c r="C921" s="40" t="str">
        <f>IF(Agent05_Loans!B133="","",Agent05_Loans!C133)</f>
        <v/>
      </c>
      <c r="D921" s="41" t="str">
        <f>IF(Agent05_Loans!B133="","",Agent05_Loans!D133)</f>
        <v/>
      </c>
      <c r="E921" s="43" t="str">
        <f>IF(Agent05_Loans!B133="","",Agent05_Loans!E133)</f>
        <v/>
      </c>
      <c r="F921" s="40" t="str">
        <f>IF(Agent05_Loans!B133="","",Agent05_Loans!F133)</f>
        <v/>
      </c>
      <c r="G921" s="40" t="str">
        <f>IF(Agent05_Loans!B133="","",Agent05_Loans!G133)</f>
        <v/>
      </c>
      <c r="H921" s="40" t="str">
        <f>IF(Agent05_Loans!B133="","",Agent05_Loans!H133)</f>
        <v/>
      </c>
      <c r="I921" s="43" t="str">
        <f>IF(Agent05_Loans!B133="","",Agent05_Loans!I133)</f>
        <v/>
      </c>
      <c r="J921" s="43" t="str">
        <f>IF(Agent05_Loans!B133="","",Agent05_Loans!J133)</f>
        <v/>
      </c>
      <c r="K921" s="40" t="str">
        <f>IF(Agent05_Loans!B133="","",Agent05_Loans!K133)</f>
        <v/>
      </c>
      <c r="L921" s="40" t="str">
        <f>IF(Agent05_Loans!B133="","",Agent05_Loans!L133)</f>
        <v/>
      </c>
      <c r="M921" s="40" t="str">
        <f>IFERROR(IF(Agent05_Loans!B133="","",YEAR(Agent05_Loans!D133)),"")</f>
        <v/>
      </c>
    </row>
    <row r="922" spans="1:13" ht="18" customHeight="1" x14ac:dyDescent="0.25">
      <c r="A922" s="40" t="str">
        <f>IF(Agent05_Loans!B134="","",Agent05_Loans!A134)</f>
        <v/>
      </c>
      <c r="B922" s="40" t="str">
        <f>IF(Agent05_Loans!B134="","",Agent05_Loans!B134)</f>
        <v/>
      </c>
      <c r="C922" s="40" t="str">
        <f>IF(Agent05_Loans!B134="","",Agent05_Loans!C134)</f>
        <v/>
      </c>
      <c r="D922" s="41" t="str">
        <f>IF(Agent05_Loans!B134="","",Agent05_Loans!D134)</f>
        <v/>
      </c>
      <c r="E922" s="43" t="str">
        <f>IF(Agent05_Loans!B134="","",Agent05_Loans!E134)</f>
        <v/>
      </c>
      <c r="F922" s="40" t="str">
        <f>IF(Agent05_Loans!B134="","",Agent05_Loans!F134)</f>
        <v/>
      </c>
      <c r="G922" s="40" t="str">
        <f>IF(Agent05_Loans!B134="","",Agent05_Loans!G134)</f>
        <v/>
      </c>
      <c r="H922" s="40" t="str">
        <f>IF(Agent05_Loans!B134="","",Agent05_Loans!H134)</f>
        <v/>
      </c>
      <c r="I922" s="43" t="str">
        <f>IF(Agent05_Loans!B134="","",Agent05_Loans!I134)</f>
        <v/>
      </c>
      <c r="J922" s="43" t="str">
        <f>IF(Agent05_Loans!B134="","",Agent05_Loans!J134)</f>
        <v/>
      </c>
      <c r="K922" s="40" t="str">
        <f>IF(Agent05_Loans!B134="","",Agent05_Loans!K134)</f>
        <v/>
      </c>
      <c r="L922" s="40" t="str">
        <f>IF(Agent05_Loans!B134="","",Agent05_Loans!L134)</f>
        <v/>
      </c>
      <c r="M922" s="40" t="str">
        <f>IFERROR(IF(Agent05_Loans!B134="","",YEAR(Agent05_Loans!D134)),"")</f>
        <v/>
      </c>
    </row>
    <row r="923" spans="1:13" ht="18" customHeight="1" x14ac:dyDescent="0.25">
      <c r="A923" s="40" t="str">
        <f>IF(Agent05_Loans!B135="","",Agent05_Loans!A135)</f>
        <v/>
      </c>
      <c r="B923" s="40" t="str">
        <f>IF(Agent05_Loans!B135="","",Agent05_Loans!B135)</f>
        <v/>
      </c>
      <c r="C923" s="40" t="str">
        <f>IF(Agent05_Loans!B135="","",Agent05_Loans!C135)</f>
        <v/>
      </c>
      <c r="D923" s="41" t="str">
        <f>IF(Agent05_Loans!B135="","",Agent05_Loans!D135)</f>
        <v/>
      </c>
      <c r="E923" s="43" t="str">
        <f>IF(Agent05_Loans!B135="","",Agent05_Loans!E135)</f>
        <v/>
      </c>
      <c r="F923" s="40" t="str">
        <f>IF(Agent05_Loans!B135="","",Agent05_Loans!F135)</f>
        <v/>
      </c>
      <c r="G923" s="40" t="str">
        <f>IF(Agent05_Loans!B135="","",Agent05_Loans!G135)</f>
        <v/>
      </c>
      <c r="H923" s="40" t="str">
        <f>IF(Agent05_Loans!B135="","",Agent05_Loans!H135)</f>
        <v/>
      </c>
      <c r="I923" s="43" t="str">
        <f>IF(Agent05_Loans!B135="","",Agent05_Loans!I135)</f>
        <v/>
      </c>
      <c r="J923" s="43" t="str">
        <f>IF(Agent05_Loans!B135="","",Agent05_Loans!J135)</f>
        <v/>
      </c>
      <c r="K923" s="40" t="str">
        <f>IF(Agent05_Loans!B135="","",Agent05_Loans!K135)</f>
        <v/>
      </c>
      <c r="L923" s="40" t="str">
        <f>IF(Agent05_Loans!B135="","",Agent05_Loans!L135)</f>
        <v/>
      </c>
      <c r="M923" s="40" t="str">
        <f>IFERROR(IF(Agent05_Loans!B135="","",YEAR(Agent05_Loans!D135)),"")</f>
        <v/>
      </c>
    </row>
    <row r="924" spans="1:13" ht="18" customHeight="1" x14ac:dyDescent="0.25">
      <c r="A924" s="40" t="str">
        <f>IF(Agent05_Loans!B136="","",Agent05_Loans!A136)</f>
        <v/>
      </c>
      <c r="B924" s="40" t="str">
        <f>IF(Agent05_Loans!B136="","",Agent05_Loans!B136)</f>
        <v/>
      </c>
      <c r="C924" s="40" t="str">
        <f>IF(Agent05_Loans!B136="","",Agent05_Loans!C136)</f>
        <v/>
      </c>
      <c r="D924" s="41" t="str">
        <f>IF(Agent05_Loans!B136="","",Agent05_Loans!D136)</f>
        <v/>
      </c>
      <c r="E924" s="43" t="str">
        <f>IF(Agent05_Loans!B136="","",Agent05_Loans!E136)</f>
        <v/>
      </c>
      <c r="F924" s="40" t="str">
        <f>IF(Agent05_Loans!B136="","",Agent05_Loans!F136)</f>
        <v/>
      </c>
      <c r="G924" s="40" t="str">
        <f>IF(Agent05_Loans!B136="","",Agent05_Loans!G136)</f>
        <v/>
      </c>
      <c r="H924" s="40" t="str">
        <f>IF(Agent05_Loans!B136="","",Agent05_Loans!H136)</f>
        <v/>
      </c>
      <c r="I924" s="43" t="str">
        <f>IF(Agent05_Loans!B136="","",Agent05_Loans!I136)</f>
        <v/>
      </c>
      <c r="J924" s="43" t="str">
        <f>IF(Agent05_Loans!B136="","",Agent05_Loans!J136)</f>
        <v/>
      </c>
      <c r="K924" s="40" t="str">
        <f>IF(Agent05_Loans!B136="","",Agent05_Loans!K136)</f>
        <v/>
      </c>
      <c r="L924" s="40" t="str">
        <f>IF(Agent05_Loans!B136="","",Agent05_Loans!L136)</f>
        <v/>
      </c>
      <c r="M924" s="40" t="str">
        <f>IFERROR(IF(Agent05_Loans!B136="","",YEAR(Agent05_Loans!D136)),"")</f>
        <v/>
      </c>
    </row>
    <row r="925" spans="1:13" ht="18" customHeight="1" x14ac:dyDescent="0.25">
      <c r="A925" s="40" t="str">
        <f>IF(Agent05_Loans!B137="","",Agent05_Loans!A137)</f>
        <v/>
      </c>
      <c r="B925" s="40" t="str">
        <f>IF(Agent05_Loans!B137="","",Agent05_Loans!B137)</f>
        <v/>
      </c>
      <c r="C925" s="40" t="str">
        <f>IF(Agent05_Loans!B137="","",Agent05_Loans!C137)</f>
        <v/>
      </c>
      <c r="D925" s="41" t="str">
        <f>IF(Agent05_Loans!B137="","",Agent05_Loans!D137)</f>
        <v/>
      </c>
      <c r="E925" s="43" t="str">
        <f>IF(Agent05_Loans!B137="","",Agent05_Loans!E137)</f>
        <v/>
      </c>
      <c r="F925" s="40" t="str">
        <f>IF(Agent05_Loans!B137="","",Agent05_Loans!F137)</f>
        <v/>
      </c>
      <c r="G925" s="40" t="str">
        <f>IF(Agent05_Loans!B137="","",Agent05_Loans!G137)</f>
        <v/>
      </c>
      <c r="H925" s="40" t="str">
        <f>IF(Agent05_Loans!B137="","",Agent05_Loans!H137)</f>
        <v/>
      </c>
      <c r="I925" s="43" t="str">
        <f>IF(Agent05_Loans!B137="","",Agent05_Loans!I137)</f>
        <v/>
      </c>
      <c r="J925" s="43" t="str">
        <f>IF(Agent05_Loans!B137="","",Agent05_Loans!J137)</f>
        <v/>
      </c>
      <c r="K925" s="40" t="str">
        <f>IF(Agent05_Loans!B137="","",Agent05_Loans!K137)</f>
        <v/>
      </c>
      <c r="L925" s="40" t="str">
        <f>IF(Agent05_Loans!B137="","",Agent05_Loans!L137)</f>
        <v/>
      </c>
      <c r="M925" s="40" t="str">
        <f>IFERROR(IF(Agent05_Loans!B137="","",YEAR(Agent05_Loans!D137)),"")</f>
        <v/>
      </c>
    </row>
    <row r="926" spans="1:13" ht="18" customHeight="1" x14ac:dyDescent="0.25">
      <c r="A926" s="40" t="str">
        <f>IF(Agent05_Loans!B138="","",Agent05_Loans!A138)</f>
        <v/>
      </c>
      <c r="B926" s="40" t="str">
        <f>IF(Agent05_Loans!B138="","",Agent05_Loans!B138)</f>
        <v/>
      </c>
      <c r="C926" s="40" t="str">
        <f>IF(Agent05_Loans!B138="","",Agent05_Loans!C138)</f>
        <v/>
      </c>
      <c r="D926" s="41" t="str">
        <f>IF(Agent05_Loans!B138="","",Agent05_Loans!D138)</f>
        <v/>
      </c>
      <c r="E926" s="43" t="str">
        <f>IF(Agent05_Loans!B138="","",Agent05_Loans!E138)</f>
        <v/>
      </c>
      <c r="F926" s="40" t="str">
        <f>IF(Agent05_Loans!B138="","",Agent05_Loans!F138)</f>
        <v/>
      </c>
      <c r="G926" s="40" t="str">
        <f>IF(Agent05_Loans!B138="","",Agent05_Loans!G138)</f>
        <v/>
      </c>
      <c r="H926" s="40" t="str">
        <f>IF(Agent05_Loans!B138="","",Agent05_Loans!H138)</f>
        <v/>
      </c>
      <c r="I926" s="43" t="str">
        <f>IF(Agent05_Loans!B138="","",Agent05_Loans!I138)</f>
        <v/>
      </c>
      <c r="J926" s="43" t="str">
        <f>IF(Agent05_Loans!B138="","",Agent05_Loans!J138)</f>
        <v/>
      </c>
      <c r="K926" s="40" t="str">
        <f>IF(Agent05_Loans!B138="","",Agent05_Loans!K138)</f>
        <v/>
      </c>
      <c r="L926" s="40" t="str">
        <f>IF(Agent05_Loans!B138="","",Agent05_Loans!L138)</f>
        <v/>
      </c>
      <c r="M926" s="40" t="str">
        <f>IFERROR(IF(Agent05_Loans!B138="","",YEAR(Agent05_Loans!D138)),"")</f>
        <v/>
      </c>
    </row>
    <row r="927" spans="1:13" ht="18" customHeight="1" x14ac:dyDescent="0.25">
      <c r="A927" s="40" t="str">
        <f>IF(Agent05_Loans!B139="","",Agent05_Loans!A139)</f>
        <v/>
      </c>
      <c r="B927" s="40" t="str">
        <f>IF(Agent05_Loans!B139="","",Agent05_Loans!B139)</f>
        <v/>
      </c>
      <c r="C927" s="40" t="str">
        <f>IF(Agent05_Loans!B139="","",Agent05_Loans!C139)</f>
        <v/>
      </c>
      <c r="D927" s="41" t="str">
        <f>IF(Agent05_Loans!B139="","",Agent05_Loans!D139)</f>
        <v/>
      </c>
      <c r="E927" s="43" t="str">
        <f>IF(Agent05_Loans!B139="","",Agent05_Loans!E139)</f>
        <v/>
      </c>
      <c r="F927" s="40" t="str">
        <f>IF(Agent05_Loans!B139="","",Agent05_Loans!F139)</f>
        <v/>
      </c>
      <c r="G927" s="40" t="str">
        <f>IF(Agent05_Loans!B139="","",Agent05_Loans!G139)</f>
        <v/>
      </c>
      <c r="H927" s="40" t="str">
        <f>IF(Agent05_Loans!B139="","",Agent05_Loans!H139)</f>
        <v/>
      </c>
      <c r="I927" s="43" t="str">
        <f>IF(Agent05_Loans!B139="","",Agent05_Loans!I139)</f>
        <v/>
      </c>
      <c r="J927" s="43" t="str">
        <f>IF(Agent05_Loans!B139="","",Agent05_Loans!J139)</f>
        <v/>
      </c>
      <c r="K927" s="40" t="str">
        <f>IF(Agent05_Loans!B139="","",Agent05_Loans!K139)</f>
        <v/>
      </c>
      <c r="L927" s="40" t="str">
        <f>IF(Agent05_Loans!B139="","",Agent05_Loans!L139)</f>
        <v/>
      </c>
      <c r="M927" s="40" t="str">
        <f>IFERROR(IF(Agent05_Loans!B139="","",YEAR(Agent05_Loans!D139)),"")</f>
        <v/>
      </c>
    </row>
    <row r="928" spans="1:13" ht="18" customHeight="1" x14ac:dyDescent="0.25">
      <c r="A928" s="40" t="str">
        <f>IF(Agent05_Loans!B140="","",Agent05_Loans!A140)</f>
        <v/>
      </c>
      <c r="B928" s="40" t="str">
        <f>IF(Agent05_Loans!B140="","",Agent05_Loans!B140)</f>
        <v/>
      </c>
      <c r="C928" s="40" t="str">
        <f>IF(Agent05_Loans!B140="","",Agent05_Loans!C140)</f>
        <v/>
      </c>
      <c r="D928" s="41" t="str">
        <f>IF(Agent05_Loans!B140="","",Agent05_Loans!D140)</f>
        <v/>
      </c>
      <c r="E928" s="43" t="str">
        <f>IF(Agent05_Loans!B140="","",Agent05_Loans!E140)</f>
        <v/>
      </c>
      <c r="F928" s="40" t="str">
        <f>IF(Agent05_Loans!B140="","",Agent05_Loans!F140)</f>
        <v/>
      </c>
      <c r="G928" s="40" t="str">
        <f>IF(Agent05_Loans!B140="","",Agent05_Loans!G140)</f>
        <v/>
      </c>
      <c r="H928" s="40" t="str">
        <f>IF(Agent05_Loans!B140="","",Agent05_Loans!H140)</f>
        <v/>
      </c>
      <c r="I928" s="43" t="str">
        <f>IF(Agent05_Loans!B140="","",Agent05_Loans!I140)</f>
        <v/>
      </c>
      <c r="J928" s="43" t="str">
        <f>IF(Agent05_Loans!B140="","",Agent05_Loans!J140)</f>
        <v/>
      </c>
      <c r="K928" s="40" t="str">
        <f>IF(Agent05_Loans!B140="","",Agent05_Loans!K140)</f>
        <v/>
      </c>
      <c r="L928" s="40" t="str">
        <f>IF(Agent05_Loans!B140="","",Agent05_Loans!L140)</f>
        <v/>
      </c>
      <c r="M928" s="40" t="str">
        <f>IFERROR(IF(Agent05_Loans!B140="","",YEAR(Agent05_Loans!D140)),"")</f>
        <v/>
      </c>
    </row>
    <row r="929" spans="1:13" ht="18" customHeight="1" x14ac:dyDescent="0.25">
      <c r="A929" s="40" t="str">
        <f>IF(Agent05_Loans!B141="","",Agent05_Loans!A141)</f>
        <v/>
      </c>
      <c r="B929" s="40" t="str">
        <f>IF(Agent05_Loans!B141="","",Agent05_Loans!B141)</f>
        <v/>
      </c>
      <c r="C929" s="40" t="str">
        <f>IF(Agent05_Loans!B141="","",Agent05_Loans!C141)</f>
        <v/>
      </c>
      <c r="D929" s="41" t="str">
        <f>IF(Agent05_Loans!B141="","",Agent05_Loans!D141)</f>
        <v/>
      </c>
      <c r="E929" s="43" t="str">
        <f>IF(Agent05_Loans!B141="","",Agent05_Loans!E141)</f>
        <v/>
      </c>
      <c r="F929" s="40" t="str">
        <f>IF(Agent05_Loans!B141="","",Agent05_Loans!F141)</f>
        <v/>
      </c>
      <c r="G929" s="40" t="str">
        <f>IF(Agent05_Loans!B141="","",Agent05_Loans!G141)</f>
        <v/>
      </c>
      <c r="H929" s="40" t="str">
        <f>IF(Agent05_Loans!B141="","",Agent05_Loans!H141)</f>
        <v/>
      </c>
      <c r="I929" s="43" t="str">
        <f>IF(Agent05_Loans!B141="","",Agent05_Loans!I141)</f>
        <v/>
      </c>
      <c r="J929" s="43" t="str">
        <f>IF(Agent05_Loans!B141="","",Agent05_Loans!J141)</f>
        <v/>
      </c>
      <c r="K929" s="40" t="str">
        <f>IF(Agent05_Loans!B141="","",Agent05_Loans!K141)</f>
        <v/>
      </c>
      <c r="L929" s="40" t="str">
        <f>IF(Agent05_Loans!B141="","",Agent05_Loans!L141)</f>
        <v/>
      </c>
      <c r="M929" s="40" t="str">
        <f>IFERROR(IF(Agent05_Loans!B141="","",YEAR(Agent05_Loans!D141)),"")</f>
        <v/>
      </c>
    </row>
    <row r="930" spans="1:13" ht="18" customHeight="1" x14ac:dyDescent="0.25">
      <c r="A930" s="40" t="str">
        <f>IF(Agent05_Loans!B142="","",Agent05_Loans!A142)</f>
        <v/>
      </c>
      <c r="B930" s="40" t="str">
        <f>IF(Agent05_Loans!B142="","",Agent05_Loans!B142)</f>
        <v/>
      </c>
      <c r="C930" s="40" t="str">
        <f>IF(Agent05_Loans!B142="","",Agent05_Loans!C142)</f>
        <v/>
      </c>
      <c r="D930" s="41" t="str">
        <f>IF(Agent05_Loans!B142="","",Agent05_Loans!D142)</f>
        <v/>
      </c>
      <c r="E930" s="43" t="str">
        <f>IF(Agent05_Loans!B142="","",Agent05_Loans!E142)</f>
        <v/>
      </c>
      <c r="F930" s="40" t="str">
        <f>IF(Agent05_Loans!B142="","",Agent05_Loans!F142)</f>
        <v/>
      </c>
      <c r="G930" s="40" t="str">
        <f>IF(Agent05_Loans!B142="","",Agent05_Loans!G142)</f>
        <v/>
      </c>
      <c r="H930" s="40" t="str">
        <f>IF(Agent05_Loans!B142="","",Agent05_Loans!H142)</f>
        <v/>
      </c>
      <c r="I930" s="43" t="str">
        <f>IF(Agent05_Loans!B142="","",Agent05_Loans!I142)</f>
        <v/>
      </c>
      <c r="J930" s="43" t="str">
        <f>IF(Agent05_Loans!B142="","",Agent05_Loans!J142)</f>
        <v/>
      </c>
      <c r="K930" s="40" t="str">
        <f>IF(Agent05_Loans!B142="","",Agent05_Loans!K142)</f>
        <v/>
      </c>
      <c r="L930" s="40" t="str">
        <f>IF(Agent05_Loans!B142="","",Agent05_Loans!L142)</f>
        <v/>
      </c>
      <c r="M930" s="40" t="str">
        <f>IFERROR(IF(Agent05_Loans!B142="","",YEAR(Agent05_Loans!D142)),"")</f>
        <v/>
      </c>
    </row>
    <row r="931" spans="1:13" ht="18" customHeight="1" x14ac:dyDescent="0.25">
      <c r="A931" s="40" t="str">
        <f>IF(Agent05_Loans!B143="","",Agent05_Loans!A143)</f>
        <v/>
      </c>
      <c r="B931" s="40" t="str">
        <f>IF(Agent05_Loans!B143="","",Agent05_Loans!B143)</f>
        <v/>
      </c>
      <c r="C931" s="40" t="str">
        <f>IF(Agent05_Loans!B143="","",Agent05_Loans!C143)</f>
        <v/>
      </c>
      <c r="D931" s="41" t="str">
        <f>IF(Agent05_Loans!B143="","",Agent05_Loans!D143)</f>
        <v/>
      </c>
      <c r="E931" s="43" t="str">
        <f>IF(Agent05_Loans!B143="","",Agent05_Loans!E143)</f>
        <v/>
      </c>
      <c r="F931" s="40" t="str">
        <f>IF(Agent05_Loans!B143="","",Agent05_Loans!F143)</f>
        <v/>
      </c>
      <c r="G931" s="40" t="str">
        <f>IF(Agent05_Loans!B143="","",Agent05_Loans!G143)</f>
        <v/>
      </c>
      <c r="H931" s="40" t="str">
        <f>IF(Agent05_Loans!B143="","",Agent05_Loans!H143)</f>
        <v/>
      </c>
      <c r="I931" s="43" t="str">
        <f>IF(Agent05_Loans!B143="","",Agent05_Loans!I143)</f>
        <v/>
      </c>
      <c r="J931" s="43" t="str">
        <f>IF(Agent05_Loans!B143="","",Agent05_Loans!J143)</f>
        <v/>
      </c>
      <c r="K931" s="40" t="str">
        <f>IF(Agent05_Loans!B143="","",Agent05_Loans!K143)</f>
        <v/>
      </c>
      <c r="L931" s="40" t="str">
        <f>IF(Agent05_Loans!B143="","",Agent05_Loans!L143)</f>
        <v/>
      </c>
      <c r="M931" s="40" t="str">
        <f>IFERROR(IF(Agent05_Loans!B143="","",YEAR(Agent05_Loans!D143)),"")</f>
        <v/>
      </c>
    </row>
    <row r="932" spans="1:13" ht="18" customHeight="1" x14ac:dyDescent="0.25">
      <c r="A932" s="40" t="str">
        <f>IF(Agent05_Loans!B144="","",Agent05_Loans!A144)</f>
        <v/>
      </c>
      <c r="B932" s="40" t="str">
        <f>IF(Agent05_Loans!B144="","",Agent05_Loans!B144)</f>
        <v/>
      </c>
      <c r="C932" s="40" t="str">
        <f>IF(Agent05_Loans!B144="","",Agent05_Loans!C144)</f>
        <v/>
      </c>
      <c r="D932" s="41" t="str">
        <f>IF(Agent05_Loans!B144="","",Agent05_Loans!D144)</f>
        <v/>
      </c>
      <c r="E932" s="43" t="str">
        <f>IF(Agent05_Loans!B144="","",Agent05_Loans!E144)</f>
        <v/>
      </c>
      <c r="F932" s="40" t="str">
        <f>IF(Agent05_Loans!B144="","",Agent05_Loans!F144)</f>
        <v/>
      </c>
      <c r="G932" s="40" t="str">
        <f>IF(Agent05_Loans!B144="","",Agent05_Loans!G144)</f>
        <v/>
      </c>
      <c r="H932" s="40" t="str">
        <f>IF(Agent05_Loans!B144="","",Agent05_Loans!H144)</f>
        <v/>
      </c>
      <c r="I932" s="43" t="str">
        <f>IF(Agent05_Loans!B144="","",Agent05_Loans!I144)</f>
        <v/>
      </c>
      <c r="J932" s="43" t="str">
        <f>IF(Agent05_Loans!B144="","",Agent05_Loans!J144)</f>
        <v/>
      </c>
      <c r="K932" s="40" t="str">
        <f>IF(Agent05_Loans!B144="","",Agent05_Loans!K144)</f>
        <v/>
      </c>
      <c r="L932" s="40" t="str">
        <f>IF(Agent05_Loans!B144="","",Agent05_Loans!L144)</f>
        <v/>
      </c>
      <c r="M932" s="40" t="str">
        <f>IFERROR(IF(Agent05_Loans!B144="","",YEAR(Agent05_Loans!D144)),"")</f>
        <v/>
      </c>
    </row>
    <row r="933" spans="1:13" ht="18" customHeight="1" x14ac:dyDescent="0.25">
      <c r="A933" s="40" t="str">
        <f>IF(Agent05_Loans!B145="","",Agent05_Loans!A145)</f>
        <v/>
      </c>
      <c r="B933" s="40" t="str">
        <f>IF(Agent05_Loans!B145="","",Agent05_Loans!B145)</f>
        <v/>
      </c>
      <c r="C933" s="40" t="str">
        <f>IF(Agent05_Loans!B145="","",Agent05_Loans!C145)</f>
        <v/>
      </c>
      <c r="D933" s="41" t="str">
        <f>IF(Agent05_Loans!B145="","",Agent05_Loans!D145)</f>
        <v/>
      </c>
      <c r="E933" s="43" t="str">
        <f>IF(Agent05_Loans!B145="","",Agent05_Loans!E145)</f>
        <v/>
      </c>
      <c r="F933" s="40" t="str">
        <f>IF(Agent05_Loans!B145="","",Agent05_Loans!F145)</f>
        <v/>
      </c>
      <c r="G933" s="40" t="str">
        <f>IF(Agent05_Loans!B145="","",Agent05_Loans!G145)</f>
        <v/>
      </c>
      <c r="H933" s="40" t="str">
        <f>IF(Agent05_Loans!B145="","",Agent05_Loans!H145)</f>
        <v/>
      </c>
      <c r="I933" s="43" t="str">
        <f>IF(Agent05_Loans!B145="","",Agent05_Loans!I145)</f>
        <v/>
      </c>
      <c r="J933" s="43" t="str">
        <f>IF(Agent05_Loans!B145="","",Agent05_Loans!J145)</f>
        <v/>
      </c>
      <c r="K933" s="40" t="str">
        <f>IF(Agent05_Loans!B145="","",Agent05_Loans!K145)</f>
        <v/>
      </c>
      <c r="L933" s="40" t="str">
        <f>IF(Agent05_Loans!B145="","",Agent05_Loans!L145)</f>
        <v/>
      </c>
      <c r="M933" s="40" t="str">
        <f>IFERROR(IF(Agent05_Loans!B145="","",YEAR(Agent05_Loans!D145)),"")</f>
        <v/>
      </c>
    </row>
    <row r="934" spans="1:13" ht="18" customHeight="1" x14ac:dyDescent="0.25">
      <c r="A934" s="40" t="str">
        <f>IF(Agent05_Loans!B146="","",Agent05_Loans!A146)</f>
        <v/>
      </c>
      <c r="B934" s="40" t="str">
        <f>IF(Agent05_Loans!B146="","",Agent05_Loans!B146)</f>
        <v/>
      </c>
      <c r="C934" s="40" t="str">
        <f>IF(Agent05_Loans!B146="","",Agent05_Loans!C146)</f>
        <v/>
      </c>
      <c r="D934" s="41" t="str">
        <f>IF(Agent05_Loans!B146="","",Agent05_Loans!D146)</f>
        <v/>
      </c>
      <c r="E934" s="43" t="str">
        <f>IF(Agent05_Loans!B146="","",Agent05_Loans!E146)</f>
        <v/>
      </c>
      <c r="F934" s="40" t="str">
        <f>IF(Agent05_Loans!B146="","",Agent05_Loans!F146)</f>
        <v/>
      </c>
      <c r="G934" s="40" t="str">
        <f>IF(Agent05_Loans!B146="","",Agent05_Loans!G146)</f>
        <v/>
      </c>
      <c r="H934" s="40" t="str">
        <f>IF(Agent05_Loans!B146="","",Agent05_Loans!H146)</f>
        <v/>
      </c>
      <c r="I934" s="43" t="str">
        <f>IF(Agent05_Loans!B146="","",Agent05_Loans!I146)</f>
        <v/>
      </c>
      <c r="J934" s="43" t="str">
        <f>IF(Agent05_Loans!B146="","",Agent05_Loans!J146)</f>
        <v/>
      </c>
      <c r="K934" s="40" t="str">
        <f>IF(Agent05_Loans!B146="","",Agent05_Loans!K146)</f>
        <v/>
      </c>
      <c r="L934" s="40" t="str">
        <f>IF(Agent05_Loans!B146="","",Agent05_Loans!L146)</f>
        <v/>
      </c>
      <c r="M934" s="40" t="str">
        <f>IFERROR(IF(Agent05_Loans!B146="","",YEAR(Agent05_Loans!D146)),"")</f>
        <v/>
      </c>
    </row>
    <row r="935" spans="1:13" ht="18" customHeight="1" x14ac:dyDescent="0.25">
      <c r="A935" s="40" t="str">
        <f>IF(Agent05_Loans!B147="","",Agent05_Loans!A147)</f>
        <v/>
      </c>
      <c r="B935" s="40" t="str">
        <f>IF(Agent05_Loans!B147="","",Agent05_Loans!B147)</f>
        <v/>
      </c>
      <c r="C935" s="40" t="str">
        <f>IF(Agent05_Loans!B147="","",Agent05_Loans!C147)</f>
        <v/>
      </c>
      <c r="D935" s="41" t="str">
        <f>IF(Agent05_Loans!B147="","",Agent05_Loans!D147)</f>
        <v/>
      </c>
      <c r="E935" s="43" t="str">
        <f>IF(Agent05_Loans!B147="","",Agent05_Loans!E147)</f>
        <v/>
      </c>
      <c r="F935" s="40" t="str">
        <f>IF(Agent05_Loans!B147="","",Agent05_Loans!F147)</f>
        <v/>
      </c>
      <c r="G935" s="40" t="str">
        <f>IF(Agent05_Loans!B147="","",Agent05_Loans!G147)</f>
        <v/>
      </c>
      <c r="H935" s="40" t="str">
        <f>IF(Agent05_Loans!B147="","",Agent05_Loans!H147)</f>
        <v/>
      </c>
      <c r="I935" s="43" t="str">
        <f>IF(Agent05_Loans!B147="","",Agent05_Loans!I147)</f>
        <v/>
      </c>
      <c r="J935" s="43" t="str">
        <f>IF(Agent05_Loans!B147="","",Agent05_Loans!J147)</f>
        <v/>
      </c>
      <c r="K935" s="40" t="str">
        <f>IF(Agent05_Loans!B147="","",Agent05_Loans!K147)</f>
        <v/>
      </c>
      <c r="L935" s="40" t="str">
        <f>IF(Agent05_Loans!B147="","",Agent05_Loans!L147)</f>
        <v/>
      </c>
      <c r="M935" s="40" t="str">
        <f>IFERROR(IF(Agent05_Loans!B147="","",YEAR(Agent05_Loans!D147)),"")</f>
        <v/>
      </c>
    </row>
    <row r="936" spans="1:13" ht="18" customHeight="1" x14ac:dyDescent="0.25">
      <c r="A936" s="40" t="str">
        <f>IF(Agent05_Loans!B148="","",Agent05_Loans!A148)</f>
        <v/>
      </c>
      <c r="B936" s="40" t="str">
        <f>IF(Agent05_Loans!B148="","",Agent05_Loans!B148)</f>
        <v/>
      </c>
      <c r="C936" s="40" t="str">
        <f>IF(Agent05_Loans!B148="","",Agent05_Loans!C148)</f>
        <v/>
      </c>
      <c r="D936" s="41" t="str">
        <f>IF(Agent05_Loans!B148="","",Agent05_Loans!D148)</f>
        <v/>
      </c>
      <c r="E936" s="43" t="str">
        <f>IF(Agent05_Loans!B148="","",Agent05_Loans!E148)</f>
        <v/>
      </c>
      <c r="F936" s="40" t="str">
        <f>IF(Agent05_Loans!B148="","",Agent05_Loans!F148)</f>
        <v/>
      </c>
      <c r="G936" s="40" t="str">
        <f>IF(Agent05_Loans!B148="","",Agent05_Loans!G148)</f>
        <v/>
      </c>
      <c r="H936" s="40" t="str">
        <f>IF(Agent05_Loans!B148="","",Agent05_Loans!H148)</f>
        <v/>
      </c>
      <c r="I936" s="43" t="str">
        <f>IF(Agent05_Loans!B148="","",Agent05_Loans!I148)</f>
        <v/>
      </c>
      <c r="J936" s="43" t="str">
        <f>IF(Agent05_Loans!B148="","",Agent05_Loans!J148)</f>
        <v/>
      </c>
      <c r="K936" s="40" t="str">
        <f>IF(Agent05_Loans!B148="","",Agent05_Loans!K148)</f>
        <v/>
      </c>
      <c r="L936" s="40" t="str">
        <f>IF(Agent05_Loans!B148="","",Agent05_Loans!L148)</f>
        <v/>
      </c>
      <c r="M936" s="40" t="str">
        <f>IFERROR(IF(Agent05_Loans!B148="","",YEAR(Agent05_Loans!D148)),"")</f>
        <v/>
      </c>
    </row>
    <row r="937" spans="1:13" ht="18" customHeight="1" x14ac:dyDescent="0.25">
      <c r="A937" s="40" t="str">
        <f>IF(Agent05_Loans!B149="","",Agent05_Loans!A149)</f>
        <v/>
      </c>
      <c r="B937" s="40" t="str">
        <f>IF(Agent05_Loans!B149="","",Agent05_Loans!B149)</f>
        <v/>
      </c>
      <c r="C937" s="40" t="str">
        <f>IF(Agent05_Loans!B149="","",Agent05_Loans!C149)</f>
        <v/>
      </c>
      <c r="D937" s="41" t="str">
        <f>IF(Agent05_Loans!B149="","",Agent05_Loans!D149)</f>
        <v/>
      </c>
      <c r="E937" s="43" t="str">
        <f>IF(Agent05_Loans!B149="","",Agent05_Loans!E149)</f>
        <v/>
      </c>
      <c r="F937" s="40" t="str">
        <f>IF(Agent05_Loans!B149="","",Agent05_Loans!F149)</f>
        <v/>
      </c>
      <c r="G937" s="40" t="str">
        <f>IF(Agent05_Loans!B149="","",Agent05_Loans!G149)</f>
        <v/>
      </c>
      <c r="H937" s="40" t="str">
        <f>IF(Agent05_Loans!B149="","",Agent05_Loans!H149)</f>
        <v/>
      </c>
      <c r="I937" s="43" t="str">
        <f>IF(Agent05_Loans!B149="","",Agent05_Loans!I149)</f>
        <v/>
      </c>
      <c r="J937" s="43" t="str">
        <f>IF(Agent05_Loans!B149="","",Agent05_Loans!J149)</f>
        <v/>
      </c>
      <c r="K937" s="40" t="str">
        <f>IF(Agent05_Loans!B149="","",Agent05_Loans!K149)</f>
        <v/>
      </c>
      <c r="L937" s="40" t="str">
        <f>IF(Agent05_Loans!B149="","",Agent05_Loans!L149)</f>
        <v/>
      </c>
      <c r="M937" s="40" t="str">
        <f>IFERROR(IF(Agent05_Loans!B149="","",YEAR(Agent05_Loans!D149)),"")</f>
        <v/>
      </c>
    </row>
    <row r="938" spans="1:13" ht="18" customHeight="1" x14ac:dyDescent="0.25">
      <c r="A938" s="40" t="str">
        <f>IF(Agent05_Loans!B150="","",Agent05_Loans!A150)</f>
        <v/>
      </c>
      <c r="B938" s="40" t="str">
        <f>IF(Agent05_Loans!B150="","",Agent05_Loans!B150)</f>
        <v/>
      </c>
      <c r="C938" s="40" t="str">
        <f>IF(Agent05_Loans!B150="","",Agent05_Loans!C150)</f>
        <v/>
      </c>
      <c r="D938" s="41" t="str">
        <f>IF(Agent05_Loans!B150="","",Agent05_Loans!D150)</f>
        <v/>
      </c>
      <c r="E938" s="43" t="str">
        <f>IF(Agent05_Loans!B150="","",Agent05_Loans!E150)</f>
        <v/>
      </c>
      <c r="F938" s="40" t="str">
        <f>IF(Agent05_Loans!B150="","",Agent05_Loans!F150)</f>
        <v/>
      </c>
      <c r="G938" s="40" t="str">
        <f>IF(Agent05_Loans!B150="","",Agent05_Loans!G150)</f>
        <v/>
      </c>
      <c r="H938" s="40" t="str">
        <f>IF(Agent05_Loans!B150="","",Agent05_Loans!H150)</f>
        <v/>
      </c>
      <c r="I938" s="43" t="str">
        <f>IF(Agent05_Loans!B150="","",Agent05_Loans!I150)</f>
        <v/>
      </c>
      <c r="J938" s="43" t="str">
        <f>IF(Agent05_Loans!B150="","",Agent05_Loans!J150)</f>
        <v/>
      </c>
      <c r="K938" s="40" t="str">
        <f>IF(Agent05_Loans!B150="","",Agent05_Loans!K150)</f>
        <v/>
      </c>
      <c r="L938" s="40" t="str">
        <f>IF(Agent05_Loans!B150="","",Agent05_Loans!L150)</f>
        <v/>
      </c>
      <c r="M938" s="40" t="str">
        <f>IFERROR(IF(Agent05_Loans!B150="","",YEAR(Agent05_Loans!D150)),"")</f>
        <v/>
      </c>
    </row>
    <row r="939" spans="1:13" ht="18" customHeight="1" x14ac:dyDescent="0.25">
      <c r="A939" s="40" t="str">
        <f>IF(Agent05_Loans!B151="","",Agent05_Loans!A151)</f>
        <v/>
      </c>
      <c r="B939" s="40" t="str">
        <f>IF(Agent05_Loans!B151="","",Agent05_Loans!B151)</f>
        <v/>
      </c>
      <c r="C939" s="40" t="str">
        <f>IF(Agent05_Loans!B151="","",Agent05_Loans!C151)</f>
        <v/>
      </c>
      <c r="D939" s="41" t="str">
        <f>IF(Agent05_Loans!B151="","",Agent05_Loans!D151)</f>
        <v/>
      </c>
      <c r="E939" s="43" t="str">
        <f>IF(Agent05_Loans!B151="","",Agent05_Loans!E151)</f>
        <v/>
      </c>
      <c r="F939" s="40" t="str">
        <f>IF(Agent05_Loans!B151="","",Agent05_Loans!F151)</f>
        <v/>
      </c>
      <c r="G939" s="40" t="str">
        <f>IF(Agent05_Loans!B151="","",Agent05_Loans!G151)</f>
        <v/>
      </c>
      <c r="H939" s="40" t="str">
        <f>IF(Agent05_Loans!B151="","",Agent05_Loans!H151)</f>
        <v/>
      </c>
      <c r="I939" s="43" t="str">
        <f>IF(Agent05_Loans!B151="","",Agent05_Loans!I151)</f>
        <v/>
      </c>
      <c r="J939" s="43" t="str">
        <f>IF(Agent05_Loans!B151="","",Agent05_Loans!J151)</f>
        <v/>
      </c>
      <c r="K939" s="40" t="str">
        <f>IF(Agent05_Loans!B151="","",Agent05_Loans!K151)</f>
        <v/>
      </c>
      <c r="L939" s="40" t="str">
        <f>IF(Agent05_Loans!B151="","",Agent05_Loans!L151)</f>
        <v/>
      </c>
      <c r="M939" s="40" t="str">
        <f>IFERROR(IF(Agent05_Loans!B151="","",YEAR(Agent05_Loans!D151)),"")</f>
        <v/>
      </c>
    </row>
    <row r="940" spans="1:13" ht="18" customHeight="1" x14ac:dyDescent="0.25">
      <c r="A940" s="40" t="str">
        <f>IF(Agent05_Loans!B152="","",Agent05_Loans!A152)</f>
        <v/>
      </c>
      <c r="B940" s="40" t="str">
        <f>IF(Agent05_Loans!B152="","",Agent05_Loans!B152)</f>
        <v/>
      </c>
      <c r="C940" s="40" t="str">
        <f>IF(Agent05_Loans!B152="","",Agent05_Loans!C152)</f>
        <v/>
      </c>
      <c r="D940" s="41" t="str">
        <f>IF(Agent05_Loans!B152="","",Agent05_Loans!D152)</f>
        <v/>
      </c>
      <c r="E940" s="43" t="str">
        <f>IF(Agent05_Loans!B152="","",Agent05_Loans!E152)</f>
        <v/>
      </c>
      <c r="F940" s="40" t="str">
        <f>IF(Agent05_Loans!B152="","",Agent05_Loans!F152)</f>
        <v/>
      </c>
      <c r="G940" s="40" t="str">
        <f>IF(Agent05_Loans!B152="","",Agent05_Loans!G152)</f>
        <v/>
      </c>
      <c r="H940" s="40" t="str">
        <f>IF(Agent05_Loans!B152="","",Agent05_Loans!H152)</f>
        <v/>
      </c>
      <c r="I940" s="43" t="str">
        <f>IF(Agent05_Loans!B152="","",Agent05_Loans!I152)</f>
        <v/>
      </c>
      <c r="J940" s="43" t="str">
        <f>IF(Agent05_Loans!B152="","",Agent05_Loans!J152)</f>
        <v/>
      </c>
      <c r="K940" s="40" t="str">
        <f>IF(Agent05_Loans!B152="","",Agent05_Loans!K152)</f>
        <v/>
      </c>
      <c r="L940" s="40" t="str">
        <f>IF(Agent05_Loans!B152="","",Agent05_Loans!L152)</f>
        <v/>
      </c>
      <c r="M940" s="40" t="str">
        <f>IFERROR(IF(Agent05_Loans!B152="","",YEAR(Agent05_Loans!D152)),"")</f>
        <v/>
      </c>
    </row>
    <row r="941" spans="1:13" ht="18" customHeight="1" x14ac:dyDescent="0.25">
      <c r="A941" s="40" t="str">
        <f>IF(Agent05_Loans!B153="","",Agent05_Loans!A153)</f>
        <v/>
      </c>
      <c r="B941" s="40" t="str">
        <f>IF(Agent05_Loans!B153="","",Agent05_Loans!B153)</f>
        <v/>
      </c>
      <c r="C941" s="40" t="str">
        <f>IF(Agent05_Loans!B153="","",Agent05_Loans!C153)</f>
        <v/>
      </c>
      <c r="D941" s="41" t="str">
        <f>IF(Agent05_Loans!B153="","",Agent05_Loans!D153)</f>
        <v/>
      </c>
      <c r="E941" s="43" t="str">
        <f>IF(Agent05_Loans!B153="","",Agent05_Loans!E153)</f>
        <v/>
      </c>
      <c r="F941" s="40" t="str">
        <f>IF(Agent05_Loans!B153="","",Agent05_Loans!F153)</f>
        <v/>
      </c>
      <c r="G941" s="40" t="str">
        <f>IF(Agent05_Loans!B153="","",Agent05_Loans!G153)</f>
        <v/>
      </c>
      <c r="H941" s="40" t="str">
        <f>IF(Agent05_Loans!B153="","",Agent05_Loans!H153)</f>
        <v/>
      </c>
      <c r="I941" s="43" t="str">
        <f>IF(Agent05_Loans!B153="","",Agent05_Loans!I153)</f>
        <v/>
      </c>
      <c r="J941" s="43" t="str">
        <f>IF(Agent05_Loans!B153="","",Agent05_Loans!J153)</f>
        <v/>
      </c>
      <c r="K941" s="40" t="str">
        <f>IF(Agent05_Loans!B153="","",Agent05_Loans!K153)</f>
        <v/>
      </c>
      <c r="L941" s="40" t="str">
        <f>IF(Agent05_Loans!B153="","",Agent05_Loans!L153)</f>
        <v/>
      </c>
      <c r="M941" s="40" t="str">
        <f>IFERROR(IF(Agent05_Loans!B153="","",YEAR(Agent05_Loans!D153)),"")</f>
        <v/>
      </c>
    </row>
    <row r="942" spans="1:13" ht="18" customHeight="1" x14ac:dyDescent="0.25">
      <c r="A942" s="40" t="str">
        <f>IF(Agent05_Loans!B154="","",Agent05_Loans!A154)</f>
        <v/>
      </c>
      <c r="B942" s="40" t="str">
        <f>IF(Agent05_Loans!B154="","",Agent05_Loans!B154)</f>
        <v/>
      </c>
      <c r="C942" s="40" t="str">
        <f>IF(Agent05_Loans!B154="","",Agent05_Loans!C154)</f>
        <v/>
      </c>
      <c r="D942" s="41" t="str">
        <f>IF(Agent05_Loans!B154="","",Agent05_Loans!D154)</f>
        <v/>
      </c>
      <c r="E942" s="43" t="str">
        <f>IF(Agent05_Loans!B154="","",Agent05_Loans!E154)</f>
        <v/>
      </c>
      <c r="F942" s="40" t="str">
        <f>IF(Agent05_Loans!B154="","",Agent05_Loans!F154)</f>
        <v/>
      </c>
      <c r="G942" s="40" t="str">
        <f>IF(Agent05_Loans!B154="","",Agent05_Loans!G154)</f>
        <v/>
      </c>
      <c r="H942" s="40" t="str">
        <f>IF(Agent05_Loans!B154="","",Agent05_Loans!H154)</f>
        <v/>
      </c>
      <c r="I942" s="43" t="str">
        <f>IF(Agent05_Loans!B154="","",Agent05_Loans!I154)</f>
        <v/>
      </c>
      <c r="J942" s="43" t="str">
        <f>IF(Agent05_Loans!B154="","",Agent05_Loans!J154)</f>
        <v/>
      </c>
      <c r="K942" s="40" t="str">
        <f>IF(Agent05_Loans!B154="","",Agent05_Loans!K154)</f>
        <v/>
      </c>
      <c r="L942" s="40" t="str">
        <f>IF(Agent05_Loans!B154="","",Agent05_Loans!L154)</f>
        <v/>
      </c>
      <c r="M942" s="40" t="str">
        <f>IFERROR(IF(Agent05_Loans!B154="","",YEAR(Agent05_Loans!D154)),"")</f>
        <v/>
      </c>
    </row>
    <row r="943" spans="1:13" ht="18" customHeight="1" x14ac:dyDescent="0.25">
      <c r="A943" s="40" t="str">
        <f>IF(Agent05_Loans!B155="","",Agent05_Loans!A155)</f>
        <v/>
      </c>
      <c r="B943" s="40" t="str">
        <f>IF(Agent05_Loans!B155="","",Agent05_Loans!B155)</f>
        <v/>
      </c>
      <c r="C943" s="40" t="str">
        <f>IF(Agent05_Loans!B155="","",Agent05_Loans!C155)</f>
        <v/>
      </c>
      <c r="D943" s="41" t="str">
        <f>IF(Agent05_Loans!B155="","",Agent05_Loans!D155)</f>
        <v/>
      </c>
      <c r="E943" s="43" t="str">
        <f>IF(Agent05_Loans!B155="","",Agent05_Loans!E155)</f>
        <v/>
      </c>
      <c r="F943" s="40" t="str">
        <f>IF(Agent05_Loans!B155="","",Agent05_Loans!F155)</f>
        <v/>
      </c>
      <c r="G943" s="40" t="str">
        <f>IF(Agent05_Loans!B155="","",Agent05_Loans!G155)</f>
        <v/>
      </c>
      <c r="H943" s="40" t="str">
        <f>IF(Agent05_Loans!B155="","",Agent05_Loans!H155)</f>
        <v/>
      </c>
      <c r="I943" s="43" t="str">
        <f>IF(Agent05_Loans!B155="","",Agent05_Loans!I155)</f>
        <v/>
      </c>
      <c r="J943" s="43" t="str">
        <f>IF(Agent05_Loans!B155="","",Agent05_Loans!J155)</f>
        <v/>
      </c>
      <c r="K943" s="40" t="str">
        <f>IF(Agent05_Loans!B155="","",Agent05_Loans!K155)</f>
        <v/>
      </c>
      <c r="L943" s="40" t="str">
        <f>IF(Agent05_Loans!B155="","",Agent05_Loans!L155)</f>
        <v/>
      </c>
      <c r="M943" s="40" t="str">
        <f>IFERROR(IF(Agent05_Loans!B155="","",YEAR(Agent05_Loans!D155)),"")</f>
        <v/>
      </c>
    </row>
    <row r="944" spans="1:13" ht="18" customHeight="1" x14ac:dyDescent="0.25">
      <c r="A944" s="40" t="str">
        <f>IF(Agent05_Loans!B156="","",Agent05_Loans!A156)</f>
        <v/>
      </c>
      <c r="B944" s="40" t="str">
        <f>IF(Agent05_Loans!B156="","",Agent05_Loans!B156)</f>
        <v/>
      </c>
      <c r="C944" s="40" t="str">
        <f>IF(Agent05_Loans!B156="","",Agent05_Loans!C156)</f>
        <v/>
      </c>
      <c r="D944" s="41" t="str">
        <f>IF(Agent05_Loans!B156="","",Agent05_Loans!D156)</f>
        <v/>
      </c>
      <c r="E944" s="43" t="str">
        <f>IF(Agent05_Loans!B156="","",Agent05_Loans!E156)</f>
        <v/>
      </c>
      <c r="F944" s="40" t="str">
        <f>IF(Agent05_Loans!B156="","",Agent05_Loans!F156)</f>
        <v/>
      </c>
      <c r="G944" s="40" t="str">
        <f>IF(Agent05_Loans!B156="","",Agent05_Loans!G156)</f>
        <v/>
      </c>
      <c r="H944" s="40" t="str">
        <f>IF(Agent05_Loans!B156="","",Agent05_Loans!H156)</f>
        <v/>
      </c>
      <c r="I944" s="43" t="str">
        <f>IF(Agent05_Loans!B156="","",Agent05_Loans!I156)</f>
        <v/>
      </c>
      <c r="J944" s="43" t="str">
        <f>IF(Agent05_Loans!B156="","",Agent05_Loans!J156)</f>
        <v/>
      </c>
      <c r="K944" s="40" t="str">
        <f>IF(Agent05_Loans!B156="","",Agent05_Loans!K156)</f>
        <v/>
      </c>
      <c r="L944" s="40" t="str">
        <f>IF(Agent05_Loans!B156="","",Agent05_Loans!L156)</f>
        <v/>
      </c>
      <c r="M944" s="40" t="str">
        <f>IFERROR(IF(Agent05_Loans!B156="","",YEAR(Agent05_Loans!D156)),"")</f>
        <v/>
      </c>
    </row>
    <row r="945" spans="1:13" ht="18" customHeight="1" x14ac:dyDescent="0.25">
      <c r="A945" s="40" t="str">
        <f>IF(Agent05_Loans!B157="","",Agent05_Loans!A157)</f>
        <v/>
      </c>
      <c r="B945" s="40" t="str">
        <f>IF(Agent05_Loans!B157="","",Agent05_Loans!B157)</f>
        <v/>
      </c>
      <c r="C945" s="40" t="str">
        <f>IF(Agent05_Loans!B157="","",Agent05_Loans!C157)</f>
        <v/>
      </c>
      <c r="D945" s="41" t="str">
        <f>IF(Agent05_Loans!B157="","",Agent05_Loans!D157)</f>
        <v/>
      </c>
      <c r="E945" s="43" t="str">
        <f>IF(Agent05_Loans!B157="","",Agent05_Loans!E157)</f>
        <v/>
      </c>
      <c r="F945" s="40" t="str">
        <f>IF(Agent05_Loans!B157="","",Agent05_Loans!F157)</f>
        <v/>
      </c>
      <c r="G945" s="40" t="str">
        <f>IF(Agent05_Loans!B157="","",Agent05_Loans!G157)</f>
        <v/>
      </c>
      <c r="H945" s="40" t="str">
        <f>IF(Agent05_Loans!B157="","",Agent05_Loans!H157)</f>
        <v/>
      </c>
      <c r="I945" s="43" t="str">
        <f>IF(Agent05_Loans!B157="","",Agent05_Loans!I157)</f>
        <v/>
      </c>
      <c r="J945" s="43" t="str">
        <f>IF(Agent05_Loans!B157="","",Agent05_Loans!J157)</f>
        <v/>
      </c>
      <c r="K945" s="40" t="str">
        <f>IF(Agent05_Loans!B157="","",Agent05_Loans!K157)</f>
        <v/>
      </c>
      <c r="L945" s="40" t="str">
        <f>IF(Agent05_Loans!B157="","",Agent05_Loans!L157)</f>
        <v/>
      </c>
      <c r="M945" s="40" t="str">
        <f>IFERROR(IF(Agent05_Loans!B157="","",YEAR(Agent05_Loans!D157)),"")</f>
        <v/>
      </c>
    </row>
    <row r="946" spans="1:13" ht="18" customHeight="1" x14ac:dyDescent="0.25">
      <c r="A946" s="40" t="str">
        <f>IF(Agent05_Loans!B158="","",Agent05_Loans!A158)</f>
        <v/>
      </c>
      <c r="B946" s="40" t="str">
        <f>IF(Agent05_Loans!B158="","",Agent05_Loans!B158)</f>
        <v/>
      </c>
      <c r="C946" s="40" t="str">
        <f>IF(Agent05_Loans!B158="","",Agent05_Loans!C158)</f>
        <v/>
      </c>
      <c r="D946" s="41" t="str">
        <f>IF(Agent05_Loans!B158="","",Agent05_Loans!D158)</f>
        <v/>
      </c>
      <c r="E946" s="43" t="str">
        <f>IF(Agent05_Loans!B158="","",Agent05_Loans!E158)</f>
        <v/>
      </c>
      <c r="F946" s="40" t="str">
        <f>IF(Agent05_Loans!B158="","",Agent05_Loans!F158)</f>
        <v/>
      </c>
      <c r="G946" s="40" t="str">
        <f>IF(Agent05_Loans!B158="","",Agent05_Loans!G158)</f>
        <v/>
      </c>
      <c r="H946" s="40" t="str">
        <f>IF(Agent05_Loans!B158="","",Agent05_Loans!H158)</f>
        <v/>
      </c>
      <c r="I946" s="43" t="str">
        <f>IF(Agent05_Loans!B158="","",Agent05_Loans!I158)</f>
        <v/>
      </c>
      <c r="J946" s="43" t="str">
        <f>IF(Agent05_Loans!B158="","",Agent05_Loans!J158)</f>
        <v/>
      </c>
      <c r="K946" s="40" t="str">
        <f>IF(Agent05_Loans!B158="","",Agent05_Loans!K158)</f>
        <v/>
      </c>
      <c r="L946" s="40" t="str">
        <f>IF(Agent05_Loans!B158="","",Agent05_Loans!L158)</f>
        <v/>
      </c>
      <c r="M946" s="40" t="str">
        <f>IFERROR(IF(Agent05_Loans!B158="","",YEAR(Agent05_Loans!D158)),"")</f>
        <v/>
      </c>
    </row>
    <row r="947" spans="1:13" ht="18" customHeight="1" x14ac:dyDescent="0.25">
      <c r="A947" s="40" t="str">
        <f>IF(Agent05_Loans!B159="","",Agent05_Loans!A159)</f>
        <v/>
      </c>
      <c r="B947" s="40" t="str">
        <f>IF(Agent05_Loans!B159="","",Agent05_Loans!B159)</f>
        <v/>
      </c>
      <c r="C947" s="40" t="str">
        <f>IF(Agent05_Loans!B159="","",Agent05_Loans!C159)</f>
        <v/>
      </c>
      <c r="D947" s="41" t="str">
        <f>IF(Agent05_Loans!B159="","",Agent05_Loans!D159)</f>
        <v/>
      </c>
      <c r="E947" s="43" t="str">
        <f>IF(Agent05_Loans!B159="","",Agent05_Loans!E159)</f>
        <v/>
      </c>
      <c r="F947" s="40" t="str">
        <f>IF(Agent05_Loans!B159="","",Agent05_Loans!F159)</f>
        <v/>
      </c>
      <c r="G947" s="40" t="str">
        <f>IF(Agent05_Loans!B159="","",Agent05_Loans!G159)</f>
        <v/>
      </c>
      <c r="H947" s="40" t="str">
        <f>IF(Agent05_Loans!B159="","",Agent05_Loans!H159)</f>
        <v/>
      </c>
      <c r="I947" s="43" t="str">
        <f>IF(Agent05_Loans!B159="","",Agent05_Loans!I159)</f>
        <v/>
      </c>
      <c r="J947" s="43" t="str">
        <f>IF(Agent05_Loans!B159="","",Agent05_Loans!J159)</f>
        <v/>
      </c>
      <c r="K947" s="40" t="str">
        <f>IF(Agent05_Loans!B159="","",Agent05_Loans!K159)</f>
        <v/>
      </c>
      <c r="L947" s="40" t="str">
        <f>IF(Agent05_Loans!B159="","",Agent05_Loans!L159)</f>
        <v/>
      </c>
      <c r="M947" s="40" t="str">
        <f>IFERROR(IF(Agent05_Loans!B159="","",YEAR(Agent05_Loans!D159)),"")</f>
        <v/>
      </c>
    </row>
    <row r="948" spans="1:13" ht="18" customHeight="1" x14ac:dyDescent="0.25">
      <c r="A948" s="40" t="str">
        <f>IF(Agent05_Loans!B160="","",Agent05_Loans!A160)</f>
        <v/>
      </c>
      <c r="B948" s="40" t="str">
        <f>IF(Agent05_Loans!B160="","",Agent05_Loans!B160)</f>
        <v/>
      </c>
      <c r="C948" s="40" t="str">
        <f>IF(Agent05_Loans!B160="","",Agent05_Loans!C160)</f>
        <v/>
      </c>
      <c r="D948" s="41" t="str">
        <f>IF(Agent05_Loans!B160="","",Agent05_Loans!D160)</f>
        <v/>
      </c>
      <c r="E948" s="43" t="str">
        <f>IF(Agent05_Loans!B160="","",Agent05_Loans!E160)</f>
        <v/>
      </c>
      <c r="F948" s="40" t="str">
        <f>IF(Agent05_Loans!B160="","",Agent05_Loans!F160)</f>
        <v/>
      </c>
      <c r="G948" s="40" t="str">
        <f>IF(Agent05_Loans!B160="","",Agent05_Loans!G160)</f>
        <v/>
      </c>
      <c r="H948" s="40" t="str">
        <f>IF(Agent05_Loans!B160="","",Agent05_Loans!H160)</f>
        <v/>
      </c>
      <c r="I948" s="43" t="str">
        <f>IF(Agent05_Loans!B160="","",Agent05_Loans!I160)</f>
        <v/>
      </c>
      <c r="J948" s="43" t="str">
        <f>IF(Agent05_Loans!B160="","",Agent05_Loans!J160)</f>
        <v/>
      </c>
      <c r="K948" s="40" t="str">
        <f>IF(Agent05_Loans!B160="","",Agent05_Loans!K160)</f>
        <v/>
      </c>
      <c r="L948" s="40" t="str">
        <f>IF(Agent05_Loans!B160="","",Agent05_Loans!L160)</f>
        <v/>
      </c>
      <c r="M948" s="40" t="str">
        <f>IFERROR(IF(Agent05_Loans!B160="","",YEAR(Agent05_Loans!D160)),"")</f>
        <v/>
      </c>
    </row>
    <row r="949" spans="1:13" ht="18" customHeight="1" x14ac:dyDescent="0.25">
      <c r="A949" s="40" t="str">
        <f>IF(Agent05_Loans!B161="","",Agent05_Loans!A161)</f>
        <v/>
      </c>
      <c r="B949" s="40" t="str">
        <f>IF(Agent05_Loans!B161="","",Agent05_Loans!B161)</f>
        <v/>
      </c>
      <c r="C949" s="40" t="str">
        <f>IF(Agent05_Loans!B161="","",Agent05_Loans!C161)</f>
        <v/>
      </c>
      <c r="D949" s="41" t="str">
        <f>IF(Agent05_Loans!B161="","",Agent05_Loans!D161)</f>
        <v/>
      </c>
      <c r="E949" s="43" t="str">
        <f>IF(Agent05_Loans!B161="","",Agent05_Loans!E161)</f>
        <v/>
      </c>
      <c r="F949" s="40" t="str">
        <f>IF(Agent05_Loans!B161="","",Agent05_Loans!F161)</f>
        <v/>
      </c>
      <c r="G949" s="40" t="str">
        <f>IF(Agent05_Loans!B161="","",Agent05_Loans!G161)</f>
        <v/>
      </c>
      <c r="H949" s="40" t="str">
        <f>IF(Agent05_Loans!B161="","",Agent05_Loans!H161)</f>
        <v/>
      </c>
      <c r="I949" s="43" t="str">
        <f>IF(Agent05_Loans!B161="","",Agent05_Loans!I161)</f>
        <v/>
      </c>
      <c r="J949" s="43" t="str">
        <f>IF(Agent05_Loans!B161="","",Agent05_Loans!J161)</f>
        <v/>
      </c>
      <c r="K949" s="40" t="str">
        <f>IF(Agent05_Loans!B161="","",Agent05_Loans!K161)</f>
        <v/>
      </c>
      <c r="L949" s="40" t="str">
        <f>IF(Agent05_Loans!B161="","",Agent05_Loans!L161)</f>
        <v/>
      </c>
      <c r="M949" s="40" t="str">
        <f>IFERROR(IF(Agent05_Loans!B161="","",YEAR(Agent05_Loans!D161)),"")</f>
        <v/>
      </c>
    </row>
    <row r="950" spans="1:13" ht="18" customHeight="1" x14ac:dyDescent="0.25">
      <c r="A950" s="40" t="str">
        <f>IF(Agent05_Loans!B162="","",Agent05_Loans!A162)</f>
        <v/>
      </c>
      <c r="B950" s="40" t="str">
        <f>IF(Agent05_Loans!B162="","",Agent05_Loans!B162)</f>
        <v/>
      </c>
      <c r="C950" s="40" t="str">
        <f>IF(Agent05_Loans!B162="","",Agent05_Loans!C162)</f>
        <v/>
      </c>
      <c r="D950" s="41" t="str">
        <f>IF(Agent05_Loans!B162="","",Agent05_Loans!D162)</f>
        <v/>
      </c>
      <c r="E950" s="43" t="str">
        <f>IF(Agent05_Loans!B162="","",Agent05_Loans!E162)</f>
        <v/>
      </c>
      <c r="F950" s="40" t="str">
        <f>IF(Agent05_Loans!B162="","",Agent05_Loans!F162)</f>
        <v/>
      </c>
      <c r="G950" s="40" t="str">
        <f>IF(Agent05_Loans!B162="","",Agent05_Loans!G162)</f>
        <v/>
      </c>
      <c r="H950" s="40" t="str">
        <f>IF(Agent05_Loans!B162="","",Agent05_Loans!H162)</f>
        <v/>
      </c>
      <c r="I950" s="43" t="str">
        <f>IF(Agent05_Loans!B162="","",Agent05_Loans!I162)</f>
        <v/>
      </c>
      <c r="J950" s="43" t="str">
        <f>IF(Agent05_Loans!B162="","",Agent05_Loans!J162)</f>
        <v/>
      </c>
      <c r="K950" s="40" t="str">
        <f>IF(Agent05_Loans!B162="","",Agent05_Loans!K162)</f>
        <v/>
      </c>
      <c r="L950" s="40" t="str">
        <f>IF(Agent05_Loans!B162="","",Agent05_Loans!L162)</f>
        <v/>
      </c>
      <c r="M950" s="40" t="str">
        <f>IFERROR(IF(Agent05_Loans!B162="","",YEAR(Agent05_Loans!D162)),"")</f>
        <v/>
      </c>
    </row>
    <row r="951" spans="1:13" ht="18" customHeight="1" x14ac:dyDescent="0.25">
      <c r="A951" s="40" t="str">
        <f>IF(Agent05_Loans!B163="","",Agent05_Loans!A163)</f>
        <v/>
      </c>
      <c r="B951" s="40" t="str">
        <f>IF(Agent05_Loans!B163="","",Agent05_Loans!B163)</f>
        <v/>
      </c>
      <c r="C951" s="40" t="str">
        <f>IF(Agent05_Loans!B163="","",Agent05_Loans!C163)</f>
        <v/>
      </c>
      <c r="D951" s="41" t="str">
        <f>IF(Agent05_Loans!B163="","",Agent05_Loans!D163)</f>
        <v/>
      </c>
      <c r="E951" s="43" t="str">
        <f>IF(Agent05_Loans!B163="","",Agent05_Loans!E163)</f>
        <v/>
      </c>
      <c r="F951" s="40" t="str">
        <f>IF(Agent05_Loans!B163="","",Agent05_Loans!F163)</f>
        <v/>
      </c>
      <c r="G951" s="40" t="str">
        <f>IF(Agent05_Loans!B163="","",Agent05_Loans!G163)</f>
        <v/>
      </c>
      <c r="H951" s="40" t="str">
        <f>IF(Agent05_Loans!B163="","",Agent05_Loans!H163)</f>
        <v/>
      </c>
      <c r="I951" s="43" t="str">
        <f>IF(Agent05_Loans!B163="","",Agent05_Loans!I163)</f>
        <v/>
      </c>
      <c r="J951" s="43" t="str">
        <f>IF(Agent05_Loans!B163="","",Agent05_Loans!J163)</f>
        <v/>
      </c>
      <c r="K951" s="40" t="str">
        <f>IF(Agent05_Loans!B163="","",Agent05_Loans!K163)</f>
        <v/>
      </c>
      <c r="L951" s="40" t="str">
        <f>IF(Agent05_Loans!B163="","",Agent05_Loans!L163)</f>
        <v/>
      </c>
      <c r="M951" s="40" t="str">
        <f>IFERROR(IF(Agent05_Loans!B163="","",YEAR(Agent05_Loans!D163)),"")</f>
        <v/>
      </c>
    </row>
    <row r="952" spans="1:13" ht="18" customHeight="1" x14ac:dyDescent="0.25">
      <c r="A952" s="40" t="str">
        <f>IF(Agent05_Loans!B164="","",Agent05_Loans!A164)</f>
        <v/>
      </c>
      <c r="B952" s="40" t="str">
        <f>IF(Agent05_Loans!B164="","",Agent05_Loans!B164)</f>
        <v/>
      </c>
      <c r="C952" s="40" t="str">
        <f>IF(Agent05_Loans!B164="","",Agent05_Loans!C164)</f>
        <v/>
      </c>
      <c r="D952" s="41" t="str">
        <f>IF(Agent05_Loans!B164="","",Agent05_Loans!D164)</f>
        <v/>
      </c>
      <c r="E952" s="43" t="str">
        <f>IF(Agent05_Loans!B164="","",Agent05_Loans!E164)</f>
        <v/>
      </c>
      <c r="F952" s="40" t="str">
        <f>IF(Agent05_Loans!B164="","",Agent05_Loans!F164)</f>
        <v/>
      </c>
      <c r="G952" s="40" t="str">
        <f>IF(Agent05_Loans!B164="","",Agent05_Loans!G164)</f>
        <v/>
      </c>
      <c r="H952" s="40" t="str">
        <f>IF(Agent05_Loans!B164="","",Agent05_Loans!H164)</f>
        <v/>
      </c>
      <c r="I952" s="43" t="str">
        <f>IF(Agent05_Loans!B164="","",Agent05_Loans!I164)</f>
        <v/>
      </c>
      <c r="J952" s="43" t="str">
        <f>IF(Agent05_Loans!B164="","",Agent05_Loans!J164)</f>
        <v/>
      </c>
      <c r="K952" s="40" t="str">
        <f>IF(Agent05_Loans!B164="","",Agent05_Loans!K164)</f>
        <v/>
      </c>
      <c r="L952" s="40" t="str">
        <f>IF(Agent05_Loans!B164="","",Agent05_Loans!L164)</f>
        <v/>
      </c>
      <c r="M952" s="40" t="str">
        <f>IFERROR(IF(Agent05_Loans!B164="","",YEAR(Agent05_Loans!D164)),"")</f>
        <v/>
      </c>
    </row>
    <row r="953" spans="1:13" ht="18" customHeight="1" x14ac:dyDescent="0.25">
      <c r="A953" s="40" t="str">
        <f>IF(Agent05_Loans!B165="","",Agent05_Loans!A165)</f>
        <v/>
      </c>
      <c r="B953" s="40" t="str">
        <f>IF(Agent05_Loans!B165="","",Agent05_Loans!B165)</f>
        <v/>
      </c>
      <c r="C953" s="40" t="str">
        <f>IF(Agent05_Loans!B165="","",Agent05_Loans!C165)</f>
        <v/>
      </c>
      <c r="D953" s="41" t="str">
        <f>IF(Agent05_Loans!B165="","",Agent05_Loans!D165)</f>
        <v/>
      </c>
      <c r="E953" s="43" t="str">
        <f>IF(Agent05_Loans!B165="","",Agent05_Loans!E165)</f>
        <v/>
      </c>
      <c r="F953" s="40" t="str">
        <f>IF(Agent05_Loans!B165="","",Agent05_Loans!F165)</f>
        <v/>
      </c>
      <c r="G953" s="40" t="str">
        <f>IF(Agent05_Loans!B165="","",Agent05_Loans!G165)</f>
        <v/>
      </c>
      <c r="H953" s="40" t="str">
        <f>IF(Agent05_Loans!B165="","",Agent05_Loans!H165)</f>
        <v/>
      </c>
      <c r="I953" s="43" t="str">
        <f>IF(Agent05_Loans!B165="","",Agent05_Loans!I165)</f>
        <v/>
      </c>
      <c r="J953" s="43" t="str">
        <f>IF(Agent05_Loans!B165="","",Agent05_Loans!J165)</f>
        <v/>
      </c>
      <c r="K953" s="40" t="str">
        <f>IF(Agent05_Loans!B165="","",Agent05_Loans!K165)</f>
        <v/>
      </c>
      <c r="L953" s="40" t="str">
        <f>IF(Agent05_Loans!B165="","",Agent05_Loans!L165)</f>
        <v/>
      </c>
      <c r="M953" s="40" t="str">
        <f>IFERROR(IF(Agent05_Loans!B165="","",YEAR(Agent05_Loans!D165)),"")</f>
        <v/>
      </c>
    </row>
    <row r="954" spans="1:13" ht="18" customHeight="1" x14ac:dyDescent="0.25">
      <c r="A954" s="40" t="str">
        <f>IF(Agent05_Loans!B166="","",Agent05_Loans!A166)</f>
        <v/>
      </c>
      <c r="B954" s="40" t="str">
        <f>IF(Agent05_Loans!B166="","",Agent05_Loans!B166)</f>
        <v/>
      </c>
      <c r="C954" s="40" t="str">
        <f>IF(Agent05_Loans!B166="","",Agent05_Loans!C166)</f>
        <v/>
      </c>
      <c r="D954" s="41" t="str">
        <f>IF(Agent05_Loans!B166="","",Agent05_Loans!D166)</f>
        <v/>
      </c>
      <c r="E954" s="43" t="str">
        <f>IF(Agent05_Loans!B166="","",Agent05_Loans!E166)</f>
        <v/>
      </c>
      <c r="F954" s="40" t="str">
        <f>IF(Agent05_Loans!B166="","",Agent05_Loans!F166)</f>
        <v/>
      </c>
      <c r="G954" s="40" t="str">
        <f>IF(Agent05_Loans!B166="","",Agent05_Loans!G166)</f>
        <v/>
      </c>
      <c r="H954" s="40" t="str">
        <f>IF(Agent05_Loans!B166="","",Agent05_Loans!H166)</f>
        <v/>
      </c>
      <c r="I954" s="43" t="str">
        <f>IF(Agent05_Loans!B166="","",Agent05_Loans!I166)</f>
        <v/>
      </c>
      <c r="J954" s="43" t="str">
        <f>IF(Agent05_Loans!B166="","",Agent05_Loans!J166)</f>
        <v/>
      </c>
      <c r="K954" s="40" t="str">
        <f>IF(Agent05_Loans!B166="","",Agent05_Loans!K166)</f>
        <v/>
      </c>
      <c r="L954" s="40" t="str">
        <f>IF(Agent05_Loans!B166="","",Agent05_Loans!L166)</f>
        <v/>
      </c>
      <c r="M954" s="40" t="str">
        <f>IFERROR(IF(Agent05_Loans!B166="","",YEAR(Agent05_Loans!D166)),"")</f>
        <v/>
      </c>
    </row>
    <row r="955" spans="1:13" ht="18" customHeight="1" x14ac:dyDescent="0.25">
      <c r="A955" s="40" t="str">
        <f>IF(Agent05_Loans!B167="","",Agent05_Loans!A167)</f>
        <v/>
      </c>
      <c r="B955" s="40" t="str">
        <f>IF(Agent05_Loans!B167="","",Agent05_Loans!B167)</f>
        <v/>
      </c>
      <c r="C955" s="40" t="str">
        <f>IF(Agent05_Loans!B167="","",Agent05_Loans!C167)</f>
        <v/>
      </c>
      <c r="D955" s="41" t="str">
        <f>IF(Agent05_Loans!B167="","",Agent05_Loans!D167)</f>
        <v/>
      </c>
      <c r="E955" s="43" t="str">
        <f>IF(Agent05_Loans!B167="","",Agent05_Loans!E167)</f>
        <v/>
      </c>
      <c r="F955" s="40" t="str">
        <f>IF(Agent05_Loans!B167="","",Agent05_Loans!F167)</f>
        <v/>
      </c>
      <c r="G955" s="40" t="str">
        <f>IF(Agent05_Loans!B167="","",Agent05_Loans!G167)</f>
        <v/>
      </c>
      <c r="H955" s="40" t="str">
        <f>IF(Agent05_Loans!B167="","",Agent05_Loans!H167)</f>
        <v/>
      </c>
      <c r="I955" s="43" t="str">
        <f>IF(Agent05_Loans!B167="","",Agent05_Loans!I167)</f>
        <v/>
      </c>
      <c r="J955" s="43" t="str">
        <f>IF(Agent05_Loans!B167="","",Agent05_Loans!J167)</f>
        <v/>
      </c>
      <c r="K955" s="40" t="str">
        <f>IF(Agent05_Loans!B167="","",Agent05_Loans!K167)</f>
        <v/>
      </c>
      <c r="L955" s="40" t="str">
        <f>IF(Agent05_Loans!B167="","",Agent05_Loans!L167)</f>
        <v/>
      </c>
      <c r="M955" s="40" t="str">
        <f>IFERROR(IF(Agent05_Loans!B167="","",YEAR(Agent05_Loans!D167)),"")</f>
        <v/>
      </c>
    </row>
    <row r="956" spans="1:13" ht="18" customHeight="1" x14ac:dyDescent="0.25">
      <c r="A956" s="40" t="str">
        <f>IF(Agent05_Loans!B168="","",Agent05_Loans!A168)</f>
        <v/>
      </c>
      <c r="B956" s="40" t="str">
        <f>IF(Agent05_Loans!B168="","",Agent05_Loans!B168)</f>
        <v/>
      </c>
      <c r="C956" s="40" t="str">
        <f>IF(Agent05_Loans!B168="","",Agent05_Loans!C168)</f>
        <v/>
      </c>
      <c r="D956" s="41" t="str">
        <f>IF(Agent05_Loans!B168="","",Agent05_Loans!D168)</f>
        <v/>
      </c>
      <c r="E956" s="43" t="str">
        <f>IF(Agent05_Loans!B168="","",Agent05_Loans!E168)</f>
        <v/>
      </c>
      <c r="F956" s="40" t="str">
        <f>IF(Agent05_Loans!B168="","",Agent05_Loans!F168)</f>
        <v/>
      </c>
      <c r="G956" s="40" t="str">
        <f>IF(Agent05_Loans!B168="","",Agent05_Loans!G168)</f>
        <v/>
      </c>
      <c r="H956" s="40" t="str">
        <f>IF(Agent05_Loans!B168="","",Agent05_Loans!H168)</f>
        <v/>
      </c>
      <c r="I956" s="43" t="str">
        <f>IF(Agent05_Loans!B168="","",Agent05_Loans!I168)</f>
        <v/>
      </c>
      <c r="J956" s="43" t="str">
        <f>IF(Agent05_Loans!B168="","",Agent05_Loans!J168)</f>
        <v/>
      </c>
      <c r="K956" s="40" t="str">
        <f>IF(Agent05_Loans!B168="","",Agent05_Loans!K168)</f>
        <v/>
      </c>
      <c r="L956" s="40" t="str">
        <f>IF(Agent05_Loans!B168="","",Agent05_Loans!L168)</f>
        <v/>
      </c>
      <c r="M956" s="40" t="str">
        <f>IFERROR(IF(Agent05_Loans!B168="","",YEAR(Agent05_Loans!D168)),"")</f>
        <v/>
      </c>
    </row>
    <row r="957" spans="1:13" ht="18" customHeight="1" x14ac:dyDescent="0.25">
      <c r="A957" s="40" t="str">
        <f>IF(Agent05_Loans!B169="","",Agent05_Loans!A169)</f>
        <v/>
      </c>
      <c r="B957" s="40" t="str">
        <f>IF(Agent05_Loans!B169="","",Agent05_Loans!B169)</f>
        <v/>
      </c>
      <c r="C957" s="40" t="str">
        <f>IF(Agent05_Loans!B169="","",Agent05_Loans!C169)</f>
        <v/>
      </c>
      <c r="D957" s="41" t="str">
        <f>IF(Agent05_Loans!B169="","",Agent05_Loans!D169)</f>
        <v/>
      </c>
      <c r="E957" s="43" t="str">
        <f>IF(Agent05_Loans!B169="","",Agent05_Loans!E169)</f>
        <v/>
      </c>
      <c r="F957" s="40" t="str">
        <f>IF(Agent05_Loans!B169="","",Agent05_Loans!F169)</f>
        <v/>
      </c>
      <c r="G957" s="40" t="str">
        <f>IF(Agent05_Loans!B169="","",Agent05_Loans!G169)</f>
        <v/>
      </c>
      <c r="H957" s="40" t="str">
        <f>IF(Agent05_Loans!B169="","",Agent05_Loans!H169)</f>
        <v/>
      </c>
      <c r="I957" s="43" t="str">
        <f>IF(Agent05_Loans!B169="","",Agent05_Loans!I169)</f>
        <v/>
      </c>
      <c r="J957" s="43" t="str">
        <f>IF(Agent05_Loans!B169="","",Agent05_Loans!J169)</f>
        <v/>
      </c>
      <c r="K957" s="40" t="str">
        <f>IF(Agent05_Loans!B169="","",Agent05_Loans!K169)</f>
        <v/>
      </c>
      <c r="L957" s="40" t="str">
        <f>IF(Agent05_Loans!B169="","",Agent05_Loans!L169)</f>
        <v/>
      </c>
      <c r="M957" s="40" t="str">
        <f>IFERROR(IF(Agent05_Loans!B169="","",YEAR(Agent05_Loans!D169)),"")</f>
        <v/>
      </c>
    </row>
    <row r="958" spans="1:13" ht="18" customHeight="1" x14ac:dyDescent="0.25">
      <c r="A958" s="40" t="str">
        <f>IF(Agent05_Loans!B170="","",Agent05_Loans!A170)</f>
        <v/>
      </c>
      <c r="B958" s="40" t="str">
        <f>IF(Agent05_Loans!B170="","",Agent05_Loans!B170)</f>
        <v/>
      </c>
      <c r="C958" s="40" t="str">
        <f>IF(Agent05_Loans!B170="","",Agent05_Loans!C170)</f>
        <v/>
      </c>
      <c r="D958" s="41" t="str">
        <f>IF(Agent05_Loans!B170="","",Agent05_Loans!D170)</f>
        <v/>
      </c>
      <c r="E958" s="43" t="str">
        <f>IF(Agent05_Loans!B170="","",Agent05_Loans!E170)</f>
        <v/>
      </c>
      <c r="F958" s="40" t="str">
        <f>IF(Agent05_Loans!B170="","",Agent05_Loans!F170)</f>
        <v/>
      </c>
      <c r="G958" s="40" t="str">
        <f>IF(Agent05_Loans!B170="","",Agent05_Loans!G170)</f>
        <v/>
      </c>
      <c r="H958" s="40" t="str">
        <f>IF(Agent05_Loans!B170="","",Agent05_Loans!H170)</f>
        <v/>
      </c>
      <c r="I958" s="43" t="str">
        <f>IF(Agent05_Loans!B170="","",Agent05_Loans!I170)</f>
        <v/>
      </c>
      <c r="J958" s="43" t="str">
        <f>IF(Agent05_Loans!B170="","",Agent05_Loans!J170)</f>
        <v/>
      </c>
      <c r="K958" s="40" t="str">
        <f>IF(Agent05_Loans!B170="","",Agent05_Loans!K170)</f>
        <v/>
      </c>
      <c r="L958" s="40" t="str">
        <f>IF(Agent05_Loans!B170="","",Agent05_Loans!L170)</f>
        <v/>
      </c>
      <c r="M958" s="40" t="str">
        <f>IFERROR(IF(Agent05_Loans!B170="","",YEAR(Agent05_Loans!D170)),"")</f>
        <v/>
      </c>
    </row>
    <row r="959" spans="1:13" ht="18" customHeight="1" x14ac:dyDescent="0.25">
      <c r="A959" s="40" t="str">
        <f>IF(Agent05_Loans!B171="","",Agent05_Loans!A171)</f>
        <v/>
      </c>
      <c r="B959" s="40" t="str">
        <f>IF(Agent05_Loans!B171="","",Agent05_Loans!B171)</f>
        <v/>
      </c>
      <c r="C959" s="40" t="str">
        <f>IF(Agent05_Loans!B171="","",Agent05_Loans!C171)</f>
        <v/>
      </c>
      <c r="D959" s="41" t="str">
        <f>IF(Agent05_Loans!B171="","",Agent05_Loans!D171)</f>
        <v/>
      </c>
      <c r="E959" s="43" t="str">
        <f>IF(Agent05_Loans!B171="","",Agent05_Loans!E171)</f>
        <v/>
      </c>
      <c r="F959" s="40" t="str">
        <f>IF(Agent05_Loans!B171="","",Agent05_Loans!F171)</f>
        <v/>
      </c>
      <c r="G959" s="40" t="str">
        <f>IF(Agent05_Loans!B171="","",Agent05_Loans!G171)</f>
        <v/>
      </c>
      <c r="H959" s="40" t="str">
        <f>IF(Agent05_Loans!B171="","",Agent05_Loans!H171)</f>
        <v/>
      </c>
      <c r="I959" s="43" t="str">
        <f>IF(Agent05_Loans!B171="","",Agent05_Loans!I171)</f>
        <v/>
      </c>
      <c r="J959" s="43" t="str">
        <f>IF(Agent05_Loans!B171="","",Agent05_Loans!J171)</f>
        <v/>
      </c>
      <c r="K959" s="40" t="str">
        <f>IF(Agent05_Loans!B171="","",Agent05_Loans!K171)</f>
        <v/>
      </c>
      <c r="L959" s="40" t="str">
        <f>IF(Agent05_Loans!B171="","",Agent05_Loans!L171)</f>
        <v/>
      </c>
      <c r="M959" s="40" t="str">
        <f>IFERROR(IF(Agent05_Loans!B171="","",YEAR(Agent05_Loans!D171)),"")</f>
        <v/>
      </c>
    </row>
    <row r="960" spans="1:13" ht="18" customHeight="1" x14ac:dyDescent="0.25">
      <c r="A960" s="40" t="str">
        <f>IF(Agent05_Loans!B172="","",Agent05_Loans!A172)</f>
        <v/>
      </c>
      <c r="B960" s="40" t="str">
        <f>IF(Agent05_Loans!B172="","",Agent05_Loans!B172)</f>
        <v/>
      </c>
      <c r="C960" s="40" t="str">
        <f>IF(Agent05_Loans!B172="","",Agent05_Loans!C172)</f>
        <v/>
      </c>
      <c r="D960" s="41" t="str">
        <f>IF(Agent05_Loans!B172="","",Agent05_Loans!D172)</f>
        <v/>
      </c>
      <c r="E960" s="43" t="str">
        <f>IF(Agent05_Loans!B172="","",Agent05_Loans!E172)</f>
        <v/>
      </c>
      <c r="F960" s="40" t="str">
        <f>IF(Agent05_Loans!B172="","",Agent05_Loans!F172)</f>
        <v/>
      </c>
      <c r="G960" s="40" t="str">
        <f>IF(Agent05_Loans!B172="","",Agent05_Loans!G172)</f>
        <v/>
      </c>
      <c r="H960" s="40" t="str">
        <f>IF(Agent05_Loans!B172="","",Agent05_Loans!H172)</f>
        <v/>
      </c>
      <c r="I960" s="43" t="str">
        <f>IF(Agent05_Loans!B172="","",Agent05_Loans!I172)</f>
        <v/>
      </c>
      <c r="J960" s="43" t="str">
        <f>IF(Agent05_Loans!B172="","",Agent05_Loans!J172)</f>
        <v/>
      </c>
      <c r="K960" s="40" t="str">
        <f>IF(Agent05_Loans!B172="","",Agent05_Loans!K172)</f>
        <v/>
      </c>
      <c r="L960" s="40" t="str">
        <f>IF(Agent05_Loans!B172="","",Agent05_Loans!L172)</f>
        <v/>
      </c>
      <c r="M960" s="40" t="str">
        <f>IFERROR(IF(Agent05_Loans!B172="","",YEAR(Agent05_Loans!D172)),"")</f>
        <v/>
      </c>
    </row>
    <row r="961" spans="1:13" ht="18" customHeight="1" x14ac:dyDescent="0.25">
      <c r="A961" s="40" t="str">
        <f>IF(Agent05_Loans!B173="","",Agent05_Loans!A173)</f>
        <v/>
      </c>
      <c r="B961" s="40" t="str">
        <f>IF(Agent05_Loans!B173="","",Agent05_Loans!B173)</f>
        <v/>
      </c>
      <c r="C961" s="40" t="str">
        <f>IF(Agent05_Loans!B173="","",Agent05_Loans!C173)</f>
        <v/>
      </c>
      <c r="D961" s="41" t="str">
        <f>IF(Agent05_Loans!B173="","",Agent05_Loans!D173)</f>
        <v/>
      </c>
      <c r="E961" s="43" t="str">
        <f>IF(Agent05_Loans!B173="","",Agent05_Loans!E173)</f>
        <v/>
      </c>
      <c r="F961" s="40" t="str">
        <f>IF(Agent05_Loans!B173="","",Agent05_Loans!F173)</f>
        <v/>
      </c>
      <c r="G961" s="40" t="str">
        <f>IF(Agent05_Loans!B173="","",Agent05_Loans!G173)</f>
        <v/>
      </c>
      <c r="H961" s="40" t="str">
        <f>IF(Agent05_Loans!B173="","",Agent05_Loans!H173)</f>
        <v/>
      </c>
      <c r="I961" s="43" t="str">
        <f>IF(Agent05_Loans!B173="","",Agent05_Loans!I173)</f>
        <v/>
      </c>
      <c r="J961" s="43" t="str">
        <f>IF(Agent05_Loans!B173="","",Agent05_Loans!J173)</f>
        <v/>
      </c>
      <c r="K961" s="40" t="str">
        <f>IF(Agent05_Loans!B173="","",Agent05_Loans!K173)</f>
        <v/>
      </c>
      <c r="L961" s="40" t="str">
        <f>IF(Agent05_Loans!B173="","",Agent05_Loans!L173)</f>
        <v/>
      </c>
      <c r="M961" s="40" t="str">
        <f>IFERROR(IF(Agent05_Loans!B173="","",YEAR(Agent05_Loans!D173)),"")</f>
        <v/>
      </c>
    </row>
    <row r="962" spans="1:13" ht="18" customHeight="1" x14ac:dyDescent="0.25">
      <c r="A962" s="40" t="str">
        <f>IF(Agent05_Loans!B174="","",Agent05_Loans!A174)</f>
        <v/>
      </c>
      <c r="B962" s="40" t="str">
        <f>IF(Agent05_Loans!B174="","",Agent05_Loans!B174)</f>
        <v/>
      </c>
      <c r="C962" s="40" t="str">
        <f>IF(Agent05_Loans!B174="","",Agent05_Loans!C174)</f>
        <v/>
      </c>
      <c r="D962" s="41" t="str">
        <f>IF(Agent05_Loans!B174="","",Agent05_Loans!D174)</f>
        <v/>
      </c>
      <c r="E962" s="43" t="str">
        <f>IF(Agent05_Loans!B174="","",Agent05_Loans!E174)</f>
        <v/>
      </c>
      <c r="F962" s="40" t="str">
        <f>IF(Agent05_Loans!B174="","",Agent05_Loans!F174)</f>
        <v/>
      </c>
      <c r="G962" s="40" t="str">
        <f>IF(Agent05_Loans!B174="","",Agent05_Loans!G174)</f>
        <v/>
      </c>
      <c r="H962" s="40" t="str">
        <f>IF(Agent05_Loans!B174="","",Agent05_Loans!H174)</f>
        <v/>
      </c>
      <c r="I962" s="43" t="str">
        <f>IF(Agent05_Loans!B174="","",Agent05_Loans!I174)</f>
        <v/>
      </c>
      <c r="J962" s="43" t="str">
        <f>IF(Agent05_Loans!B174="","",Agent05_Loans!J174)</f>
        <v/>
      </c>
      <c r="K962" s="40" t="str">
        <f>IF(Agent05_Loans!B174="","",Agent05_Loans!K174)</f>
        <v/>
      </c>
      <c r="L962" s="40" t="str">
        <f>IF(Agent05_Loans!B174="","",Agent05_Loans!L174)</f>
        <v/>
      </c>
      <c r="M962" s="40" t="str">
        <f>IFERROR(IF(Agent05_Loans!B174="","",YEAR(Agent05_Loans!D174)),"")</f>
        <v/>
      </c>
    </row>
    <row r="963" spans="1:13" ht="18" customHeight="1" x14ac:dyDescent="0.25">
      <c r="A963" s="40" t="str">
        <f>IF(Agent05_Loans!B175="","",Agent05_Loans!A175)</f>
        <v/>
      </c>
      <c r="B963" s="40" t="str">
        <f>IF(Agent05_Loans!B175="","",Agent05_Loans!B175)</f>
        <v/>
      </c>
      <c r="C963" s="40" t="str">
        <f>IF(Agent05_Loans!B175="","",Agent05_Loans!C175)</f>
        <v/>
      </c>
      <c r="D963" s="41" t="str">
        <f>IF(Agent05_Loans!B175="","",Agent05_Loans!D175)</f>
        <v/>
      </c>
      <c r="E963" s="43" t="str">
        <f>IF(Agent05_Loans!B175="","",Agent05_Loans!E175)</f>
        <v/>
      </c>
      <c r="F963" s="40" t="str">
        <f>IF(Agent05_Loans!B175="","",Agent05_Loans!F175)</f>
        <v/>
      </c>
      <c r="G963" s="40" t="str">
        <f>IF(Agent05_Loans!B175="","",Agent05_Loans!G175)</f>
        <v/>
      </c>
      <c r="H963" s="40" t="str">
        <f>IF(Agent05_Loans!B175="","",Agent05_Loans!H175)</f>
        <v/>
      </c>
      <c r="I963" s="43" t="str">
        <f>IF(Agent05_Loans!B175="","",Agent05_Loans!I175)</f>
        <v/>
      </c>
      <c r="J963" s="43" t="str">
        <f>IF(Agent05_Loans!B175="","",Agent05_Loans!J175)</f>
        <v/>
      </c>
      <c r="K963" s="40" t="str">
        <f>IF(Agent05_Loans!B175="","",Agent05_Loans!K175)</f>
        <v/>
      </c>
      <c r="L963" s="40" t="str">
        <f>IF(Agent05_Loans!B175="","",Agent05_Loans!L175)</f>
        <v/>
      </c>
      <c r="M963" s="40" t="str">
        <f>IFERROR(IF(Agent05_Loans!B175="","",YEAR(Agent05_Loans!D175)),"")</f>
        <v/>
      </c>
    </row>
    <row r="964" spans="1:13" ht="18" customHeight="1" x14ac:dyDescent="0.25">
      <c r="A964" s="40" t="str">
        <f>IF(Agent05_Loans!B176="","",Agent05_Loans!A176)</f>
        <v/>
      </c>
      <c r="B964" s="40" t="str">
        <f>IF(Agent05_Loans!B176="","",Agent05_Loans!B176)</f>
        <v/>
      </c>
      <c r="C964" s="40" t="str">
        <f>IF(Agent05_Loans!B176="","",Agent05_Loans!C176)</f>
        <v/>
      </c>
      <c r="D964" s="41" t="str">
        <f>IF(Agent05_Loans!B176="","",Agent05_Loans!D176)</f>
        <v/>
      </c>
      <c r="E964" s="43" t="str">
        <f>IF(Agent05_Loans!B176="","",Agent05_Loans!E176)</f>
        <v/>
      </c>
      <c r="F964" s="40" t="str">
        <f>IF(Agent05_Loans!B176="","",Agent05_Loans!F176)</f>
        <v/>
      </c>
      <c r="G964" s="40" t="str">
        <f>IF(Agent05_Loans!B176="","",Agent05_Loans!G176)</f>
        <v/>
      </c>
      <c r="H964" s="40" t="str">
        <f>IF(Agent05_Loans!B176="","",Agent05_Loans!H176)</f>
        <v/>
      </c>
      <c r="I964" s="43" t="str">
        <f>IF(Agent05_Loans!B176="","",Agent05_Loans!I176)</f>
        <v/>
      </c>
      <c r="J964" s="43" t="str">
        <f>IF(Agent05_Loans!B176="","",Agent05_Loans!J176)</f>
        <v/>
      </c>
      <c r="K964" s="40" t="str">
        <f>IF(Agent05_Loans!B176="","",Agent05_Loans!K176)</f>
        <v/>
      </c>
      <c r="L964" s="40" t="str">
        <f>IF(Agent05_Loans!B176="","",Agent05_Loans!L176)</f>
        <v/>
      </c>
      <c r="M964" s="40" t="str">
        <f>IFERROR(IF(Agent05_Loans!B176="","",YEAR(Agent05_Loans!D176)),"")</f>
        <v/>
      </c>
    </row>
    <row r="965" spans="1:13" ht="18" customHeight="1" x14ac:dyDescent="0.25">
      <c r="A965" s="40" t="str">
        <f>IF(Agent05_Loans!B177="","",Agent05_Loans!A177)</f>
        <v/>
      </c>
      <c r="B965" s="40" t="str">
        <f>IF(Agent05_Loans!B177="","",Agent05_Loans!B177)</f>
        <v/>
      </c>
      <c r="C965" s="40" t="str">
        <f>IF(Agent05_Loans!B177="","",Agent05_Loans!C177)</f>
        <v/>
      </c>
      <c r="D965" s="41" t="str">
        <f>IF(Agent05_Loans!B177="","",Agent05_Loans!D177)</f>
        <v/>
      </c>
      <c r="E965" s="43" t="str">
        <f>IF(Agent05_Loans!B177="","",Agent05_Loans!E177)</f>
        <v/>
      </c>
      <c r="F965" s="40" t="str">
        <f>IF(Agent05_Loans!B177="","",Agent05_Loans!F177)</f>
        <v/>
      </c>
      <c r="G965" s="40" t="str">
        <f>IF(Agent05_Loans!B177="","",Agent05_Loans!G177)</f>
        <v/>
      </c>
      <c r="H965" s="40" t="str">
        <f>IF(Agent05_Loans!B177="","",Agent05_Loans!H177)</f>
        <v/>
      </c>
      <c r="I965" s="43" t="str">
        <f>IF(Agent05_Loans!B177="","",Agent05_Loans!I177)</f>
        <v/>
      </c>
      <c r="J965" s="43" t="str">
        <f>IF(Agent05_Loans!B177="","",Agent05_Loans!J177)</f>
        <v/>
      </c>
      <c r="K965" s="40" t="str">
        <f>IF(Agent05_Loans!B177="","",Agent05_Loans!K177)</f>
        <v/>
      </c>
      <c r="L965" s="40" t="str">
        <f>IF(Agent05_Loans!B177="","",Agent05_Loans!L177)</f>
        <v/>
      </c>
      <c r="M965" s="40" t="str">
        <f>IFERROR(IF(Agent05_Loans!B177="","",YEAR(Agent05_Loans!D177)),"")</f>
        <v/>
      </c>
    </row>
    <row r="966" spans="1:13" ht="18" customHeight="1" x14ac:dyDescent="0.25">
      <c r="A966" s="40" t="str">
        <f>IF(Agent05_Loans!B178="","",Agent05_Loans!A178)</f>
        <v/>
      </c>
      <c r="B966" s="40" t="str">
        <f>IF(Agent05_Loans!B178="","",Agent05_Loans!B178)</f>
        <v/>
      </c>
      <c r="C966" s="40" t="str">
        <f>IF(Agent05_Loans!B178="","",Agent05_Loans!C178)</f>
        <v/>
      </c>
      <c r="D966" s="41" t="str">
        <f>IF(Agent05_Loans!B178="","",Agent05_Loans!D178)</f>
        <v/>
      </c>
      <c r="E966" s="43" t="str">
        <f>IF(Agent05_Loans!B178="","",Agent05_Loans!E178)</f>
        <v/>
      </c>
      <c r="F966" s="40" t="str">
        <f>IF(Agent05_Loans!B178="","",Agent05_Loans!F178)</f>
        <v/>
      </c>
      <c r="G966" s="40" t="str">
        <f>IF(Agent05_Loans!B178="","",Agent05_Loans!G178)</f>
        <v/>
      </c>
      <c r="H966" s="40" t="str">
        <f>IF(Agent05_Loans!B178="","",Agent05_Loans!H178)</f>
        <v/>
      </c>
      <c r="I966" s="43" t="str">
        <f>IF(Agent05_Loans!B178="","",Agent05_Loans!I178)</f>
        <v/>
      </c>
      <c r="J966" s="43" t="str">
        <f>IF(Agent05_Loans!B178="","",Agent05_Loans!J178)</f>
        <v/>
      </c>
      <c r="K966" s="40" t="str">
        <f>IF(Agent05_Loans!B178="","",Agent05_Loans!K178)</f>
        <v/>
      </c>
      <c r="L966" s="40" t="str">
        <f>IF(Agent05_Loans!B178="","",Agent05_Loans!L178)</f>
        <v/>
      </c>
      <c r="M966" s="40" t="str">
        <f>IFERROR(IF(Agent05_Loans!B178="","",YEAR(Agent05_Loans!D178)),"")</f>
        <v/>
      </c>
    </row>
    <row r="967" spans="1:13" ht="18" customHeight="1" x14ac:dyDescent="0.25">
      <c r="A967" s="40" t="str">
        <f>IF(Agent05_Loans!B179="","",Agent05_Loans!A179)</f>
        <v/>
      </c>
      <c r="B967" s="40" t="str">
        <f>IF(Agent05_Loans!B179="","",Agent05_Loans!B179)</f>
        <v/>
      </c>
      <c r="C967" s="40" t="str">
        <f>IF(Agent05_Loans!B179="","",Agent05_Loans!C179)</f>
        <v/>
      </c>
      <c r="D967" s="41" t="str">
        <f>IF(Agent05_Loans!B179="","",Agent05_Loans!D179)</f>
        <v/>
      </c>
      <c r="E967" s="43" t="str">
        <f>IF(Agent05_Loans!B179="","",Agent05_Loans!E179)</f>
        <v/>
      </c>
      <c r="F967" s="40" t="str">
        <f>IF(Agent05_Loans!B179="","",Agent05_Loans!F179)</f>
        <v/>
      </c>
      <c r="G967" s="40" t="str">
        <f>IF(Agent05_Loans!B179="","",Agent05_Loans!G179)</f>
        <v/>
      </c>
      <c r="H967" s="40" t="str">
        <f>IF(Agent05_Loans!B179="","",Agent05_Loans!H179)</f>
        <v/>
      </c>
      <c r="I967" s="43" t="str">
        <f>IF(Agent05_Loans!B179="","",Agent05_Loans!I179)</f>
        <v/>
      </c>
      <c r="J967" s="43" t="str">
        <f>IF(Agent05_Loans!B179="","",Agent05_Loans!J179)</f>
        <v/>
      </c>
      <c r="K967" s="40" t="str">
        <f>IF(Agent05_Loans!B179="","",Agent05_Loans!K179)</f>
        <v/>
      </c>
      <c r="L967" s="40" t="str">
        <f>IF(Agent05_Loans!B179="","",Agent05_Loans!L179)</f>
        <v/>
      </c>
      <c r="M967" s="40" t="str">
        <f>IFERROR(IF(Agent05_Loans!B179="","",YEAR(Agent05_Loans!D179)),"")</f>
        <v/>
      </c>
    </row>
    <row r="968" spans="1:13" ht="18" customHeight="1" x14ac:dyDescent="0.25">
      <c r="A968" s="40" t="str">
        <f>IF(Agent05_Loans!B180="","",Agent05_Loans!A180)</f>
        <v/>
      </c>
      <c r="B968" s="40" t="str">
        <f>IF(Agent05_Loans!B180="","",Agent05_Loans!B180)</f>
        <v/>
      </c>
      <c r="C968" s="40" t="str">
        <f>IF(Agent05_Loans!B180="","",Agent05_Loans!C180)</f>
        <v/>
      </c>
      <c r="D968" s="41" t="str">
        <f>IF(Agent05_Loans!B180="","",Agent05_Loans!D180)</f>
        <v/>
      </c>
      <c r="E968" s="43" t="str">
        <f>IF(Agent05_Loans!B180="","",Agent05_Loans!E180)</f>
        <v/>
      </c>
      <c r="F968" s="40" t="str">
        <f>IF(Agent05_Loans!B180="","",Agent05_Loans!F180)</f>
        <v/>
      </c>
      <c r="G968" s="40" t="str">
        <f>IF(Agent05_Loans!B180="","",Agent05_Loans!G180)</f>
        <v/>
      </c>
      <c r="H968" s="40" t="str">
        <f>IF(Agent05_Loans!B180="","",Agent05_Loans!H180)</f>
        <v/>
      </c>
      <c r="I968" s="43" t="str">
        <f>IF(Agent05_Loans!B180="","",Agent05_Loans!I180)</f>
        <v/>
      </c>
      <c r="J968" s="43" t="str">
        <f>IF(Agent05_Loans!B180="","",Agent05_Loans!J180)</f>
        <v/>
      </c>
      <c r="K968" s="40" t="str">
        <f>IF(Agent05_Loans!B180="","",Agent05_Loans!K180)</f>
        <v/>
      </c>
      <c r="L968" s="40" t="str">
        <f>IF(Agent05_Loans!B180="","",Agent05_Loans!L180)</f>
        <v/>
      </c>
      <c r="M968" s="40" t="str">
        <f>IFERROR(IF(Agent05_Loans!B180="","",YEAR(Agent05_Loans!D180)),"")</f>
        <v/>
      </c>
    </row>
    <row r="969" spans="1:13" ht="18" customHeight="1" x14ac:dyDescent="0.25">
      <c r="A969" s="40" t="str">
        <f>IF(Agent05_Loans!B181="","",Agent05_Loans!A181)</f>
        <v/>
      </c>
      <c r="B969" s="40" t="str">
        <f>IF(Agent05_Loans!B181="","",Agent05_Loans!B181)</f>
        <v/>
      </c>
      <c r="C969" s="40" t="str">
        <f>IF(Agent05_Loans!B181="","",Agent05_Loans!C181)</f>
        <v/>
      </c>
      <c r="D969" s="41" t="str">
        <f>IF(Agent05_Loans!B181="","",Agent05_Loans!D181)</f>
        <v/>
      </c>
      <c r="E969" s="43" t="str">
        <f>IF(Agent05_Loans!B181="","",Agent05_Loans!E181)</f>
        <v/>
      </c>
      <c r="F969" s="40" t="str">
        <f>IF(Agent05_Loans!B181="","",Agent05_Loans!F181)</f>
        <v/>
      </c>
      <c r="G969" s="40" t="str">
        <f>IF(Agent05_Loans!B181="","",Agent05_Loans!G181)</f>
        <v/>
      </c>
      <c r="H969" s="40" t="str">
        <f>IF(Agent05_Loans!B181="","",Agent05_Loans!H181)</f>
        <v/>
      </c>
      <c r="I969" s="43" t="str">
        <f>IF(Agent05_Loans!B181="","",Agent05_Loans!I181)</f>
        <v/>
      </c>
      <c r="J969" s="43" t="str">
        <f>IF(Agent05_Loans!B181="","",Agent05_Loans!J181)</f>
        <v/>
      </c>
      <c r="K969" s="40" t="str">
        <f>IF(Agent05_Loans!B181="","",Agent05_Loans!K181)</f>
        <v/>
      </c>
      <c r="L969" s="40" t="str">
        <f>IF(Agent05_Loans!B181="","",Agent05_Loans!L181)</f>
        <v/>
      </c>
      <c r="M969" s="40" t="str">
        <f>IFERROR(IF(Agent05_Loans!B181="","",YEAR(Agent05_Loans!D181)),"")</f>
        <v/>
      </c>
    </row>
    <row r="970" spans="1:13" ht="18" customHeight="1" x14ac:dyDescent="0.25">
      <c r="A970" s="40" t="str">
        <f>IF(Agent05_Loans!B182="","",Agent05_Loans!A182)</f>
        <v/>
      </c>
      <c r="B970" s="40" t="str">
        <f>IF(Agent05_Loans!B182="","",Agent05_Loans!B182)</f>
        <v/>
      </c>
      <c r="C970" s="40" t="str">
        <f>IF(Agent05_Loans!B182="","",Agent05_Loans!C182)</f>
        <v/>
      </c>
      <c r="D970" s="41" t="str">
        <f>IF(Agent05_Loans!B182="","",Agent05_Loans!D182)</f>
        <v/>
      </c>
      <c r="E970" s="43" t="str">
        <f>IF(Agent05_Loans!B182="","",Agent05_Loans!E182)</f>
        <v/>
      </c>
      <c r="F970" s="40" t="str">
        <f>IF(Agent05_Loans!B182="","",Agent05_Loans!F182)</f>
        <v/>
      </c>
      <c r="G970" s="40" t="str">
        <f>IF(Agent05_Loans!B182="","",Agent05_Loans!G182)</f>
        <v/>
      </c>
      <c r="H970" s="40" t="str">
        <f>IF(Agent05_Loans!B182="","",Agent05_Loans!H182)</f>
        <v/>
      </c>
      <c r="I970" s="43" t="str">
        <f>IF(Agent05_Loans!B182="","",Agent05_Loans!I182)</f>
        <v/>
      </c>
      <c r="J970" s="43" t="str">
        <f>IF(Agent05_Loans!B182="","",Agent05_Loans!J182)</f>
        <v/>
      </c>
      <c r="K970" s="40" t="str">
        <f>IF(Agent05_Loans!B182="","",Agent05_Loans!K182)</f>
        <v/>
      </c>
      <c r="L970" s="40" t="str">
        <f>IF(Agent05_Loans!B182="","",Agent05_Loans!L182)</f>
        <v/>
      </c>
      <c r="M970" s="40" t="str">
        <f>IFERROR(IF(Agent05_Loans!B182="","",YEAR(Agent05_Loans!D182)),"")</f>
        <v/>
      </c>
    </row>
    <row r="971" spans="1:13" ht="18" customHeight="1" x14ac:dyDescent="0.25">
      <c r="A971" s="40" t="str">
        <f>IF(Agent05_Loans!B183="","",Agent05_Loans!A183)</f>
        <v/>
      </c>
      <c r="B971" s="40" t="str">
        <f>IF(Agent05_Loans!B183="","",Agent05_Loans!B183)</f>
        <v/>
      </c>
      <c r="C971" s="40" t="str">
        <f>IF(Agent05_Loans!B183="","",Agent05_Loans!C183)</f>
        <v/>
      </c>
      <c r="D971" s="41" t="str">
        <f>IF(Agent05_Loans!B183="","",Agent05_Loans!D183)</f>
        <v/>
      </c>
      <c r="E971" s="43" t="str">
        <f>IF(Agent05_Loans!B183="","",Agent05_Loans!E183)</f>
        <v/>
      </c>
      <c r="F971" s="40" t="str">
        <f>IF(Agent05_Loans!B183="","",Agent05_Loans!F183)</f>
        <v/>
      </c>
      <c r="G971" s="40" t="str">
        <f>IF(Agent05_Loans!B183="","",Agent05_Loans!G183)</f>
        <v/>
      </c>
      <c r="H971" s="40" t="str">
        <f>IF(Agent05_Loans!B183="","",Agent05_Loans!H183)</f>
        <v/>
      </c>
      <c r="I971" s="43" t="str">
        <f>IF(Agent05_Loans!B183="","",Agent05_Loans!I183)</f>
        <v/>
      </c>
      <c r="J971" s="43" t="str">
        <f>IF(Agent05_Loans!B183="","",Agent05_Loans!J183)</f>
        <v/>
      </c>
      <c r="K971" s="40" t="str">
        <f>IF(Agent05_Loans!B183="","",Agent05_Loans!K183)</f>
        <v/>
      </c>
      <c r="L971" s="40" t="str">
        <f>IF(Agent05_Loans!B183="","",Agent05_Loans!L183)</f>
        <v/>
      </c>
      <c r="M971" s="40" t="str">
        <f>IFERROR(IF(Agent05_Loans!B183="","",YEAR(Agent05_Loans!D183)),"")</f>
        <v/>
      </c>
    </row>
    <row r="972" spans="1:13" ht="18" customHeight="1" x14ac:dyDescent="0.25">
      <c r="A972" s="40" t="str">
        <f>IF(Agent05_Loans!B184="","",Agent05_Loans!A184)</f>
        <v/>
      </c>
      <c r="B972" s="40" t="str">
        <f>IF(Agent05_Loans!B184="","",Agent05_Loans!B184)</f>
        <v/>
      </c>
      <c r="C972" s="40" t="str">
        <f>IF(Agent05_Loans!B184="","",Agent05_Loans!C184)</f>
        <v/>
      </c>
      <c r="D972" s="41" t="str">
        <f>IF(Agent05_Loans!B184="","",Agent05_Loans!D184)</f>
        <v/>
      </c>
      <c r="E972" s="43" t="str">
        <f>IF(Agent05_Loans!B184="","",Agent05_Loans!E184)</f>
        <v/>
      </c>
      <c r="F972" s="40" t="str">
        <f>IF(Agent05_Loans!B184="","",Agent05_Loans!F184)</f>
        <v/>
      </c>
      <c r="G972" s="40" t="str">
        <f>IF(Agent05_Loans!B184="","",Agent05_Loans!G184)</f>
        <v/>
      </c>
      <c r="H972" s="40" t="str">
        <f>IF(Agent05_Loans!B184="","",Agent05_Loans!H184)</f>
        <v/>
      </c>
      <c r="I972" s="43" t="str">
        <f>IF(Agent05_Loans!B184="","",Agent05_Loans!I184)</f>
        <v/>
      </c>
      <c r="J972" s="43" t="str">
        <f>IF(Agent05_Loans!B184="","",Agent05_Loans!J184)</f>
        <v/>
      </c>
      <c r="K972" s="40" t="str">
        <f>IF(Agent05_Loans!B184="","",Agent05_Loans!K184)</f>
        <v/>
      </c>
      <c r="L972" s="40" t="str">
        <f>IF(Agent05_Loans!B184="","",Agent05_Loans!L184)</f>
        <v/>
      </c>
      <c r="M972" s="40" t="str">
        <f>IFERROR(IF(Agent05_Loans!B184="","",YEAR(Agent05_Loans!D184)),"")</f>
        <v/>
      </c>
    </row>
    <row r="973" spans="1:13" ht="18" customHeight="1" x14ac:dyDescent="0.25">
      <c r="A973" s="40" t="str">
        <f>IF(Agent05_Loans!B185="","",Agent05_Loans!A185)</f>
        <v/>
      </c>
      <c r="B973" s="40" t="str">
        <f>IF(Agent05_Loans!B185="","",Agent05_Loans!B185)</f>
        <v/>
      </c>
      <c r="C973" s="40" t="str">
        <f>IF(Agent05_Loans!B185="","",Agent05_Loans!C185)</f>
        <v/>
      </c>
      <c r="D973" s="41" t="str">
        <f>IF(Agent05_Loans!B185="","",Agent05_Loans!D185)</f>
        <v/>
      </c>
      <c r="E973" s="43" t="str">
        <f>IF(Agent05_Loans!B185="","",Agent05_Loans!E185)</f>
        <v/>
      </c>
      <c r="F973" s="40" t="str">
        <f>IF(Agent05_Loans!B185="","",Agent05_Loans!F185)</f>
        <v/>
      </c>
      <c r="G973" s="40" t="str">
        <f>IF(Agent05_Loans!B185="","",Agent05_Loans!G185)</f>
        <v/>
      </c>
      <c r="H973" s="40" t="str">
        <f>IF(Agent05_Loans!B185="","",Agent05_Loans!H185)</f>
        <v/>
      </c>
      <c r="I973" s="43" t="str">
        <f>IF(Agent05_Loans!B185="","",Agent05_Loans!I185)</f>
        <v/>
      </c>
      <c r="J973" s="43" t="str">
        <f>IF(Agent05_Loans!B185="","",Agent05_Loans!J185)</f>
        <v/>
      </c>
      <c r="K973" s="40" t="str">
        <f>IF(Agent05_Loans!B185="","",Agent05_Loans!K185)</f>
        <v/>
      </c>
      <c r="L973" s="40" t="str">
        <f>IF(Agent05_Loans!B185="","",Agent05_Loans!L185)</f>
        <v/>
      </c>
      <c r="M973" s="40" t="str">
        <f>IFERROR(IF(Agent05_Loans!B185="","",YEAR(Agent05_Loans!D185)),"")</f>
        <v/>
      </c>
    </row>
    <row r="974" spans="1:13" ht="18" customHeight="1" x14ac:dyDescent="0.25">
      <c r="A974" s="40" t="str">
        <f>IF(Agent05_Loans!B186="","",Agent05_Loans!A186)</f>
        <v/>
      </c>
      <c r="B974" s="40" t="str">
        <f>IF(Agent05_Loans!B186="","",Agent05_Loans!B186)</f>
        <v/>
      </c>
      <c r="C974" s="40" t="str">
        <f>IF(Agent05_Loans!B186="","",Agent05_Loans!C186)</f>
        <v/>
      </c>
      <c r="D974" s="41" t="str">
        <f>IF(Agent05_Loans!B186="","",Agent05_Loans!D186)</f>
        <v/>
      </c>
      <c r="E974" s="43" t="str">
        <f>IF(Agent05_Loans!B186="","",Agent05_Loans!E186)</f>
        <v/>
      </c>
      <c r="F974" s="40" t="str">
        <f>IF(Agent05_Loans!B186="","",Agent05_Loans!F186)</f>
        <v/>
      </c>
      <c r="G974" s="40" t="str">
        <f>IF(Agent05_Loans!B186="","",Agent05_Loans!G186)</f>
        <v/>
      </c>
      <c r="H974" s="40" t="str">
        <f>IF(Agent05_Loans!B186="","",Agent05_Loans!H186)</f>
        <v/>
      </c>
      <c r="I974" s="43" t="str">
        <f>IF(Agent05_Loans!B186="","",Agent05_Loans!I186)</f>
        <v/>
      </c>
      <c r="J974" s="43" t="str">
        <f>IF(Agent05_Loans!B186="","",Agent05_Loans!J186)</f>
        <v/>
      </c>
      <c r="K974" s="40" t="str">
        <f>IF(Agent05_Loans!B186="","",Agent05_Loans!K186)</f>
        <v/>
      </c>
      <c r="L974" s="40" t="str">
        <f>IF(Agent05_Loans!B186="","",Agent05_Loans!L186)</f>
        <v/>
      </c>
      <c r="M974" s="40" t="str">
        <f>IFERROR(IF(Agent05_Loans!B186="","",YEAR(Agent05_Loans!D186)),"")</f>
        <v/>
      </c>
    </row>
    <row r="975" spans="1:13" ht="18" customHeight="1" x14ac:dyDescent="0.25">
      <c r="A975" s="40" t="str">
        <f>IF(Agent05_Loans!B187="","",Agent05_Loans!A187)</f>
        <v/>
      </c>
      <c r="B975" s="40" t="str">
        <f>IF(Agent05_Loans!B187="","",Agent05_Loans!B187)</f>
        <v/>
      </c>
      <c r="C975" s="40" t="str">
        <f>IF(Agent05_Loans!B187="","",Agent05_Loans!C187)</f>
        <v/>
      </c>
      <c r="D975" s="41" t="str">
        <f>IF(Agent05_Loans!B187="","",Agent05_Loans!D187)</f>
        <v/>
      </c>
      <c r="E975" s="43" t="str">
        <f>IF(Agent05_Loans!B187="","",Agent05_Loans!E187)</f>
        <v/>
      </c>
      <c r="F975" s="40" t="str">
        <f>IF(Agent05_Loans!B187="","",Agent05_Loans!F187)</f>
        <v/>
      </c>
      <c r="G975" s="40" t="str">
        <f>IF(Agent05_Loans!B187="","",Agent05_Loans!G187)</f>
        <v/>
      </c>
      <c r="H975" s="40" t="str">
        <f>IF(Agent05_Loans!B187="","",Agent05_Loans!H187)</f>
        <v/>
      </c>
      <c r="I975" s="43" t="str">
        <f>IF(Agent05_Loans!B187="","",Agent05_Loans!I187)</f>
        <v/>
      </c>
      <c r="J975" s="43" t="str">
        <f>IF(Agent05_Loans!B187="","",Agent05_Loans!J187)</f>
        <v/>
      </c>
      <c r="K975" s="40" t="str">
        <f>IF(Agent05_Loans!B187="","",Agent05_Loans!K187)</f>
        <v/>
      </c>
      <c r="L975" s="40" t="str">
        <f>IF(Agent05_Loans!B187="","",Agent05_Loans!L187)</f>
        <v/>
      </c>
      <c r="M975" s="40" t="str">
        <f>IFERROR(IF(Agent05_Loans!B187="","",YEAR(Agent05_Loans!D187)),"")</f>
        <v/>
      </c>
    </row>
    <row r="976" spans="1:13" ht="18" customHeight="1" x14ac:dyDescent="0.25">
      <c r="A976" s="40" t="str">
        <f>IF(Agent05_Loans!B188="","",Agent05_Loans!A188)</f>
        <v/>
      </c>
      <c r="B976" s="40" t="str">
        <f>IF(Agent05_Loans!B188="","",Agent05_Loans!B188)</f>
        <v/>
      </c>
      <c r="C976" s="40" t="str">
        <f>IF(Agent05_Loans!B188="","",Agent05_Loans!C188)</f>
        <v/>
      </c>
      <c r="D976" s="41" t="str">
        <f>IF(Agent05_Loans!B188="","",Agent05_Loans!D188)</f>
        <v/>
      </c>
      <c r="E976" s="43" t="str">
        <f>IF(Agent05_Loans!B188="","",Agent05_Loans!E188)</f>
        <v/>
      </c>
      <c r="F976" s="40" t="str">
        <f>IF(Agent05_Loans!B188="","",Agent05_Loans!F188)</f>
        <v/>
      </c>
      <c r="G976" s="40" t="str">
        <f>IF(Agent05_Loans!B188="","",Agent05_Loans!G188)</f>
        <v/>
      </c>
      <c r="H976" s="40" t="str">
        <f>IF(Agent05_Loans!B188="","",Agent05_Loans!H188)</f>
        <v/>
      </c>
      <c r="I976" s="43" t="str">
        <f>IF(Agent05_Loans!B188="","",Agent05_Loans!I188)</f>
        <v/>
      </c>
      <c r="J976" s="43" t="str">
        <f>IF(Agent05_Loans!B188="","",Agent05_Loans!J188)</f>
        <v/>
      </c>
      <c r="K976" s="40" t="str">
        <f>IF(Agent05_Loans!B188="","",Agent05_Loans!K188)</f>
        <v/>
      </c>
      <c r="L976" s="40" t="str">
        <f>IF(Agent05_Loans!B188="","",Agent05_Loans!L188)</f>
        <v/>
      </c>
      <c r="M976" s="40" t="str">
        <f>IFERROR(IF(Agent05_Loans!B188="","",YEAR(Agent05_Loans!D188)),"")</f>
        <v/>
      </c>
    </row>
    <row r="977" spans="1:13" ht="18" customHeight="1" x14ac:dyDescent="0.25">
      <c r="A977" s="40" t="str">
        <f>IF(Agent05_Loans!B189="","",Agent05_Loans!A189)</f>
        <v/>
      </c>
      <c r="B977" s="40" t="str">
        <f>IF(Agent05_Loans!B189="","",Agent05_Loans!B189)</f>
        <v/>
      </c>
      <c r="C977" s="40" t="str">
        <f>IF(Agent05_Loans!B189="","",Agent05_Loans!C189)</f>
        <v/>
      </c>
      <c r="D977" s="41" t="str">
        <f>IF(Agent05_Loans!B189="","",Agent05_Loans!D189)</f>
        <v/>
      </c>
      <c r="E977" s="43" t="str">
        <f>IF(Agent05_Loans!B189="","",Agent05_Loans!E189)</f>
        <v/>
      </c>
      <c r="F977" s="40" t="str">
        <f>IF(Agent05_Loans!B189="","",Agent05_Loans!F189)</f>
        <v/>
      </c>
      <c r="G977" s="40" t="str">
        <f>IF(Agent05_Loans!B189="","",Agent05_Loans!G189)</f>
        <v/>
      </c>
      <c r="H977" s="40" t="str">
        <f>IF(Agent05_Loans!B189="","",Agent05_Loans!H189)</f>
        <v/>
      </c>
      <c r="I977" s="43" t="str">
        <f>IF(Agent05_Loans!B189="","",Agent05_Loans!I189)</f>
        <v/>
      </c>
      <c r="J977" s="43" t="str">
        <f>IF(Agent05_Loans!B189="","",Agent05_Loans!J189)</f>
        <v/>
      </c>
      <c r="K977" s="40" t="str">
        <f>IF(Agent05_Loans!B189="","",Agent05_Loans!K189)</f>
        <v/>
      </c>
      <c r="L977" s="40" t="str">
        <f>IF(Agent05_Loans!B189="","",Agent05_Loans!L189)</f>
        <v/>
      </c>
      <c r="M977" s="40" t="str">
        <f>IFERROR(IF(Agent05_Loans!B189="","",YEAR(Agent05_Loans!D189)),"")</f>
        <v/>
      </c>
    </row>
    <row r="978" spans="1:13" ht="18" customHeight="1" x14ac:dyDescent="0.25">
      <c r="A978" s="40" t="str">
        <f>IF(Agent05_Loans!B190="","",Agent05_Loans!A190)</f>
        <v/>
      </c>
      <c r="B978" s="40" t="str">
        <f>IF(Agent05_Loans!B190="","",Agent05_Loans!B190)</f>
        <v/>
      </c>
      <c r="C978" s="40" t="str">
        <f>IF(Agent05_Loans!B190="","",Agent05_Loans!C190)</f>
        <v/>
      </c>
      <c r="D978" s="41" t="str">
        <f>IF(Agent05_Loans!B190="","",Agent05_Loans!D190)</f>
        <v/>
      </c>
      <c r="E978" s="43" t="str">
        <f>IF(Agent05_Loans!B190="","",Agent05_Loans!E190)</f>
        <v/>
      </c>
      <c r="F978" s="40" t="str">
        <f>IF(Agent05_Loans!B190="","",Agent05_Loans!F190)</f>
        <v/>
      </c>
      <c r="G978" s="40" t="str">
        <f>IF(Agent05_Loans!B190="","",Agent05_Loans!G190)</f>
        <v/>
      </c>
      <c r="H978" s="40" t="str">
        <f>IF(Agent05_Loans!B190="","",Agent05_Loans!H190)</f>
        <v/>
      </c>
      <c r="I978" s="43" t="str">
        <f>IF(Agent05_Loans!B190="","",Agent05_Loans!I190)</f>
        <v/>
      </c>
      <c r="J978" s="43" t="str">
        <f>IF(Agent05_Loans!B190="","",Agent05_Loans!J190)</f>
        <v/>
      </c>
      <c r="K978" s="40" t="str">
        <f>IF(Agent05_Loans!B190="","",Agent05_Loans!K190)</f>
        <v/>
      </c>
      <c r="L978" s="40" t="str">
        <f>IF(Agent05_Loans!B190="","",Agent05_Loans!L190)</f>
        <v/>
      </c>
      <c r="M978" s="40" t="str">
        <f>IFERROR(IF(Agent05_Loans!B190="","",YEAR(Agent05_Loans!D190)),"")</f>
        <v/>
      </c>
    </row>
    <row r="979" spans="1:13" ht="18" customHeight="1" x14ac:dyDescent="0.25">
      <c r="A979" s="40" t="str">
        <f>IF(Agent05_Loans!B191="","",Agent05_Loans!A191)</f>
        <v/>
      </c>
      <c r="B979" s="40" t="str">
        <f>IF(Agent05_Loans!B191="","",Agent05_Loans!B191)</f>
        <v/>
      </c>
      <c r="C979" s="40" t="str">
        <f>IF(Agent05_Loans!B191="","",Agent05_Loans!C191)</f>
        <v/>
      </c>
      <c r="D979" s="41" t="str">
        <f>IF(Agent05_Loans!B191="","",Agent05_Loans!D191)</f>
        <v/>
      </c>
      <c r="E979" s="43" t="str">
        <f>IF(Agent05_Loans!B191="","",Agent05_Loans!E191)</f>
        <v/>
      </c>
      <c r="F979" s="40" t="str">
        <f>IF(Agent05_Loans!B191="","",Agent05_Loans!F191)</f>
        <v/>
      </c>
      <c r="G979" s="40" t="str">
        <f>IF(Agent05_Loans!B191="","",Agent05_Loans!G191)</f>
        <v/>
      </c>
      <c r="H979" s="40" t="str">
        <f>IF(Agent05_Loans!B191="","",Agent05_Loans!H191)</f>
        <v/>
      </c>
      <c r="I979" s="43" t="str">
        <f>IF(Agent05_Loans!B191="","",Agent05_Loans!I191)</f>
        <v/>
      </c>
      <c r="J979" s="43" t="str">
        <f>IF(Agent05_Loans!B191="","",Agent05_Loans!J191)</f>
        <v/>
      </c>
      <c r="K979" s="40" t="str">
        <f>IF(Agent05_Loans!B191="","",Agent05_Loans!K191)</f>
        <v/>
      </c>
      <c r="L979" s="40" t="str">
        <f>IF(Agent05_Loans!B191="","",Agent05_Loans!L191)</f>
        <v/>
      </c>
      <c r="M979" s="40" t="str">
        <f>IFERROR(IF(Agent05_Loans!B191="","",YEAR(Agent05_Loans!D191)),"")</f>
        <v/>
      </c>
    </row>
    <row r="980" spans="1:13" ht="18" customHeight="1" x14ac:dyDescent="0.25">
      <c r="A980" s="40" t="str">
        <f>IF(Agent05_Loans!B192="","",Agent05_Loans!A192)</f>
        <v/>
      </c>
      <c r="B980" s="40" t="str">
        <f>IF(Agent05_Loans!B192="","",Agent05_Loans!B192)</f>
        <v/>
      </c>
      <c r="C980" s="40" t="str">
        <f>IF(Agent05_Loans!B192="","",Agent05_Loans!C192)</f>
        <v/>
      </c>
      <c r="D980" s="41" t="str">
        <f>IF(Agent05_Loans!B192="","",Agent05_Loans!D192)</f>
        <v/>
      </c>
      <c r="E980" s="43" t="str">
        <f>IF(Agent05_Loans!B192="","",Agent05_Loans!E192)</f>
        <v/>
      </c>
      <c r="F980" s="40" t="str">
        <f>IF(Agent05_Loans!B192="","",Agent05_Loans!F192)</f>
        <v/>
      </c>
      <c r="G980" s="40" t="str">
        <f>IF(Agent05_Loans!B192="","",Agent05_Loans!G192)</f>
        <v/>
      </c>
      <c r="H980" s="40" t="str">
        <f>IF(Agent05_Loans!B192="","",Agent05_Loans!H192)</f>
        <v/>
      </c>
      <c r="I980" s="43" t="str">
        <f>IF(Agent05_Loans!B192="","",Agent05_Loans!I192)</f>
        <v/>
      </c>
      <c r="J980" s="43" t="str">
        <f>IF(Agent05_Loans!B192="","",Agent05_Loans!J192)</f>
        <v/>
      </c>
      <c r="K980" s="40" t="str">
        <f>IF(Agent05_Loans!B192="","",Agent05_Loans!K192)</f>
        <v/>
      </c>
      <c r="L980" s="40" t="str">
        <f>IF(Agent05_Loans!B192="","",Agent05_Loans!L192)</f>
        <v/>
      </c>
      <c r="M980" s="40" t="str">
        <f>IFERROR(IF(Agent05_Loans!B192="","",YEAR(Agent05_Loans!D192)),"")</f>
        <v/>
      </c>
    </row>
    <row r="981" spans="1:13" ht="18" customHeight="1" x14ac:dyDescent="0.25">
      <c r="A981" s="40" t="str">
        <f>IF(Agent05_Loans!B193="","",Agent05_Loans!A193)</f>
        <v/>
      </c>
      <c r="B981" s="40" t="str">
        <f>IF(Agent05_Loans!B193="","",Agent05_Loans!B193)</f>
        <v/>
      </c>
      <c r="C981" s="40" t="str">
        <f>IF(Agent05_Loans!B193="","",Agent05_Loans!C193)</f>
        <v/>
      </c>
      <c r="D981" s="41" t="str">
        <f>IF(Agent05_Loans!B193="","",Agent05_Loans!D193)</f>
        <v/>
      </c>
      <c r="E981" s="43" t="str">
        <f>IF(Agent05_Loans!B193="","",Agent05_Loans!E193)</f>
        <v/>
      </c>
      <c r="F981" s="40" t="str">
        <f>IF(Agent05_Loans!B193="","",Agent05_Loans!F193)</f>
        <v/>
      </c>
      <c r="G981" s="40" t="str">
        <f>IF(Agent05_Loans!B193="","",Agent05_Loans!G193)</f>
        <v/>
      </c>
      <c r="H981" s="40" t="str">
        <f>IF(Agent05_Loans!B193="","",Agent05_Loans!H193)</f>
        <v/>
      </c>
      <c r="I981" s="43" t="str">
        <f>IF(Agent05_Loans!B193="","",Agent05_Loans!I193)</f>
        <v/>
      </c>
      <c r="J981" s="43" t="str">
        <f>IF(Agent05_Loans!B193="","",Agent05_Loans!J193)</f>
        <v/>
      </c>
      <c r="K981" s="40" t="str">
        <f>IF(Agent05_Loans!B193="","",Agent05_Loans!K193)</f>
        <v/>
      </c>
      <c r="L981" s="40" t="str">
        <f>IF(Agent05_Loans!B193="","",Agent05_Loans!L193)</f>
        <v/>
      </c>
      <c r="M981" s="40" t="str">
        <f>IFERROR(IF(Agent05_Loans!B193="","",YEAR(Agent05_Loans!D193)),"")</f>
        <v/>
      </c>
    </row>
    <row r="982" spans="1:13" ht="18" customHeight="1" x14ac:dyDescent="0.25">
      <c r="A982" s="40" t="str">
        <f>IF(Agent05_Loans!B194="","",Agent05_Loans!A194)</f>
        <v/>
      </c>
      <c r="B982" s="40" t="str">
        <f>IF(Agent05_Loans!B194="","",Agent05_Loans!B194)</f>
        <v/>
      </c>
      <c r="C982" s="40" t="str">
        <f>IF(Agent05_Loans!B194="","",Agent05_Loans!C194)</f>
        <v/>
      </c>
      <c r="D982" s="41" t="str">
        <f>IF(Agent05_Loans!B194="","",Agent05_Loans!D194)</f>
        <v/>
      </c>
      <c r="E982" s="43" t="str">
        <f>IF(Agent05_Loans!B194="","",Agent05_Loans!E194)</f>
        <v/>
      </c>
      <c r="F982" s="40" t="str">
        <f>IF(Agent05_Loans!B194="","",Agent05_Loans!F194)</f>
        <v/>
      </c>
      <c r="G982" s="40" t="str">
        <f>IF(Agent05_Loans!B194="","",Agent05_Loans!G194)</f>
        <v/>
      </c>
      <c r="H982" s="40" t="str">
        <f>IF(Agent05_Loans!B194="","",Agent05_Loans!H194)</f>
        <v/>
      </c>
      <c r="I982" s="43" t="str">
        <f>IF(Agent05_Loans!B194="","",Agent05_Loans!I194)</f>
        <v/>
      </c>
      <c r="J982" s="43" t="str">
        <f>IF(Agent05_Loans!B194="","",Agent05_Loans!J194)</f>
        <v/>
      </c>
      <c r="K982" s="40" t="str">
        <f>IF(Agent05_Loans!B194="","",Agent05_Loans!K194)</f>
        <v/>
      </c>
      <c r="L982" s="40" t="str">
        <f>IF(Agent05_Loans!B194="","",Agent05_Loans!L194)</f>
        <v/>
      </c>
      <c r="M982" s="40" t="str">
        <f>IFERROR(IF(Agent05_Loans!B194="","",YEAR(Agent05_Loans!D194)),"")</f>
        <v/>
      </c>
    </row>
    <row r="983" spans="1:13" ht="18" customHeight="1" x14ac:dyDescent="0.25">
      <c r="A983" s="40" t="str">
        <f>IF(Agent05_Loans!B195="","",Agent05_Loans!A195)</f>
        <v/>
      </c>
      <c r="B983" s="40" t="str">
        <f>IF(Agent05_Loans!B195="","",Agent05_Loans!B195)</f>
        <v/>
      </c>
      <c r="C983" s="40" t="str">
        <f>IF(Agent05_Loans!B195="","",Agent05_Loans!C195)</f>
        <v/>
      </c>
      <c r="D983" s="41" t="str">
        <f>IF(Agent05_Loans!B195="","",Agent05_Loans!D195)</f>
        <v/>
      </c>
      <c r="E983" s="43" t="str">
        <f>IF(Agent05_Loans!B195="","",Agent05_Loans!E195)</f>
        <v/>
      </c>
      <c r="F983" s="40" t="str">
        <f>IF(Agent05_Loans!B195="","",Agent05_Loans!F195)</f>
        <v/>
      </c>
      <c r="G983" s="40" t="str">
        <f>IF(Agent05_Loans!B195="","",Agent05_Loans!G195)</f>
        <v/>
      </c>
      <c r="H983" s="40" t="str">
        <f>IF(Agent05_Loans!B195="","",Agent05_Loans!H195)</f>
        <v/>
      </c>
      <c r="I983" s="43" t="str">
        <f>IF(Agent05_Loans!B195="","",Agent05_Loans!I195)</f>
        <v/>
      </c>
      <c r="J983" s="43" t="str">
        <f>IF(Agent05_Loans!B195="","",Agent05_Loans!J195)</f>
        <v/>
      </c>
      <c r="K983" s="40" t="str">
        <f>IF(Agent05_Loans!B195="","",Agent05_Loans!K195)</f>
        <v/>
      </c>
      <c r="L983" s="40" t="str">
        <f>IF(Agent05_Loans!B195="","",Agent05_Loans!L195)</f>
        <v/>
      </c>
      <c r="M983" s="40" t="str">
        <f>IFERROR(IF(Agent05_Loans!B195="","",YEAR(Agent05_Loans!D195)),"")</f>
        <v/>
      </c>
    </row>
    <row r="984" spans="1:13" ht="18" customHeight="1" x14ac:dyDescent="0.25">
      <c r="A984" s="40" t="str">
        <f>IF(Agent05_Loans!B196="","",Agent05_Loans!A196)</f>
        <v/>
      </c>
      <c r="B984" s="40" t="str">
        <f>IF(Agent05_Loans!B196="","",Agent05_Loans!B196)</f>
        <v/>
      </c>
      <c r="C984" s="40" t="str">
        <f>IF(Agent05_Loans!B196="","",Agent05_Loans!C196)</f>
        <v/>
      </c>
      <c r="D984" s="41" t="str">
        <f>IF(Agent05_Loans!B196="","",Agent05_Loans!D196)</f>
        <v/>
      </c>
      <c r="E984" s="43" t="str">
        <f>IF(Agent05_Loans!B196="","",Agent05_Loans!E196)</f>
        <v/>
      </c>
      <c r="F984" s="40" t="str">
        <f>IF(Agent05_Loans!B196="","",Agent05_Loans!F196)</f>
        <v/>
      </c>
      <c r="G984" s="40" t="str">
        <f>IF(Agent05_Loans!B196="","",Agent05_Loans!G196)</f>
        <v/>
      </c>
      <c r="H984" s="40" t="str">
        <f>IF(Agent05_Loans!B196="","",Agent05_Loans!H196)</f>
        <v/>
      </c>
      <c r="I984" s="43" t="str">
        <f>IF(Agent05_Loans!B196="","",Agent05_Loans!I196)</f>
        <v/>
      </c>
      <c r="J984" s="43" t="str">
        <f>IF(Agent05_Loans!B196="","",Agent05_Loans!J196)</f>
        <v/>
      </c>
      <c r="K984" s="40" t="str">
        <f>IF(Agent05_Loans!B196="","",Agent05_Loans!K196)</f>
        <v/>
      </c>
      <c r="L984" s="40" t="str">
        <f>IF(Agent05_Loans!B196="","",Agent05_Loans!L196)</f>
        <v/>
      </c>
      <c r="M984" s="40" t="str">
        <f>IFERROR(IF(Agent05_Loans!B196="","",YEAR(Agent05_Loans!D196)),"")</f>
        <v/>
      </c>
    </row>
    <row r="985" spans="1:13" ht="18" customHeight="1" x14ac:dyDescent="0.25">
      <c r="A985" s="40" t="str">
        <f>IF(Agent05_Loans!B197="","",Agent05_Loans!A197)</f>
        <v/>
      </c>
      <c r="B985" s="40" t="str">
        <f>IF(Agent05_Loans!B197="","",Agent05_Loans!B197)</f>
        <v/>
      </c>
      <c r="C985" s="40" t="str">
        <f>IF(Agent05_Loans!B197="","",Agent05_Loans!C197)</f>
        <v/>
      </c>
      <c r="D985" s="41" t="str">
        <f>IF(Agent05_Loans!B197="","",Agent05_Loans!D197)</f>
        <v/>
      </c>
      <c r="E985" s="43" t="str">
        <f>IF(Agent05_Loans!B197="","",Agent05_Loans!E197)</f>
        <v/>
      </c>
      <c r="F985" s="40" t="str">
        <f>IF(Agent05_Loans!B197="","",Agent05_Loans!F197)</f>
        <v/>
      </c>
      <c r="G985" s="40" t="str">
        <f>IF(Agent05_Loans!B197="","",Agent05_Loans!G197)</f>
        <v/>
      </c>
      <c r="H985" s="40" t="str">
        <f>IF(Agent05_Loans!B197="","",Agent05_Loans!H197)</f>
        <v/>
      </c>
      <c r="I985" s="43" t="str">
        <f>IF(Agent05_Loans!B197="","",Agent05_Loans!I197)</f>
        <v/>
      </c>
      <c r="J985" s="43" t="str">
        <f>IF(Agent05_Loans!B197="","",Agent05_Loans!J197)</f>
        <v/>
      </c>
      <c r="K985" s="40" t="str">
        <f>IF(Agent05_Loans!B197="","",Agent05_Loans!K197)</f>
        <v/>
      </c>
      <c r="L985" s="40" t="str">
        <f>IF(Agent05_Loans!B197="","",Agent05_Loans!L197)</f>
        <v/>
      </c>
      <c r="M985" s="40" t="str">
        <f>IFERROR(IF(Agent05_Loans!B197="","",YEAR(Agent05_Loans!D197)),"")</f>
        <v/>
      </c>
    </row>
    <row r="986" spans="1:13" ht="18" customHeight="1" x14ac:dyDescent="0.25">
      <c r="A986" s="40" t="str">
        <f>IF(Agent05_Loans!B198="","",Agent05_Loans!A198)</f>
        <v/>
      </c>
      <c r="B986" s="40" t="str">
        <f>IF(Agent05_Loans!B198="","",Agent05_Loans!B198)</f>
        <v/>
      </c>
      <c r="C986" s="40" t="str">
        <f>IF(Agent05_Loans!B198="","",Agent05_Loans!C198)</f>
        <v/>
      </c>
      <c r="D986" s="41" t="str">
        <f>IF(Agent05_Loans!B198="","",Agent05_Loans!D198)</f>
        <v/>
      </c>
      <c r="E986" s="43" t="str">
        <f>IF(Agent05_Loans!B198="","",Agent05_Loans!E198)</f>
        <v/>
      </c>
      <c r="F986" s="40" t="str">
        <f>IF(Agent05_Loans!B198="","",Agent05_Loans!F198)</f>
        <v/>
      </c>
      <c r="G986" s="40" t="str">
        <f>IF(Agent05_Loans!B198="","",Agent05_Loans!G198)</f>
        <v/>
      </c>
      <c r="H986" s="40" t="str">
        <f>IF(Agent05_Loans!B198="","",Agent05_Loans!H198)</f>
        <v/>
      </c>
      <c r="I986" s="43" t="str">
        <f>IF(Agent05_Loans!B198="","",Agent05_Loans!I198)</f>
        <v/>
      </c>
      <c r="J986" s="43" t="str">
        <f>IF(Agent05_Loans!B198="","",Agent05_Loans!J198)</f>
        <v/>
      </c>
      <c r="K986" s="40" t="str">
        <f>IF(Agent05_Loans!B198="","",Agent05_Loans!K198)</f>
        <v/>
      </c>
      <c r="L986" s="40" t="str">
        <f>IF(Agent05_Loans!B198="","",Agent05_Loans!L198)</f>
        <v/>
      </c>
      <c r="M986" s="40" t="str">
        <f>IFERROR(IF(Agent05_Loans!B198="","",YEAR(Agent05_Loans!D198)),"")</f>
        <v/>
      </c>
    </row>
    <row r="987" spans="1:13" ht="18" customHeight="1" x14ac:dyDescent="0.25">
      <c r="A987" s="40" t="str">
        <f>IF(Agent05_Loans!B199="","",Agent05_Loans!A199)</f>
        <v/>
      </c>
      <c r="B987" s="40" t="str">
        <f>IF(Agent05_Loans!B199="","",Agent05_Loans!B199)</f>
        <v/>
      </c>
      <c r="C987" s="40" t="str">
        <f>IF(Agent05_Loans!B199="","",Agent05_Loans!C199)</f>
        <v/>
      </c>
      <c r="D987" s="41" t="str">
        <f>IF(Agent05_Loans!B199="","",Agent05_Loans!D199)</f>
        <v/>
      </c>
      <c r="E987" s="43" t="str">
        <f>IF(Agent05_Loans!B199="","",Agent05_Loans!E199)</f>
        <v/>
      </c>
      <c r="F987" s="40" t="str">
        <f>IF(Agent05_Loans!B199="","",Agent05_Loans!F199)</f>
        <v/>
      </c>
      <c r="G987" s="40" t="str">
        <f>IF(Agent05_Loans!B199="","",Agent05_Loans!G199)</f>
        <v/>
      </c>
      <c r="H987" s="40" t="str">
        <f>IF(Agent05_Loans!B199="","",Agent05_Loans!H199)</f>
        <v/>
      </c>
      <c r="I987" s="43" t="str">
        <f>IF(Agent05_Loans!B199="","",Agent05_Loans!I199)</f>
        <v/>
      </c>
      <c r="J987" s="43" t="str">
        <f>IF(Agent05_Loans!B199="","",Agent05_Loans!J199)</f>
        <v/>
      </c>
      <c r="K987" s="40" t="str">
        <f>IF(Agent05_Loans!B199="","",Agent05_Loans!K199)</f>
        <v/>
      </c>
      <c r="L987" s="40" t="str">
        <f>IF(Agent05_Loans!B199="","",Agent05_Loans!L199)</f>
        <v/>
      </c>
      <c r="M987" s="40" t="str">
        <f>IFERROR(IF(Agent05_Loans!B199="","",YEAR(Agent05_Loans!D199)),"")</f>
        <v/>
      </c>
    </row>
    <row r="988" spans="1:13" ht="18" customHeight="1" x14ac:dyDescent="0.25">
      <c r="A988" s="40" t="str">
        <f>IF(Agent05_Loans!B200="","",Agent05_Loans!A200)</f>
        <v/>
      </c>
      <c r="B988" s="40" t="str">
        <f>IF(Agent05_Loans!B200="","",Agent05_Loans!B200)</f>
        <v/>
      </c>
      <c r="C988" s="40" t="str">
        <f>IF(Agent05_Loans!B200="","",Agent05_Loans!C200)</f>
        <v/>
      </c>
      <c r="D988" s="41" t="str">
        <f>IF(Agent05_Loans!B200="","",Agent05_Loans!D200)</f>
        <v/>
      </c>
      <c r="E988" s="43" t="str">
        <f>IF(Agent05_Loans!B200="","",Agent05_Loans!E200)</f>
        <v/>
      </c>
      <c r="F988" s="40" t="str">
        <f>IF(Agent05_Loans!B200="","",Agent05_Loans!F200)</f>
        <v/>
      </c>
      <c r="G988" s="40" t="str">
        <f>IF(Agent05_Loans!B200="","",Agent05_Loans!G200)</f>
        <v/>
      </c>
      <c r="H988" s="40" t="str">
        <f>IF(Agent05_Loans!B200="","",Agent05_Loans!H200)</f>
        <v/>
      </c>
      <c r="I988" s="43" t="str">
        <f>IF(Agent05_Loans!B200="","",Agent05_Loans!I200)</f>
        <v/>
      </c>
      <c r="J988" s="43" t="str">
        <f>IF(Agent05_Loans!B200="","",Agent05_Loans!J200)</f>
        <v/>
      </c>
      <c r="K988" s="40" t="str">
        <f>IF(Agent05_Loans!B200="","",Agent05_Loans!K200)</f>
        <v/>
      </c>
      <c r="L988" s="40" t="str">
        <f>IF(Agent05_Loans!B200="","",Agent05_Loans!L200)</f>
        <v/>
      </c>
      <c r="M988" s="40" t="str">
        <f>IFERROR(IF(Agent05_Loans!B200="","",YEAR(Agent05_Loans!D200)),"")</f>
        <v/>
      </c>
    </row>
    <row r="989" spans="1:13" ht="18" customHeight="1" x14ac:dyDescent="0.25">
      <c r="A989" s="40" t="str">
        <f>IF(Agent05_Loans!B201="","",Agent05_Loans!A201)</f>
        <v/>
      </c>
      <c r="B989" s="40" t="str">
        <f>IF(Agent05_Loans!B201="","",Agent05_Loans!B201)</f>
        <v/>
      </c>
      <c r="C989" s="40" t="str">
        <f>IF(Agent05_Loans!B201="","",Agent05_Loans!C201)</f>
        <v/>
      </c>
      <c r="D989" s="41" t="str">
        <f>IF(Agent05_Loans!B201="","",Agent05_Loans!D201)</f>
        <v/>
      </c>
      <c r="E989" s="43" t="str">
        <f>IF(Agent05_Loans!B201="","",Agent05_Loans!E201)</f>
        <v/>
      </c>
      <c r="F989" s="40" t="str">
        <f>IF(Agent05_Loans!B201="","",Agent05_Loans!F201)</f>
        <v/>
      </c>
      <c r="G989" s="40" t="str">
        <f>IF(Agent05_Loans!B201="","",Agent05_Loans!G201)</f>
        <v/>
      </c>
      <c r="H989" s="40" t="str">
        <f>IF(Agent05_Loans!B201="","",Agent05_Loans!H201)</f>
        <v/>
      </c>
      <c r="I989" s="43" t="str">
        <f>IF(Agent05_Loans!B201="","",Agent05_Loans!I201)</f>
        <v/>
      </c>
      <c r="J989" s="43" t="str">
        <f>IF(Agent05_Loans!B201="","",Agent05_Loans!J201)</f>
        <v/>
      </c>
      <c r="K989" s="40" t="str">
        <f>IF(Agent05_Loans!B201="","",Agent05_Loans!K201)</f>
        <v/>
      </c>
      <c r="L989" s="40" t="str">
        <f>IF(Agent05_Loans!B201="","",Agent05_Loans!L201)</f>
        <v/>
      </c>
      <c r="M989" s="40" t="str">
        <f>IFERROR(IF(Agent05_Loans!B201="","",YEAR(Agent05_Loans!D201)),"")</f>
        <v/>
      </c>
    </row>
    <row r="990" spans="1:13" ht="18" customHeight="1" x14ac:dyDescent="0.25">
      <c r="A990" s="40" t="str">
        <f>IF(Agent05_Loans!B202="","",Agent05_Loans!A202)</f>
        <v/>
      </c>
      <c r="B990" s="40" t="str">
        <f>IF(Agent05_Loans!B202="","",Agent05_Loans!B202)</f>
        <v/>
      </c>
      <c r="C990" s="40" t="str">
        <f>IF(Agent05_Loans!B202="","",Agent05_Loans!C202)</f>
        <v/>
      </c>
      <c r="D990" s="41" t="str">
        <f>IF(Agent05_Loans!B202="","",Agent05_Loans!D202)</f>
        <v/>
      </c>
      <c r="E990" s="43" t="str">
        <f>IF(Agent05_Loans!B202="","",Agent05_Loans!E202)</f>
        <v/>
      </c>
      <c r="F990" s="40" t="str">
        <f>IF(Agent05_Loans!B202="","",Agent05_Loans!F202)</f>
        <v/>
      </c>
      <c r="G990" s="40" t="str">
        <f>IF(Agent05_Loans!B202="","",Agent05_Loans!G202)</f>
        <v/>
      </c>
      <c r="H990" s="40" t="str">
        <f>IF(Agent05_Loans!B202="","",Agent05_Loans!H202)</f>
        <v/>
      </c>
      <c r="I990" s="43" t="str">
        <f>IF(Agent05_Loans!B202="","",Agent05_Loans!I202)</f>
        <v/>
      </c>
      <c r="J990" s="43" t="str">
        <f>IF(Agent05_Loans!B202="","",Agent05_Loans!J202)</f>
        <v/>
      </c>
      <c r="K990" s="40" t="str">
        <f>IF(Agent05_Loans!B202="","",Agent05_Loans!K202)</f>
        <v/>
      </c>
      <c r="L990" s="40" t="str">
        <f>IF(Agent05_Loans!B202="","",Agent05_Loans!L202)</f>
        <v/>
      </c>
      <c r="M990" s="40" t="str">
        <f>IFERROR(IF(Agent05_Loans!B202="","",YEAR(Agent05_Loans!D202)),"")</f>
        <v/>
      </c>
    </row>
    <row r="991" spans="1:13" ht="18" customHeight="1" x14ac:dyDescent="0.25">
      <c r="A991" s="40" t="str">
        <f>IF(Agent05_Loans!B203="","",Agent05_Loans!A203)</f>
        <v/>
      </c>
      <c r="B991" s="40" t="str">
        <f>IF(Agent05_Loans!B203="","",Agent05_Loans!B203)</f>
        <v/>
      </c>
      <c r="C991" s="40" t="str">
        <f>IF(Agent05_Loans!B203="","",Agent05_Loans!C203)</f>
        <v/>
      </c>
      <c r="D991" s="41" t="str">
        <f>IF(Agent05_Loans!B203="","",Agent05_Loans!D203)</f>
        <v/>
      </c>
      <c r="E991" s="43" t="str">
        <f>IF(Agent05_Loans!B203="","",Agent05_Loans!E203)</f>
        <v/>
      </c>
      <c r="F991" s="40" t="str">
        <f>IF(Agent05_Loans!B203="","",Agent05_Loans!F203)</f>
        <v/>
      </c>
      <c r="G991" s="40" t="str">
        <f>IF(Agent05_Loans!B203="","",Agent05_Loans!G203)</f>
        <v/>
      </c>
      <c r="H991" s="40" t="str">
        <f>IF(Agent05_Loans!B203="","",Agent05_Loans!H203)</f>
        <v/>
      </c>
      <c r="I991" s="43" t="str">
        <f>IF(Agent05_Loans!B203="","",Agent05_Loans!I203)</f>
        <v/>
      </c>
      <c r="J991" s="43" t="str">
        <f>IF(Agent05_Loans!B203="","",Agent05_Loans!J203)</f>
        <v/>
      </c>
      <c r="K991" s="40" t="str">
        <f>IF(Agent05_Loans!B203="","",Agent05_Loans!K203)</f>
        <v/>
      </c>
      <c r="L991" s="40" t="str">
        <f>IF(Agent05_Loans!B203="","",Agent05_Loans!L203)</f>
        <v/>
      </c>
      <c r="M991" s="40" t="str">
        <f>IFERROR(IF(Agent05_Loans!B203="","",YEAR(Agent05_Loans!D203)),"")</f>
        <v/>
      </c>
    </row>
    <row r="992" spans="1:13" ht="18" customHeight="1" x14ac:dyDescent="0.25">
      <c r="A992" s="40" t="str">
        <f>IF(Agent05_Loans!B204="","",Agent05_Loans!A204)</f>
        <v/>
      </c>
      <c r="B992" s="40" t="str">
        <f>IF(Agent05_Loans!B204="","",Agent05_Loans!B204)</f>
        <v/>
      </c>
      <c r="C992" s="40" t="str">
        <f>IF(Agent05_Loans!B204="","",Agent05_Loans!C204)</f>
        <v/>
      </c>
      <c r="D992" s="41" t="str">
        <f>IF(Agent05_Loans!B204="","",Agent05_Loans!D204)</f>
        <v/>
      </c>
      <c r="E992" s="43" t="str">
        <f>IF(Agent05_Loans!B204="","",Agent05_Loans!E204)</f>
        <v/>
      </c>
      <c r="F992" s="40" t="str">
        <f>IF(Agent05_Loans!B204="","",Agent05_Loans!F204)</f>
        <v/>
      </c>
      <c r="G992" s="40" t="str">
        <f>IF(Agent05_Loans!B204="","",Agent05_Loans!G204)</f>
        <v/>
      </c>
      <c r="H992" s="40" t="str">
        <f>IF(Agent05_Loans!B204="","",Agent05_Loans!H204)</f>
        <v/>
      </c>
      <c r="I992" s="43" t="str">
        <f>IF(Agent05_Loans!B204="","",Agent05_Loans!I204)</f>
        <v/>
      </c>
      <c r="J992" s="43" t="str">
        <f>IF(Agent05_Loans!B204="","",Agent05_Loans!J204)</f>
        <v/>
      </c>
      <c r="K992" s="40" t="str">
        <f>IF(Agent05_Loans!B204="","",Agent05_Loans!K204)</f>
        <v/>
      </c>
      <c r="L992" s="40" t="str">
        <f>IF(Agent05_Loans!B204="","",Agent05_Loans!L204)</f>
        <v/>
      </c>
      <c r="M992" s="40" t="str">
        <f>IFERROR(IF(Agent05_Loans!B204="","",YEAR(Agent05_Loans!D204)),"")</f>
        <v/>
      </c>
    </row>
    <row r="993" spans="1:13" ht="18" customHeight="1" x14ac:dyDescent="0.25">
      <c r="A993" s="40" t="str">
        <f>IF(Agent05_Loans!B205="","",Agent05_Loans!A205)</f>
        <v/>
      </c>
      <c r="B993" s="40" t="str">
        <f>IF(Agent05_Loans!B205="","",Agent05_Loans!B205)</f>
        <v/>
      </c>
      <c r="C993" s="40" t="str">
        <f>IF(Agent05_Loans!B205="","",Agent05_Loans!C205)</f>
        <v/>
      </c>
      <c r="D993" s="41" t="str">
        <f>IF(Agent05_Loans!B205="","",Agent05_Loans!D205)</f>
        <v/>
      </c>
      <c r="E993" s="43" t="str">
        <f>IF(Agent05_Loans!B205="","",Agent05_Loans!E205)</f>
        <v/>
      </c>
      <c r="F993" s="40" t="str">
        <f>IF(Agent05_Loans!B205="","",Agent05_Loans!F205)</f>
        <v/>
      </c>
      <c r="G993" s="40" t="str">
        <f>IF(Agent05_Loans!B205="","",Agent05_Loans!G205)</f>
        <v/>
      </c>
      <c r="H993" s="40" t="str">
        <f>IF(Agent05_Loans!B205="","",Agent05_Loans!H205)</f>
        <v/>
      </c>
      <c r="I993" s="43" t="str">
        <f>IF(Agent05_Loans!B205="","",Agent05_Loans!I205)</f>
        <v/>
      </c>
      <c r="J993" s="43" t="str">
        <f>IF(Agent05_Loans!B205="","",Agent05_Loans!J205)</f>
        <v/>
      </c>
      <c r="K993" s="40" t="str">
        <f>IF(Agent05_Loans!B205="","",Agent05_Loans!K205)</f>
        <v/>
      </c>
      <c r="L993" s="40" t="str">
        <f>IF(Agent05_Loans!B205="","",Agent05_Loans!L205)</f>
        <v/>
      </c>
      <c r="M993" s="40" t="str">
        <f>IFERROR(IF(Agent05_Loans!B205="","",YEAR(Agent05_Loans!D205)),"")</f>
        <v/>
      </c>
    </row>
    <row r="994" spans="1:13" ht="18" customHeight="1" x14ac:dyDescent="0.25">
      <c r="A994" s="40" t="str">
        <f>IF(Agent05_Loans!B206="","",Agent05_Loans!A206)</f>
        <v/>
      </c>
      <c r="B994" s="40" t="str">
        <f>IF(Agent05_Loans!B206="","",Agent05_Loans!B206)</f>
        <v/>
      </c>
      <c r="C994" s="40" t="str">
        <f>IF(Agent05_Loans!B206="","",Agent05_Loans!C206)</f>
        <v/>
      </c>
      <c r="D994" s="41" t="str">
        <f>IF(Agent05_Loans!B206="","",Agent05_Loans!D206)</f>
        <v/>
      </c>
      <c r="E994" s="43" t="str">
        <f>IF(Agent05_Loans!B206="","",Agent05_Loans!E206)</f>
        <v/>
      </c>
      <c r="F994" s="40" t="str">
        <f>IF(Agent05_Loans!B206="","",Agent05_Loans!F206)</f>
        <v/>
      </c>
      <c r="G994" s="40" t="str">
        <f>IF(Agent05_Loans!B206="","",Agent05_Loans!G206)</f>
        <v/>
      </c>
      <c r="H994" s="40" t="str">
        <f>IF(Agent05_Loans!B206="","",Agent05_Loans!H206)</f>
        <v/>
      </c>
      <c r="I994" s="43" t="str">
        <f>IF(Agent05_Loans!B206="","",Agent05_Loans!I206)</f>
        <v/>
      </c>
      <c r="J994" s="43" t="str">
        <f>IF(Agent05_Loans!B206="","",Agent05_Loans!J206)</f>
        <v/>
      </c>
      <c r="K994" s="40" t="str">
        <f>IF(Agent05_Loans!B206="","",Agent05_Loans!K206)</f>
        <v/>
      </c>
      <c r="L994" s="40" t="str">
        <f>IF(Agent05_Loans!B206="","",Agent05_Loans!L206)</f>
        <v/>
      </c>
      <c r="M994" s="40" t="str">
        <f>IFERROR(IF(Agent05_Loans!B206="","",YEAR(Agent05_Loans!D206)),"")</f>
        <v/>
      </c>
    </row>
    <row r="995" spans="1:13" ht="18" customHeight="1" x14ac:dyDescent="0.25">
      <c r="A995" s="40" t="str">
        <f>IF(Agent05_Loans!B207="","",Agent05_Loans!A207)</f>
        <v/>
      </c>
      <c r="B995" s="40" t="str">
        <f>IF(Agent05_Loans!B207="","",Agent05_Loans!B207)</f>
        <v/>
      </c>
      <c r="C995" s="40" t="str">
        <f>IF(Agent05_Loans!B207="","",Agent05_Loans!C207)</f>
        <v/>
      </c>
      <c r="D995" s="41" t="str">
        <f>IF(Agent05_Loans!B207="","",Agent05_Loans!D207)</f>
        <v/>
      </c>
      <c r="E995" s="43" t="str">
        <f>IF(Agent05_Loans!B207="","",Agent05_Loans!E207)</f>
        <v/>
      </c>
      <c r="F995" s="40" t="str">
        <f>IF(Agent05_Loans!B207="","",Agent05_Loans!F207)</f>
        <v/>
      </c>
      <c r="G995" s="40" t="str">
        <f>IF(Agent05_Loans!B207="","",Agent05_Loans!G207)</f>
        <v/>
      </c>
      <c r="H995" s="40" t="str">
        <f>IF(Agent05_Loans!B207="","",Agent05_Loans!H207)</f>
        <v/>
      </c>
      <c r="I995" s="43" t="str">
        <f>IF(Agent05_Loans!B207="","",Agent05_Loans!I207)</f>
        <v/>
      </c>
      <c r="J995" s="43" t="str">
        <f>IF(Agent05_Loans!B207="","",Agent05_Loans!J207)</f>
        <v/>
      </c>
      <c r="K995" s="40" t="str">
        <f>IF(Agent05_Loans!B207="","",Agent05_Loans!K207)</f>
        <v/>
      </c>
      <c r="L995" s="40" t="str">
        <f>IF(Agent05_Loans!B207="","",Agent05_Loans!L207)</f>
        <v/>
      </c>
      <c r="M995" s="40" t="str">
        <f>IFERROR(IF(Agent05_Loans!B207="","",YEAR(Agent05_Loans!D207)),"")</f>
        <v/>
      </c>
    </row>
    <row r="996" spans="1:13" ht="18" customHeight="1" x14ac:dyDescent="0.25">
      <c r="A996" s="40" t="str">
        <f>IF(Agent05_Loans!B208="","",Agent05_Loans!A208)</f>
        <v/>
      </c>
      <c r="B996" s="40" t="str">
        <f>IF(Agent05_Loans!B208="","",Agent05_Loans!B208)</f>
        <v/>
      </c>
      <c r="C996" s="40" t="str">
        <f>IF(Agent05_Loans!B208="","",Agent05_Loans!C208)</f>
        <v/>
      </c>
      <c r="D996" s="41" t="str">
        <f>IF(Agent05_Loans!B208="","",Agent05_Loans!D208)</f>
        <v/>
      </c>
      <c r="E996" s="43" t="str">
        <f>IF(Agent05_Loans!B208="","",Agent05_Loans!E208)</f>
        <v/>
      </c>
      <c r="F996" s="40" t="str">
        <f>IF(Agent05_Loans!B208="","",Agent05_Loans!F208)</f>
        <v/>
      </c>
      <c r="G996" s="40" t="str">
        <f>IF(Agent05_Loans!B208="","",Agent05_Loans!G208)</f>
        <v/>
      </c>
      <c r="H996" s="40" t="str">
        <f>IF(Agent05_Loans!B208="","",Agent05_Loans!H208)</f>
        <v/>
      </c>
      <c r="I996" s="43" t="str">
        <f>IF(Agent05_Loans!B208="","",Agent05_Loans!I208)</f>
        <v/>
      </c>
      <c r="J996" s="43" t="str">
        <f>IF(Agent05_Loans!B208="","",Agent05_Loans!J208)</f>
        <v/>
      </c>
      <c r="K996" s="40" t="str">
        <f>IF(Agent05_Loans!B208="","",Agent05_Loans!K208)</f>
        <v/>
      </c>
      <c r="L996" s="40" t="str">
        <f>IF(Agent05_Loans!B208="","",Agent05_Loans!L208)</f>
        <v/>
      </c>
      <c r="M996" s="40" t="str">
        <f>IFERROR(IF(Agent05_Loans!B208="","",YEAR(Agent05_Loans!D208)),"")</f>
        <v/>
      </c>
    </row>
    <row r="997" spans="1:13" ht="18" customHeight="1" x14ac:dyDescent="0.25">
      <c r="A997" s="40" t="str">
        <f>IF(Agent05_Loans!B209="","",Agent05_Loans!A209)</f>
        <v/>
      </c>
      <c r="B997" s="40" t="str">
        <f>IF(Agent05_Loans!B209="","",Agent05_Loans!B209)</f>
        <v/>
      </c>
      <c r="C997" s="40" t="str">
        <f>IF(Agent05_Loans!B209="","",Agent05_Loans!C209)</f>
        <v/>
      </c>
      <c r="D997" s="41" t="str">
        <f>IF(Agent05_Loans!B209="","",Agent05_Loans!D209)</f>
        <v/>
      </c>
      <c r="E997" s="43" t="str">
        <f>IF(Agent05_Loans!B209="","",Agent05_Loans!E209)</f>
        <v/>
      </c>
      <c r="F997" s="40" t="str">
        <f>IF(Agent05_Loans!B209="","",Agent05_Loans!F209)</f>
        <v/>
      </c>
      <c r="G997" s="40" t="str">
        <f>IF(Agent05_Loans!B209="","",Agent05_Loans!G209)</f>
        <v/>
      </c>
      <c r="H997" s="40" t="str">
        <f>IF(Agent05_Loans!B209="","",Agent05_Loans!H209)</f>
        <v/>
      </c>
      <c r="I997" s="43" t="str">
        <f>IF(Agent05_Loans!B209="","",Agent05_Loans!I209)</f>
        <v/>
      </c>
      <c r="J997" s="43" t="str">
        <f>IF(Agent05_Loans!B209="","",Agent05_Loans!J209)</f>
        <v/>
      </c>
      <c r="K997" s="40" t="str">
        <f>IF(Agent05_Loans!B209="","",Agent05_Loans!K209)</f>
        <v/>
      </c>
      <c r="L997" s="40" t="str">
        <f>IF(Agent05_Loans!B209="","",Agent05_Loans!L209)</f>
        <v/>
      </c>
      <c r="M997" s="40" t="str">
        <f>IFERROR(IF(Agent05_Loans!B209="","",YEAR(Agent05_Loans!D209)),"")</f>
        <v/>
      </c>
    </row>
    <row r="998" spans="1:13" ht="18" customHeight="1" x14ac:dyDescent="0.25">
      <c r="A998" s="40" t="str">
        <f>IF(Agent05_Loans!B210="","",Agent05_Loans!A210)</f>
        <v/>
      </c>
      <c r="B998" s="40" t="str">
        <f>IF(Agent05_Loans!B210="","",Agent05_Loans!B210)</f>
        <v/>
      </c>
      <c r="C998" s="40" t="str">
        <f>IF(Agent05_Loans!B210="","",Agent05_Loans!C210)</f>
        <v/>
      </c>
      <c r="D998" s="41" t="str">
        <f>IF(Agent05_Loans!B210="","",Agent05_Loans!D210)</f>
        <v/>
      </c>
      <c r="E998" s="43" t="str">
        <f>IF(Agent05_Loans!B210="","",Agent05_Loans!E210)</f>
        <v/>
      </c>
      <c r="F998" s="40" t="str">
        <f>IF(Agent05_Loans!B210="","",Agent05_Loans!F210)</f>
        <v/>
      </c>
      <c r="G998" s="40" t="str">
        <f>IF(Agent05_Loans!B210="","",Agent05_Loans!G210)</f>
        <v/>
      </c>
      <c r="H998" s="40" t="str">
        <f>IF(Agent05_Loans!B210="","",Agent05_Loans!H210)</f>
        <v/>
      </c>
      <c r="I998" s="43" t="str">
        <f>IF(Agent05_Loans!B210="","",Agent05_Loans!I210)</f>
        <v/>
      </c>
      <c r="J998" s="43" t="str">
        <f>IF(Agent05_Loans!B210="","",Agent05_Loans!J210)</f>
        <v/>
      </c>
      <c r="K998" s="40" t="str">
        <f>IF(Agent05_Loans!B210="","",Agent05_Loans!K210)</f>
        <v/>
      </c>
      <c r="L998" s="40" t="str">
        <f>IF(Agent05_Loans!B210="","",Agent05_Loans!L210)</f>
        <v/>
      </c>
      <c r="M998" s="40" t="str">
        <f>IFERROR(IF(Agent05_Loans!B210="","",YEAR(Agent05_Loans!D210)),"")</f>
        <v/>
      </c>
    </row>
    <row r="999" spans="1:13" ht="18" customHeight="1" x14ac:dyDescent="0.25">
      <c r="A999" s="40" t="str">
        <f>IF(Agent05_Loans!B211="","",Agent05_Loans!A211)</f>
        <v/>
      </c>
      <c r="B999" s="40" t="str">
        <f>IF(Agent05_Loans!B211="","",Agent05_Loans!B211)</f>
        <v/>
      </c>
      <c r="C999" s="40" t="str">
        <f>IF(Agent05_Loans!B211="","",Agent05_Loans!C211)</f>
        <v/>
      </c>
      <c r="D999" s="41" t="str">
        <f>IF(Agent05_Loans!B211="","",Agent05_Loans!D211)</f>
        <v/>
      </c>
      <c r="E999" s="43" t="str">
        <f>IF(Agent05_Loans!B211="","",Agent05_Loans!E211)</f>
        <v/>
      </c>
      <c r="F999" s="40" t="str">
        <f>IF(Agent05_Loans!B211="","",Agent05_Loans!F211)</f>
        <v/>
      </c>
      <c r="G999" s="40" t="str">
        <f>IF(Agent05_Loans!B211="","",Agent05_Loans!G211)</f>
        <v/>
      </c>
      <c r="H999" s="40" t="str">
        <f>IF(Agent05_Loans!B211="","",Agent05_Loans!H211)</f>
        <v/>
      </c>
      <c r="I999" s="43" t="str">
        <f>IF(Agent05_Loans!B211="","",Agent05_Loans!I211)</f>
        <v/>
      </c>
      <c r="J999" s="43" t="str">
        <f>IF(Agent05_Loans!B211="","",Agent05_Loans!J211)</f>
        <v/>
      </c>
      <c r="K999" s="40" t="str">
        <f>IF(Agent05_Loans!B211="","",Agent05_Loans!K211)</f>
        <v/>
      </c>
      <c r="L999" s="40" t="str">
        <f>IF(Agent05_Loans!B211="","",Agent05_Loans!L211)</f>
        <v/>
      </c>
      <c r="M999" s="40" t="str">
        <f>IFERROR(IF(Agent05_Loans!B211="","",YEAR(Agent05_Loans!D211)),"")</f>
        <v/>
      </c>
    </row>
    <row r="1000" spans="1:13" ht="18" customHeight="1" x14ac:dyDescent="0.25">
      <c r="A1000" s="40" t="str">
        <f>IF(Agent05_Loans!B212="","",Agent05_Loans!A212)</f>
        <v/>
      </c>
      <c r="B1000" s="40" t="str">
        <f>IF(Agent05_Loans!B212="","",Agent05_Loans!B212)</f>
        <v/>
      </c>
      <c r="C1000" s="40" t="str">
        <f>IF(Agent05_Loans!B212="","",Agent05_Loans!C212)</f>
        <v/>
      </c>
      <c r="D1000" s="41" t="str">
        <f>IF(Agent05_Loans!B212="","",Agent05_Loans!D212)</f>
        <v/>
      </c>
      <c r="E1000" s="43" t="str">
        <f>IF(Agent05_Loans!B212="","",Agent05_Loans!E212)</f>
        <v/>
      </c>
      <c r="F1000" s="40" t="str">
        <f>IF(Agent05_Loans!B212="","",Agent05_Loans!F212)</f>
        <v/>
      </c>
      <c r="G1000" s="40" t="str">
        <f>IF(Agent05_Loans!B212="","",Agent05_Loans!G212)</f>
        <v/>
      </c>
      <c r="H1000" s="40" t="str">
        <f>IF(Agent05_Loans!B212="","",Agent05_Loans!H212)</f>
        <v/>
      </c>
      <c r="I1000" s="43" t="str">
        <f>IF(Agent05_Loans!B212="","",Agent05_Loans!I212)</f>
        <v/>
      </c>
      <c r="J1000" s="43" t="str">
        <f>IF(Agent05_Loans!B212="","",Agent05_Loans!J212)</f>
        <v/>
      </c>
      <c r="K1000" s="40" t="str">
        <f>IF(Agent05_Loans!B212="","",Agent05_Loans!K212)</f>
        <v/>
      </c>
      <c r="L1000" s="40" t="str">
        <f>IF(Agent05_Loans!B212="","",Agent05_Loans!L212)</f>
        <v/>
      </c>
      <c r="M1000" s="40" t="str">
        <f>IFERROR(IF(Agent05_Loans!B212="","",YEAR(Agent05_Loans!D212)),"")</f>
        <v/>
      </c>
    </row>
    <row r="1001" spans="1:13" ht="18" customHeight="1" x14ac:dyDescent="0.25">
      <c r="A1001" s="40" t="str">
        <f>IF(Agent05_Loans!B213="","",Agent05_Loans!A213)</f>
        <v/>
      </c>
      <c r="B1001" s="40" t="str">
        <f>IF(Agent05_Loans!B213="","",Agent05_Loans!B213)</f>
        <v/>
      </c>
      <c r="C1001" s="40" t="str">
        <f>IF(Agent05_Loans!B213="","",Agent05_Loans!C213)</f>
        <v/>
      </c>
      <c r="D1001" s="41" t="str">
        <f>IF(Agent05_Loans!B213="","",Agent05_Loans!D213)</f>
        <v/>
      </c>
      <c r="E1001" s="43" t="str">
        <f>IF(Agent05_Loans!B213="","",Agent05_Loans!E213)</f>
        <v/>
      </c>
      <c r="F1001" s="40" t="str">
        <f>IF(Agent05_Loans!B213="","",Agent05_Loans!F213)</f>
        <v/>
      </c>
      <c r="G1001" s="40" t="str">
        <f>IF(Agent05_Loans!B213="","",Agent05_Loans!G213)</f>
        <v/>
      </c>
      <c r="H1001" s="40" t="str">
        <f>IF(Agent05_Loans!B213="","",Agent05_Loans!H213)</f>
        <v/>
      </c>
      <c r="I1001" s="43" t="str">
        <f>IF(Agent05_Loans!B213="","",Agent05_Loans!I213)</f>
        <v/>
      </c>
      <c r="J1001" s="43" t="str">
        <f>IF(Agent05_Loans!B213="","",Agent05_Loans!J213)</f>
        <v/>
      </c>
      <c r="K1001" s="40" t="str">
        <f>IF(Agent05_Loans!B213="","",Agent05_Loans!K213)</f>
        <v/>
      </c>
      <c r="L1001" s="40" t="str">
        <f>IF(Agent05_Loans!B213="","",Agent05_Loans!L213)</f>
        <v/>
      </c>
      <c r="M1001" s="40" t="str">
        <f>IFERROR(IF(Agent05_Loans!B213="","",YEAR(Agent05_Loans!D213)),"")</f>
        <v/>
      </c>
    </row>
    <row r="1002" spans="1:13" ht="18" customHeight="1" x14ac:dyDescent="0.25">
      <c r="A1002" s="40" t="str">
        <f>IF(Agent05_Loans!B214="","",Agent05_Loans!A214)</f>
        <v/>
      </c>
      <c r="B1002" s="40" t="str">
        <f>IF(Agent05_Loans!B214="","",Agent05_Loans!B214)</f>
        <v/>
      </c>
      <c r="C1002" s="40" t="str">
        <f>IF(Agent05_Loans!B214="","",Agent05_Loans!C214)</f>
        <v/>
      </c>
      <c r="D1002" s="41" t="str">
        <f>IF(Agent05_Loans!B214="","",Agent05_Loans!D214)</f>
        <v/>
      </c>
      <c r="E1002" s="43" t="str">
        <f>IF(Agent05_Loans!B214="","",Agent05_Loans!E214)</f>
        <v/>
      </c>
      <c r="F1002" s="40" t="str">
        <f>IF(Agent05_Loans!B214="","",Agent05_Loans!F214)</f>
        <v/>
      </c>
      <c r="G1002" s="40" t="str">
        <f>IF(Agent05_Loans!B214="","",Agent05_Loans!G214)</f>
        <v/>
      </c>
      <c r="H1002" s="40" t="str">
        <f>IF(Agent05_Loans!B214="","",Agent05_Loans!H214)</f>
        <v/>
      </c>
      <c r="I1002" s="43" t="str">
        <f>IF(Agent05_Loans!B214="","",Agent05_Loans!I214)</f>
        <v/>
      </c>
      <c r="J1002" s="43" t="str">
        <f>IF(Agent05_Loans!B214="","",Agent05_Loans!J214)</f>
        <v/>
      </c>
      <c r="K1002" s="40" t="str">
        <f>IF(Agent05_Loans!B214="","",Agent05_Loans!K214)</f>
        <v/>
      </c>
      <c r="L1002" s="40" t="str">
        <f>IF(Agent05_Loans!B214="","",Agent05_Loans!L214)</f>
        <v/>
      </c>
      <c r="M1002" s="40" t="str">
        <f>IFERROR(IF(Agent05_Loans!B214="","",YEAR(Agent05_Loans!D214)),"")</f>
        <v/>
      </c>
    </row>
    <row r="1003" spans="1:13" ht="18" customHeight="1" x14ac:dyDescent="0.25">
      <c r="A1003" s="40" t="str">
        <f>IF(Agent05_Loans!B215="","",Agent05_Loans!A215)</f>
        <v/>
      </c>
      <c r="B1003" s="40" t="str">
        <f>IF(Agent05_Loans!B215="","",Agent05_Loans!B215)</f>
        <v/>
      </c>
      <c r="C1003" s="40" t="str">
        <f>IF(Agent05_Loans!B215="","",Agent05_Loans!C215)</f>
        <v/>
      </c>
      <c r="D1003" s="41" t="str">
        <f>IF(Agent05_Loans!B215="","",Agent05_Loans!D215)</f>
        <v/>
      </c>
      <c r="E1003" s="43" t="str">
        <f>IF(Agent05_Loans!B215="","",Agent05_Loans!E215)</f>
        <v/>
      </c>
      <c r="F1003" s="40" t="str">
        <f>IF(Agent05_Loans!B215="","",Agent05_Loans!F215)</f>
        <v/>
      </c>
      <c r="G1003" s="40" t="str">
        <f>IF(Agent05_Loans!B215="","",Agent05_Loans!G215)</f>
        <v/>
      </c>
      <c r="H1003" s="40" t="str">
        <f>IF(Agent05_Loans!B215="","",Agent05_Loans!H215)</f>
        <v/>
      </c>
      <c r="I1003" s="43" t="str">
        <f>IF(Agent05_Loans!B215="","",Agent05_Loans!I215)</f>
        <v/>
      </c>
      <c r="J1003" s="43" t="str">
        <f>IF(Agent05_Loans!B215="","",Agent05_Loans!J215)</f>
        <v/>
      </c>
      <c r="K1003" s="40" t="str">
        <f>IF(Agent05_Loans!B215="","",Agent05_Loans!K215)</f>
        <v/>
      </c>
      <c r="L1003" s="40" t="str">
        <f>IF(Agent05_Loans!B215="","",Agent05_Loans!L215)</f>
        <v/>
      </c>
      <c r="M1003" s="40" t="str">
        <f>IFERROR(IF(Agent05_Loans!B215="","",YEAR(Agent05_Loans!D215)),"")</f>
        <v/>
      </c>
    </row>
    <row r="1004" spans="1:13" ht="18" customHeight="1" x14ac:dyDescent="0.25">
      <c r="A1004" s="40" t="str">
        <f>IF(Agent06_Loans!B16="","",Agent06_Loans!A16)</f>
        <v/>
      </c>
      <c r="B1004" s="40" t="str">
        <f>IF(Agent06_Loans!B16="","",Agent06_Loans!B16)</f>
        <v/>
      </c>
      <c r="C1004" s="40" t="str">
        <f>IF(Agent06_Loans!B16="","",Agent06_Loans!C16)</f>
        <v/>
      </c>
      <c r="D1004" s="41" t="str">
        <f>IF(Agent06_Loans!B16="","",Agent06_Loans!D16)</f>
        <v/>
      </c>
      <c r="E1004" s="43" t="str">
        <f>IF(Agent06_Loans!B16="","",Agent06_Loans!E16)</f>
        <v/>
      </c>
      <c r="F1004" s="40" t="str">
        <f>IF(Agent06_Loans!B16="","",Agent06_Loans!F16)</f>
        <v/>
      </c>
      <c r="G1004" s="40" t="str">
        <f>IF(Agent06_Loans!B16="","",Agent06_Loans!G16)</f>
        <v/>
      </c>
      <c r="H1004" s="40" t="str">
        <f>IF(Agent06_Loans!B16="","",Agent06_Loans!H16)</f>
        <v/>
      </c>
      <c r="I1004" s="43" t="str">
        <f>IF(Agent06_Loans!B16="","",Agent06_Loans!I16)</f>
        <v/>
      </c>
      <c r="J1004" s="43" t="str">
        <f>IF(Agent06_Loans!B16="","",Agent06_Loans!J16)</f>
        <v/>
      </c>
      <c r="K1004" s="40" t="str">
        <f>IF(Agent06_Loans!B16="","",Agent06_Loans!K16)</f>
        <v/>
      </c>
      <c r="L1004" s="40" t="str">
        <f>IF(Agent06_Loans!B16="","",Agent06_Loans!L16)</f>
        <v/>
      </c>
      <c r="M1004" s="40" t="str">
        <f>IFERROR(IF(Agent06_Loans!B16="","",YEAR(Agent06_Loans!D16)),"")</f>
        <v/>
      </c>
    </row>
    <row r="1005" spans="1:13" ht="18" customHeight="1" x14ac:dyDescent="0.25">
      <c r="A1005" s="40" t="str">
        <f>IF(Agent06_Loans!B17="","",Agent06_Loans!A17)</f>
        <v/>
      </c>
      <c r="B1005" s="40" t="str">
        <f>IF(Agent06_Loans!B17="","",Agent06_Loans!B17)</f>
        <v/>
      </c>
      <c r="C1005" s="40" t="str">
        <f>IF(Agent06_Loans!B17="","",Agent06_Loans!C17)</f>
        <v/>
      </c>
      <c r="D1005" s="41" t="str">
        <f>IF(Agent06_Loans!B17="","",Agent06_Loans!D17)</f>
        <v/>
      </c>
      <c r="E1005" s="43" t="str">
        <f>IF(Agent06_Loans!B17="","",Agent06_Loans!E17)</f>
        <v/>
      </c>
      <c r="F1005" s="40" t="str">
        <f>IF(Agent06_Loans!B17="","",Agent06_Loans!F17)</f>
        <v/>
      </c>
      <c r="G1005" s="40" t="str">
        <f>IF(Agent06_Loans!B17="","",Agent06_Loans!G17)</f>
        <v/>
      </c>
      <c r="H1005" s="40" t="str">
        <f>IF(Agent06_Loans!B17="","",Agent06_Loans!H17)</f>
        <v/>
      </c>
      <c r="I1005" s="43" t="str">
        <f>IF(Agent06_Loans!B17="","",Agent06_Loans!I17)</f>
        <v/>
      </c>
      <c r="J1005" s="43" t="str">
        <f>IF(Agent06_Loans!B17="","",Agent06_Loans!J17)</f>
        <v/>
      </c>
      <c r="K1005" s="40" t="str">
        <f>IF(Agent06_Loans!B17="","",Agent06_Loans!K17)</f>
        <v/>
      </c>
      <c r="L1005" s="40" t="str">
        <f>IF(Agent06_Loans!B17="","",Agent06_Loans!L17)</f>
        <v/>
      </c>
      <c r="M1005" s="40" t="str">
        <f>IFERROR(IF(Agent06_Loans!B17="","",YEAR(Agent06_Loans!D17)),"")</f>
        <v/>
      </c>
    </row>
    <row r="1006" spans="1:13" ht="18" customHeight="1" x14ac:dyDescent="0.25">
      <c r="A1006" s="40" t="str">
        <f>IF(Agent06_Loans!B18="","",Agent06_Loans!A18)</f>
        <v/>
      </c>
      <c r="B1006" s="40" t="str">
        <f>IF(Agent06_Loans!B18="","",Agent06_Loans!B18)</f>
        <v/>
      </c>
      <c r="C1006" s="40" t="str">
        <f>IF(Agent06_Loans!B18="","",Agent06_Loans!C18)</f>
        <v/>
      </c>
      <c r="D1006" s="41" t="str">
        <f>IF(Agent06_Loans!B18="","",Agent06_Loans!D18)</f>
        <v/>
      </c>
      <c r="E1006" s="43" t="str">
        <f>IF(Agent06_Loans!B18="","",Agent06_Loans!E18)</f>
        <v/>
      </c>
      <c r="F1006" s="40" t="str">
        <f>IF(Agent06_Loans!B18="","",Agent06_Loans!F18)</f>
        <v/>
      </c>
      <c r="G1006" s="40" t="str">
        <f>IF(Agent06_Loans!B18="","",Agent06_Loans!G18)</f>
        <v/>
      </c>
      <c r="H1006" s="40" t="str">
        <f>IF(Agent06_Loans!B18="","",Agent06_Loans!H18)</f>
        <v/>
      </c>
      <c r="I1006" s="43" t="str">
        <f>IF(Agent06_Loans!B18="","",Agent06_Loans!I18)</f>
        <v/>
      </c>
      <c r="J1006" s="43" t="str">
        <f>IF(Agent06_Loans!B18="","",Agent06_Loans!J18)</f>
        <v/>
      </c>
      <c r="K1006" s="40" t="str">
        <f>IF(Agent06_Loans!B18="","",Agent06_Loans!K18)</f>
        <v/>
      </c>
      <c r="L1006" s="40" t="str">
        <f>IF(Agent06_Loans!B18="","",Agent06_Loans!L18)</f>
        <v/>
      </c>
      <c r="M1006" s="40" t="str">
        <f>IFERROR(IF(Agent06_Loans!B18="","",YEAR(Agent06_Loans!D18)),"")</f>
        <v/>
      </c>
    </row>
    <row r="1007" spans="1:13" ht="18" customHeight="1" x14ac:dyDescent="0.25">
      <c r="A1007" s="40" t="str">
        <f>IF(Agent06_Loans!B19="","",Agent06_Loans!A19)</f>
        <v/>
      </c>
      <c r="B1007" s="40" t="str">
        <f>IF(Agent06_Loans!B19="","",Agent06_Loans!B19)</f>
        <v/>
      </c>
      <c r="C1007" s="40" t="str">
        <f>IF(Agent06_Loans!B19="","",Agent06_Loans!C19)</f>
        <v/>
      </c>
      <c r="D1007" s="41" t="str">
        <f>IF(Agent06_Loans!B19="","",Agent06_Loans!D19)</f>
        <v/>
      </c>
      <c r="E1007" s="43" t="str">
        <f>IF(Agent06_Loans!B19="","",Agent06_Loans!E19)</f>
        <v/>
      </c>
      <c r="F1007" s="40" t="str">
        <f>IF(Agent06_Loans!B19="","",Agent06_Loans!F19)</f>
        <v/>
      </c>
      <c r="G1007" s="40" t="str">
        <f>IF(Agent06_Loans!B19="","",Agent06_Loans!G19)</f>
        <v/>
      </c>
      <c r="H1007" s="40" t="str">
        <f>IF(Agent06_Loans!B19="","",Agent06_Loans!H19)</f>
        <v/>
      </c>
      <c r="I1007" s="43" t="str">
        <f>IF(Agent06_Loans!B19="","",Agent06_Loans!I19)</f>
        <v/>
      </c>
      <c r="J1007" s="43" t="str">
        <f>IF(Agent06_Loans!B19="","",Agent06_Loans!J19)</f>
        <v/>
      </c>
      <c r="K1007" s="40" t="str">
        <f>IF(Agent06_Loans!B19="","",Agent06_Loans!K19)</f>
        <v/>
      </c>
      <c r="L1007" s="40" t="str">
        <f>IF(Agent06_Loans!B19="","",Agent06_Loans!L19)</f>
        <v/>
      </c>
      <c r="M1007" s="40" t="str">
        <f>IFERROR(IF(Agent06_Loans!B19="","",YEAR(Agent06_Loans!D19)),"")</f>
        <v/>
      </c>
    </row>
    <row r="1008" spans="1:13" ht="18" customHeight="1" x14ac:dyDescent="0.25">
      <c r="A1008" s="40" t="str">
        <f>IF(Agent06_Loans!B20="","",Agent06_Loans!A20)</f>
        <v/>
      </c>
      <c r="B1008" s="40" t="str">
        <f>IF(Agent06_Loans!B20="","",Agent06_Loans!B20)</f>
        <v/>
      </c>
      <c r="C1008" s="40" t="str">
        <f>IF(Agent06_Loans!B20="","",Agent06_Loans!C20)</f>
        <v/>
      </c>
      <c r="D1008" s="41" t="str">
        <f>IF(Agent06_Loans!B20="","",Agent06_Loans!D20)</f>
        <v/>
      </c>
      <c r="E1008" s="43" t="str">
        <f>IF(Agent06_Loans!B20="","",Agent06_Loans!E20)</f>
        <v/>
      </c>
      <c r="F1008" s="40" t="str">
        <f>IF(Agent06_Loans!B20="","",Agent06_Loans!F20)</f>
        <v/>
      </c>
      <c r="G1008" s="40" t="str">
        <f>IF(Agent06_Loans!B20="","",Agent06_Loans!G20)</f>
        <v/>
      </c>
      <c r="H1008" s="40" t="str">
        <f>IF(Agent06_Loans!B20="","",Agent06_Loans!H20)</f>
        <v/>
      </c>
      <c r="I1008" s="43" t="str">
        <f>IF(Agent06_Loans!B20="","",Agent06_Loans!I20)</f>
        <v/>
      </c>
      <c r="J1008" s="43" t="str">
        <f>IF(Agent06_Loans!B20="","",Agent06_Loans!J20)</f>
        <v/>
      </c>
      <c r="K1008" s="40" t="str">
        <f>IF(Agent06_Loans!B20="","",Agent06_Loans!K20)</f>
        <v/>
      </c>
      <c r="L1008" s="40" t="str">
        <f>IF(Agent06_Loans!B20="","",Agent06_Loans!L20)</f>
        <v/>
      </c>
      <c r="M1008" s="40" t="str">
        <f>IFERROR(IF(Agent06_Loans!B20="","",YEAR(Agent06_Loans!D20)),"")</f>
        <v/>
      </c>
    </row>
    <row r="1009" spans="1:13" ht="18" customHeight="1" x14ac:dyDescent="0.25">
      <c r="A1009" s="40" t="str">
        <f>IF(Agent06_Loans!B21="","",Agent06_Loans!A21)</f>
        <v/>
      </c>
      <c r="B1009" s="40" t="str">
        <f>IF(Agent06_Loans!B21="","",Agent06_Loans!B21)</f>
        <v/>
      </c>
      <c r="C1009" s="40" t="str">
        <f>IF(Agent06_Loans!B21="","",Agent06_Loans!C21)</f>
        <v/>
      </c>
      <c r="D1009" s="41" t="str">
        <f>IF(Agent06_Loans!B21="","",Agent06_Loans!D21)</f>
        <v/>
      </c>
      <c r="E1009" s="43" t="str">
        <f>IF(Agent06_Loans!B21="","",Agent06_Loans!E21)</f>
        <v/>
      </c>
      <c r="F1009" s="40" t="str">
        <f>IF(Agent06_Loans!B21="","",Agent06_Loans!F21)</f>
        <v/>
      </c>
      <c r="G1009" s="40" t="str">
        <f>IF(Agent06_Loans!B21="","",Agent06_Loans!G21)</f>
        <v/>
      </c>
      <c r="H1009" s="40" t="str">
        <f>IF(Agent06_Loans!B21="","",Agent06_Loans!H21)</f>
        <v/>
      </c>
      <c r="I1009" s="43" t="str">
        <f>IF(Agent06_Loans!B21="","",Agent06_Loans!I21)</f>
        <v/>
      </c>
      <c r="J1009" s="43" t="str">
        <f>IF(Agent06_Loans!B21="","",Agent06_Loans!J21)</f>
        <v/>
      </c>
      <c r="K1009" s="40" t="str">
        <f>IF(Agent06_Loans!B21="","",Agent06_Loans!K21)</f>
        <v/>
      </c>
      <c r="L1009" s="40" t="str">
        <f>IF(Agent06_Loans!B21="","",Agent06_Loans!L21)</f>
        <v/>
      </c>
      <c r="M1009" s="40" t="str">
        <f>IFERROR(IF(Agent06_Loans!B21="","",YEAR(Agent06_Loans!D21)),"")</f>
        <v/>
      </c>
    </row>
    <row r="1010" spans="1:13" ht="18" customHeight="1" x14ac:dyDescent="0.25">
      <c r="A1010" s="40" t="str">
        <f>IF(Agent06_Loans!B22="","",Agent06_Loans!A22)</f>
        <v/>
      </c>
      <c r="B1010" s="40" t="str">
        <f>IF(Agent06_Loans!B22="","",Agent06_Loans!B22)</f>
        <v/>
      </c>
      <c r="C1010" s="40" t="str">
        <f>IF(Agent06_Loans!B22="","",Agent06_Loans!C22)</f>
        <v/>
      </c>
      <c r="D1010" s="41" t="str">
        <f>IF(Agent06_Loans!B22="","",Agent06_Loans!D22)</f>
        <v/>
      </c>
      <c r="E1010" s="43" t="str">
        <f>IF(Agent06_Loans!B22="","",Agent06_Loans!E22)</f>
        <v/>
      </c>
      <c r="F1010" s="40" t="str">
        <f>IF(Agent06_Loans!B22="","",Agent06_Loans!F22)</f>
        <v/>
      </c>
      <c r="G1010" s="40" t="str">
        <f>IF(Agent06_Loans!B22="","",Agent06_Loans!G22)</f>
        <v/>
      </c>
      <c r="H1010" s="40" t="str">
        <f>IF(Agent06_Loans!B22="","",Agent06_Loans!H22)</f>
        <v/>
      </c>
      <c r="I1010" s="43" t="str">
        <f>IF(Agent06_Loans!B22="","",Agent06_Loans!I22)</f>
        <v/>
      </c>
      <c r="J1010" s="43" t="str">
        <f>IF(Agent06_Loans!B22="","",Agent06_Loans!J22)</f>
        <v/>
      </c>
      <c r="K1010" s="40" t="str">
        <f>IF(Agent06_Loans!B22="","",Agent06_Loans!K22)</f>
        <v/>
      </c>
      <c r="L1010" s="40" t="str">
        <f>IF(Agent06_Loans!B22="","",Agent06_Loans!L22)</f>
        <v/>
      </c>
      <c r="M1010" s="40" t="str">
        <f>IFERROR(IF(Agent06_Loans!B22="","",YEAR(Agent06_Loans!D22)),"")</f>
        <v/>
      </c>
    </row>
    <row r="1011" spans="1:13" ht="18" customHeight="1" x14ac:dyDescent="0.25">
      <c r="A1011" s="40" t="str">
        <f>IF(Agent06_Loans!B23="","",Agent06_Loans!A23)</f>
        <v/>
      </c>
      <c r="B1011" s="40" t="str">
        <f>IF(Agent06_Loans!B23="","",Agent06_Loans!B23)</f>
        <v/>
      </c>
      <c r="C1011" s="40" t="str">
        <f>IF(Agent06_Loans!B23="","",Agent06_Loans!C23)</f>
        <v/>
      </c>
      <c r="D1011" s="41" t="str">
        <f>IF(Agent06_Loans!B23="","",Agent06_Loans!D23)</f>
        <v/>
      </c>
      <c r="E1011" s="43" t="str">
        <f>IF(Agent06_Loans!B23="","",Agent06_Loans!E23)</f>
        <v/>
      </c>
      <c r="F1011" s="40" t="str">
        <f>IF(Agent06_Loans!B23="","",Agent06_Loans!F23)</f>
        <v/>
      </c>
      <c r="G1011" s="40" t="str">
        <f>IF(Agent06_Loans!B23="","",Agent06_Loans!G23)</f>
        <v/>
      </c>
      <c r="H1011" s="40" t="str">
        <f>IF(Agent06_Loans!B23="","",Agent06_Loans!H23)</f>
        <v/>
      </c>
      <c r="I1011" s="43" t="str">
        <f>IF(Agent06_Loans!B23="","",Agent06_Loans!I23)</f>
        <v/>
      </c>
      <c r="J1011" s="43" t="str">
        <f>IF(Agent06_Loans!B23="","",Agent06_Loans!J23)</f>
        <v/>
      </c>
      <c r="K1011" s="40" t="str">
        <f>IF(Agent06_Loans!B23="","",Agent06_Loans!K23)</f>
        <v/>
      </c>
      <c r="L1011" s="40" t="str">
        <f>IF(Agent06_Loans!B23="","",Agent06_Loans!L23)</f>
        <v/>
      </c>
      <c r="M1011" s="40" t="str">
        <f>IFERROR(IF(Agent06_Loans!B23="","",YEAR(Agent06_Loans!D23)),"")</f>
        <v/>
      </c>
    </row>
    <row r="1012" spans="1:13" ht="18" customHeight="1" x14ac:dyDescent="0.25">
      <c r="A1012" s="40" t="str">
        <f>IF(Agent06_Loans!B24="","",Agent06_Loans!A24)</f>
        <v/>
      </c>
      <c r="B1012" s="40" t="str">
        <f>IF(Agent06_Loans!B24="","",Agent06_Loans!B24)</f>
        <v/>
      </c>
      <c r="C1012" s="40" t="str">
        <f>IF(Agent06_Loans!B24="","",Agent06_Loans!C24)</f>
        <v/>
      </c>
      <c r="D1012" s="41" t="str">
        <f>IF(Agent06_Loans!B24="","",Agent06_Loans!D24)</f>
        <v/>
      </c>
      <c r="E1012" s="43" t="str">
        <f>IF(Agent06_Loans!B24="","",Agent06_Loans!E24)</f>
        <v/>
      </c>
      <c r="F1012" s="40" t="str">
        <f>IF(Agent06_Loans!B24="","",Agent06_Loans!F24)</f>
        <v/>
      </c>
      <c r="G1012" s="40" t="str">
        <f>IF(Agent06_Loans!B24="","",Agent06_Loans!G24)</f>
        <v/>
      </c>
      <c r="H1012" s="40" t="str">
        <f>IF(Agent06_Loans!B24="","",Agent06_Loans!H24)</f>
        <v/>
      </c>
      <c r="I1012" s="43" t="str">
        <f>IF(Agent06_Loans!B24="","",Agent06_Loans!I24)</f>
        <v/>
      </c>
      <c r="J1012" s="43" t="str">
        <f>IF(Agent06_Loans!B24="","",Agent06_Loans!J24)</f>
        <v/>
      </c>
      <c r="K1012" s="40" t="str">
        <f>IF(Agent06_Loans!B24="","",Agent06_Loans!K24)</f>
        <v/>
      </c>
      <c r="L1012" s="40" t="str">
        <f>IF(Agent06_Loans!B24="","",Agent06_Loans!L24)</f>
        <v/>
      </c>
      <c r="M1012" s="40" t="str">
        <f>IFERROR(IF(Agent06_Loans!B24="","",YEAR(Agent06_Loans!D24)),"")</f>
        <v/>
      </c>
    </row>
    <row r="1013" spans="1:13" ht="18" customHeight="1" x14ac:dyDescent="0.25">
      <c r="A1013" s="40" t="str">
        <f>IF(Agent06_Loans!B25="","",Agent06_Loans!A25)</f>
        <v/>
      </c>
      <c r="B1013" s="40" t="str">
        <f>IF(Agent06_Loans!B25="","",Agent06_Loans!B25)</f>
        <v/>
      </c>
      <c r="C1013" s="40" t="str">
        <f>IF(Agent06_Loans!B25="","",Agent06_Loans!C25)</f>
        <v/>
      </c>
      <c r="D1013" s="41" t="str">
        <f>IF(Agent06_Loans!B25="","",Agent06_Loans!D25)</f>
        <v/>
      </c>
      <c r="E1013" s="43" t="str">
        <f>IF(Agent06_Loans!B25="","",Agent06_Loans!E25)</f>
        <v/>
      </c>
      <c r="F1013" s="40" t="str">
        <f>IF(Agent06_Loans!B25="","",Agent06_Loans!F25)</f>
        <v/>
      </c>
      <c r="G1013" s="40" t="str">
        <f>IF(Agent06_Loans!B25="","",Agent06_Loans!G25)</f>
        <v/>
      </c>
      <c r="H1013" s="40" t="str">
        <f>IF(Agent06_Loans!B25="","",Agent06_Loans!H25)</f>
        <v/>
      </c>
      <c r="I1013" s="43" t="str">
        <f>IF(Agent06_Loans!B25="","",Agent06_Loans!I25)</f>
        <v/>
      </c>
      <c r="J1013" s="43" t="str">
        <f>IF(Agent06_Loans!B25="","",Agent06_Loans!J25)</f>
        <v/>
      </c>
      <c r="K1013" s="40" t="str">
        <f>IF(Agent06_Loans!B25="","",Agent06_Loans!K25)</f>
        <v/>
      </c>
      <c r="L1013" s="40" t="str">
        <f>IF(Agent06_Loans!B25="","",Agent06_Loans!L25)</f>
        <v/>
      </c>
      <c r="M1013" s="40" t="str">
        <f>IFERROR(IF(Agent06_Loans!B25="","",YEAR(Agent06_Loans!D25)),"")</f>
        <v/>
      </c>
    </row>
    <row r="1014" spans="1:13" ht="18" customHeight="1" x14ac:dyDescent="0.25">
      <c r="A1014" s="40" t="str">
        <f>IF(Agent06_Loans!B26="","",Agent06_Loans!A26)</f>
        <v/>
      </c>
      <c r="B1014" s="40" t="str">
        <f>IF(Agent06_Loans!B26="","",Agent06_Loans!B26)</f>
        <v/>
      </c>
      <c r="C1014" s="40" t="str">
        <f>IF(Agent06_Loans!B26="","",Agent06_Loans!C26)</f>
        <v/>
      </c>
      <c r="D1014" s="41" t="str">
        <f>IF(Agent06_Loans!B26="","",Agent06_Loans!D26)</f>
        <v/>
      </c>
      <c r="E1014" s="43" t="str">
        <f>IF(Agent06_Loans!B26="","",Agent06_Loans!E26)</f>
        <v/>
      </c>
      <c r="F1014" s="40" t="str">
        <f>IF(Agent06_Loans!B26="","",Agent06_Loans!F26)</f>
        <v/>
      </c>
      <c r="G1014" s="40" t="str">
        <f>IF(Agent06_Loans!B26="","",Agent06_Loans!G26)</f>
        <v/>
      </c>
      <c r="H1014" s="40" t="str">
        <f>IF(Agent06_Loans!B26="","",Agent06_Loans!H26)</f>
        <v/>
      </c>
      <c r="I1014" s="43" t="str">
        <f>IF(Agent06_Loans!B26="","",Agent06_Loans!I26)</f>
        <v/>
      </c>
      <c r="J1014" s="43" t="str">
        <f>IF(Agent06_Loans!B26="","",Agent06_Loans!J26)</f>
        <v/>
      </c>
      <c r="K1014" s="40" t="str">
        <f>IF(Agent06_Loans!B26="","",Agent06_Loans!K26)</f>
        <v/>
      </c>
      <c r="L1014" s="40" t="str">
        <f>IF(Agent06_Loans!B26="","",Agent06_Loans!L26)</f>
        <v/>
      </c>
      <c r="M1014" s="40" t="str">
        <f>IFERROR(IF(Agent06_Loans!B26="","",YEAR(Agent06_Loans!D26)),"")</f>
        <v/>
      </c>
    </row>
    <row r="1015" spans="1:13" ht="18" customHeight="1" x14ac:dyDescent="0.25">
      <c r="A1015" s="40" t="str">
        <f>IF(Agent06_Loans!B27="","",Agent06_Loans!A27)</f>
        <v/>
      </c>
      <c r="B1015" s="40" t="str">
        <f>IF(Agent06_Loans!B27="","",Agent06_Loans!B27)</f>
        <v/>
      </c>
      <c r="C1015" s="40" t="str">
        <f>IF(Agent06_Loans!B27="","",Agent06_Loans!C27)</f>
        <v/>
      </c>
      <c r="D1015" s="41" t="str">
        <f>IF(Agent06_Loans!B27="","",Agent06_Loans!D27)</f>
        <v/>
      </c>
      <c r="E1015" s="43" t="str">
        <f>IF(Agent06_Loans!B27="","",Agent06_Loans!E27)</f>
        <v/>
      </c>
      <c r="F1015" s="40" t="str">
        <f>IF(Agent06_Loans!B27="","",Agent06_Loans!F27)</f>
        <v/>
      </c>
      <c r="G1015" s="40" t="str">
        <f>IF(Agent06_Loans!B27="","",Agent06_Loans!G27)</f>
        <v/>
      </c>
      <c r="H1015" s="40" t="str">
        <f>IF(Agent06_Loans!B27="","",Agent06_Loans!H27)</f>
        <v/>
      </c>
      <c r="I1015" s="43" t="str">
        <f>IF(Agent06_Loans!B27="","",Agent06_Loans!I27)</f>
        <v/>
      </c>
      <c r="J1015" s="43" t="str">
        <f>IF(Agent06_Loans!B27="","",Agent06_Loans!J27)</f>
        <v/>
      </c>
      <c r="K1015" s="40" t="str">
        <f>IF(Agent06_Loans!B27="","",Agent06_Loans!K27)</f>
        <v/>
      </c>
      <c r="L1015" s="40" t="str">
        <f>IF(Agent06_Loans!B27="","",Agent06_Loans!L27)</f>
        <v/>
      </c>
      <c r="M1015" s="40" t="str">
        <f>IFERROR(IF(Agent06_Loans!B27="","",YEAR(Agent06_Loans!D27)),"")</f>
        <v/>
      </c>
    </row>
    <row r="1016" spans="1:13" ht="18" customHeight="1" x14ac:dyDescent="0.25">
      <c r="A1016" s="40" t="str">
        <f>IF(Agent06_Loans!B28="","",Agent06_Loans!A28)</f>
        <v/>
      </c>
      <c r="B1016" s="40" t="str">
        <f>IF(Agent06_Loans!B28="","",Agent06_Loans!B28)</f>
        <v/>
      </c>
      <c r="C1016" s="40" t="str">
        <f>IF(Agent06_Loans!B28="","",Agent06_Loans!C28)</f>
        <v/>
      </c>
      <c r="D1016" s="41" t="str">
        <f>IF(Agent06_Loans!B28="","",Agent06_Loans!D28)</f>
        <v/>
      </c>
      <c r="E1016" s="43" t="str">
        <f>IF(Agent06_Loans!B28="","",Agent06_Loans!E28)</f>
        <v/>
      </c>
      <c r="F1016" s="40" t="str">
        <f>IF(Agent06_Loans!B28="","",Agent06_Loans!F28)</f>
        <v/>
      </c>
      <c r="G1016" s="40" t="str">
        <f>IF(Agent06_Loans!B28="","",Agent06_Loans!G28)</f>
        <v/>
      </c>
      <c r="H1016" s="40" t="str">
        <f>IF(Agent06_Loans!B28="","",Agent06_Loans!H28)</f>
        <v/>
      </c>
      <c r="I1016" s="43" t="str">
        <f>IF(Agent06_Loans!B28="","",Agent06_Loans!I28)</f>
        <v/>
      </c>
      <c r="J1016" s="43" t="str">
        <f>IF(Agent06_Loans!B28="","",Agent06_Loans!J28)</f>
        <v/>
      </c>
      <c r="K1016" s="40" t="str">
        <f>IF(Agent06_Loans!B28="","",Agent06_Loans!K28)</f>
        <v/>
      </c>
      <c r="L1016" s="40" t="str">
        <f>IF(Agent06_Loans!B28="","",Agent06_Loans!L28)</f>
        <v/>
      </c>
      <c r="M1016" s="40" t="str">
        <f>IFERROR(IF(Agent06_Loans!B28="","",YEAR(Agent06_Loans!D28)),"")</f>
        <v/>
      </c>
    </row>
    <row r="1017" spans="1:13" ht="18" customHeight="1" x14ac:dyDescent="0.25">
      <c r="A1017" s="40" t="str">
        <f>IF(Agent06_Loans!B29="","",Agent06_Loans!A29)</f>
        <v/>
      </c>
      <c r="B1017" s="40" t="str">
        <f>IF(Agent06_Loans!B29="","",Agent06_Loans!B29)</f>
        <v/>
      </c>
      <c r="C1017" s="40" t="str">
        <f>IF(Agent06_Loans!B29="","",Agent06_Loans!C29)</f>
        <v/>
      </c>
      <c r="D1017" s="41" t="str">
        <f>IF(Agent06_Loans!B29="","",Agent06_Loans!D29)</f>
        <v/>
      </c>
      <c r="E1017" s="43" t="str">
        <f>IF(Agent06_Loans!B29="","",Agent06_Loans!E29)</f>
        <v/>
      </c>
      <c r="F1017" s="40" t="str">
        <f>IF(Agent06_Loans!B29="","",Agent06_Loans!F29)</f>
        <v/>
      </c>
      <c r="G1017" s="40" t="str">
        <f>IF(Agent06_Loans!B29="","",Agent06_Loans!G29)</f>
        <v/>
      </c>
      <c r="H1017" s="40" t="str">
        <f>IF(Agent06_Loans!B29="","",Agent06_Loans!H29)</f>
        <v/>
      </c>
      <c r="I1017" s="43" t="str">
        <f>IF(Agent06_Loans!B29="","",Agent06_Loans!I29)</f>
        <v/>
      </c>
      <c r="J1017" s="43" t="str">
        <f>IF(Agent06_Loans!B29="","",Agent06_Loans!J29)</f>
        <v/>
      </c>
      <c r="K1017" s="40" t="str">
        <f>IF(Agent06_Loans!B29="","",Agent06_Loans!K29)</f>
        <v/>
      </c>
      <c r="L1017" s="40" t="str">
        <f>IF(Agent06_Loans!B29="","",Agent06_Loans!L29)</f>
        <v/>
      </c>
      <c r="M1017" s="40" t="str">
        <f>IFERROR(IF(Agent06_Loans!B29="","",YEAR(Agent06_Loans!D29)),"")</f>
        <v/>
      </c>
    </row>
    <row r="1018" spans="1:13" ht="18" customHeight="1" x14ac:dyDescent="0.25">
      <c r="A1018" s="40" t="str">
        <f>IF(Agent06_Loans!B30="","",Agent06_Loans!A30)</f>
        <v/>
      </c>
      <c r="B1018" s="40" t="str">
        <f>IF(Agent06_Loans!B30="","",Agent06_Loans!B30)</f>
        <v/>
      </c>
      <c r="C1018" s="40" t="str">
        <f>IF(Agent06_Loans!B30="","",Agent06_Loans!C30)</f>
        <v/>
      </c>
      <c r="D1018" s="41" t="str">
        <f>IF(Agent06_Loans!B30="","",Agent06_Loans!D30)</f>
        <v/>
      </c>
      <c r="E1018" s="43" t="str">
        <f>IF(Agent06_Loans!B30="","",Agent06_Loans!E30)</f>
        <v/>
      </c>
      <c r="F1018" s="40" t="str">
        <f>IF(Agent06_Loans!B30="","",Agent06_Loans!F30)</f>
        <v/>
      </c>
      <c r="G1018" s="40" t="str">
        <f>IF(Agent06_Loans!B30="","",Agent06_Loans!G30)</f>
        <v/>
      </c>
      <c r="H1018" s="40" t="str">
        <f>IF(Agent06_Loans!B30="","",Agent06_Loans!H30)</f>
        <v/>
      </c>
      <c r="I1018" s="43" t="str">
        <f>IF(Agent06_Loans!B30="","",Agent06_Loans!I30)</f>
        <v/>
      </c>
      <c r="J1018" s="43" t="str">
        <f>IF(Agent06_Loans!B30="","",Agent06_Loans!J30)</f>
        <v/>
      </c>
      <c r="K1018" s="40" t="str">
        <f>IF(Agent06_Loans!B30="","",Agent06_Loans!K30)</f>
        <v/>
      </c>
      <c r="L1018" s="40" t="str">
        <f>IF(Agent06_Loans!B30="","",Agent06_Loans!L30)</f>
        <v/>
      </c>
      <c r="M1018" s="40" t="str">
        <f>IFERROR(IF(Agent06_Loans!B30="","",YEAR(Agent06_Loans!D30)),"")</f>
        <v/>
      </c>
    </row>
    <row r="1019" spans="1:13" ht="18" customHeight="1" x14ac:dyDescent="0.25">
      <c r="A1019" s="40" t="str">
        <f>IF(Agent06_Loans!B31="","",Agent06_Loans!A31)</f>
        <v/>
      </c>
      <c r="B1019" s="40" t="str">
        <f>IF(Agent06_Loans!B31="","",Agent06_Loans!B31)</f>
        <v/>
      </c>
      <c r="C1019" s="40" t="str">
        <f>IF(Agent06_Loans!B31="","",Agent06_Loans!C31)</f>
        <v/>
      </c>
      <c r="D1019" s="41" t="str">
        <f>IF(Agent06_Loans!B31="","",Agent06_Loans!D31)</f>
        <v/>
      </c>
      <c r="E1019" s="43" t="str">
        <f>IF(Agent06_Loans!B31="","",Agent06_Loans!E31)</f>
        <v/>
      </c>
      <c r="F1019" s="40" t="str">
        <f>IF(Agent06_Loans!B31="","",Agent06_Loans!F31)</f>
        <v/>
      </c>
      <c r="G1019" s="40" t="str">
        <f>IF(Agent06_Loans!B31="","",Agent06_Loans!G31)</f>
        <v/>
      </c>
      <c r="H1019" s="40" t="str">
        <f>IF(Agent06_Loans!B31="","",Agent06_Loans!H31)</f>
        <v/>
      </c>
      <c r="I1019" s="43" t="str">
        <f>IF(Agent06_Loans!B31="","",Agent06_Loans!I31)</f>
        <v/>
      </c>
      <c r="J1019" s="43" t="str">
        <f>IF(Agent06_Loans!B31="","",Agent06_Loans!J31)</f>
        <v/>
      </c>
      <c r="K1019" s="40" t="str">
        <f>IF(Agent06_Loans!B31="","",Agent06_Loans!K31)</f>
        <v/>
      </c>
      <c r="L1019" s="40" t="str">
        <f>IF(Agent06_Loans!B31="","",Agent06_Loans!L31)</f>
        <v/>
      </c>
      <c r="M1019" s="40" t="str">
        <f>IFERROR(IF(Agent06_Loans!B31="","",YEAR(Agent06_Loans!D31)),"")</f>
        <v/>
      </c>
    </row>
    <row r="1020" spans="1:13" ht="18" customHeight="1" x14ac:dyDescent="0.25">
      <c r="A1020" s="40" t="str">
        <f>IF(Agent06_Loans!B32="","",Agent06_Loans!A32)</f>
        <v/>
      </c>
      <c r="B1020" s="40" t="str">
        <f>IF(Agent06_Loans!B32="","",Agent06_Loans!B32)</f>
        <v/>
      </c>
      <c r="C1020" s="40" t="str">
        <f>IF(Agent06_Loans!B32="","",Agent06_Loans!C32)</f>
        <v/>
      </c>
      <c r="D1020" s="41" t="str">
        <f>IF(Agent06_Loans!B32="","",Agent06_Loans!D32)</f>
        <v/>
      </c>
      <c r="E1020" s="43" t="str">
        <f>IF(Agent06_Loans!B32="","",Agent06_Loans!E32)</f>
        <v/>
      </c>
      <c r="F1020" s="40" t="str">
        <f>IF(Agent06_Loans!B32="","",Agent06_Loans!F32)</f>
        <v/>
      </c>
      <c r="G1020" s="40" t="str">
        <f>IF(Agent06_Loans!B32="","",Agent06_Loans!G32)</f>
        <v/>
      </c>
      <c r="H1020" s="40" t="str">
        <f>IF(Agent06_Loans!B32="","",Agent06_Loans!H32)</f>
        <v/>
      </c>
      <c r="I1020" s="43" t="str">
        <f>IF(Agent06_Loans!B32="","",Agent06_Loans!I32)</f>
        <v/>
      </c>
      <c r="J1020" s="43" t="str">
        <f>IF(Agent06_Loans!B32="","",Agent06_Loans!J32)</f>
        <v/>
      </c>
      <c r="K1020" s="40" t="str">
        <f>IF(Agent06_Loans!B32="","",Agent06_Loans!K32)</f>
        <v/>
      </c>
      <c r="L1020" s="40" t="str">
        <f>IF(Agent06_Loans!B32="","",Agent06_Loans!L32)</f>
        <v/>
      </c>
      <c r="M1020" s="40" t="str">
        <f>IFERROR(IF(Agent06_Loans!B32="","",YEAR(Agent06_Loans!D32)),"")</f>
        <v/>
      </c>
    </row>
    <row r="1021" spans="1:13" ht="18" customHeight="1" x14ac:dyDescent="0.25">
      <c r="A1021" s="40" t="str">
        <f>IF(Agent06_Loans!B33="","",Agent06_Loans!A33)</f>
        <v/>
      </c>
      <c r="B1021" s="40" t="str">
        <f>IF(Agent06_Loans!B33="","",Agent06_Loans!B33)</f>
        <v/>
      </c>
      <c r="C1021" s="40" t="str">
        <f>IF(Agent06_Loans!B33="","",Agent06_Loans!C33)</f>
        <v/>
      </c>
      <c r="D1021" s="41" t="str">
        <f>IF(Agent06_Loans!B33="","",Agent06_Loans!D33)</f>
        <v/>
      </c>
      <c r="E1021" s="43" t="str">
        <f>IF(Agent06_Loans!B33="","",Agent06_Loans!E33)</f>
        <v/>
      </c>
      <c r="F1021" s="40" t="str">
        <f>IF(Agent06_Loans!B33="","",Agent06_Loans!F33)</f>
        <v/>
      </c>
      <c r="G1021" s="40" t="str">
        <f>IF(Agent06_Loans!B33="","",Agent06_Loans!G33)</f>
        <v/>
      </c>
      <c r="H1021" s="40" t="str">
        <f>IF(Agent06_Loans!B33="","",Agent06_Loans!H33)</f>
        <v/>
      </c>
      <c r="I1021" s="43" t="str">
        <f>IF(Agent06_Loans!B33="","",Agent06_Loans!I33)</f>
        <v/>
      </c>
      <c r="J1021" s="43" t="str">
        <f>IF(Agent06_Loans!B33="","",Agent06_Loans!J33)</f>
        <v/>
      </c>
      <c r="K1021" s="40" t="str">
        <f>IF(Agent06_Loans!B33="","",Agent06_Loans!K33)</f>
        <v/>
      </c>
      <c r="L1021" s="40" t="str">
        <f>IF(Agent06_Loans!B33="","",Agent06_Loans!L33)</f>
        <v/>
      </c>
      <c r="M1021" s="40" t="str">
        <f>IFERROR(IF(Agent06_Loans!B33="","",YEAR(Agent06_Loans!D33)),"")</f>
        <v/>
      </c>
    </row>
    <row r="1022" spans="1:13" ht="18" customHeight="1" x14ac:dyDescent="0.25">
      <c r="A1022" s="40" t="str">
        <f>IF(Agent06_Loans!B34="","",Agent06_Loans!A34)</f>
        <v/>
      </c>
      <c r="B1022" s="40" t="str">
        <f>IF(Agent06_Loans!B34="","",Agent06_Loans!B34)</f>
        <v/>
      </c>
      <c r="C1022" s="40" t="str">
        <f>IF(Agent06_Loans!B34="","",Agent06_Loans!C34)</f>
        <v/>
      </c>
      <c r="D1022" s="41" t="str">
        <f>IF(Agent06_Loans!B34="","",Agent06_Loans!D34)</f>
        <v/>
      </c>
      <c r="E1022" s="43" t="str">
        <f>IF(Agent06_Loans!B34="","",Agent06_Loans!E34)</f>
        <v/>
      </c>
      <c r="F1022" s="40" t="str">
        <f>IF(Agent06_Loans!B34="","",Agent06_Loans!F34)</f>
        <v/>
      </c>
      <c r="G1022" s="40" t="str">
        <f>IF(Agent06_Loans!B34="","",Agent06_Loans!G34)</f>
        <v/>
      </c>
      <c r="H1022" s="40" t="str">
        <f>IF(Agent06_Loans!B34="","",Agent06_Loans!H34)</f>
        <v/>
      </c>
      <c r="I1022" s="43" t="str">
        <f>IF(Agent06_Loans!B34="","",Agent06_Loans!I34)</f>
        <v/>
      </c>
      <c r="J1022" s="43" t="str">
        <f>IF(Agent06_Loans!B34="","",Agent06_Loans!J34)</f>
        <v/>
      </c>
      <c r="K1022" s="40" t="str">
        <f>IF(Agent06_Loans!B34="","",Agent06_Loans!K34)</f>
        <v/>
      </c>
      <c r="L1022" s="40" t="str">
        <f>IF(Agent06_Loans!B34="","",Agent06_Loans!L34)</f>
        <v/>
      </c>
      <c r="M1022" s="40" t="str">
        <f>IFERROR(IF(Agent06_Loans!B34="","",YEAR(Agent06_Loans!D34)),"")</f>
        <v/>
      </c>
    </row>
    <row r="1023" spans="1:13" ht="18" customHeight="1" x14ac:dyDescent="0.25">
      <c r="A1023" s="40" t="str">
        <f>IF(Agent06_Loans!B35="","",Agent06_Loans!A35)</f>
        <v/>
      </c>
      <c r="B1023" s="40" t="str">
        <f>IF(Agent06_Loans!B35="","",Agent06_Loans!B35)</f>
        <v/>
      </c>
      <c r="C1023" s="40" t="str">
        <f>IF(Agent06_Loans!B35="","",Agent06_Loans!C35)</f>
        <v/>
      </c>
      <c r="D1023" s="41" t="str">
        <f>IF(Agent06_Loans!B35="","",Agent06_Loans!D35)</f>
        <v/>
      </c>
      <c r="E1023" s="43" t="str">
        <f>IF(Agent06_Loans!B35="","",Agent06_Loans!E35)</f>
        <v/>
      </c>
      <c r="F1023" s="40" t="str">
        <f>IF(Agent06_Loans!B35="","",Agent06_Loans!F35)</f>
        <v/>
      </c>
      <c r="G1023" s="40" t="str">
        <f>IF(Agent06_Loans!B35="","",Agent06_Loans!G35)</f>
        <v/>
      </c>
      <c r="H1023" s="40" t="str">
        <f>IF(Agent06_Loans!B35="","",Agent06_Loans!H35)</f>
        <v/>
      </c>
      <c r="I1023" s="43" t="str">
        <f>IF(Agent06_Loans!B35="","",Agent06_Loans!I35)</f>
        <v/>
      </c>
      <c r="J1023" s="43" t="str">
        <f>IF(Agent06_Loans!B35="","",Agent06_Loans!J35)</f>
        <v/>
      </c>
      <c r="K1023" s="40" t="str">
        <f>IF(Agent06_Loans!B35="","",Agent06_Loans!K35)</f>
        <v/>
      </c>
      <c r="L1023" s="40" t="str">
        <f>IF(Agent06_Loans!B35="","",Agent06_Loans!L35)</f>
        <v/>
      </c>
      <c r="M1023" s="40" t="str">
        <f>IFERROR(IF(Agent06_Loans!B35="","",YEAR(Agent06_Loans!D35)),"")</f>
        <v/>
      </c>
    </row>
    <row r="1024" spans="1:13" ht="18" customHeight="1" x14ac:dyDescent="0.25">
      <c r="A1024" s="40" t="str">
        <f>IF(Agent06_Loans!B36="","",Agent06_Loans!A36)</f>
        <v/>
      </c>
      <c r="B1024" s="40" t="str">
        <f>IF(Agent06_Loans!B36="","",Agent06_Loans!B36)</f>
        <v/>
      </c>
      <c r="C1024" s="40" t="str">
        <f>IF(Agent06_Loans!B36="","",Agent06_Loans!C36)</f>
        <v/>
      </c>
      <c r="D1024" s="41" t="str">
        <f>IF(Agent06_Loans!B36="","",Agent06_Loans!D36)</f>
        <v/>
      </c>
      <c r="E1024" s="43" t="str">
        <f>IF(Agent06_Loans!B36="","",Agent06_Loans!E36)</f>
        <v/>
      </c>
      <c r="F1024" s="40" t="str">
        <f>IF(Agent06_Loans!B36="","",Agent06_Loans!F36)</f>
        <v/>
      </c>
      <c r="G1024" s="40" t="str">
        <f>IF(Agent06_Loans!B36="","",Agent06_Loans!G36)</f>
        <v/>
      </c>
      <c r="H1024" s="40" t="str">
        <f>IF(Agent06_Loans!B36="","",Agent06_Loans!H36)</f>
        <v/>
      </c>
      <c r="I1024" s="43" t="str">
        <f>IF(Agent06_Loans!B36="","",Agent06_Loans!I36)</f>
        <v/>
      </c>
      <c r="J1024" s="43" t="str">
        <f>IF(Agent06_Loans!B36="","",Agent06_Loans!J36)</f>
        <v/>
      </c>
      <c r="K1024" s="40" t="str">
        <f>IF(Agent06_Loans!B36="","",Agent06_Loans!K36)</f>
        <v/>
      </c>
      <c r="L1024" s="40" t="str">
        <f>IF(Agent06_Loans!B36="","",Agent06_Loans!L36)</f>
        <v/>
      </c>
      <c r="M1024" s="40" t="str">
        <f>IFERROR(IF(Agent06_Loans!B36="","",YEAR(Agent06_Loans!D36)),"")</f>
        <v/>
      </c>
    </row>
    <row r="1025" spans="1:13" ht="18" customHeight="1" x14ac:dyDescent="0.25">
      <c r="A1025" s="40" t="str">
        <f>IF(Agent06_Loans!B37="","",Agent06_Loans!A37)</f>
        <v/>
      </c>
      <c r="B1025" s="40" t="str">
        <f>IF(Agent06_Loans!B37="","",Agent06_Loans!B37)</f>
        <v/>
      </c>
      <c r="C1025" s="40" t="str">
        <f>IF(Agent06_Loans!B37="","",Agent06_Loans!C37)</f>
        <v/>
      </c>
      <c r="D1025" s="41" t="str">
        <f>IF(Agent06_Loans!B37="","",Agent06_Loans!D37)</f>
        <v/>
      </c>
      <c r="E1025" s="43" t="str">
        <f>IF(Agent06_Loans!B37="","",Agent06_Loans!E37)</f>
        <v/>
      </c>
      <c r="F1025" s="40" t="str">
        <f>IF(Agent06_Loans!B37="","",Agent06_Loans!F37)</f>
        <v/>
      </c>
      <c r="G1025" s="40" t="str">
        <f>IF(Agent06_Loans!B37="","",Agent06_Loans!G37)</f>
        <v/>
      </c>
      <c r="H1025" s="40" t="str">
        <f>IF(Agent06_Loans!B37="","",Agent06_Loans!H37)</f>
        <v/>
      </c>
      <c r="I1025" s="43" t="str">
        <f>IF(Agent06_Loans!B37="","",Agent06_Loans!I37)</f>
        <v/>
      </c>
      <c r="J1025" s="43" t="str">
        <f>IF(Agent06_Loans!B37="","",Agent06_Loans!J37)</f>
        <v/>
      </c>
      <c r="K1025" s="40" t="str">
        <f>IF(Agent06_Loans!B37="","",Agent06_Loans!K37)</f>
        <v/>
      </c>
      <c r="L1025" s="40" t="str">
        <f>IF(Agent06_Loans!B37="","",Agent06_Loans!L37)</f>
        <v/>
      </c>
      <c r="M1025" s="40" t="str">
        <f>IFERROR(IF(Agent06_Loans!B37="","",YEAR(Agent06_Loans!D37)),"")</f>
        <v/>
      </c>
    </row>
    <row r="1026" spans="1:13" ht="18" customHeight="1" x14ac:dyDescent="0.25">
      <c r="A1026" s="40" t="str">
        <f>IF(Agent06_Loans!B38="","",Agent06_Loans!A38)</f>
        <v/>
      </c>
      <c r="B1026" s="40" t="str">
        <f>IF(Agent06_Loans!B38="","",Agent06_Loans!B38)</f>
        <v/>
      </c>
      <c r="C1026" s="40" t="str">
        <f>IF(Agent06_Loans!B38="","",Agent06_Loans!C38)</f>
        <v/>
      </c>
      <c r="D1026" s="41" t="str">
        <f>IF(Agent06_Loans!B38="","",Agent06_Loans!D38)</f>
        <v/>
      </c>
      <c r="E1026" s="43" t="str">
        <f>IF(Agent06_Loans!B38="","",Agent06_Loans!E38)</f>
        <v/>
      </c>
      <c r="F1026" s="40" t="str">
        <f>IF(Agent06_Loans!B38="","",Agent06_Loans!F38)</f>
        <v/>
      </c>
      <c r="G1026" s="40" t="str">
        <f>IF(Agent06_Loans!B38="","",Agent06_Loans!G38)</f>
        <v/>
      </c>
      <c r="H1026" s="40" t="str">
        <f>IF(Agent06_Loans!B38="","",Agent06_Loans!H38)</f>
        <v/>
      </c>
      <c r="I1026" s="43" t="str">
        <f>IF(Agent06_Loans!B38="","",Agent06_Loans!I38)</f>
        <v/>
      </c>
      <c r="J1026" s="43" t="str">
        <f>IF(Agent06_Loans!B38="","",Agent06_Loans!J38)</f>
        <v/>
      </c>
      <c r="K1026" s="40" t="str">
        <f>IF(Agent06_Loans!B38="","",Agent06_Loans!K38)</f>
        <v/>
      </c>
      <c r="L1026" s="40" t="str">
        <f>IF(Agent06_Loans!B38="","",Agent06_Loans!L38)</f>
        <v/>
      </c>
      <c r="M1026" s="40" t="str">
        <f>IFERROR(IF(Agent06_Loans!B38="","",YEAR(Agent06_Loans!D38)),"")</f>
        <v/>
      </c>
    </row>
    <row r="1027" spans="1:13" ht="18" customHeight="1" x14ac:dyDescent="0.25">
      <c r="A1027" s="40" t="str">
        <f>IF(Agent06_Loans!B39="","",Agent06_Loans!A39)</f>
        <v/>
      </c>
      <c r="B1027" s="40" t="str">
        <f>IF(Agent06_Loans!B39="","",Agent06_Loans!B39)</f>
        <v/>
      </c>
      <c r="C1027" s="40" t="str">
        <f>IF(Agent06_Loans!B39="","",Agent06_Loans!C39)</f>
        <v/>
      </c>
      <c r="D1027" s="41" t="str">
        <f>IF(Agent06_Loans!B39="","",Agent06_Loans!D39)</f>
        <v/>
      </c>
      <c r="E1027" s="43" t="str">
        <f>IF(Agent06_Loans!B39="","",Agent06_Loans!E39)</f>
        <v/>
      </c>
      <c r="F1027" s="40" t="str">
        <f>IF(Agent06_Loans!B39="","",Agent06_Loans!F39)</f>
        <v/>
      </c>
      <c r="G1027" s="40" t="str">
        <f>IF(Agent06_Loans!B39="","",Agent06_Loans!G39)</f>
        <v/>
      </c>
      <c r="H1027" s="40" t="str">
        <f>IF(Agent06_Loans!B39="","",Agent06_Loans!H39)</f>
        <v/>
      </c>
      <c r="I1027" s="43" t="str">
        <f>IF(Agent06_Loans!B39="","",Agent06_Loans!I39)</f>
        <v/>
      </c>
      <c r="J1027" s="43" t="str">
        <f>IF(Agent06_Loans!B39="","",Agent06_Loans!J39)</f>
        <v/>
      </c>
      <c r="K1027" s="40" t="str">
        <f>IF(Agent06_Loans!B39="","",Agent06_Loans!K39)</f>
        <v/>
      </c>
      <c r="L1027" s="40" t="str">
        <f>IF(Agent06_Loans!B39="","",Agent06_Loans!L39)</f>
        <v/>
      </c>
      <c r="M1027" s="40" t="str">
        <f>IFERROR(IF(Agent06_Loans!B39="","",YEAR(Agent06_Loans!D39)),"")</f>
        <v/>
      </c>
    </row>
    <row r="1028" spans="1:13" ht="18" customHeight="1" x14ac:dyDescent="0.25">
      <c r="A1028" s="40" t="str">
        <f>IF(Agent06_Loans!B40="","",Agent06_Loans!A40)</f>
        <v/>
      </c>
      <c r="B1028" s="40" t="str">
        <f>IF(Agent06_Loans!B40="","",Agent06_Loans!B40)</f>
        <v/>
      </c>
      <c r="C1028" s="40" t="str">
        <f>IF(Agent06_Loans!B40="","",Agent06_Loans!C40)</f>
        <v/>
      </c>
      <c r="D1028" s="41" t="str">
        <f>IF(Agent06_Loans!B40="","",Agent06_Loans!D40)</f>
        <v/>
      </c>
      <c r="E1028" s="43" t="str">
        <f>IF(Agent06_Loans!B40="","",Agent06_Loans!E40)</f>
        <v/>
      </c>
      <c r="F1028" s="40" t="str">
        <f>IF(Agent06_Loans!B40="","",Agent06_Loans!F40)</f>
        <v/>
      </c>
      <c r="G1028" s="40" t="str">
        <f>IF(Agent06_Loans!B40="","",Agent06_Loans!G40)</f>
        <v/>
      </c>
      <c r="H1028" s="40" t="str">
        <f>IF(Agent06_Loans!B40="","",Agent06_Loans!H40)</f>
        <v/>
      </c>
      <c r="I1028" s="43" t="str">
        <f>IF(Agent06_Loans!B40="","",Agent06_Loans!I40)</f>
        <v/>
      </c>
      <c r="J1028" s="43" t="str">
        <f>IF(Agent06_Loans!B40="","",Agent06_Loans!J40)</f>
        <v/>
      </c>
      <c r="K1028" s="40" t="str">
        <f>IF(Agent06_Loans!B40="","",Agent06_Loans!K40)</f>
        <v/>
      </c>
      <c r="L1028" s="40" t="str">
        <f>IF(Agent06_Loans!B40="","",Agent06_Loans!L40)</f>
        <v/>
      </c>
      <c r="M1028" s="40" t="str">
        <f>IFERROR(IF(Agent06_Loans!B40="","",YEAR(Agent06_Loans!D40)),"")</f>
        <v/>
      </c>
    </row>
    <row r="1029" spans="1:13" ht="18" customHeight="1" x14ac:dyDescent="0.25">
      <c r="A1029" s="40" t="str">
        <f>IF(Agent06_Loans!B41="","",Agent06_Loans!A41)</f>
        <v/>
      </c>
      <c r="B1029" s="40" t="str">
        <f>IF(Agent06_Loans!B41="","",Agent06_Loans!B41)</f>
        <v/>
      </c>
      <c r="C1029" s="40" t="str">
        <f>IF(Agent06_Loans!B41="","",Agent06_Loans!C41)</f>
        <v/>
      </c>
      <c r="D1029" s="41" t="str">
        <f>IF(Agent06_Loans!B41="","",Agent06_Loans!D41)</f>
        <v/>
      </c>
      <c r="E1029" s="43" t="str">
        <f>IF(Agent06_Loans!B41="","",Agent06_Loans!E41)</f>
        <v/>
      </c>
      <c r="F1029" s="40" t="str">
        <f>IF(Agent06_Loans!B41="","",Agent06_Loans!F41)</f>
        <v/>
      </c>
      <c r="G1029" s="40" t="str">
        <f>IF(Agent06_Loans!B41="","",Agent06_Loans!G41)</f>
        <v/>
      </c>
      <c r="H1029" s="40" t="str">
        <f>IF(Agent06_Loans!B41="","",Agent06_Loans!H41)</f>
        <v/>
      </c>
      <c r="I1029" s="43" t="str">
        <f>IF(Agent06_Loans!B41="","",Agent06_Loans!I41)</f>
        <v/>
      </c>
      <c r="J1029" s="43" t="str">
        <f>IF(Agent06_Loans!B41="","",Agent06_Loans!J41)</f>
        <v/>
      </c>
      <c r="K1029" s="40" t="str">
        <f>IF(Agent06_Loans!B41="","",Agent06_Loans!K41)</f>
        <v/>
      </c>
      <c r="L1029" s="40" t="str">
        <f>IF(Agent06_Loans!B41="","",Agent06_Loans!L41)</f>
        <v/>
      </c>
      <c r="M1029" s="40" t="str">
        <f>IFERROR(IF(Agent06_Loans!B41="","",YEAR(Agent06_Loans!D41)),"")</f>
        <v/>
      </c>
    </row>
    <row r="1030" spans="1:13" ht="18" customHeight="1" x14ac:dyDescent="0.25">
      <c r="A1030" s="40" t="str">
        <f>IF(Agent06_Loans!B42="","",Agent06_Loans!A42)</f>
        <v/>
      </c>
      <c r="B1030" s="40" t="str">
        <f>IF(Agent06_Loans!B42="","",Agent06_Loans!B42)</f>
        <v/>
      </c>
      <c r="C1030" s="40" t="str">
        <f>IF(Agent06_Loans!B42="","",Agent06_Loans!C42)</f>
        <v/>
      </c>
      <c r="D1030" s="41" t="str">
        <f>IF(Agent06_Loans!B42="","",Agent06_Loans!D42)</f>
        <v/>
      </c>
      <c r="E1030" s="43" t="str">
        <f>IF(Agent06_Loans!B42="","",Agent06_Loans!E42)</f>
        <v/>
      </c>
      <c r="F1030" s="40" t="str">
        <f>IF(Agent06_Loans!B42="","",Agent06_Loans!F42)</f>
        <v/>
      </c>
      <c r="G1030" s="40" t="str">
        <f>IF(Agent06_Loans!B42="","",Agent06_Loans!G42)</f>
        <v/>
      </c>
      <c r="H1030" s="40" t="str">
        <f>IF(Agent06_Loans!B42="","",Agent06_Loans!H42)</f>
        <v/>
      </c>
      <c r="I1030" s="43" t="str">
        <f>IF(Agent06_Loans!B42="","",Agent06_Loans!I42)</f>
        <v/>
      </c>
      <c r="J1030" s="43" t="str">
        <f>IF(Agent06_Loans!B42="","",Agent06_Loans!J42)</f>
        <v/>
      </c>
      <c r="K1030" s="40" t="str">
        <f>IF(Agent06_Loans!B42="","",Agent06_Loans!K42)</f>
        <v/>
      </c>
      <c r="L1030" s="40" t="str">
        <f>IF(Agent06_Loans!B42="","",Agent06_Loans!L42)</f>
        <v/>
      </c>
      <c r="M1030" s="40" t="str">
        <f>IFERROR(IF(Agent06_Loans!B42="","",YEAR(Agent06_Loans!D42)),"")</f>
        <v/>
      </c>
    </row>
    <row r="1031" spans="1:13" ht="18" customHeight="1" x14ac:dyDescent="0.25">
      <c r="A1031" s="40" t="str">
        <f>IF(Agent06_Loans!B43="","",Agent06_Loans!A43)</f>
        <v/>
      </c>
      <c r="B1031" s="40" t="str">
        <f>IF(Agent06_Loans!B43="","",Agent06_Loans!B43)</f>
        <v/>
      </c>
      <c r="C1031" s="40" t="str">
        <f>IF(Agent06_Loans!B43="","",Agent06_Loans!C43)</f>
        <v/>
      </c>
      <c r="D1031" s="41" t="str">
        <f>IF(Agent06_Loans!B43="","",Agent06_Loans!D43)</f>
        <v/>
      </c>
      <c r="E1031" s="43" t="str">
        <f>IF(Agent06_Loans!B43="","",Agent06_Loans!E43)</f>
        <v/>
      </c>
      <c r="F1031" s="40" t="str">
        <f>IF(Agent06_Loans!B43="","",Agent06_Loans!F43)</f>
        <v/>
      </c>
      <c r="G1031" s="40" t="str">
        <f>IF(Agent06_Loans!B43="","",Agent06_Loans!G43)</f>
        <v/>
      </c>
      <c r="H1031" s="40" t="str">
        <f>IF(Agent06_Loans!B43="","",Agent06_Loans!H43)</f>
        <v/>
      </c>
      <c r="I1031" s="43" t="str">
        <f>IF(Agent06_Loans!B43="","",Agent06_Loans!I43)</f>
        <v/>
      </c>
      <c r="J1031" s="43" t="str">
        <f>IF(Agent06_Loans!B43="","",Agent06_Loans!J43)</f>
        <v/>
      </c>
      <c r="K1031" s="40" t="str">
        <f>IF(Agent06_Loans!B43="","",Agent06_Loans!K43)</f>
        <v/>
      </c>
      <c r="L1031" s="40" t="str">
        <f>IF(Agent06_Loans!B43="","",Agent06_Loans!L43)</f>
        <v/>
      </c>
      <c r="M1031" s="40" t="str">
        <f>IFERROR(IF(Agent06_Loans!B43="","",YEAR(Agent06_Loans!D43)),"")</f>
        <v/>
      </c>
    </row>
    <row r="1032" spans="1:13" ht="18" customHeight="1" x14ac:dyDescent="0.25">
      <c r="A1032" s="40" t="str">
        <f>IF(Agent06_Loans!B44="","",Agent06_Loans!A44)</f>
        <v/>
      </c>
      <c r="B1032" s="40" t="str">
        <f>IF(Agent06_Loans!B44="","",Agent06_Loans!B44)</f>
        <v/>
      </c>
      <c r="C1032" s="40" t="str">
        <f>IF(Agent06_Loans!B44="","",Agent06_Loans!C44)</f>
        <v/>
      </c>
      <c r="D1032" s="41" t="str">
        <f>IF(Agent06_Loans!B44="","",Agent06_Loans!D44)</f>
        <v/>
      </c>
      <c r="E1032" s="43" t="str">
        <f>IF(Agent06_Loans!B44="","",Agent06_Loans!E44)</f>
        <v/>
      </c>
      <c r="F1032" s="40" t="str">
        <f>IF(Agent06_Loans!B44="","",Agent06_Loans!F44)</f>
        <v/>
      </c>
      <c r="G1032" s="40" t="str">
        <f>IF(Agent06_Loans!B44="","",Agent06_Loans!G44)</f>
        <v/>
      </c>
      <c r="H1032" s="40" t="str">
        <f>IF(Agent06_Loans!B44="","",Agent06_Loans!H44)</f>
        <v/>
      </c>
      <c r="I1032" s="43" t="str">
        <f>IF(Agent06_Loans!B44="","",Agent06_Loans!I44)</f>
        <v/>
      </c>
      <c r="J1032" s="43" t="str">
        <f>IF(Agent06_Loans!B44="","",Agent06_Loans!J44)</f>
        <v/>
      </c>
      <c r="K1032" s="40" t="str">
        <f>IF(Agent06_Loans!B44="","",Agent06_Loans!K44)</f>
        <v/>
      </c>
      <c r="L1032" s="40" t="str">
        <f>IF(Agent06_Loans!B44="","",Agent06_Loans!L44)</f>
        <v/>
      </c>
      <c r="M1032" s="40" t="str">
        <f>IFERROR(IF(Agent06_Loans!B44="","",YEAR(Agent06_Loans!D44)),"")</f>
        <v/>
      </c>
    </row>
    <row r="1033" spans="1:13" ht="18" customHeight="1" x14ac:dyDescent="0.25">
      <c r="A1033" s="40" t="str">
        <f>IF(Agent06_Loans!B45="","",Agent06_Loans!A45)</f>
        <v/>
      </c>
      <c r="B1033" s="40" t="str">
        <f>IF(Agent06_Loans!B45="","",Agent06_Loans!B45)</f>
        <v/>
      </c>
      <c r="C1033" s="40" t="str">
        <f>IF(Agent06_Loans!B45="","",Agent06_Loans!C45)</f>
        <v/>
      </c>
      <c r="D1033" s="41" t="str">
        <f>IF(Agent06_Loans!B45="","",Agent06_Loans!D45)</f>
        <v/>
      </c>
      <c r="E1033" s="43" t="str">
        <f>IF(Agent06_Loans!B45="","",Agent06_Loans!E45)</f>
        <v/>
      </c>
      <c r="F1033" s="40" t="str">
        <f>IF(Agent06_Loans!B45="","",Agent06_Loans!F45)</f>
        <v/>
      </c>
      <c r="G1033" s="40" t="str">
        <f>IF(Agent06_Loans!B45="","",Agent06_Loans!G45)</f>
        <v/>
      </c>
      <c r="H1033" s="40" t="str">
        <f>IF(Agent06_Loans!B45="","",Agent06_Loans!H45)</f>
        <v/>
      </c>
      <c r="I1033" s="43" t="str">
        <f>IF(Agent06_Loans!B45="","",Agent06_Loans!I45)</f>
        <v/>
      </c>
      <c r="J1033" s="43" t="str">
        <f>IF(Agent06_Loans!B45="","",Agent06_Loans!J45)</f>
        <v/>
      </c>
      <c r="K1033" s="40" t="str">
        <f>IF(Agent06_Loans!B45="","",Agent06_Loans!K45)</f>
        <v/>
      </c>
      <c r="L1033" s="40" t="str">
        <f>IF(Agent06_Loans!B45="","",Agent06_Loans!L45)</f>
        <v/>
      </c>
      <c r="M1033" s="40" t="str">
        <f>IFERROR(IF(Agent06_Loans!B45="","",YEAR(Agent06_Loans!D45)),"")</f>
        <v/>
      </c>
    </row>
    <row r="1034" spans="1:13" ht="18" customHeight="1" x14ac:dyDescent="0.25">
      <c r="A1034" s="40" t="str">
        <f>IF(Agent06_Loans!B46="","",Agent06_Loans!A46)</f>
        <v/>
      </c>
      <c r="B1034" s="40" t="str">
        <f>IF(Agent06_Loans!B46="","",Agent06_Loans!B46)</f>
        <v/>
      </c>
      <c r="C1034" s="40" t="str">
        <f>IF(Agent06_Loans!B46="","",Agent06_Loans!C46)</f>
        <v/>
      </c>
      <c r="D1034" s="41" t="str">
        <f>IF(Agent06_Loans!B46="","",Agent06_Loans!D46)</f>
        <v/>
      </c>
      <c r="E1034" s="43" t="str">
        <f>IF(Agent06_Loans!B46="","",Agent06_Loans!E46)</f>
        <v/>
      </c>
      <c r="F1034" s="40" t="str">
        <f>IF(Agent06_Loans!B46="","",Agent06_Loans!F46)</f>
        <v/>
      </c>
      <c r="G1034" s="40" t="str">
        <f>IF(Agent06_Loans!B46="","",Agent06_Loans!G46)</f>
        <v/>
      </c>
      <c r="H1034" s="40" t="str">
        <f>IF(Agent06_Loans!B46="","",Agent06_Loans!H46)</f>
        <v/>
      </c>
      <c r="I1034" s="43" t="str">
        <f>IF(Agent06_Loans!B46="","",Agent06_Loans!I46)</f>
        <v/>
      </c>
      <c r="J1034" s="43" t="str">
        <f>IF(Agent06_Loans!B46="","",Agent06_Loans!J46)</f>
        <v/>
      </c>
      <c r="K1034" s="40" t="str">
        <f>IF(Agent06_Loans!B46="","",Agent06_Loans!K46)</f>
        <v/>
      </c>
      <c r="L1034" s="40" t="str">
        <f>IF(Agent06_Loans!B46="","",Agent06_Loans!L46)</f>
        <v/>
      </c>
      <c r="M1034" s="40" t="str">
        <f>IFERROR(IF(Agent06_Loans!B46="","",YEAR(Agent06_Loans!D46)),"")</f>
        <v/>
      </c>
    </row>
    <row r="1035" spans="1:13" ht="18" customHeight="1" x14ac:dyDescent="0.25">
      <c r="A1035" s="40" t="str">
        <f>IF(Agent06_Loans!B47="","",Agent06_Loans!A47)</f>
        <v/>
      </c>
      <c r="B1035" s="40" t="str">
        <f>IF(Agent06_Loans!B47="","",Agent06_Loans!B47)</f>
        <v/>
      </c>
      <c r="C1035" s="40" t="str">
        <f>IF(Agent06_Loans!B47="","",Agent06_Loans!C47)</f>
        <v/>
      </c>
      <c r="D1035" s="41" t="str">
        <f>IF(Agent06_Loans!B47="","",Agent06_Loans!D47)</f>
        <v/>
      </c>
      <c r="E1035" s="43" t="str">
        <f>IF(Agent06_Loans!B47="","",Agent06_Loans!E47)</f>
        <v/>
      </c>
      <c r="F1035" s="40" t="str">
        <f>IF(Agent06_Loans!B47="","",Agent06_Loans!F47)</f>
        <v/>
      </c>
      <c r="G1035" s="40" t="str">
        <f>IF(Agent06_Loans!B47="","",Agent06_Loans!G47)</f>
        <v/>
      </c>
      <c r="H1035" s="40" t="str">
        <f>IF(Agent06_Loans!B47="","",Agent06_Loans!H47)</f>
        <v/>
      </c>
      <c r="I1035" s="43" t="str">
        <f>IF(Agent06_Loans!B47="","",Agent06_Loans!I47)</f>
        <v/>
      </c>
      <c r="J1035" s="43" t="str">
        <f>IF(Agent06_Loans!B47="","",Agent06_Loans!J47)</f>
        <v/>
      </c>
      <c r="K1035" s="40" t="str">
        <f>IF(Agent06_Loans!B47="","",Agent06_Loans!K47)</f>
        <v/>
      </c>
      <c r="L1035" s="40" t="str">
        <f>IF(Agent06_Loans!B47="","",Agent06_Loans!L47)</f>
        <v/>
      </c>
      <c r="M1035" s="40" t="str">
        <f>IFERROR(IF(Agent06_Loans!B47="","",YEAR(Agent06_Loans!D47)),"")</f>
        <v/>
      </c>
    </row>
    <row r="1036" spans="1:13" ht="18" customHeight="1" x14ac:dyDescent="0.25">
      <c r="A1036" s="40" t="str">
        <f>IF(Agent06_Loans!B48="","",Agent06_Loans!A48)</f>
        <v/>
      </c>
      <c r="B1036" s="40" t="str">
        <f>IF(Agent06_Loans!B48="","",Agent06_Loans!B48)</f>
        <v/>
      </c>
      <c r="C1036" s="40" t="str">
        <f>IF(Agent06_Loans!B48="","",Agent06_Loans!C48)</f>
        <v/>
      </c>
      <c r="D1036" s="41" t="str">
        <f>IF(Agent06_Loans!B48="","",Agent06_Loans!D48)</f>
        <v/>
      </c>
      <c r="E1036" s="43" t="str">
        <f>IF(Agent06_Loans!B48="","",Agent06_Loans!E48)</f>
        <v/>
      </c>
      <c r="F1036" s="40" t="str">
        <f>IF(Agent06_Loans!B48="","",Agent06_Loans!F48)</f>
        <v/>
      </c>
      <c r="G1036" s="40" t="str">
        <f>IF(Agent06_Loans!B48="","",Agent06_Loans!G48)</f>
        <v/>
      </c>
      <c r="H1036" s="40" t="str">
        <f>IF(Agent06_Loans!B48="","",Agent06_Loans!H48)</f>
        <v/>
      </c>
      <c r="I1036" s="43" t="str">
        <f>IF(Agent06_Loans!B48="","",Agent06_Loans!I48)</f>
        <v/>
      </c>
      <c r="J1036" s="43" t="str">
        <f>IF(Agent06_Loans!B48="","",Agent06_Loans!J48)</f>
        <v/>
      </c>
      <c r="K1036" s="40" t="str">
        <f>IF(Agent06_Loans!B48="","",Agent06_Loans!K48)</f>
        <v/>
      </c>
      <c r="L1036" s="40" t="str">
        <f>IF(Agent06_Loans!B48="","",Agent06_Loans!L48)</f>
        <v/>
      </c>
      <c r="M1036" s="40" t="str">
        <f>IFERROR(IF(Agent06_Loans!B48="","",YEAR(Agent06_Loans!D48)),"")</f>
        <v/>
      </c>
    </row>
    <row r="1037" spans="1:13" ht="18" customHeight="1" x14ac:dyDescent="0.25">
      <c r="A1037" s="40" t="str">
        <f>IF(Agent06_Loans!B49="","",Agent06_Loans!A49)</f>
        <v/>
      </c>
      <c r="B1037" s="40" t="str">
        <f>IF(Agent06_Loans!B49="","",Agent06_Loans!B49)</f>
        <v/>
      </c>
      <c r="C1037" s="40" t="str">
        <f>IF(Agent06_Loans!B49="","",Agent06_Loans!C49)</f>
        <v/>
      </c>
      <c r="D1037" s="41" t="str">
        <f>IF(Agent06_Loans!B49="","",Agent06_Loans!D49)</f>
        <v/>
      </c>
      <c r="E1037" s="43" t="str">
        <f>IF(Agent06_Loans!B49="","",Agent06_Loans!E49)</f>
        <v/>
      </c>
      <c r="F1037" s="40" t="str">
        <f>IF(Agent06_Loans!B49="","",Agent06_Loans!F49)</f>
        <v/>
      </c>
      <c r="G1037" s="40" t="str">
        <f>IF(Agent06_Loans!B49="","",Agent06_Loans!G49)</f>
        <v/>
      </c>
      <c r="H1037" s="40" t="str">
        <f>IF(Agent06_Loans!B49="","",Agent06_Loans!H49)</f>
        <v/>
      </c>
      <c r="I1037" s="43" t="str">
        <f>IF(Agent06_Loans!B49="","",Agent06_Loans!I49)</f>
        <v/>
      </c>
      <c r="J1037" s="43" t="str">
        <f>IF(Agent06_Loans!B49="","",Agent06_Loans!J49)</f>
        <v/>
      </c>
      <c r="K1037" s="40" t="str">
        <f>IF(Agent06_Loans!B49="","",Agent06_Loans!K49)</f>
        <v/>
      </c>
      <c r="L1037" s="40" t="str">
        <f>IF(Agent06_Loans!B49="","",Agent06_Loans!L49)</f>
        <v/>
      </c>
      <c r="M1037" s="40" t="str">
        <f>IFERROR(IF(Agent06_Loans!B49="","",YEAR(Agent06_Loans!D49)),"")</f>
        <v/>
      </c>
    </row>
    <row r="1038" spans="1:13" ht="18" customHeight="1" x14ac:dyDescent="0.25">
      <c r="A1038" s="40" t="str">
        <f>IF(Agent06_Loans!B50="","",Agent06_Loans!A50)</f>
        <v/>
      </c>
      <c r="B1038" s="40" t="str">
        <f>IF(Agent06_Loans!B50="","",Agent06_Loans!B50)</f>
        <v/>
      </c>
      <c r="C1038" s="40" t="str">
        <f>IF(Agent06_Loans!B50="","",Agent06_Loans!C50)</f>
        <v/>
      </c>
      <c r="D1038" s="41" t="str">
        <f>IF(Agent06_Loans!B50="","",Agent06_Loans!D50)</f>
        <v/>
      </c>
      <c r="E1038" s="43" t="str">
        <f>IF(Agent06_Loans!B50="","",Agent06_Loans!E50)</f>
        <v/>
      </c>
      <c r="F1038" s="40" t="str">
        <f>IF(Agent06_Loans!B50="","",Agent06_Loans!F50)</f>
        <v/>
      </c>
      <c r="G1038" s="40" t="str">
        <f>IF(Agent06_Loans!B50="","",Agent06_Loans!G50)</f>
        <v/>
      </c>
      <c r="H1038" s="40" t="str">
        <f>IF(Agent06_Loans!B50="","",Agent06_Loans!H50)</f>
        <v/>
      </c>
      <c r="I1038" s="43" t="str">
        <f>IF(Agent06_Loans!B50="","",Agent06_Loans!I50)</f>
        <v/>
      </c>
      <c r="J1038" s="43" t="str">
        <f>IF(Agent06_Loans!B50="","",Agent06_Loans!J50)</f>
        <v/>
      </c>
      <c r="K1038" s="40" t="str">
        <f>IF(Agent06_Loans!B50="","",Agent06_Loans!K50)</f>
        <v/>
      </c>
      <c r="L1038" s="40" t="str">
        <f>IF(Agent06_Loans!B50="","",Agent06_Loans!L50)</f>
        <v/>
      </c>
      <c r="M1038" s="40" t="str">
        <f>IFERROR(IF(Agent06_Loans!B50="","",YEAR(Agent06_Loans!D50)),"")</f>
        <v/>
      </c>
    </row>
    <row r="1039" spans="1:13" ht="18" customHeight="1" x14ac:dyDescent="0.25">
      <c r="A1039" s="40" t="str">
        <f>IF(Agent06_Loans!B51="","",Agent06_Loans!A51)</f>
        <v/>
      </c>
      <c r="B1039" s="40" t="str">
        <f>IF(Agent06_Loans!B51="","",Agent06_Loans!B51)</f>
        <v/>
      </c>
      <c r="C1039" s="40" t="str">
        <f>IF(Agent06_Loans!B51="","",Agent06_Loans!C51)</f>
        <v/>
      </c>
      <c r="D1039" s="41" t="str">
        <f>IF(Agent06_Loans!B51="","",Agent06_Loans!D51)</f>
        <v/>
      </c>
      <c r="E1039" s="43" t="str">
        <f>IF(Agent06_Loans!B51="","",Agent06_Loans!E51)</f>
        <v/>
      </c>
      <c r="F1039" s="40" t="str">
        <f>IF(Agent06_Loans!B51="","",Agent06_Loans!F51)</f>
        <v/>
      </c>
      <c r="G1039" s="40" t="str">
        <f>IF(Agent06_Loans!B51="","",Agent06_Loans!G51)</f>
        <v/>
      </c>
      <c r="H1039" s="40" t="str">
        <f>IF(Agent06_Loans!B51="","",Agent06_Loans!H51)</f>
        <v/>
      </c>
      <c r="I1039" s="43" t="str">
        <f>IF(Agent06_Loans!B51="","",Agent06_Loans!I51)</f>
        <v/>
      </c>
      <c r="J1039" s="43" t="str">
        <f>IF(Agent06_Loans!B51="","",Agent06_Loans!J51)</f>
        <v/>
      </c>
      <c r="K1039" s="40" t="str">
        <f>IF(Agent06_Loans!B51="","",Agent06_Loans!K51)</f>
        <v/>
      </c>
      <c r="L1039" s="40" t="str">
        <f>IF(Agent06_Loans!B51="","",Agent06_Loans!L51)</f>
        <v/>
      </c>
      <c r="M1039" s="40" t="str">
        <f>IFERROR(IF(Agent06_Loans!B51="","",YEAR(Agent06_Loans!D51)),"")</f>
        <v/>
      </c>
    </row>
    <row r="1040" spans="1:13" ht="18" customHeight="1" x14ac:dyDescent="0.25">
      <c r="A1040" s="40" t="str">
        <f>IF(Agent06_Loans!B52="","",Agent06_Loans!A52)</f>
        <v/>
      </c>
      <c r="B1040" s="40" t="str">
        <f>IF(Agent06_Loans!B52="","",Agent06_Loans!B52)</f>
        <v/>
      </c>
      <c r="C1040" s="40" t="str">
        <f>IF(Agent06_Loans!B52="","",Agent06_Loans!C52)</f>
        <v/>
      </c>
      <c r="D1040" s="41" t="str">
        <f>IF(Agent06_Loans!B52="","",Agent06_Loans!D52)</f>
        <v/>
      </c>
      <c r="E1040" s="43" t="str">
        <f>IF(Agent06_Loans!B52="","",Agent06_Loans!E52)</f>
        <v/>
      </c>
      <c r="F1040" s="40" t="str">
        <f>IF(Agent06_Loans!B52="","",Agent06_Loans!F52)</f>
        <v/>
      </c>
      <c r="G1040" s="40" t="str">
        <f>IF(Agent06_Loans!B52="","",Agent06_Loans!G52)</f>
        <v/>
      </c>
      <c r="H1040" s="40" t="str">
        <f>IF(Agent06_Loans!B52="","",Agent06_Loans!H52)</f>
        <v/>
      </c>
      <c r="I1040" s="43" t="str">
        <f>IF(Agent06_Loans!B52="","",Agent06_Loans!I52)</f>
        <v/>
      </c>
      <c r="J1040" s="43" t="str">
        <f>IF(Agent06_Loans!B52="","",Agent06_Loans!J52)</f>
        <v/>
      </c>
      <c r="K1040" s="40" t="str">
        <f>IF(Agent06_Loans!B52="","",Agent06_Loans!K52)</f>
        <v/>
      </c>
      <c r="L1040" s="40" t="str">
        <f>IF(Agent06_Loans!B52="","",Agent06_Loans!L52)</f>
        <v/>
      </c>
      <c r="M1040" s="40" t="str">
        <f>IFERROR(IF(Agent06_Loans!B52="","",YEAR(Agent06_Loans!D52)),"")</f>
        <v/>
      </c>
    </row>
    <row r="1041" spans="1:13" ht="18" customHeight="1" x14ac:dyDescent="0.25">
      <c r="A1041" s="40" t="str">
        <f>IF(Agent06_Loans!B53="","",Agent06_Loans!A53)</f>
        <v/>
      </c>
      <c r="B1041" s="40" t="str">
        <f>IF(Agent06_Loans!B53="","",Agent06_Loans!B53)</f>
        <v/>
      </c>
      <c r="C1041" s="40" t="str">
        <f>IF(Agent06_Loans!B53="","",Agent06_Loans!C53)</f>
        <v/>
      </c>
      <c r="D1041" s="41" t="str">
        <f>IF(Agent06_Loans!B53="","",Agent06_Loans!D53)</f>
        <v/>
      </c>
      <c r="E1041" s="43" t="str">
        <f>IF(Agent06_Loans!B53="","",Agent06_Loans!E53)</f>
        <v/>
      </c>
      <c r="F1041" s="40" t="str">
        <f>IF(Agent06_Loans!B53="","",Agent06_Loans!F53)</f>
        <v/>
      </c>
      <c r="G1041" s="40" t="str">
        <f>IF(Agent06_Loans!B53="","",Agent06_Loans!G53)</f>
        <v/>
      </c>
      <c r="H1041" s="40" t="str">
        <f>IF(Agent06_Loans!B53="","",Agent06_Loans!H53)</f>
        <v/>
      </c>
      <c r="I1041" s="43" t="str">
        <f>IF(Agent06_Loans!B53="","",Agent06_Loans!I53)</f>
        <v/>
      </c>
      <c r="J1041" s="43" t="str">
        <f>IF(Agent06_Loans!B53="","",Agent06_Loans!J53)</f>
        <v/>
      </c>
      <c r="K1041" s="40" t="str">
        <f>IF(Agent06_Loans!B53="","",Agent06_Loans!K53)</f>
        <v/>
      </c>
      <c r="L1041" s="40" t="str">
        <f>IF(Agent06_Loans!B53="","",Agent06_Loans!L53)</f>
        <v/>
      </c>
      <c r="M1041" s="40" t="str">
        <f>IFERROR(IF(Agent06_Loans!B53="","",YEAR(Agent06_Loans!D53)),"")</f>
        <v/>
      </c>
    </row>
    <row r="1042" spans="1:13" ht="18" customHeight="1" x14ac:dyDescent="0.25">
      <c r="A1042" s="40" t="str">
        <f>IF(Agent06_Loans!B54="","",Agent06_Loans!A54)</f>
        <v/>
      </c>
      <c r="B1042" s="40" t="str">
        <f>IF(Agent06_Loans!B54="","",Agent06_Loans!B54)</f>
        <v/>
      </c>
      <c r="C1042" s="40" t="str">
        <f>IF(Agent06_Loans!B54="","",Agent06_Loans!C54)</f>
        <v/>
      </c>
      <c r="D1042" s="41" t="str">
        <f>IF(Agent06_Loans!B54="","",Agent06_Loans!D54)</f>
        <v/>
      </c>
      <c r="E1042" s="43" t="str">
        <f>IF(Agent06_Loans!B54="","",Agent06_Loans!E54)</f>
        <v/>
      </c>
      <c r="F1042" s="40" t="str">
        <f>IF(Agent06_Loans!B54="","",Agent06_Loans!F54)</f>
        <v/>
      </c>
      <c r="G1042" s="40" t="str">
        <f>IF(Agent06_Loans!B54="","",Agent06_Loans!G54)</f>
        <v/>
      </c>
      <c r="H1042" s="40" t="str">
        <f>IF(Agent06_Loans!B54="","",Agent06_Loans!H54)</f>
        <v/>
      </c>
      <c r="I1042" s="43" t="str">
        <f>IF(Agent06_Loans!B54="","",Agent06_Loans!I54)</f>
        <v/>
      </c>
      <c r="J1042" s="43" t="str">
        <f>IF(Agent06_Loans!B54="","",Agent06_Loans!J54)</f>
        <v/>
      </c>
      <c r="K1042" s="40" t="str">
        <f>IF(Agent06_Loans!B54="","",Agent06_Loans!K54)</f>
        <v/>
      </c>
      <c r="L1042" s="40" t="str">
        <f>IF(Agent06_Loans!B54="","",Agent06_Loans!L54)</f>
        <v/>
      </c>
      <c r="M1042" s="40" t="str">
        <f>IFERROR(IF(Agent06_Loans!B54="","",YEAR(Agent06_Loans!D54)),"")</f>
        <v/>
      </c>
    </row>
    <row r="1043" spans="1:13" ht="18" customHeight="1" x14ac:dyDescent="0.25">
      <c r="A1043" s="40" t="str">
        <f>IF(Agent06_Loans!B55="","",Agent06_Loans!A55)</f>
        <v/>
      </c>
      <c r="B1043" s="40" t="str">
        <f>IF(Agent06_Loans!B55="","",Agent06_Loans!B55)</f>
        <v/>
      </c>
      <c r="C1043" s="40" t="str">
        <f>IF(Agent06_Loans!B55="","",Agent06_Loans!C55)</f>
        <v/>
      </c>
      <c r="D1043" s="41" t="str">
        <f>IF(Agent06_Loans!B55="","",Agent06_Loans!D55)</f>
        <v/>
      </c>
      <c r="E1043" s="43" t="str">
        <f>IF(Agent06_Loans!B55="","",Agent06_Loans!E55)</f>
        <v/>
      </c>
      <c r="F1043" s="40" t="str">
        <f>IF(Agent06_Loans!B55="","",Agent06_Loans!F55)</f>
        <v/>
      </c>
      <c r="G1043" s="40" t="str">
        <f>IF(Agent06_Loans!B55="","",Agent06_Loans!G55)</f>
        <v/>
      </c>
      <c r="H1043" s="40" t="str">
        <f>IF(Agent06_Loans!B55="","",Agent06_Loans!H55)</f>
        <v/>
      </c>
      <c r="I1043" s="43" t="str">
        <f>IF(Agent06_Loans!B55="","",Agent06_Loans!I55)</f>
        <v/>
      </c>
      <c r="J1043" s="43" t="str">
        <f>IF(Agent06_Loans!B55="","",Agent06_Loans!J55)</f>
        <v/>
      </c>
      <c r="K1043" s="40" t="str">
        <f>IF(Agent06_Loans!B55="","",Agent06_Loans!K55)</f>
        <v/>
      </c>
      <c r="L1043" s="40" t="str">
        <f>IF(Agent06_Loans!B55="","",Agent06_Loans!L55)</f>
        <v/>
      </c>
      <c r="M1043" s="40" t="str">
        <f>IFERROR(IF(Agent06_Loans!B55="","",YEAR(Agent06_Loans!D55)),"")</f>
        <v/>
      </c>
    </row>
    <row r="1044" spans="1:13" ht="18" customHeight="1" x14ac:dyDescent="0.25">
      <c r="A1044" s="40" t="str">
        <f>IF(Agent06_Loans!B56="","",Agent06_Loans!A56)</f>
        <v/>
      </c>
      <c r="B1044" s="40" t="str">
        <f>IF(Agent06_Loans!B56="","",Agent06_Loans!B56)</f>
        <v/>
      </c>
      <c r="C1044" s="40" t="str">
        <f>IF(Agent06_Loans!B56="","",Agent06_Loans!C56)</f>
        <v/>
      </c>
      <c r="D1044" s="41" t="str">
        <f>IF(Agent06_Loans!B56="","",Agent06_Loans!D56)</f>
        <v/>
      </c>
      <c r="E1044" s="43" t="str">
        <f>IF(Agent06_Loans!B56="","",Agent06_Loans!E56)</f>
        <v/>
      </c>
      <c r="F1044" s="40" t="str">
        <f>IF(Agent06_Loans!B56="","",Agent06_Loans!F56)</f>
        <v/>
      </c>
      <c r="G1044" s="40" t="str">
        <f>IF(Agent06_Loans!B56="","",Agent06_Loans!G56)</f>
        <v/>
      </c>
      <c r="H1044" s="40" t="str">
        <f>IF(Agent06_Loans!B56="","",Agent06_Loans!H56)</f>
        <v/>
      </c>
      <c r="I1044" s="43" t="str">
        <f>IF(Agent06_Loans!B56="","",Agent06_Loans!I56)</f>
        <v/>
      </c>
      <c r="J1044" s="43" t="str">
        <f>IF(Agent06_Loans!B56="","",Agent06_Loans!J56)</f>
        <v/>
      </c>
      <c r="K1044" s="40" t="str">
        <f>IF(Agent06_Loans!B56="","",Agent06_Loans!K56)</f>
        <v/>
      </c>
      <c r="L1044" s="40" t="str">
        <f>IF(Agent06_Loans!B56="","",Agent06_Loans!L56)</f>
        <v/>
      </c>
      <c r="M1044" s="40" t="str">
        <f>IFERROR(IF(Agent06_Loans!B56="","",YEAR(Agent06_Loans!D56)),"")</f>
        <v/>
      </c>
    </row>
    <row r="1045" spans="1:13" ht="18" customHeight="1" x14ac:dyDescent="0.25">
      <c r="A1045" s="40" t="str">
        <f>IF(Agent06_Loans!B57="","",Agent06_Loans!A57)</f>
        <v/>
      </c>
      <c r="B1045" s="40" t="str">
        <f>IF(Agent06_Loans!B57="","",Agent06_Loans!B57)</f>
        <v/>
      </c>
      <c r="C1045" s="40" t="str">
        <f>IF(Agent06_Loans!B57="","",Agent06_Loans!C57)</f>
        <v/>
      </c>
      <c r="D1045" s="41" t="str">
        <f>IF(Agent06_Loans!B57="","",Agent06_Loans!D57)</f>
        <v/>
      </c>
      <c r="E1045" s="43" t="str">
        <f>IF(Agent06_Loans!B57="","",Agent06_Loans!E57)</f>
        <v/>
      </c>
      <c r="F1045" s="40" t="str">
        <f>IF(Agent06_Loans!B57="","",Agent06_Loans!F57)</f>
        <v/>
      </c>
      <c r="G1045" s="40" t="str">
        <f>IF(Agent06_Loans!B57="","",Agent06_Loans!G57)</f>
        <v/>
      </c>
      <c r="H1045" s="40" t="str">
        <f>IF(Agent06_Loans!B57="","",Agent06_Loans!H57)</f>
        <v/>
      </c>
      <c r="I1045" s="43" t="str">
        <f>IF(Agent06_Loans!B57="","",Agent06_Loans!I57)</f>
        <v/>
      </c>
      <c r="J1045" s="43" t="str">
        <f>IF(Agent06_Loans!B57="","",Agent06_Loans!J57)</f>
        <v/>
      </c>
      <c r="K1045" s="40" t="str">
        <f>IF(Agent06_Loans!B57="","",Agent06_Loans!K57)</f>
        <v/>
      </c>
      <c r="L1045" s="40" t="str">
        <f>IF(Agent06_Loans!B57="","",Agent06_Loans!L57)</f>
        <v/>
      </c>
      <c r="M1045" s="40" t="str">
        <f>IFERROR(IF(Agent06_Loans!B57="","",YEAR(Agent06_Loans!D57)),"")</f>
        <v/>
      </c>
    </row>
    <row r="1046" spans="1:13" ht="18" customHeight="1" x14ac:dyDescent="0.25">
      <c r="A1046" s="40" t="str">
        <f>IF(Agent06_Loans!B58="","",Agent06_Loans!A58)</f>
        <v/>
      </c>
      <c r="B1046" s="40" t="str">
        <f>IF(Agent06_Loans!B58="","",Agent06_Loans!B58)</f>
        <v/>
      </c>
      <c r="C1046" s="40" t="str">
        <f>IF(Agent06_Loans!B58="","",Agent06_Loans!C58)</f>
        <v/>
      </c>
      <c r="D1046" s="41" t="str">
        <f>IF(Agent06_Loans!B58="","",Agent06_Loans!D58)</f>
        <v/>
      </c>
      <c r="E1046" s="43" t="str">
        <f>IF(Agent06_Loans!B58="","",Agent06_Loans!E58)</f>
        <v/>
      </c>
      <c r="F1046" s="40" t="str">
        <f>IF(Agent06_Loans!B58="","",Agent06_Loans!F58)</f>
        <v/>
      </c>
      <c r="G1046" s="40" t="str">
        <f>IF(Agent06_Loans!B58="","",Agent06_Loans!G58)</f>
        <v/>
      </c>
      <c r="H1046" s="40" t="str">
        <f>IF(Agent06_Loans!B58="","",Agent06_Loans!H58)</f>
        <v/>
      </c>
      <c r="I1046" s="43" t="str">
        <f>IF(Agent06_Loans!B58="","",Agent06_Loans!I58)</f>
        <v/>
      </c>
      <c r="J1046" s="43" t="str">
        <f>IF(Agent06_Loans!B58="","",Agent06_Loans!J58)</f>
        <v/>
      </c>
      <c r="K1046" s="40" t="str">
        <f>IF(Agent06_Loans!B58="","",Agent06_Loans!K58)</f>
        <v/>
      </c>
      <c r="L1046" s="40" t="str">
        <f>IF(Agent06_Loans!B58="","",Agent06_Loans!L58)</f>
        <v/>
      </c>
      <c r="M1046" s="40" t="str">
        <f>IFERROR(IF(Agent06_Loans!B58="","",YEAR(Agent06_Loans!D58)),"")</f>
        <v/>
      </c>
    </row>
    <row r="1047" spans="1:13" ht="18" customHeight="1" x14ac:dyDescent="0.25">
      <c r="A1047" s="40" t="str">
        <f>IF(Agent06_Loans!B59="","",Agent06_Loans!A59)</f>
        <v/>
      </c>
      <c r="B1047" s="40" t="str">
        <f>IF(Agent06_Loans!B59="","",Agent06_Loans!B59)</f>
        <v/>
      </c>
      <c r="C1047" s="40" t="str">
        <f>IF(Agent06_Loans!B59="","",Agent06_Loans!C59)</f>
        <v/>
      </c>
      <c r="D1047" s="41" t="str">
        <f>IF(Agent06_Loans!B59="","",Agent06_Loans!D59)</f>
        <v/>
      </c>
      <c r="E1047" s="43" t="str">
        <f>IF(Agent06_Loans!B59="","",Agent06_Loans!E59)</f>
        <v/>
      </c>
      <c r="F1047" s="40" t="str">
        <f>IF(Agent06_Loans!B59="","",Agent06_Loans!F59)</f>
        <v/>
      </c>
      <c r="G1047" s="40" t="str">
        <f>IF(Agent06_Loans!B59="","",Agent06_Loans!G59)</f>
        <v/>
      </c>
      <c r="H1047" s="40" t="str">
        <f>IF(Agent06_Loans!B59="","",Agent06_Loans!H59)</f>
        <v/>
      </c>
      <c r="I1047" s="43" t="str">
        <f>IF(Agent06_Loans!B59="","",Agent06_Loans!I59)</f>
        <v/>
      </c>
      <c r="J1047" s="43" t="str">
        <f>IF(Agent06_Loans!B59="","",Agent06_Loans!J59)</f>
        <v/>
      </c>
      <c r="K1047" s="40" t="str">
        <f>IF(Agent06_Loans!B59="","",Agent06_Loans!K59)</f>
        <v/>
      </c>
      <c r="L1047" s="40" t="str">
        <f>IF(Agent06_Loans!B59="","",Agent06_Loans!L59)</f>
        <v/>
      </c>
      <c r="M1047" s="40" t="str">
        <f>IFERROR(IF(Agent06_Loans!B59="","",YEAR(Agent06_Loans!D59)),"")</f>
        <v/>
      </c>
    </row>
    <row r="1048" spans="1:13" ht="18" customHeight="1" x14ac:dyDescent="0.25">
      <c r="A1048" s="40" t="str">
        <f>IF(Agent06_Loans!B60="","",Agent06_Loans!A60)</f>
        <v/>
      </c>
      <c r="B1048" s="40" t="str">
        <f>IF(Agent06_Loans!B60="","",Agent06_Loans!B60)</f>
        <v/>
      </c>
      <c r="C1048" s="40" t="str">
        <f>IF(Agent06_Loans!B60="","",Agent06_Loans!C60)</f>
        <v/>
      </c>
      <c r="D1048" s="41" t="str">
        <f>IF(Agent06_Loans!B60="","",Agent06_Loans!D60)</f>
        <v/>
      </c>
      <c r="E1048" s="43" t="str">
        <f>IF(Agent06_Loans!B60="","",Agent06_Loans!E60)</f>
        <v/>
      </c>
      <c r="F1048" s="40" t="str">
        <f>IF(Agent06_Loans!B60="","",Agent06_Loans!F60)</f>
        <v/>
      </c>
      <c r="G1048" s="40" t="str">
        <f>IF(Agent06_Loans!B60="","",Agent06_Loans!G60)</f>
        <v/>
      </c>
      <c r="H1048" s="40" t="str">
        <f>IF(Agent06_Loans!B60="","",Agent06_Loans!H60)</f>
        <v/>
      </c>
      <c r="I1048" s="43" t="str">
        <f>IF(Agent06_Loans!B60="","",Agent06_Loans!I60)</f>
        <v/>
      </c>
      <c r="J1048" s="43" t="str">
        <f>IF(Agent06_Loans!B60="","",Agent06_Loans!J60)</f>
        <v/>
      </c>
      <c r="K1048" s="40" t="str">
        <f>IF(Agent06_Loans!B60="","",Agent06_Loans!K60)</f>
        <v/>
      </c>
      <c r="L1048" s="40" t="str">
        <f>IF(Agent06_Loans!B60="","",Agent06_Loans!L60)</f>
        <v/>
      </c>
      <c r="M1048" s="40" t="str">
        <f>IFERROR(IF(Agent06_Loans!B60="","",YEAR(Agent06_Loans!D60)),"")</f>
        <v/>
      </c>
    </row>
    <row r="1049" spans="1:13" ht="18" customHeight="1" x14ac:dyDescent="0.25">
      <c r="A1049" s="40" t="str">
        <f>IF(Agent06_Loans!B61="","",Agent06_Loans!A61)</f>
        <v/>
      </c>
      <c r="B1049" s="40" t="str">
        <f>IF(Agent06_Loans!B61="","",Agent06_Loans!B61)</f>
        <v/>
      </c>
      <c r="C1049" s="40" t="str">
        <f>IF(Agent06_Loans!B61="","",Agent06_Loans!C61)</f>
        <v/>
      </c>
      <c r="D1049" s="41" t="str">
        <f>IF(Agent06_Loans!B61="","",Agent06_Loans!D61)</f>
        <v/>
      </c>
      <c r="E1049" s="43" t="str">
        <f>IF(Agent06_Loans!B61="","",Agent06_Loans!E61)</f>
        <v/>
      </c>
      <c r="F1049" s="40" t="str">
        <f>IF(Agent06_Loans!B61="","",Agent06_Loans!F61)</f>
        <v/>
      </c>
      <c r="G1049" s="40" t="str">
        <f>IF(Agent06_Loans!B61="","",Agent06_Loans!G61)</f>
        <v/>
      </c>
      <c r="H1049" s="40" t="str">
        <f>IF(Agent06_Loans!B61="","",Agent06_Loans!H61)</f>
        <v/>
      </c>
      <c r="I1049" s="43" t="str">
        <f>IF(Agent06_Loans!B61="","",Agent06_Loans!I61)</f>
        <v/>
      </c>
      <c r="J1049" s="43" t="str">
        <f>IF(Agent06_Loans!B61="","",Agent06_Loans!J61)</f>
        <v/>
      </c>
      <c r="K1049" s="40" t="str">
        <f>IF(Agent06_Loans!B61="","",Agent06_Loans!K61)</f>
        <v/>
      </c>
      <c r="L1049" s="40" t="str">
        <f>IF(Agent06_Loans!B61="","",Agent06_Loans!L61)</f>
        <v/>
      </c>
      <c r="M1049" s="40" t="str">
        <f>IFERROR(IF(Agent06_Loans!B61="","",YEAR(Agent06_Loans!D61)),"")</f>
        <v/>
      </c>
    </row>
    <row r="1050" spans="1:13" ht="18" customHeight="1" x14ac:dyDescent="0.25">
      <c r="A1050" s="40" t="str">
        <f>IF(Agent06_Loans!B62="","",Agent06_Loans!A62)</f>
        <v/>
      </c>
      <c r="B1050" s="40" t="str">
        <f>IF(Agent06_Loans!B62="","",Agent06_Loans!B62)</f>
        <v/>
      </c>
      <c r="C1050" s="40" t="str">
        <f>IF(Agent06_Loans!B62="","",Agent06_Loans!C62)</f>
        <v/>
      </c>
      <c r="D1050" s="41" t="str">
        <f>IF(Agent06_Loans!B62="","",Agent06_Loans!D62)</f>
        <v/>
      </c>
      <c r="E1050" s="43" t="str">
        <f>IF(Agent06_Loans!B62="","",Agent06_Loans!E62)</f>
        <v/>
      </c>
      <c r="F1050" s="40" t="str">
        <f>IF(Agent06_Loans!B62="","",Agent06_Loans!F62)</f>
        <v/>
      </c>
      <c r="G1050" s="40" t="str">
        <f>IF(Agent06_Loans!B62="","",Agent06_Loans!G62)</f>
        <v/>
      </c>
      <c r="H1050" s="40" t="str">
        <f>IF(Agent06_Loans!B62="","",Agent06_Loans!H62)</f>
        <v/>
      </c>
      <c r="I1050" s="43" t="str">
        <f>IF(Agent06_Loans!B62="","",Agent06_Loans!I62)</f>
        <v/>
      </c>
      <c r="J1050" s="43" t="str">
        <f>IF(Agent06_Loans!B62="","",Agent06_Loans!J62)</f>
        <v/>
      </c>
      <c r="K1050" s="40" t="str">
        <f>IF(Agent06_Loans!B62="","",Agent06_Loans!K62)</f>
        <v/>
      </c>
      <c r="L1050" s="40" t="str">
        <f>IF(Agent06_Loans!B62="","",Agent06_Loans!L62)</f>
        <v/>
      </c>
      <c r="M1050" s="40" t="str">
        <f>IFERROR(IF(Agent06_Loans!B62="","",YEAR(Agent06_Loans!D62)),"")</f>
        <v/>
      </c>
    </row>
    <row r="1051" spans="1:13" ht="18" customHeight="1" x14ac:dyDescent="0.25">
      <c r="A1051" s="40" t="str">
        <f>IF(Agent06_Loans!B63="","",Agent06_Loans!A63)</f>
        <v/>
      </c>
      <c r="B1051" s="40" t="str">
        <f>IF(Agent06_Loans!B63="","",Agent06_Loans!B63)</f>
        <v/>
      </c>
      <c r="C1051" s="40" t="str">
        <f>IF(Agent06_Loans!B63="","",Agent06_Loans!C63)</f>
        <v/>
      </c>
      <c r="D1051" s="41" t="str">
        <f>IF(Agent06_Loans!B63="","",Agent06_Loans!D63)</f>
        <v/>
      </c>
      <c r="E1051" s="43" t="str">
        <f>IF(Agent06_Loans!B63="","",Agent06_Loans!E63)</f>
        <v/>
      </c>
      <c r="F1051" s="40" t="str">
        <f>IF(Agent06_Loans!B63="","",Agent06_Loans!F63)</f>
        <v/>
      </c>
      <c r="G1051" s="40" t="str">
        <f>IF(Agent06_Loans!B63="","",Agent06_Loans!G63)</f>
        <v/>
      </c>
      <c r="H1051" s="40" t="str">
        <f>IF(Agent06_Loans!B63="","",Agent06_Loans!H63)</f>
        <v/>
      </c>
      <c r="I1051" s="43" t="str">
        <f>IF(Agent06_Loans!B63="","",Agent06_Loans!I63)</f>
        <v/>
      </c>
      <c r="J1051" s="43" t="str">
        <f>IF(Agent06_Loans!B63="","",Agent06_Loans!J63)</f>
        <v/>
      </c>
      <c r="K1051" s="40" t="str">
        <f>IF(Agent06_Loans!B63="","",Agent06_Loans!K63)</f>
        <v/>
      </c>
      <c r="L1051" s="40" t="str">
        <f>IF(Agent06_Loans!B63="","",Agent06_Loans!L63)</f>
        <v/>
      </c>
      <c r="M1051" s="40" t="str">
        <f>IFERROR(IF(Agent06_Loans!B63="","",YEAR(Agent06_Loans!D63)),"")</f>
        <v/>
      </c>
    </row>
    <row r="1052" spans="1:13" ht="18" customHeight="1" x14ac:dyDescent="0.25">
      <c r="A1052" s="40" t="str">
        <f>IF(Agent06_Loans!B64="","",Agent06_Loans!A64)</f>
        <v/>
      </c>
      <c r="B1052" s="40" t="str">
        <f>IF(Agent06_Loans!B64="","",Agent06_Loans!B64)</f>
        <v/>
      </c>
      <c r="C1052" s="40" t="str">
        <f>IF(Agent06_Loans!B64="","",Agent06_Loans!C64)</f>
        <v/>
      </c>
      <c r="D1052" s="41" t="str">
        <f>IF(Agent06_Loans!B64="","",Agent06_Loans!D64)</f>
        <v/>
      </c>
      <c r="E1052" s="43" t="str">
        <f>IF(Agent06_Loans!B64="","",Agent06_Loans!E64)</f>
        <v/>
      </c>
      <c r="F1052" s="40" t="str">
        <f>IF(Agent06_Loans!B64="","",Agent06_Loans!F64)</f>
        <v/>
      </c>
      <c r="G1052" s="40" t="str">
        <f>IF(Agent06_Loans!B64="","",Agent06_Loans!G64)</f>
        <v/>
      </c>
      <c r="H1052" s="40" t="str">
        <f>IF(Agent06_Loans!B64="","",Agent06_Loans!H64)</f>
        <v/>
      </c>
      <c r="I1052" s="43" t="str">
        <f>IF(Agent06_Loans!B64="","",Agent06_Loans!I64)</f>
        <v/>
      </c>
      <c r="J1052" s="43" t="str">
        <f>IF(Agent06_Loans!B64="","",Agent06_Loans!J64)</f>
        <v/>
      </c>
      <c r="K1052" s="40" t="str">
        <f>IF(Agent06_Loans!B64="","",Agent06_Loans!K64)</f>
        <v/>
      </c>
      <c r="L1052" s="40" t="str">
        <f>IF(Agent06_Loans!B64="","",Agent06_Loans!L64)</f>
        <v/>
      </c>
      <c r="M1052" s="40" t="str">
        <f>IFERROR(IF(Agent06_Loans!B64="","",YEAR(Agent06_Loans!D64)),"")</f>
        <v/>
      </c>
    </row>
    <row r="1053" spans="1:13" ht="18" customHeight="1" x14ac:dyDescent="0.25">
      <c r="A1053" s="40" t="str">
        <f>IF(Agent06_Loans!B65="","",Agent06_Loans!A65)</f>
        <v/>
      </c>
      <c r="B1053" s="40" t="str">
        <f>IF(Agent06_Loans!B65="","",Agent06_Loans!B65)</f>
        <v/>
      </c>
      <c r="C1053" s="40" t="str">
        <f>IF(Agent06_Loans!B65="","",Agent06_Loans!C65)</f>
        <v/>
      </c>
      <c r="D1053" s="41" t="str">
        <f>IF(Agent06_Loans!B65="","",Agent06_Loans!D65)</f>
        <v/>
      </c>
      <c r="E1053" s="43" t="str">
        <f>IF(Agent06_Loans!B65="","",Agent06_Loans!E65)</f>
        <v/>
      </c>
      <c r="F1053" s="40" t="str">
        <f>IF(Agent06_Loans!B65="","",Agent06_Loans!F65)</f>
        <v/>
      </c>
      <c r="G1053" s="40" t="str">
        <f>IF(Agent06_Loans!B65="","",Agent06_Loans!G65)</f>
        <v/>
      </c>
      <c r="H1053" s="40" t="str">
        <f>IF(Agent06_Loans!B65="","",Agent06_Loans!H65)</f>
        <v/>
      </c>
      <c r="I1053" s="43" t="str">
        <f>IF(Agent06_Loans!B65="","",Agent06_Loans!I65)</f>
        <v/>
      </c>
      <c r="J1053" s="43" t="str">
        <f>IF(Agent06_Loans!B65="","",Agent06_Loans!J65)</f>
        <v/>
      </c>
      <c r="K1053" s="40" t="str">
        <f>IF(Agent06_Loans!B65="","",Agent06_Loans!K65)</f>
        <v/>
      </c>
      <c r="L1053" s="40" t="str">
        <f>IF(Agent06_Loans!B65="","",Agent06_Loans!L65)</f>
        <v/>
      </c>
      <c r="M1053" s="40" t="str">
        <f>IFERROR(IF(Agent06_Loans!B65="","",YEAR(Agent06_Loans!D65)),"")</f>
        <v/>
      </c>
    </row>
    <row r="1054" spans="1:13" ht="18" customHeight="1" x14ac:dyDescent="0.25">
      <c r="A1054" s="40" t="str">
        <f>IF(Agent06_Loans!B66="","",Agent06_Loans!A66)</f>
        <v/>
      </c>
      <c r="B1054" s="40" t="str">
        <f>IF(Agent06_Loans!B66="","",Agent06_Loans!B66)</f>
        <v/>
      </c>
      <c r="C1054" s="40" t="str">
        <f>IF(Agent06_Loans!B66="","",Agent06_Loans!C66)</f>
        <v/>
      </c>
      <c r="D1054" s="41" t="str">
        <f>IF(Agent06_Loans!B66="","",Agent06_Loans!D66)</f>
        <v/>
      </c>
      <c r="E1054" s="43" t="str">
        <f>IF(Agent06_Loans!B66="","",Agent06_Loans!E66)</f>
        <v/>
      </c>
      <c r="F1054" s="40" t="str">
        <f>IF(Agent06_Loans!B66="","",Agent06_Loans!F66)</f>
        <v/>
      </c>
      <c r="G1054" s="40" t="str">
        <f>IF(Agent06_Loans!B66="","",Agent06_Loans!G66)</f>
        <v/>
      </c>
      <c r="H1054" s="40" t="str">
        <f>IF(Agent06_Loans!B66="","",Agent06_Loans!H66)</f>
        <v/>
      </c>
      <c r="I1054" s="43" t="str">
        <f>IF(Agent06_Loans!B66="","",Agent06_Loans!I66)</f>
        <v/>
      </c>
      <c r="J1054" s="43" t="str">
        <f>IF(Agent06_Loans!B66="","",Agent06_Loans!J66)</f>
        <v/>
      </c>
      <c r="K1054" s="40" t="str">
        <f>IF(Agent06_Loans!B66="","",Agent06_Loans!K66)</f>
        <v/>
      </c>
      <c r="L1054" s="40" t="str">
        <f>IF(Agent06_Loans!B66="","",Agent06_Loans!L66)</f>
        <v/>
      </c>
      <c r="M1054" s="40" t="str">
        <f>IFERROR(IF(Agent06_Loans!B66="","",YEAR(Agent06_Loans!D66)),"")</f>
        <v/>
      </c>
    </row>
    <row r="1055" spans="1:13" ht="18" customHeight="1" x14ac:dyDescent="0.25">
      <c r="A1055" s="40" t="str">
        <f>IF(Agent06_Loans!B67="","",Agent06_Loans!A67)</f>
        <v/>
      </c>
      <c r="B1055" s="40" t="str">
        <f>IF(Agent06_Loans!B67="","",Agent06_Loans!B67)</f>
        <v/>
      </c>
      <c r="C1055" s="40" t="str">
        <f>IF(Agent06_Loans!B67="","",Agent06_Loans!C67)</f>
        <v/>
      </c>
      <c r="D1055" s="41" t="str">
        <f>IF(Agent06_Loans!B67="","",Agent06_Loans!D67)</f>
        <v/>
      </c>
      <c r="E1055" s="43" t="str">
        <f>IF(Agent06_Loans!B67="","",Agent06_Loans!E67)</f>
        <v/>
      </c>
      <c r="F1055" s="40" t="str">
        <f>IF(Agent06_Loans!B67="","",Agent06_Loans!F67)</f>
        <v/>
      </c>
      <c r="G1055" s="40" t="str">
        <f>IF(Agent06_Loans!B67="","",Agent06_Loans!G67)</f>
        <v/>
      </c>
      <c r="H1055" s="40" t="str">
        <f>IF(Agent06_Loans!B67="","",Agent06_Loans!H67)</f>
        <v/>
      </c>
      <c r="I1055" s="43" t="str">
        <f>IF(Agent06_Loans!B67="","",Agent06_Loans!I67)</f>
        <v/>
      </c>
      <c r="J1055" s="43" t="str">
        <f>IF(Agent06_Loans!B67="","",Agent06_Loans!J67)</f>
        <v/>
      </c>
      <c r="K1055" s="40" t="str">
        <f>IF(Agent06_Loans!B67="","",Agent06_Loans!K67)</f>
        <v/>
      </c>
      <c r="L1055" s="40" t="str">
        <f>IF(Agent06_Loans!B67="","",Agent06_Loans!L67)</f>
        <v/>
      </c>
      <c r="M1055" s="40" t="str">
        <f>IFERROR(IF(Agent06_Loans!B67="","",YEAR(Agent06_Loans!D67)),"")</f>
        <v/>
      </c>
    </row>
    <row r="1056" spans="1:13" ht="18" customHeight="1" x14ac:dyDescent="0.25">
      <c r="A1056" s="40" t="str">
        <f>IF(Agent06_Loans!B68="","",Agent06_Loans!A68)</f>
        <v/>
      </c>
      <c r="B1056" s="40" t="str">
        <f>IF(Agent06_Loans!B68="","",Agent06_Loans!B68)</f>
        <v/>
      </c>
      <c r="C1056" s="40" t="str">
        <f>IF(Agent06_Loans!B68="","",Agent06_Loans!C68)</f>
        <v/>
      </c>
      <c r="D1056" s="41" t="str">
        <f>IF(Agent06_Loans!B68="","",Agent06_Loans!D68)</f>
        <v/>
      </c>
      <c r="E1056" s="43" t="str">
        <f>IF(Agent06_Loans!B68="","",Agent06_Loans!E68)</f>
        <v/>
      </c>
      <c r="F1056" s="40" t="str">
        <f>IF(Agent06_Loans!B68="","",Agent06_Loans!F68)</f>
        <v/>
      </c>
      <c r="G1056" s="40" t="str">
        <f>IF(Agent06_Loans!B68="","",Agent06_Loans!G68)</f>
        <v/>
      </c>
      <c r="H1056" s="40" t="str">
        <f>IF(Agent06_Loans!B68="","",Agent06_Loans!H68)</f>
        <v/>
      </c>
      <c r="I1056" s="43" t="str">
        <f>IF(Agent06_Loans!B68="","",Agent06_Loans!I68)</f>
        <v/>
      </c>
      <c r="J1056" s="43" t="str">
        <f>IF(Agent06_Loans!B68="","",Agent06_Loans!J68)</f>
        <v/>
      </c>
      <c r="K1056" s="40" t="str">
        <f>IF(Agent06_Loans!B68="","",Agent06_Loans!K68)</f>
        <v/>
      </c>
      <c r="L1056" s="40" t="str">
        <f>IF(Agent06_Loans!B68="","",Agent06_Loans!L68)</f>
        <v/>
      </c>
      <c r="M1056" s="40" t="str">
        <f>IFERROR(IF(Agent06_Loans!B68="","",YEAR(Agent06_Loans!D68)),"")</f>
        <v/>
      </c>
    </row>
    <row r="1057" spans="1:13" ht="18" customHeight="1" x14ac:dyDescent="0.25">
      <c r="A1057" s="40" t="str">
        <f>IF(Agent06_Loans!B69="","",Agent06_Loans!A69)</f>
        <v/>
      </c>
      <c r="B1057" s="40" t="str">
        <f>IF(Agent06_Loans!B69="","",Agent06_Loans!B69)</f>
        <v/>
      </c>
      <c r="C1057" s="40" t="str">
        <f>IF(Agent06_Loans!B69="","",Agent06_Loans!C69)</f>
        <v/>
      </c>
      <c r="D1057" s="41" t="str">
        <f>IF(Agent06_Loans!B69="","",Agent06_Loans!D69)</f>
        <v/>
      </c>
      <c r="E1057" s="43" t="str">
        <f>IF(Agent06_Loans!B69="","",Agent06_Loans!E69)</f>
        <v/>
      </c>
      <c r="F1057" s="40" t="str">
        <f>IF(Agent06_Loans!B69="","",Agent06_Loans!F69)</f>
        <v/>
      </c>
      <c r="G1057" s="40" t="str">
        <f>IF(Agent06_Loans!B69="","",Agent06_Loans!G69)</f>
        <v/>
      </c>
      <c r="H1057" s="40" t="str">
        <f>IF(Agent06_Loans!B69="","",Agent06_Loans!H69)</f>
        <v/>
      </c>
      <c r="I1057" s="43" t="str">
        <f>IF(Agent06_Loans!B69="","",Agent06_Loans!I69)</f>
        <v/>
      </c>
      <c r="J1057" s="43" t="str">
        <f>IF(Agent06_Loans!B69="","",Agent06_Loans!J69)</f>
        <v/>
      </c>
      <c r="K1057" s="40" t="str">
        <f>IF(Agent06_Loans!B69="","",Agent06_Loans!K69)</f>
        <v/>
      </c>
      <c r="L1057" s="40" t="str">
        <f>IF(Agent06_Loans!B69="","",Agent06_Loans!L69)</f>
        <v/>
      </c>
      <c r="M1057" s="40" t="str">
        <f>IFERROR(IF(Agent06_Loans!B69="","",YEAR(Agent06_Loans!D69)),"")</f>
        <v/>
      </c>
    </row>
    <row r="1058" spans="1:13" ht="18" customHeight="1" x14ac:dyDescent="0.25">
      <c r="A1058" s="40" t="str">
        <f>IF(Agent06_Loans!B70="","",Agent06_Loans!A70)</f>
        <v/>
      </c>
      <c r="B1058" s="40" t="str">
        <f>IF(Agent06_Loans!B70="","",Agent06_Loans!B70)</f>
        <v/>
      </c>
      <c r="C1058" s="40" t="str">
        <f>IF(Agent06_Loans!B70="","",Agent06_Loans!C70)</f>
        <v/>
      </c>
      <c r="D1058" s="41" t="str">
        <f>IF(Agent06_Loans!B70="","",Agent06_Loans!D70)</f>
        <v/>
      </c>
      <c r="E1058" s="43" t="str">
        <f>IF(Agent06_Loans!B70="","",Agent06_Loans!E70)</f>
        <v/>
      </c>
      <c r="F1058" s="40" t="str">
        <f>IF(Agent06_Loans!B70="","",Agent06_Loans!F70)</f>
        <v/>
      </c>
      <c r="G1058" s="40" t="str">
        <f>IF(Agent06_Loans!B70="","",Agent06_Loans!G70)</f>
        <v/>
      </c>
      <c r="H1058" s="40" t="str">
        <f>IF(Agent06_Loans!B70="","",Agent06_Loans!H70)</f>
        <v/>
      </c>
      <c r="I1058" s="43" t="str">
        <f>IF(Agent06_Loans!B70="","",Agent06_Loans!I70)</f>
        <v/>
      </c>
      <c r="J1058" s="43" t="str">
        <f>IF(Agent06_Loans!B70="","",Agent06_Loans!J70)</f>
        <v/>
      </c>
      <c r="K1058" s="40" t="str">
        <f>IF(Agent06_Loans!B70="","",Agent06_Loans!K70)</f>
        <v/>
      </c>
      <c r="L1058" s="40" t="str">
        <f>IF(Agent06_Loans!B70="","",Agent06_Loans!L70)</f>
        <v/>
      </c>
      <c r="M1058" s="40" t="str">
        <f>IFERROR(IF(Agent06_Loans!B70="","",YEAR(Agent06_Loans!D70)),"")</f>
        <v/>
      </c>
    </row>
    <row r="1059" spans="1:13" ht="18" customHeight="1" x14ac:dyDescent="0.25">
      <c r="A1059" s="40" t="str">
        <f>IF(Agent06_Loans!B71="","",Agent06_Loans!A71)</f>
        <v/>
      </c>
      <c r="B1059" s="40" t="str">
        <f>IF(Agent06_Loans!B71="","",Agent06_Loans!B71)</f>
        <v/>
      </c>
      <c r="C1059" s="40" t="str">
        <f>IF(Agent06_Loans!B71="","",Agent06_Loans!C71)</f>
        <v/>
      </c>
      <c r="D1059" s="41" t="str">
        <f>IF(Agent06_Loans!B71="","",Agent06_Loans!D71)</f>
        <v/>
      </c>
      <c r="E1059" s="43" t="str">
        <f>IF(Agent06_Loans!B71="","",Agent06_Loans!E71)</f>
        <v/>
      </c>
      <c r="F1059" s="40" t="str">
        <f>IF(Agent06_Loans!B71="","",Agent06_Loans!F71)</f>
        <v/>
      </c>
      <c r="G1059" s="40" t="str">
        <f>IF(Agent06_Loans!B71="","",Agent06_Loans!G71)</f>
        <v/>
      </c>
      <c r="H1059" s="40" t="str">
        <f>IF(Agent06_Loans!B71="","",Agent06_Loans!H71)</f>
        <v/>
      </c>
      <c r="I1059" s="43" t="str">
        <f>IF(Agent06_Loans!B71="","",Agent06_Loans!I71)</f>
        <v/>
      </c>
      <c r="J1059" s="43" t="str">
        <f>IF(Agent06_Loans!B71="","",Agent06_Loans!J71)</f>
        <v/>
      </c>
      <c r="K1059" s="40" t="str">
        <f>IF(Agent06_Loans!B71="","",Agent06_Loans!K71)</f>
        <v/>
      </c>
      <c r="L1059" s="40" t="str">
        <f>IF(Agent06_Loans!B71="","",Agent06_Loans!L71)</f>
        <v/>
      </c>
      <c r="M1059" s="40" t="str">
        <f>IFERROR(IF(Agent06_Loans!B71="","",YEAR(Agent06_Loans!D71)),"")</f>
        <v/>
      </c>
    </row>
    <row r="1060" spans="1:13" ht="18" customHeight="1" x14ac:dyDescent="0.25">
      <c r="A1060" s="40" t="str">
        <f>IF(Agent06_Loans!B72="","",Agent06_Loans!A72)</f>
        <v/>
      </c>
      <c r="B1060" s="40" t="str">
        <f>IF(Agent06_Loans!B72="","",Agent06_Loans!B72)</f>
        <v/>
      </c>
      <c r="C1060" s="40" t="str">
        <f>IF(Agent06_Loans!B72="","",Agent06_Loans!C72)</f>
        <v/>
      </c>
      <c r="D1060" s="41" t="str">
        <f>IF(Agent06_Loans!B72="","",Agent06_Loans!D72)</f>
        <v/>
      </c>
      <c r="E1060" s="43" t="str">
        <f>IF(Agent06_Loans!B72="","",Agent06_Loans!E72)</f>
        <v/>
      </c>
      <c r="F1060" s="40" t="str">
        <f>IF(Agent06_Loans!B72="","",Agent06_Loans!F72)</f>
        <v/>
      </c>
      <c r="G1060" s="40" t="str">
        <f>IF(Agent06_Loans!B72="","",Agent06_Loans!G72)</f>
        <v/>
      </c>
      <c r="H1060" s="40" t="str">
        <f>IF(Agent06_Loans!B72="","",Agent06_Loans!H72)</f>
        <v/>
      </c>
      <c r="I1060" s="43" t="str">
        <f>IF(Agent06_Loans!B72="","",Agent06_Loans!I72)</f>
        <v/>
      </c>
      <c r="J1060" s="43" t="str">
        <f>IF(Agent06_Loans!B72="","",Agent06_Loans!J72)</f>
        <v/>
      </c>
      <c r="K1060" s="40" t="str">
        <f>IF(Agent06_Loans!B72="","",Agent06_Loans!K72)</f>
        <v/>
      </c>
      <c r="L1060" s="40" t="str">
        <f>IF(Agent06_Loans!B72="","",Agent06_Loans!L72)</f>
        <v/>
      </c>
      <c r="M1060" s="40" t="str">
        <f>IFERROR(IF(Agent06_Loans!B72="","",YEAR(Agent06_Loans!D72)),"")</f>
        <v/>
      </c>
    </row>
    <row r="1061" spans="1:13" ht="18" customHeight="1" x14ac:dyDescent="0.25">
      <c r="A1061" s="40" t="str">
        <f>IF(Agent06_Loans!B73="","",Agent06_Loans!A73)</f>
        <v/>
      </c>
      <c r="B1061" s="40" t="str">
        <f>IF(Agent06_Loans!B73="","",Agent06_Loans!B73)</f>
        <v/>
      </c>
      <c r="C1061" s="40" t="str">
        <f>IF(Agent06_Loans!B73="","",Agent06_Loans!C73)</f>
        <v/>
      </c>
      <c r="D1061" s="41" t="str">
        <f>IF(Agent06_Loans!B73="","",Agent06_Loans!D73)</f>
        <v/>
      </c>
      <c r="E1061" s="43" t="str">
        <f>IF(Agent06_Loans!B73="","",Agent06_Loans!E73)</f>
        <v/>
      </c>
      <c r="F1061" s="40" t="str">
        <f>IF(Agent06_Loans!B73="","",Agent06_Loans!F73)</f>
        <v/>
      </c>
      <c r="G1061" s="40" t="str">
        <f>IF(Agent06_Loans!B73="","",Agent06_Loans!G73)</f>
        <v/>
      </c>
      <c r="H1061" s="40" t="str">
        <f>IF(Agent06_Loans!B73="","",Agent06_Loans!H73)</f>
        <v/>
      </c>
      <c r="I1061" s="43" t="str">
        <f>IF(Agent06_Loans!B73="","",Agent06_Loans!I73)</f>
        <v/>
      </c>
      <c r="J1061" s="43" t="str">
        <f>IF(Agent06_Loans!B73="","",Agent06_Loans!J73)</f>
        <v/>
      </c>
      <c r="K1061" s="40" t="str">
        <f>IF(Agent06_Loans!B73="","",Agent06_Loans!K73)</f>
        <v/>
      </c>
      <c r="L1061" s="40" t="str">
        <f>IF(Agent06_Loans!B73="","",Agent06_Loans!L73)</f>
        <v/>
      </c>
      <c r="M1061" s="40" t="str">
        <f>IFERROR(IF(Agent06_Loans!B73="","",YEAR(Agent06_Loans!D73)),"")</f>
        <v/>
      </c>
    </row>
    <row r="1062" spans="1:13" ht="18" customHeight="1" x14ac:dyDescent="0.25">
      <c r="A1062" s="40" t="str">
        <f>IF(Agent06_Loans!B74="","",Agent06_Loans!A74)</f>
        <v/>
      </c>
      <c r="B1062" s="40" t="str">
        <f>IF(Agent06_Loans!B74="","",Agent06_Loans!B74)</f>
        <v/>
      </c>
      <c r="C1062" s="40" t="str">
        <f>IF(Agent06_Loans!B74="","",Agent06_Loans!C74)</f>
        <v/>
      </c>
      <c r="D1062" s="41" t="str">
        <f>IF(Agent06_Loans!B74="","",Agent06_Loans!D74)</f>
        <v/>
      </c>
      <c r="E1062" s="43" t="str">
        <f>IF(Agent06_Loans!B74="","",Agent06_Loans!E74)</f>
        <v/>
      </c>
      <c r="F1062" s="40" t="str">
        <f>IF(Agent06_Loans!B74="","",Agent06_Loans!F74)</f>
        <v/>
      </c>
      <c r="G1062" s="40" t="str">
        <f>IF(Agent06_Loans!B74="","",Agent06_Loans!G74)</f>
        <v/>
      </c>
      <c r="H1062" s="40" t="str">
        <f>IF(Agent06_Loans!B74="","",Agent06_Loans!H74)</f>
        <v/>
      </c>
      <c r="I1062" s="43" t="str">
        <f>IF(Agent06_Loans!B74="","",Agent06_Loans!I74)</f>
        <v/>
      </c>
      <c r="J1062" s="43" t="str">
        <f>IF(Agent06_Loans!B74="","",Agent06_Loans!J74)</f>
        <v/>
      </c>
      <c r="K1062" s="40" t="str">
        <f>IF(Agent06_Loans!B74="","",Agent06_Loans!K74)</f>
        <v/>
      </c>
      <c r="L1062" s="40" t="str">
        <f>IF(Agent06_Loans!B74="","",Agent06_Loans!L74)</f>
        <v/>
      </c>
      <c r="M1062" s="40" t="str">
        <f>IFERROR(IF(Agent06_Loans!B74="","",YEAR(Agent06_Loans!D74)),"")</f>
        <v/>
      </c>
    </row>
    <row r="1063" spans="1:13" ht="18" customHeight="1" x14ac:dyDescent="0.25">
      <c r="A1063" s="40" t="str">
        <f>IF(Agent06_Loans!B75="","",Agent06_Loans!A75)</f>
        <v/>
      </c>
      <c r="B1063" s="40" t="str">
        <f>IF(Agent06_Loans!B75="","",Agent06_Loans!B75)</f>
        <v/>
      </c>
      <c r="C1063" s="40" t="str">
        <f>IF(Agent06_Loans!B75="","",Agent06_Loans!C75)</f>
        <v/>
      </c>
      <c r="D1063" s="41" t="str">
        <f>IF(Agent06_Loans!B75="","",Agent06_Loans!D75)</f>
        <v/>
      </c>
      <c r="E1063" s="43" t="str">
        <f>IF(Agent06_Loans!B75="","",Agent06_Loans!E75)</f>
        <v/>
      </c>
      <c r="F1063" s="40" t="str">
        <f>IF(Agent06_Loans!B75="","",Agent06_Loans!F75)</f>
        <v/>
      </c>
      <c r="G1063" s="40" t="str">
        <f>IF(Agent06_Loans!B75="","",Agent06_Loans!G75)</f>
        <v/>
      </c>
      <c r="H1063" s="40" t="str">
        <f>IF(Agent06_Loans!B75="","",Agent06_Loans!H75)</f>
        <v/>
      </c>
      <c r="I1063" s="43" t="str">
        <f>IF(Agent06_Loans!B75="","",Agent06_Loans!I75)</f>
        <v/>
      </c>
      <c r="J1063" s="43" t="str">
        <f>IF(Agent06_Loans!B75="","",Agent06_Loans!J75)</f>
        <v/>
      </c>
      <c r="K1063" s="40" t="str">
        <f>IF(Agent06_Loans!B75="","",Agent06_Loans!K75)</f>
        <v/>
      </c>
      <c r="L1063" s="40" t="str">
        <f>IF(Agent06_Loans!B75="","",Agent06_Loans!L75)</f>
        <v/>
      </c>
      <c r="M1063" s="40" t="str">
        <f>IFERROR(IF(Agent06_Loans!B75="","",YEAR(Agent06_Loans!D75)),"")</f>
        <v/>
      </c>
    </row>
    <row r="1064" spans="1:13" ht="18" customHeight="1" x14ac:dyDescent="0.25">
      <c r="A1064" s="40" t="str">
        <f>IF(Agent06_Loans!B76="","",Agent06_Loans!A76)</f>
        <v/>
      </c>
      <c r="B1064" s="40" t="str">
        <f>IF(Agent06_Loans!B76="","",Agent06_Loans!B76)</f>
        <v/>
      </c>
      <c r="C1064" s="40" t="str">
        <f>IF(Agent06_Loans!B76="","",Agent06_Loans!C76)</f>
        <v/>
      </c>
      <c r="D1064" s="41" t="str">
        <f>IF(Agent06_Loans!B76="","",Agent06_Loans!D76)</f>
        <v/>
      </c>
      <c r="E1064" s="43" t="str">
        <f>IF(Agent06_Loans!B76="","",Agent06_Loans!E76)</f>
        <v/>
      </c>
      <c r="F1064" s="40" t="str">
        <f>IF(Agent06_Loans!B76="","",Agent06_Loans!F76)</f>
        <v/>
      </c>
      <c r="G1064" s="40" t="str">
        <f>IF(Agent06_Loans!B76="","",Agent06_Loans!G76)</f>
        <v/>
      </c>
      <c r="H1064" s="40" t="str">
        <f>IF(Agent06_Loans!B76="","",Agent06_Loans!H76)</f>
        <v/>
      </c>
      <c r="I1064" s="43" t="str">
        <f>IF(Agent06_Loans!B76="","",Agent06_Loans!I76)</f>
        <v/>
      </c>
      <c r="J1064" s="43" t="str">
        <f>IF(Agent06_Loans!B76="","",Agent06_Loans!J76)</f>
        <v/>
      </c>
      <c r="K1064" s="40" t="str">
        <f>IF(Agent06_Loans!B76="","",Agent06_Loans!K76)</f>
        <v/>
      </c>
      <c r="L1064" s="40" t="str">
        <f>IF(Agent06_Loans!B76="","",Agent06_Loans!L76)</f>
        <v/>
      </c>
      <c r="M1064" s="40" t="str">
        <f>IFERROR(IF(Agent06_Loans!B76="","",YEAR(Agent06_Loans!D76)),"")</f>
        <v/>
      </c>
    </row>
    <row r="1065" spans="1:13" ht="18" customHeight="1" x14ac:dyDescent="0.25">
      <c r="A1065" s="40" t="str">
        <f>IF(Agent06_Loans!B77="","",Agent06_Loans!A77)</f>
        <v/>
      </c>
      <c r="B1065" s="40" t="str">
        <f>IF(Agent06_Loans!B77="","",Agent06_Loans!B77)</f>
        <v/>
      </c>
      <c r="C1065" s="40" t="str">
        <f>IF(Agent06_Loans!B77="","",Agent06_Loans!C77)</f>
        <v/>
      </c>
      <c r="D1065" s="41" t="str">
        <f>IF(Agent06_Loans!B77="","",Agent06_Loans!D77)</f>
        <v/>
      </c>
      <c r="E1065" s="43" t="str">
        <f>IF(Agent06_Loans!B77="","",Agent06_Loans!E77)</f>
        <v/>
      </c>
      <c r="F1065" s="40" t="str">
        <f>IF(Agent06_Loans!B77="","",Agent06_Loans!F77)</f>
        <v/>
      </c>
      <c r="G1065" s="40" t="str">
        <f>IF(Agent06_Loans!B77="","",Agent06_Loans!G77)</f>
        <v/>
      </c>
      <c r="H1065" s="40" t="str">
        <f>IF(Agent06_Loans!B77="","",Agent06_Loans!H77)</f>
        <v/>
      </c>
      <c r="I1065" s="43" t="str">
        <f>IF(Agent06_Loans!B77="","",Agent06_Loans!I77)</f>
        <v/>
      </c>
      <c r="J1065" s="43" t="str">
        <f>IF(Agent06_Loans!B77="","",Agent06_Loans!J77)</f>
        <v/>
      </c>
      <c r="K1065" s="40" t="str">
        <f>IF(Agent06_Loans!B77="","",Agent06_Loans!K77)</f>
        <v/>
      </c>
      <c r="L1065" s="40" t="str">
        <f>IF(Agent06_Loans!B77="","",Agent06_Loans!L77)</f>
        <v/>
      </c>
      <c r="M1065" s="40" t="str">
        <f>IFERROR(IF(Agent06_Loans!B77="","",YEAR(Agent06_Loans!D77)),"")</f>
        <v/>
      </c>
    </row>
    <row r="1066" spans="1:13" ht="18" customHeight="1" x14ac:dyDescent="0.25">
      <c r="A1066" s="40" t="str">
        <f>IF(Agent06_Loans!B78="","",Agent06_Loans!A78)</f>
        <v/>
      </c>
      <c r="B1066" s="40" t="str">
        <f>IF(Agent06_Loans!B78="","",Agent06_Loans!B78)</f>
        <v/>
      </c>
      <c r="C1066" s="40" t="str">
        <f>IF(Agent06_Loans!B78="","",Agent06_Loans!C78)</f>
        <v/>
      </c>
      <c r="D1066" s="41" t="str">
        <f>IF(Agent06_Loans!B78="","",Agent06_Loans!D78)</f>
        <v/>
      </c>
      <c r="E1066" s="43" t="str">
        <f>IF(Agent06_Loans!B78="","",Agent06_Loans!E78)</f>
        <v/>
      </c>
      <c r="F1066" s="40" t="str">
        <f>IF(Agent06_Loans!B78="","",Agent06_Loans!F78)</f>
        <v/>
      </c>
      <c r="G1066" s="40" t="str">
        <f>IF(Agent06_Loans!B78="","",Agent06_Loans!G78)</f>
        <v/>
      </c>
      <c r="H1066" s="40" t="str">
        <f>IF(Agent06_Loans!B78="","",Agent06_Loans!H78)</f>
        <v/>
      </c>
      <c r="I1066" s="43" t="str">
        <f>IF(Agent06_Loans!B78="","",Agent06_Loans!I78)</f>
        <v/>
      </c>
      <c r="J1066" s="43" t="str">
        <f>IF(Agent06_Loans!B78="","",Agent06_Loans!J78)</f>
        <v/>
      </c>
      <c r="K1066" s="40" t="str">
        <f>IF(Agent06_Loans!B78="","",Agent06_Loans!K78)</f>
        <v/>
      </c>
      <c r="L1066" s="40" t="str">
        <f>IF(Agent06_Loans!B78="","",Agent06_Loans!L78)</f>
        <v/>
      </c>
      <c r="M1066" s="40" t="str">
        <f>IFERROR(IF(Agent06_Loans!B78="","",YEAR(Agent06_Loans!D78)),"")</f>
        <v/>
      </c>
    </row>
    <row r="1067" spans="1:13" ht="18" customHeight="1" x14ac:dyDescent="0.25">
      <c r="A1067" s="40" t="str">
        <f>IF(Agent06_Loans!B79="","",Agent06_Loans!A79)</f>
        <v/>
      </c>
      <c r="B1067" s="40" t="str">
        <f>IF(Agent06_Loans!B79="","",Agent06_Loans!B79)</f>
        <v/>
      </c>
      <c r="C1067" s="40" t="str">
        <f>IF(Agent06_Loans!B79="","",Agent06_Loans!C79)</f>
        <v/>
      </c>
      <c r="D1067" s="41" t="str">
        <f>IF(Agent06_Loans!B79="","",Agent06_Loans!D79)</f>
        <v/>
      </c>
      <c r="E1067" s="43" t="str">
        <f>IF(Agent06_Loans!B79="","",Agent06_Loans!E79)</f>
        <v/>
      </c>
      <c r="F1067" s="40" t="str">
        <f>IF(Agent06_Loans!B79="","",Agent06_Loans!F79)</f>
        <v/>
      </c>
      <c r="G1067" s="40" t="str">
        <f>IF(Agent06_Loans!B79="","",Agent06_Loans!G79)</f>
        <v/>
      </c>
      <c r="H1067" s="40" t="str">
        <f>IF(Agent06_Loans!B79="","",Agent06_Loans!H79)</f>
        <v/>
      </c>
      <c r="I1067" s="43" t="str">
        <f>IF(Agent06_Loans!B79="","",Agent06_Loans!I79)</f>
        <v/>
      </c>
      <c r="J1067" s="43" t="str">
        <f>IF(Agent06_Loans!B79="","",Agent06_Loans!J79)</f>
        <v/>
      </c>
      <c r="K1067" s="40" t="str">
        <f>IF(Agent06_Loans!B79="","",Agent06_Loans!K79)</f>
        <v/>
      </c>
      <c r="L1067" s="40" t="str">
        <f>IF(Agent06_Loans!B79="","",Agent06_Loans!L79)</f>
        <v/>
      </c>
      <c r="M1067" s="40" t="str">
        <f>IFERROR(IF(Agent06_Loans!B79="","",YEAR(Agent06_Loans!D79)),"")</f>
        <v/>
      </c>
    </row>
    <row r="1068" spans="1:13" ht="18" customHeight="1" x14ac:dyDescent="0.25">
      <c r="A1068" s="40" t="str">
        <f>IF(Agent06_Loans!B80="","",Agent06_Loans!A80)</f>
        <v/>
      </c>
      <c r="B1068" s="40" t="str">
        <f>IF(Agent06_Loans!B80="","",Agent06_Loans!B80)</f>
        <v/>
      </c>
      <c r="C1068" s="40" t="str">
        <f>IF(Agent06_Loans!B80="","",Agent06_Loans!C80)</f>
        <v/>
      </c>
      <c r="D1068" s="41" t="str">
        <f>IF(Agent06_Loans!B80="","",Agent06_Loans!D80)</f>
        <v/>
      </c>
      <c r="E1068" s="43" t="str">
        <f>IF(Agent06_Loans!B80="","",Agent06_Loans!E80)</f>
        <v/>
      </c>
      <c r="F1068" s="40" t="str">
        <f>IF(Agent06_Loans!B80="","",Agent06_Loans!F80)</f>
        <v/>
      </c>
      <c r="G1068" s="40" t="str">
        <f>IF(Agent06_Loans!B80="","",Agent06_Loans!G80)</f>
        <v/>
      </c>
      <c r="H1068" s="40" t="str">
        <f>IF(Agent06_Loans!B80="","",Agent06_Loans!H80)</f>
        <v/>
      </c>
      <c r="I1068" s="43" t="str">
        <f>IF(Agent06_Loans!B80="","",Agent06_Loans!I80)</f>
        <v/>
      </c>
      <c r="J1068" s="43" t="str">
        <f>IF(Agent06_Loans!B80="","",Agent06_Loans!J80)</f>
        <v/>
      </c>
      <c r="K1068" s="40" t="str">
        <f>IF(Agent06_Loans!B80="","",Agent06_Loans!K80)</f>
        <v/>
      </c>
      <c r="L1068" s="40" t="str">
        <f>IF(Agent06_Loans!B80="","",Agent06_Loans!L80)</f>
        <v/>
      </c>
      <c r="M1068" s="40" t="str">
        <f>IFERROR(IF(Agent06_Loans!B80="","",YEAR(Agent06_Loans!D80)),"")</f>
        <v/>
      </c>
    </row>
    <row r="1069" spans="1:13" ht="18" customHeight="1" x14ac:dyDescent="0.25">
      <c r="A1069" s="40" t="str">
        <f>IF(Agent06_Loans!B81="","",Agent06_Loans!A81)</f>
        <v/>
      </c>
      <c r="B1069" s="40" t="str">
        <f>IF(Agent06_Loans!B81="","",Agent06_Loans!B81)</f>
        <v/>
      </c>
      <c r="C1069" s="40" t="str">
        <f>IF(Agent06_Loans!B81="","",Agent06_Loans!C81)</f>
        <v/>
      </c>
      <c r="D1069" s="41" t="str">
        <f>IF(Agent06_Loans!B81="","",Agent06_Loans!D81)</f>
        <v/>
      </c>
      <c r="E1069" s="43" t="str">
        <f>IF(Agent06_Loans!B81="","",Agent06_Loans!E81)</f>
        <v/>
      </c>
      <c r="F1069" s="40" t="str">
        <f>IF(Agent06_Loans!B81="","",Agent06_Loans!F81)</f>
        <v/>
      </c>
      <c r="G1069" s="40" t="str">
        <f>IF(Agent06_Loans!B81="","",Agent06_Loans!G81)</f>
        <v/>
      </c>
      <c r="H1069" s="40" t="str">
        <f>IF(Agent06_Loans!B81="","",Agent06_Loans!H81)</f>
        <v/>
      </c>
      <c r="I1069" s="43" t="str">
        <f>IF(Agent06_Loans!B81="","",Agent06_Loans!I81)</f>
        <v/>
      </c>
      <c r="J1069" s="43" t="str">
        <f>IF(Agent06_Loans!B81="","",Agent06_Loans!J81)</f>
        <v/>
      </c>
      <c r="K1069" s="40" t="str">
        <f>IF(Agent06_Loans!B81="","",Agent06_Loans!K81)</f>
        <v/>
      </c>
      <c r="L1069" s="40" t="str">
        <f>IF(Agent06_Loans!B81="","",Agent06_Loans!L81)</f>
        <v/>
      </c>
      <c r="M1069" s="40" t="str">
        <f>IFERROR(IF(Agent06_Loans!B81="","",YEAR(Agent06_Loans!D81)),"")</f>
        <v/>
      </c>
    </row>
    <row r="1070" spans="1:13" ht="18" customHeight="1" x14ac:dyDescent="0.25">
      <c r="A1070" s="40" t="str">
        <f>IF(Agent06_Loans!B82="","",Agent06_Loans!A82)</f>
        <v/>
      </c>
      <c r="B1070" s="40" t="str">
        <f>IF(Agent06_Loans!B82="","",Agent06_Loans!B82)</f>
        <v/>
      </c>
      <c r="C1070" s="40" t="str">
        <f>IF(Agent06_Loans!B82="","",Agent06_Loans!C82)</f>
        <v/>
      </c>
      <c r="D1070" s="41" t="str">
        <f>IF(Agent06_Loans!B82="","",Agent06_Loans!D82)</f>
        <v/>
      </c>
      <c r="E1070" s="43" t="str">
        <f>IF(Agent06_Loans!B82="","",Agent06_Loans!E82)</f>
        <v/>
      </c>
      <c r="F1070" s="40" t="str">
        <f>IF(Agent06_Loans!B82="","",Agent06_Loans!F82)</f>
        <v/>
      </c>
      <c r="G1070" s="40" t="str">
        <f>IF(Agent06_Loans!B82="","",Agent06_Loans!G82)</f>
        <v/>
      </c>
      <c r="H1070" s="40" t="str">
        <f>IF(Agent06_Loans!B82="","",Agent06_Loans!H82)</f>
        <v/>
      </c>
      <c r="I1070" s="43" t="str">
        <f>IF(Agent06_Loans!B82="","",Agent06_Loans!I82)</f>
        <v/>
      </c>
      <c r="J1070" s="43" t="str">
        <f>IF(Agent06_Loans!B82="","",Agent06_Loans!J82)</f>
        <v/>
      </c>
      <c r="K1070" s="40" t="str">
        <f>IF(Agent06_Loans!B82="","",Agent06_Loans!K82)</f>
        <v/>
      </c>
      <c r="L1070" s="40" t="str">
        <f>IF(Agent06_Loans!B82="","",Agent06_Loans!L82)</f>
        <v/>
      </c>
      <c r="M1070" s="40" t="str">
        <f>IFERROR(IF(Agent06_Loans!B82="","",YEAR(Agent06_Loans!D82)),"")</f>
        <v/>
      </c>
    </row>
    <row r="1071" spans="1:13" ht="18" customHeight="1" x14ac:dyDescent="0.25">
      <c r="A1071" s="40" t="str">
        <f>IF(Agent06_Loans!B83="","",Agent06_Loans!A83)</f>
        <v/>
      </c>
      <c r="B1071" s="40" t="str">
        <f>IF(Agent06_Loans!B83="","",Agent06_Loans!B83)</f>
        <v/>
      </c>
      <c r="C1071" s="40" t="str">
        <f>IF(Agent06_Loans!B83="","",Agent06_Loans!C83)</f>
        <v/>
      </c>
      <c r="D1071" s="41" t="str">
        <f>IF(Agent06_Loans!B83="","",Agent06_Loans!D83)</f>
        <v/>
      </c>
      <c r="E1071" s="43" t="str">
        <f>IF(Agent06_Loans!B83="","",Agent06_Loans!E83)</f>
        <v/>
      </c>
      <c r="F1071" s="40" t="str">
        <f>IF(Agent06_Loans!B83="","",Agent06_Loans!F83)</f>
        <v/>
      </c>
      <c r="G1071" s="40" t="str">
        <f>IF(Agent06_Loans!B83="","",Agent06_Loans!G83)</f>
        <v/>
      </c>
      <c r="H1071" s="40" t="str">
        <f>IF(Agent06_Loans!B83="","",Agent06_Loans!H83)</f>
        <v/>
      </c>
      <c r="I1071" s="43" t="str">
        <f>IF(Agent06_Loans!B83="","",Agent06_Loans!I83)</f>
        <v/>
      </c>
      <c r="J1071" s="43" t="str">
        <f>IF(Agent06_Loans!B83="","",Agent06_Loans!J83)</f>
        <v/>
      </c>
      <c r="K1071" s="40" t="str">
        <f>IF(Agent06_Loans!B83="","",Agent06_Loans!K83)</f>
        <v/>
      </c>
      <c r="L1071" s="40" t="str">
        <f>IF(Agent06_Loans!B83="","",Agent06_Loans!L83)</f>
        <v/>
      </c>
      <c r="M1071" s="40" t="str">
        <f>IFERROR(IF(Agent06_Loans!B83="","",YEAR(Agent06_Loans!D83)),"")</f>
        <v/>
      </c>
    </row>
    <row r="1072" spans="1:13" ht="18" customHeight="1" x14ac:dyDescent="0.25">
      <c r="A1072" s="40" t="str">
        <f>IF(Agent06_Loans!B84="","",Agent06_Loans!A84)</f>
        <v/>
      </c>
      <c r="B1072" s="40" t="str">
        <f>IF(Agent06_Loans!B84="","",Agent06_Loans!B84)</f>
        <v/>
      </c>
      <c r="C1072" s="40" t="str">
        <f>IF(Agent06_Loans!B84="","",Agent06_Loans!C84)</f>
        <v/>
      </c>
      <c r="D1072" s="41" t="str">
        <f>IF(Agent06_Loans!B84="","",Agent06_Loans!D84)</f>
        <v/>
      </c>
      <c r="E1072" s="43" t="str">
        <f>IF(Agent06_Loans!B84="","",Agent06_Loans!E84)</f>
        <v/>
      </c>
      <c r="F1072" s="40" t="str">
        <f>IF(Agent06_Loans!B84="","",Agent06_Loans!F84)</f>
        <v/>
      </c>
      <c r="G1072" s="40" t="str">
        <f>IF(Agent06_Loans!B84="","",Agent06_Loans!G84)</f>
        <v/>
      </c>
      <c r="H1072" s="40" t="str">
        <f>IF(Agent06_Loans!B84="","",Agent06_Loans!H84)</f>
        <v/>
      </c>
      <c r="I1072" s="43" t="str">
        <f>IF(Agent06_Loans!B84="","",Agent06_Loans!I84)</f>
        <v/>
      </c>
      <c r="J1072" s="43" t="str">
        <f>IF(Agent06_Loans!B84="","",Agent06_Loans!J84)</f>
        <v/>
      </c>
      <c r="K1072" s="40" t="str">
        <f>IF(Agent06_Loans!B84="","",Agent06_Loans!K84)</f>
        <v/>
      </c>
      <c r="L1072" s="40" t="str">
        <f>IF(Agent06_Loans!B84="","",Agent06_Loans!L84)</f>
        <v/>
      </c>
      <c r="M1072" s="40" t="str">
        <f>IFERROR(IF(Agent06_Loans!B84="","",YEAR(Agent06_Loans!D84)),"")</f>
        <v/>
      </c>
    </row>
    <row r="1073" spans="1:13" ht="18" customHeight="1" x14ac:dyDescent="0.25">
      <c r="A1073" s="40" t="str">
        <f>IF(Agent06_Loans!B85="","",Agent06_Loans!A85)</f>
        <v/>
      </c>
      <c r="B1073" s="40" t="str">
        <f>IF(Agent06_Loans!B85="","",Agent06_Loans!B85)</f>
        <v/>
      </c>
      <c r="C1073" s="40" t="str">
        <f>IF(Agent06_Loans!B85="","",Agent06_Loans!C85)</f>
        <v/>
      </c>
      <c r="D1073" s="41" t="str">
        <f>IF(Agent06_Loans!B85="","",Agent06_Loans!D85)</f>
        <v/>
      </c>
      <c r="E1073" s="43" t="str">
        <f>IF(Agent06_Loans!B85="","",Agent06_Loans!E85)</f>
        <v/>
      </c>
      <c r="F1073" s="40" t="str">
        <f>IF(Agent06_Loans!B85="","",Agent06_Loans!F85)</f>
        <v/>
      </c>
      <c r="G1073" s="40" t="str">
        <f>IF(Agent06_Loans!B85="","",Agent06_Loans!G85)</f>
        <v/>
      </c>
      <c r="H1073" s="40" t="str">
        <f>IF(Agent06_Loans!B85="","",Agent06_Loans!H85)</f>
        <v/>
      </c>
      <c r="I1073" s="43" t="str">
        <f>IF(Agent06_Loans!B85="","",Agent06_Loans!I85)</f>
        <v/>
      </c>
      <c r="J1073" s="43" t="str">
        <f>IF(Agent06_Loans!B85="","",Agent06_Loans!J85)</f>
        <v/>
      </c>
      <c r="K1073" s="40" t="str">
        <f>IF(Agent06_Loans!B85="","",Agent06_Loans!K85)</f>
        <v/>
      </c>
      <c r="L1073" s="40" t="str">
        <f>IF(Agent06_Loans!B85="","",Agent06_Loans!L85)</f>
        <v/>
      </c>
      <c r="M1073" s="40" t="str">
        <f>IFERROR(IF(Agent06_Loans!B85="","",YEAR(Agent06_Loans!D85)),"")</f>
        <v/>
      </c>
    </row>
    <row r="1074" spans="1:13" ht="18" customHeight="1" x14ac:dyDescent="0.25">
      <c r="A1074" s="40" t="str">
        <f>IF(Agent06_Loans!B86="","",Agent06_Loans!A86)</f>
        <v/>
      </c>
      <c r="B1074" s="40" t="str">
        <f>IF(Agent06_Loans!B86="","",Agent06_Loans!B86)</f>
        <v/>
      </c>
      <c r="C1074" s="40" t="str">
        <f>IF(Agent06_Loans!B86="","",Agent06_Loans!C86)</f>
        <v/>
      </c>
      <c r="D1074" s="41" t="str">
        <f>IF(Agent06_Loans!B86="","",Agent06_Loans!D86)</f>
        <v/>
      </c>
      <c r="E1074" s="43" t="str">
        <f>IF(Agent06_Loans!B86="","",Agent06_Loans!E86)</f>
        <v/>
      </c>
      <c r="F1074" s="40" t="str">
        <f>IF(Agent06_Loans!B86="","",Agent06_Loans!F86)</f>
        <v/>
      </c>
      <c r="G1074" s="40" t="str">
        <f>IF(Agent06_Loans!B86="","",Agent06_Loans!G86)</f>
        <v/>
      </c>
      <c r="H1074" s="40" t="str">
        <f>IF(Agent06_Loans!B86="","",Agent06_Loans!H86)</f>
        <v/>
      </c>
      <c r="I1074" s="43" t="str">
        <f>IF(Agent06_Loans!B86="","",Agent06_Loans!I86)</f>
        <v/>
      </c>
      <c r="J1074" s="43" t="str">
        <f>IF(Agent06_Loans!B86="","",Agent06_Loans!J86)</f>
        <v/>
      </c>
      <c r="K1074" s="40" t="str">
        <f>IF(Agent06_Loans!B86="","",Agent06_Loans!K86)</f>
        <v/>
      </c>
      <c r="L1074" s="40" t="str">
        <f>IF(Agent06_Loans!B86="","",Agent06_Loans!L86)</f>
        <v/>
      </c>
      <c r="M1074" s="40" t="str">
        <f>IFERROR(IF(Agent06_Loans!B86="","",YEAR(Agent06_Loans!D86)),"")</f>
        <v/>
      </c>
    </row>
    <row r="1075" spans="1:13" ht="18" customHeight="1" x14ac:dyDescent="0.25">
      <c r="A1075" s="40" t="str">
        <f>IF(Agent06_Loans!B87="","",Agent06_Loans!A87)</f>
        <v/>
      </c>
      <c r="B1075" s="40" t="str">
        <f>IF(Agent06_Loans!B87="","",Agent06_Loans!B87)</f>
        <v/>
      </c>
      <c r="C1075" s="40" t="str">
        <f>IF(Agent06_Loans!B87="","",Agent06_Loans!C87)</f>
        <v/>
      </c>
      <c r="D1075" s="41" t="str">
        <f>IF(Agent06_Loans!B87="","",Agent06_Loans!D87)</f>
        <v/>
      </c>
      <c r="E1075" s="43" t="str">
        <f>IF(Agent06_Loans!B87="","",Agent06_Loans!E87)</f>
        <v/>
      </c>
      <c r="F1075" s="40" t="str">
        <f>IF(Agent06_Loans!B87="","",Agent06_Loans!F87)</f>
        <v/>
      </c>
      <c r="G1075" s="40" t="str">
        <f>IF(Agent06_Loans!B87="","",Agent06_Loans!G87)</f>
        <v/>
      </c>
      <c r="H1075" s="40" t="str">
        <f>IF(Agent06_Loans!B87="","",Agent06_Loans!H87)</f>
        <v/>
      </c>
      <c r="I1075" s="43" t="str">
        <f>IF(Agent06_Loans!B87="","",Agent06_Loans!I87)</f>
        <v/>
      </c>
      <c r="J1075" s="43" t="str">
        <f>IF(Agent06_Loans!B87="","",Agent06_Loans!J87)</f>
        <v/>
      </c>
      <c r="K1075" s="40" t="str">
        <f>IF(Agent06_Loans!B87="","",Agent06_Loans!K87)</f>
        <v/>
      </c>
      <c r="L1075" s="40" t="str">
        <f>IF(Agent06_Loans!B87="","",Agent06_Loans!L87)</f>
        <v/>
      </c>
      <c r="M1075" s="40" t="str">
        <f>IFERROR(IF(Agent06_Loans!B87="","",YEAR(Agent06_Loans!D87)),"")</f>
        <v/>
      </c>
    </row>
    <row r="1076" spans="1:13" ht="18" customHeight="1" x14ac:dyDescent="0.25">
      <c r="A1076" s="40" t="str">
        <f>IF(Agent06_Loans!B88="","",Agent06_Loans!A88)</f>
        <v/>
      </c>
      <c r="B1076" s="40" t="str">
        <f>IF(Agent06_Loans!B88="","",Agent06_Loans!B88)</f>
        <v/>
      </c>
      <c r="C1076" s="40" t="str">
        <f>IF(Agent06_Loans!B88="","",Agent06_Loans!C88)</f>
        <v/>
      </c>
      <c r="D1076" s="41" t="str">
        <f>IF(Agent06_Loans!B88="","",Agent06_Loans!D88)</f>
        <v/>
      </c>
      <c r="E1076" s="43" t="str">
        <f>IF(Agent06_Loans!B88="","",Agent06_Loans!E88)</f>
        <v/>
      </c>
      <c r="F1076" s="40" t="str">
        <f>IF(Agent06_Loans!B88="","",Agent06_Loans!F88)</f>
        <v/>
      </c>
      <c r="G1076" s="40" t="str">
        <f>IF(Agent06_Loans!B88="","",Agent06_Loans!G88)</f>
        <v/>
      </c>
      <c r="H1076" s="40" t="str">
        <f>IF(Agent06_Loans!B88="","",Agent06_Loans!H88)</f>
        <v/>
      </c>
      <c r="I1076" s="43" t="str">
        <f>IF(Agent06_Loans!B88="","",Agent06_Loans!I88)</f>
        <v/>
      </c>
      <c r="J1076" s="43" t="str">
        <f>IF(Agent06_Loans!B88="","",Agent06_Loans!J88)</f>
        <v/>
      </c>
      <c r="K1076" s="40" t="str">
        <f>IF(Agent06_Loans!B88="","",Agent06_Loans!K88)</f>
        <v/>
      </c>
      <c r="L1076" s="40" t="str">
        <f>IF(Agent06_Loans!B88="","",Agent06_Loans!L88)</f>
        <v/>
      </c>
      <c r="M1076" s="40" t="str">
        <f>IFERROR(IF(Agent06_Loans!B88="","",YEAR(Agent06_Loans!D88)),"")</f>
        <v/>
      </c>
    </row>
    <row r="1077" spans="1:13" ht="18" customHeight="1" x14ac:dyDescent="0.25">
      <c r="A1077" s="40" t="str">
        <f>IF(Agent06_Loans!B89="","",Agent06_Loans!A89)</f>
        <v/>
      </c>
      <c r="B1077" s="40" t="str">
        <f>IF(Agent06_Loans!B89="","",Agent06_Loans!B89)</f>
        <v/>
      </c>
      <c r="C1077" s="40" t="str">
        <f>IF(Agent06_Loans!B89="","",Agent06_Loans!C89)</f>
        <v/>
      </c>
      <c r="D1077" s="41" t="str">
        <f>IF(Agent06_Loans!B89="","",Agent06_Loans!D89)</f>
        <v/>
      </c>
      <c r="E1077" s="43" t="str">
        <f>IF(Agent06_Loans!B89="","",Agent06_Loans!E89)</f>
        <v/>
      </c>
      <c r="F1077" s="40" t="str">
        <f>IF(Agent06_Loans!B89="","",Agent06_Loans!F89)</f>
        <v/>
      </c>
      <c r="G1077" s="40" t="str">
        <f>IF(Agent06_Loans!B89="","",Agent06_Loans!G89)</f>
        <v/>
      </c>
      <c r="H1077" s="40" t="str">
        <f>IF(Agent06_Loans!B89="","",Agent06_Loans!H89)</f>
        <v/>
      </c>
      <c r="I1077" s="43" t="str">
        <f>IF(Agent06_Loans!B89="","",Agent06_Loans!I89)</f>
        <v/>
      </c>
      <c r="J1077" s="43" t="str">
        <f>IF(Agent06_Loans!B89="","",Agent06_Loans!J89)</f>
        <v/>
      </c>
      <c r="K1077" s="40" t="str">
        <f>IF(Agent06_Loans!B89="","",Agent06_Loans!K89)</f>
        <v/>
      </c>
      <c r="L1077" s="40" t="str">
        <f>IF(Agent06_Loans!B89="","",Agent06_Loans!L89)</f>
        <v/>
      </c>
      <c r="M1077" s="40" t="str">
        <f>IFERROR(IF(Agent06_Loans!B89="","",YEAR(Agent06_Loans!D89)),"")</f>
        <v/>
      </c>
    </row>
    <row r="1078" spans="1:13" ht="18" customHeight="1" x14ac:dyDescent="0.25">
      <c r="A1078" s="40" t="str">
        <f>IF(Agent06_Loans!B90="","",Agent06_Loans!A90)</f>
        <v/>
      </c>
      <c r="B1078" s="40" t="str">
        <f>IF(Agent06_Loans!B90="","",Agent06_Loans!B90)</f>
        <v/>
      </c>
      <c r="C1078" s="40" t="str">
        <f>IF(Agent06_Loans!B90="","",Agent06_Loans!C90)</f>
        <v/>
      </c>
      <c r="D1078" s="41" t="str">
        <f>IF(Agent06_Loans!B90="","",Agent06_Loans!D90)</f>
        <v/>
      </c>
      <c r="E1078" s="43" t="str">
        <f>IF(Agent06_Loans!B90="","",Agent06_Loans!E90)</f>
        <v/>
      </c>
      <c r="F1078" s="40" t="str">
        <f>IF(Agent06_Loans!B90="","",Agent06_Loans!F90)</f>
        <v/>
      </c>
      <c r="G1078" s="40" t="str">
        <f>IF(Agent06_Loans!B90="","",Agent06_Loans!G90)</f>
        <v/>
      </c>
      <c r="H1078" s="40" t="str">
        <f>IF(Agent06_Loans!B90="","",Agent06_Loans!H90)</f>
        <v/>
      </c>
      <c r="I1078" s="43" t="str">
        <f>IF(Agent06_Loans!B90="","",Agent06_Loans!I90)</f>
        <v/>
      </c>
      <c r="J1078" s="43" t="str">
        <f>IF(Agent06_Loans!B90="","",Agent06_Loans!J90)</f>
        <v/>
      </c>
      <c r="K1078" s="40" t="str">
        <f>IF(Agent06_Loans!B90="","",Agent06_Loans!K90)</f>
        <v/>
      </c>
      <c r="L1078" s="40" t="str">
        <f>IF(Agent06_Loans!B90="","",Agent06_Loans!L90)</f>
        <v/>
      </c>
      <c r="M1078" s="40" t="str">
        <f>IFERROR(IF(Agent06_Loans!B90="","",YEAR(Agent06_Loans!D90)),"")</f>
        <v/>
      </c>
    </row>
    <row r="1079" spans="1:13" ht="18" customHeight="1" x14ac:dyDescent="0.25">
      <c r="A1079" s="40" t="str">
        <f>IF(Agent06_Loans!B91="","",Agent06_Loans!A91)</f>
        <v/>
      </c>
      <c r="B1079" s="40" t="str">
        <f>IF(Agent06_Loans!B91="","",Agent06_Loans!B91)</f>
        <v/>
      </c>
      <c r="C1079" s="40" t="str">
        <f>IF(Agent06_Loans!B91="","",Agent06_Loans!C91)</f>
        <v/>
      </c>
      <c r="D1079" s="41" t="str">
        <f>IF(Agent06_Loans!B91="","",Agent06_Loans!D91)</f>
        <v/>
      </c>
      <c r="E1079" s="43" t="str">
        <f>IF(Agent06_Loans!B91="","",Agent06_Loans!E91)</f>
        <v/>
      </c>
      <c r="F1079" s="40" t="str">
        <f>IF(Agent06_Loans!B91="","",Agent06_Loans!F91)</f>
        <v/>
      </c>
      <c r="G1079" s="40" t="str">
        <f>IF(Agent06_Loans!B91="","",Agent06_Loans!G91)</f>
        <v/>
      </c>
      <c r="H1079" s="40" t="str">
        <f>IF(Agent06_Loans!B91="","",Agent06_Loans!H91)</f>
        <v/>
      </c>
      <c r="I1079" s="43" t="str">
        <f>IF(Agent06_Loans!B91="","",Agent06_Loans!I91)</f>
        <v/>
      </c>
      <c r="J1079" s="43" t="str">
        <f>IF(Agent06_Loans!B91="","",Agent06_Loans!J91)</f>
        <v/>
      </c>
      <c r="K1079" s="40" t="str">
        <f>IF(Agent06_Loans!B91="","",Agent06_Loans!K91)</f>
        <v/>
      </c>
      <c r="L1079" s="40" t="str">
        <f>IF(Agent06_Loans!B91="","",Agent06_Loans!L91)</f>
        <v/>
      </c>
      <c r="M1079" s="40" t="str">
        <f>IFERROR(IF(Agent06_Loans!B91="","",YEAR(Agent06_Loans!D91)),"")</f>
        <v/>
      </c>
    </row>
    <row r="1080" spans="1:13" ht="18" customHeight="1" x14ac:dyDescent="0.25">
      <c r="A1080" s="40" t="str">
        <f>IF(Agent06_Loans!B92="","",Agent06_Loans!A92)</f>
        <v/>
      </c>
      <c r="B1080" s="40" t="str">
        <f>IF(Agent06_Loans!B92="","",Agent06_Loans!B92)</f>
        <v/>
      </c>
      <c r="C1080" s="40" t="str">
        <f>IF(Agent06_Loans!B92="","",Agent06_Loans!C92)</f>
        <v/>
      </c>
      <c r="D1080" s="41" t="str">
        <f>IF(Agent06_Loans!B92="","",Agent06_Loans!D92)</f>
        <v/>
      </c>
      <c r="E1080" s="43" t="str">
        <f>IF(Agent06_Loans!B92="","",Agent06_Loans!E92)</f>
        <v/>
      </c>
      <c r="F1080" s="40" t="str">
        <f>IF(Agent06_Loans!B92="","",Agent06_Loans!F92)</f>
        <v/>
      </c>
      <c r="G1080" s="40" t="str">
        <f>IF(Agent06_Loans!B92="","",Agent06_Loans!G92)</f>
        <v/>
      </c>
      <c r="H1080" s="40" t="str">
        <f>IF(Agent06_Loans!B92="","",Agent06_Loans!H92)</f>
        <v/>
      </c>
      <c r="I1080" s="43" t="str">
        <f>IF(Agent06_Loans!B92="","",Agent06_Loans!I92)</f>
        <v/>
      </c>
      <c r="J1080" s="43" t="str">
        <f>IF(Agent06_Loans!B92="","",Agent06_Loans!J92)</f>
        <v/>
      </c>
      <c r="K1080" s="40" t="str">
        <f>IF(Agent06_Loans!B92="","",Agent06_Loans!K92)</f>
        <v/>
      </c>
      <c r="L1080" s="40" t="str">
        <f>IF(Agent06_Loans!B92="","",Agent06_Loans!L92)</f>
        <v/>
      </c>
      <c r="M1080" s="40" t="str">
        <f>IFERROR(IF(Agent06_Loans!B92="","",YEAR(Agent06_Loans!D92)),"")</f>
        <v/>
      </c>
    </row>
    <row r="1081" spans="1:13" ht="18" customHeight="1" x14ac:dyDescent="0.25">
      <c r="A1081" s="40" t="str">
        <f>IF(Agent06_Loans!B93="","",Agent06_Loans!A93)</f>
        <v/>
      </c>
      <c r="B1081" s="40" t="str">
        <f>IF(Agent06_Loans!B93="","",Agent06_Loans!B93)</f>
        <v/>
      </c>
      <c r="C1081" s="40" t="str">
        <f>IF(Agent06_Loans!B93="","",Agent06_Loans!C93)</f>
        <v/>
      </c>
      <c r="D1081" s="41" t="str">
        <f>IF(Agent06_Loans!B93="","",Agent06_Loans!D93)</f>
        <v/>
      </c>
      <c r="E1081" s="43" t="str">
        <f>IF(Agent06_Loans!B93="","",Agent06_Loans!E93)</f>
        <v/>
      </c>
      <c r="F1081" s="40" t="str">
        <f>IF(Agent06_Loans!B93="","",Agent06_Loans!F93)</f>
        <v/>
      </c>
      <c r="G1081" s="40" t="str">
        <f>IF(Agent06_Loans!B93="","",Agent06_Loans!G93)</f>
        <v/>
      </c>
      <c r="H1081" s="40" t="str">
        <f>IF(Agent06_Loans!B93="","",Agent06_Loans!H93)</f>
        <v/>
      </c>
      <c r="I1081" s="43" t="str">
        <f>IF(Agent06_Loans!B93="","",Agent06_Loans!I93)</f>
        <v/>
      </c>
      <c r="J1081" s="43" t="str">
        <f>IF(Agent06_Loans!B93="","",Agent06_Loans!J93)</f>
        <v/>
      </c>
      <c r="K1081" s="40" t="str">
        <f>IF(Agent06_Loans!B93="","",Agent06_Loans!K93)</f>
        <v/>
      </c>
      <c r="L1081" s="40" t="str">
        <f>IF(Agent06_Loans!B93="","",Agent06_Loans!L93)</f>
        <v/>
      </c>
      <c r="M1081" s="40" t="str">
        <f>IFERROR(IF(Agent06_Loans!B93="","",YEAR(Agent06_Loans!D93)),"")</f>
        <v/>
      </c>
    </row>
    <row r="1082" spans="1:13" ht="18" customHeight="1" x14ac:dyDescent="0.25">
      <c r="A1082" s="40" t="str">
        <f>IF(Agent06_Loans!B94="","",Agent06_Loans!A94)</f>
        <v/>
      </c>
      <c r="B1082" s="40" t="str">
        <f>IF(Agent06_Loans!B94="","",Agent06_Loans!B94)</f>
        <v/>
      </c>
      <c r="C1082" s="40" t="str">
        <f>IF(Agent06_Loans!B94="","",Agent06_Loans!C94)</f>
        <v/>
      </c>
      <c r="D1082" s="41" t="str">
        <f>IF(Agent06_Loans!B94="","",Agent06_Loans!D94)</f>
        <v/>
      </c>
      <c r="E1082" s="43" t="str">
        <f>IF(Agent06_Loans!B94="","",Agent06_Loans!E94)</f>
        <v/>
      </c>
      <c r="F1082" s="40" t="str">
        <f>IF(Agent06_Loans!B94="","",Agent06_Loans!F94)</f>
        <v/>
      </c>
      <c r="G1082" s="40" t="str">
        <f>IF(Agent06_Loans!B94="","",Agent06_Loans!G94)</f>
        <v/>
      </c>
      <c r="H1082" s="40" t="str">
        <f>IF(Agent06_Loans!B94="","",Agent06_Loans!H94)</f>
        <v/>
      </c>
      <c r="I1082" s="43" t="str">
        <f>IF(Agent06_Loans!B94="","",Agent06_Loans!I94)</f>
        <v/>
      </c>
      <c r="J1082" s="43" t="str">
        <f>IF(Agent06_Loans!B94="","",Agent06_Loans!J94)</f>
        <v/>
      </c>
      <c r="K1082" s="40" t="str">
        <f>IF(Agent06_Loans!B94="","",Agent06_Loans!K94)</f>
        <v/>
      </c>
      <c r="L1082" s="40" t="str">
        <f>IF(Agent06_Loans!B94="","",Agent06_Loans!L94)</f>
        <v/>
      </c>
      <c r="M1082" s="40" t="str">
        <f>IFERROR(IF(Agent06_Loans!B94="","",YEAR(Agent06_Loans!D94)),"")</f>
        <v/>
      </c>
    </row>
    <row r="1083" spans="1:13" ht="18" customHeight="1" x14ac:dyDescent="0.25">
      <c r="A1083" s="40" t="str">
        <f>IF(Agent06_Loans!B95="","",Agent06_Loans!A95)</f>
        <v/>
      </c>
      <c r="B1083" s="40" t="str">
        <f>IF(Agent06_Loans!B95="","",Agent06_Loans!B95)</f>
        <v/>
      </c>
      <c r="C1083" s="40" t="str">
        <f>IF(Agent06_Loans!B95="","",Agent06_Loans!C95)</f>
        <v/>
      </c>
      <c r="D1083" s="41" t="str">
        <f>IF(Agent06_Loans!B95="","",Agent06_Loans!D95)</f>
        <v/>
      </c>
      <c r="E1083" s="43" t="str">
        <f>IF(Agent06_Loans!B95="","",Agent06_Loans!E95)</f>
        <v/>
      </c>
      <c r="F1083" s="40" t="str">
        <f>IF(Agent06_Loans!B95="","",Agent06_Loans!F95)</f>
        <v/>
      </c>
      <c r="G1083" s="40" t="str">
        <f>IF(Agent06_Loans!B95="","",Agent06_Loans!G95)</f>
        <v/>
      </c>
      <c r="H1083" s="40" t="str">
        <f>IF(Agent06_Loans!B95="","",Agent06_Loans!H95)</f>
        <v/>
      </c>
      <c r="I1083" s="43" t="str">
        <f>IF(Agent06_Loans!B95="","",Agent06_Loans!I95)</f>
        <v/>
      </c>
      <c r="J1083" s="43" t="str">
        <f>IF(Agent06_Loans!B95="","",Agent06_Loans!J95)</f>
        <v/>
      </c>
      <c r="K1083" s="40" t="str">
        <f>IF(Agent06_Loans!B95="","",Agent06_Loans!K95)</f>
        <v/>
      </c>
      <c r="L1083" s="40" t="str">
        <f>IF(Agent06_Loans!B95="","",Agent06_Loans!L95)</f>
        <v/>
      </c>
      <c r="M1083" s="40" t="str">
        <f>IFERROR(IF(Agent06_Loans!B95="","",YEAR(Agent06_Loans!D95)),"")</f>
        <v/>
      </c>
    </row>
    <row r="1084" spans="1:13" ht="18" customHeight="1" x14ac:dyDescent="0.25">
      <c r="A1084" s="40" t="str">
        <f>IF(Agent06_Loans!B96="","",Agent06_Loans!A96)</f>
        <v/>
      </c>
      <c r="B1084" s="40" t="str">
        <f>IF(Agent06_Loans!B96="","",Agent06_Loans!B96)</f>
        <v/>
      </c>
      <c r="C1084" s="40" t="str">
        <f>IF(Agent06_Loans!B96="","",Agent06_Loans!C96)</f>
        <v/>
      </c>
      <c r="D1084" s="41" t="str">
        <f>IF(Agent06_Loans!B96="","",Agent06_Loans!D96)</f>
        <v/>
      </c>
      <c r="E1084" s="43" t="str">
        <f>IF(Agent06_Loans!B96="","",Agent06_Loans!E96)</f>
        <v/>
      </c>
      <c r="F1084" s="40" t="str">
        <f>IF(Agent06_Loans!B96="","",Agent06_Loans!F96)</f>
        <v/>
      </c>
      <c r="G1084" s="40" t="str">
        <f>IF(Agent06_Loans!B96="","",Agent06_Loans!G96)</f>
        <v/>
      </c>
      <c r="H1084" s="40" t="str">
        <f>IF(Agent06_Loans!B96="","",Agent06_Loans!H96)</f>
        <v/>
      </c>
      <c r="I1084" s="43" t="str">
        <f>IF(Agent06_Loans!B96="","",Agent06_Loans!I96)</f>
        <v/>
      </c>
      <c r="J1084" s="43" t="str">
        <f>IF(Agent06_Loans!B96="","",Agent06_Loans!J96)</f>
        <v/>
      </c>
      <c r="K1084" s="40" t="str">
        <f>IF(Agent06_Loans!B96="","",Agent06_Loans!K96)</f>
        <v/>
      </c>
      <c r="L1084" s="40" t="str">
        <f>IF(Agent06_Loans!B96="","",Agent06_Loans!L96)</f>
        <v/>
      </c>
      <c r="M1084" s="40" t="str">
        <f>IFERROR(IF(Agent06_Loans!B96="","",YEAR(Agent06_Loans!D96)),"")</f>
        <v/>
      </c>
    </row>
    <row r="1085" spans="1:13" ht="18" customHeight="1" x14ac:dyDescent="0.25">
      <c r="A1085" s="40" t="str">
        <f>IF(Agent06_Loans!B97="","",Agent06_Loans!A97)</f>
        <v/>
      </c>
      <c r="B1085" s="40" t="str">
        <f>IF(Agent06_Loans!B97="","",Agent06_Loans!B97)</f>
        <v/>
      </c>
      <c r="C1085" s="40" t="str">
        <f>IF(Agent06_Loans!B97="","",Agent06_Loans!C97)</f>
        <v/>
      </c>
      <c r="D1085" s="41" t="str">
        <f>IF(Agent06_Loans!B97="","",Agent06_Loans!D97)</f>
        <v/>
      </c>
      <c r="E1085" s="43" t="str">
        <f>IF(Agent06_Loans!B97="","",Agent06_Loans!E97)</f>
        <v/>
      </c>
      <c r="F1085" s="40" t="str">
        <f>IF(Agent06_Loans!B97="","",Agent06_Loans!F97)</f>
        <v/>
      </c>
      <c r="G1085" s="40" t="str">
        <f>IF(Agent06_Loans!B97="","",Agent06_Loans!G97)</f>
        <v/>
      </c>
      <c r="H1085" s="40" t="str">
        <f>IF(Agent06_Loans!B97="","",Agent06_Loans!H97)</f>
        <v/>
      </c>
      <c r="I1085" s="43" t="str">
        <f>IF(Agent06_Loans!B97="","",Agent06_Loans!I97)</f>
        <v/>
      </c>
      <c r="J1085" s="43" t="str">
        <f>IF(Agent06_Loans!B97="","",Agent06_Loans!J97)</f>
        <v/>
      </c>
      <c r="K1085" s="40" t="str">
        <f>IF(Agent06_Loans!B97="","",Agent06_Loans!K97)</f>
        <v/>
      </c>
      <c r="L1085" s="40" t="str">
        <f>IF(Agent06_Loans!B97="","",Agent06_Loans!L97)</f>
        <v/>
      </c>
      <c r="M1085" s="40" t="str">
        <f>IFERROR(IF(Agent06_Loans!B97="","",YEAR(Agent06_Loans!D97)),"")</f>
        <v/>
      </c>
    </row>
    <row r="1086" spans="1:13" ht="18" customHeight="1" x14ac:dyDescent="0.25">
      <c r="A1086" s="40" t="str">
        <f>IF(Agent06_Loans!B98="","",Agent06_Loans!A98)</f>
        <v/>
      </c>
      <c r="B1086" s="40" t="str">
        <f>IF(Agent06_Loans!B98="","",Agent06_Loans!B98)</f>
        <v/>
      </c>
      <c r="C1086" s="40" t="str">
        <f>IF(Agent06_Loans!B98="","",Agent06_Loans!C98)</f>
        <v/>
      </c>
      <c r="D1086" s="41" t="str">
        <f>IF(Agent06_Loans!B98="","",Agent06_Loans!D98)</f>
        <v/>
      </c>
      <c r="E1086" s="43" t="str">
        <f>IF(Agent06_Loans!B98="","",Agent06_Loans!E98)</f>
        <v/>
      </c>
      <c r="F1086" s="40" t="str">
        <f>IF(Agent06_Loans!B98="","",Agent06_Loans!F98)</f>
        <v/>
      </c>
      <c r="G1086" s="40" t="str">
        <f>IF(Agent06_Loans!B98="","",Agent06_Loans!G98)</f>
        <v/>
      </c>
      <c r="H1086" s="40" t="str">
        <f>IF(Agent06_Loans!B98="","",Agent06_Loans!H98)</f>
        <v/>
      </c>
      <c r="I1086" s="43" t="str">
        <f>IF(Agent06_Loans!B98="","",Agent06_Loans!I98)</f>
        <v/>
      </c>
      <c r="J1086" s="43" t="str">
        <f>IF(Agent06_Loans!B98="","",Agent06_Loans!J98)</f>
        <v/>
      </c>
      <c r="K1086" s="40" t="str">
        <f>IF(Agent06_Loans!B98="","",Agent06_Loans!K98)</f>
        <v/>
      </c>
      <c r="L1086" s="40" t="str">
        <f>IF(Agent06_Loans!B98="","",Agent06_Loans!L98)</f>
        <v/>
      </c>
      <c r="M1086" s="40" t="str">
        <f>IFERROR(IF(Agent06_Loans!B98="","",YEAR(Agent06_Loans!D98)),"")</f>
        <v/>
      </c>
    </row>
    <row r="1087" spans="1:13" ht="18" customHeight="1" x14ac:dyDescent="0.25">
      <c r="A1087" s="40" t="str">
        <f>IF(Agent06_Loans!B99="","",Agent06_Loans!A99)</f>
        <v/>
      </c>
      <c r="B1087" s="40" t="str">
        <f>IF(Agent06_Loans!B99="","",Agent06_Loans!B99)</f>
        <v/>
      </c>
      <c r="C1087" s="40" t="str">
        <f>IF(Agent06_Loans!B99="","",Agent06_Loans!C99)</f>
        <v/>
      </c>
      <c r="D1087" s="41" t="str">
        <f>IF(Agent06_Loans!B99="","",Agent06_Loans!D99)</f>
        <v/>
      </c>
      <c r="E1087" s="43" t="str">
        <f>IF(Agent06_Loans!B99="","",Agent06_Loans!E99)</f>
        <v/>
      </c>
      <c r="F1087" s="40" t="str">
        <f>IF(Agent06_Loans!B99="","",Agent06_Loans!F99)</f>
        <v/>
      </c>
      <c r="G1087" s="40" t="str">
        <f>IF(Agent06_Loans!B99="","",Agent06_Loans!G99)</f>
        <v/>
      </c>
      <c r="H1087" s="40" t="str">
        <f>IF(Agent06_Loans!B99="","",Agent06_Loans!H99)</f>
        <v/>
      </c>
      <c r="I1087" s="43" t="str">
        <f>IF(Agent06_Loans!B99="","",Agent06_Loans!I99)</f>
        <v/>
      </c>
      <c r="J1087" s="43" t="str">
        <f>IF(Agent06_Loans!B99="","",Agent06_Loans!J99)</f>
        <v/>
      </c>
      <c r="K1087" s="40" t="str">
        <f>IF(Agent06_Loans!B99="","",Agent06_Loans!K99)</f>
        <v/>
      </c>
      <c r="L1087" s="40" t="str">
        <f>IF(Agent06_Loans!B99="","",Agent06_Loans!L99)</f>
        <v/>
      </c>
      <c r="M1087" s="40" t="str">
        <f>IFERROR(IF(Agent06_Loans!B99="","",YEAR(Agent06_Loans!D99)),"")</f>
        <v/>
      </c>
    </row>
    <row r="1088" spans="1:13" ht="18" customHeight="1" x14ac:dyDescent="0.25">
      <c r="A1088" s="40" t="str">
        <f>IF(Agent06_Loans!B100="","",Agent06_Loans!A100)</f>
        <v/>
      </c>
      <c r="B1088" s="40" t="str">
        <f>IF(Agent06_Loans!B100="","",Agent06_Loans!B100)</f>
        <v/>
      </c>
      <c r="C1088" s="40" t="str">
        <f>IF(Agent06_Loans!B100="","",Agent06_Loans!C100)</f>
        <v/>
      </c>
      <c r="D1088" s="41" t="str">
        <f>IF(Agent06_Loans!B100="","",Agent06_Loans!D100)</f>
        <v/>
      </c>
      <c r="E1088" s="43" t="str">
        <f>IF(Agent06_Loans!B100="","",Agent06_Loans!E100)</f>
        <v/>
      </c>
      <c r="F1088" s="40" t="str">
        <f>IF(Agent06_Loans!B100="","",Agent06_Loans!F100)</f>
        <v/>
      </c>
      <c r="G1088" s="40" t="str">
        <f>IF(Agent06_Loans!B100="","",Agent06_Loans!G100)</f>
        <v/>
      </c>
      <c r="H1088" s="40" t="str">
        <f>IF(Agent06_Loans!B100="","",Agent06_Loans!H100)</f>
        <v/>
      </c>
      <c r="I1088" s="43" t="str">
        <f>IF(Agent06_Loans!B100="","",Agent06_Loans!I100)</f>
        <v/>
      </c>
      <c r="J1088" s="43" t="str">
        <f>IF(Agent06_Loans!B100="","",Agent06_Loans!J100)</f>
        <v/>
      </c>
      <c r="K1088" s="40" t="str">
        <f>IF(Agent06_Loans!B100="","",Agent06_Loans!K100)</f>
        <v/>
      </c>
      <c r="L1088" s="40" t="str">
        <f>IF(Agent06_Loans!B100="","",Agent06_Loans!L100)</f>
        <v/>
      </c>
      <c r="M1088" s="40" t="str">
        <f>IFERROR(IF(Agent06_Loans!B100="","",YEAR(Agent06_Loans!D100)),"")</f>
        <v/>
      </c>
    </row>
    <row r="1089" spans="1:13" ht="18" customHeight="1" x14ac:dyDescent="0.25">
      <c r="A1089" s="40" t="str">
        <f>IF(Agent06_Loans!B101="","",Agent06_Loans!A101)</f>
        <v/>
      </c>
      <c r="B1089" s="40" t="str">
        <f>IF(Agent06_Loans!B101="","",Agent06_Loans!B101)</f>
        <v/>
      </c>
      <c r="C1089" s="40" t="str">
        <f>IF(Agent06_Loans!B101="","",Agent06_Loans!C101)</f>
        <v/>
      </c>
      <c r="D1089" s="41" t="str">
        <f>IF(Agent06_Loans!B101="","",Agent06_Loans!D101)</f>
        <v/>
      </c>
      <c r="E1089" s="43" t="str">
        <f>IF(Agent06_Loans!B101="","",Agent06_Loans!E101)</f>
        <v/>
      </c>
      <c r="F1089" s="40" t="str">
        <f>IF(Agent06_Loans!B101="","",Agent06_Loans!F101)</f>
        <v/>
      </c>
      <c r="G1089" s="40" t="str">
        <f>IF(Agent06_Loans!B101="","",Agent06_Loans!G101)</f>
        <v/>
      </c>
      <c r="H1089" s="40" t="str">
        <f>IF(Agent06_Loans!B101="","",Agent06_Loans!H101)</f>
        <v/>
      </c>
      <c r="I1089" s="43" t="str">
        <f>IF(Agent06_Loans!B101="","",Agent06_Loans!I101)</f>
        <v/>
      </c>
      <c r="J1089" s="43" t="str">
        <f>IF(Agent06_Loans!B101="","",Agent06_Loans!J101)</f>
        <v/>
      </c>
      <c r="K1089" s="40" t="str">
        <f>IF(Agent06_Loans!B101="","",Agent06_Loans!K101)</f>
        <v/>
      </c>
      <c r="L1089" s="40" t="str">
        <f>IF(Agent06_Loans!B101="","",Agent06_Loans!L101)</f>
        <v/>
      </c>
      <c r="M1089" s="40" t="str">
        <f>IFERROR(IF(Agent06_Loans!B101="","",YEAR(Agent06_Loans!D101)),"")</f>
        <v/>
      </c>
    </row>
    <row r="1090" spans="1:13" ht="18" customHeight="1" x14ac:dyDescent="0.25">
      <c r="A1090" s="40" t="str">
        <f>IF(Agent06_Loans!B102="","",Agent06_Loans!A102)</f>
        <v/>
      </c>
      <c r="B1090" s="40" t="str">
        <f>IF(Agent06_Loans!B102="","",Agent06_Loans!B102)</f>
        <v/>
      </c>
      <c r="C1090" s="40" t="str">
        <f>IF(Agent06_Loans!B102="","",Agent06_Loans!C102)</f>
        <v/>
      </c>
      <c r="D1090" s="41" t="str">
        <f>IF(Agent06_Loans!B102="","",Agent06_Loans!D102)</f>
        <v/>
      </c>
      <c r="E1090" s="43" t="str">
        <f>IF(Agent06_Loans!B102="","",Agent06_Loans!E102)</f>
        <v/>
      </c>
      <c r="F1090" s="40" t="str">
        <f>IF(Agent06_Loans!B102="","",Agent06_Loans!F102)</f>
        <v/>
      </c>
      <c r="G1090" s="40" t="str">
        <f>IF(Agent06_Loans!B102="","",Agent06_Loans!G102)</f>
        <v/>
      </c>
      <c r="H1090" s="40" t="str">
        <f>IF(Agent06_Loans!B102="","",Agent06_Loans!H102)</f>
        <v/>
      </c>
      <c r="I1090" s="43" t="str">
        <f>IF(Agent06_Loans!B102="","",Agent06_Loans!I102)</f>
        <v/>
      </c>
      <c r="J1090" s="43" t="str">
        <f>IF(Agent06_Loans!B102="","",Agent06_Loans!J102)</f>
        <v/>
      </c>
      <c r="K1090" s="40" t="str">
        <f>IF(Agent06_Loans!B102="","",Agent06_Loans!K102)</f>
        <v/>
      </c>
      <c r="L1090" s="40" t="str">
        <f>IF(Agent06_Loans!B102="","",Agent06_Loans!L102)</f>
        <v/>
      </c>
      <c r="M1090" s="40" t="str">
        <f>IFERROR(IF(Agent06_Loans!B102="","",YEAR(Agent06_Loans!D102)),"")</f>
        <v/>
      </c>
    </row>
    <row r="1091" spans="1:13" ht="18" customHeight="1" x14ac:dyDescent="0.25">
      <c r="A1091" s="40" t="str">
        <f>IF(Agent06_Loans!B103="","",Agent06_Loans!A103)</f>
        <v/>
      </c>
      <c r="B1091" s="40" t="str">
        <f>IF(Agent06_Loans!B103="","",Agent06_Loans!B103)</f>
        <v/>
      </c>
      <c r="C1091" s="40" t="str">
        <f>IF(Agent06_Loans!B103="","",Agent06_Loans!C103)</f>
        <v/>
      </c>
      <c r="D1091" s="41" t="str">
        <f>IF(Agent06_Loans!B103="","",Agent06_Loans!D103)</f>
        <v/>
      </c>
      <c r="E1091" s="43" t="str">
        <f>IF(Agent06_Loans!B103="","",Agent06_Loans!E103)</f>
        <v/>
      </c>
      <c r="F1091" s="40" t="str">
        <f>IF(Agent06_Loans!B103="","",Agent06_Loans!F103)</f>
        <v/>
      </c>
      <c r="G1091" s="40" t="str">
        <f>IF(Agent06_Loans!B103="","",Agent06_Loans!G103)</f>
        <v/>
      </c>
      <c r="H1091" s="40" t="str">
        <f>IF(Agent06_Loans!B103="","",Agent06_Loans!H103)</f>
        <v/>
      </c>
      <c r="I1091" s="43" t="str">
        <f>IF(Agent06_Loans!B103="","",Agent06_Loans!I103)</f>
        <v/>
      </c>
      <c r="J1091" s="43" t="str">
        <f>IF(Agent06_Loans!B103="","",Agent06_Loans!J103)</f>
        <v/>
      </c>
      <c r="K1091" s="40" t="str">
        <f>IF(Agent06_Loans!B103="","",Agent06_Loans!K103)</f>
        <v/>
      </c>
      <c r="L1091" s="40" t="str">
        <f>IF(Agent06_Loans!B103="","",Agent06_Loans!L103)</f>
        <v/>
      </c>
      <c r="M1091" s="40" t="str">
        <f>IFERROR(IF(Agent06_Loans!B103="","",YEAR(Agent06_Loans!D103)),"")</f>
        <v/>
      </c>
    </row>
    <row r="1092" spans="1:13" ht="18" customHeight="1" x14ac:dyDescent="0.25">
      <c r="A1092" s="40" t="str">
        <f>IF(Agent06_Loans!B104="","",Agent06_Loans!A104)</f>
        <v/>
      </c>
      <c r="B1092" s="40" t="str">
        <f>IF(Agent06_Loans!B104="","",Agent06_Loans!B104)</f>
        <v/>
      </c>
      <c r="C1092" s="40" t="str">
        <f>IF(Agent06_Loans!B104="","",Agent06_Loans!C104)</f>
        <v/>
      </c>
      <c r="D1092" s="41" t="str">
        <f>IF(Agent06_Loans!B104="","",Agent06_Loans!D104)</f>
        <v/>
      </c>
      <c r="E1092" s="43" t="str">
        <f>IF(Agent06_Loans!B104="","",Agent06_Loans!E104)</f>
        <v/>
      </c>
      <c r="F1092" s="40" t="str">
        <f>IF(Agent06_Loans!B104="","",Agent06_Loans!F104)</f>
        <v/>
      </c>
      <c r="G1092" s="40" t="str">
        <f>IF(Agent06_Loans!B104="","",Agent06_Loans!G104)</f>
        <v/>
      </c>
      <c r="H1092" s="40" t="str">
        <f>IF(Agent06_Loans!B104="","",Agent06_Loans!H104)</f>
        <v/>
      </c>
      <c r="I1092" s="43" t="str">
        <f>IF(Agent06_Loans!B104="","",Agent06_Loans!I104)</f>
        <v/>
      </c>
      <c r="J1092" s="43" t="str">
        <f>IF(Agent06_Loans!B104="","",Agent06_Loans!J104)</f>
        <v/>
      </c>
      <c r="K1092" s="40" t="str">
        <f>IF(Agent06_Loans!B104="","",Agent06_Loans!K104)</f>
        <v/>
      </c>
      <c r="L1092" s="40" t="str">
        <f>IF(Agent06_Loans!B104="","",Agent06_Loans!L104)</f>
        <v/>
      </c>
      <c r="M1092" s="40" t="str">
        <f>IFERROR(IF(Agent06_Loans!B104="","",YEAR(Agent06_Loans!D104)),"")</f>
        <v/>
      </c>
    </row>
    <row r="1093" spans="1:13" ht="18" customHeight="1" x14ac:dyDescent="0.25">
      <c r="A1093" s="40" t="str">
        <f>IF(Agent06_Loans!B105="","",Agent06_Loans!A105)</f>
        <v/>
      </c>
      <c r="B1093" s="40" t="str">
        <f>IF(Agent06_Loans!B105="","",Agent06_Loans!B105)</f>
        <v/>
      </c>
      <c r="C1093" s="40" t="str">
        <f>IF(Agent06_Loans!B105="","",Agent06_Loans!C105)</f>
        <v/>
      </c>
      <c r="D1093" s="41" t="str">
        <f>IF(Agent06_Loans!B105="","",Agent06_Loans!D105)</f>
        <v/>
      </c>
      <c r="E1093" s="43" t="str">
        <f>IF(Agent06_Loans!B105="","",Agent06_Loans!E105)</f>
        <v/>
      </c>
      <c r="F1093" s="40" t="str">
        <f>IF(Agent06_Loans!B105="","",Agent06_Loans!F105)</f>
        <v/>
      </c>
      <c r="G1093" s="40" t="str">
        <f>IF(Agent06_Loans!B105="","",Agent06_Loans!G105)</f>
        <v/>
      </c>
      <c r="H1093" s="40" t="str">
        <f>IF(Agent06_Loans!B105="","",Agent06_Loans!H105)</f>
        <v/>
      </c>
      <c r="I1093" s="43" t="str">
        <f>IF(Agent06_Loans!B105="","",Agent06_Loans!I105)</f>
        <v/>
      </c>
      <c r="J1093" s="43" t="str">
        <f>IF(Agent06_Loans!B105="","",Agent06_Loans!J105)</f>
        <v/>
      </c>
      <c r="K1093" s="40" t="str">
        <f>IF(Agent06_Loans!B105="","",Agent06_Loans!K105)</f>
        <v/>
      </c>
      <c r="L1093" s="40" t="str">
        <f>IF(Agent06_Loans!B105="","",Agent06_Loans!L105)</f>
        <v/>
      </c>
      <c r="M1093" s="40" t="str">
        <f>IFERROR(IF(Agent06_Loans!B105="","",YEAR(Agent06_Loans!D105)),"")</f>
        <v/>
      </c>
    </row>
    <row r="1094" spans="1:13" ht="18" customHeight="1" x14ac:dyDescent="0.25">
      <c r="A1094" s="40" t="str">
        <f>IF(Agent06_Loans!B106="","",Agent06_Loans!A106)</f>
        <v/>
      </c>
      <c r="B1094" s="40" t="str">
        <f>IF(Agent06_Loans!B106="","",Agent06_Loans!B106)</f>
        <v/>
      </c>
      <c r="C1094" s="40" t="str">
        <f>IF(Agent06_Loans!B106="","",Agent06_Loans!C106)</f>
        <v/>
      </c>
      <c r="D1094" s="41" t="str">
        <f>IF(Agent06_Loans!B106="","",Agent06_Loans!D106)</f>
        <v/>
      </c>
      <c r="E1094" s="43" t="str">
        <f>IF(Agent06_Loans!B106="","",Agent06_Loans!E106)</f>
        <v/>
      </c>
      <c r="F1094" s="40" t="str">
        <f>IF(Agent06_Loans!B106="","",Agent06_Loans!F106)</f>
        <v/>
      </c>
      <c r="G1094" s="40" t="str">
        <f>IF(Agent06_Loans!B106="","",Agent06_Loans!G106)</f>
        <v/>
      </c>
      <c r="H1094" s="40" t="str">
        <f>IF(Agent06_Loans!B106="","",Agent06_Loans!H106)</f>
        <v/>
      </c>
      <c r="I1094" s="43" t="str">
        <f>IF(Agent06_Loans!B106="","",Agent06_Loans!I106)</f>
        <v/>
      </c>
      <c r="J1094" s="43" t="str">
        <f>IF(Agent06_Loans!B106="","",Agent06_Loans!J106)</f>
        <v/>
      </c>
      <c r="K1094" s="40" t="str">
        <f>IF(Agent06_Loans!B106="","",Agent06_Loans!K106)</f>
        <v/>
      </c>
      <c r="L1094" s="40" t="str">
        <f>IF(Agent06_Loans!B106="","",Agent06_Loans!L106)</f>
        <v/>
      </c>
      <c r="M1094" s="40" t="str">
        <f>IFERROR(IF(Agent06_Loans!B106="","",YEAR(Agent06_Loans!D106)),"")</f>
        <v/>
      </c>
    </row>
    <row r="1095" spans="1:13" ht="18" customHeight="1" x14ac:dyDescent="0.25">
      <c r="A1095" s="40" t="str">
        <f>IF(Agent06_Loans!B107="","",Agent06_Loans!A107)</f>
        <v/>
      </c>
      <c r="B1095" s="40" t="str">
        <f>IF(Agent06_Loans!B107="","",Agent06_Loans!B107)</f>
        <v/>
      </c>
      <c r="C1095" s="40" t="str">
        <f>IF(Agent06_Loans!B107="","",Agent06_Loans!C107)</f>
        <v/>
      </c>
      <c r="D1095" s="41" t="str">
        <f>IF(Agent06_Loans!B107="","",Agent06_Loans!D107)</f>
        <v/>
      </c>
      <c r="E1095" s="43" t="str">
        <f>IF(Agent06_Loans!B107="","",Agent06_Loans!E107)</f>
        <v/>
      </c>
      <c r="F1095" s="40" t="str">
        <f>IF(Agent06_Loans!B107="","",Agent06_Loans!F107)</f>
        <v/>
      </c>
      <c r="G1095" s="40" t="str">
        <f>IF(Agent06_Loans!B107="","",Agent06_Loans!G107)</f>
        <v/>
      </c>
      <c r="H1095" s="40" t="str">
        <f>IF(Agent06_Loans!B107="","",Agent06_Loans!H107)</f>
        <v/>
      </c>
      <c r="I1095" s="43" t="str">
        <f>IF(Agent06_Loans!B107="","",Agent06_Loans!I107)</f>
        <v/>
      </c>
      <c r="J1095" s="43" t="str">
        <f>IF(Agent06_Loans!B107="","",Agent06_Loans!J107)</f>
        <v/>
      </c>
      <c r="K1095" s="40" t="str">
        <f>IF(Agent06_Loans!B107="","",Agent06_Loans!K107)</f>
        <v/>
      </c>
      <c r="L1095" s="40" t="str">
        <f>IF(Agent06_Loans!B107="","",Agent06_Loans!L107)</f>
        <v/>
      </c>
      <c r="M1095" s="40" t="str">
        <f>IFERROR(IF(Agent06_Loans!B107="","",YEAR(Agent06_Loans!D107)),"")</f>
        <v/>
      </c>
    </row>
    <row r="1096" spans="1:13" ht="18" customHeight="1" x14ac:dyDescent="0.25">
      <c r="A1096" s="40" t="str">
        <f>IF(Agent06_Loans!B108="","",Agent06_Loans!A108)</f>
        <v/>
      </c>
      <c r="B1096" s="40" t="str">
        <f>IF(Agent06_Loans!B108="","",Agent06_Loans!B108)</f>
        <v/>
      </c>
      <c r="C1096" s="40" t="str">
        <f>IF(Agent06_Loans!B108="","",Agent06_Loans!C108)</f>
        <v/>
      </c>
      <c r="D1096" s="41" t="str">
        <f>IF(Agent06_Loans!B108="","",Agent06_Loans!D108)</f>
        <v/>
      </c>
      <c r="E1096" s="43" t="str">
        <f>IF(Agent06_Loans!B108="","",Agent06_Loans!E108)</f>
        <v/>
      </c>
      <c r="F1096" s="40" t="str">
        <f>IF(Agent06_Loans!B108="","",Agent06_Loans!F108)</f>
        <v/>
      </c>
      <c r="G1096" s="40" t="str">
        <f>IF(Agent06_Loans!B108="","",Agent06_Loans!G108)</f>
        <v/>
      </c>
      <c r="H1096" s="40" t="str">
        <f>IF(Agent06_Loans!B108="","",Agent06_Loans!H108)</f>
        <v/>
      </c>
      <c r="I1096" s="43" t="str">
        <f>IF(Agent06_Loans!B108="","",Agent06_Loans!I108)</f>
        <v/>
      </c>
      <c r="J1096" s="43" t="str">
        <f>IF(Agent06_Loans!B108="","",Agent06_Loans!J108)</f>
        <v/>
      </c>
      <c r="K1096" s="40" t="str">
        <f>IF(Agent06_Loans!B108="","",Agent06_Loans!K108)</f>
        <v/>
      </c>
      <c r="L1096" s="40" t="str">
        <f>IF(Agent06_Loans!B108="","",Agent06_Loans!L108)</f>
        <v/>
      </c>
      <c r="M1096" s="40" t="str">
        <f>IFERROR(IF(Agent06_Loans!B108="","",YEAR(Agent06_Loans!D108)),"")</f>
        <v/>
      </c>
    </row>
    <row r="1097" spans="1:13" ht="18" customHeight="1" x14ac:dyDescent="0.25">
      <c r="A1097" s="40" t="str">
        <f>IF(Agent06_Loans!B109="","",Agent06_Loans!A109)</f>
        <v/>
      </c>
      <c r="B1097" s="40" t="str">
        <f>IF(Agent06_Loans!B109="","",Agent06_Loans!B109)</f>
        <v/>
      </c>
      <c r="C1097" s="40" t="str">
        <f>IF(Agent06_Loans!B109="","",Agent06_Loans!C109)</f>
        <v/>
      </c>
      <c r="D1097" s="41" t="str">
        <f>IF(Agent06_Loans!B109="","",Agent06_Loans!D109)</f>
        <v/>
      </c>
      <c r="E1097" s="43" t="str">
        <f>IF(Agent06_Loans!B109="","",Agent06_Loans!E109)</f>
        <v/>
      </c>
      <c r="F1097" s="40" t="str">
        <f>IF(Agent06_Loans!B109="","",Agent06_Loans!F109)</f>
        <v/>
      </c>
      <c r="G1097" s="40" t="str">
        <f>IF(Agent06_Loans!B109="","",Agent06_Loans!G109)</f>
        <v/>
      </c>
      <c r="H1097" s="40" t="str">
        <f>IF(Agent06_Loans!B109="","",Agent06_Loans!H109)</f>
        <v/>
      </c>
      <c r="I1097" s="43" t="str">
        <f>IF(Agent06_Loans!B109="","",Agent06_Loans!I109)</f>
        <v/>
      </c>
      <c r="J1097" s="43" t="str">
        <f>IF(Agent06_Loans!B109="","",Agent06_Loans!J109)</f>
        <v/>
      </c>
      <c r="K1097" s="40" t="str">
        <f>IF(Agent06_Loans!B109="","",Agent06_Loans!K109)</f>
        <v/>
      </c>
      <c r="L1097" s="40" t="str">
        <f>IF(Agent06_Loans!B109="","",Agent06_Loans!L109)</f>
        <v/>
      </c>
      <c r="M1097" s="40" t="str">
        <f>IFERROR(IF(Agent06_Loans!B109="","",YEAR(Agent06_Loans!D109)),"")</f>
        <v/>
      </c>
    </row>
    <row r="1098" spans="1:13" ht="18" customHeight="1" x14ac:dyDescent="0.25">
      <c r="A1098" s="40" t="str">
        <f>IF(Agent06_Loans!B110="","",Agent06_Loans!A110)</f>
        <v/>
      </c>
      <c r="B1098" s="40" t="str">
        <f>IF(Agent06_Loans!B110="","",Agent06_Loans!B110)</f>
        <v/>
      </c>
      <c r="C1098" s="40" t="str">
        <f>IF(Agent06_Loans!B110="","",Agent06_Loans!C110)</f>
        <v/>
      </c>
      <c r="D1098" s="41" t="str">
        <f>IF(Agent06_Loans!B110="","",Agent06_Loans!D110)</f>
        <v/>
      </c>
      <c r="E1098" s="43" t="str">
        <f>IF(Agent06_Loans!B110="","",Agent06_Loans!E110)</f>
        <v/>
      </c>
      <c r="F1098" s="40" t="str">
        <f>IF(Agent06_Loans!B110="","",Agent06_Loans!F110)</f>
        <v/>
      </c>
      <c r="G1098" s="40" t="str">
        <f>IF(Agent06_Loans!B110="","",Agent06_Loans!G110)</f>
        <v/>
      </c>
      <c r="H1098" s="40" t="str">
        <f>IF(Agent06_Loans!B110="","",Agent06_Loans!H110)</f>
        <v/>
      </c>
      <c r="I1098" s="43" t="str">
        <f>IF(Agent06_Loans!B110="","",Agent06_Loans!I110)</f>
        <v/>
      </c>
      <c r="J1098" s="43" t="str">
        <f>IF(Agent06_Loans!B110="","",Agent06_Loans!J110)</f>
        <v/>
      </c>
      <c r="K1098" s="40" t="str">
        <f>IF(Agent06_Loans!B110="","",Agent06_Loans!K110)</f>
        <v/>
      </c>
      <c r="L1098" s="40" t="str">
        <f>IF(Agent06_Loans!B110="","",Agent06_Loans!L110)</f>
        <v/>
      </c>
      <c r="M1098" s="40" t="str">
        <f>IFERROR(IF(Agent06_Loans!B110="","",YEAR(Agent06_Loans!D110)),"")</f>
        <v/>
      </c>
    </row>
    <row r="1099" spans="1:13" ht="18" customHeight="1" x14ac:dyDescent="0.25">
      <c r="A1099" s="40" t="str">
        <f>IF(Agent06_Loans!B111="","",Agent06_Loans!A111)</f>
        <v/>
      </c>
      <c r="B1099" s="40" t="str">
        <f>IF(Agent06_Loans!B111="","",Agent06_Loans!B111)</f>
        <v/>
      </c>
      <c r="C1099" s="40" t="str">
        <f>IF(Agent06_Loans!B111="","",Agent06_Loans!C111)</f>
        <v/>
      </c>
      <c r="D1099" s="41" t="str">
        <f>IF(Agent06_Loans!B111="","",Agent06_Loans!D111)</f>
        <v/>
      </c>
      <c r="E1099" s="43" t="str">
        <f>IF(Agent06_Loans!B111="","",Agent06_Loans!E111)</f>
        <v/>
      </c>
      <c r="F1099" s="40" t="str">
        <f>IF(Agent06_Loans!B111="","",Agent06_Loans!F111)</f>
        <v/>
      </c>
      <c r="G1099" s="40" t="str">
        <f>IF(Agent06_Loans!B111="","",Agent06_Loans!G111)</f>
        <v/>
      </c>
      <c r="H1099" s="40" t="str">
        <f>IF(Agent06_Loans!B111="","",Agent06_Loans!H111)</f>
        <v/>
      </c>
      <c r="I1099" s="43" t="str">
        <f>IF(Agent06_Loans!B111="","",Agent06_Loans!I111)</f>
        <v/>
      </c>
      <c r="J1099" s="43" t="str">
        <f>IF(Agent06_Loans!B111="","",Agent06_Loans!J111)</f>
        <v/>
      </c>
      <c r="K1099" s="40" t="str">
        <f>IF(Agent06_Loans!B111="","",Agent06_Loans!K111)</f>
        <v/>
      </c>
      <c r="L1099" s="40" t="str">
        <f>IF(Agent06_Loans!B111="","",Agent06_Loans!L111)</f>
        <v/>
      </c>
      <c r="M1099" s="40" t="str">
        <f>IFERROR(IF(Agent06_Loans!B111="","",YEAR(Agent06_Loans!D111)),"")</f>
        <v/>
      </c>
    </row>
    <row r="1100" spans="1:13" ht="18" customHeight="1" x14ac:dyDescent="0.25">
      <c r="A1100" s="40" t="str">
        <f>IF(Agent06_Loans!B112="","",Agent06_Loans!A112)</f>
        <v/>
      </c>
      <c r="B1100" s="40" t="str">
        <f>IF(Agent06_Loans!B112="","",Agent06_Loans!B112)</f>
        <v/>
      </c>
      <c r="C1100" s="40" t="str">
        <f>IF(Agent06_Loans!B112="","",Agent06_Loans!C112)</f>
        <v/>
      </c>
      <c r="D1100" s="41" t="str">
        <f>IF(Agent06_Loans!B112="","",Agent06_Loans!D112)</f>
        <v/>
      </c>
      <c r="E1100" s="43" t="str">
        <f>IF(Agent06_Loans!B112="","",Agent06_Loans!E112)</f>
        <v/>
      </c>
      <c r="F1100" s="40" t="str">
        <f>IF(Agent06_Loans!B112="","",Agent06_Loans!F112)</f>
        <v/>
      </c>
      <c r="G1100" s="40" t="str">
        <f>IF(Agent06_Loans!B112="","",Agent06_Loans!G112)</f>
        <v/>
      </c>
      <c r="H1100" s="40" t="str">
        <f>IF(Agent06_Loans!B112="","",Agent06_Loans!H112)</f>
        <v/>
      </c>
      <c r="I1100" s="43" t="str">
        <f>IF(Agent06_Loans!B112="","",Agent06_Loans!I112)</f>
        <v/>
      </c>
      <c r="J1100" s="43" t="str">
        <f>IF(Agent06_Loans!B112="","",Agent06_Loans!J112)</f>
        <v/>
      </c>
      <c r="K1100" s="40" t="str">
        <f>IF(Agent06_Loans!B112="","",Agent06_Loans!K112)</f>
        <v/>
      </c>
      <c r="L1100" s="40" t="str">
        <f>IF(Agent06_Loans!B112="","",Agent06_Loans!L112)</f>
        <v/>
      </c>
      <c r="M1100" s="40" t="str">
        <f>IFERROR(IF(Agent06_Loans!B112="","",YEAR(Agent06_Loans!D112)),"")</f>
        <v/>
      </c>
    </row>
    <row r="1101" spans="1:13" ht="18" customHeight="1" x14ac:dyDescent="0.25">
      <c r="A1101" s="40" t="str">
        <f>IF(Agent06_Loans!B113="","",Agent06_Loans!A113)</f>
        <v/>
      </c>
      <c r="B1101" s="40" t="str">
        <f>IF(Agent06_Loans!B113="","",Agent06_Loans!B113)</f>
        <v/>
      </c>
      <c r="C1101" s="40" t="str">
        <f>IF(Agent06_Loans!B113="","",Agent06_Loans!C113)</f>
        <v/>
      </c>
      <c r="D1101" s="41" t="str">
        <f>IF(Agent06_Loans!B113="","",Agent06_Loans!D113)</f>
        <v/>
      </c>
      <c r="E1101" s="43" t="str">
        <f>IF(Agent06_Loans!B113="","",Agent06_Loans!E113)</f>
        <v/>
      </c>
      <c r="F1101" s="40" t="str">
        <f>IF(Agent06_Loans!B113="","",Agent06_Loans!F113)</f>
        <v/>
      </c>
      <c r="G1101" s="40" t="str">
        <f>IF(Agent06_Loans!B113="","",Agent06_Loans!G113)</f>
        <v/>
      </c>
      <c r="H1101" s="40" t="str">
        <f>IF(Agent06_Loans!B113="","",Agent06_Loans!H113)</f>
        <v/>
      </c>
      <c r="I1101" s="43" t="str">
        <f>IF(Agent06_Loans!B113="","",Agent06_Loans!I113)</f>
        <v/>
      </c>
      <c r="J1101" s="43" t="str">
        <f>IF(Agent06_Loans!B113="","",Agent06_Loans!J113)</f>
        <v/>
      </c>
      <c r="K1101" s="40" t="str">
        <f>IF(Agent06_Loans!B113="","",Agent06_Loans!K113)</f>
        <v/>
      </c>
      <c r="L1101" s="40" t="str">
        <f>IF(Agent06_Loans!B113="","",Agent06_Loans!L113)</f>
        <v/>
      </c>
      <c r="M1101" s="40" t="str">
        <f>IFERROR(IF(Agent06_Loans!B113="","",YEAR(Agent06_Loans!D113)),"")</f>
        <v/>
      </c>
    </row>
    <row r="1102" spans="1:13" ht="18" customHeight="1" x14ac:dyDescent="0.25">
      <c r="A1102" s="40" t="str">
        <f>IF(Agent06_Loans!B114="","",Agent06_Loans!A114)</f>
        <v/>
      </c>
      <c r="B1102" s="40" t="str">
        <f>IF(Agent06_Loans!B114="","",Agent06_Loans!B114)</f>
        <v/>
      </c>
      <c r="C1102" s="40" t="str">
        <f>IF(Agent06_Loans!B114="","",Agent06_Loans!C114)</f>
        <v/>
      </c>
      <c r="D1102" s="41" t="str">
        <f>IF(Agent06_Loans!B114="","",Agent06_Loans!D114)</f>
        <v/>
      </c>
      <c r="E1102" s="43" t="str">
        <f>IF(Agent06_Loans!B114="","",Agent06_Loans!E114)</f>
        <v/>
      </c>
      <c r="F1102" s="40" t="str">
        <f>IF(Agent06_Loans!B114="","",Agent06_Loans!F114)</f>
        <v/>
      </c>
      <c r="G1102" s="40" t="str">
        <f>IF(Agent06_Loans!B114="","",Agent06_Loans!G114)</f>
        <v/>
      </c>
      <c r="H1102" s="40" t="str">
        <f>IF(Agent06_Loans!B114="","",Agent06_Loans!H114)</f>
        <v/>
      </c>
      <c r="I1102" s="43" t="str">
        <f>IF(Agent06_Loans!B114="","",Agent06_Loans!I114)</f>
        <v/>
      </c>
      <c r="J1102" s="43" t="str">
        <f>IF(Agent06_Loans!B114="","",Agent06_Loans!J114)</f>
        <v/>
      </c>
      <c r="K1102" s="40" t="str">
        <f>IF(Agent06_Loans!B114="","",Agent06_Loans!K114)</f>
        <v/>
      </c>
      <c r="L1102" s="40" t="str">
        <f>IF(Agent06_Loans!B114="","",Agent06_Loans!L114)</f>
        <v/>
      </c>
      <c r="M1102" s="40" t="str">
        <f>IFERROR(IF(Agent06_Loans!B114="","",YEAR(Agent06_Loans!D114)),"")</f>
        <v/>
      </c>
    </row>
    <row r="1103" spans="1:13" ht="18" customHeight="1" x14ac:dyDescent="0.25">
      <c r="A1103" s="40" t="str">
        <f>IF(Agent06_Loans!B115="","",Agent06_Loans!A115)</f>
        <v/>
      </c>
      <c r="B1103" s="40" t="str">
        <f>IF(Agent06_Loans!B115="","",Agent06_Loans!B115)</f>
        <v/>
      </c>
      <c r="C1103" s="40" t="str">
        <f>IF(Agent06_Loans!B115="","",Agent06_Loans!C115)</f>
        <v/>
      </c>
      <c r="D1103" s="41" t="str">
        <f>IF(Agent06_Loans!B115="","",Agent06_Loans!D115)</f>
        <v/>
      </c>
      <c r="E1103" s="43" t="str">
        <f>IF(Agent06_Loans!B115="","",Agent06_Loans!E115)</f>
        <v/>
      </c>
      <c r="F1103" s="40" t="str">
        <f>IF(Agent06_Loans!B115="","",Agent06_Loans!F115)</f>
        <v/>
      </c>
      <c r="G1103" s="40" t="str">
        <f>IF(Agent06_Loans!B115="","",Agent06_Loans!G115)</f>
        <v/>
      </c>
      <c r="H1103" s="40" t="str">
        <f>IF(Agent06_Loans!B115="","",Agent06_Loans!H115)</f>
        <v/>
      </c>
      <c r="I1103" s="43" t="str">
        <f>IF(Agent06_Loans!B115="","",Agent06_Loans!I115)</f>
        <v/>
      </c>
      <c r="J1103" s="43" t="str">
        <f>IF(Agent06_Loans!B115="","",Agent06_Loans!J115)</f>
        <v/>
      </c>
      <c r="K1103" s="40" t="str">
        <f>IF(Agent06_Loans!B115="","",Agent06_Loans!K115)</f>
        <v/>
      </c>
      <c r="L1103" s="40" t="str">
        <f>IF(Agent06_Loans!B115="","",Agent06_Loans!L115)</f>
        <v/>
      </c>
      <c r="M1103" s="40" t="str">
        <f>IFERROR(IF(Agent06_Loans!B115="","",YEAR(Agent06_Loans!D115)),"")</f>
        <v/>
      </c>
    </row>
    <row r="1104" spans="1:13" ht="18" customHeight="1" x14ac:dyDescent="0.25">
      <c r="A1104" s="40" t="str">
        <f>IF(Agent06_Loans!B116="","",Agent06_Loans!A116)</f>
        <v/>
      </c>
      <c r="B1104" s="40" t="str">
        <f>IF(Agent06_Loans!B116="","",Agent06_Loans!B116)</f>
        <v/>
      </c>
      <c r="C1104" s="40" t="str">
        <f>IF(Agent06_Loans!B116="","",Agent06_Loans!C116)</f>
        <v/>
      </c>
      <c r="D1104" s="41" t="str">
        <f>IF(Agent06_Loans!B116="","",Agent06_Loans!D116)</f>
        <v/>
      </c>
      <c r="E1104" s="43" t="str">
        <f>IF(Agent06_Loans!B116="","",Agent06_Loans!E116)</f>
        <v/>
      </c>
      <c r="F1104" s="40" t="str">
        <f>IF(Agent06_Loans!B116="","",Agent06_Loans!F116)</f>
        <v/>
      </c>
      <c r="G1104" s="40" t="str">
        <f>IF(Agent06_Loans!B116="","",Agent06_Loans!G116)</f>
        <v/>
      </c>
      <c r="H1104" s="40" t="str">
        <f>IF(Agent06_Loans!B116="","",Agent06_Loans!H116)</f>
        <v/>
      </c>
      <c r="I1104" s="43" t="str">
        <f>IF(Agent06_Loans!B116="","",Agent06_Loans!I116)</f>
        <v/>
      </c>
      <c r="J1104" s="43" t="str">
        <f>IF(Agent06_Loans!B116="","",Agent06_Loans!J116)</f>
        <v/>
      </c>
      <c r="K1104" s="40" t="str">
        <f>IF(Agent06_Loans!B116="","",Agent06_Loans!K116)</f>
        <v/>
      </c>
      <c r="L1104" s="40" t="str">
        <f>IF(Agent06_Loans!B116="","",Agent06_Loans!L116)</f>
        <v/>
      </c>
      <c r="M1104" s="40" t="str">
        <f>IFERROR(IF(Agent06_Loans!B116="","",YEAR(Agent06_Loans!D116)),"")</f>
        <v/>
      </c>
    </row>
    <row r="1105" spans="1:13" ht="18" customHeight="1" x14ac:dyDescent="0.25">
      <c r="A1105" s="40" t="str">
        <f>IF(Agent06_Loans!B117="","",Agent06_Loans!A117)</f>
        <v/>
      </c>
      <c r="B1105" s="40" t="str">
        <f>IF(Agent06_Loans!B117="","",Agent06_Loans!B117)</f>
        <v/>
      </c>
      <c r="C1105" s="40" t="str">
        <f>IF(Agent06_Loans!B117="","",Agent06_Loans!C117)</f>
        <v/>
      </c>
      <c r="D1105" s="41" t="str">
        <f>IF(Agent06_Loans!B117="","",Agent06_Loans!D117)</f>
        <v/>
      </c>
      <c r="E1105" s="43" t="str">
        <f>IF(Agent06_Loans!B117="","",Agent06_Loans!E117)</f>
        <v/>
      </c>
      <c r="F1105" s="40" t="str">
        <f>IF(Agent06_Loans!B117="","",Agent06_Loans!F117)</f>
        <v/>
      </c>
      <c r="G1105" s="40" t="str">
        <f>IF(Agent06_Loans!B117="","",Agent06_Loans!G117)</f>
        <v/>
      </c>
      <c r="H1105" s="40" t="str">
        <f>IF(Agent06_Loans!B117="","",Agent06_Loans!H117)</f>
        <v/>
      </c>
      <c r="I1105" s="43" t="str">
        <f>IF(Agent06_Loans!B117="","",Agent06_Loans!I117)</f>
        <v/>
      </c>
      <c r="J1105" s="43" t="str">
        <f>IF(Agent06_Loans!B117="","",Agent06_Loans!J117)</f>
        <v/>
      </c>
      <c r="K1105" s="40" t="str">
        <f>IF(Agent06_Loans!B117="","",Agent06_Loans!K117)</f>
        <v/>
      </c>
      <c r="L1105" s="40" t="str">
        <f>IF(Agent06_Loans!B117="","",Agent06_Loans!L117)</f>
        <v/>
      </c>
      <c r="M1105" s="40" t="str">
        <f>IFERROR(IF(Agent06_Loans!B117="","",YEAR(Agent06_Loans!D117)),"")</f>
        <v/>
      </c>
    </row>
    <row r="1106" spans="1:13" ht="18" customHeight="1" x14ac:dyDescent="0.25">
      <c r="A1106" s="40" t="str">
        <f>IF(Agent06_Loans!B118="","",Agent06_Loans!A118)</f>
        <v/>
      </c>
      <c r="B1106" s="40" t="str">
        <f>IF(Agent06_Loans!B118="","",Agent06_Loans!B118)</f>
        <v/>
      </c>
      <c r="C1106" s="40" t="str">
        <f>IF(Agent06_Loans!B118="","",Agent06_Loans!C118)</f>
        <v/>
      </c>
      <c r="D1106" s="41" t="str">
        <f>IF(Agent06_Loans!B118="","",Agent06_Loans!D118)</f>
        <v/>
      </c>
      <c r="E1106" s="43" t="str">
        <f>IF(Agent06_Loans!B118="","",Agent06_Loans!E118)</f>
        <v/>
      </c>
      <c r="F1106" s="40" t="str">
        <f>IF(Agent06_Loans!B118="","",Agent06_Loans!F118)</f>
        <v/>
      </c>
      <c r="G1106" s="40" t="str">
        <f>IF(Agent06_Loans!B118="","",Agent06_Loans!G118)</f>
        <v/>
      </c>
      <c r="H1106" s="40" t="str">
        <f>IF(Agent06_Loans!B118="","",Agent06_Loans!H118)</f>
        <v/>
      </c>
      <c r="I1106" s="43" t="str">
        <f>IF(Agent06_Loans!B118="","",Agent06_Loans!I118)</f>
        <v/>
      </c>
      <c r="J1106" s="43" t="str">
        <f>IF(Agent06_Loans!B118="","",Agent06_Loans!J118)</f>
        <v/>
      </c>
      <c r="K1106" s="40" t="str">
        <f>IF(Agent06_Loans!B118="","",Agent06_Loans!K118)</f>
        <v/>
      </c>
      <c r="L1106" s="40" t="str">
        <f>IF(Agent06_Loans!B118="","",Agent06_Loans!L118)</f>
        <v/>
      </c>
      <c r="M1106" s="40" t="str">
        <f>IFERROR(IF(Agent06_Loans!B118="","",YEAR(Agent06_Loans!D118)),"")</f>
        <v/>
      </c>
    </row>
    <row r="1107" spans="1:13" ht="18" customHeight="1" x14ac:dyDescent="0.25">
      <c r="A1107" s="40" t="str">
        <f>IF(Agent06_Loans!B119="","",Agent06_Loans!A119)</f>
        <v/>
      </c>
      <c r="B1107" s="40" t="str">
        <f>IF(Agent06_Loans!B119="","",Agent06_Loans!B119)</f>
        <v/>
      </c>
      <c r="C1107" s="40" t="str">
        <f>IF(Agent06_Loans!B119="","",Agent06_Loans!C119)</f>
        <v/>
      </c>
      <c r="D1107" s="41" t="str">
        <f>IF(Agent06_Loans!B119="","",Agent06_Loans!D119)</f>
        <v/>
      </c>
      <c r="E1107" s="43" t="str">
        <f>IF(Agent06_Loans!B119="","",Agent06_Loans!E119)</f>
        <v/>
      </c>
      <c r="F1107" s="40" t="str">
        <f>IF(Agent06_Loans!B119="","",Agent06_Loans!F119)</f>
        <v/>
      </c>
      <c r="G1107" s="40" t="str">
        <f>IF(Agent06_Loans!B119="","",Agent06_Loans!G119)</f>
        <v/>
      </c>
      <c r="H1107" s="40" t="str">
        <f>IF(Agent06_Loans!B119="","",Agent06_Loans!H119)</f>
        <v/>
      </c>
      <c r="I1107" s="43" t="str">
        <f>IF(Agent06_Loans!B119="","",Agent06_Loans!I119)</f>
        <v/>
      </c>
      <c r="J1107" s="43" t="str">
        <f>IF(Agent06_Loans!B119="","",Agent06_Loans!J119)</f>
        <v/>
      </c>
      <c r="K1107" s="40" t="str">
        <f>IF(Agent06_Loans!B119="","",Agent06_Loans!K119)</f>
        <v/>
      </c>
      <c r="L1107" s="40" t="str">
        <f>IF(Agent06_Loans!B119="","",Agent06_Loans!L119)</f>
        <v/>
      </c>
      <c r="M1107" s="40" t="str">
        <f>IFERROR(IF(Agent06_Loans!B119="","",YEAR(Agent06_Loans!D119)),"")</f>
        <v/>
      </c>
    </row>
    <row r="1108" spans="1:13" ht="18" customHeight="1" x14ac:dyDescent="0.25">
      <c r="A1108" s="40" t="str">
        <f>IF(Agent06_Loans!B120="","",Agent06_Loans!A120)</f>
        <v/>
      </c>
      <c r="B1108" s="40" t="str">
        <f>IF(Agent06_Loans!B120="","",Agent06_Loans!B120)</f>
        <v/>
      </c>
      <c r="C1108" s="40" t="str">
        <f>IF(Agent06_Loans!B120="","",Agent06_Loans!C120)</f>
        <v/>
      </c>
      <c r="D1108" s="41" t="str">
        <f>IF(Agent06_Loans!B120="","",Agent06_Loans!D120)</f>
        <v/>
      </c>
      <c r="E1108" s="43" t="str">
        <f>IF(Agent06_Loans!B120="","",Agent06_Loans!E120)</f>
        <v/>
      </c>
      <c r="F1108" s="40" t="str">
        <f>IF(Agent06_Loans!B120="","",Agent06_Loans!F120)</f>
        <v/>
      </c>
      <c r="G1108" s="40" t="str">
        <f>IF(Agent06_Loans!B120="","",Agent06_Loans!G120)</f>
        <v/>
      </c>
      <c r="H1108" s="40" t="str">
        <f>IF(Agent06_Loans!B120="","",Agent06_Loans!H120)</f>
        <v/>
      </c>
      <c r="I1108" s="43" t="str">
        <f>IF(Agent06_Loans!B120="","",Agent06_Loans!I120)</f>
        <v/>
      </c>
      <c r="J1108" s="43" t="str">
        <f>IF(Agent06_Loans!B120="","",Agent06_Loans!J120)</f>
        <v/>
      </c>
      <c r="K1108" s="40" t="str">
        <f>IF(Agent06_Loans!B120="","",Agent06_Loans!K120)</f>
        <v/>
      </c>
      <c r="L1108" s="40" t="str">
        <f>IF(Agent06_Loans!B120="","",Agent06_Loans!L120)</f>
        <v/>
      </c>
      <c r="M1108" s="40" t="str">
        <f>IFERROR(IF(Agent06_Loans!B120="","",YEAR(Agent06_Loans!D120)),"")</f>
        <v/>
      </c>
    </row>
    <row r="1109" spans="1:13" ht="18" customHeight="1" x14ac:dyDescent="0.25">
      <c r="A1109" s="40" t="str">
        <f>IF(Agent06_Loans!B121="","",Agent06_Loans!A121)</f>
        <v/>
      </c>
      <c r="B1109" s="40" t="str">
        <f>IF(Agent06_Loans!B121="","",Agent06_Loans!B121)</f>
        <v/>
      </c>
      <c r="C1109" s="40" t="str">
        <f>IF(Agent06_Loans!B121="","",Agent06_Loans!C121)</f>
        <v/>
      </c>
      <c r="D1109" s="41" t="str">
        <f>IF(Agent06_Loans!B121="","",Agent06_Loans!D121)</f>
        <v/>
      </c>
      <c r="E1109" s="43" t="str">
        <f>IF(Agent06_Loans!B121="","",Agent06_Loans!E121)</f>
        <v/>
      </c>
      <c r="F1109" s="40" t="str">
        <f>IF(Agent06_Loans!B121="","",Agent06_Loans!F121)</f>
        <v/>
      </c>
      <c r="G1109" s="40" t="str">
        <f>IF(Agent06_Loans!B121="","",Agent06_Loans!G121)</f>
        <v/>
      </c>
      <c r="H1109" s="40" t="str">
        <f>IF(Agent06_Loans!B121="","",Agent06_Loans!H121)</f>
        <v/>
      </c>
      <c r="I1109" s="43" t="str">
        <f>IF(Agent06_Loans!B121="","",Agent06_Loans!I121)</f>
        <v/>
      </c>
      <c r="J1109" s="43" t="str">
        <f>IF(Agent06_Loans!B121="","",Agent06_Loans!J121)</f>
        <v/>
      </c>
      <c r="K1109" s="40" t="str">
        <f>IF(Agent06_Loans!B121="","",Agent06_Loans!K121)</f>
        <v/>
      </c>
      <c r="L1109" s="40" t="str">
        <f>IF(Agent06_Loans!B121="","",Agent06_Loans!L121)</f>
        <v/>
      </c>
      <c r="M1109" s="40" t="str">
        <f>IFERROR(IF(Agent06_Loans!B121="","",YEAR(Agent06_Loans!D121)),"")</f>
        <v/>
      </c>
    </row>
    <row r="1110" spans="1:13" ht="18" customHeight="1" x14ac:dyDescent="0.25">
      <c r="A1110" s="40" t="str">
        <f>IF(Agent06_Loans!B122="","",Agent06_Loans!A122)</f>
        <v/>
      </c>
      <c r="B1110" s="40" t="str">
        <f>IF(Agent06_Loans!B122="","",Agent06_Loans!B122)</f>
        <v/>
      </c>
      <c r="C1110" s="40" t="str">
        <f>IF(Agent06_Loans!B122="","",Agent06_Loans!C122)</f>
        <v/>
      </c>
      <c r="D1110" s="41" t="str">
        <f>IF(Agent06_Loans!B122="","",Agent06_Loans!D122)</f>
        <v/>
      </c>
      <c r="E1110" s="43" t="str">
        <f>IF(Agent06_Loans!B122="","",Agent06_Loans!E122)</f>
        <v/>
      </c>
      <c r="F1110" s="40" t="str">
        <f>IF(Agent06_Loans!B122="","",Agent06_Loans!F122)</f>
        <v/>
      </c>
      <c r="G1110" s="40" t="str">
        <f>IF(Agent06_Loans!B122="","",Agent06_Loans!G122)</f>
        <v/>
      </c>
      <c r="H1110" s="40" t="str">
        <f>IF(Agent06_Loans!B122="","",Agent06_Loans!H122)</f>
        <v/>
      </c>
      <c r="I1110" s="43" t="str">
        <f>IF(Agent06_Loans!B122="","",Agent06_Loans!I122)</f>
        <v/>
      </c>
      <c r="J1110" s="43" t="str">
        <f>IF(Agent06_Loans!B122="","",Agent06_Loans!J122)</f>
        <v/>
      </c>
      <c r="K1110" s="40" t="str">
        <f>IF(Agent06_Loans!B122="","",Agent06_Loans!K122)</f>
        <v/>
      </c>
      <c r="L1110" s="40" t="str">
        <f>IF(Agent06_Loans!B122="","",Agent06_Loans!L122)</f>
        <v/>
      </c>
      <c r="M1110" s="40" t="str">
        <f>IFERROR(IF(Agent06_Loans!B122="","",YEAR(Agent06_Loans!D122)),"")</f>
        <v/>
      </c>
    </row>
    <row r="1111" spans="1:13" ht="18" customHeight="1" x14ac:dyDescent="0.25">
      <c r="A1111" s="40" t="str">
        <f>IF(Agent06_Loans!B123="","",Agent06_Loans!A123)</f>
        <v/>
      </c>
      <c r="B1111" s="40" t="str">
        <f>IF(Agent06_Loans!B123="","",Agent06_Loans!B123)</f>
        <v/>
      </c>
      <c r="C1111" s="40" t="str">
        <f>IF(Agent06_Loans!B123="","",Agent06_Loans!C123)</f>
        <v/>
      </c>
      <c r="D1111" s="41" t="str">
        <f>IF(Agent06_Loans!B123="","",Agent06_Loans!D123)</f>
        <v/>
      </c>
      <c r="E1111" s="43" t="str">
        <f>IF(Agent06_Loans!B123="","",Agent06_Loans!E123)</f>
        <v/>
      </c>
      <c r="F1111" s="40" t="str">
        <f>IF(Agent06_Loans!B123="","",Agent06_Loans!F123)</f>
        <v/>
      </c>
      <c r="G1111" s="40" t="str">
        <f>IF(Agent06_Loans!B123="","",Agent06_Loans!G123)</f>
        <v/>
      </c>
      <c r="H1111" s="40" t="str">
        <f>IF(Agent06_Loans!B123="","",Agent06_Loans!H123)</f>
        <v/>
      </c>
      <c r="I1111" s="43" t="str">
        <f>IF(Agent06_Loans!B123="","",Agent06_Loans!I123)</f>
        <v/>
      </c>
      <c r="J1111" s="43" t="str">
        <f>IF(Agent06_Loans!B123="","",Agent06_Loans!J123)</f>
        <v/>
      </c>
      <c r="K1111" s="40" t="str">
        <f>IF(Agent06_Loans!B123="","",Agent06_Loans!K123)</f>
        <v/>
      </c>
      <c r="L1111" s="40" t="str">
        <f>IF(Agent06_Loans!B123="","",Agent06_Loans!L123)</f>
        <v/>
      </c>
      <c r="M1111" s="40" t="str">
        <f>IFERROR(IF(Agent06_Loans!B123="","",YEAR(Agent06_Loans!D123)),"")</f>
        <v/>
      </c>
    </row>
    <row r="1112" spans="1:13" ht="18" customHeight="1" x14ac:dyDescent="0.25">
      <c r="A1112" s="40" t="str">
        <f>IF(Agent06_Loans!B124="","",Agent06_Loans!A124)</f>
        <v/>
      </c>
      <c r="B1112" s="40" t="str">
        <f>IF(Agent06_Loans!B124="","",Agent06_Loans!B124)</f>
        <v/>
      </c>
      <c r="C1112" s="40" t="str">
        <f>IF(Agent06_Loans!B124="","",Agent06_Loans!C124)</f>
        <v/>
      </c>
      <c r="D1112" s="41" t="str">
        <f>IF(Agent06_Loans!B124="","",Agent06_Loans!D124)</f>
        <v/>
      </c>
      <c r="E1112" s="43" t="str">
        <f>IF(Agent06_Loans!B124="","",Agent06_Loans!E124)</f>
        <v/>
      </c>
      <c r="F1112" s="40" t="str">
        <f>IF(Agent06_Loans!B124="","",Agent06_Loans!F124)</f>
        <v/>
      </c>
      <c r="G1112" s="40" t="str">
        <f>IF(Agent06_Loans!B124="","",Agent06_Loans!G124)</f>
        <v/>
      </c>
      <c r="H1112" s="40" t="str">
        <f>IF(Agent06_Loans!B124="","",Agent06_Loans!H124)</f>
        <v/>
      </c>
      <c r="I1112" s="43" t="str">
        <f>IF(Agent06_Loans!B124="","",Agent06_Loans!I124)</f>
        <v/>
      </c>
      <c r="J1112" s="43" t="str">
        <f>IF(Agent06_Loans!B124="","",Agent06_Loans!J124)</f>
        <v/>
      </c>
      <c r="K1112" s="40" t="str">
        <f>IF(Agent06_Loans!B124="","",Agent06_Loans!K124)</f>
        <v/>
      </c>
      <c r="L1112" s="40" t="str">
        <f>IF(Agent06_Loans!B124="","",Agent06_Loans!L124)</f>
        <v/>
      </c>
      <c r="M1112" s="40" t="str">
        <f>IFERROR(IF(Agent06_Loans!B124="","",YEAR(Agent06_Loans!D124)),"")</f>
        <v/>
      </c>
    </row>
    <row r="1113" spans="1:13" ht="18" customHeight="1" x14ac:dyDescent="0.25">
      <c r="A1113" s="40" t="str">
        <f>IF(Agent06_Loans!B125="","",Agent06_Loans!A125)</f>
        <v/>
      </c>
      <c r="B1113" s="40" t="str">
        <f>IF(Agent06_Loans!B125="","",Agent06_Loans!B125)</f>
        <v/>
      </c>
      <c r="C1113" s="40" t="str">
        <f>IF(Agent06_Loans!B125="","",Agent06_Loans!C125)</f>
        <v/>
      </c>
      <c r="D1113" s="41" t="str">
        <f>IF(Agent06_Loans!B125="","",Agent06_Loans!D125)</f>
        <v/>
      </c>
      <c r="E1113" s="43" t="str">
        <f>IF(Agent06_Loans!B125="","",Agent06_Loans!E125)</f>
        <v/>
      </c>
      <c r="F1113" s="40" t="str">
        <f>IF(Agent06_Loans!B125="","",Agent06_Loans!F125)</f>
        <v/>
      </c>
      <c r="G1113" s="40" t="str">
        <f>IF(Agent06_Loans!B125="","",Agent06_Loans!G125)</f>
        <v/>
      </c>
      <c r="H1113" s="40" t="str">
        <f>IF(Agent06_Loans!B125="","",Agent06_Loans!H125)</f>
        <v/>
      </c>
      <c r="I1113" s="43" t="str">
        <f>IF(Agent06_Loans!B125="","",Agent06_Loans!I125)</f>
        <v/>
      </c>
      <c r="J1113" s="43" t="str">
        <f>IF(Agent06_Loans!B125="","",Agent06_Loans!J125)</f>
        <v/>
      </c>
      <c r="K1113" s="40" t="str">
        <f>IF(Agent06_Loans!B125="","",Agent06_Loans!K125)</f>
        <v/>
      </c>
      <c r="L1113" s="40" t="str">
        <f>IF(Agent06_Loans!B125="","",Agent06_Loans!L125)</f>
        <v/>
      </c>
      <c r="M1113" s="40" t="str">
        <f>IFERROR(IF(Agent06_Loans!B125="","",YEAR(Agent06_Loans!D125)),"")</f>
        <v/>
      </c>
    </row>
    <row r="1114" spans="1:13" ht="18" customHeight="1" x14ac:dyDescent="0.25">
      <c r="A1114" s="40" t="str">
        <f>IF(Agent06_Loans!B126="","",Agent06_Loans!A126)</f>
        <v/>
      </c>
      <c r="B1114" s="40" t="str">
        <f>IF(Agent06_Loans!B126="","",Agent06_Loans!B126)</f>
        <v/>
      </c>
      <c r="C1114" s="40" t="str">
        <f>IF(Agent06_Loans!B126="","",Agent06_Loans!C126)</f>
        <v/>
      </c>
      <c r="D1114" s="41" t="str">
        <f>IF(Agent06_Loans!B126="","",Agent06_Loans!D126)</f>
        <v/>
      </c>
      <c r="E1114" s="43" t="str">
        <f>IF(Agent06_Loans!B126="","",Agent06_Loans!E126)</f>
        <v/>
      </c>
      <c r="F1114" s="40" t="str">
        <f>IF(Agent06_Loans!B126="","",Agent06_Loans!F126)</f>
        <v/>
      </c>
      <c r="G1114" s="40" t="str">
        <f>IF(Agent06_Loans!B126="","",Agent06_Loans!G126)</f>
        <v/>
      </c>
      <c r="H1114" s="40" t="str">
        <f>IF(Agent06_Loans!B126="","",Agent06_Loans!H126)</f>
        <v/>
      </c>
      <c r="I1114" s="43" t="str">
        <f>IF(Agent06_Loans!B126="","",Agent06_Loans!I126)</f>
        <v/>
      </c>
      <c r="J1114" s="43" t="str">
        <f>IF(Agent06_Loans!B126="","",Agent06_Loans!J126)</f>
        <v/>
      </c>
      <c r="K1114" s="40" t="str">
        <f>IF(Agent06_Loans!B126="","",Agent06_Loans!K126)</f>
        <v/>
      </c>
      <c r="L1114" s="40" t="str">
        <f>IF(Agent06_Loans!B126="","",Agent06_Loans!L126)</f>
        <v/>
      </c>
      <c r="M1114" s="40" t="str">
        <f>IFERROR(IF(Agent06_Loans!B126="","",YEAR(Agent06_Loans!D126)),"")</f>
        <v/>
      </c>
    </row>
    <row r="1115" spans="1:13" ht="18" customHeight="1" x14ac:dyDescent="0.25">
      <c r="A1115" s="40" t="str">
        <f>IF(Agent06_Loans!B127="","",Agent06_Loans!A127)</f>
        <v/>
      </c>
      <c r="B1115" s="40" t="str">
        <f>IF(Agent06_Loans!B127="","",Agent06_Loans!B127)</f>
        <v/>
      </c>
      <c r="C1115" s="40" t="str">
        <f>IF(Agent06_Loans!B127="","",Agent06_Loans!C127)</f>
        <v/>
      </c>
      <c r="D1115" s="41" t="str">
        <f>IF(Agent06_Loans!B127="","",Agent06_Loans!D127)</f>
        <v/>
      </c>
      <c r="E1115" s="43" t="str">
        <f>IF(Agent06_Loans!B127="","",Agent06_Loans!E127)</f>
        <v/>
      </c>
      <c r="F1115" s="40" t="str">
        <f>IF(Agent06_Loans!B127="","",Agent06_Loans!F127)</f>
        <v/>
      </c>
      <c r="G1115" s="40" t="str">
        <f>IF(Agent06_Loans!B127="","",Agent06_Loans!G127)</f>
        <v/>
      </c>
      <c r="H1115" s="40" t="str">
        <f>IF(Agent06_Loans!B127="","",Agent06_Loans!H127)</f>
        <v/>
      </c>
      <c r="I1115" s="43" t="str">
        <f>IF(Agent06_Loans!B127="","",Agent06_Loans!I127)</f>
        <v/>
      </c>
      <c r="J1115" s="43" t="str">
        <f>IF(Agent06_Loans!B127="","",Agent06_Loans!J127)</f>
        <v/>
      </c>
      <c r="K1115" s="40" t="str">
        <f>IF(Agent06_Loans!B127="","",Agent06_Loans!K127)</f>
        <v/>
      </c>
      <c r="L1115" s="40" t="str">
        <f>IF(Agent06_Loans!B127="","",Agent06_Loans!L127)</f>
        <v/>
      </c>
      <c r="M1115" s="40" t="str">
        <f>IFERROR(IF(Agent06_Loans!B127="","",YEAR(Agent06_Loans!D127)),"")</f>
        <v/>
      </c>
    </row>
    <row r="1116" spans="1:13" ht="18" customHeight="1" x14ac:dyDescent="0.25">
      <c r="A1116" s="40" t="str">
        <f>IF(Agent06_Loans!B128="","",Agent06_Loans!A128)</f>
        <v/>
      </c>
      <c r="B1116" s="40" t="str">
        <f>IF(Agent06_Loans!B128="","",Agent06_Loans!B128)</f>
        <v/>
      </c>
      <c r="C1116" s="40" t="str">
        <f>IF(Agent06_Loans!B128="","",Agent06_Loans!C128)</f>
        <v/>
      </c>
      <c r="D1116" s="41" t="str">
        <f>IF(Agent06_Loans!B128="","",Agent06_Loans!D128)</f>
        <v/>
      </c>
      <c r="E1116" s="43" t="str">
        <f>IF(Agent06_Loans!B128="","",Agent06_Loans!E128)</f>
        <v/>
      </c>
      <c r="F1116" s="40" t="str">
        <f>IF(Agent06_Loans!B128="","",Agent06_Loans!F128)</f>
        <v/>
      </c>
      <c r="G1116" s="40" t="str">
        <f>IF(Agent06_Loans!B128="","",Agent06_Loans!G128)</f>
        <v/>
      </c>
      <c r="H1116" s="40" t="str">
        <f>IF(Agent06_Loans!B128="","",Agent06_Loans!H128)</f>
        <v/>
      </c>
      <c r="I1116" s="43" t="str">
        <f>IF(Agent06_Loans!B128="","",Agent06_Loans!I128)</f>
        <v/>
      </c>
      <c r="J1116" s="43" t="str">
        <f>IF(Agent06_Loans!B128="","",Agent06_Loans!J128)</f>
        <v/>
      </c>
      <c r="K1116" s="40" t="str">
        <f>IF(Agent06_Loans!B128="","",Agent06_Loans!K128)</f>
        <v/>
      </c>
      <c r="L1116" s="40" t="str">
        <f>IF(Agent06_Loans!B128="","",Agent06_Loans!L128)</f>
        <v/>
      </c>
      <c r="M1116" s="40" t="str">
        <f>IFERROR(IF(Agent06_Loans!B128="","",YEAR(Agent06_Loans!D128)),"")</f>
        <v/>
      </c>
    </row>
    <row r="1117" spans="1:13" ht="18" customHeight="1" x14ac:dyDescent="0.25">
      <c r="A1117" s="40" t="str">
        <f>IF(Agent06_Loans!B129="","",Agent06_Loans!A129)</f>
        <v/>
      </c>
      <c r="B1117" s="40" t="str">
        <f>IF(Agent06_Loans!B129="","",Agent06_Loans!B129)</f>
        <v/>
      </c>
      <c r="C1117" s="40" t="str">
        <f>IF(Agent06_Loans!B129="","",Agent06_Loans!C129)</f>
        <v/>
      </c>
      <c r="D1117" s="41" t="str">
        <f>IF(Agent06_Loans!B129="","",Agent06_Loans!D129)</f>
        <v/>
      </c>
      <c r="E1117" s="43" t="str">
        <f>IF(Agent06_Loans!B129="","",Agent06_Loans!E129)</f>
        <v/>
      </c>
      <c r="F1117" s="40" t="str">
        <f>IF(Agent06_Loans!B129="","",Agent06_Loans!F129)</f>
        <v/>
      </c>
      <c r="G1117" s="40" t="str">
        <f>IF(Agent06_Loans!B129="","",Agent06_Loans!G129)</f>
        <v/>
      </c>
      <c r="H1117" s="40" t="str">
        <f>IF(Agent06_Loans!B129="","",Agent06_Loans!H129)</f>
        <v/>
      </c>
      <c r="I1117" s="43" t="str">
        <f>IF(Agent06_Loans!B129="","",Agent06_Loans!I129)</f>
        <v/>
      </c>
      <c r="J1117" s="43" t="str">
        <f>IF(Agent06_Loans!B129="","",Agent06_Loans!J129)</f>
        <v/>
      </c>
      <c r="K1117" s="40" t="str">
        <f>IF(Agent06_Loans!B129="","",Agent06_Loans!K129)</f>
        <v/>
      </c>
      <c r="L1117" s="40" t="str">
        <f>IF(Agent06_Loans!B129="","",Agent06_Loans!L129)</f>
        <v/>
      </c>
      <c r="M1117" s="40" t="str">
        <f>IFERROR(IF(Agent06_Loans!B129="","",YEAR(Agent06_Loans!D129)),"")</f>
        <v/>
      </c>
    </row>
    <row r="1118" spans="1:13" ht="18" customHeight="1" x14ac:dyDescent="0.25">
      <c r="A1118" s="40" t="str">
        <f>IF(Agent06_Loans!B130="","",Agent06_Loans!A130)</f>
        <v/>
      </c>
      <c r="B1118" s="40" t="str">
        <f>IF(Agent06_Loans!B130="","",Agent06_Loans!B130)</f>
        <v/>
      </c>
      <c r="C1118" s="40" t="str">
        <f>IF(Agent06_Loans!B130="","",Agent06_Loans!C130)</f>
        <v/>
      </c>
      <c r="D1118" s="41" t="str">
        <f>IF(Agent06_Loans!B130="","",Agent06_Loans!D130)</f>
        <v/>
      </c>
      <c r="E1118" s="43" t="str">
        <f>IF(Agent06_Loans!B130="","",Agent06_Loans!E130)</f>
        <v/>
      </c>
      <c r="F1118" s="40" t="str">
        <f>IF(Agent06_Loans!B130="","",Agent06_Loans!F130)</f>
        <v/>
      </c>
      <c r="G1118" s="40" t="str">
        <f>IF(Agent06_Loans!B130="","",Agent06_Loans!G130)</f>
        <v/>
      </c>
      <c r="H1118" s="40" t="str">
        <f>IF(Agent06_Loans!B130="","",Agent06_Loans!H130)</f>
        <v/>
      </c>
      <c r="I1118" s="43" t="str">
        <f>IF(Agent06_Loans!B130="","",Agent06_Loans!I130)</f>
        <v/>
      </c>
      <c r="J1118" s="43" t="str">
        <f>IF(Agent06_Loans!B130="","",Agent06_Loans!J130)</f>
        <v/>
      </c>
      <c r="K1118" s="40" t="str">
        <f>IF(Agent06_Loans!B130="","",Agent06_Loans!K130)</f>
        <v/>
      </c>
      <c r="L1118" s="40" t="str">
        <f>IF(Agent06_Loans!B130="","",Agent06_Loans!L130)</f>
        <v/>
      </c>
      <c r="M1118" s="40" t="str">
        <f>IFERROR(IF(Agent06_Loans!B130="","",YEAR(Agent06_Loans!D130)),"")</f>
        <v/>
      </c>
    </row>
    <row r="1119" spans="1:13" ht="18" customHeight="1" x14ac:dyDescent="0.25">
      <c r="A1119" s="40" t="str">
        <f>IF(Agent06_Loans!B131="","",Agent06_Loans!A131)</f>
        <v/>
      </c>
      <c r="B1119" s="40" t="str">
        <f>IF(Agent06_Loans!B131="","",Agent06_Loans!B131)</f>
        <v/>
      </c>
      <c r="C1119" s="40" t="str">
        <f>IF(Agent06_Loans!B131="","",Agent06_Loans!C131)</f>
        <v/>
      </c>
      <c r="D1119" s="41" t="str">
        <f>IF(Agent06_Loans!B131="","",Agent06_Loans!D131)</f>
        <v/>
      </c>
      <c r="E1119" s="43" t="str">
        <f>IF(Agent06_Loans!B131="","",Agent06_Loans!E131)</f>
        <v/>
      </c>
      <c r="F1119" s="40" t="str">
        <f>IF(Agent06_Loans!B131="","",Agent06_Loans!F131)</f>
        <v/>
      </c>
      <c r="G1119" s="40" t="str">
        <f>IF(Agent06_Loans!B131="","",Agent06_Loans!G131)</f>
        <v/>
      </c>
      <c r="H1119" s="40" t="str">
        <f>IF(Agent06_Loans!B131="","",Agent06_Loans!H131)</f>
        <v/>
      </c>
      <c r="I1119" s="43" t="str">
        <f>IF(Agent06_Loans!B131="","",Agent06_Loans!I131)</f>
        <v/>
      </c>
      <c r="J1119" s="43" t="str">
        <f>IF(Agent06_Loans!B131="","",Agent06_Loans!J131)</f>
        <v/>
      </c>
      <c r="K1119" s="40" t="str">
        <f>IF(Agent06_Loans!B131="","",Agent06_Loans!K131)</f>
        <v/>
      </c>
      <c r="L1119" s="40" t="str">
        <f>IF(Agent06_Loans!B131="","",Agent06_Loans!L131)</f>
        <v/>
      </c>
      <c r="M1119" s="40" t="str">
        <f>IFERROR(IF(Agent06_Loans!B131="","",YEAR(Agent06_Loans!D131)),"")</f>
        <v/>
      </c>
    </row>
    <row r="1120" spans="1:13" ht="18" customHeight="1" x14ac:dyDescent="0.25">
      <c r="A1120" s="40" t="str">
        <f>IF(Agent06_Loans!B132="","",Agent06_Loans!A132)</f>
        <v/>
      </c>
      <c r="B1120" s="40" t="str">
        <f>IF(Agent06_Loans!B132="","",Agent06_Loans!B132)</f>
        <v/>
      </c>
      <c r="C1120" s="40" t="str">
        <f>IF(Agent06_Loans!B132="","",Agent06_Loans!C132)</f>
        <v/>
      </c>
      <c r="D1120" s="41" t="str">
        <f>IF(Agent06_Loans!B132="","",Agent06_Loans!D132)</f>
        <v/>
      </c>
      <c r="E1120" s="43" t="str">
        <f>IF(Agent06_Loans!B132="","",Agent06_Loans!E132)</f>
        <v/>
      </c>
      <c r="F1120" s="40" t="str">
        <f>IF(Agent06_Loans!B132="","",Agent06_Loans!F132)</f>
        <v/>
      </c>
      <c r="G1120" s="40" t="str">
        <f>IF(Agent06_Loans!B132="","",Agent06_Loans!G132)</f>
        <v/>
      </c>
      <c r="H1120" s="40" t="str">
        <f>IF(Agent06_Loans!B132="","",Agent06_Loans!H132)</f>
        <v/>
      </c>
      <c r="I1120" s="43" t="str">
        <f>IF(Agent06_Loans!B132="","",Agent06_Loans!I132)</f>
        <v/>
      </c>
      <c r="J1120" s="43" t="str">
        <f>IF(Agent06_Loans!B132="","",Agent06_Loans!J132)</f>
        <v/>
      </c>
      <c r="K1120" s="40" t="str">
        <f>IF(Agent06_Loans!B132="","",Agent06_Loans!K132)</f>
        <v/>
      </c>
      <c r="L1120" s="40" t="str">
        <f>IF(Agent06_Loans!B132="","",Agent06_Loans!L132)</f>
        <v/>
      </c>
      <c r="M1120" s="40" t="str">
        <f>IFERROR(IF(Agent06_Loans!B132="","",YEAR(Agent06_Loans!D132)),"")</f>
        <v/>
      </c>
    </row>
    <row r="1121" spans="1:13" ht="18" customHeight="1" x14ac:dyDescent="0.25">
      <c r="A1121" s="40" t="str">
        <f>IF(Agent06_Loans!B133="","",Agent06_Loans!A133)</f>
        <v/>
      </c>
      <c r="B1121" s="40" t="str">
        <f>IF(Agent06_Loans!B133="","",Agent06_Loans!B133)</f>
        <v/>
      </c>
      <c r="C1121" s="40" t="str">
        <f>IF(Agent06_Loans!B133="","",Agent06_Loans!C133)</f>
        <v/>
      </c>
      <c r="D1121" s="41" t="str">
        <f>IF(Agent06_Loans!B133="","",Agent06_Loans!D133)</f>
        <v/>
      </c>
      <c r="E1121" s="43" t="str">
        <f>IF(Agent06_Loans!B133="","",Agent06_Loans!E133)</f>
        <v/>
      </c>
      <c r="F1121" s="40" t="str">
        <f>IF(Agent06_Loans!B133="","",Agent06_Loans!F133)</f>
        <v/>
      </c>
      <c r="G1121" s="40" t="str">
        <f>IF(Agent06_Loans!B133="","",Agent06_Loans!G133)</f>
        <v/>
      </c>
      <c r="H1121" s="40" t="str">
        <f>IF(Agent06_Loans!B133="","",Agent06_Loans!H133)</f>
        <v/>
      </c>
      <c r="I1121" s="43" t="str">
        <f>IF(Agent06_Loans!B133="","",Agent06_Loans!I133)</f>
        <v/>
      </c>
      <c r="J1121" s="43" t="str">
        <f>IF(Agent06_Loans!B133="","",Agent06_Loans!J133)</f>
        <v/>
      </c>
      <c r="K1121" s="40" t="str">
        <f>IF(Agent06_Loans!B133="","",Agent06_Loans!K133)</f>
        <v/>
      </c>
      <c r="L1121" s="40" t="str">
        <f>IF(Agent06_Loans!B133="","",Agent06_Loans!L133)</f>
        <v/>
      </c>
      <c r="M1121" s="40" t="str">
        <f>IFERROR(IF(Agent06_Loans!B133="","",YEAR(Agent06_Loans!D133)),"")</f>
        <v/>
      </c>
    </row>
    <row r="1122" spans="1:13" ht="18" customHeight="1" x14ac:dyDescent="0.25">
      <c r="A1122" s="40" t="str">
        <f>IF(Agent06_Loans!B134="","",Agent06_Loans!A134)</f>
        <v/>
      </c>
      <c r="B1122" s="40" t="str">
        <f>IF(Agent06_Loans!B134="","",Agent06_Loans!B134)</f>
        <v/>
      </c>
      <c r="C1122" s="40" t="str">
        <f>IF(Agent06_Loans!B134="","",Agent06_Loans!C134)</f>
        <v/>
      </c>
      <c r="D1122" s="41" t="str">
        <f>IF(Agent06_Loans!B134="","",Agent06_Loans!D134)</f>
        <v/>
      </c>
      <c r="E1122" s="43" t="str">
        <f>IF(Agent06_Loans!B134="","",Agent06_Loans!E134)</f>
        <v/>
      </c>
      <c r="F1122" s="40" t="str">
        <f>IF(Agent06_Loans!B134="","",Agent06_Loans!F134)</f>
        <v/>
      </c>
      <c r="G1122" s="40" t="str">
        <f>IF(Agent06_Loans!B134="","",Agent06_Loans!G134)</f>
        <v/>
      </c>
      <c r="H1122" s="40" t="str">
        <f>IF(Agent06_Loans!B134="","",Agent06_Loans!H134)</f>
        <v/>
      </c>
      <c r="I1122" s="43" t="str">
        <f>IF(Agent06_Loans!B134="","",Agent06_Loans!I134)</f>
        <v/>
      </c>
      <c r="J1122" s="43" t="str">
        <f>IF(Agent06_Loans!B134="","",Agent06_Loans!J134)</f>
        <v/>
      </c>
      <c r="K1122" s="40" t="str">
        <f>IF(Agent06_Loans!B134="","",Agent06_Loans!K134)</f>
        <v/>
      </c>
      <c r="L1122" s="40" t="str">
        <f>IF(Agent06_Loans!B134="","",Agent06_Loans!L134)</f>
        <v/>
      </c>
      <c r="M1122" s="40" t="str">
        <f>IFERROR(IF(Agent06_Loans!B134="","",YEAR(Agent06_Loans!D134)),"")</f>
        <v/>
      </c>
    </row>
    <row r="1123" spans="1:13" ht="18" customHeight="1" x14ac:dyDescent="0.25">
      <c r="A1123" s="40" t="str">
        <f>IF(Agent06_Loans!B135="","",Agent06_Loans!A135)</f>
        <v/>
      </c>
      <c r="B1123" s="40" t="str">
        <f>IF(Agent06_Loans!B135="","",Agent06_Loans!B135)</f>
        <v/>
      </c>
      <c r="C1123" s="40" t="str">
        <f>IF(Agent06_Loans!B135="","",Agent06_Loans!C135)</f>
        <v/>
      </c>
      <c r="D1123" s="41" t="str">
        <f>IF(Agent06_Loans!B135="","",Agent06_Loans!D135)</f>
        <v/>
      </c>
      <c r="E1123" s="43" t="str">
        <f>IF(Agent06_Loans!B135="","",Agent06_Loans!E135)</f>
        <v/>
      </c>
      <c r="F1123" s="40" t="str">
        <f>IF(Agent06_Loans!B135="","",Agent06_Loans!F135)</f>
        <v/>
      </c>
      <c r="G1123" s="40" t="str">
        <f>IF(Agent06_Loans!B135="","",Agent06_Loans!G135)</f>
        <v/>
      </c>
      <c r="H1123" s="40" t="str">
        <f>IF(Agent06_Loans!B135="","",Agent06_Loans!H135)</f>
        <v/>
      </c>
      <c r="I1123" s="43" t="str">
        <f>IF(Agent06_Loans!B135="","",Agent06_Loans!I135)</f>
        <v/>
      </c>
      <c r="J1123" s="43" t="str">
        <f>IF(Agent06_Loans!B135="","",Agent06_Loans!J135)</f>
        <v/>
      </c>
      <c r="K1123" s="40" t="str">
        <f>IF(Agent06_Loans!B135="","",Agent06_Loans!K135)</f>
        <v/>
      </c>
      <c r="L1123" s="40" t="str">
        <f>IF(Agent06_Loans!B135="","",Agent06_Loans!L135)</f>
        <v/>
      </c>
      <c r="M1123" s="40" t="str">
        <f>IFERROR(IF(Agent06_Loans!B135="","",YEAR(Agent06_Loans!D135)),"")</f>
        <v/>
      </c>
    </row>
    <row r="1124" spans="1:13" ht="18" customHeight="1" x14ac:dyDescent="0.25">
      <c r="A1124" s="40" t="str">
        <f>IF(Agent06_Loans!B136="","",Agent06_Loans!A136)</f>
        <v/>
      </c>
      <c r="B1124" s="40" t="str">
        <f>IF(Agent06_Loans!B136="","",Agent06_Loans!B136)</f>
        <v/>
      </c>
      <c r="C1124" s="40" t="str">
        <f>IF(Agent06_Loans!B136="","",Agent06_Loans!C136)</f>
        <v/>
      </c>
      <c r="D1124" s="41" t="str">
        <f>IF(Agent06_Loans!B136="","",Agent06_Loans!D136)</f>
        <v/>
      </c>
      <c r="E1124" s="43" t="str">
        <f>IF(Agent06_Loans!B136="","",Agent06_Loans!E136)</f>
        <v/>
      </c>
      <c r="F1124" s="40" t="str">
        <f>IF(Agent06_Loans!B136="","",Agent06_Loans!F136)</f>
        <v/>
      </c>
      <c r="G1124" s="40" t="str">
        <f>IF(Agent06_Loans!B136="","",Agent06_Loans!G136)</f>
        <v/>
      </c>
      <c r="H1124" s="40" t="str">
        <f>IF(Agent06_Loans!B136="","",Agent06_Loans!H136)</f>
        <v/>
      </c>
      <c r="I1124" s="43" t="str">
        <f>IF(Agent06_Loans!B136="","",Agent06_Loans!I136)</f>
        <v/>
      </c>
      <c r="J1124" s="43" t="str">
        <f>IF(Agent06_Loans!B136="","",Agent06_Loans!J136)</f>
        <v/>
      </c>
      <c r="K1124" s="40" t="str">
        <f>IF(Agent06_Loans!B136="","",Agent06_Loans!K136)</f>
        <v/>
      </c>
      <c r="L1124" s="40" t="str">
        <f>IF(Agent06_Loans!B136="","",Agent06_Loans!L136)</f>
        <v/>
      </c>
      <c r="M1124" s="40" t="str">
        <f>IFERROR(IF(Agent06_Loans!B136="","",YEAR(Agent06_Loans!D136)),"")</f>
        <v/>
      </c>
    </row>
    <row r="1125" spans="1:13" ht="18" customHeight="1" x14ac:dyDescent="0.25">
      <c r="A1125" s="40" t="str">
        <f>IF(Agent06_Loans!B137="","",Agent06_Loans!A137)</f>
        <v/>
      </c>
      <c r="B1125" s="40" t="str">
        <f>IF(Agent06_Loans!B137="","",Agent06_Loans!B137)</f>
        <v/>
      </c>
      <c r="C1125" s="40" t="str">
        <f>IF(Agent06_Loans!B137="","",Agent06_Loans!C137)</f>
        <v/>
      </c>
      <c r="D1125" s="41" t="str">
        <f>IF(Agent06_Loans!B137="","",Agent06_Loans!D137)</f>
        <v/>
      </c>
      <c r="E1125" s="43" t="str">
        <f>IF(Agent06_Loans!B137="","",Agent06_Loans!E137)</f>
        <v/>
      </c>
      <c r="F1125" s="40" t="str">
        <f>IF(Agent06_Loans!B137="","",Agent06_Loans!F137)</f>
        <v/>
      </c>
      <c r="G1125" s="40" t="str">
        <f>IF(Agent06_Loans!B137="","",Agent06_Loans!G137)</f>
        <v/>
      </c>
      <c r="H1125" s="40" t="str">
        <f>IF(Agent06_Loans!B137="","",Agent06_Loans!H137)</f>
        <v/>
      </c>
      <c r="I1125" s="43" t="str">
        <f>IF(Agent06_Loans!B137="","",Agent06_Loans!I137)</f>
        <v/>
      </c>
      <c r="J1125" s="43" t="str">
        <f>IF(Agent06_Loans!B137="","",Agent06_Loans!J137)</f>
        <v/>
      </c>
      <c r="K1125" s="40" t="str">
        <f>IF(Agent06_Loans!B137="","",Agent06_Loans!K137)</f>
        <v/>
      </c>
      <c r="L1125" s="40" t="str">
        <f>IF(Agent06_Loans!B137="","",Agent06_Loans!L137)</f>
        <v/>
      </c>
      <c r="M1125" s="40" t="str">
        <f>IFERROR(IF(Agent06_Loans!B137="","",YEAR(Agent06_Loans!D137)),"")</f>
        <v/>
      </c>
    </row>
    <row r="1126" spans="1:13" ht="18" customHeight="1" x14ac:dyDescent="0.25">
      <c r="A1126" s="40" t="str">
        <f>IF(Agent06_Loans!B138="","",Agent06_Loans!A138)</f>
        <v/>
      </c>
      <c r="B1126" s="40" t="str">
        <f>IF(Agent06_Loans!B138="","",Agent06_Loans!B138)</f>
        <v/>
      </c>
      <c r="C1126" s="40" t="str">
        <f>IF(Agent06_Loans!B138="","",Agent06_Loans!C138)</f>
        <v/>
      </c>
      <c r="D1126" s="41" t="str">
        <f>IF(Agent06_Loans!B138="","",Agent06_Loans!D138)</f>
        <v/>
      </c>
      <c r="E1126" s="43" t="str">
        <f>IF(Agent06_Loans!B138="","",Agent06_Loans!E138)</f>
        <v/>
      </c>
      <c r="F1126" s="40" t="str">
        <f>IF(Agent06_Loans!B138="","",Agent06_Loans!F138)</f>
        <v/>
      </c>
      <c r="G1126" s="40" t="str">
        <f>IF(Agent06_Loans!B138="","",Agent06_Loans!G138)</f>
        <v/>
      </c>
      <c r="H1126" s="40" t="str">
        <f>IF(Agent06_Loans!B138="","",Agent06_Loans!H138)</f>
        <v/>
      </c>
      <c r="I1126" s="43" t="str">
        <f>IF(Agent06_Loans!B138="","",Agent06_Loans!I138)</f>
        <v/>
      </c>
      <c r="J1126" s="43" t="str">
        <f>IF(Agent06_Loans!B138="","",Agent06_Loans!J138)</f>
        <v/>
      </c>
      <c r="K1126" s="40" t="str">
        <f>IF(Agent06_Loans!B138="","",Agent06_Loans!K138)</f>
        <v/>
      </c>
      <c r="L1126" s="40" t="str">
        <f>IF(Agent06_Loans!B138="","",Agent06_Loans!L138)</f>
        <v/>
      </c>
      <c r="M1126" s="40" t="str">
        <f>IFERROR(IF(Agent06_Loans!B138="","",YEAR(Agent06_Loans!D138)),"")</f>
        <v/>
      </c>
    </row>
    <row r="1127" spans="1:13" ht="18" customHeight="1" x14ac:dyDescent="0.25">
      <c r="A1127" s="40" t="str">
        <f>IF(Agent06_Loans!B139="","",Agent06_Loans!A139)</f>
        <v/>
      </c>
      <c r="B1127" s="40" t="str">
        <f>IF(Agent06_Loans!B139="","",Agent06_Loans!B139)</f>
        <v/>
      </c>
      <c r="C1127" s="40" t="str">
        <f>IF(Agent06_Loans!B139="","",Agent06_Loans!C139)</f>
        <v/>
      </c>
      <c r="D1127" s="41" t="str">
        <f>IF(Agent06_Loans!B139="","",Agent06_Loans!D139)</f>
        <v/>
      </c>
      <c r="E1127" s="43" t="str">
        <f>IF(Agent06_Loans!B139="","",Agent06_Loans!E139)</f>
        <v/>
      </c>
      <c r="F1127" s="40" t="str">
        <f>IF(Agent06_Loans!B139="","",Agent06_Loans!F139)</f>
        <v/>
      </c>
      <c r="G1127" s="40" t="str">
        <f>IF(Agent06_Loans!B139="","",Agent06_Loans!G139)</f>
        <v/>
      </c>
      <c r="H1127" s="40" t="str">
        <f>IF(Agent06_Loans!B139="","",Agent06_Loans!H139)</f>
        <v/>
      </c>
      <c r="I1127" s="43" t="str">
        <f>IF(Agent06_Loans!B139="","",Agent06_Loans!I139)</f>
        <v/>
      </c>
      <c r="J1127" s="43" t="str">
        <f>IF(Agent06_Loans!B139="","",Agent06_Loans!J139)</f>
        <v/>
      </c>
      <c r="K1127" s="40" t="str">
        <f>IF(Agent06_Loans!B139="","",Agent06_Loans!K139)</f>
        <v/>
      </c>
      <c r="L1127" s="40" t="str">
        <f>IF(Agent06_Loans!B139="","",Agent06_Loans!L139)</f>
        <v/>
      </c>
      <c r="M1127" s="40" t="str">
        <f>IFERROR(IF(Agent06_Loans!B139="","",YEAR(Agent06_Loans!D139)),"")</f>
        <v/>
      </c>
    </row>
    <row r="1128" spans="1:13" ht="18" customHeight="1" x14ac:dyDescent="0.25">
      <c r="A1128" s="40" t="str">
        <f>IF(Agent06_Loans!B140="","",Agent06_Loans!A140)</f>
        <v/>
      </c>
      <c r="B1128" s="40" t="str">
        <f>IF(Agent06_Loans!B140="","",Agent06_Loans!B140)</f>
        <v/>
      </c>
      <c r="C1128" s="40" t="str">
        <f>IF(Agent06_Loans!B140="","",Agent06_Loans!C140)</f>
        <v/>
      </c>
      <c r="D1128" s="41" t="str">
        <f>IF(Agent06_Loans!B140="","",Agent06_Loans!D140)</f>
        <v/>
      </c>
      <c r="E1128" s="43" t="str">
        <f>IF(Agent06_Loans!B140="","",Agent06_Loans!E140)</f>
        <v/>
      </c>
      <c r="F1128" s="40" t="str">
        <f>IF(Agent06_Loans!B140="","",Agent06_Loans!F140)</f>
        <v/>
      </c>
      <c r="G1128" s="40" t="str">
        <f>IF(Agent06_Loans!B140="","",Agent06_Loans!G140)</f>
        <v/>
      </c>
      <c r="H1128" s="40" t="str">
        <f>IF(Agent06_Loans!B140="","",Agent06_Loans!H140)</f>
        <v/>
      </c>
      <c r="I1128" s="43" t="str">
        <f>IF(Agent06_Loans!B140="","",Agent06_Loans!I140)</f>
        <v/>
      </c>
      <c r="J1128" s="43" t="str">
        <f>IF(Agent06_Loans!B140="","",Agent06_Loans!J140)</f>
        <v/>
      </c>
      <c r="K1128" s="40" t="str">
        <f>IF(Agent06_Loans!B140="","",Agent06_Loans!K140)</f>
        <v/>
      </c>
      <c r="L1128" s="40" t="str">
        <f>IF(Agent06_Loans!B140="","",Agent06_Loans!L140)</f>
        <v/>
      </c>
      <c r="M1128" s="40" t="str">
        <f>IFERROR(IF(Agent06_Loans!B140="","",YEAR(Agent06_Loans!D140)),"")</f>
        <v/>
      </c>
    </row>
    <row r="1129" spans="1:13" ht="18" customHeight="1" x14ac:dyDescent="0.25">
      <c r="A1129" s="40" t="str">
        <f>IF(Agent06_Loans!B141="","",Agent06_Loans!A141)</f>
        <v/>
      </c>
      <c r="B1129" s="40" t="str">
        <f>IF(Agent06_Loans!B141="","",Agent06_Loans!B141)</f>
        <v/>
      </c>
      <c r="C1129" s="40" t="str">
        <f>IF(Agent06_Loans!B141="","",Agent06_Loans!C141)</f>
        <v/>
      </c>
      <c r="D1129" s="41" t="str">
        <f>IF(Agent06_Loans!B141="","",Agent06_Loans!D141)</f>
        <v/>
      </c>
      <c r="E1129" s="43" t="str">
        <f>IF(Agent06_Loans!B141="","",Agent06_Loans!E141)</f>
        <v/>
      </c>
      <c r="F1129" s="40" t="str">
        <f>IF(Agent06_Loans!B141="","",Agent06_Loans!F141)</f>
        <v/>
      </c>
      <c r="G1129" s="40" t="str">
        <f>IF(Agent06_Loans!B141="","",Agent06_Loans!G141)</f>
        <v/>
      </c>
      <c r="H1129" s="40" t="str">
        <f>IF(Agent06_Loans!B141="","",Agent06_Loans!H141)</f>
        <v/>
      </c>
      <c r="I1129" s="43" t="str">
        <f>IF(Agent06_Loans!B141="","",Agent06_Loans!I141)</f>
        <v/>
      </c>
      <c r="J1129" s="43" t="str">
        <f>IF(Agent06_Loans!B141="","",Agent06_Loans!J141)</f>
        <v/>
      </c>
      <c r="K1129" s="40" t="str">
        <f>IF(Agent06_Loans!B141="","",Agent06_Loans!K141)</f>
        <v/>
      </c>
      <c r="L1129" s="40" t="str">
        <f>IF(Agent06_Loans!B141="","",Agent06_Loans!L141)</f>
        <v/>
      </c>
      <c r="M1129" s="40" t="str">
        <f>IFERROR(IF(Agent06_Loans!B141="","",YEAR(Agent06_Loans!D141)),"")</f>
        <v/>
      </c>
    </row>
    <row r="1130" spans="1:13" ht="18" customHeight="1" x14ac:dyDescent="0.25">
      <c r="A1130" s="40" t="str">
        <f>IF(Agent06_Loans!B142="","",Agent06_Loans!A142)</f>
        <v/>
      </c>
      <c r="B1130" s="40" t="str">
        <f>IF(Agent06_Loans!B142="","",Agent06_Loans!B142)</f>
        <v/>
      </c>
      <c r="C1130" s="40" t="str">
        <f>IF(Agent06_Loans!B142="","",Agent06_Loans!C142)</f>
        <v/>
      </c>
      <c r="D1130" s="41" t="str">
        <f>IF(Agent06_Loans!B142="","",Agent06_Loans!D142)</f>
        <v/>
      </c>
      <c r="E1130" s="43" t="str">
        <f>IF(Agent06_Loans!B142="","",Agent06_Loans!E142)</f>
        <v/>
      </c>
      <c r="F1130" s="40" t="str">
        <f>IF(Agent06_Loans!B142="","",Agent06_Loans!F142)</f>
        <v/>
      </c>
      <c r="G1130" s="40" t="str">
        <f>IF(Agent06_Loans!B142="","",Agent06_Loans!G142)</f>
        <v/>
      </c>
      <c r="H1130" s="40" t="str">
        <f>IF(Agent06_Loans!B142="","",Agent06_Loans!H142)</f>
        <v/>
      </c>
      <c r="I1130" s="43" t="str">
        <f>IF(Agent06_Loans!B142="","",Agent06_Loans!I142)</f>
        <v/>
      </c>
      <c r="J1130" s="43" t="str">
        <f>IF(Agent06_Loans!B142="","",Agent06_Loans!J142)</f>
        <v/>
      </c>
      <c r="K1130" s="40" t="str">
        <f>IF(Agent06_Loans!B142="","",Agent06_Loans!K142)</f>
        <v/>
      </c>
      <c r="L1130" s="40" t="str">
        <f>IF(Agent06_Loans!B142="","",Agent06_Loans!L142)</f>
        <v/>
      </c>
      <c r="M1130" s="40" t="str">
        <f>IFERROR(IF(Agent06_Loans!B142="","",YEAR(Agent06_Loans!D142)),"")</f>
        <v/>
      </c>
    </row>
    <row r="1131" spans="1:13" ht="18" customHeight="1" x14ac:dyDescent="0.25">
      <c r="A1131" s="40" t="str">
        <f>IF(Agent06_Loans!B143="","",Agent06_Loans!A143)</f>
        <v/>
      </c>
      <c r="B1131" s="40" t="str">
        <f>IF(Agent06_Loans!B143="","",Agent06_Loans!B143)</f>
        <v/>
      </c>
      <c r="C1131" s="40" t="str">
        <f>IF(Agent06_Loans!B143="","",Agent06_Loans!C143)</f>
        <v/>
      </c>
      <c r="D1131" s="41" t="str">
        <f>IF(Agent06_Loans!B143="","",Agent06_Loans!D143)</f>
        <v/>
      </c>
      <c r="E1131" s="43" t="str">
        <f>IF(Agent06_Loans!B143="","",Agent06_Loans!E143)</f>
        <v/>
      </c>
      <c r="F1131" s="40" t="str">
        <f>IF(Agent06_Loans!B143="","",Agent06_Loans!F143)</f>
        <v/>
      </c>
      <c r="G1131" s="40" t="str">
        <f>IF(Agent06_Loans!B143="","",Agent06_Loans!G143)</f>
        <v/>
      </c>
      <c r="H1131" s="40" t="str">
        <f>IF(Agent06_Loans!B143="","",Agent06_Loans!H143)</f>
        <v/>
      </c>
      <c r="I1131" s="43" t="str">
        <f>IF(Agent06_Loans!B143="","",Agent06_Loans!I143)</f>
        <v/>
      </c>
      <c r="J1131" s="43" t="str">
        <f>IF(Agent06_Loans!B143="","",Agent06_Loans!J143)</f>
        <v/>
      </c>
      <c r="K1131" s="40" t="str">
        <f>IF(Agent06_Loans!B143="","",Agent06_Loans!K143)</f>
        <v/>
      </c>
      <c r="L1131" s="40" t="str">
        <f>IF(Agent06_Loans!B143="","",Agent06_Loans!L143)</f>
        <v/>
      </c>
      <c r="M1131" s="40" t="str">
        <f>IFERROR(IF(Agent06_Loans!B143="","",YEAR(Agent06_Loans!D143)),"")</f>
        <v/>
      </c>
    </row>
    <row r="1132" spans="1:13" ht="18" customHeight="1" x14ac:dyDescent="0.25">
      <c r="A1132" s="40" t="str">
        <f>IF(Agent06_Loans!B144="","",Agent06_Loans!A144)</f>
        <v/>
      </c>
      <c r="B1132" s="40" t="str">
        <f>IF(Agent06_Loans!B144="","",Agent06_Loans!B144)</f>
        <v/>
      </c>
      <c r="C1132" s="40" t="str">
        <f>IF(Agent06_Loans!B144="","",Agent06_Loans!C144)</f>
        <v/>
      </c>
      <c r="D1132" s="41" t="str">
        <f>IF(Agent06_Loans!B144="","",Agent06_Loans!D144)</f>
        <v/>
      </c>
      <c r="E1132" s="43" t="str">
        <f>IF(Agent06_Loans!B144="","",Agent06_Loans!E144)</f>
        <v/>
      </c>
      <c r="F1132" s="40" t="str">
        <f>IF(Agent06_Loans!B144="","",Agent06_Loans!F144)</f>
        <v/>
      </c>
      <c r="G1132" s="40" t="str">
        <f>IF(Agent06_Loans!B144="","",Agent06_Loans!G144)</f>
        <v/>
      </c>
      <c r="H1132" s="40" t="str">
        <f>IF(Agent06_Loans!B144="","",Agent06_Loans!H144)</f>
        <v/>
      </c>
      <c r="I1132" s="43" t="str">
        <f>IF(Agent06_Loans!B144="","",Agent06_Loans!I144)</f>
        <v/>
      </c>
      <c r="J1132" s="43" t="str">
        <f>IF(Agent06_Loans!B144="","",Agent06_Loans!J144)</f>
        <v/>
      </c>
      <c r="K1132" s="40" t="str">
        <f>IF(Agent06_Loans!B144="","",Agent06_Loans!K144)</f>
        <v/>
      </c>
      <c r="L1132" s="40" t="str">
        <f>IF(Agent06_Loans!B144="","",Agent06_Loans!L144)</f>
        <v/>
      </c>
      <c r="M1132" s="40" t="str">
        <f>IFERROR(IF(Agent06_Loans!B144="","",YEAR(Agent06_Loans!D144)),"")</f>
        <v/>
      </c>
    </row>
    <row r="1133" spans="1:13" ht="18" customHeight="1" x14ac:dyDescent="0.25">
      <c r="A1133" s="40" t="str">
        <f>IF(Agent06_Loans!B145="","",Agent06_Loans!A145)</f>
        <v/>
      </c>
      <c r="B1133" s="40" t="str">
        <f>IF(Agent06_Loans!B145="","",Agent06_Loans!B145)</f>
        <v/>
      </c>
      <c r="C1133" s="40" t="str">
        <f>IF(Agent06_Loans!B145="","",Agent06_Loans!C145)</f>
        <v/>
      </c>
      <c r="D1133" s="41" t="str">
        <f>IF(Agent06_Loans!B145="","",Agent06_Loans!D145)</f>
        <v/>
      </c>
      <c r="E1133" s="43" t="str">
        <f>IF(Agent06_Loans!B145="","",Agent06_Loans!E145)</f>
        <v/>
      </c>
      <c r="F1133" s="40" t="str">
        <f>IF(Agent06_Loans!B145="","",Agent06_Loans!F145)</f>
        <v/>
      </c>
      <c r="G1133" s="40" t="str">
        <f>IF(Agent06_Loans!B145="","",Agent06_Loans!G145)</f>
        <v/>
      </c>
      <c r="H1133" s="40" t="str">
        <f>IF(Agent06_Loans!B145="","",Agent06_Loans!H145)</f>
        <v/>
      </c>
      <c r="I1133" s="43" t="str">
        <f>IF(Agent06_Loans!B145="","",Agent06_Loans!I145)</f>
        <v/>
      </c>
      <c r="J1133" s="43" t="str">
        <f>IF(Agent06_Loans!B145="","",Agent06_Loans!J145)</f>
        <v/>
      </c>
      <c r="K1133" s="40" t="str">
        <f>IF(Agent06_Loans!B145="","",Agent06_Loans!K145)</f>
        <v/>
      </c>
      <c r="L1133" s="40" t="str">
        <f>IF(Agent06_Loans!B145="","",Agent06_Loans!L145)</f>
        <v/>
      </c>
      <c r="M1133" s="40" t="str">
        <f>IFERROR(IF(Agent06_Loans!B145="","",YEAR(Agent06_Loans!D145)),"")</f>
        <v/>
      </c>
    </row>
    <row r="1134" spans="1:13" ht="18" customHeight="1" x14ac:dyDescent="0.25">
      <c r="A1134" s="40" t="str">
        <f>IF(Agent06_Loans!B146="","",Agent06_Loans!A146)</f>
        <v/>
      </c>
      <c r="B1134" s="40" t="str">
        <f>IF(Agent06_Loans!B146="","",Agent06_Loans!B146)</f>
        <v/>
      </c>
      <c r="C1134" s="40" t="str">
        <f>IF(Agent06_Loans!B146="","",Agent06_Loans!C146)</f>
        <v/>
      </c>
      <c r="D1134" s="41" t="str">
        <f>IF(Agent06_Loans!B146="","",Agent06_Loans!D146)</f>
        <v/>
      </c>
      <c r="E1134" s="43" t="str">
        <f>IF(Agent06_Loans!B146="","",Agent06_Loans!E146)</f>
        <v/>
      </c>
      <c r="F1134" s="40" t="str">
        <f>IF(Agent06_Loans!B146="","",Agent06_Loans!F146)</f>
        <v/>
      </c>
      <c r="G1134" s="40" t="str">
        <f>IF(Agent06_Loans!B146="","",Agent06_Loans!G146)</f>
        <v/>
      </c>
      <c r="H1134" s="40" t="str">
        <f>IF(Agent06_Loans!B146="","",Agent06_Loans!H146)</f>
        <v/>
      </c>
      <c r="I1134" s="43" t="str">
        <f>IF(Agent06_Loans!B146="","",Agent06_Loans!I146)</f>
        <v/>
      </c>
      <c r="J1134" s="43" t="str">
        <f>IF(Agent06_Loans!B146="","",Agent06_Loans!J146)</f>
        <v/>
      </c>
      <c r="K1134" s="40" t="str">
        <f>IF(Agent06_Loans!B146="","",Agent06_Loans!K146)</f>
        <v/>
      </c>
      <c r="L1134" s="40" t="str">
        <f>IF(Agent06_Loans!B146="","",Agent06_Loans!L146)</f>
        <v/>
      </c>
      <c r="M1134" s="40" t="str">
        <f>IFERROR(IF(Agent06_Loans!B146="","",YEAR(Agent06_Loans!D146)),"")</f>
        <v/>
      </c>
    </row>
    <row r="1135" spans="1:13" ht="18" customHeight="1" x14ac:dyDescent="0.25">
      <c r="A1135" s="40" t="str">
        <f>IF(Agent06_Loans!B147="","",Agent06_Loans!A147)</f>
        <v/>
      </c>
      <c r="B1135" s="40" t="str">
        <f>IF(Agent06_Loans!B147="","",Agent06_Loans!B147)</f>
        <v/>
      </c>
      <c r="C1135" s="40" t="str">
        <f>IF(Agent06_Loans!B147="","",Agent06_Loans!C147)</f>
        <v/>
      </c>
      <c r="D1135" s="41" t="str">
        <f>IF(Agent06_Loans!B147="","",Agent06_Loans!D147)</f>
        <v/>
      </c>
      <c r="E1135" s="43" t="str">
        <f>IF(Agent06_Loans!B147="","",Agent06_Loans!E147)</f>
        <v/>
      </c>
      <c r="F1135" s="40" t="str">
        <f>IF(Agent06_Loans!B147="","",Agent06_Loans!F147)</f>
        <v/>
      </c>
      <c r="G1135" s="40" t="str">
        <f>IF(Agent06_Loans!B147="","",Agent06_Loans!G147)</f>
        <v/>
      </c>
      <c r="H1135" s="40" t="str">
        <f>IF(Agent06_Loans!B147="","",Agent06_Loans!H147)</f>
        <v/>
      </c>
      <c r="I1135" s="43" t="str">
        <f>IF(Agent06_Loans!B147="","",Agent06_Loans!I147)</f>
        <v/>
      </c>
      <c r="J1135" s="43" t="str">
        <f>IF(Agent06_Loans!B147="","",Agent06_Loans!J147)</f>
        <v/>
      </c>
      <c r="K1135" s="40" t="str">
        <f>IF(Agent06_Loans!B147="","",Agent06_Loans!K147)</f>
        <v/>
      </c>
      <c r="L1135" s="40" t="str">
        <f>IF(Agent06_Loans!B147="","",Agent06_Loans!L147)</f>
        <v/>
      </c>
      <c r="M1135" s="40" t="str">
        <f>IFERROR(IF(Agent06_Loans!B147="","",YEAR(Agent06_Loans!D147)),"")</f>
        <v/>
      </c>
    </row>
    <row r="1136" spans="1:13" ht="18" customHeight="1" x14ac:dyDescent="0.25">
      <c r="A1136" s="40" t="str">
        <f>IF(Agent06_Loans!B148="","",Agent06_Loans!A148)</f>
        <v/>
      </c>
      <c r="B1136" s="40" t="str">
        <f>IF(Agent06_Loans!B148="","",Agent06_Loans!B148)</f>
        <v/>
      </c>
      <c r="C1136" s="40" t="str">
        <f>IF(Agent06_Loans!B148="","",Agent06_Loans!C148)</f>
        <v/>
      </c>
      <c r="D1136" s="41" t="str">
        <f>IF(Agent06_Loans!B148="","",Agent06_Loans!D148)</f>
        <v/>
      </c>
      <c r="E1136" s="43" t="str">
        <f>IF(Agent06_Loans!B148="","",Agent06_Loans!E148)</f>
        <v/>
      </c>
      <c r="F1136" s="40" t="str">
        <f>IF(Agent06_Loans!B148="","",Agent06_Loans!F148)</f>
        <v/>
      </c>
      <c r="G1136" s="40" t="str">
        <f>IF(Agent06_Loans!B148="","",Agent06_Loans!G148)</f>
        <v/>
      </c>
      <c r="H1136" s="40" t="str">
        <f>IF(Agent06_Loans!B148="","",Agent06_Loans!H148)</f>
        <v/>
      </c>
      <c r="I1136" s="43" t="str">
        <f>IF(Agent06_Loans!B148="","",Agent06_Loans!I148)</f>
        <v/>
      </c>
      <c r="J1136" s="43" t="str">
        <f>IF(Agent06_Loans!B148="","",Agent06_Loans!J148)</f>
        <v/>
      </c>
      <c r="K1136" s="40" t="str">
        <f>IF(Agent06_Loans!B148="","",Agent06_Loans!K148)</f>
        <v/>
      </c>
      <c r="L1136" s="40" t="str">
        <f>IF(Agent06_Loans!B148="","",Agent06_Loans!L148)</f>
        <v/>
      </c>
      <c r="M1136" s="40" t="str">
        <f>IFERROR(IF(Agent06_Loans!B148="","",YEAR(Agent06_Loans!D148)),"")</f>
        <v/>
      </c>
    </row>
    <row r="1137" spans="1:13" ht="18" customHeight="1" x14ac:dyDescent="0.25">
      <c r="A1137" s="40" t="str">
        <f>IF(Agent06_Loans!B149="","",Agent06_Loans!A149)</f>
        <v/>
      </c>
      <c r="B1137" s="40" t="str">
        <f>IF(Agent06_Loans!B149="","",Agent06_Loans!B149)</f>
        <v/>
      </c>
      <c r="C1137" s="40" t="str">
        <f>IF(Agent06_Loans!B149="","",Agent06_Loans!C149)</f>
        <v/>
      </c>
      <c r="D1137" s="41" t="str">
        <f>IF(Agent06_Loans!B149="","",Agent06_Loans!D149)</f>
        <v/>
      </c>
      <c r="E1137" s="43" t="str">
        <f>IF(Agent06_Loans!B149="","",Agent06_Loans!E149)</f>
        <v/>
      </c>
      <c r="F1137" s="40" t="str">
        <f>IF(Agent06_Loans!B149="","",Agent06_Loans!F149)</f>
        <v/>
      </c>
      <c r="G1137" s="40" t="str">
        <f>IF(Agent06_Loans!B149="","",Agent06_Loans!G149)</f>
        <v/>
      </c>
      <c r="H1137" s="40" t="str">
        <f>IF(Agent06_Loans!B149="","",Agent06_Loans!H149)</f>
        <v/>
      </c>
      <c r="I1137" s="43" t="str">
        <f>IF(Agent06_Loans!B149="","",Agent06_Loans!I149)</f>
        <v/>
      </c>
      <c r="J1137" s="43" t="str">
        <f>IF(Agent06_Loans!B149="","",Agent06_Loans!J149)</f>
        <v/>
      </c>
      <c r="K1137" s="40" t="str">
        <f>IF(Agent06_Loans!B149="","",Agent06_Loans!K149)</f>
        <v/>
      </c>
      <c r="L1137" s="40" t="str">
        <f>IF(Agent06_Loans!B149="","",Agent06_Loans!L149)</f>
        <v/>
      </c>
      <c r="M1137" s="40" t="str">
        <f>IFERROR(IF(Agent06_Loans!B149="","",YEAR(Agent06_Loans!D149)),"")</f>
        <v/>
      </c>
    </row>
    <row r="1138" spans="1:13" ht="18" customHeight="1" x14ac:dyDescent="0.25">
      <c r="A1138" s="40" t="str">
        <f>IF(Agent06_Loans!B150="","",Agent06_Loans!A150)</f>
        <v/>
      </c>
      <c r="B1138" s="40" t="str">
        <f>IF(Agent06_Loans!B150="","",Agent06_Loans!B150)</f>
        <v/>
      </c>
      <c r="C1138" s="40" t="str">
        <f>IF(Agent06_Loans!B150="","",Agent06_Loans!C150)</f>
        <v/>
      </c>
      <c r="D1138" s="41" t="str">
        <f>IF(Agent06_Loans!B150="","",Agent06_Loans!D150)</f>
        <v/>
      </c>
      <c r="E1138" s="43" t="str">
        <f>IF(Agent06_Loans!B150="","",Agent06_Loans!E150)</f>
        <v/>
      </c>
      <c r="F1138" s="40" t="str">
        <f>IF(Agent06_Loans!B150="","",Agent06_Loans!F150)</f>
        <v/>
      </c>
      <c r="G1138" s="40" t="str">
        <f>IF(Agent06_Loans!B150="","",Agent06_Loans!G150)</f>
        <v/>
      </c>
      <c r="H1138" s="40" t="str">
        <f>IF(Agent06_Loans!B150="","",Agent06_Loans!H150)</f>
        <v/>
      </c>
      <c r="I1138" s="43" t="str">
        <f>IF(Agent06_Loans!B150="","",Agent06_Loans!I150)</f>
        <v/>
      </c>
      <c r="J1138" s="43" t="str">
        <f>IF(Agent06_Loans!B150="","",Agent06_Loans!J150)</f>
        <v/>
      </c>
      <c r="K1138" s="40" t="str">
        <f>IF(Agent06_Loans!B150="","",Agent06_Loans!K150)</f>
        <v/>
      </c>
      <c r="L1138" s="40" t="str">
        <f>IF(Agent06_Loans!B150="","",Agent06_Loans!L150)</f>
        <v/>
      </c>
      <c r="M1138" s="40" t="str">
        <f>IFERROR(IF(Agent06_Loans!B150="","",YEAR(Agent06_Loans!D150)),"")</f>
        <v/>
      </c>
    </row>
    <row r="1139" spans="1:13" ht="18" customHeight="1" x14ac:dyDescent="0.25">
      <c r="A1139" s="40" t="str">
        <f>IF(Agent06_Loans!B151="","",Agent06_Loans!A151)</f>
        <v/>
      </c>
      <c r="B1139" s="40" t="str">
        <f>IF(Agent06_Loans!B151="","",Agent06_Loans!B151)</f>
        <v/>
      </c>
      <c r="C1139" s="40" t="str">
        <f>IF(Agent06_Loans!B151="","",Agent06_Loans!C151)</f>
        <v/>
      </c>
      <c r="D1139" s="41" t="str">
        <f>IF(Agent06_Loans!B151="","",Agent06_Loans!D151)</f>
        <v/>
      </c>
      <c r="E1139" s="43" t="str">
        <f>IF(Agent06_Loans!B151="","",Agent06_Loans!E151)</f>
        <v/>
      </c>
      <c r="F1139" s="40" t="str">
        <f>IF(Agent06_Loans!B151="","",Agent06_Loans!F151)</f>
        <v/>
      </c>
      <c r="G1139" s="40" t="str">
        <f>IF(Agent06_Loans!B151="","",Agent06_Loans!G151)</f>
        <v/>
      </c>
      <c r="H1139" s="40" t="str">
        <f>IF(Agent06_Loans!B151="","",Agent06_Loans!H151)</f>
        <v/>
      </c>
      <c r="I1139" s="43" t="str">
        <f>IF(Agent06_Loans!B151="","",Agent06_Loans!I151)</f>
        <v/>
      </c>
      <c r="J1139" s="43" t="str">
        <f>IF(Agent06_Loans!B151="","",Agent06_Loans!J151)</f>
        <v/>
      </c>
      <c r="K1139" s="40" t="str">
        <f>IF(Agent06_Loans!B151="","",Agent06_Loans!K151)</f>
        <v/>
      </c>
      <c r="L1139" s="40" t="str">
        <f>IF(Agent06_Loans!B151="","",Agent06_Loans!L151)</f>
        <v/>
      </c>
      <c r="M1139" s="40" t="str">
        <f>IFERROR(IF(Agent06_Loans!B151="","",YEAR(Agent06_Loans!D151)),"")</f>
        <v/>
      </c>
    </row>
    <row r="1140" spans="1:13" ht="18" customHeight="1" x14ac:dyDescent="0.25">
      <c r="A1140" s="40" t="str">
        <f>IF(Agent06_Loans!B152="","",Agent06_Loans!A152)</f>
        <v/>
      </c>
      <c r="B1140" s="40" t="str">
        <f>IF(Agent06_Loans!B152="","",Agent06_Loans!B152)</f>
        <v/>
      </c>
      <c r="C1140" s="40" t="str">
        <f>IF(Agent06_Loans!B152="","",Agent06_Loans!C152)</f>
        <v/>
      </c>
      <c r="D1140" s="41" t="str">
        <f>IF(Agent06_Loans!B152="","",Agent06_Loans!D152)</f>
        <v/>
      </c>
      <c r="E1140" s="43" t="str">
        <f>IF(Agent06_Loans!B152="","",Agent06_Loans!E152)</f>
        <v/>
      </c>
      <c r="F1140" s="40" t="str">
        <f>IF(Agent06_Loans!B152="","",Agent06_Loans!F152)</f>
        <v/>
      </c>
      <c r="G1140" s="40" t="str">
        <f>IF(Agent06_Loans!B152="","",Agent06_Loans!G152)</f>
        <v/>
      </c>
      <c r="H1140" s="40" t="str">
        <f>IF(Agent06_Loans!B152="","",Agent06_Loans!H152)</f>
        <v/>
      </c>
      <c r="I1140" s="43" t="str">
        <f>IF(Agent06_Loans!B152="","",Agent06_Loans!I152)</f>
        <v/>
      </c>
      <c r="J1140" s="43" t="str">
        <f>IF(Agent06_Loans!B152="","",Agent06_Loans!J152)</f>
        <v/>
      </c>
      <c r="K1140" s="40" t="str">
        <f>IF(Agent06_Loans!B152="","",Agent06_Loans!K152)</f>
        <v/>
      </c>
      <c r="L1140" s="40" t="str">
        <f>IF(Agent06_Loans!B152="","",Agent06_Loans!L152)</f>
        <v/>
      </c>
      <c r="M1140" s="40" t="str">
        <f>IFERROR(IF(Agent06_Loans!B152="","",YEAR(Agent06_Loans!D152)),"")</f>
        <v/>
      </c>
    </row>
    <row r="1141" spans="1:13" ht="18" customHeight="1" x14ac:dyDescent="0.25">
      <c r="A1141" s="40" t="str">
        <f>IF(Agent06_Loans!B153="","",Agent06_Loans!A153)</f>
        <v/>
      </c>
      <c r="B1141" s="40" t="str">
        <f>IF(Agent06_Loans!B153="","",Agent06_Loans!B153)</f>
        <v/>
      </c>
      <c r="C1141" s="40" t="str">
        <f>IF(Agent06_Loans!B153="","",Agent06_Loans!C153)</f>
        <v/>
      </c>
      <c r="D1141" s="41" t="str">
        <f>IF(Agent06_Loans!B153="","",Agent06_Loans!D153)</f>
        <v/>
      </c>
      <c r="E1141" s="43" t="str">
        <f>IF(Agent06_Loans!B153="","",Agent06_Loans!E153)</f>
        <v/>
      </c>
      <c r="F1141" s="40" t="str">
        <f>IF(Agent06_Loans!B153="","",Agent06_Loans!F153)</f>
        <v/>
      </c>
      <c r="G1141" s="40" t="str">
        <f>IF(Agent06_Loans!B153="","",Agent06_Loans!G153)</f>
        <v/>
      </c>
      <c r="H1141" s="40" t="str">
        <f>IF(Agent06_Loans!B153="","",Agent06_Loans!H153)</f>
        <v/>
      </c>
      <c r="I1141" s="43" t="str">
        <f>IF(Agent06_Loans!B153="","",Agent06_Loans!I153)</f>
        <v/>
      </c>
      <c r="J1141" s="43" t="str">
        <f>IF(Agent06_Loans!B153="","",Agent06_Loans!J153)</f>
        <v/>
      </c>
      <c r="K1141" s="40" t="str">
        <f>IF(Agent06_Loans!B153="","",Agent06_Loans!K153)</f>
        <v/>
      </c>
      <c r="L1141" s="40" t="str">
        <f>IF(Agent06_Loans!B153="","",Agent06_Loans!L153)</f>
        <v/>
      </c>
      <c r="M1141" s="40" t="str">
        <f>IFERROR(IF(Agent06_Loans!B153="","",YEAR(Agent06_Loans!D153)),"")</f>
        <v/>
      </c>
    </row>
    <row r="1142" spans="1:13" ht="18" customHeight="1" x14ac:dyDescent="0.25">
      <c r="A1142" s="40" t="str">
        <f>IF(Agent06_Loans!B154="","",Agent06_Loans!A154)</f>
        <v/>
      </c>
      <c r="B1142" s="40" t="str">
        <f>IF(Agent06_Loans!B154="","",Agent06_Loans!B154)</f>
        <v/>
      </c>
      <c r="C1142" s="40" t="str">
        <f>IF(Agent06_Loans!B154="","",Agent06_Loans!C154)</f>
        <v/>
      </c>
      <c r="D1142" s="41" t="str">
        <f>IF(Agent06_Loans!B154="","",Agent06_Loans!D154)</f>
        <v/>
      </c>
      <c r="E1142" s="43" t="str">
        <f>IF(Agent06_Loans!B154="","",Agent06_Loans!E154)</f>
        <v/>
      </c>
      <c r="F1142" s="40" t="str">
        <f>IF(Agent06_Loans!B154="","",Agent06_Loans!F154)</f>
        <v/>
      </c>
      <c r="G1142" s="40" t="str">
        <f>IF(Agent06_Loans!B154="","",Agent06_Loans!G154)</f>
        <v/>
      </c>
      <c r="H1142" s="40" t="str">
        <f>IF(Agent06_Loans!B154="","",Agent06_Loans!H154)</f>
        <v/>
      </c>
      <c r="I1142" s="43" t="str">
        <f>IF(Agent06_Loans!B154="","",Agent06_Loans!I154)</f>
        <v/>
      </c>
      <c r="J1142" s="43" t="str">
        <f>IF(Agent06_Loans!B154="","",Agent06_Loans!J154)</f>
        <v/>
      </c>
      <c r="K1142" s="40" t="str">
        <f>IF(Agent06_Loans!B154="","",Agent06_Loans!K154)</f>
        <v/>
      </c>
      <c r="L1142" s="40" t="str">
        <f>IF(Agent06_Loans!B154="","",Agent06_Loans!L154)</f>
        <v/>
      </c>
      <c r="M1142" s="40" t="str">
        <f>IFERROR(IF(Agent06_Loans!B154="","",YEAR(Agent06_Loans!D154)),"")</f>
        <v/>
      </c>
    </row>
    <row r="1143" spans="1:13" ht="18" customHeight="1" x14ac:dyDescent="0.25">
      <c r="A1143" s="40" t="str">
        <f>IF(Agent06_Loans!B155="","",Agent06_Loans!A155)</f>
        <v/>
      </c>
      <c r="B1143" s="40" t="str">
        <f>IF(Agent06_Loans!B155="","",Agent06_Loans!B155)</f>
        <v/>
      </c>
      <c r="C1143" s="40" t="str">
        <f>IF(Agent06_Loans!B155="","",Agent06_Loans!C155)</f>
        <v/>
      </c>
      <c r="D1143" s="41" t="str">
        <f>IF(Agent06_Loans!B155="","",Agent06_Loans!D155)</f>
        <v/>
      </c>
      <c r="E1143" s="43" t="str">
        <f>IF(Agent06_Loans!B155="","",Agent06_Loans!E155)</f>
        <v/>
      </c>
      <c r="F1143" s="40" t="str">
        <f>IF(Agent06_Loans!B155="","",Agent06_Loans!F155)</f>
        <v/>
      </c>
      <c r="G1143" s="40" t="str">
        <f>IF(Agent06_Loans!B155="","",Agent06_Loans!G155)</f>
        <v/>
      </c>
      <c r="H1143" s="40" t="str">
        <f>IF(Agent06_Loans!B155="","",Agent06_Loans!H155)</f>
        <v/>
      </c>
      <c r="I1143" s="43" t="str">
        <f>IF(Agent06_Loans!B155="","",Agent06_Loans!I155)</f>
        <v/>
      </c>
      <c r="J1143" s="43" t="str">
        <f>IF(Agent06_Loans!B155="","",Agent06_Loans!J155)</f>
        <v/>
      </c>
      <c r="K1143" s="40" t="str">
        <f>IF(Agent06_Loans!B155="","",Agent06_Loans!K155)</f>
        <v/>
      </c>
      <c r="L1143" s="40" t="str">
        <f>IF(Agent06_Loans!B155="","",Agent06_Loans!L155)</f>
        <v/>
      </c>
      <c r="M1143" s="40" t="str">
        <f>IFERROR(IF(Agent06_Loans!B155="","",YEAR(Agent06_Loans!D155)),"")</f>
        <v/>
      </c>
    </row>
    <row r="1144" spans="1:13" ht="18" customHeight="1" x14ac:dyDescent="0.25">
      <c r="A1144" s="40" t="str">
        <f>IF(Agent06_Loans!B156="","",Agent06_Loans!A156)</f>
        <v/>
      </c>
      <c r="B1144" s="40" t="str">
        <f>IF(Agent06_Loans!B156="","",Agent06_Loans!B156)</f>
        <v/>
      </c>
      <c r="C1144" s="40" t="str">
        <f>IF(Agent06_Loans!B156="","",Agent06_Loans!C156)</f>
        <v/>
      </c>
      <c r="D1144" s="41" t="str">
        <f>IF(Agent06_Loans!B156="","",Agent06_Loans!D156)</f>
        <v/>
      </c>
      <c r="E1144" s="43" t="str">
        <f>IF(Agent06_Loans!B156="","",Agent06_Loans!E156)</f>
        <v/>
      </c>
      <c r="F1144" s="40" t="str">
        <f>IF(Agent06_Loans!B156="","",Agent06_Loans!F156)</f>
        <v/>
      </c>
      <c r="G1144" s="40" t="str">
        <f>IF(Agent06_Loans!B156="","",Agent06_Loans!G156)</f>
        <v/>
      </c>
      <c r="H1144" s="40" t="str">
        <f>IF(Agent06_Loans!B156="","",Agent06_Loans!H156)</f>
        <v/>
      </c>
      <c r="I1144" s="43" t="str">
        <f>IF(Agent06_Loans!B156="","",Agent06_Loans!I156)</f>
        <v/>
      </c>
      <c r="J1144" s="43" t="str">
        <f>IF(Agent06_Loans!B156="","",Agent06_Loans!J156)</f>
        <v/>
      </c>
      <c r="K1144" s="40" t="str">
        <f>IF(Agent06_Loans!B156="","",Agent06_Loans!K156)</f>
        <v/>
      </c>
      <c r="L1144" s="40" t="str">
        <f>IF(Agent06_Loans!B156="","",Agent06_Loans!L156)</f>
        <v/>
      </c>
      <c r="M1144" s="40" t="str">
        <f>IFERROR(IF(Agent06_Loans!B156="","",YEAR(Agent06_Loans!D156)),"")</f>
        <v/>
      </c>
    </row>
    <row r="1145" spans="1:13" ht="18" customHeight="1" x14ac:dyDescent="0.25">
      <c r="A1145" s="40" t="str">
        <f>IF(Agent06_Loans!B157="","",Agent06_Loans!A157)</f>
        <v/>
      </c>
      <c r="B1145" s="40" t="str">
        <f>IF(Agent06_Loans!B157="","",Agent06_Loans!B157)</f>
        <v/>
      </c>
      <c r="C1145" s="40" t="str">
        <f>IF(Agent06_Loans!B157="","",Agent06_Loans!C157)</f>
        <v/>
      </c>
      <c r="D1145" s="41" t="str">
        <f>IF(Agent06_Loans!B157="","",Agent06_Loans!D157)</f>
        <v/>
      </c>
      <c r="E1145" s="43" t="str">
        <f>IF(Agent06_Loans!B157="","",Agent06_Loans!E157)</f>
        <v/>
      </c>
      <c r="F1145" s="40" t="str">
        <f>IF(Agent06_Loans!B157="","",Agent06_Loans!F157)</f>
        <v/>
      </c>
      <c r="G1145" s="40" t="str">
        <f>IF(Agent06_Loans!B157="","",Agent06_Loans!G157)</f>
        <v/>
      </c>
      <c r="H1145" s="40" t="str">
        <f>IF(Agent06_Loans!B157="","",Agent06_Loans!H157)</f>
        <v/>
      </c>
      <c r="I1145" s="43" t="str">
        <f>IF(Agent06_Loans!B157="","",Agent06_Loans!I157)</f>
        <v/>
      </c>
      <c r="J1145" s="43" t="str">
        <f>IF(Agent06_Loans!B157="","",Agent06_Loans!J157)</f>
        <v/>
      </c>
      <c r="K1145" s="40" t="str">
        <f>IF(Agent06_Loans!B157="","",Agent06_Loans!K157)</f>
        <v/>
      </c>
      <c r="L1145" s="40" t="str">
        <f>IF(Agent06_Loans!B157="","",Agent06_Loans!L157)</f>
        <v/>
      </c>
      <c r="M1145" s="40" t="str">
        <f>IFERROR(IF(Agent06_Loans!B157="","",YEAR(Agent06_Loans!D157)),"")</f>
        <v/>
      </c>
    </row>
    <row r="1146" spans="1:13" ht="18" customHeight="1" x14ac:dyDescent="0.25">
      <c r="A1146" s="40" t="str">
        <f>IF(Agent06_Loans!B158="","",Agent06_Loans!A158)</f>
        <v/>
      </c>
      <c r="B1146" s="40" t="str">
        <f>IF(Agent06_Loans!B158="","",Agent06_Loans!B158)</f>
        <v/>
      </c>
      <c r="C1146" s="40" t="str">
        <f>IF(Agent06_Loans!B158="","",Agent06_Loans!C158)</f>
        <v/>
      </c>
      <c r="D1146" s="41" t="str">
        <f>IF(Agent06_Loans!B158="","",Agent06_Loans!D158)</f>
        <v/>
      </c>
      <c r="E1146" s="43" t="str">
        <f>IF(Agent06_Loans!B158="","",Agent06_Loans!E158)</f>
        <v/>
      </c>
      <c r="F1146" s="40" t="str">
        <f>IF(Agent06_Loans!B158="","",Agent06_Loans!F158)</f>
        <v/>
      </c>
      <c r="G1146" s="40" t="str">
        <f>IF(Agent06_Loans!B158="","",Agent06_Loans!G158)</f>
        <v/>
      </c>
      <c r="H1146" s="40" t="str">
        <f>IF(Agent06_Loans!B158="","",Agent06_Loans!H158)</f>
        <v/>
      </c>
      <c r="I1146" s="43" t="str">
        <f>IF(Agent06_Loans!B158="","",Agent06_Loans!I158)</f>
        <v/>
      </c>
      <c r="J1146" s="43" t="str">
        <f>IF(Agent06_Loans!B158="","",Agent06_Loans!J158)</f>
        <v/>
      </c>
      <c r="K1146" s="40" t="str">
        <f>IF(Agent06_Loans!B158="","",Agent06_Loans!K158)</f>
        <v/>
      </c>
      <c r="L1146" s="40" t="str">
        <f>IF(Agent06_Loans!B158="","",Agent06_Loans!L158)</f>
        <v/>
      </c>
      <c r="M1146" s="40" t="str">
        <f>IFERROR(IF(Agent06_Loans!B158="","",YEAR(Agent06_Loans!D158)),"")</f>
        <v/>
      </c>
    </row>
    <row r="1147" spans="1:13" ht="18" customHeight="1" x14ac:dyDescent="0.25">
      <c r="A1147" s="40" t="str">
        <f>IF(Agent06_Loans!B159="","",Agent06_Loans!A159)</f>
        <v/>
      </c>
      <c r="B1147" s="40" t="str">
        <f>IF(Agent06_Loans!B159="","",Agent06_Loans!B159)</f>
        <v/>
      </c>
      <c r="C1147" s="40" t="str">
        <f>IF(Agent06_Loans!B159="","",Agent06_Loans!C159)</f>
        <v/>
      </c>
      <c r="D1147" s="41" t="str">
        <f>IF(Agent06_Loans!B159="","",Agent06_Loans!D159)</f>
        <v/>
      </c>
      <c r="E1147" s="43" t="str">
        <f>IF(Agent06_Loans!B159="","",Agent06_Loans!E159)</f>
        <v/>
      </c>
      <c r="F1147" s="40" t="str">
        <f>IF(Agent06_Loans!B159="","",Agent06_Loans!F159)</f>
        <v/>
      </c>
      <c r="G1147" s="40" t="str">
        <f>IF(Agent06_Loans!B159="","",Agent06_Loans!G159)</f>
        <v/>
      </c>
      <c r="H1147" s="40" t="str">
        <f>IF(Agent06_Loans!B159="","",Agent06_Loans!H159)</f>
        <v/>
      </c>
      <c r="I1147" s="43" t="str">
        <f>IF(Agent06_Loans!B159="","",Agent06_Loans!I159)</f>
        <v/>
      </c>
      <c r="J1147" s="43" t="str">
        <f>IF(Agent06_Loans!B159="","",Agent06_Loans!J159)</f>
        <v/>
      </c>
      <c r="K1147" s="40" t="str">
        <f>IF(Agent06_Loans!B159="","",Agent06_Loans!K159)</f>
        <v/>
      </c>
      <c r="L1147" s="40" t="str">
        <f>IF(Agent06_Loans!B159="","",Agent06_Loans!L159)</f>
        <v/>
      </c>
      <c r="M1147" s="40" t="str">
        <f>IFERROR(IF(Agent06_Loans!B159="","",YEAR(Agent06_Loans!D159)),"")</f>
        <v/>
      </c>
    </row>
    <row r="1148" spans="1:13" ht="18" customHeight="1" x14ac:dyDescent="0.25">
      <c r="A1148" s="40" t="str">
        <f>IF(Agent06_Loans!B160="","",Agent06_Loans!A160)</f>
        <v/>
      </c>
      <c r="B1148" s="40" t="str">
        <f>IF(Agent06_Loans!B160="","",Agent06_Loans!B160)</f>
        <v/>
      </c>
      <c r="C1148" s="40" t="str">
        <f>IF(Agent06_Loans!B160="","",Agent06_Loans!C160)</f>
        <v/>
      </c>
      <c r="D1148" s="41" t="str">
        <f>IF(Agent06_Loans!B160="","",Agent06_Loans!D160)</f>
        <v/>
      </c>
      <c r="E1148" s="43" t="str">
        <f>IF(Agent06_Loans!B160="","",Agent06_Loans!E160)</f>
        <v/>
      </c>
      <c r="F1148" s="40" t="str">
        <f>IF(Agent06_Loans!B160="","",Agent06_Loans!F160)</f>
        <v/>
      </c>
      <c r="G1148" s="40" t="str">
        <f>IF(Agent06_Loans!B160="","",Agent06_Loans!G160)</f>
        <v/>
      </c>
      <c r="H1148" s="40" t="str">
        <f>IF(Agent06_Loans!B160="","",Agent06_Loans!H160)</f>
        <v/>
      </c>
      <c r="I1148" s="43" t="str">
        <f>IF(Agent06_Loans!B160="","",Agent06_Loans!I160)</f>
        <v/>
      </c>
      <c r="J1148" s="43" t="str">
        <f>IF(Agent06_Loans!B160="","",Agent06_Loans!J160)</f>
        <v/>
      </c>
      <c r="K1148" s="40" t="str">
        <f>IF(Agent06_Loans!B160="","",Agent06_Loans!K160)</f>
        <v/>
      </c>
      <c r="L1148" s="40" t="str">
        <f>IF(Agent06_Loans!B160="","",Agent06_Loans!L160)</f>
        <v/>
      </c>
      <c r="M1148" s="40" t="str">
        <f>IFERROR(IF(Agent06_Loans!B160="","",YEAR(Agent06_Loans!D160)),"")</f>
        <v/>
      </c>
    </row>
    <row r="1149" spans="1:13" ht="18" customHeight="1" x14ac:dyDescent="0.25">
      <c r="A1149" s="40" t="str">
        <f>IF(Agent06_Loans!B161="","",Agent06_Loans!A161)</f>
        <v/>
      </c>
      <c r="B1149" s="40" t="str">
        <f>IF(Agent06_Loans!B161="","",Agent06_Loans!B161)</f>
        <v/>
      </c>
      <c r="C1149" s="40" t="str">
        <f>IF(Agent06_Loans!B161="","",Agent06_Loans!C161)</f>
        <v/>
      </c>
      <c r="D1149" s="41" t="str">
        <f>IF(Agent06_Loans!B161="","",Agent06_Loans!D161)</f>
        <v/>
      </c>
      <c r="E1149" s="43" t="str">
        <f>IF(Agent06_Loans!B161="","",Agent06_Loans!E161)</f>
        <v/>
      </c>
      <c r="F1149" s="40" t="str">
        <f>IF(Agent06_Loans!B161="","",Agent06_Loans!F161)</f>
        <v/>
      </c>
      <c r="G1149" s="40" t="str">
        <f>IF(Agent06_Loans!B161="","",Agent06_Loans!G161)</f>
        <v/>
      </c>
      <c r="H1149" s="40" t="str">
        <f>IF(Agent06_Loans!B161="","",Agent06_Loans!H161)</f>
        <v/>
      </c>
      <c r="I1149" s="43" t="str">
        <f>IF(Agent06_Loans!B161="","",Agent06_Loans!I161)</f>
        <v/>
      </c>
      <c r="J1149" s="43" t="str">
        <f>IF(Agent06_Loans!B161="","",Agent06_Loans!J161)</f>
        <v/>
      </c>
      <c r="K1149" s="40" t="str">
        <f>IF(Agent06_Loans!B161="","",Agent06_Loans!K161)</f>
        <v/>
      </c>
      <c r="L1149" s="40" t="str">
        <f>IF(Agent06_Loans!B161="","",Agent06_Loans!L161)</f>
        <v/>
      </c>
      <c r="M1149" s="40" t="str">
        <f>IFERROR(IF(Agent06_Loans!B161="","",YEAR(Agent06_Loans!D161)),"")</f>
        <v/>
      </c>
    </row>
    <row r="1150" spans="1:13" ht="18" customHeight="1" x14ac:dyDescent="0.25">
      <c r="A1150" s="40" t="str">
        <f>IF(Agent06_Loans!B162="","",Agent06_Loans!A162)</f>
        <v/>
      </c>
      <c r="B1150" s="40" t="str">
        <f>IF(Agent06_Loans!B162="","",Agent06_Loans!B162)</f>
        <v/>
      </c>
      <c r="C1150" s="40" t="str">
        <f>IF(Agent06_Loans!B162="","",Agent06_Loans!C162)</f>
        <v/>
      </c>
      <c r="D1150" s="41" t="str">
        <f>IF(Agent06_Loans!B162="","",Agent06_Loans!D162)</f>
        <v/>
      </c>
      <c r="E1150" s="43" t="str">
        <f>IF(Agent06_Loans!B162="","",Agent06_Loans!E162)</f>
        <v/>
      </c>
      <c r="F1150" s="40" t="str">
        <f>IF(Agent06_Loans!B162="","",Agent06_Loans!F162)</f>
        <v/>
      </c>
      <c r="G1150" s="40" t="str">
        <f>IF(Agent06_Loans!B162="","",Agent06_Loans!G162)</f>
        <v/>
      </c>
      <c r="H1150" s="40" t="str">
        <f>IF(Agent06_Loans!B162="","",Agent06_Loans!H162)</f>
        <v/>
      </c>
      <c r="I1150" s="43" t="str">
        <f>IF(Agent06_Loans!B162="","",Agent06_Loans!I162)</f>
        <v/>
      </c>
      <c r="J1150" s="43" t="str">
        <f>IF(Agent06_Loans!B162="","",Agent06_Loans!J162)</f>
        <v/>
      </c>
      <c r="K1150" s="40" t="str">
        <f>IF(Agent06_Loans!B162="","",Agent06_Loans!K162)</f>
        <v/>
      </c>
      <c r="L1150" s="40" t="str">
        <f>IF(Agent06_Loans!B162="","",Agent06_Loans!L162)</f>
        <v/>
      </c>
      <c r="M1150" s="40" t="str">
        <f>IFERROR(IF(Agent06_Loans!B162="","",YEAR(Agent06_Loans!D162)),"")</f>
        <v/>
      </c>
    </row>
    <row r="1151" spans="1:13" ht="18" customHeight="1" x14ac:dyDescent="0.25">
      <c r="A1151" s="40" t="str">
        <f>IF(Agent06_Loans!B163="","",Agent06_Loans!A163)</f>
        <v/>
      </c>
      <c r="B1151" s="40" t="str">
        <f>IF(Agent06_Loans!B163="","",Agent06_Loans!B163)</f>
        <v/>
      </c>
      <c r="C1151" s="40" t="str">
        <f>IF(Agent06_Loans!B163="","",Agent06_Loans!C163)</f>
        <v/>
      </c>
      <c r="D1151" s="41" t="str">
        <f>IF(Agent06_Loans!B163="","",Agent06_Loans!D163)</f>
        <v/>
      </c>
      <c r="E1151" s="43" t="str">
        <f>IF(Agent06_Loans!B163="","",Agent06_Loans!E163)</f>
        <v/>
      </c>
      <c r="F1151" s="40" t="str">
        <f>IF(Agent06_Loans!B163="","",Agent06_Loans!F163)</f>
        <v/>
      </c>
      <c r="G1151" s="40" t="str">
        <f>IF(Agent06_Loans!B163="","",Agent06_Loans!G163)</f>
        <v/>
      </c>
      <c r="H1151" s="40" t="str">
        <f>IF(Agent06_Loans!B163="","",Agent06_Loans!H163)</f>
        <v/>
      </c>
      <c r="I1151" s="43" t="str">
        <f>IF(Agent06_Loans!B163="","",Agent06_Loans!I163)</f>
        <v/>
      </c>
      <c r="J1151" s="43" t="str">
        <f>IF(Agent06_Loans!B163="","",Agent06_Loans!J163)</f>
        <v/>
      </c>
      <c r="K1151" s="40" t="str">
        <f>IF(Agent06_Loans!B163="","",Agent06_Loans!K163)</f>
        <v/>
      </c>
      <c r="L1151" s="40" t="str">
        <f>IF(Agent06_Loans!B163="","",Agent06_Loans!L163)</f>
        <v/>
      </c>
      <c r="M1151" s="40" t="str">
        <f>IFERROR(IF(Agent06_Loans!B163="","",YEAR(Agent06_Loans!D163)),"")</f>
        <v/>
      </c>
    </row>
    <row r="1152" spans="1:13" ht="18" customHeight="1" x14ac:dyDescent="0.25">
      <c r="A1152" s="40" t="str">
        <f>IF(Agent06_Loans!B164="","",Agent06_Loans!A164)</f>
        <v/>
      </c>
      <c r="B1152" s="40" t="str">
        <f>IF(Agent06_Loans!B164="","",Agent06_Loans!B164)</f>
        <v/>
      </c>
      <c r="C1152" s="40" t="str">
        <f>IF(Agent06_Loans!B164="","",Agent06_Loans!C164)</f>
        <v/>
      </c>
      <c r="D1152" s="41" t="str">
        <f>IF(Agent06_Loans!B164="","",Agent06_Loans!D164)</f>
        <v/>
      </c>
      <c r="E1152" s="43" t="str">
        <f>IF(Agent06_Loans!B164="","",Agent06_Loans!E164)</f>
        <v/>
      </c>
      <c r="F1152" s="40" t="str">
        <f>IF(Agent06_Loans!B164="","",Agent06_Loans!F164)</f>
        <v/>
      </c>
      <c r="G1152" s="40" t="str">
        <f>IF(Agent06_Loans!B164="","",Agent06_Loans!G164)</f>
        <v/>
      </c>
      <c r="H1152" s="40" t="str">
        <f>IF(Agent06_Loans!B164="","",Agent06_Loans!H164)</f>
        <v/>
      </c>
      <c r="I1152" s="43" t="str">
        <f>IF(Agent06_Loans!B164="","",Agent06_Loans!I164)</f>
        <v/>
      </c>
      <c r="J1152" s="43" t="str">
        <f>IF(Agent06_Loans!B164="","",Agent06_Loans!J164)</f>
        <v/>
      </c>
      <c r="K1152" s="40" t="str">
        <f>IF(Agent06_Loans!B164="","",Agent06_Loans!K164)</f>
        <v/>
      </c>
      <c r="L1152" s="40" t="str">
        <f>IF(Agent06_Loans!B164="","",Agent06_Loans!L164)</f>
        <v/>
      </c>
      <c r="M1152" s="40" t="str">
        <f>IFERROR(IF(Agent06_Loans!B164="","",YEAR(Agent06_Loans!D164)),"")</f>
        <v/>
      </c>
    </row>
    <row r="1153" spans="1:13" ht="18" customHeight="1" x14ac:dyDescent="0.25">
      <c r="A1153" s="40" t="str">
        <f>IF(Agent06_Loans!B165="","",Agent06_Loans!A165)</f>
        <v/>
      </c>
      <c r="B1153" s="40" t="str">
        <f>IF(Agent06_Loans!B165="","",Agent06_Loans!B165)</f>
        <v/>
      </c>
      <c r="C1153" s="40" t="str">
        <f>IF(Agent06_Loans!B165="","",Agent06_Loans!C165)</f>
        <v/>
      </c>
      <c r="D1153" s="41" t="str">
        <f>IF(Agent06_Loans!B165="","",Agent06_Loans!D165)</f>
        <v/>
      </c>
      <c r="E1153" s="43" t="str">
        <f>IF(Agent06_Loans!B165="","",Agent06_Loans!E165)</f>
        <v/>
      </c>
      <c r="F1153" s="40" t="str">
        <f>IF(Agent06_Loans!B165="","",Agent06_Loans!F165)</f>
        <v/>
      </c>
      <c r="G1153" s="40" t="str">
        <f>IF(Agent06_Loans!B165="","",Agent06_Loans!G165)</f>
        <v/>
      </c>
      <c r="H1153" s="40" t="str">
        <f>IF(Agent06_Loans!B165="","",Agent06_Loans!H165)</f>
        <v/>
      </c>
      <c r="I1153" s="43" t="str">
        <f>IF(Agent06_Loans!B165="","",Agent06_Loans!I165)</f>
        <v/>
      </c>
      <c r="J1153" s="43" t="str">
        <f>IF(Agent06_Loans!B165="","",Agent06_Loans!J165)</f>
        <v/>
      </c>
      <c r="K1153" s="40" t="str">
        <f>IF(Agent06_Loans!B165="","",Agent06_Loans!K165)</f>
        <v/>
      </c>
      <c r="L1153" s="40" t="str">
        <f>IF(Agent06_Loans!B165="","",Agent06_Loans!L165)</f>
        <v/>
      </c>
      <c r="M1153" s="40" t="str">
        <f>IFERROR(IF(Agent06_Loans!B165="","",YEAR(Agent06_Loans!D165)),"")</f>
        <v/>
      </c>
    </row>
    <row r="1154" spans="1:13" ht="18" customHeight="1" x14ac:dyDescent="0.25">
      <c r="A1154" s="40" t="str">
        <f>IF(Agent06_Loans!B166="","",Agent06_Loans!A166)</f>
        <v/>
      </c>
      <c r="B1154" s="40" t="str">
        <f>IF(Agent06_Loans!B166="","",Agent06_Loans!B166)</f>
        <v/>
      </c>
      <c r="C1154" s="40" t="str">
        <f>IF(Agent06_Loans!B166="","",Agent06_Loans!C166)</f>
        <v/>
      </c>
      <c r="D1154" s="41" t="str">
        <f>IF(Agent06_Loans!B166="","",Agent06_Loans!D166)</f>
        <v/>
      </c>
      <c r="E1154" s="43" t="str">
        <f>IF(Agent06_Loans!B166="","",Agent06_Loans!E166)</f>
        <v/>
      </c>
      <c r="F1154" s="40" t="str">
        <f>IF(Agent06_Loans!B166="","",Agent06_Loans!F166)</f>
        <v/>
      </c>
      <c r="G1154" s="40" t="str">
        <f>IF(Agent06_Loans!B166="","",Agent06_Loans!G166)</f>
        <v/>
      </c>
      <c r="H1154" s="40" t="str">
        <f>IF(Agent06_Loans!B166="","",Agent06_Loans!H166)</f>
        <v/>
      </c>
      <c r="I1154" s="43" t="str">
        <f>IF(Agent06_Loans!B166="","",Agent06_Loans!I166)</f>
        <v/>
      </c>
      <c r="J1154" s="43" t="str">
        <f>IF(Agent06_Loans!B166="","",Agent06_Loans!J166)</f>
        <v/>
      </c>
      <c r="K1154" s="40" t="str">
        <f>IF(Agent06_Loans!B166="","",Agent06_Loans!K166)</f>
        <v/>
      </c>
      <c r="L1154" s="40" t="str">
        <f>IF(Agent06_Loans!B166="","",Agent06_Loans!L166)</f>
        <v/>
      </c>
      <c r="M1154" s="40" t="str">
        <f>IFERROR(IF(Agent06_Loans!B166="","",YEAR(Agent06_Loans!D166)),"")</f>
        <v/>
      </c>
    </row>
    <row r="1155" spans="1:13" ht="18" customHeight="1" x14ac:dyDescent="0.25">
      <c r="A1155" s="40" t="str">
        <f>IF(Agent06_Loans!B167="","",Agent06_Loans!A167)</f>
        <v/>
      </c>
      <c r="B1155" s="40" t="str">
        <f>IF(Agent06_Loans!B167="","",Agent06_Loans!B167)</f>
        <v/>
      </c>
      <c r="C1155" s="40" t="str">
        <f>IF(Agent06_Loans!B167="","",Agent06_Loans!C167)</f>
        <v/>
      </c>
      <c r="D1155" s="41" t="str">
        <f>IF(Agent06_Loans!B167="","",Agent06_Loans!D167)</f>
        <v/>
      </c>
      <c r="E1155" s="43" t="str">
        <f>IF(Agent06_Loans!B167="","",Agent06_Loans!E167)</f>
        <v/>
      </c>
      <c r="F1155" s="40" t="str">
        <f>IF(Agent06_Loans!B167="","",Agent06_Loans!F167)</f>
        <v/>
      </c>
      <c r="G1155" s="40" t="str">
        <f>IF(Agent06_Loans!B167="","",Agent06_Loans!G167)</f>
        <v/>
      </c>
      <c r="H1155" s="40" t="str">
        <f>IF(Agent06_Loans!B167="","",Agent06_Loans!H167)</f>
        <v/>
      </c>
      <c r="I1155" s="43" t="str">
        <f>IF(Agent06_Loans!B167="","",Agent06_Loans!I167)</f>
        <v/>
      </c>
      <c r="J1155" s="43" t="str">
        <f>IF(Agent06_Loans!B167="","",Agent06_Loans!J167)</f>
        <v/>
      </c>
      <c r="K1155" s="40" t="str">
        <f>IF(Agent06_Loans!B167="","",Agent06_Loans!K167)</f>
        <v/>
      </c>
      <c r="L1155" s="40" t="str">
        <f>IF(Agent06_Loans!B167="","",Agent06_Loans!L167)</f>
        <v/>
      </c>
      <c r="M1155" s="40" t="str">
        <f>IFERROR(IF(Agent06_Loans!B167="","",YEAR(Agent06_Loans!D167)),"")</f>
        <v/>
      </c>
    </row>
    <row r="1156" spans="1:13" ht="18" customHeight="1" x14ac:dyDescent="0.25">
      <c r="A1156" s="40" t="str">
        <f>IF(Agent06_Loans!B168="","",Agent06_Loans!A168)</f>
        <v/>
      </c>
      <c r="B1156" s="40" t="str">
        <f>IF(Agent06_Loans!B168="","",Agent06_Loans!B168)</f>
        <v/>
      </c>
      <c r="C1156" s="40" t="str">
        <f>IF(Agent06_Loans!B168="","",Agent06_Loans!C168)</f>
        <v/>
      </c>
      <c r="D1156" s="41" t="str">
        <f>IF(Agent06_Loans!B168="","",Agent06_Loans!D168)</f>
        <v/>
      </c>
      <c r="E1156" s="43" t="str">
        <f>IF(Agent06_Loans!B168="","",Agent06_Loans!E168)</f>
        <v/>
      </c>
      <c r="F1156" s="40" t="str">
        <f>IF(Agent06_Loans!B168="","",Agent06_Loans!F168)</f>
        <v/>
      </c>
      <c r="G1156" s="40" t="str">
        <f>IF(Agent06_Loans!B168="","",Agent06_Loans!G168)</f>
        <v/>
      </c>
      <c r="H1156" s="40" t="str">
        <f>IF(Agent06_Loans!B168="","",Agent06_Loans!H168)</f>
        <v/>
      </c>
      <c r="I1156" s="43" t="str">
        <f>IF(Agent06_Loans!B168="","",Agent06_Loans!I168)</f>
        <v/>
      </c>
      <c r="J1156" s="43" t="str">
        <f>IF(Agent06_Loans!B168="","",Agent06_Loans!J168)</f>
        <v/>
      </c>
      <c r="K1156" s="40" t="str">
        <f>IF(Agent06_Loans!B168="","",Agent06_Loans!K168)</f>
        <v/>
      </c>
      <c r="L1156" s="40" t="str">
        <f>IF(Agent06_Loans!B168="","",Agent06_Loans!L168)</f>
        <v/>
      </c>
      <c r="M1156" s="40" t="str">
        <f>IFERROR(IF(Agent06_Loans!B168="","",YEAR(Agent06_Loans!D168)),"")</f>
        <v/>
      </c>
    </row>
    <row r="1157" spans="1:13" ht="18" customHeight="1" x14ac:dyDescent="0.25">
      <c r="A1157" s="40" t="str">
        <f>IF(Agent06_Loans!B169="","",Agent06_Loans!A169)</f>
        <v/>
      </c>
      <c r="B1157" s="40" t="str">
        <f>IF(Agent06_Loans!B169="","",Agent06_Loans!B169)</f>
        <v/>
      </c>
      <c r="C1157" s="40" t="str">
        <f>IF(Agent06_Loans!B169="","",Agent06_Loans!C169)</f>
        <v/>
      </c>
      <c r="D1157" s="41" t="str">
        <f>IF(Agent06_Loans!B169="","",Agent06_Loans!D169)</f>
        <v/>
      </c>
      <c r="E1157" s="43" t="str">
        <f>IF(Agent06_Loans!B169="","",Agent06_Loans!E169)</f>
        <v/>
      </c>
      <c r="F1157" s="40" t="str">
        <f>IF(Agent06_Loans!B169="","",Agent06_Loans!F169)</f>
        <v/>
      </c>
      <c r="G1157" s="40" t="str">
        <f>IF(Agent06_Loans!B169="","",Agent06_Loans!G169)</f>
        <v/>
      </c>
      <c r="H1157" s="40" t="str">
        <f>IF(Agent06_Loans!B169="","",Agent06_Loans!H169)</f>
        <v/>
      </c>
      <c r="I1157" s="43" t="str">
        <f>IF(Agent06_Loans!B169="","",Agent06_Loans!I169)</f>
        <v/>
      </c>
      <c r="J1157" s="43" t="str">
        <f>IF(Agent06_Loans!B169="","",Agent06_Loans!J169)</f>
        <v/>
      </c>
      <c r="K1157" s="40" t="str">
        <f>IF(Agent06_Loans!B169="","",Agent06_Loans!K169)</f>
        <v/>
      </c>
      <c r="L1157" s="40" t="str">
        <f>IF(Agent06_Loans!B169="","",Agent06_Loans!L169)</f>
        <v/>
      </c>
      <c r="M1157" s="40" t="str">
        <f>IFERROR(IF(Agent06_Loans!B169="","",YEAR(Agent06_Loans!D169)),"")</f>
        <v/>
      </c>
    </row>
    <row r="1158" spans="1:13" ht="18" customHeight="1" x14ac:dyDescent="0.25">
      <c r="A1158" s="40" t="str">
        <f>IF(Agent06_Loans!B170="","",Agent06_Loans!A170)</f>
        <v/>
      </c>
      <c r="B1158" s="40" t="str">
        <f>IF(Agent06_Loans!B170="","",Agent06_Loans!B170)</f>
        <v/>
      </c>
      <c r="C1158" s="40" t="str">
        <f>IF(Agent06_Loans!B170="","",Agent06_Loans!C170)</f>
        <v/>
      </c>
      <c r="D1158" s="41" t="str">
        <f>IF(Agent06_Loans!B170="","",Agent06_Loans!D170)</f>
        <v/>
      </c>
      <c r="E1158" s="43" t="str">
        <f>IF(Agent06_Loans!B170="","",Agent06_Loans!E170)</f>
        <v/>
      </c>
      <c r="F1158" s="40" t="str">
        <f>IF(Agent06_Loans!B170="","",Agent06_Loans!F170)</f>
        <v/>
      </c>
      <c r="G1158" s="40" t="str">
        <f>IF(Agent06_Loans!B170="","",Agent06_Loans!G170)</f>
        <v/>
      </c>
      <c r="H1158" s="40" t="str">
        <f>IF(Agent06_Loans!B170="","",Agent06_Loans!H170)</f>
        <v/>
      </c>
      <c r="I1158" s="43" t="str">
        <f>IF(Agent06_Loans!B170="","",Agent06_Loans!I170)</f>
        <v/>
      </c>
      <c r="J1158" s="43" t="str">
        <f>IF(Agent06_Loans!B170="","",Agent06_Loans!J170)</f>
        <v/>
      </c>
      <c r="K1158" s="40" t="str">
        <f>IF(Agent06_Loans!B170="","",Agent06_Loans!K170)</f>
        <v/>
      </c>
      <c r="L1158" s="40" t="str">
        <f>IF(Agent06_Loans!B170="","",Agent06_Loans!L170)</f>
        <v/>
      </c>
      <c r="M1158" s="40" t="str">
        <f>IFERROR(IF(Agent06_Loans!B170="","",YEAR(Agent06_Loans!D170)),"")</f>
        <v/>
      </c>
    </row>
    <row r="1159" spans="1:13" ht="18" customHeight="1" x14ac:dyDescent="0.25">
      <c r="A1159" s="40" t="str">
        <f>IF(Agent06_Loans!B171="","",Agent06_Loans!A171)</f>
        <v/>
      </c>
      <c r="B1159" s="40" t="str">
        <f>IF(Agent06_Loans!B171="","",Agent06_Loans!B171)</f>
        <v/>
      </c>
      <c r="C1159" s="40" t="str">
        <f>IF(Agent06_Loans!B171="","",Agent06_Loans!C171)</f>
        <v/>
      </c>
      <c r="D1159" s="41" t="str">
        <f>IF(Agent06_Loans!B171="","",Agent06_Loans!D171)</f>
        <v/>
      </c>
      <c r="E1159" s="43" t="str">
        <f>IF(Agent06_Loans!B171="","",Agent06_Loans!E171)</f>
        <v/>
      </c>
      <c r="F1159" s="40" t="str">
        <f>IF(Agent06_Loans!B171="","",Agent06_Loans!F171)</f>
        <v/>
      </c>
      <c r="G1159" s="40" t="str">
        <f>IF(Agent06_Loans!B171="","",Agent06_Loans!G171)</f>
        <v/>
      </c>
      <c r="H1159" s="40" t="str">
        <f>IF(Agent06_Loans!B171="","",Agent06_Loans!H171)</f>
        <v/>
      </c>
      <c r="I1159" s="43" t="str">
        <f>IF(Agent06_Loans!B171="","",Agent06_Loans!I171)</f>
        <v/>
      </c>
      <c r="J1159" s="43" t="str">
        <f>IF(Agent06_Loans!B171="","",Agent06_Loans!J171)</f>
        <v/>
      </c>
      <c r="K1159" s="40" t="str">
        <f>IF(Agent06_Loans!B171="","",Agent06_Loans!K171)</f>
        <v/>
      </c>
      <c r="L1159" s="40" t="str">
        <f>IF(Agent06_Loans!B171="","",Agent06_Loans!L171)</f>
        <v/>
      </c>
      <c r="M1159" s="40" t="str">
        <f>IFERROR(IF(Agent06_Loans!B171="","",YEAR(Agent06_Loans!D171)),"")</f>
        <v/>
      </c>
    </row>
    <row r="1160" spans="1:13" ht="18" customHeight="1" x14ac:dyDescent="0.25">
      <c r="A1160" s="40" t="str">
        <f>IF(Agent06_Loans!B172="","",Agent06_Loans!A172)</f>
        <v/>
      </c>
      <c r="B1160" s="40" t="str">
        <f>IF(Agent06_Loans!B172="","",Agent06_Loans!B172)</f>
        <v/>
      </c>
      <c r="C1160" s="40" t="str">
        <f>IF(Agent06_Loans!B172="","",Agent06_Loans!C172)</f>
        <v/>
      </c>
      <c r="D1160" s="41" t="str">
        <f>IF(Agent06_Loans!B172="","",Agent06_Loans!D172)</f>
        <v/>
      </c>
      <c r="E1160" s="43" t="str">
        <f>IF(Agent06_Loans!B172="","",Agent06_Loans!E172)</f>
        <v/>
      </c>
      <c r="F1160" s="40" t="str">
        <f>IF(Agent06_Loans!B172="","",Agent06_Loans!F172)</f>
        <v/>
      </c>
      <c r="G1160" s="40" t="str">
        <f>IF(Agent06_Loans!B172="","",Agent06_Loans!G172)</f>
        <v/>
      </c>
      <c r="H1160" s="40" t="str">
        <f>IF(Agent06_Loans!B172="","",Agent06_Loans!H172)</f>
        <v/>
      </c>
      <c r="I1160" s="43" t="str">
        <f>IF(Agent06_Loans!B172="","",Agent06_Loans!I172)</f>
        <v/>
      </c>
      <c r="J1160" s="43" t="str">
        <f>IF(Agent06_Loans!B172="","",Agent06_Loans!J172)</f>
        <v/>
      </c>
      <c r="K1160" s="40" t="str">
        <f>IF(Agent06_Loans!B172="","",Agent06_Loans!K172)</f>
        <v/>
      </c>
      <c r="L1160" s="40" t="str">
        <f>IF(Agent06_Loans!B172="","",Agent06_Loans!L172)</f>
        <v/>
      </c>
      <c r="M1160" s="40" t="str">
        <f>IFERROR(IF(Agent06_Loans!B172="","",YEAR(Agent06_Loans!D172)),"")</f>
        <v/>
      </c>
    </row>
    <row r="1161" spans="1:13" ht="18" customHeight="1" x14ac:dyDescent="0.25">
      <c r="A1161" s="40" t="str">
        <f>IF(Agent06_Loans!B173="","",Agent06_Loans!A173)</f>
        <v/>
      </c>
      <c r="B1161" s="40" t="str">
        <f>IF(Agent06_Loans!B173="","",Agent06_Loans!B173)</f>
        <v/>
      </c>
      <c r="C1161" s="40" t="str">
        <f>IF(Agent06_Loans!B173="","",Agent06_Loans!C173)</f>
        <v/>
      </c>
      <c r="D1161" s="41" t="str">
        <f>IF(Agent06_Loans!B173="","",Agent06_Loans!D173)</f>
        <v/>
      </c>
      <c r="E1161" s="43" t="str">
        <f>IF(Agent06_Loans!B173="","",Agent06_Loans!E173)</f>
        <v/>
      </c>
      <c r="F1161" s="40" t="str">
        <f>IF(Agent06_Loans!B173="","",Agent06_Loans!F173)</f>
        <v/>
      </c>
      <c r="G1161" s="40" t="str">
        <f>IF(Agent06_Loans!B173="","",Agent06_Loans!G173)</f>
        <v/>
      </c>
      <c r="H1161" s="40" t="str">
        <f>IF(Agent06_Loans!B173="","",Agent06_Loans!H173)</f>
        <v/>
      </c>
      <c r="I1161" s="43" t="str">
        <f>IF(Agent06_Loans!B173="","",Agent06_Loans!I173)</f>
        <v/>
      </c>
      <c r="J1161" s="43" t="str">
        <f>IF(Agent06_Loans!B173="","",Agent06_Loans!J173)</f>
        <v/>
      </c>
      <c r="K1161" s="40" t="str">
        <f>IF(Agent06_Loans!B173="","",Agent06_Loans!K173)</f>
        <v/>
      </c>
      <c r="L1161" s="40" t="str">
        <f>IF(Agent06_Loans!B173="","",Agent06_Loans!L173)</f>
        <v/>
      </c>
      <c r="M1161" s="40" t="str">
        <f>IFERROR(IF(Agent06_Loans!B173="","",YEAR(Agent06_Loans!D173)),"")</f>
        <v/>
      </c>
    </row>
    <row r="1162" spans="1:13" ht="18" customHeight="1" x14ac:dyDescent="0.25">
      <c r="A1162" s="40" t="str">
        <f>IF(Agent06_Loans!B174="","",Agent06_Loans!A174)</f>
        <v/>
      </c>
      <c r="B1162" s="40" t="str">
        <f>IF(Agent06_Loans!B174="","",Agent06_Loans!B174)</f>
        <v/>
      </c>
      <c r="C1162" s="40" t="str">
        <f>IF(Agent06_Loans!B174="","",Agent06_Loans!C174)</f>
        <v/>
      </c>
      <c r="D1162" s="41" t="str">
        <f>IF(Agent06_Loans!B174="","",Agent06_Loans!D174)</f>
        <v/>
      </c>
      <c r="E1162" s="43" t="str">
        <f>IF(Agent06_Loans!B174="","",Agent06_Loans!E174)</f>
        <v/>
      </c>
      <c r="F1162" s="40" t="str">
        <f>IF(Agent06_Loans!B174="","",Agent06_Loans!F174)</f>
        <v/>
      </c>
      <c r="G1162" s="40" t="str">
        <f>IF(Agent06_Loans!B174="","",Agent06_Loans!G174)</f>
        <v/>
      </c>
      <c r="H1162" s="40" t="str">
        <f>IF(Agent06_Loans!B174="","",Agent06_Loans!H174)</f>
        <v/>
      </c>
      <c r="I1162" s="43" t="str">
        <f>IF(Agent06_Loans!B174="","",Agent06_Loans!I174)</f>
        <v/>
      </c>
      <c r="J1162" s="43" t="str">
        <f>IF(Agent06_Loans!B174="","",Agent06_Loans!J174)</f>
        <v/>
      </c>
      <c r="K1162" s="40" t="str">
        <f>IF(Agent06_Loans!B174="","",Agent06_Loans!K174)</f>
        <v/>
      </c>
      <c r="L1162" s="40" t="str">
        <f>IF(Agent06_Loans!B174="","",Agent06_Loans!L174)</f>
        <v/>
      </c>
      <c r="M1162" s="40" t="str">
        <f>IFERROR(IF(Agent06_Loans!B174="","",YEAR(Agent06_Loans!D174)),"")</f>
        <v/>
      </c>
    </row>
    <row r="1163" spans="1:13" ht="18" customHeight="1" x14ac:dyDescent="0.25">
      <c r="A1163" s="40" t="str">
        <f>IF(Agent06_Loans!B175="","",Agent06_Loans!A175)</f>
        <v/>
      </c>
      <c r="B1163" s="40" t="str">
        <f>IF(Agent06_Loans!B175="","",Agent06_Loans!B175)</f>
        <v/>
      </c>
      <c r="C1163" s="40" t="str">
        <f>IF(Agent06_Loans!B175="","",Agent06_Loans!C175)</f>
        <v/>
      </c>
      <c r="D1163" s="41" t="str">
        <f>IF(Agent06_Loans!B175="","",Agent06_Loans!D175)</f>
        <v/>
      </c>
      <c r="E1163" s="43" t="str">
        <f>IF(Agent06_Loans!B175="","",Agent06_Loans!E175)</f>
        <v/>
      </c>
      <c r="F1163" s="40" t="str">
        <f>IF(Agent06_Loans!B175="","",Agent06_Loans!F175)</f>
        <v/>
      </c>
      <c r="G1163" s="40" t="str">
        <f>IF(Agent06_Loans!B175="","",Agent06_Loans!G175)</f>
        <v/>
      </c>
      <c r="H1163" s="40" t="str">
        <f>IF(Agent06_Loans!B175="","",Agent06_Loans!H175)</f>
        <v/>
      </c>
      <c r="I1163" s="43" t="str">
        <f>IF(Agent06_Loans!B175="","",Agent06_Loans!I175)</f>
        <v/>
      </c>
      <c r="J1163" s="43" t="str">
        <f>IF(Agent06_Loans!B175="","",Agent06_Loans!J175)</f>
        <v/>
      </c>
      <c r="K1163" s="40" t="str">
        <f>IF(Agent06_Loans!B175="","",Agent06_Loans!K175)</f>
        <v/>
      </c>
      <c r="L1163" s="40" t="str">
        <f>IF(Agent06_Loans!B175="","",Agent06_Loans!L175)</f>
        <v/>
      </c>
      <c r="M1163" s="40" t="str">
        <f>IFERROR(IF(Agent06_Loans!B175="","",YEAR(Agent06_Loans!D175)),"")</f>
        <v/>
      </c>
    </row>
    <row r="1164" spans="1:13" ht="18" customHeight="1" x14ac:dyDescent="0.25">
      <c r="A1164" s="40" t="str">
        <f>IF(Agent06_Loans!B176="","",Agent06_Loans!A176)</f>
        <v/>
      </c>
      <c r="B1164" s="40" t="str">
        <f>IF(Agent06_Loans!B176="","",Agent06_Loans!B176)</f>
        <v/>
      </c>
      <c r="C1164" s="40" t="str">
        <f>IF(Agent06_Loans!B176="","",Agent06_Loans!C176)</f>
        <v/>
      </c>
      <c r="D1164" s="41" t="str">
        <f>IF(Agent06_Loans!B176="","",Agent06_Loans!D176)</f>
        <v/>
      </c>
      <c r="E1164" s="43" t="str">
        <f>IF(Agent06_Loans!B176="","",Agent06_Loans!E176)</f>
        <v/>
      </c>
      <c r="F1164" s="40" t="str">
        <f>IF(Agent06_Loans!B176="","",Agent06_Loans!F176)</f>
        <v/>
      </c>
      <c r="G1164" s="40" t="str">
        <f>IF(Agent06_Loans!B176="","",Agent06_Loans!G176)</f>
        <v/>
      </c>
      <c r="H1164" s="40" t="str">
        <f>IF(Agent06_Loans!B176="","",Agent06_Loans!H176)</f>
        <v/>
      </c>
      <c r="I1164" s="43" t="str">
        <f>IF(Agent06_Loans!B176="","",Agent06_Loans!I176)</f>
        <v/>
      </c>
      <c r="J1164" s="43" t="str">
        <f>IF(Agent06_Loans!B176="","",Agent06_Loans!J176)</f>
        <v/>
      </c>
      <c r="K1164" s="40" t="str">
        <f>IF(Agent06_Loans!B176="","",Agent06_Loans!K176)</f>
        <v/>
      </c>
      <c r="L1164" s="40" t="str">
        <f>IF(Agent06_Loans!B176="","",Agent06_Loans!L176)</f>
        <v/>
      </c>
      <c r="M1164" s="40" t="str">
        <f>IFERROR(IF(Agent06_Loans!B176="","",YEAR(Agent06_Loans!D176)),"")</f>
        <v/>
      </c>
    </row>
    <row r="1165" spans="1:13" ht="18" customHeight="1" x14ac:dyDescent="0.25">
      <c r="A1165" s="40" t="str">
        <f>IF(Agent06_Loans!B177="","",Agent06_Loans!A177)</f>
        <v/>
      </c>
      <c r="B1165" s="40" t="str">
        <f>IF(Agent06_Loans!B177="","",Agent06_Loans!B177)</f>
        <v/>
      </c>
      <c r="C1165" s="40" t="str">
        <f>IF(Agent06_Loans!B177="","",Agent06_Loans!C177)</f>
        <v/>
      </c>
      <c r="D1165" s="41" t="str">
        <f>IF(Agent06_Loans!B177="","",Agent06_Loans!D177)</f>
        <v/>
      </c>
      <c r="E1165" s="43" t="str">
        <f>IF(Agent06_Loans!B177="","",Agent06_Loans!E177)</f>
        <v/>
      </c>
      <c r="F1165" s="40" t="str">
        <f>IF(Agent06_Loans!B177="","",Agent06_Loans!F177)</f>
        <v/>
      </c>
      <c r="G1165" s="40" t="str">
        <f>IF(Agent06_Loans!B177="","",Agent06_Loans!G177)</f>
        <v/>
      </c>
      <c r="H1165" s="40" t="str">
        <f>IF(Agent06_Loans!B177="","",Agent06_Loans!H177)</f>
        <v/>
      </c>
      <c r="I1165" s="43" t="str">
        <f>IF(Agent06_Loans!B177="","",Agent06_Loans!I177)</f>
        <v/>
      </c>
      <c r="J1165" s="43" t="str">
        <f>IF(Agent06_Loans!B177="","",Agent06_Loans!J177)</f>
        <v/>
      </c>
      <c r="K1165" s="40" t="str">
        <f>IF(Agent06_Loans!B177="","",Agent06_Loans!K177)</f>
        <v/>
      </c>
      <c r="L1165" s="40" t="str">
        <f>IF(Agent06_Loans!B177="","",Agent06_Loans!L177)</f>
        <v/>
      </c>
      <c r="M1165" s="40" t="str">
        <f>IFERROR(IF(Agent06_Loans!B177="","",YEAR(Agent06_Loans!D177)),"")</f>
        <v/>
      </c>
    </row>
    <row r="1166" spans="1:13" ht="18" customHeight="1" x14ac:dyDescent="0.25">
      <c r="A1166" s="40" t="str">
        <f>IF(Agent06_Loans!B178="","",Agent06_Loans!A178)</f>
        <v/>
      </c>
      <c r="B1166" s="40" t="str">
        <f>IF(Agent06_Loans!B178="","",Agent06_Loans!B178)</f>
        <v/>
      </c>
      <c r="C1166" s="40" t="str">
        <f>IF(Agent06_Loans!B178="","",Agent06_Loans!C178)</f>
        <v/>
      </c>
      <c r="D1166" s="41" t="str">
        <f>IF(Agent06_Loans!B178="","",Agent06_Loans!D178)</f>
        <v/>
      </c>
      <c r="E1166" s="43" t="str">
        <f>IF(Agent06_Loans!B178="","",Agent06_Loans!E178)</f>
        <v/>
      </c>
      <c r="F1166" s="40" t="str">
        <f>IF(Agent06_Loans!B178="","",Agent06_Loans!F178)</f>
        <v/>
      </c>
      <c r="G1166" s="40" t="str">
        <f>IF(Agent06_Loans!B178="","",Agent06_Loans!G178)</f>
        <v/>
      </c>
      <c r="H1166" s="40" t="str">
        <f>IF(Agent06_Loans!B178="","",Agent06_Loans!H178)</f>
        <v/>
      </c>
      <c r="I1166" s="43" t="str">
        <f>IF(Agent06_Loans!B178="","",Agent06_Loans!I178)</f>
        <v/>
      </c>
      <c r="J1166" s="43" t="str">
        <f>IF(Agent06_Loans!B178="","",Agent06_Loans!J178)</f>
        <v/>
      </c>
      <c r="K1166" s="40" t="str">
        <f>IF(Agent06_Loans!B178="","",Agent06_Loans!K178)</f>
        <v/>
      </c>
      <c r="L1166" s="40" t="str">
        <f>IF(Agent06_Loans!B178="","",Agent06_Loans!L178)</f>
        <v/>
      </c>
      <c r="M1166" s="40" t="str">
        <f>IFERROR(IF(Agent06_Loans!B178="","",YEAR(Agent06_Loans!D178)),"")</f>
        <v/>
      </c>
    </row>
    <row r="1167" spans="1:13" ht="18" customHeight="1" x14ac:dyDescent="0.25">
      <c r="A1167" s="40" t="str">
        <f>IF(Agent06_Loans!B179="","",Agent06_Loans!A179)</f>
        <v/>
      </c>
      <c r="B1167" s="40" t="str">
        <f>IF(Agent06_Loans!B179="","",Agent06_Loans!B179)</f>
        <v/>
      </c>
      <c r="C1167" s="40" t="str">
        <f>IF(Agent06_Loans!B179="","",Agent06_Loans!C179)</f>
        <v/>
      </c>
      <c r="D1167" s="41" t="str">
        <f>IF(Agent06_Loans!B179="","",Agent06_Loans!D179)</f>
        <v/>
      </c>
      <c r="E1167" s="43" t="str">
        <f>IF(Agent06_Loans!B179="","",Agent06_Loans!E179)</f>
        <v/>
      </c>
      <c r="F1167" s="40" t="str">
        <f>IF(Agent06_Loans!B179="","",Agent06_Loans!F179)</f>
        <v/>
      </c>
      <c r="G1167" s="40" t="str">
        <f>IF(Agent06_Loans!B179="","",Agent06_Loans!G179)</f>
        <v/>
      </c>
      <c r="H1167" s="40" t="str">
        <f>IF(Agent06_Loans!B179="","",Agent06_Loans!H179)</f>
        <v/>
      </c>
      <c r="I1167" s="43" t="str">
        <f>IF(Agent06_Loans!B179="","",Agent06_Loans!I179)</f>
        <v/>
      </c>
      <c r="J1167" s="43" t="str">
        <f>IF(Agent06_Loans!B179="","",Agent06_Loans!J179)</f>
        <v/>
      </c>
      <c r="K1167" s="40" t="str">
        <f>IF(Agent06_Loans!B179="","",Agent06_Loans!K179)</f>
        <v/>
      </c>
      <c r="L1167" s="40" t="str">
        <f>IF(Agent06_Loans!B179="","",Agent06_Loans!L179)</f>
        <v/>
      </c>
      <c r="M1167" s="40" t="str">
        <f>IFERROR(IF(Agent06_Loans!B179="","",YEAR(Agent06_Loans!D179)),"")</f>
        <v/>
      </c>
    </row>
    <row r="1168" spans="1:13" ht="18" customHeight="1" x14ac:dyDescent="0.25">
      <c r="A1168" s="40" t="str">
        <f>IF(Agent06_Loans!B180="","",Agent06_Loans!A180)</f>
        <v/>
      </c>
      <c r="B1168" s="40" t="str">
        <f>IF(Agent06_Loans!B180="","",Agent06_Loans!B180)</f>
        <v/>
      </c>
      <c r="C1168" s="40" t="str">
        <f>IF(Agent06_Loans!B180="","",Agent06_Loans!C180)</f>
        <v/>
      </c>
      <c r="D1168" s="41" t="str">
        <f>IF(Agent06_Loans!B180="","",Agent06_Loans!D180)</f>
        <v/>
      </c>
      <c r="E1168" s="43" t="str">
        <f>IF(Agent06_Loans!B180="","",Agent06_Loans!E180)</f>
        <v/>
      </c>
      <c r="F1168" s="40" t="str">
        <f>IF(Agent06_Loans!B180="","",Agent06_Loans!F180)</f>
        <v/>
      </c>
      <c r="G1168" s="40" t="str">
        <f>IF(Agent06_Loans!B180="","",Agent06_Loans!G180)</f>
        <v/>
      </c>
      <c r="H1168" s="40" t="str">
        <f>IF(Agent06_Loans!B180="","",Agent06_Loans!H180)</f>
        <v/>
      </c>
      <c r="I1168" s="43" t="str">
        <f>IF(Agent06_Loans!B180="","",Agent06_Loans!I180)</f>
        <v/>
      </c>
      <c r="J1168" s="43" t="str">
        <f>IF(Agent06_Loans!B180="","",Agent06_Loans!J180)</f>
        <v/>
      </c>
      <c r="K1168" s="40" t="str">
        <f>IF(Agent06_Loans!B180="","",Agent06_Loans!K180)</f>
        <v/>
      </c>
      <c r="L1168" s="40" t="str">
        <f>IF(Agent06_Loans!B180="","",Agent06_Loans!L180)</f>
        <v/>
      </c>
      <c r="M1168" s="40" t="str">
        <f>IFERROR(IF(Agent06_Loans!B180="","",YEAR(Agent06_Loans!D180)),"")</f>
        <v/>
      </c>
    </row>
    <row r="1169" spans="1:13" ht="18" customHeight="1" x14ac:dyDescent="0.25">
      <c r="A1169" s="40" t="str">
        <f>IF(Agent06_Loans!B181="","",Agent06_Loans!A181)</f>
        <v/>
      </c>
      <c r="B1169" s="40" t="str">
        <f>IF(Agent06_Loans!B181="","",Agent06_Loans!B181)</f>
        <v/>
      </c>
      <c r="C1169" s="40" t="str">
        <f>IF(Agent06_Loans!B181="","",Agent06_Loans!C181)</f>
        <v/>
      </c>
      <c r="D1169" s="41" t="str">
        <f>IF(Agent06_Loans!B181="","",Agent06_Loans!D181)</f>
        <v/>
      </c>
      <c r="E1169" s="43" t="str">
        <f>IF(Agent06_Loans!B181="","",Agent06_Loans!E181)</f>
        <v/>
      </c>
      <c r="F1169" s="40" t="str">
        <f>IF(Agent06_Loans!B181="","",Agent06_Loans!F181)</f>
        <v/>
      </c>
      <c r="G1169" s="40" t="str">
        <f>IF(Agent06_Loans!B181="","",Agent06_Loans!G181)</f>
        <v/>
      </c>
      <c r="H1169" s="40" t="str">
        <f>IF(Agent06_Loans!B181="","",Agent06_Loans!H181)</f>
        <v/>
      </c>
      <c r="I1169" s="43" t="str">
        <f>IF(Agent06_Loans!B181="","",Agent06_Loans!I181)</f>
        <v/>
      </c>
      <c r="J1169" s="43" t="str">
        <f>IF(Agent06_Loans!B181="","",Agent06_Loans!J181)</f>
        <v/>
      </c>
      <c r="K1169" s="40" t="str">
        <f>IF(Agent06_Loans!B181="","",Agent06_Loans!K181)</f>
        <v/>
      </c>
      <c r="L1169" s="40" t="str">
        <f>IF(Agent06_Loans!B181="","",Agent06_Loans!L181)</f>
        <v/>
      </c>
      <c r="M1169" s="40" t="str">
        <f>IFERROR(IF(Agent06_Loans!B181="","",YEAR(Agent06_Loans!D181)),"")</f>
        <v/>
      </c>
    </row>
    <row r="1170" spans="1:13" ht="18" customHeight="1" x14ac:dyDescent="0.25">
      <c r="A1170" s="40" t="str">
        <f>IF(Agent06_Loans!B182="","",Agent06_Loans!A182)</f>
        <v/>
      </c>
      <c r="B1170" s="40" t="str">
        <f>IF(Agent06_Loans!B182="","",Agent06_Loans!B182)</f>
        <v/>
      </c>
      <c r="C1170" s="40" t="str">
        <f>IF(Agent06_Loans!B182="","",Agent06_Loans!C182)</f>
        <v/>
      </c>
      <c r="D1170" s="41" t="str">
        <f>IF(Agent06_Loans!B182="","",Agent06_Loans!D182)</f>
        <v/>
      </c>
      <c r="E1170" s="43" t="str">
        <f>IF(Agent06_Loans!B182="","",Agent06_Loans!E182)</f>
        <v/>
      </c>
      <c r="F1170" s="40" t="str">
        <f>IF(Agent06_Loans!B182="","",Agent06_Loans!F182)</f>
        <v/>
      </c>
      <c r="G1170" s="40" t="str">
        <f>IF(Agent06_Loans!B182="","",Agent06_Loans!G182)</f>
        <v/>
      </c>
      <c r="H1170" s="40" t="str">
        <f>IF(Agent06_Loans!B182="","",Agent06_Loans!H182)</f>
        <v/>
      </c>
      <c r="I1170" s="43" t="str">
        <f>IF(Agent06_Loans!B182="","",Agent06_Loans!I182)</f>
        <v/>
      </c>
      <c r="J1170" s="43" t="str">
        <f>IF(Agent06_Loans!B182="","",Agent06_Loans!J182)</f>
        <v/>
      </c>
      <c r="K1170" s="40" t="str">
        <f>IF(Agent06_Loans!B182="","",Agent06_Loans!K182)</f>
        <v/>
      </c>
      <c r="L1170" s="40" t="str">
        <f>IF(Agent06_Loans!B182="","",Agent06_Loans!L182)</f>
        <v/>
      </c>
      <c r="M1170" s="40" t="str">
        <f>IFERROR(IF(Agent06_Loans!B182="","",YEAR(Agent06_Loans!D182)),"")</f>
        <v/>
      </c>
    </row>
    <row r="1171" spans="1:13" ht="18" customHeight="1" x14ac:dyDescent="0.25">
      <c r="A1171" s="40" t="str">
        <f>IF(Agent06_Loans!B183="","",Agent06_Loans!A183)</f>
        <v/>
      </c>
      <c r="B1171" s="40" t="str">
        <f>IF(Agent06_Loans!B183="","",Agent06_Loans!B183)</f>
        <v/>
      </c>
      <c r="C1171" s="40" t="str">
        <f>IF(Agent06_Loans!B183="","",Agent06_Loans!C183)</f>
        <v/>
      </c>
      <c r="D1171" s="41" t="str">
        <f>IF(Agent06_Loans!B183="","",Agent06_Loans!D183)</f>
        <v/>
      </c>
      <c r="E1171" s="43" t="str">
        <f>IF(Agent06_Loans!B183="","",Agent06_Loans!E183)</f>
        <v/>
      </c>
      <c r="F1171" s="40" t="str">
        <f>IF(Agent06_Loans!B183="","",Agent06_Loans!F183)</f>
        <v/>
      </c>
      <c r="G1171" s="40" t="str">
        <f>IF(Agent06_Loans!B183="","",Agent06_Loans!G183)</f>
        <v/>
      </c>
      <c r="H1171" s="40" t="str">
        <f>IF(Agent06_Loans!B183="","",Agent06_Loans!H183)</f>
        <v/>
      </c>
      <c r="I1171" s="43" t="str">
        <f>IF(Agent06_Loans!B183="","",Agent06_Loans!I183)</f>
        <v/>
      </c>
      <c r="J1171" s="43" t="str">
        <f>IF(Agent06_Loans!B183="","",Agent06_Loans!J183)</f>
        <v/>
      </c>
      <c r="K1171" s="40" t="str">
        <f>IF(Agent06_Loans!B183="","",Agent06_Loans!K183)</f>
        <v/>
      </c>
      <c r="L1171" s="40" t="str">
        <f>IF(Agent06_Loans!B183="","",Agent06_Loans!L183)</f>
        <v/>
      </c>
      <c r="M1171" s="40" t="str">
        <f>IFERROR(IF(Agent06_Loans!B183="","",YEAR(Agent06_Loans!D183)),"")</f>
        <v/>
      </c>
    </row>
    <row r="1172" spans="1:13" ht="18" customHeight="1" x14ac:dyDescent="0.25">
      <c r="A1172" s="40" t="str">
        <f>IF(Agent06_Loans!B184="","",Agent06_Loans!A184)</f>
        <v/>
      </c>
      <c r="B1172" s="40" t="str">
        <f>IF(Agent06_Loans!B184="","",Agent06_Loans!B184)</f>
        <v/>
      </c>
      <c r="C1172" s="40" t="str">
        <f>IF(Agent06_Loans!B184="","",Agent06_Loans!C184)</f>
        <v/>
      </c>
      <c r="D1172" s="41" t="str">
        <f>IF(Agent06_Loans!B184="","",Agent06_Loans!D184)</f>
        <v/>
      </c>
      <c r="E1172" s="43" t="str">
        <f>IF(Agent06_Loans!B184="","",Agent06_Loans!E184)</f>
        <v/>
      </c>
      <c r="F1172" s="40" t="str">
        <f>IF(Agent06_Loans!B184="","",Agent06_Loans!F184)</f>
        <v/>
      </c>
      <c r="G1172" s="40" t="str">
        <f>IF(Agent06_Loans!B184="","",Agent06_Loans!G184)</f>
        <v/>
      </c>
      <c r="H1172" s="40" t="str">
        <f>IF(Agent06_Loans!B184="","",Agent06_Loans!H184)</f>
        <v/>
      </c>
      <c r="I1172" s="43" t="str">
        <f>IF(Agent06_Loans!B184="","",Agent06_Loans!I184)</f>
        <v/>
      </c>
      <c r="J1172" s="43" t="str">
        <f>IF(Agent06_Loans!B184="","",Agent06_Loans!J184)</f>
        <v/>
      </c>
      <c r="K1172" s="40" t="str">
        <f>IF(Agent06_Loans!B184="","",Agent06_Loans!K184)</f>
        <v/>
      </c>
      <c r="L1172" s="40" t="str">
        <f>IF(Agent06_Loans!B184="","",Agent06_Loans!L184)</f>
        <v/>
      </c>
      <c r="M1172" s="40" t="str">
        <f>IFERROR(IF(Agent06_Loans!B184="","",YEAR(Agent06_Loans!D184)),"")</f>
        <v/>
      </c>
    </row>
    <row r="1173" spans="1:13" ht="18" customHeight="1" x14ac:dyDescent="0.25">
      <c r="A1173" s="40" t="str">
        <f>IF(Agent06_Loans!B185="","",Agent06_Loans!A185)</f>
        <v/>
      </c>
      <c r="B1173" s="40" t="str">
        <f>IF(Agent06_Loans!B185="","",Agent06_Loans!B185)</f>
        <v/>
      </c>
      <c r="C1173" s="40" t="str">
        <f>IF(Agent06_Loans!B185="","",Agent06_Loans!C185)</f>
        <v/>
      </c>
      <c r="D1173" s="41" t="str">
        <f>IF(Agent06_Loans!B185="","",Agent06_Loans!D185)</f>
        <v/>
      </c>
      <c r="E1173" s="43" t="str">
        <f>IF(Agent06_Loans!B185="","",Agent06_Loans!E185)</f>
        <v/>
      </c>
      <c r="F1173" s="40" t="str">
        <f>IF(Agent06_Loans!B185="","",Agent06_Loans!F185)</f>
        <v/>
      </c>
      <c r="G1173" s="40" t="str">
        <f>IF(Agent06_Loans!B185="","",Agent06_Loans!G185)</f>
        <v/>
      </c>
      <c r="H1173" s="40" t="str">
        <f>IF(Agent06_Loans!B185="","",Agent06_Loans!H185)</f>
        <v/>
      </c>
      <c r="I1173" s="43" t="str">
        <f>IF(Agent06_Loans!B185="","",Agent06_Loans!I185)</f>
        <v/>
      </c>
      <c r="J1173" s="43" t="str">
        <f>IF(Agent06_Loans!B185="","",Agent06_Loans!J185)</f>
        <v/>
      </c>
      <c r="K1173" s="40" t="str">
        <f>IF(Agent06_Loans!B185="","",Agent06_Loans!K185)</f>
        <v/>
      </c>
      <c r="L1173" s="40" t="str">
        <f>IF(Agent06_Loans!B185="","",Agent06_Loans!L185)</f>
        <v/>
      </c>
      <c r="M1173" s="40" t="str">
        <f>IFERROR(IF(Agent06_Loans!B185="","",YEAR(Agent06_Loans!D185)),"")</f>
        <v/>
      </c>
    </row>
    <row r="1174" spans="1:13" ht="18" customHeight="1" x14ac:dyDescent="0.25">
      <c r="A1174" s="40" t="str">
        <f>IF(Agent06_Loans!B186="","",Agent06_Loans!A186)</f>
        <v/>
      </c>
      <c r="B1174" s="40" t="str">
        <f>IF(Agent06_Loans!B186="","",Agent06_Loans!B186)</f>
        <v/>
      </c>
      <c r="C1174" s="40" t="str">
        <f>IF(Agent06_Loans!B186="","",Agent06_Loans!C186)</f>
        <v/>
      </c>
      <c r="D1174" s="41" t="str">
        <f>IF(Agent06_Loans!B186="","",Agent06_Loans!D186)</f>
        <v/>
      </c>
      <c r="E1174" s="43" t="str">
        <f>IF(Agent06_Loans!B186="","",Agent06_Loans!E186)</f>
        <v/>
      </c>
      <c r="F1174" s="40" t="str">
        <f>IF(Agent06_Loans!B186="","",Agent06_Loans!F186)</f>
        <v/>
      </c>
      <c r="G1174" s="40" t="str">
        <f>IF(Agent06_Loans!B186="","",Agent06_Loans!G186)</f>
        <v/>
      </c>
      <c r="H1174" s="40" t="str">
        <f>IF(Agent06_Loans!B186="","",Agent06_Loans!H186)</f>
        <v/>
      </c>
      <c r="I1174" s="43" t="str">
        <f>IF(Agent06_Loans!B186="","",Agent06_Loans!I186)</f>
        <v/>
      </c>
      <c r="J1174" s="43" t="str">
        <f>IF(Agent06_Loans!B186="","",Agent06_Loans!J186)</f>
        <v/>
      </c>
      <c r="K1174" s="40" t="str">
        <f>IF(Agent06_Loans!B186="","",Agent06_Loans!K186)</f>
        <v/>
      </c>
      <c r="L1174" s="40" t="str">
        <f>IF(Agent06_Loans!B186="","",Agent06_Loans!L186)</f>
        <v/>
      </c>
      <c r="M1174" s="40" t="str">
        <f>IFERROR(IF(Agent06_Loans!B186="","",YEAR(Agent06_Loans!D186)),"")</f>
        <v/>
      </c>
    </row>
    <row r="1175" spans="1:13" ht="18" customHeight="1" x14ac:dyDescent="0.25">
      <c r="A1175" s="40" t="str">
        <f>IF(Agent06_Loans!B187="","",Agent06_Loans!A187)</f>
        <v/>
      </c>
      <c r="B1175" s="40" t="str">
        <f>IF(Agent06_Loans!B187="","",Agent06_Loans!B187)</f>
        <v/>
      </c>
      <c r="C1175" s="40" t="str">
        <f>IF(Agent06_Loans!B187="","",Agent06_Loans!C187)</f>
        <v/>
      </c>
      <c r="D1175" s="41" t="str">
        <f>IF(Agent06_Loans!B187="","",Agent06_Loans!D187)</f>
        <v/>
      </c>
      <c r="E1175" s="43" t="str">
        <f>IF(Agent06_Loans!B187="","",Agent06_Loans!E187)</f>
        <v/>
      </c>
      <c r="F1175" s="40" t="str">
        <f>IF(Agent06_Loans!B187="","",Agent06_Loans!F187)</f>
        <v/>
      </c>
      <c r="G1175" s="40" t="str">
        <f>IF(Agent06_Loans!B187="","",Agent06_Loans!G187)</f>
        <v/>
      </c>
      <c r="H1175" s="40" t="str">
        <f>IF(Agent06_Loans!B187="","",Agent06_Loans!H187)</f>
        <v/>
      </c>
      <c r="I1175" s="43" t="str">
        <f>IF(Agent06_Loans!B187="","",Agent06_Loans!I187)</f>
        <v/>
      </c>
      <c r="J1175" s="43" t="str">
        <f>IF(Agent06_Loans!B187="","",Agent06_Loans!J187)</f>
        <v/>
      </c>
      <c r="K1175" s="40" t="str">
        <f>IF(Agent06_Loans!B187="","",Agent06_Loans!K187)</f>
        <v/>
      </c>
      <c r="L1175" s="40" t="str">
        <f>IF(Agent06_Loans!B187="","",Agent06_Loans!L187)</f>
        <v/>
      </c>
      <c r="M1175" s="40" t="str">
        <f>IFERROR(IF(Agent06_Loans!B187="","",YEAR(Agent06_Loans!D187)),"")</f>
        <v/>
      </c>
    </row>
    <row r="1176" spans="1:13" ht="18" customHeight="1" x14ac:dyDescent="0.25">
      <c r="A1176" s="40" t="str">
        <f>IF(Agent06_Loans!B188="","",Agent06_Loans!A188)</f>
        <v/>
      </c>
      <c r="B1176" s="40" t="str">
        <f>IF(Agent06_Loans!B188="","",Agent06_Loans!B188)</f>
        <v/>
      </c>
      <c r="C1176" s="40" t="str">
        <f>IF(Agent06_Loans!B188="","",Agent06_Loans!C188)</f>
        <v/>
      </c>
      <c r="D1176" s="41" t="str">
        <f>IF(Agent06_Loans!B188="","",Agent06_Loans!D188)</f>
        <v/>
      </c>
      <c r="E1176" s="43" t="str">
        <f>IF(Agent06_Loans!B188="","",Agent06_Loans!E188)</f>
        <v/>
      </c>
      <c r="F1176" s="40" t="str">
        <f>IF(Agent06_Loans!B188="","",Agent06_Loans!F188)</f>
        <v/>
      </c>
      <c r="G1176" s="40" t="str">
        <f>IF(Agent06_Loans!B188="","",Agent06_Loans!G188)</f>
        <v/>
      </c>
      <c r="H1176" s="40" t="str">
        <f>IF(Agent06_Loans!B188="","",Agent06_Loans!H188)</f>
        <v/>
      </c>
      <c r="I1176" s="43" t="str">
        <f>IF(Agent06_Loans!B188="","",Agent06_Loans!I188)</f>
        <v/>
      </c>
      <c r="J1176" s="43" t="str">
        <f>IF(Agent06_Loans!B188="","",Agent06_Loans!J188)</f>
        <v/>
      </c>
      <c r="K1176" s="40" t="str">
        <f>IF(Agent06_Loans!B188="","",Agent06_Loans!K188)</f>
        <v/>
      </c>
      <c r="L1176" s="40" t="str">
        <f>IF(Agent06_Loans!B188="","",Agent06_Loans!L188)</f>
        <v/>
      </c>
      <c r="M1176" s="40" t="str">
        <f>IFERROR(IF(Agent06_Loans!B188="","",YEAR(Agent06_Loans!D188)),"")</f>
        <v/>
      </c>
    </row>
    <row r="1177" spans="1:13" ht="18" customHeight="1" x14ac:dyDescent="0.25">
      <c r="A1177" s="40" t="str">
        <f>IF(Agent06_Loans!B189="","",Agent06_Loans!A189)</f>
        <v/>
      </c>
      <c r="B1177" s="40" t="str">
        <f>IF(Agent06_Loans!B189="","",Agent06_Loans!B189)</f>
        <v/>
      </c>
      <c r="C1177" s="40" t="str">
        <f>IF(Agent06_Loans!B189="","",Agent06_Loans!C189)</f>
        <v/>
      </c>
      <c r="D1177" s="41" t="str">
        <f>IF(Agent06_Loans!B189="","",Agent06_Loans!D189)</f>
        <v/>
      </c>
      <c r="E1177" s="43" t="str">
        <f>IF(Agent06_Loans!B189="","",Agent06_Loans!E189)</f>
        <v/>
      </c>
      <c r="F1177" s="40" t="str">
        <f>IF(Agent06_Loans!B189="","",Agent06_Loans!F189)</f>
        <v/>
      </c>
      <c r="G1177" s="40" t="str">
        <f>IF(Agent06_Loans!B189="","",Agent06_Loans!G189)</f>
        <v/>
      </c>
      <c r="H1177" s="40" t="str">
        <f>IF(Agent06_Loans!B189="","",Agent06_Loans!H189)</f>
        <v/>
      </c>
      <c r="I1177" s="43" t="str">
        <f>IF(Agent06_Loans!B189="","",Agent06_Loans!I189)</f>
        <v/>
      </c>
      <c r="J1177" s="43" t="str">
        <f>IF(Agent06_Loans!B189="","",Agent06_Loans!J189)</f>
        <v/>
      </c>
      <c r="K1177" s="40" t="str">
        <f>IF(Agent06_Loans!B189="","",Agent06_Loans!K189)</f>
        <v/>
      </c>
      <c r="L1177" s="40" t="str">
        <f>IF(Agent06_Loans!B189="","",Agent06_Loans!L189)</f>
        <v/>
      </c>
      <c r="M1177" s="40" t="str">
        <f>IFERROR(IF(Agent06_Loans!B189="","",YEAR(Agent06_Loans!D189)),"")</f>
        <v/>
      </c>
    </row>
    <row r="1178" spans="1:13" ht="18" customHeight="1" x14ac:dyDescent="0.25">
      <c r="A1178" s="40" t="str">
        <f>IF(Agent06_Loans!B190="","",Agent06_Loans!A190)</f>
        <v/>
      </c>
      <c r="B1178" s="40" t="str">
        <f>IF(Agent06_Loans!B190="","",Agent06_Loans!B190)</f>
        <v/>
      </c>
      <c r="C1178" s="40" t="str">
        <f>IF(Agent06_Loans!B190="","",Agent06_Loans!C190)</f>
        <v/>
      </c>
      <c r="D1178" s="41" t="str">
        <f>IF(Agent06_Loans!B190="","",Agent06_Loans!D190)</f>
        <v/>
      </c>
      <c r="E1178" s="43" t="str">
        <f>IF(Agent06_Loans!B190="","",Agent06_Loans!E190)</f>
        <v/>
      </c>
      <c r="F1178" s="40" t="str">
        <f>IF(Agent06_Loans!B190="","",Agent06_Loans!F190)</f>
        <v/>
      </c>
      <c r="G1178" s="40" t="str">
        <f>IF(Agent06_Loans!B190="","",Agent06_Loans!G190)</f>
        <v/>
      </c>
      <c r="H1178" s="40" t="str">
        <f>IF(Agent06_Loans!B190="","",Agent06_Loans!H190)</f>
        <v/>
      </c>
      <c r="I1178" s="43" t="str">
        <f>IF(Agent06_Loans!B190="","",Agent06_Loans!I190)</f>
        <v/>
      </c>
      <c r="J1178" s="43" t="str">
        <f>IF(Agent06_Loans!B190="","",Agent06_Loans!J190)</f>
        <v/>
      </c>
      <c r="K1178" s="40" t="str">
        <f>IF(Agent06_Loans!B190="","",Agent06_Loans!K190)</f>
        <v/>
      </c>
      <c r="L1178" s="40" t="str">
        <f>IF(Agent06_Loans!B190="","",Agent06_Loans!L190)</f>
        <v/>
      </c>
      <c r="M1178" s="40" t="str">
        <f>IFERROR(IF(Agent06_Loans!B190="","",YEAR(Agent06_Loans!D190)),"")</f>
        <v/>
      </c>
    </row>
    <row r="1179" spans="1:13" ht="18" customHeight="1" x14ac:dyDescent="0.25">
      <c r="A1179" s="40" t="str">
        <f>IF(Agent06_Loans!B191="","",Agent06_Loans!A191)</f>
        <v/>
      </c>
      <c r="B1179" s="40" t="str">
        <f>IF(Agent06_Loans!B191="","",Agent06_Loans!B191)</f>
        <v/>
      </c>
      <c r="C1179" s="40" t="str">
        <f>IF(Agent06_Loans!B191="","",Agent06_Loans!C191)</f>
        <v/>
      </c>
      <c r="D1179" s="41" t="str">
        <f>IF(Agent06_Loans!B191="","",Agent06_Loans!D191)</f>
        <v/>
      </c>
      <c r="E1179" s="43" t="str">
        <f>IF(Agent06_Loans!B191="","",Agent06_Loans!E191)</f>
        <v/>
      </c>
      <c r="F1179" s="40" t="str">
        <f>IF(Agent06_Loans!B191="","",Agent06_Loans!F191)</f>
        <v/>
      </c>
      <c r="G1179" s="40" t="str">
        <f>IF(Agent06_Loans!B191="","",Agent06_Loans!G191)</f>
        <v/>
      </c>
      <c r="H1179" s="40" t="str">
        <f>IF(Agent06_Loans!B191="","",Agent06_Loans!H191)</f>
        <v/>
      </c>
      <c r="I1179" s="43" t="str">
        <f>IF(Agent06_Loans!B191="","",Agent06_Loans!I191)</f>
        <v/>
      </c>
      <c r="J1179" s="43" t="str">
        <f>IF(Agent06_Loans!B191="","",Agent06_Loans!J191)</f>
        <v/>
      </c>
      <c r="K1179" s="40" t="str">
        <f>IF(Agent06_Loans!B191="","",Agent06_Loans!K191)</f>
        <v/>
      </c>
      <c r="L1179" s="40" t="str">
        <f>IF(Agent06_Loans!B191="","",Agent06_Loans!L191)</f>
        <v/>
      </c>
      <c r="M1179" s="40" t="str">
        <f>IFERROR(IF(Agent06_Loans!B191="","",YEAR(Agent06_Loans!D191)),"")</f>
        <v/>
      </c>
    </row>
    <row r="1180" spans="1:13" ht="18" customHeight="1" x14ac:dyDescent="0.25">
      <c r="A1180" s="40" t="str">
        <f>IF(Agent06_Loans!B192="","",Agent06_Loans!A192)</f>
        <v/>
      </c>
      <c r="B1180" s="40" t="str">
        <f>IF(Agent06_Loans!B192="","",Agent06_Loans!B192)</f>
        <v/>
      </c>
      <c r="C1180" s="40" t="str">
        <f>IF(Agent06_Loans!B192="","",Agent06_Loans!C192)</f>
        <v/>
      </c>
      <c r="D1180" s="41" t="str">
        <f>IF(Agent06_Loans!B192="","",Agent06_Loans!D192)</f>
        <v/>
      </c>
      <c r="E1180" s="43" t="str">
        <f>IF(Agent06_Loans!B192="","",Agent06_Loans!E192)</f>
        <v/>
      </c>
      <c r="F1180" s="40" t="str">
        <f>IF(Agent06_Loans!B192="","",Agent06_Loans!F192)</f>
        <v/>
      </c>
      <c r="G1180" s="40" t="str">
        <f>IF(Agent06_Loans!B192="","",Agent06_Loans!G192)</f>
        <v/>
      </c>
      <c r="H1180" s="40" t="str">
        <f>IF(Agent06_Loans!B192="","",Agent06_Loans!H192)</f>
        <v/>
      </c>
      <c r="I1180" s="43" t="str">
        <f>IF(Agent06_Loans!B192="","",Agent06_Loans!I192)</f>
        <v/>
      </c>
      <c r="J1180" s="43" t="str">
        <f>IF(Agent06_Loans!B192="","",Agent06_Loans!J192)</f>
        <v/>
      </c>
      <c r="K1180" s="40" t="str">
        <f>IF(Agent06_Loans!B192="","",Agent06_Loans!K192)</f>
        <v/>
      </c>
      <c r="L1180" s="40" t="str">
        <f>IF(Agent06_Loans!B192="","",Agent06_Loans!L192)</f>
        <v/>
      </c>
      <c r="M1180" s="40" t="str">
        <f>IFERROR(IF(Agent06_Loans!B192="","",YEAR(Agent06_Loans!D192)),"")</f>
        <v/>
      </c>
    </row>
    <row r="1181" spans="1:13" ht="18" customHeight="1" x14ac:dyDescent="0.25">
      <c r="A1181" s="40" t="str">
        <f>IF(Agent06_Loans!B193="","",Agent06_Loans!A193)</f>
        <v/>
      </c>
      <c r="B1181" s="40" t="str">
        <f>IF(Agent06_Loans!B193="","",Agent06_Loans!B193)</f>
        <v/>
      </c>
      <c r="C1181" s="40" t="str">
        <f>IF(Agent06_Loans!B193="","",Agent06_Loans!C193)</f>
        <v/>
      </c>
      <c r="D1181" s="41" t="str">
        <f>IF(Agent06_Loans!B193="","",Agent06_Loans!D193)</f>
        <v/>
      </c>
      <c r="E1181" s="43" t="str">
        <f>IF(Agent06_Loans!B193="","",Agent06_Loans!E193)</f>
        <v/>
      </c>
      <c r="F1181" s="40" t="str">
        <f>IF(Agent06_Loans!B193="","",Agent06_Loans!F193)</f>
        <v/>
      </c>
      <c r="G1181" s="40" t="str">
        <f>IF(Agent06_Loans!B193="","",Agent06_Loans!G193)</f>
        <v/>
      </c>
      <c r="H1181" s="40" t="str">
        <f>IF(Agent06_Loans!B193="","",Agent06_Loans!H193)</f>
        <v/>
      </c>
      <c r="I1181" s="43" t="str">
        <f>IF(Agent06_Loans!B193="","",Agent06_Loans!I193)</f>
        <v/>
      </c>
      <c r="J1181" s="43" t="str">
        <f>IF(Agent06_Loans!B193="","",Agent06_Loans!J193)</f>
        <v/>
      </c>
      <c r="K1181" s="40" t="str">
        <f>IF(Agent06_Loans!B193="","",Agent06_Loans!K193)</f>
        <v/>
      </c>
      <c r="L1181" s="40" t="str">
        <f>IF(Agent06_Loans!B193="","",Agent06_Loans!L193)</f>
        <v/>
      </c>
      <c r="M1181" s="40" t="str">
        <f>IFERROR(IF(Agent06_Loans!B193="","",YEAR(Agent06_Loans!D193)),"")</f>
        <v/>
      </c>
    </row>
    <row r="1182" spans="1:13" ht="18" customHeight="1" x14ac:dyDescent="0.25">
      <c r="A1182" s="40" t="str">
        <f>IF(Agent06_Loans!B194="","",Agent06_Loans!A194)</f>
        <v/>
      </c>
      <c r="B1182" s="40" t="str">
        <f>IF(Agent06_Loans!B194="","",Agent06_Loans!B194)</f>
        <v/>
      </c>
      <c r="C1182" s="40" t="str">
        <f>IF(Agent06_Loans!B194="","",Agent06_Loans!C194)</f>
        <v/>
      </c>
      <c r="D1182" s="41" t="str">
        <f>IF(Agent06_Loans!B194="","",Agent06_Loans!D194)</f>
        <v/>
      </c>
      <c r="E1182" s="43" t="str">
        <f>IF(Agent06_Loans!B194="","",Agent06_Loans!E194)</f>
        <v/>
      </c>
      <c r="F1182" s="40" t="str">
        <f>IF(Agent06_Loans!B194="","",Agent06_Loans!F194)</f>
        <v/>
      </c>
      <c r="G1182" s="40" t="str">
        <f>IF(Agent06_Loans!B194="","",Agent06_Loans!G194)</f>
        <v/>
      </c>
      <c r="H1182" s="40" t="str">
        <f>IF(Agent06_Loans!B194="","",Agent06_Loans!H194)</f>
        <v/>
      </c>
      <c r="I1182" s="43" t="str">
        <f>IF(Agent06_Loans!B194="","",Agent06_Loans!I194)</f>
        <v/>
      </c>
      <c r="J1182" s="43" t="str">
        <f>IF(Agent06_Loans!B194="","",Agent06_Loans!J194)</f>
        <v/>
      </c>
      <c r="K1182" s="40" t="str">
        <f>IF(Agent06_Loans!B194="","",Agent06_Loans!K194)</f>
        <v/>
      </c>
      <c r="L1182" s="40" t="str">
        <f>IF(Agent06_Loans!B194="","",Agent06_Loans!L194)</f>
        <v/>
      </c>
      <c r="M1182" s="40" t="str">
        <f>IFERROR(IF(Agent06_Loans!B194="","",YEAR(Agent06_Loans!D194)),"")</f>
        <v/>
      </c>
    </row>
    <row r="1183" spans="1:13" ht="18" customHeight="1" x14ac:dyDescent="0.25">
      <c r="A1183" s="40" t="str">
        <f>IF(Agent06_Loans!B195="","",Agent06_Loans!A195)</f>
        <v/>
      </c>
      <c r="B1183" s="40" t="str">
        <f>IF(Agent06_Loans!B195="","",Agent06_Loans!B195)</f>
        <v/>
      </c>
      <c r="C1183" s="40" t="str">
        <f>IF(Agent06_Loans!B195="","",Agent06_Loans!C195)</f>
        <v/>
      </c>
      <c r="D1183" s="41" t="str">
        <f>IF(Agent06_Loans!B195="","",Agent06_Loans!D195)</f>
        <v/>
      </c>
      <c r="E1183" s="43" t="str">
        <f>IF(Agent06_Loans!B195="","",Agent06_Loans!E195)</f>
        <v/>
      </c>
      <c r="F1183" s="40" t="str">
        <f>IF(Agent06_Loans!B195="","",Agent06_Loans!F195)</f>
        <v/>
      </c>
      <c r="G1183" s="40" t="str">
        <f>IF(Agent06_Loans!B195="","",Agent06_Loans!G195)</f>
        <v/>
      </c>
      <c r="H1183" s="40" t="str">
        <f>IF(Agent06_Loans!B195="","",Agent06_Loans!H195)</f>
        <v/>
      </c>
      <c r="I1183" s="43" t="str">
        <f>IF(Agent06_Loans!B195="","",Agent06_Loans!I195)</f>
        <v/>
      </c>
      <c r="J1183" s="43" t="str">
        <f>IF(Agent06_Loans!B195="","",Agent06_Loans!J195)</f>
        <v/>
      </c>
      <c r="K1183" s="40" t="str">
        <f>IF(Agent06_Loans!B195="","",Agent06_Loans!K195)</f>
        <v/>
      </c>
      <c r="L1183" s="40" t="str">
        <f>IF(Agent06_Loans!B195="","",Agent06_Loans!L195)</f>
        <v/>
      </c>
      <c r="M1183" s="40" t="str">
        <f>IFERROR(IF(Agent06_Loans!B195="","",YEAR(Agent06_Loans!D195)),"")</f>
        <v/>
      </c>
    </row>
    <row r="1184" spans="1:13" ht="18" customHeight="1" x14ac:dyDescent="0.25">
      <c r="A1184" s="40" t="str">
        <f>IF(Agent06_Loans!B196="","",Agent06_Loans!A196)</f>
        <v/>
      </c>
      <c r="B1184" s="40" t="str">
        <f>IF(Agent06_Loans!B196="","",Agent06_Loans!B196)</f>
        <v/>
      </c>
      <c r="C1184" s="40" t="str">
        <f>IF(Agent06_Loans!B196="","",Agent06_Loans!C196)</f>
        <v/>
      </c>
      <c r="D1184" s="41" t="str">
        <f>IF(Agent06_Loans!B196="","",Agent06_Loans!D196)</f>
        <v/>
      </c>
      <c r="E1184" s="43" t="str">
        <f>IF(Agent06_Loans!B196="","",Agent06_Loans!E196)</f>
        <v/>
      </c>
      <c r="F1184" s="40" t="str">
        <f>IF(Agent06_Loans!B196="","",Agent06_Loans!F196)</f>
        <v/>
      </c>
      <c r="G1184" s="40" t="str">
        <f>IF(Agent06_Loans!B196="","",Agent06_Loans!G196)</f>
        <v/>
      </c>
      <c r="H1184" s="40" t="str">
        <f>IF(Agent06_Loans!B196="","",Agent06_Loans!H196)</f>
        <v/>
      </c>
      <c r="I1184" s="43" t="str">
        <f>IF(Agent06_Loans!B196="","",Agent06_Loans!I196)</f>
        <v/>
      </c>
      <c r="J1184" s="43" t="str">
        <f>IF(Agent06_Loans!B196="","",Agent06_Loans!J196)</f>
        <v/>
      </c>
      <c r="K1184" s="40" t="str">
        <f>IF(Agent06_Loans!B196="","",Agent06_Loans!K196)</f>
        <v/>
      </c>
      <c r="L1184" s="40" t="str">
        <f>IF(Agent06_Loans!B196="","",Agent06_Loans!L196)</f>
        <v/>
      </c>
      <c r="M1184" s="40" t="str">
        <f>IFERROR(IF(Agent06_Loans!B196="","",YEAR(Agent06_Loans!D196)),"")</f>
        <v/>
      </c>
    </row>
    <row r="1185" spans="1:13" ht="18" customHeight="1" x14ac:dyDescent="0.25">
      <c r="A1185" s="40" t="str">
        <f>IF(Agent06_Loans!B197="","",Agent06_Loans!A197)</f>
        <v/>
      </c>
      <c r="B1185" s="40" t="str">
        <f>IF(Agent06_Loans!B197="","",Agent06_Loans!B197)</f>
        <v/>
      </c>
      <c r="C1185" s="40" t="str">
        <f>IF(Agent06_Loans!B197="","",Agent06_Loans!C197)</f>
        <v/>
      </c>
      <c r="D1185" s="41" t="str">
        <f>IF(Agent06_Loans!B197="","",Agent06_Loans!D197)</f>
        <v/>
      </c>
      <c r="E1185" s="43" t="str">
        <f>IF(Agent06_Loans!B197="","",Agent06_Loans!E197)</f>
        <v/>
      </c>
      <c r="F1185" s="40" t="str">
        <f>IF(Agent06_Loans!B197="","",Agent06_Loans!F197)</f>
        <v/>
      </c>
      <c r="G1185" s="40" t="str">
        <f>IF(Agent06_Loans!B197="","",Agent06_Loans!G197)</f>
        <v/>
      </c>
      <c r="H1185" s="40" t="str">
        <f>IF(Agent06_Loans!B197="","",Agent06_Loans!H197)</f>
        <v/>
      </c>
      <c r="I1185" s="43" t="str">
        <f>IF(Agent06_Loans!B197="","",Agent06_Loans!I197)</f>
        <v/>
      </c>
      <c r="J1185" s="43" t="str">
        <f>IF(Agent06_Loans!B197="","",Agent06_Loans!J197)</f>
        <v/>
      </c>
      <c r="K1185" s="40" t="str">
        <f>IF(Agent06_Loans!B197="","",Agent06_Loans!K197)</f>
        <v/>
      </c>
      <c r="L1185" s="40" t="str">
        <f>IF(Agent06_Loans!B197="","",Agent06_Loans!L197)</f>
        <v/>
      </c>
      <c r="M1185" s="40" t="str">
        <f>IFERROR(IF(Agent06_Loans!B197="","",YEAR(Agent06_Loans!D197)),"")</f>
        <v/>
      </c>
    </row>
    <row r="1186" spans="1:13" ht="18" customHeight="1" x14ac:dyDescent="0.25">
      <c r="A1186" s="40" t="str">
        <f>IF(Agent06_Loans!B198="","",Agent06_Loans!A198)</f>
        <v/>
      </c>
      <c r="B1186" s="40" t="str">
        <f>IF(Agent06_Loans!B198="","",Agent06_Loans!B198)</f>
        <v/>
      </c>
      <c r="C1186" s="40" t="str">
        <f>IF(Agent06_Loans!B198="","",Agent06_Loans!C198)</f>
        <v/>
      </c>
      <c r="D1186" s="41" t="str">
        <f>IF(Agent06_Loans!B198="","",Agent06_Loans!D198)</f>
        <v/>
      </c>
      <c r="E1186" s="43" t="str">
        <f>IF(Agent06_Loans!B198="","",Agent06_Loans!E198)</f>
        <v/>
      </c>
      <c r="F1186" s="40" t="str">
        <f>IF(Agent06_Loans!B198="","",Agent06_Loans!F198)</f>
        <v/>
      </c>
      <c r="G1186" s="40" t="str">
        <f>IF(Agent06_Loans!B198="","",Agent06_Loans!G198)</f>
        <v/>
      </c>
      <c r="H1186" s="40" t="str">
        <f>IF(Agent06_Loans!B198="","",Agent06_Loans!H198)</f>
        <v/>
      </c>
      <c r="I1186" s="43" t="str">
        <f>IF(Agent06_Loans!B198="","",Agent06_Loans!I198)</f>
        <v/>
      </c>
      <c r="J1186" s="43" t="str">
        <f>IF(Agent06_Loans!B198="","",Agent06_Loans!J198)</f>
        <v/>
      </c>
      <c r="K1186" s="40" t="str">
        <f>IF(Agent06_Loans!B198="","",Agent06_Loans!K198)</f>
        <v/>
      </c>
      <c r="L1186" s="40" t="str">
        <f>IF(Agent06_Loans!B198="","",Agent06_Loans!L198)</f>
        <v/>
      </c>
      <c r="M1186" s="40" t="str">
        <f>IFERROR(IF(Agent06_Loans!B198="","",YEAR(Agent06_Loans!D198)),"")</f>
        <v/>
      </c>
    </row>
    <row r="1187" spans="1:13" ht="18" customHeight="1" x14ac:dyDescent="0.25">
      <c r="A1187" s="40" t="str">
        <f>IF(Agent06_Loans!B199="","",Agent06_Loans!A199)</f>
        <v/>
      </c>
      <c r="B1187" s="40" t="str">
        <f>IF(Agent06_Loans!B199="","",Agent06_Loans!B199)</f>
        <v/>
      </c>
      <c r="C1187" s="40" t="str">
        <f>IF(Agent06_Loans!B199="","",Agent06_Loans!C199)</f>
        <v/>
      </c>
      <c r="D1187" s="41" t="str">
        <f>IF(Agent06_Loans!B199="","",Agent06_Loans!D199)</f>
        <v/>
      </c>
      <c r="E1187" s="43" t="str">
        <f>IF(Agent06_Loans!B199="","",Agent06_Loans!E199)</f>
        <v/>
      </c>
      <c r="F1187" s="40" t="str">
        <f>IF(Agent06_Loans!B199="","",Agent06_Loans!F199)</f>
        <v/>
      </c>
      <c r="G1187" s="40" t="str">
        <f>IF(Agent06_Loans!B199="","",Agent06_Loans!G199)</f>
        <v/>
      </c>
      <c r="H1187" s="40" t="str">
        <f>IF(Agent06_Loans!B199="","",Agent06_Loans!H199)</f>
        <v/>
      </c>
      <c r="I1187" s="43" t="str">
        <f>IF(Agent06_Loans!B199="","",Agent06_Loans!I199)</f>
        <v/>
      </c>
      <c r="J1187" s="43" t="str">
        <f>IF(Agent06_Loans!B199="","",Agent06_Loans!J199)</f>
        <v/>
      </c>
      <c r="K1187" s="40" t="str">
        <f>IF(Agent06_Loans!B199="","",Agent06_Loans!K199)</f>
        <v/>
      </c>
      <c r="L1187" s="40" t="str">
        <f>IF(Agent06_Loans!B199="","",Agent06_Loans!L199)</f>
        <v/>
      </c>
      <c r="M1187" s="40" t="str">
        <f>IFERROR(IF(Agent06_Loans!B199="","",YEAR(Agent06_Loans!D199)),"")</f>
        <v/>
      </c>
    </row>
    <row r="1188" spans="1:13" ht="18" customHeight="1" x14ac:dyDescent="0.25">
      <c r="A1188" s="40" t="str">
        <f>IF(Agent06_Loans!B200="","",Agent06_Loans!A200)</f>
        <v/>
      </c>
      <c r="B1188" s="40" t="str">
        <f>IF(Agent06_Loans!B200="","",Agent06_Loans!B200)</f>
        <v/>
      </c>
      <c r="C1188" s="40" t="str">
        <f>IF(Agent06_Loans!B200="","",Agent06_Loans!C200)</f>
        <v/>
      </c>
      <c r="D1188" s="41" t="str">
        <f>IF(Agent06_Loans!B200="","",Agent06_Loans!D200)</f>
        <v/>
      </c>
      <c r="E1188" s="43" t="str">
        <f>IF(Agent06_Loans!B200="","",Agent06_Loans!E200)</f>
        <v/>
      </c>
      <c r="F1188" s="40" t="str">
        <f>IF(Agent06_Loans!B200="","",Agent06_Loans!F200)</f>
        <v/>
      </c>
      <c r="G1188" s="40" t="str">
        <f>IF(Agent06_Loans!B200="","",Agent06_Loans!G200)</f>
        <v/>
      </c>
      <c r="H1188" s="40" t="str">
        <f>IF(Agent06_Loans!B200="","",Agent06_Loans!H200)</f>
        <v/>
      </c>
      <c r="I1188" s="43" t="str">
        <f>IF(Agent06_Loans!B200="","",Agent06_Loans!I200)</f>
        <v/>
      </c>
      <c r="J1188" s="43" t="str">
        <f>IF(Agent06_Loans!B200="","",Agent06_Loans!J200)</f>
        <v/>
      </c>
      <c r="K1188" s="40" t="str">
        <f>IF(Agent06_Loans!B200="","",Agent06_Loans!K200)</f>
        <v/>
      </c>
      <c r="L1188" s="40" t="str">
        <f>IF(Agent06_Loans!B200="","",Agent06_Loans!L200)</f>
        <v/>
      </c>
      <c r="M1188" s="40" t="str">
        <f>IFERROR(IF(Agent06_Loans!B200="","",YEAR(Agent06_Loans!D200)),"")</f>
        <v/>
      </c>
    </row>
    <row r="1189" spans="1:13" ht="18" customHeight="1" x14ac:dyDescent="0.25">
      <c r="A1189" s="40" t="str">
        <f>IF(Agent06_Loans!B201="","",Agent06_Loans!A201)</f>
        <v/>
      </c>
      <c r="B1189" s="40" t="str">
        <f>IF(Agent06_Loans!B201="","",Agent06_Loans!B201)</f>
        <v/>
      </c>
      <c r="C1189" s="40" t="str">
        <f>IF(Agent06_Loans!B201="","",Agent06_Loans!C201)</f>
        <v/>
      </c>
      <c r="D1189" s="41" t="str">
        <f>IF(Agent06_Loans!B201="","",Agent06_Loans!D201)</f>
        <v/>
      </c>
      <c r="E1189" s="43" t="str">
        <f>IF(Agent06_Loans!B201="","",Agent06_Loans!E201)</f>
        <v/>
      </c>
      <c r="F1189" s="40" t="str">
        <f>IF(Agent06_Loans!B201="","",Agent06_Loans!F201)</f>
        <v/>
      </c>
      <c r="G1189" s="40" t="str">
        <f>IF(Agent06_Loans!B201="","",Agent06_Loans!G201)</f>
        <v/>
      </c>
      <c r="H1189" s="40" t="str">
        <f>IF(Agent06_Loans!B201="","",Agent06_Loans!H201)</f>
        <v/>
      </c>
      <c r="I1189" s="43" t="str">
        <f>IF(Agent06_Loans!B201="","",Agent06_Loans!I201)</f>
        <v/>
      </c>
      <c r="J1189" s="43" t="str">
        <f>IF(Agent06_Loans!B201="","",Agent06_Loans!J201)</f>
        <v/>
      </c>
      <c r="K1189" s="40" t="str">
        <f>IF(Agent06_Loans!B201="","",Agent06_Loans!K201)</f>
        <v/>
      </c>
      <c r="L1189" s="40" t="str">
        <f>IF(Agent06_Loans!B201="","",Agent06_Loans!L201)</f>
        <v/>
      </c>
      <c r="M1189" s="40" t="str">
        <f>IFERROR(IF(Agent06_Loans!B201="","",YEAR(Agent06_Loans!D201)),"")</f>
        <v/>
      </c>
    </row>
    <row r="1190" spans="1:13" ht="18" customHeight="1" x14ac:dyDescent="0.25">
      <c r="A1190" s="40" t="str">
        <f>IF(Agent06_Loans!B202="","",Agent06_Loans!A202)</f>
        <v/>
      </c>
      <c r="B1190" s="40" t="str">
        <f>IF(Agent06_Loans!B202="","",Agent06_Loans!B202)</f>
        <v/>
      </c>
      <c r="C1190" s="40" t="str">
        <f>IF(Agent06_Loans!B202="","",Agent06_Loans!C202)</f>
        <v/>
      </c>
      <c r="D1190" s="41" t="str">
        <f>IF(Agent06_Loans!B202="","",Agent06_Loans!D202)</f>
        <v/>
      </c>
      <c r="E1190" s="43" t="str">
        <f>IF(Agent06_Loans!B202="","",Agent06_Loans!E202)</f>
        <v/>
      </c>
      <c r="F1190" s="40" t="str">
        <f>IF(Agent06_Loans!B202="","",Agent06_Loans!F202)</f>
        <v/>
      </c>
      <c r="G1190" s="40" t="str">
        <f>IF(Agent06_Loans!B202="","",Agent06_Loans!G202)</f>
        <v/>
      </c>
      <c r="H1190" s="40" t="str">
        <f>IF(Agent06_Loans!B202="","",Agent06_Loans!H202)</f>
        <v/>
      </c>
      <c r="I1190" s="43" t="str">
        <f>IF(Agent06_Loans!B202="","",Agent06_Loans!I202)</f>
        <v/>
      </c>
      <c r="J1190" s="43" t="str">
        <f>IF(Agent06_Loans!B202="","",Agent06_Loans!J202)</f>
        <v/>
      </c>
      <c r="K1190" s="40" t="str">
        <f>IF(Agent06_Loans!B202="","",Agent06_Loans!K202)</f>
        <v/>
      </c>
      <c r="L1190" s="40" t="str">
        <f>IF(Agent06_Loans!B202="","",Agent06_Loans!L202)</f>
        <v/>
      </c>
      <c r="M1190" s="40" t="str">
        <f>IFERROR(IF(Agent06_Loans!B202="","",YEAR(Agent06_Loans!D202)),"")</f>
        <v/>
      </c>
    </row>
    <row r="1191" spans="1:13" ht="18" customHeight="1" x14ac:dyDescent="0.25">
      <c r="A1191" s="40" t="str">
        <f>IF(Agent06_Loans!B203="","",Agent06_Loans!A203)</f>
        <v/>
      </c>
      <c r="B1191" s="40" t="str">
        <f>IF(Agent06_Loans!B203="","",Agent06_Loans!B203)</f>
        <v/>
      </c>
      <c r="C1191" s="40" t="str">
        <f>IF(Agent06_Loans!B203="","",Agent06_Loans!C203)</f>
        <v/>
      </c>
      <c r="D1191" s="41" t="str">
        <f>IF(Agent06_Loans!B203="","",Agent06_Loans!D203)</f>
        <v/>
      </c>
      <c r="E1191" s="43" t="str">
        <f>IF(Agent06_Loans!B203="","",Agent06_Loans!E203)</f>
        <v/>
      </c>
      <c r="F1191" s="40" t="str">
        <f>IF(Agent06_Loans!B203="","",Agent06_Loans!F203)</f>
        <v/>
      </c>
      <c r="G1191" s="40" t="str">
        <f>IF(Agent06_Loans!B203="","",Agent06_Loans!G203)</f>
        <v/>
      </c>
      <c r="H1191" s="40" t="str">
        <f>IF(Agent06_Loans!B203="","",Agent06_Loans!H203)</f>
        <v/>
      </c>
      <c r="I1191" s="43" t="str">
        <f>IF(Agent06_Loans!B203="","",Agent06_Loans!I203)</f>
        <v/>
      </c>
      <c r="J1191" s="43" t="str">
        <f>IF(Agent06_Loans!B203="","",Agent06_Loans!J203)</f>
        <v/>
      </c>
      <c r="K1191" s="40" t="str">
        <f>IF(Agent06_Loans!B203="","",Agent06_Loans!K203)</f>
        <v/>
      </c>
      <c r="L1191" s="40" t="str">
        <f>IF(Agent06_Loans!B203="","",Agent06_Loans!L203)</f>
        <v/>
      </c>
      <c r="M1191" s="40" t="str">
        <f>IFERROR(IF(Agent06_Loans!B203="","",YEAR(Agent06_Loans!D203)),"")</f>
        <v/>
      </c>
    </row>
    <row r="1192" spans="1:13" ht="18" customHeight="1" x14ac:dyDescent="0.25">
      <c r="A1192" s="40" t="str">
        <f>IF(Agent06_Loans!B204="","",Agent06_Loans!A204)</f>
        <v/>
      </c>
      <c r="B1192" s="40" t="str">
        <f>IF(Agent06_Loans!B204="","",Agent06_Loans!B204)</f>
        <v/>
      </c>
      <c r="C1192" s="40" t="str">
        <f>IF(Agent06_Loans!B204="","",Agent06_Loans!C204)</f>
        <v/>
      </c>
      <c r="D1192" s="41" t="str">
        <f>IF(Agent06_Loans!B204="","",Agent06_Loans!D204)</f>
        <v/>
      </c>
      <c r="E1192" s="43" t="str">
        <f>IF(Agent06_Loans!B204="","",Agent06_Loans!E204)</f>
        <v/>
      </c>
      <c r="F1192" s="40" t="str">
        <f>IF(Agent06_Loans!B204="","",Agent06_Loans!F204)</f>
        <v/>
      </c>
      <c r="G1192" s="40" t="str">
        <f>IF(Agent06_Loans!B204="","",Agent06_Loans!G204)</f>
        <v/>
      </c>
      <c r="H1192" s="40" t="str">
        <f>IF(Agent06_Loans!B204="","",Agent06_Loans!H204)</f>
        <v/>
      </c>
      <c r="I1192" s="43" t="str">
        <f>IF(Agent06_Loans!B204="","",Agent06_Loans!I204)</f>
        <v/>
      </c>
      <c r="J1192" s="43" t="str">
        <f>IF(Agent06_Loans!B204="","",Agent06_Loans!J204)</f>
        <v/>
      </c>
      <c r="K1192" s="40" t="str">
        <f>IF(Agent06_Loans!B204="","",Agent06_Loans!K204)</f>
        <v/>
      </c>
      <c r="L1192" s="40" t="str">
        <f>IF(Agent06_Loans!B204="","",Agent06_Loans!L204)</f>
        <v/>
      </c>
      <c r="M1192" s="40" t="str">
        <f>IFERROR(IF(Agent06_Loans!B204="","",YEAR(Agent06_Loans!D204)),"")</f>
        <v/>
      </c>
    </row>
    <row r="1193" spans="1:13" ht="18" customHeight="1" x14ac:dyDescent="0.25">
      <c r="A1193" s="40" t="str">
        <f>IF(Agent06_Loans!B205="","",Agent06_Loans!A205)</f>
        <v/>
      </c>
      <c r="B1193" s="40" t="str">
        <f>IF(Agent06_Loans!B205="","",Agent06_Loans!B205)</f>
        <v/>
      </c>
      <c r="C1193" s="40" t="str">
        <f>IF(Agent06_Loans!B205="","",Agent06_Loans!C205)</f>
        <v/>
      </c>
      <c r="D1193" s="41" t="str">
        <f>IF(Agent06_Loans!B205="","",Agent06_Loans!D205)</f>
        <v/>
      </c>
      <c r="E1193" s="43" t="str">
        <f>IF(Agent06_Loans!B205="","",Agent06_Loans!E205)</f>
        <v/>
      </c>
      <c r="F1193" s="40" t="str">
        <f>IF(Agent06_Loans!B205="","",Agent06_Loans!F205)</f>
        <v/>
      </c>
      <c r="G1193" s="40" t="str">
        <f>IF(Agent06_Loans!B205="","",Agent06_Loans!G205)</f>
        <v/>
      </c>
      <c r="H1193" s="40" t="str">
        <f>IF(Agent06_Loans!B205="","",Agent06_Loans!H205)</f>
        <v/>
      </c>
      <c r="I1193" s="43" t="str">
        <f>IF(Agent06_Loans!B205="","",Agent06_Loans!I205)</f>
        <v/>
      </c>
      <c r="J1193" s="43" t="str">
        <f>IF(Agent06_Loans!B205="","",Agent06_Loans!J205)</f>
        <v/>
      </c>
      <c r="K1193" s="40" t="str">
        <f>IF(Agent06_Loans!B205="","",Agent06_Loans!K205)</f>
        <v/>
      </c>
      <c r="L1193" s="40" t="str">
        <f>IF(Agent06_Loans!B205="","",Agent06_Loans!L205)</f>
        <v/>
      </c>
      <c r="M1193" s="40" t="str">
        <f>IFERROR(IF(Agent06_Loans!B205="","",YEAR(Agent06_Loans!D205)),"")</f>
        <v/>
      </c>
    </row>
    <row r="1194" spans="1:13" ht="18" customHeight="1" x14ac:dyDescent="0.25">
      <c r="A1194" s="40" t="str">
        <f>IF(Agent06_Loans!B206="","",Agent06_Loans!A206)</f>
        <v/>
      </c>
      <c r="B1194" s="40" t="str">
        <f>IF(Agent06_Loans!B206="","",Agent06_Loans!B206)</f>
        <v/>
      </c>
      <c r="C1194" s="40" t="str">
        <f>IF(Agent06_Loans!B206="","",Agent06_Loans!C206)</f>
        <v/>
      </c>
      <c r="D1194" s="41" t="str">
        <f>IF(Agent06_Loans!B206="","",Agent06_Loans!D206)</f>
        <v/>
      </c>
      <c r="E1194" s="43" t="str">
        <f>IF(Agent06_Loans!B206="","",Agent06_Loans!E206)</f>
        <v/>
      </c>
      <c r="F1194" s="40" t="str">
        <f>IF(Agent06_Loans!B206="","",Agent06_Loans!F206)</f>
        <v/>
      </c>
      <c r="G1194" s="40" t="str">
        <f>IF(Agent06_Loans!B206="","",Agent06_Loans!G206)</f>
        <v/>
      </c>
      <c r="H1194" s="40" t="str">
        <f>IF(Agent06_Loans!B206="","",Agent06_Loans!H206)</f>
        <v/>
      </c>
      <c r="I1194" s="43" t="str">
        <f>IF(Agent06_Loans!B206="","",Agent06_Loans!I206)</f>
        <v/>
      </c>
      <c r="J1194" s="43" t="str">
        <f>IF(Agent06_Loans!B206="","",Agent06_Loans!J206)</f>
        <v/>
      </c>
      <c r="K1194" s="40" t="str">
        <f>IF(Agent06_Loans!B206="","",Agent06_Loans!K206)</f>
        <v/>
      </c>
      <c r="L1194" s="40" t="str">
        <f>IF(Agent06_Loans!B206="","",Agent06_Loans!L206)</f>
        <v/>
      </c>
      <c r="M1194" s="40" t="str">
        <f>IFERROR(IF(Agent06_Loans!B206="","",YEAR(Agent06_Loans!D206)),"")</f>
        <v/>
      </c>
    </row>
    <row r="1195" spans="1:13" ht="18" customHeight="1" x14ac:dyDescent="0.25">
      <c r="A1195" s="40" t="str">
        <f>IF(Agent06_Loans!B207="","",Agent06_Loans!A207)</f>
        <v/>
      </c>
      <c r="B1195" s="40" t="str">
        <f>IF(Agent06_Loans!B207="","",Agent06_Loans!B207)</f>
        <v/>
      </c>
      <c r="C1195" s="40" t="str">
        <f>IF(Agent06_Loans!B207="","",Agent06_Loans!C207)</f>
        <v/>
      </c>
      <c r="D1195" s="41" t="str">
        <f>IF(Agent06_Loans!B207="","",Agent06_Loans!D207)</f>
        <v/>
      </c>
      <c r="E1195" s="43" t="str">
        <f>IF(Agent06_Loans!B207="","",Agent06_Loans!E207)</f>
        <v/>
      </c>
      <c r="F1195" s="40" t="str">
        <f>IF(Agent06_Loans!B207="","",Agent06_Loans!F207)</f>
        <v/>
      </c>
      <c r="G1195" s="40" t="str">
        <f>IF(Agent06_Loans!B207="","",Agent06_Loans!G207)</f>
        <v/>
      </c>
      <c r="H1195" s="40" t="str">
        <f>IF(Agent06_Loans!B207="","",Agent06_Loans!H207)</f>
        <v/>
      </c>
      <c r="I1195" s="43" t="str">
        <f>IF(Agent06_Loans!B207="","",Agent06_Loans!I207)</f>
        <v/>
      </c>
      <c r="J1195" s="43" t="str">
        <f>IF(Agent06_Loans!B207="","",Agent06_Loans!J207)</f>
        <v/>
      </c>
      <c r="K1195" s="40" t="str">
        <f>IF(Agent06_Loans!B207="","",Agent06_Loans!K207)</f>
        <v/>
      </c>
      <c r="L1195" s="40" t="str">
        <f>IF(Agent06_Loans!B207="","",Agent06_Loans!L207)</f>
        <v/>
      </c>
      <c r="M1195" s="40" t="str">
        <f>IFERROR(IF(Agent06_Loans!B207="","",YEAR(Agent06_Loans!D207)),"")</f>
        <v/>
      </c>
    </row>
    <row r="1196" spans="1:13" ht="18" customHeight="1" x14ac:dyDescent="0.25">
      <c r="A1196" s="40" t="str">
        <f>IF(Agent06_Loans!B208="","",Agent06_Loans!A208)</f>
        <v/>
      </c>
      <c r="B1196" s="40" t="str">
        <f>IF(Agent06_Loans!B208="","",Agent06_Loans!B208)</f>
        <v/>
      </c>
      <c r="C1196" s="40" t="str">
        <f>IF(Agent06_Loans!B208="","",Agent06_Loans!C208)</f>
        <v/>
      </c>
      <c r="D1196" s="41" t="str">
        <f>IF(Agent06_Loans!B208="","",Agent06_Loans!D208)</f>
        <v/>
      </c>
      <c r="E1196" s="43" t="str">
        <f>IF(Agent06_Loans!B208="","",Agent06_Loans!E208)</f>
        <v/>
      </c>
      <c r="F1196" s="40" t="str">
        <f>IF(Agent06_Loans!B208="","",Agent06_Loans!F208)</f>
        <v/>
      </c>
      <c r="G1196" s="40" t="str">
        <f>IF(Agent06_Loans!B208="","",Agent06_Loans!G208)</f>
        <v/>
      </c>
      <c r="H1196" s="40" t="str">
        <f>IF(Agent06_Loans!B208="","",Agent06_Loans!H208)</f>
        <v/>
      </c>
      <c r="I1196" s="43" t="str">
        <f>IF(Agent06_Loans!B208="","",Agent06_Loans!I208)</f>
        <v/>
      </c>
      <c r="J1196" s="43" t="str">
        <f>IF(Agent06_Loans!B208="","",Agent06_Loans!J208)</f>
        <v/>
      </c>
      <c r="K1196" s="40" t="str">
        <f>IF(Agent06_Loans!B208="","",Agent06_Loans!K208)</f>
        <v/>
      </c>
      <c r="L1196" s="40" t="str">
        <f>IF(Agent06_Loans!B208="","",Agent06_Loans!L208)</f>
        <v/>
      </c>
      <c r="M1196" s="40" t="str">
        <f>IFERROR(IF(Agent06_Loans!B208="","",YEAR(Agent06_Loans!D208)),"")</f>
        <v/>
      </c>
    </row>
    <row r="1197" spans="1:13" ht="18" customHeight="1" x14ac:dyDescent="0.25">
      <c r="A1197" s="40" t="str">
        <f>IF(Agent06_Loans!B209="","",Agent06_Loans!A209)</f>
        <v/>
      </c>
      <c r="B1197" s="40" t="str">
        <f>IF(Agent06_Loans!B209="","",Agent06_Loans!B209)</f>
        <v/>
      </c>
      <c r="C1197" s="40" t="str">
        <f>IF(Agent06_Loans!B209="","",Agent06_Loans!C209)</f>
        <v/>
      </c>
      <c r="D1197" s="41" t="str">
        <f>IF(Agent06_Loans!B209="","",Agent06_Loans!D209)</f>
        <v/>
      </c>
      <c r="E1197" s="43" t="str">
        <f>IF(Agent06_Loans!B209="","",Agent06_Loans!E209)</f>
        <v/>
      </c>
      <c r="F1197" s="40" t="str">
        <f>IF(Agent06_Loans!B209="","",Agent06_Loans!F209)</f>
        <v/>
      </c>
      <c r="G1197" s="40" t="str">
        <f>IF(Agent06_Loans!B209="","",Agent06_Loans!G209)</f>
        <v/>
      </c>
      <c r="H1197" s="40" t="str">
        <f>IF(Agent06_Loans!B209="","",Agent06_Loans!H209)</f>
        <v/>
      </c>
      <c r="I1197" s="43" t="str">
        <f>IF(Agent06_Loans!B209="","",Agent06_Loans!I209)</f>
        <v/>
      </c>
      <c r="J1197" s="43" t="str">
        <f>IF(Agent06_Loans!B209="","",Agent06_Loans!J209)</f>
        <v/>
      </c>
      <c r="K1197" s="40" t="str">
        <f>IF(Agent06_Loans!B209="","",Agent06_Loans!K209)</f>
        <v/>
      </c>
      <c r="L1197" s="40" t="str">
        <f>IF(Agent06_Loans!B209="","",Agent06_Loans!L209)</f>
        <v/>
      </c>
      <c r="M1197" s="40" t="str">
        <f>IFERROR(IF(Agent06_Loans!B209="","",YEAR(Agent06_Loans!D209)),"")</f>
        <v/>
      </c>
    </row>
    <row r="1198" spans="1:13" ht="18" customHeight="1" x14ac:dyDescent="0.25">
      <c r="A1198" s="40" t="str">
        <f>IF(Agent06_Loans!B210="","",Agent06_Loans!A210)</f>
        <v/>
      </c>
      <c r="B1198" s="40" t="str">
        <f>IF(Agent06_Loans!B210="","",Agent06_Loans!B210)</f>
        <v/>
      </c>
      <c r="C1198" s="40" t="str">
        <f>IF(Agent06_Loans!B210="","",Agent06_Loans!C210)</f>
        <v/>
      </c>
      <c r="D1198" s="41" t="str">
        <f>IF(Agent06_Loans!B210="","",Agent06_Loans!D210)</f>
        <v/>
      </c>
      <c r="E1198" s="43" t="str">
        <f>IF(Agent06_Loans!B210="","",Agent06_Loans!E210)</f>
        <v/>
      </c>
      <c r="F1198" s="40" t="str">
        <f>IF(Agent06_Loans!B210="","",Agent06_Loans!F210)</f>
        <v/>
      </c>
      <c r="G1198" s="40" t="str">
        <f>IF(Agent06_Loans!B210="","",Agent06_Loans!G210)</f>
        <v/>
      </c>
      <c r="H1198" s="40" t="str">
        <f>IF(Agent06_Loans!B210="","",Agent06_Loans!H210)</f>
        <v/>
      </c>
      <c r="I1198" s="43" t="str">
        <f>IF(Agent06_Loans!B210="","",Agent06_Loans!I210)</f>
        <v/>
      </c>
      <c r="J1198" s="43" t="str">
        <f>IF(Agent06_Loans!B210="","",Agent06_Loans!J210)</f>
        <v/>
      </c>
      <c r="K1198" s="40" t="str">
        <f>IF(Agent06_Loans!B210="","",Agent06_Loans!K210)</f>
        <v/>
      </c>
      <c r="L1198" s="40" t="str">
        <f>IF(Agent06_Loans!B210="","",Agent06_Loans!L210)</f>
        <v/>
      </c>
      <c r="M1198" s="40" t="str">
        <f>IFERROR(IF(Agent06_Loans!B210="","",YEAR(Agent06_Loans!D210)),"")</f>
        <v/>
      </c>
    </row>
    <row r="1199" spans="1:13" ht="18" customHeight="1" x14ac:dyDescent="0.25">
      <c r="A1199" s="40" t="str">
        <f>IF(Agent06_Loans!B211="","",Agent06_Loans!A211)</f>
        <v/>
      </c>
      <c r="B1199" s="40" t="str">
        <f>IF(Agent06_Loans!B211="","",Agent06_Loans!B211)</f>
        <v/>
      </c>
      <c r="C1199" s="40" t="str">
        <f>IF(Agent06_Loans!B211="","",Agent06_Loans!C211)</f>
        <v/>
      </c>
      <c r="D1199" s="41" t="str">
        <f>IF(Agent06_Loans!B211="","",Agent06_Loans!D211)</f>
        <v/>
      </c>
      <c r="E1199" s="43" t="str">
        <f>IF(Agent06_Loans!B211="","",Agent06_Loans!E211)</f>
        <v/>
      </c>
      <c r="F1199" s="40" t="str">
        <f>IF(Agent06_Loans!B211="","",Agent06_Loans!F211)</f>
        <v/>
      </c>
      <c r="G1199" s="40" t="str">
        <f>IF(Agent06_Loans!B211="","",Agent06_Loans!G211)</f>
        <v/>
      </c>
      <c r="H1199" s="40" t="str">
        <f>IF(Agent06_Loans!B211="","",Agent06_Loans!H211)</f>
        <v/>
      </c>
      <c r="I1199" s="43" t="str">
        <f>IF(Agent06_Loans!B211="","",Agent06_Loans!I211)</f>
        <v/>
      </c>
      <c r="J1199" s="43" t="str">
        <f>IF(Agent06_Loans!B211="","",Agent06_Loans!J211)</f>
        <v/>
      </c>
      <c r="K1199" s="40" t="str">
        <f>IF(Agent06_Loans!B211="","",Agent06_Loans!K211)</f>
        <v/>
      </c>
      <c r="L1199" s="40" t="str">
        <f>IF(Agent06_Loans!B211="","",Agent06_Loans!L211)</f>
        <v/>
      </c>
      <c r="M1199" s="40" t="str">
        <f>IFERROR(IF(Agent06_Loans!B211="","",YEAR(Agent06_Loans!D211)),"")</f>
        <v/>
      </c>
    </row>
    <row r="1200" spans="1:13" ht="18" customHeight="1" x14ac:dyDescent="0.25">
      <c r="A1200" s="40" t="str">
        <f>IF(Agent06_Loans!B212="","",Agent06_Loans!A212)</f>
        <v/>
      </c>
      <c r="B1200" s="40" t="str">
        <f>IF(Agent06_Loans!B212="","",Agent06_Loans!B212)</f>
        <v/>
      </c>
      <c r="C1200" s="40" t="str">
        <f>IF(Agent06_Loans!B212="","",Agent06_Loans!C212)</f>
        <v/>
      </c>
      <c r="D1200" s="41" t="str">
        <f>IF(Agent06_Loans!B212="","",Agent06_Loans!D212)</f>
        <v/>
      </c>
      <c r="E1200" s="43" t="str">
        <f>IF(Agent06_Loans!B212="","",Agent06_Loans!E212)</f>
        <v/>
      </c>
      <c r="F1200" s="40" t="str">
        <f>IF(Agent06_Loans!B212="","",Agent06_Loans!F212)</f>
        <v/>
      </c>
      <c r="G1200" s="40" t="str">
        <f>IF(Agent06_Loans!B212="","",Agent06_Loans!G212)</f>
        <v/>
      </c>
      <c r="H1200" s="40" t="str">
        <f>IF(Agent06_Loans!B212="","",Agent06_Loans!H212)</f>
        <v/>
      </c>
      <c r="I1200" s="43" t="str">
        <f>IF(Agent06_Loans!B212="","",Agent06_Loans!I212)</f>
        <v/>
      </c>
      <c r="J1200" s="43" t="str">
        <f>IF(Agent06_Loans!B212="","",Agent06_Loans!J212)</f>
        <v/>
      </c>
      <c r="K1200" s="40" t="str">
        <f>IF(Agent06_Loans!B212="","",Agent06_Loans!K212)</f>
        <v/>
      </c>
      <c r="L1200" s="40" t="str">
        <f>IF(Agent06_Loans!B212="","",Agent06_Loans!L212)</f>
        <v/>
      </c>
      <c r="M1200" s="40" t="str">
        <f>IFERROR(IF(Agent06_Loans!B212="","",YEAR(Agent06_Loans!D212)),"")</f>
        <v/>
      </c>
    </row>
    <row r="1201" spans="1:13" ht="18" customHeight="1" x14ac:dyDescent="0.25">
      <c r="A1201" s="40" t="str">
        <f>IF(Agent06_Loans!B213="","",Agent06_Loans!A213)</f>
        <v/>
      </c>
      <c r="B1201" s="40" t="str">
        <f>IF(Agent06_Loans!B213="","",Agent06_Loans!B213)</f>
        <v/>
      </c>
      <c r="C1201" s="40" t="str">
        <f>IF(Agent06_Loans!B213="","",Agent06_Loans!C213)</f>
        <v/>
      </c>
      <c r="D1201" s="41" t="str">
        <f>IF(Agent06_Loans!B213="","",Agent06_Loans!D213)</f>
        <v/>
      </c>
      <c r="E1201" s="43" t="str">
        <f>IF(Agent06_Loans!B213="","",Agent06_Loans!E213)</f>
        <v/>
      </c>
      <c r="F1201" s="40" t="str">
        <f>IF(Agent06_Loans!B213="","",Agent06_Loans!F213)</f>
        <v/>
      </c>
      <c r="G1201" s="40" t="str">
        <f>IF(Agent06_Loans!B213="","",Agent06_Loans!G213)</f>
        <v/>
      </c>
      <c r="H1201" s="40" t="str">
        <f>IF(Agent06_Loans!B213="","",Agent06_Loans!H213)</f>
        <v/>
      </c>
      <c r="I1201" s="43" t="str">
        <f>IF(Agent06_Loans!B213="","",Agent06_Loans!I213)</f>
        <v/>
      </c>
      <c r="J1201" s="43" t="str">
        <f>IF(Agent06_Loans!B213="","",Agent06_Loans!J213)</f>
        <v/>
      </c>
      <c r="K1201" s="40" t="str">
        <f>IF(Agent06_Loans!B213="","",Agent06_Loans!K213)</f>
        <v/>
      </c>
      <c r="L1201" s="40" t="str">
        <f>IF(Agent06_Loans!B213="","",Agent06_Loans!L213)</f>
        <v/>
      </c>
      <c r="M1201" s="40" t="str">
        <f>IFERROR(IF(Agent06_Loans!B213="","",YEAR(Agent06_Loans!D213)),"")</f>
        <v/>
      </c>
    </row>
    <row r="1202" spans="1:13" ht="18" customHeight="1" x14ac:dyDescent="0.25">
      <c r="A1202" s="40" t="str">
        <f>IF(Agent06_Loans!B214="","",Agent06_Loans!A214)</f>
        <v/>
      </c>
      <c r="B1202" s="40" t="str">
        <f>IF(Agent06_Loans!B214="","",Agent06_Loans!B214)</f>
        <v/>
      </c>
      <c r="C1202" s="40" t="str">
        <f>IF(Agent06_Loans!B214="","",Agent06_Loans!C214)</f>
        <v/>
      </c>
      <c r="D1202" s="41" t="str">
        <f>IF(Agent06_Loans!B214="","",Agent06_Loans!D214)</f>
        <v/>
      </c>
      <c r="E1202" s="43" t="str">
        <f>IF(Agent06_Loans!B214="","",Agent06_Loans!E214)</f>
        <v/>
      </c>
      <c r="F1202" s="40" t="str">
        <f>IF(Agent06_Loans!B214="","",Agent06_Loans!F214)</f>
        <v/>
      </c>
      <c r="G1202" s="40" t="str">
        <f>IF(Agent06_Loans!B214="","",Agent06_Loans!G214)</f>
        <v/>
      </c>
      <c r="H1202" s="40" t="str">
        <f>IF(Agent06_Loans!B214="","",Agent06_Loans!H214)</f>
        <v/>
      </c>
      <c r="I1202" s="43" t="str">
        <f>IF(Agent06_Loans!B214="","",Agent06_Loans!I214)</f>
        <v/>
      </c>
      <c r="J1202" s="43" t="str">
        <f>IF(Agent06_Loans!B214="","",Agent06_Loans!J214)</f>
        <v/>
      </c>
      <c r="K1202" s="40" t="str">
        <f>IF(Agent06_Loans!B214="","",Agent06_Loans!K214)</f>
        <v/>
      </c>
      <c r="L1202" s="40" t="str">
        <f>IF(Agent06_Loans!B214="","",Agent06_Loans!L214)</f>
        <v/>
      </c>
      <c r="M1202" s="40" t="str">
        <f>IFERROR(IF(Agent06_Loans!B214="","",YEAR(Agent06_Loans!D214)),"")</f>
        <v/>
      </c>
    </row>
    <row r="1203" spans="1:13" ht="18" customHeight="1" x14ac:dyDescent="0.25">
      <c r="A1203" s="40" t="str">
        <f>IF(Agent06_Loans!B215="","",Agent06_Loans!A215)</f>
        <v/>
      </c>
      <c r="B1203" s="40" t="str">
        <f>IF(Agent06_Loans!B215="","",Agent06_Loans!B215)</f>
        <v/>
      </c>
      <c r="C1203" s="40" t="str">
        <f>IF(Agent06_Loans!B215="","",Agent06_Loans!C215)</f>
        <v/>
      </c>
      <c r="D1203" s="41" t="str">
        <f>IF(Agent06_Loans!B215="","",Agent06_Loans!D215)</f>
        <v/>
      </c>
      <c r="E1203" s="43" t="str">
        <f>IF(Agent06_Loans!B215="","",Agent06_Loans!E215)</f>
        <v/>
      </c>
      <c r="F1203" s="40" t="str">
        <f>IF(Agent06_Loans!B215="","",Agent06_Loans!F215)</f>
        <v/>
      </c>
      <c r="G1203" s="40" t="str">
        <f>IF(Agent06_Loans!B215="","",Agent06_Loans!G215)</f>
        <v/>
      </c>
      <c r="H1203" s="40" t="str">
        <f>IF(Agent06_Loans!B215="","",Agent06_Loans!H215)</f>
        <v/>
      </c>
      <c r="I1203" s="43" t="str">
        <f>IF(Agent06_Loans!B215="","",Agent06_Loans!I215)</f>
        <v/>
      </c>
      <c r="J1203" s="43" t="str">
        <f>IF(Agent06_Loans!B215="","",Agent06_Loans!J215)</f>
        <v/>
      </c>
      <c r="K1203" s="40" t="str">
        <f>IF(Agent06_Loans!B215="","",Agent06_Loans!K215)</f>
        <v/>
      </c>
      <c r="L1203" s="40" t="str">
        <f>IF(Agent06_Loans!B215="","",Agent06_Loans!L215)</f>
        <v/>
      </c>
      <c r="M1203" s="40" t="str">
        <f>IFERROR(IF(Agent06_Loans!B215="","",YEAR(Agent06_Loans!D215)),"")</f>
        <v/>
      </c>
    </row>
    <row r="1204" spans="1:13" ht="18" customHeight="1" x14ac:dyDescent="0.25">
      <c r="A1204" s="40" t="str">
        <f>IF(Agent07_Loans!B16="","",Agent07_Loans!A16)</f>
        <v/>
      </c>
      <c r="B1204" s="40" t="str">
        <f>IF(Agent07_Loans!B16="","",Agent07_Loans!B16)</f>
        <v/>
      </c>
      <c r="C1204" s="40" t="str">
        <f>IF(Agent07_Loans!B16="","",Agent07_Loans!C16)</f>
        <v/>
      </c>
      <c r="D1204" s="41" t="str">
        <f>IF(Agent07_Loans!B16="","",Agent07_Loans!D16)</f>
        <v/>
      </c>
      <c r="E1204" s="43" t="str">
        <f>IF(Agent07_Loans!B16="","",Agent07_Loans!E16)</f>
        <v/>
      </c>
      <c r="F1204" s="40" t="str">
        <f>IF(Agent07_Loans!B16="","",Agent07_Loans!F16)</f>
        <v/>
      </c>
      <c r="G1204" s="40" t="str">
        <f>IF(Agent07_Loans!B16="","",Agent07_Loans!G16)</f>
        <v/>
      </c>
      <c r="H1204" s="40" t="str">
        <f>IF(Agent07_Loans!B16="","",Agent07_Loans!H16)</f>
        <v/>
      </c>
      <c r="I1204" s="43" t="str">
        <f>IF(Agent07_Loans!B16="","",Agent07_Loans!I16)</f>
        <v/>
      </c>
      <c r="J1204" s="43" t="str">
        <f>IF(Agent07_Loans!B16="","",Agent07_Loans!J16)</f>
        <v/>
      </c>
      <c r="K1204" s="40" t="str">
        <f>IF(Agent07_Loans!B16="","",Agent07_Loans!K16)</f>
        <v/>
      </c>
      <c r="L1204" s="40" t="str">
        <f>IF(Agent07_Loans!B16="","",Agent07_Loans!L16)</f>
        <v/>
      </c>
      <c r="M1204" s="40" t="str">
        <f>IFERROR(IF(Agent07_Loans!B16="","",YEAR(Agent07_Loans!D16)),"")</f>
        <v/>
      </c>
    </row>
    <row r="1205" spans="1:13" ht="18" customHeight="1" x14ac:dyDescent="0.25">
      <c r="A1205" s="40" t="str">
        <f>IF(Agent07_Loans!B17="","",Agent07_Loans!A17)</f>
        <v/>
      </c>
      <c r="B1205" s="40" t="str">
        <f>IF(Agent07_Loans!B17="","",Agent07_Loans!B17)</f>
        <v/>
      </c>
      <c r="C1205" s="40" t="str">
        <f>IF(Agent07_Loans!B17="","",Agent07_Loans!C17)</f>
        <v/>
      </c>
      <c r="D1205" s="41" t="str">
        <f>IF(Agent07_Loans!B17="","",Agent07_Loans!D17)</f>
        <v/>
      </c>
      <c r="E1205" s="43" t="str">
        <f>IF(Agent07_Loans!B17="","",Agent07_Loans!E17)</f>
        <v/>
      </c>
      <c r="F1205" s="40" t="str">
        <f>IF(Agent07_Loans!B17="","",Agent07_Loans!F17)</f>
        <v/>
      </c>
      <c r="G1205" s="40" t="str">
        <f>IF(Agent07_Loans!B17="","",Agent07_Loans!G17)</f>
        <v/>
      </c>
      <c r="H1205" s="40" t="str">
        <f>IF(Agent07_Loans!B17="","",Agent07_Loans!H17)</f>
        <v/>
      </c>
      <c r="I1205" s="43" t="str">
        <f>IF(Agent07_Loans!B17="","",Agent07_Loans!I17)</f>
        <v/>
      </c>
      <c r="J1205" s="43" t="str">
        <f>IF(Agent07_Loans!B17="","",Agent07_Loans!J17)</f>
        <v/>
      </c>
      <c r="K1205" s="40" t="str">
        <f>IF(Agent07_Loans!B17="","",Agent07_Loans!K17)</f>
        <v/>
      </c>
      <c r="L1205" s="40" t="str">
        <f>IF(Agent07_Loans!B17="","",Agent07_Loans!L17)</f>
        <v/>
      </c>
      <c r="M1205" s="40" t="str">
        <f>IFERROR(IF(Agent07_Loans!B17="","",YEAR(Agent07_Loans!D17)),"")</f>
        <v/>
      </c>
    </row>
    <row r="1206" spans="1:13" ht="18" customHeight="1" x14ac:dyDescent="0.25">
      <c r="A1206" s="40" t="str">
        <f>IF(Agent07_Loans!B18="","",Agent07_Loans!A18)</f>
        <v/>
      </c>
      <c r="B1206" s="40" t="str">
        <f>IF(Agent07_Loans!B18="","",Agent07_Loans!B18)</f>
        <v/>
      </c>
      <c r="C1206" s="40" t="str">
        <f>IF(Agent07_Loans!B18="","",Agent07_Loans!C18)</f>
        <v/>
      </c>
      <c r="D1206" s="41" t="str">
        <f>IF(Agent07_Loans!B18="","",Agent07_Loans!D18)</f>
        <v/>
      </c>
      <c r="E1206" s="43" t="str">
        <f>IF(Agent07_Loans!B18="","",Agent07_Loans!E18)</f>
        <v/>
      </c>
      <c r="F1206" s="40" t="str">
        <f>IF(Agent07_Loans!B18="","",Agent07_Loans!F18)</f>
        <v/>
      </c>
      <c r="G1206" s="40" t="str">
        <f>IF(Agent07_Loans!B18="","",Agent07_Loans!G18)</f>
        <v/>
      </c>
      <c r="H1206" s="40" t="str">
        <f>IF(Agent07_Loans!B18="","",Agent07_Loans!H18)</f>
        <v/>
      </c>
      <c r="I1206" s="43" t="str">
        <f>IF(Agent07_Loans!B18="","",Agent07_Loans!I18)</f>
        <v/>
      </c>
      <c r="J1206" s="43" t="str">
        <f>IF(Agent07_Loans!B18="","",Agent07_Loans!J18)</f>
        <v/>
      </c>
      <c r="K1206" s="40" t="str">
        <f>IF(Agent07_Loans!B18="","",Agent07_Loans!K18)</f>
        <v/>
      </c>
      <c r="L1206" s="40" t="str">
        <f>IF(Agent07_Loans!B18="","",Agent07_Loans!L18)</f>
        <v/>
      </c>
      <c r="M1206" s="40" t="str">
        <f>IFERROR(IF(Agent07_Loans!B18="","",YEAR(Agent07_Loans!D18)),"")</f>
        <v/>
      </c>
    </row>
    <row r="1207" spans="1:13" ht="18" customHeight="1" x14ac:dyDescent="0.25">
      <c r="A1207" s="40" t="str">
        <f>IF(Agent07_Loans!B19="","",Agent07_Loans!A19)</f>
        <v/>
      </c>
      <c r="B1207" s="40" t="str">
        <f>IF(Agent07_Loans!B19="","",Agent07_Loans!B19)</f>
        <v/>
      </c>
      <c r="C1207" s="40" t="str">
        <f>IF(Agent07_Loans!B19="","",Agent07_Loans!C19)</f>
        <v/>
      </c>
      <c r="D1207" s="41" t="str">
        <f>IF(Agent07_Loans!B19="","",Agent07_Loans!D19)</f>
        <v/>
      </c>
      <c r="E1207" s="43" t="str">
        <f>IF(Agent07_Loans!B19="","",Agent07_Loans!E19)</f>
        <v/>
      </c>
      <c r="F1207" s="40" t="str">
        <f>IF(Agent07_Loans!B19="","",Agent07_Loans!F19)</f>
        <v/>
      </c>
      <c r="G1207" s="40" t="str">
        <f>IF(Agent07_Loans!B19="","",Agent07_Loans!G19)</f>
        <v/>
      </c>
      <c r="H1207" s="40" t="str">
        <f>IF(Agent07_Loans!B19="","",Agent07_Loans!H19)</f>
        <v/>
      </c>
      <c r="I1207" s="43" t="str">
        <f>IF(Agent07_Loans!B19="","",Agent07_Loans!I19)</f>
        <v/>
      </c>
      <c r="J1207" s="43" t="str">
        <f>IF(Agent07_Loans!B19="","",Agent07_Loans!J19)</f>
        <v/>
      </c>
      <c r="K1207" s="40" t="str">
        <f>IF(Agent07_Loans!B19="","",Agent07_Loans!K19)</f>
        <v/>
      </c>
      <c r="L1207" s="40" t="str">
        <f>IF(Agent07_Loans!B19="","",Agent07_Loans!L19)</f>
        <v/>
      </c>
      <c r="M1207" s="40" t="str">
        <f>IFERROR(IF(Agent07_Loans!B19="","",YEAR(Agent07_Loans!D19)),"")</f>
        <v/>
      </c>
    </row>
    <row r="1208" spans="1:13" ht="18" customHeight="1" x14ac:dyDescent="0.25">
      <c r="A1208" s="40" t="str">
        <f>IF(Agent07_Loans!B20="","",Agent07_Loans!A20)</f>
        <v/>
      </c>
      <c r="B1208" s="40" t="str">
        <f>IF(Agent07_Loans!B20="","",Agent07_Loans!B20)</f>
        <v/>
      </c>
      <c r="C1208" s="40" t="str">
        <f>IF(Agent07_Loans!B20="","",Agent07_Loans!C20)</f>
        <v/>
      </c>
      <c r="D1208" s="41" t="str">
        <f>IF(Agent07_Loans!B20="","",Agent07_Loans!D20)</f>
        <v/>
      </c>
      <c r="E1208" s="43" t="str">
        <f>IF(Agent07_Loans!B20="","",Agent07_Loans!E20)</f>
        <v/>
      </c>
      <c r="F1208" s="40" t="str">
        <f>IF(Agent07_Loans!B20="","",Agent07_Loans!F20)</f>
        <v/>
      </c>
      <c r="G1208" s="40" t="str">
        <f>IF(Agent07_Loans!B20="","",Agent07_Loans!G20)</f>
        <v/>
      </c>
      <c r="H1208" s="40" t="str">
        <f>IF(Agent07_Loans!B20="","",Agent07_Loans!H20)</f>
        <v/>
      </c>
      <c r="I1208" s="43" t="str">
        <f>IF(Agent07_Loans!B20="","",Agent07_Loans!I20)</f>
        <v/>
      </c>
      <c r="J1208" s="43" t="str">
        <f>IF(Agent07_Loans!B20="","",Agent07_Loans!J20)</f>
        <v/>
      </c>
      <c r="K1208" s="40" t="str">
        <f>IF(Agent07_Loans!B20="","",Agent07_Loans!K20)</f>
        <v/>
      </c>
      <c r="L1208" s="40" t="str">
        <f>IF(Agent07_Loans!B20="","",Agent07_Loans!L20)</f>
        <v/>
      </c>
      <c r="M1208" s="40" t="str">
        <f>IFERROR(IF(Agent07_Loans!B20="","",YEAR(Agent07_Loans!D20)),"")</f>
        <v/>
      </c>
    </row>
    <row r="1209" spans="1:13" ht="18" customHeight="1" x14ac:dyDescent="0.25">
      <c r="A1209" s="40" t="str">
        <f>IF(Agent07_Loans!B21="","",Agent07_Loans!A21)</f>
        <v/>
      </c>
      <c r="B1209" s="40" t="str">
        <f>IF(Agent07_Loans!B21="","",Agent07_Loans!B21)</f>
        <v/>
      </c>
      <c r="C1209" s="40" t="str">
        <f>IF(Agent07_Loans!B21="","",Agent07_Loans!C21)</f>
        <v/>
      </c>
      <c r="D1209" s="41" t="str">
        <f>IF(Agent07_Loans!B21="","",Agent07_Loans!D21)</f>
        <v/>
      </c>
      <c r="E1209" s="43" t="str">
        <f>IF(Agent07_Loans!B21="","",Agent07_Loans!E21)</f>
        <v/>
      </c>
      <c r="F1209" s="40" t="str">
        <f>IF(Agent07_Loans!B21="","",Agent07_Loans!F21)</f>
        <v/>
      </c>
      <c r="G1209" s="40" t="str">
        <f>IF(Agent07_Loans!B21="","",Agent07_Loans!G21)</f>
        <v/>
      </c>
      <c r="H1209" s="40" t="str">
        <f>IF(Agent07_Loans!B21="","",Agent07_Loans!H21)</f>
        <v/>
      </c>
      <c r="I1209" s="43" t="str">
        <f>IF(Agent07_Loans!B21="","",Agent07_Loans!I21)</f>
        <v/>
      </c>
      <c r="J1209" s="43" t="str">
        <f>IF(Agent07_Loans!B21="","",Agent07_Loans!J21)</f>
        <v/>
      </c>
      <c r="K1209" s="40" t="str">
        <f>IF(Agent07_Loans!B21="","",Agent07_Loans!K21)</f>
        <v/>
      </c>
      <c r="L1209" s="40" t="str">
        <f>IF(Agent07_Loans!B21="","",Agent07_Loans!L21)</f>
        <v/>
      </c>
      <c r="M1209" s="40" t="str">
        <f>IFERROR(IF(Agent07_Loans!B21="","",YEAR(Agent07_Loans!D21)),"")</f>
        <v/>
      </c>
    </row>
    <row r="1210" spans="1:13" ht="18" customHeight="1" x14ac:dyDescent="0.25">
      <c r="A1210" s="40" t="str">
        <f>IF(Agent07_Loans!B22="","",Agent07_Loans!A22)</f>
        <v/>
      </c>
      <c r="B1210" s="40" t="str">
        <f>IF(Agent07_Loans!B22="","",Agent07_Loans!B22)</f>
        <v/>
      </c>
      <c r="C1210" s="40" t="str">
        <f>IF(Agent07_Loans!B22="","",Agent07_Loans!C22)</f>
        <v/>
      </c>
      <c r="D1210" s="41" t="str">
        <f>IF(Agent07_Loans!B22="","",Agent07_Loans!D22)</f>
        <v/>
      </c>
      <c r="E1210" s="43" t="str">
        <f>IF(Agent07_Loans!B22="","",Agent07_Loans!E22)</f>
        <v/>
      </c>
      <c r="F1210" s="40" t="str">
        <f>IF(Agent07_Loans!B22="","",Agent07_Loans!F22)</f>
        <v/>
      </c>
      <c r="G1210" s="40" t="str">
        <f>IF(Agent07_Loans!B22="","",Agent07_Loans!G22)</f>
        <v/>
      </c>
      <c r="H1210" s="40" t="str">
        <f>IF(Agent07_Loans!B22="","",Agent07_Loans!H22)</f>
        <v/>
      </c>
      <c r="I1210" s="43" t="str">
        <f>IF(Agent07_Loans!B22="","",Agent07_Loans!I22)</f>
        <v/>
      </c>
      <c r="J1210" s="43" t="str">
        <f>IF(Agent07_Loans!B22="","",Agent07_Loans!J22)</f>
        <v/>
      </c>
      <c r="K1210" s="40" t="str">
        <f>IF(Agent07_Loans!B22="","",Agent07_Loans!K22)</f>
        <v/>
      </c>
      <c r="L1210" s="40" t="str">
        <f>IF(Agent07_Loans!B22="","",Agent07_Loans!L22)</f>
        <v/>
      </c>
      <c r="M1210" s="40" t="str">
        <f>IFERROR(IF(Agent07_Loans!B22="","",YEAR(Agent07_Loans!D22)),"")</f>
        <v/>
      </c>
    </row>
    <row r="1211" spans="1:13" ht="18" customHeight="1" x14ac:dyDescent="0.25">
      <c r="A1211" s="40" t="str">
        <f>IF(Agent07_Loans!B23="","",Agent07_Loans!A23)</f>
        <v/>
      </c>
      <c r="B1211" s="40" t="str">
        <f>IF(Agent07_Loans!B23="","",Agent07_Loans!B23)</f>
        <v/>
      </c>
      <c r="C1211" s="40" t="str">
        <f>IF(Agent07_Loans!B23="","",Agent07_Loans!C23)</f>
        <v/>
      </c>
      <c r="D1211" s="41" t="str">
        <f>IF(Agent07_Loans!B23="","",Agent07_Loans!D23)</f>
        <v/>
      </c>
      <c r="E1211" s="43" t="str">
        <f>IF(Agent07_Loans!B23="","",Agent07_Loans!E23)</f>
        <v/>
      </c>
      <c r="F1211" s="40" t="str">
        <f>IF(Agent07_Loans!B23="","",Agent07_Loans!F23)</f>
        <v/>
      </c>
      <c r="G1211" s="40" t="str">
        <f>IF(Agent07_Loans!B23="","",Agent07_Loans!G23)</f>
        <v/>
      </c>
      <c r="H1211" s="40" t="str">
        <f>IF(Agent07_Loans!B23="","",Agent07_Loans!H23)</f>
        <v/>
      </c>
      <c r="I1211" s="43" t="str">
        <f>IF(Agent07_Loans!B23="","",Agent07_Loans!I23)</f>
        <v/>
      </c>
      <c r="J1211" s="43" t="str">
        <f>IF(Agent07_Loans!B23="","",Agent07_Loans!J23)</f>
        <v/>
      </c>
      <c r="K1211" s="40" t="str">
        <f>IF(Agent07_Loans!B23="","",Agent07_Loans!K23)</f>
        <v/>
      </c>
      <c r="L1211" s="40" t="str">
        <f>IF(Agent07_Loans!B23="","",Agent07_Loans!L23)</f>
        <v/>
      </c>
      <c r="M1211" s="40" t="str">
        <f>IFERROR(IF(Agent07_Loans!B23="","",YEAR(Agent07_Loans!D23)),"")</f>
        <v/>
      </c>
    </row>
    <row r="1212" spans="1:13" ht="18" customHeight="1" x14ac:dyDescent="0.25">
      <c r="A1212" s="40" t="str">
        <f>IF(Agent07_Loans!B24="","",Agent07_Loans!A24)</f>
        <v/>
      </c>
      <c r="B1212" s="40" t="str">
        <f>IF(Agent07_Loans!B24="","",Agent07_Loans!B24)</f>
        <v/>
      </c>
      <c r="C1212" s="40" t="str">
        <f>IF(Agent07_Loans!B24="","",Agent07_Loans!C24)</f>
        <v/>
      </c>
      <c r="D1212" s="41" t="str">
        <f>IF(Agent07_Loans!B24="","",Agent07_Loans!D24)</f>
        <v/>
      </c>
      <c r="E1212" s="43" t="str">
        <f>IF(Agent07_Loans!B24="","",Agent07_Loans!E24)</f>
        <v/>
      </c>
      <c r="F1212" s="40" t="str">
        <f>IF(Agent07_Loans!B24="","",Agent07_Loans!F24)</f>
        <v/>
      </c>
      <c r="G1212" s="40" t="str">
        <f>IF(Agent07_Loans!B24="","",Agent07_Loans!G24)</f>
        <v/>
      </c>
      <c r="H1212" s="40" t="str">
        <f>IF(Agent07_Loans!B24="","",Agent07_Loans!H24)</f>
        <v/>
      </c>
      <c r="I1212" s="43" t="str">
        <f>IF(Agent07_Loans!B24="","",Agent07_Loans!I24)</f>
        <v/>
      </c>
      <c r="J1212" s="43" t="str">
        <f>IF(Agent07_Loans!B24="","",Agent07_Loans!J24)</f>
        <v/>
      </c>
      <c r="K1212" s="40" t="str">
        <f>IF(Agent07_Loans!B24="","",Agent07_Loans!K24)</f>
        <v/>
      </c>
      <c r="L1212" s="40" t="str">
        <f>IF(Agent07_Loans!B24="","",Agent07_Loans!L24)</f>
        <v/>
      </c>
      <c r="M1212" s="40" t="str">
        <f>IFERROR(IF(Agent07_Loans!B24="","",YEAR(Agent07_Loans!D24)),"")</f>
        <v/>
      </c>
    </row>
    <row r="1213" spans="1:13" ht="18" customHeight="1" x14ac:dyDescent="0.25">
      <c r="A1213" s="40" t="str">
        <f>IF(Agent07_Loans!B25="","",Agent07_Loans!A25)</f>
        <v/>
      </c>
      <c r="B1213" s="40" t="str">
        <f>IF(Agent07_Loans!B25="","",Agent07_Loans!B25)</f>
        <v/>
      </c>
      <c r="C1213" s="40" t="str">
        <f>IF(Agent07_Loans!B25="","",Agent07_Loans!C25)</f>
        <v/>
      </c>
      <c r="D1213" s="41" t="str">
        <f>IF(Agent07_Loans!B25="","",Agent07_Loans!D25)</f>
        <v/>
      </c>
      <c r="E1213" s="43" t="str">
        <f>IF(Agent07_Loans!B25="","",Agent07_Loans!E25)</f>
        <v/>
      </c>
      <c r="F1213" s="40" t="str">
        <f>IF(Agent07_Loans!B25="","",Agent07_Loans!F25)</f>
        <v/>
      </c>
      <c r="G1213" s="40" t="str">
        <f>IF(Agent07_Loans!B25="","",Agent07_Loans!G25)</f>
        <v/>
      </c>
      <c r="H1213" s="40" t="str">
        <f>IF(Agent07_Loans!B25="","",Agent07_Loans!H25)</f>
        <v/>
      </c>
      <c r="I1213" s="43" t="str">
        <f>IF(Agent07_Loans!B25="","",Agent07_Loans!I25)</f>
        <v/>
      </c>
      <c r="J1213" s="43" t="str">
        <f>IF(Agent07_Loans!B25="","",Agent07_Loans!J25)</f>
        <v/>
      </c>
      <c r="K1213" s="40" t="str">
        <f>IF(Agent07_Loans!B25="","",Agent07_Loans!K25)</f>
        <v/>
      </c>
      <c r="L1213" s="40" t="str">
        <f>IF(Agent07_Loans!B25="","",Agent07_Loans!L25)</f>
        <v/>
      </c>
      <c r="M1213" s="40" t="str">
        <f>IFERROR(IF(Agent07_Loans!B25="","",YEAR(Agent07_Loans!D25)),"")</f>
        <v/>
      </c>
    </row>
    <row r="1214" spans="1:13" ht="18" customHeight="1" x14ac:dyDescent="0.25">
      <c r="A1214" s="40" t="str">
        <f>IF(Agent07_Loans!B26="","",Agent07_Loans!A26)</f>
        <v/>
      </c>
      <c r="B1214" s="40" t="str">
        <f>IF(Agent07_Loans!B26="","",Agent07_Loans!B26)</f>
        <v/>
      </c>
      <c r="C1214" s="40" t="str">
        <f>IF(Agent07_Loans!B26="","",Agent07_Loans!C26)</f>
        <v/>
      </c>
      <c r="D1214" s="41" t="str">
        <f>IF(Agent07_Loans!B26="","",Agent07_Loans!D26)</f>
        <v/>
      </c>
      <c r="E1214" s="43" t="str">
        <f>IF(Agent07_Loans!B26="","",Agent07_Loans!E26)</f>
        <v/>
      </c>
      <c r="F1214" s="40" t="str">
        <f>IF(Agent07_Loans!B26="","",Agent07_Loans!F26)</f>
        <v/>
      </c>
      <c r="G1214" s="40" t="str">
        <f>IF(Agent07_Loans!B26="","",Agent07_Loans!G26)</f>
        <v/>
      </c>
      <c r="H1214" s="40" t="str">
        <f>IF(Agent07_Loans!B26="","",Agent07_Loans!H26)</f>
        <v/>
      </c>
      <c r="I1214" s="43" t="str">
        <f>IF(Agent07_Loans!B26="","",Agent07_Loans!I26)</f>
        <v/>
      </c>
      <c r="J1214" s="43" t="str">
        <f>IF(Agent07_Loans!B26="","",Agent07_Loans!J26)</f>
        <v/>
      </c>
      <c r="K1214" s="40" t="str">
        <f>IF(Agent07_Loans!B26="","",Agent07_Loans!K26)</f>
        <v/>
      </c>
      <c r="L1214" s="40" t="str">
        <f>IF(Agent07_Loans!B26="","",Agent07_Loans!L26)</f>
        <v/>
      </c>
      <c r="M1214" s="40" t="str">
        <f>IFERROR(IF(Agent07_Loans!B26="","",YEAR(Agent07_Loans!D26)),"")</f>
        <v/>
      </c>
    </row>
    <row r="1215" spans="1:13" ht="18" customHeight="1" x14ac:dyDescent="0.25">
      <c r="A1215" s="40" t="str">
        <f>IF(Agent07_Loans!B27="","",Agent07_Loans!A27)</f>
        <v/>
      </c>
      <c r="B1215" s="40" t="str">
        <f>IF(Agent07_Loans!B27="","",Agent07_Loans!B27)</f>
        <v/>
      </c>
      <c r="C1215" s="40" t="str">
        <f>IF(Agent07_Loans!B27="","",Agent07_Loans!C27)</f>
        <v/>
      </c>
      <c r="D1215" s="41" t="str">
        <f>IF(Agent07_Loans!B27="","",Agent07_Loans!D27)</f>
        <v/>
      </c>
      <c r="E1215" s="43" t="str">
        <f>IF(Agent07_Loans!B27="","",Agent07_Loans!E27)</f>
        <v/>
      </c>
      <c r="F1215" s="40" t="str">
        <f>IF(Agent07_Loans!B27="","",Agent07_Loans!F27)</f>
        <v/>
      </c>
      <c r="G1215" s="40" t="str">
        <f>IF(Agent07_Loans!B27="","",Agent07_Loans!G27)</f>
        <v/>
      </c>
      <c r="H1215" s="40" t="str">
        <f>IF(Agent07_Loans!B27="","",Agent07_Loans!H27)</f>
        <v/>
      </c>
      <c r="I1215" s="43" t="str">
        <f>IF(Agent07_Loans!B27="","",Agent07_Loans!I27)</f>
        <v/>
      </c>
      <c r="J1215" s="43" t="str">
        <f>IF(Agent07_Loans!B27="","",Agent07_Loans!J27)</f>
        <v/>
      </c>
      <c r="K1215" s="40" t="str">
        <f>IF(Agent07_Loans!B27="","",Agent07_Loans!K27)</f>
        <v/>
      </c>
      <c r="L1215" s="40" t="str">
        <f>IF(Agent07_Loans!B27="","",Agent07_Loans!L27)</f>
        <v/>
      </c>
      <c r="M1215" s="40" t="str">
        <f>IFERROR(IF(Agent07_Loans!B27="","",YEAR(Agent07_Loans!D27)),"")</f>
        <v/>
      </c>
    </row>
    <row r="1216" spans="1:13" ht="18" customHeight="1" x14ac:dyDescent="0.25">
      <c r="A1216" s="40" t="str">
        <f>IF(Agent07_Loans!B28="","",Agent07_Loans!A28)</f>
        <v/>
      </c>
      <c r="B1216" s="40" t="str">
        <f>IF(Agent07_Loans!B28="","",Agent07_Loans!B28)</f>
        <v/>
      </c>
      <c r="C1216" s="40" t="str">
        <f>IF(Agent07_Loans!B28="","",Agent07_Loans!C28)</f>
        <v/>
      </c>
      <c r="D1216" s="41" t="str">
        <f>IF(Agent07_Loans!B28="","",Agent07_Loans!D28)</f>
        <v/>
      </c>
      <c r="E1216" s="43" t="str">
        <f>IF(Agent07_Loans!B28="","",Agent07_Loans!E28)</f>
        <v/>
      </c>
      <c r="F1216" s="40" t="str">
        <f>IF(Agent07_Loans!B28="","",Agent07_Loans!F28)</f>
        <v/>
      </c>
      <c r="G1216" s="40" t="str">
        <f>IF(Agent07_Loans!B28="","",Agent07_Loans!G28)</f>
        <v/>
      </c>
      <c r="H1216" s="40" t="str">
        <f>IF(Agent07_Loans!B28="","",Agent07_Loans!H28)</f>
        <v/>
      </c>
      <c r="I1216" s="43" t="str">
        <f>IF(Agent07_Loans!B28="","",Agent07_Loans!I28)</f>
        <v/>
      </c>
      <c r="J1216" s="43" t="str">
        <f>IF(Agent07_Loans!B28="","",Agent07_Loans!J28)</f>
        <v/>
      </c>
      <c r="K1216" s="40" t="str">
        <f>IF(Agent07_Loans!B28="","",Agent07_Loans!K28)</f>
        <v/>
      </c>
      <c r="L1216" s="40" t="str">
        <f>IF(Agent07_Loans!B28="","",Agent07_Loans!L28)</f>
        <v/>
      </c>
      <c r="M1216" s="40" t="str">
        <f>IFERROR(IF(Agent07_Loans!B28="","",YEAR(Agent07_Loans!D28)),"")</f>
        <v/>
      </c>
    </row>
    <row r="1217" spans="1:13" ht="18" customHeight="1" x14ac:dyDescent="0.25">
      <c r="A1217" s="40" t="str">
        <f>IF(Agent07_Loans!B29="","",Agent07_Loans!A29)</f>
        <v/>
      </c>
      <c r="B1217" s="40" t="str">
        <f>IF(Agent07_Loans!B29="","",Agent07_Loans!B29)</f>
        <v/>
      </c>
      <c r="C1217" s="40" t="str">
        <f>IF(Agent07_Loans!B29="","",Agent07_Loans!C29)</f>
        <v/>
      </c>
      <c r="D1217" s="41" t="str">
        <f>IF(Agent07_Loans!B29="","",Agent07_Loans!D29)</f>
        <v/>
      </c>
      <c r="E1217" s="43" t="str">
        <f>IF(Agent07_Loans!B29="","",Agent07_Loans!E29)</f>
        <v/>
      </c>
      <c r="F1217" s="40" t="str">
        <f>IF(Agent07_Loans!B29="","",Agent07_Loans!F29)</f>
        <v/>
      </c>
      <c r="G1217" s="40" t="str">
        <f>IF(Agent07_Loans!B29="","",Agent07_Loans!G29)</f>
        <v/>
      </c>
      <c r="H1217" s="40" t="str">
        <f>IF(Agent07_Loans!B29="","",Agent07_Loans!H29)</f>
        <v/>
      </c>
      <c r="I1217" s="43" t="str">
        <f>IF(Agent07_Loans!B29="","",Agent07_Loans!I29)</f>
        <v/>
      </c>
      <c r="J1217" s="43" t="str">
        <f>IF(Agent07_Loans!B29="","",Agent07_Loans!J29)</f>
        <v/>
      </c>
      <c r="K1217" s="40" t="str">
        <f>IF(Agent07_Loans!B29="","",Agent07_Loans!K29)</f>
        <v/>
      </c>
      <c r="L1217" s="40" t="str">
        <f>IF(Agent07_Loans!B29="","",Agent07_Loans!L29)</f>
        <v/>
      </c>
      <c r="M1217" s="40" t="str">
        <f>IFERROR(IF(Agent07_Loans!B29="","",YEAR(Agent07_Loans!D29)),"")</f>
        <v/>
      </c>
    </row>
    <row r="1218" spans="1:13" ht="18" customHeight="1" x14ac:dyDescent="0.25">
      <c r="A1218" s="40" t="str">
        <f>IF(Agent07_Loans!B30="","",Agent07_Loans!A30)</f>
        <v/>
      </c>
      <c r="B1218" s="40" t="str">
        <f>IF(Agent07_Loans!B30="","",Agent07_Loans!B30)</f>
        <v/>
      </c>
      <c r="C1218" s="40" t="str">
        <f>IF(Agent07_Loans!B30="","",Agent07_Loans!C30)</f>
        <v/>
      </c>
      <c r="D1218" s="41" t="str">
        <f>IF(Agent07_Loans!B30="","",Agent07_Loans!D30)</f>
        <v/>
      </c>
      <c r="E1218" s="43" t="str">
        <f>IF(Agent07_Loans!B30="","",Agent07_Loans!E30)</f>
        <v/>
      </c>
      <c r="F1218" s="40" t="str">
        <f>IF(Agent07_Loans!B30="","",Agent07_Loans!F30)</f>
        <v/>
      </c>
      <c r="G1218" s="40" t="str">
        <f>IF(Agent07_Loans!B30="","",Agent07_Loans!G30)</f>
        <v/>
      </c>
      <c r="H1218" s="40" t="str">
        <f>IF(Agent07_Loans!B30="","",Agent07_Loans!H30)</f>
        <v/>
      </c>
      <c r="I1218" s="43" t="str">
        <f>IF(Agent07_Loans!B30="","",Agent07_Loans!I30)</f>
        <v/>
      </c>
      <c r="J1218" s="43" t="str">
        <f>IF(Agent07_Loans!B30="","",Agent07_Loans!J30)</f>
        <v/>
      </c>
      <c r="K1218" s="40" t="str">
        <f>IF(Agent07_Loans!B30="","",Agent07_Loans!K30)</f>
        <v/>
      </c>
      <c r="L1218" s="40" t="str">
        <f>IF(Agent07_Loans!B30="","",Agent07_Loans!L30)</f>
        <v/>
      </c>
      <c r="M1218" s="40" t="str">
        <f>IFERROR(IF(Agent07_Loans!B30="","",YEAR(Agent07_Loans!D30)),"")</f>
        <v/>
      </c>
    </row>
    <row r="1219" spans="1:13" ht="18" customHeight="1" x14ac:dyDescent="0.25">
      <c r="A1219" s="40" t="str">
        <f>IF(Agent07_Loans!B31="","",Agent07_Loans!A31)</f>
        <v/>
      </c>
      <c r="B1219" s="40" t="str">
        <f>IF(Agent07_Loans!B31="","",Agent07_Loans!B31)</f>
        <v/>
      </c>
      <c r="C1219" s="40" t="str">
        <f>IF(Agent07_Loans!B31="","",Agent07_Loans!C31)</f>
        <v/>
      </c>
      <c r="D1219" s="41" t="str">
        <f>IF(Agent07_Loans!B31="","",Agent07_Loans!D31)</f>
        <v/>
      </c>
      <c r="E1219" s="43" t="str">
        <f>IF(Agent07_Loans!B31="","",Agent07_Loans!E31)</f>
        <v/>
      </c>
      <c r="F1219" s="40" t="str">
        <f>IF(Agent07_Loans!B31="","",Agent07_Loans!F31)</f>
        <v/>
      </c>
      <c r="G1219" s="40" t="str">
        <f>IF(Agent07_Loans!B31="","",Agent07_Loans!G31)</f>
        <v/>
      </c>
      <c r="H1219" s="40" t="str">
        <f>IF(Agent07_Loans!B31="","",Agent07_Loans!H31)</f>
        <v/>
      </c>
      <c r="I1219" s="43" t="str">
        <f>IF(Agent07_Loans!B31="","",Agent07_Loans!I31)</f>
        <v/>
      </c>
      <c r="J1219" s="43" t="str">
        <f>IF(Agent07_Loans!B31="","",Agent07_Loans!J31)</f>
        <v/>
      </c>
      <c r="K1219" s="40" t="str">
        <f>IF(Agent07_Loans!B31="","",Agent07_Loans!K31)</f>
        <v/>
      </c>
      <c r="L1219" s="40" t="str">
        <f>IF(Agent07_Loans!B31="","",Agent07_Loans!L31)</f>
        <v/>
      </c>
      <c r="M1219" s="40" t="str">
        <f>IFERROR(IF(Agent07_Loans!B31="","",YEAR(Agent07_Loans!D31)),"")</f>
        <v/>
      </c>
    </row>
    <row r="1220" spans="1:13" ht="18" customHeight="1" x14ac:dyDescent="0.25">
      <c r="A1220" s="40" t="str">
        <f>IF(Agent07_Loans!B32="","",Agent07_Loans!A32)</f>
        <v/>
      </c>
      <c r="B1220" s="40" t="str">
        <f>IF(Agent07_Loans!B32="","",Agent07_Loans!B32)</f>
        <v/>
      </c>
      <c r="C1220" s="40" t="str">
        <f>IF(Agent07_Loans!B32="","",Agent07_Loans!C32)</f>
        <v/>
      </c>
      <c r="D1220" s="41" t="str">
        <f>IF(Agent07_Loans!B32="","",Agent07_Loans!D32)</f>
        <v/>
      </c>
      <c r="E1220" s="43" t="str">
        <f>IF(Agent07_Loans!B32="","",Agent07_Loans!E32)</f>
        <v/>
      </c>
      <c r="F1220" s="40" t="str">
        <f>IF(Agent07_Loans!B32="","",Agent07_Loans!F32)</f>
        <v/>
      </c>
      <c r="G1220" s="40" t="str">
        <f>IF(Agent07_Loans!B32="","",Agent07_Loans!G32)</f>
        <v/>
      </c>
      <c r="H1220" s="40" t="str">
        <f>IF(Agent07_Loans!B32="","",Agent07_Loans!H32)</f>
        <v/>
      </c>
      <c r="I1220" s="43" t="str">
        <f>IF(Agent07_Loans!B32="","",Agent07_Loans!I32)</f>
        <v/>
      </c>
      <c r="J1220" s="43" t="str">
        <f>IF(Agent07_Loans!B32="","",Agent07_Loans!J32)</f>
        <v/>
      </c>
      <c r="K1220" s="40" t="str">
        <f>IF(Agent07_Loans!B32="","",Agent07_Loans!K32)</f>
        <v/>
      </c>
      <c r="L1220" s="40" t="str">
        <f>IF(Agent07_Loans!B32="","",Agent07_Loans!L32)</f>
        <v/>
      </c>
      <c r="M1220" s="40" t="str">
        <f>IFERROR(IF(Agent07_Loans!B32="","",YEAR(Agent07_Loans!D32)),"")</f>
        <v/>
      </c>
    </row>
    <row r="1221" spans="1:13" ht="18" customHeight="1" x14ac:dyDescent="0.25">
      <c r="A1221" s="40" t="str">
        <f>IF(Agent07_Loans!B33="","",Agent07_Loans!A33)</f>
        <v/>
      </c>
      <c r="B1221" s="40" t="str">
        <f>IF(Agent07_Loans!B33="","",Agent07_Loans!B33)</f>
        <v/>
      </c>
      <c r="C1221" s="40" t="str">
        <f>IF(Agent07_Loans!B33="","",Agent07_Loans!C33)</f>
        <v/>
      </c>
      <c r="D1221" s="41" t="str">
        <f>IF(Agent07_Loans!B33="","",Agent07_Loans!D33)</f>
        <v/>
      </c>
      <c r="E1221" s="43" t="str">
        <f>IF(Agent07_Loans!B33="","",Agent07_Loans!E33)</f>
        <v/>
      </c>
      <c r="F1221" s="40" t="str">
        <f>IF(Agent07_Loans!B33="","",Agent07_Loans!F33)</f>
        <v/>
      </c>
      <c r="G1221" s="40" t="str">
        <f>IF(Agent07_Loans!B33="","",Agent07_Loans!G33)</f>
        <v/>
      </c>
      <c r="H1221" s="40" t="str">
        <f>IF(Agent07_Loans!B33="","",Agent07_Loans!H33)</f>
        <v/>
      </c>
      <c r="I1221" s="43" t="str">
        <f>IF(Agent07_Loans!B33="","",Agent07_Loans!I33)</f>
        <v/>
      </c>
      <c r="J1221" s="43" t="str">
        <f>IF(Agent07_Loans!B33="","",Agent07_Loans!J33)</f>
        <v/>
      </c>
      <c r="K1221" s="40" t="str">
        <f>IF(Agent07_Loans!B33="","",Agent07_Loans!K33)</f>
        <v/>
      </c>
      <c r="L1221" s="40" t="str">
        <f>IF(Agent07_Loans!B33="","",Agent07_Loans!L33)</f>
        <v/>
      </c>
      <c r="M1221" s="40" t="str">
        <f>IFERROR(IF(Agent07_Loans!B33="","",YEAR(Agent07_Loans!D33)),"")</f>
        <v/>
      </c>
    </row>
    <row r="1222" spans="1:13" ht="18" customHeight="1" x14ac:dyDescent="0.25">
      <c r="A1222" s="40" t="str">
        <f>IF(Agent07_Loans!B34="","",Agent07_Loans!A34)</f>
        <v/>
      </c>
      <c r="B1222" s="40" t="str">
        <f>IF(Agent07_Loans!B34="","",Agent07_Loans!B34)</f>
        <v/>
      </c>
      <c r="C1222" s="40" t="str">
        <f>IF(Agent07_Loans!B34="","",Agent07_Loans!C34)</f>
        <v/>
      </c>
      <c r="D1222" s="41" t="str">
        <f>IF(Agent07_Loans!B34="","",Agent07_Loans!D34)</f>
        <v/>
      </c>
      <c r="E1222" s="43" t="str">
        <f>IF(Agent07_Loans!B34="","",Agent07_Loans!E34)</f>
        <v/>
      </c>
      <c r="F1222" s="40" t="str">
        <f>IF(Agent07_Loans!B34="","",Agent07_Loans!F34)</f>
        <v/>
      </c>
      <c r="G1222" s="40" t="str">
        <f>IF(Agent07_Loans!B34="","",Agent07_Loans!G34)</f>
        <v/>
      </c>
      <c r="H1222" s="40" t="str">
        <f>IF(Agent07_Loans!B34="","",Agent07_Loans!H34)</f>
        <v/>
      </c>
      <c r="I1222" s="43" t="str">
        <f>IF(Agent07_Loans!B34="","",Agent07_Loans!I34)</f>
        <v/>
      </c>
      <c r="J1222" s="43" t="str">
        <f>IF(Agent07_Loans!B34="","",Agent07_Loans!J34)</f>
        <v/>
      </c>
      <c r="K1222" s="40" t="str">
        <f>IF(Agent07_Loans!B34="","",Agent07_Loans!K34)</f>
        <v/>
      </c>
      <c r="L1222" s="40" t="str">
        <f>IF(Agent07_Loans!B34="","",Agent07_Loans!L34)</f>
        <v/>
      </c>
      <c r="M1222" s="40" t="str">
        <f>IFERROR(IF(Agent07_Loans!B34="","",YEAR(Agent07_Loans!D34)),"")</f>
        <v/>
      </c>
    </row>
    <row r="1223" spans="1:13" ht="18" customHeight="1" x14ac:dyDescent="0.25">
      <c r="A1223" s="40" t="str">
        <f>IF(Agent07_Loans!B35="","",Agent07_Loans!A35)</f>
        <v/>
      </c>
      <c r="B1223" s="40" t="str">
        <f>IF(Agent07_Loans!B35="","",Agent07_Loans!B35)</f>
        <v/>
      </c>
      <c r="C1223" s="40" t="str">
        <f>IF(Agent07_Loans!B35="","",Agent07_Loans!C35)</f>
        <v/>
      </c>
      <c r="D1223" s="41" t="str">
        <f>IF(Agent07_Loans!B35="","",Agent07_Loans!D35)</f>
        <v/>
      </c>
      <c r="E1223" s="43" t="str">
        <f>IF(Agent07_Loans!B35="","",Agent07_Loans!E35)</f>
        <v/>
      </c>
      <c r="F1223" s="40" t="str">
        <f>IF(Agent07_Loans!B35="","",Agent07_Loans!F35)</f>
        <v/>
      </c>
      <c r="G1223" s="40" t="str">
        <f>IF(Agent07_Loans!B35="","",Agent07_Loans!G35)</f>
        <v/>
      </c>
      <c r="H1223" s="40" t="str">
        <f>IF(Agent07_Loans!B35="","",Agent07_Loans!H35)</f>
        <v/>
      </c>
      <c r="I1223" s="43" t="str">
        <f>IF(Agent07_Loans!B35="","",Agent07_Loans!I35)</f>
        <v/>
      </c>
      <c r="J1223" s="43" t="str">
        <f>IF(Agent07_Loans!B35="","",Agent07_Loans!J35)</f>
        <v/>
      </c>
      <c r="K1223" s="40" t="str">
        <f>IF(Agent07_Loans!B35="","",Agent07_Loans!K35)</f>
        <v/>
      </c>
      <c r="L1223" s="40" t="str">
        <f>IF(Agent07_Loans!B35="","",Agent07_Loans!L35)</f>
        <v/>
      </c>
      <c r="M1223" s="40" t="str">
        <f>IFERROR(IF(Agent07_Loans!B35="","",YEAR(Agent07_Loans!D35)),"")</f>
        <v/>
      </c>
    </row>
    <row r="1224" spans="1:13" ht="18" customHeight="1" x14ac:dyDescent="0.25">
      <c r="A1224" s="40" t="str">
        <f>IF(Agent07_Loans!B36="","",Agent07_Loans!A36)</f>
        <v/>
      </c>
      <c r="B1224" s="40" t="str">
        <f>IF(Agent07_Loans!B36="","",Agent07_Loans!B36)</f>
        <v/>
      </c>
      <c r="C1224" s="40" t="str">
        <f>IF(Agent07_Loans!B36="","",Agent07_Loans!C36)</f>
        <v/>
      </c>
      <c r="D1224" s="41" t="str">
        <f>IF(Agent07_Loans!B36="","",Agent07_Loans!D36)</f>
        <v/>
      </c>
      <c r="E1224" s="43" t="str">
        <f>IF(Agent07_Loans!B36="","",Agent07_Loans!E36)</f>
        <v/>
      </c>
      <c r="F1224" s="40" t="str">
        <f>IF(Agent07_Loans!B36="","",Agent07_Loans!F36)</f>
        <v/>
      </c>
      <c r="G1224" s="40" t="str">
        <f>IF(Agent07_Loans!B36="","",Agent07_Loans!G36)</f>
        <v/>
      </c>
      <c r="H1224" s="40" t="str">
        <f>IF(Agent07_Loans!B36="","",Agent07_Loans!H36)</f>
        <v/>
      </c>
      <c r="I1224" s="43" t="str">
        <f>IF(Agent07_Loans!B36="","",Agent07_Loans!I36)</f>
        <v/>
      </c>
      <c r="J1224" s="43" t="str">
        <f>IF(Agent07_Loans!B36="","",Agent07_Loans!J36)</f>
        <v/>
      </c>
      <c r="K1224" s="40" t="str">
        <f>IF(Agent07_Loans!B36="","",Agent07_Loans!K36)</f>
        <v/>
      </c>
      <c r="L1224" s="40" t="str">
        <f>IF(Agent07_Loans!B36="","",Agent07_Loans!L36)</f>
        <v/>
      </c>
      <c r="M1224" s="40" t="str">
        <f>IFERROR(IF(Agent07_Loans!B36="","",YEAR(Agent07_Loans!D36)),"")</f>
        <v/>
      </c>
    </row>
    <row r="1225" spans="1:13" ht="18" customHeight="1" x14ac:dyDescent="0.25">
      <c r="A1225" s="40" t="str">
        <f>IF(Agent07_Loans!B37="","",Agent07_Loans!A37)</f>
        <v/>
      </c>
      <c r="B1225" s="40" t="str">
        <f>IF(Agent07_Loans!B37="","",Agent07_Loans!B37)</f>
        <v/>
      </c>
      <c r="C1225" s="40" t="str">
        <f>IF(Agent07_Loans!B37="","",Agent07_Loans!C37)</f>
        <v/>
      </c>
      <c r="D1225" s="41" t="str">
        <f>IF(Agent07_Loans!B37="","",Agent07_Loans!D37)</f>
        <v/>
      </c>
      <c r="E1225" s="43" t="str">
        <f>IF(Agent07_Loans!B37="","",Agent07_Loans!E37)</f>
        <v/>
      </c>
      <c r="F1225" s="40" t="str">
        <f>IF(Agent07_Loans!B37="","",Agent07_Loans!F37)</f>
        <v/>
      </c>
      <c r="G1225" s="40" t="str">
        <f>IF(Agent07_Loans!B37="","",Agent07_Loans!G37)</f>
        <v/>
      </c>
      <c r="H1225" s="40" t="str">
        <f>IF(Agent07_Loans!B37="","",Agent07_Loans!H37)</f>
        <v/>
      </c>
      <c r="I1225" s="43" t="str">
        <f>IF(Agent07_Loans!B37="","",Agent07_Loans!I37)</f>
        <v/>
      </c>
      <c r="J1225" s="43" t="str">
        <f>IF(Agent07_Loans!B37="","",Agent07_Loans!J37)</f>
        <v/>
      </c>
      <c r="K1225" s="40" t="str">
        <f>IF(Agent07_Loans!B37="","",Agent07_Loans!K37)</f>
        <v/>
      </c>
      <c r="L1225" s="40" t="str">
        <f>IF(Agent07_Loans!B37="","",Agent07_Loans!L37)</f>
        <v/>
      </c>
      <c r="M1225" s="40" t="str">
        <f>IFERROR(IF(Agent07_Loans!B37="","",YEAR(Agent07_Loans!D37)),"")</f>
        <v/>
      </c>
    </row>
    <row r="1226" spans="1:13" ht="18" customHeight="1" x14ac:dyDescent="0.25">
      <c r="A1226" s="40" t="str">
        <f>IF(Agent07_Loans!B38="","",Agent07_Loans!A38)</f>
        <v/>
      </c>
      <c r="B1226" s="40" t="str">
        <f>IF(Agent07_Loans!B38="","",Agent07_Loans!B38)</f>
        <v/>
      </c>
      <c r="C1226" s="40" t="str">
        <f>IF(Agent07_Loans!B38="","",Agent07_Loans!C38)</f>
        <v/>
      </c>
      <c r="D1226" s="41" t="str">
        <f>IF(Agent07_Loans!B38="","",Agent07_Loans!D38)</f>
        <v/>
      </c>
      <c r="E1226" s="43" t="str">
        <f>IF(Agent07_Loans!B38="","",Agent07_Loans!E38)</f>
        <v/>
      </c>
      <c r="F1226" s="40" t="str">
        <f>IF(Agent07_Loans!B38="","",Agent07_Loans!F38)</f>
        <v/>
      </c>
      <c r="G1226" s="40" t="str">
        <f>IF(Agent07_Loans!B38="","",Agent07_Loans!G38)</f>
        <v/>
      </c>
      <c r="H1226" s="40" t="str">
        <f>IF(Agent07_Loans!B38="","",Agent07_Loans!H38)</f>
        <v/>
      </c>
      <c r="I1226" s="43" t="str">
        <f>IF(Agent07_Loans!B38="","",Agent07_Loans!I38)</f>
        <v/>
      </c>
      <c r="J1226" s="43" t="str">
        <f>IF(Agent07_Loans!B38="","",Agent07_Loans!J38)</f>
        <v/>
      </c>
      <c r="K1226" s="40" t="str">
        <f>IF(Agent07_Loans!B38="","",Agent07_Loans!K38)</f>
        <v/>
      </c>
      <c r="L1226" s="40" t="str">
        <f>IF(Agent07_Loans!B38="","",Agent07_Loans!L38)</f>
        <v/>
      </c>
      <c r="M1226" s="40" t="str">
        <f>IFERROR(IF(Agent07_Loans!B38="","",YEAR(Agent07_Loans!D38)),"")</f>
        <v/>
      </c>
    </row>
    <row r="1227" spans="1:13" ht="18" customHeight="1" x14ac:dyDescent="0.25">
      <c r="A1227" s="40" t="str">
        <f>IF(Agent07_Loans!B39="","",Agent07_Loans!A39)</f>
        <v/>
      </c>
      <c r="B1227" s="40" t="str">
        <f>IF(Agent07_Loans!B39="","",Agent07_Loans!B39)</f>
        <v/>
      </c>
      <c r="C1227" s="40" t="str">
        <f>IF(Agent07_Loans!B39="","",Agent07_Loans!C39)</f>
        <v/>
      </c>
      <c r="D1227" s="41" t="str">
        <f>IF(Agent07_Loans!B39="","",Agent07_Loans!D39)</f>
        <v/>
      </c>
      <c r="E1227" s="43" t="str">
        <f>IF(Agent07_Loans!B39="","",Agent07_Loans!E39)</f>
        <v/>
      </c>
      <c r="F1227" s="40" t="str">
        <f>IF(Agent07_Loans!B39="","",Agent07_Loans!F39)</f>
        <v/>
      </c>
      <c r="G1227" s="40" t="str">
        <f>IF(Agent07_Loans!B39="","",Agent07_Loans!G39)</f>
        <v/>
      </c>
      <c r="H1227" s="40" t="str">
        <f>IF(Agent07_Loans!B39="","",Agent07_Loans!H39)</f>
        <v/>
      </c>
      <c r="I1227" s="43" t="str">
        <f>IF(Agent07_Loans!B39="","",Agent07_Loans!I39)</f>
        <v/>
      </c>
      <c r="J1227" s="43" t="str">
        <f>IF(Agent07_Loans!B39="","",Agent07_Loans!J39)</f>
        <v/>
      </c>
      <c r="K1227" s="40" t="str">
        <f>IF(Agent07_Loans!B39="","",Agent07_Loans!K39)</f>
        <v/>
      </c>
      <c r="L1227" s="40" t="str">
        <f>IF(Agent07_Loans!B39="","",Agent07_Loans!L39)</f>
        <v/>
      </c>
      <c r="M1227" s="40" t="str">
        <f>IFERROR(IF(Agent07_Loans!B39="","",YEAR(Agent07_Loans!D39)),"")</f>
        <v/>
      </c>
    </row>
    <row r="1228" spans="1:13" ht="18" customHeight="1" x14ac:dyDescent="0.25">
      <c r="A1228" s="40" t="str">
        <f>IF(Agent07_Loans!B40="","",Agent07_Loans!A40)</f>
        <v/>
      </c>
      <c r="B1228" s="40" t="str">
        <f>IF(Agent07_Loans!B40="","",Agent07_Loans!B40)</f>
        <v/>
      </c>
      <c r="C1228" s="40" t="str">
        <f>IF(Agent07_Loans!B40="","",Agent07_Loans!C40)</f>
        <v/>
      </c>
      <c r="D1228" s="41" t="str">
        <f>IF(Agent07_Loans!B40="","",Agent07_Loans!D40)</f>
        <v/>
      </c>
      <c r="E1228" s="43" t="str">
        <f>IF(Agent07_Loans!B40="","",Agent07_Loans!E40)</f>
        <v/>
      </c>
      <c r="F1228" s="40" t="str">
        <f>IF(Agent07_Loans!B40="","",Agent07_Loans!F40)</f>
        <v/>
      </c>
      <c r="G1228" s="40" t="str">
        <f>IF(Agent07_Loans!B40="","",Agent07_Loans!G40)</f>
        <v/>
      </c>
      <c r="H1228" s="40" t="str">
        <f>IF(Agent07_Loans!B40="","",Agent07_Loans!H40)</f>
        <v/>
      </c>
      <c r="I1228" s="43" t="str">
        <f>IF(Agent07_Loans!B40="","",Agent07_Loans!I40)</f>
        <v/>
      </c>
      <c r="J1228" s="43" t="str">
        <f>IF(Agent07_Loans!B40="","",Agent07_Loans!J40)</f>
        <v/>
      </c>
      <c r="K1228" s="40" t="str">
        <f>IF(Agent07_Loans!B40="","",Agent07_Loans!K40)</f>
        <v/>
      </c>
      <c r="L1228" s="40" t="str">
        <f>IF(Agent07_Loans!B40="","",Agent07_Loans!L40)</f>
        <v/>
      </c>
      <c r="M1228" s="40" t="str">
        <f>IFERROR(IF(Agent07_Loans!B40="","",YEAR(Agent07_Loans!D40)),"")</f>
        <v/>
      </c>
    </row>
    <row r="1229" spans="1:13" ht="18" customHeight="1" x14ac:dyDescent="0.25">
      <c r="A1229" s="40" t="str">
        <f>IF(Agent07_Loans!B41="","",Agent07_Loans!A41)</f>
        <v/>
      </c>
      <c r="B1229" s="40" t="str">
        <f>IF(Agent07_Loans!B41="","",Agent07_Loans!B41)</f>
        <v/>
      </c>
      <c r="C1229" s="40" t="str">
        <f>IF(Agent07_Loans!B41="","",Agent07_Loans!C41)</f>
        <v/>
      </c>
      <c r="D1229" s="41" t="str">
        <f>IF(Agent07_Loans!B41="","",Agent07_Loans!D41)</f>
        <v/>
      </c>
      <c r="E1229" s="43" t="str">
        <f>IF(Agent07_Loans!B41="","",Agent07_Loans!E41)</f>
        <v/>
      </c>
      <c r="F1229" s="40" t="str">
        <f>IF(Agent07_Loans!B41="","",Agent07_Loans!F41)</f>
        <v/>
      </c>
      <c r="G1229" s="40" t="str">
        <f>IF(Agent07_Loans!B41="","",Agent07_Loans!G41)</f>
        <v/>
      </c>
      <c r="H1229" s="40" t="str">
        <f>IF(Agent07_Loans!B41="","",Agent07_Loans!H41)</f>
        <v/>
      </c>
      <c r="I1229" s="43" t="str">
        <f>IF(Agent07_Loans!B41="","",Agent07_Loans!I41)</f>
        <v/>
      </c>
      <c r="J1229" s="43" t="str">
        <f>IF(Agent07_Loans!B41="","",Agent07_Loans!J41)</f>
        <v/>
      </c>
      <c r="K1229" s="40" t="str">
        <f>IF(Agent07_Loans!B41="","",Agent07_Loans!K41)</f>
        <v/>
      </c>
      <c r="L1229" s="40" t="str">
        <f>IF(Agent07_Loans!B41="","",Agent07_Loans!L41)</f>
        <v/>
      </c>
      <c r="M1229" s="40" t="str">
        <f>IFERROR(IF(Agent07_Loans!B41="","",YEAR(Agent07_Loans!D41)),"")</f>
        <v/>
      </c>
    </row>
    <row r="1230" spans="1:13" ht="18" customHeight="1" x14ac:dyDescent="0.25">
      <c r="A1230" s="40" t="str">
        <f>IF(Agent07_Loans!B42="","",Agent07_Loans!A42)</f>
        <v/>
      </c>
      <c r="B1230" s="40" t="str">
        <f>IF(Agent07_Loans!B42="","",Agent07_Loans!B42)</f>
        <v/>
      </c>
      <c r="C1230" s="40" t="str">
        <f>IF(Agent07_Loans!B42="","",Agent07_Loans!C42)</f>
        <v/>
      </c>
      <c r="D1230" s="41" t="str">
        <f>IF(Agent07_Loans!B42="","",Agent07_Loans!D42)</f>
        <v/>
      </c>
      <c r="E1230" s="43" t="str">
        <f>IF(Agent07_Loans!B42="","",Agent07_Loans!E42)</f>
        <v/>
      </c>
      <c r="F1230" s="40" t="str">
        <f>IF(Agent07_Loans!B42="","",Agent07_Loans!F42)</f>
        <v/>
      </c>
      <c r="G1230" s="40" t="str">
        <f>IF(Agent07_Loans!B42="","",Agent07_Loans!G42)</f>
        <v/>
      </c>
      <c r="H1230" s="40" t="str">
        <f>IF(Agent07_Loans!B42="","",Agent07_Loans!H42)</f>
        <v/>
      </c>
      <c r="I1230" s="43" t="str">
        <f>IF(Agent07_Loans!B42="","",Agent07_Loans!I42)</f>
        <v/>
      </c>
      <c r="J1230" s="43" t="str">
        <f>IF(Agent07_Loans!B42="","",Agent07_Loans!J42)</f>
        <v/>
      </c>
      <c r="K1230" s="40" t="str">
        <f>IF(Agent07_Loans!B42="","",Agent07_Loans!K42)</f>
        <v/>
      </c>
      <c r="L1230" s="40" t="str">
        <f>IF(Agent07_Loans!B42="","",Agent07_Loans!L42)</f>
        <v/>
      </c>
      <c r="M1230" s="40" t="str">
        <f>IFERROR(IF(Agent07_Loans!B42="","",YEAR(Agent07_Loans!D42)),"")</f>
        <v/>
      </c>
    </row>
    <row r="1231" spans="1:13" ht="18" customHeight="1" x14ac:dyDescent="0.25">
      <c r="A1231" s="40" t="str">
        <f>IF(Agent07_Loans!B43="","",Agent07_Loans!A43)</f>
        <v/>
      </c>
      <c r="B1231" s="40" t="str">
        <f>IF(Agent07_Loans!B43="","",Agent07_Loans!B43)</f>
        <v/>
      </c>
      <c r="C1231" s="40" t="str">
        <f>IF(Agent07_Loans!B43="","",Agent07_Loans!C43)</f>
        <v/>
      </c>
      <c r="D1231" s="41" t="str">
        <f>IF(Agent07_Loans!B43="","",Agent07_Loans!D43)</f>
        <v/>
      </c>
      <c r="E1231" s="43" t="str">
        <f>IF(Agent07_Loans!B43="","",Agent07_Loans!E43)</f>
        <v/>
      </c>
      <c r="F1231" s="40" t="str">
        <f>IF(Agent07_Loans!B43="","",Agent07_Loans!F43)</f>
        <v/>
      </c>
      <c r="G1231" s="40" t="str">
        <f>IF(Agent07_Loans!B43="","",Agent07_Loans!G43)</f>
        <v/>
      </c>
      <c r="H1231" s="40" t="str">
        <f>IF(Agent07_Loans!B43="","",Agent07_Loans!H43)</f>
        <v/>
      </c>
      <c r="I1231" s="43" t="str">
        <f>IF(Agent07_Loans!B43="","",Agent07_Loans!I43)</f>
        <v/>
      </c>
      <c r="J1231" s="43" t="str">
        <f>IF(Agent07_Loans!B43="","",Agent07_Loans!J43)</f>
        <v/>
      </c>
      <c r="K1231" s="40" t="str">
        <f>IF(Agent07_Loans!B43="","",Agent07_Loans!K43)</f>
        <v/>
      </c>
      <c r="L1231" s="40" t="str">
        <f>IF(Agent07_Loans!B43="","",Agent07_Loans!L43)</f>
        <v/>
      </c>
      <c r="M1231" s="40" t="str">
        <f>IFERROR(IF(Agent07_Loans!B43="","",YEAR(Agent07_Loans!D43)),"")</f>
        <v/>
      </c>
    </row>
    <row r="1232" spans="1:13" ht="18" customHeight="1" x14ac:dyDescent="0.25">
      <c r="A1232" s="40" t="str">
        <f>IF(Agent07_Loans!B44="","",Agent07_Loans!A44)</f>
        <v/>
      </c>
      <c r="B1232" s="40" t="str">
        <f>IF(Agent07_Loans!B44="","",Agent07_Loans!B44)</f>
        <v/>
      </c>
      <c r="C1232" s="40" t="str">
        <f>IF(Agent07_Loans!B44="","",Agent07_Loans!C44)</f>
        <v/>
      </c>
      <c r="D1232" s="41" t="str">
        <f>IF(Agent07_Loans!B44="","",Agent07_Loans!D44)</f>
        <v/>
      </c>
      <c r="E1232" s="43" t="str">
        <f>IF(Agent07_Loans!B44="","",Agent07_Loans!E44)</f>
        <v/>
      </c>
      <c r="F1232" s="40" t="str">
        <f>IF(Agent07_Loans!B44="","",Agent07_Loans!F44)</f>
        <v/>
      </c>
      <c r="G1232" s="40" t="str">
        <f>IF(Agent07_Loans!B44="","",Agent07_Loans!G44)</f>
        <v/>
      </c>
      <c r="H1232" s="40" t="str">
        <f>IF(Agent07_Loans!B44="","",Agent07_Loans!H44)</f>
        <v/>
      </c>
      <c r="I1232" s="43" t="str">
        <f>IF(Agent07_Loans!B44="","",Agent07_Loans!I44)</f>
        <v/>
      </c>
      <c r="J1232" s="43" t="str">
        <f>IF(Agent07_Loans!B44="","",Agent07_Loans!J44)</f>
        <v/>
      </c>
      <c r="K1232" s="40" t="str">
        <f>IF(Agent07_Loans!B44="","",Agent07_Loans!K44)</f>
        <v/>
      </c>
      <c r="L1232" s="40" t="str">
        <f>IF(Agent07_Loans!B44="","",Agent07_Loans!L44)</f>
        <v/>
      </c>
      <c r="M1232" s="40" t="str">
        <f>IFERROR(IF(Agent07_Loans!B44="","",YEAR(Agent07_Loans!D44)),"")</f>
        <v/>
      </c>
    </row>
    <row r="1233" spans="1:13" ht="18" customHeight="1" x14ac:dyDescent="0.25">
      <c r="A1233" s="40" t="str">
        <f>IF(Agent07_Loans!B45="","",Agent07_Loans!A45)</f>
        <v/>
      </c>
      <c r="B1233" s="40" t="str">
        <f>IF(Agent07_Loans!B45="","",Agent07_Loans!B45)</f>
        <v/>
      </c>
      <c r="C1233" s="40" t="str">
        <f>IF(Agent07_Loans!B45="","",Agent07_Loans!C45)</f>
        <v/>
      </c>
      <c r="D1233" s="41" t="str">
        <f>IF(Agent07_Loans!B45="","",Agent07_Loans!D45)</f>
        <v/>
      </c>
      <c r="E1233" s="43" t="str">
        <f>IF(Agent07_Loans!B45="","",Agent07_Loans!E45)</f>
        <v/>
      </c>
      <c r="F1233" s="40" t="str">
        <f>IF(Agent07_Loans!B45="","",Agent07_Loans!F45)</f>
        <v/>
      </c>
      <c r="G1233" s="40" t="str">
        <f>IF(Agent07_Loans!B45="","",Agent07_Loans!G45)</f>
        <v/>
      </c>
      <c r="H1233" s="40" t="str">
        <f>IF(Agent07_Loans!B45="","",Agent07_Loans!H45)</f>
        <v/>
      </c>
      <c r="I1233" s="43" t="str">
        <f>IF(Agent07_Loans!B45="","",Agent07_Loans!I45)</f>
        <v/>
      </c>
      <c r="J1233" s="43" t="str">
        <f>IF(Agent07_Loans!B45="","",Agent07_Loans!J45)</f>
        <v/>
      </c>
      <c r="K1233" s="40" t="str">
        <f>IF(Agent07_Loans!B45="","",Agent07_Loans!K45)</f>
        <v/>
      </c>
      <c r="L1233" s="40" t="str">
        <f>IF(Agent07_Loans!B45="","",Agent07_Loans!L45)</f>
        <v/>
      </c>
      <c r="M1233" s="40" t="str">
        <f>IFERROR(IF(Agent07_Loans!B45="","",YEAR(Agent07_Loans!D45)),"")</f>
        <v/>
      </c>
    </row>
    <row r="1234" spans="1:13" ht="18" customHeight="1" x14ac:dyDescent="0.25">
      <c r="A1234" s="40" t="str">
        <f>IF(Agent07_Loans!B46="","",Agent07_Loans!A46)</f>
        <v/>
      </c>
      <c r="B1234" s="40" t="str">
        <f>IF(Agent07_Loans!B46="","",Agent07_Loans!B46)</f>
        <v/>
      </c>
      <c r="C1234" s="40" t="str">
        <f>IF(Agent07_Loans!B46="","",Agent07_Loans!C46)</f>
        <v/>
      </c>
      <c r="D1234" s="41" t="str">
        <f>IF(Agent07_Loans!B46="","",Agent07_Loans!D46)</f>
        <v/>
      </c>
      <c r="E1234" s="43" t="str">
        <f>IF(Agent07_Loans!B46="","",Agent07_Loans!E46)</f>
        <v/>
      </c>
      <c r="F1234" s="40" t="str">
        <f>IF(Agent07_Loans!B46="","",Agent07_Loans!F46)</f>
        <v/>
      </c>
      <c r="G1234" s="40" t="str">
        <f>IF(Agent07_Loans!B46="","",Agent07_Loans!G46)</f>
        <v/>
      </c>
      <c r="H1234" s="40" t="str">
        <f>IF(Agent07_Loans!B46="","",Agent07_Loans!H46)</f>
        <v/>
      </c>
      <c r="I1234" s="43" t="str">
        <f>IF(Agent07_Loans!B46="","",Agent07_Loans!I46)</f>
        <v/>
      </c>
      <c r="J1234" s="43" t="str">
        <f>IF(Agent07_Loans!B46="","",Agent07_Loans!J46)</f>
        <v/>
      </c>
      <c r="K1234" s="40" t="str">
        <f>IF(Agent07_Loans!B46="","",Agent07_Loans!K46)</f>
        <v/>
      </c>
      <c r="L1234" s="40" t="str">
        <f>IF(Agent07_Loans!B46="","",Agent07_Loans!L46)</f>
        <v/>
      </c>
      <c r="M1234" s="40" t="str">
        <f>IFERROR(IF(Agent07_Loans!B46="","",YEAR(Agent07_Loans!D46)),"")</f>
        <v/>
      </c>
    </row>
    <row r="1235" spans="1:13" ht="18" customHeight="1" x14ac:dyDescent="0.25">
      <c r="A1235" s="40" t="str">
        <f>IF(Agent07_Loans!B47="","",Agent07_Loans!A47)</f>
        <v/>
      </c>
      <c r="B1235" s="40" t="str">
        <f>IF(Agent07_Loans!B47="","",Agent07_Loans!B47)</f>
        <v/>
      </c>
      <c r="C1235" s="40" t="str">
        <f>IF(Agent07_Loans!B47="","",Agent07_Loans!C47)</f>
        <v/>
      </c>
      <c r="D1235" s="41" t="str">
        <f>IF(Agent07_Loans!B47="","",Agent07_Loans!D47)</f>
        <v/>
      </c>
      <c r="E1235" s="43" t="str">
        <f>IF(Agent07_Loans!B47="","",Agent07_Loans!E47)</f>
        <v/>
      </c>
      <c r="F1235" s="40" t="str">
        <f>IF(Agent07_Loans!B47="","",Agent07_Loans!F47)</f>
        <v/>
      </c>
      <c r="G1235" s="40" t="str">
        <f>IF(Agent07_Loans!B47="","",Agent07_Loans!G47)</f>
        <v/>
      </c>
      <c r="H1235" s="40" t="str">
        <f>IF(Agent07_Loans!B47="","",Agent07_Loans!H47)</f>
        <v/>
      </c>
      <c r="I1235" s="43" t="str">
        <f>IF(Agent07_Loans!B47="","",Agent07_Loans!I47)</f>
        <v/>
      </c>
      <c r="J1235" s="43" t="str">
        <f>IF(Agent07_Loans!B47="","",Agent07_Loans!J47)</f>
        <v/>
      </c>
      <c r="K1235" s="40" t="str">
        <f>IF(Agent07_Loans!B47="","",Agent07_Loans!K47)</f>
        <v/>
      </c>
      <c r="L1235" s="40" t="str">
        <f>IF(Agent07_Loans!B47="","",Agent07_Loans!L47)</f>
        <v/>
      </c>
      <c r="M1235" s="40" t="str">
        <f>IFERROR(IF(Agent07_Loans!B47="","",YEAR(Agent07_Loans!D47)),"")</f>
        <v/>
      </c>
    </row>
    <row r="1236" spans="1:13" ht="18" customHeight="1" x14ac:dyDescent="0.25">
      <c r="A1236" s="40" t="str">
        <f>IF(Agent07_Loans!B48="","",Agent07_Loans!A48)</f>
        <v/>
      </c>
      <c r="B1236" s="40" t="str">
        <f>IF(Agent07_Loans!B48="","",Agent07_Loans!B48)</f>
        <v/>
      </c>
      <c r="C1236" s="40" t="str">
        <f>IF(Agent07_Loans!B48="","",Agent07_Loans!C48)</f>
        <v/>
      </c>
      <c r="D1236" s="41" t="str">
        <f>IF(Agent07_Loans!B48="","",Agent07_Loans!D48)</f>
        <v/>
      </c>
      <c r="E1236" s="43" t="str">
        <f>IF(Agent07_Loans!B48="","",Agent07_Loans!E48)</f>
        <v/>
      </c>
      <c r="F1236" s="40" t="str">
        <f>IF(Agent07_Loans!B48="","",Agent07_Loans!F48)</f>
        <v/>
      </c>
      <c r="G1236" s="40" t="str">
        <f>IF(Agent07_Loans!B48="","",Agent07_Loans!G48)</f>
        <v/>
      </c>
      <c r="H1236" s="40" t="str">
        <f>IF(Agent07_Loans!B48="","",Agent07_Loans!H48)</f>
        <v/>
      </c>
      <c r="I1236" s="43" t="str">
        <f>IF(Agent07_Loans!B48="","",Agent07_Loans!I48)</f>
        <v/>
      </c>
      <c r="J1236" s="43" t="str">
        <f>IF(Agent07_Loans!B48="","",Agent07_Loans!J48)</f>
        <v/>
      </c>
      <c r="K1236" s="40" t="str">
        <f>IF(Agent07_Loans!B48="","",Agent07_Loans!K48)</f>
        <v/>
      </c>
      <c r="L1236" s="40" t="str">
        <f>IF(Agent07_Loans!B48="","",Agent07_Loans!L48)</f>
        <v/>
      </c>
      <c r="M1236" s="40" t="str">
        <f>IFERROR(IF(Agent07_Loans!B48="","",YEAR(Agent07_Loans!D48)),"")</f>
        <v/>
      </c>
    </row>
    <row r="1237" spans="1:13" ht="18" customHeight="1" x14ac:dyDescent="0.25">
      <c r="A1237" s="40" t="str">
        <f>IF(Agent07_Loans!B49="","",Agent07_Loans!A49)</f>
        <v/>
      </c>
      <c r="B1237" s="40" t="str">
        <f>IF(Agent07_Loans!B49="","",Agent07_Loans!B49)</f>
        <v/>
      </c>
      <c r="C1237" s="40" t="str">
        <f>IF(Agent07_Loans!B49="","",Agent07_Loans!C49)</f>
        <v/>
      </c>
      <c r="D1237" s="41" t="str">
        <f>IF(Agent07_Loans!B49="","",Agent07_Loans!D49)</f>
        <v/>
      </c>
      <c r="E1237" s="43" t="str">
        <f>IF(Agent07_Loans!B49="","",Agent07_Loans!E49)</f>
        <v/>
      </c>
      <c r="F1237" s="40" t="str">
        <f>IF(Agent07_Loans!B49="","",Agent07_Loans!F49)</f>
        <v/>
      </c>
      <c r="G1237" s="40" t="str">
        <f>IF(Agent07_Loans!B49="","",Agent07_Loans!G49)</f>
        <v/>
      </c>
      <c r="H1237" s="40" t="str">
        <f>IF(Agent07_Loans!B49="","",Agent07_Loans!H49)</f>
        <v/>
      </c>
      <c r="I1237" s="43" t="str">
        <f>IF(Agent07_Loans!B49="","",Agent07_Loans!I49)</f>
        <v/>
      </c>
      <c r="J1237" s="43" t="str">
        <f>IF(Agent07_Loans!B49="","",Agent07_Loans!J49)</f>
        <v/>
      </c>
      <c r="K1237" s="40" t="str">
        <f>IF(Agent07_Loans!B49="","",Agent07_Loans!K49)</f>
        <v/>
      </c>
      <c r="L1237" s="40" t="str">
        <f>IF(Agent07_Loans!B49="","",Agent07_Loans!L49)</f>
        <v/>
      </c>
      <c r="M1237" s="40" t="str">
        <f>IFERROR(IF(Agent07_Loans!B49="","",YEAR(Agent07_Loans!D49)),"")</f>
        <v/>
      </c>
    </row>
    <row r="1238" spans="1:13" ht="18" customHeight="1" x14ac:dyDescent="0.25">
      <c r="A1238" s="40" t="str">
        <f>IF(Agent07_Loans!B50="","",Agent07_Loans!A50)</f>
        <v/>
      </c>
      <c r="B1238" s="40" t="str">
        <f>IF(Agent07_Loans!B50="","",Agent07_Loans!B50)</f>
        <v/>
      </c>
      <c r="C1238" s="40" t="str">
        <f>IF(Agent07_Loans!B50="","",Agent07_Loans!C50)</f>
        <v/>
      </c>
      <c r="D1238" s="41" t="str">
        <f>IF(Agent07_Loans!B50="","",Agent07_Loans!D50)</f>
        <v/>
      </c>
      <c r="E1238" s="43" t="str">
        <f>IF(Agent07_Loans!B50="","",Agent07_Loans!E50)</f>
        <v/>
      </c>
      <c r="F1238" s="40" t="str">
        <f>IF(Agent07_Loans!B50="","",Agent07_Loans!F50)</f>
        <v/>
      </c>
      <c r="G1238" s="40" t="str">
        <f>IF(Agent07_Loans!B50="","",Agent07_Loans!G50)</f>
        <v/>
      </c>
      <c r="H1238" s="40" t="str">
        <f>IF(Agent07_Loans!B50="","",Agent07_Loans!H50)</f>
        <v/>
      </c>
      <c r="I1238" s="43" t="str">
        <f>IF(Agent07_Loans!B50="","",Agent07_Loans!I50)</f>
        <v/>
      </c>
      <c r="J1238" s="43" t="str">
        <f>IF(Agent07_Loans!B50="","",Agent07_Loans!J50)</f>
        <v/>
      </c>
      <c r="K1238" s="40" t="str">
        <f>IF(Agent07_Loans!B50="","",Agent07_Loans!K50)</f>
        <v/>
      </c>
      <c r="L1238" s="40" t="str">
        <f>IF(Agent07_Loans!B50="","",Agent07_Loans!L50)</f>
        <v/>
      </c>
      <c r="M1238" s="40" t="str">
        <f>IFERROR(IF(Agent07_Loans!B50="","",YEAR(Agent07_Loans!D50)),"")</f>
        <v/>
      </c>
    </row>
    <row r="1239" spans="1:13" ht="18" customHeight="1" x14ac:dyDescent="0.25">
      <c r="A1239" s="40" t="str">
        <f>IF(Agent07_Loans!B51="","",Agent07_Loans!A51)</f>
        <v/>
      </c>
      <c r="B1239" s="40" t="str">
        <f>IF(Agent07_Loans!B51="","",Agent07_Loans!B51)</f>
        <v/>
      </c>
      <c r="C1239" s="40" t="str">
        <f>IF(Agent07_Loans!B51="","",Agent07_Loans!C51)</f>
        <v/>
      </c>
      <c r="D1239" s="41" t="str">
        <f>IF(Agent07_Loans!B51="","",Agent07_Loans!D51)</f>
        <v/>
      </c>
      <c r="E1239" s="43" t="str">
        <f>IF(Agent07_Loans!B51="","",Agent07_Loans!E51)</f>
        <v/>
      </c>
      <c r="F1239" s="40" t="str">
        <f>IF(Agent07_Loans!B51="","",Agent07_Loans!F51)</f>
        <v/>
      </c>
      <c r="G1239" s="40" t="str">
        <f>IF(Agent07_Loans!B51="","",Agent07_Loans!G51)</f>
        <v/>
      </c>
      <c r="H1239" s="40" t="str">
        <f>IF(Agent07_Loans!B51="","",Agent07_Loans!H51)</f>
        <v/>
      </c>
      <c r="I1239" s="43" t="str">
        <f>IF(Agent07_Loans!B51="","",Agent07_Loans!I51)</f>
        <v/>
      </c>
      <c r="J1239" s="43" t="str">
        <f>IF(Agent07_Loans!B51="","",Agent07_Loans!J51)</f>
        <v/>
      </c>
      <c r="K1239" s="40" t="str">
        <f>IF(Agent07_Loans!B51="","",Agent07_Loans!K51)</f>
        <v/>
      </c>
      <c r="L1239" s="40" t="str">
        <f>IF(Agent07_Loans!B51="","",Agent07_Loans!L51)</f>
        <v/>
      </c>
      <c r="M1239" s="40" t="str">
        <f>IFERROR(IF(Agent07_Loans!B51="","",YEAR(Agent07_Loans!D51)),"")</f>
        <v/>
      </c>
    </row>
    <row r="1240" spans="1:13" ht="18" customHeight="1" x14ac:dyDescent="0.25">
      <c r="A1240" s="40" t="str">
        <f>IF(Agent07_Loans!B52="","",Agent07_Loans!A52)</f>
        <v/>
      </c>
      <c r="B1240" s="40" t="str">
        <f>IF(Agent07_Loans!B52="","",Agent07_Loans!B52)</f>
        <v/>
      </c>
      <c r="C1240" s="40" t="str">
        <f>IF(Agent07_Loans!B52="","",Agent07_Loans!C52)</f>
        <v/>
      </c>
      <c r="D1240" s="41" t="str">
        <f>IF(Agent07_Loans!B52="","",Agent07_Loans!D52)</f>
        <v/>
      </c>
      <c r="E1240" s="43" t="str">
        <f>IF(Agent07_Loans!B52="","",Agent07_Loans!E52)</f>
        <v/>
      </c>
      <c r="F1240" s="40" t="str">
        <f>IF(Agent07_Loans!B52="","",Agent07_Loans!F52)</f>
        <v/>
      </c>
      <c r="G1240" s="40" t="str">
        <f>IF(Agent07_Loans!B52="","",Agent07_Loans!G52)</f>
        <v/>
      </c>
      <c r="H1240" s="40" t="str">
        <f>IF(Agent07_Loans!B52="","",Agent07_Loans!H52)</f>
        <v/>
      </c>
      <c r="I1240" s="43" t="str">
        <f>IF(Agent07_Loans!B52="","",Agent07_Loans!I52)</f>
        <v/>
      </c>
      <c r="J1240" s="43" t="str">
        <f>IF(Agent07_Loans!B52="","",Agent07_Loans!J52)</f>
        <v/>
      </c>
      <c r="K1240" s="40" t="str">
        <f>IF(Agent07_Loans!B52="","",Agent07_Loans!K52)</f>
        <v/>
      </c>
      <c r="L1240" s="40" t="str">
        <f>IF(Agent07_Loans!B52="","",Agent07_Loans!L52)</f>
        <v/>
      </c>
      <c r="M1240" s="40" t="str">
        <f>IFERROR(IF(Agent07_Loans!B52="","",YEAR(Agent07_Loans!D52)),"")</f>
        <v/>
      </c>
    </row>
    <row r="1241" spans="1:13" ht="18" customHeight="1" x14ac:dyDescent="0.25">
      <c r="A1241" s="40" t="str">
        <f>IF(Agent07_Loans!B53="","",Agent07_Loans!A53)</f>
        <v/>
      </c>
      <c r="B1241" s="40" t="str">
        <f>IF(Agent07_Loans!B53="","",Agent07_Loans!B53)</f>
        <v/>
      </c>
      <c r="C1241" s="40" t="str">
        <f>IF(Agent07_Loans!B53="","",Agent07_Loans!C53)</f>
        <v/>
      </c>
      <c r="D1241" s="41" t="str">
        <f>IF(Agent07_Loans!B53="","",Agent07_Loans!D53)</f>
        <v/>
      </c>
      <c r="E1241" s="43" t="str">
        <f>IF(Agent07_Loans!B53="","",Agent07_Loans!E53)</f>
        <v/>
      </c>
      <c r="F1241" s="40" t="str">
        <f>IF(Agent07_Loans!B53="","",Agent07_Loans!F53)</f>
        <v/>
      </c>
      <c r="G1241" s="40" t="str">
        <f>IF(Agent07_Loans!B53="","",Agent07_Loans!G53)</f>
        <v/>
      </c>
      <c r="H1241" s="40" t="str">
        <f>IF(Agent07_Loans!B53="","",Agent07_Loans!H53)</f>
        <v/>
      </c>
      <c r="I1241" s="43" t="str">
        <f>IF(Agent07_Loans!B53="","",Agent07_Loans!I53)</f>
        <v/>
      </c>
      <c r="J1241" s="43" t="str">
        <f>IF(Agent07_Loans!B53="","",Agent07_Loans!J53)</f>
        <v/>
      </c>
      <c r="K1241" s="40" t="str">
        <f>IF(Agent07_Loans!B53="","",Agent07_Loans!K53)</f>
        <v/>
      </c>
      <c r="L1241" s="40" t="str">
        <f>IF(Agent07_Loans!B53="","",Agent07_Loans!L53)</f>
        <v/>
      </c>
      <c r="M1241" s="40" t="str">
        <f>IFERROR(IF(Agent07_Loans!B53="","",YEAR(Agent07_Loans!D53)),"")</f>
        <v/>
      </c>
    </row>
    <row r="1242" spans="1:13" ht="18" customHeight="1" x14ac:dyDescent="0.25">
      <c r="A1242" s="40" t="str">
        <f>IF(Agent07_Loans!B54="","",Agent07_Loans!A54)</f>
        <v/>
      </c>
      <c r="B1242" s="40" t="str">
        <f>IF(Agent07_Loans!B54="","",Agent07_Loans!B54)</f>
        <v/>
      </c>
      <c r="C1242" s="40" t="str">
        <f>IF(Agent07_Loans!B54="","",Agent07_Loans!C54)</f>
        <v/>
      </c>
      <c r="D1242" s="41" t="str">
        <f>IF(Agent07_Loans!B54="","",Agent07_Loans!D54)</f>
        <v/>
      </c>
      <c r="E1242" s="43" t="str">
        <f>IF(Agent07_Loans!B54="","",Agent07_Loans!E54)</f>
        <v/>
      </c>
      <c r="F1242" s="40" t="str">
        <f>IF(Agent07_Loans!B54="","",Agent07_Loans!F54)</f>
        <v/>
      </c>
      <c r="G1242" s="40" t="str">
        <f>IF(Agent07_Loans!B54="","",Agent07_Loans!G54)</f>
        <v/>
      </c>
      <c r="H1242" s="40" t="str">
        <f>IF(Agent07_Loans!B54="","",Agent07_Loans!H54)</f>
        <v/>
      </c>
      <c r="I1242" s="43" t="str">
        <f>IF(Agent07_Loans!B54="","",Agent07_Loans!I54)</f>
        <v/>
      </c>
      <c r="J1242" s="43" t="str">
        <f>IF(Agent07_Loans!B54="","",Agent07_Loans!J54)</f>
        <v/>
      </c>
      <c r="K1242" s="40" t="str">
        <f>IF(Agent07_Loans!B54="","",Agent07_Loans!K54)</f>
        <v/>
      </c>
      <c r="L1242" s="40" t="str">
        <f>IF(Agent07_Loans!B54="","",Agent07_Loans!L54)</f>
        <v/>
      </c>
      <c r="M1242" s="40" t="str">
        <f>IFERROR(IF(Agent07_Loans!B54="","",YEAR(Agent07_Loans!D54)),"")</f>
        <v/>
      </c>
    </row>
    <row r="1243" spans="1:13" ht="18" customHeight="1" x14ac:dyDescent="0.25">
      <c r="A1243" s="40" t="str">
        <f>IF(Agent07_Loans!B55="","",Agent07_Loans!A55)</f>
        <v/>
      </c>
      <c r="B1243" s="40" t="str">
        <f>IF(Agent07_Loans!B55="","",Agent07_Loans!B55)</f>
        <v/>
      </c>
      <c r="C1243" s="40" t="str">
        <f>IF(Agent07_Loans!B55="","",Agent07_Loans!C55)</f>
        <v/>
      </c>
      <c r="D1243" s="41" t="str">
        <f>IF(Agent07_Loans!B55="","",Agent07_Loans!D55)</f>
        <v/>
      </c>
      <c r="E1243" s="43" t="str">
        <f>IF(Agent07_Loans!B55="","",Agent07_Loans!E55)</f>
        <v/>
      </c>
      <c r="F1243" s="40" t="str">
        <f>IF(Agent07_Loans!B55="","",Agent07_Loans!F55)</f>
        <v/>
      </c>
      <c r="G1243" s="40" t="str">
        <f>IF(Agent07_Loans!B55="","",Agent07_Loans!G55)</f>
        <v/>
      </c>
      <c r="H1243" s="40" t="str">
        <f>IF(Agent07_Loans!B55="","",Agent07_Loans!H55)</f>
        <v/>
      </c>
      <c r="I1243" s="43" t="str">
        <f>IF(Agent07_Loans!B55="","",Agent07_Loans!I55)</f>
        <v/>
      </c>
      <c r="J1243" s="43" t="str">
        <f>IF(Agent07_Loans!B55="","",Agent07_Loans!J55)</f>
        <v/>
      </c>
      <c r="K1243" s="40" t="str">
        <f>IF(Agent07_Loans!B55="","",Agent07_Loans!K55)</f>
        <v/>
      </c>
      <c r="L1243" s="40" t="str">
        <f>IF(Agent07_Loans!B55="","",Agent07_Loans!L55)</f>
        <v/>
      </c>
      <c r="M1243" s="40" t="str">
        <f>IFERROR(IF(Agent07_Loans!B55="","",YEAR(Agent07_Loans!D55)),"")</f>
        <v/>
      </c>
    </row>
    <row r="1244" spans="1:13" ht="18" customHeight="1" x14ac:dyDescent="0.25">
      <c r="A1244" s="40" t="str">
        <f>IF(Agent07_Loans!B56="","",Agent07_Loans!A56)</f>
        <v/>
      </c>
      <c r="B1244" s="40" t="str">
        <f>IF(Agent07_Loans!B56="","",Agent07_Loans!B56)</f>
        <v/>
      </c>
      <c r="C1244" s="40" t="str">
        <f>IF(Agent07_Loans!B56="","",Agent07_Loans!C56)</f>
        <v/>
      </c>
      <c r="D1244" s="41" t="str">
        <f>IF(Agent07_Loans!B56="","",Agent07_Loans!D56)</f>
        <v/>
      </c>
      <c r="E1244" s="43" t="str">
        <f>IF(Agent07_Loans!B56="","",Agent07_Loans!E56)</f>
        <v/>
      </c>
      <c r="F1244" s="40" t="str">
        <f>IF(Agent07_Loans!B56="","",Agent07_Loans!F56)</f>
        <v/>
      </c>
      <c r="G1244" s="40" t="str">
        <f>IF(Agent07_Loans!B56="","",Agent07_Loans!G56)</f>
        <v/>
      </c>
      <c r="H1244" s="40" t="str">
        <f>IF(Agent07_Loans!B56="","",Agent07_Loans!H56)</f>
        <v/>
      </c>
      <c r="I1244" s="43" t="str">
        <f>IF(Agent07_Loans!B56="","",Agent07_Loans!I56)</f>
        <v/>
      </c>
      <c r="J1244" s="43" t="str">
        <f>IF(Agent07_Loans!B56="","",Agent07_Loans!J56)</f>
        <v/>
      </c>
      <c r="K1244" s="40" t="str">
        <f>IF(Agent07_Loans!B56="","",Agent07_Loans!K56)</f>
        <v/>
      </c>
      <c r="L1244" s="40" t="str">
        <f>IF(Agent07_Loans!B56="","",Agent07_Loans!L56)</f>
        <v/>
      </c>
      <c r="M1244" s="40" t="str">
        <f>IFERROR(IF(Agent07_Loans!B56="","",YEAR(Agent07_Loans!D56)),"")</f>
        <v/>
      </c>
    </row>
    <row r="1245" spans="1:13" ht="18" customHeight="1" x14ac:dyDescent="0.25">
      <c r="A1245" s="40" t="str">
        <f>IF(Agent07_Loans!B57="","",Agent07_Loans!A57)</f>
        <v/>
      </c>
      <c r="B1245" s="40" t="str">
        <f>IF(Agent07_Loans!B57="","",Agent07_Loans!B57)</f>
        <v/>
      </c>
      <c r="C1245" s="40" t="str">
        <f>IF(Agent07_Loans!B57="","",Agent07_Loans!C57)</f>
        <v/>
      </c>
      <c r="D1245" s="41" t="str">
        <f>IF(Agent07_Loans!B57="","",Agent07_Loans!D57)</f>
        <v/>
      </c>
      <c r="E1245" s="43" t="str">
        <f>IF(Agent07_Loans!B57="","",Agent07_Loans!E57)</f>
        <v/>
      </c>
      <c r="F1245" s="40" t="str">
        <f>IF(Agent07_Loans!B57="","",Agent07_Loans!F57)</f>
        <v/>
      </c>
      <c r="G1245" s="40" t="str">
        <f>IF(Agent07_Loans!B57="","",Agent07_Loans!G57)</f>
        <v/>
      </c>
      <c r="H1245" s="40" t="str">
        <f>IF(Agent07_Loans!B57="","",Agent07_Loans!H57)</f>
        <v/>
      </c>
      <c r="I1245" s="43" t="str">
        <f>IF(Agent07_Loans!B57="","",Agent07_Loans!I57)</f>
        <v/>
      </c>
      <c r="J1245" s="43" t="str">
        <f>IF(Agent07_Loans!B57="","",Agent07_Loans!J57)</f>
        <v/>
      </c>
      <c r="K1245" s="40" t="str">
        <f>IF(Agent07_Loans!B57="","",Agent07_Loans!K57)</f>
        <v/>
      </c>
      <c r="L1245" s="40" t="str">
        <f>IF(Agent07_Loans!B57="","",Agent07_Loans!L57)</f>
        <v/>
      </c>
      <c r="M1245" s="40" t="str">
        <f>IFERROR(IF(Agent07_Loans!B57="","",YEAR(Agent07_Loans!D57)),"")</f>
        <v/>
      </c>
    </row>
    <row r="1246" spans="1:13" ht="18" customHeight="1" x14ac:dyDescent="0.25">
      <c r="A1246" s="40" t="str">
        <f>IF(Agent07_Loans!B58="","",Agent07_Loans!A58)</f>
        <v/>
      </c>
      <c r="B1246" s="40" t="str">
        <f>IF(Agent07_Loans!B58="","",Agent07_Loans!B58)</f>
        <v/>
      </c>
      <c r="C1246" s="40" t="str">
        <f>IF(Agent07_Loans!B58="","",Agent07_Loans!C58)</f>
        <v/>
      </c>
      <c r="D1246" s="41" t="str">
        <f>IF(Agent07_Loans!B58="","",Agent07_Loans!D58)</f>
        <v/>
      </c>
      <c r="E1246" s="43" t="str">
        <f>IF(Agent07_Loans!B58="","",Agent07_Loans!E58)</f>
        <v/>
      </c>
      <c r="F1246" s="40" t="str">
        <f>IF(Agent07_Loans!B58="","",Agent07_Loans!F58)</f>
        <v/>
      </c>
      <c r="G1246" s="40" t="str">
        <f>IF(Agent07_Loans!B58="","",Agent07_Loans!G58)</f>
        <v/>
      </c>
      <c r="H1246" s="40" t="str">
        <f>IF(Agent07_Loans!B58="","",Agent07_Loans!H58)</f>
        <v/>
      </c>
      <c r="I1246" s="43" t="str">
        <f>IF(Agent07_Loans!B58="","",Agent07_Loans!I58)</f>
        <v/>
      </c>
      <c r="J1246" s="43" t="str">
        <f>IF(Agent07_Loans!B58="","",Agent07_Loans!J58)</f>
        <v/>
      </c>
      <c r="K1246" s="40" t="str">
        <f>IF(Agent07_Loans!B58="","",Agent07_Loans!K58)</f>
        <v/>
      </c>
      <c r="L1246" s="40" t="str">
        <f>IF(Agent07_Loans!B58="","",Agent07_Loans!L58)</f>
        <v/>
      </c>
      <c r="M1246" s="40" t="str">
        <f>IFERROR(IF(Agent07_Loans!B58="","",YEAR(Agent07_Loans!D58)),"")</f>
        <v/>
      </c>
    </row>
    <row r="1247" spans="1:13" ht="18" customHeight="1" x14ac:dyDescent="0.25">
      <c r="A1247" s="40" t="str">
        <f>IF(Agent07_Loans!B59="","",Agent07_Loans!A59)</f>
        <v/>
      </c>
      <c r="B1247" s="40" t="str">
        <f>IF(Agent07_Loans!B59="","",Agent07_Loans!B59)</f>
        <v/>
      </c>
      <c r="C1247" s="40" t="str">
        <f>IF(Agent07_Loans!B59="","",Agent07_Loans!C59)</f>
        <v/>
      </c>
      <c r="D1247" s="41" t="str">
        <f>IF(Agent07_Loans!B59="","",Agent07_Loans!D59)</f>
        <v/>
      </c>
      <c r="E1247" s="43" t="str">
        <f>IF(Agent07_Loans!B59="","",Agent07_Loans!E59)</f>
        <v/>
      </c>
      <c r="F1247" s="40" t="str">
        <f>IF(Agent07_Loans!B59="","",Agent07_Loans!F59)</f>
        <v/>
      </c>
      <c r="G1247" s="40" t="str">
        <f>IF(Agent07_Loans!B59="","",Agent07_Loans!G59)</f>
        <v/>
      </c>
      <c r="H1247" s="40" t="str">
        <f>IF(Agent07_Loans!B59="","",Agent07_Loans!H59)</f>
        <v/>
      </c>
      <c r="I1247" s="43" t="str">
        <f>IF(Agent07_Loans!B59="","",Agent07_Loans!I59)</f>
        <v/>
      </c>
      <c r="J1247" s="43" t="str">
        <f>IF(Agent07_Loans!B59="","",Agent07_Loans!J59)</f>
        <v/>
      </c>
      <c r="K1247" s="40" t="str">
        <f>IF(Agent07_Loans!B59="","",Agent07_Loans!K59)</f>
        <v/>
      </c>
      <c r="L1247" s="40" t="str">
        <f>IF(Agent07_Loans!B59="","",Agent07_Loans!L59)</f>
        <v/>
      </c>
      <c r="M1247" s="40" t="str">
        <f>IFERROR(IF(Agent07_Loans!B59="","",YEAR(Agent07_Loans!D59)),"")</f>
        <v/>
      </c>
    </row>
    <row r="1248" spans="1:13" ht="18" customHeight="1" x14ac:dyDescent="0.25">
      <c r="A1248" s="40" t="str">
        <f>IF(Agent07_Loans!B60="","",Agent07_Loans!A60)</f>
        <v/>
      </c>
      <c r="B1248" s="40" t="str">
        <f>IF(Agent07_Loans!B60="","",Agent07_Loans!B60)</f>
        <v/>
      </c>
      <c r="C1248" s="40" t="str">
        <f>IF(Agent07_Loans!B60="","",Agent07_Loans!C60)</f>
        <v/>
      </c>
      <c r="D1248" s="41" t="str">
        <f>IF(Agent07_Loans!B60="","",Agent07_Loans!D60)</f>
        <v/>
      </c>
      <c r="E1248" s="43" t="str">
        <f>IF(Agent07_Loans!B60="","",Agent07_Loans!E60)</f>
        <v/>
      </c>
      <c r="F1248" s="40" t="str">
        <f>IF(Agent07_Loans!B60="","",Agent07_Loans!F60)</f>
        <v/>
      </c>
      <c r="G1248" s="40" t="str">
        <f>IF(Agent07_Loans!B60="","",Agent07_Loans!G60)</f>
        <v/>
      </c>
      <c r="H1248" s="40" t="str">
        <f>IF(Agent07_Loans!B60="","",Agent07_Loans!H60)</f>
        <v/>
      </c>
      <c r="I1248" s="43" t="str">
        <f>IF(Agent07_Loans!B60="","",Agent07_Loans!I60)</f>
        <v/>
      </c>
      <c r="J1248" s="43" t="str">
        <f>IF(Agent07_Loans!B60="","",Agent07_Loans!J60)</f>
        <v/>
      </c>
      <c r="K1248" s="40" t="str">
        <f>IF(Agent07_Loans!B60="","",Agent07_Loans!K60)</f>
        <v/>
      </c>
      <c r="L1248" s="40" t="str">
        <f>IF(Agent07_Loans!B60="","",Agent07_Loans!L60)</f>
        <v/>
      </c>
      <c r="M1248" s="40" t="str">
        <f>IFERROR(IF(Agent07_Loans!B60="","",YEAR(Agent07_Loans!D60)),"")</f>
        <v/>
      </c>
    </row>
    <row r="1249" spans="1:13" ht="18" customHeight="1" x14ac:dyDescent="0.25">
      <c r="A1249" s="40" t="str">
        <f>IF(Agent07_Loans!B61="","",Agent07_Loans!A61)</f>
        <v/>
      </c>
      <c r="B1249" s="40" t="str">
        <f>IF(Agent07_Loans!B61="","",Agent07_Loans!B61)</f>
        <v/>
      </c>
      <c r="C1249" s="40" t="str">
        <f>IF(Agent07_Loans!B61="","",Agent07_Loans!C61)</f>
        <v/>
      </c>
      <c r="D1249" s="41" t="str">
        <f>IF(Agent07_Loans!B61="","",Agent07_Loans!D61)</f>
        <v/>
      </c>
      <c r="E1249" s="43" t="str">
        <f>IF(Agent07_Loans!B61="","",Agent07_Loans!E61)</f>
        <v/>
      </c>
      <c r="F1249" s="40" t="str">
        <f>IF(Agent07_Loans!B61="","",Agent07_Loans!F61)</f>
        <v/>
      </c>
      <c r="G1249" s="40" t="str">
        <f>IF(Agent07_Loans!B61="","",Agent07_Loans!G61)</f>
        <v/>
      </c>
      <c r="H1249" s="40" t="str">
        <f>IF(Agent07_Loans!B61="","",Agent07_Loans!H61)</f>
        <v/>
      </c>
      <c r="I1249" s="43" t="str">
        <f>IF(Agent07_Loans!B61="","",Agent07_Loans!I61)</f>
        <v/>
      </c>
      <c r="J1249" s="43" t="str">
        <f>IF(Agent07_Loans!B61="","",Agent07_Loans!J61)</f>
        <v/>
      </c>
      <c r="K1249" s="40" t="str">
        <f>IF(Agent07_Loans!B61="","",Agent07_Loans!K61)</f>
        <v/>
      </c>
      <c r="L1249" s="40" t="str">
        <f>IF(Agent07_Loans!B61="","",Agent07_Loans!L61)</f>
        <v/>
      </c>
      <c r="M1249" s="40" t="str">
        <f>IFERROR(IF(Agent07_Loans!B61="","",YEAR(Agent07_Loans!D61)),"")</f>
        <v/>
      </c>
    </row>
    <row r="1250" spans="1:13" ht="18" customHeight="1" x14ac:dyDescent="0.25">
      <c r="A1250" s="40" t="str">
        <f>IF(Agent07_Loans!B62="","",Agent07_Loans!A62)</f>
        <v/>
      </c>
      <c r="B1250" s="40" t="str">
        <f>IF(Agent07_Loans!B62="","",Agent07_Loans!B62)</f>
        <v/>
      </c>
      <c r="C1250" s="40" t="str">
        <f>IF(Agent07_Loans!B62="","",Agent07_Loans!C62)</f>
        <v/>
      </c>
      <c r="D1250" s="41" t="str">
        <f>IF(Agent07_Loans!B62="","",Agent07_Loans!D62)</f>
        <v/>
      </c>
      <c r="E1250" s="43" t="str">
        <f>IF(Agent07_Loans!B62="","",Agent07_Loans!E62)</f>
        <v/>
      </c>
      <c r="F1250" s="40" t="str">
        <f>IF(Agent07_Loans!B62="","",Agent07_Loans!F62)</f>
        <v/>
      </c>
      <c r="G1250" s="40" t="str">
        <f>IF(Agent07_Loans!B62="","",Agent07_Loans!G62)</f>
        <v/>
      </c>
      <c r="H1250" s="40" t="str">
        <f>IF(Agent07_Loans!B62="","",Agent07_Loans!H62)</f>
        <v/>
      </c>
      <c r="I1250" s="43" t="str">
        <f>IF(Agent07_Loans!B62="","",Agent07_Loans!I62)</f>
        <v/>
      </c>
      <c r="J1250" s="43" t="str">
        <f>IF(Agent07_Loans!B62="","",Agent07_Loans!J62)</f>
        <v/>
      </c>
      <c r="K1250" s="40" t="str">
        <f>IF(Agent07_Loans!B62="","",Agent07_Loans!K62)</f>
        <v/>
      </c>
      <c r="L1250" s="40" t="str">
        <f>IF(Agent07_Loans!B62="","",Agent07_Loans!L62)</f>
        <v/>
      </c>
      <c r="M1250" s="40" t="str">
        <f>IFERROR(IF(Agent07_Loans!B62="","",YEAR(Agent07_Loans!D62)),"")</f>
        <v/>
      </c>
    </row>
    <row r="1251" spans="1:13" ht="18" customHeight="1" x14ac:dyDescent="0.25">
      <c r="A1251" s="40" t="str">
        <f>IF(Agent07_Loans!B63="","",Agent07_Loans!A63)</f>
        <v/>
      </c>
      <c r="B1251" s="40" t="str">
        <f>IF(Agent07_Loans!B63="","",Agent07_Loans!B63)</f>
        <v/>
      </c>
      <c r="C1251" s="40" t="str">
        <f>IF(Agent07_Loans!B63="","",Agent07_Loans!C63)</f>
        <v/>
      </c>
      <c r="D1251" s="41" t="str">
        <f>IF(Agent07_Loans!B63="","",Agent07_Loans!D63)</f>
        <v/>
      </c>
      <c r="E1251" s="43" t="str">
        <f>IF(Agent07_Loans!B63="","",Agent07_Loans!E63)</f>
        <v/>
      </c>
      <c r="F1251" s="40" t="str">
        <f>IF(Agent07_Loans!B63="","",Agent07_Loans!F63)</f>
        <v/>
      </c>
      <c r="G1251" s="40" t="str">
        <f>IF(Agent07_Loans!B63="","",Agent07_Loans!G63)</f>
        <v/>
      </c>
      <c r="H1251" s="40" t="str">
        <f>IF(Agent07_Loans!B63="","",Agent07_Loans!H63)</f>
        <v/>
      </c>
      <c r="I1251" s="43" t="str">
        <f>IF(Agent07_Loans!B63="","",Agent07_Loans!I63)</f>
        <v/>
      </c>
      <c r="J1251" s="43" t="str">
        <f>IF(Agent07_Loans!B63="","",Agent07_Loans!J63)</f>
        <v/>
      </c>
      <c r="K1251" s="40" t="str">
        <f>IF(Agent07_Loans!B63="","",Agent07_Loans!K63)</f>
        <v/>
      </c>
      <c r="L1251" s="40" t="str">
        <f>IF(Agent07_Loans!B63="","",Agent07_Loans!L63)</f>
        <v/>
      </c>
      <c r="M1251" s="40" t="str">
        <f>IFERROR(IF(Agent07_Loans!B63="","",YEAR(Agent07_Loans!D63)),"")</f>
        <v/>
      </c>
    </row>
    <row r="1252" spans="1:13" ht="18" customHeight="1" x14ac:dyDescent="0.25">
      <c r="A1252" s="40" t="str">
        <f>IF(Agent07_Loans!B64="","",Agent07_Loans!A64)</f>
        <v/>
      </c>
      <c r="B1252" s="40" t="str">
        <f>IF(Agent07_Loans!B64="","",Agent07_Loans!B64)</f>
        <v/>
      </c>
      <c r="C1252" s="40" t="str">
        <f>IF(Agent07_Loans!B64="","",Agent07_Loans!C64)</f>
        <v/>
      </c>
      <c r="D1252" s="41" t="str">
        <f>IF(Agent07_Loans!B64="","",Agent07_Loans!D64)</f>
        <v/>
      </c>
      <c r="E1252" s="43" t="str">
        <f>IF(Agent07_Loans!B64="","",Agent07_Loans!E64)</f>
        <v/>
      </c>
      <c r="F1252" s="40" t="str">
        <f>IF(Agent07_Loans!B64="","",Agent07_Loans!F64)</f>
        <v/>
      </c>
      <c r="G1252" s="40" t="str">
        <f>IF(Agent07_Loans!B64="","",Agent07_Loans!G64)</f>
        <v/>
      </c>
      <c r="H1252" s="40" t="str">
        <f>IF(Agent07_Loans!B64="","",Agent07_Loans!H64)</f>
        <v/>
      </c>
      <c r="I1252" s="43" t="str">
        <f>IF(Agent07_Loans!B64="","",Agent07_Loans!I64)</f>
        <v/>
      </c>
      <c r="J1252" s="43" t="str">
        <f>IF(Agent07_Loans!B64="","",Agent07_Loans!J64)</f>
        <v/>
      </c>
      <c r="K1252" s="40" t="str">
        <f>IF(Agent07_Loans!B64="","",Agent07_Loans!K64)</f>
        <v/>
      </c>
      <c r="L1252" s="40" t="str">
        <f>IF(Agent07_Loans!B64="","",Agent07_Loans!L64)</f>
        <v/>
      </c>
      <c r="M1252" s="40" t="str">
        <f>IFERROR(IF(Agent07_Loans!B64="","",YEAR(Agent07_Loans!D64)),"")</f>
        <v/>
      </c>
    </row>
    <row r="1253" spans="1:13" ht="18" customHeight="1" x14ac:dyDescent="0.25">
      <c r="A1253" s="40" t="str">
        <f>IF(Agent07_Loans!B65="","",Agent07_Loans!A65)</f>
        <v/>
      </c>
      <c r="B1253" s="40" t="str">
        <f>IF(Agent07_Loans!B65="","",Agent07_Loans!B65)</f>
        <v/>
      </c>
      <c r="C1253" s="40" t="str">
        <f>IF(Agent07_Loans!B65="","",Agent07_Loans!C65)</f>
        <v/>
      </c>
      <c r="D1253" s="41" t="str">
        <f>IF(Agent07_Loans!B65="","",Agent07_Loans!D65)</f>
        <v/>
      </c>
      <c r="E1253" s="43" t="str">
        <f>IF(Agent07_Loans!B65="","",Agent07_Loans!E65)</f>
        <v/>
      </c>
      <c r="F1253" s="40" t="str">
        <f>IF(Agent07_Loans!B65="","",Agent07_Loans!F65)</f>
        <v/>
      </c>
      <c r="G1253" s="40" t="str">
        <f>IF(Agent07_Loans!B65="","",Agent07_Loans!G65)</f>
        <v/>
      </c>
      <c r="H1253" s="40" t="str">
        <f>IF(Agent07_Loans!B65="","",Agent07_Loans!H65)</f>
        <v/>
      </c>
      <c r="I1253" s="43" t="str">
        <f>IF(Agent07_Loans!B65="","",Agent07_Loans!I65)</f>
        <v/>
      </c>
      <c r="J1253" s="43" t="str">
        <f>IF(Agent07_Loans!B65="","",Agent07_Loans!J65)</f>
        <v/>
      </c>
      <c r="K1253" s="40" t="str">
        <f>IF(Agent07_Loans!B65="","",Agent07_Loans!K65)</f>
        <v/>
      </c>
      <c r="L1253" s="40" t="str">
        <f>IF(Agent07_Loans!B65="","",Agent07_Loans!L65)</f>
        <v/>
      </c>
      <c r="M1253" s="40" t="str">
        <f>IFERROR(IF(Agent07_Loans!B65="","",YEAR(Agent07_Loans!D65)),"")</f>
        <v/>
      </c>
    </row>
    <row r="1254" spans="1:13" ht="18" customHeight="1" x14ac:dyDescent="0.25">
      <c r="A1254" s="40" t="str">
        <f>IF(Agent07_Loans!B66="","",Agent07_Loans!A66)</f>
        <v/>
      </c>
      <c r="B1254" s="40" t="str">
        <f>IF(Agent07_Loans!B66="","",Agent07_Loans!B66)</f>
        <v/>
      </c>
      <c r="C1254" s="40" t="str">
        <f>IF(Agent07_Loans!B66="","",Agent07_Loans!C66)</f>
        <v/>
      </c>
      <c r="D1254" s="41" t="str">
        <f>IF(Agent07_Loans!B66="","",Agent07_Loans!D66)</f>
        <v/>
      </c>
      <c r="E1254" s="43" t="str">
        <f>IF(Agent07_Loans!B66="","",Agent07_Loans!E66)</f>
        <v/>
      </c>
      <c r="F1254" s="40" t="str">
        <f>IF(Agent07_Loans!B66="","",Agent07_Loans!F66)</f>
        <v/>
      </c>
      <c r="G1254" s="40" t="str">
        <f>IF(Agent07_Loans!B66="","",Agent07_Loans!G66)</f>
        <v/>
      </c>
      <c r="H1254" s="40" t="str">
        <f>IF(Agent07_Loans!B66="","",Agent07_Loans!H66)</f>
        <v/>
      </c>
      <c r="I1254" s="43" t="str">
        <f>IF(Agent07_Loans!B66="","",Agent07_Loans!I66)</f>
        <v/>
      </c>
      <c r="J1254" s="43" t="str">
        <f>IF(Agent07_Loans!B66="","",Agent07_Loans!J66)</f>
        <v/>
      </c>
      <c r="K1254" s="40" t="str">
        <f>IF(Agent07_Loans!B66="","",Agent07_Loans!K66)</f>
        <v/>
      </c>
      <c r="L1254" s="40" t="str">
        <f>IF(Agent07_Loans!B66="","",Agent07_Loans!L66)</f>
        <v/>
      </c>
      <c r="M1254" s="40" t="str">
        <f>IFERROR(IF(Agent07_Loans!B66="","",YEAR(Agent07_Loans!D66)),"")</f>
        <v/>
      </c>
    </row>
    <row r="1255" spans="1:13" ht="18" customHeight="1" x14ac:dyDescent="0.25">
      <c r="A1255" s="40" t="str">
        <f>IF(Agent07_Loans!B67="","",Agent07_Loans!A67)</f>
        <v/>
      </c>
      <c r="B1255" s="40" t="str">
        <f>IF(Agent07_Loans!B67="","",Agent07_Loans!B67)</f>
        <v/>
      </c>
      <c r="C1255" s="40" t="str">
        <f>IF(Agent07_Loans!B67="","",Agent07_Loans!C67)</f>
        <v/>
      </c>
      <c r="D1255" s="41" t="str">
        <f>IF(Agent07_Loans!B67="","",Agent07_Loans!D67)</f>
        <v/>
      </c>
      <c r="E1255" s="43" t="str">
        <f>IF(Agent07_Loans!B67="","",Agent07_Loans!E67)</f>
        <v/>
      </c>
      <c r="F1255" s="40" t="str">
        <f>IF(Agent07_Loans!B67="","",Agent07_Loans!F67)</f>
        <v/>
      </c>
      <c r="G1255" s="40" t="str">
        <f>IF(Agent07_Loans!B67="","",Agent07_Loans!G67)</f>
        <v/>
      </c>
      <c r="H1255" s="40" t="str">
        <f>IF(Agent07_Loans!B67="","",Agent07_Loans!H67)</f>
        <v/>
      </c>
      <c r="I1255" s="43" t="str">
        <f>IF(Agent07_Loans!B67="","",Agent07_Loans!I67)</f>
        <v/>
      </c>
      <c r="J1255" s="43" t="str">
        <f>IF(Agent07_Loans!B67="","",Agent07_Loans!J67)</f>
        <v/>
      </c>
      <c r="K1255" s="40" t="str">
        <f>IF(Agent07_Loans!B67="","",Agent07_Loans!K67)</f>
        <v/>
      </c>
      <c r="L1255" s="40" t="str">
        <f>IF(Agent07_Loans!B67="","",Agent07_Loans!L67)</f>
        <v/>
      </c>
      <c r="M1255" s="40" t="str">
        <f>IFERROR(IF(Agent07_Loans!B67="","",YEAR(Agent07_Loans!D67)),"")</f>
        <v/>
      </c>
    </row>
    <row r="1256" spans="1:13" ht="18" customHeight="1" x14ac:dyDescent="0.25">
      <c r="A1256" s="40" t="str">
        <f>IF(Agent07_Loans!B68="","",Agent07_Loans!A68)</f>
        <v/>
      </c>
      <c r="B1256" s="40" t="str">
        <f>IF(Agent07_Loans!B68="","",Agent07_Loans!B68)</f>
        <v/>
      </c>
      <c r="C1256" s="40" t="str">
        <f>IF(Agent07_Loans!B68="","",Agent07_Loans!C68)</f>
        <v/>
      </c>
      <c r="D1256" s="41" t="str">
        <f>IF(Agent07_Loans!B68="","",Agent07_Loans!D68)</f>
        <v/>
      </c>
      <c r="E1256" s="43" t="str">
        <f>IF(Agent07_Loans!B68="","",Agent07_Loans!E68)</f>
        <v/>
      </c>
      <c r="F1256" s="40" t="str">
        <f>IF(Agent07_Loans!B68="","",Agent07_Loans!F68)</f>
        <v/>
      </c>
      <c r="G1256" s="40" t="str">
        <f>IF(Agent07_Loans!B68="","",Agent07_Loans!G68)</f>
        <v/>
      </c>
      <c r="H1256" s="40" t="str">
        <f>IF(Agent07_Loans!B68="","",Agent07_Loans!H68)</f>
        <v/>
      </c>
      <c r="I1256" s="43" t="str">
        <f>IF(Agent07_Loans!B68="","",Agent07_Loans!I68)</f>
        <v/>
      </c>
      <c r="J1256" s="43" t="str">
        <f>IF(Agent07_Loans!B68="","",Agent07_Loans!J68)</f>
        <v/>
      </c>
      <c r="K1256" s="40" t="str">
        <f>IF(Agent07_Loans!B68="","",Agent07_Loans!K68)</f>
        <v/>
      </c>
      <c r="L1256" s="40" t="str">
        <f>IF(Agent07_Loans!B68="","",Agent07_Loans!L68)</f>
        <v/>
      </c>
      <c r="M1256" s="40" t="str">
        <f>IFERROR(IF(Agent07_Loans!B68="","",YEAR(Agent07_Loans!D68)),"")</f>
        <v/>
      </c>
    </row>
    <row r="1257" spans="1:13" ht="18" customHeight="1" x14ac:dyDescent="0.25">
      <c r="A1257" s="40" t="str">
        <f>IF(Agent07_Loans!B69="","",Agent07_Loans!A69)</f>
        <v/>
      </c>
      <c r="B1257" s="40" t="str">
        <f>IF(Agent07_Loans!B69="","",Agent07_Loans!B69)</f>
        <v/>
      </c>
      <c r="C1257" s="40" t="str">
        <f>IF(Agent07_Loans!B69="","",Agent07_Loans!C69)</f>
        <v/>
      </c>
      <c r="D1257" s="41" t="str">
        <f>IF(Agent07_Loans!B69="","",Agent07_Loans!D69)</f>
        <v/>
      </c>
      <c r="E1257" s="43" t="str">
        <f>IF(Agent07_Loans!B69="","",Agent07_Loans!E69)</f>
        <v/>
      </c>
      <c r="F1257" s="40" t="str">
        <f>IF(Agent07_Loans!B69="","",Agent07_Loans!F69)</f>
        <v/>
      </c>
      <c r="G1257" s="40" t="str">
        <f>IF(Agent07_Loans!B69="","",Agent07_Loans!G69)</f>
        <v/>
      </c>
      <c r="H1257" s="40" t="str">
        <f>IF(Agent07_Loans!B69="","",Agent07_Loans!H69)</f>
        <v/>
      </c>
      <c r="I1257" s="43" t="str">
        <f>IF(Agent07_Loans!B69="","",Agent07_Loans!I69)</f>
        <v/>
      </c>
      <c r="J1257" s="43" t="str">
        <f>IF(Agent07_Loans!B69="","",Agent07_Loans!J69)</f>
        <v/>
      </c>
      <c r="K1257" s="40" t="str">
        <f>IF(Agent07_Loans!B69="","",Agent07_Loans!K69)</f>
        <v/>
      </c>
      <c r="L1257" s="40" t="str">
        <f>IF(Agent07_Loans!B69="","",Agent07_Loans!L69)</f>
        <v/>
      </c>
      <c r="M1257" s="40" t="str">
        <f>IFERROR(IF(Agent07_Loans!B69="","",YEAR(Agent07_Loans!D69)),"")</f>
        <v/>
      </c>
    </row>
    <row r="1258" spans="1:13" ht="18" customHeight="1" x14ac:dyDescent="0.25">
      <c r="A1258" s="40" t="str">
        <f>IF(Agent07_Loans!B70="","",Agent07_Loans!A70)</f>
        <v/>
      </c>
      <c r="B1258" s="40" t="str">
        <f>IF(Agent07_Loans!B70="","",Agent07_Loans!B70)</f>
        <v/>
      </c>
      <c r="C1258" s="40" t="str">
        <f>IF(Agent07_Loans!B70="","",Agent07_Loans!C70)</f>
        <v/>
      </c>
      <c r="D1258" s="41" t="str">
        <f>IF(Agent07_Loans!B70="","",Agent07_Loans!D70)</f>
        <v/>
      </c>
      <c r="E1258" s="43" t="str">
        <f>IF(Agent07_Loans!B70="","",Agent07_Loans!E70)</f>
        <v/>
      </c>
      <c r="F1258" s="40" t="str">
        <f>IF(Agent07_Loans!B70="","",Agent07_Loans!F70)</f>
        <v/>
      </c>
      <c r="G1258" s="40" t="str">
        <f>IF(Agent07_Loans!B70="","",Agent07_Loans!G70)</f>
        <v/>
      </c>
      <c r="H1258" s="40" t="str">
        <f>IF(Agent07_Loans!B70="","",Agent07_Loans!H70)</f>
        <v/>
      </c>
      <c r="I1258" s="43" t="str">
        <f>IF(Agent07_Loans!B70="","",Agent07_Loans!I70)</f>
        <v/>
      </c>
      <c r="J1258" s="43" t="str">
        <f>IF(Agent07_Loans!B70="","",Agent07_Loans!J70)</f>
        <v/>
      </c>
      <c r="K1258" s="40" t="str">
        <f>IF(Agent07_Loans!B70="","",Agent07_Loans!K70)</f>
        <v/>
      </c>
      <c r="L1258" s="40" t="str">
        <f>IF(Agent07_Loans!B70="","",Agent07_Loans!L70)</f>
        <v/>
      </c>
      <c r="M1258" s="40" t="str">
        <f>IFERROR(IF(Agent07_Loans!B70="","",YEAR(Agent07_Loans!D70)),"")</f>
        <v/>
      </c>
    </row>
    <row r="1259" spans="1:13" ht="18" customHeight="1" x14ac:dyDescent="0.25">
      <c r="A1259" s="40" t="str">
        <f>IF(Agent07_Loans!B71="","",Agent07_Loans!A71)</f>
        <v/>
      </c>
      <c r="B1259" s="40" t="str">
        <f>IF(Agent07_Loans!B71="","",Agent07_Loans!B71)</f>
        <v/>
      </c>
      <c r="C1259" s="40" t="str">
        <f>IF(Agent07_Loans!B71="","",Agent07_Loans!C71)</f>
        <v/>
      </c>
      <c r="D1259" s="41" t="str">
        <f>IF(Agent07_Loans!B71="","",Agent07_Loans!D71)</f>
        <v/>
      </c>
      <c r="E1259" s="43" t="str">
        <f>IF(Agent07_Loans!B71="","",Agent07_Loans!E71)</f>
        <v/>
      </c>
      <c r="F1259" s="40" t="str">
        <f>IF(Agent07_Loans!B71="","",Agent07_Loans!F71)</f>
        <v/>
      </c>
      <c r="G1259" s="40" t="str">
        <f>IF(Agent07_Loans!B71="","",Agent07_Loans!G71)</f>
        <v/>
      </c>
      <c r="H1259" s="40" t="str">
        <f>IF(Agent07_Loans!B71="","",Agent07_Loans!H71)</f>
        <v/>
      </c>
      <c r="I1259" s="43" t="str">
        <f>IF(Agent07_Loans!B71="","",Agent07_Loans!I71)</f>
        <v/>
      </c>
      <c r="J1259" s="43" t="str">
        <f>IF(Agent07_Loans!B71="","",Agent07_Loans!J71)</f>
        <v/>
      </c>
      <c r="K1259" s="40" t="str">
        <f>IF(Agent07_Loans!B71="","",Agent07_Loans!K71)</f>
        <v/>
      </c>
      <c r="L1259" s="40" t="str">
        <f>IF(Agent07_Loans!B71="","",Agent07_Loans!L71)</f>
        <v/>
      </c>
      <c r="M1259" s="40" t="str">
        <f>IFERROR(IF(Agent07_Loans!B71="","",YEAR(Agent07_Loans!D71)),"")</f>
        <v/>
      </c>
    </row>
    <row r="1260" spans="1:13" ht="18" customHeight="1" x14ac:dyDescent="0.25">
      <c r="A1260" s="40" t="str">
        <f>IF(Agent07_Loans!B72="","",Agent07_Loans!A72)</f>
        <v/>
      </c>
      <c r="B1260" s="40" t="str">
        <f>IF(Agent07_Loans!B72="","",Agent07_Loans!B72)</f>
        <v/>
      </c>
      <c r="C1260" s="40" t="str">
        <f>IF(Agent07_Loans!B72="","",Agent07_Loans!C72)</f>
        <v/>
      </c>
      <c r="D1260" s="41" t="str">
        <f>IF(Agent07_Loans!B72="","",Agent07_Loans!D72)</f>
        <v/>
      </c>
      <c r="E1260" s="43" t="str">
        <f>IF(Agent07_Loans!B72="","",Agent07_Loans!E72)</f>
        <v/>
      </c>
      <c r="F1260" s="40" t="str">
        <f>IF(Agent07_Loans!B72="","",Agent07_Loans!F72)</f>
        <v/>
      </c>
      <c r="G1260" s="40" t="str">
        <f>IF(Agent07_Loans!B72="","",Agent07_Loans!G72)</f>
        <v/>
      </c>
      <c r="H1260" s="40" t="str">
        <f>IF(Agent07_Loans!B72="","",Agent07_Loans!H72)</f>
        <v/>
      </c>
      <c r="I1260" s="43" t="str">
        <f>IF(Agent07_Loans!B72="","",Agent07_Loans!I72)</f>
        <v/>
      </c>
      <c r="J1260" s="43" t="str">
        <f>IF(Agent07_Loans!B72="","",Agent07_Loans!J72)</f>
        <v/>
      </c>
      <c r="K1260" s="40" t="str">
        <f>IF(Agent07_Loans!B72="","",Agent07_Loans!K72)</f>
        <v/>
      </c>
      <c r="L1260" s="40" t="str">
        <f>IF(Agent07_Loans!B72="","",Agent07_Loans!L72)</f>
        <v/>
      </c>
      <c r="M1260" s="40" t="str">
        <f>IFERROR(IF(Agent07_Loans!B72="","",YEAR(Agent07_Loans!D72)),"")</f>
        <v/>
      </c>
    </row>
    <row r="1261" spans="1:13" ht="18" customHeight="1" x14ac:dyDescent="0.25">
      <c r="A1261" s="40" t="str">
        <f>IF(Agent07_Loans!B73="","",Agent07_Loans!A73)</f>
        <v/>
      </c>
      <c r="B1261" s="40" t="str">
        <f>IF(Agent07_Loans!B73="","",Agent07_Loans!B73)</f>
        <v/>
      </c>
      <c r="C1261" s="40" t="str">
        <f>IF(Agent07_Loans!B73="","",Agent07_Loans!C73)</f>
        <v/>
      </c>
      <c r="D1261" s="41" t="str">
        <f>IF(Agent07_Loans!B73="","",Agent07_Loans!D73)</f>
        <v/>
      </c>
      <c r="E1261" s="43" t="str">
        <f>IF(Agent07_Loans!B73="","",Agent07_Loans!E73)</f>
        <v/>
      </c>
      <c r="F1261" s="40" t="str">
        <f>IF(Agent07_Loans!B73="","",Agent07_Loans!F73)</f>
        <v/>
      </c>
      <c r="G1261" s="40" t="str">
        <f>IF(Agent07_Loans!B73="","",Agent07_Loans!G73)</f>
        <v/>
      </c>
      <c r="H1261" s="40" t="str">
        <f>IF(Agent07_Loans!B73="","",Agent07_Loans!H73)</f>
        <v/>
      </c>
      <c r="I1261" s="43" t="str">
        <f>IF(Agent07_Loans!B73="","",Agent07_Loans!I73)</f>
        <v/>
      </c>
      <c r="J1261" s="43" t="str">
        <f>IF(Agent07_Loans!B73="","",Agent07_Loans!J73)</f>
        <v/>
      </c>
      <c r="K1261" s="40" t="str">
        <f>IF(Agent07_Loans!B73="","",Agent07_Loans!K73)</f>
        <v/>
      </c>
      <c r="L1261" s="40" t="str">
        <f>IF(Agent07_Loans!B73="","",Agent07_Loans!L73)</f>
        <v/>
      </c>
      <c r="M1261" s="40" t="str">
        <f>IFERROR(IF(Agent07_Loans!B73="","",YEAR(Agent07_Loans!D73)),"")</f>
        <v/>
      </c>
    </row>
    <row r="1262" spans="1:13" ht="18" customHeight="1" x14ac:dyDescent="0.25">
      <c r="A1262" s="40" t="str">
        <f>IF(Agent07_Loans!B74="","",Agent07_Loans!A74)</f>
        <v/>
      </c>
      <c r="B1262" s="40" t="str">
        <f>IF(Agent07_Loans!B74="","",Agent07_Loans!B74)</f>
        <v/>
      </c>
      <c r="C1262" s="40" t="str">
        <f>IF(Agent07_Loans!B74="","",Agent07_Loans!C74)</f>
        <v/>
      </c>
      <c r="D1262" s="41" t="str">
        <f>IF(Agent07_Loans!B74="","",Agent07_Loans!D74)</f>
        <v/>
      </c>
      <c r="E1262" s="43" t="str">
        <f>IF(Agent07_Loans!B74="","",Agent07_Loans!E74)</f>
        <v/>
      </c>
      <c r="F1262" s="40" t="str">
        <f>IF(Agent07_Loans!B74="","",Agent07_Loans!F74)</f>
        <v/>
      </c>
      <c r="G1262" s="40" t="str">
        <f>IF(Agent07_Loans!B74="","",Agent07_Loans!G74)</f>
        <v/>
      </c>
      <c r="H1262" s="40" t="str">
        <f>IF(Agent07_Loans!B74="","",Agent07_Loans!H74)</f>
        <v/>
      </c>
      <c r="I1262" s="43" t="str">
        <f>IF(Agent07_Loans!B74="","",Agent07_Loans!I74)</f>
        <v/>
      </c>
      <c r="J1262" s="43" t="str">
        <f>IF(Agent07_Loans!B74="","",Agent07_Loans!J74)</f>
        <v/>
      </c>
      <c r="K1262" s="40" t="str">
        <f>IF(Agent07_Loans!B74="","",Agent07_Loans!K74)</f>
        <v/>
      </c>
      <c r="L1262" s="40" t="str">
        <f>IF(Agent07_Loans!B74="","",Agent07_Loans!L74)</f>
        <v/>
      </c>
      <c r="M1262" s="40" t="str">
        <f>IFERROR(IF(Agent07_Loans!B74="","",YEAR(Agent07_Loans!D74)),"")</f>
        <v/>
      </c>
    </row>
    <row r="1263" spans="1:13" ht="18" customHeight="1" x14ac:dyDescent="0.25">
      <c r="A1263" s="40" t="str">
        <f>IF(Agent07_Loans!B75="","",Agent07_Loans!A75)</f>
        <v/>
      </c>
      <c r="B1263" s="40" t="str">
        <f>IF(Agent07_Loans!B75="","",Agent07_Loans!B75)</f>
        <v/>
      </c>
      <c r="C1263" s="40" t="str">
        <f>IF(Agent07_Loans!B75="","",Agent07_Loans!C75)</f>
        <v/>
      </c>
      <c r="D1263" s="41" t="str">
        <f>IF(Agent07_Loans!B75="","",Agent07_Loans!D75)</f>
        <v/>
      </c>
      <c r="E1263" s="43" t="str">
        <f>IF(Agent07_Loans!B75="","",Agent07_Loans!E75)</f>
        <v/>
      </c>
      <c r="F1263" s="40" t="str">
        <f>IF(Agent07_Loans!B75="","",Agent07_Loans!F75)</f>
        <v/>
      </c>
      <c r="G1263" s="40" t="str">
        <f>IF(Agent07_Loans!B75="","",Agent07_Loans!G75)</f>
        <v/>
      </c>
      <c r="H1263" s="40" t="str">
        <f>IF(Agent07_Loans!B75="","",Agent07_Loans!H75)</f>
        <v/>
      </c>
      <c r="I1263" s="43" t="str">
        <f>IF(Agent07_Loans!B75="","",Agent07_Loans!I75)</f>
        <v/>
      </c>
      <c r="J1263" s="43" t="str">
        <f>IF(Agent07_Loans!B75="","",Agent07_Loans!J75)</f>
        <v/>
      </c>
      <c r="K1263" s="40" t="str">
        <f>IF(Agent07_Loans!B75="","",Agent07_Loans!K75)</f>
        <v/>
      </c>
      <c r="L1263" s="40" t="str">
        <f>IF(Agent07_Loans!B75="","",Agent07_Loans!L75)</f>
        <v/>
      </c>
      <c r="M1263" s="40" t="str">
        <f>IFERROR(IF(Agent07_Loans!B75="","",YEAR(Agent07_Loans!D75)),"")</f>
        <v/>
      </c>
    </row>
    <row r="1264" spans="1:13" ht="18" customHeight="1" x14ac:dyDescent="0.25">
      <c r="A1264" s="40" t="str">
        <f>IF(Agent07_Loans!B76="","",Agent07_Loans!A76)</f>
        <v/>
      </c>
      <c r="B1264" s="40" t="str">
        <f>IF(Agent07_Loans!B76="","",Agent07_Loans!B76)</f>
        <v/>
      </c>
      <c r="C1264" s="40" t="str">
        <f>IF(Agent07_Loans!B76="","",Agent07_Loans!C76)</f>
        <v/>
      </c>
      <c r="D1264" s="41" t="str">
        <f>IF(Agent07_Loans!B76="","",Agent07_Loans!D76)</f>
        <v/>
      </c>
      <c r="E1264" s="43" t="str">
        <f>IF(Agent07_Loans!B76="","",Agent07_Loans!E76)</f>
        <v/>
      </c>
      <c r="F1264" s="40" t="str">
        <f>IF(Agent07_Loans!B76="","",Agent07_Loans!F76)</f>
        <v/>
      </c>
      <c r="G1264" s="40" t="str">
        <f>IF(Agent07_Loans!B76="","",Agent07_Loans!G76)</f>
        <v/>
      </c>
      <c r="H1264" s="40" t="str">
        <f>IF(Agent07_Loans!B76="","",Agent07_Loans!H76)</f>
        <v/>
      </c>
      <c r="I1264" s="43" t="str">
        <f>IF(Agent07_Loans!B76="","",Agent07_Loans!I76)</f>
        <v/>
      </c>
      <c r="J1264" s="43" t="str">
        <f>IF(Agent07_Loans!B76="","",Agent07_Loans!J76)</f>
        <v/>
      </c>
      <c r="K1264" s="40" t="str">
        <f>IF(Agent07_Loans!B76="","",Agent07_Loans!K76)</f>
        <v/>
      </c>
      <c r="L1264" s="40" t="str">
        <f>IF(Agent07_Loans!B76="","",Agent07_Loans!L76)</f>
        <v/>
      </c>
      <c r="M1264" s="40" t="str">
        <f>IFERROR(IF(Agent07_Loans!B76="","",YEAR(Agent07_Loans!D76)),"")</f>
        <v/>
      </c>
    </row>
    <row r="1265" spans="1:13" ht="18" customHeight="1" x14ac:dyDescent="0.25">
      <c r="A1265" s="40" t="str">
        <f>IF(Agent07_Loans!B77="","",Agent07_Loans!A77)</f>
        <v/>
      </c>
      <c r="B1265" s="40" t="str">
        <f>IF(Agent07_Loans!B77="","",Agent07_Loans!B77)</f>
        <v/>
      </c>
      <c r="C1265" s="40" t="str">
        <f>IF(Agent07_Loans!B77="","",Agent07_Loans!C77)</f>
        <v/>
      </c>
      <c r="D1265" s="41" t="str">
        <f>IF(Agent07_Loans!B77="","",Agent07_Loans!D77)</f>
        <v/>
      </c>
      <c r="E1265" s="43" t="str">
        <f>IF(Agent07_Loans!B77="","",Agent07_Loans!E77)</f>
        <v/>
      </c>
      <c r="F1265" s="40" t="str">
        <f>IF(Agent07_Loans!B77="","",Agent07_Loans!F77)</f>
        <v/>
      </c>
      <c r="G1265" s="40" t="str">
        <f>IF(Agent07_Loans!B77="","",Agent07_Loans!G77)</f>
        <v/>
      </c>
      <c r="H1265" s="40" t="str">
        <f>IF(Agent07_Loans!B77="","",Agent07_Loans!H77)</f>
        <v/>
      </c>
      <c r="I1265" s="43" t="str">
        <f>IF(Agent07_Loans!B77="","",Agent07_Loans!I77)</f>
        <v/>
      </c>
      <c r="J1265" s="43" t="str">
        <f>IF(Agent07_Loans!B77="","",Agent07_Loans!J77)</f>
        <v/>
      </c>
      <c r="K1265" s="40" t="str">
        <f>IF(Agent07_Loans!B77="","",Agent07_Loans!K77)</f>
        <v/>
      </c>
      <c r="L1265" s="40" t="str">
        <f>IF(Agent07_Loans!B77="","",Agent07_Loans!L77)</f>
        <v/>
      </c>
      <c r="M1265" s="40" t="str">
        <f>IFERROR(IF(Agent07_Loans!B77="","",YEAR(Agent07_Loans!D77)),"")</f>
        <v/>
      </c>
    </row>
    <row r="1266" spans="1:13" ht="18" customHeight="1" x14ac:dyDescent="0.25">
      <c r="A1266" s="40" t="str">
        <f>IF(Agent07_Loans!B78="","",Agent07_Loans!A78)</f>
        <v/>
      </c>
      <c r="B1266" s="40" t="str">
        <f>IF(Agent07_Loans!B78="","",Agent07_Loans!B78)</f>
        <v/>
      </c>
      <c r="C1266" s="40" t="str">
        <f>IF(Agent07_Loans!B78="","",Agent07_Loans!C78)</f>
        <v/>
      </c>
      <c r="D1266" s="41" t="str">
        <f>IF(Agent07_Loans!B78="","",Agent07_Loans!D78)</f>
        <v/>
      </c>
      <c r="E1266" s="43" t="str">
        <f>IF(Agent07_Loans!B78="","",Agent07_Loans!E78)</f>
        <v/>
      </c>
      <c r="F1266" s="40" t="str">
        <f>IF(Agent07_Loans!B78="","",Agent07_Loans!F78)</f>
        <v/>
      </c>
      <c r="G1266" s="40" t="str">
        <f>IF(Agent07_Loans!B78="","",Agent07_Loans!G78)</f>
        <v/>
      </c>
      <c r="H1266" s="40" t="str">
        <f>IF(Agent07_Loans!B78="","",Agent07_Loans!H78)</f>
        <v/>
      </c>
      <c r="I1266" s="43" t="str">
        <f>IF(Agent07_Loans!B78="","",Agent07_Loans!I78)</f>
        <v/>
      </c>
      <c r="J1266" s="43" t="str">
        <f>IF(Agent07_Loans!B78="","",Agent07_Loans!J78)</f>
        <v/>
      </c>
      <c r="K1266" s="40" t="str">
        <f>IF(Agent07_Loans!B78="","",Agent07_Loans!K78)</f>
        <v/>
      </c>
      <c r="L1266" s="40" t="str">
        <f>IF(Agent07_Loans!B78="","",Agent07_Loans!L78)</f>
        <v/>
      </c>
      <c r="M1266" s="40" t="str">
        <f>IFERROR(IF(Agent07_Loans!B78="","",YEAR(Agent07_Loans!D78)),"")</f>
        <v/>
      </c>
    </row>
    <row r="1267" spans="1:13" ht="18" customHeight="1" x14ac:dyDescent="0.25">
      <c r="A1267" s="40" t="str">
        <f>IF(Agent07_Loans!B79="","",Agent07_Loans!A79)</f>
        <v/>
      </c>
      <c r="B1267" s="40" t="str">
        <f>IF(Agent07_Loans!B79="","",Agent07_Loans!B79)</f>
        <v/>
      </c>
      <c r="C1267" s="40" t="str">
        <f>IF(Agent07_Loans!B79="","",Agent07_Loans!C79)</f>
        <v/>
      </c>
      <c r="D1267" s="41" t="str">
        <f>IF(Agent07_Loans!B79="","",Agent07_Loans!D79)</f>
        <v/>
      </c>
      <c r="E1267" s="43" t="str">
        <f>IF(Agent07_Loans!B79="","",Agent07_Loans!E79)</f>
        <v/>
      </c>
      <c r="F1267" s="40" t="str">
        <f>IF(Agent07_Loans!B79="","",Agent07_Loans!F79)</f>
        <v/>
      </c>
      <c r="G1267" s="40" t="str">
        <f>IF(Agent07_Loans!B79="","",Agent07_Loans!G79)</f>
        <v/>
      </c>
      <c r="H1267" s="40" t="str">
        <f>IF(Agent07_Loans!B79="","",Agent07_Loans!H79)</f>
        <v/>
      </c>
      <c r="I1267" s="43" t="str">
        <f>IF(Agent07_Loans!B79="","",Agent07_Loans!I79)</f>
        <v/>
      </c>
      <c r="J1267" s="43" t="str">
        <f>IF(Agent07_Loans!B79="","",Agent07_Loans!J79)</f>
        <v/>
      </c>
      <c r="K1267" s="40" t="str">
        <f>IF(Agent07_Loans!B79="","",Agent07_Loans!K79)</f>
        <v/>
      </c>
      <c r="L1267" s="40" t="str">
        <f>IF(Agent07_Loans!B79="","",Agent07_Loans!L79)</f>
        <v/>
      </c>
      <c r="M1267" s="40" t="str">
        <f>IFERROR(IF(Agent07_Loans!B79="","",YEAR(Agent07_Loans!D79)),"")</f>
        <v/>
      </c>
    </row>
    <row r="1268" spans="1:13" ht="18" customHeight="1" x14ac:dyDescent="0.25">
      <c r="A1268" s="40" t="str">
        <f>IF(Agent07_Loans!B80="","",Agent07_Loans!A80)</f>
        <v/>
      </c>
      <c r="B1268" s="40" t="str">
        <f>IF(Agent07_Loans!B80="","",Agent07_Loans!B80)</f>
        <v/>
      </c>
      <c r="C1268" s="40" t="str">
        <f>IF(Agent07_Loans!B80="","",Agent07_Loans!C80)</f>
        <v/>
      </c>
      <c r="D1268" s="41" t="str">
        <f>IF(Agent07_Loans!B80="","",Agent07_Loans!D80)</f>
        <v/>
      </c>
      <c r="E1268" s="43" t="str">
        <f>IF(Agent07_Loans!B80="","",Agent07_Loans!E80)</f>
        <v/>
      </c>
      <c r="F1268" s="40" t="str">
        <f>IF(Agent07_Loans!B80="","",Agent07_Loans!F80)</f>
        <v/>
      </c>
      <c r="G1268" s="40" t="str">
        <f>IF(Agent07_Loans!B80="","",Agent07_Loans!G80)</f>
        <v/>
      </c>
      <c r="H1268" s="40" t="str">
        <f>IF(Agent07_Loans!B80="","",Agent07_Loans!H80)</f>
        <v/>
      </c>
      <c r="I1268" s="43" t="str">
        <f>IF(Agent07_Loans!B80="","",Agent07_Loans!I80)</f>
        <v/>
      </c>
      <c r="J1268" s="43" t="str">
        <f>IF(Agent07_Loans!B80="","",Agent07_Loans!J80)</f>
        <v/>
      </c>
      <c r="K1268" s="40" t="str">
        <f>IF(Agent07_Loans!B80="","",Agent07_Loans!K80)</f>
        <v/>
      </c>
      <c r="L1268" s="40" t="str">
        <f>IF(Agent07_Loans!B80="","",Agent07_Loans!L80)</f>
        <v/>
      </c>
      <c r="M1268" s="40" t="str">
        <f>IFERROR(IF(Agent07_Loans!B80="","",YEAR(Agent07_Loans!D80)),"")</f>
        <v/>
      </c>
    </row>
    <row r="1269" spans="1:13" ht="18" customHeight="1" x14ac:dyDescent="0.25">
      <c r="A1269" s="40" t="str">
        <f>IF(Agent07_Loans!B81="","",Agent07_Loans!A81)</f>
        <v/>
      </c>
      <c r="B1269" s="40" t="str">
        <f>IF(Agent07_Loans!B81="","",Agent07_Loans!B81)</f>
        <v/>
      </c>
      <c r="C1269" s="40" t="str">
        <f>IF(Agent07_Loans!B81="","",Agent07_Loans!C81)</f>
        <v/>
      </c>
      <c r="D1269" s="41" t="str">
        <f>IF(Agent07_Loans!B81="","",Agent07_Loans!D81)</f>
        <v/>
      </c>
      <c r="E1269" s="43" t="str">
        <f>IF(Agent07_Loans!B81="","",Agent07_Loans!E81)</f>
        <v/>
      </c>
      <c r="F1269" s="40" t="str">
        <f>IF(Agent07_Loans!B81="","",Agent07_Loans!F81)</f>
        <v/>
      </c>
      <c r="G1269" s="40" t="str">
        <f>IF(Agent07_Loans!B81="","",Agent07_Loans!G81)</f>
        <v/>
      </c>
      <c r="H1269" s="40" t="str">
        <f>IF(Agent07_Loans!B81="","",Agent07_Loans!H81)</f>
        <v/>
      </c>
      <c r="I1269" s="43" t="str">
        <f>IF(Agent07_Loans!B81="","",Agent07_Loans!I81)</f>
        <v/>
      </c>
      <c r="J1269" s="43" t="str">
        <f>IF(Agent07_Loans!B81="","",Agent07_Loans!J81)</f>
        <v/>
      </c>
      <c r="K1269" s="40" t="str">
        <f>IF(Agent07_Loans!B81="","",Agent07_Loans!K81)</f>
        <v/>
      </c>
      <c r="L1269" s="40" t="str">
        <f>IF(Agent07_Loans!B81="","",Agent07_Loans!L81)</f>
        <v/>
      </c>
      <c r="M1269" s="40" t="str">
        <f>IFERROR(IF(Agent07_Loans!B81="","",YEAR(Agent07_Loans!D81)),"")</f>
        <v/>
      </c>
    </row>
    <row r="1270" spans="1:13" ht="18" customHeight="1" x14ac:dyDescent="0.25">
      <c r="A1270" s="40" t="str">
        <f>IF(Agent07_Loans!B82="","",Agent07_Loans!A82)</f>
        <v/>
      </c>
      <c r="B1270" s="40" t="str">
        <f>IF(Agent07_Loans!B82="","",Agent07_Loans!B82)</f>
        <v/>
      </c>
      <c r="C1270" s="40" t="str">
        <f>IF(Agent07_Loans!B82="","",Agent07_Loans!C82)</f>
        <v/>
      </c>
      <c r="D1270" s="41" t="str">
        <f>IF(Agent07_Loans!B82="","",Agent07_Loans!D82)</f>
        <v/>
      </c>
      <c r="E1270" s="43" t="str">
        <f>IF(Agent07_Loans!B82="","",Agent07_Loans!E82)</f>
        <v/>
      </c>
      <c r="F1270" s="40" t="str">
        <f>IF(Agent07_Loans!B82="","",Agent07_Loans!F82)</f>
        <v/>
      </c>
      <c r="G1270" s="40" t="str">
        <f>IF(Agent07_Loans!B82="","",Agent07_Loans!G82)</f>
        <v/>
      </c>
      <c r="H1270" s="40" t="str">
        <f>IF(Agent07_Loans!B82="","",Agent07_Loans!H82)</f>
        <v/>
      </c>
      <c r="I1270" s="43" t="str">
        <f>IF(Agent07_Loans!B82="","",Agent07_Loans!I82)</f>
        <v/>
      </c>
      <c r="J1270" s="43" t="str">
        <f>IF(Agent07_Loans!B82="","",Agent07_Loans!J82)</f>
        <v/>
      </c>
      <c r="K1270" s="40" t="str">
        <f>IF(Agent07_Loans!B82="","",Agent07_Loans!K82)</f>
        <v/>
      </c>
      <c r="L1270" s="40" t="str">
        <f>IF(Agent07_Loans!B82="","",Agent07_Loans!L82)</f>
        <v/>
      </c>
      <c r="M1270" s="40" t="str">
        <f>IFERROR(IF(Agent07_Loans!B82="","",YEAR(Agent07_Loans!D82)),"")</f>
        <v/>
      </c>
    </row>
    <row r="1271" spans="1:13" ht="18" customHeight="1" x14ac:dyDescent="0.25">
      <c r="A1271" s="40" t="str">
        <f>IF(Agent07_Loans!B83="","",Agent07_Loans!A83)</f>
        <v/>
      </c>
      <c r="B1271" s="40" t="str">
        <f>IF(Agent07_Loans!B83="","",Agent07_Loans!B83)</f>
        <v/>
      </c>
      <c r="C1271" s="40" t="str">
        <f>IF(Agent07_Loans!B83="","",Agent07_Loans!C83)</f>
        <v/>
      </c>
      <c r="D1271" s="41" t="str">
        <f>IF(Agent07_Loans!B83="","",Agent07_Loans!D83)</f>
        <v/>
      </c>
      <c r="E1271" s="43" t="str">
        <f>IF(Agent07_Loans!B83="","",Agent07_Loans!E83)</f>
        <v/>
      </c>
      <c r="F1271" s="40" t="str">
        <f>IF(Agent07_Loans!B83="","",Agent07_Loans!F83)</f>
        <v/>
      </c>
      <c r="G1271" s="40" t="str">
        <f>IF(Agent07_Loans!B83="","",Agent07_Loans!G83)</f>
        <v/>
      </c>
      <c r="H1271" s="40" t="str">
        <f>IF(Agent07_Loans!B83="","",Agent07_Loans!H83)</f>
        <v/>
      </c>
      <c r="I1271" s="43" t="str">
        <f>IF(Agent07_Loans!B83="","",Agent07_Loans!I83)</f>
        <v/>
      </c>
      <c r="J1271" s="43" t="str">
        <f>IF(Agent07_Loans!B83="","",Agent07_Loans!J83)</f>
        <v/>
      </c>
      <c r="K1271" s="40" t="str">
        <f>IF(Agent07_Loans!B83="","",Agent07_Loans!K83)</f>
        <v/>
      </c>
      <c r="L1271" s="40" t="str">
        <f>IF(Agent07_Loans!B83="","",Agent07_Loans!L83)</f>
        <v/>
      </c>
      <c r="M1271" s="40" t="str">
        <f>IFERROR(IF(Agent07_Loans!B83="","",YEAR(Agent07_Loans!D83)),"")</f>
        <v/>
      </c>
    </row>
    <row r="1272" spans="1:13" ht="18" customHeight="1" x14ac:dyDescent="0.25">
      <c r="A1272" s="40" t="str">
        <f>IF(Agent07_Loans!B84="","",Agent07_Loans!A84)</f>
        <v/>
      </c>
      <c r="B1272" s="40" t="str">
        <f>IF(Agent07_Loans!B84="","",Agent07_Loans!B84)</f>
        <v/>
      </c>
      <c r="C1272" s="40" t="str">
        <f>IF(Agent07_Loans!B84="","",Agent07_Loans!C84)</f>
        <v/>
      </c>
      <c r="D1272" s="41" t="str">
        <f>IF(Agent07_Loans!B84="","",Agent07_Loans!D84)</f>
        <v/>
      </c>
      <c r="E1272" s="43" t="str">
        <f>IF(Agent07_Loans!B84="","",Agent07_Loans!E84)</f>
        <v/>
      </c>
      <c r="F1272" s="40" t="str">
        <f>IF(Agent07_Loans!B84="","",Agent07_Loans!F84)</f>
        <v/>
      </c>
      <c r="G1272" s="40" t="str">
        <f>IF(Agent07_Loans!B84="","",Agent07_Loans!G84)</f>
        <v/>
      </c>
      <c r="H1272" s="40" t="str">
        <f>IF(Agent07_Loans!B84="","",Agent07_Loans!H84)</f>
        <v/>
      </c>
      <c r="I1272" s="43" t="str">
        <f>IF(Agent07_Loans!B84="","",Agent07_Loans!I84)</f>
        <v/>
      </c>
      <c r="J1272" s="43" t="str">
        <f>IF(Agent07_Loans!B84="","",Agent07_Loans!J84)</f>
        <v/>
      </c>
      <c r="K1272" s="40" t="str">
        <f>IF(Agent07_Loans!B84="","",Agent07_Loans!K84)</f>
        <v/>
      </c>
      <c r="L1272" s="40" t="str">
        <f>IF(Agent07_Loans!B84="","",Agent07_Loans!L84)</f>
        <v/>
      </c>
      <c r="M1272" s="40" t="str">
        <f>IFERROR(IF(Agent07_Loans!B84="","",YEAR(Agent07_Loans!D84)),"")</f>
        <v/>
      </c>
    </row>
    <row r="1273" spans="1:13" ht="18" customHeight="1" x14ac:dyDescent="0.25">
      <c r="A1273" s="40" t="str">
        <f>IF(Agent07_Loans!B85="","",Agent07_Loans!A85)</f>
        <v/>
      </c>
      <c r="B1273" s="40" t="str">
        <f>IF(Agent07_Loans!B85="","",Agent07_Loans!B85)</f>
        <v/>
      </c>
      <c r="C1273" s="40" t="str">
        <f>IF(Agent07_Loans!B85="","",Agent07_Loans!C85)</f>
        <v/>
      </c>
      <c r="D1273" s="41" t="str">
        <f>IF(Agent07_Loans!B85="","",Agent07_Loans!D85)</f>
        <v/>
      </c>
      <c r="E1273" s="43" t="str">
        <f>IF(Agent07_Loans!B85="","",Agent07_Loans!E85)</f>
        <v/>
      </c>
      <c r="F1273" s="40" t="str">
        <f>IF(Agent07_Loans!B85="","",Agent07_Loans!F85)</f>
        <v/>
      </c>
      <c r="G1273" s="40" t="str">
        <f>IF(Agent07_Loans!B85="","",Agent07_Loans!G85)</f>
        <v/>
      </c>
      <c r="H1273" s="40" t="str">
        <f>IF(Agent07_Loans!B85="","",Agent07_Loans!H85)</f>
        <v/>
      </c>
      <c r="I1273" s="43" t="str">
        <f>IF(Agent07_Loans!B85="","",Agent07_Loans!I85)</f>
        <v/>
      </c>
      <c r="J1273" s="43" t="str">
        <f>IF(Agent07_Loans!B85="","",Agent07_Loans!J85)</f>
        <v/>
      </c>
      <c r="K1273" s="40" t="str">
        <f>IF(Agent07_Loans!B85="","",Agent07_Loans!K85)</f>
        <v/>
      </c>
      <c r="L1273" s="40" t="str">
        <f>IF(Agent07_Loans!B85="","",Agent07_Loans!L85)</f>
        <v/>
      </c>
      <c r="M1273" s="40" t="str">
        <f>IFERROR(IF(Agent07_Loans!B85="","",YEAR(Agent07_Loans!D85)),"")</f>
        <v/>
      </c>
    </row>
    <row r="1274" spans="1:13" ht="18" customHeight="1" x14ac:dyDescent="0.25">
      <c r="A1274" s="40" t="str">
        <f>IF(Agent07_Loans!B86="","",Agent07_Loans!A86)</f>
        <v/>
      </c>
      <c r="B1274" s="40" t="str">
        <f>IF(Agent07_Loans!B86="","",Agent07_Loans!B86)</f>
        <v/>
      </c>
      <c r="C1274" s="40" t="str">
        <f>IF(Agent07_Loans!B86="","",Agent07_Loans!C86)</f>
        <v/>
      </c>
      <c r="D1274" s="41" t="str">
        <f>IF(Agent07_Loans!B86="","",Agent07_Loans!D86)</f>
        <v/>
      </c>
      <c r="E1274" s="43" t="str">
        <f>IF(Agent07_Loans!B86="","",Agent07_Loans!E86)</f>
        <v/>
      </c>
      <c r="F1274" s="40" t="str">
        <f>IF(Agent07_Loans!B86="","",Agent07_Loans!F86)</f>
        <v/>
      </c>
      <c r="G1274" s="40" t="str">
        <f>IF(Agent07_Loans!B86="","",Agent07_Loans!G86)</f>
        <v/>
      </c>
      <c r="H1274" s="40" t="str">
        <f>IF(Agent07_Loans!B86="","",Agent07_Loans!H86)</f>
        <v/>
      </c>
      <c r="I1274" s="43" t="str">
        <f>IF(Agent07_Loans!B86="","",Agent07_Loans!I86)</f>
        <v/>
      </c>
      <c r="J1274" s="43" t="str">
        <f>IF(Agent07_Loans!B86="","",Agent07_Loans!J86)</f>
        <v/>
      </c>
      <c r="K1274" s="40" t="str">
        <f>IF(Agent07_Loans!B86="","",Agent07_Loans!K86)</f>
        <v/>
      </c>
      <c r="L1274" s="40" t="str">
        <f>IF(Agent07_Loans!B86="","",Agent07_Loans!L86)</f>
        <v/>
      </c>
      <c r="M1274" s="40" t="str">
        <f>IFERROR(IF(Agent07_Loans!B86="","",YEAR(Agent07_Loans!D86)),"")</f>
        <v/>
      </c>
    </row>
    <row r="1275" spans="1:13" ht="18" customHeight="1" x14ac:dyDescent="0.25">
      <c r="A1275" s="40" t="str">
        <f>IF(Agent07_Loans!B87="","",Agent07_Loans!A87)</f>
        <v/>
      </c>
      <c r="B1275" s="40" t="str">
        <f>IF(Agent07_Loans!B87="","",Agent07_Loans!B87)</f>
        <v/>
      </c>
      <c r="C1275" s="40" t="str">
        <f>IF(Agent07_Loans!B87="","",Agent07_Loans!C87)</f>
        <v/>
      </c>
      <c r="D1275" s="41" t="str">
        <f>IF(Agent07_Loans!B87="","",Agent07_Loans!D87)</f>
        <v/>
      </c>
      <c r="E1275" s="43" t="str">
        <f>IF(Agent07_Loans!B87="","",Agent07_Loans!E87)</f>
        <v/>
      </c>
      <c r="F1275" s="40" t="str">
        <f>IF(Agent07_Loans!B87="","",Agent07_Loans!F87)</f>
        <v/>
      </c>
      <c r="G1275" s="40" t="str">
        <f>IF(Agent07_Loans!B87="","",Agent07_Loans!G87)</f>
        <v/>
      </c>
      <c r="H1275" s="40" t="str">
        <f>IF(Agent07_Loans!B87="","",Agent07_Loans!H87)</f>
        <v/>
      </c>
      <c r="I1275" s="43" t="str">
        <f>IF(Agent07_Loans!B87="","",Agent07_Loans!I87)</f>
        <v/>
      </c>
      <c r="J1275" s="43" t="str">
        <f>IF(Agent07_Loans!B87="","",Agent07_Loans!J87)</f>
        <v/>
      </c>
      <c r="K1275" s="40" t="str">
        <f>IF(Agent07_Loans!B87="","",Agent07_Loans!K87)</f>
        <v/>
      </c>
      <c r="L1275" s="40" t="str">
        <f>IF(Agent07_Loans!B87="","",Agent07_Loans!L87)</f>
        <v/>
      </c>
      <c r="M1275" s="40" t="str">
        <f>IFERROR(IF(Agent07_Loans!B87="","",YEAR(Agent07_Loans!D87)),"")</f>
        <v/>
      </c>
    </row>
    <row r="1276" spans="1:13" ht="18" customHeight="1" x14ac:dyDescent="0.25">
      <c r="A1276" s="40" t="str">
        <f>IF(Agent07_Loans!B88="","",Agent07_Loans!A88)</f>
        <v/>
      </c>
      <c r="B1276" s="40" t="str">
        <f>IF(Agent07_Loans!B88="","",Agent07_Loans!B88)</f>
        <v/>
      </c>
      <c r="C1276" s="40" t="str">
        <f>IF(Agent07_Loans!B88="","",Agent07_Loans!C88)</f>
        <v/>
      </c>
      <c r="D1276" s="41" t="str">
        <f>IF(Agent07_Loans!B88="","",Agent07_Loans!D88)</f>
        <v/>
      </c>
      <c r="E1276" s="43" t="str">
        <f>IF(Agent07_Loans!B88="","",Agent07_Loans!E88)</f>
        <v/>
      </c>
      <c r="F1276" s="40" t="str">
        <f>IF(Agent07_Loans!B88="","",Agent07_Loans!F88)</f>
        <v/>
      </c>
      <c r="G1276" s="40" t="str">
        <f>IF(Agent07_Loans!B88="","",Agent07_Loans!G88)</f>
        <v/>
      </c>
      <c r="H1276" s="40" t="str">
        <f>IF(Agent07_Loans!B88="","",Agent07_Loans!H88)</f>
        <v/>
      </c>
      <c r="I1276" s="43" t="str">
        <f>IF(Agent07_Loans!B88="","",Agent07_Loans!I88)</f>
        <v/>
      </c>
      <c r="J1276" s="43" t="str">
        <f>IF(Agent07_Loans!B88="","",Agent07_Loans!J88)</f>
        <v/>
      </c>
      <c r="K1276" s="40" t="str">
        <f>IF(Agent07_Loans!B88="","",Agent07_Loans!K88)</f>
        <v/>
      </c>
      <c r="L1276" s="40" t="str">
        <f>IF(Agent07_Loans!B88="","",Agent07_Loans!L88)</f>
        <v/>
      </c>
      <c r="M1276" s="40" t="str">
        <f>IFERROR(IF(Agent07_Loans!B88="","",YEAR(Agent07_Loans!D88)),"")</f>
        <v/>
      </c>
    </row>
    <row r="1277" spans="1:13" ht="18" customHeight="1" x14ac:dyDescent="0.25">
      <c r="A1277" s="40" t="str">
        <f>IF(Agent07_Loans!B89="","",Agent07_Loans!A89)</f>
        <v/>
      </c>
      <c r="B1277" s="40" t="str">
        <f>IF(Agent07_Loans!B89="","",Agent07_Loans!B89)</f>
        <v/>
      </c>
      <c r="C1277" s="40" t="str">
        <f>IF(Agent07_Loans!B89="","",Agent07_Loans!C89)</f>
        <v/>
      </c>
      <c r="D1277" s="41" t="str">
        <f>IF(Agent07_Loans!B89="","",Agent07_Loans!D89)</f>
        <v/>
      </c>
      <c r="E1277" s="43" t="str">
        <f>IF(Agent07_Loans!B89="","",Agent07_Loans!E89)</f>
        <v/>
      </c>
      <c r="F1277" s="40" t="str">
        <f>IF(Agent07_Loans!B89="","",Agent07_Loans!F89)</f>
        <v/>
      </c>
      <c r="G1277" s="40" t="str">
        <f>IF(Agent07_Loans!B89="","",Agent07_Loans!G89)</f>
        <v/>
      </c>
      <c r="H1277" s="40" t="str">
        <f>IF(Agent07_Loans!B89="","",Agent07_Loans!H89)</f>
        <v/>
      </c>
      <c r="I1277" s="43" t="str">
        <f>IF(Agent07_Loans!B89="","",Agent07_Loans!I89)</f>
        <v/>
      </c>
      <c r="J1277" s="43" t="str">
        <f>IF(Agent07_Loans!B89="","",Agent07_Loans!J89)</f>
        <v/>
      </c>
      <c r="K1277" s="40" t="str">
        <f>IF(Agent07_Loans!B89="","",Agent07_Loans!K89)</f>
        <v/>
      </c>
      <c r="L1277" s="40" t="str">
        <f>IF(Agent07_Loans!B89="","",Agent07_Loans!L89)</f>
        <v/>
      </c>
      <c r="M1277" s="40" t="str">
        <f>IFERROR(IF(Agent07_Loans!B89="","",YEAR(Agent07_Loans!D89)),"")</f>
        <v/>
      </c>
    </row>
    <row r="1278" spans="1:13" ht="18" customHeight="1" x14ac:dyDescent="0.25">
      <c r="A1278" s="40" t="str">
        <f>IF(Agent07_Loans!B90="","",Agent07_Loans!A90)</f>
        <v/>
      </c>
      <c r="B1278" s="40" t="str">
        <f>IF(Agent07_Loans!B90="","",Agent07_Loans!B90)</f>
        <v/>
      </c>
      <c r="C1278" s="40" t="str">
        <f>IF(Agent07_Loans!B90="","",Agent07_Loans!C90)</f>
        <v/>
      </c>
      <c r="D1278" s="41" t="str">
        <f>IF(Agent07_Loans!B90="","",Agent07_Loans!D90)</f>
        <v/>
      </c>
      <c r="E1278" s="43" t="str">
        <f>IF(Agent07_Loans!B90="","",Agent07_Loans!E90)</f>
        <v/>
      </c>
      <c r="F1278" s="40" t="str">
        <f>IF(Agent07_Loans!B90="","",Agent07_Loans!F90)</f>
        <v/>
      </c>
      <c r="G1278" s="40" t="str">
        <f>IF(Agent07_Loans!B90="","",Agent07_Loans!G90)</f>
        <v/>
      </c>
      <c r="H1278" s="40" t="str">
        <f>IF(Agent07_Loans!B90="","",Agent07_Loans!H90)</f>
        <v/>
      </c>
      <c r="I1278" s="43" t="str">
        <f>IF(Agent07_Loans!B90="","",Agent07_Loans!I90)</f>
        <v/>
      </c>
      <c r="J1278" s="43" t="str">
        <f>IF(Agent07_Loans!B90="","",Agent07_Loans!J90)</f>
        <v/>
      </c>
      <c r="K1278" s="40" t="str">
        <f>IF(Agent07_Loans!B90="","",Agent07_Loans!K90)</f>
        <v/>
      </c>
      <c r="L1278" s="40" t="str">
        <f>IF(Agent07_Loans!B90="","",Agent07_Loans!L90)</f>
        <v/>
      </c>
      <c r="M1278" s="40" t="str">
        <f>IFERROR(IF(Agent07_Loans!B90="","",YEAR(Agent07_Loans!D90)),"")</f>
        <v/>
      </c>
    </row>
    <row r="1279" spans="1:13" ht="18" customHeight="1" x14ac:dyDescent="0.25">
      <c r="A1279" s="40" t="str">
        <f>IF(Agent07_Loans!B91="","",Agent07_Loans!A91)</f>
        <v/>
      </c>
      <c r="B1279" s="40" t="str">
        <f>IF(Agent07_Loans!B91="","",Agent07_Loans!B91)</f>
        <v/>
      </c>
      <c r="C1279" s="40" t="str">
        <f>IF(Agent07_Loans!B91="","",Agent07_Loans!C91)</f>
        <v/>
      </c>
      <c r="D1279" s="41" t="str">
        <f>IF(Agent07_Loans!B91="","",Agent07_Loans!D91)</f>
        <v/>
      </c>
      <c r="E1279" s="43" t="str">
        <f>IF(Agent07_Loans!B91="","",Agent07_Loans!E91)</f>
        <v/>
      </c>
      <c r="F1279" s="40" t="str">
        <f>IF(Agent07_Loans!B91="","",Agent07_Loans!F91)</f>
        <v/>
      </c>
      <c r="G1279" s="40" t="str">
        <f>IF(Agent07_Loans!B91="","",Agent07_Loans!G91)</f>
        <v/>
      </c>
      <c r="H1279" s="40" t="str">
        <f>IF(Agent07_Loans!B91="","",Agent07_Loans!H91)</f>
        <v/>
      </c>
      <c r="I1279" s="43" t="str">
        <f>IF(Agent07_Loans!B91="","",Agent07_Loans!I91)</f>
        <v/>
      </c>
      <c r="J1279" s="43" t="str">
        <f>IF(Agent07_Loans!B91="","",Agent07_Loans!J91)</f>
        <v/>
      </c>
      <c r="K1279" s="40" t="str">
        <f>IF(Agent07_Loans!B91="","",Agent07_Loans!K91)</f>
        <v/>
      </c>
      <c r="L1279" s="40" t="str">
        <f>IF(Agent07_Loans!B91="","",Agent07_Loans!L91)</f>
        <v/>
      </c>
      <c r="M1279" s="40" t="str">
        <f>IFERROR(IF(Agent07_Loans!B91="","",YEAR(Agent07_Loans!D91)),"")</f>
        <v/>
      </c>
    </row>
    <row r="1280" spans="1:13" ht="18" customHeight="1" x14ac:dyDescent="0.25">
      <c r="A1280" s="40" t="str">
        <f>IF(Agent07_Loans!B92="","",Agent07_Loans!A92)</f>
        <v/>
      </c>
      <c r="B1280" s="40" t="str">
        <f>IF(Agent07_Loans!B92="","",Agent07_Loans!B92)</f>
        <v/>
      </c>
      <c r="C1280" s="40" t="str">
        <f>IF(Agent07_Loans!B92="","",Agent07_Loans!C92)</f>
        <v/>
      </c>
      <c r="D1280" s="41" t="str">
        <f>IF(Agent07_Loans!B92="","",Agent07_Loans!D92)</f>
        <v/>
      </c>
      <c r="E1280" s="43" t="str">
        <f>IF(Agent07_Loans!B92="","",Agent07_Loans!E92)</f>
        <v/>
      </c>
      <c r="F1280" s="40" t="str">
        <f>IF(Agent07_Loans!B92="","",Agent07_Loans!F92)</f>
        <v/>
      </c>
      <c r="G1280" s="40" t="str">
        <f>IF(Agent07_Loans!B92="","",Agent07_Loans!G92)</f>
        <v/>
      </c>
      <c r="H1280" s="40" t="str">
        <f>IF(Agent07_Loans!B92="","",Agent07_Loans!H92)</f>
        <v/>
      </c>
      <c r="I1280" s="43" t="str">
        <f>IF(Agent07_Loans!B92="","",Agent07_Loans!I92)</f>
        <v/>
      </c>
      <c r="J1280" s="43" t="str">
        <f>IF(Agent07_Loans!B92="","",Agent07_Loans!J92)</f>
        <v/>
      </c>
      <c r="K1280" s="40" t="str">
        <f>IF(Agent07_Loans!B92="","",Agent07_Loans!K92)</f>
        <v/>
      </c>
      <c r="L1280" s="40" t="str">
        <f>IF(Agent07_Loans!B92="","",Agent07_Loans!L92)</f>
        <v/>
      </c>
      <c r="M1280" s="40" t="str">
        <f>IFERROR(IF(Agent07_Loans!B92="","",YEAR(Agent07_Loans!D92)),"")</f>
        <v/>
      </c>
    </row>
    <row r="1281" spans="1:13" ht="18" customHeight="1" x14ac:dyDescent="0.25">
      <c r="A1281" s="40" t="str">
        <f>IF(Agent07_Loans!B93="","",Agent07_Loans!A93)</f>
        <v/>
      </c>
      <c r="B1281" s="40" t="str">
        <f>IF(Agent07_Loans!B93="","",Agent07_Loans!B93)</f>
        <v/>
      </c>
      <c r="C1281" s="40" t="str">
        <f>IF(Agent07_Loans!B93="","",Agent07_Loans!C93)</f>
        <v/>
      </c>
      <c r="D1281" s="41" t="str">
        <f>IF(Agent07_Loans!B93="","",Agent07_Loans!D93)</f>
        <v/>
      </c>
      <c r="E1281" s="43" t="str">
        <f>IF(Agent07_Loans!B93="","",Agent07_Loans!E93)</f>
        <v/>
      </c>
      <c r="F1281" s="40" t="str">
        <f>IF(Agent07_Loans!B93="","",Agent07_Loans!F93)</f>
        <v/>
      </c>
      <c r="G1281" s="40" t="str">
        <f>IF(Agent07_Loans!B93="","",Agent07_Loans!G93)</f>
        <v/>
      </c>
      <c r="H1281" s="40" t="str">
        <f>IF(Agent07_Loans!B93="","",Agent07_Loans!H93)</f>
        <v/>
      </c>
      <c r="I1281" s="43" t="str">
        <f>IF(Agent07_Loans!B93="","",Agent07_Loans!I93)</f>
        <v/>
      </c>
      <c r="J1281" s="43" t="str">
        <f>IF(Agent07_Loans!B93="","",Agent07_Loans!J93)</f>
        <v/>
      </c>
      <c r="K1281" s="40" t="str">
        <f>IF(Agent07_Loans!B93="","",Agent07_Loans!K93)</f>
        <v/>
      </c>
      <c r="L1281" s="40" t="str">
        <f>IF(Agent07_Loans!B93="","",Agent07_Loans!L93)</f>
        <v/>
      </c>
      <c r="M1281" s="40" t="str">
        <f>IFERROR(IF(Agent07_Loans!B93="","",YEAR(Agent07_Loans!D93)),"")</f>
        <v/>
      </c>
    </row>
    <row r="1282" spans="1:13" ht="18" customHeight="1" x14ac:dyDescent="0.25">
      <c r="A1282" s="40" t="str">
        <f>IF(Agent07_Loans!B94="","",Agent07_Loans!A94)</f>
        <v/>
      </c>
      <c r="B1282" s="40" t="str">
        <f>IF(Agent07_Loans!B94="","",Agent07_Loans!B94)</f>
        <v/>
      </c>
      <c r="C1282" s="40" t="str">
        <f>IF(Agent07_Loans!B94="","",Agent07_Loans!C94)</f>
        <v/>
      </c>
      <c r="D1282" s="41" t="str">
        <f>IF(Agent07_Loans!B94="","",Agent07_Loans!D94)</f>
        <v/>
      </c>
      <c r="E1282" s="43" t="str">
        <f>IF(Agent07_Loans!B94="","",Agent07_Loans!E94)</f>
        <v/>
      </c>
      <c r="F1282" s="40" t="str">
        <f>IF(Agent07_Loans!B94="","",Agent07_Loans!F94)</f>
        <v/>
      </c>
      <c r="G1282" s="40" t="str">
        <f>IF(Agent07_Loans!B94="","",Agent07_Loans!G94)</f>
        <v/>
      </c>
      <c r="H1282" s="40" t="str">
        <f>IF(Agent07_Loans!B94="","",Agent07_Loans!H94)</f>
        <v/>
      </c>
      <c r="I1282" s="43" t="str">
        <f>IF(Agent07_Loans!B94="","",Agent07_Loans!I94)</f>
        <v/>
      </c>
      <c r="J1282" s="43" t="str">
        <f>IF(Agent07_Loans!B94="","",Agent07_Loans!J94)</f>
        <v/>
      </c>
      <c r="K1282" s="40" t="str">
        <f>IF(Agent07_Loans!B94="","",Agent07_Loans!K94)</f>
        <v/>
      </c>
      <c r="L1282" s="40" t="str">
        <f>IF(Agent07_Loans!B94="","",Agent07_Loans!L94)</f>
        <v/>
      </c>
      <c r="M1282" s="40" t="str">
        <f>IFERROR(IF(Agent07_Loans!B94="","",YEAR(Agent07_Loans!D94)),"")</f>
        <v/>
      </c>
    </row>
    <row r="1283" spans="1:13" ht="18" customHeight="1" x14ac:dyDescent="0.25">
      <c r="A1283" s="40" t="str">
        <f>IF(Agent07_Loans!B95="","",Agent07_Loans!A95)</f>
        <v/>
      </c>
      <c r="B1283" s="40" t="str">
        <f>IF(Agent07_Loans!B95="","",Agent07_Loans!B95)</f>
        <v/>
      </c>
      <c r="C1283" s="40" t="str">
        <f>IF(Agent07_Loans!B95="","",Agent07_Loans!C95)</f>
        <v/>
      </c>
      <c r="D1283" s="41" t="str">
        <f>IF(Agent07_Loans!B95="","",Agent07_Loans!D95)</f>
        <v/>
      </c>
      <c r="E1283" s="43" t="str">
        <f>IF(Agent07_Loans!B95="","",Agent07_Loans!E95)</f>
        <v/>
      </c>
      <c r="F1283" s="40" t="str">
        <f>IF(Agent07_Loans!B95="","",Agent07_Loans!F95)</f>
        <v/>
      </c>
      <c r="G1283" s="40" t="str">
        <f>IF(Agent07_Loans!B95="","",Agent07_Loans!G95)</f>
        <v/>
      </c>
      <c r="H1283" s="40" t="str">
        <f>IF(Agent07_Loans!B95="","",Agent07_Loans!H95)</f>
        <v/>
      </c>
      <c r="I1283" s="43" t="str">
        <f>IF(Agent07_Loans!B95="","",Agent07_Loans!I95)</f>
        <v/>
      </c>
      <c r="J1283" s="43" t="str">
        <f>IF(Agent07_Loans!B95="","",Agent07_Loans!J95)</f>
        <v/>
      </c>
      <c r="K1283" s="40" t="str">
        <f>IF(Agent07_Loans!B95="","",Agent07_Loans!K95)</f>
        <v/>
      </c>
      <c r="L1283" s="40" t="str">
        <f>IF(Agent07_Loans!B95="","",Agent07_Loans!L95)</f>
        <v/>
      </c>
      <c r="M1283" s="40" t="str">
        <f>IFERROR(IF(Agent07_Loans!B95="","",YEAR(Agent07_Loans!D95)),"")</f>
        <v/>
      </c>
    </row>
    <row r="1284" spans="1:13" ht="18" customHeight="1" x14ac:dyDescent="0.25">
      <c r="A1284" s="40" t="str">
        <f>IF(Agent07_Loans!B96="","",Agent07_Loans!A96)</f>
        <v/>
      </c>
      <c r="B1284" s="40" t="str">
        <f>IF(Agent07_Loans!B96="","",Agent07_Loans!B96)</f>
        <v/>
      </c>
      <c r="C1284" s="40" t="str">
        <f>IF(Agent07_Loans!B96="","",Agent07_Loans!C96)</f>
        <v/>
      </c>
      <c r="D1284" s="41" t="str">
        <f>IF(Agent07_Loans!B96="","",Agent07_Loans!D96)</f>
        <v/>
      </c>
      <c r="E1284" s="43" t="str">
        <f>IF(Agent07_Loans!B96="","",Agent07_Loans!E96)</f>
        <v/>
      </c>
      <c r="F1284" s="40" t="str">
        <f>IF(Agent07_Loans!B96="","",Agent07_Loans!F96)</f>
        <v/>
      </c>
      <c r="G1284" s="40" t="str">
        <f>IF(Agent07_Loans!B96="","",Agent07_Loans!G96)</f>
        <v/>
      </c>
      <c r="H1284" s="40" t="str">
        <f>IF(Agent07_Loans!B96="","",Agent07_Loans!H96)</f>
        <v/>
      </c>
      <c r="I1284" s="43" t="str">
        <f>IF(Agent07_Loans!B96="","",Agent07_Loans!I96)</f>
        <v/>
      </c>
      <c r="J1284" s="43" t="str">
        <f>IF(Agent07_Loans!B96="","",Agent07_Loans!J96)</f>
        <v/>
      </c>
      <c r="K1284" s="40" t="str">
        <f>IF(Agent07_Loans!B96="","",Agent07_Loans!K96)</f>
        <v/>
      </c>
      <c r="L1284" s="40" t="str">
        <f>IF(Agent07_Loans!B96="","",Agent07_Loans!L96)</f>
        <v/>
      </c>
      <c r="M1284" s="40" t="str">
        <f>IFERROR(IF(Agent07_Loans!B96="","",YEAR(Agent07_Loans!D96)),"")</f>
        <v/>
      </c>
    </row>
    <row r="1285" spans="1:13" ht="18" customHeight="1" x14ac:dyDescent="0.25">
      <c r="A1285" s="40" t="str">
        <f>IF(Agent07_Loans!B97="","",Agent07_Loans!A97)</f>
        <v/>
      </c>
      <c r="B1285" s="40" t="str">
        <f>IF(Agent07_Loans!B97="","",Agent07_Loans!B97)</f>
        <v/>
      </c>
      <c r="C1285" s="40" t="str">
        <f>IF(Agent07_Loans!B97="","",Agent07_Loans!C97)</f>
        <v/>
      </c>
      <c r="D1285" s="41" t="str">
        <f>IF(Agent07_Loans!B97="","",Agent07_Loans!D97)</f>
        <v/>
      </c>
      <c r="E1285" s="43" t="str">
        <f>IF(Agent07_Loans!B97="","",Agent07_Loans!E97)</f>
        <v/>
      </c>
      <c r="F1285" s="40" t="str">
        <f>IF(Agent07_Loans!B97="","",Agent07_Loans!F97)</f>
        <v/>
      </c>
      <c r="G1285" s="40" t="str">
        <f>IF(Agent07_Loans!B97="","",Agent07_Loans!G97)</f>
        <v/>
      </c>
      <c r="H1285" s="40" t="str">
        <f>IF(Agent07_Loans!B97="","",Agent07_Loans!H97)</f>
        <v/>
      </c>
      <c r="I1285" s="43" t="str">
        <f>IF(Agent07_Loans!B97="","",Agent07_Loans!I97)</f>
        <v/>
      </c>
      <c r="J1285" s="43" t="str">
        <f>IF(Agent07_Loans!B97="","",Agent07_Loans!J97)</f>
        <v/>
      </c>
      <c r="K1285" s="40" t="str">
        <f>IF(Agent07_Loans!B97="","",Agent07_Loans!K97)</f>
        <v/>
      </c>
      <c r="L1285" s="40" t="str">
        <f>IF(Agent07_Loans!B97="","",Agent07_Loans!L97)</f>
        <v/>
      </c>
      <c r="M1285" s="40" t="str">
        <f>IFERROR(IF(Agent07_Loans!B97="","",YEAR(Agent07_Loans!D97)),"")</f>
        <v/>
      </c>
    </row>
    <row r="1286" spans="1:13" ht="18" customHeight="1" x14ac:dyDescent="0.25">
      <c r="A1286" s="40" t="str">
        <f>IF(Agent07_Loans!B98="","",Agent07_Loans!A98)</f>
        <v/>
      </c>
      <c r="B1286" s="40" t="str">
        <f>IF(Agent07_Loans!B98="","",Agent07_Loans!B98)</f>
        <v/>
      </c>
      <c r="C1286" s="40" t="str">
        <f>IF(Agent07_Loans!B98="","",Agent07_Loans!C98)</f>
        <v/>
      </c>
      <c r="D1286" s="41" t="str">
        <f>IF(Agent07_Loans!B98="","",Agent07_Loans!D98)</f>
        <v/>
      </c>
      <c r="E1286" s="43" t="str">
        <f>IF(Agent07_Loans!B98="","",Agent07_Loans!E98)</f>
        <v/>
      </c>
      <c r="F1286" s="40" t="str">
        <f>IF(Agent07_Loans!B98="","",Agent07_Loans!F98)</f>
        <v/>
      </c>
      <c r="G1286" s="40" t="str">
        <f>IF(Agent07_Loans!B98="","",Agent07_Loans!G98)</f>
        <v/>
      </c>
      <c r="H1286" s="40" t="str">
        <f>IF(Agent07_Loans!B98="","",Agent07_Loans!H98)</f>
        <v/>
      </c>
      <c r="I1286" s="43" t="str">
        <f>IF(Agent07_Loans!B98="","",Agent07_Loans!I98)</f>
        <v/>
      </c>
      <c r="J1286" s="43" t="str">
        <f>IF(Agent07_Loans!B98="","",Agent07_Loans!J98)</f>
        <v/>
      </c>
      <c r="K1286" s="40" t="str">
        <f>IF(Agent07_Loans!B98="","",Agent07_Loans!K98)</f>
        <v/>
      </c>
      <c r="L1286" s="40" t="str">
        <f>IF(Agent07_Loans!B98="","",Agent07_Loans!L98)</f>
        <v/>
      </c>
      <c r="M1286" s="40" t="str">
        <f>IFERROR(IF(Agent07_Loans!B98="","",YEAR(Agent07_Loans!D98)),"")</f>
        <v/>
      </c>
    </row>
    <row r="1287" spans="1:13" ht="18" customHeight="1" x14ac:dyDescent="0.25">
      <c r="A1287" s="40" t="str">
        <f>IF(Agent07_Loans!B99="","",Agent07_Loans!A99)</f>
        <v/>
      </c>
      <c r="B1287" s="40" t="str">
        <f>IF(Agent07_Loans!B99="","",Agent07_Loans!B99)</f>
        <v/>
      </c>
      <c r="C1287" s="40" t="str">
        <f>IF(Agent07_Loans!B99="","",Agent07_Loans!C99)</f>
        <v/>
      </c>
      <c r="D1287" s="41" t="str">
        <f>IF(Agent07_Loans!B99="","",Agent07_Loans!D99)</f>
        <v/>
      </c>
      <c r="E1287" s="43" t="str">
        <f>IF(Agent07_Loans!B99="","",Agent07_Loans!E99)</f>
        <v/>
      </c>
      <c r="F1287" s="40" t="str">
        <f>IF(Agent07_Loans!B99="","",Agent07_Loans!F99)</f>
        <v/>
      </c>
      <c r="G1287" s="40" t="str">
        <f>IF(Agent07_Loans!B99="","",Agent07_Loans!G99)</f>
        <v/>
      </c>
      <c r="H1287" s="40" t="str">
        <f>IF(Agent07_Loans!B99="","",Agent07_Loans!H99)</f>
        <v/>
      </c>
      <c r="I1287" s="43" t="str">
        <f>IF(Agent07_Loans!B99="","",Agent07_Loans!I99)</f>
        <v/>
      </c>
      <c r="J1287" s="43" t="str">
        <f>IF(Agent07_Loans!B99="","",Agent07_Loans!J99)</f>
        <v/>
      </c>
      <c r="K1287" s="40" t="str">
        <f>IF(Agent07_Loans!B99="","",Agent07_Loans!K99)</f>
        <v/>
      </c>
      <c r="L1287" s="40" t="str">
        <f>IF(Agent07_Loans!B99="","",Agent07_Loans!L99)</f>
        <v/>
      </c>
      <c r="M1287" s="40" t="str">
        <f>IFERROR(IF(Agent07_Loans!B99="","",YEAR(Agent07_Loans!D99)),"")</f>
        <v/>
      </c>
    </row>
    <row r="1288" spans="1:13" ht="18" customHeight="1" x14ac:dyDescent="0.25">
      <c r="A1288" s="40" t="str">
        <f>IF(Agent07_Loans!B100="","",Agent07_Loans!A100)</f>
        <v/>
      </c>
      <c r="B1288" s="40" t="str">
        <f>IF(Agent07_Loans!B100="","",Agent07_Loans!B100)</f>
        <v/>
      </c>
      <c r="C1288" s="40" t="str">
        <f>IF(Agent07_Loans!B100="","",Agent07_Loans!C100)</f>
        <v/>
      </c>
      <c r="D1288" s="41" t="str">
        <f>IF(Agent07_Loans!B100="","",Agent07_Loans!D100)</f>
        <v/>
      </c>
      <c r="E1288" s="43" t="str">
        <f>IF(Agent07_Loans!B100="","",Agent07_Loans!E100)</f>
        <v/>
      </c>
      <c r="F1288" s="40" t="str">
        <f>IF(Agent07_Loans!B100="","",Agent07_Loans!F100)</f>
        <v/>
      </c>
      <c r="G1288" s="40" t="str">
        <f>IF(Agent07_Loans!B100="","",Agent07_Loans!G100)</f>
        <v/>
      </c>
      <c r="H1288" s="40" t="str">
        <f>IF(Agent07_Loans!B100="","",Agent07_Loans!H100)</f>
        <v/>
      </c>
      <c r="I1288" s="43" t="str">
        <f>IF(Agent07_Loans!B100="","",Agent07_Loans!I100)</f>
        <v/>
      </c>
      <c r="J1288" s="43" t="str">
        <f>IF(Agent07_Loans!B100="","",Agent07_Loans!J100)</f>
        <v/>
      </c>
      <c r="K1288" s="40" t="str">
        <f>IF(Agent07_Loans!B100="","",Agent07_Loans!K100)</f>
        <v/>
      </c>
      <c r="L1288" s="40" t="str">
        <f>IF(Agent07_Loans!B100="","",Agent07_Loans!L100)</f>
        <v/>
      </c>
      <c r="M1288" s="40" t="str">
        <f>IFERROR(IF(Agent07_Loans!B100="","",YEAR(Agent07_Loans!D100)),"")</f>
        <v/>
      </c>
    </row>
    <row r="1289" spans="1:13" ht="18" customHeight="1" x14ac:dyDescent="0.25">
      <c r="A1289" s="40" t="str">
        <f>IF(Agent07_Loans!B101="","",Agent07_Loans!A101)</f>
        <v/>
      </c>
      <c r="B1289" s="40" t="str">
        <f>IF(Agent07_Loans!B101="","",Agent07_Loans!B101)</f>
        <v/>
      </c>
      <c r="C1289" s="40" t="str">
        <f>IF(Agent07_Loans!B101="","",Agent07_Loans!C101)</f>
        <v/>
      </c>
      <c r="D1289" s="41" t="str">
        <f>IF(Agent07_Loans!B101="","",Agent07_Loans!D101)</f>
        <v/>
      </c>
      <c r="E1289" s="43" t="str">
        <f>IF(Agent07_Loans!B101="","",Agent07_Loans!E101)</f>
        <v/>
      </c>
      <c r="F1289" s="40" t="str">
        <f>IF(Agent07_Loans!B101="","",Agent07_Loans!F101)</f>
        <v/>
      </c>
      <c r="G1289" s="40" t="str">
        <f>IF(Agent07_Loans!B101="","",Agent07_Loans!G101)</f>
        <v/>
      </c>
      <c r="H1289" s="40" t="str">
        <f>IF(Agent07_Loans!B101="","",Agent07_Loans!H101)</f>
        <v/>
      </c>
      <c r="I1289" s="43" t="str">
        <f>IF(Agent07_Loans!B101="","",Agent07_Loans!I101)</f>
        <v/>
      </c>
      <c r="J1289" s="43" t="str">
        <f>IF(Agent07_Loans!B101="","",Agent07_Loans!J101)</f>
        <v/>
      </c>
      <c r="K1289" s="40" t="str">
        <f>IF(Agent07_Loans!B101="","",Agent07_Loans!K101)</f>
        <v/>
      </c>
      <c r="L1289" s="40" t="str">
        <f>IF(Agent07_Loans!B101="","",Agent07_Loans!L101)</f>
        <v/>
      </c>
      <c r="M1289" s="40" t="str">
        <f>IFERROR(IF(Agent07_Loans!B101="","",YEAR(Agent07_Loans!D101)),"")</f>
        <v/>
      </c>
    </row>
    <row r="1290" spans="1:13" ht="18" customHeight="1" x14ac:dyDescent="0.25">
      <c r="A1290" s="40" t="str">
        <f>IF(Agent07_Loans!B102="","",Agent07_Loans!A102)</f>
        <v/>
      </c>
      <c r="B1290" s="40" t="str">
        <f>IF(Agent07_Loans!B102="","",Agent07_Loans!B102)</f>
        <v/>
      </c>
      <c r="C1290" s="40" t="str">
        <f>IF(Agent07_Loans!B102="","",Agent07_Loans!C102)</f>
        <v/>
      </c>
      <c r="D1290" s="41" t="str">
        <f>IF(Agent07_Loans!B102="","",Agent07_Loans!D102)</f>
        <v/>
      </c>
      <c r="E1290" s="43" t="str">
        <f>IF(Agent07_Loans!B102="","",Agent07_Loans!E102)</f>
        <v/>
      </c>
      <c r="F1290" s="40" t="str">
        <f>IF(Agent07_Loans!B102="","",Agent07_Loans!F102)</f>
        <v/>
      </c>
      <c r="G1290" s="40" t="str">
        <f>IF(Agent07_Loans!B102="","",Agent07_Loans!G102)</f>
        <v/>
      </c>
      <c r="H1290" s="40" t="str">
        <f>IF(Agent07_Loans!B102="","",Agent07_Loans!H102)</f>
        <v/>
      </c>
      <c r="I1290" s="43" t="str">
        <f>IF(Agent07_Loans!B102="","",Agent07_Loans!I102)</f>
        <v/>
      </c>
      <c r="J1290" s="43" t="str">
        <f>IF(Agent07_Loans!B102="","",Agent07_Loans!J102)</f>
        <v/>
      </c>
      <c r="K1290" s="40" t="str">
        <f>IF(Agent07_Loans!B102="","",Agent07_Loans!K102)</f>
        <v/>
      </c>
      <c r="L1290" s="40" t="str">
        <f>IF(Agent07_Loans!B102="","",Agent07_Loans!L102)</f>
        <v/>
      </c>
      <c r="M1290" s="40" t="str">
        <f>IFERROR(IF(Agent07_Loans!B102="","",YEAR(Agent07_Loans!D102)),"")</f>
        <v/>
      </c>
    </row>
    <row r="1291" spans="1:13" ht="18" customHeight="1" x14ac:dyDescent="0.25">
      <c r="A1291" s="40" t="str">
        <f>IF(Agent07_Loans!B103="","",Agent07_Loans!A103)</f>
        <v/>
      </c>
      <c r="B1291" s="40" t="str">
        <f>IF(Agent07_Loans!B103="","",Agent07_Loans!B103)</f>
        <v/>
      </c>
      <c r="C1291" s="40" t="str">
        <f>IF(Agent07_Loans!B103="","",Agent07_Loans!C103)</f>
        <v/>
      </c>
      <c r="D1291" s="41" t="str">
        <f>IF(Agent07_Loans!B103="","",Agent07_Loans!D103)</f>
        <v/>
      </c>
      <c r="E1291" s="43" t="str">
        <f>IF(Agent07_Loans!B103="","",Agent07_Loans!E103)</f>
        <v/>
      </c>
      <c r="F1291" s="40" t="str">
        <f>IF(Agent07_Loans!B103="","",Agent07_Loans!F103)</f>
        <v/>
      </c>
      <c r="G1291" s="40" t="str">
        <f>IF(Agent07_Loans!B103="","",Agent07_Loans!G103)</f>
        <v/>
      </c>
      <c r="H1291" s="40" t="str">
        <f>IF(Agent07_Loans!B103="","",Agent07_Loans!H103)</f>
        <v/>
      </c>
      <c r="I1291" s="43" t="str">
        <f>IF(Agent07_Loans!B103="","",Agent07_Loans!I103)</f>
        <v/>
      </c>
      <c r="J1291" s="43" t="str">
        <f>IF(Agent07_Loans!B103="","",Agent07_Loans!J103)</f>
        <v/>
      </c>
      <c r="K1291" s="40" t="str">
        <f>IF(Agent07_Loans!B103="","",Agent07_Loans!K103)</f>
        <v/>
      </c>
      <c r="L1291" s="40" t="str">
        <f>IF(Agent07_Loans!B103="","",Agent07_Loans!L103)</f>
        <v/>
      </c>
      <c r="M1291" s="40" t="str">
        <f>IFERROR(IF(Agent07_Loans!B103="","",YEAR(Agent07_Loans!D103)),"")</f>
        <v/>
      </c>
    </row>
    <row r="1292" spans="1:13" ht="18" customHeight="1" x14ac:dyDescent="0.25">
      <c r="A1292" s="40" t="str">
        <f>IF(Agent07_Loans!B104="","",Agent07_Loans!A104)</f>
        <v/>
      </c>
      <c r="B1292" s="40" t="str">
        <f>IF(Agent07_Loans!B104="","",Agent07_Loans!B104)</f>
        <v/>
      </c>
      <c r="C1292" s="40" t="str">
        <f>IF(Agent07_Loans!B104="","",Agent07_Loans!C104)</f>
        <v/>
      </c>
      <c r="D1292" s="41" t="str">
        <f>IF(Agent07_Loans!B104="","",Agent07_Loans!D104)</f>
        <v/>
      </c>
      <c r="E1292" s="43" t="str">
        <f>IF(Agent07_Loans!B104="","",Agent07_Loans!E104)</f>
        <v/>
      </c>
      <c r="F1292" s="40" t="str">
        <f>IF(Agent07_Loans!B104="","",Agent07_Loans!F104)</f>
        <v/>
      </c>
      <c r="G1292" s="40" t="str">
        <f>IF(Agent07_Loans!B104="","",Agent07_Loans!G104)</f>
        <v/>
      </c>
      <c r="H1292" s="40" t="str">
        <f>IF(Agent07_Loans!B104="","",Agent07_Loans!H104)</f>
        <v/>
      </c>
      <c r="I1292" s="43" t="str">
        <f>IF(Agent07_Loans!B104="","",Agent07_Loans!I104)</f>
        <v/>
      </c>
      <c r="J1292" s="43" t="str">
        <f>IF(Agent07_Loans!B104="","",Agent07_Loans!J104)</f>
        <v/>
      </c>
      <c r="K1292" s="40" t="str">
        <f>IF(Agent07_Loans!B104="","",Agent07_Loans!K104)</f>
        <v/>
      </c>
      <c r="L1292" s="40" t="str">
        <f>IF(Agent07_Loans!B104="","",Agent07_Loans!L104)</f>
        <v/>
      </c>
      <c r="M1292" s="40" t="str">
        <f>IFERROR(IF(Agent07_Loans!B104="","",YEAR(Agent07_Loans!D104)),"")</f>
        <v/>
      </c>
    </row>
    <row r="1293" spans="1:13" ht="18" customHeight="1" x14ac:dyDescent="0.25">
      <c r="A1293" s="40" t="str">
        <f>IF(Agent07_Loans!B105="","",Agent07_Loans!A105)</f>
        <v/>
      </c>
      <c r="B1293" s="40" t="str">
        <f>IF(Agent07_Loans!B105="","",Agent07_Loans!B105)</f>
        <v/>
      </c>
      <c r="C1293" s="40" t="str">
        <f>IF(Agent07_Loans!B105="","",Agent07_Loans!C105)</f>
        <v/>
      </c>
      <c r="D1293" s="41" t="str">
        <f>IF(Agent07_Loans!B105="","",Agent07_Loans!D105)</f>
        <v/>
      </c>
      <c r="E1293" s="43" t="str">
        <f>IF(Agent07_Loans!B105="","",Agent07_Loans!E105)</f>
        <v/>
      </c>
      <c r="F1293" s="40" t="str">
        <f>IF(Agent07_Loans!B105="","",Agent07_Loans!F105)</f>
        <v/>
      </c>
      <c r="G1293" s="40" t="str">
        <f>IF(Agent07_Loans!B105="","",Agent07_Loans!G105)</f>
        <v/>
      </c>
      <c r="H1293" s="40" t="str">
        <f>IF(Agent07_Loans!B105="","",Agent07_Loans!H105)</f>
        <v/>
      </c>
      <c r="I1293" s="43" t="str">
        <f>IF(Agent07_Loans!B105="","",Agent07_Loans!I105)</f>
        <v/>
      </c>
      <c r="J1293" s="43" t="str">
        <f>IF(Agent07_Loans!B105="","",Agent07_Loans!J105)</f>
        <v/>
      </c>
      <c r="K1293" s="40" t="str">
        <f>IF(Agent07_Loans!B105="","",Agent07_Loans!K105)</f>
        <v/>
      </c>
      <c r="L1293" s="40" t="str">
        <f>IF(Agent07_Loans!B105="","",Agent07_Loans!L105)</f>
        <v/>
      </c>
      <c r="M1293" s="40" t="str">
        <f>IFERROR(IF(Agent07_Loans!B105="","",YEAR(Agent07_Loans!D105)),"")</f>
        <v/>
      </c>
    </row>
    <row r="1294" spans="1:13" ht="18" customHeight="1" x14ac:dyDescent="0.25">
      <c r="A1294" s="40" t="str">
        <f>IF(Agent07_Loans!B106="","",Agent07_Loans!A106)</f>
        <v/>
      </c>
      <c r="B1294" s="40" t="str">
        <f>IF(Agent07_Loans!B106="","",Agent07_Loans!B106)</f>
        <v/>
      </c>
      <c r="C1294" s="40" t="str">
        <f>IF(Agent07_Loans!B106="","",Agent07_Loans!C106)</f>
        <v/>
      </c>
      <c r="D1294" s="41" t="str">
        <f>IF(Agent07_Loans!B106="","",Agent07_Loans!D106)</f>
        <v/>
      </c>
      <c r="E1294" s="43" t="str">
        <f>IF(Agent07_Loans!B106="","",Agent07_Loans!E106)</f>
        <v/>
      </c>
      <c r="F1294" s="40" t="str">
        <f>IF(Agent07_Loans!B106="","",Agent07_Loans!F106)</f>
        <v/>
      </c>
      <c r="G1294" s="40" t="str">
        <f>IF(Agent07_Loans!B106="","",Agent07_Loans!G106)</f>
        <v/>
      </c>
      <c r="H1294" s="40" t="str">
        <f>IF(Agent07_Loans!B106="","",Agent07_Loans!H106)</f>
        <v/>
      </c>
      <c r="I1294" s="43" t="str">
        <f>IF(Agent07_Loans!B106="","",Agent07_Loans!I106)</f>
        <v/>
      </c>
      <c r="J1294" s="43" t="str">
        <f>IF(Agent07_Loans!B106="","",Agent07_Loans!J106)</f>
        <v/>
      </c>
      <c r="K1294" s="40" t="str">
        <f>IF(Agent07_Loans!B106="","",Agent07_Loans!K106)</f>
        <v/>
      </c>
      <c r="L1294" s="40" t="str">
        <f>IF(Agent07_Loans!B106="","",Agent07_Loans!L106)</f>
        <v/>
      </c>
      <c r="M1294" s="40" t="str">
        <f>IFERROR(IF(Agent07_Loans!B106="","",YEAR(Agent07_Loans!D106)),"")</f>
        <v/>
      </c>
    </row>
    <row r="1295" spans="1:13" ht="18" customHeight="1" x14ac:dyDescent="0.25">
      <c r="A1295" s="40" t="str">
        <f>IF(Agent07_Loans!B107="","",Agent07_Loans!A107)</f>
        <v/>
      </c>
      <c r="B1295" s="40" t="str">
        <f>IF(Agent07_Loans!B107="","",Agent07_Loans!B107)</f>
        <v/>
      </c>
      <c r="C1295" s="40" t="str">
        <f>IF(Agent07_Loans!B107="","",Agent07_Loans!C107)</f>
        <v/>
      </c>
      <c r="D1295" s="41" t="str">
        <f>IF(Agent07_Loans!B107="","",Agent07_Loans!D107)</f>
        <v/>
      </c>
      <c r="E1295" s="43" t="str">
        <f>IF(Agent07_Loans!B107="","",Agent07_Loans!E107)</f>
        <v/>
      </c>
      <c r="F1295" s="40" t="str">
        <f>IF(Agent07_Loans!B107="","",Agent07_Loans!F107)</f>
        <v/>
      </c>
      <c r="G1295" s="40" t="str">
        <f>IF(Agent07_Loans!B107="","",Agent07_Loans!G107)</f>
        <v/>
      </c>
      <c r="H1295" s="40" t="str">
        <f>IF(Agent07_Loans!B107="","",Agent07_Loans!H107)</f>
        <v/>
      </c>
      <c r="I1295" s="43" t="str">
        <f>IF(Agent07_Loans!B107="","",Agent07_Loans!I107)</f>
        <v/>
      </c>
      <c r="J1295" s="43" t="str">
        <f>IF(Agent07_Loans!B107="","",Agent07_Loans!J107)</f>
        <v/>
      </c>
      <c r="K1295" s="40" t="str">
        <f>IF(Agent07_Loans!B107="","",Agent07_Loans!K107)</f>
        <v/>
      </c>
      <c r="L1295" s="40" t="str">
        <f>IF(Agent07_Loans!B107="","",Agent07_Loans!L107)</f>
        <v/>
      </c>
      <c r="M1295" s="40" t="str">
        <f>IFERROR(IF(Agent07_Loans!B107="","",YEAR(Agent07_Loans!D107)),"")</f>
        <v/>
      </c>
    </row>
    <row r="1296" spans="1:13" ht="18" customHeight="1" x14ac:dyDescent="0.25">
      <c r="A1296" s="40" t="str">
        <f>IF(Agent07_Loans!B108="","",Agent07_Loans!A108)</f>
        <v/>
      </c>
      <c r="B1296" s="40" t="str">
        <f>IF(Agent07_Loans!B108="","",Agent07_Loans!B108)</f>
        <v/>
      </c>
      <c r="C1296" s="40" t="str">
        <f>IF(Agent07_Loans!B108="","",Agent07_Loans!C108)</f>
        <v/>
      </c>
      <c r="D1296" s="41" t="str">
        <f>IF(Agent07_Loans!B108="","",Agent07_Loans!D108)</f>
        <v/>
      </c>
      <c r="E1296" s="43" t="str">
        <f>IF(Agent07_Loans!B108="","",Agent07_Loans!E108)</f>
        <v/>
      </c>
      <c r="F1296" s="40" t="str">
        <f>IF(Agent07_Loans!B108="","",Agent07_Loans!F108)</f>
        <v/>
      </c>
      <c r="G1296" s="40" t="str">
        <f>IF(Agent07_Loans!B108="","",Agent07_Loans!G108)</f>
        <v/>
      </c>
      <c r="H1296" s="40" t="str">
        <f>IF(Agent07_Loans!B108="","",Agent07_Loans!H108)</f>
        <v/>
      </c>
      <c r="I1296" s="43" t="str">
        <f>IF(Agent07_Loans!B108="","",Agent07_Loans!I108)</f>
        <v/>
      </c>
      <c r="J1296" s="43" t="str">
        <f>IF(Agent07_Loans!B108="","",Agent07_Loans!J108)</f>
        <v/>
      </c>
      <c r="K1296" s="40" t="str">
        <f>IF(Agent07_Loans!B108="","",Agent07_Loans!K108)</f>
        <v/>
      </c>
      <c r="L1296" s="40" t="str">
        <f>IF(Agent07_Loans!B108="","",Agent07_Loans!L108)</f>
        <v/>
      </c>
      <c r="M1296" s="40" t="str">
        <f>IFERROR(IF(Agent07_Loans!B108="","",YEAR(Agent07_Loans!D108)),"")</f>
        <v/>
      </c>
    </row>
    <row r="1297" spans="1:13" ht="18" customHeight="1" x14ac:dyDescent="0.25">
      <c r="A1297" s="40" t="str">
        <f>IF(Agent07_Loans!B109="","",Agent07_Loans!A109)</f>
        <v/>
      </c>
      <c r="B1297" s="40" t="str">
        <f>IF(Agent07_Loans!B109="","",Agent07_Loans!B109)</f>
        <v/>
      </c>
      <c r="C1297" s="40" t="str">
        <f>IF(Agent07_Loans!B109="","",Agent07_Loans!C109)</f>
        <v/>
      </c>
      <c r="D1297" s="41" t="str">
        <f>IF(Agent07_Loans!B109="","",Agent07_Loans!D109)</f>
        <v/>
      </c>
      <c r="E1297" s="43" t="str">
        <f>IF(Agent07_Loans!B109="","",Agent07_Loans!E109)</f>
        <v/>
      </c>
      <c r="F1297" s="40" t="str">
        <f>IF(Agent07_Loans!B109="","",Agent07_Loans!F109)</f>
        <v/>
      </c>
      <c r="G1297" s="40" t="str">
        <f>IF(Agent07_Loans!B109="","",Agent07_Loans!G109)</f>
        <v/>
      </c>
      <c r="H1297" s="40" t="str">
        <f>IF(Agent07_Loans!B109="","",Agent07_Loans!H109)</f>
        <v/>
      </c>
      <c r="I1297" s="43" t="str">
        <f>IF(Agent07_Loans!B109="","",Agent07_Loans!I109)</f>
        <v/>
      </c>
      <c r="J1297" s="43" t="str">
        <f>IF(Agent07_Loans!B109="","",Agent07_Loans!J109)</f>
        <v/>
      </c>
      <c r="K1297" s="40" t="str">
        <f>IF(Agent07_Loans!B109="","",Agent07_Loans!K109)</f>
        <v/>
      </c>
      <c r="L1297" s="40" t="str">
        <f>IF(Agent07_Loans!B109="","",Agent07_Loans!L109)</f>
        <v/>
      </c>
      <c r="M1297" s="40" t="str">
        <f>IFERROR(IF(Agent07_Loans!B109="","",YEAR(Agent07_Loans!D109)),"")</f>
        <v/>
      </c>
    </row>
    <row r="1298" spans="1:13" ht="18" customHeight="1" x14ac:dyDescent="0.25">
      <c r="A1298" s="40" t="str">
        <f>IF(Agent07_Loans!B110="","",Agent07_Loans!A110)</f>
        <v/>
      </c>
      <c r="B1298" s="40" t="str">
        <f>IF(Agent07_Loans!B110="","",Agent07_Loans!B110)</f>
        <v/>
      </c>
      <c r="C1298" s="40" t="str">
        <f>IF(Agent07_Loans!B110="","",Agent07_Loans!C110)</f>
        <v/>
      </c>
      <c r="D1298" s="41" t="str">
        <f>IF(Agent07_Loans!B110="","",Agent07_Loans!D110)</f>
        <v/>
      </c>
      <c r="E1298" s="43" t="str">
        <f>IF(Agent07_Loans!B110="","",Agent07_Loans!E110)</f>
        <v/>
      </c>
      <c r="F1298" s="40" t="str">
        <f>IF(Agent07_Loans!B110="","",Agent07_Loans!F110)</f>
        <v/>
      </c>
      <c r="G1298" s="40" t="str">
        <f>IF(Agent07_Loans!B110="","",Agent07_Loans!G110)</f>
        <v/>
      </c>
      <c r="H1298" s="40" t="str">
        <f>IF(Agent07_Loans!B110="","",Agent07_Loans!H110)</f>
        <v/>
      </c>
      <c r="I1298" s="43" t="str">
        <f>IF(Agent07_Loans!B110="","",Agent07_Loans!I110)</f>
        <v/>
      </c>
      <c r="J1298" s="43" t="str">
        <f>IF(Agent07_Loans!B110="","",Agent07_Loans!J110)</f>
        <v/>
      </c>
      <c r="K1298" s="40" t="str">
        <f>IF(Agent07_Loans!B110="","",Agent07_Loans!K110)</f>
        <v/>
      </c>
      <c r="L1298" s="40" t="str">
        <f>IF(Agent07_Loans!B110="","",Agent07_Loans!L110)</f>
        <v/>
      </c>
      <c r="M1298" s="40" t="str">
        <f>IFERROR(IF(Agent07_Loans!B110="","",YEAR(Agent07_Loans!D110)),"")</f>
        <v/>
      </c>
    </row>
    <row r="1299" spans="1:13" ht="18" customHeight="1" x14ac:dyDescent="0.25">
      <c r="A1299" s="40" t="str">
        <f>IF(Agent07_Loans!B111="","",Agent07_Loans!A111)</f>
        <v/>
      </c>
      <c r="B1299" s="40" t="str">
        <f>IF(Agent07_Loans!B111="","",Agent07_Loans!B111)</f>
        <v/>
      </c>
      <c r="C1299" s="40" t="str">
        <f>IF(Agent07_Loans!B111="","",Agent07_Loans!C111)</f>
        <v/>
      </c>
      <c r="D1299" s="41" t="str">
        <f>IF(Agent07_Loans!B111="","",Agent07_Loans!D111)</f>
        <v/>
      </c>
      <c r="E1299" s="43" t="str">
        <f>IF(Agent07_Loans!B111="","",Agent07_Loans!E111)</f>
        <v/>
      </c>
      <c r="F1299" s="40" t="str">
        <f>IF(Agent07_Loans!B111="","",Agent07_Loans!F111)</f>
        <v/>
      </c>
      <c r="G1299" s="40" t="str">
        <f>IF(Agent07_Loans!B111="","",Agent07_Loans!G111)</f>
        <v/>
      </c>
      <c r="H1299" s="40" t="str">
        <f>IF(Agent07_Loans!B111="","",Agent07_Loans!H111)</f>
        <v/>
      </c>
      <c r="I1299" s="43" t="str">
        <f>IF(Agent07_Loans!B111="","",Agent07_Loans!I111)</f>
        <v/>
      </c>
      <c r="J1299" s="43" t="str">
        <f>IF(Agent07_Loans!B111="","",Agent07_Loans!J111)</f>
        <v/>
      </c>
      <c r="K1299" s="40" t="str">
        <f>IF(Agent07_Loans!B111="","",Agent07_Loans!K111)</f>
        <v/>
      </c>
      <c r="L1299" s="40" t="str">
        <f>IF(Agent07_Loans!B111="","",Agent07_Loans!L111)</f>
        <v/>
      </c>
      <c r="M1299" s="40" t="str">
        <f>IFERROR(IF(Agent07_Loans!B111="","",YEAR(Agent07_Loans!D111)),"")</f>
        <v/>
      </c>
    </row>
    <row r="1300" spans="1:13" ht="18" customHeight="1" x14ac:dyDescent="0.25">
      <c r="A1300" s="40" t="str">
        <f>IF(Agent07_Loans!B112="","",Agent07_Loans!A112)</f>
        <v/>
      </c>
      <c r="B1300" s="40" t="str">
        <f>IF(Agent07_Loans!B112="","",Agent07_Loans!B112)</f>
        <v/>
      </c>
      <c r="C1300" s="40" t="str">
        <f>IF(Agent07_Loans!B112="","",Agent07_Loans!C112)</f>
        <v/>
      </c>
      <c r="D1300" s="41" t="str">
        <f>IF(Agent07_Loans!B112="","",Agent07_Loans!D112)</f>
        <v/>
      </c>
      <c r="E1300" s="43" t="str">
        <f>IF(Agent07_Loans!B112="","",Agent07_Loans!E112)</f>
        <v/>
      </c>
      <c r="F1300" s="40" t="str">
        <f>IF(Agent07_Loans!B112="","",Agent07_Loans!F112)</f>
        <v/>
      </c>
      <c r="G1300" s="40" t="str">
        <f>IF(Agent07_Loans!B112="","",Agent07_Loans!G112)</f>
        <v/>
      </c>
      <c r="H1300" s="40" t="str">
        <f>IF(Agent07_Loans!B112="","",Agent07_Loans!H112)</f>
        <v/>
      </c>
      <c r="I1300" s="43" t="str">
        <f>IF(Agent07_Loans!B112="","",Agent07_Loans!I112)</f>
        <v/>
      </c>
      <c r="J1300" s="43" t="str">
        <f>IF(Agent07_Loans!B112="","",Agent07_Loans!J112)</f>
        <v/>
      </c>
      <c r="K1300" s="40" t="str">
        <f>IF(Agent07_Loans!B112="","",Agent07_Loans!K112)</f>
        <v/>
      </c>
      <c r="L1300" s="40" t="str">
        <f>IF(Agent07_Loans!B112="","",Agent07_Loans!L112)</f>
        <v/>
      </c>
      <c r="M1300" s="40" t="str">
        <f>IFERROR(IF(Agent07_Loans!B112="","",YEAR(Agent07_Loans!D112)),"")</f>
        <v/>
      </c>
    </row>
    <row r="1301" spans="1:13" ht="18" customHeight="1" x14ac:dyDescent="0.25">
      <c r="A1301" s="40" t="str">
        <f>IF(Agent07_Loans!B113="","",Agent07_Loans!A113)</f>
        <v/>
      </c>
      <c r="B1301" s="40" t="str">
        <f>IF(Agent07_Loans!B113="","",Agent07_Loans!B113)</f>
        <v/>
      </c>
      <c r="C1301" s="40" t="str">
        <f>IF(Agent07_Loans!B113="","",Agent07_Loans!C113)</f>
        <v/>
      </c>
      <c r="D1301" s="41" t="str">
        <f>IF(Agent07_Loans!B113="","",Agent07_Loans!D113)</f>
        <v/>
      </c>
      <c r="E1301" s="43" t="str">
        <f>IF(Agent07_Loans!B113="","",Agent07_Loans!E113)</f>
        <v/>
      </c>
      <c r="F1301" s="40" t="str">
        <f>IF(Agent07_Loans!B113="","",Agent07_Loans!F113)</f>
        <v/>
      </c>
      <c r="G1301" s="40" t="str">
        <f>IF(Agent07_Loans!B113="","",Agent07_Loans!G113)</f>
        <v/>
      </c>
      <c r="H1301" s="40" t="str">
        <f>IF(Agent07_Loans!B113="","",Agent07_Loans!H113)</f>
        <v/>
      </c>
      <c r="I1301" s="43" t="str">
        <f>IF(Agent07_Loans!B113="","",Agent07_Loans!I113)</f>
        <v/>
      </c>
      <c r="J1301" s="43" t="str">
        <f>IF(Agent07_Loans!B113="","",Agent07_Loans!J113)</f>
        <v/>
      </c>
      <c r="K1301" s="40" t="str">
        <f>IF(Agent07_Loans!B113="","",Agent07_Loans!K113)</f>
        <v/>
      </c>
      <c r="L1301" s="40" t="str">
        <f>IF(Agent07_Loans!B113="","",Agent07_Loans!L113)</f>
        <v/>
      </c>
      <c r="M1301" s="40" t="str">
        <f>IFERROR(IF(Agent07_Loans!B113="","",YEAR(Agent07_Loans!D113)),"")</f>
        <v/>
      </c>
    </row>
    <row r="1302" spans="1:13" ht="18" customHeight="1" x14ac:dyDescent="0.25">
      <c r="A1302" s="40" t="str">
        <f>IF(Agent07_Loans!B114="","",Agent07_Loans!A114)</f>
        <v/>
      </c>
      <c r="B1302" s="40" t="str">
        <f>IF(Agent07_Loans!B114="","",Agent07_Loans!B114)</f>
        <v/>
      </c>
      <c r="C1302" s="40" t="str">
        <f>IF(Agent07_Loans!B114="","",Agent07_Loans!C114)</f>
        <v/>
      </c>
      <c r="D1302" s="41" t="str">
        <f>IF(Agent07_Loans!B114="","",Agent07_Loans!D114)</f>
        <v/>
      </c>
      <c r="E1302" s="43" t="str">
        <f>IF(Agent07_Loans!B114="","",Agent07_Loans!E114)</f>
        <v/>
      </c>
      <c r="F1302" s="40" t="str">
        <f>IF(Agent07_Loans!B114="","",Agent07_Loans!F114)</f>
        <v/>
      </c>
      <c r="G1302" s="40" t="str">
        <f>IF(Agent07_Loans!B114="","",Agent07_Loans!G114)</f>
        <v/>
      </c>
      <c r="H1302" s="40" t="str">
        <f>IF(Agent07_Loans!B114="","",Agent07_Loans!H114)</f>
        <v/>
      </c>
      <c r="I1302" s="43" t="str">
        <f>IF(Agent07_Loans!B114="","",Agent07_Loans!I114)</f>
        <v/>
      </c>
      <c r="J1302" s="43" t="str">
        <f>IF(Agent07_Loans!B114="","",Agent07_Loans!J114)</f>
        <v/>
      </c>
      <c r="K1302" s="40" t="str">
        <f>IF(Agent07_Loans!B114="","",Agent07_Loans!K114)</f>
        <v/>
      </c>
      <c r="L1302" s="40" t="str">
        <f>IF(Agent07_Loans!B114="","",Agent07_Loans!L114)</f>
        <v/>
      </c>
      <c r="M1302" s="40" t="str">
        <f>IFERROR(IF(Agent07_Loans!B114="","",YEAR(Agent07_Loans!D114)),"")</f>
        <v/>
      </c>
    </row>
    <row r="1303" spans="1:13" ht="18" customHeight="1" x14ac:dyDescent="0.25">
      <c r="A1303" s="40" t="str">
        <f>IF(Agent07_Loans!B115="","",Agent07_Loans!A115)</f>
        <v/>
      </c>
      <c r="B1303" s="40" t="str">
        <f>IF(Agent07_Loans!B115="","",Agent07_Loans!B115)</f>
        <v/>
      </c>
      <c r="C1303" s="40" t="str">
        <f>IF(Agent07_Loans!B115="","",Agent07_Loans!C115)</f>
        <v/>
      </c>
      <c r="D1303" s="41" t="str">
        <f>IF(Agent07_Loans!B115="","",Agent07_Loans!D115)</f>
        <v/>
      </c>
      <c r="E1303" s="43" t="str">
        <f>IF(Agent07_Loans!B115="","",Agent07_Loans!E115)</f>
        <v/>
      </c>
      <c r="F1303" s="40" t="str">
        <f>IF(Agent07_Loans!B115="","",Agent07_Loans!F115)</f>
        <v/>
      </c>
      <c r="G1303" s="40" t="str">
        <f>IF(Agent07_Loans!B115="","",Agent07_Loans!G115)</f>
        <v/>
      </c>
      <c r="H1303" s="40" t="str">
        <f>IF(Agent07_Loans!B115="","",Agent07_Loans!H115)</f>
        <v/>
      </c>
      <c r="I1303" s="43" t="str">
        <f>IF(Agent07_Loans!B115="","",Agent07_Loans!I115)</f>
        <v/>
      </c>
      <c r="J1303" s="43" t="str">
        <f>IF(Agent07_Loans!B115="","",Agent07_Loans!J115)</f>
        <v/>
      </c>
      <c r="K1303" s="40" t="str">
        <f>IF(Agent07_Loans!B115="","",Agent07_Loans!K115)</f>
        <v/>
      </c>
      <c r="L1303" s="40" t="str">
        <f>IF(Agent07_Loans!B115="","",Agent07_Loans!L115)</f>
        <v/>
      </c>
      <c r="M1303" s="40" t="str">
        <f>IFERROR(IF(Agent07_Loans!B115="","",YEAR(Agent07_Loans!D115)),"")</f>
        <v/>
      </c>
    </row>
    <row r="1304" spans="1:13" ht="18" customHeight="1" x14ac:dyDescent="0.25">
      <c r="A1304" s="40" t="str">
        <f>IF(Agent07_Loans!B116="","",Agent07_Loans!A116)</f>
        <v/>
      </c>
      <c r="B1304" s="40" t="str">
        <f>IF(Agent07_Loans!B116="","",Agent07_Loans!B116)</f>
        <v/>
      </c>
      <c r="C1304" s="40" t="str">
        <f>IF(Agent07_Loans!B116="","",Agent07_Loans!C116)</f>
        <v/>
      </c>
      <c r="D1304" s="41" t="str">
        <f>IF(Agent07_Loans!B116="","",Agent07_Loans!D116)</f>
        <v/>
      </c>
      <c r="E1304" s="43" t="str">
        <f>IF(Agent07_Loans!B116="","",Agent07_Loans!E116)</f>
        <v/>
      </c>
      <c r="F1304" s="40" t="str">
        <f>IF(Agent07_Loans!B116="","",Agent07_Loans!F116)</f>
        <v/>
      </c>
      <c r="G1304" s="40" t="str">
        <f>IF(Agent07_Loans!B116="","",Agent07_Loans!G116)</f>
        <v/>
      </c>
      <c r="H1304" s="40" t="str">
        <f>IF(Agent07_Loans!B116="","",Agent07_Loans!H116)</f>
        <v/>
      </c>
      <c r="I1304" s="43" t="str">
        <f>IF(Agent07_Loans!B116="","",Agent07_Loans!I116)</f>
        <v/>
      </c>
      <c r="J1304" s="43" t="str">
        <f>IF(Agent07_Loans!B116="","",Agent07_Loans!J116)</f>
        <v/>
      </c>
      <c r="K1304" s="40" t="str">
        <f>IF(Agent07_Loans!B116="","",Agent07_Loans!K116)</f>
        <v/>
      </c>
      <c r="L1304" s="40" t="str">
        <f>IF(Agent07_Loans!B116="","",Agent07_Loans!L116)</f>
        <v/>
      </c>
      <c r="M1304" s="40" t="str">
        <f>IFERROR(IF(Agent07_Loans!B116="","",YEAR(Agent07_Loans!D116)),"")</f>
        <v/>
      </c>
    </row>
    <row r="1305" spans="1:13" ht="18" customHeight="1" x14ac:dyDescent="0.25">
      <c r="A1305" s="40" t="str">
        <f>IF(Agent07_Loans!B117="","",Agent07_Loans!A117)</f>
        <v/>
      </c>
      <c r="B1305" s="40" t="str">
        <f>IF(Agent07_Loans!B117="","",Agent07_Loans!B117)</f>
        <v/>
      </c>
      <c r="C1305" s="40" t="str">
        <f>IF(Agent07_Loans!B117="","",Agent07_Loans!C117)</f>
        <v/>
      </c>
      <c r="D1305" s="41" t="str">
        <f>IF(Agent07_Loans!B117="","",Agent07_Loans!D117)</f>
        <v/>
      </c>
      <c r="E1305" s="43" t="str">
        <f>IF(Agent07_Loans!B117="","",Agent07_Loans!E117)</f>
        <v/>
      </c>
      <c r="F1305" s="40" t="str">
        <f>IF(Agent07_Loans!B117="","",Agent07_Loans!F117)</f>
        <v/>
      </c>
      <c r="G1305" s="40" t="str">
        <f>IF(Agent07_Loans!B117="","",Agent07_Loans!G117)</f>
        <v/>
      </c>
      <c r="H1305" s="40" t="str">
        <f>IF(Agent07_Loans!B117="","",Agent07_Loans!H117)</f>
        <v/>
      </c>
      <c r="I1305" s="43" t="str">
        <f>IF(Agent07_Loans!B117="","",Agent07_Loans!I117)</f>
        <v/>
      </c>
      <c r="J1305" s="43" t="str">
        <f>IF(Agent07_Loans!B117="","",Agent07_Loans!J117)</f>
        <v/>
      </c>
      <c r="K1305" s="40" t="str">
        <f>IF(Agent07_Loans!B117="","",Agent07_Loans!K117)</f>
        <v/>
      </c>
      <c r="L1305" s="40" t="str">
        <f>IF(Agent07_Loans!B117="","",Agent07_Loans!L117)</f>
        <v/>
      </c>
      <c r="M1305" s="40" t="str">
        <f>IFERROR(IF(Agent07_Loans!B117="","",YEAR(Agent07_Loans!D117)),"")</f>
        <v/>
      </c>
    </row>
    <row r="1306" spans="1:13" ht="18" customHeight="1" x14ac:dyDescent="0.25">
      <c r="A1306" s="40" t="str">
        <f>IF(Agent07_Loans!B118="","",Agent07_Loans!A118)</f>
        <v/>
      </c>
      <c r="B1306" s="40" t="str">
        <f>IF(Agent07_Loans!B118="","",Agent07_Loans!B118)</f>
        <v/>
      </c>
      <c r="C1306" s="40" t="str">
        <f>IF(Agent07_Loans!B118="","",Agent07_Loans!C118)</f>
        <v/>
      </c>
      <c r="D1306" s="41" t="str">
        <f>IF(Agent07_Loans!B118="","",Agent07_Loans!D118)</f>
        <v/>
      </c>
      <c r="E1306" s="43" t="str">
        <f>IF(Agent07_Loans!B118="","",Agent07_Loans!E118)</f>
        <v/>
      </c>
      <c r="F1306" s="40" t="str">
        <f>IF(Agent07_Loans!B118="","",Agent07_Loans!F118)</f>
        <v/>
      </c>
      <c r="G1306" s="40" t="str">
        <f>IF(Agent07_Loans!B118="","",Agent07_Loans!G118)</f>
        <v/>
      </c>
      <c r="H1306" s="40" t="str">
        <f>IF(Agent07_Loans!B118="","",Agent07_Loans!H118)</f>
        <v/>
      </c>
      <c r="I1306" s="43" t="str">
        <f>IF(Agent07_Loans!B118="","",Agent07_Loans!I118)</f>
        <v/>
      </c>
      <c r="J1306" s="43" t="str">
        <f>IF(Agent07_Loans!B118="","",Agent07_Loans!J118)</f>
        <v/>
      </c>
      <c r="K1306" s="40" t="str">
        <f>IF(Agent07_Loans!B118="","",Agent07_Loans!K118)</f>
        <v/>
      </c>
      <c r="L1306" s="40" t="str">
        <f>IF(Agent07_Loans!B118="","",Agent07_Loans!L118)</f>
        <v/>
      </c>
      <c r="M1306" s="40" t="str">
        <f>IFERROR(IF(Agent07_Loans!B118="","",YEAR(Agent07_Loans!D118)),"")</f>
        <v/>
      </c>
    </row>
    <row r="1307" spans="1:13" ht="18" customHeight="1" x14ac:dyDescent="0.25">
      <c r="A1307" s="40" t="str">
        <f>IF(Agent07_Loans!B119="","",Agent07_Loans!A119)</f>
        <v/>
      </c>
      <c r="B1307" s="40" t="str">
        <f>IF(Agent07_Loans!B119="","",Agent07_Loans!B119)</f>
        <v/>
      </c>
      <c r="C1307" s="40" t="str">
        <f>IF(Agent07_Loans!B119="","",Agent07_Loans!C119)</f>
        <v/>
      </c>
      <c r="D1307" s="41" t="str">
        <f>IF(Agent07_Loans!B119="","",Agent07_Loans!D119)</f>
        <v/>
      </c>
      <c r="E1307" s="43" t="str">
        <f>IF(Agent07_Loans!B119="","",Agent07_Loans!E119)</f>
        <v/>
      </c>
      <c r="F1307" s="40" t="str">
        <f>IF(Agent07_Loans!B119="","",Agent07_Loans!F119)</f>
        <v/>
      </c>
      <c r="G1307" s="40" t="str">
        <f>IF(Agent07_Loans!B119="","",Agent07_Loans!G119)</f>
        <v/>
      </c>
      <c r="H1307" s="40" t="str">
        <f>IF(Agent07_Loans!B119="","",Agent07_Loans!H119)</f>
        <v/>
      </c>
      <c r="I1307" s="43" t="str">
        <f>IF(Agent07_Loans!B119="","",Agent07_Loans!I119)</f>
        <v/>
      </c>
      <c r="J1307" s="43" t="str">
        <f>IF(Agent07_Loans!B119="","",Agent07_Loans!J119)</f>
        <v/>
      </c>
      <c r="K1307" s="40" t="str">
        <f>IF(Agent07_Loans!B119="","",Agent07_Loans!K119)</f>
        <v/>
      </c>
      <c r="L1307" s="40" t="str">
        <f>IF(Agent07_Loans!B119="","",Agent07_Loans!L119)</f>
        <v/>
      </c>
      <c r="M1307" s="40" t="str">
        <f>IFERROR(IF(Agent07_Loans!B119="","",YEAR(Agent07_Loans!D119)),"")</f>
        <v/>
      </c>
    </row>
    <row r="1308" spans="1:13" ht="18" customHeight="1" x14ac:dyDescent="0.25">
      <c r="A1308" s="40" t="str">
        <f>IF(Agent07_Loans!B120="","",Agent07_Loans!A120)</f>
        <v/>
      </c>
      <c r="B1308" s="40" t="str">
        <f>IF(Agent07_Loans!B120="","",Agent07_Loans!B120)</f>
        <v/>
      </c>
      <c r="C1308" s="40" t="str">
        <f>IF(Agent07_Loans!B120="","",Agent07_Loans!C120)</f>
        <v/>
      </c>
      <c r="D1308" s="41" t="str">
        <f>IF(Agent07_Loans!B120="","",Agent07_Loans!D120)</f>
        <v/>
      </c>
      <c r="E1308" s="43" t="str">
        <f>IF(Agent07_Loans!B120="","",Agent07_Loans!E120)</f>
        <v/>
      </c>
      <c r="F1308" s="40" t="str">
        <f>IF(Agent07_Loans!B120="","",Agent07_Loans!F120)</f>
        <v/>
      </c>
      <c r="G1308" s="40" t="str">
        <f>IF(Agent07_Loans!B120="","",Agent07_Loans!G120)</f>
        <v/>
      </c>
      <c r="H1308" s="40" t="str">
        <f>IF(Agent07_Loans!B120="","",Agent07_Loans!H120)</f>
        <v/>
      </c>
      <c r="I1308" s="43" t="str">
        <f>IF(Agent07_Loans!B120="","",Agent07_Loans!I120)</f>
        <v/>
      </c>
      <c r="J1308" s="43" t="str">
        <f>IF(Agent07_Loans!B120="","",Agent07_Loans!J120)</f>
        <v/>
      </c>
      <c r="K1308" s="40" t="str">
        <f>IF(Agent07_Loans!B120="","",Agent07_Loans!K120)</f>
        <v/>
      </c>
      <c r="L1308" s="40" t="str">
        <f>IF(Agent07_Loans!B120="","",Agent07_Loans!L120)</f>
        <v/>
      </c>
      <c r="M1308" s="40" t="str">
        <f>IFERROR(IF(Agent07_Loans!B120="","",YEAR(Agent07_Loans!D120)),"")</f>
        <v/>
      </c>
    </row>
    <row r="1309" spans="1:13" ht="18" customHeight="1" x14ac:dyDescent="0.25">
      <c r="A1309" s="40" t="str">
        <f>IF(Agent07_Loans!B121="","",Agent07_Loans!A121)</f>
        <v/>
      </c>
      <c r="B1309" s="40" t="str">
        <f>IF(Agent07_Loans!B121="","",Agent07_Loans!B121)</f>
        <v/>
      </c>
      <c r="C1309" s="40" t="str">
        <f>IF(Agent07_Loans!B121="","",Agent07_Loans!C121)</f>
        <v/>
      </c>
      <c r="D1309" s="41" t="str">
        <f>IF(Agent07_Loans!B121="","",Agent07_Loans!D121)</f>
        <v/>
      </c>
      <c r="E1309" s="43" t="str">
        <f>IF(Agent07_Loans!B121="","",Agent07_Loans!E121)</f>
        <v/>
      </c>
      <c r="F1309" s="40" t="str">
        <f>IF(Agent07_Loans!B121="","",Agent07_Loans!F121)</f>
        <v/>
      </c>
      <c r="G1309" s="40" t="str">
        <f>IF(Agent07_Loans!B121="","",Agent07_Loans!G121)</f>
        <v/>
      </c>
      <c r="H1309" s="40" t="str">
        <f>IF(Agent07_Loans!B121="","",Agent07_Loans!H121)</f>
        <v/>
      </c>
      <c r="I1309" s="43" t="str">
        <f>IF(Agent07_Loans!B121="","",Agent07_Loans!I121)</f>
        <v/>
      </c>
      <c r="J1309" s="43" t="str">
        <f>IF(Agent07_Loans!B121="","",Agent07_Loans!J121)</f>
        <v/>
      </c>
      <c r="K1309" s="40" t="str">
        <f>IF(Agent07_Loans!B121="","",Agent07_Loans!K121)</f>
        <v/>
      </c>
      <c r="L1309" s="40" t="str">
        <f>IF(Agent07_Loans!B121="","",Agent07_Loans!L121)</f>
        <v/>
      </c>
      <c r="M1309" s="40" t="str">
        <f>IFERROR(IF(Agent07_Loans!B121="","",YEAR(Agent07_Loans!D121)),"")</f>
        <v/>
      </c>
    </row>
    <row r="1310" spans="1:13" ht="18" customHeight="1" x14ac:dyDescent="0.25">
      <c r="A1310" s="40" t="str">
        <f>IF(Agent07_Loans!B122="","",Agent07_Loans!A122)</f>
        <v/>
      </c>
      <c r="B1310" s="40" t="str">
        <f>IF(Agent07_Loans!B122="","",Agent07_Loans!B122)</f>
        <v/>
      </c>
      <c r="C1310" s="40" t="str">
        <f>IF(Agent07_Loans!B122="","",Agent07_Loans!C122)</f>
        <v/>
      </c>
      <c r="D1310" s="41" t="str">
        <f>IF(Agent07_Loans!B122="","",Agent07_Loans!D122)</f>
        <v/>
      </c>
      <c r="E1310" s="43" t="str">
        <f>IF(Agent07_Loans!B122="","",Agent07_Loans!E122)</f>
        <v/>
      </c>
      <c r="F1310" s="40" t="str">
        <f>IF(Agent07_Loans!B122="","",Agent07_Loans!F122)</f>
        <v/>
      </c>
      <c r="G1310" s="40" t="str">
        <f>IF(Agent07_Loans!B122="","",Agent07_Loans!G122)</f>
        <v/>
      </c>
      <c r="H1310" s="40" t="str">
        <f>IF(Agent07_Loans!B122="","",Agent07_Loans!H122)</f>
        <v/>
      </c>
      <c r="I1310" s="43" t="str">
        <f>IF(Agent07_Loans!B122="","",Agent07_Loans!I122)</f>
        <v/>
      </c>
      <c r="J1310" s="43" t="str">
        <f>IF(Agent07_Loans!B122="","",Agent07_Loans!J122)</f>
        <v/>
      </c>
      <c r="K1310" s="40" t="str">
        <f>IF(Agent07_Loans!B122="","",Agent07_Loans!K122)</f>
        <v/>
      </c>
      <c r="L1310" s="40" t="str">
        <f>IF(Agent07_Loans!B122="","",Agent07_Loans!L122)</f>
        <v/>
      </c>
      <c r="M1310" s="40" t="str">
        <f>IFERROR(IF(Agent07_Loans!B122="","",YEAR(Agent07_Loans!D122)),"")</f>
        <v/>
      </c>
    </row>
    <row r="1311" spans="1:13" ht="18" customHeight="1" x14ac:dyDescent="0.25">
      <c r="A1311" s="40" t="str">
        <f>IF(Agent07_Loans!B123="","",Agent07_Loans!A123)</f>
        <v/>
      </c>
      <c r="B1311" s="40" t="str">
        <f>IF(Agent07_Loans!B123="","",Agent07_Loans!B123)</f>
        <v/>
      </c>
      <c r="C1311" s="40" t="str">
        <f>IF(Agent07_Loans!B123="","",Agent07_Loans!C123)</f>
        <v/>
      </c>
      <c r="D1311" s="41" t="str">
        <f>IF(Agent07_Loans!B123="","",Agent07_Loans!D123)</f>
        <v/>
      </c>
      <c r="E1311" s="43" t="str">
        <f>IF(Agent07_Loans!B123="","",Agent07_Loans!E123)</f>
        <v/>
      </c>
      <c r="F1311" s="40" t="str">
        <f>IF(Agent07_Loans!B123="","",Agent07_Loans!F123)</f>
        <v/>
      </c>
      <c r="G1311" s="40" t="str">
        <f>IF(Agent07_Loans!B123="","",Agent07_Loans!G123)</f>
        <v/>
      </c>
      <c r="H1311" s="40" t="str">
        <f>IF(Agent07_Loans!B123="","",Agent07_Loans!H123)</f>
        <v/>
      </c>
      <c r="I1311" s="43" t="str">
        <f>IF(Agent07_Loans!B123="","",Agent07_Loans!I123)</f>
        <v/>
      </c>
      <c r="J1311" s="43" t="str">
        <f>IF(Agent07_Loans!B123="","",Agent07_Loans!J123)</f>
        <v/>
      </c>
      <c r="K1311" s="40" t="str">
        <f>IF(Agent07_Loans!B123="","",Agent07_Loans!K123)</f>
        <v/>
      </c>
      <c r="L1311" s="40" t="str">
        <f>IF(Agent07_Loans!B123="","",Agent07_Loans!L123)</f>
        <v/>
      </c>
      <c r="M1311" s="40" t="str">
        <f>IFERROR(IF(Agent07_Loans!B123="","",YEAR(Agent07_Loans!D123)),"")</f>
        <v/>
      </c>
    </row>
    <row r="1312" spans="1:13" ht="18" customHeight="1" x14ac:dyDescent="0.25">
      <c r="A1312" s="40" t="str">
        <f>IF(Agent07_Loans!B124="","",Agent07_Loans!A124)</f>
        <v/>
      </c>
      <c r="B1312" s="40" t="str">
        <f>IF(Agent07_Loans!B124="","",Agent07_Loans!B124)</f>
        <v/>
      </c>
      <c r="C1312" s="40" t="str">
        <f>IF(Agent07_Loans!B124="","",Agent07_Loans!C124)</f>
        <v/>
      </c>
      <c r="D1312" s="41" t="str">
        <f>IF(Agent07_Loans!B124="","",Agent07_Loans!D124)</f>
        <v/>
      </c>
      <c r="E1312" s="43" t="str">
        <f>IF(Agent07_Loans!B124="","",Agent07_Loans!E124)</f>
        <v/>
      </c>
      <c r="F1312" s="40" t="str">
        <f>IF(Agent07_Loans!B124="","",Agent07_Loans!F124)</f>
        <v/>
      </c>
      <c r="G1312" s="40" t="str">
        <f>IF(Agent07_Loans!B124="","",Agent07_Loans!G124)</f>
        <v/>
      </c>
      <c r="H1312" s="40" t="str">
        <f>IF(Agent07_Loans!B124="","",Agent07_Loans!H124)</f>
        <v/>
      </c>
      <c r="I1312" s="43" t="str">
        <f>IF(Agent07_Loans!B124="","",Agent07_Loans!I124)</f>
        <v/>
      </c>
      <c r="J1312" s="43" t="str">
        <f>IF(Agent07_Loans!B124="","",Agent07_Loans!J124)</f>
        <v/>
      </c>
      <c r="K1312" s="40" t="str">
        <f>IF(Agent07_Loans!B124="","",Agent07_Loans!K124)</f>
        <v/>
      </c>
      <c r="L1312" s="40" t="str">
        <f>IF(Agent07_Loans!B124="","",Agent07_Loans!L124)</f>
        <v/>
      </c>
      <c r="M1312" s="40" t="str">
        <f>IFERROR(IF(Agent07_Loans!B124="","",YEAR(Agent07_Loans!D124)),"")</f>
        <v/>
      </c>
    </row>
    <row r="1313" spans="1:13" ht="18" customHeight="1" x14ac:dyDescent="0.25">
      <c r="A1313" s="40" t="str">
        <f>IF(Agent07_Loans!B125="","",Agent07_Loans!A125)</f>
        <v/>
      </c>
      <c r="B1313" s="40" t="str">
        <f>IF(Agent07_Loans!B125="","",Agent07_Loans!B125)</f>
        <v/>
      </c>
      <c r="C1313" s="40" t="str">
        <f>IF(Agent07_Loans!B125="","",Agent07_Loans!C125)</f>
        <v/>
      </c>
      <c r="D1313" s="41" t="str">
        <f>IF(Agent07_Loans!B125="","",Agent07_Loans!D125)</f>
        <v/>
      </c>
      <c r="E1313" s="43" t="str">
        <f>IF(Agent07_Loans!B125="","",Agent07_Loans!E125)</f>
        <v/>
      </c>
      <c r="F1313" s="40" t="str">
        <f>IF(Agent07_Loans!B125="","",Agent07_Loans!F125)</f>
        <v/>
      </c>
      <c r="G1313" s="40" t="str">
        <f>IF(Agent07_Loans!B125="","",Agent07_Loans!G125)</f>
        <v/>
      </c>
      <c r="H1313" s="40" t="str">
        <f>IF(Agent07_Loans!B125="","",Agent07_Loans!H125)</f>
        <v/>
      </c>
      <c r="I1313" s="43" t="str">
        <f>IF(Agent07_Loans!B125="","",Agent07_Loans!I125)</f>
        <v/>
      </c>
      <c r="J1313" s="43" t="str">
        <f>IF(Agent07_Loans!B125="","",Agent07_Loans!J125)</f>
        <v/>
      </c>
      <c r="K1313" s="40" t="str">
        <f>IF(Agent07_Loans!B125="","",Agent07_Loans!K125)</f>
        <v/>
      </c>
      <c r="L1313" s="40" t="str">
        <f>IF(Agent07_Loans!B125="","",Agent07_Loans!L125)</f>
        <v/>
      </c>
      <c r="M1313" s="40" t="str">
        <f>IFERROR(IF(Agent07_Loans!B125="","",YEAR(Agent07_Loans!D125)),"")</f>
        <v/>
      </c>
    </row>
    <row r="1314" spans="1:13" ht="18" customHeight="1" x14ac:dyDescent="0.25">
      <c r="A1314" s="40" t="str">
        <f>IF(Agent07_Loans!B126="","",Agent07_Loans!A126)</f>
        <v/>
      </c>
      <c r="B1314" s="40" t="str">
        <f>IF(Agent07_Loans!B126="","",Agent07_Loans!B126)</f>
        <v/>
      </c>
      <c r="C1314" s="40" t="str">
        <f>IF(Agent07_Loans!B126="","",Agent07_Loans!C126)</f>
        <v/>
      </c>
      <c r="D1314" s="41" t="str">
        <f>IF(Agent07_Loans!B126="","",Agent07_Loans!D126)</f>
        <v/>
      </c>
      <c r="E1314" s="43" t="str">
        <f>IF(Agent07_Loans!B126="","",Agent07_Loans!E126)</f>
        <v/>
      </c>
      <c r="F1314" s="40" t="str">
        <f>IF(Agent07_Loans!B126="","",Agent07_Loans!F126)</f>
        <v/>
      </c>
      <c r="G1314" s="40" t="str">
        <f>IF(Agent07_Loans!B126="","",Agent07_Loans!G126)</f>
        <v/>
      </c>
      <c r="H1314" s="40" t="str">
        <f>IF(Agent07_Loans!B126="","",Agent07_Loans!H126)</f>
        <v/>
      </c>
      <c r="I1314" s="43" t="str">
        <f>IF(Agent07_Loans!B126="","",Agent07_Loans!I126)</f>
        <v/>
      </c>
      <c r="J1314" s="43" t="str">
        <f>IF(Agent07_Loans!B126="","",Agent07_Loans!J126)</f>
        <v/>
      </c>
      <c r="K1314" s="40" t="str">
        <f>IF(Agent07_Loans!B126="","",Agent07_Loans!K126)</f>
        <v/>
      </c>
      <c r="L1314" s="40" t="str">
        <f>IF(Agent07_Loans!B126="","",Agent07_Loans!L126)</f>
        <v/>
      </c>
      <c r="M1314" s="40" t="str">
        <f>IFERROR(IF(Agent07_Loans!B126="","",YEAR(Agent07_Loans!D126)),"")</f>
        <v/>
      </c>
    </row>
    <row r="1315" spans="1:13" ht="18" customHeight="1" x14ac:dyDescent="0.25">
      <c r="A1315" s="40" t="str">
        <f>IF(Agent07_Loans!B127="","",Agent07_Loans!A127)</f>
        <v/>
      </c>
      <c r="B1315" s="40" t="str">
        <f>IF(Agent07_Loans!B127="","",Agent07_Loans!B127)</f>
        <v/>
      </c>
      <c r="C1315" s="40" t="str">
        <f>IF(Agent07_Loans!B127="","",Agent07_Loans!C127)</f>
        <v/>
      </c>
      <c r="D1315" s="41" t="str">
        <f>IF(Agent07_Loans!B127="","",Agent07_Loans!D127)</f>
        <v/>
      </c>
      <c r="E1315" s="43" t="str">
        <f>IF(Agent07_Loans!B127="","",Agent07_Loans!E127)</f>
        <v/>
      </c>
      <c r="F1315" s="40" t="str">
        <f>IF(Agent07_Loans!B127="","",Agent07_Loans!F127)</f>
        <v/>
      </c>
      <c r="G1315" s="40" t="str">
        <f>IF(Agent07_Loans!B127="","",Agent07_Loans!G127)</f>
        <v/>
      </c>
      <c r="H1315" s="40" t="str">
        <f>IF(Agent07_Loans!B127="","",Agent07_Loans!H127)</f>
        <v/>
      </c>
      <c r="I1315" s="43" t="str">
        <f>IF(Agent07_Loans!B127="","",Agent07_Loans!I127)</f>
        <v/>
      </c>
      <c r="J1315" s="43" t="str">
        <f>IF(Agent07_Loans!B127="","",Agent07_Loans!J127)</f>
        <v/>
      </c>
      <c r="K1315" s="40" t="str">
        <f>IF(Agent07_Loans!B127="","",Agent07_Loans!K127)</f>
        <v/>
      </c>
      <c r="L1315" s="40" t="str">
        <f>IF(Agent07_Loans!B127="","",Agent07_Loans!L127)</f>
        <v/>
      </c>
      <c r="M1315" s="40" t="str">
        <f>IFERROR(IF(Agent07_Loans!B127="","",YEAR(Agent07_Loans!D127)),"")</f>
        <v/>
      </c>
    </row>
    <row r="1316" spans="1:13" ht="18" customHeight="1" x14ac:dyDescent="0.25">
      <c r="A1316" s="40" t="str">
        <f>IF(Agent07_Loans!B128="","",Agent07_Loans!A128)</f>
        <v/>
      </c>
      <c r="B1316" s="40" t="str">
        <f>IF(Agent07_Loans!B128="","",Agent07_Loans!B128)</f>
        <v/>
      </c>
      <c r="C1316" s="40" t="str">
        <f>IF(Agent07_Loans!B128="","",Agent07_Loans!C128)</f>
        <v/>
      </c>
      <c r="D1316" s="41" t="str">
        <f>IF(Agent07_Loans!B128="","",Agent07_Loans!D128)</f>
        <v/>
      </c>
      <c r="E1316" s="43" t="str">
        <f>IF(Agent07_Loans!B128="","",Agent07_Loans!E128)</f>
        <v/>
      </c>
      <c r="F1316" s="40" t="str">
        <f>IF(Agent07_Loans!B128="","",Agent07_Loans!F128)</f>
        <v/>
      </c>
      <c r="G1316" s="40" t="str">
        <f>IF(Agent07_Loans!B128="","",Agent07_Loans!G128)</f>
        <v/>
      </c>
      <c r="H1316" s="40" t="str">
        <f>IF(Agent07_Loans!B128="","",Agent07_Loans!H128)</f>
        <v/>
      </c>
      <c r="I1316" s="43" t="str">
        <f>IF(Agent07_Loans!B128="","",Agent07_Loans!I128)</f>
        <v/>
      </c>
      <c r="J1316" s="43" t="str">
        <f>IF(Agent07_Loans!B128="","",Agent07_Loans!J128)</f>
        <v/>
      </c>
      <c r="K1316" s="40" t="str">
        <f>IF(Agent07_Loans!B128="","",Agent07_Loans!K128)</f>
        <v/>
      </c>
      <c r="L1316" s="40" t="str">
        <f>IF(Agent07_Loans!B128="","",Agent07_Loans!L128)</f>
        <v/>
      </c>
      <c r="M1316" s="40" t="str">
        <f>IFERROR(IF(Agent07_Loans!B128="","",YEAR(Agent07_Loans!D128)),"")</f>
        <v/>
      </c>
    </row>
    <row r="1317" spans="1:13" ht="18" customHeight="1" x14ac:dyDescent="0.25">
      <c r="A1317" s="40" t="str">
        <f>IF(Agent07_Loans!B129="","",Agent07_Loans!A129)</f>
        <v/>
      </c>
      <c r="B1317" s="40" t="str">
        <f>IF(Agent07_Loans!B129="","",Agent07_Loans!B129)</f>
        <v/>
      </c>
      <c r="C1317" s="40" t="str">
        <f>IF(Agent07_Loans!B129="","",Agent07_Loans!C129)</f>
        <v/>
      </c>
      <c r="D1317" s="41" t="str">
        <f>IF(Agent07_Loans!B129="","",Agent07_Loans!D129)</f>
        <v/>
      </c>
      <c r="E1317" s="43" t="str">
        <f>IF(Agent07_Loans!B129="","",Agent07_Loans!E129)</f>
        <v/>
      </c>
      <c r="F1317" s="40" t="str">
        <f>IF(Agent07_Loans!B129="","",Agent07_Loans!F129)</f>
        <v/>
      </c>
      <c r="G1317" s="40" t="str">
        <f>IF(Agent07_Loans!B129="","",Agent07_Loans!G129)</f>
        <v/>
      </c>
      <c r="H1317" s="40" t="str">
        <f>IF(Agent07_Loans!B129="","",Agent07_Loans!H129)</f>
        <v/>
      </c>
      <c r="I1317" s="43" t="str">
        <f>IF(Agent07_Loans!B129="","",Agent07_Loans!I129)</f>
        <v/>
      </c>
      <c r="J1317" s="43" t="str">
        <f>IF(Agent07_Loans!B129="","",Agent07_Loans!J129)</f>
        <v/>
      </c>
      <c r="K1317" s="40" t="str">
        <f>IF(Agent07_Loans!B129="","",Agent07_Loans!K129)</f>
        <v/>
      </c>
      <c r="L1317" s="40" t="str">
        <f>IF(Agent07_Loans!B129="","",Agent07_Loans!L129)</f>
        <v/>
      </c>
      <c r="M1317" s="40" t="str">
        <f>IFERROR(IF(Agent07_Loans!B129="","",YEAR(Agent07_Loans!D129)),"")</f>
        <v/>
      </c>
    </row>
    <row r="1318" spans="1:13" ht="18" customHeight="1" x14ac:dyDescent="0.25">
      <c r="A1318" s="40" t="str">
        <f>IF(Agent07_Loans!B130="","",Agent07_Loans!A130)</f>
        <v/>
      </c>
      <c r="B1318" s="40" t="str">
        <f>IF(Agent07_Loans!B130="","",Agent07_Loans!B130)</f>
        <v/>
      </c>
      <c r="C1318" s="40" t="str">
        <f>IF(Agent07_Loans!B130="","",Agent07_Loans!C130)</f>
        <v/>
      </c>
      <c r="D1318" s="41" t="str">
        <f>IF(Agent07_Loans!B130="","",Agent07_Loans!D130)</f>
        <v/>
      </c>
      <c r="E1318" s="43" t="str">
        <f>IF(Agent07_Loans!B130="","",Agent07_Loans!E130)</f>
        <v/>
      </c>
      <c r="F1318" s="40" t="str">
        <f>IF(Agent07_Loans!B130="","",Agent07_Loans!F130)</f>
        <v/>
      </c>
      <c r="G1318" s="40" t="str">
        <f>IF(Agent07_Loans!B130="","",Agent07_Loans!G130)</f>
        <v/>
      </c>
      <c r="H1318" s="40" t="str">
        <f>IF(Agent07_Loans!B130="","",Agent07_Loans!H130)</f>
        <v/>
      </c>
      <c r="I1318" s="43" t="str">
        <f>IF(Agent07_Loans!B130="","",Agent07_Loans!I130)</f>
        <v/>
      </c>
      <c r="J1318" s="43" t="str">
        <f>IF(Agent07_Loans!B130="","",Agent07_Loans!J130)</f>
        <v/>
      </c>
      <c r="K1318" s="40" t="str">
        <f>IF(Agent07_Loans!B130="","",Agent07_Loans!K130)</f>
        <v/>
      </c>
      <c r="L1318" s="40" t="str">
        <f>IF(Agent07_Loans!B130="","",Agent07_Loans!L130)</f>
        <v/>
      </c>
      <c r="M1318" s="40" t="str">
        <f>IFERROR(IF(Agent07_Loans!B130="","",YEAR(Agent07_Loans!D130)),"")</f>
        <v/>
      </c>
    </row>
    <row r="1319" spans="1:13" ht="18" customHeight="1" x14ac:dyDescent="0.25">
      <c r="A1319" s="40" t="str">
        <f>IF(Agent07_Loans!B131="","",Agent07_Loans!A131)</f>
        <v/>
      </c>
      <c r="B1319" s="40" t="str">
        <f>IF(Agent07_Loans!B131="","",Agent07_Loans!B131)</f>
        <v/>
      </c>
      <c r="C1319" s="40" t="str">
        <f>IF(Agent07_Loans!B131="","",Agent07_Loans!C131)</f>
        <v/>
      </c>
      <c r="D1319" s="41" t="str">
        <f>IF(Agent07_Loans!B131="","",Agent07_Loans!D131)</f>
        <v/>
      </c>
      <c r="E1319" s="43" t="str">
        <f>IF(Agent07_Loans!B131="","",Agent07_Loans!E131)</f>
        <v/>
      </c>
      <c r="F1319" s="40" t="str">
        <f>IF(Agent07_Loans!B131="","",Agent07_Loans!F131)</f>
        <v/>
      </c>
      <c r="G1319" s="40" t="str">
        <f>IF(Agent07_Loans!B131="","",Agent07_Loans!G131)</f>
        <v/>
      </c>
      <c r="H1319" s="40" t="str">
        <f>IF(Agent07_Loans!B131="","",Agent07_Loans!H131)</f>
        <v/>
      </c>
      <c r="I1319" s="43" t="str">
        <f>IF(Agent07_Loans!B131="","",Agent07_Loans!I131)</f>
        <v/>
      </c>
      <c r="J1319" s="43" t="str">
        <f>IF(Agent07_Loans!B131="","",Agent07_Loans!J131)</f>
        <v/>
      </c>
      <c r="K1319" s="40" t="str">
        <f>IF(Agent07_Loans!B131="","",Agent07_Loans!K131)</f>
        <v/>
      </c>
      <c r="L1319" s="40" t="str">
        <f>IF(Agent07_Loans!B131="","",Agent07_Loans!L131)</f>
        <v/>
      </c>
      <c r="M1319" s="40" t="str">
        <f>IFERROR(IF(Agent07_Loans!B131="","",YEAR(Agent07_Loans!D131)),"")</f>
        <v/>
      </c>
    </row>
    <row r="1320" spans="1:13" ht="18" customHeight="1" x14ac:dyDescent="0.25">
      <c r="A1320" s="40" t="str">
        <f>IF(Agent07_Loans!B132="","",Agent07_Loans!A132)</f>
        <v/>
      </c>
      <c r="B1320" s="40" t="str">
        <f>IF(Agent07_Loans!B132="","",Agent07_Loans!B132)</f>
        <v/>
      </c>
      <c r="C1320" s="40" t="str">
        <f>IF(Agent07_Loans!B132="","",Agent07_Loans!C132)</f>
        <v/>
      </c>
      <c r="D1320" s="41" t="str">
        <f>IF(Agent07_Loans!B132="","",Agent07_Loans!D132)</f>
        <v/>
      </c>
      <c r="E1320" s="43" t="str">
        <f>IF(Agent07_Loans!B132="","",Agent07_Loans!E132)</f>
        <v/>
      </c>
      <c r="F1320" s="40" t="str">
        <f>IF(Agent07_Loans!B132="","",Agent07_Loans!F132)</f>
        <v/>
      </c>
      <c r="G1320" s="40" t="str">
        <f>IF(Agent07_Loans!B132="","",Agent07_Loans!G132)</f>
        <v/>
      </c>
      <c r="H1320" s="40" t="str">
        <f>IF(Agent07_Loans!B132="","",Agent07_Loans!H132)</f>
        <v/>
      </c>
      <c r="I1320" s="43" t="str">
        <f>IF(Agent07_Loans!B132="","",Agent07_Loans!I132)</f>
        <v/>
      </c>
      <c r="J1320" s="43" t="str">
        <f>IF(Agent07_Loans!B132="","",Agent07_Loans!J132)</f>
        <v/>
      </c>
      <c r="K1320" s="40" t="str">
        <f>IF(Agent07_Loans!B132="","",Agent07_Loans!K132)</f>
        <v/>
      </c>
      <c r="L1320" s="40" t="str">
        <f>IF(Agent07_Loans!B132="","",Agent07_Loans!L132)</f>
        <v/>
      </c>
      <c r="M1320" s="40" t="str">
        <f>IFERROR(IF(Agent07_Loans!B132="","",YEAR(Agent07_Loans!D132)),"")</f>
        <v/>
      </c>
    </row>
    <row r="1321" spans="1:13" ht="18" customHeight="1" x14ac:dyDescent="0.25">
      <c r="A1321" s="40" t="str">
        <f>IF(Agent07_Loans!B133="","",Agent07_Loans!A133)</f>
        <v/>
      </c>
      <c r="B1321" s="40" t="str">
        <f>IF(Agent07_Loans!B133="","",Agent07_Loans!B133)</f>
        <v/>
      </c>
      <c r="C1321" s="40" t="str">
        <f>IF(Agent07_Loans!B133="","",Agent07_Loans!C133)</f>
        <v/>
      </c>
      <c r="D1321" s="41" t="str">
        <f>IF(Agent07_Loans!B133="","",Agent07_Loans!D133)</f>
        <v/>
      </c>
      <c r="E1321" s="43" t="str">
        <f>IF(Agent07_Loans!B133="","",Agent07_Loans!E133)</f>
        <v/>
      </c>
      <c r="F1321" s="40" t="str">
        <f>IF(Agent07_Loans!B133="","",Agent07_Loans!F133)</f>
        <v/>
      </c>
      <c r="G1321" s="40" t="str">
        <f>IF(Agent07_Loans!B133="","",Agent07_Loans!G133)</f>
        <v/>
      </c>
      <c r="H1321" s="40" t="str">
        <f>IF(Agent07_Loans!B133="","",Agent07_Loans!H133)</f>
        <v/>
      </c>
      <c r="I1321" s="43" t="str">
        <f>IF(Agent07_Loans!B133="","",Agent07_Loans!I133)</f>
        <v/>
      </c>
      <c r="J1321" s="43" t="str">
        <f>IF(Agent07_Loans!B133="","",Agent07_Loans!J133)</f>
        <v/>
      </c>
      <c r="K1321" s="40" t="str">
        <f>IF(Agent07_Loans!B133="","",Agent07_Loans!K133)</f>
        <v/>
      </c>
      <c r="L1321" s="40" t="str">
        <f>IF(Agent07_Loans!B133="","",Agent07_Loans!L133)</f>
        <v/>
      </c>
      <c r="M1321" s="40" t="str">
        <f>IFERROR(IF(Agent07_Loans!B133="","",YEAR(Agent07_Loans!D133)),"")</f>
        <v/>
      </c>
    </row>
    <row r="1322" spans="1:13" ht="18" customHeight="1" x14ac:dyDescent="0.25">
      <c r="A1322" s="40" t="str">
        <f>IF(Agent07_Loans!B134="","",Agent07_Loans!A134)</f>
        <v/>
      </c>
      <c r="B1322" s="40" t="str">
        <f>IF(Agent07_Loans!B134="","",Agent07_Loans!B134)</f>
        <v/>
      </c>
      <c r="C1322" s="40" t="str">
        <f>IF(Agent07_Loans!B134="","",Agent07_Loans!C134)</f>
        <v/>
      </c>
      <c r="D1322" s="41" t="str">
        <f>IF(Agent07_Loans!B134="","",Agent07_Loans!D134)</f>
        <v/>
      </c>
      <c r="E1322" s="43" t="str">
        <f>IF(Agent07_Loans!B134="","",Agent07_Loans!E134)</f>
        <v/>
      </c>
      <c r="F1322" s="40" t="str">
        <f>IF(Agent07_Loans!B134="","",Agent07_Loans!F134)</f>
        <v/>
      </c>
      <c r="G1322" s="40" t="str">
        <f>IF(Agent07_Loans!B134="","",Agent07_Loans!G134)</f>
        <v/>
      </c>
      <c r="H1322" s="40" t="str">
        <f>IF(Agent07_Loans!B134="","",Agent07_Loans!H134)</f>
        <v/>
      </c>
      <c r="I1322" s="43" t="str">
        <f>IF(Agent07_Loans!B134="","",Agent07_Loans!I134)</f>
        <v/>
      </c>
      <c r="J1322" s="43" t="str">
        <f>IF(Agent07_Loans!B134="","",Agent07_Loans!J134)</f>
        <v/>
      </c>
      <c r="K1322" s="40" t="str">
        <f>IF(Agent07_Loans!B134="","",Agent07_Loans!K134)</f>
        <v/>
      </c>
      <c r="L1322" s="40" t="str">
        <f>IF(Agent07_Loans!B134="","",Agent07_Loans!L134)</f>
        <v/>
      </c>
      <c r="M1322" s="40" t="str">
        <f>IFERROR(IF(Agent07_Loans!B134="","",YEAR(Agent07_Loans!D134)),"")</f>
        <v/>
      </c>
    </row>
    <row r="1323" spans="1:13" ht="18" customHeight="1" x14ac:dyDescent="0.25">
      <c r="A1323" s="40" t="str">
        <f>IF(Agent07_Loans!B135="","",Agent07_Loans!A135)</f>
        <v/>
      </c>
      <c r="B1323" s="40" t="str">
        <f>IF(Agent07_Loans!B135="","",Agent07_Loans!B135)</f>
        <v/>
      </c>
      <c r="C1323" s="40" t="str">
        <f>IF(Agent07_Loans!B135="","",Agent07_Loans!C135)</f>
        <v/>
      </c>
      <c r="D1323" s="41" t="str">
        <f>IF(Agent07_Loans!B135="","",Agent07_Loans!D135)</f>
        <v/>
      </c>
      <c r="E1323" s="43" t="str">
        <f>IF(Agent07_Loans!B135="","",Agent07_Loans!E135)</f>
        <v/>
      </c>
      <c r="F1323" s="40" t="str">
        <f>IF(Agent07_Loans!B135="","",Agent07_Loans!F135)</f>
        <v/>
      </c>
      <c r="G1323" s="40" t="str">
        <f>IF(Agent07_Loans!B135="","",Agent07_Loans!G135)</f>
        <v/>
      </c>
      <c r="H1323" s="40" t="str">
        <f>IF(Agent07_Loans!B135="","",Agent07_Loans!H135)</f>
        <v/>
      </c>
      <c r="I1323" s="43" t="str">
        <f>IF(Agent07_Loans!B135="","",Agent07_Loans!I135)</f>
        <v/>
      </c>
      <c r="J1323" s="43" t="str">
        <f>IF(Agent07_Loans!B135="","",Agent07_Loans!J135)</f>
        <v/>
      </c>
      <c r="K1323" s="40" t="str">
        <f>IF(Agent07_Loans!B135="","",Agent07_Loans!K135)</f>
        <v/>
      </c>
      <c r="L1323" s="40" t="str">
        <f>IF(Agent07_Loans!B135="","",Agent07_Loans!L135)</f>
        <v/>
      </c>
      <c r="M1323" s="40" t="str">
        <f>IFERROR(IF(Agent07_Loans!B135="","",YEAR(Agent07_Loans!D135)),"")</f>
        <v/>
      </c>
    </row>
    <row r="1324" spans="1:13" ht="18" customHeight="1" x14ac:dyDescent="0.25">
      <c r="A1324" s="40" t="str">
        <f>IF(Agent07_Loans!B136="","",Agent07_Loans!A136)</f>
        <v/>
      </c>
      <c r="B1324" s="40" t="str">
        <f>IF(Agent07_Loans!B136="","",Agent07_Loans!B136)</f>
        <v/>
      </c>
      <c r="C1324" s="40" t="str">
        <f>IF(Agent07_Loans!B136="","",Agent07_Loans!C136)</f>
        <v/>
      </c>
      <c r="D1324" s="41" t="str">
        <f>IF(Agent07_Loans!B136="","",Agent07_Loans!D136)</f>
        <v/>
      </c>
      <c r="E1324" s="43" t="str">
        <f>IF(Agent07_Loans!B136="","",Agent07_Loans!E136)</f>
        <v/>
      </c>
      <c r="F1324" s="40" t="str">
        <f>IF(Agent07_Loans!B136="","",Agent07_Loans!F136)</f>
        <v/>
      </c>
      <c r="G1324" s="40" t="str">
        <f>IF(Agent07_Loans!B136="","",Agent07_Loans!G136)</f>
        <v/>
      </c>
      <c r="H1324" s="40" t="str">
        <f>IF(Agent07_Loans!B136="","",Agent07_Loans!H136)</f>
        <v/>
      </c>
      <c r="I1324" s="43" t="str">
        <f>IF(Agent07_Loans!B136="","",Agent07_Loans!I136)</f>
        <v/>
      </c>
      <c r="J1324" s="43" t="str">
        <f>IF(Agent07_Loans!B136="","",Agent07_Loans!J136)</f>
        <v/>
      </c>
      <c r="K1324" s="40" t="str">
        <f>IF(Agent07_Loans!B136="","",Agent07_Loans!K136)</f>
        <v/>
      </c>
      <c r="L1324" s="40" t="str">
        <f>IF(Agent07_Loans!B136="","",Agent07_Loans!L136)</f>
        <v/>
      </c>
      <c r="M1324" s="40" t="str">
        <f>IFERROR(IF(Agent07_Loans!B136="","",YEAR(Agent07_Loans!D136)),"")</f>
        <v/>
      </c>
    </row>
    <row r="1325" spans="1:13" ht="18" customHeight="1" x14ac:dyDescent="0.25">
      <c r="A1325" s="40" t="str">
        <f>IF(Agent07_Loans!B137="","",Agent07_Loans!A137)</f>
        <v/>
      </c>
      <c r="B1325" s="40" t="str">
        <f>IF(Agent07_Loans!B137="","",Agent07_Loans!B137)</f>
        <v/>
      </c>
      <c r="C1325" s="40" t="str">
        <f>IF(Agent07_Loans!B137="","",Agent07_Loans!C137)</f>
        <v/>
      </c>
      <c r="D1325" s="41" t="str">
        <f>IF(Agent07_Loans!B137="","",Agent07_Loans!D137)</f>
        <v/>
      </c>
      <c r="E1325" s="43" t="str">
        <f>IF(Agent07_Loans!B137="","",Agent07_Loans!E137)</f>
        <v/>
      </c>
      <c r="F1325" s="40" t="str">
        <f>IF(Agent07_Loans!B137="","",Agent07_Loans!F137)</f>
        <v/>
      </c>
      <c r="G1325" s="40" t="str">
        <f>IF(Agent07_Loans!B137="","",Agent07_Loans!G137)</f>
        <v/>
      </c>
      <c r="H1325" s="40" t="str">
        <f>IF(Agent07_Loans!B137="","",Agent07_Loans!H137)</f>
        <v/>
      </c>
      <c r="I1325" s="43" t="str">
        <f>IF(Agent07_Loans!B137="","",Agent07_Loans!I137)</f>
        <v/>
      </c>
      <c r="J1325" s="43" t="str">
        <f>IF(Agent07_Loans!B137="","",Agent07_Loans!J137)</f>
        <v/>
      </c>
      <c r="K1325" s="40" t="str">
        <f>IF(Agent07_Loans!B137="","",Agent07_Loans!K137)</f>
        <v/>
      </c>
      <c r="L1325" s="40" t="str">
        <f>IF(Agent07_Loans!B137="","",Agent07_Loans!L137)</f>
        <v/>
      </c>
      <c r="M1325" s="40" t="str">
        <f>IFERROR(IF(Agent07_Loans!B137="","",YEAR(Agent07_Loans!D137)),"")</f>
        <v/>
      </c>
    </row>
    <row r="1326" spans="1:13" ht="18" customHeight="1" x14ac:dyDescent="0.25">
      <c r="A1326" s="40" t="str">
        <f>IF(Agent07_Loans!B138="","",Agent07_Loans!A138)</f>
        <v/>
      </c>
      <c r="B1326" s="40" t="str">
        <f>IF(Agent07_Loans!B138="","",Agent07_Loans!B138)</f>
        <v/>
      </c>
      <c r="C1326" s="40" t="str">
        <f>IF(Agent07_Loans!B138="","",Agent07_Loans!C138)</f>
        <v/>
      </c>
      <c r="D1326" s="41" t="str">
        <f>IF(Agent07_Loans!B138="","",Agent07_Loans!D138)</f>
        <v/>
      </c>
      <c r="E1326" s="43" t="str">
        <f>IF(Agent07_Loans!B138="","",Agent07_Loans!E138)</f>
        <v/>
      </c>
      <c r="F1326" s="40" t="str">
        <f>IF(Agent07_Loans!B138="","",Agent07_Loans!F138)</f>
        <v/>
      </c>
      <c r="G1326" s="40" t="str">
        <f>IF(Agent07_Loans!B138="","",Agent07_Loans!G138)</f>
        <v/>
      </c>
      <c r="H1326" s="40" t="str">
        <f>IF(Agent07_Loans!B138="","",Agent07_Loans!H138)</f>
        <v/>
      </c>
      <c r="I1326" s="43" t="str">
        <f>IF(Agent07_Loans!B138="","",Agent07_Loans!I138)</f>
        <v/>
      </c>
      <c r="J1326" s="43" t="str">
        <f>IF(Agent07_Loans!B138="","",Agent07_Loans!J138)</f>
        <v/>
      </c>
      <c r="K1326" s="40" t="str">
        <f>IF(Agent07_Loans!B138="","",Agent07_Loans!K138)</f>
        <v/>
      </c>
      <c r="L1326" s="40" t="str">
        <f>IF(Agent07_Loans!B138="","",Agent07_Loans!L138)</f>
        <v/>
      </c>
      <c r="M1326" s="40" t="str">
        <f>IFERROR(IF(Agent07_Loans!B138="","",YEAR(Agent07_Loans!D138)),"")</f>
        <v/>
      </c>
    </row>
    <row r="1327" spans="1:13" ht="18" customHeight="1" x14ac:dyDescent="0.25">
      <c r="A1327" s="40" t="str">
        <f>IF(Agent07_Loans!B139="","",Agent07_Loans!A139)</f>
        <v/>
      </c>
      <c r="B1327" s="40" t="str">
        <f>IF(Agent07_Loans!B139="","",Agent07_Loans!B139)</f>
        <v/>
      </c>
      <c r="C1327" s="40" t="str">
        <f>IF(Agent07_Loans!B139="","",Agent07_Loans!C139)</f>
        <v/>
      </c>
      <c r="D1327" s="41" t="str">
        <f>IF(Agent07_Loans!B139="","",Agent07_Loans!D139)</f>
        <v/>
      </c>
      <c r="E1327" s="43" t="str">
        <f>IF(Agent07_Loans!B139="","",Agent07_Loans!E139)</f>
        <v/>
      </c>
      <c r="F1327" s="40" t="str">
        <f>IF(Agent07_Loans!B139="","",Agent07_Loans!F139)</f>
        <v/>
      </c>
      <c r="G1327" s="40" t="str">
        <f>IF(Agent07_Loans!B139="","",Agent07_Loans!G139)</f>
        <v/>
      </c>
      <c r="H1327" s="40" t="str">
        <f>IF(Agent07_Loans!B139="","",Agent07_Loans!H139)</f>
        <v/>
      </c>
      <c r="I1327" s="43" t="str">
        <f>IF(Agent07_Loans!B139="","",Agent07_Loans!I139)</f>
        <v/>
      </c>
      <c r="J1327" s="43" t="str">
        <f>IF(Agent07_Loans!B139="","",Agent07_Loans!J139)</f>
        <v/>
      </c>
      <c r="K1327" s="40" t="str">
        <f>IF(Agent07_Loans!B139="","",Agent07_Loans!K139)</f>
        <v/>
      </c>
      <c r="L1327" s="40" t="str">
        <f>IF(Agent07_Loans!B139="","",Agent07_Loans!L139)</f>
        <v/>
      </c>
      <c r="M1327" s="40" t="str">
        <f>IFERROR(IF(Agent07_Loans!B139="","",YEAR(Agent07_Loans!D139)),"")</f>
        <v/>
      </c>
    </row>
    <row r="1328" spans="1:13" ht="18" customHeight="1" x14ac:dyDescent="0.25">
      <c r="A1328" s="40" t="str">
        <f>IF(Agent07_Loans!B140="","",Agent07_Loans!A140)</f>
        <v/>
      </c>
      <c r="B1328" s="40" t="str">
        <f>IF(Agent07_Loans!B140="","",Agent07_Loans!B140)</f>
        <v/>
      </c>
      <c r="C1328" s="40" t="str">
        <f>IF(Agent07_Loans!B140="","",Agent07_Loans!C140)</f>
        <v/>
      </c>
      <c r="D1328" s="41" t="str">
        <f>IF(Agent07_Loans!B140="","",Agent07_Loans!D140)</f>
        <v/>
      </c>
      <c r="E1328" s="43" t="str">
        <f>IF(Agent07_Loans!B140="","",Agent07_Loans!E140)</f>
        <v/>
      </c>
      <c r="F1328" s="40" t="str">
        <f>IF(Agent07_Loans!B140="","",Agent07_Loans!F140)</f>
        <v/>
      </c>
      <c r="G1328" s="40" t="str">
        <f>IF(Agent07_Loans!B140="","",Agent07_Loans!G140)</f>
        <v/>
      </c>
      <c r="H1328" s="40" t="str">
        <f>IF(Agent07_Loans!B140="","",Agent07_Loans!H140)</f>
        <v/>
      </c>
      <c r="I1328" s="43" t="str">
        <f>IF(Agent07_Loans!B140="","",Agent07_Loans!I140)</f>
        <v/>
      </c>
      <c r="J1328" s="43" t="str">
        <f>IF(Agent07_Loans!B140="","",Agent07_Loans!J140)</f>
        <v/>
      </c>
      <c r="K1328" s="40" t="str">
        <f>IF(Agent07_Loans!B140="","",Agent07_Loans!K140)</f>
        <v/>
      </c>
      <c r="L1328" s="40" t="str">
        <f>IF(Agent07_Loans!B140="","",Agent07_Loans!L140)</f>
        <v/>
      </c>
      <c r="M1328" s="40" t="str">
        <f>IFERROR(IF(Agent07_Loans!B140="","",YEAR(Agent07_Loans!D140)),"")</f>
        <v/>
      </c>
    </row>
    <row r="1329" spans="1:13" ht="18" customHeight="1" x14ac:dyDescent="0.25">
      <c r="A1329" s="40" t="str">
        <f>IF(Agent07_Loans!B141="","",Agent07_Loans!A141)</f>
        <v/>
      </c>
      <c r="B1329" s="40" t="str">
        <f>IF(Agent07_Loans!B141="","",Agent07_Loans!B141)</f>
        <v/>
      </c>
      <c r="C1329" s="40" t="str">
        <f>IF(Agent07_Loans!B141="","",Agent07_Loans!C141)</f>
        <v/>
      </c>
      <c r="D1329" s="41" t="str">
        <f>IF(Agent07_Loans!B141="","",Agent07_Loans!D141)</f>
        <v/>
      </c>
      <c r="E1329" s="43" t="str">
        <f>IF(Agent07_Loans!B141="","",Agent07_Loans!E141)</f>
        <v/>
      </c>
      <c r="F1329" s="40" t="str">
        <f>IF(Agent07_Loans!B141="","",Agent07_Loans!F141)</f>
        <v/>
      </c>
      <c r="G1329" s="40" t="str">
        <f>IF(Agent07_Loans!B141="","",Agent07_Loans!G141)</f>
        <v/>
      </c>
      <c r="H1329" s="40" t="str">
        <f>IF(Agent07_Loans!B141="","",Agent07_Loans!H141)</f>
        <v/>
      </c>
      <c r="I1329" s="43" t="str">
        <f>IF(Agent07_Loans!B141="","",Agent07_Loans!I141)</f>
        <v/>
      </c>
      <c r="J1329" s="43" t="str">
        <f>IF(Agent07_Loans!B141="","",Agent07_Loans!J141)</f>
        <v/>
      </c>
      <c r="K1329" s="40" t="str">
        <f>IF(Agent07_Loans!B141="","",Agent07_Loans!K141)</f>
        <v/>
      </c>
      <c r="L1329" s="40" t="str">
        <f>IF(Agent07_Loans!B141="","",Agent07_Loans!L141)</f>
        <v/>
      </c>
      <c r="M1329" s="40" t="str">
        <f>IFERROR(IF(Agent07_Loans!B141="","",YEAR(Agent07_Loans!D141)),"")</f>
        <v/>
      </c>
    </row>
    <row r="1330" spans="1:13" ht="18" customHeight="1" x14ac:dyDescent="0.25">
      <c r="A1330" s="40" t="str">
        <f>IF(Agent07_Loans!B142="","",Agent07_Loans!A142)</f>
        <v/>
      </c>
      <c r="B1330" s="40" t="str">
        <f>IF(Agent07_Loans!B142="","",Agent07_Loans!B142)</f>
        <v/>
      </c>
      <c r="C1330" s="40" t="str">
        <f>IF(Agent07_Loans!B142="","",Agent07_Loans!C142)</f>
        <v/>
      </c>
      <c r="D1330" s="41" t="str">
        <f>IF(Agent07_Loans!B142="","",Agent07_Loans!D142)</f>
        <v/>
      </c>
      <c r="E1330" s="43" t="str">
        <f>IF(Agent07_Loans!B142="","",Agent07_Loans!E142)</f>
        <v/>
      </c>
      <c r="F1330" s="40" t="str">
        <f>IF(Agent07_Loans!B142="","",Agent07_Loans!F142)</f>
        <v/>
      </c>
      <c r="G1330" s="40" t="str">
        <f>IF(Agent07_Loans!B142="","",Agent07_Loans!G142)</f>
        <v/>
      </c>
      <c r="H1330" s="40" t="str">
        <f>IF(Agent07_Loans!B142="","",Agent07_Loans!H142)</f>
        <v/>
      </c>
      <c r="I1330" s="43" t="str">
        <f>IF(Agent07_Loans!B142="","",Agent07_Loans!I142)</f>
        <v/>
      </c>
      <c r="J1330" s="43" t="str">
        <f>IF(Agent07_Loans!B142="","",Agent07_Loans!J142)</f>
        <v/>
      </c>
      <c r="K1330" s="40" t="str">
        <f>IF(Agent07_Loans!B142="","",Agent07_Loans!K142)</f>
        <v/>
      </c>
      <c r="L1330" s="40" t="str">
        <f>IF(Agent07_Loans!B142="","",Agent07_Loans!L142)</f>
        <v/>
      </c>
      <c r="M1330" s="40" t="str">
        <f>IFERROR(IF(Agent07_Loans!B142="","",YEAR(Agent07_Loans!D142)),"")</f>
        <v/>
      </c>
    </row>
    <row r="1331" spans="1:13" ht="18" customHeight="1" x14ac:dyDescent="0.25">
      <c r="A1331" s="40" t="str">
        <f>IF(Agent07_Loans!B143="","",Agent07_Loans!A143)</f>
        <v/>
      </c>
      <c r="B1331" s="40" t="str">
        <f>IF(Agent07_Loans!B143="","",Agent07_Loans!B143)</f>
        <v/>
      </c>
      <c r="C1331" s="40" t="str">
        <f>IF(Agent07_Loans!B143="","",Agent07_Loans!C143)</f>
        <v/>
      </c>
      <c r="D1331" s="41" t="str">
        <f>IF(Agent07_Loans!B143="","",Agent07_Loans!D143)</f>
        <v/>
      </c>
      <c r="E1331" s="43" t="str">
        <f>IF(Agent07_Loans!B143="","",Agent07_Loans!E143)</f>
        <v/>
      </c>
      <c r="F1331" s="40" t="str">
        <f>IF(Agent07_Loans!B143="","",Agent07_Loans!F143)</f>
        <v/>
      </c>
      <c r="G1331" s="40" t="str">
        <f>IF(Agent07_Loans!B143="","",Agent07_Loans!G143)</f>
        <v/>
      </c>
      <c r="H1331" s="40" t="str">
        <f>IF(Agent07_Loans!B143="","",Agent07_Loans!H143)</f>
        <v/>
      </c>
      <c r="I1331" s="43" t="str">
        <f>IF(Agent07_Loans!B143="","",Agent07_Loans!I143)</f>
        <v/>
      </c>
      <c r="J1331" s="43" t="str">
        <f>IF(Agent07_Loans!B143="","",Agent07_Loans!J143)</f>
        <v/>
      </c>
      <c r="K1331" s="40" t="str">
        <f>IF(Agent07_Loans!B143="","",Agent07_Loans!K143)</f>
        <v/>
      </c>
      <c r="L1331" s="40" t="str">
        <f>IF(Agent07_Loans!B143="","",Agent07_Loans!L143)</f>
        <v/>
      </c>
      <c r="M1331" s="40" t="str">
        <f>IFERROR(IF(Agent07_Loans!B143="","",YEAR(Agent07_Loans!D143)),"")</f>
        <v/>
      </c>
    </row>
    <row r="1332" spans="1:13" ht="18" customHeight="1" x14ac:dyDescent="0.25">
      <c r="A1332" s="40" t="str">
        <f>IF(Agent07_Loans!B144="","",Agent07_Loans!A144)</f>
        <v/>
      </c>
      <c r="B1332" s="40" t="str">
        <f>IF(Agent07_Loans!B144="","",Agent07_Loans!B144)</f>
        <v/>
      </c>
      <c r="C1332" s="40" t="str">
        <f>IF(Agent07_Loans!B144="","",Agent07_Loans!C144)</f>
        <v/>
      </c>
      <c r="D1332" s="41" t="str">
        <f>IF(Agent07_Loans!B144="","",Agent07_Loans!D144)</f>
        <v/>
      </c>
      <c r="E1332" s="43" t="str">
        <f>IF(Agent07_Loans!B144="","",Agent07_Loans!E144)</f>
        <v/>
      </c>
      <c r="F1332" s="40" t="str">
        <f>IF(Agent07_Loans!B144="","",Agent07_Loans!F144)</f>
        <v/>
      </c>
      <c r="G1332" s="40" t="str">
        <f>IF(Agent07_Loans!B144="","",Agent07_Loans!G144)</f>
        <v/>
      </c>
      <c r="H1332" s="40" t="str">
        <f>IF(Agent07_Loans!B144="","",Agent07_Loans!H144)</f>
        <v/>
      </c>
      <c r="I1332" s="43" t="str">
        <f>IF(Agent07_Loans!B144="","",Agent07_Loans!I144)</f>
        <v/>
      </c>
      <c r="J1332" s="43" t="str">
        <f>IF(Agent07_Loans!B144="","",Agent07_Loans!J144)</f>
        <v/>
      </c>
      <c r="K1332" s="40" t="str">
        <f>IF(Agent07_Loans!B144="","",Agent07_Loans!K144)</f>
        <v/>
      </c>
      <c r="L1332" s="40" t="str">
        <f>IF(Agent07_Loans!B144="","",Agent07_Loans!L144)</f>
        <v/>
      </c>
      <c r="M1332" s="40" t="str">
        <f>IFERROR(IF(Agent07_Loans!B144="","",YEAR(Agent07_Loans!D144)),"")</f>
        <v/>
      </c>
    </row>
    <row r="1333" spans="1:13" ht="18" customHeight="1" x14ac:dyDescent="0.25">
      <c r="A1333" s="40" t="str">
        <f>IF(Agent07_Loans!B145="","",Agent07_Loans!A145)</f>
        <v/>
      </c>
      <c r="B1333" s="40" t="str">
        <f>IF(Agent07_Loans!B145="","",Agent07_Loans!B145)</f>
        <v/>
      </c>
      <c r="C1333" s="40" t="str">
        <f>IF(Agent07_Loans!B145="","",Agent07_Loans!C145)</f>
        <v/>
      </c>
      <c r="D1333" s="41" t="str">
        <f>IF(Agent07_Loans!B145="","",Agent07_Loans!D145)</f>
        <v/>
      </c>
      <c r="E1333" s="43" t="str">
        <f>IF(Agent07_Loans!B145="","",Agent07_Loans!E145)</f>
        <v/>
      </c>
      <c r="F1333" s="40" t="str">
        <f>IF(Agent07_Loans!B145="","",Agent07_Loans!F145)</f>
        <v/>
      </c>
      <c r="G1333" s="40" t="str">
        <f>IF(Agent07_Loans!B145="","",Agent07_Loans!G145)</f>
        <v/>
      </c>
      <c r="H1333" s="40" t="str">
        <f>IF(Agent07_Loans!B145="","",Agent07_Loans!H145)</f>
        <v/>
      </c>
      <c r="I1333" s="43" t="str">
        <f>IF(Agent07_Loans!B145="","",Agent07_Loans!I145)</f>
        <v/>
      </c>
      <c r="J1333" s="43" t="str">
        <f>IF(Agent07_Loans!B145="","",Agent07_Loans!J145)</f>
        <v/>
      </c>
      <c r="K1333" s="40" t="str">
        <f>IF(Agent07_Loans!B145="","",Agent07_Loans!K145)</f>
        <v/>
      </c>
      <c r="L1333" s="40" t="str">
        <f>IF(Agent07_Loans!B145="","",Agent07_Loans!L145)</f>
        <v/>
      </c>
      <c r="M1333" s="40" t="str">
        <f>IFERROR(IF(Agent07_Loans!B145="","",YEAR(Agent07_Loans!D145)),"")</f>
        <v/>
      </c>
    </row>
    <row r="1334" spans="1:13" ht="18" customHeight="1" x14ac:dyDescent="0.25">
      <c r="A1334" s="40" t="str">
        <f>IF(Agent07_Loans!B146="","",Agent07_Loans!A146)</f>
        <v/>
      </c>
      <c r="B1334" s="40" t="str">
        <f>IF(Agent07_Loans!B146="","",Agent07_Loans!B146)</f>
        <v/>
      </c>
      <c r="C1334" s="40" t="str">
        <f>IF(Agent07_Loans!B146="","",Agent07_Loans!C146)</f>
        <v/>
      </c>
      <c r="D1334" s="41" t="str">
        <f>IF(Agent07_Loans!B146="","",Agent07_Loans!D146)</f>
        <v/>
      </c>
      <c r="E1334" s="43" t="str">
        <f>IF(Agent07_Loans!B146="","",Agent07_Loans!E146)</f>
        <v/>
      </c>
      <c r="F1334" s="40" t="str">
        <f>IF(Agent07_Loans!B146="","",Agent07_Loans!F146)</f>
        <v/>
      </c>
      <c r="G1334" s="40" t="str">
        <f>IF(Agent07_Loans!B146="","",Agent07_Loans!G146)</f>
        <v/>
      </c>
      <c r="H1334" s="40" t="str">
        <f>IF(Agent07_Loans!B146="","",Agent07_Loans!H146)</f>
        <v/>
      </c>
      <c r="I1334" s="43" t="str">
        <f>IF(Agent07_Loans!B146="","",Agent07_Loans!I146)</f>
        <v/>
      </c>
      <c r="J1334" s="43" t="str">
        <f>IF(Agent07_Loans!B146="","",Agent07_Loans!J146)</f>
        <v/>
      </c>
      <c r="K1334" s="40" t="str">
        <f>IF(Agent07_Loans!B146="","",Agent07_Loans!K146)</f>
        <v/>
      </c>
      <c r="L1334" s="40" t="str">
        <f>IF(Agent07_Loans!B146="","",Agent07_Loans!L146)</f>
        <v/>
      </c>
      <c r="M1334" s="40" t="str">
        <f>IFERROR(IF(Agent07_Loans!B146="","",YEAR(Agent07_Loans!D146)),"")</f>
        <v/>
      </c>
    </row>
    <row r="1335" spans="1:13" ht="18" customHeight="1" x14ac:dyDescent="0.25">
      <c r="A1335" s="40" t="str">
        <f>IF(Agent07_Loans!B147="","",Agent07_Loans!A147)</f>
        <v/>
      </c>
      <c r="B1335" s="40" t="str">
        <f>IF(Agent07_Loans!B147="","",Agent07_Loans!B147)</f>
        <v/>
      </c>
      <c r="C1335" s="40" t="str">
        <f>IF(Agent07_Loans!B147="","",Agent07_Loans!C147)</f>
        <v/>
      </c>
      <c r="D1335" s="41" t="str">
        <f>IF(Agent07_Loans!B147="","",Agent07_Loans!D147)</f>
        <v/>
      </c>
      <c r="E1335" s="43" t="str">
        <f>IF(Agent07_Loans!B147="","",Agent07_Loans!E147)</f>
        <v/>
      </c>
      <c r="F1335" s="40" t="str">
        <f>IF(Agent07_Loans!B147="","",Agent07_Loans!F147)</f>
        <v/>
      </c>
      <c r="G1335" s="40" t="str">
        <f>IF(Agent07_Loans!B147="","",Agent07_Loans!G147)</f>
        <v/>
      </c>
      <c r="H1335" s="40" t="str">
        <f>IF(Agent07_Loans!B147="","",Agent07_Loans!H147)</f>
        <v/>
      </c>
      <c r="I1335" s="43" t="str">
        <f>IF(Agent07_Loans!B147="","",Agent07_Loans!I147)</f>
        <v/>
      </c>
      <c r="J1335" s="43" t="str">
        <f>IF(Agent07_Loans!B147="","",Agent07_Loans!J147)</f>
        <v/>
      </c>
      <c r="K1335" s="40" t="str">
        <f>IF(Agent07_Loans!B147="","",Agent07_Loans!K147)</f>
        <v/>
      </c>
      <c r="L1335" s="40" t="str">
        <f>IF(Agent07_Loans!B147="","",Agent07_Loans!L147)</f>
        <v/>
      </c>
      <c r="M1335" s="40" t="str">
        <f>IFERROR(IF(Agent07_Loans!B147="","",YEAR(Agent07_Loans!D147)),"")</f>
        <v/>
      </c>
    </row>
    <row r="1336" spans="1:13" ht="18" customHeight="1" x14ac:dyDescent="0.25">
      <c r="A1336" s="40" t="str">
        <f>IF(Agent07_Loans!B148="","",Agent07_Loans!A148)</f>
        <v/>
      </c>
      <c r="B1336" s="40" t="str">
        <f>IF(Agent07_Loans!B148="","",Agent07_Loans!B148)</f>
        <v/>
      </c>
      <c r="C1336" s="40" t="str">
        <f>IF(Agent07_Loans!B148="","",Agent07_Loans!C148)</f>
        <v/>
      </c>
      <c r="D1336" s="41" t="str">
        <f>IF(Agent07_Loans!B148="","",Agent07_Loans!D148)</f>
        <v/>
      </c>
      <c r="E1336" s="43" t="str">
        <f>IF(Agent07_Loans!B148="","",Agent07_Loans!E148)</f>
        <v/>
      </c>
      <c r="F1336" s="40" t="str">
        <f>IF(Agent07_Loans!B148="","",Agent07_Loans!F148)</f>
        <v/>
      </c>
      <c r="G1336" s="40" t="str">
        <f>IF(Agent07_Loans!B148="","",Agent07_Loans!G148)</f>
        <v/>
      </c>
      <c r="H1336" s="40" t="str">
        <f>IF(Agent07_Loans!B148="","",Agent07_Loans!H148)</f>
        <v/>
      </c>
      <c r="I1336" s="43" t="str">
        <f>IF(Agent07_Loans!B148="","",Agent07_Loans!I148)</f>
        <v/>
      </c>
      <c r="J1336" s="43" t="str">
        <f>IF(Agent07_Loans!B148="","",Agent07_Loans!J148)</f>
        <v/>
      </c>
      <c r="K1336" s="40" t="str">
        <f>IF(Agent07_Loans!B148="","",Agent07_Loans!K148)</f>
        <v/>
      </c>
      <c r="L1336" s="40" t="str">
        <f>IF(Agent07_Loans!B148="","",Agent07_Loans!L148)</f>
        <v/>
      </c>
      <c r="M1336" s="40" t="str">
        <f>IFERROR(IF(Agent07_Loans!B148="","",YEAR(Agent07_Loans!D148)),"")</f>
        <v/>
      </c>
    </row>
    <row r="1337" spans="1:13" ht="18" customHeight="1" x14ac:dyDescent="0.25">
      <c r="A1337" s="40" t="str">
        <f>IF(Agent07_Loans!B149="","",Agent07_Loans!A149)</f>
        <v/>
      </c>
      <c r="B1337" s="40" t="str">
        <f>IF(Agent07_Loans!B149="","",Agent07_Loans!B149)</f>
        <v/>
      </c>
      <c r="C1337" s="40" t="str">
        <f>IF(Agent07_Loans!B149="","",Agent07_Loans!C149)</f>
        <v/>
      </c>
      <c r="D1337" s="41" t="str">
        <f>IF(Agent07_Loans!B149="","",Agent07_Loans!D149)</f>
        <v/>
      </c>
      <c r="E1337" s="43" t="str">
        <f>IF(Agent07_Loans!B149="","",Agent07_Loans!E149)</f>
        <v/>
      </c>
      <c r="F1337" s="40" t="str">
        <f>IF(Agent07_Loans!B149="","",Agent07_Loans!F149)</f>
        <v/>
      </c>
      <c r="G1337" s="40" t="str">
        <f>IF(Agent07_Loans!B149="","",Agent07_Loans!G149)</f>
        <v/>
      </c>
      <c r="H1337" s="40" t="str">
        <f>IF(Agent07_Loans!B149="","",Agent07_Loans!H149)</f>
        <v/>
      </c>
      <c r="I1337" s="43" t="str">
        <f>IF(Agent07_Loans!B149="","",Agent07_Loans!I149)</f>
        <v/>
      </c>
      <c r="J1337" s="43" t="str">
        <f>IF(Agent07_Loans!B149="","",Agent07_Loans!J149)</f>
        <v/>
      </c>
      <c r="K1337" s="40" t="str">
        <f>IF(Agent07_Loans!B149="","",Agent07_Loans!K149)</f>
        <v/>
      </c>
      <c r="L1337" s="40" t="str">
        <f>IF(Agent07_Loans!B149="","",Agent07_Loans!L149)</f>
        <v/>
      </c>
      <c r="M1337" s="40" t="str">
        <f>IFERROR(IF(Agent07_Loans!B149="","",YEAR(Agent07_Loans!D149)),"")</f>
        <v/>
      </c>
    </row>
    <row r="1338" spans="1:13" ht="18" customHeight="1" x14ac:dyDescent="0.25">
      <c r="A1338" s="40" t="str">
        <f>IF(Agent07_Loans!B150="","",Agent07_Loans!A150)</f>
        <v/>
      </c>
      <c r="B1338" s="40" t="str">
        <f>IF(Agent07_Loans!B150="","",Agent07_Loans!B150)</f>
        <v/>
      </c>
      <c r="C1338" s="40" t="str">
        <f>IF(Agent07_Loans!B150="","",Agent07_Loans!C150)</f>
        <v/>
      </c>
      <c r="D1338" s="41" t="str">
        <f>IF(Agent07_Loans!B150="","",Agent07_Loans!D150)</f>
        <v/>
      </c>
      <c r="E1338" s="43" t="str">
        <f>IF(Agent07_Loans!B150="","",Agent07_Loans!E150)</f>
        <v/>
      </c>
      <c r="F1338" s="40" t="str">
        <f>IF(Agent07_Loans!B150="","",Agent07_Loans!F150)</f>
        <v/>
      </c>
      <c r="G1338" s="40" t="str">
        <f>IF(Agent07_Loans!B150="","",Agent07_Loans!G150)</f>
        <v/>
      </c>
      <c r="H1338" s="40" t="str">
        <f>IF(Agent07_Loans!B150="","",Agent07_Loans!H150)</f>
        <v/>
      </c>
      <c r="I1338" s="43" t="str">
        <f>IF(Agent07_Loans!B150="","",Agent07_Loans!I150)</f>
        <v/>
      </c>
      <c r="J1338" s="43" t="str">
        <f>IF(Agent07_Loans!B150="","",Agent07_Loans!J150)</f>
        <v/>
      </c>
      <c r="K1338" s="40" t="str">
        <f>IF(Agent07_Loans!B150="","",Agent07_Loans!K150)</f>
        <v/>
      </c>
      <c r="L1338" s="40" t="str">
        <f>IF(Agent07_Loans!B150="","",Agent07_Loans!L150)</f>
        <v/>
      </c>
      <c r="M1338" s="40" t="str">
        <f>IFERROR(IF(Agent07_Loans!B150="","",YEAR(Agent07_Loans!D150)),"")</f>
        <v/>
      </c>
    </row>
    <row r="1339" spans="1:13" ht="18" customHeight="1" x14ac:dyDescent="0.25">
      <c r="A1339" s="40" t="str">
        <f>IF(Agent07_Loans!B151="","",Agent07_Loans!A151)</f>
        <v/>
      </c>
      <c r="B1339" s="40" t="str">
        <f>IF(Agent07_Loans!B151="","",Agent07_Loans!B151)</f>
        <v/>
      </c>
      <c r="C1339" s="40" t="str">
        <f>IF(Agent07_Loans!B151="","",Agent07_Loans!C151)</f>
        <v/>
      </c>
      <c r="D1339" s="41" t="str">
        <f>IF(Agent07_Loans!B151="","",Agent07_Loans!D151)</f>
        <v/>
      </c>
      <c r="E1339" s="43" t="str">
        <f>IF(Agent07_Loans!B151="","",Agent07_Loans!E151)</f>
        <v/>
      </c>
      <c r="F1339" s="40" t="str">
        <f>IF(Agent07_Loans!B151="","",Agent07_Loans!F151)</f>
        <v/>
      </c>
      <c r="G1339" s="40" t="str">
        <f>IF(Agent07_Loans!B151="","",Agent07_Loans!G151)</f>
        <v/>
      </c>
      <c r="H1339" s="40" t="str">
        <f>IF(Agent07_Loans!B151="","",Agent07_Loans!H151)</f>
        <v/>
      </c>
      <c r="I1339" s="43" t="str">
        <f>IF(Agent07_Loans!B151="","",Agent07_Loans!I151)</f>
        <v/>
      </c>
      <c r="J1339" s="43" t="str">
        <f>IF(Agent07_Loans!B151="","",Agent07_Loans!J151)</f>
        <v/>
      </c>
      <c r="K1339" s="40" t="str">
        <f>IF(Agent07_Loans!B151="","",Agent07_Loans!K151)</f>
        <v/>
      </c>
      <c r="L1339" s="40" t="str">
        <f>IF(Agent07_Loans!B151="","",Agent07_Loans!L151)</f>
        <v/>
      </c>
      <c r="M1339" s="40" t="str">
        <f>IFERROR(IF(Agent07_Loans!B151="","",YEAR(Agent07_Loans!D151)),"")</f>
        <v/>
      </c>
    </row>
    <row r="1340" spans="1:13" ht="18" customHeight="1" x14ac:dyDescent="0.25">
      <c r="A1340" s="40" t="str">
        <f>IF(Agent07_Loans!B152="","",Agent07_Loans!A152)</f>
        <v/>
      </c>
      <c r="B1340" s="40" t="str">
        <f>IF(Agent07_Loans!B152="","",Agent07_Loans!B152)</f>
        <v/>
      </c>
      <c r="C1340" s="40" t="str">
        <f>IF(Agent07_Loans!B152="","",Agent07_Loans!C152)</f>
        <v/>
      </c>
      <c r="D1340" s="41" t="str">
        <f>IF(Agent07_Loans!B152="","",Agent07_Loans!D152)</f>
        <v/>
      </c>
      <c r="E1340" s="43" t="str">
        <f>IF(Agent07_Loans!B152="","",Agent07_Loans!E152)</f>
        <v/>
      </c>
      <c r="F1340" s="40" t="str">
        <f>IF(Agent07_Loans!B152="","",Agent07_Loans!F152)</f>
        <v/>
      </c>
      <c r="G1340" s="40" t="str">
        <f>IF(Agent07_Loans!B152="","",Agent07_Loans!G152)</f>
        <v/>
      </c>
      <c r="H1340" s="40" t="str">
        <f>IF(Agent07_Loans!B152="","",Agent07_Loans!H152)</f>
        <v/>
      </c>
      <c r="I1340" s="43" t="str">
        <f>IF(Agent07_Loans!B152="","",Agent07_Loans!I152)</f>
        <v/>
      </c>
      <c r="J1340" s="43" t="str">
        <f>IF(Agent07_Loans!B152="","",Agent07_Loans!J152)</f>
        <v/>
      </c>
      <c r="K1340" s="40" t="str">
        <f>IF(Agent07_Loans!B152="","",Agent07_Loans!K152)</f>
        <v/>
      </c>
      <c r="L1340" s="40" t="str">
        <f>IF(Agent07_Loans!B152="","",Agent07_Loans!L152)</f>
        <v/>
      </c>
      <c r="M1340" s="40" t="str">
        <f>IFERROR(IF(Agent07_Loans!B152="","",YEAR(Agent07_Loans!D152)),"")</f>
        <v/>
      </c>
    </row>
    <row r="1341" spans="1:13" ht="18" customHeight="1" x14ac:dyDescent="0.25">
      <c r="A1341" s="40" t="str">
        <f>IF(Agent07_Loans!B153="","",Agent07_Loans!A153)</f>
        <v/>
      </c>
      <c r="B1341" s="40" t="str">
        <f>IF(Agent07_Loans!B153="","",Agent07_Loans!B153)</f>
        <v/>
      </c>
      <c r="C1341" s="40" t="str">
        <f>IF(Agent07_Loans!B153="","",Agent07_Loans!C153)</f>
        <v/>
      </c>
      <c r="D1341" s="41" t="str">
        <f>IF(Agent07_Loans!B153="","",Agent07_Loans!D153)</f>
        <v/>
      </c>
      <c r="E1341" s="43" t="str">
        <f>IF(Agent07_Loans!B153="","",Agent07_Loans!E153)</f>
        <v/>
      </c>
      <c r="F1341" s="40" t="str">
        <f>IF(Agent07_Loans!B153="","",Agent07_Loans!F153)</f>
        <v/>
      </c>
      <c r="G1341" s="40" t="str">
        <f>IF(Agent07_Loans!B153="","",Agent07_Loans!G153)</f>
        <v/>
      </c>
      <c r="H1341" s="40" t="str">
        <f>IF(Agent07_Loans!B153="","",Agent07_Loans!H153)</f>
        <v/>
      </c>
      <c r="I1341" s="43" t="str">
        <f>IF(Agent07_Loans!B153="","",Agent07_Loans!I153)</f>
        <v/>
      </c>
      <c r="J1341" s="43" t="str">
        <f>IF(Agent07_Loans!B153="","",Agent07_Loans!J153)</f>
        <v/>
      </c>
      <c r="K1341" s="40" t="str">
        <f>IF(Agent07_Loans!B153="","",Agent07_Loans!K153)</f>
        <v/>
      </c>
      <c r="L1341" s="40" t="str">
        <f>IF(Agent07_Loans!B153="","",Agent07_Loans!L153)</f>
        <v/>
      </c>
      <c r="M1341" s="40" t="str">
        <f>IFERROR(IF(Agent07_Loans!B153="","",YEAR(Agent07_Loans!D153)),"")</f>
        <v/>
      </c>
    </row>
    <row r="1342" spans="1:13" ht="18" customHeight="1" x14ac:dyDescent="0.25">
      <c r="A1342" s="40" t="str">
        <f>IF(Agent07_Loans!B154="","",Agent07_Loans!A154)</f>
        <v/>
      </c>
      <c r="B1342" s="40" t="str">
        <f>IF(Agent07_Loans!B154="","",Agent07_Loans!B154)</f>
        <v/>
      </c>
      <c r="C1342" s="40" t="str">
        <f>IF(Agent07_Loans!B154="","",Agent07_Loans!C154)</f>
        <v/>
      </c>
      <c r="D1342" s="41" t="str">
        <f>IF(Agent07_Loans!B154="","",Agent07_Loans!D154)</f>
        <v/>
      </c>
      <c r="E1342" s="43" t="str">
        <f>IF(Agent07_Loans!B154="","",Agent07_Loans!E154)</f>
        <v/>
      </c>
      <c r="F1342" s="40" t="str">
        <f>IF(Agent07_Loans!B154="","",Agent07_Loans!F154)</f>
        <v/>
      </c>
      <c r="G1342" s="40" t="str">
        <f>IF(Agent07_Loans!B154="","",Agent07_Loans!G154)</f>
        <v/>
      </c>
      <c r="H1342" s="40" t="str">
        <f>IF(Agent07_Loans!B154="","",Agent07_Loans!H154)</f>
        <v/>
      </c>
      <c r="I1342" s="43" t="str">
        <f>IF(Agent07_Loans!B154="","",Agent07_Loans!I154)</f>
        <v/>
      </c>
      <c r="J1342" s="43" t="str">
        <f>IF(Agent07_Loans!B154="","",Agent07_Loans!J154)</f>
        <v/>
      </c>
      <c r="K1342" s="40" t="str">
        <f>IF(Agent07_Loans!B154="","",Agent07_Loans!K154)</f>
        <v/>
      </c>
      <c r="L1342" s="40" t="str">
        <f>IF(Agent07_Loans!B154="","",Agent07_Loans!L154)</f>
        <v/>
      </c>
      <c r="M1342" s="40" t="str">
        <f>IFERROR(IF(Agent07_Loans!B154="","",YEAR(Agent07_Loans!D154)),"")</f>
        <v/>
      </c>
    </row>
    <row r="1343" spans="1:13" ht="18" customHeight="1" x14ac:dyDescent="0.25">
      <c r="A1343" s="40" t="str">
        <f>IF(Agent07_Loans!B155="","",Agent07_Loans!A155)</f>
        <v/>
      </c>
      <c r="B1343" s="40" t="str">
        <f>IF(Agent07_Loans!B155="","",Agent07_Loans!B155)</f>
        <v/>
      </c>
      <c r="C1343" s="40" t="str">
        <f>IF(Agent07_Loans!B155="","",Agent07_Loans!C155)</f>
        <v/>
      </c>
      <c r="D1343" s="41" t="str">
        <f>IF(Agent07_Loans!B155="","",Agent07_Loans!D155)</f>
        <v/>
      </c>
      <c r="E1343" s="43" t="str">
        <f>IF(Agent07_Loans!B155="","",Agent07_Loans!E155)</f>
        <v/>
      </c>
      <c r="F1343" s="40" t="str">
        <f>IF(Agent07_Loans!B155="","",Agent07_Loans!F155)</f>
        <v/>
      </c>
      <c r="G1343" s="40" t="str">
        <f>IF(Agent07_Loans!B155="","",Agent07_Loans!G155)</f>
        <v/>
      </c>
      <c r="H1343" s="40" t="str">
        <f>IF(Agent07_Loans!B155="","",Agent07_Loans!H155)</f>
        <v/>
      </c>
      <c r="I1343" s="43" t="str">
        <f>IF(Agent07_Loans!B155="","",Agent07_Loans!I155)</f>
        <v/>
      </c>
      <c r="J1343" s="43" t="str">
        <f>IF(Agent07_Loans!B155="","",Agent07_Loans!J155)</f>
        <v/>
      </c>
      <c r="K1343" s="40" t="str">
        <f>IF(Agent07_Loans!B155="","",Agent07_Loans!K155)</f>
        <v/>
      </c>
      <c r="L1343" s="40" t="str">
        <f>IF(Agent07_Loans!B155="","",Agent07_Loans!L155)</f>
        <v/>
      </c>
      <c r="M1343" s="40" t="str">
        <f>IFERROR(IF(Agent07_Loans!B155="","",YEAR(Agent07_Loans!D155)),"")</f>
        <v/>
      </c>
    </row>
    <row r="1344" spans="1:13" ht="18" customHeight="1" x14ac:dyDescent="0.25">
      <c r="A1344" s="40" t="str">
        <f>IF(Agent07_Loans!B156="","",Agent07_Loans!A156)</f>
        <v/>
      </c>
      <c r="B1344" s="40" t="str">
        <f>IF(Agent07_Loans!B156="","",Agent07_Loans!B156)</f>
        <v/>
      </c>
      <c r="C1344" s="40" t="str">
        <f>IF(Agent07_Loans!B156="","",Agent07_Loans!C156)</f>
        <v/>
      </c>
      <c r="D1344" s="41" t="str">
        <f>IF(Agent07_Loans!B156="","",Agent07_Loans!D156)</f>
        <v/>
      </c>
      <c r="E1344" s="43" t="str">
        <f>IF(Agent07_Loans!B156="","",Agent07_Loans!E156)</f>
        <v/>
      </c>
      <c r="F1344" s="40" t="str">
        <f>IF(Agent07_Loans!B156="","",Agent07_Loans!F156)</f>
        <v/>
      </c>
      <c r="G1344" s="40" t="str">
        <f>IF(Agent07_Loans!B156="","",Agent07_Loans!G156)</f>
        <v/>
      </c>
      <c r="H1344" s="40" t="str">
        <f>IF(Agent07_Loans!B156="","",Agent07_Loans!H156)</f>
        <v/>
      </c>
      <c r="I1344" s="43" t="str">
        <f>IF(Agent07_Loans!B156="","",Agent07_Loans!I156)</f>
        <v/>
      </c>
      <c r="J1344" s="43" t="str">
        <f>IF(Agent07_Loans!B156="","",Agent07_Loans!J156)</f>
        <v/>
      </c>
      <c r="K1344" s="40" t="str">
        <f>IF(Agent07_Loans!B156="","",Agent07_Loans!K156)</f>
        <v/>
      </c>
      <c r="L1344" s="40" t="str">
        <f>IF(Agent07_Loans!B156="","",Agent07_Loans!L156)</f>
        <v/>
      </c>
      <c r="M1344" s="40" t="str">
        <f>IFERROR(IF(Agent07_Loans!B156="","",YEAR(Agent07_Loans!D156)),"")</f>
        <v/>
      </c>
    </row>
    <row r="1345" spans="1:13" ht="18" customHeight="1" x14ac:dyDescent="0.25">
      <c r="A1345" s="40" t="str">
        <f>IF(Agent07_Loans!B157="","",Agent07_Loans!A157)</f>
        <v/>
      </c>
      <c r="B1345" s="40" t="str">
        <f>IF(Agent07_Loans!B157="","",Agent07_Loans!B157)</f>
        <v/>
      </c>
      <c r="C1345" s="40" t="str">
        <f>IF(Agent07_Loans!B157="","",Agent07_Loans!C157)</f>
        <v/>
      </c>
      <c r="D1345" s="41" t="str">
        <f>IF(Agent07_Loans!B157="","",Agent07_Loans!D157)</f>
        <v/>
      </c>
      <c r="E1345" s="43" t="str">
        <f>IF(Agent07_Loans!B157="","",Agent07_Loans!E157)</f>
        <v/>
      </c>
      <c r="F1345" s="40" t="str">
        <f>IF(Agent07_Loans!B157="","",Agent07_Loans!F157)</f>
        <v/>
      </c>
      <c r="G1345" s="40" t="str">
        <f>IF(Agent07_Loans!B157="","",Agent07_Loans!G157)</f>
        <v/>
      </c>
      <c r="H1345" s="40" t="str">
        <f>IF(Agent07_Loans!B157="","",Agent07_Loans!H157)</f>
        <v/>
      </c>
      <c r="I1345" s="43" t="str">
        <f>IF(Agent07_Loans!B157="","",Agent07_Loans!I157)</f>
        <v/>
      </c>
      <c r="J1345" s="43" t="str">
        <f>IF(Agent07_Loans!B157="","",Agent07_Loans!J157)</f>
        <v/>
      </c>
      <c r="K1345" s="40" t="str">
        <f>IF(Agent07_Loans!B157="","",Agent07_Loans!K157)</f>
        <v/>
      </c>
      <c r="L1345" s="40" t="str">
        <f>IF(Agent07_Loans!B157="","",Agent07_Loans!L157)</f>
        <v/>
      </c>
      <c r="M1345" s="40" t="str">
        <f>IFERROR(IF(Agent07_Loans!B157="","",YEAR(Agent07_Loans!D157)),"")</f>
        <v/>
      </c>
    </row>
    <row r="1346" spans="1:13" ht="18" customHeight="1" x14ac:dyDescent="0.25">
      <c r="A1346" s="40" t="str">
        <f>IF(Agent07_Loans!B158="","",Agent07_Loans!A158)</f>
        <v/>
      </c>
      <c r="B1346" s="40" t="str">
        <f>IF(Agent07_Loans!B158="","",Agent07_Loans!B158)</f>
        <v/>
      </c>
      <c r="C1346" s="40" t="str">
        <f>IF(Agent07_Loans!B158="","",Agent07_Loans!C158)</f>
        <v/>
      </c>
      <c r="D1346" s="41" t="str">
        <f>IF(Agent07_Loans!B158="","",Agent07_Loans!D158)</f>
        <v/>
      </c>
      <c r="E1346" s="43" t="str">
        <f>IF(Agent07_Loans!B158="","",Agent07_Loans!E158)</f>
        <v/>
      </c>
      <c r="F1346" s="40" t="str">
        <f>IF(Agent07_Loans!B158="","",Agent07_Loans!F158)</f>
        <v/>
      </c>
      <c r="G1346" s="40" t="str">
        <f>IF(Agent07_Loans!B158="","",Agent07_Loans!G158)</f>
        <v/>
      </c>
      <c r="H1346" s="40" t="str">
        <f>IF(Agent07_Loans!B158="","",Agent07_Loans!H158)</f>
        <v/>
      </c>
      <c r="I1346" s="43" t="str">
        <f>IF(Agent07_Loans!B158="","",Agent07_Loans!I158)</f>
        <v/>
      </c>
      <c r="J1346" s="43" t="str">
        <f>IF(Agent07_Loans!B158="","",Agent07_Loans!J158)</f>
        <v/>
      </c>
      <c r="K1346" s="40" t="str">
        <f>IF(Agent07_Loans!B158="","",Agent07_Loans!K158)</f>
        <v/>
      </c>
      <c r="L1346" s="40" t="str">
        <f>IF(Agent07_Loans!B158="","",Agent07_Loans!L158)</f>
        <v/>
      </c>
      <c r="M1346" s="40" t="str">
        <f>IFERROR(IF(Agent07_Loans!B158="","",YEAR(Agent07_Loans!D158)),"")</f>
        <v/>
      </c>
    </row>
    <row r="1347" spans="1:13" ht="18" customHeight="1" x14ac:dyDescent="0.25">
      <c r="A1347" s="40" t="str">
        <f>IF(Agent07_Loans!B159="","",Agent07_Loans!A159)</f>
        <v/>
      </c>
      <c r="B1347" s="40" t="str">
        <f>IF(Agent07_Loans!B159="","",Agent07_Loans!B159)</f>
        <v/>
      </c>
      <c r="C1347" s="40" t="str">
        <f>IF(Agent07_Loans!B159="","",Agent07_Loans!C159)</f>
        <v/>
      </c>
      <c r="D1347" s="41" t="str">
        <f>IF(Agent07_Loans!B159="","",Agent07_Loans!D159)</f>
        <v/>
      </c>
      <c r="E1347" s="43" t="str">
        <f>IF(Agent07_Loans!B159="","",Agent07_Loans!E159)</f>
        <v/>
      </c>
      <c r="F1347" s="40" t="str">
        <f>IF(Agent07_Loans!B159="","",Agent07_Loans!F159)</f>
        <v/>
      </c>
      <c r="G1347" s="40" t="str">
        <f>IF(Agent07_Loans!B159="","",Agent07_Loans!G159)</f>
        <v/>
      </c>
      <c r="H1347" s="40" t="str">
        <f>IF(Agent07_Loans!B159="","",Agent07_Loans!H159)</f>
        <v/>
      </c>
      <c r="I1347" s="43" t="str">
        <f>IF(Agent07_Loans!B159="","",Agent07_Loans!I159)</f>
        <v/>
      </c>
      <c r="J1347" s="43" t="str">
        <f>IF(Agent07_Loans!B159="","",Agent07_Loans!J159)</f>
        <v/>
      </c>
      <c r="K1347" s="40" t="str">
        <f>IF(Agent07_Loans!B159="","",Agent07_Loans!K159)</f>
        <v/>
      </c>
      <c r="L1347" s="40" t="str">
        <f>IF(Agent07_Loans!B159="","",Agent07_Loans!L159)</f>
        <v/>
      </c>
      <c r="M1347" s="40" t="str">
        <f>IFERROR(IF(Agent07_Loans!B159="","",YEAR(Agent07_Loans!D159)),"")</f>
        <v/>
      </c>
    </row>
    <row r="1348" spans="1:13" ht="18" customHeight="1" x14ac:dyDescent="0.25">
      <c r="A1348" s="40" t="str">
        <f>IF(Agent07_Loans!B160="","",Agent07_Loans!A160)</f>
        <v/>
      </c>
      <c r="B1348" s="40" t="str">
        <f>IF(Agent07_Loans!B160="","",Agent07_Loans!B160)</f>
        <v/>
      </c>
      <c r="C1348" s="40" t="str">
        <f>IF(Agent07_Loans!B160="","",Agent07_Loans!C160)</f>
        <v/>
      </c>
      <c r="D1348" s="41" t="str">
        <f>IF(Agent07_Loans!B160="","",Agent07_Loans!D160)</f>
        <v/>
      </c>
      <c r="E1348" s="43" t="str">
        <f>IF(Agent07_Loans!B160="","",Agent07_Loans!E160)</f>
        <v/>
      </c>
      <c r="F1348" s="40" t="str">
        <f>IF(Agent07_Loans!B160="","",Agent07_Loans!F160)</f>
        <v/>
      </c>
      <c r="G1348" s="40" t="str">
        <f>IF(Agent07_Loans!B160="","",Agent07_Loans!G160)</f>
        <v/>
      </c>
      <c r="H1348" s="40" t="str">
        <f>IF(Agent07_Loans!B160="","",Agent07_Loans!H160)</f>
        <v/>
      </c>
      <c r="I1348" s="43" t="str">
        <f>IF(Agent07_Loans!B160="","",Agent07_Loans!I160)</f>
        <v/>
      </c>
      <c r="J1348" s="43" t="str">
        <f>IF(Agent07_Loans!B160="","",Agent07_Loans!J160)</f>
        <v/>
      </c>
      <c r="K1348" s="40" t="str">
        <f>IF(Agent07_Loans!B160="","",Agent07_Loans!K160)</f>
        <v/>
      </c>
      <c r="L1348" s="40" t="str">
        <f>IF(Agent07_Loans!B160="","",Agent07_Loans!L160)</f>
        <v/>
      </c>
      <c r="M1348" s="40" t="str">
        <f>IFERROR(IF(Agent07_Loans!B160="","",YEAR(Agent07_Loans!D160)),"")</f>
        <v/>
      </c>
    </row>
    <row r="1349" spans="1:13" ht="18" customHeight="1" x14ac:dyDescent="0.25">
      <c r="A1349" s="40" t="str">
        <f>IF(Agent07_Loans!B161="","",Agent07_Loans!A161)</f>
        <v/>
      </c>
      <c r="B1349" s="40" t="str">
        <f>IF(Agent07_Loans!B161="","",Agent07_Loans!B161)</f>
        <v/>
      </c>
      <c r="C1349" s="40" t="str">
        <f>IF(Agent07_Loans!B161="","",Agent07_Loans!C161)</f>
        <v/>
      </c>
      <c r="D1349" s="41" t="str">
        <f>IF(Agent07_Loans!B161="","",Agent07_Loans!D161)</f>
        <v/>
      </c>
      <c r="E1349" s="43" t="str">
        <f>IF(Agent07_Loans!B161="","",Agent07_Loans!E161)</f>
        <v/>
      </c>
      <c r="F1349" s="40" t="str">
        <f>IF(Agent07_Loans!B161="","",Agent07_Loans!F161)</f>
        <v/>
      </c>
      <c r="G1349" s="40" t="str">
        <f>IF(Agent07_Loans!B161="","",Agent07_Loans!G161)</f>
        <v/>
      </c>
      <c r="H1349" s="40" t="str">
        <f>IF(Agent07_Loans!B161="","",Agent07_Loans!H161)</f>
        <v/>
      </c>
      <c r="I1349" s="43" t="str">
        <f>IF(Agent07_Loans!B161="","",Agent07_Loans!I161)</f>
        <v/>
      </c>
      <c r="J1349" s="43" t="str">
        <f>IF(Agent07_Loans!B161="","",Agent07_Loans!J161)</f>
        <v/>
      </c>
      <c r="K1349" s="40" t="str">
        <f>IF(Agent07_Loans!B161="","",Agent07_Loans!K161)</f>
        <v/>
      </c>
      <c r="L1349" s="40" t="str">
        <f>IF(Agent07_Loans!B161="","",Agent07_Loans!L161)</f>
        <v/>
      </c>
      <c r="M1349" s="40" t="str">
        <f>IFERROR(IF(Agent07_Loans!B161="","",YEAR(Agent07_Loans!D161)),"")</f>
        <v/>
      </c>
    </row>
    <row r="1350" spans="1:13" ht="18" customHeight="1" x14ac:dyDescent="0.25">
      <c r="A1350" s="40" t="str">
        <f>IF(Agent07_Loans!B162="","",Agent07_Loans!A162)</f>
        <v/>
      </c>
      <c r="B1350" s="40" t="str">
        <f>IF(Agent07_Loans!B162="","",Agent07_Loans!B162)</f>
        <v/>
      </c>
      <c r="C1350" s="40" t="str">
        <f>IF(Agent07_Loans!B162="","",Agent07_Loans!C162)</f>
        <v/>
      </c>
      <c r="D1350" s="41" t="str">
        <f>IF(Agent07_Loans!B162="","",Agent07_Loans!D162)</f>
        <v/>
      </c>
      <c r="E1350" s="43" t="str">
        <f>IF(Agent07_Loans!B162="","",Agent07_Loans!E162)</f>
        <v/>
      </c>
      <c r="F1350" s="40" t="str">
        <f>IF(Agent07_Loans!B162="","",Agent07_Loans!F162)</f>
        <v/>
      </c>
      <c r="G1350" s="40" t="str">
        <f>IF(Agent07_Loans!B162="","",Agent07_Loans!G162)</f>
        <v/>
      </c>
      <c r="H1350" s="40" t="str">
        <f>IF(Agent07_Loans!B162="","",Agent07_Loans!H162)</f>
        <v/>
      </c>
      <c r="I1350" s="43" t="str">
        <f>IF(Agent07_Loans!B162="","",Agent07_Loans!I162)</f>
        <v/>
      </c>
      <c r="J1350" s="43" t="str">
        <f>IF(Agent07_Loans!B162="","",Agent07_Loans!J162)</f>
        <v/>
      </c>
      <c r="K1350" s="40" t="str">
        <f>IF(Agent07_Loans!B162="","",Agent07_Loans!K162)</f>
        <v/>
      </c>
      <c r="L1350" s="40" t="str">
        <f>IF(Agent07_Loans!B162="","",Agent07_Loans!L162)</f>
        <v/>
      </c>
      <c r="M1350" s="40" t="str">
        <f>IFERROR(IF(Agent07_Loans!B162="","",YEAR(Agent07_Loans!D162)),"")</f>
        <v/>
      </c>
    </row>
    <row r="1351" spans="1:13" ht="18" customHeight="1" x14ac:dyDescent="0.25">
      <c r="A1351" s="40" t="str">
        <f>IF(Agent07_Loans!B163="","",Agent07_Loans!A163)</f>
        <v/>
      </c>
      <c r="B1351" s="40" t="str">
        <f>IF(Agent07_Loans!B163="","",Agent07_Loans!B163)</f>
        <v/>
      </c>
      <c r="C1351" s="40" t="str">
        <f>IF(Agent07_Loans!B163="","",Agent07_Loans!C163)</f>
        <v/>
      </c>
      <c r="D1351" s="41" t="str">
        <f>IF(Agent07_Loans!B163="","",Agent07_Loans!D163)</f>
        <v/>
      </c>
      <c r="E1351" s="43" t="str">
        <f>IF(Agent07_Loans!B163="","",Agent07_Loans!E163)</f>
        <v/>
      </c>
      <c r="F1351" s="40" t="str">
        <f>IF(Agent07_Loans!B163="","",Agent07_Loans!F163)</f>
        <v/>
      </c>
      <c r="G1351" s="40" t="str">
        <f>IF(Agent07_Loans!B163="","",Agent07_Loans!G163)</f>
        <v/>
      </c>
      <c r="H1351" s="40" t="str">
        <f>IF(Agent07_Loans!B163="","",Agent07_Loans!H163)</f>
        <v/>
      </c>
      <c r="I1351" s="43" t="str">
        <f>IF(Agent07_Loans!B163="","",Agent07_Loans!I163)</f>
        <v/>
      </c>
      <c r="J1351" s="43" t="str">
        <f>IF(Agent07_Loans!B163="","",Agent07_Loans!J163)</f>
        <v/>
      </c>
      <c r="K1351" s="40" t="str">
        <f>IF(Agent07_Loans!B163="","",Agent07_Loans!K163)</f>
        <v/>
      </c>
      <c r="L1351" s="40" t="str">
        <f>IF(Agent07_Loans!B163="","",Agent07_Loans!L163)</f>
        <v/>
      </c>
      <c r="M1351" s="40" t="str">
        <f>IFERROR(IF(Agent07_Loans!B163="","",YEAR(Agent07_Loans!D163)),"")</f>
        <v/>
      </c>
    </row>
    <row r="1352" spans="1:13" ht="18" customHeight="1" x14ac:dyDescent="0.25">
      <c r="A1352" s="40" t="str">
        <f>IF(Agent07_Loans!B164="","",Agent07_Loans!A164)</f>
        <v/>
      </c>
      <c r="B1352" s="40" t="str">
        <f>IF(Agent07_Loans!B164="","",Agent07_Loans!B164)</f>
        <v/>
      </c>
      <c r="C1352" s="40" t="str">
        <f>IF(Agent07_Loans!B164="","",Agent07_Loans!C164)</f>
        <v/>
      </c>
      <c r="D1352" s="41" t="str">
        <f>IF(Agent07_Loans!B164="","",Agent07_Loans!D164)</f>
        <v/>
      </c>
      <c r="E1352" s="43" t="str">
        <f>IF(Agent07_Loans!B164="","",Agent07_Loans!E164)</f>
        <v/>
      </c>
      <c r="F1352" s="40" t="str">
        <f>IF(Agent07_Loans!B164="","",Agent07_Loans!F164)</f>
        <v/>
      </c>
      <c r="G1352" s="40" t="str">
        <f>IF(Agent07_Loans!B164="","",Agent07_Loans!G164)</f>
        <v/>
      </c>
      <c r="H1352" s="40" t="str">
        <f>IF(Agent07_Loans!B164="","",Agent07_Loans!H164)</f>
        <v/>
      </c>
      <c r="I1352" s="43" t="str">
        <f>IF(Agent07_Loans!B164="","",Agent07_Loans!I164)</f>
        <v/>
      </c>
      <c r="J1352" s="43" t="str">
        <f>IF(Agent07_Loans!B164="","",Agent07_Loans!J164)</f>
        <v/>
      </c>
      <c r="K1352" s="40" t="str">
        <f>IF(Agent07_Loans!B164="","",Agent07_Loans!K164)</f>
        <v/>
      </c>
      <c r="L1352" s="40" t="str">
        <f>IF(Agent07_Loans!B164="","",Agent07_Loans!L164)</f>
        <v/>
      </c>
      <c r="M1352" s="40" t="str">
        <f>IFERROR(IF(Agent07_Loans!B164="","",YEAR(Agent07_Loans!D164)),"")</f>
        <v/>
      </c>
    </row>
    <row r="1353" spans="1:13" ht="18" customHeight="1" x14ac:dyDescent="0.25">
      <c r="A1353" s="40" t="str">
        <f>IF(Agent07_Loans!B165="","",Agent07_Loans!A165)</f>
        <v/>
      </c>
      <c r="B1353" s="40" t="str">
        <f>IF(Agent07_Loans!B165="","",Agent07_Loans!B165)</f>
        <v/>
      </c>
      <c r="C1353" s="40" t="str">
        <f>IF(Agent07_Loans!B165="","",Agent07_Loans!C165)</f>
        <v/>
      </c>
      <c r="D1353" s="41" t="str">
        <f>IF(Agent07_Loans!B165="","",Agent07_Loans!D165)</f>
        <v/>
      </c>
      <c r="E1353" s="43" t="str">
        <f>IF(Agent07_Loans!B165="","",Agent07_Loans!E165)</f>
        <v/>
      </c>
      <c r="F1353" s="40" t="str">
        <f>IF(Agent07_Loans!B165="","",Agent07_Loans!F165)</f>
        <v/>
      </c>
      <c r="G1353" s="40" t="str">
        <f>IF(Agent07_Loans!B165="","",Agent07_Loans!G165)</f>
        <v/>
      </c>
      <c r="H1353" s="40" t="str">
        <f>IF(Agent07_Loans!B165="","",Agent07_Loans!H165)</f>
        <v/>
      </c>
      <c r="I1353" s="43" t="str">
        <f>IF(Agent07_Loans!B165="","",Agent07_Loans!I165)</f>
        <v/>
      </c>
      <c r="J1353" s="43" t="str">
        <f>IF(Agent07_Loans!B165="","",Agent07_Loans!J165)</f>
        <v/>
      </c>
      <c r="K1353" s="40" t="str">
        <f>IF(Agent07_Loans!B165="","",Agent07_Loans!K165)</f>
        <v/>
      </c>
      <c r="L1353" s="40" t="str">
        <f>IF(Agent07_Loans!B165="","",Agent07_Loans!L165)</f>
        <v/>
      </c>
      <c r="M1353" s="40" t="str">
        <f>IFERROR(IF(Agent07_Loans!B165="","",YEAR(Agent07_Loans!D165)),"")</f>
        <v/>
      </c>
    </row>
    <row r="1354" spans="1:13" ht="18" customHeight="1" x14ac:dyDescent="0.25">
      <c r="A1354" s="40" t="str">
        <f>IF(Agent07_Loans!B166="","",Agent07_Loans!A166)</f>
        <v/>
      </c>
      <c r="B1354" s="40" t="str">
        <f>IF(Agent07_Loans!B166="","",Agent07_Loans!B166)</f>
        <v/>
      </c>
      <c r="C1354" s="40" t="str">
        <f>IF(Agent07_Loans!B166="","",Agent07_Loans!C166)</f>
        <v/>
      </c>
      <c r="D1354" s="41" t="str">
        <f>IF(Agent07_Loans!B166="","",Agent07_Loans!D166)</f>
        <v/>
      </c>
      <c r="E1354" s="43" t="str">
        <f>IF(Agent07_Loans!B166="","",Agent07_Loans!E166)</f>
        <v/>
      </c>
      <c r="F1354" s="40" t="str">
        <f>IF(Agent07_Loans!B166="","",Agent07_Loans!F166)</f>
        <v/>
      </c>
      <c r="G1354" s="40" t="str">
        <f>IF(Agent07_Loans!B166="","",Agent07_Loans!G166)</f>
        <v/>
      </c>
      <c r="H1354" s="40" t="str">
        <f>IF(Agent07_Loans!B166="","",Agent07_Loans!H166)</f>
        <v/>
      </c>
      <c r="I1354" s="43" t="str">
        <f>IF(Agent07_Loans!B166="","",Agent07_Loans!I166)</f>
        <v/>
      </c>
      <c r="J1354" s="43" t="str">
        <f>IF(Agent07_Loans!B166="","",Agent07_Loans!J166)</f>
        <v/>
      </c>
      <c r="K1354" s="40" t="str">
        <f>IF(Agent07_Loans!B166="","",Agent07_Loans!K166)</f>
        <v/>
      </c>
      <c r="L1354" s="40" t="str">
        <f>IF(Agent07_Loans!B166="","",Agent07_Loans!L166)</f>
        <v/>
      </c>
      <c r="M1354" s="40" t="str">
        <f>IFERROR(IF(Agent07_Loans!B166="","",YEAR(Agent07_Loans!D166)),"")</f>
        <v/>
      </c>
    </row>
    <row r="1355" spans="1:13" ht="18" customHeight="1" x14ac:dyDescent="0.25">
      <c r="A1355" s="40" t="str">
        <f>IF(Agent07_Loans!B167="","",Agent07_Loans!A167)</f>
        <v/>
      </c>
      <c r="B1355" s="40" t="str">
        <f>IF(Agent07_Loans!B167="","",Agent07_Loans!B167)</f>
        <v/>
      </c>
      <c r="C1355" s="40" t="str">
        <f>IF(Agent07_Loans!B167="","",Agent07_Loans!C167)</f>
        <v/>
      </c>
      <c r="D1355" s="41" t="str">
        <f>IF(Agent07_Loans!B167="","",Agent07_Loans!D167)</f>
        <v/>
      </c>
      <c r="E1355" s="43" t="str">
        <f>IF(Agent07_Loans!B167="","",Agent07_Loans!E167)</f>
        <v/>
      </c>
      <c r="F1355" s="40" t="str">
        <f>IF(Agent07_Loans!B167="","",Agent07_Loans!F167)</f>
        <v/>
      </c>
      <c r="G1355" s="40" t="str">
        <f>IF(Agent07_Loans!B167="","",Agent07_Loans!G167)</f>
        <v/>
      </c>
      <c r="H1355" s="40" t="str">
        <f>IF(Agent07_Loans!B167="","",Agent07_Loans!H167)</f>
        <v/>
      </c>
      <c r="I1355" s="43" t="str">
        <f>IF(Agent07_Loans!B167="","",Agent07_Loans!I167)</f>
        <v/>
      </c>
      <c r="J1355" s="43" t="str">
        <f>IF(Agent07_Loans!B167="","",Agent07_Loans!J167)</f>
        <v/>
      </c>
      <c r="K1355" s="40" t="str">
        <f>IF(Agent07_Loans!B167="","",Agent07_Loans!K167)</f>
        <v/>
      </c>
      <c r="L1355" s="40" t="str">
        <f>IF(Agent07_Loans!B167="","",Agent07_Loans!L167)</f>
        <v/>
      </c>
      <c r="M1355" s="40" t="str">
        <f>IFERROR(IF(Agent07_Loans!B167="","",YEAR(Agent07_Loans!D167)),"")</f>
        <v/>
      </c>
    </row>
    <row r="1356" spans="1:13" ht="18" customHeight="1" x14ac:dyDescent="0.25">
      <c r="A1356" s="40" t="str">
        <f>IF(Agent07_Loans!B168="","",Agent07_Loans!A168)</f>
        <v/>
      </c>
      <c r="B1356" s="40" t="str">
        <f>IF(Agent07_Loans!B168="","",Agent07_Loans!B168)</f>
        <v/>
      </c>
      <c r="C1356" s="40" t="str">
        <f>IF(Agent07_Loans!B168="","",Agent07_Loans!C168)</f>
        <v/>
      </c>
      <c r="D1356" s="41" t="str">
        <f>IF(Agent07_Loans!B168="","",Agent07_Loans!D168)</f>
        <v/>
      </c>
      <c r="E1356" s="43" t="str">
        <f>IF(Agent07_Loans!B168="","",Agent07_Loans!E168)</f>
        <v/>
      </c>
      <c r="F1356" s="40" t="str">
        <f>IF(Agent07_Loans!B168="","",Agent07_Loans!F168)</f>
        <v/>
      </c>
      <c r="G1356" s="40" t="str">
        <f>IF(Agent07_Loans!B168="","",Agent07_Loans!G168)</f>
        <v/>
      </c>
      <c r="H1356" s="40" t="str">
        <f>IF(Agent07_Loans!B168="","",Agent07_Loans!H168)</f>
        <v/>
      </c>
      <c r="I1356" s="43" t="str">
        <f>IF(Agent07_Loans!B168="","",Agent07_Loans!I168)</f>
        <v/>
      </c>
      <c r="J1356" s="43" t="str">
        <f>IF(Agent07_Loans!B168="","",Agent07_Loans!J168)</f>
        <v/>
      </c>
      <c r="K1356" s="40" t="str">
        <f>IF(Agent07_Loans!B168="","",Agent07_Loans!K168)</f>
        <v/>
      </c>
      <c r="L1356" s="40" t="str">
        <f>IF(Agent07_Loans!B168="","",Agent07_Loans!L168)</f>
        <v/>
      </c>
      <c r="M1356" s="40" t="str">
        <f>IFERROR(IF(Agent07_Loans!B168="","",YEAR(Agent07_Loans!D168)),"")</f>
        <v/>
      </c>
    </row>
    <row r="1357" spans="1:13" ht="18" customHeight="1" x14ac:dyDescent="0.25">
      <c r="A1357" s="40" t="str">
        <f>IF(Agent07_Loans!B169="","",Agent07_Loans!A169)</f>
        <v/>
      </c>
      <c r="B1357" s="40" t="str">
        <f>IF(Agent07_Loans!B169="","",Agent07_Loans!B169)</f>
        <v/>
      </c>
      <c r="C1357" s="40" t="str">
        <f>IF(Agent07_Loans!B169="","",Agent07_Loans!C169)</f>
        <v/>
      </c>
      <c r="D1357" s="41" t="str">
        <f>IF(Agent07_Loans!B169="","",Agent07_Loans!D169)</f>
        <v/>
      </c>
      <c r="E1357" s="43" t="str">
        <f>IF(Agent07_Loans!B169="","",Agent07_Loans!E169)</f>
        <v/>
      </c>
      <c r="F1357" s="40" t="str">
        <f>IF(Agent07_Loans!B169="","",Agent07_Loans!F169)</f>
        <v/>
      </c>
      <c r="G1357" s="40" t="str">
        <f>IF(Agent07_Loans!B169="","",Agent07_Loans!G169)</f>
        <v/>
      </c>
      <c r="H1357" s="40" t="str">
        <f>IF(Agent07_Loans!B169="","",Agent07_Loans!H169)</f>
        <v/>
      </c>
      <c r="I1357" s="43" t="str">
        <f>IF(Agent07_Loans!B169="","",Agent07_Loans!I169)</f>
        <v/>
      </c>
      <c r="J1357" s="43" t="str">
        <f>IF(Agent07_Loans!B169="","",Agent07_Loans!J169)</f>
        <v/>
      </c>
      <c r="K1357" s="40" t="str">
        <f>IF(Agent07_Loans!B169="","",Agent07_Loans!K169)</f>
        <v/>
      </c>
      <c r="L1357" s="40" t="str">
        <f>IF(Agent07_Loans!B169="","",Agent07_Loans!L169)</f>
        <v/>
      </c>
      <c r="M1357" s="40" t="str">
        <f>IFERROR(IF(Agent07_Loans!B169="","",YEAR(Agent07_Loans!D169)),"")</f>
        <v/>
      </c>
    </row>
    <row r="1358" spans="1:13" ht="18" customHeight="1" x14ac:dyDescent="0.25">
      <c r="A1358" s="40" t="str">
        <f>IF(Agent07_Loans!B170="","",Agent07_Loans!A170)</f>
        <v/>
      </c>
      <c r="B1358" s="40" t="str">
        <f>IF(Agent07_Loans!B170="","",Agent07_Loans!B170)</f>
        <v/>
      </c>
      <c r="C1358" s="40" t="str">
        <f>IF(Agent07_Loans!B170="","",Agent07_Loans!C170)</f>
        <v/>
      </c>
      <c r="D1358" s="41" t="str">
        <f>IF(Agent07_Loans!B170="","",Agent07_Loans!D170)</f>
        <v/>
      </c>
      <c r="E1358" s="43" t="str">
        <f>IF(Agent07_Loans!B170="","",Agent07_Loans!E170)</f>
        <v/>
      </c>
      <c r="F1358" s="40" t="str">
        <f>IF(Agent07_Loans!B170="","",Agent07_Loans!F170)</f>
        <v/>
      </c>
      <c r="G1358" s="40" t="str">
        <f>IF(Agent07_Loans!B170="","",Agent07_Loans!G170)</f>
        <v/>
      </c>
      <c r="H1358" s="40" t="str">
        <f>IF(Agent07_Loans!B170="","",Agent07_Loans!H170)</f>
        <v/>
      </c>
      <c r="I1358" s="43" t="str">
        <f>IF(Agent07_Loans!B170="","",Agent07_Loans!I170)</f>
        <v/>
      </c>
      <c r="J1358" s="43" t="str">
        <f>IF(Agent07_Loans!B170="","",Agent07_Loans!J170)</f>
        <v/>
      </c>
      <c r="K1358" s="40" t="str">
        <f>IF(Agent07_Loans!B170="","",Agent07_Loans!K170)</f>
        <v/>
      </c>
      <c r="L1358" s="40" t="str">
        <f>IF(Agent07_Loans!B170="","",Agent07_Loans!L170)</f>
        <v/>
      </c>
      <c r="M1358" s="40" t="str">
        <f>IFERROR(IF(Agent07_Loans!B170="","",YEAR(Agent07_Loans!D170)),"")</f>
        <v/>
      </c>
    </row>
    <row r="1359" spans="1:13" ht="18" customHeight="1" x14ac:dyDescent="0.25">
      <c r="A1359" s="40" t="str">
        <f>IF(Agent07_Loans!B171="","",Agent07_Loans!A171)</f>
        <v/>
      </c>
      <c r="B1359" s="40" t="str">
        <f>IF(Agent07_Loans!B171="","",Agent07_Loans!B171)</f>
        <v/>
      </c>
      <c r="C1359" s="40" t="str">
        <f>IF(Agent07_Loans!B171="","",Agent07_Loans!C171)</f>
        <v/>
      </c>
      <c r="D1359" s="41" t="str">
        <f>IF(Agent07_Loans!B171="","",Agent07_Loans!D171)</f>
        <v/>
      </c>
      <c r="E1359" s="43" t="str">
        <f>IF(Agent07_Loans!B171="","",Agent07_Loans!E171)</f>
        <v/>
      </c>
      <c r="F1359" s="40" t="str">
        <f>IF(Agent07_Loans!B171="","",Agent07_Loans!F171)</f>
        <v/>
      </c>
      <c r="G1359" s="40" t="str">
        <f>IF(Agent07_Loans!B171="","",Agent07_Loans!G171)</f>
        <v/>
      </c>
      <c r="H1359" s="40" t="str">
        <f>IF(Agent07_Loans!B171="","",Agent07_Loans!H171)</f>
        <v/>
      </c>
      <c r="I1359" s="43" t="str">
        <f>IF(Agent07_Loans!B171="","",Agent07_Loans!I171)</f>
        <v/>
      </c>
      <c r="J1359" s="43" t="str">
        <f>IF(Agent07_Loans!B171="","",Agent07_Loans!J171)</f>
        <v/>
      </c>
      <c r="K1359" s="40" t="str">
        <f>IF(Agent07_Loans!B171="","",Agent07_Loans!K171)</f>
        <v/>
      </c>
      <c r="L1359" s="40" t="str">
        <f>IF(Agent07_Loans!B171="","",Agent07_Loans!L171)</f>
        <v/>
      </c>
      <c r="M1359" s="40" t="str">
        <f>IFERROR(IF(Agent07_Loans!B171="","",YEAR(Agent07_Loans!D171)),"")</f>
        <v/>
      </c>
    </row>
    <row r="1360" spans="1:13" ht="18" customHeight="1" x14ac:dyDescent="0.25">
      <c r="A1360" s="40" t="str">
        <f>IF(Agent07_Loans!B172="","",Agent07_Loans!A172)</f>
        <v/>
      </c>
      <c r="B1360" s="40" t="str">
        <f>IF(Agent07_Loans!B172="","",Agent07_Loans!B172)</f>
        <v/>
      </c>
      <c r="C1360" s="40" t="str">
        <f>IF(Agent07_Loans!B172="","",Agent07_Loans!C172)</f>
        <v/>
      </c>
      <c r="D1360" s="41" t="str">
        <f>IF(Agent07_Loans!B172="","",Agent07_Loans!D172)</f>
        <v/>
      </c>
      <c r="E1360" s="43" t="str">
        <f>IF(Agent07_Loans!B172="","",Agent07_Loans!E172)</f>
        <v/>
      </c>
      <c r="F1360" s="40" t="str">
        <f>IF(Agent07_Loans!B172="","",Agent07_Loans!F172)</f>
        <v/>
      </c>
      <c r="G1360" s="40" t="str">
        <f>IF(Agent07_Loans!B172="","",Agent07_Loans!G172)</f>
        <v/>
      </c>
      <c r="H1360" s="40" t="str">
        <f>IF(Agent07_Loans!B172="","",Agent07_Loans!H172)</f>
        <v/>
      </c>
      <c r="I1360" s="43" t="str">
        <f>IF(Agent07_Loans!B172="","",Agent07_Loans!I172)</f>
        <v/>
      </c>
      <c r="J1360" s="43" t="str">
        <f>IF(Agent07_Loans!B172="","",Agent07_Loans!J172)</f>
        <v/>
      </c>
      <c r="K1360" s="40" t="str">
        <f>IF(Agent07_Loans!B172="","",Agent07_Loans!K172)</f>
        <v/>
      </c>
      <c r="L1360" s="40" t="str">
        <f>IF(Agent07_Loans!B172="","",Agent07_Loans!L172)</f>
        <v/>
      </c>
      <c r="M1360" s="40" t="str">
        <f>IFERROR(IF(Agent07_Loans!B172="","",YEAR(Agent07_Loans!D172)),"")</f>
        <v/>
      </c>
    </row>
    <row r="1361" spans="1:13" ht="18" customHeight="1" x14ac:dyDescent="0.25">
      <c r="A1361" s="40" t="str">
        <f>IF(Agent07_Loans!B173="","",Agent07_Loans!A173)</f>
        <v/>
      </c>
      <c r="B1361" s="40" t="str">
        <f>IF(Agent07_Loans!B173="","",Agent07_Loans!B173)</f>
        <v/>
      </c>
      <c r="C1361" s="40" t="str">
        <f>IF(Agent07_Loans!B173="","",Agent07_Loans!C173)</f>
        <v/>
      </c>
      <c r="D1361" s="41" t="str">
        <f>IF(Agent07_Loans!B173="","",Agent07_Loans!D173)</f>
        <v/>
      </c>
      <c r="E1361" s="43" t="str">
        <f>IF(Agent07_Loans!B173="","",Agent07_Loans!E173)</f>
        <v/>
      </c>
      <c r="F1361" s="40" t="str">
        <f>IF(Agent07_Loans!B173="","",Agent07_Loans!F173)</f>
        <v/>
      </c>
      <c r="G1361" s="40" t="str">
        <f>IF(Agent07_Loans!B173="","",Agent07_Loans!G173)</f>
        <v/>
      </c>
      <c r="H1361" s="40" t="str">
        <f>IF(Agent07_Loans!B173="","",Agent07_Loans!H173)</f>
        <v/>
      </c>
      <c r="I1361" s="43" t="str">
        <f>IF(Agent07_Loans!B173="","",Agent07_Loans!I173)</f>
        <v/>
      </c>
      <c r="J1361" s="43" t="str">
        <f>IF(Agent07_Loans!B173="","",Agent07_Loans!J173)</f>
        <v/>
      </c>
      <c r="K1361" s="40" t="str">
        <f>IF(Agent07_Loans!B173="","",Agent07_Loans!K173)</f>
        <v/>
      </c>
      <c r="L1361" s="40" t="str">
        <f>IF(Agent07_Loans!B173="","",Agent07_Loans!L173)</f>
        <v/>
      </c>
      <c r="M1361" s="40" t="str">
        <f>IFERROR(IF(Agent07_Loans!B173="","",YEAR(Agent07_Loans!D173)),"")</f>
        <v/>
      </c>
    </row>
    <row r="1362" spans="1:13" ht="18" customHeight="1" x14ac:dyDescent="0.25">
      <c r="A1362" s="40" t="str">
        <f>IF(Agent07_Loans!B174="","",Agent07_Loans!A174)</f>
        <v/>
      </c>
      <c r="B1362" s="40" t="str">
        <f>IF(Agent07_Loans!B174="","",Agent07_Loans!B174)</f>
        <v/>
      </c>
      <c r="C1362" s="40" t="str">
        <f>IF(Agent07_Loans!B174="","",Agent07_Loans!C174)</f>
        <v/>
      </c>
      <c r="D1362" s="41" t="str">
        <f>IF(Agent07_Loans!B174="","",Agent07_Loans!D174)</f>
        <v/>
      </c>
      <c r="E1362" s="43" t="str">
        <f>IF(Agent07_Loans!B174="","",Agent07_Loans!E174)</f>
        <v/>
      </c>
      <c r="F1362" s="40" t="str">
        <f>IF(Agent07_Loans!B174="","",Agent07_Loans!F174)</f>
        <v/>
      </c>
      <c r="G1362" s="40" t="str">
        <f>IF(Agent07_Loans!B174="","",Agent07_Loans!G174)</f>
        <v/>
      </c>
      <c r="H1362" s="40" t="str">
        <f>IF(Agent07_Loans!B174="","",Agent07_Loans!H174)</f>
        <v/>
      </c>
      <c r="I1362" s="43" t="str">
        <f>IF(Agent07_Loans!B174="","",Agent07_Loans!I174)</f>
        <v/>
      </c>
      <c r="J1362" s="43" t="str">
        <f>IF(Agent07_Loans!B174="","",Agent07_Loans!J174)</f>
        <v/>
      </c>
      <c r="K1362" s="40" t="str">
        <f>IF(Agent07_Loans!B174="","",Agent07_Loans!K174)</f>
        <v/>
      </c>
      <c r="L1362" s="40" t="str">
        <f>IF(Agent07_Loans!B174="","",Agent07_Loans!L174)</f>
        <v/>
      </c>
      <c r="M1362" s="40" t="str">
        <f>IFERROR(IF(Agent07_Loans!B174="","",YEAR(Agent07_Loans!D174)),"")</f>
        <v/>
      </c>
    </row>
    <row r="1363" spans="1:13" ht="18" customHeight="1" x14ac:dyDescent="0.25">
      <c r="A1363" s="40" t="str">
        <f>IF(Agent07_Loans!B175="","",Agent07_Loans!A175)</f>
        <v/>
      </c>
      <c r="B1363" s="40" t="str">
        <f>IF(Agent07_Loans!B175="","",Agent07_Loans!B175)</f>
        <v/>
      </c>
      <c r="C1363" s="40" t="str">
        <f>IF(Agent07_Loans!B175="","",Agent07_Loans!C175)</f>
        <v/>
      </c>
      <c r="D1363" s="41" t="str">
        <f>IF(Agent07_Loans!B175="","",Agent07_Loans!D175)</f>
        <v/>
      </c>
      <c r="E1363" s="43" t="str">
        <f>IF(Agent07_Loans!B175="","",Agent07_Loans!E175)</f>
        <v/>
      </c>
      <c r="F1363" s="40" t="str">
        <f>IF(Agent07_Loans!B175="","",Agent07_Loans!F175)</f>
        <v/>
      </c>
      <c r="G1363" s="40" t="str">
        <f>IF(Agent07_Loans!B175="","",Agent07_Loans!G175)</f>
        <v/>
      </c>
      <c r="H1363" s="40" t="str">
        <f>IF(Agent07_Loans!B175="","",Agent07_Loans!H175)</f>
        <v/>
      </c>
      <c r="I1363" s="43" t="str">
        <f>IF(Agent07_Loans!B175="","",Agent07_Loans!I175)</f>
        <v/>
      </c>
      <c r="J1363" s="43" t="str">
        <f>IF(Agent07_Loans!B175="","",Agent07_Loans!J175)</f>
        <v/>
      </c>
      <c r="K1363" s="40" t="str">
        <f>IF(Agent07_Loans!B175="","",Agent07_Loans!K175)</f>
        <v/>
      </c>
      <c r="L1363" s="40" t="str">
        <f>IF(Agent07_Loans!B175="","",Agent07_Loans!L175)</f>
        <v/>
      </c>
      <c r="M1363" s="40" t="str">
        <f>IFERROR(IF(Agent07_Loans!B175="","",YEAR(Agent07_Loans!D175)),"")</f>
        <v/>
      </c>
    </row>
    <row r="1364" spans="1:13" ht="18" customHeight="1" x14ac:dyDescent="0.25">
      <c r="A1364" s="40" t="str">
        <f>IF(Agent07_Loans!B176="","",Agent07_Loans!A176)</f>
        <v/>
      </c>
      <c r="B1364" s="40" t="str">
        <f>IF(Agent07_Loans!B176="","",Agent07_Loans!B176)</f>
        <v/>
      </c>
      <c r="C1364" s="40" t="str">
        <f>IF(Agent07_Loans!B176="","",Agent07_Loans!C176)</f>
        <v/>
      </c>
      <c r="D1364" s="41" t="str">
        <f>IF(Agent07_Loans!B176="","",Agent07_Loans!D176)</f>
        <v/>
      </c>
      <c r="E1364" s="43" t="str">
        <f>IF(Agent07_Loans!B176="","",Agent07_Loans!E176)</f>
        <v/>
      </c>
      <c r="F1364" s="40" t="str">
        <f>IF(Agent07_Loans!B176="","",Agent07_Loans!F176)</f>
        <v/>
      </c>
      <c r="G1364" s="40" t="str">
        <f>IF(Agent07_Loans!B176="","",Agent07_Loans!G176)</f>
        <v/>
      </c>
      <c r="H1364" s="40" t="str">
        <f>IF(Agent07_Loans!B176="","",Agent07_Loans!H176)</f>
        <v/>
      </c>
      <c r="I1364" s="43" t="str">
        <f>IF(Agent07_Loans!B176="","",Agent07_Loans!I176)</f>
        <v/>
      </c>
      <c r="J1364" s="43" t="str">
        <f>IF(Agent07_Loans!B176="","",Agent07_Loans!J176)</f>
        <v/>
      </c>
      <c r="K1364" s="40" t="str">
        <f>IF(Agent07_Loans!B176="","",Agent07_Loans!K176)</f>
        <v/>
      </c>
      <c r="L1364" s="40" t="str">
        <f>IF(Agent07_Loans!B176="","",Agent07_Loans!L176)</f>
        <v/>
      </c>
      <c r="M1364" s="40" t="str">
        <f>IFERROR(IF(Agent07_Loans!B176="","",YEAR(Agent07_Loans!D176)),"")</f>
        <v/>
      </c>
    </row>
    <row r="1365" spans="1:13" ht="18" customHeight="1" x14ac:dyDescent="0.25">
      <c r="A1365" s="40" t="str">
        <f>IF(Agent07_Loans!B177="","",Agent07_Loans!A177)</f>
        <v/>
      </c>
      <c r="B1365" s="40" t="str">
        <f>IF(Agent07_Loans!B177="","",Agent07_Loans!B177)</f>
        <v/>
      </c>
      <c r="C1365" s="40" t="str">
        <f>IF(Agent07_Loans!B177="","",Agent07_Loans!C177)</f>
        <v/>
      </c>
      <c r="D1365" s="41" t="str">
        <f>IF(Agent07_Loans!B177="","",Agent07_Loans!D177)</f>
        <v/>
      </c>
      <c r="E1365" s="43" t="str">
        <f>IF(Agent07_Loans!B177="","",Agent07_Loans!E177)</f>
        <v/>
      </c>
      <c r="F1365" s="40" t="str">
        <f>IF(Agent07_Loans!B177="","",Agent07_Loans!F177)</f>
        <v/>
      </c>
      <c r="G1365" s="40" t="str">
        <f>IF(Agent07_Loans!B177="","",Agent07_Loans!G177)</f>
        <v/>
      </c>
      <c r="H1365" s="40" t="str">
        <f>IF(Agent07_Loans!B177="","",Agent07_Loans!H177)</f>
        <v/>
      </c>
      <c r="I1365" s="43" t="str">
        <f>IF(Agent07_Loans!B177="","",Agent07_Loans!I177)</f>
        <v/>
      </c>
      <c r="J1365" s="43" t="str">
        <f>IF(Agent07_Loans!B177="","",Agent07_Loans!J177)</f>
        <v/>
      </c>
      <c r="K1365" s="40" t="str">
        <f>IF(Agent07_Loans!B177="","",Agent07_Loans!K177)</f>
        <v/>
      </c>
      <c r="L1365" s="40" t="str">
        <f>IF(Agent07_Loans!B177="","",Agent07_Loans!L177)</f>
        <v/>
      </c>
      <c r="M1365" s="40" t="str">
        <f>IFERROR(IF(Agent07_Loans!B177="","",YEAR(Agent07_Loans!D177)),"")</f>
        <v/>
      </c>
    </row>
    <row r="1366" spans="1:13" ht="18" customHeight="1" x14ac:dyDescent="0.25">
      <c r="A1366" s="40" t="str">
        <f>IF(Agent07_Loans!B178="","",Agent07_Loans!A178)</f>
        <v/>
      </c>
      <c r="B1366" s="40" t="str">
        <f>IF(Agent07_Loans!B178="","",Agent07_Loans!B178)</f>
        <v/>
      </c>
      <c r="C1366" s="40" t="str">
        <f>IF(Agent07_Loans!B178="","",Agent07_Loans!C178)</f>
        <v/>
      </c>
      <c r="D1366" s="41" t="str">
        <f>IF(Agent07_Loans!B178="","",Agent07_Loans!D178)</f>
        <v/>
      </c>
      <c r="E1366" s="43" t="str">
        <f>IF(Agent07_Loans!B178="","",Agent07_Loans!E178)</f>
        <v/>
      </c>
      <c r="F1366" s="40" t="str">
        <f>IF(Agent07_Loans!B178="","",Agent07_Loans!F178)</f>
        <v/>
      </c>
      <c r="G1366" s="40" t="str">
        <f>IF(Agent07_Loans!B178="","",Agent07_Loans!G178)</f>
        <v/>
      </c>
      <c r="H1366" s="40" t="str">
        <f>IF(Agent07_Loans!B178="","",Agent07_Loans!H178)</f>
        <v/>
      </c>
      <c r="I1366" s="43" t="str">
        <f>IF(Agent07_Loans!B178="","",Agent07_Loans!I178)</f>
        <v/>
      </c>
      <c r="J1366" s="43" t="str">
        <f>IF(Agent07_Loans!B178="","",Agent07_Loans!J178)</f>
        <v/>
      </c>
      <c r="K1366" s="40" t="str">
        <f>IF(Agent07_Loans!B178="","",Agent07_Loans!K178)</f>
        <v/>
      </c>
      <c r="L1366" s="40" t="str">
        <f>IF(Agent07_Loans!B178="","",Agent07_Loans!L178)</f>
        <v/>
      </c>
      <c r="M1366" s="40" t="str">
        <f>IFERROR(IF(Agent07_Loans!B178="","",YEAR(Agent07_Loans!D178)),"")</f>
        <v/>
      </c>
    </row>
    <row r="1367" spans="1:13" ht="18" customHeight="1" x14ac:dyDescent="0.25">
      <c r="A1367" s="40" t="str">
        <f>IF(Agent07_Loans!B179="","",Agent07_Loans!A179)</f>
        <v/>
      </c>
      <c r="B1367" s="40" t="str">
        <f>IF(Agent07_Loans!B179="","",Agent07_Loans!B179)</f>
        <v/>
      </c>
      <c r="C1367" s="40" t="str">
        <f>IF(Agent07_Loans!B179="","",Agent07_Loans!C179)</f>
        <v/>
      </c>
      <c r="D1367" s="41" t="str">
        <f>IF(Agent07_Loans!B179="","",Agent07_Loans!D179)</f>
        <v/>
      </c>
      <c r="E1367" s="43" t="str">
        <f>IF(Agent07_Loans!B179="","",Agent07_Loans!E179)</f>
        <v/>
      </c>
      <c r="F1367" s="40" t="str">
        <f>IF(Agent07_Loans!B179="","",Agent07_Loans!F179)</f>
        <v/>
      </c>
      <c r="G1367" s="40" t="str">
        <f>IF(Agent07_Loans!B179="","",Agent07_Loans!G179)</f>
        <v/>
      </c>
      <c r="H1367" s="40" t="str">
        <f>IF(Agent07_Loans!B179="","",Agent07_Loans!H179)</f>
        <v/>
      </c>
      <c r="I1367" s="43" t="str">
        <f>IF(Agent07_Loans!B179="","",Agent07_Loans!I179)</f>
        <v/>
      </c>
      <c r="J1367" s="43" t="str">
        <f>IF(Agent07_Loans!B179="","",Agent07_Loans!J179)</f>
        <v/>
      </c>
      <c r="K1367" s="40" t="str">
        <f>IF(Agent07_Loans!B179="","",Agent07_Loans!K179)</f>
        <v/>
      </c>
      <c r="L1367" s="40" t="str">
        <f>IF(Agent07_Loans!B179="","",Agent07_Loans!L179)</f>
        <v/>
      </c>
      <c r="M1367" s="40" t="str">
        <f>IFERROR(IF(Agent07_Loans!B179="","",YEAR(Agent07_Loans!D179)),"")</f>
        <v/>
      </c>
    </row>
    <row r="1368" spans="1:13" ht="18" customHeight="1" x14ac:dyDescent="0.25">
      <c r="A1368" s="40" t="str">
        <f>IF(Agent07_Loans!B180="","",Agent07_Loans!A180)</f>
        <v/>
      </c>
      <c r="B1368" s="40" t="str">
        <f>IF(Agent07_Loans!B180="","",Agent07_Loans!B180)</f>
        <v/>
      </c>
      <c r="C1368" s="40" t="str">
        <f>IF(Agent07_Loans!B180="","",Agent07_Loans!C180)</f>
        <v/>
      </c>
      <c r="D1368" s="41" t="str">
        <f>IF(Agent07_Loans!B180="","",Agent07_Loans!D180)</f>
        <v/>
      </c>
      <c r="E1368" s="43" t="str">
        <f>IF(Agent07_Loans!B180="","",Agent07_Loans!E180)</f>
        <v/>
      </c>
      <c r="F1368" s="40" t="str">
        <f>IF(Agent07_Loans!B180="","",Agent07_Loans!F180)</f>
        <v/>
      </c>
      <c r="G1368" s="40" t="str">
        <f>IF(Agent07_Loans!B180="","",Agent07_Loans!G180)</f>
        <v/>
      </c>
      <c r="H1368" s="40" t="str">
        <f>IF(Agent07_Loans!B180="","",Agent07_Loans!H180)</f>
        <v/>
      </c>
      <c r="I1368" s="43" t="str">
        <f>IF(Agent07_Loans!B180="","",Agent07_Loans!I180)</f>
        <v/>
      </c>
      <c r="J1368" s="43" t="str">
        <f>IF(Agent07_Loans!B180="","",Agent07_Loans!J180)</f>
        <v/>
      </c>
      <c r="K1368" s="40" t="str">
        <f>IF(Agent07_Loans!B180="","",Agent07_Loans!K180)</f>
        <v/>
      </c>
      <c r="L1368" s="40" t="str">
        <f>IF(Agent07_Loans!B180="","",Agent07_Loans!L180)</f>
        <v/>
      </c>
      <c r="M1368" s="40" t="str">
        <f>IFERROR(IF(Agent07_Loans!B180="","",YEAR(Agent07_Loans!D180)),"")</f>
        <v/>
      </c>
    </row>
    <row r="1369" spans="1:13" ht="18" customHeight="1" x14ac:dyDescent="0.25">
      <c r="A1369" s="40" t="str">
        <f>IF(Agent07_Loans!B181="","",Agent07_Loans!A181)</f>
        <v/>
      </c>
      <c r="B1369" s="40" t="str">
        <f>IF(Agent07_Loans!B181="","",Agent07_Loans!B181)</f>
        <v/>
      </c>
      <c r="C1369" s="40" t="str">
        <f>IF(Agent07_Loans!B181="","",Agent07_Loans!C181)</f>
        <v/>
      </c>
      <c r="D1369" s="41" t="str">
        <f>IF(Agent07_Loans!B181="","",Agent07_Loans!D181)</f>
        <v/>
      </c>
      <c r="E1369" s="43" t="str">
        <f>IF(Agent07_Loans!B181="","",Agent07_Loans!E181)</f>
        <v/>
      </c>
      <c r="F1369" s="40" t="str">
        <f>IF(Agent07_Loans!B181="","",Agent07_Loans!F181)</f>
        <v/>
      </c>
      <c r="G1369" s="40" t="str">
        <f>IF(Agent07_Loans!B181="","",Agent07_Loans!G181)</f>
        <v/>
      </c>
      <c r="H1369" s="40" t="str">
        <f>IF(Agent07_Loans!B181="","",Agent07_Loans!H181)</f>
        <v/>
      </c>
      <c r="I1369" s="43" t="str">
        <f>IF(Agent07_Loans!B181="","",Agent07_Loans!I181)</f>
        <v/>
      </c>
      <c r="J1369" s="43" t="str">
        <f>IF(Agent07_Loans!B181="","",Agent07_Loans!J181)</f>
        <v/>
      </c>
      <c r="K1369" s="40" t="str">
        <f>IF(Agent07_Loans!B181="","",Agent07_Loans!K181)</f>
        <v/>
      </c>
      <c r="L1369" s="40" t="str">
        <f>IF(Agent07_Loans!B181="","",Agent07_Loans!L181)</f>
        <v/>
      </c>
      <c r="M1369" s="40" t="str">
        <f>IFERROR(IF(Agent07_Loans!B181="","",YEAR(Agent07_Loans!D181)),"")</f>
        <v/>
      </c>
    </row>
    <row r="1370" spans="1:13" ht="18" customHeight="1" x14ac:dyDescent="0.25">
      <c r="A1370" s="40" t="str">
        <f>IF(Agent07_Loans!B182="","",Agent07_Loans!A182)</f>
        <v/>
      </c>
      <c r="B1370" s="40" t="str">
        <f>IF(Agent07_Loans!B182="","",Agent07_Loans!B182)</f>
        <v/>
      </c>
      <c r="C1370" s="40" t="str">
        <f>IF(Agent07_Loans!B182="","",Agent07_Loans!C182)</f>
        <v/>
      </c>
      <c r="D1370" s="41" t="str">
        <f>IF(Agent07_Loans!B182="","",Agent07_Loans!D182)</f>
        <v/>
      </c>
      <c r="E1370" s="43" t="str">
        <f>IF(Agent07_Loans!B182="","",Agent07_Loans!E182)</f>
        <v/>
      </c>
      <c r="F1370" s="40" t="str">
        <f>IF(Agent07_Loans!B182="","",Agent07_Loans!F182)</f>
        <v/>
      </c>
      <c r="G1370" s="40" t="str">
        <f>IF(Agent07_Loans!B182="","",Agent07_Loans!G182)</f>
        <v/>
      </c>
      <c r="H1370" s="40" t="str">
        <f>IF(Agent07_Loans!B182="","",Agent07_Loans!H182)</f>
        <v/>
      </c>
      <c r="I1370" s="43" t="str">
        <f>IF(Agent07_Loans!B182="","",Agent07_Loans!I182)</f>
        <v/>
      </c>
      <c r="J1370" s="43" t="str">
        <f>IF(Agent07_Loans!B182="","",Agent07_Loans!J182)</f>
        <v/>
      </c>
      <c r="K1370" s="40" t="str">
        <f>IF(Agent07_Loans!B182="","",Agent07_Loans!K182)</f>
        <v/>
      </c>
      <c r="L1370" s="40" t="str">
        <f>IF(Agent07_Loans!B182="","",Agent07_Loans!L182)</f>
        <v/>
      </c>
      <c r="M1370" s="40" t="str">
        <f>IFERROR(IF(Agent07_Loans!B182="","",YEAR(Agent07_Loans!D182)),"")</f>
        <v/>
      </c>
    </row>
    <row r="1371" spans="1:13" ht="18" customHeight="1" x14ac:dyDescent="0.25">
      <c r="A1371" s="40" t="str">
        <f>IF(Agent07_Loans!B183="","",Agent07_Loans!A183)</f>
        <v/>
      </c>
      <c r="B1371" s="40" t="str">
        <f>IF(Agent07_Loans!B183="","",Agent07_Loans!B183)</f>
        <v/>
      </c>
      <c r="C1371" s="40" t="str">
        <f>IF(Agent07_Loans!B183="","",Agent07_Loans!C183)</f>
        <v/>
      </c>
      <c r="D1371" s="41" t="str">
        <f>IF(Agent07_Loans!B183="","",Agent07_Loans!D183)</f>
        <v/>
      </c>
      <c r="E1371" s="43" t="str">
        <f>IF(Agent07_Loans!B183="","",Agent07_Loans!E183)</f>
        <v/>
      </c>
      <c r="F1371" s="40" t="str">
        <f>IF(Agent07_Loans!B183="","",Agent07_Loans!F183)</f>
        <v/>
      </c>
      <c r="G1371" s="40" t="str">
        <f>IF(Agent07_Loans!B183="","",Agent07_Loans!G183)</f>
        <v/>
      </c>
      <c r="H1371" s="40" t="str">
        <f>IF(Agent07_Loans!B183="","",Agent07_Loans!H183)</f>
        <v/>
      </c>
      <c r="I1371" s="43" t="str">
        <f>IF(Agent07_Loans!B183="","",Agent07_Loans!I183)</f>
        <v/>
      </c>
      <c r="J1371" s="43" t="str">
        <f>IF(Agent07_Loans!B183="","",Agent07_Loans!J183)</f>
        <v/>
      </c>
      <c r="K1371" s="40" t="str">
        <f>IF(Agent07_Loans!B183="","",Agent07_Loans!K183)</f>
        <v/>
      </c>
      <c r="L1371" s="40" t="str">
        <f>IF(Agent07_Loans!B183="","",Agent07_Loans!L183)</f>
        <v/>
      </c>
      <c r="M1371" s="40" t="str">
        <f>IFERROR(IF(Agent07_Loans!B183="","",YEAR(Agent07_Loans!D183)),"")</f>
        <v/>
      </c>
    </row>
    <row r="1372" spans="1:13" ht="18" customHeight="1" x14ac:dyDescent="0.25">
      <c r="A1372" s="40" t="str">
        <f>IF(Agent07_Loans!B184="","",Agent07_Loans!A184)</f>
        <v/>
      </c>
      <c r="B1372" s="40" t="str">
        <f>IF(Agent07_Loans!B184="","",Agent07_Loans!B184)</f>
        <v/>
      </c>
      <c r="C1372" s="40" t="str">
        <f>IF(Agent07_Loans!B184="","",Agent07_Loans!C184)</f>
        <v/>
      </c>
      <c r="D1372" s="41" t="str">
        <f>IF(Agent07_Loans!B184="","",Agent07_Loans!D184)</f>
        <v/>
      </c>
      <c r="E1372" s="43" t="str">
        <f>IF(Agent07_Loans!B184="","",Agent07_Loans!E184)</f>
        <v/>
      </c>
      <c r="F1372" s="40" t="str">
        <f>IF(Agent07_Loans!B184="","",Agent07_Loans!F184)</f>
        <v/>
      </c>
      <c r="G1372" s="40" t="str">
        <f>IF(Agent07_Loans!B184="","",Agent07_Loans!G184)</f>
        <v/>
      </c>
      <c r="H1372" s="40" t="str">
        <f>IF(Agent07_Loans!B184="","",Agent07_Loans!H184)</f>
        <v/>
      </c>
      <c r="I1372" s="43" t="str">
        <f>IF(Agent07_Loans!B184="","",Agent07_Loans!I184)</f>
        <v/>
      </c>
      <c r="J1372" s="43" t="str">
        <f>IF(Agent07_Loans!B184="","",Agent07_Loans!J184)</f>
        <v/>
      </c>
      <c r="K1372" s="40" t="str">
        <f>IF(Agent07_Loans!B184="","",Agent07_Loans!K184)</f>
        <v/>
      </c>
      <c r="L1372" s="40" t="str">
        <f>IF(Agent07_Loans!B184="","",Agent07_Loans!L184)</f>
        <v/>
      </c>
      <c r="M1372" s="40" t="str">
        <f>IFERROR(IF(Agent07_Loans!B184="","",YEAR(Agent07_Loans!D184)),"")</f>
        <v/>
      </c>
    </row>
    <row r="1373" spans="1:13" ht="18" customHeight="1" x14ac:dyDescent="0.25">
      <c r="A1373" s="40" t="str">
        <f>IF(Agent07_Loans!B185="","",Agent07_Loans!A185)</f>
        <v/>
      </c>
      <c r="B1373" s="40" t="str">
        <f>IF(Agent07_Loans!B185="","",Agent07_Loans!B185)</f>
        <v/>
      </c>
      <c r="C1373" s="40" t="str">
        <f>IF(Agent07_Loans!B185="","",Agent07_Loans!C185)</f>
        <v/>
      </c>
      <c r="D1373" s="41" t="str">
        <f>IF(Agent07_Loans!B185="","",Agent07_Loans!D185)</f>
        <v/>
      </c>
      <c r="E1373" s="43" t="str">
        <f>IF(Agent07_Loans!B185="","",Agent07_Loans!E185)</f>
        <v/>
      </c>
      <c r="F1373" s="40" t="str">
        <f>IF(Agent07_Loans!B185="","",Agent07_Loans!F185)</f>
        <v/>
      </c>
      <c r="G1373" s="40" t="str">
        <f>IF(Agent07_Loans!B185="","",Agent07_Loans!G185)</f>
        <v/>
      </c>
      <c r="H1373" s="40" t="str">
        <f>IF(Agent07_Loans!B185="","",Agent07_Loans!H185)</f>
        <v/>
      </c>
      <c r="I1373" s="43" t="str">
        <f>IF(Agent07_Loans!B185="","",Agent07_Loans!I185)</f>
        <v/>
      </c>
      <c r="J1373" s="43" t="str">
        <f>IF(Agent07_Loans!B185="","",Agent07_Loans!J185)</f>
        <v/>
      </c>
      <c r="K1373" s="40" t="str">
        <f>IF(Agent07_Loans!B185="","",Agent07_Loans!K185)</f>
        <v/>
      </c>
      <c r="L1373" s="40" t="str">
        <f>IF(Agent07_Loans!B185="","",Agent07_Loans!L185)</f>
        <v/>
      </c>
      <c r="M1373" s="40" t="str">
        <f>IFERROR(IF(Agent07_Loans!B185="","",YEAR(Agent07_Loans!D185)),"")</f>
        <v/>
      </c>
    </row>
    <row r="1374" spans="1:13" ht="18" customHeight="1" x14ac:dyDescent="0.25">
      <c r="A1374" s="40" t="str">
        <f>IF(Agent07_Loans!B186="","",Agent07_Loans!A186)</f>
        <v/>
      </c>
      <c r="B1374" s="40" t="str">
        <f>IF(Agent07_Loans!B186="","",Agent07_Loans!B186)</f>
        <v/>
      </c>
      <c r="C1374" s="40" t="str">
        <f>IF(Agent07_Loans!B186="","",Agent07_Loans!C186)</f>
        <v/>
      </c>
      <c r="D1374" s="41" t="str">
        <f>IF(Agent07_Loans!B186="","",Agent07_Loans!D186)</f>
        <v/>
      </c>
      <c r="E1374" s="43" t="str">
        <f>IF(Agent07_Loans!B186="","",Agent07_Loans!E186)</f>
        <v/>
      </c>
      <c r="F1374" s="40" t="str">
        <f>IF(Agent07_Loans!B186="","",Agent07_Loans!F186)</f>
        <v/>
      </c>
      <c r="G1374" s="40" t="str">
        <f>IF(Agent07_Loans!B186="","",Agent07_Loans!G186)</f>
        <v/>
      </c>
      <c r="H1374" s="40" t="str">
        <f>IF(Agent07_Loans!B186="","",Agent07_Loans!H186)</f>
        <v/>
      </c>
      <c r="I1374" s="43" t="str">
        <f>IF(Agent07_Loans!B186="","",Agent07_Loans!I186)</f>
        <v/>
      </c>
      <c r="J1374" s="43" t="str">
        <f>IF(Agent07_Loans!B186="","",Agent07_Loans!J186)</f>
        <v/>
      </c>
      <c r="K1374" s="40" t="str">
        <f>IF(Agent07_Loans!B186="","",Agent07_Loans!K186)</f>
        <v/>
      </c>
      <c r="L1374" s="40" t="str">
        <f>IF(Agent07_Loans!B186="","",Agent07_Loans!L186)</f>
        <v/>
      </c>
      <c r="M1374" s="40" t="str">
        <f>IFERROR(IF(Agent07_Loans!B186="","",YEAR(Agent07_Loans!D186)),"")</f>
        <v/>
      </c>
    </row>
    <row r="1375" spans="1:13" ht="18" customHeight="1" x14ac:dyDescent="0.25">
      <c r="A1375" s="40" t="str">
        <f>IF(Agent07_Loans!B187="","",Agent07_Loans!A187)</f>
        <v/>
      </c>
      <c r="B1375" s="40" t="str">
        <f>IF(Agent07_Loans!B187="","",Agent07_Loans!B187)</f>
        <v/>
      </c>
      <c r="C1375" s="40" t="str">
        <f>IF(Agent07_Loans!B187="","",Agent07_Loans!C187)</f>
        <v/>
      </c>
      <c r="D1375" s="41" t="str">
        <f>IF(Agent07_Loans!B187="","",Agent07_Loans!D187)</f>
        <v/>
      </c>
      <c r="E1375" s="43" t="str">
        <f>IF(Agent07_Loans!B187="","",Agent07_Loans!E187)</f>
        <v/>
      </c>
      <c r="F1375" s="40" t="str">
        <f>IF(Agent07_Loans!B187="","",Agent07_Loans!F187)</f>
        <v/>
      </c>
      <c r="G1375" s="40" t="str">
        <f>IF(Agent07_Loans!B187="","",Agent07_Loans!G187)</f>
        <v/>
      </c>
      <c r="H1375" s="40" t="str">
        <f>IF(Agent07_Loans!B187="","",Agent07_Loans!H187)</f>
        <v/>
      </c>
      <c r="I1375" s="43" t="str">
        <f>IF(Agent07_Loans!B187="","",Agent07_Loans!I187)</f>
        <v/>
      </c>
      <c r="J1375" s="43" t="str">
        <f>IF(Agent07_Loans!B187="","",Agent07_Loans!J187)</f>
        <v/>
      </c>
      <c r="K1375" s="40" t="str">
        <f>IF(Agent07_Loans!B187="","",Agent07_Loans!K187)</f>
        <v/>
      </c>
      <c r="L1375" s="40" t="str">
        <f>IF(Agent07_Loans!B187="","",Agent07_Loans!L187)</f>
        <v/>
      </c>
      <c r="M1375" s="40" t="str">
        <f>IFERROR(IF(Agent07_Loans!B187="","",YEAR(Agent07_Loans!D187)),"")</f>
        <v/>
      </c>
    </row>
    <row r="1376" spans="1:13" ht="18" customHeight="1" x14ac:dyDescent="0.25">
      <c r="A1376" s="40" t="str">
        <f>IF(Agent07_Loans!B188="","",Agent07_Loans!A188)</f>
        <v/>
      </c>
      <c r="B1376" s="40" t="str">
        <f>IF(Agent07_Loans!B188="","",Agent07_Loans!B188)</f>
        <v/>
      </c>
      <c r="C1376" s="40" t="str">
        <f>IF(Agent07_Loans!B188="","",Agent07_Loans!C188)</f>
        <v/>
      </c>
      <c r="D1376" s="41" t="str">
        <f>IF(Agent07_Loans!B188="","",Agent07_Loans!D188)</f>
        <v/>
      </c>
      <c r="E1376" s="43" t="str">
        <f>IF(Agent07_Loans!B188="","",Agent07_Loans!E188)</f>
        <v/>
      </c>
      <c r="F1376" s="40" t="str">
        <f>IF(Agent07_Loans!B188="","",Agent07_Loans!F188)</f>
        <v/>
      </c>
      <c r="G1376" s="40" t="str">
        <f>IF(Agent07_Loans!B188="","",Agent07_Loans!G188)</f>
        <v/>
      </c>
      <c r="H1376" s="40" t="str">
        <f>IF(Agent07_Loans!B188="","",Agent07_Loans!H188)</f>
        <v/>
      </c>
      <c r="I1376" s="43" t="str">
        <f>IF(Agent07_Loans!B188="","",Agent07_Loans!I188)</f>
        <v/>
      </c>
      <c r="J1376" s="43" t="str">
        <f>IF(Agent07_Loans!B188="","",Agent07_Loans!J188)</f>
        <v/>
      </c>
      <c r="K1376" s="40" t="str">
        <f>IF(Agent07_Loans!B188="","",Agent07_Loans!K188)</f>
        <v/>
      </c>
      <c r="L1376" s="40" t="str">
        <f>IF(Agent07_Loans!B188="","",Agent07_Loans!L188)</f>
        <v/>
      </c>
      <c r="M1376" s="40" t="str">
        <f>IFERROR(IF(Agent07_Loans!B188="","",YEAR(Agent07_Loans!D188)),"")</f>
        <v/>
      </c>
    </row>
    <row r="1377" spans="1:13" ht="18" customHeight="1" x14ac:dyDescent="0.25">
      <c r="A1377" s="40" t="str">
        <f>IF(Agent07_Loans!B189="","",Agent07_Loans!A189)</f>
        <v/>
      </c>
      <c r="B1377" s="40" t="str">
        <f>IF(Agent07_Loans!B189="","",Agent07_Loans!B189)</f>
        <v/>
      </c>
      <c r="C1377" s="40" t="str">
        <f>IF(Agent07_Loans!B189="","",Agent07_Loans!C189)</f>
        <v/>
      </c>
      <c r="D1377" s="41" t="str">
        <f>IF(Agent07_Loans!B189="","",Agent07_Loans!D189)</f>
        <v/>
      </c>
      <c r="E1377" s="43" t="str">
        <f>IF(Agent07_Loans!B189="","",Agent07_Loans!E189)</f>
        <v/>
      </c>
      <c r="F1377" s="40" t="str">
        <f>IF(Agent07_Loans!B189="","",Agent07_Loans!F189)</f>
        <v/>
      </c>
      <c r="G1377" s="40" t="str">
        <f>IF(Agent07_Loans!B189="","",Agent07_Loans!G189)</f>
        <v/>
      </c>
      <c r="H1377" s="40" t="str">
        <f>IF(Agent07_Loans!B189="","",Agent07_Loans!H189)</f>
        <v/>
      </c>
      <c r="I1377" s="43" t="str">
        <f>IF(Agent07_Loans!B189="","",Agent07_Loans!I189)</f>
        <v/>
      </c>
      <c r="J1377" s="43" t="str">
        <f>IF(Agent07_Loans!B189="","",Agent07_Loans!J189)</f>
        <v/>
      </c>
      <c r="K1377" s="40" t="str">
        <f>IF(Agent07_Loans!B189="","",Agent07_Loans!K189)</f>
        <v/>
      </c>
      <c r="L1377" s="40" t="str">
        <f>IF(Agent07_Loans!B189="","",Agent07_Loans!L189)</f>
        <v/>
      </c>
      <c r="M1377" s="40" t="str">
        <f>IFERROR(IF(Agent07_Loans!B189="","",YEAR(Agent07_Loans!D189)),"")</f>
        <v/>
      </c>
    </row>
    <row r="1378" spans="1:13" ht="18" customHeight="1" x14ac:dyDescent="0.25">
      <c r="A1378" s="40" t="str">
        <f>IF(Agent07_Loans!B190="","",Agent07_Loans!A190)</f>
        <v/>
      </c>
      <c r="B1378" s="40" t="str">
        <f>IF(Agent07_Loans!B190="","",Agent07_Loans!B190)</f>
        <v/>
      </c>
      <c r="C1378" s="40" t="str">
        <f>IF(Agent07_Loans!B190="","",Agent07_Loans!C190)</f>
        <v/>
      </c>
      <c r="D1378" s="41" t="str">
        <f>IF(Agent07_Loans!B190="","",Agent07_Loans!D190)</f>
        <v/>
      </c>
      <c r="E1378" s="43" t="str">
        <f>IF(Agent07_Loans!B190="","",Agent07_Loans!E190)</f>
        <v/>
      </c>
      <c r="F1378" s="40" t="str">
        <f>IF(Agent07_Loans!B190="","",Agent07_Loans!F190)</f>
        <v/>
      </c>
      <c r="G1378" s="40" t="str">
        <f>IF(Agent07_Loans!B190="","",Agent07_Loans!G190)</f>
        <v/>
      </c>
      <c r="H1378" s="40" t="str">
        <f>IF(Agent07_Loans!B190="","",Agent07_Loans!H190)</f>
        <v/>
      </c>
      <c r="I1378" s="43" t="str">
        <f>IF(Agent07_Loans!B190="","",Agent07_Loans!I190)</f>
        <v/>
      </c>
      <c r="J1378" s="43" t="str">
        <f>IF(Agent07_Loans!B190="","",Agent07_Loans!J190)</f>
        <v/>
      </c>
      <c r="K1378" s="40" t="str">
        <f>IF(Agent07_Loans!B190="","",Agent07_Loans!K190)</f>
        <v/>
      </c>
      <c r="L1378" s="40" t="str">
        <f>IF(Agent07_Loans!B190="","",Agent07_Loans!L190)</f>
        <v/>
      </c>
      <c r="M1378" s="40" t="str">
        <f>IFERROR(IF(Agent07_Loans!B190="","",YEAR(Agent07_Loans!D190)),"")</f>
        <v/>
      </c>
    </row>
    <row r="1379" spans="1:13" ht="18" customHeight="1" x14ac:dyDescent="0.25">
      <c r="A1379" s="40" t="str">
        <f>IF(Agent07_Loans!B191="","",Agent07_Loans!A191)</f>
        <v/>
      </c>
      <c r="B1379" s="40" t="str">
        <f>IF(Agent07_Loans!B191="","",Agent07_Loans!B191)</f>
        <v/>
      </c>
      <c r="C1379" s="40" t="str">
        <f>IF(Agent07_Loans!B191="","",Agent07_Loans!C191)</f>
        <v/>
      </c>
      <c r="D1379" s="41" t="str">
        <f>IF(Agent07_Loans!B191="","",Agent07_Loans!D191)</f>
        <v/>
      </c>
      <c r="E1379" s="43" t="str">
        <f>IF(Agent07_Loans!B191="","",Agent07_Loans!E191)</f>
        <v/>
      </c>
      <c r="F1379" s="40" t="str">
        <f>IF(Agent07_Loans!B191="","",Agent07_Loans!F191)</f>
        <v/>
      </c>
      <c r="G1379" s="40" t="str">
        <f>IF(Agent07_Loans!B191="","",Agent07_Loans!G191)</f>
        <v/>
      </c>
      <c r="H1379" s="40" t="str">
        <f>IF(Agent07_Loans!B191="","",Agent07_Loans!H191)</f>
        <v/>
      </c>
      <c r="I1379" s="43" t="str">
        <f>IF(Agent07_Loans!B191="","",Agent07_Loans!I191)</f>
        <v/>
      </c>
      <c r="J1379" s="43" t="str">
        <f>IF(Agent07_Loans!B191="","",Agent07_Loans!J191)</f>
        <v/>
      </c>
      <c r="K1379" s="40" t="str">
        <f>IF(Agent07_Loans!B191="","",Agent07_Loans!K191)</f>
        <v/>
      </c>
      <c r="L1379" s="40" t="str">
        <f>IF(Agent07_Loans!B191="","",Agent07_Loans!L191)</f>
        <v/>
      </c>
      <c r="M1379" s="40" t="str">
        <f>IFERROR(IF(Agent07_Loans!B191="","",YEAR(Agent07_Loans!D191)),"")</f>
        <v/>
      </c>
    </row>
    <row r="1380" spans="1:13" ht="18" customHeight="1" x14ac:dyDescent="0.25">
      <c r="A1380" s="40" t="str">
        <f>IF(Agent07_Loans!B192="","",Agent07_Loans!A192)</f>
        <v/>
      </c>
      <c r="B1380" s="40" t="str">
        <f>IF(Agent07_Loans!B192="","",Agent07_Loans!B192)</f>
        <v/>
      </c>
      <c r="C1380" s="40" t="str">
        <f>IF(Agent07_Loans!B192="","",Agent07_Loans!C192)</f>
        <v/>
      </c>
      <c r="D1380" s="41" t="str">
        <f>IF(Agent07_Loans!B192="","",Agent07_Loans!D192)</f>
        <v/>
      </c>
      <c r="E1380" s="43" t="str">
        <f>IF(Agent07_Loans!B192="","",Agent07_Loans!E192)</f>
        <v/>
      </c>
      <c r="F1380" s="40" t="str">
        <f>IF(Agent07_Loans!B192="","",Agent07_Loans!F192)</f>
        <v/>
      </c>
      <c r="G1380" s="40" t="str">
        <f>IF(Agent07_Loans!B192="","",Agent07_Loans!G192)</f>
        <v/>
      </c>
      <c r="H1380" s="40" t="str">
        <f>IF(Agent07_Loans!B192="","",Agent07_Loans!H192)</f>
        <v/>
      </c>
      <c r="I1380" s="43" t="str">
        <f>IF(Agent07_Loans!B192="","",Agent07_Loans!I192)</f>
        <v/>
      </c>
      <c r="J1380" s="43" t="str">
        <f>IF(Agent07_Loans!B192="","",Agent07_Loans!J192)</f>
        <v/>
      </c>
      <c r="K1380" s="40" t="str">
        <f>IF(Agent07_Loans!B192="","",Agent07_Loans!K192)</f>
        <v/>
      </c>
      <c r="L1380" s="40" t="str">
        <f>IF(Agent07_Loans!B192="","",Agent07_Loans!L192)</f>
        <v/>
      </c>
      <c r="M1380" s="40" t="str">
        <f>IFERROR(IF(Agent07_Loans!B192="","",YEAR(Agent07_Loans!D192)),"")</f>
        <v/>
      </c>
    </row>
    <row r="1381" spans="1:13" ht="18" customHeight="1" x14ac:dyDescent="0.25">
      <c r="A1381" s="40" t="str">
        <f>IF(Agent07_Loans!B193="","",Agent07_Loans!A193)</f>
        <v/>
      </c>
      <c r="B1381" s="40" t="str">
        <f>IF(Agent07_Loans!B193="","",Agent07_Loans!B193)</f>
        <v/>
      </c>
      <c r="C1381" s="40" t="str">
        <f>IF(Agent07_Loans!B193="","",Agent07_Loans!C193)</f>
        <v/>
      </c>
      <c r="D1381" s="41" t="str">
        <f>IF(Agent07_Loans!B193="","",Agent07_Loans!D193)</f>
        <v/>
      </c>
      <c r="E1381" s="43" t="str">
        <f>IF(Agent07_Loans!B193="","",Agent07_Loans!E193)</f>
        <v/>
      </c>
      <c r="F1381" s="40" t="str">
        <f>IF(Agent07_Loans!B193="","",Agent07_Loans!F193)</f>
        <v/>
      </c>
      <c r="G1381" s="40" t="str">
        <f>IF(Agent07_Loans!B193="","",Agent07_Loans!G193)</f>
        <v/>
      </c>
      <c r="H1381" s="40" t="str">
        <f>IF(Agent07_Loans!B193="","",Agent07_Loans!H193)</f>
        <v/>
      </c>
      <c r="I1381" s="43" t="str">
        <f>IF(Agent07_Loans!B193="","",Agent07_Loans!I193)</f>
        <v/>
      </c>
      <c r="J1381" s="43" t="str">
        <f>IF(Agent07_Loans!B193="","",Agent07_Loans!J193)</f>
        <v/>
      </c>
      <c r="K1381" s="40" t="str">
        <f>IF(Agent07_Loans!B193="","",Agent07_Loans!K193)</f>
        <v/>
      </c>
      <c r="L1381" s="40" t="str">
        <f>IF(Agent07_Loans!B193="","",Agent07_Loans!L193)</f>
        <v/>
      </c>
      <c r="M1381" s="40" t="str">
        <f>IFERROR(IF(Agent07_Loans!B193="","",YEAR(Agent07_Loans!D193)),"")</f>
        <v/>
      </c>
    </row>
    <row r="1382" spans="1:13" ht="18" customHeight="1" x14ac:dyDescent="0.25">
      <c r="A1382" s="40" t="str">
        <f>IF(Agent07_Loans!B194="","",Agent07_Loans!A194)</f>
        <v/>
      </c>
      <c r="B1382" s="40" t="str">
        <f>IF(Agent07_Loans!B194="","",Agent07_Loans!B194)</f>
        <v/>
      </c>
      <c r="C1382" s="40" t="str">
        <f>IF(Agent07_Loans!B194="","",Agent07_Loans!C194)</f>
        <v/>
      </c>
      <c r="D1382" s="41" t="str">
        <f>IF(Agent07_Loans!B194="","",Agent07_Loans!D194)</f>
        <v/>
      </c>
      <c r="E1382" s="43" t="str">
        <f>IF(Agent07_Loans!B194="","",Agent07_Loans!E194)</f>
        <v/>
      </c>
      <c r="F1382" s="40" t="str">
        <f>IF(Agent07_Loans!B194="","",Agent07_Loans!F194)</f>
        <v/>
      </c>
      <c r="G1382" s="40" t="str">
        <f>IF(Agent07_Loans!B194="","",Agent07_Loans!G194)</f>
        <v/>
      </c>
      <c r="H1382" s="40" t="str">
        <f>IF(Agent07_Loans!B194="","",Agent07_Loans!H194)</f>
        <v/>
      </c>
      <c r="I1382" s="43" t="str">
        <f>IF(Agent07_Loans!B194="","",Agent07_Loans!I194)</f>
        <v/>
      </c>
      <c r="J1382" s="43" t="str">
        <f>IF(Agent07_Loans!B194="","",Agent07_Loans!J194)</f>
        <v/>
      </c>
      <c r="K1382" s="40" t="str">
        <f>IF(Agent07_Loans!B194="","",Agent07_Loans!K194)</f>
        <v/>
      </c>
      <c r="L1382" s="40" t="str">
        <f>IF(Agent07_Loans!B194="","",Agent07_Loans!L194)</f>
        <v/>
      </c>
      <c r="M1382" s="40" t="str">
        <f>IFERROR(IF(Agent07_Loans!B194="","",YEAR(Agent07_Loans!D194)),"")</f>
        <v/>
      </c>
    </row>
    <row r="1383" spans="1:13" ht="18" customHeight="1" x14ac:dyDescent="0.25">
      <c r="A1383" s="40" t="str">
        <f>IF(Agent07_Loans!B195="","",Agent07_Loans!A195)</f>
        <v/>
      </c>
      <c r="B1383" s="40" t="str">
        <f>IF(Agent07_Loans!B195="","",Agent07_Loans!B195)</f>
        <v/>
      </c>
      <c r="C1383" s="40" t="str">
        <f>IF(Agent07_Loans!B195="","",Agent07_Loans!C195)</f>
        <v/>
      </c>
      <c r="D1383" s="41" t="str">
        <f>IF(Agent07_Loans!B195="","",Agent07_Loans!D195)</f>
        <v/>
      </c>
      <c r="E1383" s="43" t="str">
        <f>IF(Agent07_Loans!B195="","",Agent07_Loans!E195)</f>
        <v/>
      </c>
      <c r="F1383" s="40" t="str">
        <f>IF(Agent07_Loans!B195="","",Agent07_Loans!F195)</f>
        <v/>
      </c>
      <c r="G1383" s="40" t="str">
        <f>IF(Agent07_Loans!B195="","",Agent07_Loans!G195)</f>
        <v/>
      </c>
      <c r="H1383" s="40" t="str">
        <f>IF(Agent07_Loans!B195="","",Agent07_Loans!H195)</f>
        <v/>
      </c>
      <c r="I1383" s="43" t="str">
        <f>IF(Agent07_Loans!B195="","",Agent07_Loans!I195)</f>
        <v/>
      </c>
      <c r="J1383" s="43" t="str">
        <f>IF(Agent07_Loans!B195="","",Agent07_Loans!J195)</f>
        <v/>
      </c>
      <c r="K1383" s="40" t="str">
        <f>IF(Agent07_Loans!B195="","",Agent07_Loans!K195)</f>
        <v/>
      </c>
      <c r="L1383" s="40" t="str">
        <f>IF(Agent07_Loans!B195="","",Agent07_Loans!L195)</f>
        <v/>
      </c>
      <c r="M1383" s="40" t="str">
        <f>IFERROR(IF(Agent07_Loans!B195="","",YEAR(Agent07_Loans!D195)),"")</f>
        <v/>
      </c>
    </row>
    <row r="1384" spans="1:13" ht="18" customHeight="1" x14ac:dyDescent="0.25">
      <c r="A1384" s="40" t="str">
        <f>IF(Agent07_Loans!B196="","",Agent07_Loans!A196)</f>
        <v/>
      </c>
      <c r="B1384" s="40" t="str">
        <f>IF(Agent07_Loans!B196="","",Agent07_Loans!B196)</f>
        <v/>
      </c>
      <c r="C1384" s="40" t="str">
        <f>IF(Agent07_Loans!B196="","",Agent07_Loans!C196)</f>
        <v/>
      </c>
      <c r="D1384" s="41" t="str">
        <f>IF(Agent07_Loans!B196="","",Agent07_Loans!D196)</f>
        <v/>
      </c>
      <c r="E1384" s="43" t="str">
        <f>IF(Agent07_Loans!B196="","",Agent07_Loans!E196)</f>
        <v/>
      </c>
      <c r="F1384" s="40" t="str">
        <f>IF(Agent07_Loans!B196="","",Agent07_Loans!F196)</f>
        <v/>
      </c>
      <c r="G1384" s="40" t="str">
        <f>IF(Agent07_Loans!B196="","",Agent07_Loans!G196)</f>
        <v/>
      </c>
      <c r="H1384" s="40" t="str">
        <f>IF(Agent07_Loans!B196="","",Agent07_Loans!H196)</f>
        <v/>
      </c>
      <c r="I1384" s="43" t="str">
        <f>IF(Agent07_Loans!B196="","",Agent07_Loans!I196)</f>
        <v/>
      </c>
      <c r="J1384" s="43" t="str">
        <f>IF(Agent07_Loans!B196="","",Agent07_Loans!J196)</f>
        <v/>
      </c>
      <c r="K1384" s="40" t="str">
        <f>IF(Agent07_Loans!B196="","",Agent07_Loans!K196)</f>
        <v/>
      </c>
      <c r="L1384" s="40" t="str">
        <f>IF(Agent07_Loans!B196="","",Agent07_Loans!L196)</f>
        <v/>
      </c>
      <c r="M1384" s="40" t="str">
        <f>IFERROR(IF(Agent07_Loans!B196="","",YEAR(Agent07_Loans!D196)),"")</f>
        <v/>
      </c>
    </row>
    <row r="1385" spans="1:13" ht="18" customHeight="1" x14ac:dyDescent="0.25">
      <c r="A1385" s="40" t="str">
        <f>IF(Agent07_Loans!B197="","",Agent07_Loans!A197)</f>
        <v/>
      </c>
      <c r="B1385" s="40" t="str">
        <f>IF(Agent07_Loans!B197="","",Agent07_Loans!B197)</f>
        <v/>
      </c>
      <c r="C1385" s="40" t="str">
        <f>IF(Agent07_Loans!B197="","",Agent07_Loans!C197)</f>
        <v/>
      </c>
      <c r="D1385" s="41" t="str">
        <f>IF(Agent07_Loans!B197="","",Agent07_Loans!D197)</f>
        <v/>
      </c>
      <c r="E1385" s="43" t="str">
        <f>IF(Agent07_Loans!B197="","",Agent07_Loans!E197)</f>
        <v/>
      </c>
      <c r="F1385" s="40" t="str">
        <f>IF(Agent07_Loans!B197="","",Agent07_Loans!F197)</f>
        <v/>
      </c>
      <c r="G1385" s="40" t="str">
        <f>IF(Agent07_Loans!B197="","",Agent07_Loans!G197)</f>
        <v/>
      </c>
      <c r="H1385" s="40" t="str">
        <f>IF(Agent07_Loans!B197="","",Agent07_Loans!H197)</f>
        <v/>
      </c>
      <c r="I1385" s="43" t="str">
        <f>IF(Agent07_Loans!B197="","",Agent07_Loans!I197)</f>
        <v/>
      </c>
      <c r="J1385" s="43" t="str">
        <f>IF(Agent07_Loans!B197="","",Agent07_Loans!J197)</f>
        <v/>
      </c>
      <c r="K1385" s="40" t="str">
        <f>IF(Agent07_Loans!B197="","",Agent07_Loans!K197)</f>
        <v/>
      </c>
      <c r="L1385" s="40" t="str">
        <f>IF(Agent07_Loans!B197="","",Agent07_Loans!L197)</f>
        <v/>
      </c>
      <c r="M1385" s="40" t="str">
        <f>IFERROR(IF(Agent07_Loans!B197="","",YEAR(Agent07_Loans!D197)),"")</f>
        <v/>
      </c>
    </row>
    <row r="1386" spans="1:13" ht="18" customHeight="1" x14ac:dyDescent="0.25">
      <c r="A1386" s="40" t="str">
        <f>IF(Agent07_Loans!B198="","",Agent07_Loans!A198)</f>
        <v/>
      </c>
      <c r="B1386" s="40" t="str">
        <f>IF(Agent07_Loans!B198="","",Agent07_Loans!B198)</f>
        <v/>
      </c>
      <c r="C1386" s="40" t="str">
        <f>IF(Agent07_Loans!B198="","",Agent07_Loans!C198)</f>
        <v/>
      </c>
      <c r="D1386" s="41" t="str">
        <f>IF(Agent07_Loans!B198="","",Agent07_Loans!D198)</f>
        <v/>
      </c>
      <c r="E1386" s="43" t="str">
        <f>IF(Agent07_Loans!B198="","",Agent07_Loans!E198)</f>
        <v/>
      </c>
      <c r="F1386" s="40" t="str">
        <f>IF(Agent07_Loans!B198="","",Agent07_Loans!F198)</f>
        <v/>
      </c>
      <c r="G1386" s="40" t="str">
        <f>IF(Agent07_Loans!B198="","",Agent07_Loans!G198)</f>
        <v/>
      </c>
      <c r="H1386" s="40" t="str">
        <f>IF(Agent07_Loans!B198="","",Agent07_Loans!H198)</f>
        <v/>
      </c>
      <c r="I1386" s="43" t="str">
        <f>IF(Agent07_Loans!B198="","",Agent07_Loans!I198)</f>
        <v/>
      </c>
      <c r="J1386" s="43" t="str">
        <f>IF(Agent07_Loans!B198="","",Agent07_Loans!J198)</f>
        <v/>
      </c>
      <c r="K1386" s="40" t="str">
        <f>IF(Agent07_Loans!B198="","",Agent07_Loans!K198)</f>
        <v/>
      </c>
      <c r="L1386" s="40" t="str">
        <f>IF(Agent07_Loans!B198="","",Agent07_Loans!L198)</f>
        <v/>
      </c>
      <c r="M1386" s="40" t="str">
        <f>IFERROR(IF(Agent07_Loans!B198="","",YEAR(Agent07_Loans!D198)),"")</f>
        <v/>
      </c>
    </row>
    <row r="1387" spans="1:13" ht="18" customHeight="1" x14ac:dyDescent="0.25">
      <c r="A1387" s="40" t="str">
        <f>IF(Agent07_Loans!B199="","",Agent07_Loans!A199)</f>
        <v/>
      </c>
      <c r="B1387" s="40" t="str">
        <f>IF(Agent07_Loans!B199="","",Agent07_Loans!B199)</f>
        <v/>
      </c>
      <c r="C1387" s="40" t="str">
        <f>IF(Agent07_Loans!B199="","",Agent07_Loans!C199)</f>
        <v/>
      </c>
      <c r="D1387" s="41" t="str">
        <f>IF(Agent07_Loans!B199="","",Agent07_Loans!D199)</f>
        <v/>
      </c>
      <c r="E1387" s="43" t="str">
        <f>IF(Agent07_Loans!B199="","",Agent07_Loans!E199)</f>
        <v/>
      </c>
      <c r="F1387" s="40" t="str">
        <f>IF(Agent07_Loans!B199="","",Agent07_Loans!F199)</f>
        <v/>
      </c>
      <c r="G1387" s="40" t="str">
        <f>IF(Agent07_Loans!B199="","",Agent07_Loans!G199)</f>
        <v/>
      </c>
      <c r="H1387" s="40" t="str">
        <f>IF(Agent07_Loans!B199="","",Agent07_Loans!H199)</f>
        <v/>
      </c>
      <c r="I1387" s="43" t="str">
        <f>IF(Agent07_Loans!B199="","",Agent07_Loans!I199)</f>
        <v/>
      </c>
      <c r="J1387" s="43" t="str">
        <f>IF(Agent07_Loans!B199="","",Agent07_Loans!J199)</f>
        <v/>
      </c>
      <c r="K1387" s="40" t="str">
        <f>IF(Agent07_Loans!B199="","",Agent07_Loans!K199)</f>
        <v/>
      </c>
      <c r="L1387" s="40" t="str">
        <f>IF(Agent07_Loans!B199="","",Agent07_Loans!L199)</f>
        <v/>
      </c>
      <c r="M1387" s="40" t="str">
        <f>IFERROR(IF(Agent07_Loans!B199="","",YEAR(Agent07_Loans!D199)),"")</f>
        <v/>
      </c>
    </row>
    <row r="1388" spans="1:13" ht="18" customHeight="1" x14ac:dyDescent="0.25">
      <c r="A1388" s="40" t="str">
        <f>IF(Agent07_Loans!B200="","",Agent07_Loans!A200)</f>
        <v/>
      </c>
      <c r="B1388" s="40" t="str">
        <f>IF(Agent07_Loans!B200="","",Agent07_Loans!B200)</f>
        <v/>
      </c>
      <c r="C1388" s="40" t="str">
        <f>IF(Agent07_Loans!B200="","",Agent07_Loans!C200)</f>
        <v/>
      </c>
      <c r="D1388" s="41" t="str">
        <f>IF(Agent07_Loans!B200="","",Agent07_Loans!D200)</f>
        <v/>
      </c>
      <c r="E1388" s="43" t="str">
        <f>IF(Agent07_Loans!B200="","",Agent07_Loans!E200)</f>
        <v/>
      </c>
      <c r="F1388" s="40" t="str">
        <f>IF(Agent07_Loans!B200="","",Agent07_Loans!F200)</f>
        <v/>
      </c>
      <c r="G1388" s="40" t="str">
        <f>IF(Agent07_Loans!B200="","",Agent07_Loans!G200)</f>
        <v/>
      </c>
      <c r="H1388" s="40" t="str">
        <f>IF(Agent07_Loans!B200="","",Agent07_Loans!H200)</f>
        <v/>
      </c>
      <c r="I1388" s="43" t="str">
        <f>IF(Agent07_Loans!B200="","",Agent07_Loans!I200)</f>
        <v/>
      </c>
      <c r="J1388" s="43" t="str">
        <f>IF(Agent07_Loans!B200="","",Agent07_Loans!J200)</f>
        <v/>
      </c>
      <c r="K1388" s="40" t="str">
        <f>IF(Agent07_Loans!B200="","",Agent07_Loans!K200)</f>
        <v/>
      </c>
      <c r="L1388" s="40" t="str">
        <f>IF(Agent07_Loans!B200="","",Agent07_Loans!L200)</f>
        <v/>
      </c>
      <c r="M1388" s="40" t="str">
        <f>IFERROR(IF(Agent07_Loans!B200="","",YEAR(Agent07_Loans!D200)),"")</f>
        <v/>
      </c>
    </row>
    <row r="1389" spans="1:13" ht="18" customHeight="1" x14ac:dyDescent="0.25">
      <c r="A1389" s="40" t="str">
        <f>IF(Agent07_Loans!B201="","",Agent07_Loans!A201)</f>
        <v/>
      </c>
      <c r="B1389" s="40" t="str">
        <f>IF(Agent07_Loans!B201="","",Agent07_Loans!B201)</f>
        <v/>
      </c>
      <c r="C1389" s="40" t="str">
        <f>IF(Agent07_Loans!B201="","",Agent07_Loans!C201)</f>
        <v/>
      </c>
      <c r="D1389" s="41" t="str">
        <f>IF(Agent07_Loans!B201="","",Agent07_Loans!D201)</f>
        <v/>
      </c>
      <c r="E1389" s="43" t="str">
        <f>IF(Agent07_Loans!B201="","",Agent07_Loans!E201)</f>
        <v/>
      </c>
      <c r="F1389" s="40" t="str">
        <f>IF(Agent07_Loans!B201="","",Agent07_Loans!F201)</f>
        <v/>
      </c>
      <c r="G1389" s="40" t="str">
        <f>IF(Agent07_Loans!B201="","",Agent07_Loans!G201)</f>
        <v/>
      </c>
      <c r="H1389" s="40" t="str">
        <f>IF(Agent07_Loans!B201="","",Agent07_Loans!H201)</f>
        <v/>
      </c>
      <c r="I1389" s="43" t="str">
        <f>IF(Agent07_Loans!B201="","",Agent07_Loans!I201)</f>
        <v/>
      </c>
      <c r="J1389" s="43" t="str">
        <f>IF(Agent07_Loans!B201="","",Agent07_Loans!J201)</f>
        <v/>
      </c>
      <c r="K1389" s="40" t="str">
        <f>IF(Agent07_Loans!B201="","",Agent07_Loans!K201)</f>
        <v/>
      </c>
      <c r="L1389" s="40" t="str">
        <f>IF(Agent07_Loans!B201="","",Agent07_Loans!L201)</f>
        <v/>
      </c>
      <c r="M1389" s="40" t="str">
        <f>IFERROR(IF(Agent07_Loans!B201="","",YEAR(Agent07_Loans!D201)),"")</f>
        <v/>
      </c>
    </row>
    <row r="1390" spans="1:13" ht="18" customHeight="1" x14ac:dyDescent="0.25">
      <c r="A1390" s="40" t="str">
        <f>IF(Agent07_Loans!B202="","",Agent07_Loans!A202)</f>
        <v/>
      </c>
      <c r="B1390" s="40" t="str">
        <f>IF(Agent07_Loans!B202="","",Agent07_Loans!B202)</f>
        <v/>
      </c>
      <c r="C1390" s="40" t="str">
        <f>IF(Agent07_Loans!B202="","",Agent07_Loans!C202)</f>
        <v/>
      </c>
      <c r="D1390" s="41" t="str">
        <f>IF(Agent07_Loans!B202="","",Agent07_Loans!D202)</f>
        <v/>
      </c>
      <c r="E1390" s="43" t="str">
        <f>IF(Agent07_Loans!B202="","",Agent07_Loans!E202)</f>
        <v/>
      </c>
      <c r="F1390" s="40" t="str">
        <f>IF(Agent07_Loans!B202="","",Agent07_Loans!F202)</f>
        <v/>
      </c>
      <c r="G1390" s="40" t="str">
        <f>IF(Agent07_Loans!B202="","",Agent07_Loans!G202)</f>
        <v/>
      </c>
      <c r="H1390" s="40" t="str">
        <f>IF(Agent07_Loans!B202="","",Agent07_Loans!H202)</f>
        <v/>
      </c>
      <c r="I1390" s="43" t="str">
        <f>IF(Agent07_Loans!B202="","",Agent07_Loans!I202)</f>
        <v/>
      </c>
      <c r="J1390" s="43" t="str">
        <f>IF(Agent07_Loans!B202="","",Agent07_Loans!J202)</f>
        <v/>
      </c>
      <c r="K1390" s="40" t="str">
        <f>IF(Agent07_Loans!B202="","",Agent07_Loans!K202)</f>
        <v/>
      </c>
      <c r="L1390" s="40" t="str">
        <f>IF(Agent07_Loans!B202="","",Agent07_Loans!L202)</f>
        <v/>
      </c>
      <c r="M1390" s="40" t="str">
        <f>IFERROR(IF(Agent07_Loans!B202="","",YEAR(Agent07_Loans!D202)),"")</f>
        <v/>
      </c>
    </row>
    <row r="1391" spans="1:13" ht="18" customHeight="1" x14ac:dyDescent="0.25">
      <c r="A1391" s="40" t="str">
        <f>IF(Agent07_Loans!B203="","",Agent07_Loans!A203)</f>
        <v/>
      </c>
      <c r="B1391" s="40" t="str">
        <f>IF(Agent07_Loans!B203="","",Agent07_Loans!B203)</f>
        <v/>
      </c>
      <c r="C1391" s="40" t="str">
        <f>IF(Agent07_Loans!B203="","",Agent07_Loans!C203)</f>
        <v/>
      </c>
      <c r="D1391" s="41" t="str">
        <f>IF(Agent07_Loans!B203="","",Agent07_Loans!D203)</f>
        <v/>
      </c>
      <c r="E1391" s="43" t="str">
        <f>IF(Agent07_Loans!B203="","",Agent07_Loans!E203)</f>
        <v/>
      </c>
      <c r="F1391" s="40" t="str">
        <f>IF(Agent07_Loans!B203="","",Agent07_Loans!F203)</f>
        <v/>
      </c>
      <c r="G1391" s="40" t="str">
        <f>IF(Agent07_Loans!B203="","",Agent07_Loans!G203)</f>
        <v/>
      </c>
      <c r="H1391" s="40" t="str">
        <f>IF(Agent07_Loans!B203="","",Agent07_Loans!H203)</f>
        <v/>
      </c>
      <c r="I1391" s="43" t="str">
        <f>IF(Agent07_Loans!B203="","",Agent07_Loans!I203)</f>
        <v/>
      </c>
      <c r="J1391" s="43" t="str">
        <f>IF(Agent07_Loans!B203="","",Agent07_Loans!J203)</f>
        <v/>
      </c>
      <c r="K1391" s="40" t="str">
        <f>IF(Agent07_Loans!B203="","",Agent07_Loans!K203)</f>
        <v/>
      </c>
      <c r="L1391" s="40" t="str">
        <f>IF(Agent07_Loans!B203="","",Agent07_Loans!L203)</f>
        <v/>
      </c>
      <c r="M1391" s="40" t="str">
        <f>IFERROR(IF(Agent07_Loans!B203="","",YEAR(Agent07_Loans!D203)),"")</f>
        <v/>
      </c>
    </row>
    <row r="1392" spans="1:13" ht="18" customHeight="1" x14ac:dyDescent="0.25">
      <c r="A1392" s="40" t="str">
        <f>IF(Agent07_Loans!B204="","",Agent07_Loans!A204)</f>
        <v/>
      </c>
      <c r="B1392" s="40" t="str">
        <f>IF(Agent07_Loans!B204="","",Agent07_Loans!B204)</f>
        <v/>
      </c>
      <c r="C1392" s="40" t="str">
        <f>IF(Agent07_Loans!B204="","",Agent07_Loans!C204)</f>
        <v/>
      </c>
      <c r="D1392" s="41" t="str">
        <f>IF(Agent07_Loans!B204="","",Agent07_Loans!D204)</f>
        <v/>
      </c>
      <c r="E1392" s="43" t="str">
        <f>IF(Agent07_Loans!B204="","",Agent07_Loans!E204)</f>
        <v/>
      </c>
      <c r="F1392" s="40" t="str">
        <f>IF(Agent07_Loans!B204="","",Agent07_Loans!F204)</f>
        <v/>
      </c>
      <c r="G1392" s="40" t="str">
        <f>IF(Agent07_Loans!B204="","",Agent07_Loans!G204)</f>
        <v/>
      </c>
      <c r="H1392" s="40" t="str">
        <f>IF(Agent07_Loans!B204="","",Agent07_Loans!H204)</f>
        <v/>
      </c>
      <c r="I1392" s="43" t="str">
        <f>IF(Agent07_Loans!B204="","",Agent07_Loans!I204)</f>
        <v/>
      </c>
      <c r="J1392" s="43" t="str">
        <f>IF(Agent07_Loans!B204="","",Agent07_Loans!J204)</f>
        <v/>
      </c>
      <c r="K1392" s="40" t="str">
        <f>IF(Agent07_Loans!B204="","",Agent07_Loans!K204)</f>
        <v/>
      </c>
      <c r="L1392" s="40" t="str">
        <f>IF(Agent07_Loans!B204="","",Agent07_Loans!L204)</f>
        <v/>
      </c>
      <c r="M1392" s="40" t="str">
        <f>IFERROR(IF(Agent07_Loans!B204="","",YEAR(Agent07_Loans!D204)),"")</f>
        <v/>
      </c>
    </row>
    <row r="1393" spans="1:13" ht="18" customHeight="1" x14ac:dyDescent="0.25">
      <c r="A1393" s="40" t="str">
        <f>IF(Agent07_Loans!B205="","",Agent07_Loans!A205)</f>
        <v/>
      </c>
      <c r="B1393" s="40" t="str">
        <f>IF(Agent07_Loans!B205="","",Agent07_Loans!B205)</f>
        <v/>
      </c>
      <c r="C1393" s="40" t="str">
        <f>IF(Agent07_Loans!B205="","",Agent07_Loans!C205)</f>
        <v/>
      </c>
      <c r="D1393" s="41" t="str">
        <f>IF(Agent07_Loans!B205="","",Agent07_Loans!D205)</f>
        <v/>
      </c>
      <c r="E1393" s="43" t="str">
        <f>IF(Agent07_Loans!B205="","",Agent07_Loans!E205)</f>
        <v/>
      </c>
      <c r="F1393" s="40" t="str">
        <f>IF(Agent07_Loans!B205="","",Agent07_Loans!F205)</f>
        <v/>
      </c>
      <c r="G1393" s="40" t="str">
        <f>IF(Agent07_Loans!B205="","",Agent07_Loans!G205)</f>
        <v/>
      </c>
      <c r="H1393" s="40" t="str">
        <f>IF(Agent07_Loans!B205="","",Agent07_Loans!H205)</f>
        <v/>
      </c>
      <c r="I1393" s="43" t="str">
        <f>IF(Agent07_Loans!B205="","",Agent07_Loans!I205)</f>
        <v/>
      </c>
      <c r="J1393" s="43" t="str">
        <f>IF(Agent07_Loans!B205="","",Agent07_Loans!J205)</f>
        <v/>
      </c>
      <c r="K1393" s="40" t="str">
        <f>IF(Agent07_Loans!B205="","",Agent07_Loans!K205)</f>
        <v/>
      </c>
      <c r="L1393" s="40" t="str">
        <f>IF(Agent07_Loans!B205="","",Agent07_Loans!L205)</f>
        <v/>
      </c>
      <c r="M1393" s="40" t="str">
        <f>IFERROR(IF(Agent07_Loans!B205="","",YEAR(Agent07_Loans!D205)),"")</f>
        <v/>
      </c>
    </row>
    <row r="1394" spans="1:13" ht="18" customHeight="1" x14ac:dyDescent="0.25">
      <c r="A1394" s="40" t="str">
        <f>IF(Agent07_Loans!B206="","",Agent07_Loans!A206)</f>
        <v/>
      </c>
      <c r="B1394" s="40" t="str">
        <f>IF(Agent07_Loans!B206="","",Agent07_Loans!B206)</f>
        <v/>
      </c>
      <c r="C1394" s="40" t="str">
        <f>IF(Agent07_Loans!B206="","",Agent07_Loans!C206)</f>
        <v/>
      </c>
      <c r="D1394" s="41" t="str">
        <f>IF(Agent07_Loans!B206="","",Agent07_Loans!D206)</f>
        <v/>
      </c>
      <c r="E1394" s="43" t="str">
        <f>IF(Agent07_Loans!B206="","",Agent07_Loans!E206)</f>
        <v/>
      </c>
      <c r="F1394" s="40" t="str">
        <f>IF(Agent07_Loans!B206="","",Agent07_Loans!F206)</f>
        <v/>
      </c>
      <c r="G1394" s="40" t="str">
        <f>IF(Agent07_Loans!B206="","",Agent07_Loans!G206)</f>
        <v/>
      </c>
      <c r="H1394" s="40" t="str">
        <f>IF(Agent07_Loans!B206="","",Agent07_Loans!H206)</f>
        <v/>
      </c>
      <c r="I1394" s="43" t="str">
        <f>IF(Agent07_Loans!B206="","",Agent07_Loans!I206)</f>
        <v/>
      </c>
      <c r="J1394" s="43" t="str">
        <f>IF(Agent07_Loans!B206="","",Agent07_Loans!J206)</f>
        <v/>
      </c>
      <c r="K1394" s="40" t="str">
        <f>IF(Agent07_Loans!B206="","",Agent07_Loans!K206)</f>
        <v/>
      </c>
      <c r="L1394" s="40" t="str">
        <f>IF(Agent07_Loans!B206="","",Agent07_Loans!L206)</f>
        <v/>
      </c>
      <c r="M1394" s="40" t="str">
        <f>IFERROR(IF(Agent07_Loans!B206="","",YEAR(Agent07_Loans!D206)),"")</f>
        <v/>
      </c>
    </row>
    <row r="1395" spans="1:13" ht="18" customHeight="1" x14ac:dyDescent="0.25">
      <c r="A1395" s="40" t="str">
        <f>IF(Agent07_Loans!B207="","",Agent07_Loans!A207)</f>
        <v/>
      </c>
      <c r="B1395" s="40" t="str">
        <f>IF(Agent07_Loans!B207="","",Agent07_Loans!B207)</f>
        <v/>
      </c>
      <c r="C1395" s="40" t="str">
        <f>IF(Agent07_Loans!B207="","",Agent07_Loans!C207)</f>
        <v/>
      </c>
      <c r="D1395" s="41" t="str">
        <f>IF(Agent07_Loans!B207="","",Agent07_Loans!D207)</f>
        <v/>
      </c>
      <c r="E1395" s="43" t="str">
        <f>IF(Agent07_Loans!B207="","",Agent07_Loans!E207)</f>
        <v/>
      </c>
      <c r="F1395" s="40" t="str">
        <f>IF(Agent07_Loans!B207="","",Agent07_Loans!F207)</f>
        <v/>
      </c>
      <c r="G1395" s="40" t="str">
        <f>IF(Agent07_Loans!B207="","",Agent07_Loans!G207)</f>
        <v/>
      </c>
      <c r="H1395" s="40" t="str">
        <f>IF(Agent07_Loans!B207="","",Agent07_Loans!H207)</f>
        <v/>
      </c>
      <c r="I1395" s="43" t="str">
        <f>IF(Agent07_Loans!B207="","",Agent07_Loans!I207)</f>
        <v/>
      </c>
      <c r="J1395" s="43" t="str">
        <f>IF(Agent07_Loans!B207="","",Agent07_Loans!J207)</f>
        <v/>
      </c>
      <c r="K1395" s="40" t="str">
        <f>IF(Agent07_Loans!B207="","",Agent07_Loans!K207)</f>
        <v/>
      </c>
      <c r="L1395" s="40" t="str">
        <f>IF(Agent07_Loans!B207="","",Agent07_Loans!L207)</f>
        <v/>
      </c>
      <c r="M1395" s="40" t="str">
        <f>IFERROR(IF(Agent07_Loans!B207="","",YEAR(Agent07_Loans!D207)),"")</f>
        <v/>
      </c>
    </row>
    <row r="1396" spans="1:13" ht="18" customHeight="1" x14ac:dyDescent="0.25">
      <c r="A1396" s="40" t="str">
        <f>IF(Agent07_Loans!B208="","",Agent07_Loans!A208)</f>
        <v/>
      </c>
      <c r="B1396" s="40" t="str">
        <f>IF(Agent07_Loans!B208="","",Agent07_Loans!B208)</f>
        <v/>
      </c>
      <c r="C1396" s="40" t="str">
        <f>IF(Agent07_Loans!B208="","",Agent07_Loans!C208)</f>
        <v/>
      </c>
      <c r="D1396" s="41" t="str">
        <f>IF(Agent07_Loans!B208="","",Agent07_Loans!D208)</f>
        <v/>
      </c>
      <c r="E1396" s="43" t="str">
        <f>IF(Agent07_Loans!B208="","",Agent07_Loans!E208)</f>
        <v/>
      </c>
      <c r="F1396" s="40" t="str">
        <f>IF(Agent07_Loans!B208="","",Agent07_Loans!F208)</f>
        <v/>
      </c>
      <c r="G1396" s="40" t="str">
        <f>IF(Agent07_Loans!B208="","",Agent07_Loans!G208)</f>
        <v/>
      </c>
      <c r="H1396" s="40" t="str">
        <f>IF(Agent07_Loans!B208="","",Agent07_Loans!H208)</f>
        <v/>
      </c>
      <c r="I1396" s="43" t="str">
        <f>IF(Agent07_Loans!B208="","",Agent07_Loans!I208)</f>
        <v/>
      </c>
      <c r="J1396" s="43" t="str">
        <f>IF(Agent07_Loans!B208="","",Agent07_Loans!J208)</f>
        <v/>
      </c>
      <c r="K1396" s="40" t="str">
        <f>IF(Agent07_Loans!B208="","",Agent07_Loans!K208)</f>
        <v/>
      </c>
      <c r="L1396" s="40" t="str">
        <f>IF(Agent07_Loans!B208="","",Agent07_Loans!L208)</f>
        <v/>
      </c>
      <c r="M1396" s="40" t="str">
        <f>IFERROR(IF(Agent07_Loans!B208="","",YEAR(Agent07_Loans!D208)),"")</f>
        <v/>
      </c>
    </row>
    <row r="1397" spans="1:13" ht="18" customHeight="1" x14ac:dyDescent="0.25">
      <c r="A1397" s="40" t="str">
        <f>IF(Agent07_Loans!B209="","",Agent07_Loans!A209)</f>
        <v/>
      </c>
      <c r="B1397" s="40" t="str">
        <f>IF(Agent07_Loans!B209="","",Agent07_Loans!B209)</f>
        <v/>
      </c>
      <c r="C1397" s="40" t="str">
        <f>IF(Agent07_Loans!B209="","",Agent07_Loans!C209)</f>
        <v/>
      </c>
      <c r="D1397" s="41" t="str">
        <f>IF(Agent07_Loans!B209="","",Agent07_Loans!D209)</f>
        <v/>
      </c>
      <c r="E1397" s="43" t="str">
        <f>IF(Agent07_Loans!B209="","",Agent07_Loans!E209)</f>
        <v/>
      </c>
      <c r="F1397" s="40" t="str">
        <f>IF(Agent07_Loans!B209="","",Agent07_Loans!F209)</f>
        <v/>
      </c>
      <c r="G1397" s="40" t="str">
        <f>IF(Agent07_Loans!B209="","",Agent07_Loans!G209)</f>
        <v/>
      </c>
      <c r="H1397" s="40" t="str">
        <f>IF(Agent07_Loans!B209="","",Agent07_Loans!H209)</f>
        <v/>
      </c>
      <c r="I1397" s="43" t="str">
        <f>IF(Agent07_Loans!B209="","",Agent07_Loans!I209)</f>
        <v/>
      </c>
      <c r="J1397" s="43" t="str">
        <f>IF(Agent07_Loans!B209="","",Agent07_Loans!J209)</f>
        <v/>
      </c>
      <c r="K1397" s="40" t="str">
        <f>IF(Agent07_Loans!B209="","",Agent07_Loans!K209)</f>
        <v/>
      </c>
      <c r="L1397" s="40" t="str">
        <f>IF(Agent07_Loans!B209="","",Agent07_Loans!L209)</f>
        <v/>
      </c>
      <c r="M1397" s="40" t="str">
        <f>IFERROR(IF(Agent07_Loans!B209="","",YEAR(Agent07_Loans!D209)),"")</f>
        <v/>
      </c>
    </row>
    <row r="1398" spans="1:13" ht="18" customHeight="1" x14ac:dyDescent="0.25">
      <c r="A1398" s="40" t="str">
        <f>IF(Agent07_Loans!B210="","",Agent07_Loans!A210)</f>
        <v/>
      </c>
      <c r="B1398" s="40" t="str">
        <f>IF(Agent07_Loans!B210="","",Agent07_Loans!B210)</f>
        <v/>
      </c>
      <c r="C1398" s="40" t="str">
        <f>IF(Agent07_Loans!B210="","",Agent07_Loans!C210)</f>
        <v/>
      </c>
      <c r="D1398" s="41" t="str">
        <f>IF(Agent07_Loans!B210="","",Agent07_Loans!D210)</f>
        <v/>
      </c>
      <c r="E1398" s="43" t="str">
        <f>IF(Agent07_Loans!B210="","",Agent07_Loans!E210)</f>
        <v/>
      </c>
      <c r="F1398" s="40" t="str">
        <f>IF(Agent07_Loans!B210="","",Agent07_Loans!F210)</f>
        <v/>
      </c>
      <c r="G1398" s="40" t="str">
        <f>IF(Agent07_Loans!B210="","",Agent07_Loans!G210)</f>
        <v/>
      </c>
      <c r="H1398" s="40" t="str">
        <f>IF(Agent07_Loans!B210="","",Agent07_Loans!H210)</f>
        <v/>
      </c>
      <c r="I1398" s="43" t="str">
        <f>IF(Agent07_Loans!B210="","",Agent07_Loans!I210)</f>
        <v/>
      </c>
      <c r="J1398" s="43" t="str">
        <f>IF(Agent07_Loans!B210="","",Agent07_Loans!J210)</f>
        <v/>
      </c>
      <c r="K1398" s="40" t="str">
        <f>IF(Agent07_Loans!B210="","",Agent07_Loans!K210)</f>
        <v/>
      </c>
      <c r="L1398" s="40" t="str">
        <f>IF(Agent07_Loans!B210="","",Agent07_Loans!L210)</f>
        <v/>
      </c>
      <c r="M1398" s="40" t="str">
        <f>IFERROR(IF(Agent07_Loans!B210="","",YEAR(Agent07_Loans!D210)),"")</f>
        <v/>
      </c>
    </row>
    <row r="1399" spans="1:13" ht="18" customHeight="1" x14ac:dyDescent="0.25">
      <c r="A1399" s="40" t="str">
        <f>IF(Agent07_Loans!B211="","",Agent07_Loans!A211)</f>
        <v/>
      </c>
      <c r="B1399" s="40" t="str">
        <f>IF(Agent07_Loans!B211="","",Agent07_Loans!B211)</f>
        <v/>
      </c>
      <c r="C1399" s="40" t="str">
        <f>IF(Agent07_Loans!B211="","",Agent07_Loans!C211)</f>
        <v/>
      </c>
      <c r="D1399" s="41" t="str">
        <f>IF(Agent07_Loans!B211="","",Agent07_Loans!D211)</f>
        <v/>
      </c>
      <c r="E1399" s="43" t="str">
        <f>IF(Agent07_Loans!B211="","",Agent07_Loans!E211)</f>
        <v/>
      </c>
      <c r="F1399" s="40" t="str">
        <f>IF(Agent07_Loans!B211="","",Agent07_Loans!F211)</f>
        <v/>
      </c>
      <c r="G1399" s="40" t="str">
        <f>IF(Agent07_Loans!B211="","",Agent07_Loans!G211)</f>
        <v/>
      </c>
      <c r="H1399" s="40" t="str">
        <f>IF(Agent07_Loans!B211="","",Agent07_Loans!H211)</f>
        <v/>
      </c>
      <c r="I1399" s="43" t="str">
        <f>IF(Agent07_Loans!B211="","",Agent07_Loans!I211)</f>
        <v/>
      </c>
      <c r="J1399" s="43" t="str">
        <f>IF(Agent07_Loans!B211="","",Agent07_Loans!J211)</f>
        <v/>
      </c>
      <c r="K1399" s="40" t="str">
        <f>IF(Agent07_Loans!B211="","",Agent07_Loans!K211)</f>
        <v/>
      </c>
      <c r="L1399" s="40" t="str">
        <f>IF(Agent07_Loans!B211="","",Agent07_Loans!L211)</f>
        <v/>
      </c>
      <c r="M1399" s="40" t="str">
        <f>IFERROR(IF(Agent07_Loans!B211="","",YEAR(Agent07_Loans!D211)),"")</f>
        <v/>
      </c>
    </row>
    <row r="1400" spans="1:13" ht="18" customHeight="1" x14ac:dyDescent="0.25">
      <c r="A1400" s="40" t="str">
        <f>IF(Agent07_Loans!B212="","",Agent07_Loans!A212)</f>
        <v/>
      </c>
      <c r="B1400" s="40" t="str">
        <f>IF(Agent07_Loans!B212="","",Agent07_Loans!B212)</f>
        <v/>
      </c>
      <c r="C1400" s="40" t="str">
        <f>IF(Agent07_Loans!B212="","",Agent07_Loans!C212)</f>
        <v/>
      </c>
      <c r="D1400" s="41" t="str">
        <f>IF(Agent07_Loans!B212="","",Agent07_Loans!D212)</f>
        <v/>
      </c>
      <c r="E1400" s="43" t="str">
        <f>IF(Agent07_Loans!B212="","",Agent07_Loans!E212)</f>
        <v/>
      </c>
      <c r="F1400" s="40" t="str">
        <f>IF(Agent07_Loans!B212="","",Agent07_Loans!F212)</f>
        <v/>
      </c>
      <c r="G1400" s="40" t="str">
        <f>IF(Agent07_Loans!B212="","",Agent07_Loans!G212)</f>
        <v/>
      </c>
      <c r="H1400" s="40" t="str">
        <f>IF(Agent07_Loans!B212="","",Agent07_Loans!H212)</f>
        <v/>
      </c>
      <c r="I1400" s="43" t="str">
        <f>IF(Agent07_Loans!B212="","",Agent07_Loans!I212)</f>
        <v/>
      </c>
      <c r="J1400" s="43" t="str">
        <f>IF(Agent07_Loans!B212="","",Agent07_Loans!J212)</f>
        <v/>
      </c>
      <c r="K1400" s="40" t="str">
        <f>IF(Agent07_Loans!B212="","",Agent07_Loans!K212)</f>
        <v/>
      </c>
      <c r="L1400" s="40" t="str">
        <f>IF(Agent07_Loans!B212="","",Agent07_Loans!L212)</f>
        <v/>
      </c>
      <c r="M1400" s="40" t="str">
        <f>IFERROR(IF(Agent07_Loans!B212="","",YEAR(Agent07_Loans!D212)),"")</f>
        <v/>
      </c>
    </row>
    <row r="1401" spans="1:13" ht="18" customHeight="1" x14ac:dyDescent="0.25">
      <c r="A1401" s="40" t="str">
        <f>IF(Agent07_Loans!B213="","",Agent07_Loans!A213)</f>
        <v/>
      </c>
      <c r="B1401" s="40" t="str">
        <f>IF(Agent07_Loans!B213="","",Agent07_Loans!B213)</f>
        <v/>
      </c>
      <c r="C1401" s="40" t="str">
        <f>IF(Agent07_Loans!B213="","",Agent07_Loans!C213)</f>
        <v/>
      </c>
      <c r="D1401" s="41" t="str">
        <f>IF(Agent07_Loans!B213="","",Agent07_Loans!D213)</f>
        <v/>
      </c>
      <c r="E1401" s="43" t="str">
        <f>IF(Agent07_Loans!B213="","",Agent07_Loans!E213)</f>
        <v/>
      </c>
      <c r="F1401" s="40" t="str">
        <f>IF(Agent07_Loans!B213="","",Agent07_Loans!F213)</f>
        <v/>
      </c>
      <c r="G1401" s="40" t="str">
        <f>IF(Agent07_Loans!B213="","",Agent07_Loans!G213)</f>
        <v/>
      </c>
      <c r="H1401" s="40" t="str">
        <f>IF(Agent07_Loans!B213="","",Agent07_Loans!H213)</f>
        <v/>
      </c>
      <c r="I1401" s="43" t="str">
        <f>IF(Agent07_Loans!B213="","",Agent07_Loans!I213)</f>
        <v/>
      </c>
      <c r="J1401" s="43" t="str">
        <f>IF(Agent07_Loans!B213="","",Agent07_Loans!J213)</f>
        <v/>
      </c>
      <c r="K1401" s="40" t="str">
        <f>IF(Agent07_Loans!B213="","",Agent07_Loans!K213)</f>
        <v/>
      </c>
      <c r="L1401" s="40" t="str">
        <f>IF(Agent07_Loans!B213="","",Agent07_Loans!L213)</f>
        <v/>
      </c>
      <c r="M1401" s="40" t="str">
        <f>IFERROR(IF(Agent07_Loans!B213="","",YEAR(Agent07_Loans!D213)),"")</f>
        <v/>
      </c>
    </row>
    <row r="1402" spans="1:13" ht="18" customHeight="1" x14ac:dyDescent="0.25">
      <c r="A1402" s="40" t="str">
        <f>IF(Agent07_Loans!B214="","",Agent07_Loans!A214)</f>
        <v/>
      </c>
      <c r="B1402" s="40" t="str">
        <f>IF(Agent07_Loans!B214="","",Agent07_Loans!B214)</f>
        <v/>
      </c>
      <c r="C1402" s="40" t="str">
        <f>IF(Agent07_Loans!B214="","",Agent07_Loans!C214)</f>
        <v/>
      </c>
      <c r="D1402" s="41" t="str">
        <f>IF(Agent07_Loans!B214="","",Agent07_Loans!D214)</f>
        <v/>
      </c>
      <c r="E1402" s="43" t="str">
        <f>IF(Agent07_Loans!B214="","",Agent07_Loans!E214)</f>
        <v/>
      </c>
      <c r="F1402" s="40" t="str">
        <f>IF(Agent07_Loans!B214="","",Agent07_Loans!F214)</f>
        <v/>
      </c>
      <c r="G1402" s="40" t="str">
        <f>IF(Agent07_Loans!B214="","",Agent07_Loans!G214)</f>
        <v/>
      </c>
      <c r="H1402" s="40" t="str">
        <f>IF(Agent07_Loans!B214="","",Agent07_Loans!H214)</f>
        <v/>
      </c>
      <c r="I1402" s="43" t="str">
        <f>IF(Agent07_Loans!B214="","",Agent07_Loans!I214)</f>
        <v/>
      </c>
      <c r="J1402" s="43" t="str">
        <f>IF(Agent07_Loans!B214="","",Agent07_Loans!J214)</f>
        <v/>
      </c>
      <c r="K1402" s="40" t="str">
        <f>IF(Agent07_Loans!B214="","",Agent07_Loans!K214)</f>
        <v/>
      </c>
      <c r="L1402" s="40" t="str">
        <f>IF(Agent07_Loans!B214="","",Agent07_Loans!L214)</f>
        <v/>
      </c>
      <c r="M1402" s="40" t="str">
        <f>IFERROR(IF(Agent07_Loans!B214="","",YEAR(Agent07_Loans!D214)),"")</f>
        <v/>
      </c>
    </row>
    <row r="1403" spans="1:13" ht="18" customHeight="1" x14ac:dyDescent="0.25">
      <c r="A1403" s="40" t="str">
        <f>IF(Agent07_Loans!B215="","",Agent07_Loans!A215)</f>
        <v/>
      </c>
      <c r="B1403" s="40" t="str">
        <f>IF(Agent07_Loans!B215="","",Agent07_Loans!B215)</f>
        <v/>
      </c>
      <c r="C1403" s="40" t="str">
        <f>IF(Agent07_Loans!B215="","",Agent07_Loans!C215)</f>
        <v/>
      </c>
      <c r="D1403" s="41" t="str">
        <f>IF(Agent07_Loans!B215="","",Agent07_Loans!D215)</f>
        <v/>
      </c>
      <c r="E1403" s="43" t="str">
        <f>IF(Agent07_Loans!B215="","",Agent07_Loans!E215)</f>
        <v/>
      </c>
      <c r="F1403" s="40" t="str">
        <f>IF(Agent07_Loans!B215="","",Agent07_Loans!F215)</f>
        <v/>
      </c>
      <c r="G1403" s="40" t="str">
        <f>IF(Agent07_Loans!B215="","",Agent07_Loans!G215)</f>
        <v/>
      </c>
      <c r="H1403" s="40" t="str">
        <f>IF(Agent07_Loans!B215="","",Agent07_Loans!H215)</f>
        <v/>
      </c>
      <c r="I1403" s="43" t="str">
        <f>IF(Agent07_Loans!B215="","",Agent07_Loans!I215)</f>
        <v/>
      </c>
      <c r="J1403" s="43" t="str">
        <f>IF(Agent07_Loans!B215="","",Agent07_Loans!J215)</f>
        <v/>
      </c>
      <c r="K1403" s="40" t="str">
        <f>IF(Agent07_Loans!B215="","",Agent07_Loans!K215)</f>
        <v/>
      </c>
      <c r="L1403" s="40" t="str">
        <f>IF(Agent07_Loans!B215="","",Agent07_Loans!L215)</f>
        <v/>
      </c>
      <c r="M1403" s="40" t="str">
        <f>IFERROR(IF(Agent07_Loans!B215="","",YEAR(Agent07_Loans!D215)),"")</f>
        <v/>
      </c>
    </row>
    <row r="1404" spans="1:13" ht="18" customHeight="1" x14ac:dyDescent="0.25">
      <c r="A1404" s="40" t="str">
        <f>IF(Agent08_Loans!B16="","",Agent08_Loans!A16)</f>
        <v/>
      </c>
      <c r="B1404" s="40" t="str">
        <f>IF(Agent08_Loans!B16="","",Agent08_Loans!B16)</f>
        <v/>
      </c>
      <c r="C1404" s="40" t="str">
        <f>IF(Agent08_Loans!B16="","",Agent08_Loans!C16)</f>
        <v/>
      </c>
      <c r="D1404" s="41" t="str">
        <f>IF(Agent08_Loans!B16="","",Agent08_Loans!D16)</f>
        <v/>
      </c>
      <c r="E1404" s="43" t="str">
        <f>IF(Agent08_Loans!B16="","",Agent08_Loans!E16)</f>
        <v/>
      </c>
      <c r="F1404" s="40" t="str">
        <f>IF(Agent08_Loans!B16="","",Agent08_Loans!F16)</f>
        <v/>
      </c>
      <c r="G1404" s="40" t="str">
        <f>IF(Agent08_Loans!B16="","",Agent08_Loans!G16)</f>
        <v/>
      </c>
      <c r="H1404" s="40" t="str">
        <f>IF(Agent08_Loans!B16="","",Agent08_Loans!H16)</f>
        <v/>
      </c>
      <c r="I1404" s="43" t="str">
        <f>IF(Agent08_Loans!B16="","",Agent08_Loans!I16)</f>
        <v/>
      </c>
      <c r="J1404" s="43" t="str">
        <f>IF(Agent08_Loans!B16="","",Agent08_Loans!J16)</f>
        <v/>
      </c>
      <c r="K1404" s="40" t="str">
        <f>IF(Agent08_Loans!B16="","",Agent08_Loans!K16)</f>
        <v/>
      </c>
      <c r="L1404" s="40" t="str">
        <f>IF(Agent08_Loans!B16="","",Agent08_Loans!L16)</f>
        <v/>
      </c>
      <c r="M1404" s="40" t="str">
        <f>IFERROR(IF(Agent08_Loans!B16="","",YEAR(Agent08_Loans!D16)),"")</f>
        <v/>
      </c>
    </row>
    <row r="1405" spans="1:13" ht="18" customHeight="1" x14ac:dyDescent="0.25">
      <c r="A1405" s="40" t="str">
        <f>IF(Agent08_Loans!B17="","",Agent08_Loans!A17)</f>
        <v/>
      </c>
      <c r="B1405" s="40" t="str">
        <f>IF(Agent08_Loans!B17="","",Agent08_Loans!B17)</f>
        <v/>
      </c>
      <c r="C1405" s="40" t="str">
        <f>IF(Agent08_Loans!B17="","",Agent08_Loans!C17)</f>
        <v/>
      </c>
      <c r="D1405" s="41" t="str">
        <f>IF(Agent08_Loans!B17="","",Agent08_Loans!D17)</f>
        <v/>
      </c>
      <c r="E1405" s="43" t="str">
        <f>IF(Agent08_Loans!B17="","",Agent08_Loans!E17)</f>
        <v/>
      </c>
      <c r="F1405" s="40" t="str">
        <f>IF(Agent08_Loans!B17="","",Agent08_Loans!F17)</f>
        <v/>
      </c>
      <c r="G1405" s="40" t="str">
        <f>IF(Agent08_Loans!B17="","",Agent08_Loans!G17)</f>
        <v/>
      </c>
      <c r="H1405" s="40" t="str">
        <f>IF(Agent08_Loans!B17="","",Agent08_Loans!H17)</f>
        <v/>
      </c>
      <c r="I1405" s="43" t="str">
        <f>IF(Agent08_Loans!B17="","",Agent08_Loans!I17)</f>
        <v/>
      </c>
      <c r="J1405" s="43" t="str">
        <f>IF(Agent08_Loans!B17="","",Agent08_Loans!J17)</f>
        <v/>
      </c>
      <c r="K1405" s="40" t="str">
        <f>IF(Agent08_Loans!B17="","",Agent08_Loans!K17)</f>
        <v/>
      </c>
      <c r="L1405" s="40" t="str">
        <f>IF(Agent08_Loans!B17="","",Agent08_Loans!L17)</f>
        <v/>
      </c>
      <c r="M1405" s="40" t="str">
        <f>IFERROR(IF(Agent08_Loans!B17="","",YEAR(Agent08_Loans!D17)),"")</f>
        <v/>
      </c>
    </row>
    <row r="1406" spans="1:13" ht="18" customHeight="1" x14ac:dyDescent="0.25">
      <c r="A1406" s="40" t="str">
        <f>IF(Agent08_Loans!B18="","",Agent08_Loans!A18)</f>
        <v/>
      </c>
      <c r="B1406" s="40" t="str">
        <f>IF(Agent08_Loans!B18="","",Agent08_Loans!B18)</f>
        <v/>
      </c>
      <c r="C1406" s="40" t="str">
        <f>IF(Agent08_Loans!B18="","",Agent08_Loans!C18)</f>
        <v/>
      </c>
      <c r="D1406" s="41" t="str">
        <f>IF(Agent08_Loans!B18="","",Agent08_Loans!D18)</f>
        <v/>
      </c>
      <c r="E1406" s="43" t="str">
        <f>IF(Agent08_Loans!B18="","",Agent08_Loans!E18)</f>
        <v/>
      </c>
      <c r="F1406" s="40" t="str">
        <f>IF(Agent08_Loans!B18="","",Agent08_Loans!F18)</f>
        <v/>
      </c>
      <c r="G1406" s="40" t="str">
        <f>IF(Agent08_Loans!B18="","",Agent08_Loans!G18)</f>
        <v/>
      </c>
      <c r="H1406" s="40" t="str">
        <f>IF(Agent08_Loans!B18="","",Agent08_Loans!H18)</f>
        <v/>
      </c>
      <c r="I1406" s="43" t="str">
        <f>IF(Agent08_Loans!B18="","",Agent08_Loans!I18)</f>
        <v/>
      </c>
      <c r="J1406" s="43" t="str">
        <f>IF(Agent08_Loans!B18="","",Agent08_Loans!J18)</f>
        <v/>
      </c>
      <c r="K1406" s="40" t="str">
        <f>IF(Agent08_Loans!B18="","",Agent08_Loans!K18)</f>
        <v/>
      </c>
      <c r="L1406" s="40" t="str">
        <f>IF(Agent08_Loans!B18="","",Agent08_Loans!L18)</f>
        <v/>
      </c>
      <c r="M1406" s="40" t="str">
        <f>IFERROR(IF(Agent08_Loans!B18="","",YEAR(Agent08_Loans!D18)),"")</f>
        <v/>
      </c>
    </row>
    <row r="1407" spans="1:13" ht="18" customHeight="1" x14ac:dyDescent="0.25">
      <c r="A1407" s="40" t="str">
        <f>IF(Agent08_Loans!B19="","",Agent08_Loans!A19)</f>
        <v/>
      </c>
      <c r="B1407" s="40" t="str">
        <f>IF(Agent08_Loans!B19="","",Agent08_Loans!B19)</f>
        <v/>
      </c>
      <c r="C1407" s="40" t="str">
        <f>IF(Agent08_Loans!B19="","",Agent08_Loans!C19)</f>
        <v/>
      </c>
      <c r="D1407" s="41" t="str">
        <f>IF(Agent08_Loans!B19="","",Agent08_Loans!D19)</f>
        <v/>
      </c>
      <c r="E1407" s="43" t="str">
        <f>IF(Agent08_Loans!B19="","",Agent08_Loans!E19)</f>
        <v/>
      </c>
      <c r="F1407" s="40" t="str">
        <f>IF(Agent08_Loans!B19="","",Agent08_Loans!F19)</f>
        <v/>
      </c>
      <c r="G1407" s="40" t="str">
        <f>IF(Agent08_Loans!B19="","",Agent08_Loans!G19)</f>
        <v/>
      </c>
      <c r="H1407" s="40" t="str">
        <f>IF(Agent08_Loans!B19="","",Agent08_Loans!H19)</f>
        <v/>
      </c>
      <c r="I1407" s="43" t="str">
        <f>IF(Agent08_Loans!B19="","",Agent08_Loans!I19)</f>
        <v/>
      </c>
      <c r="J1407" s="43" t="str">
        <f>IF(Agent08_Loans!B19="","",Agent08_Loans!J19)</f>
        <v/>
      </c>
      <c r="K1407" s="40" t="str">
        <f>IF(Agent08_Loans!B19="","",Agent08_Loans!K19)</f>
        <v/>
      </c>
      <c r="L1407" s="40" t="str">
        <f>IF(Agent08_Loans!B19="","",Agent08_Loans!L19)</f>
        <v/>
      </c>
      <c r="M1407" s="40" t="str">
        <f>IFERROR(IF(Agent08_Loans!B19="","",YEAR(Agent08_Loans!D19)),"")</f>
        <v/>
      </c>
    </row>
    <row r="1408" spans="1:13" ht="18" customHeight="1" x14ac:dyDescent="0.25">
      <c r="A1408" s="40" t="str">
        <f>IF(Agent08_Loans!B20="","",Agent08_Loans!A20)</f>
        <v/>
      </c>
      <c r="B1408" s="40" t="str">
        <f>IF(Agent08_Loans!B20="","",Agent08_Loans!B20)</f>
        <v/>
      </c>
      <c r="C1408" s="40" t="str">
        <f>IF(Agent08_Loans!B20="","",Agent08_Loans!C20)</f>
        <v/>
      </c>
      <c r="D1408" s="41" t="str">
        <f>IF(Agent08_Loans!B20="","",Agent08_Loans!D20)</f>
        <v/>
      </c>
      <c r="E1408" s="43" t="str">
        <f>IF(Agent08_Loans!B20="","",Agent08_Loans!E20)</f>
        <v/>
      </c>
      <c r="F1408" s="40" t="str">
        <f>IF(Agent08_Loans!B20="","",Agent08_Loans!F20)</f>
        <v/>
      </c>
      <c r="G1408" s="40" t="str">
        <f>IF(Agent08_Loans!B20="","",Agent08_Loans!G20)</f>
        <v/>
      </c>
      <c r="H1408" s="40" t="str">
        <f>IF(Agent08_Loans!B20="","",Agent08_Loans!H20)</f>
        <v/>
      </c>
      <c r="I1408" s="43" t="str">
        <f>IF(Agent08_Loans!B20="","",Agent08_Loans!I20)</f>
        <v/>
      </c>
      <c r="J1408" s="43" t="str">
        <f>IF(Agent08_Loans!B20="","",Agent08_Loans!J20)</f>
        <v/>
      </c>
      <c r="K1408" s="40" t="str">
        <f>IF(Agent08_Loans!B20="","",Agent08_Loans!K20)</f>
        <v/>
      </c>
      <c r="L1408" s="40" t="str">
        <f>IF(Agent08_Loans!B20="","",Agent08_Loans!L20)</f>
        <v/>
      </c>
      <c r="M1408" s="40" t="str">
        <f>IFERROR(IF(Agent08_Loans!B20="","",YEAR(Agent08_Loans!D20)),"")</f>
        <v/>
      </c>
    </row>
    <row r="1409" spans="1:13" ht="18" customHeight="1" x14ac:dyDescent="0.25">
      <c r="A1409" s="40" t="str">
        <f>IF(Agent08_Loans!B21="","",Agent08_Loans!A21)</f>
        <v/>
      </c>
      <c r="B1409" s="40" t="str">
        <f>IF(Agent08_Loans!B21="","",Agent08_Loans!B21)</f>
        <v/>
      </c>
      <c r="C1409" s="40" t="str">
        <f>IF(Agent08_Loans!B21="","",Agent08_Loans!C21)</f>
        <v/>
      </c>
      <c r="D1409" s="41" t="str">
        <f>IF(Agent08_Loans!B21="","",Agent08_Loans!D21)</f>
        <v/>
      </c>
      <c r="E1409" s="43" t="str">
        <f>IF(Agent08_Loans!B21="","",Agent08_Loans!E21)</f>
        <v/>
      </c>
      <c r="F1409" s="40" t="str">
        <f>IF(Agent08_Loans!B21="","",Agent08_Loans!F21)</f>
        <v/>
      </c>
      <c r="G1409" s="40" t="str">
        <f>IF(Agent08_Loans!B21="","",Agent08_Loans!G21)</f>
        <v/>
      </c>
      <c r="H1409" s="40" t="str">
        <f>IF(Agent08_Loans!B21="","",Agent08_Loans!H21)</f>
        <v/>
      </c>
      <c r="I1409" s="43" t="str">
        <f>IF(Agent08_Loans!B21="","",Agent08_Loans!I21)</f>
        <v/>
      </c>
      <c r="J1409" s="43" t="str">
        <f>IF(Agent08_Loans!B21="","",Agent08_Loans!J21)</f>
        <v/>
      </c>
      <c r="K1409" s="40" t="str">
        <f>IF(Agent08_Loans!B21="","",Agent08_Loans!K21)</f>
        <v/>
      </c>
      <c r="L1409" s="40" t="str">
        <f>IF(Agent08_Loans!B21="","",Agent08_Loans!L21)</f>
        <v/>
      </c>
      <c r="M1409" s="40" t="str">
        <f>IFERROR(IF(Agent08_Loans!B21="","",YEAR(Agent08_Loans!D21)),"")</f>
        <v/>
      </c>
    </row>
    <row r="1410" spans="1:13" ht="18" customHeight="1" x14ac:dyDescent="0.25">
      <c r="A1410" s="40" t="str">
        <f>IF(Agent08_Loans!B22="","",Agent08_Loans!A22)</f>
        <v/>
      </c>
      <c r="B1410" s="40" t="str">
        <f>IF(Agent08_Loans!B22="","",Agent08_Loans!B22)</f>
        <v/>
      </c>
      <c r="C1410" s="40" t="str">
        <f>IF(Agent08_Loans!B22="","",Agent08_Loans!C22)</f>
        <v/>
      </c>
      <c r="D1410" s="41" t="str">
        <f>IF(Agent08_Loans!B22="","",Agent08_Loans!D22)</f>
        <v/>
      </c>
      <c r="E1410" s="43" t="str">
        <f>IF(Agent08_Loans!B22="","",Agent08_Loans!E22)</f>
        <v/>
      </c>
      <c r="F1410" s="40" t="str">
        <f>IF(Agent08_Loans!B22="","",Agent08_Loans!F22)</f>
        <v/>
      </c>
      <c r="G1410" s="40" t="str">
        <f>IF(Agent08_Loans!B22="","",Agent08_Loans!G22)</f>
        <v/>
      </c>
      <c r="H1410" s="40" t="str">
        <f>IF(Agent08_Loans!B22="","",Agent08_Loans!H22)</f>
        <v/>
      </c>
      <c r="I1410" s="43" t="str">
        <f>IF(Agent08_Loans!B22="","",Agent08_Loans!I22)</f>
        <v/>
      </c>
      <c r="J1410" s="43" t="str">
        <f>IF(Agent08_Loans!B22="","",Agent08_Loans!J22)</f>
        <v/>
      </c>
      <c r="K1410" s="40" t="str">
        <f>IF(Agent08_Loans!B22="","",Agent08_Loans!K22)</f>
        <v/>
      </c>
      <c r="L1410" s="40" t="str">
        <f>IF(Agent08_Loans!B22="","",Agent08_Loans!L22)</f>
        <v/>
      </c>
      <c r="M1410" s="40" t="str">
        <f>IFERROR(IF(Agent08_Loans!B22="","",YEAR(Agent08_Loans!D22)),"")</f>
        <v/>
      </c>
    </row>
    <row r="1411" spans="1:13" ht="18" customHeight="1" x14ac:dyDescent="0.25">
      <c r="A1411" s="40" t="str">
        <f>IF(Agent08_Loans!B23="","",Agent08_Loans!A23)</f>
        <v/>
      </c>
      <c r="B1411" s="40" t="str">
        <f>IF(Agent08_Loans!B23="","",Agent08_Loans!B23)</f>
        <v/>
      </c>
      <c r="C1411" s="40" t="str">
        <f>IF(Agent08_Loans!B23="","",Agent08_Loans!C23)</f>
        <v/>
      </c>
      <c r="D1411" s="41" t="str">
        <f>IF(Agent08_Loans!B23="","",Agent08_Loans!D23)</f>
        <v/>
      </c>
      <c r="E1411" s="43" t="str">
        <f>IF(Agent08_Loans!B23="","",Agent08_Loans!E23)</f>
        <v/>
      </c>
      <c r="F1411" s="40" t="str">
        <f>IF(Agent08_Loans!B23="","",Agent08_Loans!F23)</f>
        <v/>
      </c>
      <c r="G1411" s="40" t="str">
        <f>IF(Agent08_Loans!B23="","",Agent08_Loans!G23)</f>
        <v/>
      </c>
      <c r="H1411" s="40" t="str">
        <f>IF(Agent08_Loans!B23="","",Agent08_Loans!H23)</f>
        <v/>
      </c>
      <c r="I1411" s="43" t="str">
        <f>IF(Agent08_Loans!B23="","",Agent08_Loans!I23)</f>
        <v/>
      </c>
      <c r="J1411" s="43" t="str">
        <f>IF(Agent08_Loans!B23="","",Agent08_Loans!J23)</f>
        <v/>
      </c>
      <c r="K1411" s="40" t="str">
        <f>IF(Agent08_Loans!B23="","",Agent08_Loans!K23)</f>
        <v/>
      </c>
      <c r="L1411" s="40" t="str">
        <f>IF(Agent08_Loans!B23="","",Agent08_Loans!L23)</f>
        <v/>
      </c>
      <c r="M1411" s="40" t="str">
        <f>IFERROR(IF(Agent08_Loans!B23="","",YEAR(Agent08_Loans!D23)),"")</f>
        <v/>
      </c>
    </row>
    <row r="1412" spans="1:13" ht="18" customHeight="1" x14ac:dyDescent="0.25">
      <c r="A1412" s="40" t="str">
        <f>IF(Agent08_Loans!B24="","",Agent08_Loans!A24)</f>
        <v/>
      </c>
      <c r="B1412" s="40" t="str">
        <f>IF(Agent08_Loans!B24="","",Agent08_Loans!B24)</f>
        <v/>
      </c>
      <c r="C1412" s="40" t="str">
        <f>IF(Agent08_Loans!B24="","",Agent08_Loans!C24)</f>
        <v/>
      </c>
      <c r="D1412" s="41" t="str">
        <f>IF(Agent08_Loans!B24="","",Agent08_Loans!D24)</f>
        <v/>
      </c>
      <c r="E1412" s="43" t="str">
        <f>IF(Agent08_Loans!B24="","",Agent08_Loans!E24)</f>
        <v/>
      </c>
      <c r="F1412" s="40" t="str">
        <f>IF(Agent08_Loans!B24="","",Agent08_Loans!F24)</f>
        <v/>
      </c>
      <c r="G1412" s="40" t="str">
        <f>IF(Agent08_Loans!B24="","",Agent08_Loans!G24)</f>
        <v/>
      </c>
      <c r="H1412" s="40" t="str">
        <f>IF(Agent08_Loans!B24="","",Agent08_Loans!H24)</f>
        <v/>
      </c>
      <c r="I1412" s="43" t="str">
        <f>IF(Agent08_Loans!B24="","",Agent08_Loans!I24)</f>
        <v/>
      </c>
      <c r="J1412" s="43" t="str">
        <f>IF(Agent08_Loans!B24="","",Agent08_Loans!J24)</f>
        <v/>
      </c>
      <c r="K1412" s="40" t="str">
        <f>IF(Agent08_Loans!B24="","",Agent08_Loans!K24)</f>
        <v/>
      </c>
      <c r="L1412" s="40" t="str">
        <f>IF(Agent08_Loans!B24="","",Agent08_Loans!L24)</f>
        <v/>
      </c>
      <c r="M1412" s="40" t="str">
        <f>IFERROR(IF(Agent08_Loans!B24="","",YEAR(Agent08_Loans!D24)),"")</f>
        <v/>
      </c>
    </row>
    <row r="1413" spans="1:13" ht="18" customHeight="1" x14ac:dyDescent="0.25">
      <c r="A1413" s="40" t="str">
        <f>IF(Agent08_Loans!B25="","",Agent08_Loans!A25)</f>
        <v/>
      </c>
      <c r="B1413" s="40" t="str">
        <f>IF(Agent08_Loans!B25="","",Agent08_Loans!B25)</f>
        <v/>
      </c>
      <c r="C1413" s="40" t="str">
        <f>IF(Agent08_Loans!B25="","",Agent08_Loans!C25)</f>
        <v/>
      </c>
      <c r="D1413" s="41" t="str">
        <f>IF(Agent08_Loans!B25="","",Agent08_Loans!D25)</f>
        <v/>
      </c>
      <c r="E1413" s="43" t="str">
        <f>IF(Agent08_Loans!B25="","",Agent08_Loans!E25)</f>
        <v/>
      </c>
      <c r="F1413" s="40" t="str">
        <f>IF(Agent08_Loans!B25="","",Agent08_Loans!F25)</f>
        <v/>
      </c>
      <c r="G1413" s="40" t="str">
        <f>IF(Agent08_Loans!B25="","",Agent08_Loans!G25)</f>
        <v/>
      </c>
      <c r="H1413" s="40" t="str">
        <f>IF(Agent08_Loans!B25="","",Agent08_Loans!H25)</f>
        <v/>
      </c>
      <c r="I1413" s="43" t="str">
        <f>IF(Agent08_Loans!B25="","",Agent08_Loans!I25)</f>
        <v/>
      </c>
      <c r="J1413" s="43" t="str">
        <f>IF(Agent08_Loans!B25="","",Agent08_Loans!J25)</f>
        <v/>
      </c>
      <c r="K1413" s="40" t="str">
        <f>IF(Agent08_Loans!B25="","",Agent08_Loans!K25)</f>
        <v/>
      </c>
      <c r="L1413" s="40" t="str">
        <f>IF(Agent08_Loans!B25="","",Agent08_Loans!L25)</f>
        <v/>
      </c>
      <c r="M1413" s="40" t="str">
        <f>IFERROR(IF(Agent08_Loans!B25="","",YEAR(Agent08_Loans!D25)),"")</f>
        <v/>
      </c>
    </row>
    <row r="1414" spans="1:13" ht="18" customHeight="1" x14ac:dyDescent="0.25">
      <c r="A1414" s="40" t="str">
        <f>IF(Agent08_Loans!B26="","",Agent08_Loans!A26)</f>
        <v/>
      </c>
      <c r="B1414" s="40" t="str">
        <f>IF(Agent08_Loans!B26="","",Agent08_Loans!B26)</f>
        <v/>
      </c>
      <c r="C1414" s="40" t="str">
        <f>IF(Agent08_Loans!B26="","",Agent08_Loans!C26)</f>
        <v/>
      </c>
      <c r="D1414" s="41" t="str">
        <f>IF(Agent08_Loans!B26="","",Agent08_Loans!D26)</f>
        <v/>
      </c>
      <c r="E1414" s="43" t="str">
        <f>IF(Agent08_Loans!B26="","",Agent08_Loans!E26)</f>
        <v/>
      </c>
      <c r="F1414" s="40" t="str">
        <f>IF(Agent08_Loans!B26="","",Agent08_Loans!F26)</f>
        <v/>
      </c>
      <c r="G1414" s="40" t="str">
        <f>IF(Agent08_Loans!B26="","",Agent08_Loans!G26)</f>
        <v/>
      </c>
      <c r="H1414" s="40" t="str">
        <f>IF(Agent08_Loans!B26="","",Agent08_Loans!H26)</f>
        <v/>
      </c>
      <c r="I1414" s="43" t="str">
        <f>IF(Agent08_Loans!B26="","",Agent08_Loans!I26)</f>
        <v/>
      </c>
      <c r="J1414" s="43" t="str">
        <f>IF(Agent08_Loans!B26="","",Agent08_Loans!J26)</f>
        <v/>
      </c>
      <c r="K1414" s="40" t="str">
        <f>IF(Agent08_Loans!B26="","",Agent08_Loans!K26)</f>
        <v/>
      </c>
      <c r="L1414" s="40" t="str">
        <f>IF(Agent08_Loans!B26="","",Agent08_Loans!L26)</f>
        <v/>
      </c>
      <c r="M1414" s="40" t="str">
        <f>IFERROR(IF(Agent08_Loans!B26="","",YEAR(Agent08_Loans!D26)),"")</f>
        <v/>
      </c>
    </row>
    <row r="1415" spans="1:13" ht="18" customHeight="1" x14ac:dyDescent="0.25">
      <c r="A1415" s="40" t="str">
        <f>IF(Agent08_Loans!B27="","",Agent08_Loans!A27)</f>
        <v/>
      </c>
      <c r="B1415" s="40" t="str">
        <f>IF(Agent08_Loans!B27="","",Agent08_Loans!B27)</f>
        <v/>
      </c>
      <c r="C1415" s="40" t="str">
        <f>IF(Agent08_Loans!B27="","",Agent08_Loans!C27)</f>
        <v/>
      </c>
      <c r="D1415" s="41" t="str">
        <f>IF(Agent08_Loans!B27="","",Agent08_Loans!D27)</f>
        <v/>
      </c>
      <c r="E1415" s="43" t="str">
        <f>IF(Agent08_Loans!B27="","",Agent08_Loans!E27)</f>
        <v/>
      </c>
      <c r="F1415" s="40" t="str">
        <f>IF(Agent08_Loans!B27="","",Agent08_Loans!F27)</f>
        <v/>
      </c>
      <c r="G1415" s="40" t="str">
        <f>IF(Agent08_Loans!B27="","",Agent08_Loans!G27)</f>
        <v/>
      </c>
      <c r="H1415" s="40" t="str">
        <f>IF(Agent08_Loans!B27="","",Agent08_Loans!H27)</f>
        <v/>
      </c>
      <c r="I1415" s="43" t="str">
        <f>IF(Agent08_Loans!B27="","",Agent08_Loans!I27)</f>
        <v/>
      </c>
      <c r="J1415" s="43" t="str">
        <f>IF(Agent08_Loans!B27="","",Agent08_Loans!J27)</f>
        <v/>
      </c>
      <c r="K1415" s="40" t="str">
        <f>IF(Agent08_Loans!B27="","",Agent08_Loans!K27)</f>
        <v/>
      </c>
      <c r="L1415" s="40" t="str">
        <f>IF(Agent08_Loans!B27="","",Agent08_Loans!L27)</f>
        <v/>
      </c>
      <c r="M1415" s="40" t="str">
        <f>IFERROR(IF(Agent08_Loans!B27="","",YEAR(Agent08_Loans!D27)),"")</f>
        <v/>
      </c>
    </row>
    <row r="1416" spans="1:13" ht="18" customHeight="1" x14ac:dyDescent="0.25">
      <c r="A1416" s="40" t="str">
        <f>IF(Agent08_Loans!B28="","",Agent08_Loans!A28)</f>
        <v/>
      </c>
      <c r="B1416" s="40" t="str">
        <f>IF(Agent08_Loans!B28="","",Agent08_Loans!B28)</f>
        <v/>
      </c>
      <c r="C1416" s="40" t="str">
        <f>IF(Agent08_Loans!B28="","",Agent08_Loans!C28)</f>
        <v/>
      </c>
      <c r="D1416" s="41" t="str">
        <f>IF(Agent08_Loans!B28="","",Agent08_Loans!D28)</f>
        <v/>
      </c>
      <c r="E1416" s="43" t="str">
        <f>IF(Agent08_Loans!B28="","",Agent08_Loans!E28)</f>
        <v/>
      </c>
      <c r="F1416" s="40" t="str">
        <f>IF(Agent08_Loans!B28="","",Agent08_Loans!F28)</f>
        <v/>
      </c>
      <c r="G1416" s="40" t="str">
        <f>IF(Agent08_Loans!B28="","",Agent08_Loans!G28)</f>
        <v/>
      </c>
      <c r="H1416" s="40" t="str">
        <f>IF(Agent08_Loans!B28="","",Agent08_Loans!H28)</f>
        <v/>
      </c>
      <c r="I1416" s="43" t="str">
        <f>IF(Agent08_Loans!B28="","",Agent08_Loans!I28)</f>
        <v/>
      </c>
      <c r="J1416" s="43" t="str">
        <f>IF(Agent08_Loans!B28="","",Agent08_Loans!J28)</f>
        <v/>
      </c>
      <c r="K1416" s="40" t="str">
        <f>IF(Agent08_Loans!B28="","",Agent08_Loans!K28)</f>
        <v/>
      </c>
      <c r="L1416" s="40" t="str">
        <f>IF(Agent08_Loans!B28="","",Agent08_Loans!L28)</f>
        <v/>
      </c>
      <c r="M1416" s="40" t="str">
        <f>IFERROR(IF(Agent08_Loans!B28="","",YEAR(Agent08_Loans!D28)),"")</f>
        <v/>
      </c>
    </row>
    <row r="1417" spans="1:13" ht="18" customHeight="1" x14ac:dyDescent="0.25">
      <c r="A1417" s="40" t="str">
        <f>IF(Agent08_Loans!B29="","",Agent08_Loans!A29)</f>
        <v/>
      </c>
      <c r="B1417" s="40" t="str">
        <f>IF(Agent08_Loans!B29="","",Agent08_Loans!B29)</f>
        <v/>
      </c>
      <c r="C1417" s="40" t="str">
        <f>IF(Agent08_Loans!B29="","",Agent08_Loans!C29)</f>
        <v/>
      </c>
      <c r="D1417" s="41" t="str">
        <f>IF(Agent08_Loans!B29="","",Agent08_Loans!D29)</f>
        <v/>
      </c>
      <c r="E1417" s="43" t="str">
        <f>IF(Agent08_Loans!B29="","",Agent08_Loans!E29)</f>
        <v/>
      </c>
      <c r="F1417" s="40" t="str">
        <f>IF(Agent08_Loans!B29="","",Agent08_Loans!F29)</f>
        <v/>
      </c>
      <c r="G1417" s="40" t="str">
        <f>IF(Agent08_Loans!B29="","",Agent08_Loans!G29)</f>
        <v/>
      </c>
      <c r="H1417" s="40" t="str">
        <f>IF(Agent08_Loans!B29="","",Agent08_Loans!H29)</f>
        <v/>
      </c>
      <c r="I1417" s="43" t="str">
        <f>IF(Agent08_Loans!B29="","",Agent08_Loans!I29)</f>
        <v/>
      </c>
      <c r="J1417" s="43" t="str">
        <f>IF(Agent08_Loans!B29="","",Agent08_Loans!J29)</f>
        <v/>
      </c>
      <c r="K1417" s="40" t="str">
        <f>IF(Agent08_Loans!B29="","",Agent08_Loans!K29)</f>
        <v/>
      </c>
      <c r="L1417" s="40" t="str">
        <f>IF(Agent08_Loans!B29="","",Agent08_Loans!L29)</f>
        <v/>
      </c>
      <c r="M1417" s="40" t="str">
        <f>IFERROR(IF(Agent08_Loans!B29="","",YEAR(Agent08_Loans!D29)),"")</f>
        <v/>
      </c>
    </row>
    <row r="1418" spans="1:13" ht="18" customHeight="1" x14ac:dyDescent="0.25">
      <c r="A1418" s="40" t="str">
        <f>IF(Agent08_Loans!B30="","",Agent08_Loans!A30)</f>
        <v/>
      </c>
      <c r="B1418" s="40" t="str">
        <f>IF(Agent08_Loans!B30="","",Agent08_Loans!B30)</f>
        <v/>
      </c>
      <c r="C1418" s="40" t="str">
        <f>IF(Agent08_Loans!B30="","",Agent08_Loans!C30)</f>
        <v/>
      </c>
      <c r="D1418" s="41" t="str">
        <f>IF(Agent08_Loans!B30="","",Agent08_Loans!D30)</f>
        <v/>
      </c>
      <c r="E1418" s="43" t="str">
        <f>IF(Agent08_Loans!B30="","",Agent08_Loans!E30)</f>
        <v/>
      </c>
      <c r="F1418" s="40" t="str">
        <f>IF(Agent08_Loans!B30="","",Agent08_Loans!F30)</f>
        <v/>
      </c>
      <c r="G1418" s="40" t="str">
        <f>IF(Agent08_Loans!B30="","",Agent08_Loans!G30)</f>
        <v/>
      </c>
      <c r="H1418" s="40" t="str">
        <f>IF(Agent08_Loans!B30="","",Agent08_Loans!H30)</f>
        <v/>
      </c>
      <c r="I1418" s="43" t="str">
        <f>IF(Agent08_Loans!B30="","",Agent08_Loans!I30)</f>
        <v/>
      </c>
      <c r="J1418" s="43" t="str">
        <f>IF(Agent08_Loans!B30="","",Agent08_Loans!J30)</f>
        <v/>
      </c>
      <c r="K1418" s="40" t="str">
        <f>IF(Agent08_Loans!B30="","",Agent08_Loans!K30)</f>
        <v/>
      </c>
      <c r="L1418" s="40" t="str">
        <f>IF(Agent08_Loans!B30="","",Agent08_Loans!L30)</f>
        <v/>
      </c>
      <c r="M1418" s="40" t="str">
        <f>IFERROR(IF(Agent08_Loans!B30="","",YEAR(Agent08_Loans!D30)),"")</f>
        <v/>
      </c>
    </row>
    <row r="1419" spans="1:13" ht="18" customHeight="1" x14ac:dyDescent="0.25">
      <c r="A1419" s="40" t="str">
        <f>IF(Agent08_Loans!B31="","",Agent08_Loans!A31)</f>
        <v/>
      </c>
      <c r="B1419" s="40" t="str">
        <f>IF(Agent08_Loans!B31="","",Agent08_Loans!B31)</f>
        <v/>
      </c>
      <c r="C1419" s="40" t="str">
        <f>IF(Agent08_Loans!B31="","",Agent08_Loans!C31)</f>
        <v/>
      </c>
      <c r="D1419" s="41" t="str">
        <f>IF(Agent08_Loans!B31="","",Agent08_Loans!D31)</f>
        <v/>
      </c>
      <c r="E1419" s="43" t="str">
        <f>IF(Agent08_Loans!B31="","",Agent08_Loans!E31)</f>
        <v/>
      </c>
      <c r="F1419" s="40" t="str">
        <f>IF(Agent08_Loans!B31="","",Agent08_Loans!F31)</f>
        <v/>
      </c>
      <c r="G1419" s="40" t="str">
        <f>IF(Agent08_Loans!B31="","",Agent08_Loans!G31)</f>
        <v/>
      </c>
      <c r="H1419" s="40" t="str">
        <f>IF(Agent08_Loans!B31="","",Agent08_Loans!H31)</f>
        <v/>
      </c>
      <c r="I1419" s="43" t="str">
        <f>IF(Agent08_Loans!B31="","",Agent08_Loans!I31)</f>
        <v/>
      </c>
      <c r="J1419" s="43" t="str">
        <f>IF(Agent08_Loans!B31="","",Agent08_Loans!J31)</f>
        <v/>
      </c>
      <c r="K1419" s="40" t="str">
        <f>IF(Agent08_Loans!B31="","",Agent08_Loans!K31)</f>
        <v/>
      </c>
      <c r="L1419" s="40" t="str">
        <f>IF(Agent08_Loans!B31="","",Agent08_Loans!L31)</f>
        <v/>
      </c>
      <c r="M1419" s="40" t="str">
        <f>IFERROR(IF(Agent08_Loans!B31="","",YEAR(Agent08_Loans!D31)),"")</f>
        <v/>
      </c>
    </row>
    <row r="1420" spans="1:13" ht="18" customHeight="1" x14ac:dyDescent="0.25">
      <c r="A1420" s="40" t="str">
        <f>IF(Agent08_Loans!B32="","",Agent08_Loans!A32)</f>
        <v/>
      </c>
      <c r="B1420" s="40" t="str">
        <f>IF(Agent08_Loans!B32="","",Agent08_Loans!B32)</f>
        <v/>
      </c>
      <c r="C1420" s="40" t="str">
        <f>IF(Agent08_Loans!B32="","",Agent08_Loans!C32)</f>
        <v/>
      </c>
      <c r="D1420" s="41" t="str">
        <f>IF(Agent08_Loans!B32="","",Agent08_Loans!D32)</f>
        <v/>
      </c>
      <c r="E1420" s="43" t="str">
        <f>IF(Agent08_Loans!B32="","",Agent08_Loans!E32)</f>
        <v/>
      </c>
      <c r="F1420" s="40" t="str">
        <f>IF(Agent08_Loans!B32="","",Agent08_Loans!F32)</f>
        <v/>
      </c>
      <c r="G1420" s="40" t="str">
        <f>IF(Agent08_Loans!B32="","",Agent08_Loans!G32)</f>
        <v/>
      </c>
      <c r="H1420" s="40" t="str">
        <f>IF(Agent08_Loans!B32="","",Agent08_Loans!H32)</f>
        <v/>
      </c>
      <c r="I1420" s="43" t="str">
        <f>IF(Agent08_Loans!B32="","",Agent08_Loans!I32)</f>
        <v/>
      </c>
      <c r="J1420" s="43" t="str">
        <f>IF(Agent08_Loans!B32="","",Agent08_Loans!J32)</f>
        <v/>
      </c>
      <c r="K1420" s="40" t="str">
        <f>IF(Agent08_Loans!B32="","",Agent08_Loans!K32)</f>
        <v/>
      </c>
      <c r="L1420" s="40" t="str">
        <f>IF(Agent08_Loans!B32="","",Agent08_Loans!L32)</f>
        <v/>
      </c>
      <c r="M1420" s="40" t="str">
        <f>IFERROR(IF(Agent08_Loans!B32="","",YEAR(Agent08_Loans!D32)),"")</f>
        <v/>
      </c>
    </row>
    <row r="1421" spans="1:13" ht="18" customHeight="1" x14ac:dyDescent="0.25">
      <c r="A1421" s="40" t="str">
        <f>IF(Agent08_Loans!B33="","",Agent08_Loans!A33)</f>
        <v/>
      </c>
      <c r="B1421" s="40" t="str">
        <f>IF(Agent08_Loans!B33="","",Agent08_Loans!B33)</f>
        <v/>
      </c>
      <c r="C1421" s="40" t="str">
        <f>IF(Agent08_Loans!B33="","",Agent08_Loans!C33)</f>
        <v/>
      </c>
      <c r="D1421" s="41" t="str">
        <f>IF(Agent08_Loans!B33="","",Agent08_Loans!D33)</f>
        <v/>
      </c>
      <c r="E1421" s="43" t="str">
        <f>IF(Agent08_Loans!B33="","",Agent08_Loans!E33)</f>
        <v/>
      </c>
      <c r="F1421" s="40" t="str">
        <f>IF(Agent08_Loans!B33="","",Agent08_Loans!F33)</f>
        <v/>
      </c>
      <c r="G1421" s="40" t="str">
        <f>IF(Agent08_Loans!B33="","",Agent08_Loans!G33)</f>
        <v/>
      </c>
      <c r="H1421" s="40" t="str">
        <f>IF(Agent08_Loans!B33="","",Agent08_Loans!H33)</f>
        <v/>
      </c>
      <c r="I1421" s="43" t="str">
        <f>IF(Agent08_Loans!B33="","",Agent08_Loans!I33)</f>
        <v/>
      </c>
      <c r="J1421" s="43" t="str">
        <f>IF(Agent08_Loans!B33="","",Agent08_Loans!J33)</f>
        <v/>
      </c>
      <c r="K1421" s="40" t="str">
        <f>IF(Agent08_Loans!B33="","",Agent08_Loans!K33)</f>
        <v/>
      </c>
      <c r="L1421" s="40" t="str">
        <f>IF(Agent08_Loans!B33="","",Agent08_Loans!L33)</f>
        <v/>
      </c>
      <c r="M1421" s="40" t="str">
        <f>IFERROR(IF(Agent08_Loans!B33="","",YEAR(Agent08_Loans!D33)),"")</f>
        <v/>
      </c>
    </row>
    <row r="1422" spans="1:13" ht="18" customHeight="1" x14ac:dyDescent="0.25">
      <c r="A1422" s="40" t="str">
        <f>IF(Agent08_Loans!B34="","",Agent08_Loans!A34)</f>
        <v/>
      </c>
      <c r="B1422" s="40" t="str">
        <f>IF(Agent08_Loans!B34="","",Agent08_Loans!B34)</f>
        <v/>
      </c>
      <c r="C1422" s="40" t="str">
        <f>IF(Agent08_Loans!B34="","",Agent08_Loans!C34)</f>
        <v/>
      </c>
      <c r="D1422" s="41" t="str">
        <f>IF(Agent08_Loans!B34="","",Agent08_Loans!D34)</f>
        <v/>
      </c>
      <c r="E1422" s="43" t="str">
        <f>IF(Agent08_Loans!B34="","",Agent08_Loans!E34)</f>
        <v/>
      </c>
      <c r="F1422" s="40" t="str">
        <f>IF(Agent08_Loans!B34="","",Agent08_Loans!F34)</f>
        <v/>
      </c>
      <c r="G1422" s="40" t="str">
        <f>IF(Agent08_Loans!B34="","",Agent08_Loans!G34)</f>
        <v/>
      </c>
      <c r="H1422" s="40" t="str">
        <f>IF(Agent08_Loans!B34="","",Agent08_Loans!H34)</f>
        <v/>
      </c>
      <c r="I1422" s="43" t="str">
        <f>IF(Agent08_Loans!B34="","",Agent08_Loans!I34)</f>
        <v/>
      </c>
      <c r="J1422" s="43" t="str">
        <f>IF(Agent08_Loans!B34="","",Agent08_Loans!J34)</f>
        <v/>
      </c>
      <c r="K1422" s="40" t="str">
        <f>IF(Agent08_Loans!B34="","",Agent08_Loans!K34)</f>
        <v/>
      </c>
      <c r="L1422" s="40" t="str">
        <f>IF(Agent08_Loans!B34="","",Agent08_Loans!L34)</f>
        <v/>
      </c>
      <c r="M1422" s="40" t="str">
        <f>IFERROR(IF(Agent08_Loans!B34="","",YEAR(Agent08_Loans!D34)),"")</f>
        <v/>
      </c>
    </row>
    <row r="1423" spans="1:13" ht="18" customHeight="1" x14ac:dyDescent="0.25">
      <c r="A1423" s="40" t="str">
        <f>IF(Agent08_Loans!B35="","",Agent08_Loans!A35)</f>
        <v/>
      </c>
      <c r="B1423" s="40" t="str">
        <f>IF(Agent08_Loans!B35="","",Agent08_Loans!B35)</f>
        <v/>
      </c>
      <c r="C1423" s="40" t="str">
        <f>IF(Agent08_Loans!B35="","",Agent08_Loans!C35)</f>
        <v/>
      </c>
      <c r="D1423" s="41" t="str">
        <f>IF(Agent08_Loans!B35="","",Agent08_Loans!D35)</f>
        <v/>
      </c>
      <c r="E1423" s="43" t="str">
        <f>IF(Agent08_Loans!B35="","",Agent08_Loans!E35)</f>
        <v/>
      </c>
      <c r="F1423" s="40" t="str">
        <f>IF(Agent08_Loans!B35="","",Agent08_Loans!F35)</f>
        <v/>
      </c>
      <c r="G1423" s="40" t="str">
        <f>IF(Agent08_Loans!B35="","",Agent08_Loans!G35)</f>
        <v/>
      </c>
      <c r="H1423" s="40" t="str">
        <f>IF(Agent08_Loans!B35="","",Agent08_Loans!H35)</f>
        <v/>
      </c>
      <c r="I1423" s="43" t="str">
        <f>IF(Agent08_Loans!B35="","",Agent08_Loans!I35)</f>
        <v/>
      </c>
      <c r="J1423" s="43" t="str">
        <f>IF(Agent08_Loans!B35="","",Agent08_Loans!J35)</f>
        <v/>
      </c>
      <c r="K1423" s="40" t="str">
        <f>IF(Agent08_Loans!B35="","",Agent08_Loans!K35)</f>
        <v/>
      </c>
      <c r="L1423" s="40" t="str">
        <f>IF(Agent08_Loans!B35="","",Agent08_Loans!L35)</f>
        <v/>
      </c>
      <c r="M1423" s="40" t="str">
        <f>IFERROR(IF(Agent08_Loans!B35="","",YEAR(Agent08_Loans!D35)),"")</f>
        <v/>
      </c>
    </row>
    <row r="1424" spans="1:13" ht="18" customHeight="1" x14ac:dyDescent="0.25">
      <c r="A1424" s="40" t="str">
        <f>IF(Agent08_Loans!B36="","",Agent08_Loans!A36)</f>
        <v/>
      </c>
      <c r="B1424" s="40" t="str">
        <f>IF(Agent08_Loans!B36="","",Agent08_Loans!B36)</f>
        <v/>
      </c>
      <c r="C1424" s="40" t="str">
        <f>IF(Agent08_Loans!B36="","",Agent08_Loans!C36)</f>
        <v/>
      </c>
      <c r="D1424" s="41" t="str">
        <f>IF(Agent08_Loans!B36="","",Agent08_Loans!D36)</f>
        <v/>
      </c>
      <c r="E1424" s="43" t="str">
        <f>IF(Agent08_Loans!B36="","",Agent08_Loans!E36)</f>
        <v/>
      </c>
      <c r="F1424" s="40" t="str">
        <f>IF(Agent08_Loans!B36="","",Agent08_Loans!F36)</f>
        <v/>
      </c>
      <c r="G1424" s="40" t="str">
        <f>IF(Agent08_Loans!B36="","",Agent08_Loans!G36)</f>
        <v/>
      </c>
      <c r="H1424" s="40" t="str">
        <f>IF(Agent08_Loans!B36="","",Agent08_Loans!H36)</f>
        <v/>
      </c>
      <c r="I1424" s="43" t="str">
        <f>IF(Agent08_Loans!B36="","",Agent08_Loans!I36)</f>
        <v/>
      </c>
      <c r="J1424" s="43" t="str">
        <f>IF(Agent08_Loans!B36="","",Agent08_Loans!J36)</f>
        <v/>
      </c>
      <c r="K1424" s="40" t="str">
        <f>IF(Agent08_Loans!B36="","",Agent08_Loans!K36)</f>
        <v/>
      </c>
      <c r="L1424" s="40" t="str">
        <f>IF(Agent08_Loans!B36="","",Agent08_Loans!L36)</f>
        <v/>
      </c>
      <c r="M1424" s="40" t="str">
        <f>IFERROR(IF(Agent08_Loans!B36="","",YEAR(Agent08_Loans!D36)),"")</f>
        <v/>
      </c>
    </row>
    <row r="1425" spans="1:13" ht="18" customHeight="1" x14ac:dyDescent="0.25">
      <c r="A1425" s="40" t="str">
        <f>IF(Agent08_Loans!B37="","",Agent08_Loans!A37)</f>
        <v/>
      </c>
      <c r="B1425" s="40" t="str">
        <f>IF(Agent08_Loans!B37="","",Agent08_Loans!B37)</f>
        <v/>
      </c>
      <c r="C1425" s="40" t="str">
        <f>IF(Agent08_Loans!B37="","",Agent08_Loans!C37)</f>
        <v/>
      </c>
      <c r="D1425" s="41" t="str">
        <f>IF(Agent08_Loans!B37="","",Agent08_Loans!D37)</f>
        <v/>
      </c>
      <c r="E1425" s="43" t="str">
        <f>IF(Agent08_Loans!B37="","",Agent08_Loans!E37)</f>
        <v/>
      </c>
      <c r="F1425" s="40" t="str">
        <f>IF(Agent08_Loans!B37="","",Agent08_Loans!F37)</f>
        <v/>
      </c>
      <c r="G1425" s="40" t="str">
        <f>IF(Agent08_Loans!B37="","",Agent08_Loans!G37)</f>
        <v/>
      </c>
      <c r="H1425" s="40" t="str">
        <f>IF(Agent08_Loans!B37="","",Agent08_Loans!H37)</f>
        <v/>
      </c>
      <c r="I1425" s="43" t="str">
        <f>IF(Agent08_Loans!B37="","",Agent08_Loans!I37)</f>
        <v/>
      </c>
      <c r="J1425" s="43" t="str">
        <f>IF(Agent08_Loans!B37="","",Agent08_Loans!J37)</f>
        <v/>
      </c>
      <c r="K1425" s="40" t="str">
        <f>IF(Agent08_Loans!B37="","",Agent08_Loans!K37)</f>
        <v/>
      </c>
      <c r="L1425" s="40" t="str">
        <f>IF(Agent08_Loans!B37="","",Agent08_Loans!L37)</f>
        <v/>
      </c>
      <c r="M1425" s="40" t="str">
        <f>IFERROR(IF(Agent08_Loans!B37="","",YEAR(Agent08_Loans!D37)),"")</f>
        <v/>
      </c>
    </row>
    <row r="1426" spans="1:13" ht="18" customHeight="1" x14ac:dyDescent="0.25">
      <c r="A1426" s="40" t="str">
        <f>IF(Agent08_Loans!B38="","",Agent08_Loans!A38)</f>
        <v/>
      </c>
      <c r="B1426" s="40" t="str">
        <f>IF(Agent08_Loans!B38="","",Agent08_Loans!B38)</f>
        <v/>
      </c>
      <c r="C1426" s="40" t="str">
        <f>IF(Agent08_Loans!B38="","",Agent08_Loans!C38)</f>
        <v/>
      </c>
      <c r="D1426" s="41" t="str">
        <f>IF(Agent08_Loans!B38="","",Agent08_Loans!D38)</f>
        <v/>
      </c>
      <c r="E1426" s="43" t="str">
        <f>IF(Agent08_Loans!B38="","",Agent08_Loans!E38)</f>
        <v/>
      </c>
      <c r="F1426" s="40" t="str">
        <f>IF(Agent08_Loans!B38="","",Agent08_Loans!F38)</f>
        <v/>
      </c>
      <c r="G1426" s="40" t="str">
        <f>IF(Agent08_Loans!B38="","",Agent08_Loans!G38)</f>
        <v/>
      </c>
      <c r="H1426" s="40" t="str">
        <f>IF(Agent08_Loans!B38="","",Agent08_Loans!H38)</f>
        <v/>
      </c>
      <c r="I1426" s="43" t="str">
        <f>IF(Agent08_Loans!B38="","",Agent08_Loans!I38)</f>
        <v/>
      </c>
      <c r="J1426" s="43" t="str">
        <f>IF(Agent08_Loans!B38="","",Agent08_Loans!J38)</f>
        <v/>
      </c>
      <c r="K1426" s="40" t="str">
        <f>IF(Agent08_Loans!B38="","",Agent08_Loans!K38)</f>
        <v/>
      </c>
      <c r="L1426" s="40" t="str">
        <f>IF(Agent08_Loans!B38="","",Agent08_Loans!L38)</f>
        <v/>
      </c>
      <c r="M1426" s="40" t="str">
        <f>IFERROR(IF(Agent08_Loans!B38="","",YEAR(Agent08_Loans!D38)),"")</f>
        <v/>
      </c>
    </row>
    <row r="1427" spans="1:13" ht="18" customHeight="1" x14ac:dyDescent="0.25">
      <c r="A1427" s="40" t="str">
        <f>IF(Agent08_Loans!B39="","",Agent08_Loans!A39)</f>
        <v/>
      </c>
      <c r="B1427" s="40" t="str">
        <f>IF(Agent08_Loans!B39="","",Agent08_Loans!B39)</f>
        <v/>
      </c>
      <c r="C1427" s="40" t="str">
        <f>IF(Agent08_Loans!B39="","",Agent08_Loans!C39)</f>
        <v/>
      </c>
      <c r="D1427" s="41" t="str">
        <f>IF(Agent08_Loans!B39="","",Agent08_Loans!D39)</f>
        <v/>
      </c>
      <c r="E1427" s="43" t="str">
        <f>IF(Agent08_Loans!B39="","",Agent08_Loans!E39)</f>
        <v/>
      </c>
      <c r="F1427" s="40" t="str">
        <f>IF(Agent08_Loans!B39="","",Agent08_Loans!F39)</f>
        <v/>
      </c>
      <c r="G1427" s="40" t="str">
        <f>IF(Agent08_Loans!B39="","",Agent08_Loans!G39)</f>
        <v/>
      </c>
      <c r="H1427" s="40" t="str">
        <f>IF(Agent08_Loans!B39="","",Agent08_Loans!H39)</f>
        <v/>
      </c>
      <c r="I1427" s="43" t="str">
        <f>IF(Agent08_Loans!B39="","",Agent08_Loans!I39)</f>
        <v/>
      </c>
      <c r="J1427" s="43" t="str">
        <f>IF(Agent08_Loans!B39="","",Agent08_Loans!J39)</f>
        <v/>
      </c>
      <c r="K1427" s="40" t="str">
        <f>IF(Agent08_Loans!B39="","",Agent08_Loans!K39)</f>
        <v/>
      </c>
      <c r="L1427" s="40" t="str">
        <f>IF(Agent08_Loans!B39="","",Agent08_Loans!L39)</f>
        <v/>
      </c>
      <c r="M1427" s="40" t="str">
        <f>IFERROR(IF(Agent08_Loans!B39="","",YEAR(Agent08_Loans!D39)),"")</f>
        <v/>
      </c>
    </row>
    <row r="1428" spans="1:13" ht="18" customHeight="1" x14ac:dyDescent="0.25">
      <c r="A1428" s="40" t="str">
        <f>IF(Agent08_Loans!B40="","",Agent08_Loans!A40)</f>
        <v/>
      </c>
      <c r="B1428" s="40" t="str">
        <f>IF(Agent08_Loans!B40="","",Agent08_Loans!B40)</f>
        <v/>
      </c>
      <c r="C1428" s="40" t="str">
        <f>IF(Agent08_Loans!B40="","",Agent08_Loans!C40)</f>
        <v/>
      </c>
      <c r="D1428" s="41" t="str">
        <f>IF(Agent08_Loans!B40="","",Agent08_Loans!D40)</f>
        <v/>
      </c>
      <c r="E1428" s="43" t="str">
        <f>IF(Agent08_Loans!B40="","",Agent08_Loans!E40)</f>
        <v/>
      </c>
      <c r="F1428" s="40" t="str">
        <f>IF(Agent08_Loans!B40="","",Agent08_Loans!F40)</f>
        <v/>
      </c>
      <c r="G1428" s="40" t="str">
        <f>IF(Agent08_Loans!B40="","",Agent08_Loans!G40)</f>
        <v/>
      </c>
      <c r="H1428" s="40" t="str">
        <f>IF(Agent08_Loans!B40="","",Agent08_Loans!H40)</f>
        <v/>
      </c>
      <c r="I1428" s="43" t="str">
        <f>IF(Agent08_Loans!B40="","",Agent08_Loans!I40)</f>
        <v/>
      </c>
      <c r="J1428" s="43" t="str">
        <f>IF(Agent08_Loans!B40="","",Agent08_Loans!J40)</f>
        <v/>
      </c>
      <c r="K1428" s="40" t="str">
        <f>IF(Agent08_Loans!B40="","",Agent08_Loans!K40)</f>
        <v/>
      </c>
      <c r="L1428" s="40" t="str">
        <f>IF(Agent08_Loans!B40="","",Agent08_Loans!L40)</f>
        <v/>
      </c>
      <c r="M1428" s="40" t="str">
        <f>IFERROR(IF(Agent08_Loans!B40="","",YEAR(Agent08_Loans!D40)),"")</f>
        <v/>
      </c>
    </row>
    <row r="1429" spans="1:13" ht="18" customHeight="1" x14ac:dyDescent="0.25">
      <c r="A1429" s="40" t="str">
        <f>IF(Agent08_Loans!B41="","",Agent08_Loans!A41)</f>
        <v/>
      </c>
      <c r="B1429" s="40" t="str">
        <f>IF(Agent08_Loans!B41="","",Agent08_Loans!B41)</f>
        <v/>
      </c>
      <c r="C1429" s="40" t="str">
        <f>IF(Agent08_Loans!B41="","",Agent08_Loans!C41)</f>
        <v/>
      </c>
      <c r="D1429" s="41" t="str">
        <f>IF(Agent08_Loans!B41="","",Agent08_Loans!D41)</f>
        <v/>
      </c>
      <c r="E1429" s="43" t="str">
        <f>IF(Agent08_Loans!B41="","",Agent08_Loans!E41)</f>
        <v/>
      </c>
      <c r="F1429" s="40" t="str">
        <f>IF(Agent08_Loans!B41="","",Agent08_Loans!F41)</f>
        <v/>
      </c>
      <c r="G1429" s="40" t="str">
        <f>IF(Agent08_Loans!B41="","",Agent08_Loans!G41)</f>
        <v/>
      </c>
      <c r="H1429" s="40" t="str">
        <f>IF(Agent08_Loans!B41="","",Agent08_Loans!H41)</f>
        <v/>
      </c>
      <c r="I1429" s="43" t="str">
        <f>IF(Agent08_Loans!B41="","",Agent08_Loans!I41)</f>
        <v/>
      </c>
      <c r="J1429" s="43" t="str">
        <f>IF(Agent08_Loans!B41="","",Agent08_Loans!J41)</f>
        <v/>
      </c>
      <c r="K1429" s="40" t="str">
        <f>IF(Agent08_Loans!B41="","",Agent08_Loans!K41)</f>
        <v/>
      </c>
      <c r="L1429" s="40" t="str">
        <f>IF(Agent08_Loans!B41="","",Agent08_Loans!L41)</f>
        <v/>
      </c>
      <c r="M1429" s="40" t="str">
        <f>IFERROR(IF(Agent08_Loans!B41="","",YEAR(Agent08_Loans!D41)),"")</f>
        <v/>
      </c>
    </row>
    <row r="1430" spans="1:13" ht="18" customHeight="1" x14ac:dyDescent="0.25">
      <c r="A1430" s="40" t="str">
        <f>IF(Agent08_Loans!B42="","",Agent08_Loans!A42)</f>
        <v/>
      </c>
      <c r="B1430" s="40" t="str">
        <f>IF(Agent08_Loans!B42="","",Agent08_Loans!B42)</f>
        <v/>
      </c>
      <c r="C1430" s="40" t="str">
        <f>IF(Agent08_Loans!B42="","",Agent08_Loans!C42)</f>
        <v/>
      </c>
      <c r="D1430" s="41" t="str">
        <f>IF(Agent08_Loans!B42="","",Agent08_Loans!D42)</f>
        <v/>
      </c>
      <c r="E1430" s="43" t="str">
        <f>IF(Agent08_Loans!B42="","",Agent08_Loans!E42)</f>
        <v/>
      </c>
      <c r="F1430" s="40" t="str">
        <f>IF(Agent08_Loans!B42="","",Agent08_Loans!F42)</f>
        <v/>
      </c>
      <c r="G1430" s="40" t="str">
        <f>IF(Agent08_Loans!B42="","",Agent08_Loans!G42)</f>
        <v/>
      </c>
      <c r="H1430" s="40" t="str">
        <f>IF(Agent08_Loans!B42="","",Agent08_Loans!H42)</f>
        <v/>
      </c>
      <c r="I1430" s="43" t="str">
        <f>IF(Agent08_Loans!B42="","",Agent08_Loans!I42)</f>
        <v/>
      </c>
      <c r="J1430" s="43" t="str">
        <f>IF(Agent08_Loans!B42="","",Agent08_Loans!J42)</f>
        <v/>
      </c>
      <c r="K1430" s="40" t="str">
        <f>IF(Agent08_Loans!B42="","",Agent08_Loans!K42)</f>
        <v/>
      </c>
      <c r="L1430" s="40" t="str">
        <f>IF(Agent08_Loans!B42="","",Agent08_Loans!L42)</f>
        <v/>
      </c>
      <c r="M1430" s="40" t="str">
        <f>IFERROR(IF(Agent08_Loans!B42="","",YEAR(Agent08_Loans!D42)),"")</f>
        <v/>
      </c>
    </row>
    <row r="1431" spans="1:13" ht="18" customHeight="1" x14ac:dyDescent="0.25">
      <c r="A1431" s="40" t="str">
        <f>IF(Agent08_Loans!B43="","",Agent08_Loans!A43)</f>
        <v/>
      </c>
      <c r="B1431" s="40" t="str">
        <f>IF(Agent08_Loans!B43="","",Agent08_Loans!B43)</f>
        <v/>
      </c>
      <c r="C1431" s="40" t="str">
        <f>IF(Agent08_Loans!B43="","",Agent08_Loans!C43)</f>
        <v/>
      </c>
      <c r="D1431" s="41" t="str">
        <f>IF(Agent08_Loans!B43="","",Agent08_Loans!D43)</f>
        <v/>
      </c>
      <c r="E1431" s="43" t="str">
        <f>IF(Agent08_Loans!B43="","",Agent08_Loans!E43)</f>
        <v/>
      </c>
      <c r="F1431" s="40" t="str">
        <f>IF(Agent08_Loans!B43="","",Agent08_Loans!F43)</f>
        <v/>
      </c>
      <c r="G1431" s="40" t="str">
        <f>IF(Agent08_Loans!B43="","",Agent08_Loans!G43)</f>
        <v/>
      </c>
      <c r="H1431" s="40" t="str">
        <f>IF(Agent08_Loans!B43="","",Agent08_Loans!H43)</f>
        <v/>
      </c>
      <c r="I1431" s="43" t="str">
        <f>IF(Agent08_Loans!B43="","",Agent08_Loans!I43)</f>
        <v/>
      </c>
      <c r="J1431" s="43" t="str">
        <f>IF(Agent08_Loans!B43="","",Agent08_Loans!J43)</f>
        <v/>
      </c>
      <c r="K1431" s="40" t="str">
        <f>IF(Agent08_Loans!B43="","",Agent08_Loans!K43)</f>
        <v/>
      </c>
      <c r="L1431" s="40" t="str">
        <f>IF(Agent08_Loans!B43="","",Agent08_Loans!L43)</f>
        <v/>
      </c>
      <c r="M1431" s="40" t="str">
        <f>IFERROR(IF(Agent08_Loans!B43="","",YEAR(Agent08_Loans!D43)),"")</f>
        <v/>
      </c>
    </row>
    <row r="1432" spans="1:13" ht="18" customHeight="1" x14ac:dyDescent="0.25">
      <c r="A1432" s="40" t="str">
        <f>IF(Agent08_Loans!B44="","",Agent08_Loans!A44)</f>
        <v/>
      </c>
      <c r="B1432" s="40" t="str">
        <f>IF(Agent08_Loans!B44="","",Agent08_Loans!B44)</f>
        <v/>
      </c>
      <c r="C1432" s="40" t="str">
        <f>IF(Agent08_Loans!B44="","",Agent08_Loans!C44)</f>
        <v/>
      </c>
      <c r="D1432" s="41" t="str">
        <f>IF(Agent08_Loans!B44="","",Agent08_Loans!D44)</f>
        <v/>
      </c>
      <c r="E1432" s="43" t="str">
        <f>IF(Agent08_Loans!B44="","",Agent08_Loans!E44)</f>
        <v/>
      </c>
      <c r="F1432" s="40" t="str">
        <f>IF(Agent08_Loans!B44="","",Agent08_Loans!F44)</f>
        <v/>
      </c>
      <c r="G1432" s="40" t="str">
        <f>IF(Agent08_Loans!B44="","",Agent08_Loans!G44)</f>
        <v/>
      </c>
      <c r="H1432" s="40" t="str">
        <f>IF(Agent08_Loans!B44="","",Agent08_Loans!H44)</f>
        <v/>
      </c>
      <c r="I1432" s="43" t="str">
        <f>IF(Agent08_Loans!B44="","",Agent08_Loans!I44)</f>
        <v/>
      </c>
      <c r="J1432" s="43" t="str">
        <f>IF(Agent08_Loans!B44="","",Agent08_Loans!J44)</f>
        <v/>
      </c>
      <c r="K1432" s="40" t="str">
        <f>IF(Agent08_Loans!B44="","",Agent08_Loans!K44)</f>
        <v/>
      </c>
      <c r="L1432" s="40" t="str">
        <f>IF(Agent08_Loans!B44="","",Agent08_Loans!L44)</f>
        <v/>
      </c>
      <c r="M1432" s="40" t="str">
        <f>IFERROR(IF(Agent08_Loans!B44="","",YEAR(Agent08_Loans!D44)),"")</f>
        <v/>
      </c>
    </row>
    <row r="1433" spans="1:13" ht="18" customHeight="1" x14ac:dyDescent="0.25">
      <c r="A1433" s="40" t="str">
        <f>IF(Agent08_Loans!B45="","",Agent08_Loans!A45)</f>
        <v/>
      </c>
      <c r="B1433" s="40" t="str">
        <f>IF(Agent08_Loans!B45="","",Agent08_Loans!B45)</f>
        <v/>
      </c>
      <c r="C1433" s="40" t="str">
        <f>IF(Agent08_Loans!B45="","",Agent08_Loans!C45)</f>
        <v/>
      </c>
      <c r="D1433" s="41" t="str">
        <f>IF(Agent08_Loans!B45="","",Agent08_Loans!D45)</f>
        <v/>
      </c>
      <c r="E1433" s="43" t="str">
        <f>IF(Agent08_Loans!B45="","",Agent08_Loans!E45)</f>
        <v/>
      </c>
      <c r="F1433" s="40" t="str">
        <f>IF(Agent08_Loans!B45="","",Agent08_Loans!F45)</f>
        <v/>
      </c>
      <c r="G1433" s="40" t="str">
        <f>IF(Agent08_Loans!B45="","",Agent08_Loans!G45)</f>
        <v/>
      </c>
      <c r="H1433" s="40" t="str">
        <f>IF(Agent08_Loans!B45="","",Agent08_Loans!H45)</f>
        <v/>
      </c>
      <c r="I1433" s="43" t="str">
        <f>IF(Agent08_Loans!B45="","",Agent08_Loans!I45)</f>
        <v/>
      </c>
      <c r="J1433" s="43" t="str">
        <f>IF(Agent08_Loans!B45="","",Agent08_Loans!J45)</f>
        <v/>
      </c>
      <c r="K1433" s="40" t="str">
        <f>IF(Agent08_Loans!B45="","",Agent08_Loans!K45)</f>
        <v/>
      </c>
      <c r="L1433" s="40" t="str">
        <f>IF(Agent08_Loans!B45="","",Agent08_Loans!L45)</f>
        <v/>
      </c>
      <c r="M1433" s="40" t="str">
        <f>IFERROR(IF(Agent08_Loans!B45="","",YEAR(Agent08_Loans!D45)),"")</f>
        <v/>
      </c>
    </row>
    <row r="1434" spans="1:13" ht="18" customHeight="1" x14ac:dyDescent="0.25">
      <c r="A1434" s="40" t="str">
        <f>IF(Agent08_Loans!B46="","",Agent08_Loans!A46)</f>
        <v/>
      </c>
      <c r="B1434" s="40" t="str">
        <f>IF(Agent08_Loans!B46="","",Agent08_Loans!B46)</f>
        <v/>
      </c>
      <c r="C1434" s="40" t="str">
        <f>IF(Agent08_Loans!B46="","",Agent08_Loans!C46)</f>
        <v/>
      </c>
      <c r="D1434" s="41" t="str">
        <f>IF(Agent08_Loans!B46="","",Agent08_Loans!D46)</f>
        <v/>
      </c>
      <c r="E1434" s="43" t="str">
        <f>IF(Agent08_Loans!B46="","",Agent08_Loans!E46)</f>
        <v/>
      </c>
      <c r="F1434" s="40" t="str">
        <f>IF(Agent08_Loans!B46="","",Agent08_Loans!F46)</f>
        <v/>
      </c>
      <c r="G1434" s="40" t="str">
        <f>IF(Agent08_Loans!B46="","",Agent08_Loans!G46)</f>
        <v/>
      </c>
      <c r="H1434" s="40" t="str">
        <f>IF(Agent08_Loans!B46="","",Agent08_Loans!H46)</f>
        <v/>
      </c>
      <c r="I1434" s="43" t="str">
        <f>IF(Agent08_Loans!B46="","",Agent08_Loans!I46)</f>
        <v/>
      </c>
      <c r="J1434" s="43" t="str">
        <f>IF(Agent08_Loans!B46="","",Agent08_Loans!J46)</f>
        <v/>
      </c>
      <c r="K1434" s="40" t="str">
        <f>IF(Agent08_Loans!B46="","",Agent08_Loans!K46)</f>
        <v/>
      </c>
      <c r="L1434" s="40" t="str">
        <f>IF(Agent08_Loans!B46="","",Agent08_Loans!L46)</f>
        <v/>
      </c>
      <c r="M1434" s="40" t="str">
        <f>IFERROR(IF(Agent08_Loans!B46="","",YEAR(Agent08_Loans!D46)),"")</f>
        <v/>
      </c>
    </row>
    <row r="1435" spans="1:13" ht="18" customHeight="1" x14ac:dyDescent="0.25">
      <c r="A1435" s="40" t="str">
        <f>IF(Agent08_Loans!B47="","",Agent08_Loans!A47)</f>
        <v/>
      </c>
      <c r="B1435" s="40" t="str">
        <f>IF(Agent08_Loans!B47="","",Agent08_Loans!B47)</f>
        <v/>
      </c>
      <c r="C1435" s="40" t="str">
        <f>IF(Agent08_Loans!B47="","",Agent08_Loans!C47)</f>
        <v/>
      </c>
      <c r="D1435" s="41" t="str">
        <f>IF(Agent08_Loans!B47="","",Agent08_Loans!D47)</f>
        <v/>
      </c>
      <c r="E1435" s="43" t="str">
        <f>IF(Agent08_Loans!B47="","",Agent08_Loans!E47)</f>
        <v/>
      </c>
      <c r="F1435" s="40" t="str">
        <f>IF(Agent08_Loans!B47="","",Agent08_Loans!F47)</f>
        <v/>
      </c>
      <c r="G1435" s="40" t="str">
        <f>IF(Agent08_Loans!B47="","",Agent08_Loans!G47)</f>
        <v/>
      </c>
      <c r="H1435" s="40" t="str">
        <f>IF(Agent08_Loans!B47="","",Agent08_Loans!H47)</f>
        <v/>
      </c>
      <c r="I1435" s="43" t="str">
        <f>IF(Agent08_Loans!B47="","",Agent08_Loans!I47)</f>
        <v/>
      </c>
      <c r="J1435" s="43" t="str">
        <f>IF(Agent08_Loans!B47="","",Agent08_Loans!J47)</f>
        <v/>
      </c>
      <c r="K1435" s="40" t="str">
        <f>IF(Agent08_Loans!B47="","",Agent08_Loans!K47)</f>
        <v/>
      </c>
      <c r="L1435" s="40" t="str">
        <f>IF(Agent08_Loans!B47="","",Agent08_Loans!L47)</f>
        <v/>
      </c>
      <c r="M1435" s="40" t="str">
        <f>IFERROR(IF(Agent08_Loans!B47="","",YEAR(Agent08_Loans!D47)),"")</f>
        <v/>
      </c>
    </row>
    <row r="1436" spans="1:13" ht="18" customHeight="1" x14ac:dyDescent="0.25">
      <c r="A1436" s="40" t="str">
        <f>IF(Agent08_Loans!B48="","",Agent08_Loans!A48)</f>
        <v/>
      </c>
      <c r="B1436" s="40" t="str">
        <f>IF(Agent08_Loans!B48="","",Agent08_Loans!B48)</f>
        <v/>
      </c>
      <c r="C1436" s="40" t="str">
        <f>IF(Agent08_Loans!B48="","",Agent08_Loans!C48)</f>
        <v/>
      </c>
      <c r="D1436" s="41" t="str">
        <f>IF(Agent08_Loans!B48="","",Agent08_Loans!D48)</f>
        <v/>
      </c>
      <c r="E1436" s="43" t="str">
        <f>IF(Agent08_Loans!B48="","",Agent08_Loans!E48)</f>
        <v/>
      </c>
      <c r="F1436" s="40" t="str">
        <f>IF(Agent08_Loans!B48="","",Agent08_Loans!F48)</f>
        <v/>
      </c>
      <c r="G1436" s="40" t="str">
        <f>IF(Agent08_Loans!B48="","",Agent08_Loans!G48)</f>
        <v/>
      </c>
      <c r="H1436" s="40" t="str">
        <f>IF(Agent08_Loans!B48="","",Agent08_Loans!H48)</f>
        <v/>
      </c>
      <c r="I1436" s="43" t="str">
        <f>IF(Agent08_Loans!B48="","",Agent08_Loans!I48)</f>
        <v/>
      </c>
      <c r="J1436" s="43" t="str">
        <f>IF(Agent08_Loans!B48="","",Agent08_Loans!J48)</f>
        <v/>
      </c>
      <c r="K1436" s="40" t="str">
        <f>IF(Agent08_Loans!B48="","",Agent08_Loans!K48)</f>
        <v/>
      </c>
      <c r="L1436" s="40" t="str">
        <f>IF(Agent08_Loans!B48="","",Agent08_Loans!L48)</f>
        <v/>
      </c>
      <c r="M1436" s="40" t="str">
        <f>IFERROR(IF(Agent08_Loans!B48="","",YEAR(Agent08_Loans!D48)),"")</f>
        <v/>
      </c>
    </row>
    <row r="1437" spans="1:13" ht="18" customHeight="1" x14ac:dyDescent="0.25">
      <c r="A1437" s="40" t="str">
        <f>IF(Agent08_Loans!B49="","",Agent08_Loans!A49)</f>
        <v/>
      </c>
      <c r="B1437" s="40" t="str">
        <f>IF(Agent08_Loans!B49="","",Agent08_Loans!B49)</f>
        <v/>
      </c>
      <c r="C1437" s="40" t="str">
        <f>IF(Agent08_Loans!B49="","",Agent08_Loans!C49)</f>
        <v/>
      </c>
      <c r="D1437" s="41" t="str">
        <f>IF(Agent08_Loans!B49="","",Agent08_Loans!D49)</f>
        <v/>
      </c>
      <c r="E1437" s="43" t="str">
        <f>IF(Agent08_Loans!B49="","",Agent08_Loans!E49)</f>
        <v/>
      </c>
      <c r="F1437" s="40" t="str">
        <f>IF(Agent08_Loans!B49="","",Agent08_Loans!F49)</f>
        <v/>
      </c>
      <c r="G1437" s="40" t="str">
        <f>IF(Agent08_Loans!B49="","",Agent08_Loans!G49)</f>
        <v/>
      </c>
      <c r="H1437" s="40" t="str">
        <f>IF(Agent08_Loans!B49="","",Agent08_Loans!H49)</f>
        <v/>
      </c>
      <c r="I1437" s="43" t="str">
        <f>IF(Agent08_Loans!B49="","",Agent08_Loans!I49)</f>
        <v/>
      </c>
      <c r="J1437" s="43" t="str">
        <f>IF(Agent08_Loans!B49="","",Agent08_Loans!J49)</f>
        <v/>
      </c>
      <c r="K1437" s="40" t="str">
        <f>IF(Agent08_Loans!B49="","",Agent08_Loans!K49)</f>
        <v/>
      </c>
      <c r="L1437" s="40" t="str">
        <f>IF(Agent08_Loans!B49="","",Agent08_Loans!L49)</f>
        <v/>
      </c>
      <c r="M1437" s="40" t="str">
        <f>IFERROR(IF(Agent08_Loans!B49="","",YEAR(Agent08_Loans!D49)),"")</f>
        <v/>
      </c>
    </row>
    <row r="1438" spans="1:13" ht="18" customHeight="1" x14ac:dyDescent="0.25">
      <c r="A1438" s="40" t="str">
        <f>IF(Agent08_Loans!B50="","",Agent08_Loans!A50)</f>
        <v/>
      </c>
      <c r="B1438" s="40" t="str">
        <f>IF(Agent08_Loans!B50="","",Agent08_Loans!B50)</f>
        <v/>
      </c>
      <c r="C1438" s="40" t="str">
        <f>IF(Agent08_Loans!B50="","",Agent08_Loans!C50)</f>
        <v/>
      </c>
      <c r="D1438" s="41" t="str">
        <f>IF(Agent08_Loans!B50="","",Agent08_Loans!D50)</f>
        <v/>
      </c>
      <c r="E1438" s="43" t="str">
        <f>IF(Agent08_Loans!B50="","",Agent08_Loans!E50)</f>
        <v/>
      </c>
      <c r="F1438" s="40" t="str">
        <f>IF(Agent08_Loans!B50="","",Agent08_Loans!F50)</f>
        <v/>
      </c>
      <c r="G1438" s="40" t="str">
        <f>IF(Agent08_Loans!B50="","",Agent08_Loans!G50)</f>
        <v/>
      </c>
      <c r="H1438" s="40" t="str">
        <f>IF(Agent08_Loans!B50="","",Agent08_Loans!H50)</f>
        <v/>
      </c>
      <c r="I1438" s="43" t="str">
        <f>IF(Agent08_Loans!B50="","",Agent08_Loans!I50)</f>
        <v/>
      </c>
      <c r="J1438" s="43" t="str">
        <f>IF(Agent08_Loans!B50="","",Agent08_Loans!J50)</f>
        <v/>
      </c>
      <c r="K1438" s="40" t="str">
        <f>IF(Agent08_Loans!B50="","",Agent08_Loans!K50)</f>
        <v/>
      </c>
      <c r="L1438" s="40" t="str">
        <f>IF(Agent08_Loans!B50="","",Agent08_Loans!L50)</f>
        <v/>
      </c>
      <c r="M1438" s="40" t="str">
        <f>IFERROR(IF(Agent08_Loans!B50="","",YEAR(Agent08_Loans!D50)),"")</f>
        <v/>
      </c>
    </row>
    <row r="1439" spans="1:13" ht="18" customHeight="1" x14ac:dyDescent="0.25">
      <c r="A1439" s="40" t="str">
        <f>IF(Agent08_Loans!B51="","",Agent08_Loans!A51)</f>
        <v/>
      </c>
      <c r="B1439" s="40" t="str">
        <f>IF(Agent08_Loans!B51="","",Agent08_Loans!B51)</f>
        <v/>
      </c>
      <c r="C1439" s="40" t="str">
        <f>IF(Agent08_Loans!B51="","",Agent08_Loans!C51)</f>
        <v/>
      </c>
      <c r="D1439" s="41" t="str">
        <f>IF(Agent08_Loans!B51="","",Agent08_Loans!D51)</f>
        <v/>
      </c>
      <c r="E1439" s="43" t="str">
        <f>IF(Agent08_Loans!B51="","",Agent08_Loans!E51)</f>
        <v/>
      </c>
      <c r="F1439" s="40" t="str">
        <f>IF(Agent08_Loans!B51="","",Agent08_Loans!F51)</f>
        <v/>
      </c>
      <c r="G1439" s="40" t="str">
        <f>IF(Agent08_Loans!B51="","",Agent08_Loans!G51)</f>
        <v/>
      </c>
      <c r="H1439" s="40" t="str">
        <f>IF(Agent08_Loans!B51="","",Agent08_Loans!H51)</f>
        <v/>
      </c>
      <c r="I1439" s="43" t="str">
        <f>IF(Agent08_Loans!B51="","",Agent08_Loans!I51)</f>
        <v/>
      </c>
      <c r="J1439" s="43" t="str">
        <f>IF(Agent08_Loans!B51="","",Agent08_Loans!J51)</f>
        <v/>
      </c>
      <c r="K1439" s="40" t="str">
        <f>IF(Agent08_Loans!B51="","",Agent08_Loans!K51)</f>
        <v/>
      </c>
      <c r="L1439" s="40" t="str">
        <f>IF(Agent08_Loans!B51="","",Agent08_Loans!L51)</f>
        <v/>
      </c>
      <c r="M1439" s="40" t="str">
        <f>IFERROR(IF(Agent08_Loans!B51="","",YEAR(Agent08_Loans!D51)),"")</f>
        <v/>
      </c>
    </row>
    <row r="1440" spans="1:13" ht="18" customHeight="1" x14ac:dyDescent="0.25">
      <c r="A1440" s="40" t="str">
        <f>IF(Agent08_Loans!B52="","",Agent08_Loans!A52)</f>
        <v/>
      </c>
      <c r="B1440" s="40" t="str">
        <f>IF(Agent08_Loans!B52="","",Agent08_Loans!B52)</f>
        <v/>
      </c>
      <c r="C1440" s="40" t="str">
        <f>IF(Agent08_Loans!B52="","",Agent08_Loans!C52)</f>
        <v/>
      </c>
      <c r="D1440" s="41" t="str">
        <f>IF(Agent08_Loans!B52="","",Agent08_Loans!D52)</f>
        <v/>
      </c>
      <c r="E1440" s="43" t="str">
        <f>IF(Agent08_Loans!B52="","",Agent08_Loans!E52)</f>
        <v/>
      </c>
      <c r="F1440" s="40" t="str">
        <f>IF(Agent08_Loans!B52="","",Agent08_Loans!F52)</f>
        <v/>
      </c>
      <c r="G1440" s="40" t="str">
        <f>IF(Agent08_Loans!B52="","",Agent08_Loans!G52)</f>
        <v/>
      </c>
      <c r="H1440" s="40" t="str">
        <f>IF(Agent08_Loans!B52="","",Agent08_Loans!H52)</f>
        <v/>
      </c>
      <c r="I1440" s="43" t="str">
        <f>IF(Agent08_Loans!B52="","",Agent08_Loans!I52)</f>
        <v/>
      </c>
      <c r="J1440" s="43" t="str">
        <f>IF(Agent08_Loans!B52="","",Agent08_Loans!J52)</f>
        <v/>
      </c>
      <c r="K1440" s="40" t="str">
        <f>IF(Agent08_Loans!B52="","",Agent08_Loans!K52)</f>
        <v/>
      </c>
      <c r="L1440" s="40" t="str">
        <f>IF(Agent08_Loans!B52="","",Agent08_Loans!L52)</f>
        <v/>
      </c>
      <c r="M1440" s="40" t="str">
        <f>IFERROR(IF(Agent08_Loans!B52="","",YEAR(Agent08_Loans!D52)),"")</f>
        <v/>
      </c>
    </row>
    <row r="1441" spans="1:13" ht="18" customHeight="1" x14ac:dyDescent="0.25">
      <c r="A1441" s="40" t="str">
        <f>IF(Agent08_Loans!B53="","",Agent08_Loans!A53)</f>
        <v/>
      </c>
      <c r="B1441" s="40" t="str">
        <f>IF(Agent08_Loans!B53="","",Agent08_Loans!B53)</f>
        <v/>
      </c>
      <c r="C1441" s="40" t="str">
        <f>IF(Agent08_Loans!B53="","",Agent08_Loans!C53)</f>
        <v/>
      </c>
      <c r="D1441" s="41" t="str">
        <f>IF(Agent08_Loans!B53="","",Agent08_Loans!D53)</f>
        <v/>
      </c>
      <c r="E1441" s="43" t="str">
        <f>IF(Agent08_Loans!B53="","",Agent08_Loans!E53)</f>
        <v/>
      </c>
      <c r="F1441" s="40" t="str">
        <f>IF(Agent08_Loans!B53="","",Agent08_Loans!F53)</f>
        <v/>
      </c>
      <c r="G1441" s="40" t="str">
        <f>IF(Agent08_Loans!B53="","",Agent08_Loans!G53)</f>
        <v/>
      </c>
      <c r="H1441" s="40" t="str">
        <f>IF(Agent08_Loans!B53="","",Agent08_Loans!H53)</f>
        <v/>
      </c>
      <c r="I1441" s="43" t="str">
        <f>IF(Agent08_Loans!B53="","",Agent08_Loans!I53)</f>
        <v/>
      </c>
      <c r="J1441" s="43" t="str">
        <f>IF(Agent08_Loans!B53="","",Agent08_Loans!J53)</f>
        <v/>
      </c>
      <c r="K1441" s="40" t="str">
        <f>IF(Agent08_Loans!B53="","",Agent08_Loans!K53)</f>
        <v/>
      </c>
      <c r="L1441" s="40" t="str">
        <f>IF(Agent08_Loans!B53="","",Agent08_Loans!L53)</f>
        <v/>
      </c>
      <c r="M1441" s="40" t="str">
        <f>IFERROR(IF(Agent08_Loans!B53="","",YEAR(Agent08_Loans!D53)),"")</f>
        <v/>
      </c>
    </row>
    <row r="1442" spans="1:13" ht="18" customHeight="1" x14ac:dyDescent="0.25">
      <c r="A1442" s="40" t="str">
        <f>IF(Agent08_Loans!B54="","",Agent08_Loans!A54)</f>
        <v/>
      </c>
      <c r="B1442" s="40" t="str">
        <f>IF(Agent08_Loans!B54="","",Agent08_Loans!B54)</f>
        <v/>
      </c>
      <c r="C1442" s="40" t="str">
        <f>IF(Agent08_Loans!B54="","",Agent08_Loans!C54)</f>
        <v/>
      </c>
      <c r="D1442" s="41" t="str">
        <f>IF(Agent08_Loans!B54="","",Agent08_Loans!D54)</f>
        <v/>
      </c>
      <c r="E1442" s="43" t="str">
        <f>IF(Agent08_Loans!B54="","",Agent08_Loans!E54)</f>
        <v/>
      </c>
      <c r="F1442" s="40" t="str">
        <f>IF(Agent08_Loans!B54="","",Agent08_Loans!F54)</f>
        <v/>
      </c>
      <c r="G1442" s="40" t="str">
        <f>IF(Agent08_Loans!B54="","",Agent08_Loans!G54)</f>
        <v/>
      </c>
      <c r="H1442" s="40" t="str">
        <f>IF(Agent08_Loans!B54="","",Agent08_Loans!H54)</f>
        <v/>
      </c>
      <c r="I1442" s="43" t="str">
        <f>IF(Agent08_Loans!B54="","",Agent08_Loans!I54)</f>
        <v/>
      </c>
      <c r="J1442" s="43" t="str">
        <f>IF(Agent08_Loans!B54="","",Agent08_Loans!J54)</f>
        <v/>
      </c>
      <c r="K1442" s="40" t="str">
        <f>IF(Agent08_Loans!B54="","",Agent08_Loans!K54)</f>
        <v/>
      </c>
      <c r="L1442" s="40" t="str">
        <f>IF(Agent08_Loans!B54="","",Agent08_Loans!L54)</f>
        <v/>
      </c>
      <c r="M1442" s="40" t="str">
        <f>IFERROR(IF(Agent08_Loans!B54="","",YEAR(Agent08_Loans!D54)),"")</f>
        <v/>
      </c>
    </row>
    <row r="1443" spans="1:13" ht="18" customHeight="1" x14ac:dyDescent="0.25">
      <c r="A1443" s="40" t="str">
        <f>IF(Agent08_Loans!B55="","",Agent08_Loans!A55)</f>
        <v/>
      </c>
      <c r="B1443" s="40" t="str">
        <f>IF(Agent08_Loans!B55="","",Agent08_Loans!B55)</f>
        <v/>
      </c>
      <c r="C1443" s="40" t="str">
        <f>IF(Agent08_Loans!B55="","",Agent08_Loans!C55)</f>
        <v/>
      </c>
      <c r="D1443" s="41" t="str">
        <f>IF(Agent08_Loans!B55="","",Agent08_Loans!D55)</f>
        <v/>
      </c>
      <c r="E1443" s="43" t="str">
        <f>IF(Agent08_Loans!B55="","",Agent08_Loans!E55)</f>
        <v/>
      </c>
      <c r="F1443" s="40" t="str">
        <f>IF(Agent08_Loans!B55="","",Agent08_Loans!F55)</f>
        <v/>
      </c>
      <c r="G1443" s="40" t="str">
        <f>IF(Agent08_Loans!B55="","",Agent08_Loans!G55)</f>
        <v/>
      </c>
      <c r="H1443" s="40" t="str">
        <f>IF(Agent08_Loans!B55="","",Agent08_Loans!H55)</f>
        <v/>
      </c>
      <c r="I1443" s="43" t="str">
        <f>IF(Agent08_Loans!B55="","",Agent08_Loans!I55)</f>
        <v/>
      </c>
      <c r="J1443" s="43" t="str">
        <f>IF(Agent08_Loans!B55="","",Agent08_Loans!J55)</f>
        <v/>
      </c>
      <c r="K1443" s="40" t="str">
        <f>IF(Agent08_Loans!B55="","",Agent08_Loans!K55)</f>
        <v/>
      </c>
      <c r="L1443" s="40" t="str">
        <f>IF(Agent08_Loans!B55="","",Agent08_Loans!L55)</f>
        <v/>
      </c>
      <c r="M1443" s="40" t="str">
        <f>IFERROR(IF(Agent08_Loans!B55="","",YEAR(Agent08_Loans!D55)),"")</f>
        <v/>
      </c>
    </row>
    <row r="1444" spans="1:13" ht="18" customHeight="1" x14ac:dyDescent="0.25">
      <c r="A1444" s="40" t="str">
        <f>IF(Agent08_Loans!B56="","",Agent08_Loans!A56)</f>
        <v/>
      </c>
      <c r="B1444" s="40" t="str">
        <f>IF(Agent08_Loans!B56="","",Agent08_Loans!B56)</f>
        <v/>
      </c>
      <c r="C1444" s="40" t="str">
        <f>IF(Agent08_Loans!B56="","",Agent08_Loans!C56)</f>
        <v/>
      </c>
      <c r="D1444" s="41" t="str">
        <f>IF(Agent08_Loans!B56="","",Agent08_Loans!D56)</f>
        <v/>
      </c>
      <c r="E1444" s="43" t="str">
        <f>IF(Agent08_Loans!B56="","",Agent08_Loans!E56)</f>
        <v/>
      </c>
      <c r="F1444" s="40" t="str">
        <f>IF(Agent08_Loans!B56="","",Agent08_Loans!F56)</f>
        <v/>
      </c>
      <c r="G1444" s="40" t="str">
        <f>IF(Agent08_Loans!B56="","",Agent08_Loans!G56)</f>
        <v/>
      </c>
      <c r="H1444" s="40" t="str">
        <f>IF(Agent08_Loans!B56="","",Agent08_Loans!H56)</f>
        <v/>
      </c>
      <c r="I1444" s="43" t="str">
        <f>IF(Agent08_Loans!B56="","",Agent08_Loans!I56)</f>
        <v/>
      </c>
      <c r="J1444" s="43" t="str">
        <f>IF(Agent08_Loans!B56="","",Agent08_Loans!J56)</f>
        <v/>
      </c>
      <c r="K1444" s="40" t="str">
        <f>IF(Agent08_Loans!B56="","",Agent08_Loans!K56)</f>
        <v/>
      </c>
      <c r="L1444" s="40" t="str">
        <f>IF(Agent08_Loans!B56="","",Agent08_Loans!L56)</f>
        <v/>
      </c>
      <c r="M1444" s="40" t="str">
        <f>IFERROR(IF(Agent08_Loans!B56="","",YEAR(Agent08_Loans!D56)),"")</f>
        <v/>
      </c>
    </row>
    <row r="1445" spans="1:13" ht="18" customHeight="1" x14ac:dyDescent="0.25">
      <c r="A1445" s="40" t="str">
        <f>IF(Agent08_Loans!B57="","",Agent08_Loans!A57)</f>
        <v/>
      </c>
      <c r="B1445" s="40" t="str">
        <f>IF(Agent08_Loans!B57="","",Agent08_Loans!B57)</f>
        <v/>
      </c>
      <c r="C1445" s="40" t="str">
        <f>IF(Agent08_Loans!B57="","",Agent08_Loans!C57)</f>
        <v/>
      </c>
      <c r="D1445" s="41" t="str">
        <f>IF(Agent08_Loans!B57="","",Agent08_Loans!D57)</f>
        <v/>
      </c>
      <c r="E1445" s="43" t="str">
        <f>IF(Agent08_Loans!B57="","",Agent08_Loans!E57)</f>
        <v/>
      </c>
      <c r="F1445" s="40" t="str">
        <f>IF(Agent08_Loans!B57="","",Agent08_Loans!F57)</f>
        <v/>
      </c>
      <c r="G1445" s="40" t="str">
        <f>IF(Agent08_Loans!B57="","",Agent08_Loans!G57)</f>
        <v/>
      </c>
      <c r="H1445" s="40" t="str">
        <f>IF(Agent08_Loans!B57="","",Agent08_Loans!H57)</f>
        <v/>
      </c>
      <c r="I1445" s="43" t="str">
        <f>IF(Agent08_Loans!B57="","",Agent08_Loans!I57)</f>
        <v/>
      </c>
      <c r="J1445" s="43" t="str">
        <f>IF(Agent08_Loans!B57="","",Agent08_Loans!J57)</f>
        <v/>
      </c>
      <c r="K1445" s="40" t="str">
        <f>IF(Agent08_Loans!B57="","",Agent08_Loans!K57)</f>
        <v/>
      </c>
      <c r="L1445" s="40" t="str">
        <f>IF(Agent08_Loans!B57="","",Agent08_Loans!L57)</f>
        <v/>
      </c>
      <c r="M1445" s="40" t="str">
        <f>IFERROR(IF(Agent08_Loans!B57="","",YEAR(Agent08_Loans!D57)),"")</f>
        <v/>
      </c>
    </row>
    <row r="1446" spans="1:13" ht="18" customHeight="1" x14ac:dyDescent="0.25">
      <c r="A1446" s="40" t="str">
        <f>IF(Agent08_Loans!B58="","",Agent08_Loans!A58)</f>
        <v/>
      </c>
      <c r="B1446" s="40" t="str">
        <f>IF(Agent08_Loans!B58="","",Agent08_Loans!B58)</f>
        <v/>
      </c>
      <c r="C1446" s="40" t="str">
        <f>IF(Agent08_Loans!B58="","",Agent08_Loans!C58)</f>
        <v/>
      </c>
      <c r="D1446" s="41" t="str">
        <f>IF(Agent08_Loans!B58="","",Agent08_Loans!D58)</f>
        <v/>
      </c>
      <c r="E1446" s="43" t="str">
        <f>IF(Agent08_Loans!B58="","",Agent08_Loans!E58)</f>
        <v/>
      </c>
      <c r="F1446" s="40" t="str">
        <f>IF(Agent08_Loans!B58="","",Agent08_Loans!F58)</f>
        <v/>
      </c>
      <c r="G1446" s="40" t="str">
        <f>IF(Agent08_Loans!B58="","",Agent08_Loans!G58)</f>
        <v/>
      </c>
      <c r="H1446" s="40" t="str">
        <f>IF(Agent08_Loans!B58="","",Agent08_Loans!H58)</f>
        <v/>
      </c>
      <c r="I1446" s="43" t="str">
        <f>IF(Agent08_Loans!B58="","",Agent08_Loans!I58)</f>
        <v/>
      </c>
      <c r="J1446" s="43" t="str">
        <f>IF(Agent08_Loans!B58="","",Agent08_Loans!J58)</f>
        <v/>
      </c>
      <c r="K1446" s="40" t="str">
        <f>IF(Agent08_Loans!B58="","",Agent08_Loans!K58)</f>
        <v/>
      </c>
      <c r="L1446" s="40" t="str">
        <f>IF(Agent08_Loans!B58="","",Agent08_Loans!L58)</f>
        <v/>
      </c>
      <c r="M1446" s="40" t="str">
        <f>IFERROR(IF(Agent08_Loans!B58="","",YEAR(Agent08_Loans!D58)),"")</f>
        <v/>
      </c>
    </row>
    <row r="1447" spans="1:13" ht="18" customHeight="1" x14ac:dyDescent="0.25">
      <c r="A1447" s="40" t="str">
        <f>IF(Agent08_Loans!B59="","",Agent08_Loans!A59)</f>
        <v/>
      </c>
      <c r="B1447" s="40" t="str">
        <f>IF(Agent08_Loans!B59="","",Agent08_Loans!B59)</f>
        <v/>
      </c>
      <c r="C1447" s="40" t="str">
        <f>IF(Agent08_Loans!B59="","",Agent08_Loans!C59)</f>
        <v/>
      </c>
      <c r="D1447" s="41" t="str">
        <f>IF(Agent08_Loans!B59="","",Agent08_Loans!D59)</f>
        <v/>
      </c>
      <c r="E1447" s="43" t="str">
        <f>IF(Agent08_Loans!B59="","",Agent08_Loans!E59)</f>
        <v/>
      </c>
      <c r="F1447" s="40" t="str">
        <f>IF(Agent08_Loans!B59="","",Agent08_Loans!F59)</f>
        <v/>
      </c>
      <c r="G1447" s="40" t="str">
        <f>IF(Agent08_Loans!B59="","",Agent08_Loans!G59)</f>
        <v/>
      </c>
      <c r="H1447" s="40" t="str">
        <f>IF(Agent08_Loans!B59="","",Agent08_Loans!H59)</f>
        <v/>
      </c>
      <c r="I1447" s="43" t="str">
        <f>IF(Agent08_Loans!B59="","",Agent08_Loans!I59)</f>
        <v/>
      </c>
      <c r="J1447" s="43" t="str">
        <f>IF(Agent08_Loans!B59="","",Agent08_Loans!J59)</f>
        <v/>
      </c>
      <c r="K1447" s="40" t="str">
        <f>IF(Agent08_Loans!B59="","",Agent08_Loans!K59)</f>
        <v/>
      </c>
      <c r="L1447" s="40" t="str">
        <f>IF(Agent08_Loans!B59="","",Agent08_Loans!L59)</f>
        <v/>
      </c>
      <c r="M1447" s="40" t="str">
        <f>IFERROR(IF(Agent08_Loans!B59="","",YEAR(Agent08_Loans!D59)),"")</f>
        <v/>
      </c>
    </row>
    <row r="1448" spans="1:13" ht="18" customHeight="1" x14ac:dyDescent="0.25">
      <c r="A1448" s="40" t="str">
        <f>IF(Agent08_Loans!B60="","",Agent08_Loans!A60)</f>
        <v/>
      </c>
      <c r="B1448" s="40" t="str">
        <f>IF(Agent08_Loans!B60="","",Agent08_Loans!B60)</f>
        <v/>
      </c>
      <c r="C1448" s="40" t="str">
        <f>IF(Agent08_Loans!B60="","",Agent08_Loans!C60)</f>
        <v/>
      </c>
      <c r="D1448" s="41" t="str">
        <f>IF(Agent08_Loans!B60="","",Agent08_Loans!D60)</f>
        <v/>
      </c>
      <c r="E1448" s="43" t="str">
        <f>IF(Agent08_Loans!B60="","",Agent08_Loans!E60)</f>
        <v/>
      </c>
      <c r="F1448" s="40" t="str">
        <f>IF(Agent08_Loans!B60="","",Agent08_Loans!F60)</f>
        <v/>
      </c>
      <c r="G1448" s="40" t="str">
        <f>IF(Agent08_Loans!B60="","",Agent08_Loans!G60)</f>
        <v/>
      </c>
      <c r="H1448" s="40" t="str">
        <f>IF(Agent08_Loans!B60="","",Agent08_Loans!H60)</f>
        <v/>
      </c>
      <c r="I1448" s="43" t="str">
        <f>IF(Agent08_Loans!B60="","",Agent08_Loans!I60)</f>
        <v/>
      </c>
      <c r="J1448" s="43" t="str">
        <f>IF(Agent08_Loans!B60="","",Agent08_Loans!J60)</f>
        <v/>
      </c>
      <c r="K1448" s="40" t="str">
        <f>IF(Agent08_Loans!B60="","",Agent08_Loans!K60)</f>
        <v/>
      </c>
      <c r="L1448" s="40" t="str">
        <f>IF(Agent08_Loans!B60="","",Agent08_Loans!L60)</f>
        <v/>
      </c>
      <c r="M1448" s="40" t="str">
        <f>IFERROR(IF(Agent08_Loans!B60="","",YEAR(Agent08_Loans!D60)),"")</f>
        <v/>
      </c>
    </row>
    <row r="1449" spans="1:13" ht="18" customHeight="1" x14ac:dyDescent="0.25">
      <c r="A1449" s="40" t="str">
        <f>IF(Agent08_Loans!B61="","",Agent08_Loans!A61)</f>
        <v/>
      </c>
      <c r="B1449" s="40" t="str">
        <f>IF(Agent08_Loans!B61="","",Agent08_Loans!B61)</f>
        <v/>
      </c>
      <c r="C1449" s="40" t="str">
        <f>IF(Agent08_Loans!B61="","",Agent08_Loans!C61)</f>
        <v/>
      </c>
      <c r="D1449" s="41" t="str">
        <f>IF(Agent08_Loans!B61="","",Agent08_Loans!D61)</f>
        <v/>
      </c>
      <c r="E1449" s="43" t="str">
        <f>IF(Agent08_Loans!B61="","",Agent08_Loans!E61)</f>
        <v/>
      </c>
      <c r="F1449" s="40" t="str">
        <f>IF(Agent08_Loans!B61="","",Agent08_Loans!F61)</f>
        <v/>
      </c>
      <c r="G1449" s="40" t="str">
        <f>IF(Agent08_Loans!B61="","",Agent08_Loans!G61)</f>
        <v/>
      </c>
      <c r="H1449" s="40" t="str">
        <f>IF(Agent08_Loans!B61="","",Agent08_Loans!H61)</f>
        <v/>
      </c>
      <c r="I1449" s="43" t="str">
        <f>IF(Agent08_Loans!B61="","",Agent08_Loans!I61)</f>
        <v/>
      </c>
      <c r="J1449" s="43" t="str">
        <f>IF(Agent08_Loans!B61="","",Agent08_Loans!J61)</f>
        <v/>
      </c>
      <c r="K1449" s="40" t="str">
        <f>IF(Agent08_Loans!B61="","",Agent08_Loans!K61)</f>
        <v/>
      </c>
      <c r="L1449" s="40" t="str">
        <f>IF(Agent08_Loans!B61="","",Agent08_Loans!L61)</f>
        <v/>
      </c>
      <c r="M1449" s="40" t="str">
        <f>IFERROR(IF(Agent08_Loans!B61="","",YEAR(Agent08_Loans!D61)),"")</f>
        <v/>
      </c>
    </row>
    <row r="1450" spans="1:13" ht="18" customHeight="1" x14ac:dyDescent="0.25">
      <c r="A1450" s="40" t="str">
        <f>IF(Agent08_Loans!B62="","",Agent08_Loans!A62)</f>
        <v/>
      </c>
      <c r="B1450" s="40" t="str">
        <f>IF(Agent08_Loans!B62="","",Agent08_Loans!B62)</f>
        <v/>
      </c>
      <c r="C1450" s="40" t="str">
        <f>IF(Agent08_Loans!B62="","",Agent08_Loans!C62)</f>
        <v/>
      </c>
      <c r="D1450" s="41" t="str">
        <f>IF(Agent08_Loans!B62="","",Agent08_Loans!D62)</f>
        <v/>
      </c>
      <c r="E1450" s="43" t="str">
        <f>IF(Agent08_Loans!B62="","",Agent08_Loans!E62)</f>
        <v/>
      </c>
      <c r="F1450" s="40" t="str">
        <f>IF(Agent08_Loans!B62="","",Agent08_Loans!F62)</f>
        <v/>
      </c>
      <c r="G1450" s="40" t="str">
        <f>IF(Agent08_Loans!B62="","",Agent08_Loans!G62)</f>
        <v/>
      </c>
      <c r="H1450" s="40" t="str">
        <f>IF(Agent08_Loans!B62="","",Agent08_Loans!H62)</f>
        <v/>
      </c>
      <c r="I1450" s="43" t="str">
        <f>IF(Agent08_Loans!B62="","",Agent08_Loans!I62)</f>
        <v/>
      </c>
      <c r="J1450" s="43" t="str">
        <f>IF(Agent08_Loans!B62="","",Agent08_Loans!J62)</f>
        <v/>
      </c>
      <c r="K1450" s="40" t="str">
        <f>IF(Agent08_Loans!B62="","",Agent08_Loans!K62)</f>
        <v/>
      </c>
      <c r="L1450" s="40" t="str">
        <f>IF(Agent08_Loans!B62="","",Agent08_Loans!L62)</f>
        <v/>
      </c>
      <c r="M1450" s="40" t="str">
        <f>IFERROR(IF(Agent08_Loans!B62="","",YEAR(Agent08_Loans!D62)),"")</f>
        <v/>
      </c>
    </row>
    <row r="1451" spans="1:13" ht="18" customHeight="1" x14ac:dyDescent="0.25">
      <c r="A1451" s="40" t="str">
        <f>IF(Agent08_Loans!B63="","",Agent08_Loans!A63)</f>
        <v/>
      </c>
      <c r="B1451" s="40" t="str">
        <f>IF(Agent08_Loans!B63="","",Agent08_Loans!B63)</f>
        <v/>
      </c>
      <c r="C1451" s="40" t="str">
        <f>IF(Agent08_Loans!B63="","",Agent08_Loans!C63)</f>
        <v/>
      </c>
      <c r="D1451" s="41" t="str">
        <f>IF(Agent08_Loans!B63="","",Agent08_Loans!D63)</f>
        <v/>
      </c>
      <c r="E1451" s="43" t="str">
        <f>IF(Agent08_Loans!B63="","",Agent08_Loans!E63)</f>
        <v/>
      </c>
      <c r="F1451" s="40" t="str">
        <f>IF(Agent08_Loans!B63="","",Agent08_Loans!F63)</f>
        <v/>
      </c>
      <c r="G1451" s="40" t="str">
        <f>IF(Agent08_Loans!B63="","",Agent08_Loans!G63)</f>
        <v/>
      </c>
      <c r="H1451" s="40" t="str">
        <f>IF(Agent08_Loans!B63="","",Agent08_Loans!H63)</f>
        <v/>
      </c>
      <c r="I1451" s="43" t="str">
        <f>IF(Agent08_Loans!B63="","",Agent08_Loans!I63)</f>
        <v/>
      </c>
      <c r="J1451" s="43" t="str">
        <f>IF(Agent08_Loans!B63="","",Agent08_Loans!J63)</f>
        <v/>
      </c>
      <c r="K1451" s="40" t="str">
        <f>IF(Agent08_Loans!B63="","",Agent08_Loans!K63)</f>
        <v/>
      </c>
      <c r="L1451" s="40" t="str">
        <f>IF(Agent08_Loans!B63="","",Agent08_Loans!L63)</f>
        <v/>
      </c>
      <c r="M1451" s="40" t="str">
        <f>IFERROR(IF(Agent08_Loans!B63="","",YEAR(Agent08_Loans!D63)),"")</f>
        <v/>
      </c>
    </row>
    <row r="1452" spans="1:13" ht="18" customHeight="1" x14ac:dyDescent="0.25">
      <c r="A1452" s="40" t="str">
        <f>IF(Agent08_Loans!B64="","",Agent08_Loans!A64)</f>
        <v/>
      </c>
      <c r="B1452" s="40" t="str">
        <f>IF(Agent08_Loans!B64="","",Agent08_Loans!B64)</f>
        <v/>
      </c>
      <c r="C1452" s="40" t="str">
        <f>IF(Agent08_Loans!B64="","",Agent08_Loans!C64)</f>
        <v/>
      </c>
      <c r="D1452" s="41" t="str">
        <f>IF(Agent08_Loans!B64="","",Agent08_Loans!D64)</f>
        <v/>
      </c>
      <c r="E1452" s="43" t="str">
        <f>IF(Agent08_Loans!B64="","",Agent08_Loans!E64)</f>
        <v/>
      </c>
      <c r="F1452" s="40" t="str">
        <f>IF(Agent08_Loans!B64="","",Agent08_Loans!F64)</f>
        <v/>
      </c>
      <c r="G1452" s="40" t="str">
        <f>IF(Agent08_Loans!B64="","",Agent08_Loans!G64)</f>
        <v/>
      </c>
      <c r="H1452" s="40" t="str">
        <f>IF(Agent08_Loans!B64="","",Agent08_Loans!H64)</f>
        <v/>
      </c>
      <c r="I1452" s="43" t="str">
        <f>IF(Agent08_Loans!B64="","",Agent08_Loans!I64)</f>
        <v/>
      </c>
      <c r="J1452" s="43" t="str">
        <f>IF(Agent08_Loans!B64="","",Agent08_Loans!J64)</f>
        <v/>
      </c>
      <c r="K1452" s="40" t="str">
        <f>IF(Agent08_Loans!B64="","",Agent08_Loans!K64)</f>
        <v/>
      </c>
      <c r="L1452" s="40" t="str">
        <f>IF(Agent08_Loans!B64="","",Agent08_Loans!L64)</f>
        <v/>
      </c>
      <c r="M1452" s="40" t="str">
        <f>IFERROR(IF(Agent08_Loans!B64="","",YEAR(Agent08_Loans!D64)),"")</f>
        <v/>
      </c>
    </row>
    <row r="1453" spans="1:13" ht="18" customHeight="1" x14ac:dyDescent="0.25">
      <c r="A1453" s="40" t="str">
        <f>IF(Agent08_Loans!B65="","",Agent08_Loans!A65)</f>
        <v/>
      </c>
      <c r="B1453" s="40" t="str">
        <f>IF(Agent08_Loans!B65="","",Agent08_Loans!B65)</f>
        <v/>
      </c>
      <c r="C1453" s="40" t="str">
        <f>IF(Agent08_Loans!B65="","",Agent08_Loans!C65)</f>
        <v/>
      </c>
      <c r="D1453" s="41" t="str">
        <f>IF(Agent08_Loans!B65="","",Agent08_Loans!D65)</f>
        <v/>
      </c>
      <c r="E1453" s="43" t="str">
        <f>IF(Agent08_Loans!B65="","",Agent08_Loans!E65)</f>
        <v/>
      </c>
      <c r="F1453" s="40" t="str">
        <f>IF(Agent08_Loans!B65="","",Agent08_Loans!F65)</f>
        <v/>
      </c>
      <c r="G1453" s="40" t="str">
        <f>IF(Agent08_Loans!B65="","",Agent08_Loans!G65)</f>
        <v/>
      </c>
      <c r="H1453" s="40" t="str">
        <f>IF(Agent08_Loans!B65="","",Agent08_Loans!H65)</f>
        <v/>
      </c>
      <c r="I1453" s="43" t="str">
        <f>IF(Agent08_Loans!B65="","",Agent08_Loans!I65)</f>
        <v/>
      </c>
      <c r="J1453" s="43" t="str">
        <f>IF(Agent08_Loans!B65="","",Agent08_Loans!J65)</f>
        <v/>
      </c>
      <c r="K1453" s="40" t="str">
        <f>IF(Agent08_Loans!B65="","",Agent08_Loans!K65)</f>
        <v/>
      </c>
      <c r="L1453" s="40" t="str">
        <f>IF(Agent08_Loans!B65="","",Agent08_Loans!L65)</f>
        <v/>
      </c>
      <c r="M1453" s="40" t="str">
        <f>IFERROR(IF(Agent08_Loans!B65="","",YEAR(Agent08_Loans!D65)),"")</f>
        <v/>
      </c>
    </row>
    <row r="1454" spans="1:13" ht="18" customHeight="1" x14ac:dyDescent="0.25">
      <c r="A1454" s="40" t="str">
        <f>IF(Agent08_Loans!B66="","",Agent08_Loans!A66)</f>
        <v/>
      </c>
      <c r="B1454" s="40" t="str">
        <f>IF(Agent08_Loans!B66="","",Agent08_Loans!B66)</f>
        <v/>
      </c>
      <c r="C1454" s="40" t="str">
        <f>IF(Agent08_Loans!B66="","",Agent08_Loans!C66)</f>
        <v/>
      </c>
      <c r="D1454" s="41" t="str">
        <f>IF(Agent08_Loans!B66="","",Agent08_Loans!D66)</f>
        <v/>
      </c>
      <c r="E1454" s="43" t="str">
        <f>IF(Agent08_Loans!B66="","",Agent08_Loans!E66)</f>
        <v/>
      </c>
      <c r="F1454" s="40" t="str">
        <f>IF(Agent08_Loans!B66="","",Agent08_Loans!F66)</f>
        <v/>
      </c>
      <c r="G1454" s="40" t="str">
        <f>IF(Agent08_Loans!B66="","",Agent08_Loans!G66)</f>
        <v/>
      </c>
      <c r="H1454" s="40" t="str">
        <f>IF(Agent08_Loans!B66="","",Agent08_Loans!H66)</f>
        <v/>
      </c>
      <c r="I1454" s="43" t="str">
        <f>IF(Agent08_Loans!B66="","",Agent08_Loans!I66)</f>
        <v/>
      </c>
      <c r="J1454" s="43" t="str">
        <f>IF(Agent08_Loans!B66="","",Agent08_Loans!J66)</f>
        <v/>
      </c>
      <c r="K1454" s="40" t="str">
        <f>IF(Agent08_Loans!B66="","",Agent08_Loans!K66)</f>
        <v/>
      </c>
      <c r="L1454" s="40" t="str">
        <f>IF(Agent08_Loans!B66="","",Agent08_Loans!L66)</f>
        <v/>
      </c>
      <c r="M1454" s="40" t="str">
        <f>IFERROR(IF(Agent08_Loans!B66="","",YEAR(Agent08_Loans!D66)),"")</f>
        <v/>
      </c>
    </row>
    <row r="1455" spans="1:13" ht="18" customHeight="1" x14ac:dyDescent="0.25">
      <c r="A1455" s="40" t="str">
        <f>IF(Agent08_Loans!B67="","",Agent08_Loans!A67)</f>
        <v/>
      </c>
      <c r="B1455" s="40" t="str">
        <f>IF(Agent08_Loans!B67="","",Agent08_Loans!B67)</f>
        <v/>
      </c>
      <c r="C1455" s="40" t="str">
        <f>IF(Agent08_Loans!B67="","",Agent08_Loans!C67)</f>
        <v/>
      </c>
      <c r="D1455" s="41" t="str">
        <f>IF(Agent08_Loans!B67="","",Agent08_Loans!D67)</f>
        <v/>
      </c>
      <c r="E1455" s="43" t="str">
        <f>IF(Agent08_Loans!B67="","",Agent08_Loans!E67)</f>
        <v/>
      </c>
      <c r="F1455" s="40" t="str">
        <f>IF(Agent08_Loans!B67="","",Agent08_Loans!F67)</f>
        <v/>
      </c>
      <c r="G1455" s="40" t="str">
        <f>IF(Agent08_Loans!B67="","",Agent08_Loans!G67)</f>
        <v/>
      </c>
      <c r="H1455" s="40" t="str">
        <f>IF(Agent08_Loans!B67="","",Agent08_Loans!H67)</f>
        <v/>
      </c>
      <c r="I1455" s="43" t="str">
        <f>IF(Agent08_Loans!B67="","",Agent08_Loans!I67)</f>
        <v/>
      </c>
      <c r="J1455" s="43" t="str">
        <f>IF(Agent08_Loans!B67="","",Agent08_Loans!J67)</f>
        <v/>
      </c>
      <c r="K1455" s="40" t="str">
        <f>IF(Agent08_Loans!B67="","",Agent08_Loans!K67)</f>
        <v/>
      </c>
      <c r="L1455" s="40" t="str">
        <f>IF(Agent08_Loans!B67="","",Agent08_Loans!L67)</f>
        <v/>
      </c>
      <c r="M1455" s="40" t="str">
        <f>IFERROR(IF(Agent08_Loans!B67="","",YEAR(Agent08_Loans!D67)),"")</f>
        <v/>
      </c>
    </row>
    <row r="1456" spans="1:13" ht="18" customHeight="1" x14ac:dyDescent="0.25">
      <c r="A1456" s="40" t="str">
        <f>IF(Agent08_Loans!B68="","",Agent08_Loans!A68)</f>
        <v/>
      </c>
      <c r="B1456" s="40" t="str">
        <f>IF(Agent08_Loans!B68="","",Agent08_Loans!B68)</f>
        <v/>
      </c>
      <c r="C1456" s="40" t="str">
        <f>IF(Agent08_Loans!B68="","",Agent08_Loans!C68)</f>
        <v/>
      </c>
      <c r="D1456" s="41" t="str">
        <f>IF(Agent08_Loans!B68="","",Agent08_Loans!D68)</f>
        <v/>
      </c>
      <c r="E1456" s="43" t="str">
        <f>IF(Agent08_Loans!B68="","",Agent08_Loans!E68)</f>
        <v/>
      </c>
      <c r="F1456" s="40" t="str">
        <f>IF(Agent08_Loans!B68="","",Agent08_Loans!F68)</f>
        <v/>
      </c>
      <c r="G1456" s="40" t="str">
        <f>IF(Agent08_Loans!B68="","",Agent08_Loans!G68)</f>
        <v/>
      </c>
      <c r="H1456" s="40" t="str">
        <f>IF(Agent08_Loans!B68="","",Agent08_Loans!H68)</f>
        <v/>
      </c>
      <c r="I1456" s="43" t="str">
        <f>IF(Agent08_Loans!B68="","",Agent08_Loans!I68)</f>
        <v/>
      </c>
      <c r="J1456" s="43" t="str">
        <f>IF(Agent08_Loans!B68="","",Agent08_Loans!J68)</f>
        <v/>
      </c>
      <c r="K1456" s="40" t="str">
        <f>IF(Agent08_Loans!B68="","",Agent08_Loans!K68)</f>
        <v/>
      </c>
      <c r="L1456" s="40" t="str">
        <f>IF(Agent08_Loans!B68="","",Agent08_Loans!L68)</f>
        <v/>
      </c>
      <c r="M1456" s="40" t="str">
        <f>IFERROR(IF(Agent08_Loans!B68="","",YEAR(Agent08_Loans!D68)),"")</f>
        <v/>
      </c>
    </row>
    <row r="1457" spans="1:13" ht="18" customHeight="1" x14ac:dyDescent="0.25">
      <c r="A1457" s="40" t="str">
        <f>IF(Agent08_Loans!B69="","",Agent08_Loans!A69)</f>
        <v/>
      </c>
      <c r="B1457" s="40" t="str">
        <f>IF(Agent08_Loans!B69="","",Agent08_Loans!B69)</f>
        <v/>
      </c>
      <c r="C1457" s="40" t="str">
        <f>IF(Agent08_Loans!B69="","",Agent08_Loans!C69)</f>
        <v/>
      </c>
      <c r="D1457" s="41" t="str">
        <f>IF(Agent08_Loans!B69="","",Agent08_Loans!D69)</f>
        <v/>
      </c>
      <c r="E1457" s="43" t="str">
        <f>IF(Agent08_Loans!B69="","",Agent08_Loans!E69)</f>
        <v/>
      </c>
      <c r="F1457" s="40" t="str">
        <f>IF(Agent08_Loans!B69="","",Agent08_Loans!F69)</f>
        <v/>
      </c>
      <c r="G1457" s="40" t="str">
        <f>IF(Agent08_Loans!B69="","",Agent08_Loans!G69)</f>
        <v/>
      </c>
      <c r="H1457" s="40" t="str">
        <f>IF(Agent08_Loans!B69="","",Agent08_Loans!H69)</f>
        <v/>
      </c>
      <c r="I1457" s="43" t="str">
        <f>IF(Agent08_Loans!B69="","",Agent08_Loans!I69)</f>
        <v/>
      </c>
      <c r="J1457" s="43" t="str">
        <f>IF(Agent08_Loans!B69="","",Agent08_Loans!J69)</f>
        <v/>
      </c>
      <c r="K1457" s="40" t="str">
        <f>IF(Agent08_Loans!B69="","",Agent08_Loans!K69)</f>
        <v/>
      </c>
      <c r="L1457" s="40" t="str">
        <f>IF(Agent08_Loans!B69="","",Agent08_Loans!L69)</f>
        <v/>
      </c>
      <c r="M1457" s="40" t="str">
        <f>IFERROR(IF(Agent08_Loans!B69="","",YEAR(Agent08_Loans!D69)),"")</f>
        <v/>
      </c>
    </row>
    <row r="1458" spans="1:13" ht="18" customHeight="1" x14ac:dyDescent="0.25">
      <c r="A1458" s="40" t="str">
        <f>IF(Agent08_Loans!B70="","",Agent08_Loans!A70)</f>
        <v/>
      </c>
      <c r="B1458" s="40" t="str">
        <f>IF(Agent08_Loans!B70="","",Agent08_Loans!B70)</f>
        <v/>
      </c>
      <c r="C1458" s="40" t="str">
        <f>IF(Agent08_Loans!B70="","",Agent08_Loans!C70)</f>
        <v/>
      </c>
      <c r="D1458" s="41" t="str">
        <f>IF(Agent08_Loans!B70="","",Agent08_Loans!D70)</f>
        <v/>
      </c>
      <c r="E1458" s="43" t="str">
        <f>IF(Agent08_Loans!B70="","",Agent08_Loans!E70)</f>
        <v/>
      </c>
      <c r="F1458" s="40" t="str">
        <f>IF(Agent08_Loans!B70="","",Agent08_Loans!F70)</f>
        <v/>
      </c>
      <c r="G1458" s="40" t="str">
        <f>IF(Agent08_Loans!B70="","",Agent08_Loans!G70)</f>
        <v/>
      </c>
      <c r="H1458" s="40" t="str">
        <f>IF(Agent08_Loans!B70="","",Agent08_Loans!H70)</f>
        <v/>
      </c>
      <c r="I1458" s="43" t="str">
        <f>IF(Agent08_Loans!B70="","",Agent08_Loans!I70)</f>
        <v/>
      </c>
      <c r="J1458" s="43" t="str">
        <f>IF(Agent08_Loans!B70="","",Agent08_Loans!J70)</f>
        <v/>
      </c>
      <c r="K1458" s="40" t="str">
        <f>IF(Agent08_Loans!B70="","",Agent08_Loans!K70)</f>
        <v/>
      </c>
      <c r="L1458" s="40" t="str">
        <f>IF(Agent08_Loans!B70="","",Agent08_Loans!L70)</f>
        <v/>
      </c>
      <c r="M1458" s="40" t="str">
        <f>IFERROR(IF(Agent08_Loans!B70="","",YEAR(Agent08_Loans!D70)),"")</f>
        <v/>
      </c>
    </row>
    <row r="1459" spans="1:13" ht="18" customHeight="1" x14ac:dyDescent="0.25">
      <c r="A1459" s="40" t="str">
        <f>IF(Agent08_Loans!B71="","",Agent08_Loans!A71)</f>
        <v/>
      </c>
      <c r="B1459" s="40" t="str">
        <f>IF(Agent08_Loans!B71="","",Agent08_Loans!B71)</f>
        <v/>
      </c>
      <c r="C1459" s="40" t="str">
        <f>IF(Agent08_Loans!B71="","",Agent08_Loans!C71)</f>
        <v/>
      </c>
      <c r="D1459" s="41" t="str">
        <f>IF(Agent08_Loans!B71="","",Agent08_Loans!D71)</f>
        <v/>
      </c>
      <c r="E1459" s="43" t="str">
        <f>IF(Agent08_Loans!B71="","",Agent08_Loans!E71)</f>
        <v/>
      </c>
      <c r="F1459" s="40" t="str">
        <f>IF(Agent08_Loans!B71="","",Agent08_Loans!F71)</f>
        <v/>
      </c>
      <c r="G1459" s="40" t="str">
        <f>IF(Agent08_Loans!B71="","",Agent08_Loans!G71)</f>
        <v/>
      </c>
      <c r="H1459" s="40" t="str">
        <f>IF(Agent08_Loans!B71="","",Agent08_Loans!H71)</f>
        <v/>
      </c>
      <c r="I1459" s="43" t="str">
        <f>IF(Agent08_Loans!B71="","",Agent08_Loans!I71)</f>
        <v/>
      </c>
      <c r="J1459" s="43" t="str">
        <f>IF(Agent08_Loans!B71="","",Agent08_Loans!J71)</f>
        <v/>
      </c>
      <c r="K1459" s="40" t="str">
        <f>IF(Agent08_Loans!B71="","",Agent08_Loans!K71)</f>
        <v/>
      </c>
      <c r="L1459" s="40" t="str">
        <f>IF(Agent08_Loans!B71="","",Agent08_Loans!L71)</f>
        <v/>
      </c>
      <c r="M1459" s="40" t="str">
        <f>IFERROR(IF(Agent08_Loans!B71="","",YEAR(Agent08_Loans!D71)),"")</f>
        <v/>
      </c>
    </row>
    <row r="1460" spans="1:13" ht="18" customHeight="1" x14ac:dyDescent="0.25">
      <c r="A1460" s="40" t="str">
        <f>IF(Agent08_Loans!B72="","",Agent08_Loans!A72)</f>
        <v/>
      </c>
      <c r="B1460" s="40" t="str">
        <f>IF(Agent08_Loans!B72="","",Agent08_Loans!B72)</f>
        <v/>
      </c>
      <c r="C1460" s="40" t="str">
        <f>IF(Agent08_Loans!B72="","",Agent08_Loans!C72)</f>
        <v/>
      </c>
      <c r="D1460" s="41" t="str">
        <f>IF(Agent08_Loans!B72="","",Agent08_Loans!D72)</f>
        <v/>
      </c>
      <c r="E1460" s="43" t="str">
        <f>IF(Agent08_Loans!B72="","",Agent08_Loans!E72)</f>
        <v/>
      </c>
      <c r="F1460" s="40" t="str">
        <f>IF(Agent08_Loans!B72="","",Agent08_Loans!F72)</f>
        <v/>
      </c>
      <c r="G1460" s="40" t="str">
        <f>IF(Agent08_Loans!B72="","",Agent08_Loans!G72)</f>
        <v/>
      </c>
      <c r="H1460" s="40" t="str">
        <f>IF(Agent08_Loans!B72="","",Agent08_Loans!H72)</f>
        <v/>
      </c>
      <c r="I1460" s="43" t="str">
        <f>IF(Agent08_Loans!B72="","",Agent08_Loans!I72)</f>
        <v/>
      </c>
      <c r="J1460" s="43" t="str">
        <f>IF(Agent08_Loans!B72="","",Agent08_Loans!J72)</f>
        <v/>
      </c>
      <c r="K1460" s="40" t="str">
        <f>IF(Agent08_Loans!B72="","",Agent08_Loans!K72)</f>
        <v/>
      </c>
      <c r="L1460" s="40" t="str">
        <f>IF(Agent08_Loans!B72="","",Agent08_Loans!L72)</f>
        <v/>
      </c>
      <c r="M1460" s="40" t="str">
        <f>IFERROR(IF(Agent08_Loans!B72="","",YEAR(Agent08_Loans!D72)),"")</f>
        <v/>
      </c>
    </row>
    <row r="1461" spans="1:13" ht="18" customHeight="1" x14ac:dyDescent="0.25">
      <c r="A1461" s="40" t="str">
        <f>IF(Agent08_Loans!B73="","",Agent08_Loans!A73)</f>
        <v/>
      </c>
      <c r="B1461" s="40" t="str">
        <f>IF(Agent08_Loans!B73="","",Agent08_Loans!B73)</f>
        <v/>
      </c>
      <c r="C1461" s="40" t="str">
        <f>IF(Agent08_Loans!B73="","",Agent08_Loans!C73)</f>
        <v/>
      </c>
      <c r="D1461" s="41" t="str">
        <f>IF(Agent08_Loans!B73="","",Agent08_Loans!D73)</f>
        <v/>
      </c>
      <c r="E1461" s="43" t="str">
        <f>IF(Agent08_Loans!B73="","",Agent08_Loans!E73)</f>
        <v/>
      </c>
      <c r="F1461" s="40" t="str">
        <f>IF(Agent08_Loans!B73="","",Agent08_Loans!F73)</f>
        <v/>
      </c>
      <c r="G1461" s="40" t="str">
        <f>IF(Agent08_Loans!B73="","",Agent08_Loans!G73)</f>
        <v/>
      </c>
      <c r="H1461" s="40" t="str">
        <f>IF(Agent08_Loans!B73="","",Agent08_Loans!H73)</f>
        <v/>
      </c>
      <c r="I1461" s="43" t="str">
        <f>IF(Agent08_Loans!B73="","",Agent08_Loans!I73)</f>
        <v/>
      </c>
      <c r="J1461" s="43" t="str">
        <f>IF(Agent08_Loans!B73="","",Agent08_Loans!J73)</f>
        <v/>
      </c>
      <c r="K1461" s="40" t="str">
        <f>IF(Agent08_Loans!B73="","",Agent08_Loans!K73)</f>
        <v/>
      </c>
      <c r="L1461" s="40" t="str">
        <f>IF(Agent08_Loans!B73="","",Agent08_Loans!L73)</f>
        <v/>
      </c>
      <c r="M1461" s="40" t="str">
        <f>IFERROR(IF(Agent08_Loans!B73="","",YEAR(Agent08_Loans!D73)),"")</f>
        <v/>
      </c>
    </row>
    <row r="1462" spans="1:13" ht="18" customHeight="1" x14ac:dyDescent="0.25">
      <c r="A1462" s="40" t="str">
        <f>IF(Agent08_Loans!B74="","",Agent08_Loans!A74)</f>
        <v/>
      </c>
      <c r="B1462" s="40" t="str">
        <f>IF(Agent08_Loans!B74="","",Agent08_Loans!B74)</f>
        <v/>
      </c>
      <c r="C1462" s="40" t="str">
        <f>IF(Agent08_Loans!B74="","",Agent08_Loans!C74)</f>
        <v/>
      </c>
      <c r="D1462" s="41" t="str">
        <f>IF(Agent08_Loans!B74="","",Agent08_Loans!D74)</f>
        <v/>
      </c>
      <c r="E1462" s="43" t="str">
        <f>IF(Agent08_Loans!B74="","",Agent08_Loans!E74)</f>
        <v/>
      </c>
      <c r="F1462" s="40" t="str">
        <f>IF(Agent08_Loans!B74="","",Agent08_Loans!F74)</f>
        <v/>
      </c>
      <c r="G1462" s="40" t="str">
        <f>IF(Agent08_Loans!B74="","",Agent08_Loans!G74)</f>
        <v/>
      </c>
      <c r="H1462" s="40" t="str">
        <f>IF(Agent08_Loans!B74="","",Agent08_Loans!H74)</f>
        <v/>
      </c>
      <c r="I1462" s="43" t="str">
        <f>IF(Agent08_Loans!B74="","",Agent08_Loans!I74)</f>
        <v/>
      </c>
      <c r="J1462" s="43" t="str">
        <f>IF(Agent08_Loans!B74="","",Agent08_Loans!J74)</f>
        <v/>
      </c>
      <c r="K1462" s="40" t="str">
        <f>IF(Agent08_Loans!B74="","",Agent08_Loans!K74)</f>
        <v/>
      </c>
      <c r="L1462" s="40" t="str">
        <f>IF(Agent08_Loans!B74="","",Agent08_Loans!L74)</f>
        <v/>
      </c>
      <c r="M1462" s="40" t="str">
        <f>IFERROR(IF(Agent08_Loans!B74="","",YEAR(Agent08_Loans!D74)),"")</f>
        <v/>
      </c>
    </row>
    <row r="1463" spans="1:13" ht="18" customHeight="1" x14ac:dyDescent="0.25">
      <c r="A1463" s="40" t="str">
        <f>IF(Agent08_Loans!B75="","",Agent08_Loans!A75)</f>
        <v/>
      </c>
      <c r="B1463" s="40" t="str">
        <f>IF(Agent08_Loans!B75="","",Agent08_Loans!B75)</f>
        <v/>
      </c>
      <c r="C1463" s="40" t="str">
        <f>IF(Agent08_Loans!B75="","",Agent08_Loans!C75)</f>
        <v/>
      </c>
      <c r="D1463" s="41" t="str">
        <f>IF(Agent08_Loans!B75="","",Agent08_Loans!D75)</f>
        <v/>
      </c>
      <c r="E1463" s="43" t="str">
        <f>IF(Agent08_Loans!B75="","",Agent08_Loans!E75)</f>
        <v/>
      </c>
      <c r="F1463" s="40" t="str">
        <f>IF(Agent08_Loans!B75="","",Agent08_Loans!F75)</f>
        <v/>
      </c>
      <c r="G1463" s="40" t="str">
        <f>IF(Agent08_Loans!B75="","",Agent08_Loans!G75)</f>
        <v/>
      </c>
      <c r="H1463" s="40" t="str">
        <f>IF(Agent08_Loans!B75="","",Agent08_Loans!H75)</f>
        <v/>
      </c>
      <c r="I1463" s="43" t="str">
        <f>IF(Agent08_Loans!B75="","",Agent08_Loans!I75)</f>
        <v/>
      </c>
      <c r="J1463" s="43" t="str">
        <f>IF(Agent08_Loans!B75="","",Agent08_Loans!J75)</f>
        <v/>
      </c>
      <c r="K1463" s="40" t="str">
        <f>IF(Agent08_Loans!B75="","",Agent08_Loans!K75)</f>
        <v/>
      </c>
      <c r="L1463" s="40" t="str">
        <f>IF(Agent08_Loans!B75="","",Agent08_Loans!L75)</f>
        <v/>
      </c>
      <c r="M1463" s="40" t="str">
        <f>IFERROR(IF(Agent08_Loans!B75="","",YEAR(Agent08_Loans!D75)),"")</f>
        <v/>
      </c>
    </row>
    <row r="1464" spans="1:13" ht="18" customHeight="1" x14ac:dyDescent="0.25">
      <c r="A1464" s="40" t="str">
        <f>IF(Agent08_Loans!B76="","",Agent08_Loans!A76)</f>
        <v/>
      </c>
      <c r="B1464" s="40" t="str">
        <f>IF(Agent08_Loans!B76="","",Agent08_Loans!B76)</f>
        <v/>
      </c>
      <c r="C1464" s="40" t="str">
        <f>IF(Agent08_Loans!B76="","",Agent08_Loans!C76)</f>
        <v/>
      </c>
      <c r="D1464" s="41" t="str">
        <f>IF(Agent08_Loans!B76="","",Agent08_Loans!D76)</f>
        <v/>
      </c>
      <c r="E1464" s="43" t="str">
        <f>IF(Agent08_Loans!B76="","",Agent08_Loans!E76)</f>
        <v/>
      </c>
      <c r="F1464" s="40" t="str">
        <f>IF(Agent08_Loans!B76="","",Agent08_Loans!F76)</f>
        <v/>
      </c>
      <c r="G1464" s="40" t="str">
        <f>IF(Agent08_Loans!B76="","",Agent08_Loans!G76)</f>
        <v/>
      </c>
      <c r="H1464" s="40" t="str">
        <f>IF(Agent08_Loans!B76="","",Agent08_Loans!H76)</f>
        <v/>
      </c>
      <c r="I1464" s="43" t="str">
        <f>IF(Agent08_Loans!B76="","",Agent08_Loans!I76)</f>
        <v/>
      </c>
      <c r="J1464" s="43" t="str">
        <f>IF(Agent08_Loans!B76="","",Agent08_Loans!J76)</f>
        <v/>
      </c>
      <c r="K1464" s="40" t="str">
        <f>IF(Agent08_Loans!B76="","",Agent08_Loans!K76)</f>
        <v/>
      </c>
      <c r="L1464" s="40" t="str">
        <f>IF(Agent08_Loans!B76="","",Agent08_Loans!L76)</f>
        <v/>
      </c>
      <c r="M1464" s="40" t="str">
        <f>IFERROR(IF(Agent08_Loans!B76="","",YEAR(Agent08_Loans!D76)),"")</f>
        <v/>
      </c>
    </row>
    <row r="1465" spans="1:13" ht="18" customHeight="1" x14ac:dyDescent="0.25">
      <c r="A1465" s="40" t="str">
        <f>IF(Agent08_Loans!B77="","",Agent08_Loans!A77)</f>
        <v/>
      </c>
      <c r="B1465" s="40" t="str">
        <f>IF(Agent08_Loans!B77="","",Agent08_Loans!B77)</f>
        <v/>
      </c>
      <c r="C1465" s="40" t="str">
        <f>IF(Agent08_Loans!B77="","",Agent08_Loans!C77)</f>
        <v/>
      </c>
      <c r="D1465" s="41" t="str">
        <f>IF(Agent08_Loans!B77="","",Agent08_Loans!D77)</f>
        <v/>
      </c>
      <c r="E1465" s="43" t="str">
        <f>IF(Agent08_Loans!B77="","",Agent08_Loans!E77)</f>
        <v/>
      </c>
      <c r="F1465" s="40" t="str">
        <f>IF(Agent08_Loans!B77="","",Agent08_Loans!F77)</f>
        <v/>
      </c>
      <c r="G1465" s="40" t="str">
        <f>IF(Agent08_Loans!B77="","",Agent08_Loans!G77)</f>
        <v/>
      </c>
      <c r="H1465" s="40" t="str">
        <f>IF(Agent08_Loans!B77="","",Agent08_Loans!H77)</f>
        <v/>
      </c>
      <c r="I1465" s="43" t="str">
        <f>IF(Agent08_Loans!B77="","",Agent08_Loans!I77)</f>
        <v/>
      </c>
      <c r="J1465" s="43" t="str">
        <f>IF(Agent08_Loans!B77="","",Agent08_Loans!J77)</f>
        <v/>
      </c>
      <c r="K1465" s="40" t="str">
        <f>IF(Agent08_Loans!B77="","",Agent08_Loans!K77)</f>
        <v/>
      </c>
      <c r="L1465" s="40" t="str">
        <f>IF(Agent08_Loans!B77="","",Agent08_Loans!L77)</f>
        <v/>
      </c>
      <c r="M1465" s="40" t="str">
        <f>IFERROR(IF(Agent08_Loans!B77="","",YEAR(Agent08_Loans!D77)),"")</f>
        <v/>
      </c>
    </row>
    <row r="1466" spans="1:13" ht="18" customHeight="1" x14ac:dyDescent="0.25">
      <c r="A1466" s="40" t="str">
        <f>IF(Agent08_Loans!B78="","",Agent08_Loans!A78)</f>
        <v/>
      </c>
      <c r="B1466" s="40" t="str">
        <f>IF(Agent08_Loans!B78="","",Agent08_Loans!B78)</f>
        <v/>
      </c>
      <c r="C1466" s="40" t="str">
        <f>IF(Agent08_Loans!B78="","",Agent08_Loans!C78)</f>
        <v/>
      </c>
      <c r="D1466" s="41" t="str">
        <f>IF(Agent08_Loans!B78="","",Agent08_Loans!D78)</f>
        <v/>
      </c>
      <c r="E1466" s="43" t="str">
        <f>IF(Agent08_Loans!B78="","",Agent08_Loans!E78)</f>
        <v/>
      </c>
      <c r="F1466" s="40" t="str">
        <f>IF(Agent08_Loans!B78="","",Agent08_Loans!F78)</f>
        <v/>
      </c>
      <c r="G1466" s="40" t="str">
        <f>IF(Agent08_Loans!B78="","",Agent08_Loans!G78)</f>
        <v/>
      </c>
      <c r="H1466" s="40" t="str">
        <f>IF(Agent08_Loans!B78="","",Agent08_Loans!H78)</f>
        <v/>
      </c>
      <c r="I1466" s="43" t="str">
        <f>IF(Agent08_Loans!B78="","",Agent08_Loans!I78)</f>
        <v/>
      </c>
      <c r="J1466" s="43" t="str">
        <f>IF(Agent08_Loans!B78="","",Agent08_Loans!J78)</f>
        <v/>
      </c>
      <c r="K1466" s="40" t="str">
        <f>IF(Agent08_Loans!B78="","",Agent08_Loans!K78)</f>
        <v/>
      </c>
      <c r="L1466" s="40" t="str">
        <f>IF(Agent08_Loans!B78="","",Agent08_Loans!L78)</f>
        <v/>
      </c>
      <c r="M1466" s="40" t="str">
        <f>IFERROR(IF(Agent08_Loans!B78="","",YEAR(Agent08_Loans!D78)),"")</f>
        <v/>
      </c>
    </row>
    <row r="1467" spans="1:13" ht="18" customHeight="1" x14ac:dyDescent="0.25">
      <c r="A1467" s="40" t="str">
        <f>IF(Agent08_Loans!B79="","",Agent08_Loans!A79)</f>
        <v/>
      </c>
      <c r="B1467" s="40" t="str">
        <f>IF(Agent08_Loans!B79="","",Agent08_Loans!B79)</f>
        <v/>
      </c>
      <c r="C1467" s="40" t="str">
        <f>IF(Agent08_Loans!B79="","",Agent08_Loans!C79)</f>
        <v/>
      </c>
      <c r="D1467" s="41" t="str">
        <f>IF(Agent08_Loans!B79="","",Agent08_Loans!D79)</f>
        <v/>
      </c>
      <c r="E1467" s="43" t="str">
        <f>IF(Agent08_Loans!B79="","",Agent08_Loans!E79)</f>
        <v/>
      </c>
      <c r="F1467" s="40" t="str">
        <f>IF(Agent08_Loans!B79="","",Agent08_Loans!F79)</f>
        <v/>
      </c>
      <c r="G1467" s="40" t="str">
        <f>IF(Agent08_Loans!B79="","",Agent08_Loans!G79)</f>
        <v/>
      </c>
      <c r="H1467" s="40" t="str">
        <f>IF(Agent08_Loans!B79="","",Agent08_Loans!H79)</f>
        <v/>
      </c>
      <c r="I1467" s="43" t="str">
        <f>IF(Agent08_Loans!B79="","",Agent08_Loans!I79)</f>
        <v/>
      </c>
      <c r="J1467" s="43" t="str">
        <f>IF(Agent08_Loans!B79="","",Agent08_Loans!J79)</f>
        <v/>
      </c>
      <c r="K1467" s="40" t="str">
        <f>IF(Agent08_Loans!B79="","",Agent08_Loans!K79)</f>
        <v/>
      </c>
      <c r="L1467" s="40" t="str">
        <f>IF(Agent08_Loans!B79="","",Agent08_Loans!L79)</f>
        <v/>
      </c>
      <c r="M1467" s="40" t="str">
        <f>IFERROR(IF(Agent08_Loans!B79="","",YEAR(Agent08_Loans!D79)),"")</f>
        <v/>
      </c>
    </row>
    <row r="1468" spans="1:13" ht="18" customHeight="1" x14ac:dyDescent="0.25">
      <c r="A1468" s="40" t="str">
        <f>IF(Agent08_Loans!B80="","",Agent08_Loans!A80)</f>
        <v/>
      </c>
      <c r="B1468" s="40" t="str">
        <f>IF(Agent08_Loans!B80="","",Agent08_Loans!B80)</f>
        <v/>
      </c>
      <c r="C1468" s="40" t="str">
        <f>IF(Agent08_Loans!B80="","",Agent08_Loans!C80)</f>
        <v/>
      </c>
      <c r="D1468" s="41" t="str">
        <f>IF(Agent08_Loans!B80="","",Agent08_Loans!D80)</f>
        <v/>
      </c>
      <c r="E1468" s="43" t="str">
        <f>IF(Agent08_Loans!B80="","",Agent08_Loans!E80)</f>
        <v/>
      </c>
      <c r="F1468" s="40" t="str">
        <f>IF(Agent08_Loans!B80="","",Agent08_Loans!F80)</f>
        <v/>
      </c>
      <c r="G1468" s="40" t="str">
        <f>IF(Agent08_Loans!B80="","",Agent08_Loans!G80)</f>
        <v/>
      </c>
      <c r="H1468" s="40" t="str">
        <f>IF(Agent08_Loans!B80="","",Agent08_Loans!H80)</f>
        <v/>
      </c>
      <c r="I1468" s="43" t="str">
        <f>IF(Agent08_Loans!B80="","",Agent08_Loans!I80)</f>
        <v/>
      </c>
      <c r="J1468" s="43" t="str">
        <f>IF(Agent08_Loans!B80="","",Agent08_Loans!J80)</f>
        <v/>
      </c>
      <c r="K1468" s="40" t="str">
        <f>IF(Agent08_Loans!B80="","",Agent08_Loans!K80)</f>
        <v/>
      </c>
      <c r="L1468" s="40" t="str">
        <f>IF(Agent08_Loans!B80="","",Agent08_Loans!L80)</f>
        <v/>
      </c>
      <c r="M1468" s="40" t="str">
        <f>IFERROR(IF(Agent08_Loans!B80="","",YEAR(Agent08_Loans!D80)),"")</f>
        <v/>
      </c>
    </row>
    <row r="1469" spans="1:13" ht="18" customHeight="1" x14ac:dyDescent="0.25">
      <c r="A1469" s="40" t="str">
        <f>IF(Agent08_Loans!B81="","",Agent08_Loans!A81)</f>
        <v/>
      </c>
      <c r="B1469" s="40" t="str">
        <f>IF(Agent08_Loans!B81="","",Agent08_Loans!B81)</f>
        <v/>
      </c>
      <c r="C1469" s="40" t="str">
        <f>IF(Agent08_Loans!B81="","",Agent08_Loans!C81)</f>
        <v/>
      </c>
      <c r="D1469" s="41" t="str">
        <f>IF(Agent08_Loans!B81="","",Agent08_Loans!D81)</f>
        <v/>
      </c>
      <c r="E1469" s="43" t="str">
        <f>IF(Agent08_Loans!B81="","",Agent08_Loans!E81)</f>
        <v/>
      </c>
      <c r="F1469" s="40" t="str">
        <f>IF(Agent08_Loans!B81="","",Agent08_Loans!F81)</f>
        <v/>
      </c>
      <c r="G1469" s="40" t="str">
        <f>IF(Agent08_Loans!B81="","",Agent08_Loans!G81)</f>
        <v/>
      </c>
      <c r="H1469" s="40" t="str">
        <f>IF(Agent08_Loans!B81="","",Agent08_Loans!H81)</f>
        <v/>
      </c>
      <c r="I1469" s="43" t="str">
        <f>IF(Agent08_Loans!B81="","",Agent08_Loans!I81)</f>
        <v/>
      </c>
      <c r="J1469" s="43" t="str">
        <f>IF(Agent08_Loans!B81="","",Agent08_Loans!J81)</f>
        <v/>
      </c>
      <c r="K1469" s="40" t="str">
        <f>IF(Agent08_Loans!B81="","",Agent08_Loans!K81)</f>
        <v/>
      </c>
      <c r="L1469" s="40" t="str">
        <f>IF(Agent08_Loans!B81="","",Agent08_Loans!L81)</f>
        <v/>
      </c>
      <c r="M1469" s="40" t="str">
        <f>IFERROR(IF(Agent08_Loans!B81="","",YEAR(Agent08_Loans!D81)),"")</f>
        <v/>
      </c>
    </row>
    <row r="1470" spans="1:13" ht="18" customHeight="1" x14ac:dyDescent="0.25">
      <c r="A1470" s="40" t="str">
        <f>IF(Agent08_Loans!B82="","",Agent08_Loans!A82)</f>
        <v/>
      </c>
      <c r="B1470" s="40" t="str">
        <f>IF(Agent08_Loans!B82="","",Agent08_Loans!B82)</f>
        <v/>
      </c>
      <c r="C1470" s="40" t="str">
        <f>IF(Agent08_Loans!B82="","",Agent08_Loans!C82)</f>
        <v/>
      </c>
      <c r="D1470" s="41" t="str">
        <f>IF(Agent08_Loans!B82="","",Agent08_Loans!D82)</f>
        <v/>
      </c>
      <c r="E1470" s="43" t="str">
        <f>IF(Agent08_Loans!B82="","",Agent08_Loans!E82)</f>
        <v/>
      </c>
      <c r="F1470" s="40" t="str">
        <f>IF(Agent08_Loans!B82="","",Agent08_Loans!F82)</f>
        <v/>
      </c>
      <c r="G1470" s="40" t="str">
        <f>IF(Agent08_Loans!B82="","",Agent08_Loans!G82)</f>
        <v/>
      </c>
      <c r="H1470" s="40" t="str">
        <f>IF(Agent08_Loans!B82="","",Agent08_Loans!H82)</f>
        <v/>
      </c>
      <c r="I1470" s="43" t="str">
        <f>IF(Agent08_Loans!B82="","",Agent08_Loans!I82)</f>
        <v/>
      </c>
      <c r="J1470" s="43" t="str">
        <f>IF(Agent08_Loans!B82="","",Agent08_Loans!J82)</f>
        <v/>
      </c>
      <c r="K1470" s="40" t="str">
        <f>IF(Agent08_Loans!B82="","",Agent08_Loans!K82)</f>
        <v/>
      </c>
      <c r="L1470" s="40" t="str">
        <f>IF(Agent08_Loans!B82="","",Agent08_Loans!L82)</f>
        <v/>
      </c>
      <c r="M1470" s="40" t="str">
        <f>IFERROR(IF(Agent08_Loans!B82="","",YEAR(Agent08_Loans!D82)),"")</f>
        <v/>
      </c>
    </row>
    <row r="1471" spans="1:13" ht="18" customHeight="1" x14ac:dyDescent="0.25">
      <c r="A1471" s="40" t="str">
        <f>IF(Agent08_Loans!B83="","",Agent08_Loans!A83)</f>
        <v/>
      </c>
      <c r="B1471" s="40" t="str">
        <f>IF(Agent08_Loans!B83="","",Agent08_Loans!B83)</f>
        <v/>
      </c>
      <c r="C1471" s="40" t="str">
        <f>IF(Agent08_Loans!B83="","",Agent08_Loans!C83)</f>
        <v/>
      </c>
      <c r="D1471" s="41" t="str">
        <f>IF(Agent08_Loans!B83="","",Agent08_Loans!D83)</f>
        <v/>
      </c>
      <c r="E1471" s="43" t="str">
        <f>IF(Agent08_Loans!B83="","",Agent08_Loans!E83)</f>
        <v/>
      </c>
      <c r="F1471" s="40" t="str">
        <f>IF(Agent08_Loans!B83="","",Agent08_Loans!F83)</f>
        <v/>
      </c>
      <c r="G1471" s="40" t="str">
        <f>IF(Agent08_Loans!B83="","",Agent08_Loans!G83)</f>
        <v/>
      </c>
      <c r="H1471" s="40" t="str">
        <f>IF(Agent08_Loans!B83="","",Agent08_Loans!H83)</f>
        <v/>
      </c>
      <c r="I1471" s="43" t="str">
        <f>IF(Agent08_Loans!B83="","",Agent08_Loans!I83)</f>
        <v/>
      </c>
      <c r="J1471" s="43" t="str">
        <f>IF(Agent08_Loans!B83="","",Agent08_Loans!J83)</f>
        <v/>
      </c>
      <c r="K1471" s="40" t="str">
        <f>IF(Agent08_Loans!B83="","",Agent08_Loans!K83)</f>
        <v/>
      </c>
      <c r="L1471" s="40" t="str">
        <f>IF(Agent08_Loans!B83="","",Agent08_Loans!L83)</f>
        <v/>
      </c>
      <c r="M1471" s="40" t="str">
        <f>IFERROR(IF(Agent08_Loans!B83="","",YEAR(Agent08_Loans!D83)),"")</f>
        <v/>
      </c>
    </row>
    <row r="1472" spans="1:13" ht="18" customHeight="1" x14ac:dyDescent="0.25">
      <c r="A1472" s="40" t="str">
        <f>IF(Agent08_Loans!B84="","",Agent08_Loans!A84)</f>
        <v/>
      </c>
      <c r="B1472" s="40" t="str">
        <f>IF(Agent08_Loans!B84="","",Agent08_Loans!B84)</f>
        <v/>
      </c>
      <c r="C1472" s="40" t="str">
        <f>IF(Agent08_Loans!B84="","",Agent08_Loans!C84)</f>
        <v/>
      </c>
      <c r="D1472" s="41" t="str">
        <f>IF(Agent08_Loans!B84="","",Agent08_Loans!D84)</f>
        <v/>
      </c>
      <c r="E1472" s="43" t="str">
        <f>IF(Agent08_Loans!B84="","",Agent08_Loans!E84)</f>
        <v/>
      </c>
      <c r="F1472" s="40" t="str">
        <f>IF(Agent08_Loans!B84="","",Agent08_Loans!F84)</f>
        <v/>
      </c>
      <c r="G1472" s="40" t="str">
        <f>IF(Agent08_Loans!B84="","",Agent08_Loans!G84)</f>
        <v/>
      </c>
      <c r="H1472" s="40" t="str">
        <f>IF(Agent08_Loans!B84="","",Agent08_Loans!H84)</f>
        <v/>
      </c>
      <c r="I1472" s="43" t="str">
        <f>IF(Agent08_Loans!B84="","",Agent08_Loans!I84)</f>
        <v/>
      </c>
      <c r="J1472" s="43" t="str">
        <f>IF(Agent08_Loans!B84="","",Agent08_Loans!J84)</f>
        <v/>
      </c>
      <c r="K1472" s="40" t="str">
        <f>IF(Agent08_Loans!B84="","",Agent08_Loans!K84)</f>
        <v/>
      </c>
      <c r="L1472" s="40" t="str">
        <f>IF(Agent08_Loans!B84="","",Agent08_Loans!L84)</f>
        <v/>
      </c>
      <c r="M1472" s="40" t="str">
        <f>IFERROR(IF(Agent08_Loans!B84="","",YEAR(Agent08_Loans!D84)),"")</f>
        <v/>
      </c>
    </row>
    <row r="1473" spans="1:13" ht="18" customHeight="1" x14ac:dyDescent="0.25">
      <c r="A1473" s="40" t="str">
        <f>IF(Agent08_Loans!B85="","",Agent08_Loans!A85)</f>
        <v/>
      </c>
      <c r="B1473" s="40" t="str">
        <f>IF(Agent08_Loans!B85="","",Agent08_Loans!B85)</f>
        <v/>
      </c>
      <c r="C1473" s="40" t="str">
        <f>IF(Agent08_Loans!B85="","",Agent08_Loans!C85)</f>
        <v/>
      </c>
      <c r="D1473" s="41" t="str">
        <f>IF(Agent08_Loans!B85="","",Agent08_Loans!D85)</f>
        <v/>
      </c>
      <c r="E1473" s="43" t="str">
        <f>IF(Agent08_Loans!B85="","",Agent08_Loans!E85)</f>
        <v/>
      </c>
      <c r="F1473" s="40" t="str">
        <f>IF(Agent08_Loans!B85="","",Agent08_Loans!F85)</f>
        <v/>
      </c>
      <c r="G1473" s="40" t="str">
        <f>IF(Agent08_Loans!B85="","",Agent08_Loans!G85)</f>
        <v/>
      </c>
      <c r="H1473" s="40" t="str">
        <f>IF(Agent08_Loans!B85="","",Agent08_Loans!H85)</f>
        <v/>
      </c>
      <c r="I1473" s="43" t="str">
        <f>IF(Agent08_Loans!B85="","",Agent08_Loans!I85)</f>
        <v/>
      </c>
      <c r="J1473" s="43" t="str">
        <f>IF(Agent08_Loans!B85="","",Agent08_Loans!J85)</f>
        <v/>
      </c>
      <c r="K1473" s="40" t="str">
        <f>IF(Agent08_Loans!B85="","",Agent08_Loans!K85)</f>
        <v/>
      </c>
      <c r="L1473" s="40" t="str">
        <f>IF(Agent08_Loans!B85="","",Agent08_Loans!L85)</f>
        <v/>
      </c>
      <c r="M1473" s="40" t="str">
        <f>IFERROR(IF(Agent08_Loans!B85="","",YEAR(Agent08_Loans!D85)),"")</f>
        <v/>
      </c>
    </row>
    <row r="1474" spans="1:13" ht="18" customHeight="1" x14ac:dyDescent="0.25">
      <c r="A1474" s="40" t="str">
        <f>IF(Agent08_Loans!B86="","",Agent08_Loans!A86)</f>
        <v/>
      </c>
      <c r="B1474" s="40" t="str">
        <f>IF(Agent08_Loans!B86="","",Agent08_Loans!B86)</f>
        <v/>
      </c>
      <c r="C1474" s="40" t="str">
        <f>IF(Agent08_Loans!B86="","",Agent08_Loans!C86)</f>
        <v/>
      </c>
      <c r="D1474" s="41" t="str">
        <f>IF(Agent08_Loans!B86="","",Agent08_Loans!D86)</f>
        <v/>
      </c>
      <c r="E1474" s="43" t="str">
        <f>IF(Agent08_Loans!B86="","",Agent08_Loans!E86)</f>
        <v/>
      </c>
      <c r="F1474" s="40" t="str">
        <f>IF(Agent08_Loans!B86="","",Agent08_Loans!F86)</f>
        <v/>
      </c>
      <c r="G1474" s="40" t="str">
        <f>IF(Agent08_Loans!B86="","",Agent08_Loans!G86)</f>
        <v/>
      </c>
      <c r="H1474" s="40" t="str">
        <f>IF(Agent08_Loans!B86="","",Agent08_Loans!H86)</f>
        <v/>
      </c>
      <c r="I1474" s="43" t="str">
        <f>IF(Agent08_Loans!B86="","",Agent08_Loans!I86)</f>
        <v/>
      </c>
      <c r="J1474" s="43" t="str">
        <f>IF(Agent08_Loans!B86="","",Agent08_Loans!J86)</f>
        <v/>
      </c>
      <c r="K1474" s="40" t="str">
        <f>IF(Agent08_Loans!B86="","",Agent08_Loans!K86)</f>
        <v/>
      </c>
      <c r="L1474" s="40" t="str">
        <f>IF(Agent08_Loans!B86="","",Agent08_Loans!L86)</f>
        <v/>
      </c>
      <c r="M1474" s="40" t="str">
        <f>IFERROR(IF(Agent08_Loans!B86="","",YEAR(Agent08_Loans!D86)),"")</f>
        <v/>
      </c>
    </row>
    <row r="1475" spans="1:13" ht="18" customHeight="1" x14ac:dyDescent="0.25">
      <c r="A1475" s="40" t="str">
        <f>IF(Agent08_Loans!B87="","",Agent08_Loans!A87)</f>
        <v/>
      </c>
      <c r="B1475" s="40" t="str">
        <f>IF(Agent08_Loans!B87="","",Agent08_Loans!B87)</f>
        <v/>
      </c>
      <c r="C1475" s="40" t="str">
        <f>IF(Agent08_Loans!B87="","",Agent08_Loans!C87)</f>
        <v/>
      </c>
      <c r="D1475" s="41" t="str">
        <f>IF(Agent08_Loans!B87="","",Agent08_Loans!D87)</f>
        <v/>
      </c>
      <c r="E1475" s="43" t="str">
        <f>IF(Agent08_Loans!B87="","",Agent08_Loans!E87)</f>
        <v/>
      </c>
      <c r="F1475" s="40" t="str">
        <f>IF(Agent08_Loans!B87="","",Agent08_Loans!F87)</f>
        <v/>
      </c>
      <c r="G1475" s="40" t="str">
        <f>IF(Agent08_Loans!B87="","",Agent08_Loans!G87)</f>
        <v/>
      </c>
      <c r="H1475" s="40" t="str">
        <f>IF(Agent08_Loans!B87="","",Agent08_Loans!H87)</f>
        <v/>
      </c>
      <c r="I1475" s="43" t="str">
        <f>IF(Agent08_Loans!B87="","",Agent08_Loans!I87)</f>
        <v/>
      </c>
      <c r="J1475" s="43" t="str">
        <f>IF(Agent08_Loans!B87="","",Agent08_Loans!J87)</f>
        <v/>
      </c>
      <c r="K1475" s="40" t="str">
        <f>IF(Agent08_Loans!B87="","",Agent08_Loans!K87)</f>
        <v/>
      </c>
      <c r="L1475" s="40" t="str">
        <f>IF(Agent08_Loans!B87="","",Agent08_Loans!L87)</f>
        <v/>
      </c>
      <c r="M1475" s="40" t="str">
        <f>IFERROR(IF(Agent08_Loans!B87="","",YEAR(Agent08_Loans!D87)),"")</f>
        <v/>
      </c>
    </row>
    <row r="1476" spans="1:13" ht="18" customHeight="1" x14ac:dyDescent="0.25">
      <c r="A1476" s="40" t="str">
        <f>IF(Agent08_Loans!B88="","",Agent08_Loans!A88)</f>
        <v/>
      </c>
      <c r="B1476" s="40" t="str">
        <f>IF(Agent08_Loans!B88="","",Agent08_Loans!B88)</f>
        <v/>
      </c>
      <c r="C1476" s="40" t="str">
        <f>IF(Agent08_Loans!B88="","",Agent08_Loans!C88)</f>
        <v/>
      </c>
      <c r="D1476" s="41" t="str">
        <f>IF(Agent08_Loans!B88="","",Agent08_Loans!D88)</f>
        <v/>
      </c>
      <c r="E1476" s="43" t="str">
        <f>IF(Agent08_Loans!B88="","",Agent08_Loans!E88)</f>
        <v/>
      </c>
      <c r="F1476" s="40" t="str">
        <f>IF(Agent08_Loans!B88="","",Agent08_Loans!F88)</f>
        <v/>
      </c>
      <c r="G1476" s="40" t="str">
        <f>IF(Agent08_Loans!B88="","",Agent08_Loans!G88)</f>
        <v/>
      </c>
      <c r="H1476" s="40" t="str">
        <f>IF(Agent08_Loans!B88="","",Agent08_Loans!H88)</f>
        <v/>
      </c>
      <c r="I1476" s="43" t="str">
        <f>IF(Agent08_Loans!B88="","",Agent08_Loans!I88)</f>
        <v/>
      </c>
      <c r="J1476" s="43" t="str">
        <f>IF(Agent08_Loans!B88="","",Agent08_Loans!J88)</f>
        <v/>
      </c>
      <c r="K1476" s="40" t="str">
        <f>IF(Agent08_Loans!B88="","",Agent08_Loans!K88)</f>
        <v/>
      </c>
      <c r="L1476" s="40" t="str">
        <f>IF(Agent08_Loans!B88="","",Agent08_Loans!L88)</f>
        <v/>
      </c>
      <c r="M1476" s="40" t="str">
        <f>IFERROR(IF(Agent08_Loans!B88="","",YEAR(Agent08_Loans!D88)),"")</f>
        <v/>
      </c>
    </row>
    <row r="1477" spans="1:13" ht="18" customHeight="1" x14ac:dyDescent="0.25">
      <c r="A1477" s="40" t="str">
        <f>IF(Agent08_Loans!B89="","",Agent08_Loans!A89)</f>
        <v/>
      </c>
      <c r="B1477" s="40" t="str">
        <f>IF(Agent08_Loans!B89="","",Agent08_Loans!B89)</f>
        <v/>
      </c>
      <c r="C1477" s="40" t="str">
        <f>IF(Agent08_Loans!B89="","",Agent08_Loans!C89)</f>
        <v/>
      </c>
      <c r="D1477" s="41" t="str">
        <f>IF(Agent08_Loans!B89="","",Agent08_Loans!D89)</f>
        <v/>
      </c>
      <c r="E1477" s="43" t="str">
        <f>IF(Agent08_Loans!B89="","",Agent08_Loans!E89)</f>
        <v/>
      </c>
      <c r="F1477" s="40" t="str">
        <f>IF(Agent08_Loans!B89="","",Agent08_Loans!F89)</f>
        <v/>
      </c>
      <c r="G1477" s="40" t="str">
        <f>IF(Agent08_Loans!B89="","",Agent08_Loans!G89)</f>
        <v/>
      </c>
      <c r="H1477" s="40" t="str">
        <f>IF(Agent08_Loans!B89="","",Agent08_Loans!H89)</f>
        <v/>
      </c>
      <c r="I1477" s="43" t="str">
        <f>IF(Agent08_Loans!B89="","",Agent08_Loans!I89)</f>
        <v/>
      </c>
      <c r="J1477" s="43" t="str">
        <f>IF(Agent08_Loans!B89="","",Agent08_Loans!J89)</f>
        <v/>
      </c>
      <c r="K1477" s="40" t="str">
        <f>IF(Agent08_Loans!B89="","",Agent08_Loans!K89)</f>
        <v/>
      </c>
      <c r="L1477" s="40" t="str">
        <f>IF(Agent08_Loans!B89="","",Agent08_Loans!L89)</f>
        <v/>
      </c>
      <c r="M1477" s="40" t="str">
        <f>IFERROR(IF(Agent08_Loans!B89="","",YEAR(Agent08_Loans!D89)),"")</f>
        <v/>
      </c>
    </row>
    <row r="1478" spans="1:13" ht="18" customHeight="1" x14ac:dyDescent="0.25">
      <c r="A1478" s="40" t="str">
        <f>IF(Agent08_Loans!B90="","",Agent08_Loans!A90)</f>
        <v/>
      </c>
      <c r="B1478" s="40" t="str">
        <f>IF(Agent08_Loans!B90="","",Agent08_Loans!B90)</f>
        <v/>
      </c>
      <c r="C1478" s="40" t="str">
        <f>IF(Agent08_Loans!B90="","",Agent08_Loans!C90)</f>
        <v/>
      </c>
      <c r="D1478" s="41" t="str">
        <f>IF(Agent08_Loans!B90="","",Agent08_Loans!D90)</f>
        <v/>
      </c>
      <c r="E1478" s="43" t="str">
        <f>IF(Agent08_Loans!B90="","",Agent08_Loans!E90)</f>
        <v/>
      </c>
      <c r="F1478" s="40" t="str">
        <f>IF(Agent08_Loans!B90="","",Agent08_Loans!F90)</f>
        <v/>
      </c>
      <c r="G1478" s="40" t="str">
        <f>IF(Agent08_Loans!B90="","",Agent08_Loans!G90)</f>
        <v/>
      </c>
      <c r="H1478" s="40" t="str">
        <f>IF(Agent08_Loans!B90="","",Agent08_Loans!H90)</f>
        <v/>
      </c>
      <c r="I1478" s="43" t="str">
        <f>IF(Agent08_Loans!B90="","",Agent08_Loans!I90)</f>
        <v/>
      </c>
      <c r="J1478" s="43" t="str">
        <f>IF(Agent08_Loans!B90="","",Agent08_Loans!J90)</f>
        <v/>
      </c>
      <c r="K1478" s="40" t="str">
        <f>IF(Agent08_Loans!B90="","",Agent08_Loans!K90)</f>
        <v/>
      </c>
      <c r="L1478" s="40" t="str">
        <f>IF(Agent08_Loans!B90="","",Agent08_Loans!L90)</f>
        <v/>
      </c>
      <c r="M1478" s="40" t="str">
        <f>IFERROR(IF(Agent08_Loans!B90="","",YEAR(Agent08_Loans!D90)),"")</f>
        <v/>
      </c>
    </row>
    <row r="1479" spans="1:13" ht="18" customHeight="1" x14ac:dyDescent="0.25">
      <c r="A1479" s="40" t="str">
        <f>IF(Agent08_Loans!B91="","",Agent08_Loans!A91)</f>
        <v/>
      </c>
      <c r="B1479" s="40" t="str">
        <f>IF(Agent08_Loans!B91="","",Agent08_Loans!B91)</f>
        <v/>
      </c>
      <c r="C1479" s="40" t="str">
        <f>IF(Agent08_Loans!B91="","",Agent08_Loans!C91)</f>
        <v/>
      </c>
      <c r="D1479" s="41" t="str">
        <f>IF(Agent08_Loans!B91="","",Agent08_Loans!D91)</f>
        <v/>
      </c>
      <c r="E1479" s="43" t="str">
        <f>IF(Agent08_Loans!B91="","",Agent08_Loans!E91)</f>
        <v/>
      </c>
      <c r="F1479" s="40" t="str">
        <f>IF(Agent08_Loans!B91="","",Agent08_Loans!F91)</f>
        <v/>
      </c>
      <c r="G1479" s="40" t="str">
        <f>IF(Agent08_Loans!B91="","",Agent08_Loans!G91)</f>
        <v/>
      </c>
      <c r="H1479" s="40" t="str">
        <f>IF(Agent08_Loans!B91="","",Agent08_Loans!H91)</f>
        <v/>
      </c>
      <c r="I1479" s="43" t="str">
        <f>IF(Agent08_Loans!B91="","",Agent08_Loans!I91)</f>
        <v/>
      </c>
      <c r="J1479" s="43" t="str">
        <f>IF(Agent08_Loans!B91="","",Agent08_Loans!J91)</f>
        <v/>
      </c>
      <c r="K1479" s="40" t="str">
        <f>IF(Agent08_Loans!B91="","",Agent08_Loans!K91)</f>
        <v/>
      </c>
      <c r="L1479" s="40" t="str">
        <f>IF(Agent08_Loans!B91="","",Agent08_Loans!L91)</f>
        <v/>
      </c>
      <c r="M1479" s="40" t="str">
        <f>IFERROR(IF(Agent08_Loans!B91="","",YEAR(Agent08_Loans!D91)),"")</f>
        <v/>
      </c>
    </row>
    <row r="1480" spans="1:13" ht="18" customHeight="1" x14ac:dyDescent="0.25">
      <c r="A1480" s="40" t="str">
        <f>IF(Agent08_Loans!B92="","",Agent08_Loans!A92)</f>
        <v/>
      </c>
      <c r="B1480" s="40" t="str">
        <f>IF(Agent08_Loans!B92="","",Agent08_Loans!B92)</f>
        <v/>
      </c>
      <c r="C1480" s="40" t="str">
        <f>IF(Agent08_Loans!B92="","",Agent08_Loans!C92)</f>
        <v/>
      </c>
      <c r="D1480" s="41" t="str">
        <f>IF(Agent08_Loans!B92="","",Agent08_Loans!D92)</f>
        <v/>
      </c>
      <c r="E1480" s="43" t="str">
        <f>IF(Agent08_Loans!B92="","",Agent08_Loans!E92)</f>
        <v/>
      </c>
      <c r="F1480" s="40" t="str">
        <f>IF(Agent08_Loans!B92="","",Agent08_Loans!F92)</f>
        <v/>
      </c>
      <c r="G1480" s="40" t="str">
        <f>IF(Agent08_Loans!B92="","",Agent08_Loans!G92)</f>
        <v/>
      </c>
      <c r="H1480" s="40" t="str">
        <f>IF(Agent08_Loans!B92="","",Agent08_Loans!H92)</f>
        <v/>
      </c>
      <c r="I1480" s="43" t="str">
        <f>IF(Agent08_Loans!B92="","",Agent08_Loans!I92)</f>
        <v/>
      </c>
      <c r="J1480" s="43" t="str">
        <f>IF(Agent08_Loans!B92="","",Agent08_Loans!J92)</f>
        <v/>
      </c>
      <c r="K1480" s="40" t="str">
        <f>IF(Agent08_Loans!B92="","",Agent08_Loans!K92)</f>
        <v/>
      </c>
      <c r="L1480" s="40" t="str">
        <f>IF(Agent08_Loans!B92="","",Agent08_Loans!L92)</f>
        <v/>
      </c>
      <c r="M1480" s="40" t="str">
        <f>IFERROR(IF(Agent08_Loans!B92="","",YEAR(Agent08_Loans!D92)),"")</f>
        <v/>
      </c>
    </row>
    <row r="1481" spans="1:13" ht="18" customHeight="1" x14ac:dyDescent="0.25">
      <c r="A1481" s="40" t="str">
        <f>IF(Agent08_Loans!B93="","",Agent08_Loans!A93)</f>
        <v/>
      </c>
      <c r="B1481" s="40" t="str">
        <f>IF(Agent08_Loans!B93="","",Agent08_Loans!B93)</f>
        <v/>
      </c>
      <c r="C1481" s="40" t="str">
        <f>IF(Agent08_Loans!B93="","",Agent08_Loans!C93)</f>
        <v/>
      </c>
      <c r="D1481" s="41" t="str">
        <f>IF(Agent08_Loans!B93="","",Agent08_Loans!D93)</f>
        <v/>
      </c>
      <c r="E1481" s="43" t="str">
        <f>IF(Agent08_Loans!B93="","",Agent08_Loans!E93)</f>
        <v/>
      </c>
      <c r="F1481" s="40" t="str">
        <f>IF(Agent08_Loans!B93="","",Agent08_Loans!F93)</f>
        <v/>
      </c>
      <c r="G1481" s="40" t="str">
        <f>IF(Agent08_Loans!B93="","",Agent08_Loans!G93)</f>
        <v/>
      </c>
      <c r="H1481" s="40" t="str">
        <f>IF(Agent08_Loans!B93="","",Agent08_Loans!H93)</f>
        <v/>
      </c>
      <c r="I1481" s="43" t="str">
        <f>IF(Agent08_Loans!B93="","",Agent08_Loans!I93)</f>
        <v/>
      </c>
      <c r="J1481" s="43" t="str">
        <f>IF(Agent08_Loans!B93="","",Agent08_Loans!J93)</f>
        <v/>
      </c>
      <c r="K1481" s="40" t="str">
        <f>IF(Agent08_Loans!B93="","",Agent08_Loans!K93)</f>
        <v/>
      </c>
      <c r="L1481" s="40" t="str">
        <f>IF(Agent08_Loans!B93="","",Agent08_Loans!L93)</f>
        <v/>
      </c>
      <c r="M1481" s="40" t="str">
        <f>IFERROR(IF(Agent08_Loans!B93="","",YEAR(Agent08_Loans!D93)),"")</f>
        <v/>
      </c>
    </row>
    <row r="1482" spans="1:13" ht="18" customHeight="1" x14ac:dyDescent="0.25">
      <c r="A1482" s="40" t="str">
        <f>IF(Agent08_Loans!B94="","",Agent08_Loans!A94)</f>
        <v/>
      </c>
      <c r="B1482" s="40" t="str">
        <f>IF(Agent08_Loans!B94="","",Agent08_Loans!B94)</f>
        <v/>
      </c>
      <c r="C1482" s="40" t="str">
        <f>IF(Agent08_Loans!B94="","",Agent08_Loans!C94)</f>
        <v/>
      </c>
      <c r="D1482" s="41" t="str">
        <f>IF(Agent08_Loans!B94="","",Agent08_Loans!D94)</f>
        <v/>
      </c>
      <c r="E1482" s="43" t="str">
        <f>IF(Agent08_Loans!B94="","",Agent08_Loans!E94)</f>
        <v/>
      </c>
      <c r="F1482" s="40" t="str">
        <f>IF(Agent08_Loans!B94="","",Agent08_Loans!F94)</f>
        <v/>
      </c>
      <c r="G1482" s="40" t="str">
        <f>IF(Agent08_Loans!B94="","",Agent08_Loans!G94)</f>
        <v/>
      </c>
      <c r="H1482" s="40" t="str">
        <f>IF(Agent08_Loans!B94="","",Agent08_Loans!H94)</f>
        <v/>
      </c>
      <c r="I1482" s="43" t="str">
        <f>IF(Agent08_Loans!B94="","",Agent08_Loans!I94)</f>
        <v/>
      </c>
      <c r="J1482" s="43" t="str">
        <f>IF(Agent08_Loans!B94="","",Agent08_Loans!J94)</f>
        <v/>
      </c>
      <c r="K1482" s="40" t="str">
        <f>IF(Agent08_Loans!B94="","",Agent08_Loans!K94)</f>
        <v/>
      </c>
      <c r="L1482" s="40" t="str">
        <f>IF(Agent08_Loans!B94="","",Agent08_Loans!L94)</f>
        <v/>
      </c>
      <c r="M1482" s="40" t="str">
        <f>IFERROR(IF(Agent08_Loans!B94="","",YEAR(Agent08_Loans!D94)),"")</f>
        <v/>
      </c>
    </row>
    <row r="1483" spans="1:13" ht="18" customHeight="1" x14ac:dyDescent="0.25">
      <c r="A1483" s="40" t="str">
        <f>IF(Agent08_Loans!B95="","",Agent08_Loans!A95)</f>
        <v/>
      </c>
      <c r="B1483" s="40" t="str">
        <f>IF(Agent08_Loans!B95="","",Agent08_Loans!B95)</f>
        <v/>
      </c>
      <c r="C1483" s="40" t="str">
        <f>IF(Agent08_Loans!B95="","",Agent08_Loans!C95)</f>
        <v/>
      </c>
      <c r="D1483" s="41" t="str">
        <f>IF(Agent08_Loans!B95="","",Agent08_Loans!D95)</f>
        <v/>
      </c>
      <c r="E1483" s="43" t="str">
        <f>IF(Agent08_Loans!B95="","",Agent08_Loans!E95)</f>
        <v/>
      </c>
      <c r="F1483" s="40" t="str">
        <f>IF(Agent08_Loans!B95="","",Agent08_Loans!F95)</f>
        <v/>
      </c>
      <c r="G1483" s="40" t="str">
        <f>IF(Agent08_Loans!B95="","",Agent08_Loans!G95)</f>
        <v/>
      </c>
      <c r="H1483" s="40" t="str">
        <f>IF(Agent08_Loans!B95="","",Agent08_Loans!H95)</f>
        <v/>
      </c>
      <c r="I1483" s="43" t="str">
        <f>IF(Agent08_Loans!B95="","",Agent08_Loans!I95)</f>
        <v/>
      </c>
      <c r="J1483" s="43" t="str">
        <f>IF(Agent08_Loans!B95="","",Agent08_Loans!J95)</f>
        <v/>
      </c>
      <c r="K1483" s="40" t="str">
        <f>IF(Agent08_Loans!B95="","",Agent08_Loans!K95)</f>
        <v/>
      </c>
      <c r="L1483" s="40" t="str">
        <f>IF(Agent08_Loans!B95="","",Agent08_Loans!L95)</f>
        <v/>
      </c>
      <c r="M1483" s="40" t="str">
        <f>IFERROR(IF(Agent08_Loans!B95="","",YEAR(Agent08_Loans!D95)),"")</f>
        <v/>
      </c>
    </row>
    <row r="1484" spans="1:13" ht="18" customHeight="1" x14ac:dyDescent="0.25">
      <c r="A1484" s="40" t="str">
        <f>IF(Agent08_Loans!B96="","",Agent08_Loans!A96)</f>
        <v/>
      </c>
      <c r="B1484" s="40" t="str">
        <f>IF(Agent08_Loans!B96="","",Agent08_Loans!B96)</f>
        <v/>
      </c>
      <c r="C1484" s="40" t="str">
        <f>IF(Agent08_Loans!B96="","",Agent08_Loans!C96)</f>
        <v/>
      </c>
      <c r="D1484" s="41" t="str">
        <f>IF(Agent08_Loans!B96="","",Agent08_Loans!D96)</f>
        <v/>
      </c>
      <c r="E1484" s="43" t="str">
        <f>IF(Agent08_Loans!B96="","",Agent08_Loans!E96)</f>
        <v/>
      </c>
      <c r="F1484" s="40" t="str">
        <f>IF(Agent08_Loans!B96="","",Agent08_Loans!F96)</f>
        <v/>
      </c>
      <c r="G1484" s="40" t="str">
        <f>IF(Agent08_Loans!B96="","",Agent08_Loans!G96)</f>
        <v/>
      </c>
      <c r="H1484" s="40" t="str">
        <f>IF(Agent08_Loans!B96="","",Agent08_Loans!H96)</f>
        <v/>
      </c>
      <c r="I1484" s="43" t="str">
        <f>IF(Agent08_Loans!B96="","",Agent08_Loans!I96)</f>
        <v/>
      </c>
      <c r="J1484" s="43" t="str">
        <f>IF(Agent08_Loans!B96="","",Agent08_Loans!J96)</f>
        <v/>
      </c>
      <c r="K1484" s="40" t="str">
        <f>IF(Agent08_Loans!B96="","",Agent08_Loans!K96)</f>
        <v/>
      </c>
      <c r="L1484" s="40" t="str">
        <f>IF(Agent08_Loans!B96="","",Agent08_Loans!L96)</f>
        <v/>
      </c>
      <c r="M1484" s="40" t="str">
        <f>IFERROR(IF(Agent08_Loans!B96="","",YEAR(Agent08_Loans!D96)),"")</f>
        <v/>
      </c>
    </row>
    <row r="1485" spans="1:13" ht="18" customHeight="1" x14ac:dyDescent="0.25">
      <c r="A1485" s="40" t="str">
        <f>IF(Agent08_Loans!B97="","",Agent08_Loans!A97)</f>
        <v/>
      </c>
      <c r="B1485" s="40" t="str">
        <f>IF(Agent08_Loans!B97="","",Agent08_Loans!B97)</f>
        <v/>
      </c>
      <c r="C1485" s="40" t="str">
        <f>IF(Agent08_Loans!B97="","",Agent08_Loans!C97)</f>
        <v/>
      </c>
      <c r="D1485" s="41" t="str">
        <f>IF(Agent08_Loans!B97="","",Agent08_Loans!D97)</f>
        <v/>
      </c>
      <c r="E1485" s="43" t="str">
        <f>IF(Agent08_Loans!B97="","",Agent08_Loans!E97)</f>
        <v/>
      </c>
      <c r="F1485" s="40" t="str">
        <f>IF(Agent08_Loans!B97="","",Agent08_Loans!F97)</f>
        <v/>
      </c>
      <c r="G1485" s="40" t="str">
        <f>IF(Agent08_Loans!B97="","",Agent08_Loans!G97)</f>
        <v/>
      </c>
      <c r="H1485" s="40" t="str">
        <f>IF(Agent08_Loans!B97="","",Agent08_Loans!H97)</f>
        <v/>
      </c>
      <c r="I1485" s="43" t="str">
        <f>IF(Agent08_Loans!B97="","",Agent08_Loans!I97)</f>
        <v/>
      </c>
      <c r="J1485" s="43" t="str">
        <f>IF(Agent08_Loans!B97="","",Agent08_Loans!J97)</f>
        <v/>
      </c>
      <c r="K1485" s="40" t="str">
        <f>IF(Agent08_Loans!B97="","",Agent08_Loans!K97)</f>
        <v/>
      </c>
      <c r="L1485" s="40" t="str">
        <f>IF(Agent08_Loans!B97="","",Agent08_Loans!L97)</f>
        <v/>
      </c>
      <c r="M1485" s="40" t="str">
        <f>IFERROR(IF(Agent08_Loans!B97="","",YEAR(Agent08_Loans!D97)),"")</f>
        <v/>
      </c>
    </row>
    <row r="1486" spans="1:13" ht="18" customHeight="1" x14ac:dyDescent="0.25">
      <c r="A1486" s="40" t="str">
        <f>IF(Agent08_Loans!B98="","",Agent08_Loans!A98)</f>
        <v/>
      </c>
      <c r="B1486" s="40" t="str">
        <f>IF(Agent08_Loans!B98="","",Agent08_Loans!B98)</f>
        <v/>
      </c>
      <c r="C1486" s="40" t="str">
        <f>IF(Agent08_Loans!B98="","",Agent08_Loans!C98)</f>
        <v/>
      </c>
      <c r="D1486" s="41" t="str">
        <f>IF(Agent08_Loans!B98="","",Agent08_Loans!D98)</f>
        <v/>
      </c>
      <c r="E1486" s="43" t="str">
        <f>IF(Agent08_Loans!B98="","",Agent08_Loans!E98)</f>
        <v/>
      </c>
      <c r="F1486" s="40" t="str">
        <f>IF(Agent08_Loans!B98="","",Agent08_Loans!F98)</f>
        <v/>
      </c>
      <c r="G1486" s="40" t="str">
        <f>IF(Agent08_Loans!B98="","",Agent08_Loans!G98)</f>
        <v/>
      </c>
      <c r="H1486" s="40" t="str">
        <f>IF(Agent08_Loans!B98="","",Agent08_Loans!H98)</f>
        <v/>
      </c>
      <c r="I1486" s="43" t="str">
        <f>IF(Agent08_Loans!B98="","",Agent08_Loans!I98)</f>
        <v/>
      </c>
      <c r="J1486" s="43" t="str">
        <f>IF(Agent08_Loans!B98="","",Agent08_Loans!J98)</f>
        <v/>
      </c>
      <c r="K1486" s="40" t="str">
        <f>IF(Agent08_Loans!B98="","",Agent08_Loans!K98)</f>
        <v/>
      </c>
      <c r="L1486" s="40" t="str">
        <f>IF(Agent08_Loans!B98="","",Agent08_Loans!L98)</f>
        <v/>
      </c>
      <c r="M1486" s="40" t="str">
        <f>IFERROR(IF(Agent08_Loans!B98="","",YEAR(Agent08_Loans!D98)),"")</f>
        <v/>
      </c>
    </row>
    <row r="1487" spans="1:13" ht="18" customHeight="1" x14ac:dyDescent="0.25">
      <c r="A1487" s="40" t="str">
        <f>IF(Agent08_Loans!B99="","",Agent08_Loans!A99)</f>
        <v/>
      </c>
      <c r="B1487" s="40" t="str">
        <f>IF(Agent08_Loans!B99="","",Agent08_Loans!B99)</f>
        <v/>
      </c>
      <c r="C1487" s="40" t="str">
        <f>IF(Agent08_Loans!B99="","",Agent08_Loans!C99)</f>
        <v/>
      </c>
      <c r="D1487" s="41" t="str">
        <f>IF(Agent08_Loans!B99="","",Agent08_Loans!D99)</f>
        <v/>
      </c>
      <c r="E1487" s="43" t="str">
        <f>IF(Agent08_Loans!B99="","",Agent08_Loans!E99)</f>
        <v/>
      </c>
      <c r="F1487" s="40" t="str">
        <f>IF(Agent08_Loans!B99="","",Agent08_Loans!F99)</f>
        <v/>
      </c>
      <c r="G1487" s="40" t="str">
        <f>IF(Agent08_Loans!B99="","",Agent08_Loans!G99)</f>
        <v/>
      </c>
      <c r="H1487" s="40" t="str">
        <f>IF(Agent08_Loans!B99="","",Agent08_Loans!H99)</f>
        <v/>
      </c>
      <c r="I1487" s="43" t="str">
        <f>IF(Agent08_Loans!B99="","",Agent08_Loans!I99)</f>
        <v/>
      </c>
      <c r="J1487" s="43" t="str">
        <f>IF(Agent08_Loans!B99="","",Agent08_Loans!J99)</f>
        <v/>
      </c>
      <c r="K1487" s="40" t="str">
        <f>IF(Agent08_Loans!B99="","",Agent08_Loans!K99)</f>
        <v/>
      </c>
      <c r="L1487" s="40" t="str">
        <f>IF(Agent08_Loans!B99="","",Agent08_Loans!L99)</f>
        <v/>
      </c>
      <c r="M1487" s="40" t="str">
        <f>IFERROR(IF(Agent08_Loans!B99="","",YEAR(Agent08_Loans!D99)),"")</f>
        <v/>
      </c>
    </row>
    <row r="1488" spans="1:13" ht="18" customHeight="1" x14ac:dyDescent="0.25">
      <c r="A1488" s="40" t="str">
        <f>IF(Agent08_Loans!B100="","",Agent08_Loans!A100)</f>
        <v/>
      </c>
      <c r="B1488" s="40" t="str">
        <f>IF(Agent08_Loans!B100="","",Agent08_Loans!B100)</f>
        <v/>
      </c>
      <c r="C1488" s="40" t="str">
        <f>IF(Agent08_Loans!B100="","",Agent08_Loans!C100)</f>
        <v/>
      </c>
      <c r="D1488" s="41" t="str">
        <f>IF(Agent08_Loans!B100="","",Agent08_Loans!D100)</f>
        <v/>
      </c>
      <c r="E1488" s="43" t="str">
        <f>IF(Agent08_Loans!B100="","",Agent08_Loans!E100)</f>
        <v/>
      </c>
      <c r="F1488" s="40" t="str">
        <f>IF(Agent08_Loans!B100="","",Agent08_Loans!F100)</f>
        <v/>
      </c>
      <c r="G1488" s="40" t="str">
        <f>IF(Agent08_Loans!B100="","",Agent08_Loans!G100)</f>
        <v/>
      </c>
      <c r="H1488" s="40" t="str">
        <f>IF(Agent08_Loans!B100="","",Agent08_Loans!H100)</f>
        <v/>
      </c>
      <c r="I1488" s="43" t="str">
        <f>IF(Agent08_Loans!B100="","",Agent08_Loans!I100)</f>
        <v/>
      </c>
      <c r="J1488" s="43" t="str">
        <f>IF(Agent08_Loans!B100="","",Agent08_Loans!J100)</f>
        <v/>
      </c>
      <c r="K1488" s="40" t="str">
        <f>IF(Agent08_Loans!B100="","",Agent08_Loans!K100)</f>
        <v/>
      </c>
      <c r="L1488" s="40" t="str">
        <f>IF(Agent08_Loans!B100="","",Agent08_Loans!L100)</f>
        <v/>
      </c>
      <c r="M1488" s="40" t="str">
        <f>IFERROR(IF(Agent08_Loans!B100="","",YEAR(Agent08_Loans!D100)),"")</f>
        <v/>
      </c>
    </row>
    <row r="1489" spans="1:13" ht="18" customHeight="1" x14ac:dyDescent="0.25">
      <c r="A1489" s="40" t="str">
        <f>IF(Agent08_Loans!B101="","",Agent08_Loans!A101)</f>
        <v/>
      </c>
      <c r="B1489" s="40" t="str">
        <f>IF(Agent08_Loans!B101="","",Agent08_Loans!B101)</f>
        <v/>
      </c>
      <c r="C1489" s="40" t="str">
        <f>IF(Agent08_Loans!B101="","",Agent08_Loans!C101)</f>
        <v/>
      </c>
      <c r="D1489" s="41" t="str">
        <f>IF(Agent08_Loans!B101="","",Agent08_Loans!D101)</f>
        <v/>
      </c>
      <c r="E1489" s="43" t="str">
        <f>IF(Agent08_Loans!B101="","",Agent08_Loans!E101)</f>
        <v/>
      </c>
      <c r="F1489" s="40" t="str">
        <f>IF(Agent08_Loans!B101="","",Agent08_Loans!F101)</f>
        <v/>
      </c>
      <c r="G1489" s="40" t="str">
        <f>IF(Agent08_Loans!B101="","",Agent08_Loans!G101)</f>
        <v/>
      </c>
      <c r="H1489" s="40" t="str">
        <f>IF(Agent08_Loans!B101="","",Agent08_Loans!H101)</f>
        <v/>
      </c>
      <c r="I1489" s="43" t="str">
        <f>IF(Agent08_Loans!B101="","",Agent08_Loans!I101)</f>
        <v/>
      </c>
      <c r="J1489" s="43" t="str">
        <f>IF(Agent08_Loans!B101="","",Agent08_Loans!J101)</f>
        <v/>
      </c>
      <c r="K1489" s="40" t="str">
        <f>IF(Agent08_Loans!B101="","",Agent08_Loans!K101)</f>
        <v/>
      </c>
      <c r="L1489" s="40" t="str">
        <f>IF(Agent08_Loans!B101="","",Agent08_Loans!L101)</f>
        <v/>
      </c>
      <c r="M1489" s="40" t="str">
        <f>IFERROR(IF(Agent08_Loans!B101="","",YEAR(Agent08_Loans!D101)),"")</f>
        <v/>
      </c>
    </row>
    <row r="1490" spans="1:13" ht="18" customHeight="1" x14ac:dyDescent="0.25">
      <c r="A1490" s="40" t="str">
        <f>IF(Agent08_Loans!B102="","",Agent08_Loans!A102)</f>
        <v/>
      </c>
      <c r="B1490" s="40" t="str">
        <f>IF(Agent08_Loans!B102="","",Agent08_Loans!B102)</f>
        <v/>
      </c>
      <c r="C1490" s="40" t="str">
        <f>IF(Agent08_Loans!B102="","",Agent08_Loans!C102)</f>
        <v/>
      </c>
      <c r="D1490" s="41" t="str">
        <f>IF(Agent08_Loans!B102="","",Agent08_Loans!D102)</f>
        <v/>
      </c>
      <c r="E1490" s="43" t="str">
        <f>IF(Agent08_Loans!B102="","",Agent08_Loans!E102)</f>
        <v/>
      </c>
      <c r="F1490" s="40" t="str">
        <f>IF(Agent08_Loans!B102="","",Agent08_Loans!F102)</f>
        <v/>
      </c>
      <c r="G1490" s="40" t="str">
        <f>IF(Agent08_Loans!B102="","",Agent08_Loans!G102)</f>
        <v/>
      </c>
      <c r="H1490" s="40" t="str">
        <f>IF(Agent08_Loans!B102="","",Agent08_Loans!H102)</f>
        <v/>
      </c>
      <c r="I1490" s="43" t="str">
        <f>IF(Agent08_Loans!B102="","",Agent08_Loans!I102)</f>
        <v/>
      </c>
      <c r="J1490" s="43" t="str">
        <f>IF(Agent08_Loans!B102="","",Agent08_Loans!J102)</f>
        <v/>
      </c>
      <c r="K1490" s="40" t="str">
        <f>IF(Agent08_Loans!B102="","",Agent08_Loans!K102)</f>
        <v/>
      </c>
      <c r="L1490" s="40" t="str">
        <f>IF(Agent08_Loans!B102="","",Agent08_Loans!L102)</f>
        <v/>
      </c>
      <c r="M1490" s="40" t="str">
        <f>IFERROR(IF(Agent08_Loans!B102="","",YEAR(Agent08_Loans!D102)),"")</f>
        <v/>
      </c>
    </row>
    <row r="1491" spans="1:13" ht="18" customHeight="1" x14ac:dyDescent="0.25">
      <c r="A1491" s="40" t="str">
        <f>IF(Agent08_Loans!B103="","",Agent08_Loans!A103)</f>
        <v/>
      </c>
      <c r="B1491" s="40" t="str">
        <f>IF(Agent08_Loans!B103="","",Agent08_Loans!B103)</f>
        <v/>
      </c>
      <c r="C1491" s="40" t="str">
        <f>IF(Agent08_Loans!B103="","",Agent08_Loans!C103)</f>
        <v/>
      </c>
      <c r="D1491" s="41" t="str">
        <f>IF(Agent08_Loans!B103="","",Agent08_Loans!D103)</f>
        <v/>
      </c>
      <c r="E1491" s="43" t="str">
        <f>IF(Agent08_Loans!B103="","",Agent08_Loans!E103)</f>
        <v/>
      </c>
      <c r="F1491" s="40" t="str">
        <f>IF(Agent08_Loans!B103="","",Agent08_Loans!F103)</f>
        <v/>
      </c>
      <c r="G1491" s="40" t="str">
        <f>IF(Agent08_Loans!B103="","",Agent08_Loans!G103)</f>
        <v/>
      </c>
      <c r="H1491" s="40" t="str">
        <f>IF(Agent08_Loans!B103="","",Agent08_Loans!H103)</f>
        <v/>
      </c>
      <c r="I1491" s="43" t="str">
        <f>IF(Agent08_Loans!B103="","",Agent08_Loans!I103)</f>
        <v/>
      </c>
      <c r="J1491" s="43" t="str">
        <f>IF(Agent08_Loans!B103="","",Agent08_Loans!J103)</f>
        <v/>
      </c>
      <c r="K1491" s="40" t="str">
        <f>IF(Agent08_Loans!B103="","",Agent08_Loans!K103)</f>
        <v/>
      </c>
      <c r="L1491" s="40" t="str">
        <f>IF(Agent08_Loans!B103="","",Agent08_Loans!L103)</f>
        <v/>
      </c>
      <c r="M1491" s="40" t="str">
        <f>IFERROR(IF(Agent08_Loans!B103="","",YEAR(Agent08_Loans!D103)),"")</f>
        <v/>
      </c>
    </row>
    <row r="1492" spans="1:13" ht="18" customHeight="1" x14ac:dyDescent="0.25">
      <c r="A1492" s="40" t="str">
        <f>IF(Agent08_Loans!B104="","",Agent08_Loans!A104)</f>
        <v/>
      </c>
      <c r="B1492" s="40" t="str">
        <f>IF(Agent08_Loans!B104="","",Agent08_Loans!B104)</f>
        <v/>
      </c>
      <c r="C1492" s="40" t="str">
        <f>IF(Agent08_Loans!B104="","",Agent08_Loans!C104)</f>
        <v/>
      </c>
      <c r="D1492" s="41" t="str">
        <f>IF(Agent08_Loans!B104="","",Agent08_Loans!D104)</f>
        <v/>
      </c>
      <c r="E1492" s="43" t="str">
        <f>IF(Agent08_Loans!B104="","",Agent08_Loans!E104)</f>
        <v/>
      </c>
      <c r="F1492" s="40" t="str">
        <f>IF(Agent08_Loans!B104="","",Agent08_Loans!F104)</f>
        <v/>
      </c>
      <c r="G1492" s="40" t="str">
        <f>IF(Agent08_Loans!B104="","",Agent08_Loans!G104)</f>
        <v/>
      </c>
      <c r="H1492" s="40" t="str">
        <f>IF(Agent08_Loans!B104="","",Agent08_Loans!H104)</f>
        <v/>
      </c>
      <c r="I1492" s="43" t="str">
        <f>IF(Agent08_Loans!B104="","",Agent08_Loans!I104)</f>
        <v/>
      </c>
      <c r="J1492" s="43" t="str">
        <f>IF(Agent08_Loans!B104="","",Agent08_Loans!J104)</f>
        <v/>
      </c>
      <c r="K1492" s="40" t="str">
        <f>IF(Agent08_Loans!B104="","",Agent08_Loans!K104)</f>
        <v/>
      </c>
      <c r="L1492" s="40" t="str">
        <f>IF(Agent08_Loans!B104="","",Agent08_Loans!L104)</f>
        <v/>
      </c>
      <c r="M1492" s="40" t="str">
        <f>IFERROR(IF(Agent08_Loans!B104="","",YEAR(Agent08_Loans!D104)),"")</f>
        <v/>
      </c>
    </row>
    <row r="1493" spans="1:13" ht="18" customHeight="1" x14ac:dyDescent="0.25">
      <c r="A1493" s="40" t="str">
        <f>IF(Agent08_Loans!B105="","",Agent08_Loans!A105)</f>
        <v/>
      </c>
      <c r="B1493" s="40" t="str">
        <f>IF(Agent08_Loans!B105="","",Agent08_Loans!B105)</f>
        <v/>
      </c>
      <c r="C1493" s="40" t="str">
        <f>IF(Agent08_Loans!B105="","",Agent08_Loans!C105)</f>
        <v/>
      </c>
      <c r="D1493" s="41" t="str">
        <f>IF(Agent08_Loans!B105="","",Agent08_Loans!D105)</f>
        <v/>
      </c>
      <c r="E1493" s="43" t="str">
        <f>IF(Agent08_Loans!B105="","",Agent08_Loans!E105)</f>
        <v/>
      </c>
      <c r="F1493" s="40" t="str">
        <f>IF(Agent08_Loans!B105="","",Agent08_Loans!F105)</f>
        <v/>
      </c>
      <c r="G1493" s="40" t="str">
        <f>IF(Agent08_Loans!B105="","",Agent08_Loans!G105)</f>
        <v/>
      </c>
      <c r="H1493" s="40" t="str">
        <f>IF(Agent08_Loans!B105="","",Agent08_Loans!H105)</f>
        <v/>
      </c>
      <c r="I1493" s="43" t="str">
        <f>IF(Agent08_Loans!B105="","",Agent08_Loans!I105)</f>
        <v/>
      </c>
      <c r="J1493" s="43" t="str">
        <f>IF(Agent08_Loans!B105="","",Agent08_Loans!J105)</f>
        <v/>
      </c>
      <c r="K1493" s="40" t="str">
        <f>IF(Agent08_Loans!B105="","",Agent08_Loans!K105)</f>
        <v/>
      </c>
      <c r="L1493" s="40" t="str">
        <f>IF(Agent08_Loans!B105="","",Agent08_Loans!L105)</f>
        <v/>
      </c>
      <c r="M1493" s="40" t="str">
        <f>IFERROR(IF(Agent08_Loans!B105="","",YEAR(Agent08_Loans!D105)),"")</f>
        <v/>
      </c>
    </row>
    <row r="1494" spans="1:13" ht="18" customHeight="1" x14ac:dyDescent="0.25">
      <c r="A1494" s="40" t="str">
        <f>IF(Agent08_Loans!B106="","",Agent08_Loans!A106)</f>
        <v/>
      </c>
      <c r="B1494" s="40" t="str">
        <f>IF(Agent08_Loans!B106="","",Agent08_Loans!B106)</f>
        <v/>
      </c>
      <c r="C1494" s="40" t="str">
        <f>IF(Agent08_Loans!B106="","",Agent08_Loans!C106)</f>
        <v/>
      </c>
      <c r="D1494" s="41" t="str">
        <f>IF(Agent08_Loans!B106="","",Agent08_Loans!D106)</f>
        <v/>
      </c>
      <c r="E1494" s="43" t="str">
        <f>IF(Agent08_Loans!B106="","",Agent08_Loans!E106)</f>
        <v/>
      </c>
      <c r="F1494" s="40" t="str">
        <f>IF(Agent08_Loans!B106="","",Agent08_Loans!F106)</f>
        <v/>
      </c>
      <c r="G1494" s="40" t="str">
        <f>IF(Agent08_Loans!B106="","",Agent08_Loans!G106)</f>
        <v/>
      </c>
      <c r="H1494" s="40" t="str">
        <f>IF(Agent08_Loans!B106="","",Agent08_Loans!H106)</f>
        <v/>
      </c>
      <c r="I1494" s="43" t="str">
        <f>IF(Agent08_Loans!B106="","",Agent08_Loans!I106)</f>
        <v/>
      </c>
      <c r="J1494" s="43" t="str">
        <f>IF(Agent08_Loans!B106="","",Agent08_Loans!J106)</f>
        <v/>
      </c>
      <c r="K1494" s="40" t="str">
        <f>IF(Agent08_Loans!B106="","",Agent08_Loans!K106)</f>
        <v/>
      </c>
      <c r="L1494" s="40" t="str">
        <f>IF(Agent08_Loans!B106="","",Agent08_Loans!L106)</f>
        <v/>
      </c>
      <c r="M1494" s="40" t="str">
        <f>IFERROR(IF(Agent08_Loans!B106="","",YEAR(Agent08_Loans!D106)),"")</f>
        <v/>
      </c>
    </row>
    <row r="1495" spans="1:13" ht="18" customHeight="1" x14ac:dyDescent="0.25">
      <c r="A1495" s="40" t="str">
        <f>IF(Agent08_Loans!B107="","",Agent08_Loans!A107)</f>
        <v/>
      </c>
      <c r="B1495" s="40" t="str">
        <f>IF(Agent08_Loans!B107="","",Agent08_Loans!B107)</f>
        <v/>
      </c>
      <c r="C1495" s="40" t="str">
        <f>IF(Agent08_Loans!B107="","",Agent08_Loans!C107)</f>
        <v/>
      </c>
      <c r="D1495" s="41" t="str">
        <f>IF(Agent08_Loans!B107="","",Agent08_Loans!D107)</f>
        <v/>
      </c>
      <c r="E1495" s="43" t="str">
        <f>IF(Agent08_Loans!B107="","",Agent08_Loans!E107)</f>
        <v/>
      </c>
      <c r="F1495" s="40" t="str">
        <f>IF(Agent08_Loans!B107="","",Agent08_Loans!F107)</f>
        <v/>
      </c>
      <c r="G1495" s="40" t="str">
        <f>IF(Agent08_Loans!B107="","",Agent08_Loans!G107)</f>
        <v/>
      </c>
      <c r="H1495" s="40" t="str">
        <f>IF(Agent08_Loans!B107="","",Agent08_Loans!H107)</f>
        <v/>
      </c>
      <c r="I1495" s="43" t="str">
        <f>IF(Agent08_Loans!B107="","",Agent08_Loans!I107)</f>
        <v/>
      </c>
      <c r="J1495" s="43" t="str">
        <f>IF(Agent08_Loans!B107="","",Agent08_Loans!J107)</f>
        <v/>
      </c>
      <c r="K1495" s="40" t="str">
        <f>IF(Agent08_Loans!B107="","",Agent08_Loans!K107)</f>
        <v/>
      </c>
      <c r="L1495" s="40" t="str">
        <f>IF(Agent08_Loans!B107="","",Agent08_Loans!L107)</f>
        <v/>
      </c>
      <c r="M1495" s="40" t="str">
        <f>IFERROR(IF(Agent08_Loans!B107="","",YEAR(Agent08_Loans!D107)),"")</f>
        <v/>
      </c>
    </row>
    <row r="1496" spans="1:13" ht="18" customHeight="1" x14ac:dyDescent="0.25">
      <c r="A1496" s="40" t="str">
        <f>IF(Agent08_Loans!B108="","",Agent08_Loans!A108)</f>
        <v/>
      </c>
      <c r="B1496" s="40" t="str">
        <f>IF(Agent08_Loans!B108="","",Agent08_Loans!B108)</f>
        <v/>
      </c>
      <c r="C1496" s="40" t="str">
        <f>IF(Agent08_Loans!B108="","",Agent08_Loans!C108)</f>
        <v/>
      </c>
      <c r="D1496" s="41" t="str">
        <f>IF(Agent08_Loans!B108="","",Agent08_Loans!D108)</f>
        <v/>
      </c>
      <c r="E1496" s="43" t="str">
        <f>IF(Agent08_Loans!B108="","",Agent08_Loans!E108)</f>
        <v/>
      </c>
      <c r="F1496" s="40" t="str">
        <f>IF(Agent08_Loans!B108="","",Agent08_Loans!F108)</f>
        <v/>
      </c>
      <c r="G1496" s="40" t="str">
        <f>IF(Agent08_Loans!B108="","",Agent08_Loans!G108)</f>
        <v/>
      </c>
      <c r="H1496" s="40" t="str">
        <f>IF(Agent08_Loans!B108="","",Agent08_Loans!H108)</f>
        <v/>
      </c>
      <c r="I1496" s="43" t="str">
        <f>IF(Agent08_Loans!B108="","",Agent08_Loans!I108)</f>
        <v/>
      </c>
      <c r="J1496" s="43" t="str">
        <f>IF(Agent08_Loans!B108="","",Agent08_Loans!J108)</f>
        <v/>
      </c>
      <c r="K1496" s="40" t="str">
        <f>IF(Agent08_Loans!B108="","",Agent08_Loans!K108)</f>
        <v/>
      </c>
      <c r="L1496" s="40" t="str">
        <f>IF(Agent08_Loans!B108="","",Agent08_Loans!L108)</f>
        <v/>
      </c>
      <c r="M1496" s="40" t="str">
        <f>IFERROR(IF(Agent08_Loans!B108="","",YEAR(Agent08_Loans!D108)),"")</f>
        <v/>
      </c>
    </row>
    <row r="1497" spans="1:13" ht="18" customHeight="1" x14ac:dyDescent="0.25">
      <c r="A1497" s="40" t="str">
        <f>IF(Agent08_Loans!B109="","",Agent08_Loans!A109)</f>
        <v/>
      </c>
      <c r="B1497" s="40" t="str">
        <f>IF(Agent08_Loans!B109="","",Agent08_Loans!B109)</f>
        <v/>
      </c>
      <c r="C1497" s="40" t="str">
        <f>IF(Agent08_Loans!B109="","",Agent08_Loans!C109)</f>
        <v/>
      </c>
      <c r="D1497" s="41" t="str">
        <f>IF(Agent08_Loans!B109="","",Agent08_Loans!D109)</f>
        <v/>
      </c>
      <c r="E1497" s="43" t="str">
        <f>IF(Agent08_Loans!B109="","",Agent08_Loans!E109)</f>
        <v/>
      </c>
      <c r="F1497" s="40" t="str">
        <f>IF(Agent08_Loans!B109="","",Agent08_Loans!F109)</f>
        <v/>
      </c>
      <c r="G1497" s="40" t="str">
        <f>IF(Agent08_Loans!B109="","",Agent08_Loans!G109)</f>
        <v/>
      </c>
      <c r="H1497" s="40" t="str">
        <f>IF(Agent08_Loans!B109="","",Agent08_Loans!H109)</f>
        <v/>
      </c>
      <c r="I1497" s="43" t="str">
        <f>IF(Agent08_Loans!B109="","",Agent08_Loans!I109)</f>
        <v/>
      </c>
      <c r="J1497" s="43" t="str">
        <f>IF(Agent08_Loans!B109="","",Agent08_Loans!J109)</f>
        <v/>
      </c>
      <c r="K1497" s="40" t="str">
        <f>IF(Agent08_Loans!B109="","",Agent08_Loans!K109)</f>
        <v/>
      </c>
      <c r="L1497" s="40" t="str">
        <f>IF(Agent08_Loans!B109="","",Agent08_Loans!L109)</f>
        <v/>
      </c>
      <c r="M1497" s="40" t="str">
        <f>IFERROR(IF(Agent08_Loans!B109="","",YEAR(Agent08_Loans!D109)),"")</f>
        <v/>
      </c>
    </row>
    <row r="1498" spans="1:13" ht="18" customHeight="1" x14ac:dyDescent="0.25">
      <c r="A1498" s="40" t="str">
        <f>IF(Agent08_Loans!B110="","",Agent08_Loans!A110)</f>
        <v/>
      </c>
      <c r="B1498" s="40" t="str">
        <f>IF(Agent08_Loans!B110="","",Agent08_Loans!B110)</f>
        <v/>
      </c>
      <c r="C1498" s="40" t="str">
        <f>IF(Agent08_Loans!B110="","",Agent08_Loans!C110)</f>
        <v/>
      </c>
      <c r="D1498" s="41" t="str">
        <f>IF(Agent08_Loans!B110="","",Agent08_Loans!D110)</f>
        <v/>
      </c>
      <c r="E1498" s="43" t="str">
        <f>IF(Agent08_Loans!B110="","",Agent08_Loans!E110)</f>
        <v/>
      </c>
      <c r="F1498" s="40" t="str">
        <f>IF(Agent08_Loans!B110="","",Agent08_Loans!F110)</f>
        <v/>
      </c>
      <c r="G1498" s="40" t="str">
        <f>IF(Agent08_Loans!B110="","",Agent08_Loans!G110)</f>
        <v/>
      </c>
      <c r="H1498" s="40" t="str">
        <f>IF(Agent08_Loans!B110="","",Agent08_Loans!H110)</f>
        <v/>
      </c>
      <c r="I1498" s="43" t="str">
        <f>IF(Agent08_Loans!B110="","",Agent08_Loans!I110)</f>
        <v/>
      </c>
      <c r="J1498" s="43" t="str">
        <f>IF(Agent08_Loans!B110="","",Agent08_Loans!J110)</f>
        <v/>
      </c>
      <c r="K1498" s="40" t="str">
        <f>IF(Agent08_Loans!B110="","",Agent08_Loans!K110)</f>
        <v/>
      </c>
      <c r="L1498" s="40" t="str">
        <f>IF(Agent08_Loans!B110="","",Agent08_Loans!L110)</f>
        <v/>
      </c>
      <c r="M1498" s="40" t="str">
        <f>IFERROR(IF(Agent08_Loans!B110="","",YEAR(Agent08_Loans!D110)),"")</f>
        <v/>
      </c>
    </row>
    <row r="1499" spans="1:13" ht="18" customHeight="1" x14ac:dyDescent="0.25">
      <c r="A1499" s="40" t="str">
        <f>IF(Agent08_Loans!B111="","",Agent08_Loans!A111)</f>
        <v/>
      </c>
      <c r="B1499" s="40" t="str">
        <f>IF(Agent08_Loans!B111="","",Agent08_Loans!B111)</f>
        <v/>
      </c>
      <c r="C1499" s="40" t="str">
        <f>IF(Agent08_Loans!B111="","",Agent08_Loans!C111)</f>
        <v/>
      </c>
      <c r="D1499" s="41" t="str">
        <f>IF(Agent08_Loans!B111="","",Agent08_Loans!D111)</f>
        <v/>
      </c>
      <c r="E1499" s="43" t="str">
        <f>IF(Agent08_Loans!B111="","",Agent08_Loans!E111)</f>
        <v/>
      </c>
      <c r="F1499" s="40" t="str">
        <f>IF(Agent08_Loans!B111="","",Agent08_Loans!F111)</f>
        <v/>
      </c>
      <c r="G1499" s="40" t="str">
        <f>IF(Agent08_Loans!B111="","",Agent08_Loans!G111)</f>
        <v/>
      </c>
      <c r="H1499" s="40" t="str">
        <f>IF(Agent08_Loans!B111="","",Agent08_Loans!H111)</f>
        <v/>
      </c>
      <c r="I1499" s="43" t="str">
        <f>IF(Agent08_Loans!B111="","",Agent08_Loans!I111)</f>
        <v/>
      </c>
      <c r="J1499" s="43" t="str">
        <f>IF(Agent08_Loans!B111="","",Agent08_Loans!J111)</f>
        <v/>
      </c>
      <c r="K1499" s="40" t="str">
        <f>IF(Agent08_Loans!B111="","",Agent08_Loans!K111)</f>
        <v/>
      </c>
      <c r="L1499" s="40" t="str">
        <f>IF(Agent08_Loans!B111="","",Agent08_Loans!L111)</f>
        <v/>
      </c>
      <c r="M1499" s="40" t="str">
        <f>IFERROR(IF(Agent08_Loans!B111="","",YEAR(Agent08_Loans!D111)),"")</f>
        <v/>
      </c>
    </row>
    <row r="1500" spans="1:13" ht="18" customHeight="1" x14ac:dyDescent="0.25">
      <c r="A1500" s="40" t="str">
        <f>IF(Agent08_Loans!B112="","",Agent08_Loans!A112)</f>
        <v/>
      </c>
      <c r="B1500" s="40" t="str">
        <f>IF(Agent08_Loans!B112="","",Agent08_Loans!B112)</f>
        <v/>
      </c>
      <c r="C1500" s="40" t="str">
        <f>IF(Agent08_Loans!B112="","",Agent08_Loans!C112)</f>
        <v/>
      </c>
      <c r="D1500" s="41" t="str">
        <f>IF(Agent08_Loans!B112="","",Agent08_Loans!D112)</f>
        <v/>
      </c>
      <c r="E1500" s="43" t="str">
        <f>IF(Agent08_Loans!B112="","",Agent08_Loans!E112)</f>
        <v/>
      </c>
      <c r="F1500" s="40" t="str">
        <f>IF(Agent08_Loans!B112="","",Agent08_Loans!F112)</f>
        <v/>
      </c>
      <c r="G1500" s="40" t="str">
        <f>IF(Agent08_Loans!B112="","",Agent08_Loans!G112)</f>
        <v/>
      </c>
      <c r="H1500" s="40" t="str">
        <f>IF(Agent08_Loans!B112="","",Agent08_Loans!H112)</f>
        <v/>
      </c>
      <c r="I1500" s="43" t="str">
        <f>IF(Agent08_Loans!B112="","",Agent08_Loans!I112)</f>
        <v/>
      </c>
      <c r="J1500" s="43" t="str">
        <f>IF(Agent08_Loans!B112="","",Agent08_Loans!J112)</f>
        <v/>
      </c>
      <c r="K1500" s="40" t="str">
        <f>IF(Agent08_Loans!B112="","",Agent08_Loans!K112)</f>
        <v/>
      </c>
      <c r="L1500" s="40" t="str">
        <f>IF(Agent08_Loans!B112="","",Agent08_Loans!L112)</f>
        <v/>
      </c>
      <c r="M1500" s="40" t="str">
        <f>IFERROR(IF(Agent08_Loans!B112="","",YEAR(Agent08_Loans!D112)),"")</f>
        <v/>
      </c>
    </row>
    <row r="1501" spans="1:13" ht="18" customHeight="1" x14ac:dyDescent="0.25">
      <c r="A1501" s="40" t="str">
        <f>IF(Agent08_Loans!B113="","",Agent08_Loans!A113)</f>
        <v/>
      </c>
      <c r="B1501" s="40" t="str">
        <f>IF(Agent08_Loans!B113="","",Agent08_Loans!B113)</f>
        <v/>
      </c>
      <c r="C1501" s="40" t="str">
        <f>IF(Agent08_Loans!B113="","",Agent08_Loans!C113)</f>
        <v/>
      </c>
      <c r="D1501" s="41" t="str">
        <f>IF(Agent08_Loans!B113="","",Agent08_Loans!D113)</f>
        <v/>
      </c>
      <c r="E1501" s="43" t="str">
        <f>IF(Agent08_Loans!B113="","",Agent08_Loans!E113)</f>
        <v/>
      </c>
      <c r="F1501" s="40" t="str">
        <f>IF(Agent08_Loans!B113="","",Agent08_Loans!F113)</f>
        <v/>
      </c>
      <c r="G1501" s="40" t="str">
        <f>IF(Agent08_Loans!B113="","",Agent08_Loans!G113)</f>
        <v/>
      </c>
      <c r="H1501" s="40" t="str">
        <f>IF(Agent08_Loans!B113="","",Agent08_Loans!H113)</f>
        <v/>
      </c>
      <c r="I1501" s="43" t="str">
        <f>IF(Agent08_Loans!B113="","",Agent08_Loans!I113)</f>
        <v/>
      </c>
      <c r="J1501" s="43" t="str">
        <f>IF(Agent08_Loans!B113="","",Agent08_Loans!J113)</f>
        <v/>
      </c>
      <c r="K1501" s="40" t="str">
        <f>IF(Agent08_Loans!B113="","",Agent08_Loans!K113)</f>
        <v/>
      </c>
      <c r="L1501" s="40" t="str">
        <f>IF(Agent08_Loans!B113="","",Agent08_Loans!L113)</f>
        <v/>
      </c>
      <c r="M1501" s="40" t="str">
        <f>IFERROR(IF(Agent08_Loans!B113="","",YEAR(Agent08_Loans!D113)),"")</f>
        <v/>
      </c>
    </row>
    <row r="1502" spans="1:13" ht="18" customHeight="1" x14ac:dyDescent="0.25">
      <c r="A1502" s="40" t="str">
        <f>IF(Agent08_Loans!B114="","",Agent08_Loans!A114)</f>
        <v/>
      </c>
      <c r="B1502" s="40" t="str">
        <f>IF(Agent08_Loans!B114="","",Agent08_Loans!B114)</f>
        <v/>
      </c>
      <c r="C1502" s="40" t="str">
        <f>IF(Agent08_Loans!B114="","",Agent08_Loans!C114)</f>
        <v/>
      </c>
      <c r="D1502" s="41" t="str">
        <f>IF(Agent08_Loans!B114="","",Agent08_Loans!D114)</f>
        <v/>
      </c>
      <c r="E1502" s="43" t="str">
        <f>IF(Agent08_Loans!B114="","",Agent08_Loans!E114)</f>
        <v/>
      </c>
      <c r="F1502" s="40" t="str">
        <f>IF(Agent08_Loans!B114="","",Agent08_Loans!F114)</f>
        <v/>
      </c>
      <c r="G1502" s="40" t="str">
        <f>IF(Agent08_Loans!B114="","",Agent08_Loans!G114)</f>
        <v/>
      </c>
      <c r="H1502" s="40" t="str">
        <f>IF(Agent08_Loans!B114="","",Agent08_Loans!H114)</f>
        <v/>
      </c>
      <c r="I1502" s="43" t="str">
        <f>IF(Agent08_Loans!B114="","",Agent08_Loans!I114)</f>
        <v/>
      </c>
      <c r="J1502" s="43" t="str">
        <f>IF(Agent08_Loans!B114="","",Agent08_Loans!J114)</f>
        <v/>
      </c>
      <c r="K1502" s="40" t="str">
        <f>IF(Agent08_Loans!B114="","",Agent08_Loans!K114)</f>
        <v/>
      </c>
      <c r="L1502" s="40" t="str">
        <f>IF(Agent08_Loans!B114="","",Agent08_Loans!L114)</f>
        <v/>
      </c>
      <c r="M1502" s="40" t="str">
        <f>IFERROR(IF(Agent08_Loans!B114="","",YEAR(Agent08_Loans!D114)),"")</f>
        <v/>
      </c>
    </row>
    <row r="1503" spans="1:13" ht="18" customHeight="1" x14ac:dyDescent="0.25">
      <c r="A1503" s="40" t="str">
        <f>IF(Agent08_Loans!B115="","",Agent08_Loans!A115)</f>
        <v/>
      </c>
      <c r="B1503" s="40" t="str">
        <f>IF(Agent08_Loans!B115="","",Agent08_Loans!B115)</f>
        <v/>
      </c>
      <c r="C1503" s="40" t="str">
        <f>IF(Agent08_Loans!B115="","",Agent08_Loans!C115)</f>
        <v/>
      </c>
      <c r="D1503" s="41" t="str">
        <f>IF(Agent08_Loans!B115="","",Agent08_Loans!D115)</f>
        <v/>
      </c>
      <c r="E1503" s="43" t="str">
        <f>IF(Agent08_Loans!B115="","",Agent08_Loans!E115)</f>
        <v/>
      </c>
      <c r="F1503" s="40" t="str">
        <f>IF(Agent08_Loans!B115="","",Agent08_Loans!F115)</f>
        <v/>
      </c>
      <c r="G1503" s="40" t="str">
        <f>IF(Agent08_Loans!B115="","",Agent08_Loans!G115)</f>
        <v/>
      </c>
      <c r="H1503" s="40" t="str">
        <f>IF(Agent08_Loans!B115="","",Agent08_Loans!H115)</f>
        <v/>
      </c>
      <c r="I1503" s="43" t="str">
        <f>IF(Agent08_Loans!B115="","",Agent08_Loans!I115)</f>
        <v/>
      </c>
      <c r="J1503" s="43" t="str">
        <f>IF(Agent08_Loans!B115="","",Agent08_Loans!J115)</f>
        <v/>
      </c>
      <c r="K1503" s="40" t="str">
        <f>IF(Agent08_Loans!B115="","",Agent08_Loans!K115)</f>
        <v/>
      </c>
      <c r="L1503" s="40" t="str">
        <f>IF(Agent08_Loans!B115="","",Agent08_Loans!L115)</f>
        <v/>
      </c>
      <c r="M1503" s="40" t="str">
        <f>IFERROR(IF(Agent08_Loans!B115="","",YEAR(Agent08_Loans!D115)),"")</f>
        <v/>
      </c>
    </row>
    <row r="1504" spans="1:13" ht="18" customHeight="1" x14ac:dyDescent="0.25">
      <c r="A1504" s="40" t="str">
        <f>IF(Agent08_Loans!B116="","",Agent08_Loans!A116)</f>
        <v/>
      </c>
      <c r="B1504" s="40" t="str">
        <f>IF(Agent08_Loans!B116="","",Agent08_Loans!B116)</f>
        <v/>
      </c>
      <c r="C1504" s="40" t="str">
        <f>IF(Agent08_Loans!B116="","",Agent08_Loans!C116)</f>
        <v/>
      </c>
      <c r="D1504" s="41" t="str">
        <f>IF(Agent08_Loans!B116="","",Agent08_Loans!D116)</f>
        <v/>
      </c>
      <c r="E1504" s="43" t="str">
        <f>IF(Agent08_Loans!B116="","",Agent08_Loans!E116)</f>
        <v/>
      </c>
      <c r="F1504" s="40" t="str">
        <f>IF(Agent08_Loans!B116="","",Agent08_Loans!F116)</f>
        <v/>
      </c>
      <c r="G1504" s="40" t="str">
        <f>IF(Agent08_Loans!B116="","",Agent08_Loans!G116)</f>
        <v/>
      </c>
      <c r="H1504" s="40" t="str">
        <f>IF(Agent08_Loans!B116="","",Agent08_Loans!H116)</f>
        <v/>
      </c>
      <c r="I1504" s="43" t="str">
        <f>IF(Agent08_Loans!B116="","",Agent08_Loans!I116)</f>
        <v/>
      </c>
      <c r="J1504" s="43" t="str">
        <f>IF(Agent08_Loans!B116="","",Agent08_Loans!J116)</f>
        <v/>
      </c>
      <c r="K1504" s="40" t="str">
        <f>IF(Agent08_Loans!B116="","",Agent08_Loans!K116)</f>
        <v/>
      </c>
      <c r="L1504" s="40" t="str">
        <f>IF(Agent08_Loans!B116="","",Agent08_Loans!L116)</f>
        <v/>
      </c>
      <c r="M1504" s="40" t="str">
        <f>IFERROR(IF(Agent08_Loans!B116="","",YEAR(Agent08_Loans!D116)),"")</f>
        <v/>
      </c>
    </row>
    <row r="1505" spans="1:13" ht="18" customHeight="1" x14ac:dyDescent="0.25">
      <c r="A1505" s="40" t="str">
        <f>IF(Agent08_Loans!B117="","",Agent08_Loans!A117)</f>
        <v/>
      </c>
      <c r="B1505" s="40" t="str">
        <f>IF(Agent08_Loans!B117="","",Agent08_Loans!B117)</f>
        <v/>
      </c>
      <c r="C1505" s="40" t="str">
        <f>IF(Agent08_Loans!B117="","",Agent08_Loans!C117)</f>
        <v/>
      </c>
      <c r="D1505" s="41" t="str">
        <f>IF(Agent08_Loans!B117="","",Agent08_Loans!D117)</f>
        <v/>
      </c>
      <c r="E1505" s="43" t="str">
        <f>IF(Agent08_Loans!B117="","",Agent08_Loans!E117)</f>
        <v/>
      </c>
      <c r="F1505" s="40" t="str">
        <f>IF(Agent08_Loans!B117="","",Agent08_Loans!F117)</f>
        <v/>
      </c>
      <c r="G1505" s="40" t="str">
        <f>IF(Agent08_Loans!B117="","",Agent08_Loans!G117)</f>
        <v/>
      </c>
      <c r="H1505" s="40" t="str">
        <f>IF(Agent08_Loans!B117="","",Agent08_Loans!H117)</f>
        <v/>
      </c>
      <c r="I1505" s="43" t="str">
        <f>IF(Agent08_Loans!B117="","",Agent08_Loans!I117)</f>
        <v/>
      </c>
      <c r="J1505" s="43" t="str">
        <f>IF(Agent08_Loans!B117="","",Agent08_Loans!J117)</f>
        <v/>
      </c>
      <c r="K1505" s="40" t="str">
        <f>IF(Agent08_Loans!B117="","",Agent08_Loans!K117)</f>
        <v/>
      </c>
      <c r="L1505" s="40" t="str">
        <f>IF(Agent08_Loans!B117="","",Agent08_Loans!L117)</f>
        <v/>
      </c>
      <c r="M1505" s="40" t="str">
        <f>IFERROR(IF(Agent08_Loans!B117="","",YEAR(Agent08_Loans!D117)),"")</f>
        <v/>
      </c>
    </row>
    <row r="1506" spans="1:13" ht="18" customHeight="1" x14ac:dyDescent="0.25">
      <c r="A1506" s="40" t="str">
        <f>IF(Agent08_Loans!B118="","",Agent08_Loans!A118)</f>
        <v/>
      </c>
      <c r="B1506" s="40" t="str">
        <f>IF(Agent08_Loans!B118="","",Agent08_Loans!B118)</f>
        <v/>
      </c>
      <c r="C1506" s="40" t="str">
        <f>IF(Agent08_Loans!B118="","",Agent08_Loans!C118)</f>
        <v/>
      </c>
      <c r="D1506" s="41" t="str">
        <f>IF(Agent08_Loans!B118="","",Agent08_Loans!D118)</f>
        <v/>
      </c>
      <c r="E1506" s="43" t="str">
        <f>IF(Agent08_Loans!B118="","",Agent08_Loans!E118)</f>
        <v/>
      </c>
      <c r="F1506" s="40" t="str">
        <f>IF(Agent08_Loans!B118="","",Agent08_Loans!F118)</f>
        <v/>
      </c>
      <c r="G1506" s="40" t="str">
        <f>IF(Agent08_Loans!B118="","",Agent08_Loans!G118)</f>
        <v/>
      </c>
      <c r="H1506" s="40" t="str">
        <f>IF(Agent08_Loans!B118="","",Agent08_Loans!H118)</f>
        <v/>
      </c>
      <c r="I1506" s="43" t="str">
        <f>IF(Agent08_Loans!B118="","",Agent08_Loans!I118)</f>
        <v/>
      </c>
      <c r="J1506" s="43" t="str">
        <f>IF(Agent08_Loans!B118="","",Agent08_Loans!J118)</f>
        <v/>
      </c>
      <c r="K1506" s="40" t="str">
        <f>IF(Agent08_Loans!B118="","",Agent08_Loans!K118)</f>
        <v/>
      </c>
      <c r="L1506" s="40" t="str">
        <f>IF(Agent08_Loans!B118="","",Agent08_Loans!L118)</f>
        <v/>
      </c>
      <c r="M1506" s="40" t="str">
        <f>IFERROR(IF(Agent08_Loans!B118="","",YEAR(Agent08_Loans!D118)),"")</f>
        <v/>
      </c>
    </row>
    <row r="1507" spans="1:13" ht="18" customHeight="1" x14ac:dyDescent="0.25">
      <c r="A1507" s="40" t="str">
        <f>IF(Agent08_Loans!B119="","",Agent08_Loans!A119)</f>
        <v/>
      </c>
      <c r="B1507" s="40" t="str">
        <f>IF(Agent08_Loans!B119="","",Agent08_Loans!B119)</f>
        <v/>
      </c>
      <c r="C1507" s="40" t="str">
        <f>IF(Agent08_Loans!B119="","",Agent08_Loans!C119)</f>
        <v/>
      </c>
      <c r="D1507" s="41" t="str">
        <f>IF(Agent08_Loans!B119="","",Agent08_Loans!D119)</f>
        <v/>
      </c>
      <c r="E1507" s="43" t="str">
        <f>IF(Agent08_Loans!B119="","",Agent08_Loans!E119)</f>
        <v/>
      </c>
      <c r="F1507" s="40" t="str">
        <f>IF(Agent08_Loans!B119="","",Agent08_Loans!F119)</f>
        <v/>
      </c>
      <c r="G1507" s="40" t="str">
        <f>IF(Agent08_Loans!B119="","",Agent08_Loans!G119)</f>
        <v/>
      </c>
      <c r="H1507" s="40" t="str">
        <f>IF(Agent08_Loans!B119="","",Agent08_Loans!H119)</f>
        <v/>
      </c>
      <c r="I1507" s="43" t="str">
        <f>IF(Agent08_Loans!B119="","",Agent08_Loans!I119)</f>
        <v/>
      </c>
      <c r="J1507" s="43" t="str">
        <f>IF(Agent08_Loans!B119="","",Agent08_Loans!J119)</f>
        <v/>
      </c>
      <c r="K1507" s="40" t="str">
        <f>IF(Agent08_Loans!B119="","",Agent08_Loans!K119)</f>
        <v/>
      </c>
      <c r="L1507" s="40" t="str">
        <f>IF(Agent08_Loans!B119="","",Agent08_Loans!L119)</f>
        <v/>
      </c>
      <c r="M1507" s="40" t="str">
        <f>IFERROR(IF(Agent08_Loans!B119="","",YEAR(Agent08_Loans!D119)),"")</f>
        <v/>
      </c>
    </row>
    <row r="1508" spans="1:13" ht="18" customHeight="1" x14ac:dyDescent="0.25">
      <c r="A1508" s="40" t="str">
        <f>IF(Agent08_Loans!B120="","",Agent08_Loans!A120)</f>
        <v/>
      </c>
      <c r="B1508" s="40" t="str">
        <f>IF(Agent08_Loans!B120="","",Agent08_Loans!B120)</f>
        <v/>
      </c>
      <c r="C1508" s="40" t="str">
        <f>IF(Agent08_Loans!B120="","",Agent08_Loans!C120)</f>
        <v/>
      </c>
      <c r="D1508" s="41" t="str">
        <f>IF(Agent08_Loans!B120="","",Agent08_Loans!D120)</f>
        <v/>
      </c>
      <c r="E1508" s="43" t="str">
        <f>IF(Agent08_Loans!B120="","",Agent08_Loans!E120)</f>
        <v/>
      </c>
      <c r="F1508" s="40" t="str">
        <f>IF(Agent08_Loans!B120="","",Agent08_Loans!F120)</f>
        <v/>
      </c>
      <c r="G1508" s="40" t="str">
        <f>IF(Agent08_Loans!B120="","",Agent08_Loans!G120)</f>
        <v/>
      </c>
      <c r="H1508" s="40" t="str">
        <f>IF(Agent08_Loans!B120="","",Agent08_Loans!H120)</f>
        <v/>
      </c>
      <c r="I1508" s="43" t="str">
        <f>IF(Agent08_Loans!B120="","",Agent08_Loans!I120)</f>
        <v/>
      </c>
      <c r="J1508" s="43" t="str">
        <f>IF(Agent08_Loans!B120="","",Agent08_Loans!J120)</f>
        <v/>
      </c>
      <c r="K1508" s="40" t="str">
        <f>IF(Agent08_Loans!B120="","",Agent08_Loans!K120)</f>
        <v/>
      </c>
      <c r="L1508" s="40" t="str">
        <f>IF(Agent08_Loans!B120="","",Agent08_Loans!L120)</f>
        <v/>
      </c>
      <c r="M1508" s="40" t="str">
        <f>IFERROR(IF(Agent08_Loans!B120="","",YEAR(Agent08_Loans!D120)),"")</f>
        <v/>
      </c>
    </row>
    <row r="1509" spans="1:13" ht="18" customHeight="1" x14ac:dyDescent="0.25">
      <c r="A1509" s="40" t="str">
        <f>IF(Agent08_Loans!B121="","",Agent08_Loans!A121)</f>
        <v/>
      </c>
      <c r="B1509" s="40" t="str">
        <f>IF(Agent08_Loans!B121="","",Agent08_Loans!B121)</f>
        <v/>
      </c>
      <c r="C1509" s="40" t="str">
        <f>IF(Agent08_Loans!B121="","",Agent08_Loans!C121)</f>
        <v/>
      </c>
      <c r="D1509" s="41" t="str">
        <f>IF(Agent08_Loans!B121="","",Agent08_Loans!D121)</f>
        <v/>
      </c>
      <c r="E1509" s="43" t="str">
        <f>IF(Agent08_Loans!B121="","",Agent08_Loans!E121)</f>
        <v/>
      </c>
      <c r="F1509" s="40" t="str">
        <f>IF(Agent08_Loans!B121="","",Agent08_Loans!F121)</f>
        <v/>
      </c>
      <c r="G1509" s="40" t="str">
        <f>IF(Agent08_Loans!B121="","",Agent08_Loans!G121)</f>
        <v/>
      </c>
      <c r="H1509" s="40" t="str">
        <f>IF(Agent08_Loans!B121="","",Agent08_Loans!H121)</f>
        <v/>
      </c>
      <c r="I1509" s="43" t="str">
        <f>IF(Agent08_Loans!B121="","",Agent08_Loans!I121)</f>
        <v/>
      </c>
      <c r="J1509" s="43" t="str">
        <f>IF(Agent08_Loans!B121="","",Agent08_Loans!J121)</f>
        <v/>
      </c>
      <c r="K1509" s="40" t="str">
        <f>IF(Agent08_Loans!B121="","",Agent08_Loans!K121)</f>
        <v/>
      </c>
      <c r="L1509" s="40" t="str">
        <f>IF(Agent08_Loans!B121="","",Agent08_Loans!L121)</f>
        <v/>
      </c>
      <c r="M1509" s="40" t="str">
        <f>IFERROR(IF(Agent08_Loans!B121="","",YEAR(Agent08_Loans!D121)),"")</f>
        <v/>
      </c>
    </row>
    <row r="1510" spans="1:13" ht="18" customHeight="1" x14ac:dyDescent="0.25">
      <c r="A1510" s="40" t="str">
        <f>IF(Agent08_Loans!B122="","",Agent08_Loans!A122)</f>
        <v/>
      </c>
      <c r="B1510" s="40" t="str">
        <f>IF(Agent08_Loans!B122="","",Agent08_Loans!B122)</f>
        <v/>
      </c>
      <c r="C1510" s="40" t="str">
        <f>IF(Agent08_Loans!B122="","",Agent08_Loans!C122)</f>
        <v/>
      </c>
      <c r="D1510" s="41" t="str">
        <f>IF(Agent08_Loans!B122="","",Agent08_Loans!D122)</f>
        <v/>
      </c>
      <c r="E1510" s="43" t="str">
        <f>IF(Agent08_Loans!B122="","",Agent08_Loans!E122)</f>
        <v/>
      </c>
      <c r="F1510" s="40" t="str">
        <f>IF(Agent08_Loans!B122="","",Agent08_Loans!F122)</f>
        <v/>
      </c>
      <c r="G1510" s="40" t="str">
        <f>IF(Agent08_Loans!B122="","",Agent08_Loans!G122)</f>
        <v/>
      </c>
      <c r="H1510" s="40" t="str">
        <f>IF(Agent08_Loans!B122="","",Agent08_Loans!H122)</f>
        <v/>
      </c>
      <c r="I1510" s="43" t="str">
        <f>IF(Agent08_Loans!B122="","",Agent08_Loans!I122)</f>
        <v/>
      </c>
      <c r="J1510" s="43" t="str">
        <f>IF(Agent08_Loans!B122="","",Agent08_Loans!J122)</f>
        <v/>
      </c>
      <c r="K1510" s="40" t="str">
        <f>IF(Agent08_Loans!B122="","",Agent08_Loans!K122)</f>
        <v/>
      </c>
      <c r="L1510" s="40" t="str">
        <f>IF(Agent08_Loans!B122="","",Agent08_Loans!L122)</f>
        <v/>
      </c>
      <c r="M1510" s="40" t="str">
        <f>IFERROR(IF(Agent08_Loans!B122="","",YEAR(Agent08_Loans!D122)),"")</f>
        <v/>
      </c>
    </row>
    <row r="1511" spans="1:13" ht="18" customHeight="1" x14ac:dyDescent="0.25">
      <c r="A1511" s="40" t="str">
        <f>IF(Agent08_Loans!B123="","",Agent08_Loans!A123)</f>
        <v/>
      </c>
      <c r="B1511" s="40" t="str">
        <f>IF(Agent08_Loans!B123="","",Agent08_Loans!B123)</f>
        <v/>
      </c>
      <c r="C1511" s="40" t="str">
        <f>IF(Agent08_Loans!B123="","",Agent08_Loans!C123)</f>
        <v/>
      </c>
      <c r="D1511" s="41" t="str">
        <f>IF(Agent08_Loans!B123="","",Agent08_Loans!D123)</f>
        <v/>
      </c>
      <c r="E1511" s="43" t="str">
        <f>IF(Agent08_Loans!B123="","",Agent08_Loans!E123)</f>
        <v/>
      </c>
      <c r="F1511" s="40" t="str">
        <f>IF(Agent08_Loans!B123="","",Agent08_Loans!F123)</f>
        <v/>
      </c>
      <c r="G1511" s="40" t="str">
        <f>IF(Agent08_Loans!B123="","",Agent08_Loans!G123)</f>
        <v/>
      </c>
      <c r="H1511" s="40" t="str">
        <f>IF(Agent08_Loans!B123="","",Agent08_Loans!H123)</f>
        <v/>
      </c>
      <c r="I1511" s="43" t="str">
        <f>IF(Agent08_Loans!B123="","",Agent08_Loans!I123)</f>
        <v/>
      </c>
      <c r="J1511" s="43" t="str">
        <f>IF(Agent08_Loans!B123="","",Agent08_Loans!J123)</f>
        <v/>
      </c>
      <c r="K1511" s="40" t="str">
        <f>IF(Agent08_Loans!B123="","",Agent08_Loans!K123)</f>
        <v/>
      </c>
      <c r="L1511" s="40" t="str">
        <f>IF(Agent08_Loans!B123="","",Agent08_Loans!L123)</f>
        <v/>
      </c>
      <c r="M1511" s="40" t="str">
        <f>IFERROR(IF(Agent08_Loans!B123="","",YEAR(Agent08_Loans!D123)),"")</f>
        <v/>
      </c>
    </row>
    <row r="1512" spans="1:13" ht="18" customHeight="1" x14ac:dyDescent="0.25">
      <c r="A1512" s="40" t="str">
        <f>IF(Agent08_Loans!B124="","",Agent08_Loans!A124)</f>
        <v/>
      </c>
      <c r="B1512" s="40" t="str">
        <f>IF(Agent08_Loans!B124="","",Agent08_Loans!B124)</f>
        <v/>
      </c>
      <c r="C1512" s="40" t="str">
        <f>IF(Agent08_Loans!B124="","",Agent08_Loans!C124)</f>
        <v/>
      </c>
      <c r="D1512" s="41" t="str">
        <f>IF(Agent08_Loans!B124="","",Agent08_Loans!D124)</f>
        <v/>
      </c>
      <c r="E1512" s="43" t="str">
        <f>IF(Agent08_Loans!B124="","",Agent08_Loans!E124)</f>
        <v/>
      </c>
      <c r="F1512" s="40" t="str">
        <f>IF(Agent08_Loans!B124="","",Agent08_Loans!F124)</f>
        <v/>
      </c>
      <c r="G1512" s="40" t="str">
        <f>IF(Agent08_Loans!B124="","",Agent08_Loans!G124)</f>
        <v/>
      </c>
      <c r="H1512" s="40" t="str">
        <f>IF(Agent08_Loans!B124="","",Agent08_Loans!H124)</f>
        <v/>
      </c>
      <c r="I1512" s="43" t="str">
        <f>IF(Agent08_Loans!B124="","",Agent08_Loans!I124)</f>
        <v/>
      </c>
      <c r="J1512" s="43" t="str">
        <f>IF(Agent08_Loans!B124="","",Agent08_Loans!J124)</f>
        <v/>
      </c>
      <c r="K1512" s="40" t="str">
        <f>IF(Agent08_Loans!B124="","",Agent08_Loans!K124)</f>
        <v/>
      </c>
      <c r="L1512" s="40" t="str">
        <f>IF(Agent08_Loans!B124="","",Agent08_Loans!L124)</f>
        <v/>
      </c>
      <c r="M1512" s="40" t="str">
        <f>IFERROR(IF(Agent08_Loans!B124="","",YEAR(Agent08_Loans!D124)),"")</f>
        <v/>
      </c>
    </row>
    <row r="1513" spans="1:13" ht="18" customHeight="1" x14ac:dyDescent="0.25">
      <c r="A1513" s="40" t="str">
        <f>IF(Agent08_Loans!B125="","",Agent08_Loans!A125)</f>
        <v/>
      </c>
      <c r="B1513" s="40" t="str">
        <f>IF(Agent08_Loans!B125="","",Agent08_Loans!B125)</f>
        <v/>
      </c>
      <c r="C1513" s="40" t="str">
        <f>IF(Agent08_Loans!B125="","",Agent08_Loans!C125)</f>
        <v/>
      </c>
      <c r="D1513" s="41" t="str">
        <f>IF(Agent08_Loans!B125="","",Agent08_Loans!D125)</f>
        <v/>
      </c>
      <c r="E1513" s="43" t="str">
        <f>IF(Agent08_Loans!B125="","",Agent08_Loans!E125)</f>
        <v/>
      </c>
      <c r="F1513" s="40" t="str">
        <f>IF(Agent08_Loans!B125="","",Agent08_Loans!F125)</f>
        <v/>
      </c>
      <c r="G1513" s="40" t="str">
        <f>IF(Agent08_Loans!B125="","",Agent08_Loans!G125)</f>
        <v/>
      </c>
      <c r="H1513" s="40" t="str">
        <f>IF(Agent08_Loans!B125="","",Agent08_Loans!H125)</f>
        <v/>
      </c>
      <c r="I1513" s="43" t="str">
        <f>IF(Agent08_Loans!B125="","",Agent08_Loans!I125)</f>
        <v/>
      </c>
      <c r="J1513" s="43" t="str">
        <f>IF(Agent08_Loans!B125="","",Agent08_Loans!J125)</f>
        <v/>
      </c>
      <c r="K1513" s="40" t="str">
        <f>IF(Agent08_Loans!B125="","",Agent08_Loans!K125)</f>
        <v/>
      </c>
      <c r="L1513" s="40" t="str">
        <f>IF(Agent08_Loans!B125="","",Agent08_Loans!L125)</f>
        <v/>
      </c>
      <c r="M1513" s="40" t="str">
        <f>IFERROR(IF(Agent08_Loans!B125="","",YEAR(Agent08_Loans!D125)),"")</f>
        <v/>
      </c>
    </row>
    <row r="1514" spans="1:13" ht="18" customHeight="1" x14ac:dyDescent="0.25">
      <c r="A1514" s="40" t="str">
        <f>IF(Agent08_Loans!B126="","",Agent08_Loans!A126)</f>
        <v/>
      </c>
      <c r="B1514" s="40" t="str">
        <f>IF(Agent08_Loans!B126="","",Agent08_Loans!B126)</f>
        <v/>
      </c>
      <c r="C1514" s="40" t="str">
        <f>IF(Agent08_Loans!B126="","",Agent08_Loans!C126)</f>
        <v/>
      </c>
      <c r="D1514" s="41" t="str">
        <f>IF(Agent08_Loans!B126="","",Agent08_Loans!D126)</f>
        <v/>
      </c>
      <c r="E1514" s="43" t="str">
        <f>IF(Agent08_Loans!B126="","",Agent08_Loans!E126)</f>
        <v/>
      </c>
      <c r="F1514" s="40" t="str">
        <f>IF(Agent08_Loans!B126="","",Agent08_Loans!F126)</f>
        <v/>
      </c>
      <c r="G1514" s="40" t="str">
        <f>IF(Agent08_Loans!B126="","",Agent08_Loans!G126)</f>
        <v/>
      </c>
      <c r="H1514" s="40" t="str">
        <f>IF(Agent08_Loans!B126="","",Agent08_Loans!H126)</f>
        <v/>
      </c>
      <c r="I1514" s="43" t="str">
        <f>IF(Agent08_Loans!B126="","",Agent08_Loans!I126)</f>
        <v/>
      </c>
      <c r="J1514" s="43" t="str">
        <f>IF(Agent08_Loans!B126="","",Agent08_Loans!J126)</f>
        <v/>
      </c>
      <c r="K1514" s="40" t="str">
        <f>IF(Agent08_Loans!B126="","",Agent08_Loans!K126)</f>
        <v/>
      </c>
      <c r="L1514" s="40" t="str">
        <f>IF(Agent08_Loans!B126="","",Agent08_Loans!L126)</f>
        <v/>
      </c>
      <c r="M1514" s="40" t="str">
        <f>IFERROR(IF(Agent08_Loans!B126="","",YEAR(Agent08_Loans!D126)),"")</f>
        <v/>
      </c>
    </row>
    <row r="1515" spans="1:13" ht="18" customHeight="1" x14ac:dyDescent="0.25">
      <c r="A1515" s="40" t="str">
        <f>IF(Agent08_Loans!B127="","",Agent08_Loans!A127)</f>
        <v/>
      </c>
      <c r="B1515" s="40" t="str">
        <f>IF(Agent08_Loans!B127="","",Agent08_Loans!B127)</f>
        <v/>
      </c>
      <c r="C1515" s="40" t="str">
        <f>IF(Agent08_Loans!B127="","",Agent08_Loans!C127)</f>
        <v/>
      </c>
      <c r="D1515" s="41" t="str">
        <f>IF(Agent08_Loans!B127="","",Agent08_Loans!D127)</f>
        <v/>
      </c>
      <c r="E1515" s="43" t="str">
        <f>IF(Agent08_Loans!B127="","",Agent08_Loans!E127)</f>
        <v/>
      </c>
      <c r="F1515" s="40" t="str">
        <f>IF(Agent08_Loans!B127="","",Agent08_Loans!F127)</f>
        <v/>
      </c>
      <c r="G1515" s="40" t="str">
        <f>IF(Agent08_Loans!B127="","",Agent08_Loans!G127)</f>
        <v/>
      </c>
      <c r="H1515" s="40" t="str">
        <f>IF(Agent08_Loans!B127="","",Agent08_Loans!H127)</f>
        <v/>
      </c>
      <c r="I1515" s="43" t="str">
        <f>IF(Agent08_Loans!B127="","",Agent08_Loans!I127)</f>
        <v/>
      </c>
      <c r="J1515" s="43" t="str">
        <f>IF(Agent08_Loans!B127="","",Agent08_Loans!J127)</f>
        <v/>
      </c>
      <c r="K1515" s="40" t="str">
        <f>IF(Agent08_Loans!B127="","",Agent08_Loans!K127)</f>
        <v/>
      </c>
      <c r="L1515" s="40" t="str">
        <f>IF(Agent08_Loans!B127="","",Agent08_Loans!L127)</f>
        <v/>
      </c>
      <c r="M1515" s="40" t="str">
        <f>IFERROR(IF(Agent08_Loans!B127="","",YEAR(Agent08_Loans!D127)),"")</f>
        <v/>
      </c>
    </row>
    <row r="1516" spans="1:13" ht="18" customHeight="1" x14ac:dyDescent="0.25">
      <c r="A1516" s="40" t="str">
        <f>IF(Agent08_Loans!B128="","",Agent08_Loans!A128)</f>
        <v/>
      </c>
      <c r="B1516" s="40" t="str">
        <f>IF(Agent08_Loans!B128="","",Agent08_Loans!B128)</f>
        <v/>
      </c>
      <c r="C1516" s="40" t="str">
        <f>IF(Agent08_Loans!B128="","",Agent08_Loans!C128)</f>
        <v/>
      </c>
      <c r="D1516" s="41" t="str">
        <f>IF(Agent08_Loans!B128="","",Agent08_Loans!D128)</f>
        <v/>
      </c>
      <c r="E1516" s="43" t="str">
        <f>IF(Agent08_Loans!B128="","",Agent08_Loans!E128)</f>
        <v/>
      </c>
      <c r="F1516" s="40" t="str">
        <f>IF(Agent08_Loans!B128="","",Agent08_Loans!F128)</f>
        <v/>
      </c>
      <c r="G1516" s="40" t="str">
        <f>IF(Agent08_Loans!B128="","",Agent08_Loans!G128)</f>
        <v/>
      </c>
      <c r="H1516" s="40" t="str">
        <f>IF(Agent08_Loans!B128="","",Agent08_Loans!H128)</f>
        <v/>
      </c>
      <c r="I1516" s="43" t="str">
        <f>IF(Agent08_Loans!B128="","",Agent08_Loans!I128)</f>
        <v/>
      </c>
      <c r="J1516" s="43" t="str">
        <f>IF(Agent08_Loans!B128="","",Agent08_Loans!J128)</f>
        <v/>
      </c>
      <c r="K1516" s="40" t="str">
        <f>IF(Agent08_Loans!B128="","",Agent08_Loans!K128)</f>
        <v/>
      </c>
      <c r="L1516" s="40" t="str">
        <f>IF(Agent08_Loans!B128="","",Agent08_Loans!L128)</f>
        <v/>
      </c>
      <c r="M1516" s="40" t="str">
        <f>IFERROR(IF(Agent08_Loans!B128="","",YEAR(Agent08_Loans!D128)),"")</f>
        <v/>
      </c>
    </row>
    <row r="1517" spans="1:13" ht="18" customHeight="1" x14ac:dyDescent="0.25">
      <c r="A1517" s="40" t="str">
        <f>IF(Agent08_Loans!B129="","",Agent08_Loans!A129)</f>
        <v/>
      </c>
      <c r="B1517" s="40" t="str">
        <f>IF(Agent08_Loans!B129="","",Agent08_Loans!B129)</f>
        <v/>
      </c>
      <c r="C1517" s="40" t="str">
        <f>IF(Agent08_Loans!B129="","",Agent08_Loans!C129)</f>
        <v/>
      </c>
      <c r="D1517" s="41" t="str">
        <f>IF(Agent08_Loans!B129="","",Agent08_Loans!D129)</f>
        <v/>
      </c>
      <c r="E1517" s="43" t="str">
        <f>IF(Agent08_Loans!B129="","",Agent08_Loans!E129)</f>
        <v/>
      </c>
      <c r="F1517" s="40" t="str">
        <f>IF(Agent08_Loans!B129="","",Agent08_Loans!F129)</f>
        <v/>
      </c>
      <c r="G1517" s="40" t="str">
        <f>IF(Agent08_Loans!B129="","",Agent08_Loans!G129)</f>
        <v/>
      </c>
      <c r="H1517" s="40" t="str">
        <f>IF(Agent08_Loans!B129="","",Agent08_Loans!H129)</f>
        <v/>
      </c>
      <c r="I1517" s="43" t="str">
        <f>IF(Agent08_Loans!B129="","",Agent08_Loans!I129)</f>
        <v/>
      </c>
      <c r="J1517" s="43" t="str">
        <f>IF(Agent08_Loans!B129="","",Agent08_Loans!J129)</f>
        <v/>
      </c>
      <c r="K1517" s="40" t="str">
        <f>IF(Agent08_Loans!B129="","",Agent08_Loans!K129)</f>
        <v/>
      </c>
      <c r="L1517" s="40" t="str">
        <f>IF(Agent08_Loans!B129="","",Agent08_Loans!L129)</f>
        <v/>
      </c>
      <c r="M1517" s="40" t="str">
        <f>IFERROR(IF(Agent08_Loans!B129="","",YEAR(Agent08_Loans!D129)),"")</f>
        <v/>
      </c>
    </row>
    <row r="1518" spans="1:13" ht="18" customHeight="1" x14ac:dyDescent="0.25">
      <c r="A1518" s="40" t="str">
        <f>IF(Agent08_Loans!B130="","",Agent08_Loans!A130)</f>
        <v/>
      </c>
      <c r="B1518" s="40" t="str">
        <f>IF(Agent08_Loans!B130="","",Agent08_Loans!B130)</f>
        <v/>
      </c>
      <c r="C1518" s="40" t="str">
        <f>IF(Agent08_Loans!B130="","",Agent08_Loans!C130)</f>
        <v/>
      </c>
      <c r="D1518" s="41" t="str">
        <f>IF(Agent08_Loans!B130="","",Agent08_Loans!D130)</f>
        <v/>
      </c>
      <c r="E1518" s="43" t="str">
        <f>IF(Agent08_Loans!B130="","",Agent08_Loans!E130)</f>
        <v/>
      </c>
      <c r="F1518" s="40" t="str">
        <f>IF(Agent08_Loans!B130="","",Agent08_Loans!F130)</f>
        <v/>
      </c>
      <c r="G1518" s="40" t="str">
        <f>IF(Agent08_Loans!B130="","",Agent08_Loans!G130)</f>
        <v/>
      </c>
      <c r="H1518" s="40" t="str">
        <f>IF(Agent08_Loans!B130="","",Agent08_Loans!H130)</f>
        <v/>
      </c>
      <c r="I1518" s="43" t="str">
        <f>IF(Agent08_Loans!B130="","",Agent08_Loans!I130)</f>
        <v/>
      </c>
      <c r="J1518" s="43" t="str">
        <f>IF(Agent08_Loans!B130="","",Agent08_Loans!J130)</f>
        <v/>
      </c>
      <c r="K1518" s="40" t="str">
        <f>IF(Agent08_Loans!B130="","",Agent08_Loans!K130)</f>
        <v/>
      </c>
      <c r="L1518" s="40" t="str">
        <f>IF(Agent08_Loans!B130="","",Agent08_Loans!L130)</f>
        <v/>
      </c>
      <c r="M1518" s="40" t="str">
        <f>IFERROR(IF(Agent08_Loans!B130="","",YEAR(Agent08_Loans!D130)),"")</f>
        <v/>
      </c>
    </row>
    <row r="1519" spans="1:13" ht="18" customHeight="1" x14ac:dyDescent="0.25">
      <c r="A1519" s="40" t="str">
        <f>IF(Agent08_Loans!B131="","",Agent08_Loans!A131)</f>
        <v/>
      </c>
      <c r="B1519" s="40" t="str">
        <f>IF(Agent08_Loans!B131="","",Agent08_Loans!B131)</f>
        <v/>
      </c>
      <c r="C1519" s="40" t="str">
        <f>IF(Agent08_Loans!B131="","",Agent08_Loans!C131)</f>
        <v/>
      </c>
      <c r="D1519" s="41" t="str">
        <f>IF(Agent08_Loans!B131="","",Agent08_Loans!D131)</f>
        <v/>
      </c>
      <c r="E1519" s="43" t="str">
        <f>IF(Agent08_Loans!B131="","",Agent08_Loans!E131)</f>
        <v/>
      </c>
      <c r="F1519" s="40" t="str">
        <f>IF(Agent08_Loans!B131="","",Agent08_Loans!F131)</f>
        <v/>
      </c>
      <c r="G1519" s="40" t="str">
        <f>IF(Agent08_Loans!B131="","",Agent08_Loans!G131)</f>
        <v/>
      </c>
      <c r="H1519" s="40" t="str">
        <f>IF(Agent08_Loans!B131="","",Agent08_Loans!H131)</f>
        <v/>
      </c>
      <c r="I1519" s="43" t="str">
        <f>IF(Agent08_Loans!B131="","",Agent08_Loans!I131)</f>
        <v/>
      </c>
      <c r="J1519" s="43" t="str">
        <f>IF(Agent08_Loans!B131="","",Agent08_Loans!J131)</f>
        <v/>
      </c>
      <c r="K1519" s="40" t="str">
        <f>IF(Agent08_Loans!B131="","",Agent08_Loans!K131)</f>
        <v/>
      </c>
      <c r="L1519" s="40" t="str">
        <f>IF(Agent08_Loans!B131="","",Agent08_Loans!L131)</f>
        <v/>
      </c>
      <c r="M1519" s="40" t="str">
        <f>IFERROR(IF(Agent08_Loans!B131="","",YEAR(Agent08_Loans!D131)),"")</f>
        <v/>
      </c>
    </row>
    <row r="1520" spans="1:13" ht="18" customHeight="1" x14ac:dyDescent="0.25">
      <c r="A1520" s="40" t="str">
        <f>IF(Agent08_Loans!B132="","",Agent08_Loans!A132)</f>
        <v/>
      </c>
      <c r="B1520" s="40" t="str">
        <f>IF(Agent08_Loans!B132="","",Agent08_Loans!B132)</f>
        <v/>
      </c>
      <c r="C1520" s="40" t="str">
        <f>IF(Agent08_Loans!B132="","",Agent08_Loans!C132)</f>
        <v/>
      </c>
      <c r="D1520" s="41" t="str">
        <f>IF(Agent08_Loans!B132="","",Agent08_Loans!D132)</f>
        <v/>
      </c>
      <c r="E1520" s="43" t="str">
        <f>IF(Agent08_Loans!B132="","",Agent08_Loans!E132)</f>
        <v/>
      </c>
      <c r="F1520" s="40" t="str">
        <f>IF(Agent08_Loans!B132="","",Agent08_Loans!F132)</f>
        <v/>
      </c>
      <c r="G1520" s="40" t="str">
        <f>IF(Agent08_Loans!B132="","",Agent08_Loans!G132)</f>
        <v/>
      </c>
      <c r="H1520" s="40" t="str">
        <f>IF(Agent08_Loans!B132="","",Agent08_Loans!H132)</f>
        <v/>
      </c>
      <c r="I1520" s="43" t="str">
        <f>IF(Agent08_Loans!B132="","",Agent08_Loans!I132)</f>
        <v/>
      </c>
      <c r="J1520" s="43" t="str">
        <f>IF(Agent08_Loans!B132="","",Agent08_Loans!J132)</f>
        <v/>
      </c>
      <c r="K1520" s="40" t="str">
        <f>IF(Agent08_Loans!B132="","",Agent08_Loans!K132)</f>
        <v/>
      </c>
      <c r="L1520" s="40" t="str">
        <f>IF(Agent08_Loans!B132="","",Agent08_Loans!L132)</f>
        <v/>
      </c>
      <c r="M1520" s="40" t="str">
        <f>IFERROR(IF(Agent08_Loans!B132="","",YEAR(Agent08_Loans!D132)),"")</f>
        <v/>
      </c>
    </row>
    <row r="1521" spans="1:13" ht="18" customHeight="1" x14ac:dyDescent="0.25">
      <c r="A1521" s="40" t="str">
        <f>IF(Agent08_Loans!B133="","",Agent08_Loans!A133)</f>
        <v/>
      </c>
      <c r="B1521" s="40" t="str">
        <f>IF(Agent08_Loans!B133="","",Agent08_Loans!B133)</f>
        <v/>
      </c>
      <c r="C1521" s="40" t="str">
        <f>IF(Agent08_Loans!B133="","",Agent08_Loans!C133)</f>
        <v/>
      </c>
      <c r="D1521" s="41" t="str">
        <f>IF(Agent08_Loans!B133="","",Agent08_Loans!D133)</f>
        <v/>
      </c>
      <c r="E1521" s="43" t="str">
        <f>IF(Agent08_Loans!B133="","",Agent08_Loans!E133)</f>
        <v/>
      </c>
      <c r="F1521" s="40" t="str">
        <f>IF(Agent08_Loans!B133="","",Agent08_Loans!F133)</f>
        <v/>
      </c>
      <c r="G1521" s="40" t="str">
        <f>IF(Agent08_Loans!B133="","",Agent08_Loans!G133)</f>
        <v/>
      </c>
      <c r="H1521" s="40" t="str">
        <f>IF(Agent08_Loans!B133="","",Agent08_Loans!H133)</f>
        <v/>
      </c>
      <c r="I1521" s="43" t="str">
        <f>IF(Agent08_Loans!B133="","",Agent08_Loans!I133)</f>
        <v/>
      </c>
      <c r="J1521" s="43" t="str">
        <f>IF(Agent08_Loans!B133="","",Agent08_Loans!J133)</f>
        <v/>
      </c>
      <c r="K1521" s="40" t="str">
        <f>IF(Agent08_Loans!B133="","",Agent08_Loans!K133)</f>
        <v/>
      </c>
      <c r="L1521" s="40" t="str">
        <f>IF(Agent08_Loans!B133="","",Agent08_Loans!L133)</f>
        <v/>
      </c>
      <c r="M1521" s="40" t="str">
        <f>IFERROR(IF(Agent08_Loans!B133="","",YEAR(Agent08_Loans!D133)),"")</f>
        <v/>
      </c>
    </row>
    <row r="1522" spans="1:13" ht="18" customHeight="1" x14ac:dyDescent="0.25">
      <c r="A1522" s="40" t="str">
        <f>IF(Agent08_Loans!B134="","",Agent08_Loans!A134)</f>
        <v/>
      </c>
      <c r="B1522" s="40" t="str">
        <f>IF(Agent08_Loans!B134="","",Agent08_Loans!B134)</f>
        <v/>
      </c>
      <c r="C1522" s="40" t="str">
        <f>IF(Agent08_Loans!B134="","",Agent08_Loans!C134)</f>
        <v/>
      </c>
      <c r="D1522" s="41" t="str">
        <f>IF(Agent08_Loans!B134="","",Agent08_Loans!D134)</f>
        <v/>
      </c>
      <c r="E1522" s="43" t="str">
        <f>IF(Agent08_Loans!B134="","",Agent08_Loans!E134)</f>
        <v/>
      </c>
      <c r="F1522" s="40" t="str">
        <f>IF(Agent08_Loans!B134="","",Agent08_Loans!F134)</f>
        <v/>
      </c>
      <c r="G1522" s="40" t="str">
        <f>IF(Agent08_Loans!B134="","",Agent08_Loans!G134)</f>
        <v/>
      </c>
      <c r="H1522" s="40" t="str">
        <f>IF(Agent08_Loans!B134="","",Agent08_Loans!H134)</f>
        <v/>
      </c>
      <c r="I1522" s="43" t="str">
        <f>IF(Agent08_Loans!B134="","",Agent08_Loans!I134)</f>
        <v/>
      </c>
      <c r="J1522" s="43" t="str">
        <f>IF(Agent08_Loans!B134="","",Agent08_Loans!J134)</f>
        <v/>
      </c>
      <c r="K1522" s="40" t="str">
        <f>IF(Agent08_Loans!B134="","",Agent08_Loans!K134)</f>
        <v/>
      </c>
      <c r="L1522" s="40" t="str">
        <f>IF(Agent08_Loans!B134="","",Agent08_Loans!L134)</f>
        <v/>
      </c>
      <c r="M1522" s="40" t="str">
        <f>IFERROR(IF(Agent08_Loans!B134="","",YEAR(Agent08_Loans!D134)),"")</f>
        <v/>
      </c>
    </row>
    <row r="1523" spans="1:13" ht="18" customHeight="1" x14ac:dyDescent="0.25">
      <c r="A1523" s="40" t="str">
        <f>IF(Agent08_Loans!B135="","",Agent08_Loans!A135)</f>
        <v/>
      </c>
      <c r="B1523" s="40" t="str">
        <f>IF(Agent08_Loans!B135="","",Agent08_Loans!B135)</f>
        <v/>
      </c>
      <c r="C1523" s="40" t="str">
        <f>IF(Agent08_Loans!B135="","",Agent08_Loans!C135)</f>
        <v/>
      </c>
      <c r="D1523" s="41" t="str">
        <f>IF(Agent08_Loans!B135="","",Agent08_Loans!D135)</f>
        <v/>
      </c>
      <c r="E1523" s="43" t="str">
        <f>IF(Agent08_Loans!B135="","",Agent08_Loans!E135)</f>
        <v/>
      </c>
      <c r="F1523" s="40" t="str">
        <f>IF(Agent08_Loans!B135="","",Agent08_Loans!F135)</f>
        <v/>
      </c>
      <c r="G1523" s="40" t="str">
        <f>IF(Agent08_Loans!B135="","",Agent08_Loans!G135)</f>
        <v/>
      </c>
      <c r="H1523" s="40" t="str">
        <f>IF(Agent08_Loans!B135="","",Agent08_Loans!H135)</f>
        <v/>
      </c>
      <c r="I1523" s="43" t="str">
        <f>IF(Agent08_Loans!B135="","",Agent08_Loans!I135)</f>
        <v/>
      </c>
      <c r="J1523" s="43" t="str">
        <f>IF(Agent08_Loans!B135="","",Agent08_Loans!J135)</f>
        <v/>
      </c>
      <c r="K1523" s="40" t="str">
        <f>IF(Agent08_Loans!B135="","",Agent08_Loans!K135)</f>
        <v/>
      </c>
      <c r="L1523" s="40" t="str">
        <f>IF(Agent08_Loans!B135="","",Agent08_Loans!L135)</f>
        <v/>
      </c>
      <c r="M1523" s="40" t="str">
        <f>IFERROR(IF(Agent08_Loans!B135="","",YEAR(Agent08_Loans!D135)),"")</f>
        <v/>
      </c>
    </row>
    <row r="1524" spans="1:13" ht="18" customHeight="1" x14ac:dyDescent="0.25">
      <c r="A1524" s="40" t="str">
        <f>IF(Agent08_Loans!B136="","",Agent08_Loans!A136)</f>
        <v/>
      </c>
      <c r="B1524" s="40" t="str">
        <f>IF(Agent08_Loans!B136="","",Agent08_Loans!B136)</f>
        <v/>
      </c>
      <c r="C1524" s="40" t="str">
        <f>IF(Agent08_Loans!B136="","",Agent08_Loans!C136)</f>
        <v/>
      </c>
      <c r="D1524" s="41" t="str">
        <f>IF(Agent08_Loans!B136="","",Agent08_Loans!D136)</f>
        <v/>
      </c>
      <c r="E1524" s="43" t="str">
        <f>IF(Agent08_Loans!B136="","",Agent08_Loans!E136)</f>
        <v/>
      </c>
      <c r="F1524" s="40" t="str">
        <f>IF(Agent08_Loans!B136="","",Agent08_Loans!F136)</f>
        <v/>
      </c>
      <c r="G1524" s="40" t="str">
        <f>IF(Agent08_Loans!B136="","",Agent08_Loans!G136)</f>
        <v/>
      </c>
      <c r="H1524" s="40" t="str">
        <f>IF(Agent08_Loans!B136="","",Agent08_Loans!H136)</f>
        <v/>
      </c>
      <c r="I1524" s="43" t="str">
        <f>IF(Agent08_Loans!B136="","",Agent08_Loans!I136)</f>
        <v/>
      </c>
      <c r="J1524" s="43" t="str">
        <f>IF(Agent08_Loans!B136="","",Agent08_Loans!J136)</f>
        <v/>
      </c>
      <c r="K1524" s="40" t="str">
        <f>IF(Agent08_Loans!B136="","",Agent08_Loans!K136)</f>
        <v/>
      </c>
      <c r="L1524" s="40" t="str">
        <f>IF(Agent08_Loans!B136="","",Agent08_Loans!L136)</f>
        <v/>
      </c>
      <c r="M1524" s="40" t="str">
        <f>IFERROR(IF(Agent08_Loans!B136="","",YEAR(Agent08_Loans!D136)),"")</f>
        <v/>
      </c>
    </row>
    <row r="1525" spans="1:13" ht="18" customHeight="1" x14ac:dyDescent="0.25">
      <c r="A1525" s="40" t="str">
        <f>IF(Agent08_Loans!B137="","",Agent08_Loans!A137)</f>
        <v/>
      </c>
      <c r="B1525" s="40" t="str">
        <f>IF(Agent08_Loans!B137="","",Agent08_Loans!B137)</f>
        <v/>
      </c>
      <c r="C1525" s="40" t="str">
        <f>IF(Agent08_Loans!B137="","",Agent08_Loans!C137)</f>
        <v/>
      </c>
      <c r="D1525" s="41" t="str">
        <f>IF(Agent08_Loans!B137="","",Agent08_Loans!D137)</f>
        <v/>
      </c>
      <c r="E1525" s="43" t="str">
        <f>IF(Agent08_Loans!B137="","",Agent08_Loans!E137)</f>
        <v/>
      </c>
      <c r="F1525" s="40" t="str">
        <f>IF(Agent08_Loans!B137="","",Agent08_Loans!F137)</f>
        <v/>
      </c>
      <c r="G1525" s="40" t="str">
        <f>IF(Agent08_Loans!B137="","",Agent08_Loans!G137)</f>
        <v/>
      </c>
      <c r="H1525" s="40" t="str">
        <f>IF(Agent08_Loans!B137="","",Agent08_Loans!H137)</f>
        <v/>
      </c>
      <c r="I1525" s="43" t="str">
        <f>IF(Agent08_Loans!B137="","",Agent08_Loans!I137)</f>
        <v/>
      </c>
      <c r="J1525" s="43" t="str">
        <f>IF(Agent08_Loans!B137="","",Agent08_Loans!J137)</f>
        <v/>
      </c>
      <c r="K1525" s="40" t="str">
        <f>IF(Agent08_Loans!B137="","",Agent08_Loans!K137)</f>
        <v/>
      </c>
      <c r="L1525" s="40" t="str">
        <f>IF(Agent08_Loans!B137="","",Agent08_Loans!L137)</f>
        <v/>
      </c>
      <c r="M1525" s="40" t="str">
        <f>IFERROR(IF(Agent08_Loans!B137="","",YEAR(Agent08_Loans!D137)),"")</f>
        <v/>
      </c>
    </row>
    <row r="1526" spans="1:13" ht="18" customHeight="1" x14ac:dyDescent="0.25">
      <c r="A1526" s="40" t="str">
        <f>IF(Agent08_Loans!B138="","",Agent08_Loans!A138)</f>
        <v/>
      </c>
      <c r="B1526" s="40" t="str">
        <f>IF(Agent08_Loans!B138="","",Agent08_Loans!B138)</f>
        <v/>
      </c>
      <c r="C1526" s="40" t="str">
        <f>IF(Agent08_Loans!B138="","",Agent08_Loans!C138)</f>
        <v/>
      </c>
      <c r="D1526" s="41" t="str">
        <f>IF(Agent08_Loans!B138="","",Agent08_Loans!D138)</f>
        <v/>
      </c>
      <c r="E1526" s="43" t="str">
        <f>IF(Agent08_Loans!B138="","",Agent08_Loans!E138)</f>
        <v/>
      </c>
      <c r="F1526" s="40" t="str">
        <f>IF(Agent08_Loans!B138="","",Agent08_Loans!F138)</f>
        <v/>
      </c>
      <c r="G1526" s="40" t="str">
        <f>IF(Agent08_Loans!B138="","",Agent08_Loans!G138)</f>
        <v/>
      </c>
      <c r="H1526" s="40" t="str">
        <f>IF(Agent08_Loans!B138="","",Agent08_Loans!H138)</f>
        <v/>
      </c>
      <c r="I1526" s="43" t="str">
        <f>IF(Agent08_Loans!B138="","",Agent08_Loans!I138)</f>
        <v/>
      </c>
      <c r="J1526" s="43" t="str">
        <f>IF(Agent08_Loans!B138="","",Agent08_Loans!J138)</f>
        <v/>
      </c>
      <c r="K1526" s="40" t="str">
        <f>IF(Agent08_Loans!B138="","",Agent08_Loans!K138)</f>
        <v/>
      </c>
      <c r="L1526" s="40" t="str">
        <f>IF(Agent08_Loans!B138="","",Agent08_Loans!L138)</f>
        <v/>
      </c>
      <c r="M1526" s="40" t="str">
        <f>IFERROR(IF(Agent08_Loans!B138="","",YEAR(Agent08_Loans!D138)),"")</f>
        <v/>
      </c>
    </row>
    <row r="1527" spans="1:13" ht="18" customHeight="1" x14ac:dyDescent="0.25">
      <c r="A1527" s="40" t="str">
        <f>IF(Agent08_Loans!B139="","",Agent08_Loans!A139)</f>
        <v/>
      </c>
      <c r="B1527" s="40" t="str">
        <f>IF(Agent08_Loans!B139="","",Agent08_Loans!B139)</f>
        <v/>
      </c>
      <c r="C1527" s="40" t="str">
        <f>IF(Agent08_Loans!B139="","",Agent08_Loans!C139)</f>
        <v/>
      </c>
      <c r="D1527" s="41" t="str">
        <f>IF(Agent08_Loans!B139="","",Agent08_Loans!D139)</f>
        <v/>
      </c>
      <c r="E1527" s="43" t="str">
        <f>IF(Agent08_Loans!B139="","",Agent08_Loans!E139)</f>
        <v/>
      </c>
      <c r="F1527" s="40" t="str">
        <f>IF(Agent08_Loans!B139="","",Agent08_Loans!F139)</f>
        <v/>
      </c>
      <c r="G1527" s="40" t="str">
        <f>IF(Agent08_Loans!B139="","",Agent08_Loans!G139)</f>
        <v/>
      </c>
      <c r="H1527" s="40" t="str">
        <f>IF(Agent08_Loans!B139="","",Agent08_Loans!H139)</f>
        <v/>
      </c>
      <c r="I1527" s="43" t="str">
        <f>IF(Agent08_Loans!B139="","",Agent08_Loans!I139)</f>
        <v/>
      </c>
      <c r="J1527" s="43" t="str">
        <f>IF(Agent08_Loans!B139="","",Agent08_Loans!J139)</f>
        <v/>
      </c>
      <c r="K1527" s="40" t="str">
        <f>IF(Agent08_Loans!B139="","",Agent08_Loans!K139)</f>
        <v/>
      </c>
      <c r="L1527" s="40" t="str">
        <f>IF(Agent08_Loans!B139="","",Agent08_Loans!L139)</f>
        <v/>
      </c>
      <c r="M1527" s="40" t="str">
        <f>IFERROR(IF(Agent08_Loans!B139="","",YEAR(Agent08_Loans!D139)),"")</f>
        <v/>
      </c>
    </row>
    <row r="1528" spans="1:13" ht="18" customHeight="1" x14ac:dyDescent="0.25">
      <c r="A1528" s="40" t="str">
        <f>IF(Agent08_Loans!B140="","",Agent08_Loans!A140)</f>
        <v/>
      </c>
      <c r="B1528" s="40" t="str">
        <f>IF(Agent08_Loans!B140="","",Agent08_Loans!B140)</f>
        <v/>
      </c>
      <c r="C1528" s="40" t="str">
        <f>IF(Agent08_Loans!B140="","",Agent08_Loans!C140)</f>
        <v/>
      </c>
      <c r="D1528" s="41" t="str">
        <f>IF(Agent08_Loans!B140="","",Agent08_Loans!D140)</f>
        <v/>
      </c>
      <c r="E1528" s="43" t="str">
        <f>IF(Agent08_Loans!B140="","",Agent08_Loans!E140)</f>
        <v/>
      </c>
      <c r="F1528" s="40" t="str">
        <f>IF(Agent08_Loans!B140="","",Agent08_Loans!F140)</f>
        <v/>
      </c>
      <c r="G1528" s="40" t="str">
        <f>IF(Agent08_Loans!B140="","",Agent08_Loans!G140)</f>
        <v/>
      </c>
      <c r="H1528" s="40" t="str">
        <f>IF(Agent08_Loans!B140="","",Agent08_Loans!H140)</f>
        <v/>
      </c>
      <c r="I1528" s="43" t="str">
        <f>IF(Agent08_Loans!B140="","",Agent08_Loans!I140)</f>
        <v/>
      </c>
      <c r="J1528" s="43" t="str">
        <f>IF(Agent08_Loans!B140="","",Agent08_Loans!J140)</f>
        <v/>
      </c>
      <c r="K1528" s="40" t="str">
        <f>IF(Agent08_Loans!B140="","",Agent08_Loans!K140)</f>
        <v/>
      </c>
      <c r="L1528" s="40" t="str">
        <f>IF(Agent08_Loans!B140="","",Agent08_Loans!L140)</f>
        <v/>
      </c>
      <c r="M1528" s="40" t="str">
        <f>IFERROR(IF(Agent08_Loans!B140="","",YEAR(Agent08_Loans!D140)),"")</f>
        <v/>
      </c>
    </row>
    <row r="1529" spans="1:13" ht="18" customHeight="1" x14ac:dyDescent="0.25">
      <c r="A1529" s="40" t="str">
        <f>IF(Agent08_Loans!B141="","",Agent08_Loans!A141)</f>
        <v/>
      </c>
      <c r="B1529" s="40" t="str">
        <f>IF(Agent08_Loans!B141="","",Agent08_Loans!B141)</f>
        <v/>
      </c>
      <c r="C1529" s="40" t="str">
        <f>IF(Agent08_Loans!B141="","",Agent08_Loans!C141)</f>
        <v/>
      </c>
      <c r="D1529" s="41" t="str">
        <f>IF(Agent08_Loans!B141="","",Agent08_Loans!D141)</f>
        <v/>
      </c>
      <c r="E1529" s="43" t="str">
        <f>IF(Agent08_Loans!B141="","",Agent08_Loans!E141)</f>
        <v/>
      </c>
      <c r="F1529" s="40" t="str">
        <f>IF(Agent08_Loans!B141="","",Agent08_Loans!F141)</f>
        <v/>
      </c>
      <c r="G1529" s="40" t="str">
        <f>IF(Agent08_Loans!B141="","",Agent08_Loans!G141)</f>
        <v/>
      </c>
      <c r="H1529" s="40" t="str">
        <f>IF(Agent08_Loans!B141="","",Agent08_Loans!H141)</f>
        <v/>
      </c>
      <c r="I1529" s="43" t="str">
        <f>IF(Agent08_Loans!B141="","",Agent08_Loans!I141)</f>
        <v/>
      </c>
      <c r="J1529" s="43" t="str">
        <f>IF(Agent08_Loans!B141="","",Agent08_Loans!J141)</f>
        <v/>
      </c>
      <c r="K1529" s="40" t="str">
        <f>IF(Agent08_Loans!B141="","",Agent08_Loans!K141)</f>
        <v/>
      </c>
      <c r="L1529" s="40" t="str">
        <f>IF(Agent08_Loans!B141="","",Agent08_Loans!L141)</f>
        <v/>
      </c>
      <c r="M1529" s="40" t="str">
        <f>IFERROR(IF(Agent08_Loans!B141="","",YEAR(Agent08_Loans!D141)),"")</f>
        <v/>
      </c>
    </row>
    <row r="1530" spans="1:13" ht="18" customHeight="1" x14ac:dyDescent="0.25">
      <c r="A1530" s="40" t="str">
        <f>IF(Agent08_Loans!B142="","",Agent08_Loans!A142)</f>
        <v/>
      </c>
      <c r="B1530" s="40" t="str">
        <f>IF(Agent08_Loans!B142="","",Agent08_Loans!B142)</f>
        <v/>
      </c>
      <c r="C1530" s="40" t="str">
        <f>IF(Agent08_Loans!B142="","",Agent08_Loans!C142)</f>
        <v/>
      </c>
      <c r="D1530" s="41" t="str">
        <f>IF(Agent08_Loans!B142="","",Agent08_Loans!D142)</f>
        <v/>
      </c>
      <c r="E1530" s="43" t="str">
        <f>IF(Agent08_Loans!B142="","",Agent08_Loans!E142)</f>
        <v/>
      </c>
      <c r="F1530" s="40" t="str">
        <f>IF(Agent08_Loans!B142="","",Agent08_Loans!F142)</f>
        <v/>
      </c>
      <c r="G1530" s="40" t="str">
        <f>IF(Agent08_Loans!B142="","",Agent08_Loans!G142)</f>
        <v/>
      </c>
      <c r="H1530" s="40" t="str">
        <f>IF(Agent08_Loans!B142="","",Agent08_Loans!H142)</f>
        <v/>
      </c>
      <c r="I1530" s="43" t="str">
        <f>IF(Agent08_Loans!B142="","",Agent08_Loans!I142)</f>
        <v/>
      </c>
      <c r="J1530" s="43" t="str">
        <f>IF(Agent08_Loans!B142="","",Agent08_Loans!J142)</f>
        <v/>
      </c>
      <c r="K1530" s="40" t="str">
        <f>IF(Agent08_Loans!B142="","",Agent08_Loans!K142)</f>
        <v/>
      </c>
      <c r="L1530" s="40" t="str">
        <f>IF(Agent08_Loans!B142="","",Agent08_Loans!L142)</f>
        <v/>
      </c>
      <c r="M1530" s="40" t="str">
        <f>IFERROR(IF(Agent08_Loans!B142="","",YEAR(Agent08_Loans!D142)),"")</f>
        <v/>
      </c>
    </row>
    <row r="1531" spans="1:13" ht="18" customHeight="1" x14ac:dyDescent="0.25">
      <c r="A1531" s="40" t="str">
        <f>IF(Agent08_Loans!B143="","",Agent08_Loans!A143)</f>
        <v/>
      </c>
      <c r="B1531" s="40" t="str">
        <f>IF(Agent08_Loans!B143="","",Agent08_Loans!B143)</f>
        <v/>
      </c>
      <c r="C1531" s="40" t="str">
        <f>IF(Agent08_Loans!B143="","",Agent08_Loans!C143)</f>
        <v/>
      </c>
      <c r="D1531" s="41" t="str">
        <f>IF(Agent08_Loans!B143="","",Agent08_Loans!D143)</f>
        <v/>
      </c>
      <c r="E1531" s="43" t="str">
        <f>IF(Agent08_Loans!B143="","",Agent08_Loans!E143)</f>
        <v/>
      </c>
      <c r="F1531" s="40" t="str">
        <f>IF(Agent08_Loans!B143="","",Agent08_Loans!F143)</f>
        <v/>
      </c>
      <c r="G1531" s="40" t="str">
        <f>IF(Agent08_Loans!B143="","",Agent08_Loans!G143)</f>
        <v/>
      </c>
      <c r="H1531" s="40" t="str">
        <f>IF(Agent08_Loans!B143="","",Agent08_Loans!H143)</f>
        <v/>
      </c>
      <c r="I1531" s="43" t="str">
        <f>IF(Agent08_Loans!B143="","",Agent08_Loans!I143)</f>
        <v/>
      </c>
      <c r="J1531" s="43" t="str">
        <f>IF(Agent08_Loans!B143="","",Agent08_Loans!J143)</f>
        <v/>
      </c>
      <c r="K1531" s="40" t="str">
        <f>IF(Agent08_Loans!B143="","",Agent08_Loans!K143)</f>
        <v/>
      </c>
      <c r="L1531" s="40" t="str">
        <f>IF(Agent08_Loans!B143="","",Agent08_Loans!L143)</f>
        <v/>
      </c>
      <c r="M1531" s="40" t="str">
        <f>IFERROR(IF(Agent08_Loans!B143="","",YEAR(Agent08_Loans!D143)),"")</f>
        <v/>
      </c>
    </row>
    <row r="1532" spans="1:13" ht="18" customHeight="1" x14ac:dyDescent="0.25">
      <c r="A1532" s="40" t="str">
        <f>IF(Agent08_Loans!B144="","",Agent08_Loans!A144)</f>
        <v/>
      </c>
      <c r="B1532" s="40" t="str">
        <f>IF(Agent08_Loans!B144="","",Agent08_Loans!B144)</f>
        <v/>
      </c>
      <c r="C1532" s="40" t="str">
        <f>IF(Agent08_Loans!B144="","",Agent08_Loans!C144)</f>
        <v/>
      </c>
      <c r="D1532" s="41" t="str">
        <f>IF(Agent08_Loans!B144="","",Agent08_Loans!D144)</f>
        <v/>
      </c>
      <c r="E1532" s="43" t="str">
        <f>IF(Agent08_Loans!B144="","",Agent08_Loans!E144)</f>
        <v/>
      </c>
      <c r="F1532" s="40" t="str">
        <f>IF(Agent08_Loans!B144="","",Agent08_Loans!F144)</f>
        <v/>
      </c>
      <c r="G1532" s="40" t="str">
        <f>IF(Agent08_Loans!B144="","",Agent08_Loans!G144)</f>
        <v/>
      </c>
      <c r="H1532" s="40" t="str">
        <f>IF(Agent08_Loans!B144="","",Agent08_Loans!H144)</f>
        <v/>
      </c>
      <c r="I1532" s="43" t="str">
        <f>IF(Agent08_Loans!B144="","",Agent08_Loans!I144)</f>
        <v/>
      </c>
      <c r="J1532" s="43" t="str">
        <f>IF(Agent08_Loans!B144="","",Agent08_Loans!J144)</f>
        <v/>
      </c>
      <c r="K1532" s="40" t="str">
        <f>IF(Agent08_Loans!B144="","",Agent08_Loans!K144)</f>
        <v/>
      </c>
      <c r="L1532" s="40" t="str">
        <f>IF(Agent08_Loans!B144="","",Agent08_Loans!L144)</f>
        <v/>
      </c>
      <c r="M1532" s="40" t="str">
        <f>IFERROR(IF(Agent08_Loans!B144="","",YEAR(Agent08_Loans!D144)),"")</f>
        <v/>
      </c>
    </row>
    <row r="1533" spans="1:13" ht="18" customHeight="1" x14ac:dyDescent="0.25">
      <c r="A1533" s="40" t="str">
        <f>IF(Agent08_Loans!B145="","",Agent08_Loans!A145)</f>
        <v/>
      </c>
      <c r="B1533" s="40" t="str">
        <f>IF(Agent08_Loans!B145="","",Agent08_Loans!B145)</f>
        <v/>
      </c>
      <c r="C1533" s="40" t="str">
        <f>IF(Agent08_Loans!B145="","",Agent08_Loans!C145)</f>
        <v/>
      </c>
      <c r="D1533" s="41" t="str">
        <f>IF(Agent08_Loans!B145="","",Agent08_Loans!D145)</f>
        <v/>
      </c>
      <c r="E1533" s="43" t="str">
        <f>IF(Agent08_Loans!B145="","",Agent08_Loans!E145)</f>
        <v/>
      </c>
      <c r="F1533" s="40" t="str">
        <f>IF(Agent08_Loans!B145="","",Agent08_Loans!F145)</f>
        <v/>
      </c>
      <c r="G1533" s="40" t="str">
        <f>IF(Agent08_Loans!B145="","",Agent08_Loans!G145)</f>
        <v/>
      </c>
      <c r="H1533" s="40" t="str">
        <f>IF(Agent08_Loans!B145="","",Agent08_Loans!H145)</f>
        <v/>
      </c>
      <c r="I1533" s="43" t="str">
        <f>IF(Agent08_Loans!B145="","",Agent08_Loans!I145)</f>
        <v/>
      </c>
      <c r="J1533" s="43" t="str">
        <f>IF(Agent08_Loans!B145="","",Agent08_Loans!J145)</f>
        <v/>
      </c>
      <c r="K1533" s="40" t="str">
        <f>IF(Agent08_Loans!B145="","",Agent08_Loans!K145)</f>
        <v/>
      </c>
      <c r="L1533" s="40" t="str">
        <f>IF(Agent08_Loans!B145="","",Agent08_Loans!L145)</f>
        <v/>
      </c>
      <c r="M1533" s="40" t="str">
        <f>IFERROR(IF(Agent08_Loans!B145="","",YEAR(Agent08_Loans!D145)),"")</f>
        <v/>
      </c>
    </row>
    <row r="1534" spans="1:13" ht="18" customHeight="1" x14ac:dyDescent="0.25">
      <c r="A1534" s="40" t="str">
        <f>IF(Agent08_Loans!B146="","",Agent08_Loans!A146)</f>
        <v/>
      </c>
      <c r="B1534" s="40" t="str">
        <f>IF(Agent08_Loans!B146="","",Agent08_Loans!B146)</f>
        <v/>
      </c>
      <c r="C1534" s="40" t="str">
        <f>IF(Agent08_Loans!B146="","",Agent08_Loans!C146)</f>
        <v/>
      </c>
      <c r="D1534" s="41" t="str">
        <f>IF(Agent08_Loans!B146="","",Agent08_Loans!D146)</f>
        <v/>
      </c>
      <c r="E1534" s="43" t="str">
        <f>IF(Agent08_Loans!B146="","",Agent08_Loans!E146)</f>
        <v/>
      </c>
      <c r="F1534" s="40" t="str">
        <f>IF(Agent08_Loans!B146="","",Agent08_Loans!F146)</f>
        <v/>
      </c>
      <c r="G1534" s="40" t="str">
        <f>IF(Agent08_Loans!B146="","",Agent08_Loans!G146)</f>
        <v/>
      </c>
      <c r="H1534" s="40" t="str">
        <f>IF(Agent08_Loans!B146="","",Agent08_Loans!H146)</f>
        <v/>
      </c>
      <c r="I1534" s="43" t="str">
        <f>IF(Agent08_Loans!B146="","",Agent08_Loans!I146)</f>
        <v/>
      </c>
      <c r="J1534" s="43" t="str">
        <f>IF(Agent08_Loans!B146="","",Agent08_Loans!J146)</f>
        <v/>
      </c>
      <c r="K1534" s="40" t="str">
        <f>IF(Agent08_Loans!B146="","",Agent08_Loans!K146)</f>
        <v/>
      </c>
      <c r="L1534" s="40" t="str">
        <f>IF(Agent08_Loans!B146="","",Agent08_Loans!L146)</f>
        <v/>
      </c>
      <c r="M1534" s="40" t="str">
        <f>IFERROR(IF(Agent08_Loans!B146="","",YEAR(Agent08_Loans!D146)),"")</f>
        <v/>
      </c>
    </row>
    <row r="1535" spans="1:13" ht="18" customHeight="1" x14ac:dyDescent="0.25">
      <c r="A1535" s="40" t="str">
        <f>IF(Agent08_Loans!B147="","",Agent08_Loans!A147)</f>
        <v/>
      </c>
      <c r="B1535" s="40" t="str">
        <f>IF(Agent08_Loans!B147="","",Agent08_Loans!B147)</f>
        <v/>
      </c>
      <c r="C1535" s="40" t="str">
        <f>IF(Agent08_Loans!B147="","",Agent08_Loans!C147)</f>
        <v/>
      </c>
      <c r="D1535" s="41" t="str">
        <f>IF(Agent08_Loans!B147="","",Agent08_Loans!D147)</f>
        <v/>
      </c>
      <c r="E1535" s="43" t="str">
        <f>IF(Agent08_Loans!B147="","",Agent08_Loans!E147)</f>
        <v/>
      </c>
      <c r="F1535" s="40" t="str">
        <f>IF(Agent08_Loans!B147="","",Agent08_Loans!F147)</f>
        <v/>
      </c>
      <c r="G1535" s="40" t="str">
        <f>IF(Agent08_Loans!B147="","",Agent08_Loans!G147)</f>
        <v/>
      </c>
      <c r="H1535" s="40" t="str">
        <f>IF(Agent08_Loans!B147="","",Agent08_Loans!H147)</f>
        <v/>
      </c>
      <c r="I1535" s="43" t="str">
        <f>IF(Agent08_Loans!B147="","",Agent08_Loans!I147)</f>
        <v/>
      </c>
      <c r="J1535" s="43" t="str">
        <f>IF(Agent08_Loans!B147="","",Agent08_Loans!J147)</f>
        <v/>
      </c>
      <c r="K1535" s="40" t="str">
        <f>IF(Agent08_Loans!B147="","",Agent08_Loans!K147)</f>
        <v/>
      </c>
      <c r="L1535" s="40" t="str">
        <f>IF(Agent08_Loans!B147="","",Agent08_Loans!L147)</f>
        <v/>
      </c>
      <c r="M1535" s="40" t="str">
        <f>IFERROR(IF(Agent08_Loans!B147="","",YEAR(Agent08_Loans!D147)),"")</f>
        <v/>
      </c>
    </row>
    <row r="1536" spans="1:13" ht="18" customHeight="1" x14ac:dyDescent="0.25">
      <c r="A1536" s="40" t="str">
        <f>IF(Agent08_Loans!B148="","",Agent08_Loans!A148)</f>
        <v/>
      </c>
      <c r="B1536" s="40" t="str">
        <f>IF(Agent08_Loans!B148="","",Agent08_Loans!B148)</f>
        <v/>
      </c>
      <c r="C1536" s="40" t="str">
        <f>IF(Agent08_Loans!B148="","",Agent08_Loans!C148)</f>
        <v/>
      </c>
      <c r="D1536" s="41" t="str">
        <f>IF(Agent08_Loans!B148="","",Agent08_Loans!D148)</f>
        <v/>
      </c>
      <c r="E1536" s="43" t="str">
        <f>IF(Agent08_Loans!B148="","",Agent08_Loans!E148)</f>
        <v/>
      </c>
      <c r="F1536" s="40" t="str">
        <f>IF(Agent08_Loans!B148="","",Agent08_Loans!F148)</f>
        <v/>
      </c>
      <c r="G1536" s="40" t="str">
        <f>IF(Agent08_Loans!B148="","",Agent08_Loans!G148)</f>
        <v/>
      </c>
      <c r="H1536" s="40" t="str">
        <f>IF(Agent08_Loans!B148="","",Agent08_Loans!H148)</f>
        <v/>
      </c>
      <c r="I1536" s="43" t="str">
        <f>IF(Agent08_Loans!B148="","",Agent08_Loans!I148)</f>
        <v/>
      </c>
      <c r="J1536" s="43" t="str">
        <f>IF(Agent08_Loans!B148="","",Agent08_Loans!J148)</f>
        <v/>
      </c>
      <c r="K1536" s="40" t="str">
        <f>IF(Agent08_Loans!B148="","",Agent08_Loans!K148)</f>
        <v/>
      </c>
      <c r="L1536" s="40" t="str">
        <f>IF(Agent08_Loans!B148="","",Agent08_Loans!L148)</f>
        <v/>
      </c>
      <c r="M1536" s="40" t="str">
        <f>IFERROR(IF(Agent08_Loans!B148="","",YEAR(Agent08_Loans!D148)),"")</f>
        <v/>
      </c>
    </row>
    <row r="1537" spans="1:13" ht="18" customHeight="1" x14ac:dyDescent="0.25">
      <c r="A1537" s="40" t="str">
        <f>IF(Agent08_Loans!B149="","",Agent08_Loans!A149)</f>
        <v/>
      </c>
      <c r="B1537" s="40" t="str">
        <f>IF(Agent08_Loans!B149="","",Agent08_Loans!B149)</f>
        <v/>
      </c>
      <c r="C1537" s="40" t="str">
        <f>IF(Agent08_Loans!B149="","",Agent08_Loans!C149)</f>
        <v/>
      </c>
      <c r="D1537" s="41" t="str">
        <f>IF(Agent08_Loans!B149="","",Agent08_Loans!D149)</f>
        <v/>
      </c>
      <c r="E1537" s="43" t="str">
        <f>IF(Agent08_Loans!B149="","",Agent08_Loans!E149)</f>
        <v/>
      </c>
      <c r="F1537" s="40" t="str">
        <f>IF(Agent08_Loans!B149="","",Agent08_Loans!F149)</f>
        <v/>
      </c>
      <c r="G1537" s="40" t="str">
        <f>IF(Agent08_Loans!B149="","",Agent08_Loans!G149)</f>
        <v/>
      </c>
      <c r="H1537" s="40" t="str">
        <f>IF(Agent08_Loans!B149="","",Agent08_Loans!H149)</f>
        <v/>
      </c>
      <c r="I1537" s="43" t="str">
        <f>IF(Agent08_Loans!B149="","",Agent08_Loans!I149)</f>
        <v/>
      </c>
      <c r="J1537" s="43" t="str">
        <f>IF(Agent08_Loans!B149="","",Agent08_Loans!J149)</f>
        <v/>
      </c>
      <c r="K1537" s="40" t="str">
        <f>IF(Agent08_Loans!B149="","",Agent08_Loans!K149)</f>
        <v/>
      </c>
      <c r="L1537" s="40" t="str">
        <f>IF(Agent08_Loans!B149="","",Agent08_Loans!L149)</f>
        <v/>
      </c>
      <c r="M1537" s="40" t="str">
        <f>IFERROR(IF(Agent08_Loans!B149="","",YEAR(Agent08_Loans!D149)),"")</f>
        <v/>
      </c>
    </row>
    <row r="1538" spans="1:13" ht="18" customHeight="1" x14ac:dyDescent="0.25">
      <c r="A1538" s="40" t="str">
        <f>IF(Agent08_Loans!B150="","",Agent08_Loans!A150)</f>
        <v/>
      </c>
      <c r="B1538" s="40" t="str">
        <f>IF(Agent08_Loans!B150="","",Agent08_Loans!B150)</f>
        <v/>
      </c>
      <c r="C1538" s="40" t="str">
        <f>IF(Agent08_Loans!B150="","",Agent08_Loans!C150)</f>
        <v/>
      </c>
      <c r="D1538" s="41" t="str">
        <f>IF(Agent08_Loans!B150="","",Agent08_Loans!D150)</f>
        <v/>
      </c>
      <c r="E1538" s="43" t="str">
        <f>IF(Agent08_Loans!B150="","",Agent08_Loans!E150)</f>
        <v/>
      </c>
      <c r="F1538" s="40" t="str">
        <f>IF(Agent08_Loans!B150="","",Agent08_Loans!F150)</f>
        <v/>
      </c>
      <c r="G1538" s="40" t="str">
        <f>IF(Agent08_Loans!B150="","",Agent08_Loans!G150)</f>
        <v/>
      </c>
      <c r="H1538" s="40" t="str">
        <f>IF(Agent08_Loans!B150="","",Agent08_Loans!H150)</f>
        <v/>
      </c>
      <c r="I1538" s="43" t="str">
        <f>IF(Agent08_Loans!B150="","",Agent08_Loans!I150)</f>
        <v/>
      </c>
      <c r="J1538" s="43" t="str">
        <f>IF(Agent08_Loans!B150="","",Agent08_Loans!J150)</f>
        <v/>
      </c>
      <c r="K1538" s="40" t="str">
        <f>IF(Agent08_Loans!B150="","",Agent08_Loans!K150)</f>
        <v/>
      </c>
      <c r="L1538" s="40" t="str">
        <f>IF(Agent08_Loans!B150="","",Agent08_Loans!L150)</f>
        <v/>
      </c>
      <c r="M1538" s="40" t="str">
        <f>IFERROR(IF(Agent08_Loans!B150="","",YEAR(Agent08_Loans!D150)),"")</f>
        <v/>
      </c>
    </row>
    <row r="1539" spans="1:13" ht="18" customHeight="1" x14ac:dyDescent="0.25">
      <c r="A1539" s="40" t="str">
        <f>IF(Agent08_Loans!B151="","",Agent08_Loans!A151)</f>
        <v/>
      </c>
      <c r="B1539" s="40" t="str">
        <f>IF(Agent08_Loans!B151="","",Agent08_Loans!B151)</f>
        <v/>
      </c>
      <c r="C1539" s="40" t="str">
        <f>IF(Agent08_Loans!B151="","",Agent08_Loans!C151)</f>
        <v/>
      </c>
      <c r="D1539" s="41" t="str">
        <f>IF(Agent08_Loans!B151="","",Agent08_Loans!D151)</f>
        <v/>
      </c>
      <c r="E1539" s="43" t="str">
        <f>IF(Agent08_Loans!B151="","",Agent08_Loans!E151)</f>
        <v/>
      </c>
      <c r="F1539" s="40" t="str">
        <f>IF(Agent08_Loans!B151="","",Agent08_Loans!F151)</f>
        <v/>
      </c>
      <c r="G1539" s="40" t="str">
        <f>IF(Agent08_Loans!B151="","",Agent08_Loans!G151)</f>
        <v/>
      </c>
      <c r="H1539" s="40" t="str">
        <f>IF(Agent08_Loans!B151="","",Agent08_Loans!H151)</f>
        <v/>
      </c>
      <c r="I1539" s="43" t="str">
        <f>IF(Agent08_Loans!B151="","",Agent08_Loans!I151)</f>
        <v/>
      </c>
      <c r="J1539" s="43" t="str">
        <f>IF(Agent08_Loans!B151="","",Agent08_Loans!J151)</f>
        <v/>
      </c>
      <c r="K1539" s="40" t="str">
        <f>IF(Agent08_Loans!B151="","",Agent08_Loans!K151)</f>
        <v/>
      </c>
      <c r="L1539" s="40" t="str">
        <f>IF(Agent08_Loans!B151="","",Agent08_Loans!L151)</f>
        <v/>
      </c>
      <c r="M1539" s="40" t="str">
        <f>IFERROR(IF(Agent08_Loans!B151="","",YEAR(Agent08_Loans!D151)),"")</f>
        <v/>
      </c>
    </row>
    <row r="1540" spans="1:13" ht="18" customHeight="1" x14ac:dyDescent="0.25">
      <c r="A1540" s="40" t="str">
        <f>IF(Agent08_Loans!B152="","",Agent08_Loans!A152)</f>
        <v/>
      </c>
      <c r="B1540" s="40" t="str">
        <f>IF(Agent08_Loans!B152="","",Agent08_Loans!B152)</f>
        <v/>
      </c>
      <c r="C1540" s="40" t="str">
        <f>IF(Agent08_Loans!B152="","",Agent08_Loans!C152)</f>
        <v/>
      </c>
      <c r="D1540" s="41" t="str">
        <f>IF(Agent08_Loans!B152="","",Agent08_Loans!D152)</f>
        <v/>
      </c>
      <c r="E1540" s="43" t="str">
        <f>IF(Agent08_Loans!B152="","",Agent08_Loans!E152)</f>
        <v/>
      </c>
      <c r="F1540" s="40" t="str">
        <f>IF(Agent08_Loans!B152="","",Agent08_Loans!F152)</f>
        <v/>
      </c>
      <c r="G1540" s="40" t="str">
        <f>IF(Agent08_Loans!B152="","",Agent08_Loans!G152)</f>
        <v/>
      </c>
      <c r="H1540" s="40" t="str">
        <f>IF(Agent08_Loans!B152="","",Agent08_Loans!H152)</f>
        <v/>
      </c>
      <c r="I1540" s="43" t="str">
        <f>IF(Agent08_Loans!B152="","",Agent08_Loans!I152)</f>
        <v/>
      </c>
      <c r="J1540" s="43" t="str">
        <f>IF(Agent08_Loans!B152="","",Agent08_Loans!J152)</f>
        <v/>
      </c>
      <c r="K1540" s="40" t="str">
        <f>IF(Agent08_Loans!B152="","",Agent08_Loans!K152)</f>
        <v/>
      </c>
      <c r="L1540" s="40" t="str">
        <f>IF(Agent08_Loans!B152="","",Agent08_Loans!L152)</f>
        <v/>
      </c>
      <c r="M1540" s="40" t="str">
        <f>IFERROR(IF(Agent08_Loans!B152="","",YEAR(Agent08_Loans!D152)),"")</f>
        <v/>
      </c>
    </row>
    <row r="1541" spans="1:13" ht="18" customHeight="1" x14ac:dyDescent="0.25">
      <c r="A1541" s="40" t="str">
        <f>IF(Agent08_Loans!B153="","",Agent08_Loans!A153)</f>
        <v/>
      </c>
      <c r="B1541" s="40" t="str">
        <f>IF(Agent08_Loans!B153="","",Agent08_Loans!B153)</f>
        <v/>
      </c>
      <c r="C1541" s="40" t="str">
        <f>IF(Agent08_Loans!B153="","",Agent08_Loans!C153)</f>
        <v/>
      </c>
      <c r="D1541" s="41" t="str">
        <f>IF(Agent08_Loans!B153="","",Agent08_Loans!D153)</f>
        <v/>
      </c>
      <c r="E1541" s="43" t="str">
        <f>IF(Agent08_Loans!B153="","",Agent08_Loans!E153)</f>
        <v/>
      </c>
      <c r="F1541" s="40" t="str">
        <f>IF(Agent08_Loans!B153="","",Agent08_Loans!F153)</f>
        <v/>
      </c>
      <c r="G1541" s="40" t="str">
        <f>IF(Agent08_Loans!B153="","",Agent08_Loans!G153)</f>
        <v/>
      </c>
      <c r="H1541" s="40" t="str">
        <f>IF(Agent08_Loans!B153="","",Agent08_Loans!H153)</f>
        <v/>
      </c>
      <c r="I1541" s="43" t="str">
        <f>IF(Agent08_Loans!B153="","",Agent08_Loans!I153)</f>
        <v/>
      </c>
      <c r="J1541" s="43" t="str">
        <f>IF(Agent08_Loans!B153="","",Agent08_Loans!J153)</f>
        <v/>
      </c>
      <c r="K1541" s="40" t="str">
        <f>IF(Agent08_Loans!B153="","",Agent08_Loans!K153)</f>
        <v/>
      </c>
      <c r="L1541" s="40" t="str">
        <f>IF(Agent08_Loans!B153="","",Agent08_Loans!L153)</f>
        <v/>
      </c>
      <c r="M1541" s="40" t="str">
        <f>IFERROR(IF(Agent08_Loans!B153="","",YEAR(Agent08_Loans!D153)),"")</f>
        <v/>
      </c>
    </row>
    <row r="1542" spans="1:13" ht="18" customHeight="1" x14ac:dyDescent="0.25">
      <c r="A1542" s="40" t="str">
        <f>IF(Agent08_Loans!B154="","",Agent08_Loans!A154)</f>
        <v/>
      </c>
      <c r="B1542" s="40" t="str">
        <f>IF(Agent08_Loans!B154="","",Agent08_Loans!B154)</f>
        <v/>
      </c>
      <c r="C1542" s="40" t="str">
        <f>IF(Agent08_Loans!B154="","",Agent08_Loans!C154)</f>
        <v/>
      </c>
      <c r="D1542" s="41" t="str">
        <f>IF(Agent08_Loans!B154="","",Agent08_Loans!D154)</f>
        <v/>
      </c>
      <c r="E1542" s="43" t="str">
        <f>IF(Agent08_Loans!B154="","",Agent08_Loans!E154)</f>
        <v/>
      </c>
      <c r="F1542" s="40" t="str">
        <f>IF(Agent08_Loans!B154="","",Agent08_Loans!F154)</f>
        <v/>
      </c>
      <c r="G1542" s="40" t="str">
        <f>IF(Agent08_Loans!B154="","",Agent08_Loans!G154)</f>
        <v/>
      </c>
      <c r="H1542" s="40" t="str">
        <f>IF(Agent08_Loans!B154="","",Agent08_Loans!H154)</f>
        <v/>
      </c>
      <c r="I1542" s="43" t="str">
        <f>IF(Agent08_Loans!B154="","",Agent08_Loans!I154)</f>
        <v/>
      </c>
      <c r="J1542" s="43" t="str">
        <f>IF(Agent08_Loans!B154="","",Agent08_Loans!J154)</f>
        <v/>
      </c>
      <c r="K1542" s="40" t="str">
        <f>IF(Agent08_Loans!B154="","",Agent08_Loans!K154)</f>
        <v/>
      </c>
      <c r="L1542" s="40" t="str">
        <f>IF(Agent08_Loans!B154="","",Agent08_Loans!L154)</f>
        <v/>
      </c>
      <c r="M1542" s="40" t="str">
        <f>IFERROR(IF(Agent08_Loans!B154="","",YEAR(Agent08_Loans!D154)),"")</f>
        <v/>
      </c>
    </row>
    <row r="1543" spans="1:13" ht="18" customHeight="1" x14ac:dyDescent="0.25">
      <c r="A1543" s="40" t="str">
        <f>IF(Agent08_Loans!B155="","",Agent08_Loans!A155)</f>
        <v/>
      </c>
      <c r="B1543" s="40" t="str">
        <f>IF(Agent08_Loans!B155="","",Agent08_Loans!B155)</f>
        <v/>
      </c>
      <c r="C1543" s="40" t="str">
        <f>IF(Agent08_Loans!B155="","",Agent08_Loans!C155)</f>
        <v/>
      </c>
      <c r="D1543" s="41" t="str">
        <f>IF(Agent08_Loans!B155="","",Agent08_Loans!D155)</f>
        <v/>
      </c>
      <c r="E1543" s="43" t="str">
        <f>IF(Agent08_Loans!B155="","",Agent08_Loans!E155)</f>
        <v/>
      </c>
      <c r="F1543" s="40" t="str">
        <f>IF(Agent08_Loans!B155="","",Agent08_Loans!F155)</f>
        <v/>
      </c>
      <c r="G1543" s="40" t="str">
        <f>IF(Agent08_Loans!B155="","",Agent08_Loans!G155)</f>
        <v/>
      </c>
      <c r="H1543" s="40" t="str">
        <f>IF(Agent08_Loans!B155="","",Agent08_Loans!H155)</f>
        <v/>
      </c>
      <c r="I1543" s="43" t="str">
        <f>IF(Agent08_Loans!B155="","",Agent08_Loans!I155)</f>
        <v/>
      </c>
      <c r="J1543" s="43" t="str">
        <f>IF(Agent08_Loans!B155="","",Agent08_Loans!J155)</f>
        <v/>
      </c>
      <c r="K1543" s="40" t="str">
        <f>IF(Agent08_Loans!B155="","",Agent08_Loans!K155)</f>
        <v/>
      </c>
      <c r="L1543" s="40" t="str">
        <f>IF(Agent08_Loans!B155="","",Agent08_Loans!L155)</f>
        <v/>
      </c>
      <c r="M1543" s="40" t="str">
        <f>IFERROR(IF(Agent08_Loans!B155="","",YEAR(Agent08_Loans!D155)),"")</f>
        <v/>
      </c>
    </row>
    <row r="1544" spans="1:13" ht="18" customHeight="1" x14ac:dyDescent="0.25">
      <c r="A1544" s="40" t="str">
        <f>IF(Agent08_Loans!B156="","",Agent08_Loans!A156)</f>
        <v/>
      </c>
      <c r="B1544" s="40" t="str">
        <f>IF(Agent08_Loans!B156="","",Agent08_Loans!B156)</f>
        <v/>
      </c>
      <c r="C1544" s="40" t="str">
        <f>IF(Agent08_Loans!B156="","",Agent08_Loans!C156)</f>
        <v/>
      </c>
      <c r="D1544" s="41" t="str">
        <f>IF(Agent08_Loans!B156="","",Agent08_Loans!D156)</f>
        <v/>
      </c>
      <c r="E1544" s="43" t="str">
        <f>IF(Agent08_Loans!B156="","",Agent08_Loans!E156)</f>
        <v/>
      </c>
      <c r="F1544" s="40" t="str">
        <f>IF(Agent08_Loans!B156="","",Agent08_Loans!F156)</f>
        <v/>
      </c>
      <c r="G1544" s="40" t="str">
        <f>IF(Agent08_Loans!B156="","",Agent08_Loans!G156)</f>
        <v/>
      </c>
      <c r="H1544" s="40" t="str">
        <f>IF(Agent08_Loans!B156="","",Agent08_Loans!H156)</f>
        <v/>
      </c>
      <c r="I1544" s="43" t="str">
        <f>IF(Agent08_Loans!B156="","",Agent08_Loans!I156)</f>
        <v/>
      </c>
      <c r="J1544" s="43" t="str">
        <f>IF(Agent08_Loans!B156="","",Agent08_Loans!J156)</f>
        <v/>
      </c>
      <c r="K1544" s="40" t="str">
        <f>IF(Agent08_Loans!B156="","",Agent08_Loans!K156)</f>
        <v/>
      </c>
      <c r="L1544" s="40" t="str">
        <f>IF(Agent08_Loans!B156="","",Agent08_Loans!L156)</f>
        <v/>
      </c>
      <c r="M1544" s="40" t="str">
        <f>IFERROR(IF(Agent08_Loans!B156="","",YEAR(Agent08_Loans!D156)),"")</f>
        <v/>
      </c>
    </row>
    <row r="1545" spans="1:13" ht="18" customHeight="1" x14ac:dyDescent="0.25">
      <c r="A1545" s="40" t="str">
        <f>IF(Agent08_Loans!B157="","",Agent08_Loans!A157)</f>
        <v/>
      </c>
      <c r="B1545" s="40" t="str">
        <f>IF(Agent08_Loans!B157="","",Agent08_Loans!B157)</f>
        <v/>
      </c>
      <c r="C1545" s="40" t="str">
        <f>IF(Agent08_Loans!B157="","",Agent08_Loans!C157)</f>
        <v/>
      </c>
      <c r="D1545" s="41" t="str">
        <f>IF(Agent08_Loans!B157="","",Agent08_Loans!D157)</f>
        <v/>
      </c>
      <c r="E1545" s="43" t="str">
        <f>IF(Agent08_Loans!B157="","",Agent08_Loans!E157)</f>
        <v/>
      </c>
      <c r="F1545" s="40" t="str">
        <f>IF(Agent08_Loans!B157="","",Agent08_Loans!F157)</f>
        <v/>
      </c>
      <c r="G1545" s="40" t="str">
        <f>IF(Agent08_Loans!B157="","",Agent08_Loans!G157)</f>
        <v/>
      </c>
      <c r="H1545" s="40" t="str">
        <f>IF(Agent08_Loans!B157="","",Agent08_Loans!H157)</f>
        <v/>
      </c>
      <c r="I1545" s="43" t="str">
        <f>IF(Agent08_Loans!B157="","",Agent08_Loans!I157)</f>
        <v/>
      </c>
      <c r="J1545" s="43" t="str">
        <f>IF(Agent08_Loans!B157="","",Agent08_Loans!J157)</f>
        <v/>
      </c>
      <c r="K1545" s="40" t="str">
        <f>IF(Agent08_Loans!B157="","",Agent08_Loans!K157)</f>
        <v/>
      </c>
      <c r="L1545" s="40" t="str">
        <f>IF(Agent08_Loans!B157="","",Agent08_Loans!L157)</f>
        <v/>
      </c>
      <c r="M1545" s="40" t="str">
        <f>IFERROR(IF(Agent08_Loans!B157="","",YEAR(Agent08_Loans!D157)),"")</f>
        <v/>
      </c>
    </row>
    <row r="1546" spans="1:13" ht="18" customHeight="1" x14ac:dyDescent="0.25">
      <c r="A1546" s="40" t="str">
        <f>IF(Agent08_Loans!B158="","",Agent08_Loans!A158)</f>
        <v/>
      </c>
      <c r="B1546" s="40" t="str">
        <f>IF(Agent08_Loans!B158="","",Agent08_Loans!B158)</f>
        <v/>
      </c>
      <c r="C1546" s="40" t="str">
        <f>IF(Agent08_Loans!B158="","",Agent08_Loans!C158)</f>
        <v/>
      </c>
      <c r="D1546" s="41" t="str">
        <f>IF(Agent08_Loans!B158="","",Agent08_Loans!D158)</f>
        <v/>
      </c>
      <c r="E1546" s="43" t="str">
        <f>IF(Agent08_Loans!B158="","",Agent08_Loans!E158)</f>
        <v/>
      </c>
      <c r="F1546" s="40" t="str">
        <f>IF(Agent08_Loans!B158="","",Agent08_Loans!F158)</f>
        <v/>
      </c>
      <c r="G1546" s="40" t="str">
        <f>IF(Agent08_Loans!B158="","",Agent08_Loans!G158)</f>
        <v/>
      </c>
      <c r="H1546" s="40" t="str">
        <f>IF(Agent08_Loans!B158="","",Agent08_Loans!H158)</f>
        <v/>
      </c>
      <c r="I1546" s="43" t="str">
        <f>IF(Agent08_Loans!B158="","",Agent08_Loans!I158)</f>
        <v/>
      </c>
      <c r="J1546" s="43" t="str">
        <f>IF(Agent08_Loans!B158="","",Agent08_Loans!J158)</f>
        <v/>
      </c>
      <c r="K1546" s="40" t="str">
        <f>IF(Agent08_Loans!B158="","",Agent08_Loans!K158)</f>
        <v/>
      </c>
      <c r="L1546" s="40" t="str">
        <f>IF(Agent08_Loans!B158="","",Agent08_Loans!L158)</f>
        <v/>
      </c>
      <c r="M1546" s="40" t="str">
        <f>IFERROR(IF(Agent08_Loans!B158="","",YEAR(Agent08_Loans!D158)),"")</f>
        <v/>
      </c>
    </row>
    <row r="1547" spans="1:13" ht="18" customHeight="1" x14ac:dyDescent="0.25">
      <c r="A1547" s="40" t="str">
        <f>IF(Agent08_Loans!B159="","",Agent08_Loans!A159)</f>
        <v/>
      </c>
      <c r="B1547" s="40" t="str">
        <f>IF(Agent08_Loans!B159="","",Agent08_Loans!B159)</f>
        <v/>
      </c>
      <c r="C1547" s="40" t="str">
        <f>IF(Agent08_Loans!B159="","",Agent08_Loans!C159)</f>
        <v/>
      </c>
      <c r="D1547" s="41" t="str">
        <f>IF(Agent08_Loans!B159="","",Agent08_Loans!D159)</f>
        <v/>
      </c>
      <c r="E1547" s="43" t="str">
        <f>IF(Agent08_Loans!B159="","",Agent08_Loans!E159)</f>
        <v/>
      </c>
      <c r="F1547" s="40" t="str">
        <f>IF(Agent08_Loans!B159="","",Agent08_Loans!F159)</f>
        <v/>
      </c>
      <c r="G1547" s="40" t="str">
        <f>IF(Agent08_Loans!B159="","",Agent08_Loans!G159)</f>
        <v/>
      </c>
      <c r="H1547" s="40" t="str">
        <f>IF(Agent08_Loans!B159="","",Agent08_Loans!H159)</f>
        <v/>
      </c>
      <c r="I1547" s="43" t="str">
        <f>IF(Agent08_Loans!B159="","",Agent08_Loans!I159)</f>
        <v/>
      </c>
      <c r="J1547" s="43" t="str">
        <f>IF(Agent08_Loans!B159="","",Agent08_Loans!J159)</f>
        <v/>
      </c>
      <c r="K1547" s="40" t="str">
        <f>IF(Agent08_Loans!B159="","",Agent08_Loans!K159)</f>
        <v/>
      </c>
      <c r="L1547" s="40" t="str">
        <f>IF(Agent08_Loans!B159="","",Agent08_Loans!L159)</f>
        <v/>
      </c>
      <c r="M1547" s="40" t="str">
        <f>IFERROR(IF(Agent08_Loans!B159="","",YEAR(Agent08_Loans!D159)),"")</f>
        <v/>
      </c>
    </row>
    <row r="1548" spans="1:13" ht="18" customHeight="1" x14ac:dyDescent="0.25">
      <c r="A1548" s="40" t="str">
        <f>IF(Agent08_Loans!B160="","",Agent08_Loans!A160)</f>
        <v/>
      </c>
      <c r="B1548" s="40" t="str">
        <f>IF(Agent08_Loans!B160="","",Agent08_Loans!B160)</f>
        <v/>
      </c>
      <c r="C1548" s="40" t="str">
        <f>IF(Agent08_Loans!B160="","",Agent08_Loans!C160)</f>
        <v/>
      </c>
      <c r="D1548" s="41" t="str">
        <f>IF(Agent08_Loans!B160="","",Agent08_Loans!D160)</f>
        <v/>
      </c>
      <c r="E1548" s="43" t="str">
        <f>IF(Agent08_Loans!B160="","",Agent08_Loans!E160)</f>
        <v/>
      </c>
      <c r="F1548" s="40" t="str">
        <f>IF(Agent08_Loans!B160="","",Agent08_Loans!F160)</f>
        <v/>
      </c>
      <c r="G1548" s="40" t="str">
        <f>IF(Agent08_Loans!B160="","",Agent08_Loans!G160)</f>
        <v/>
      </c>
      <c r="H1548" s="40" t="str">
        <f>IF(Agent08_Loans!B160="","",Agent08_Loans!H160)</f>
        <v/>
      </c>
      <c r="I1548" s="43" t="str">
        <f>IF(Agent08_Loans!B160="","",Agent08_Loans!I160)</f>
        <v/>
      </c>
      <c r="J1548" s="43" t="str">
        <f>IF(Agent08_Loans!B160="","",Agent08_Loans!J160)</f>
        <v/>
      </c>
      <c r="K1548" s="40" t="str">
        <f>IF(Agent08_Loans!B160="","",Agent08_Loans!K160)</f>
        <v/>
      </c>
      <c r="L1548" s="40" t="str">
        <f>IF(Agent08_Loans!B160="","",Agent08_Loans!L160)</f>
        <v/>
      </c>
      <c r="M1548" s="40" t="str">
        <f>IFERROR(IF(Agent08_Loans!B160="","",YEAR(Agent08_Loans!D160)),"")</f>
        <v/>
      </c>
    </row>
    <row r="1549" spans="1:13" ht="18" customHeight="1" x14ac:dyDescent="0.25">
      <c r="A1549" s="40" t="str">
        <f>IF(Agent08_Loans!B161="","",Agent08_Loans!A161)</f>
        <v/>
      </c>
      <c r="B1549" s="40" t="str">
        <f>IF(Agent08_Loans!B161="","",Agent08_Loans!B161)</f>
        <v/>
      </c>
      <c r="C1549" s="40" t="str">
        <f>IF(Agent08_Loans!B161="","",Agent08_Loans!C161)</f>
        <v/>
      </c>
      <c r="D1549" s="41" t="str">
        <f>IF(Agent08_Loans!B161="","",Agent08_Loans!D161)</f>
        <v/>
      </c>
      <c r="E1549" s="43" t="str">
        <f>IF(Agent08_Loans!B161="","",Agent08_Loans!E161)</f>
        <v/>
      </c>
      <c r="F1549" s="40" t="str">
        <f>IF(Agent08_Loans!B161="","",Agent08_Loans!F161)</f>
        <v/>
      </c>
      <c r="G1549" s="40" t="str">
        <f>IF(Agent08_Loans!B161="","",Agent08_Loans!G161)</f>
        <v/>
      </c>
      <c r="H1549" s="40" t="str">
        <f>IF(Agent08_Loans!B161="","",Agent08_Loans!H161)</f>
        <v/>
      </c>
      <c r="I1549" s="43" t="str">
        <f>IF(Agent08_Loans!B161="","",Agent08_Loans!I161)</f>
        <v/>
      </c>
      <c r="J1549" s="43" t="str">
        <f>IF(Agent08_Loans!B161="","",Agent08_Loans!J161)</f>
        <v/>
      </c>
      <c r="K1549" s="40" t="str">
        <f>IF(Agent08_Loans!B161="","",Agent08_Loans!K161)</f>
        <v/>
      </c>
      <c r="L1549" s="40" t="str">
        <f>IF(Agent08_Loans!B161="","",Agent08_Loans!L161)</f>
        <v/>
      </c>
      <c r="M1549" s="40" t="str">
        <f>IFERROR(IF(Agent08_Loans!B161="","",YEAR(Agent08_Loans!D161)),"")</f>
        <v/>
      </c>
    </row>
    <row r="1550" spans="1:13" ht="18" customHeight="1" x14ac:dyDescent="0.25">
      <c r="A1550" s="40" t="str">
        <f>IF(Agent08_Loans!B162="","",Agent08_Loans!A162)</f>
        <v/>
      </c>
      <c r="B1550" s="40" t="str">
        <f>IF(Agent08_Loans!B162="","",Agent08_Loans!B162)</f>
        <v/>
      </c>
      <c r="C1550" s="40" t="str">
        <f>IF(Agent08_Loans!B162="","",Agent08_Loans!C162)</f>
        <v/>
      </c>
      <c r="D1550" s="41" t="str">
        <f>IF(Agent08_Loans!B162="","",Agent08_Loans!D162)</f>
        <v/>
      </c>
      <c r="E1550" s="43" t="str">
        <f>IF(Agent08_Loans!B162="","",Agent08_Loans!E162)</f>
        <v/>
      </c>
      <c r="F1550" s="40" t="str">
        <f>IF(Agent08_Loans!B162="","",Agent08_Loans!F162)</f>
        <v/>
      </c>
      <c r="G1550" s="40" t="str">
        <f>IF(Agent08_Loans!B162="","",Agent08_Loans!G162)</f>
        <v/>
      </c>
      <c r="H1550" s="40" t="str">
        <f>IF(Agent08_Loans!B162="","",Agent08_Loans!H162)</f>
        <v/>
      </c>
      <c r="I1550" s="43" t="str">
        <f>IF(Agent08_Loans!B162="","",Agent08_Loans!I162)</f>
        <v/>
      </c>
      <c r="J1550" s="43" t="str">
        <f>IF(Agent08_Loans!B162="","",Agent08_Loans!J162)</f>
        <v/>
      </c>
      <c r="K1550" s="40" t="str">
        <f>IF(Agent08_Loans!B162="","",Agent08_Loans!K162)</f>
        <v/>
      </c>
      <c r="L1550" s="40" t="str">
        <f>IF(Agent08_Loans!B162="","",Agent08_Loans!L162)</f>
        <v/>
      </c>
      <c r="M1550" s="40" t="str">
        <f>IFERROR(IF(Agent08_Loans!B162="","",YEAR(Agent08_Loans!D162)),"")</f>
        <v/>
      </c>
    </row>
    <row r="1551" spans="1:13" ht="18" customHeight="1" x14ac:dyDescent="0.25">
      <c r="A1551" s="40" t="str">
        <f>IF(Agent08_Loans!B163="","",Agent08_Loans!A163)</f>
        <v/>
      </c>
      <c r="B1551" s="40" t="str">
        <f>IF(Agent08_Loans!B163="","",Agent08_Loans!B163)</f>
        <v/>
      </c>
      <c r="C1551" s="40" t="str">
        <f>IF(Agent08_Loans!B163="","",Agent08_Loans!C163)</f>
        <v/>
      </c>
      <c r="D1551" s="41" t="str">
        <f>IF(Agent08_Loans!B163="","",Agent08_Loans!D163)</f>
        <v/>
      </c>
      <c r="E1551" s="43" t="str">
        <f>IF(Agent08_Loans!B163="","",Agent08_Loans!E163)</f>
        <v/>
      </c>
      <c r="F1551" s="40" t="str">
        <f>IF(Agent08_Loans!B163="","",Agent08_Loans!F163)</f>
        <v/>
      </c>
      <c r="G1551" s="40" t="str">
        <f>IF(Agent08_Loans!B163="","",Agent08_Loans!G163)</f>
        <v/>
      </c>
      <c r="H1551" s="40" t="str">
        <f>IF(Agent08_Loans!B163="","",Agent08_Loans!H163)</f>
        <v/>
      </c>
      <c r="I1551" s="43" t="str">
        <f>IF(Agent08_Loans!B163="","",Agent08_Loans!I163)</f>
        <v/>
      </c>
      <c r="J1551" s="43" t="str">
        <f>IF(Agent08_Loans!B163="","",Agent08_Loans!J163)</f>
        <v/>
      </c>
      <c r="K1551" s="40" t="str">
        <f>IF(Agent08_Loans!B163="","",Agent08_Loans!K163)</f>
        <v/>
      </c>
      <c r="L1551" s="40" t="str">
        <f>IF(Agent08_Loans!B163="","",Agent08_Loans!L163)</f>
        <v/>
      </c>
      <c r="M1551" s="40" t="str">
        <f>IFERROR(IF(Agent08_Loans!B163="","",YEAR(Agent08_Loans!D163)),"")</f>
        <v/>
      </c>
    </row>
    <row r="1552" spans="1:13" ht="18" customHeight="1" x14ac:dyDescent="0.25">
      <c r="A1552" s="40" t="str">
        <f>IF(Agent08_Loans!B164="","",Agent08_Loans!A164)</f>
        <v/>
      </c>
      <c r="B1552" s="40" t="str">
        <f>IF(Agent08_Loans!B164="","",Agent08_Loans!B164)</f>
        <v/>
      </c>
      <c r="C1552" s="40" t="str">
        <f>IF(Agent08_Loans!B164="","",Agent08_Loans!C164)</f>
        <v/>
      </c>
      <c r="D1552" s="41" t="str">
        <f>IF(Agent08_Loans!B164="","",Agent08_Loans!D164)</f>
        <v/>
      </c>
      <c r="E1552" s="43" t="str">
        <f>IF(Agent08_Loans!B164="","",Agent08_Loans!E164)</f>
        <v/>
      </c>
      <c r="F1552" s="40" t="str">
        <f>IF(Agent08_Loans!B164="","",Agent08_Loans!F164)</f>
        <v/>
      </c>
      <c r="G1552" s="40" t="str">
        <f>IF(Agent08_Loans!B164="","",Agent08_Loans!G164)</f>
        <v/>
      </c>
      <c r="H1552" s="40" t="str">
        <f>IF(Agent08_Loans!B164="","",Agent08_Loans!H164)</f>
        <v/>
      </c>
      <c r="I1552" s="43" t="str">
        <f>IF(Agent08_Loans!B164="","",Agent08_Loans!I164)</f>
        <v/>
      </c>
      <c r="J1552" s="43" t="str">
        <f>IF(Agent08_Loans!B164="","",Agent08_Loans!J164)</f>
        <v/>
      </c>
      <c r="K1552" s="40" t="str">
        <f>IF(Agent08_Loans!B164="","",Agent08_Loans!K164)</f>
        <v/>
      </c>
      <c r="L1552" s="40" t="str">
        <f>IF(Agent08_Loans!B164="","",Agent08_Loans!L164)</f>
        <v/>
      </c>
      <c r="M1552" s="40" t="str">
        <f>IFERROR(IF(Agent08_Loans!B164="","",YEAR(Agent08_Loans!D164)),"")</f>
        <v/>
      </c>
    </row>
    <row r="1553" spans="1:13" ht="18" customHeight="1" x14ac:dyDescent="0.25">
      <c r="A1553" s="40" t="str">
        <f>IF(Agent08_Loans!B165="","",Agent08_Loans!A165)</f>
        <v/>
      </c>
      <c r="B1553" s="40" t="str">
        <f>IF(Agent08_Loans!B165="","",Agent08_Loans!B165)</f>
        <v/>
      </c>
      <c r="C1553" s="40" t="str">
        <f>IF(Agent08_Loans!B165="","",Agent08_Loans!C165)</f>
        <v/>
      </c>
      <c r="D1553" s="41" t="str">
        <f>IF(Agent08_Loans!B165="","",Agent08_Loans!D165)</f>
        <v/>
      </c>
      <c r="E1553" s="43" t="str">
        <f>IF(Agent08_Loans!B165="","",Agent08_Loans!E165)</f>
        <v/>
      </c>
      <c r="F1553" s="40" t="str">
        <f>IF(Agent08_Loans!B165="","",Agent08_Loans!F165)</f>
        <v/>
      </c>
      <c r="G1553" s="40" t="str">
        <f>IF(Agent08_Loans!B165="","",Agent08_Loans!G165)</f>
        <v/>
      </c>
      <c r="H1553" s="40" t="str">
        <f>IF(Agent08_Loans!B165="","",Agent08_Loans!H165)</f>
        <v/>
      </c>
      <c r="I1553" s="43" t="str">
        <f>IF(Agent08_Loans!B165="","",Agent08_Loans!I165)</f>
        <v/>
      </c>
      <c r="J1553" s="43" t="str">
        <f>IF(Agent08_Loans!B165="","",Agent08_Loans!J165)</f>
        <v/>
      </c>
      <c r="K1553" s="40" t="str">
        <f>IF(Agent08_Loans!B165="","",Agent08_Loans!K165)</f>
        <v/>
      </c>
      <c r="L1553" s="40" t="str">
        <f>IF(Agent08_Loans!B165="","",Agent08_Loans!L165)</f>
        <v/>
      </c>
      <c r="M1553" s="40" t="str">
        <f>IFERROR(IF(Agent08_Loans!B165="","",YEAR(Agent08_Loans!D165)),"")</f>
        <v/>
      </c>
    </row>
    <row r="1554" spans="1:13" ht="18" customHeight="1" x14ac:dyDescent="0.25">
      <c r="A1554" s="40" t="str">
        <f>IF(Agent08_Loans!B166="","",Agent08_Loans!A166)</f>
        <v/>
      </c>
      <c r="B1554" s="40" t="str">
        <f>IF(Agent08_Loans!B166="","",Agent08_Loans!B166)</f>
        <v/>
      </c>
      <c r="C1554" s="40" t="str">
        <f>IF(Agent08_Loans!B166="","",Agent08_Loans!C166)</f>
        <v/>
      </c>
      <c r="D1554" s="41" t="str">
        <f>IF(Agent08_Loans!B166="","",Agent08_Loans!D166)</f>
        <v/>
      </c>
      <c r="E1554" s="43" t="str">
        <f>IF(Agent08_Loans!B166="","",Agent08_Loans!E166)</f>
        <v/>
      </c>
      <c r="F1554" s="40" t="str">
        <f>IF(Agent08_Loans!B166="","",Agent08_Loans!F166)</f>
        <v/>
      </c>
      <c r="G1554" s="40" t="str">
        <f>IF(Agent08_Loans!B166="","",Agent08_Loans!G166)</f>
        <v/>
      </c>
      <c r="H1554" s="40" t="str">
        <f>IF(Agent08_Loans!B166="","",Agent08_Loans!H166)</f>
        <v/>
      </c>
      <c r="I1554" s="43" t="str">
        <f>IF(Agent08_Loans!B166="","",Agent08_Loans!I166)</f>
        <v/>
      </c>
      <c r="J1554" s="43" t="str">
        <f>IF(Agent08_Loans!B166="","",Agent08_Loans!J166)</f>
        <v/>
      </c>
      <c r="K1554" s="40" t="str">
        <f>IF(Agent08_Loans!B166="","",Agent08_Loans!K166)</f>
        <v/>
      </c>
      <c r="L1554" s="40" t="str">
        <f>IF(Agent08_Loans!B166="","",Agent08_Loans!L166)</f>
        <v/>
      </c>
      <c r="M1554" s="40" t="str">
        <f>IFERROR(IF(Agent08_Loans!B166="","",YEAR(Agent08_Loans!D166)),"")</f>
        <v/>
      </c>
    </row>
    <row r="1555" spans="1:13" ht="18" customHeight="1" x14ac:dyDescent="0.25">
      <c r="A1555" s="40" t="str">
        <f>IF(Agent08_Loans!B167="","",Agent08_Loans!A167)</f>
        <v/>
      </c>
      <c r="B1555" s="40" t="str">
        <f>IF(Agent08_Loans!B167="","",Agent08_Loans!B167)</f>
        <v/>
      </c>
      <c r="C1555" s="40" t="str">
        <f>IF(Agent08_Loans!B167="","",Agent08_Loans!C167)</f>
        <v/>
      </c>
      <c r="D1555" s="41" t="str">
        <f>IF(Agent08_Loans!B167="","",Agent08_Loans!D167)</f>
        <v/>
      </c>
      <c r="E1555" s="43" t="str">
        <f>IF(Agent08_Loans!B167="","",Agent08_Loans!E167)</f>
        <v/>
      </c>
      <c r="F1555" s="40" t="str">
        <f>IF(Agent08_Loans!B167="","",Agent08_Loans!F167)</f>
        <v/>
      </c>
      <c r="G1555" s="40" t="str">
        <f>IF(Agent08_Loans!B167="","",Agent08_Loans!G167)</f>
        <v/>
      </c>
      <c r="H1555" s="40" t="str">
        <f>IF(Agent08_Loans!B167="","",Agent08_Loans!H167)</f>
        <v/>
      </c>
      <c r="I1555" s="43" t="str">
        <f>IF(Agent08_Loans!B167="","",Agent08_Loans!I167)</f>
        <v/>
      </c>
      <c r="J1555" s="43" t="str">
        <f>IF(Agent08_Loans!B167="","",Agent08_Loans!J167)</f>
        <v/>
      </c>
      <c r="K1555" s="40" t="str">
        <f>IF(Agent08_Loans!B167="","",Agent08_Loans!K167)</f>
        <v/>
      </c>
      <c r="L1555" s="40" t="str">
        <f>IF(Agent08_Loans!B167="","",Agent08_Loans!L167)</f>
        <v/>
      </c>
      <c r="M1555" s="40" t="str">
        <f>IFERROR(IF(Agent08_Loans!B167="","",YEAR(Agent08_Loans!D167)),"")</f>
        <v/>
      </c>
    </row>
    <row r="1556" spans="1:13" ht="18" customHeight="1" x14ac:dyDescent="0.25">
      <c r="A1556" s="40" t="str">
        <f>IF(Agent08_Loans!B168="","",Agent08_Loans!A168)</f>
        <v/>
      </c>
      <c r="B1556" s="40" t="str">
        <f>IF(Agent08_Loans!B168="","",Agent08_Loans!B168)</f>
        <v/>
      </c>
      <c r="C1556" s="40" t="str">
        <f>IF(Agent08_Loans!B168="","",Agent08_Loans!C168)</f>
        <v/>
      </c>
      <c r="D1556" s="41" t="str">
        <f>IF(Agent08_Loans!B168="","",Agent08_Loans!D168)</f>
        <v/>
      </c>
      <c r="E1556" s="43" t="str">
        <f>IF(Agent08_Loans!B168="","",Agent08_Loans!E168)</f>
        <v/>
      </c>
      <c r="F1556" s="40" t="str">
        <f>IF(Agent08_Loans!B168="","",Agent08_Loans!F168)</f>
        <v/>
      </c>
      <c r="G1556" s="40" t="str">
        <f>IF(Agent08_Loans!B168="","",Agent08_Loans!G168)</f>
        <v/>
      </c>
      <c r="H1556" s="40" t="str">
        <f>IF(Agent08_Loans!B168="","",Agent08_Loans!H168)</f>
        <v/>
      </c>
      <c r="I1556" s="43" t="str">
        <f>IF(Agent08_Loans!B168="","",Agent08_Loans!I168)</f>
        <v/>
      </c>
      <c r="J1556" s="43" t="str">
        <f>IF(Agent08_Loans!B168="","",Agent08_Loans!J168)</f>
        <v/>
      </c>
      <c r="K1556" s="40" t="str">
        <f>IF(Agent08_Loans!B168="","",Agent08_Loans!K168)</f>
        <v/>
      </c>
      <c r="L1556" s="40" t="str">
        <f>IF(Agent08_Loans!B168="","",Agent08_Loans!L168)</f>
        <v/>
      </c>
      <c r="M1556" s="40" t="str">
        <f>IFERROR(IF(Agent08_Loans!B168="","",YEAR(Agent08_Loans!D168)),"")</f>
        <v/>
      </c>
    </row>
    <row r="1557" spans="1:13" ht="18" customHeight="1" x14ac:dyDescent="0.25">
      <c r="A1557" s="40" t="str">
        <f>IF(Agent08_Loans!B169="","",Agent08_Loans!A169)</f>
        <v/>
      </c>
      <c r="B1557" s="40" t="str">
        <f>IF(Agent08_Loans!B169="","",Agent08_Loans!B169)</f>
        <v/>
      </c>
      <c r="C1557" s="40" t="str">
        <f>IF(Agent08_Loans!B169="","",Agent08_Loans!C169)</f>
        <v/>
      </c>
      <c r="D1557" s="41" t="str">
        <f>IF(Agent08_Loans!B169="","",Agent08_Loans!D169)</f>
        <v/>
      </c>
      <c r="E1557" s="43" t="str">
        <f>IF(Agent08_Loans!B169="","",Agent08_Loans!E169)</f>
        <v/>
      </c>
      <c r="F1557" s="40" t="str">
        <f>IF(Agent08_Loans!B169="","",Agent08_Loans!F169)</f>
        <v/>
      </c>
      <c r="G1557" s="40" t="str">
        <f>IF(Agent08_Loans!B169="","",Agent08_Loans!G169)</f>
        <v/>
      </c>
      <c r="H1557" s="40" t="str">
        <f>IF(Agent08_Loans!B169="","",Agent08_Loans!H169)</f>
        <v/>
      </c>
      <c r="I1557" s="43" t="str">
        <f>IF(Agent08_Loans!B169="","",Agent08_Loans!I169)</f>
        <v/>
      </c>
      <c r="J1557" s="43" t="str">
        <f>IF(Agent08_Loans!B169="","",Agent08_Loans!J169)</f>
        <v/>
      </c>
      <c r="K1557" s="40" t="str">
        <f>IF(Agent08_Loans!B169="","",Agent08_Loans!K169)</f>
        <v/>
      </c>
      <c r="L1557" s="40" t="str">
        <f>IF(Agent08_Loans!B169="","",Agent08_Loans!L169)</f>
        <v/>
      </c>
      <c r="M1557" s="40" t="str">
        <f>IFERROR(IF(Agent08_Loans!B169="","",YEAR(Agent08_Loans!D169)),"")</f>
        <v/>
      </c>
    </row>
    <row r="1558" spans="1:13" ht="18" customHeight="1" x14ac:dyDescent="0.25">
      <c r="A1558" s="40" t="str">
        <f>IF(Agent08_Loans!B170="","",Agent08_Loans!A170)</f>
        <v/>
      </c>
      <c r="B1558" s="40" t="str">
        <f>IF(Agent08_Loans!B170="","",Agent08_Loans!B170)</f>
        <v/>
      </c>
      <c r="C1558" s="40" t="str">
        <f>IF(Agent08_Loans!B170="","",Agent08_Loans!C170)</f>
        <v/>
      </c>
      <c r="D1558" s="41" t="str">
        <f>IF(Agent08_Loans!B170="","",Agent08_Loans!D170)</f>
        <v/>
      </c>
      <c r="E1558" s="43" t="str">
        <f>IF(Agent08_Loans!B170="","",Agent08_Loans!E170)</f>
        <v/>
      </c>
      <c r="F1558" s="40" t="str">
        <f>IF(Agent08_Loans!B170="","",Agent08_Loans!F170)</f>
        <v/>
      </c>
      <c r="G1558" s="40" t="str">
        <f>IF(Agent08_Loans!B170="","",Agent08_Loans!G170)</f>
        <v/>
      </c>
      <c r="H1558" s="40" t="str">
        <f>IF(Agent08_Loans!B170="","",Agent08_Loans!H170)</f>
        <v/>
      </c>
      <c r="I1558" s="43" t="str">
        <f>IF(Agent08_Loans!B170="","",Agent08_Loans!I170)</f>
        <v/>
      </c>
      <c r="J1558" s="43" t="str">
        <f>IF(Agent08_Loans!B170="","",Agent08_Loans!J170)</f>
        <v/>
      </c>
      <c r="K1558" s="40" t="str">
        <f>IF(Agent08_Loans!B170="","",Agent08_Loans!K170)</f>
        <v/>
      </c>
      <c r="L1558" s="40" t="str">
        <f>IF(Agent08_Loans!B170="","",Agent08_Loans!L170)</f>
        <v/>
      </c>
      <c r="M1558" s="40" t="str">
        <f>IFERROR(IF(Agent08_Loans!B170="","",YEAR(Agent08_Loans!D170)),"")</f>
        <v/>
      </c>
    </row>
    <row r="1559" spans="1:13" ht="18" customHeight="1" x14ac:dyDescent="0.25">
      <c r="A1559" s="40" t="str">
        <f>IF(Agent08_Loans!B171="","",Agent08_Loans!A171)</f>
        <v/>
      </c>
      <c r="B1559" s="40" t="str">
        <f>IF(Agent08_Loans!B171="","",Agent08_Loans!B171)</f>
        <v/>
      </c>
      <c r="C1559" s="40" t="str">
        <f>IF(Agent08_Loans!B171="","",Agent08_Loans!C171)</f>
        <v/>
      </c>
      <c r="D1559" s="41" t="str">
        <f>IF(Agent08_Loans!B171="","",Agent08_Loans!D171)</f>
        <v/>
      </c>
      <c r="E1559" s="43" t="str">
        <f>IF(Agent08_Loans!B171="","",Agent08_Loans!E171)</f>
        <v/>
      </c>
      <c r="F1559" s="40" t="str">
        <f>IF(Agent08_Loans!B171="","",Agent08_Loans!F171)</f>
        <v/>
      </c>
      <c r="G1559" s="40" t="str">
        <f>IF(Agent08_Loans!B171="","",Agent08_Loans!G171)</f>
        <v/>
      </c>
      <c r="H1559" s="40" t="str">
        <f>IF(Agent08_Loans!B171="","",Agent08_Loans!H171)</f>
        <v/>
      </c>
      <c r="I1559" s="43" t="str">
        <f>IF(Agent08_Loans!B171="","",Agent08_Loans!I171)</f>
        <v/>
      </c>
      <c r="J1559" s="43" t="str">
        <f>IF(Agent08_Loans!B171="","",Agent08_Loans!J171)</f>
        <v/>
      </c>
      <c r="K1559" s="40" t="str">
        <f>IF(Agent08_Loans!B171="","",Agent08_Loans!K171)</f>
        <v/>
      </c>
      <c r="L1559" s="40" t="str">
        <f>IF(Agent08_Loans!B171="","",Agent08_Loans!L171)</f>
        <v/>
      </c>
      <c r="M1559" s="40" t="str">
        <f>IFERROR(IF(Agent08_Loans!B171="","",YEAR(Agent08_Loans!D171)),"")</f>
        <v/>
      </c>
    </row>
    <row r="1560" spans="1:13" ht="18" customHeight="1" x14ac:dyDescent="0.25">
      <c r="A1560" s="40" t="str">
        <f>IF(Agent08_Loans!B172="","",Agent08_Loans!A172)</f>
        <v/>
      </c>
      <c r="B1560" s="40" t="str">
        <f>IF(Agent08_Loans!B172="","",Agent08_Loans!B172)</f>
        <v/>
      </c>
      <c r="C1560" s="40" t="str">
        <f>IF(Agent08_Loans!B172="","",Agent08_Loans!C172)</f>
        <v/>
      </c>
      <c r="D1560" s="41" t="str">
        <f>IF(Agent08_Loans!B172="","",Agent08_Loans!D172)</f>
        <v/>
      </c>
      <c r="E1560" s="43" t="str">
        <f>IF(Agent08_Loans!B172="","",Agent08_Loans!E172)</f>
        <v/>
      </c>
      <c r="F1560" s="40" t="str">
        <f>IF(Agent08_Loans!B172="","",Agent08_Loans!F172)</f>
        <v/>
      </c>
      <c r="G1560" s="40" t="str">
        <f>IF(Agent08_Loans!B172="","",Agent08_Loans!G172)</f>
        <v/>
      </c>
      <c r="H1560" s="40" t="str">
        <f>IF(Agent08_Loans!B172="","",Agent08_Loans!H172)</f>
        <v/>
      </c>
      <c r="I1560" s="43" t="str">
        <f>IF(Agent08_Loans!B172="","",Agent08_Loans!I172)</f>
        <v/>
      </c>
      <c r="J1560" s="43" t="str">
        <f>IF(Agent08_Loans!B172="","",Agent08_Loans!J172)</f>
        <v/>
      </c>
      <c r="K1560" s="40" t="str">
        <f>IF(Agent08_Loans!B172="","",Agent08_Loans!K172)</f>
        <v/>
      </c>
      <c r="L1560" s="40" t="str">
        <f>IF(Agent08_Loans!B172="","",Agent08_Loans!L172)</f>
        <v/>
      </c>
      <c r="M1560" s="40" t="str">
        <f>IFERROR(IF(Agent08_Loans!B172="","",YEAR(Agent08_Loans!D172)),"")</f>
        <v/>
      </c>
    </row>
    <row r="1561" spans="1:13" ht="18" customHeight="1" x14ac:dyDescent="0.25">
      <c r="A1561" s="40" t="str">
        <f>IF(Agent08_Loans!B173="","",Agent08_Loans!A173)</f>
        <v/>
      </c>
      <c r="B1561" s="40" t="str">
        <f>IF(Agent08_Loans!B173="","",Agent08_Loans!B173)</f>
        <v/>
      </c>
      <c r="C1561" s="40" t="str">
        <f>IF(Agent08_Loans!B173="","",Agent08_Loans!C173)</f>
        <v/>
      </c>
      <c r="D1561" s="41" t="str">
        <f>IF(Agent08_Loans!B173="","",Agent08_Loans!D173)</f>
        <v/>
      </c>
      <c r="E1561" s="43" t="str">
        <f>IF(Agent08_Loans!B173="","",Agent08_Loans!E173)</f>
        <v/>
      </c>
      <c r="F1561" s="40" t="str">
        <f>IF(Agent08_Loans!B173="","",Agent08_Loans!F173)</f>
        <v/>
      </c>
      <c r="G1561" s="40" t="str">
        <f>IF(Agent08_Loans!B173="","",Agent08_Loans!G173)</f>
        <v/>
      </c>
      <c r="H1561" s="40" t="str">
        <f>IF(Agent08_Loans!B173="","",Agent08_Loans!H173)</f>
        <v/>
      </c>
      <c r="I1561" s="43" t="str">
        <f>IF(Agent08_Loans!B173="","",Agent08_Loans!I173)</f>
        <v/>
      </c>
      <c r="J1561" s="43" t="str">
        <f>IF(Agent08_Loans!B173="","",Agent08_Loans!J173)</f>
        <v/>
      </c>
      <c r="K1561" s="40" t="str">
        <f>IF(Agent08_Loans!B173="","",Agent08_Loans!K173)</f>
        <v/>
      </c>
      <c r="L1561" s="40" t="str">
        <f>IF(Agent08_Loans!B173="","",Agent08_Loans!L173)</f>
        <v/>
      </c>
      <c r="M1561" s="40" t="str">
        <f>IFERROR(IF(Agent08_Loans!B173="","",YEAR(Agent08_Loans!D173)),"")</f>
        <v/>
      </c>
    </row>
    <row r="1562" spans="1:13" ht="18" customHeight="1" x14ac:dyDescent="0.25">
      <c r="A1562" s="40" t="str">
        <f>IF(Agent08_Loans!B174="","",Agent08_Loans!A174)</f>
        <v/>
      </c>
      <c r="B1562" s="40" t="str">
        <f>IF(Agent08_Loans!B174="","",Agent08_Loans!B174)</f>
        <v/>
      </c>
      <c r="C1562" s="40" t="str">
        <f>IF(Agent08_Loans!B174="","",Agent08_Loans!C174)</f>
        <v/>
      </c>
      <c r="D1562" s="41" t="str">
        <f>IF(Agent08_Loans!B174="","",Agent08_Loans!D174)</f>
        <v/>
      </c>
      <c r="E1562" s="43" t="str">
        <f>IF(Agent08_Loans!B174="","",Agent08_Loans!E174)</f>
        <v/>
      </c>
      <c r="F1562" s="40" t="str">
        <f>IF(Agent08_Loans!B174="","",Agent08_Loans!F174)</f>
        <v/>
      </c>
      <c r="G1562" s="40" t="str">
        <f>IF(Agent08_Loans!B174="","",Agent08_Loans!G174)</f>
        <v/>
      </c>
      <c r="H1562" s="40" t="str">
        <f>IF(Agent08_Loans!B174="","",Agent08_Loans!H174)</f>
        <v/>
      </c>
      <c r="I1562" s="43" t="str">
        <f>IF(Agent08_Loans!B174="","",Agent08_Loans!I174)</f>
        <v/>
      </c>
      <c r="J1562" s="43" t="str">
        <f>IF(Agent08_Loans!B174="","",Agent08_Loans!J174)</f>
        <v/>
      </c>
      <c r="K1562" s="40" t="str">
        <f>IF(Agent08_Loans!B174="","",Agent08_Loans!K174)</f>
        <v/>
      </c>
      <c r="L1562" s="40" t="str">
        <f>IF(Agent08_Loans!B174="","",Agent08_Loans!L174)</f>
        <v/>
      </c>
      <c r="M1562" s="40" t="str">
        <f>IFERROR(IF(Agent08_Loans!B174="","",YEAR(Agent08_Loans!D174)),"")</f>
        <v/>
      </c>
    </row>
    <row r="1563" spans="1:13" ht="18" customHeight="1" x14ac:dyDescent="0.25">
      <c r="A1563" s="40" t="str">
        <f>IF(Agent08_Loans!B175="","",Agent08_Loans!A175)</f>
        <v/>
      </c>
      <c r="B1563" s="40" t="str">
        <f>IF(Agent08_Loans!B175="","",Agent08_Loans!B175)</f>
        <v/>
      </c>
      <c r="C1563" s="40" t="str">
        <f>IF(Agent08_Loans!B175="","",Agent08_Loans!C175)</f>
        <v/>
      </c>
      <c r="D1563" s="41" t="str">
        <f>IF(Agent08_Loans!B175="","",Agent08_Loans!D175)</f>
        <v/>
      </c>
      <c r="E1563" s="43" t="str">
        <f>IF(Agent08_Loans!B175="","",Agent08_Loans!E175)</f>
        <v/>
      </c>
      <c r="F1563" s="40" t="str">
        <f>IF(Agent08_Loans!B175="","",Agent08_Loans!F175)</f>
        <v/>
      </c>
      <c r="G1563" s="40" t="str">
        <f>IF(Agent08_Loans!B175="","",Agent08_Loans!G175)</f>
        <v/>
      </c>
      <c r="H1563" s="40" t="str">
        <f>IF(Agent08_Loans!B175="","",Agent08_Loans!H175)</f>
        <v/>
      </c>
      <c r="I1563" s="43" t="str">
        <f>IF(Agent08_Loans!B175="","",Agent08_Loans!I175)</f>
        <v/>
      </c>
      <c r="J1563" s="43" t="str">
        <f>IF(Agent08_Loans!B175="","",Agent08_Loans!J175)</f>
        <v/>
      </c>
      <c r="K1563" s="40" t="str">
        <f>IF(Agent08_Loans!B175="","",Agent08_Loans!K175)</f>
        <v/>
      </c>
      <c r="L1563" s="40" t="str">
        <f>IF(Agent08_Loans!B175="","",Agent08_Loans!L175)</f>
        <v/>
      </c>
      <c r="M1563" s="40" t="str">
        <f>IFERROR(IF(Agent08_Loans!B175="","",YEAR(Agent08_Loans!D175)),"")</f>
        <v/>
      </c>
    </row>
    <row r="1564" spans="1:13" ht="18" customHeight="1" x14ac:dyDescent="0.25">
      <c r="A1564" s="40" t="str">
        <f>IF(Agent08_Loans!B176="","",Agent08_Loans!A176)</f>
        <v/>
      </c>
      <c r="B1564" s="40" t="str">
        <f>IF(Agent08_Loans!B176="","",Agent08_Loans!B176)</f>
        <v/>
      </c>
      <c r="C1564" s="40" t="str">
        <f>IF(Agent08_Loans!B176="","",Agent08_Loans!C176)</f>
        <v/>
      </c>
      <c r="D1564" s="41" t="str">
        <f>IF(Agent08_Loans!B176="","",Agent08_Loans!D176)</f>
        <v/>
      </c>
      <c r="E1564" s="43" t="str">
        <f>IF(Agent08_Loans!B176="","",Agent08_Loans!E176)</f>
        <v/>
      </c>
      <c r="F1564" s="40" t="str">
        <f>IF(Agent08_Loans!B176="","",Agent08_Loans!F176)</f>
        <v/>
      </c>
      <c r="G1564" s="40" t="str">
        <f>IF(Agent08_Loans!B176="","",Agent08_Loans!G176)</f>
        <v/>
      </c>
      <c r="H1564" s="40" t="str">
        <f>IF(Agent08_Loans!B176="","",Agent08_Loans!H176)</f>
        <v/>
      </c>
      <c r="I1564" s="43" t="str">
        <f>IF(Agent08_Loans!B176="","",Agent08_Loans!I176)</f>
        <v/>
      </c>
      <c r="J1564" s="43" t="str">
        <f>IF(Agent08_Loans!B176="","",Agent08_Loans!J176)</f>
        <v/>
      </c>
      <c r="K1564" s="40" t="str">
        <f>IF(Agent08_Loans!B176="","",Agent08_Loans!K176)</f>
        <v/>
      </c>
      <c r="L1564" s="40" t="str">
        <f>IF(Agent08_Loans!B176="","",Agent08_Loans!L176)</f>
        <v/>
      </c>
      <c r="M1564" s="40" t="str">
        <f>IFERROR(IF(Agent08_Loans!B176="","",YEAR(Agent08_Loans!D176)),"")</f>
        <v/>
      </c>
    </row>
    <row r="1565" spans="1:13" ht="18" customHeight="1" x14ac:dyDescent="0.25">
      <c r="A1565" s="40" t="str">
        <f>IF(Agent08_Loans!B177="","",Agent08_Loans!A177)</f>
        <v/>
      </c>
      <c r="B1565" s="40" t="str">
        <f>IF(Agent08_Loans!B177="","",Agent08_Loans!B177)</f>
        <v/>
      </c>
      <c r="C1565" s="40" t="str">
        <f>IF(Agent08_Loans!B177="","",Agent08_Loans!C177)</f>
        <v/>
      </c>
      <c r="D1565" s="41" t="str">
        <f>IF(Agent08_Loans!B177="","",Agent08_Loans!D177)</f>
        <v/>
      </c>
      <c r="E1565" s="43" t="str">
        <f>IF(Agent08_Loans!B177="","",Agent08_Loans!E177)</f>
        <v/>
      </c>
      <c r="F1565" s="40" t="str">
        <f>IF(Agent08_Loans!B177="","",Agent08_Loans!F177)</f>
        <v/>
      </c>
      <c r="G1565" s="40" t="str">
        <f>IF(Agent08_Loans!B177="","",Agent08_Loans!G177)</f>
        <v/>
      </c>
      <c r="H1565" s="40" t="str">
        <f>IF(Agent08_Loans!B177="","",Agent08_Loans!H177)</f>
        <v/>
      </c>
      <c r="I1565" s="43" t="str">
        <f>IF(Agent08_Loans!B177="","",Agent08_Loans!I177)</f>
        <v/>
      </c>
      <c r="J1565" s="43" t="str">
        <f>IF(Agent08_Loans!B177="","",Agent08_Loans!J177)</f>
        <v/>
      </c>
      <c r="K1565" s="40" t="str">
        <f>IF(Agent08_Loans!B177="","",Agent08_Loans!K177)</f>
        <v/>
      </c>
      <c r="L1565" s="40" t="str">
        <f>IF(Agent08_Loans!B177="","",Agent08_Loans!L177)</f>
        <v/>
      </c>
      <c r="M1565" s="40" t="str">
        <f>IFERROR(IF(Agent08_Loans!B177="","",YEAR(Agent08_Loans!D177)),"")</f>
        <v/>
      </c>
    </row>
    <row r="1566" spans="1:13" ht="18" customHeight="1" x14ac:dyDescent="0.25">
      <c r="A1566" s="40" t="str">
        <f>IF(Agent08_Loans!B178="","",Agent08_Loans!A178)</f>
        <v/>
      </c>
      <c r="B1566" s="40" t="str">
        <f>IF(Agent08_Loans!B178="","",Agent08_Loans!B178)</f>
        <v/>
      </c>
      <c r="C1566" s="40" t="str">
        <f>IF(Agent08_Loans!B178="","",Agent08_Loans!C178)</f>
        <v/>
      </c>
      <c r="D1566" s="41" t="str">
        <f>IF(Agent08_Loans!B178="","",Agent08_Loans!D178)</f>
        <v/>
      </c>
      <c r="E1566" s="43" t="str">
        <f>IF(Agent08_Loans!B178="","",Agent08_Loans!E178)</f>
        <v/>
      </c>
      <c r="F1566" s="40" t="str">
        <f>IF(Agent08_Loans!B178="","",Agent08_Loans!F178)</f>
        <v/>
      </c>
      <c r="G1566" s="40" t="str">
        <f>IF(Agent08_Loans!B178="","",Agent08_Loans!G178)</f>
        <v/>
      </c>
      <c r="H1566" s="40" t="str">
        <f>IF(Agent08_Loans!B178="","",Agent08_Loans!H178)</f>
        <v/>
      </c>
      <c r="I1566" s="43" t="str">
        <f>IF(Agent08_Loans!B178="","",Agent08_Loans!I178)</f>
        <v/>
      </c>
      <c r="J1566" s="43" t="str">
        <f>IF(Agent08_Loans!B178="","",Agent08_Loans!J178)</f>
        <v/>
      </c>
      <c r="K1566" s="40" t="str">
        <f>IF(Agent08_Loans!B178="","",Agent08_Loans!K178)</f>
        <v/>
      </c>
      <c r="L1566" s="40" t="str">
        <f>IF(Agent08_Loans!B178="","",Agent08_Loans!L178)</f>
        <v/>
      </c>
      <c r="M1566" s="40" t="str">
        <f>IFERROR(IF(Agent08_Loans!B178="","",YEAR(Agent08_Loans!D178)),"")</f>
        <v/>
      </c>
    </row>
    <row r="1567" spans="1:13" ht="18" customHeight="1" x14ac:dyDescent="0.25">
      <c r="A1567" s="40" t="str">
        <f>IF(Agent08_Loans!B179="","",Agent08_Loans!A179)</f>
        <v/>
      </c>
      <c r="B1567" s="40" t="str">
        <f>IF(Agent08_Loans!B179="","",Agent08_Loans!B179)</f>
        <v/>
      </c>
      <c r="C1567" s="40" t="str">
        <f>IF(Agent08_Loans!B179="","",Agent08_Loans!C179)</f>
        <v/>
      </c>
      <c r="D1567" s="41" t="str">
        <f>IF(Agent08_Loans!B179="","",Agent08_Loans!D179)</f>
        <v/>
      </c>
      <c r="E1567" s="43" t="str">
        <f>IF(Agent08_Loans!B179="","",Agent08_Loans!E179)</f>
        <v/>
      </c>
      <c r="F1567" s="40" t="str">
        <f>IF(Agent08_Loans!B179="","",Agent08_Loans!F179)</f>
        <v/>
      </c>
      <c r="G1567" s="40" t="str">
        <f>IF(Agent08_Loans!B179="","",Agent08_Loans!G179)</f>
        <v/>
      </c>
      <c r="H1567" s="40" t="str">
        <f>IF(Agent08_Loans!B179="","",Agent08_Loans!H179)</f>
        <v/>
      </c>
      <c r="I1567" s="43" t="str">
        <f>IF(Agent08_Loans!B179="","",Agent08_Loans!I179)</f>
        <v/>
      </c>
      <c r="J1567" s="43" t="str">
        <f>IF(Agent08_Loans!B179="","",Agent08_Loans!J179)</f>
        <v/>
      </c>
      <c r="K1567" s="40" t="str">
        <f>IF(Agent08_Loans!B179="","",Agent08_Loans!K179)</f>
        <v/>
      </c>
      <c r="L1567" s="40" t="str">
        <f>IF(Agent08_Loans!B179="","",Agent08_Loans!L179)</f>
        <v/>
      </c>
      <c r="M1567" s="40" t="str">
        <f>IFERROR(IF(Agent08_Loans!B179="","",YEAR(Agent08_Loans!D179)),"")</f>
        <v/>
      </c>
    </row>
    <row r="1568" spans="1:13" ht="18" customHeight="1" x14ac:dyDescent="0.25">
      <c r="A1568" s="40" t="str">
        <f>IF(Agent08_Loans!B180="","",Agent08_Loans!A180)</f>
        <v/>
      </c>
      <c r="B1568" s="40" t="str">
        <f>IF(Agent08_Loans!B180="","",Agent08_Loans!B180)</f>
        <v/>
      </c>
      <c r="C1568" s="40" t="str">
        <f>IF(Agent08_Loans!B180="","",Agent08_Loans!C180)</f>
        <v/>
      </c>
      <c r="D1568" s="41" t="str">
        <f>IF(Agent08_Loans!B180="","",Agent08_Loans!D180)</f>
        <v/>
      </c>
      <c r="E1568" s="43" t="str">
        <f>IF(Agent08_Loans!B180="","",Agent08_Loans!E180)</f>
        <v/>
      </c>
      <c r="F1568" s="40" t="str">
        <f>IF(Agent08_Loans!B180="","",Agent08_Loans!F180)</f>
        <v/>
      </c>
      <c r="G1568" s="40" t="str">
        <f>IF(Agent08_Loans!B180="","",Agent08_Loans!G180)</f>
        <v/>
      </c>
      <c r="H1568" s="40" t="str">
        <f>IF(Agent08_Loans!B180="","",Agent08_Loans!H180)</f>
        <v/>
      </c>
      <c r="I1568" s="43" t="str">
        <f>IF(Agent08_Loans!B180="","",Agent08_Loans!I180)</f>
        <v/>
      </c>
      <c r="J1568" s="43" t="str">
        <f>IF(Agent08_Loans!B180="","",Agent08_Loans!J180)</f>
        <v/>
      </c>
      <c r="K1568" s="40" t="str">
        <f>IF(Agent08_Loans!B180="","",Agent08_Loans!K180)</f>
        <v/>
      </c>
      <c r="L1568" s="40" t="str">
        <f>IF(Agent08_Loans!B180="","",Agent08_Loans!L180)</f>
        <v/>
      </c>
      <c r="M1568" s="40" t="str">
        <f>IFERROR(IF(Agent08_Loans!B180="","",YEAR(Agent08_Loans!D180)),"")</f>
        <v/>
      </c>
    </row>
    <row r="1569" spans="1:13" ht="18" customHeight="1" x14ac:dyDescent="0.25">
      <c r="A1569" s="40" t="str">
        <f>IF(Agent08_Loans!B181="","",Agent08_Loans!A181)</f>
        <v/>
      </c>
      <c r="B1569" s="40" t="str">
        <f>IF(Agent08_Loans!B181="","",Agent08_Loans!B181)</f>
        <v/>
      </c>
      <c r="C1569" s="40" t="str">
        <f>IF(Agent08_Loans!B181="","",Agent08_Loans!C181)</f>
        <v/>
      </c>
      <c r="D1569" s="41" t="str">
        <f>IF(Agent08_Loans!B181="","",Agent08_Loans!D181)</f>
        <v/>
      </c>
      <c r="E1569" s="43" t="str">
        <f>IF(Agent08_Loans!B181="","",Agent08_Loans!E181)</f>
        <v/>
      </c>
      <c r="F1569" s="40" t="str">
        <f>IF(Agent08_Loans!B181="","",Agent08_Loans!F181)</f>
        <v/>
      </c>
      <c r="G1569" s="40" t="str">
        <f>IF(Agent08_Loans!B181="","",Agent08_Loans!G181)</f>
        <v/>
      </c>
      <c r="H1569" s="40" t="str">
        <f>IF(Agent08_Loans!B181="","",Agent08_Loans!H181)</f>
        <v/>
      </c>
      <c r="I1569" s="43" t="str">
        <f>IF(Agent08_Loans!B181="","",Agent08_Loans!I181)</f>
        <v/>
      </c>
      <c r="J1569" s="43" t="str">
        <f>IF(Agent08_Loans!B181="","",Agent08_Loans!J181)</f>
        <v/>
      </c>
      <c r="K1569" s="40" t="str">
        <f>IF(Agent08_Loans!B181="","",Agent08_Loans!K181)</f>
        <v/>
      </c>
      <c r="L1569" s="40" t="str">
        <f>IF(Agent08_Loans!B181="","",Agent08_Loans!L181)</f>
        <v/>
      </c>
      <c r="M1569" s="40" t="str">
        <f>IFERROR(IF(Agent08_Loans!B181="","",YEAR(Agent08_Loans!D181)),"")</f>
        <v/>
      </c>
    </row>
    <row r="1570" spans="1:13" ht="18" customHeight="1" x14ac:dyDescent="0.25">
      <c r="A1570" s="40" t="str">
        <f>IF(Agent08_Loans!B182="","",Agent08_Loans!A182)</f>
        <v/>
      </c>
      <c r="B1570" s="40" t="str">
        <f>IF(Agent08_Loans!B182="","",Agent08_Loans!B182)</f>
        <v/>
      </c>
      <c r="C1570" s="40" t="str">
        <f>IF(Agent08_Loans!B182="","",Agent08_Loans!C182)</f>
        <v/>
      </c>
      <c r="D1570" s="41" t="str">
        <f>IF(Agent08_Loans!B182="","",Agent08_Loans!D182)</f>
        <v/>
      </c>
      <c r="E1570" s="43" t="str">
        <f>IF(Agent08_Loans!B182="","",Agent08_Loans!E182)</f>
        <v/>
      </c>
      <c r="F1570" s="40" t="str">
        <f>IF(Agent08_Loans!B182="","",Agent08_Loans!F182)</f>
        <v/>
      </c>
      <c r="G1570" s="40" t="str">
        <f>IF(Agent08_Loans!B182="","",Agent08_Loans!G182)</f>
        <v/>
      </c>
      <c r="H1570" s="40" t="str">
        <f>IF(Agent08_Loans!B182="","",Agent08_Loans!H182)</f>
        <v/>
      </c>
      <c r="I1570" s="43" t="str">
        <f>IF(Agent08_Loans!B182="","",Agent08_Loans!I182)</f>
        <v/>
      </c>
      <c r="J1570" s="43" t="str">
        <f>IF(Agent08_Loans!B182="","",Agent08_Loans!J182)</f>
        <v/>
      </c>
      <c r="K1570" s="40" t="str">
        <f>IF(Agent08_Loans!B182="","",Agent08_Loans!K182)</f>
        <v/>
      </c>
      <c r="L1570" s="40" t="str">
        <f>IF(Agent08_Loans!B182="","",Agent08_Loans!L182)</f>
        <v/>
      </c>
      <c r="M1570" s="40" t="str">
        <f>IFERROR(IF(Agent08_Loans!B182="","",YEAR(Agent08_Loans!D182)),"")</f>
        <v/>
      </c>
    </row>
    <row r="1571" spans="1:13" ht="18" customHeight="1" x14ac:dyDescent="0.25">
      <c r="A1571" s="40" t="str">
        <f>IF(Agent08_Loans!B183="","",Agent08_Loans!A183)</f>
        <v/>
      </c>
      <c r="B1571" s="40" t="str">
        <f>IF(Agent08_Loans!B183="","",Agent08_Loans!B183)</f>
        <v/>
      </c>
      <c r="C1571" s="40" t="str">
        <f>IF(Agent08_Loans!B183="","",Agent08_Loans!C183)</f>
        <v/>
      </c>
      <c r="D1571" s="41" t="str">
        <f>IF(Agent08_Loans!B183="","",Agent08_Loans!D183)</f>
        <v/>
      </c>
      <c r="E1571" s="43" t="str">
        <f>IF(Agent08_Loans!B183="","",Agent08_Loans!E183)</f>
        <v/>
      </c>
      <c r="F1571" s="40" t="str">
        <f>IF(Agent08_Loans!B183="","",Agent08_Loans!F183)</f>
        <v/>
      </c>
      <c r="G1571" s="40" t="str">
        <f>IF(Agent08_Loans!B183="","",Agent08_Loans!G183)</f>
        <v/>
      </c>
      <c r="H1571" s="40" t="str">
        <f>IF(Agent08_Loans!B183="","",Agent08_Loans!H183)</f>
        <v/>
      </c>
      <c r="I1571" s="43" t="str">
        <f>IF(Agent08_Loans!B183="","",Agent08_Loans!I183)</f>
        <v/>
      </c>
      <c r="J1571" s="43" t="str">
        <f>IF(Agent08_Loans!B183="","",Agent08_Loans!J183)</f>
        <v/>
      </c>
      <c r="K1571" s="40" t="str">
        <f>IF(Agent08_Loans!B183="","",Agent08_Loans!K183)</f>
        <v/>
      </c>
      <c r="L1571" s="40" t="str">
        <f>IF(Agent08_Loans!B183="","",Agent08_Loans!L183)</f>
        <v/>
      </c>
      <c r="M1571" s="40" t="str">
        <f>IFERROR(IF(Agent08_Loans!B183="","",YEAR(Agent08_Loans!D183)),"")</f>
        <v/>
      </c>
    </row>
    <row r="1572" spans="1:13" ht="18" customHeight="1" x14ac:dyDescent="0.25">
      <c r="A1572" s="40" t="str">
        <f>IF(Agent08_Loans!B184="","",Agent08_Loans!A184)</f>
        <v/>
      </c>
      <c r="B1572" s="40" t="str">
        <f>IF(Agent08_Loans!B184="","",Agent08_Loans!B184)</f>
        <v/>
      </c>
      <c r="C1572" s="40" t="str">
        <f>IF(Agent08_Loans!B184="","",Agent08_Loans!C184)</f>
        <v/>
      </c>
      <c r="D1572" s="41" t="str">
        <f>IF(Agent08_Loans!B184="","",Agent08_Loans!D184)</f>
        <v/>
      </c>
      <c r="E1572" s="43" t="str">
        <f>IF(Agent08_Loans!B184="","",Agent08_Loans!E184)</f>
        <v/>
      </c>
      <c r="F1572" s="40" t="str">
        <f>IF(Agent08_Loans!B184="","",Agent08_Loans!F184)</f>
        <v/>
      </c>
      <c r="G1572" s="40" t="str">
        <f>IF(Agent08_Loans!B184="","",Agent08_Loans!G184)</f>
        <v/>
      </c>
      <c r="H1572" s="40" t="str">
        <f>IF(Agent08_Loans!B184="","",Agent08_Loans!H184)</f>
        <v/>
      </c>
      <c r="I1572" s="43" t="str">
        <f>IF(Agent08_Loans!B184="","",Agent08_Loans!I184)</f>
        <v/>
      </c>
      <c r="J1572" s="43" t="str">
        <f>IF(Agent08_Loans!B184="","",Agent08_Loans!J184)</f>
        <v/>
      </c>
      <c r="K1572" s="40" t="str">
        <f>IF(Agent08_Loans!B184="","",Agent08_Loans!K184)</f>
        <v/>
      </c>
      <c r="L1572" s="40" t="str">
        <f>IF(Agent08_Loans!B184="","",Agent08_Loans!L184)</f>
        <v/>
      </c>
      <c r="M1572" s="40" t="str">
        <f>IFERROR(IF(Agent08_Loans!B184="","",YEAR(Agent08_Loans!D184)),"")</f>
        <v/>
      </c>
    </row>
    <row r="1573" spans="1:13" ht="18" customHeight="1" x14ac:dyDescent="0.25">
      <c r="A1573" s="40" t="str">
        <f>IF(Agent08_Loans!B185="","",Agent08_Loans!A185)</f>
        <v/>
      </c>
      <c r="B1573" s="40" t="str">
        <f>IF(Agent08_Loans!B185="","",Agent08_Loans!B185)</f>
        <v/>
      </c>
      <c r="C1573" s="40" t="str">
        <f>IF(Agent08_Loans!B185="","",Agent08_Loans!C185)</f>
        <v/>
      </c>
      <c r="D1573" s="41" t="str">
        <f>IF(Agent08_Loans!B185="","",Agent08_Loans!D185)</f>
        <v/>
      </c>
      <c r="E1573" s="43" t="str">
        <f>IF(Agent08_Loans!B185="","",Agent08_Loans!E185)</f>
        <v/>
      </c>
      <c r="F1573" s="40" t="str">
        <f>IF(Agent08_Loans!B185="","",Agent08_Loans!F185)</f>
        <v/>
      </c>
      <c r="G1573" s="40" t="str">
        <f>IF(Agent08_Loans!B185="","",Agent08_Loans!G185)</f>
        <v/>
      </c>
      <c r="H1573" s="40" t="str">
        <f>IF(Agent08_Loans!B185="","",Agent08_Loans!H185)</f>
        <v/>
      </c>
      <c r="I1573" s="43" t="str">
        <f>IF(Agent08_Loans!B185="","",Agent08_Loans!I185)</f>
        <v/>
      </c>
      <c r="J1573" s="43" t="str">
        <f>IF(Agent08_Loans!B185="","",Agent08_Loans!J185)</f>
        <v/>
      </c>
      <c r="K1573" s="40" t="str">
        <f>IF(Agent08_Loans!B185="","",Agent08_Loans!K185)</f>
        <v/>
      </c>
      <c r="L1573" s="40" t="str">
        <f>IF(Agent08_Loans!B185="","",Agent08_Loans!L185)</f>
        <v/>
      </c>
      <c r="M1573" s="40" t="str">
        <f>IFERROR(IF(Agent08_Loans!B185="","",YEAR(Agent08_Loans!D185)),"")</f>
        <v/>
      </c>
    </row>
    <row r="1574" spans="1:13" ht="18" customHeight="1" x14ac:dyDescent="0.25">
      <c r="A1574" s="40" t="str">
        <f>IF(Agent08_Loans!B186="","",Agent08_Loans!A186)</f>
        <v/>
      </c>
      <c r="B1574" s="40" t="str">
        <f>IF(Agent08_Loans!B186="","",Agent08_Loans!B186)</f>
        <v/>
      </c>
      <c r="C1574" s="40" t="str">
        <f>IF(Agent08_Loans!B186="","",Agent08_Loans!C186)</f>
        <v/>
      </c>
      <c r="D1574" s="41" t="str">
        <f>IF(Agent08_Loans!B186="","",Agent08_Loans!D186)</f>
        <v/>
      </c>
      <c r="E1574" s="43" t="str">
        <f>IF(Agent08_Loans!B186="","",Agent08_Loans!E186)</f>
        <v/>
      </c>
      <c r="F1574" s="40" t="str">
        <f>IF(Agent08_Loans!B186="","",Agent08_Loans!F186)</f>
        <v/>
      </c>
      <c r="G1574" s="40" t="str">
        <f>IF(Agent08_Loans!B186="","",Agent08_Loans!G186)</f>
        <v/>
      </c>
      <c r="H1574" s="40" t="str">
        <f>IF(Agent08_Loans!B186="","",Agent08_Loans!H186)</f>
        <v/>
      </c>
      <c r="I1574" s="43" t="str">
        <f>IF(Agent08_Loans!B186="","",Agent08_Loans!I186)</f>
        <v/>
      </c>
      <c r="J1574" s="43" t="str">
        <f>IF(Agent08_Loans!B186="","",Agent08_Loans!J186)</f>
        <v/>
      </c>
      <c r="K1574" s="40" t="str">
        <f>IF(Agent08_Loans!B186="","",Agent08_Loans!K186)</f>
        <v/>
      </c>
      <c r="L1574" s="40" t="str">
        <f>IF(Agent08_Loans!B186="","",Agent08_Loans!L186)</f>
        <v/>
      </c>
      <c r="M1574" s="40" t="str">
        <f>IFERROR(IF(Agent08_Loans!B186="","",YEAR(Agent08_Loans!D186)),"")</f>
        <v/>
      </c>
    </row>
    <row r="1575" spans="1:13" ht="18" customHeight="1" x14ac:dyDescent="0.25">
      <c r="A1575" s="40" t="str">
        <f>IF(Agent08_Loans!B187="","",Agent08_Loans!A187)</f>
        <v/>
      </c>
      <c r="B1575" s="40" t="str">
        <f>IF(Agent08_Loans!B187="","",Agent08_Loans!B187)</f>
        <v/>
      </c>
      <c r="C1575" s="40" t="str">
        <f>IF(Agent08_Loans!B187="","",Agent08_Loans!C187)</f>
        <v/>
      </c>
      <c r="D1575" s="41" t="str">
        <f>IF(Agent08_Loans!B187="","",Agent08_Loans!D187)</f>
        <v/>
      </c>
      <c r="E1575" s="43" t="str">
        <f>IF(Agent08_Loans!B187="","",Agent08_Loans!E187)</f>
        <v/>
      </c>
      <c r="F1575" s="40" t="str">
        <f>IF(Agent08_Loans!B187="","",Agent08_Loans!F187)</f>
        <v/>
      </c>
      <c r="G1575" s="40" t="str">
        <f>IF(Agent08_Loans!B187="","",Agent08_Loans!G187)</f>
        <v/>
      </c>
      <c r="H1575" s="40" t="str">
        <f>IF(Agent08_Loans!B187="","",Agent08_Loans!H187)</f>
        <v/>
      </c>
      <c r="I1575" s="43" t="str">
        <f>IF(Agent08_Loans!B187="","",Agent08_Loans!I187)</f>
        <v/>
      </c>
      <c r="J1575" s="43" t="str">
        <f>IF(Agent08_Loans!B187="","",Agent08_Loans!J187)</f>
        <v/>
      </c>
      <c r="K1575" s="40" t="str">
        <f>IF(Agent08_Loans!B187="","",Agent08_Loans!K187)</f>
        <v/>
      </c>
      <c r="L1575" s="40" t="str">
        <f>IF(Agent08_Loans!B187="","",Agent08_Loans!L187)</f>
        <v/>
      </c>
      <c r="M1575" s="40" t="str">
        <f>IFERROR(IF(Agent08_Loans!B187="","",YEAR(Agent08_Loans!D187)),"")</f>
        <v/>
      </c>
    </row>
    <row r="1576" spans="1:13" ht="18" customHeight="1" x14ac:dyDescent="0.25">
      <c r="A1576" s="40" t="str">
        <f>IF(Agent08_Loans!B188="","",Agent08_Loans!A188)</f>
        <v/>
      </c>
      <c r="B1576" s="40" t="str">
        <f>IF(Agent08_Loans!B188="","",Agent08_Loans!B188)</f>
        <v/>
      </c>
      <c r="C1576" s="40" t="str">
        <f>IF(Agent08_Loans!B188="","",Agent08_Loans!C188)</f>
        <v/>
      </c>
      <c r="D1576" s="41" t="str">
        <f>IF(Agent08_Loans!B188="","",Agent08_Loans!D188)</f>
        <v/>
      </c>
      <c r="E1576" s="43" t="str">
        <f>IF(Agent08_Loans!B188="","",Agent08_Loans!E188)</f>
        <v/>
      </c>
      <c r="F1576" s="40" t="str">
        <f>IF(Agent08_Loans!B188="","",Agent08_Loans!F188)</f>
        <v/>
      </c>
      <c r="G1576" s="40" t="str">
        <f>IF(Agent08_Loans!B188="","",Agent08_Loans!G188)</f>
        <v/>
      </c>
      <c r="H1576" s="40" t="str">
        <f>IF(Agent08_Loans!B188="","",Agent08_Loans!H188)</f>
        <v/>
      </c>
      <c r="I1576" s="43" t="str">
        <f>IF(Agent08_Loans!B188="","",Agent08_Loans!I188)</f>
        <v/>
      </c>
      <c r="J1576" s="43" t="str">
        <f>IF(Agent08_Loans!B188="","",Agent08_Loans!J188)</f>
        <v/>
      </c>
      <c r="K1576" s="40" t="str">
        <f>IF(Agent08_Loans!B188="","",Agent08_Loans!K188)</f>
        <v/>
      </c>
      <c r="L1576" s="40" t="str">
        <f>IF(Agent08_Loans!B188="","",Agent08_Loans!L188)</f>
        <v/>
      </c>
      <c r="M1576" s="40" t="str">
        <f>IFERROR(IF(Agent08_Loans!B188="","",YEAR(Agent08_Loans!D188)),"")</f>
        <v/>
      </c>
    </row>
    <row r="1577" spans="1:13" ht="18" customHeight="1" x14ac:dyDescent="0.25">
      <c r="A1577" s="40" t="str">
        <f>IF(Agent08_Loans!B189="","",Agent08_Loans!A189)</f>
        <v/>
      </c>
      <c r="B1577" s="40" t="str">
        <f>IF(Agent08_Loans!B189="","",Agent08_Loans!B189)</f>
        <v/>
      </c>
      <c r="C1577" s="40" t="str">
        <f>IF(Agent08_Loans!B189="","",Agent08_Loans!C189)</f>
        <v/>
      </c>
      <c r="D1577" s="41" t="str">
        <f>IF(Agent08_Loans!B189="","",Agent08_Loans!D189)</f>
        <v/>
      </c>
      <c r="E1577" s="43" t="str">
        <f>IF(Agent08_Loans!B189="","",Agent08_Loans!E189)</f>
        <v/>
      </c>
      <c r="F1577" s="40" t="str">
        <f>IF(Agent08_Loans!B189="","",Agent08_Loans!F189)</f>
        <v/>
      </c>
      <c r="G1577" s="40" t="str">
        <f>IF(Agent08_Loans!B189="","",Agent08_Loans!G189)</f>
        <v/>
      </c>
      <c r="H1577" s="40" t="str">
        <f>IF(Agent08_Loans!B189="","",Agent08_Loans!H189)</f>
        <v/>
      </c>
      <c r="I1577" s="43" t="str">
        <f>IF(Agent08_Loans!B189="","",Agent08_Loans!I189)</f>
        <v/>
      </c>
      <c r="J1577" s="43" t="str">
        <f>IF(Agent08_Loans!B189="","",Agent08_Loans!J189)</f>
        <v/>
      </c>
      <c r="K1577" s="40" t="str">
        <f>IF(Agent08_Loans!B189="","",Agent08_Loans!K189)</f>
        <v/>
      </c>
      <c r="L1577" s="40" t="str">
        <f>IF(Agent08_Loans!B189="","",Agent08_Loans!L189)</f>
        <v/>
      </c>
      <c r="M1577" s="40" t="str">
        <f>IFERROR(IF(Agent08_Loans!B189="","",YEAR(Agent08_Loans!D189)),"")</f>
        <v/>
      </c>
    </row>
    <row r="1578" spans="1:13" ht="18" customHeight="1" x14ac:dyDescent="0.25">
      <c r="A1578" s="40" t="str">
        <f>IF(Agent08_Loans!B190="","",Agent08_Loans!A190)</f>
        <v/>
      </c>
      <c r="B1578" s="40" t="str">
        <f>IF(Agent08_Loans!B190="","",Agent08_Loans!B190)</f>
        <v/>
      </c>
      <c r="C1578" s="40" t="str">
        <f>IF(Agent08_Loans!B190="","",Agent08_Loans!C190)</f>
        <v/>
      </c>
      <c r="D1578" s="41" t="str">
        <f>IF(Agent08_Loans!B190="","",Agent08_Loans!D190)</f>
        <v/>
      </c>
      <c r="E1578" s="43" t="str">
        <f>IF(Agent08_Loans!B190="","",Agent08_Loans!E190)</f>
        <v/>
      </c>
      <c r="F1578" s="40" t="str">
        <f>IF(Agent08_Loans!B190="","",Agent08_Loans!F190)</f>
        <v/>
      </c>
      <c r="G1578" s="40" t="str">
        <f>IF(Agent08_Loans!B190="","",Agent08_Loans!G190)</f>
        <v/>
      </c>
      <c r="H1578" s="40" t="str">
        <f>IF(Agent08_Loans!B190="","",Agent08_Loans!H190)</f>
        <v/>
      </c>
      <c r="I1578" s="43" t="str">
        <f>IF(Agent08_Loans!B190="","",Agent08_Loans!I190)</f>
        <v/>
      </c>
      <c r="J1578" s="43" t="str">
        <f>IF(Agent08_Loans!B190="","",Agent08_Loans!J190)</f>
        <v/>
      </c>
      <c r="K1578" s="40" t="str">
        <f>IF(Agent08_Loans!B190="","",Agent08_Loans!K190)</f>
        <v/>
      </c>
      <c r="L1578" s="40" t="str">
        <f>IF(Agent08_Loans!B190="","",Agent08_Loans!L190)</f>
        <v/>
      </c>
      <c r="M1578" s="40" t="str">
        <f>IFERROR(IF(Agent08_Loans!B190="","",YEAR(Agent08_Loans!D190)),"")</f>
        <v/>
      </c>
    </row>
    <row r="1579" spans="1:13" ht="18" customHeight="1" x14ac:dyDescent="0.25">
      <c r="A1579" s="40" t="str">
        <f>IF(Agent08_Loans!B191="","",Agent08_Loans!A191)</f>
        <v/>
      </c>
      <c r="B1579" s="40" t="str">
        <f>IF(Agent08_Loans!B191="","",Agent08_Loans!B191)</f>
        <v/>
      </c>
      <c r="C1579" s="40" t="str">
        <f>IF(Agent08_Loans!B191="","",Agent08_Loans!C191)</f>
        <v/>
      </c>
      <c r="D1579" s="41" t="str">
        <f>IF(Agent08_Loans!B191="","",Agent08_Loans!D191)</f>
        <v/>
      </c>
      <c r="E1579" s="43" t="str">
        <f>IF(Agent08_Loans!B191="","",Agent08_Loans!E191)</f>
        <v/>
      </c>
      <c r="F1579" s="40" t="str">
        <f>IF(Agent08_Loans!B191="","",Agent08_Loans!F191)</f>
        <v/>
      </c>
      <c r="G1579" s="40" t="str">
        <f>IF(Agent08_Loans!B191="","",Agent08_Loans!G191)</f>
        <v/>
      </c>
      <c r="H1579" s="40" t="str">
        <f>IF(Agent08_Loans!B191="","",Agent08_Loans!H191)</f>
        <v/>
      </c>
      <c r="I1579" s="43" t="str">
        <f>IF(Agent08_Loans!B191="","",Agent08_Loans!I191)</f>
        <v/>
      </c>
      <c r="J1579" s="43" t="str">
        <f>IF(Agent08_Loans!B191="","",Agent08_Loans!J191)</f>
        <v/>
      </c>
      <c r="K1579" s="40" t="str">
        <f>IF(Agent08_Loans!B191="","",Agent08_Loans!K191)</f>
        <v/>
      </c>
      <c r="L1579" s="40" t="str">
        <f>IF(Agent08_Loans!B191="","",Agent08_Loans!L191)</f>
        <v/>
      </c>
      <c r="M1579" s="40" t="str">
        <f>IFERROR(IF(Agent08_Loans!B191="","",YEAR(Agent08_Loans!D191)),"")</f>
        <v/>
      </c>
    </row>
    <row r="1580" spans="1:13" ht="18" customHeight="1" x14ac:dyDescent="0.25">
      <c r="A1580" s="40" t="str">
        <f>IF(Agent08_Loans!B192="","",Agent08_Loans!A192)</f>
        <v/>
      </c>
      <c r="B1580" s="40" t="str">
        <f>IF(Agent08_Loans!B192="","",Agent08_Loans!B192)</f>
        <v/>
      </c>
      <c r="C1580" s="40" t="str">
        <f>IF(Agent08_Loans!B192="","",Agent08_Loans!C192)</f>
        <v/>
      </c>
      <c r="D1580" s="41" t="str">
        <f>IF(Agent08_Loans!B192="","",Agent08_Loans!D192)</f>
        <v/>
      </c>
      <c r="E1580" s="43" t="str">
        <f>IF(Agent08_Loans!B192="","",Agent08_Loans!E192)</f>
        <v/>
      </c>
      <c r="F1580" s="40" t="str">
        <f>IF(Agent08_Loans!B192="","",Agent08_Loans!F192)</f>
        <v/>
      </c>
      <c r="G1580" s="40" t="str">
        <f>IF(Agent08_Loans!B192="","",Agent08_Loans!G192)</f>
        <v/>
      </c>
      <c r="H1580" s="40" t="str">
        <f>IF(Agent08_Loans!B192="","",Agent08_Loans!H192)</f>
        <v/>
      </c>
      <c r="I1580" s="43" t="str">
        <f>IF(Agent08_Loans!B192="","",Agent08_Loans!I192)</f>
        <v/>
      </c>
      <c r="J1580" s="43" t="str">
        <f>IF(Agent08_Loans!B192="","",Agent08_Loans!J192)</f>
        <v/>
      </c>
      <c r="K1580" s="40" t="str">
        <f>IF(Agent08_Loans!B192="","",Agent08_Loans!K192)</f>
        <v/>
      </c>
      <c r="L1580" s="40" t="str">
        <f>IF(Agent08_Loans!B192="","",Agent08_Loans!L192)</f>
        <v/>
      </c>
      <c r="M1580" s="40" t="str">
        <f>IFERROR(IF(Agent08_Loans!B192="","",YEAR(Agent08_Loans!D192)),"")</f>
        <v/>
      </c>
    </row>
    <row r="1581" spans="1:13" ht="18" customHeight="1" x14ac:dyDescent="0.25">
      <c r="A1581" s="40" t="str">
        <f>IF(Agent08_Loans!B193="","",Agent08_Loans!A193)</f>
        <v/>
      </c>
      <c r="B1581" s="40" t="str">
        <f>IF(Agent08_Loans!B193="","",Agent08_Loans!B193)</f>
        <v/>
      </c>
      <c r="C1581" s="40" t="str">
        <f>IF(Agent08_Loans!B193="","",Agent08_Loans!C193)</f>
        <v/>
      </c>
      <c r="D1581" s="41" t="str">
        <f>IF(Agent08_Loans!B193="","",Agent08_Loans!D193)</f>
        <v/>
      </c>
      <c r="E1581" s="43" t="str">
        <f>IF(Agent08_Loans!B193="","",Agent08_Loans!E193)</f>
        <v/>
      </c>
      <c r="F1581" s="40" t="str">
        <f>IF(Agent08_Loans!B193="","",Agent08_Loans!F193)</f>
        <v/>
      </c>
      <c r="G1581" s="40" t="str">
        <f>IF(Agent08_Loans!B193="","",Agent08_Loans!G193)</f>
        <v/>
      </c>
      <c r="H1581" s="40" t="str">
        <f>IF(Agent08_Loans!B193="","",Agent08_Loans!H193)</f>
        <v/>
      </c>
      <c r="I1581" s="43" t="str">
        <f>IF(Agent08_Loans!B193="","",Agent08_Loans!I193)</f>
        <v/>
      </c>
      <c r="J1581" s="43" t="str">
        <f>IF(Agent08_Loans!B193="","",Agent08_Loans!J193)</f>
        <v/>
      </c>
      <c r="K1581" s="40" t="str">
        <f>IF(Agent08_Loans!B193="","",Agent08_Loans!K193)</f>
        <v/>
      </c>
      <c r="L1581" s="40" t="str">
        <f>IF(Agent08_Loans!B193="","",Agent08_Loans!L193)</f>
        <v/>
      </c>
      <c r="M1581" s="40" t="str">
        <f>IFERROR(IF(Agent08_Loans!B193="","",YEAR(Agent08_Loans!D193)),"")</f>
        <v/>
      </c>
    </row>
    <row r="1582" spans="1:13" ht="18" customHeight="1" x14ac:dyDescent="0.25">
      <c r="A1582" s="40" t="str">
        <f>IF(Agent08_Loans!B194="","",Agent08_Loans!A194)</f>
        <v/>
      </c>
      <c r="B1582" s="40" t="str">
        <f>IF(Agent08_Loans!B194="","",Agent08_Loans!B194)</f>
        <v/>
      </c>
      <c r="C1582" s="40" t="str">
        <f>IF(Agent08_Loans!B194="","",Agent08_Loans!C194)</f>
        <v/>
      </c>
      <c r="D1582" s="41" t="str">
        <f>IF(Agent08_Loans!B194="","",Agent08_Loans!D194)</f>
        <v/>
      </c>
      <c r="E1582" s="43" t="str">
        <f>IF(Agent08_Loans!B194="","",Agent08_Loans!E194)</f>
        <v/>
      </c>
      <c r="F1582" s="40" t="str">
        <f>IF(Agent08_Loans!B194="","",Agent08_Loans!F194)</f>
        <v/>
      </c>
      <c r="G1582" s="40" t="str">
        <f>IF(Agent08_Loans!B194="","",Agent08_Loans!G194)</f>
        <v/>
      </c>
      <c r="H1582" s="40" t="str">
        <f>IF(Agent08_Loans!B194="","",Agent08_Loans!H194)</f>
        <v/>
      </c>
      <c r="I1582" s="43" t="str">
        <f>IF(Agent08_Loans!B194="","",Agent08_Loans!I194)</f>
        <v/>
      </c>
      <c r="J1582" s="43" t="str">
        <f>IF(Agent08_Loans!B194="","",Agent08_Loans!J194)</f>
        <v/>
      </c>
      <c r="K1582" s="40" t="str">
        <f>IF(Agent08_Loans!B194="","",Agent08_Loans!K194)</f>
        <v/>
      </c>
      <c r="L1582" s="40" t="str">
        <f>IF(Agent08_Loans!B194="","",Agent08_Loans!L194)</f>
        <v/>
      </c>
      <c r="M1582" s="40" t="str">
        <f>IFERROR(IF(Agent08_Loans!B194="","",YEAR(Agent08_Loans!D194)),"")</f>
        <v/>
      </c>
    </row>
    <row r="1583" spans="1:13" ht="18" customHeight="1" x14ac:dyDescent="0.25">
      <c r="A1583" s="40" t="str">
        <f>IF(Agent08_Loans!B195="","",Agent08_Loans!A195)</f>
        <v/>
      </c>
      <c r="B1583" s="40" t="str">
        <f>IF(Agent08_Loans!B195="","",Agent08_Loans!B195)</f>
        <v/>
      </c>
      <c r="C1583" s="40" t="str">
        <f>IF(Agent08_Loans!B195="","",Agent08_Loans!C195)</f>
        <v/>
      </c>
      <c r="D1583" s="41" t="str">
        <f>IF(Agent08_Loans!B195="","",Agent08_Loans!D195)</f>
        <v/>
      </c>
      <c r="E1583" s="43" t="str">
        <f>IF(Agent08_Loans!B195="","",Agent08_Loans!E195)</f>
        <v/>
      </c>
      <c r="F1583" s="40" t="str">
        <f>IF(Agent08_Loans!B195="","",Agent08_Loans!F195)</f>
        <v/>
      </c>
      <c r="G1583" s="40" t="str">
        <f>IF(Agent08_Loans!B195="","",Agent08_Loans!G195)</f>
        <v/>
      </c>
      <c r="H1583" s="40" t="str">
        <f>IF(Agent08_Loans!B195="","",Agent08_Loans!H195)</f>
        <v/>
      </c>
      <c r="I1583" s="43" t="str">
        <f>IF(Agent08_Loans!B195="","",Agent08_Loans!I195)</f>
        <v/>
      </c>
      <c r="J1583" s="43" t="str">
        <f>IF(Agent08_Loans!B195="","",Agent08_Loans!J195)</f>
        <v/>
      </c>
      <c r="K1583" s="40" t="str">
        <f>IF(Agent08_Loans!B195="","",Agent08_Loans!K195)</f>
        <v/>
      </c>
      <c r="L1583" s="40" t="str">
        <f>IF(Agent08_Loans!B195="","",Agent08_Loans!L195)</f>
        <v/>
      </c>
      <c r="M1583" s="40" t="str">
        <f>IFERROR(IF(Agent08_Loans!B195="","",YEAR(Agent08_Loans!D195)),"")</f>
        <v/>
      </c>
    </row>
    <row r="1584" spans="1:13" ht="18" customHeight="1" x14ac:dyDescent="0.25">
      <c r="A1584" s="40" t="str">
        <f>IF(Agent08_Loans!B196="","",Agent08_Loans!A196)</f>
        <v/>
      </c>
      <c r="B1584" s="40" t="str">
        <f>IF(Agent08_Loans!B196="","",Agent08_Loans!B196)</f>
        <v/>
      </c>
      <c r="C1584" s="40" t="str">
        <f>IF(Agent08_Loans!B196="","",Agent08_Loans!C196)</f>
        <v/>
      </c>
      <c r="D1584" s="41" t="str">
        <f>IF(Agent08_Loans!B196="","",Agent08_Loans!D196)</f>
        <v/>
      </c>
      <c r="E1584" s="43" t="str">
        <f>IF(Agent08_Loans!B196="","",Agent08_Loans!E196)</f>
        <v/>
      </c>
      <c r="F1584" s="40" t="str">
        <f>IF(Agent08_Loans!B196="","",Agent08_Loans!F196)</f>
        <v/>
      </c>
      <c r="G1584" s="40" t="str">
        <f>IF(Agent08_Loans!B196="","",Agent08_Loans!G196)</f>
        <v/>
      </c>
      <c r="H1584" s="40" t="str">
        <f>IF(Agent08_Loans!B196="","",Agent08_Loans!H196)</f>
        <v/>
      </c>
      <c r="I1584" s="43" t="str">
        <f>IF(Agent08_Loans!B196="","",Agent08_Loans!I196)</f>
        <v/>
      </c>
      <c r="J1584" s="43" t="str">
        <f>IF(Agent08_Loans!B196="","",Agent08_Loans!J196)</f>
        <v/>
      </c>
      <c r="K1584" s="40" t="str">
        <f>IF(Agent08_Loans!B196="","",Agent08_Loans!K196)</f>
        <v/>
      </c>
      <c r="L1584" s="40" t="str">
        <f>IF(Agent08_Loans!B196="","",Agent08_Loans!L196)</f>
        <v/>
      </c>
      <c r="M1584" s="40" t="str">
        <f>IFERROR(IF(Agent08_Loans!B196="","",YEAR(Agent08_Loans!D196)),"")</f>
        <v/>
      </c>
    </row>
    <row r="1585" spans="1:13" ht="18" customHeight="1" x14ac:dyDescent="0.25">
      <c r="A1585" s="40" t="str">
        <f>IF(Agent08_Loans!B197="","",Agent08_Loans!A197)</f>
        <v/>
      </c>
      <c r="B1585" s="40" t="str">
        <f>IF(Agent08_Loans!B197="","",Agent08_Loans!B197)</f>
        <v/>
      </c>
      <c r="C1585" s="40" t="str">
        <f>IF(Agent08_Loans!B197="","",Agent08_Loans!C197)</f>
        <v/>
      </c>
      <c r="D1585" s="41" t="str">
        <f>IF(Agent08_Loans!B197="","",Agent08_Loans!D197)</f>
        <v/>
      </c>
      <c r="E1585" s="43" t="str">
        <f>IF(Agent08_Loans!B197="","",Agent08_Loans!E197)</f>
        <v/>
      </c>
      <c r="F1585" s="40" t="str">
        <f>IF(Agent08_Loans!B197="","",Agent08_Loans!F197)</f>
        <v/>
      </c>
      <c r="G1585" s="40" t="str">
        <f>IF(Agent08_Loans!B197="","",Agent08_Loans!G197)</f>
        <v/>
      </c>
      <c r="H1585" s="40" t="str">
        <f>IF(Agent08_Loans!B197="","",Agent08_Loans!H197)</f>
        <v/>
      </c>
      <c r="I1585" s="43" t="str">
        <f>IF(Agent08_Loans!B197="","",Agent08_Loans!I197)</f>
        <v/>
      </c>
      <c r="J1585" s="43" t="str">
        <f>IF(Agent08_Loans!B197="","",Agent08_Loans!J197)</f>
        <v/>
      </c>
      <c r="K1585" s="40" t="str">
        <f>IF(Agent08_Loans!B197="","",Agent08_Loans!K197)</f>
        <v/>
      </c>
      <c r="L1585" s="40" t="str">
        <f>IF(Agent08_Loans!B197="","",Agent08_Loans!L197)</f>
        <v/>
      </c>
      <c r="M1585" s="40" t="str">
        <f>IFERROR(IF(Agent08_Loans!B197="","",YEAR(Agent08_Loans!D197)),"")</f>
        <v/>
      </c>
    </row>
    <row r="1586" spans="1:13" ht="18" customHeight="1" x14ac:dyDescent="0.25">
      <c r="A1586" s="40" t="str">
        <f>IF(Agent08_Loans!B198="","",Agent08_Loans!A198)</f>
        <v/>
      </c>
      <c r="B1586" s="40" t="str">
        <f>IF(Agent08_Loans!B198="","",Agent08_Loans!B198)</f>
        <v/>
      </c>
      <c r="C1586" s="40" t="str">
        <f>IF(Agent08_Loans!B198="","",Agent08_Loans!C198)</f>
        <v/>
      </c>
      <c r="D1586" s="41" t="str">
        <f>IF(Agent08_Loans!B198="","",Agent08_Loans!D198)</f>
        <v/>
      </c>
      <c r="E1586" s="43" t="str">
        <f>IF(Agent08_Loans!B198="","",Agent08_Loans!E198)</f>
        <v/>
      </c>
      <c r="F1586" s="40" t="str">
        <f>IF(Agent08_Loans!B198="","",Agent08_Loans!F198)</f>
        <v/>
      </c>
      <c r="G1586" s="40" t="str">
        <f>IF(Agent08_Loans!B198="","",Agent08_Loans!G198)</f>
        <v/>
      </c>
      <c r="H1586" s="40" t="str">
        <f>IF(Agent08_Loans!B198="","",Agent08_Loans!H198)</f>
        <v/>
      </c>
      <c r="I1586" s="43" t="str">
        <f>IF(Agent08_Loans!B198="","",Agent08_Loans!I198)</f>
        <v/>
      </c>
      <c r="J1586" s="43" t="str">
        <f>IF(Agent08_Loans!B198="","",Agent08_Loans!J198)</f>
        <v/>
      </c>
      <c r="K1586" s="40" t="str">
        <f>IF(Agent08_Loans!B198="","",Agent08_Loans!K198)</f>
        <v/>
      </c>
      <c r="L1586" s="40" t="str">
        <f>IF(Agent08_Loans!B198="","",Agent08_Loans!L198)</f>
        <v/>
      </c>
      <c r="M1586" s="40" t="str">
        <f>IFERROR(IF(Agent08_Loans!B198="","",YEAR(Agent08_Loans!D198)),"")</f>
        <v/>
      </c>
    </row>
    <row r="1587" spans="1:13" ht="18" customHeight="1" x14ac:dyDescent="0.25">
      <c r="A1587" s="40" t="str">
        <f>IF(Agent08_Loans!B199="","",Agent08_Loans!A199)</f>
        <v/>
      </c>
      <c r="B1587" s="40" t="str">
        <f>IF(Agent08_Loans!B199="","",Agent08_Loans!B199)</f>
        <v/>
      </c>
      <c r="C1587" s="40" t="str">
        <f>IF(Agent08_Loans!B199="","",Agent08_Loans!C199)</f>
        <v/>
      </c>
      <c r="D1587" s="41" t="str">
        <f>IF(Agent08_Loans!B199="","",Agent08_Loans!D199)</f>
        <v/>
      </c>
      <c r="E1587" s="43" t="str">
        <f>IF(Agent08_Loans!B199="","",Agent08_Loans!E199)</f>
        <v/>
      </c>
      <c r="F1587" s="40" t="str">
        <f>IF(Agent08_Loans!B199="","",Agent08_Loans!F199)</f>
        <v/>
      </c>
      <c r="G1587" s="40" t="str">
        <f>IF(Agent08_Loans!B199="","",Agent08_Loans!G199)</f>
        <v/>
      </c>
      <c r="H1587" s="40" t="str">
        <f>IF(Agent08_Loans!B199="","",Agent08_Loans!H199)</f>
        <v/>
      </c>
      <c r="I1587" s="43" t="str">
        <f>IF(Agent08_Loans!B199="","",Agent08_Loans!I199)</f>
        <v/>
      </c>
      <c r="J1587" s="43" t="str">
        <f>IF(Agent08_Loans!B199="","",Agent08_Loans!J199)</f>
        <v/>
      </c>
      <c r="K1587" s="40" t="str">
        <f>IF(Agent08_Loans!B199="","",Agent08_Loans!K199)</f>
        <v/>
      </c>
      <c r="L1587" s="40" t="str">
        <f>IF(Agent08_Loans!B199="","",Agent08_Loans!L199)</f>
        <v/>
      </c>
      <c r="M1587" s="40" t="str">
        <f>IFERROR(IF(Agent08_Loans!B199="","",YEAR(Agent08_Loans!D199)),"")</f>
        <v/>
      </c>
    </row>
    <row r="1588" spans="1:13" ht="18" customHeight="1" x14ac:dyDescent="0.25">
      <c r="A1588" s="40" t="str">
        <f>IF(Agent08_Loans!B200="","",Agent08_Loans!A200)</f>
        <v/>
      </c>
      <c r="B1588" s="40" t="str">
        <f>IF(Agent08_Loans!B200="","",Agent08_Loans!B200)</f>
        <v/>
      </c>
      <c r="C1588" s="40" t="str">
        <f>IF(Agent08_Loans!B200="","",Agent08_Loans!C200)</f>
        <v/>
      </c>
      <c r="D1588" s="41" t="str">
        <f>IF(Agent08_Loans!B200="","",Agent08_Loans!D200)</f>
        <v/>
      </c>
      <c r="E1588" s="43" t="str">
        <f>IF(Agent08_Loans!B200="","",Agent08_Loans!E200)</f>
        <v/>
      </c>
      <c r="F1588" s="40" t="str">
        <f>IF(Agent08_Loans!B200="","",Agent08_Loans!F200)</f>
        <v/>
      </c>
      <c r="G1588" s="40" t="str">
        <f>IF(Agent08_Loans!B200="","",Agent08_Loans!G200)</f>
        <v/>
      </c>
      <c r="H1588" s="40" t="str">
        <f>IF(Agent08_Loans!B200="","",Agent08_Loans!H200)</f>
        <v/>
      </c>
      <c r="I1588" s="43" t="str">
        <f>IF(Agent08_Loans!B200="","",Agent08_Loans!I200)</f>
        <v/>
      </c>
      <c r="J1588" s="43" t="str">
        <f>IF(Agent08_Loans!B200="","",Agent08_Loans!J200)</f>
        <v/>
      </c>
      <c r="K1588" s="40" t="str">
        <f>IF(Agent08_Loans!B200="","",Agent08_Loans!K200)</f>
        <v/>
      </c>
      <c r="L1588" s="40" t="str">
        <f>IF(Agent08_Loans!B200="","",Agent08_Loans!L200)</f>
        <v/>
      </c>
      <c r="M1588" s="40" t="str">
        <f>IFERROR(IF(Agent08_Loans!B200="","",YEAR(Agent08_Loans!D200)),"")</f>
        <v/>
      </c>
    </row>
    <row r="1589" spans="1:13" ht="18" customHeight="1" x14ac:dyDescent="0.25">
      <c r="A1589" s="40" t="str">
        <f>IF(Agent08_Loans!B201="","",Agent08_Loans!A201)</f>
        <v/>
      </c>
      <c r="B1589" s="40" t="str">
        <f>IF(Agent08_Loans!B201="","",Agent08_Loans!B201)</f>
        <v/>
      </c>
      <c r="C1589" s="40" t="str">
        <f>IF(Agent08_Loans!B201="","",Agent08_Loans!C201)</f>
        <v/>
      </c>
      <c r="D1589" s="41" t="str">
        <f>IF(Agent08_Loans!B201="","",Agent08_Loans!D201)</f>
        <v/>
      </c>
      <c r="E1589" s="43" t="str">
        <f>IF(Agent08_Loans!B201="","",Agent08_Loans!E201)</f>
        <v/>
      </c>
      <c r="F1589" s="40" t="str">
        <f>IF(Agent08_Loans!B201="","",Agent08_Loans!F201)</f>
        <v/>
      </c>
      <c r="G1589" s="40" t="str">
        <f>IF(Agent08_Loans!B201="","",Agent08_Loans!G201)</f>
        <v/>
      </c>
      <c r="H1589" s="40" t="str">
        <f>IF(Agent08_Loans!B201="","",Agent08_Loans!H201)</f>
        <v/>
      </c>
      <c r="I1589" s="43" t="str">
        <f>IF(Agent08_Loans!B201="","",Agent08_Loans!I201)</f>
        <v/>
      </c>
      <c r="J1589" s="43" t="str">
        <f>IF(Agent08_Loans!B201="","",Agent08_Loans!J201)</f>
        <v/>
      </c>
      <c r="K1589" s="40" t="str">
        <f>IF(Agent08_Loans!B201="","",Agent08_Loans!K201)</f>
        <v/>
      </c>
      <c r="L1589" s="40" t="str">
        <f>IF(Agent08_Loans!B201="","",Agent08_Loans!L201)</f>
        <v/>
      </c>
      <c r="M1589" s="40" t="str">
        <f>IFERROR(IF(Agent08_Loans!B201="","",YEAR(Agent08_Loans!D201)),"")</f>
        <v/>
      </c>
    </row>
    <row r="1590" spans="1:13" ht="18" customHeight="1" x14ac:dyDescent="0.25">
      <c r="A1590" s="40" t="str">
        <f>IF(Agent08_Loans!B202="","",Agent08_Loans!A202)</f>
        <v/>
      </c>
      <c r="B1590" s="40" t="str">
        <f>IF(Agent08_Loans!B202="","",Agent08_Loans!B202)</f>
        <v/>
      </c>
      <c r="C1590" s="40" t="str">
        <f>IF(Agent08_Loans!B202="","",Agent08_Loans!C202)</f>
        <v/>
      </c>
      <c r="D1590" s="41" t="str">
        <f>IF(Agent08_Loans!B202="","",Agent08_Loans!D202)</f>
        <v/>
      </c>
      <c r="E1590" s="43" t="str">
        <f>IF(Agent08_Loans!B202="","",Agent08_Loans!E202)</f>
        <v/>
      </c>
      <c r="F1590" s="40" t="str">
        <f>IF(Agent08_Loans!B202="","",Agent08_Loans!F202)</f>
        <v/>
      </c>
      <c r="G1590" s="40" t="str">
        <f>IF(Agent08_Loans!B202="","",Agent08_Loans!G202)</f>
        <v/>
      </c>
      <c r="H1590" s="40" t="str">
        <f>IF(Agent08_Loans!B202="","",Agent08_Loans!H202)</f>
        <v/>
      </c>
      <c r="I1590" s="43" t="str">
        <f>IF(Agent08_Loans!B202="","",Agent08_Loans!I202)</f>
        <v/>
      </c>
      <c r="J1590" s="43" t="str">
        <f>IF(Agent08_Loans!B202="","",Agent08_Loans!J202)</f>
        <v/>
      </c>
      <c r="K1590" s="40" t="str">
        <f>IF(Agent08_Loans!B202="","",Agent08_Loans!K202)</f>
        <v/>
      </c>
      <c r="L1590" s="40" t="str">
        <f>IF(Agent08_Loans!B202="","",Agent08_Loans!L202)</f>
        <v/>
      </c>
      <c r="M1590" s="40" t="str">
        <f>IFERROR(IF(Agent08_Loans!B202="","",YEAR(Agent08_Loans!D202)),"")</f>
        <v/>
      </c>
    </row>
    <row r="1591" spans="1:13" ht="18" customHeight="1" x14ac:dyDescent="0.25">
      <c r="A1591" s="40" t="str">
        <f>IF(Agent08_Loans!B203="","",Agent08_Loans!A203)</f>
        <v/>
      </c>
      <c r="B1591" s="40" t="str">
        <f>IF(Agent08_Loans!B203="","",Agent08_Loans!B203)</f>
        <v/>
      </c>
      <c r="C1591" s="40" t="str">
        <f>IF(Agent08_Loans!B203="","",Agent08_Loans!C203)</f>
        <v/>
      </c>
      <c r="D1591" s="41" t="str">
        <f>IF(Agent08_Loans!B203="","",Agent08_Loans!D203)</f>
        <v/>
      </c>
      <c r="E1591" s="43" t="str">
        <f>IF(Agent08_Loans!B203="","",Agent08_Loans!E203)</f>
        <v/>
      </c>
      <c r="F1591" s="40" t="str">
        <f>IF(Agent08_Loans!B203="","",Agent08_Loans!F203)</f>
        <v/>
      </c>
      <c r="G1591" s="40" t="str">
        <f>IF(Agent08_Loans!B203="","",Agent08_Loans!G203)</f>
        <v/>
      </c>
      <c r="H1591" s="40" t="str">
        <f>IF(Agent08_Loans!B203="","",Agent08_Loans!H203)</f>
        <v/>
      </c>
      <c r="I1591" s="43" t="str">
        <f>IF(Agent08_Loans!B203="","",Agent08_Loans!I203)</f>
        <v/>
      </c>
      <c r="J1591" s="43" t="str">
        <f>IF(Agent08_Loans!B203="","",Agent08_Loans!J203)</f>
        <v/>
      </c>
      <c r="K1591" s="40" t="str">
        <f>IF(Agent08_Loans!B203="","",Agent08_Loans!K203)</f>
        <v/>
      </c>
      <c r="L1591" s="40" t="str">
        <f>IF(Agent08_Loans!B203="","",Agent08_Loans!L203)</f>
        <v/>
      </c>
      <c r="M1591" s="40" t="str">
        <f>IFERROR(IF(Agent08_Loans!B203="","",YEAR(Agent08_Loans!D203)),"")</f>
        <v/>
      </c>
    </row>
    <row r="1592" spans="1:13" ht="18" customHeight="1" x14ac:dyDescent="0.25">
      <c r="A1592" s="40" t="str">
        <f>IF(Agent08_Loans!B204="","",Agent08_Loans!A204)</f>
        <v/>
      </c>
      <c r="B1592" s="40" t="str">
        <f>IF(Agent08_Loans!B204="","",Agent08_Loans!B204)</f>
        <v/>
      </c>
      <c r="C1592" s="40" t="str">
        <f>IF(Agent08_Loans!B204="","",Agent08_Loans!C204)</f>
        <v/>
      </c>
      <c r="D1592" s="41" t="str">
        <f>IF(Agent08_Loans!B204="","",Agent08_Loans!D204)</f>
        <v/>
      </c>
      <c r="E1592" s="43" t="str">
        <f>IF(Agent08_Loans!B204="","",Agent08_Loans!E204)</f>
        <v/>
      </c>
      <c r="F1592" s="40" t="str">
        <f>IF(Agent08_Loans!B204="","",Agent08_Loans!F204)</f>
        <v/>
      </c>
      <c r="G1592" s="40" t="str">
        <f>IF(Agent08_Loans!B204="","",Agent08_Loans!G204)</f>
        <v/>
      </c>
      <c r="H1592" s="40" t="str">
        <f>IF(Agent08_Loans!B204="","",Agent08_Loans!H204)</f>
        <v/>
      </c>
      <c r="I1592" s="43" t="str">
        <f>IF(Agent08_Loans!B204="","",Agent08_Loans!I204)</f>
        <v/>
      </c>
      <c r="J1592" s="43" t="str">
        <f>IF(Agent08_Loans!B204="","",Agent08_Loans!J204)</f>
        <v/>
      </c>
      <c r="K1592" s="40" t="str">
        <f>IF(Agent08_Loans!B204="","",Agent08_Loans!K204)</f>
        <v/>
      </c>
      <c r="L1592" s="40" t="str">
        <f>IF(Agent08_Loans!B204="","",Agent08_Loans!L204)</f>
        <v/>
      </c>
      <c r="M1592" s="40" t="str">
        <f>IFERROR(IF(Agent08_Loans!B204="","",YEAR(Agent08_Loans!D204)),"")</f>
        <v/>
      </c>
    </row>
    <row r="1593" spans="1:13" ht="18" customHeight="1" x14ac:dyDescent="0.25">
      <c r="A1593" s="40" t="str">
        <f>IF(Agent08_Loans!B205="","",Agent08_Loans!A205)</f>
        <v/>
      </c>
      <c r="B1593" s="40" t="str">
        <f>IF(Agent08_Loans!B205="","",Agent08_Loans!B205)</f>
        <v/>
      </c>
      <c r="C1593" s="40" t="str">
        <f>IF(Agent08_Loans!B205="","",Agent08_Loans!C205)</f>
        <v/>
      </c>
      <c r="D1593" s="41" t="str">
        <f>IF(Agent08_Loans!B205="","",Agent08_Loans!D205)</f>
        <v/>
      </c>
      <c r="E1593" s="43" t="str">
        <f>IF(Agent08_Loans!B205="","",Agent08_Loans!E205)</f>
        <v/>
      </c>
      <c r="F1593" s="40" t="str">
        <f>IF(Agent08_Loans!B205="","",Agent08_Loans!F205)</f>
        <v/>
      </c>
      <c r="G1593" s="40" t="str">
        <f>IF(Agent08_Loans!B205="","",Agent08_Loans!G205)</f>
        <v/>
      </c>
      <c r="H1593" s="40" t="str">
        <f>IF(Agent08_Loans!B205="","",Agent08_Loans!H205)</f>
        <v/>
      </c>
      <c r="I1593" s="43" t="str">
        <f>IF(Agent08_Loans!B205="","",Agent08_Loans!I205)</f>
        <v/>
      </c>
      <c r="J1593" s="43" t="str">
        <f>IF(Agent08_Loans!B205="","",Agent08_Loans!J205)</f>
        <v/>
      </c>
      <c r="K1593" s="40" t="str">
        <f>IF(Agent08_Loans!B205="","",Agent08_Loans!K205)</f>
        <v/>
      </c>
      <c r="L1593" s="40" t="str">
        <f>IF(Agent08_Loans!B205="","",Agent08_Loans!L205)</f>
        <v/>
      </c>
      <c r="M1593" s="40" t="str">
        <f>IFERROR(IF(Agent08_Loans!B205="","",YEAR(Agent08_Loans!D205)),"")</f>
        <v/>
      </c>
    </row>
    <row r="1594" spans="1:13" ht="18" customHeight="1" x14ac:dyDescent="0.25">
      <c r="A1594" s="40" t="str">
        <f>IF(Agent08_Loans!B206="","",Agent08_Loans!A206)</f>
        <v/>
      </c>
      <c r="B1594" s="40" t="str">
        <f>IF(Agent08_Loans!B206="","",Agent08_Loans!B206)</f>
        <v/>
      </c>
      <c r="C1594" s="40" t="str">
        <f>IF(Agent08_Loans!B206="","",Agent08_Loans!C206)</f>
        <v/>
      </c>
      <c r="D1594" s="41" t="str">
        <f>IF(Agent08_Loans!B206="","",Agent08_Loans!D206)</f>
        <v/>
      </c>
      <c r="E1594" s="43" t="str">
        <f>IF(Agent08_Loans!B206="","",Agent08_Loans!E206)</f>
        <v/>
      </c>
      <c r="F1594" s="40" t="str">
        <f>IF(Agent08_Loans!B206="","",Agent08_Loans!F206)</f>
        <v/>
      </c>
      <c r="G1594" s="40" t="str">
        <f>IF(Agent08_Loans!B206="","",Agent08_Loans!G206)</f>
        <v/>
      </c>
      <c r="H1594" s="40" t="str">
        <f>IF(Agent08_Loans!B206="","",Agent08_Loans!H206)</f>
        <v/>
      </c>
      <c r="I1594" s="43" t="str">
        <f>IF(Agent08_Loans!B206="","",Agent08_Loans!I206)</f>
        <v/>
      </c>
      <c r="J1594" s="43" t="str">
        <f>IF(Agent08_Loans!B206="","",Agent08_Loans!J206)</f>
        <v/>
      </c>
      <c r="K1594" s="40" t="str">
        <f>IF(Agent08_Loans!B206="","",Agent08_Loans!K206)</f>
        <v/>
      </c>
      <c r="L1594" s="40" t="str">
        <f>IF(Agent08_Loans!B206="","",Agent08_Loans!L206)</f>
        <v/>
      </c>
      <c r="M1594" s="40" t="str">
        <f>IFERROR(IF(Agent08_Loans!B206="","",YEAR(Agent08_Loans!D206)),"")</f>
        <v/>
      </c>
    </row>
    <row r="1595" spans="1:13" ht="18" customHeight="1" x14ac:dyDescent="0.25">
      <c r="A1595" s="40" t="str">
        <f>IF(Agent08_Loans!B207="","",Agent08_Loans!A207)</f>
        <v/>
      </c>
      <c r="B1595" s="40" t="str">
        <f>IF(Agent08_Loans!B207="","",Agent08_Loans!B207)</f>
        <v/>
      </c>
      <c r="C1595" s="40" t="str">
        <f>IF(Agent08_Loans!B207="","",Agent08_Loans!C207)</f>
        <v/>
      </c>
      <c r="D1595" s="41" t="str">
        <f>IF(Agent08_Loans!B207="","",Agent08_Loans!D207)</f>
        <v/>
      </c>
      <c r="E1595" s="43" t="str">
        <f>IF(Agent08_Loans!B207="","",Agent08_Loans!E207)</f>
        <v/>
      </c>
      <c r="F1595" s="40" t="str">
        <f>IF(Agent08_Loans!B207="","",Agent08_Loans!F207)</f>
        <v/>
      </c>
      <c r="G1595" s="40" t="str">
        <f>IF(Agent08_Loans!B207="","",Agent08_Loans!G207)</f>
        <v/>
      </c>
      <c r="H1595" s="40" t="str">
        <f>IF(Agent08_Loans!B207="","",Agent08_Loans!H207)</f>
        <v/>
      </c>
      <c r="I1595" s="43" t="str">
        <f>IF(Agent08_Loans!B207="","",Agent08_Loans!I207)</f>
        <v/>
      </c>
      <c r="J1595" s="43" t="str">
        <f>IF(Agent08_Loans!B207="","",Agent08_Loans!J207)</f>
        <v/>
      </c>
      <c r="K1595" s="40" t="str">
        <f>IF(Agent08_Loans!B207="","",Agent08_Loans!K207)</f>
        <v/>
      </c>
      <c r="L1595" s="40" t="str">
        <f>IF(Agent08_Loans!B207="","",Agent08_Loans!L207)</f>
        <v/>
      </c>
      <c r="M1595" s="40" t="str">
        <f>IFERROR(IF(Agent08_Loans!B207="","",YEAR(Agent08_Loans!D207)),"")</f>
        <v/>
      </c>
    </row>
    <row r="1596" spans="1:13" ht="18" customHeight="1" x14ac:dyDescent="0.25">
      <c r="A1596" s="40" t="str">
        <f>IF(Agent08_Loans!B208="","",Agent08_Loans!A208)</f>
        <v/>
      </c>
      <c r="B1596" s="40" t="str">
        <f>IF(Agent08_Loans!B208="","",Agent08_Loans!B208)</f>
        <v/>
      </c>
      <c r="C1596" s="40" t="str">
        <f>IF(Agent08_Loans!B208="","",Agent08_Loans!C208)</f>
        <v/>
      </c>
      <c r="D1596" s="41" t="str">
        <f>IF(Agent08_Loans!B208="","",Agent08_Loans!D208)</f>
        <v/>
      </c>
      <c r="E1596" s="43" t="str">
        <f>IF(Agent08_Loans!B208="","",Agent08_Loans!E208)</f>
        <v/>
      </c>
      <c r="F1596" s="40" t="str">
        <f>IF(Agent08_Loans!B208="","",Agent08_Loans!F208)</f>
        <v/>
      </c>
      <c r="G1596" s="40" t="str">
        <f>IF(Agent08_Loans!B208="","",Agent08_Loans!G208)</f>
        <v/>
      </c>
      <c r="H1596" s="40" t="str">
        <f>IF(Agent08_Loans!B208="","",Agent08_Loans!H208)</f>
        <v/>
      </c>
      <c r="I1596" s="43" t="str">
        <f>IF(Agent08_Loans!B208="","",Agent08_Loans!I208)</f>
        <v/>
      </c>
      <c r="J1596" s="43" t="str">
        <f>IF(Agent08_Loans!B208="","",Agent08_Loans!J208)</f>
        <v/>
      </c>
      <c r="K1596" s="40" t="str">
        <f>IF(Agent08_Loans!B208="","",Agent08_Loans!K208)</f>
        <v/>
      </c>
      <c r="L1596" s="40" t="str">
        <f>IF(Agent08_Loans!B208="","",Agent08_Loans!L208)</f>
        <v/>
      </c>
      <c r="M1596" s="40" t="str">
        <f>IFERROR(IF(Agent08_Loans!B208="","",YEAR(Agent08_Loans!D208)),"")</f>
        <v/>
      </c>
    </row>
    <row r="1597" spans="1:13" ht="18" customHeight="1" x14ac:dyDescent="0.25">
      <c r="A1597" s="40" t="str">
        <f>IF(Agent08_Loans!B209="","",Agent08_Loans!A209)</f>
        <v/>
      </c>
      <c r="B1597" s="40" t="str">
        <f>IF(Agent08_Loans!B209="","",Agent08_Loans!B209)</f>
        <v/>
      </c>
      <c r="C1597" s="40" t="str">
        <f>IF(Agent08_Loans!B209="","",Agent08_Loans!C209)</f>
        <v/>
      </c>
      <c r="D1597" s="41" t="str">
        <f>IF(Agent08_Loans!B209="","",Agent08_Loans!D209)</f>
        <v/>
      </c>
      <c r="E1597" s="43" t="str">
        <f>IF(Agent08_Loans!B209="","",Agent08_Loans!E209)</f>
        <v/>
      </c>
      <c r="F1597" s="40" t="str">
        <f>IF(Agent08_Loans!B209="","",Agent08_Loans!F209)</f>
        <v/>
      </c>
      <c r="G1597" s="40" t="str">
        <f>IF(Agent08_Loans!B209="","",Agent08_Loans!G209)</f>
        <v/>
      </c>
      <c r="H1597" s="40" t="str">
        <f>IF(Agent08_Loans!B209="","",Agent08_Loans!H209)</f>
        <v/>
      </c>
      <c r="I1597" s="43" t="str">
        <f>IF(Agent08_Loans!B209="","",Agent08_Loans!I209)</f>
        <v/>
      </c>
      <c r="J1597" s="43" t="str">
        <f>IF(Agent08_Loans!B209="","",Agent08_Loans!J209)</f>
        <v/>
      </c>
      <c r="K1597" s="40" t="str">
        <f>IF(Agent08_Loans!B209="","",Agent08_Loans!K209)</f>
        <v/>
      </c>
      <c r="L1597" s="40" t="str">
        <f>IF(Agent08_Loans!B209="","",Agent08_Loans!L209)</f>
        <v/>
      </c>
      <c r="M1597" s="40" t="str">
        <f>IFERROR(IF(Agent08_Loans!B209="","",YEAR(Agent08_Loans!D209)),"")</f>
        <v/>
      </c>
    </row>
    <row r="1598" spans="1:13" ht="18" customHeight="1" x14ac:dyDescent="0.25">
      <c r="A1598" s="40" t="str">
        <f>IF(Agent08_Loans!B210="","",Agent08_Loans!A210)</f>
        <v/>
      </c>
      <c r="B1598" s="40" t="str">
        <f>IF(Agent08_Loans!B210="","",Agent08_Loans!B210)</f>
        <v/>
      </c>
      <c r="C1598" s="40" t="str">
        <f>IF(Agent08_Loans!B210="","",Agent08_Loans!C210)</f>
        <v/>
      </c>
      <c r="D1598" s="41" t="str">
        <f>IF(Agent08_Loans!B210="","",Agent08_Loans!D210)</f>
        <v/>
      </c>
      <c r="E1598" s="43" t="str">
        <f>IF(Agent08_Loans!B210="","",Agent08_Loans!E210)</f>
        <v/>
      </c>
      <c r="F1598" s="40" t="str">
        <f>IF(Agent08_Loans!B210="","",Agent08_Loans!F210)</f>
        <v/>
      </c>
      <c r="G1598" s="40" t="str">
        <f>IF(Agent08_Loans!B210="","",Agent08_Loans!G210)</f>
        <v/>
      </c>
      <c r="H1598" s="40" t="str">
        <f>IF(Agent08_Loans!B210="","",Agent08_Loans!H210)</f>
        <v/>
      </c>
      <c r="I1598" s="43" t="str">
        <f>IF(Agent08_Loans!B210="","",Agent08_Loans!I210)</f>
        <v/>
      </c>
      <c r="J1598" s="43" t="str">
        <f>IF(Agent08_Loans!B210="","",Agent08_Loans!J210)</f>
        <v/>
      </c>
      <c r="K1598" s="40" t="str">
        <f>IF(Agent08_Loans!B210="","",Agent08_Loans!K210)</f>
        <v/>
      </c>
      <c r="L1598" s="40" t="str">
        <f>IF(Agent08_Loans!B210="","",Agent08_Loans!L210)</f>
        <v/>
      </c>
      <c r="M1598" s="40" t="str">
        <f>IFERROR(IF(Agent08_Loans!B210="","",YEAR(Agent08_Loans!D210)),"")</f>
        <v/>
      </c>
    </row>
    <row r="1599" spans="1:13" ht="18" customHeight="1" x14ac:dyDescent="0.25">
      <c r="A1599" s="40" t="str">
        <f>IF(Agent08_Loans!B211="","",Agent08_Loans!A211)</f>
        <v/>
      </c>
      <c r="B1599" s="40" t="str">
        <f>IF(Agent08_Loans!B211="","",Agent08_Loans!B211)</f>
        <v/>
      </c>
      <c r="C1599" s="40" t="str">
        <f>IF(Agent08_Loans!B211="","",Agent08_Loans!C211)</f>
        <v/>
      </c>
      <c r="D1599" s="41" t="str">
        <f>IF(Agent08_Loans!B211="","",Agent08_Loans!D211)</f>
        <v/>
      </c>
      <c r="E1599" s="43" t="str">
        <f>IF(Agent08_Loans!B211="","",Agent08_Loans!E211)</f>
        <v/>
      </c>
      <c r="F1599" s="40" t="str">
        <f>IF(Agent08_Loans!B211="","",Agent08_Loans!F211)</f>
        <v/>
      </c>
      <c r="G1599" s="40" t="str">
        <f>IF(Agent08_Loans!B211="","",Agent08_Loans!G211)</f>
        <v/>
      </c>
      <c r="H1599" s="40" t="str">
        <f>IF(Agent08_Loans!B211="","",Agent08_Loans!H211)</f>
        <v/>
      </c>
      <c r="I1599" s="43" t="str">
        <f>IF(Agent08_Loans!B211="","",Agent08_Loans!I211)</f>
        <v/>
      </c>
      <c r="J1599" s="43" t="str">
        <f>IF(Agent08_Loans!B211="","",Agent08_Loans!J211)</f>
        <v/>
      </c>
      <c r="K1599" s="40" t="str">
        <f>IF(Agent08_Loans!B211="","",Agent08_Loans!K211)</f>
        <v/>
      </c>
      <c r="L1599" s="40" t="str">
        <f>IF(Agent08_Loans!B211="","",Agent08_Loans!L211)</f>
        <v/>
      </c>
      <c r="M1599" s="40" t="str">
        <f>IFERROR(IF(Agent08_Loans!B211="","",YEAR(Agent08_Loans!D211)),"")</f>
        <v/>
      </c>
    </row>
    <row r="1600" spans="1:13" ht="18" customHeight="1" x14ac:dyDescent="0.25">
      <c r="A1600" s="40" t="str">
        <f>IF(Agent08_Loans!B212="","",Agent08_Loans!A212)</f>
        <v/>
      </c>
      <c r="B1600" s="40" t="str">
        <f>IF(Agent08_Loans!B212="","",Agent08_Loans!B212)</f>
        <v/>
      </c>
      <c r="C1600" s="40" t="str">
        <f>IF(Agent08_Loans!B212="","",Agent08_Loans!C212)</f>
        <v/>
      </c>
      <c r="D1600" s="41" t="str">
        <f>IF(Agent08_Loans!B212="","",Agent08_Loans!D212)</f>
        <v/>
      </c>
      <c r="E1600" s="43" t="str">
        <f>IF(Agent08_Loans!B212="","",Agent08_Loans!E212)</f>
        <v/>
      </c>
      <c r="F1600" s="40" t="str">
        <f>IF(Agent08_Loans!B212="","",Agent08_Loans!F212)</f>
        <v/>
      </c>
      <c r="G1600" s="40" t="str">
        <f>IF(Agent08_Loans!B212="","",Agent08_Loans!G212)</f>
        <v/>
      </c>
      <c r="H1600" s="40" t="str">
        <f>IF(Agent08_Loans!B212="","",Agent08_Loans!H212)</f>
        <v/>
      </c>
      <c r="I1600" s="43" t="str">
        <f>IF(Agent08_Loans!B212="","",Agent08_Loans!I212)</f>
        <v/>
      </c>
      <c r="J1600" s="43" t="str">
        <f>IF(Agent08_Loans!B212="","",Agent08_Loans!J212)</f>
        <v/>
      </c>
      <c r="K1600" s="40" t="str">
        <f>IF(Agent08_Loans!B212="","",Agent08_Loans!K212)</f>
        <v/>
      </c>
      <c r="L1600" s="40" t="str">
        <f>IF(Agent08_Loans!B212="","",Agent08_Loans!L212)</f>
        <v/>
      </c>
      <c r="M1600" s="40" t="str">
        <f>IFERROR(IF(Agent08_Loans!B212="","",YEAR(Agent08_Loans!D212)),"")</f>
        <v/>
      </c>
    </row>
    <row r="1601" spans="1:13" ht="18" customHeight="1" x14ac:dyDescent="0.25">
      <c r="A1601" s="40" t="str">
        <f>IF(Agent08_Loans!B213="","",Agent08_Loans!A213)</f>
        <v/>
      </c>
      <c r="B1601" s="40" t="str">
        <f>IF(Agent08_Loans!B213="","",Agent08_Loans!B213)</f>
        <v/>
      </c>
      <c r="C1601" s="40" t="str">
        <f>IF(Agent08_Loans!B213="","",Agent08_Loans!C213)</f>
        <v/>
      </c>
      <c r="D1601" s="41" t="str">
        <f>IF(Agent08_Loans!B213="","",Agent08_Loans!D213)</f>
        <v/>
      </c>
      <c r="E1601" s="43" t="str">
        <f>IF(Agent08_Loans!B213="","",Agent08_Loans!E213)</f>
        <v/>
      </c>
      <c r="F1601" s="40" t="str">
        <f>IF(Agent08_Loans!B213="","",Agent08_Loans!F213)</f>
        <v/>
      </c>
      <c r="G1601" s="40" t="str">
        <f>IF(Agent08_Loans!B213="","",Agent08_Loans!G213)</f>
        <v/>
      </c>
      <c r="H1601" s="40" t="str">
        <f>IF(Agent08_Loans!B213="","",Agent08_Loans!H213)</f>
        <v/>
      </c>
      <c r="I1601" s="43" t="str">
        <f>IF(Agent08_Loans!B213="","",Agent08_Loans!I213)</f>
        <v/>
      </c>
      <c r="J1601" s="43" t="str">
        <f>IF(Agent08_Loans!B213="","",Agent08_Loans!J213)</f>
        <v/>
      </c>
      <c r="K1601" s="40" t="str">
        <f>IF(Agent08_Loans!B213="","",Agent08_Loans!K213)</f>
        <v/>
      </c>
      <c r="L1601" s="40" t="str">
        <f>IF(Agent08_Loans!B213="","",Agent08_Loans!L213)</f>
        <v/>
      </c>
      <c r="M1601" s="40" t="str">
        <f>IFERROR(IF(Agent08_Loans!B213="","",YEAR(Agent08_Loans!D213)),"")</f>
        <v/>
      </c>
    </row>
    <row r="1602" spans="1:13" ht="18" customHeight="1" x14ac:dyDescent="0.25">
      <c r="A1602" s="40" t="str">
        <f>IF(Agent08_Loans!B214="","",Agent08_Loans!A214)</f>
        <v/>
      </c>
      <c r="B1602" s="40" t="str">
        <f>IF(Agent08_Loans!B214="","",Agent08_Loans!B214)</f>
        <v/>
      </c>
      <c r="C1602" s="40" t="str">
        <f>IF(Agent08_Loans!B214="","",Agent08_Loans!C214)</f>
        <v/>
      </c>
      <c r="D1602" s="41" t="str">
        <f>IF(Agent08_Loans!B214="","",Agent08_Loans!D214)</f>
        <v/>
      </c>
      <c r="E1602" s="43" t="str">
        <f>IF(Agent08_Loans!B214="","",Agent08_Loans!E214)</f>
        <v/>
      </c>
      <c r="F1602" s="40" t="str">
        <f>IF(Agent08_Loans!B214="","",Agent08_Loans!F214)</f>
        <v/>
      </c>
      <c r="G1602" s="40" t="str">
        <f>IF(Agent08_Loans!B214="","",Agent08_Loans!G214)</f>
        <v/>
      </c>
      <c r="H1602" s="40" t="str">
        <f>IF(Agent08_Loans!B214="","",Agent08_Loans!H214)</f>
        <v/>
      </c>
      <c r="I1602" s="43" t="str">
        <f>IF(Agent08_Loans!B214="","",Agent08_Loans!I214)</f>
        <v/>
      </c>
      <c r="J1602" s="43" t="str">
        <f>IF(Agent08_Loans!B214="","",Agent08_Loans!J214)</f>
        <v/>
      </c>
      <c r="K1602" s="40" t="str">
        <f>IF(Agent08_Loans!B214="","",Agent08_Loans!K214)</f>
        <v/>
      </c>
      <c r="L1602" s="40" t="str">
        <f>IF(Agent08_Loans!B214="","",Agent08_Loans!L214)</f>
        <v/>
      </c>
      <c r="M1602" s="40" t="str">
        <f>IFERROR(IF(Agent08_Loans!B214="","",YEAR(Agent08_Loans!D214)),"")</f>
        <v/>
      </c>
    </row>
    <row r="1603" spans="1:13" ht="18" customHeight="1" x14ac:dyDescent="0.25">
      <c r="A1603" s="40" t="str">
        <f>IF(Agent08_Loans!B215="","",Agent08_Loans!A215)</f>
        <v/>
      </c>
      <c r="B1603" s="40" t="str">
        <f>IF(Agent08_Loans!B215="","",Agent08_Loans!B215)</f>
        <v/>
      </c>
      <c r="C1603" s="40" t="str">
        <f>IF(Agent08_Loans!B215="","",Agent08_Loans!C215)</f>
        <v/>
      </c>
      <c r="D1603" s="41" t="str">
        <f>IF(Agent08_Loans!B215="","",Agent08_Loans!D215)</f>
        <v/>
      </c>
      <c r="E1603" s="43" t="str">
        <f>IF(Agent08_Loans!B215="","",Agent08_Loans!E215)</f>
        <v/>
      </c>
      <c r="F1603" s="40" t="str">
        <f>IF(Agent08_Loans!B215="","",Agent08_Loans!F215)</f>
        <v/>
      </c>
      <c r="G1603" s="40" t="str">
        <f>IF(Agent08_Loans!B215="","",Agent08_Loans!G215)</f>
        <v/>
      </c>
      <c r="H1603" s="40" t="str">
        <f>IF(Agent08_Loans!B215="","",Agent08_Loans!H215)</f>
        <v/>
      </c>
      <c r="I1603" s="43" t="str">
        <f>IF(Agent08_Loans!B215="","",Agent08_Loans!I215)</f>
        <v/>
      </c>
      <c r="J1603" s="43" t="str">
        <f>IF(Agent08_Loans!B215="","",Agent08_Loans!J215)</f>
        <v/>
      </c>
      <c r="K1603" s="40" t="str">
        <f>IF(Agent08_Loans!B215="","",Agent08_Loans!K215)</f>
        <v/>
      </c>
      <c r="L1603" s="40" t="str">
        <f>IF(Agent08_Loans!B215="","",Agent08_Loans!L215)</f>
        <v/>
      </c>
      <c r="M1603" s="40" t="str">
        <f>IFERROR(IF(Agent08_Loans!B215="","",YEAR(Agent08_Loans!D215)),"")</f>
        <v/>
      </c>
    </row>
    <row r="1604" spans="1:13" ht="18" customHeight="1" x14ac:dyDescent="0.25">
      <c r="A1604" s="40" t="str">
        <f>IF(Agent09_Loans!B16="","",Agent09_Loans!A16)</f>
        <v/>
      </c>
      <c r="B1604" s="40" t="str">
        <f>IF(Agent09_Loans!B16="","",Agent09_Loans!B16)</f>
        <v/>
      </c>
      <c r="C1604" s="40" t="str">
        <f>IF(Agent09_Loans!B16="","",Agent09_Loans!C16)</f>
        <v/>
      </c>
      <c r="D1604" s="41" t="str">
        <f>IF(Agent09_Loans!B16="","",Agent09_Loans!D16)</f>
        <v/>
      </c>
      <c r="E1604" s="43" t="str">
        <f>IF(Agent09_Loans!B16="","",Agent09_Loans!E16)</f>
        <v/>
      </c>
      <c r="F1604" s="40" t="str">
        <f>IF(Agent09_Loans!B16="","",Agent09_Loans!F16)</f>
        <v/>
      </c>
      <c r="G1604" s="40" t="str">
        <f>IF(Agent09_Loans!B16="","",Agent09_Loans!G16)</f>
        <v/>
      </c>
      <c r="H1604" s="40" t="str">
        <f>IF(Agent09_Loans!B16="","",Agent09_Loans!H16)</f>
        <v/>
      </c>
      <c r="I1604" s="43" t="str">
        <f>IF(Agent09_Loans!B16="","",Agent09_Loans!I16)</f>
        <v/>
      </c>
      <c r="J1604" s="43" t="str">
        <f>IF(Agent09_Loans!B16="","",Agent09_Loans!J16)</f>
        <v/>
      </c>
      <c r="K1604" s="40" t="str">
        <f>IF(Agent09_Loans!B16="","",Agent09_Loans!K16)</f>
        <v/>
      </c>
      <c r="L1604" s="40" t="str">
        <f>IF(Agent09_Loans!B16="","",Agent09_Loans!L16)</f>
        <v/>
      </c>
      <c r="M1604" s="40" t="str">
        <f>IFERROR(IF(Agent09_Loans!B16="","",YEAR(Agent09_Loans!D16)),"")</f>
        <v/>
      </c>
    </row>
    <row r="1605" spans="1:13" ht="18" customHeight="1" x14ac:dyDescent="0.25">
      <c r="A1605" s="40" t="str">
        <f>IF(Agent09_Loans!B17="","",Agent09_Loans!A17)</f>
        <v/>
      </c>
      <c r="B1605" s="40" t="str">
        <f>IF(Agent09_Loans!B17="","",Agent09_Loans!B17)</f>
        <v/>
      </c>
      <c r="C1605" s="40" t="str">
        <f>IF(Agent09_Loans!B17="","",Agent09_Loans!C17)</f>
        <v/>
      </c>
      <c r="D1605" s="41" t="str">
        <f>IF(Agent09_Loans!B17="","",Agent09_Loans!D17)</f>
        <v/>
      </c>
      <c r="E1605" s="43" t="str">
        <f>IF(Agent09_Loans!B17="","",Agent09_Loans!E17)</f>
        <v/>
      </c>
      <c r="F1605" s="40" t="str">
        <f>IF(Agent09_Loans!B17="","",Agent09_Loans!F17)</f>
        <v/>
      </c>
      <c r="G1605" s="40" t="str">
        <f>IF(Agent09_Loans!B17="","",Agent09_Loans!G17)</f>
        <v/>
      </c>
      <c r="H1605" s="40" t="str">
        <f>IF(Agent09_Loans!B17="","",Agent09_Loans!H17)</f>
        <v/>
      </c>
      <c r="I1605" s="43" t="str">
        <f>IF(Agent09_Loans!B17="","",Agent09_Loans!I17)</f>
        <v/>
      </c>
      <c r="J1605" s="43" t="str">
        <f>IF(Agent09_Loans!B17="","",Agent09_Loans!J17)</f>
        <v/>
      </c>
      <c r="K1605" s="40" t="str">
        <f>IF(Agent09_Loans!B17="","",Agent09_Loans!K17)</f>
        <v/>
      </c>
      <c r="L1605" s="40" t="str">
        <f>IF(Agent09_Loans!B17="","",Agent09_Loans!L17)</f>
        <v/>
      </c>
      <c r="M1605" s="40" t="str">
        <f>IFERROR(IF(Agent09_Loans!B17="","",YEAR(Agent09_Loans!D17)),"")</f>
        <v/>
      </c>
    </row>
    <row r="1606" spans="1:13" ht="18" customHeight="1" x14ac:dyDescent="0.25">
      <c r="A1606" s="40" t="str">
        <f>IF(Agent09_Loans!B18="","",Agent09_Loans!A18)</f>
        <v/>
      </c>
      <c r="B1606" s="40" t="str">
        <f>IF(Agent09_Loans!B18="","",Agent09_Loans!B18)</f>
        <v/>
      </c>
      <c r="C1606" s="40" t="str">
        <f>IF(Agent09_Loans!B18="","",Agent09_Loans!C18)</f>
        <v/>
      </c>
      <c r="D1606" s="41" t="str">
        <f>IF(Agent09_Loans!B18="","",Agent09_Loans!D18)</f>
        <v/>
      </c>
      <c r="E1606" s="43" t="str">
        <f>IF(Agent09_Loans!B18="","",Agent09_Loans!E18)</f>
        <v/>
      </c>
      <c r="F1606" s="40" t="str">
        <f>IF(Agent09_Loans!B18="","",Agent09_Loans!F18)</f>
        <v/>
      </c>
      <c r="G1606" s="40" t="str">
        <f>IF(Agent09_Loans!B18="","",Agent09_Loans!G18)</f>
        <v/>
      </c>
      <c r="H1606" s="40" t="str">
        <f>IF(Agent09_Loans!B18="","",Agent09_Loans!H18)</f>
        <v/>
      </c>
      <c r="I1606" s="43" t="str">
        <f>IF(Agent09_Loans!B18="","",Agent09_Loans!I18)</f>
        <v/>
      </c>
      <c r="J1606" s="43" t="str">
        <f>IF(Agent09_Loans!B18="","",Agent09_Loans!J18)</f>
        <v/>
      </c>
      <c r="K1606" s="40" t="str">
        <f>IF(Agent09_Loans!B18="","",Agent09_Loans!K18)</f>
        <v/>
      </c>
      <c r="L1606" s="40" t="str">
        <f>IF(Agent09_Loans!B18="","",Agent09_Loans!L18)</f>
        <v/>
      </c>
      <c r="M1606" s="40" t="str">
        <f>IFERROR(IF(Agent09_Loans!B18="","",YEAR(Agent09_Loans!D18)),"")</f>
        <v/>
      </c>
    </row>
    <row r="1607" spans="1:13" ht="18" customHeight="1" x14ac:dyDescent="0.25">
      <c r="A1607" s="40" t="str">
        <f>IF(Agent09_Loans!B19="","",Agent09_Loans!A19)</f>
        <v/>
      </c>
      <c r="B1607" s="40" t="str">
        <f>IF(Agent09_Loans!B19="","",Agent09_Loans!B19)</f>
        <v/>
      </c>
      <c r="C1607" s="40" t="str">
        <f>IF(Agent09_Loans!B19="","",Agent09_Loans!C19)</f>
        <v/>
      </c>
      <c r="D1607" s="41" t="str">
        <f>IF(Agent09_Loans!B19="","",Agent09_Loans!D19)</f>
        <v/>
      </c>
      <c r="E1607" s="43" t="str">
        <f>IF(Agent09_Loans!B19="","",Agent09_Loans!E19)</f>
        <v/>
      </c>
      <c r="F1607" s="40" t="str">
        <f>IF(Agent09_Loans!B19="","",Agent09_Loans!F19)</f>
        <v/>
      </c>
      <c r="G1607" s="40" t="str">
        <f>IF(Agent09_Loans!B19="","",Agent09_Loans!G19)</f>
        <v/>
      </c>
      <c r="H1607" s="40" t="str">
        <f>IF(Agent09_Loans!B19="","",Agent09_Loans!H19)</f>
        <v/>
      </c>
      <c r="I1607" s="43" t="str">
        <f>IF(Agent09_Loans!B19="","",Agent09_Loans!I19)</f>
        <v/>
      </c>
      <c r="J1607" s="43" t="str">
        <f>IF(Agent09_Loans!B19="","",Agent09_Loans!J19)</f>
        <v/>
      </c>
      <c r="K1607" s="40" t="str">
        <f>IF(Agent09_Loans!B19="","",Agent09_Loans!K19)</f>
        <v/>
      </c>
      <c r="L1607" s="40" t="str">
        <f>IF(Agent09_Loans!B19="","",Agent09_Loans!L19)</f>
        <v/>
      </c>
      <c r="M1607" s="40" t="str">
        <f>IFERROR(IF(Agent09_Loans!B19="","",YEAR(Agent09_Loans!D19)),"")</f>
        <v/>
      </c>
    </row>
    <row r="1608" spans="1:13" ht="18" customHeight="1" x14ac:dyDescent="0.25">
      <c r="A1608" s="40" t="str">
        <f>IF(Agent09_Loans!B20="","",Agent09_Loans!A20)</f>
        <v/>
      </c>
      <c r="B1608" s="40" t="str">
        <f>IF(Agent09_Loans!B20="","",Agent09_Loans!B20)</f>
        <v/>
      </c>
      <c r="C1608" s="40" t="str">
        <f>IF(Agent09_Loans!B20="","",Agent09_Loans!C20)</f>
        <v/>
      </c>
      <c r="D1608" s="41" t="str">
        <f>IF(Agent09_Loans!B20="","",Agent09_Loans!D20)</f>
        <v/>
      </c>
      <c r="E1608" s="43" t="str">
        <f>IF(Agent09_Loans!B20="","",Agent09_Loans!E20)</f>
        <v/>
      </c>
      <c r="F1608" s="40" t="str">
        <f>IF(Agent09_Loans!B20="","",Agent09_Loans!F20)</f>
        <v/>
      </c>
      <c r="G1608" s="40" t="str">
        <f>IF(Agent09_Loans!B20="","",Agent09_Loans!G20)</f>
        <v/>
      </c>
      <c r="H1608" s="40" t="str">
        <f>IF(Agent09_Loans!B20="","",Agent09_Loans!H20)</f>
        <v/>
      </c>
      <c r="I1608" s="43" t="str">
        <f>IF(Agent09_Loans!B20="","",Agent09_Loans!I20)</f>
        <v/>
      </c>
      <c r="J1608" s="43" t="str">
        <f>IF(Agent09_Loans!B20="","",Agent09_Loans!J20)</f>
        <v/>
      </c>
      <c r="K1608" s="40" t="str">
        <f>IF(Agent09_Loans!B20="","",Agent09_Loans!K20)</f>
        <v/>
      </c>
      <c r="L1608" s="40" t="str">
        <f>IF(Agent09_Loans!B20="","",Agent09_Loans!L20)</f>
        <v/>
      </c>
      <c r="M1608" s="40" t="str">
        <f>IFERROR(IF(Agent09_Loans!B20="","",YEAR(Agent09_Loans!D20)),"")</f>
        <v/>
      </c>
    </row>
    <row r="1609" spans="1:13" ht="18" customHeight="1" x14ac:dyDescent="0.25">
      <c r="A1609" s="40" t="str">
        <f>IF(Agent09_Loans!B21="","",Agent09_Loans!A21)</f>
        <v/>
      </c>
      <c r="B1609" s="40" t="str">
        <f>IF(Agent09_Loans!B21="","",Agent09_Loans!B21)</f>
        <v/>
      </c>
      <c r="C1609" s="40" t="str">
        <f>IF(Agent09_Loans!B21="","",Agent09_Loans!C21)</f>
        <v/>
      </c>
      <c r="D1609" s="41" t="str">
        <f>IF(Agent09_Loans!B21="","",Agent09_Loans!D21)</f>
        <v/>
      </c>
      <c r="E1609" s="43" t="str">
        <f>IF(Agent09_Loans!B21="","",Agent09_Loans!E21)</f>
        <v/>
      </c>
      <c r="F1609" s="40" t="str">
        <f>IF(Agent09_Loans!B21="","",Agent09_Loans!F21)</f>
        <v/>
      </c>
      <c r="G1609" s="40" t="str">
        <f>IF(Agent09_Loans!B21="","",Agent09_Loans!G21)</f>
        <v/>
      </c>
      <c r="H1609" s="40" t="str">
        <f>IF(Agent09_Loans!B21="","",Agent09_Loans!H21)</f>
        <v/>
      </c>
      <c r="I1609" s="43" t="str">
        <f>IF(Agent09_Loans!B21="","",Agent09_Loans!I21)</f>
        <v/>
      </c>
      <c r="J1609" s="43" t="str">
        <f>IF(Agent09_Loans!B21="","",Agent09_Loans!J21)</f>
        <v/>
      </c>
      <c r="K1609" s="40" t="str">
        <f>IF(Agent09_Loans!B21="","",Agent09_Loans!K21)</f>
        <v/>
      </c>
      <c r="L1609" s="40" t="str">
        <f>IF(Agent09_Loans!B21="","",Agent09_Loans!L21)</f>
        <v/>
      </c>
      <c r="M1609" s="40" t="str">
        <f>IFERROR(IF(Agent09_Loans!B21="","",YEAR(Agent09_Loans!D21)),"")</f>
        <v/>
      </c>
    </row>
    <row r="1610" spans="1:13" ht="18" customHeight="1" x14ac:dyDescent="0.25">
      <c r="A1610" s="40" t="str">
        <f>IF(Agent09_Loans!B22="","",Agent09_Loans!A22)</f>
        <v/>
      </c>
      <c r="B1610" s="40" t="str">
        <f>IF(Agent09_Loans!B22="","",Agent09_Loans!B22)</f>
        <v/>
      </c>
      <c r="C1610" s="40" t="str">
        <f>IF(Agent09_Loans!B22="","",Agent09_Loans!C22)</f>
        <v/>
      </c>
      <c r="D1610" s="41" t="str">
        <f>IF(Agent09_Loans!B22="","",Agent09_Loans!D22)</f>
        <v/>
      </c>
      <c r="E1610" s="43" t="str">
        <f>IF(Agent09_Loans!B22="","",Agent09_Loans!E22)</f>
        <v/>
      </c>
      <c r="F1610" s="40" t="str">
        <f>IF(Agent09_Loans!B22="","",Agent09_Loans!F22)</f>
        <v/>
      </c>
      <c r="G1610" s="40" t="str">
        <f>IF(Agent09_Loans!B22="","",Agent09_Loans!G22)</f>
        <v/>
      </c>
      <c r="H1610" s="40" t="str">
        <f>IF(Agent09_Loans!B22="","",Agent09_Loans!H22)</f>
        <v/>
      </c>
      <c r="I1610" s="43" t="str">
        <f>IF(Agent09_Loans!B22="","",Agent09_Loans!I22)</f>
        <v/>
      </c>
      <c r="J1610" s="43" t="str">
        <f>IF(Agent09_Loans!B22="","",Agent09_Loans!J22)</f>
        <v/>
      </c>
      <c r="K1610" s="40" t="str">
        <f>IF(Agent09_Loans!B22="","",Agent09_Loans!K22)</f>
        <v/>
      </c>
      <c r="L1610" s="40" t="str">
        <f>IF(Agent09_Loans!B22="","",Agent09_Loans!L22)</f>
        <v/>
      </c>
      <c r="M1610" s="40" t="str">
        <f>IFERROR(IF(Agent09_Loans!B22="","",YEAR(Agent09_Loans!D22)),"")</f>
        <v/>
      </c>
    </row>
    <row r="1611" spans="1:13" ht="18" customHeight="1" x14ac:dyDescent="0.25">
      <c r="A1611" s="40" t="str">
        <f>IF(Agent09_Loans!B23="","",Agent09_Loans!A23)</f>
        <v/>
      </c>
      <c r="B1611" s="40" t="str">
        <f>IF(Agent09_Loans!B23="","",Agent09_Loans!B23)</f>
        <v/>
      </c>
      <c r="C1611" s="40" t="str">
        <f>IF(Agent09_Loans!B23="","",Agent09_Loans!C23)</f>
        <v/>
      </c>
      <c r="D1611" s="41" t="str">
        <f>IF(Agent09_Loans!B23="","",Agent09_Loans!D23)</f>
        <v/>
      </c>
      <c r="E1611" s="43" t="str">
        <f>IF(Agent09_Loans!B23="","",Agent09_Loans!E23)</f>
        <v/>
      </c>
      <c r="F1611" s="40" t="str">
        <f>IF(Agent09_Loans!B23="","",Agent09_Loans!F23)</f>
        <v/>
      </c>
      <c r="G1611" s="40" t="str">
        <f>IF(Agent09_Loans!B23="","",Agent09_Loans!G23)</f>
        <v/>
      </c>
      <c r="H1611" s="40" t="str">
        <f>IF(Agent09_Loans!B23="","",Agent09_Loans!H23)</f>
        <v/>
      </c>
      <c r="I1611" s="43" t="str">
        <f>IF(Agent09_Loans!B23="","",Agent09_Loans!I23)</f>
        <v/>
      </c>
      <c r="J1611" s="43" t="str">
        <f>IF(Agent09_Loans!B23="","",Agent09_Loans!J23)</f>
        <v/>
      </c>
      <c r="K1611" s="40" t="str">
        <f>IF(Agent09_Loans!B23="","",Agent09_Loans!K23)</f>
        <v/>
      </c>
      <c r="L1611" s="40" t="str">
        <f>IF(Agent09_Loans!B23="","",Agent09_Loans!L23)</f>
        <v/>
      </c>
      <c r="M1611" s="40" t="str">
        <f>IFERROR(IF(Agent09_Loans!B23="","",YEAR(Agent09_Loans!D23)),"")</f>
        <v/>
      </c>
    </row>
    <row r="1612" spans="1:13" ht="18" customHeight="1" x14ac:dyDescent="0.25">
      <c r="A1612" s="40" t="str">
        <f>IF(Agent09_Loans!B24="","",Agent09_Loans!A24)</f>
        <v/>
      </c>
      <c r="B1612" s="40" t="str">
        <f>IF(Agent09_Loans!B24="","",Agent09_Loans!B24)</f>
        <v/>
      </c>
      <c r="C1612" s="40" t="str">
        <f>IF(Agent09_Loans!B24="","",Agent09_Loans!C24)</f>
        <v/>
      </c>
      <c r="D1612" s="41" t="str">
        <f>IF(Agent09_Loans!B24="","",Agent09_Loans!D24)</f>
        <v/>
      </c>
      <c r="E1612" s="43" t="str">
        <f>IF(Agent09_Loans!B24="","",Agent09_Loans!E24)</f>
        <v/>
      </c>
      <c r="F1612" s="40" t="str">
        <f>IF(Agent09_Loans!B24="","",Agent09_Loans!F24)</f>
        <v/>
      </c>
      <c r="G1612" s="40" t="str">
        <f>IF(Agent09_Loans!B24="","",Agent09_Loans!G24)</f>
        <v/>
      </c>
      <c r="H1612" s="40" t="str">
        <f>IF(Agent09_Loans!B24="","",Agent09_Loans!H24)</f>
        <v/>
      </c>
      <c r="I1612" s="43" t="str">
        <f>IF(Agent09_Loans!B24="","",Agent09_Loans!I24)</f>
        <v/>
      </c>
      <c r="J1612" s="43" t="str">
        <f>IF(Agent09_Loans!B24="","",Agent09_Loans!J24)</f>
        <v/>
      </c>
      <c r="K1612" s="40" t="str">
        <f>IF(Agent09_Loans!B24="","",Agent09_Loans!K24)</f>
        <v/>
      </c>
      <c r="L1612" s="40" t="str">
        <f>IF(Agent09_Loans!B24="","",Agent09_Loans!L24)</f>
        <v/>
      </c>
      <c r="M1612" s="40" t="str">
        <f>IFERROR(IF(Agent09_Loans!B24="","",YEAR(Agent09_Loans!D24)),"")</f>
        <v/>
      </c>
    </row>
    <row r="1613" spans="1:13" ht="18" customHeight="1" x14ac:dyDescent="0.25">
      <c r="A1613" s="40" t="str">
        <f>IF(Agent09_Loans!B25="","",Agent09_Loans!A25)</f>
        <v/>
      </c>
      <c r="B1613" s="40" t="str">
        <f>IF(Agent09_Loans!B25="","",Agent09_Loans!B25)</f>
        <v/>
      </c>
      <c r="C1613" s="40" t="str">
        <f>IF(Agent09_Loans!B25="","",Agent09_Loans!C25)</f>
        <v/>
      </c>
      <c r="D1613" s="41" t="str">
        <f>IF(Agent09_Loans!B25="","",Agent09_Loans!D25)</f>
        <v/>
      </c>
      <c r="E1613" s="43" t="str">
        <f>IF(Agent09_Loans!B25="","",Agent09_Loans!E25)</f>
        <v/>
      </c>
      <c r="F1613" s="40" t="str">
        <f>IF(Agent09_Loans!B25="","",Agent09_Loans!F25)</f>
        <v/>
      </c>
      <c r="G1613" s="40" t="str">
        <f>IF(Agent09_Loans!B25="","",Agent09_Loans!G25)</f>
        <v/>
      </c>
      <c r="H1613" s="40" t="str">
        <f>IF(Agent09_Loans!B25="","",Agent09_Loans!H25)</f>
        <v/>
      </c>
      <c r="I1613" s="43" t="str">
        <f>IF(Agent09_Loans!B25="","",Agent09_Loans!I25)</f>
        <v/>
      </c>
      <c r="J1613" s="43" t="str">
        <f>IF(Agent09_Loans!B25="","",Agent09_Loans!J25)</f>
        <v/>
      </c>
      <c r="K1613" s="40" t="str">
        <f>IF(Agent09_Loans!B25="","",Agent09_Loans!K25)</f>
        <v/>
      </c>
      <c r="L1613" s="40" t="str">
        <f>IF(Agent09_Loans!B25="","",Agent09_Loans!L25)</f>
        <v/>
      </c>
      <c r="M1613" s="40" t="str">
        <f>IFERROR(IF(Agent09_Loans!B25="","",YEAR(Agent09_Loans!D25)),"")</f>
        <v/>
      </c>
    </row>
    <row r="1614" spans="1:13" ht="18" customHeight="1" x14ac:dyDescent="0.25">
      <c r="A1614" s="40" t="str">
        <f>IF(Agent09_Loans!B26="","",Agent09_Loans!A26)</f>
        <v/>
      </c>
      <c r="B1614" s="40" t="str">
        <f>IF(Agent09_Loans!B26="","",Agent09_Loans!B26)</f>
        <v/>
      </c>
      <c r="C1614" s="40" t="str">
        <f>IF(Agent09_Loans!B26="","",Agent09_Loans!C26)</f>
        <v/>
      </c>
      <c r="D1614" s="41" t="str">
        <f>IF(Agent09_Loans!B26="","",Agent09_Loans!D26)</f>
        <v/>
      </c>
      <c r="E1614" s="43" t="str">
        <f>IF(Agent09_Loans!B26="","",Agent09_Loans!E26)</f>
        <v/>
      </c>
      <c r="F1614" s="40" t="str">
        <f>IF(Agent09_Loans!B26="","",Agent09_Loans!F26)</f>
        <v/>
      </c>
      <c r="G1614" s="40" t="str">
        <f>IF(Agent09_Loans!B26="","",Agent09_Loans!G26)</f>
        <v/>
      </c>
      <c r="H1614" s="40" t="str">
        <f>IF(Agent09_Loans!B26="","",Agent09_Loans!H26)</f>
        <v/>
      </c>
      <c r="I1614" s="43" t="str">
        <f>IF(Agent09_Loans!B26="","",Agent09_Loans!I26)</f>
        <v/>
      </c>
      <c r="J1614" s="43" t="str">
        <f>IF(Agent09_Loans!B26="","",Agent09_Loans!J26)</f>
        <v/>
      </c>
      <c r="K1614" s="40" t="str">
        <f>IF(Agent09_Loans!B26="","",Agent09_Loans!K26)</f>
        <v/>
      </c>
      <c r="L1614" s="40" t="str">
        <f>IF(Agent09_Loans!B26="","",Agent09_Loans!L26)</f>
        <v/>
      </c>
      <c r="M1614" s="40" t="str">
        <f>IFERROR(IF(Agent09_Loans!B26="","",YEAR(Agent09_Loans!D26)),"")</f>
        <v/>
      </c>
    </row>
    <row r="1615" spans="1:13" ht="18" customHeight="1" x14ac:dyDescent="0.25">
      <c r="A1615" s="40" t="str">
        <f>IF(Agent09_Loans!B27="","",Agent09_Loans!A27)</f>
        <v/>
      </c>
      <c r="B1615" s="40" t="str">
        <f>IF(Agent09_Loans!B27="","",Agent09_Loans!B27)</f>
        <v/>
      </c>
      <c r="C1615" s="40" t="str">
        <f>IF(Agent09_Loans!B27="","",Agent09_Loans!C27)</f>
        <v/>
      </c>
      <c r="D1615" s="41" t="str">
        <f>IF(Agent09_Loans!B27="","",Agent09_Loans!D27)</f>
        <v/>
      </c>
      <c r="E1615" s="43" t="str">
        <f>IF(Agent09_Loans!B27="","",Agent09_Loans!E27)</f>
        <v/>
      </c>
      <c r="F1615" s="40" t="str">
        <f>IF(Agent09_Loans!B27="","",Agent09_Loans!F27)</f>
        <v/>
      </c>
      <c r="G1615" s="40" t="str">
        <f>IF(Agent09_Loans!B27="","",Agent09_Loans!G27)</f>
        <v/>
      </c>
      <c r="H1615" s="40" t="str">
        <f>IF(Agent09_Loans!B27="","",Agent09_Loans!H27)</f>
        <v/>
      </c>
      <c r="I1615" s="43" t="str">
        <f>IF(Agent09_Loans!B27="","",Agent09_Loans!I27)</f>
        <v/>
      </c>
      <c r="J1615" s="43" t="str">
        <f>IF(Agent09_Loans!B27="","",Agent09_Loans!J27)</f>
        <v/>
      </c>
      <c r="K1615" s="40" t="str">
        <f>IF(Agent09_Loans!B27="","",Agent09_Loans!K27)</f>
        <v/>
      </c>
      <c r="L1615" s="40" t="str">
        <f>IF(Agent09_Loans!B27="","",Agent09_Loans!L27)</f>
        <v/>
      </c>
      <c r="M1615" s="40" t="str">
        <f>IFERROR(IF(Agent09_Loans!B27="","",YEAR(Agent09_Loans!D27)),"")</f>
        <v/>
      </c>
    </row>
    <row r="1616" spans="1:13" ht="18" customHeight="1" x14ac:dyDescent="0.25">
      <c r="A1616" s="40" t="str">
        <f>IF(Agent09_Loans!B28="","",Agent09_Loans!A28)</f>
        <v/>
      </c>
      <c r="B1616" s="40" t="str">
        <f>IF(Agent09_Loans!B28="","",Agent09_Loans!B28)</f>
        <v/>
      </c>
      <c r="C1616" s="40" t="str">
        <f>IF(Agent09_Loans!B28="","",Agent09_Loans!C28)</f>
        <v/>
      </c>
      <c r="D1616" s="41" t="str">
        <f>IF(Agent09_Loans!B28="","",Agent09_Loans!D28)</f>
        <v/>
      </c>
      <c r="E1616" s="43" t="str">
        <f>IF(Agent09_Loans!B28="","",Agent09_Loans!E28)</f>
        <v/>
      </c>
      <c r="F1616" s="40" t="str">
        <f>IF(Agent09_Loans!B28="","",Agent09_Loans!F28)</f>
        <v/>
      </c>
      <c r="G1616" s="40" t="str">
        <f>IF(Agent09_Loans!B28="","",Agent09_Loans!G28)</f>
        <v/>
      </c>
      <c r="H1616" s="40" t="str">
        <f>IF(Agent09_Loans!B28="","",Agent09_Loans!H28)</f>
        <v/>
      </c>
      <c r="I1616" s="43" t="str">
        <f>IF(Agent09_Loans!B28="","",Agent09_Loans!I28)</f>
        <v/>
      </c>
      <c r="J1616" s="43" t="str">
        <f>IF(Agent09_Loans!B28="","",Agent09_Loans!J28)</f>
        <v/>
      </c>
      <c r="K1616" s="40" t="str">
        <f>IF(Agent09_Loans!B28="","",Agent09_Loans!K28)</f>
        <v/>
      </c>
      <c r="L1616" s="40" t="str">
        <f>IF(Agent09_Loans!B28="","",Agent09_Loans!L28)</f>
        <v/>
      </c>
      <c r="M1616" s="40" t="str">
        <f>IFERROR(IF(Agent09_Loans!B28="","",YEAR(Agent09_Loans!D28)),"")</f>
        <v/>
      </c>
    </row>
    <row r="1617" spans="1:13" ht="18" customHeight="1" x14ac:dyDescent="0.25">
      <c r="A1617" s="40" t="str">
        <f>IF(Agent09_Loans!B29="","",Agent09_Loans!A29)</f>
        <v/>
      </c>
      <c r="B1617" s="40" t="str">
        <f>IF(Agent09_Loans!B29="","",Agent09_Loans!B29)</f>
        <v/>
      </c>
      <c r="C1617" s="40" t="str">
        <f>IF(Agent09_Loans!B29="","",Agent09_Loans!C29)</f>
        <v/>
      </c>
      <c r="D1617" s="41" t="str">
        <f>IF(Agent09_Loans!B29="","",Agent09_Loans!D29)</f>
        <v/>
      </c>
      <c r="E1617" s="43" t="str">
        <f>IF(Agent09_Loans!B29="","",Agent09_Loans!E29)</f>
        <v/>
      </c>
      <c r="F1617" s="40" t="str">
        <f>IF(Agent09_Loans!B29="","",Agent09_Loans!F29)</f>
        <v/>
      </c>
      <c r="G1617" s="40" t="str">
        <f>IF(Agent09_Loans!B29="","",Agent09_Loans!G29)</f>
        <v/>
      </c>
      <c r="H1617" s="40" t="str">
        <f>IF(Agent09_Loans!B29="","",Agent09_Loans!H29)</f>
        <v/>
      </c>
      <c r="I1617" s="43" t="str">
        <f>IF(Agent09_Loans!B29="","",Agent09_Loans!I29)</f>
        <v/>
      </c>
      <c r="J1617" s="43" t="str">
        <f>IF(Agent09_Loans!B29="","",Agent09_Loans!J29)</f>
        <v/>
      </c>
      <c r="K1617" s="40" t="str">
        <f>IF(Agent09_Loans!B29="","",Agent09_Loans!K29)</f>
        <v/>
      </c>
      <c r="L1617" s="40" t="str">
        <f>IF(Agent09_Loans!B29="","",Agent09_Loans!L29)</f>
        <v/>
      </c>
      <c r="M1617" s="40" t="str">
        <f>IFERROR(IF(Agent09_Loans!B29="","",YEAR(Agent09_Loans!D29)),"")</f>
        <v/>
      </c>
    </row>
    <row r="1618" spans="1:13" ht="18" customHeight="1" x14ac:dyDescent="0.25">
      <c r="A1618" s="40" t="str">
        <f>IF(Agent09_Loans!B30="","",Agent09_Loans!A30)</f>
        <v/>
      </c>
      <c r="B1618" s="40" t="str">
        <f>IF(Agent09_Loans!B30="","",Agent09_Loans!B30)</f>
        <v/>
      </c>
      <c r="C1618" s="40" t="str">
        <f>IF(Agent09_Loans!B30="","",Agent09_Loans!C30)</f>
        <v/>
      </c>
      <c r="D1618" s="41" t="str">
        <f>IF(Agent09_Loans!B30="","",Agent09_Loans!D30)</f>
        <v/>
      </c>
      <c r="E1618" s="43" t="str">
        <f>IF(Agent09_Loans!B30="","",Agent09_Loans!E30)</f>
        <v/>
      </c>
      <c r="F1618" s="40" t="str">
        <f>IF(Agent09_Loans!B30="","",Agent09_Loans!F30)</f>
        <v/>
      </c>
      <c r="G1618" s="40" t="str">
        <f>IF(Agent09_Loans!B30="","",Agent09_Loans!G30)</f>
        <v/>
      </c>
      <c r="H1618" s="40" t="str">
        <f>IF(Agent09_Loans!B30="","",Agent09_Loans!H30)</f>
        <v/>
      </c>
      <c r="I1618" s="43" t="str">
        <f>IF(Agent09_Loans!B30="","",Agent09_Loans!I30)</f>
        <v/>
      </c>
      <c r="J1618" s="43" t="str">
        <f>IF(Agent09_Loans!B30="","",Agent09_Loans!J30)</f>
        <v/>
      </c>
      <c r="K1618" s="40" t="str">
        <f>IF(Agent09_Loans!B30="","",Agent09_Loans!K30)</f>
        <v/>
      </c>
      <c r="L1618" s="40" t="str">
        <f>IF(Agent09_Loans!B30="","",Agent09_Loans!L30)</f>
        <v/>
      </c>
      <c r="M1618" s="40" t="str">
        <f>IFERROR(IF(Agent09_Loans!B30="","",YEAR(Agent09_Loans!D30)),"")</f>
        <v/>
      </c>
    </row>
    <row r="1619" spans="1:13" ht="18" customHeight="1" x14ac:dyDescent="0.25">
      <c r="A1619" s="40" t="str">
        <f>IF(Agent09_Loans!B31="","",Agent09_Loans!A31)</f>
        <v/>
      </c>
      <c r="B1619" s="40" t="str">
        <f>IF(Agent09_Loans!B31="","",Agent09_Loans!B31)</f>
        <v/>
      </c>
      <c r="C1619" s="40" t="str">
        <f>IF(Agent09_Loans!B31="","",Agent09_Loans!C31)</f>
        <v/>
      </c>
      <c r="D1619" s="41" t="str">
        <f>IF(Agent09_Loans!B31="","",Agent09_Loans!D31)</f>
        <v/>
      </c>
      <c r="E1619" s="43" t="str">
        <f>IF(Agent09_Loans!B31="","",Agent09_Loans!E31)</f>
        <v/>
      </c>
      <c r="F1619" s="40" t="str">
        <f>IF(Agent09_Loans!B31="","",Agent09_Loans!F31)</f>
        <v/>
      </c>
      <c r="G1619" s="40" t="str">
        <f>IF(Agent09_Loans!B31="","",Agent09_Loans!G31)</f>
        <v/>
      </c>
      <c r="H1619" s="40" t="str">
        <f>IF(Agent09_Loans!B31="","",Agent09_Loans!H31)</f>
        <v/>
      </c>
      <c r="I1619" s="43" t="str">
        <f>IF(Agent09_Loans!B31="","",Agent09_Loans!I31)</f>
        <v/>
      </c>
      <c r="J1619" s="43" t="str">
        <f>IF(Agent09_Loans!B31="","",Agent09_Loans!J31)</f>
        <v/>
      </c>
      <c r="K1619" s="40" t="str">
        <f>IF(Agent09_Loans!B31="","",Agent09_Loans!K31)</f>
        <v/>
      </c>
      <c r="L1619" s="40" t="str">
        <f>IF(Agent09_Loans!B31="","",Agent09_Loans!L31)</f>
        <v/>
      </c>
      <c r="M1619" s="40" t="str">
        <f>IFERROR(IF(Agent09_Loans!B31="","",YEAR(Agent09_Loans!D31)),"")</f>
        <v/>
      </c>
    </row>
    <row r="1620" spans="1:13" ht="18" customHeight="1" x14ac:dyDescent="0.25">
      <c r="A1620" s="40" t="str">
        <f>IF(Agent09_Loans!B32="","",Agent09_Loans!A32)</f>
        <v/>
      </c>
      <c r="B1620" s="40" t="str">
        <f>IF(Agent09_Loans!B32="","",Agent09_Loans!B32)</f>
        <v/>
      </c>
      <c r="C1620" s="40" t="str">
        <f>IF(Agent09_Loans!B32="","",Agent09_Loans!C32)</f>
        <v/>
      </c>
      <c r="D1620" s="41" t="str">
        <f>IF(Agent09_Loans!B32="","",Agent09_Loans!D32)</f>
        <v/>
      </c>
      <c r="E1620" s="43" t="str">
        <f>IF(Agent09_Loans!B32="","",Agent09_Loans!E32)</f>
        <v/>
      </c>
      <c r="F1620" s="40" t="str">
        <f>IF(Agent09_Loans!B32="","",Agent09_Loans!F32)</f>
        <v/>
      </c>
      <c r="G1620" s="40" t="str">
        <f>IF(Agent09_Loans!B32="","",Agent09_Loans!G32)</f>
        <v/>
      </c>
      <c r="H1620" s="40" t="str">
        <f>IF(Agent09_Loans!B32="","",Agent09_Loans!H32)</f>
        <v/>
      </c>
      <c r="I1620" s="43" t="str">
        <f>IF(Agent09_Loans!B32="","",Agent09_Loans!I32)</f>
        <v/>
      </c>
      <c r="J1620" s="43" t="str">
        <f>IF(Agent09_Loans!B32="","",Agent09_Loans!J32)</f>
        <v/>
      </c>
      <c r="K1620" s="40" t="str">
        <f>IF(Agent09_Loans!B32="","",Agent09_Loans!K32)</f>
        <v/>
      </c>
      <c r="L1620" s="40" t="str">
        <f>IF(Agent09_Loans!B32="","",Agent09_Loans!L32)</f>
        <v/>
      </c>
      <c r="M1620" s="40" t="str">
        <f>IFERROR(IF(Agent09_Loans!B32="","",YEAR(Agent09_Loans!D32)),"")</f>
        <v/>
      </c>
    </row>
    <row r="1621" spans="1:13" ht="18" customHeight="1" x14ac:dyDescent="0.25">
      <c r="A1621" s="40" t="str">
        <f>IF(Agent09_Loans!B33="","",Agent09_Loans!A33)</f>
        <v/>
      </c>
      <c r="B1621" s="40" t="str">
        <f>IF(Agent09_Loans!B33="","",Agent09_Loans!B33)</f>
        <v/>
      </c>
      <c r="C1621" s="40" t="str">
        <f>IF(Agent09_Loans!B33="","",Agent09_Loans!C33)</f>
        <v/>
      </c>
      <c r="D1621" s="41" t="str">
        <f>IF(Agent09_Loans!B33="","",Agent09_Loans!D33)</f>
        <v/>
      </c>
      <c r="E1621" s="43" t="str">
        <f>IF(Agent09_Loans!B33="","",Agent09_Loans!E33)</f>
        <v/>
      </c>
      <c r="F1621" s="40" t="str">
        <f>IF(Agent09_Loans!B33="","",Agent09_Loans!F33)</f>
        <v/>
      </c>
      <c r="G1621" s="40" t="str">
        <f>IF(Agent09_Loans!B33="","",Agent09_Loans!G33)</f>
        <v/>
      </c>
      <c r="H1621" s="40" t="str">
        <f>IF(Agent09_Loans!B33="","",Agent09_Loans!H33)</f>
        <v/>
      </c>
      <c r="I1621" s="43" t="str">
        <f>IF(Agent09_Loans!B33="","",Agent09_Loans!I33)</f>
        <v/>
      </c>
      <c r="J1621" s="43" t="str">
        <f>IF(Agent09_Loans!B33="","",Agent09_Loans!J33)</f>
        <v/>
      </c>
      <c r="K1621" s="40" t="str">
        <f>IF(Agent09_Loans!B33="","",Agent09_Loans!K33)</f>
        <v/>
      </c>
      <c r="L1621" s="40" t="str">
        <f>IF(Agent09_Loans!B33="","",Agent09_Loans!L33)</f>
        <v/>
      </c>
      <c r="M1621" s="40" t="str">
        <f>IFERROR(IF(Agent09_Loans!B33="","",YEAR(Agent09_Loans!D33)),"")</f>
        <v/>
      </c>
    </row>
    <row r="1622" spans="1:13" ht="18" customHeight="1" x14ac:dyDescent="0.25">
      <c r="A1622" s="40" t="str">
        <f>IF(Agent09_Loans!B34="","",Agent09_Loans!A34)</f>
        <v/>
      </c>
      <c r="B1622" s="40" t="str">
        <f>IF(Agent09_Loans!B34="","",Agent09_Loans!B34)</f>
        <v/>
      </c>
      <c r="C1622" s="40" t="str">
        <f>IF(Agent09_Loans!B34="","",Agent09_Loans!C34)</f>
        <v/>
      </c>
      <c r="D1622" s="41" t="str">
        <f>IF(Agent09_Loans!B34="","",Agent09_Loans!D34)</f>
        <v/>
      </c>
      <c r="E1622" s="43" t="str">
        <f>IF(Agent09_Loans!B34="","",Agent09_Loans!E34)</f>
        <v/>
      </c>
      <c r="F1622" s="40" t="str">
        <f>IF(Agent09_Loans!B34="","",Agent09_Loans!F34)</f>
        <v/>
      </c>
      <c r="G1622" s="40" t="str">
        <f>IF(Agent09_Loans!B34="","",Agent09_Loans!G34)</f>
        <v/>
      </c>
      <c r="H1622" s="40" t="str">
        <f>IF(Agent09_Loans!B34="","",Agent09_Loans!H34)</f>
        <v/>
      </c>
      <c r="I1622" s="43" t="str">
        <f>IF(Agent09_Loans!B34="","",Agent09_Loans!I34)</f>
        <v/>
      </c>
      <c r="J1622" s="43" t="str">
        <f>IF(Agent09_Loans!B34="","",Agent09_Loans!J34)</f>
        <v/>
      </c>
      <c r="K1622" s="40" t="str">
        <f>IF(Agent09_Loans!B34="","",Agent09_Loans!K34)</f>
        <v/>
      </c>
      <c r="L1622" s="40" t="str">
        <f>IF(Agent09_Loans!B34="","",Agent09_Loans!L34)</f>
        <v/>
      </c>
      <c r="M1622" s="40" t="str">
        <f>IFERROR(IF(Agent09_Loans!B34="","",YEAR(Agent09_Loans!D34)),"")</f>
        <v/>
      </c>
    </row>
    <row r="1623" spans="1:13" ht="18" customHeight="1" x14ac:dyDescent="0.25">
      <c r="A1623" s="40" t="str">
        <f>IF(Agent09_Loans!B35="","",Agent09_Loans!A35)</f>
        <v/>
      </c>
      <c r="B1623" s="40" t="str">
        <f>IF(Agent09_Loans!B35="","",Agent09_Loans!B35)</f>
        <v/>
      </c>
      <c r="C1623" s="40" t="str">
        <f>IF(Agent09_Loans!B35="","",Agent09_Loans!C35)</f>
        <v/>
      </c>
      <c r="D1623" s="41" t="str">
        <f>IF(Agent09_Loans!B35="","",Agent09_Loans!D35)</f>
        <v/>
      </c>
      <c r="E1623" s="43" t="str">
        <f>IF(Agent09_Loans!B35="","",Agent09_Loans!E35)</f>
        <v/>
      </c>
      <c r="F1623" s="40" t="str">
        <f>IF(Agent09_Loans!B35="","",Agent09_Loans!F35)</f>
        <v/>
      </c>
      <c r="G1623" s="40" t="str">
        <f>IF(Agent09_Loans!B35="","",Agent09_Loans!G35)</f>
        <v/>
      </c>
      <c r="H1623" s="40" t="str">
        <f>IF(Agent09_Loans!B35="","",Agent09_Loans!H35)</f>
        <v/>
      </c>
      <c r="I1623" s="43" t="str">
        <f>IF(Agent09_Loans!B35="","",Agent09_Loans!I35)</f>
        <v/>
      </c>
      <c r="J1623" s="43" t="str">
        <f>IF(Agent09_Loans!B35="","",Agent09_Loans!J35)</f>
        <v/>
      </c>
      <c r="K1623" s="40" t="str">
        <f>IF(Agent09_Loans!B35="","",Agent09_Loans!K35)</f>
        <v/>
      </c>
      <c r="L1623" s="40" t="str">
        <f>IF(Agent09_Loans!B35="","",Agent09_Loans!L35)</f>
        <v/>
      </c>
      <c r="M1623" s="40" t="str">
        <f>IFERROR(IF(Agent09_Loans!B35="","",YEAR(Agent09_Loans!D35)),"")</f>
        <v/>
      </c>
    </row>
    <row r="1624" spans="1:13" ht="18" customHeight="1" x14ac:dyDescent="0.25">
      <c r="A1624" s="40" t="str">
        <f>IF(Agent09_Loans!B36="","",Agent09_Loans!A36)</f>
        <v/>
      </c>
      <c r="B1624" s="40" t="str">
        <f>IF(Agent09_Loans!B36="","",Agent09_Loans!B36)</f>
        <v/>
      </c>
      <c r="C1624" s="40" t="str">
        <f>IF(Agent09_Loans!B36="","",Agent09_Loans!C36)</f>
        <v/>
      </c>
      <c r="D1624" s="41" t="str">
        <f>IF(Agent09_Loans!B36="","",Agent09_Loans!D36)</f>
        <v/>
      </c>
      <c r="E1624" s="43" t="str">
        <f>IF(Agent09_Loans!B36="","",Agent09_Loans!E36)</f>
        <v/>
      </c>
      <c r="F1624" s="40" t="str">
        <f>IF(Agent09_Loans!B36="","",Agent09_Loans!F36)</f>
        <v/>
      </c>
      <c r="G1624" s="40" t="str">
        <f>IF(Agent09_Loans!B36="","",Agent09_Loans!G36)</f>
        <v/>
      </c>
      <c r="H1624" s="40" t="str">
        <f>IF(Agent09_Loans!B36="","",Agent09_Loans!H36)</f>
        <v/>
      </c>
      <c r="I1624" s="43" t="str">
        <f>IF(Agent09_Loans!B36="","",Agent09_Loans!I36)</f>
        <v/>
      </c>
      <c r="J1624" s="43" t="str">
        <f>IF(Agent09_Loans!B36="","",Agent09_Loans!J36)</f>
        <v/>
      </c>
      <c r="K1624" s="40" t="str">
        <f>IF(Agent09_Loans!B36="","",Agent09_Loans!K36)</f>
        <v/>
      </c>
      <c r="L1624" s="40" t="str">
        <f>IF(Agent09_Loans!B36="","",Agent09_Loans!L36)</f>
        <v/>
      </c>
      <c r="M1624" s="40" t="str">
        <f>IFERROR(IF(Agent09_Loans!B36="","",YEAR(Agent09_Loans!D36)),"")</f>
        <v/>
      </c>
    </row>
    <row r="1625" spans="1:13" ht="18" customHeight="1" x14ac:dyDescent="0.25">
      <c r="A1625" s="40" t="str">
        <f>IF(Agent09_Loans!B37="","",Agent09_Loans!A37)</f>
        <v/>
      </c>
      <c r="B1625" s="40" t="str">
        <f>IF(Agent09_Loans!B37="","",Agent09_Loans!B37)</f>
        <v/>
      </c>
      <c r="C1625" s="40" t="str">
        <f>IF(Agent09_Loans!B37="","",Agent09_Loans!C37)</f>
        <v/>
      </c>
      <c r="D1625" s="41" t="str">
        <f>IF(Agent09_Loans!B37="","",Agent09_Loans!D37)</f>
        <v/>
      </c>
      <c r="E1625" s="43" t="str">
        <f>IF(Agent09_Loans!B37="","",Agent09_Loans!E37)</f>
        <v/>
      </c>
      <c r="F1625" s="40" t="str">
        <f>IF(Agent09_Loans!B37="","",Agent09_Loans!F37)</f>
        <v/>
      </c>
      <c r="G1625" s="40" t="str">
        <f>IF(Agent09_Loans!B37="","",Agent09_Loans!G37)</f>
        <v/>
      </c>
      <c r="H1625" s="40" t="str">
        <f>IF(Agent09_Loans!B37="","",Agent09_Loans!H37)</f>
        <v/>
      </c>
      <c r="I1625" s="43" t="str">
        <f>IF(Agent09_Loans!B37="","",Agent09_Loans!I37)</f>
        <v/>
      </c>
      <c r="J1625" s="43" t="str">
        <f>IF(Agent09_Loans!B37="","",Agent09_Loans!J37)</f>
        <v/>
      </c>
      <c r="K1625" s="40" t="str">
        <f>IF(Agent09_Loans!B37="","",Agent09_Loans!K37)</f>
        <v/>
      </c>
      <c r="L1625" s="40" t="str">
        <f>IF(Agent09_Loans!B37="","",Agent09_Loans!L37)</f>
        <v/>
      </c>
      <c r="M1625" s="40" t="str">
        <f>IFERROR(IF(Agent09_Loans!B37="","",YEAR(Agent09_Loans!D37)),"")</f>
        <v/>
      </c>
    </row>
    <row r="1626" spans="1:13" ht="18" customHeight="1" x14ac:dyDescent="0.25">
      <c r="A1626" s="40" t="str">
        <f>IF(Agent09_Loans!B38="","",Agent09_Loans!A38)</f>
        <v/>
      </c>
      <c r="B1626" s="40" t="str">
        <f>IF(Agent09_Loans!B38="","",Agent09_Loans!B38)</f>
        <v/>
      </c>
      <c r="C1626" s="40" t="str">
        <f>IF(Agent09_Loans!B38="","",Agent09_Loans!C38)</f>
        <v/>
      </c>
      <c r="D1626" s="41" t="str">
        <f>IF(Agent09_Loans!B38="","",Agent09_Loans!D38)</f>
        <v/>
      </c>
      <c r="E1626" s="43" t="str">
        <f>IF(Agent09_Loans!B38="","",Agent09_Loans!E38)</f>
        <v/>
      </c>
      <c r="F1626" s="40" t="str">
        <f>IF(Agent09_Loans!B38="","",Agent09_Loans!F38)</f>
        <v/>
      </c>
      <c r="G1626" s="40" t="str">
        <f>IF(Agent09_Loans!B38="","",Agent09_Loans!G38)</f>
        <v/>
      </c>
      <c r="H1626" s="40" t="str">
        <f>IF(Agent09_Loans!B38="","",Agent09_Loans!H38)</f>
        <v/>
      </c>
      <c r="I1626" s="43" t="str">
        <f>IF(Agent09_Loans!B38="","",Agent09_Loans!I38)</f>
        <v/>
      </c>
      <c r="J1626" s="43" t="str">
        <f>IF(Agent09_Loans!B38="","",Agent09_Loans!J38)</f>
        <v/>
      </c>
      <c r="K1626" s="40" t="str">
        <f>IF(Agent09_Loans!B38="","",Agent09_Loans!K38)</f>
        <v/>
      </c>
      <c r="L1626" s="40" t="str">
        <f>IF(Agent09_Loans!B38="","",Agent09_Loans!L38)</f>
        <v/>
      </c>
      <c r="M1626" s="40" t="str">
        <f>IFERROR(IF(Agent09_Loans!B38="","",YEAR(Agent09_Loans!D38)),"")</f>
        <v/>
      </c>
    </row>
    <row r="1627" spans="1:13" ht="18" customHeight="1" x14ac:dyDescent="0.25">
      <c r="A1627" s="40" t="str">
        <f>IF(Agent09_Loans!B39="","",Agent09_Loans!A39)</f>
        <v/>
      </c>
      <c r="B1627" s="40" t="str">
        <f>IF(Agent09_Loans!B39="","",Agent09_Loans!B39)</f>
        <v/>
      </c>
      <c r="C1627" s="40" t="str">
        <f>IF(Agent09_Loans!B39="","",Agent09_Loans!C39)</f>
        <v/>
      </c>
      <c r="D1627" s="41" t="str">
        <f>IF(Agent09_Loans!B39="","",Agent09_Loans!D39)</f>
        <v/>
      </c>
      <c r="E1627" s="43" t="str">
        <f>IF(Agent09_Loans!B39="","",Agent09_Loans!E39)</f>
        <v/>
      </c>
      <c r="F1627" s="40" t="str">
        <f>IF(Agent09_Loans!B39="","",Agent09_Loans!F39)</f>
        <v/>
      </c>
      <c r="G1627" s="40" t="str">
        <f>IF(Agent09_Loans!B39="","",Agent09_Loans!G39)</f>
        <v/>
      </c>
      <c r="H1627" s="40" t="str">
        <f>IF(Agent09_Loans!B39="","",Agent09_Loans!H39)</f>
        <v/>
      </c>
      <c r="I1627" s="43" t="str">
        <f>IF(Agent09_Loans!B39="","",Agent09_Loans!I39)</f>
        <v/>
      </c>
      <c r="J1627" s="43" t="str">
        <f>IF(Agent09_Loans!B39="","",Agent09_Loans!J39)</f>
        <v/>
      </c>
      <c r="K1627" s="40" t="str">
        <f>IF(Agent09_Loans!B39="","",Agent09_Loans!K39)</f>
        <v/>
      </c>
      <c r="L1627" s="40" t="str">
        <f>IF(Agent09_Loans!B39="","",Agent09_Loans!L39)</f>
        <v/>
      </c>
      <c r="M1627" s="40" t="str">
        <f>IFERROR(IF(Agent09_Loans!B39="","",YEAR(Agent09_Loans!D39)),"")</f>
        <v/>
      </c>
    </row>
    <row r="1628" spans="1:13" ht="18" customHeight="1" x14ac:dyDescent="0.25">
      <c r="A1628" s="40" t="str">
        <f>IF(Agent09_Loans!B40="","",Agent09_Loans!A40)</f>
        <v/>
      </c>
      <c r="B1628" s="40" t="str">
        <f>IF(Agent09_Loans!B40="","",Agent09_Loans!B40)</f>
        <v/>
      </c>
      <c r="C1628" s="40" t="str">
        <f>IF(Agent09_Loans!B40="","",Agent09_Loans!C40)</f>
        <v/>
      </c>
      <c r="D1628" s="41" t="str">
        <f>IF(Agent09_Loans!B40="","",Agent09_Loans!D40)</f>
        <v/>
      </c>
      <c r="E1628" s="43" t="str">
        <f>IF(Agent09_Loans!B40="","",Agent09_Loans!E40)</f>
        <v/>
      </c>
      <c r="F1628" s="40" t="str">
        <f>IF(Agent09_Loans!B40="","",Agent09_Loans!F40)</f>
        <v/>
      </c>
      <c r="G1628" s="40" t="str">
        <f>IF(Agent09_Loans!B40="","",Agent09_Loans!G40)</f>
        <v/>
      </c>
      <c r="H1628" s="40" t="str">
        <f>IF(Agent09_Loans!B40="","",Agent09_Loans!H40)</f>
        <v/>
      </c>
      <c r="I1628" s="43" t="str">
        <f>IF(Agent09_Loans!B40="","",Agent09_Loans!I40)</f>
        <v/>
      </c>
      <c r="J1628" s="43" t="str">
        <f>IF(Agent09_Loans!B40="","",Agent09_Loans!J40)</f>
        <v/>
      </c>
      <c r="K1628" s="40" t="str">
        <f>IF(Agent09_Loans!B40="","",Agent09_Loans!K40)</f>
        <v/>
      </c>
      <c r="L1628" s="40" t="str">
        <f>IF(Agent09_Loans!B40="","",Agent09_Loans!L40)</f>
        <v/>
      </c>
      <c r="M1628" s="40" t="str">
        <f>IFERROR(IF(Agent09_Loans!B40="","",YEAR(Agent09_Loans!D40)),"")</f>
        <v/>
      </c>
    </row>
    <row r="1629" spans="1:13" ht="18" customHeight="1" x14ac:dyDescent="0.25">
      <c r="A1629" s="40" t="str">
        <f>IF(Agent09_Loans!B41="","",Agent09_Loans!A41)</f>
        <v/>
      </c>
      <c r="B1629" s="40" t="str">
        <f>IF(Agent09_Loans!B41="","",Agent09_Loans!B41)</f>
        <v/>
      </c>
      <c r="C1629" s="40" t="str">
        <f>IF(Agent09_Loans!B41="","",Agent09_Loans!C41)</f>
        <v/>
      </c>
      <c r="D1629" s="41" t="str">
        <f>IF(Agent09_Loans!B41="","",Agent09_Loans!D41)</f>
        <v/>
      </c>
      <c r="E1629" s="43" t="str">
        <f>IF(Agent09_Loans!B41="","",Agent09_Loans!E41)</f>
        <v/>
      </c>
      <c r="F1629" s="40" t="str">
        <f>IF(Agent09_Loans!B41="","",Agent09_Loans!F41)</f>
        <v/>
      </c>
      <c r="G1629" s="40" t="str">
        <f>IF(Agent09_Loans!B41="","",Agent09_Loans!G41)</f>
        <v/>
      </c>
      <c r="H1629" s="40" t="str">
        <f>IF(Agent09_Loans!B41="","",Agent09_Loans!H41)</f>
        <v/>
      </c>
      <c r="I1629" s="43" t="str">
        <f>IF(Agent09_Loans!B41="","",Agent09_Loans!I41)</f>
        <v/>
      </c>
      <c r="J1629" s="43" t="str">
        <f>IF(Agent09_Loans!B41="","",Agent09_Loans!J41)</f>
        <v/>
      </c>
      <c r="K1629" s="40" t="str">
        <f>IF(Agent09_Loans!B41="","",Agent09_Loans!K41)</f>
        <v/>
      </c>
      <c r="L1629" s="40" t="str">
        <f>IF(Agent09_Loans!B41="","",Agent09_Loans!L41)</f>
        <v/>
      </c>
      <c r="M1629" s="40" t="str">
        <f>IFERROR(IF(Agent09_Loans!B41="","",YEAR(Agent09_Loans!D41)),"")</f>
        <v/>
      </c>
    </row>
    <row r="1630" spans="1:13" ht="18" customHeight="1" x14ac:dyDescent="0.25">
      <c r="A1630" s="40" t="str">
        <f>IF(Agent09_Loans!B42="","",Agent09_Loans!A42)</f>
        <v/>
      </c>
      <c r="B1630" s="40" t="str">
        <f>IF(Agent09_Loans!B42="","",Agent09_Loans!B42)</f>
        <v/>
      </c>
      <c r="C1630" s="40" t="str">
        <f>IF(Agent09_Loans!B42="","",Agent09_Loans!C42)</f>
        <v/>
      </c>
      <c r="D1630" s="41" t="str">
        <f>IF(Agent09_Loans!B42="","",Agent09_Loans!D42)</f>
        <v/>
      </c>
      <c r="E1630" s="43" t="str">
        <f>IF(Agent09_Loans!B42="","",Agent09_Loans!E42)</f>
        <v/>
      </c>
      <c r="F1630" s="40" t="str">
        <f>IF(Agent09_Loans!B42="","",Agent09_Loans!F42)</f>
        <v/>
      </c>
      <c r="G1630" s="40" t="str">
        <f>IF(Agent09_Loans!B42="","",Agent09_Loans!G42)</f>
        <v/>
      </c>
      <c r="H1630" s="40" t="str">
        <f>IF(Agent09_Loans!B42="","",Agent09_Loans!H42)</f>
        <v/>
      </c>
      <c r="I1630" s="43" t="str">
        <f>IF(Agent09_Loans!B42="","",Agent09_Loans!I42)</f>
        <v/>
      </c>
      <c r="J1630" s="43" t="str">
        <f>IF(Agent09_Loans!B42="","",Agent09_Loans!J42)</f>
        <v/>
      </c>
      <c r="K1630" s="40" t="str">
        <f>IF(Agent09_Loans!B42="","",Agent09_Loans!K42)</f>
        <v/>
      </c>
      <c r="L1630" s="40" t="str">
        <f>IF(Agent09_Loans!B42="","",Agent09_Loans!L42)</f>
        <v/>
      </c>
      <c r="M1630" s="40" t="str">
        <f>IFERROR(IF(Agent09_Loans!B42="","",YEAR(Agent09_Loans!D42)),"")</f>
        <v/>
      </c>
    </row>
    <row r="1631" spans="1:13" ht="18" customHeight="1" x14ac:dyDescent="0.25">
      <c r="A1631" s="40" t="str">
        <f>IF(Agent09_Loans!B43="","",Agent09_Loans!A43)</f>
        <v/>
      </c>
      <c r="B1631" s="40" t="str">
        <f>IF(Agent09_Loans!B43="","",Agent09_Loans!B43)</f>
        <v/>
      </c>
      <c r="C1631" s="40" t="str">
        <f>IF(Agent09_Loans!B43="","",Agent09_Loans!C43)</f>
        <v/>
      </c>
      <c r="D1631" s="41" t="str">
        <f>IF(Agent09_Loans!B43="","",Agent09_Loans!D43)</f>
        <v/>
      </c>
      <c r="E1631" s="43" t="str">
        <f>IF(Agent09_Loans!B43="","",Agent09_Loans!E43)</f>
        <v/>
      </c>
      <c r="F1631" s="40" t="str">
        <f>IF(Agent09_Loans!B43="","",Agent09_Loans!F43)</f>
        <v/>
      </c>
      <c r="G1631" s="40" t="str">
        <f>IF(Agent09_Loans!B43="","",Agent09_Loans!G43)</f>
        <v/>
      </c>
      <c r="H1631" s="40" t="str">
        <f>IF(Agent09_Loans!B43="","",Agent09_Loans!H43)</f>
        <v/>
      </c>
      <c r="I1631" s="43" t="str">
        <f>IF(Agent09_Loans!B43="","",Agent09_Loans!I43)</f>
        <v/>
      </c>
      <c r="J1631" s="43" t="str">
        <f>IF(Agent09_Loans!B43="","",Agent09_Loans!J43)</f>
        <v/>
      </c>
      <c r="K1631" s="40" t="str">
        <f>IF(Agent09_Loans!B43="","",Agent09_Loans!K43)</f>
        <v/>
      </c>
      <c r="L1631" s="40" t="str">
        <f>IF(Agent09_Loans!B43="","",Agent09_Loans!L43)</f>
        <v/>
      </c>
      <c r="M1631" s="40" t="str">
        <f>IFERROR(IF(Agent09_Loans!B43="","",YEAR(Agent09_Loans!D43)),"")</f>
        <v/>
      </c>
    </row>
    <row r="1632" spans="1:13" ht="18" customHeight="1" x14ac:dyDescent="0.25">
      <c r="A1632" s="40" t="str">
        <f>IF(Agent09_Loans!B44="","",Agent09_Loans!A44)</f>
        <v/>
      </c>
      <c r="B1632" s="40" t="str">
        <f>IF(Agent09_Loans!B44="","",Agent09_Loans!B44)</f>
        <v/>
      </c>
      <c r="C1632" s="40" t="str">
        <f>IF(Agent09_Loans!B44="","",Agent09_Loans!C44)</f>
        <v/>
      </c>
      <c r="D1632" s="41" t="str">
        <f>IF(Agent09_Loans!B44="","",Agent09_Loans!D44)</f>
        <v/>
      </c>
      <c r="E1632" s="43" t="str">
        <f>IF(Agent09_Loans!B44="","",Agent09_Loans!E44)</f>
        <v/>
      </c>
      <c r="F1632" s="40" t="str">
        <f>IF(Agent09_Loans!B44="","",Agent09_Loans!F44)</f>
        <v/>
      </c>
      <c r="G1632" s="40" t="str">
        <f>IF(Agent09_Loans!B44="","",Agent09_Loans!G44)</f>
        <v/>
      </c>
      <c r="H1632" s="40" t="str">
        <f>IF(Agent09_Loans!B44="","",Agent09_Loans!H44)</f>
        <v/>
      </c>
      <c r="I1632" s="43" t="str">
        <f>IF(Agent09_Loans!B44="","",Agent09_Loans!I44)</f>
        <v/>
      </c>
      <c r="J1632" s="43" t="str">
        <f>IF(Agent09_Loans!B44="","",Agent09_Loans!J44)</f>
        <v/>
      </c>
      <c r="K1632" s="40" t="str">
        <f>IF(Agent09_Loans!B44="","",Agent09_Loans!K44)</f>
        <v/>
      </c>
      <c r="L1632" s="40" t="str">
        <f>IF(Agent09_Loans!B44="","",Agent09_Loans!L44)</f>
        <v/>
      </c>
      <c r="M1632" s="40" t="str">
        <f>IFERROR(IF(Agent09_Loans!B44="","",YEAR(Agent09_Loans!D44)),"")</f>
        <v/>
      </c>
    </row>
    <row r="1633" spans="1:13" ht="18" customHeight="1" x14ac:dyDescent="0.25">
      <c r="A1633" s="40" t="str">
        <f>IF(Agent09_Loans!B45="","",Agent09_Loans!A45)</f>
        <v/>
      </c>
      <c r="B1633" s="40" t="str">
        <f>IF(Agent09_Loans!B45="","",Agent09_Loans!B45)</f>
        <v/>
      </c>
      <c r="C1633" s="40" t="str">
        <f>IF(Agent09_Loans!B45="","",Agent09_Loans!C45)</f>
        <v/>
      </c>
      <c r="D1633" s="41" t="str">
        <f>IF(Agent09_Loans!B45="","",Agent09_Loans!D45)</f>
        <v/>
      </c>
      <c r="E1633" s="43" t="str">
        <f>IF(Agent09_Loans!B45="","",Agent09_Loans!E45)</f>
        <v/>
      </c>
      <c r="F1633" s="40" t="str">
        <f>IF(Agent09_Loans!B45="","",Agent09_Loans!F45)</f>
        <v/>
      </c>
      <c r="G1633" s="40" t="str">
        <f>IF(Agent09_Loans!B45="","",Agent09_Loans!G45)</f>
        <v/>
      </c>
      <c r="H1633" s="40" t="str">
        <f>IF(Agent09_Loans!B45="","",Agent09_Loans!H45)</f>
        <v/>
      </c>
      <c r="I1633" s="43" t="str">
        <f>IF(Agent09_Loans!B45="","",Agent09_Loans!I45)</f>
        <v/>
      </c>
      <c r="J1633" s="43" t="str">
        <f>IF(Agent09_Loans!B45="","",Agent09_Loans!J45)</f>
        <v/>
      </c>
      <c r="K1633" s="40" t="str">
        <f>IF(Agent09_Loans!B45="","",Agent09_Loans!K45)</f>
        <v/>
      </c>
      <c r="L1633" s="40" t="str">
        <f>IF(Agent09_Loans!B45="","",Agent09_Loans!L45)</f>
        <v/>
      </c>
      <c r="M1633" s="40" t="str">
        <f>IFERROR(IF(Agent09_Loans!B45="","",YEAR(Agent09_Loans!D45)),"")</f>
        <v/>
      </c>
    </row>
    <row r="1634" spans="1:13" ht="18" customHeight="1" x14ac:dyDescent="0.25">
      <c r="A1634" s="40" t="str">
        <f>IF(Agent09_Loans!B46="","",Agent09_Loans!A46)</f>
        <v/>
      </c>
      <c r="B1634" s="40" t="str">
        <f>IF(Agent09_Loans!B46="","",Agent09_Loans!B46)</f>
        <v/>
      </c>
      <c r="C1634" s="40" t="str">
        <f>IF(Agent09_Loans!B46="","",Agent09_Loans!C46)</f>
        <v/>
      </c>
      <c r="D1634" s="41" t="str">
        <f>IF(Agent09_Loans!B46="","",Agent09_Loans!D46)</f>
        <v/>
      </c>
      <c r="E1634" s="43" t="str">
        <f>IF(Agent09_Loans!B46="","",Agent09_Loans!E46)</f>
        <v/>
      </c>
      <c r="F1634" s="40" t="str">
        <f>IF(Agent09_Loans!B46="","",Agent09_Loans!F46)</f>
        <v/>
      </c>
      <c r="G1634" s="40" t="str">
        <f>IF(Agent09_Loans!B46="","",Agent09_Loans!G46)</f>
        <v/>
      </c>
      <c r="H1634" s="40" t="str">
        <f>IF(Agent09_Loans!B46="","",Agent09_Loans!H46)</f>
        <v/>
      </c>
      <c r="I1634" s="43" t="str">
        <f>IF(Agent09_Loans!B46="","",Agent09_Loans!I46)</f>
        <v/>
      </c>
      <c r="J1634" s="43" t="str">
        <f>IF(Agent09_Loans!B46="","",Agent09_Loans!J46)</f>
        <v/>
      </c>
      <c r="K1634" s="40" t="str">
        <f>IF(Agent09_Loans!B46="","",Agent09_Loans!K46)</f>
        <v/>
      </c>
      <c r="L1634" s="40" t="str">
        <f>IF(Agent09_Loans!B46="","",Agent09_Loans!L46)</f>
        <v/>
      </c>
      <c r="M1634" s="40" t="str">
        <f>IFERROR(IF(Agent09_Loans!B46="","",YEAR(Agent09_Loans!D46)),"")</f>
        <v/>
      </c>
    </row>
    <row r="1635" spans="1:13" ht="18" customHeight="1" x14ac:dyDescent="0.25">
      <c r="A1635" s="40" t="str">
        <f>IF(Agent09_Loans!B47="","",Agent09_Loans!A47)</f>
        <v/>
      </c>
      <c r="B1635" s="40" t="str">
        <f>IF(Agent09_Loans!B47="","",Agent09_Loans!B47)</f>
        <v/>
      </c>
      <c r="C1635" s="40" t="str">
        <f>IF(Agent09_Loans!B47="","",Agent09_Loans!C47)</f>
        <v/>
      </c>
      <c r="D1635" s="41" t="str">
        <f>IF(Agent09_Loans!B47="","",Agent09_Loans!D47)</f>
        <v/>
      </c>
      <c r="E1635" s="43" t="str">
        <f>IF(Agent09_Loans!B47="","",Agent09_Loans!E47)</f>
        <v/>
      </c>
      <c r="F1635" s="40" t="str">
        <f>IF(Agent09_Loans!B47="","",Agent09_Loans!F47)</f>
        <v/>
      </c>
      <c r="G1635" s="40" t="str">
        <f>IF(Agent09_Loans!B47="","",Agent09_Loans!G47)</f>
        <v/>
      </c>
      <c r="H1635" s="40" t="str">
        <f>IF(Agent09_Loans!B47="","",Agent09_Loans!H47)</f>
        <v/>
      </c>
      <c r="I1635" s="43" t="str">
        <f>IF(Agent09_Loans!B47="","",Agent09_Loans!I47)</f>
        <v/>
      </c>
      <c r="J1635" s="43" t="str">
        <f>IF(Agent09_Loans!B47="","",Agent09_Loans!J47)</f>
        <v/>
      </c>
      <c r="K1635" s="40" t="str">
        <f>IF(Agent09_Loans!B47="","",Agent09_Loans!K47)</f>
        <v/>
      </c>
      <c r="L1635" s="40" t="str">
        <f>IF(Agent09_Loans!B47="","",Agent09_Loans!L47)</f>
        <v/>
      </c>
      <c r="M1635" s="40" t="str">
        <f>IFERROR(IF(Agent09_Loans!B47="","",YEAR(Agent09_Loans!D47)),"")</f>
        <v/>
      </c>
    </row>
    <row r="1636" spans="1:13" ht="18" customHeight="1" x14ac:dyDescent="0.25">
      <c r="A1636" s="40" t="str">
        <f>IF(Agent09_Loans!B48="","",Agent09_Loans!A48)</f>
        <v/>
      </c>
      <c r="B1636" s="40" t="str">
        <f>IF(Agent09_Loans!B48="","",Agent09_Loans!B48)</f>
        <v/>
      </c>
      <c r="C1636" s="40" t="str">
        <f>IF(Agent09_Loans!B48="","",Agent09_Loans!C48)</f>
        <v/>
      </c>
      <c r="D1636" s="41" t="str">
        <f>IF(Agent09_Loans!B48="","",Agent09_Loans!D48)</f>
        <v/>
      </c>
      <c r="E1636" s="43" t="str">
        <f>IF(Agent09_Loans!B48="","",Agent09_Loans!E48)</f>
        <v/>
      </c>
      <c r="F1636" s="40" t="str">
        <f>IF(Agent09_Loans!B48="","",Agent09_Loans!F48)</f>
        <v/>
      </c>
      <c r="G1636" s="40" t="str">
        <f>IF(Agent09_Loans!B48="","",Agent09_Loans!G48)</f>
        <v/>
      </c>
      <c r="H1636" s="40" t="str">
        <f>IF(Agent09_Loans!B48="","",Agent09_Loans!H48)</f>
        <v/>
      </c>
      <c r="I1636" s="43" t="str">
        <f>IF(Agent09_Loans!B48="","",Agent09_Loans!I48)</f>
        <v/>
      </c>
      <c r="J1636" s="43" t="str">
        <f>IF(Agent09_Loans!B48="","",Agent09_Loans!J48)</f>
        <v/>
      </c>
      <c r="K1636" s="40" t="str">
        <f>IF(Agent09_Loans!B48="","",Agent09_Loans!K48)</f>
        <v/>
      </c>
      <c r="L1636" s="40" t="str">
        <f>IF(Agent09_Loans!B48="","",Agent09_Loans!L48)</f>
        <v/>
      </c>
      <c r="M1636" s="40" t="str">
        <f>IFERROR(IF(Agent09_Loans!B48="","",YEAR(Agent09_Loans!D48)),"")</f>
        <v/>
      </c>
    </row>
    <row r="1637" spans="1:13" ht="18" customHeight="1" x14ac:dyDescent="0.25">
      <c r="A1637" s="40" t="str">
        <f>IF(Agent09_Loans!B49="","",Agent09_Loans!A49)</f>
        <v/>
      </c>
      <c r="B1637" s="40" t="str">
        <f>IF(Agent09_Loans!B49="","",Agent09_Loans!B49)</f>
        <v/>
      </c>
      <c r="C1637" s="40" t="str">
        <f>IF(Agent09_Loans!B49="","",Agent09_Loans!C49)</f>
        <v/>
      </c>
      <c r="D1637" s="41" t="str">
        <f>IF(Agent09_Loans!B49="","",Agent09_Loans!D49)</f>
        <v/>
      </c>
      <c r="E1637" s="43" t="str">
        <f>IF(Agent09_Loans!B49="","",Agent09_Loans!E49)</f>
        <v/>
      </c>
      <c r="F1637" s="40" t="str">
        <f>IF(Agent09_Loans!B49="","",Agent09_Loans!F49)</f>
        <v/>
      </c>
      <c r="G1637" s="40" t="str">
        <f>IF(Agent09_Loans!B49="","",Agent09_Loans!G49)</f>
        <v/>
      </c>
      <c r="H1637" s="40" t="str">
        <f>IF(Agent09_Loans!B49="","",Agent09_Loans!H49)</f>
        <v/>
      </c>
      <c r="I1637" s="43" t="str">
        <f>IF(Agent09_Loans!B49="","",Agent09_Loans!I49)</f>
        <v/>
      </c>
      <c r="J1637" s="43" t="str">
        <f>IF(Agent09_Loans!B49="","",Agent09_Loans!J49)</f>
        <v/>
      </c>
      <c r="K1637" s="40" t="str">
        <f>IF(Agent09_Loans!B49="","",Agent09_Loans!K49)</f>
        <v/>
      </c>
      <c r="L1637" s="40" t="str">
        <f>IF(Agent09_Loans!B49="","",Agent09_Loans!L49)</f>
        <v/>
      </c>
      <c r="M1637" s="40" t="str">
        <f>IFERROR(IF(Agent09_Loans!B49="","",YEAR(Agent09_Loans!D49)),"")</f>
        <v/>
      </c>
    </row>
    <row r="1638" spans="1:13" ht="18" customHeight="1" x14ac:dyDescent="0.25">
      <c r="A1638" s="40" t="str">
        <f>IF(Agent09_Loans!B50="","",Agent09_Loans!A50)</f>
        <v/>
      </c>
      <c r="B1638" s="40" t="str">
        <f>IF(Agent09_Loans!B50="","",Agent09_Loans!B50)</f>
        <v/>
      </c>
      <c r="C1638" s="40" t="str">
        <f>IF(Agent09_Loans!B50="","",Agent09_Loans!C50)</f>
        <v/>
      </c>
      <c r="D1638" s="41" t="str">
        <f>IF(Agent09_Loans!B50="","",Agent09_Loans!D50)</f>
        <v/>
      </c>
      <c r="E1638" s="43" t="str">
        <f>IF(Agent09_Loans!B50="","",Agent09_Loans!E50)</f>
        <v/>
      </c>
      <c r="F1638" s="40" t="str">
        <f>IF(Agent09_Loans!B50="","",Agent09_Loans!F50)</f>
        <v/>
      </c>
      <c r="G1638" s="40" t="str">
        <f>IF(Agent09_Loans!B50="","",Agent09_Loans!G50)</f>
        <v/>
      </c>
      <c r="H1638" s="40" t="str">
        <f>IF(Agent09_Loans!B50="","",Agent09_Loans!H50)</f>
        <v/>
      </c>
      <c r="I1638" s="43" t="str">
        <f>IF(Agent09_Loans!B50="","",Agent09_Loans!I50)</f>
        <v/>
      </c>
      <c r="J1638" s="43" t="str">
        <f>IF(Agent09_Loans!B50="","",Agent09_Loans!J50)</f>
        <v/>
      </c>
      <c r="K1638" s="40" t="str">
        <f>IF(Agent09_Loans!B50="","",Agent09_Loans!K50)</f>
        <v/>
      </c>
      <c r="L1638" s="40" t="str">
        <f>IF(Agent09_Loans!B50="","",Agent09_Loans!L50)</f>
        <v/>
      </c>
      <c r="M1638" s="40" t="str">
        <f>IFERROR(IF(Agent09_Loans!B50="","",YEAR(Agent09_Loans!D50)),"")</f>
        <v/>
      </c>
    </row>
    <row r="1639" spans="1:13" ht="18" customHeight="1" x14ac:dyDescent="0.25">
      <c r="A1639" s="40" t="str">
        <f>IF(Agent09_Loans!B51="","",Agent09_Loans!A51)</f>
        <v/>
      </c>
      <c r="B1639" s="40" t="str">
        <f>IF(Agent09_Loans!B51="","",Agent09_Loans!B51)</f>
        <v/>
      </c>
      <c r="C1639" s="40" t="str">
        <f>IF(Agent09_Loans!B51="","",Agent09_Loans!C51)</f>
        <v/>
      </c>
      <c r="D1639" s="41" t="str">
        <f>IF(Agent09_Loans!B51="","",Agent09_Loans!D51)</f>
        <v/>
      </c>
      <c r="E1639" s="43" t="str">
        <f>IF(Agent09_Loans!B51="","",Agent09_Loans!E51)</f>
        <v/>
      </c>
      <c r="F1639" s="40" t="str">
        <f>IF(Agent09_Loans!B51="","",Agent09_Loans!F51)</f>
        <v/>
      </c>
      <c r="G1639" s="40" t="str">
        <f>IF(Agent09_Loans!B51="","",Agent09_Loans!G51)</f>
        <v/>
      </c>
      <c r="H1639" s="40" t="str">
        <f>IF(Agent09_Loans!B51="","",Agent09_Loans!H51)</f>
        <v/>
      </c>
      <c r="I1639" s="43" t="str">
        <f>IF(Agent09_Loans!B51="","",Agent09_Loans!I51)</f>
        <v/>
      </c>
      <c r="J1639" s="43" t="str">
        <f>IF(Agent09_Loans!B51="","",Agent09_Loans!J51)</f>
        <v/>
      </c>
      <c r="K1639" s="40" t="str">
        <f>IF(Agent09_Loans!B51="","",Agent09_Loans!K51)</f>
        <v/>
      </c>
      <c r="L1639" s="40" t="str">
        <f>IF(Agent09_Loans!B51="","",Agent09_Loans!L51)</f>
        <v/>
      </c>
      <c r="M1639" s="40" t="str">
        <f>IFERROR(IF(Agent09_Loans!B51="","",YEAR(Agent09_Loans!D51)),"")</f>
        <v/>
      </c>
    </row>
    <row r="1640" spans="1:13" ht="18" customHeight="1" x14ac:dyDescent="0.25">
      <c r="A1640" s="40" t="str">
        <f>IF(Agent09_Loans!B52="","",Agent09_Loans!A52)</f>
        <v/>
      </c>
      <c r="B1640" s="40" t="str">
        <f>IF(Agent09_Loans!B52="","",Agent09_Loans!B52)</f>
        <v/>
      </c>
      <c r="C1640" s="40" t="str">
        <f>IF(Agent09_Loans!B52="","",Agent09_Loans!C52)</f>
        <v/>
      </c>
      <c r="D1640" s="41" t="str">
        <f>IF(Agent09_Loans!B52="","",Agent09_Loans!D52)</f>
        <v/>
      </c>
      <c r="E1640" s="43" t="str">
        <f>IF(Agent09_Loans!B52="","",Agent09_Loans!E52)</f>
        <v/>
      </c>
      <c r="F1640" s="40" t="str">
        <f>IF(Agent09_Loans!B52="","",Agent09_Loans!F52)</f>
        <v/>
      </c>
      <c r="G1640" s="40" t="str">
        <f>IF(Agent09_Loans!B52="","",Agent09_Loans!G52)</f>
        <v/>
      </c>
      <c r="H1640" s="40" t="str">
        <f>IF(Agent09_Loans!B52="","",Agent09_Loans!H52)</f>
        <v/>
      </c>
      <c r="I1640" s="43" t="str">
        <f>IF(Agent09_Loans!B52="","",Agent09_Loans!I52)</f>
        <v/>
      </c>
      <c r="J1640" s="43" t="str">
        <f>IF(Agent09_Loans!B52="","",Agent09_Loans!J52)</f>
        <v/>
      </c>
      <c r="K1640" s="40" t="str">
        <f>IF(Agent09_Loans!B52="","",Agent09_Loans!K52)</f>
        <v/>
      </c>
      <c r="L1640" s="40" t="str">
        <f>IF(Agent09_Loans!B52="","",Agent09_Loans!L52)</f>
        <v/>
      </c>
      <c r="M1640" s="40" t="str">
        <f>IFERROR(IF(Agent09_Loans!B52="","",YEAR(Agent09_Loans!D52)),"")</f>
        <v/>
      </c>
    </row>
    <row r="1641" spans="1:13" ht="18" customHeight="1" x14ac:dyDescent="0.25">
      <c r="A1641" s="40" t="str">
        <f>IF(Agent09_Loans!B53="","",Agent09_Loans!A53)</f>
        <v/>
      </c>
      <c r="B1641" s="40" t="str">
        <f>IF(Agent09_Loans!B53="","",Agent09_Loans!B53)</f>
        <v/>
      </c>
      <c r="C1641" s="40" t="str">
        <f>IF(Agent09_Loans!B53="","",Agent09_Loans!C53)</f>
        <v/>
      </c>
      <c r="D1641" s="41" t="str">
        <f>IF(Agent09_Loans!B53="","",Agent09_Loans!D53)</f>
        <v/>
      </c>
      <c r="E1641" s="43" t="str">
        <f>IF(Agent09_Loans!B53="","",Agent09_Loans!E53)</f>
        <v/>
      </c>
      <c r="F1641" s="40" t="str">
        <f>IF(Agent09_Loans!B53="","",Agent09_Loans!F53)</f>
        <v/>
      </c>
      <c r="G1641" s="40" t="str">
        <f>IF(Agent09_Loans!B53="","",Agent09_Loans!G53)</f>
        <v/>
      </c>
      <c r="H1641" s="40" t="str">
        <f>IF(Agent09_Loans!B53="","",Agent09_Loans!H53)</f>
        <v/>
      </c>
      <c r="I1641" s="43" t="str">
        <f>IF(Agent09_Loans!B53="","",Agent09_Loans!I53)</f>
        <v/>
      </c>
      <c r="J1641" s="43" t="str">
        <f>IF(Agent09_Loans!B53="","",Agent09_Loans!J53)</f>
        <v/>
      </c>
      <c r="K1641" s="40" t="str">
        <f>IF(Agent09_Loans!B53="","",Agent09_Loans!K53)</f>
        <v/>
      </c>
      <c r="L1641" s="40" t="str">
        <f>IF(Agent09_Loans!B53="","",Agent09_Loans!L53)</f>
        <v/>
      </c>
      <c r="M1641" s="40" t="str">
        <f>IFERROR(IF(Agent09_Loans!B53="","",YEAR(Agent09_Loans!D53)),"")</f>
        <v/>
      </c>
    </row>
    <row r="1642" spans="1:13" ht="18" customHeight="1" x14ac:dyDescent="0.25">
      <c r="A1642" s="40" t="str">
        <f>IF(Agent09_Loans!B54="","",Agent09_Loans!A54)</f>
        <v/>
      </c>
      <c r="B1642" s="40" t="str">
        <f>IF(Agent09_Loans!B54="","",Agent09_Loans!B54)</f>
        <v/>
      </c>
      <c r="C1642" s="40" t="str">
        <f>IF(Agent09_Loans!B54="","",Agent09_Loans!C54)</f>
        <v/>
      </c>
      <c r="D1642" s="41" t="str">
        <f>IF(Agent09_Loans!B54="","",Agent09_Loans!D54)</f>
        <v/>
      </c>
      <c r="E1642" s="43" t="str">
        <f>IF(Agent09_Loans!B54="","",Agent09_Loans!E54)</f>
        <v/>
      </c>
      <c r="F1642" s="40" t="str">
        <f>IF(Agent09_Loans!B54="","",Agent09_Loans!F54)</f>
        <v/>
      </c>
      <c r="G1642" s="40" t="str">
        <f>IF(Agent09_Loans!B54="","",Agent09_Loans!G54)</f>
        <v/>
      </c>
      <c r="H1642" s="40" t="str">
        <f>IF(Agent09_Loans!B54="","",Agent09_Loans!H54)</f>
        <v/>
      </c>
      <c r="I1642" s="43" t="str">
        <f>IF(Agent09_Loans!B54="","",Agent09_Loans!I54)</f>
        <v/>
      </c>
      <c r="J1642" s="43" t="str">
        <f>IF(Agent09_Loans!B54="","",Agent09_Loans!J54)</f>
        <v/>
      </c>
      <c r="K1642" s="40" t="str">
        <f>IF(Agent09_Loans!B54="","",Agent09_Loans!K54)</f>
        <v/>
      </c>
      <c r="L1642" s="40" t="str">
        <f>IF(Agent09_Loans!B54="","",Agent09_Loans!L54)</f>
        <v/>
      </c>
      <c r="M1642" s="40" t="str">
        <f>IFERROR(IF(Agent09_Loans!B54="","",YEAR(Agent09_Loans!D54)),"")</f>
        <v/>
      </c>
    </row>
    <row r="1643" spans="1:13" ht="18" customHeight="1" x14ac:dyDescent="0.25">
      <c r="A1643" s="40" t="str">
        <f>IF(Agent09_Loans!B55="","",Agent09_Loans!A55)</f>
        <v/>
      </c>
      <c r="B1643" s="40" t="str">
        <f>IF(Agent09_Loans!B55="","",Agent09_Loans!B55)</f>
        <v/>
      </c>
      <c r="C1643" s="40" t="str">
        <f>IF(Agent09_Loans!B55="","",Agent09_Loans!C55)</f>
        <v/>
      </c>
      <c r="D1643" s="41" t="str">
        <f>IF(Agent09_Loans!B55="","",Agent09_Loans!D55)</f>
        <v/>
      </c>
      <c r="E1643" s="43" t="str">
        <f>IF(Agent09_Loans!B55="","",Agent09_Loans!E55)</f>
        <v/>
      </c>
      <c r="F1643" s="40" t="str">
        <f>IF(Agent09_Loans!B55="","",Agent09_Loans!F55)</f>
        <v/>
      </c>
      <c r="G1643" s="40" t="str">
        <f>IF(Agent09_Loans!B55="","",Agent09_Loans!G55)</f>
        <v/>
      </c>
      <c r="H1643" s="40" t="str">
        <f>IF(Agent09_Loans!B55="","",Agent09_Loans!H55)</f>
        <v/>
      </c>
      <c r="I1643" s="43" t="str">
        <f>IF(Agent09_Loans!B55="","",Agent09_Loans!I55)</f>
        <v/>
      </c>
      <c r="J1643" s="43" t="str">
        <f>IF(Agent09_Loans!B55="","",Agent09_Loans!J55)</f>
        <v/>
      </c>
      <c r="K1643" s="40" t="str">
        <f>IF(Agent09_Loans!B55="","",Agent09_Loans!K55)</f>
        <v/>
      </c>
      <c r="L1643" s="40" t="str">
        <f>IF(Agent09_Loans!B55="","",Agent09_Loans!L55)</f>
        <v/>
      </c>
      <c r="M1643" s="40" t="str">
        <f>IFERROR(IF(Agent09_Loans!B55="","",YEAR(Agent09_Loans!D55)),"")</f>
        <v/>
      </c>
    </row>
    <row r="1644" spans="1:13" ht="18" customHeight="1" x14ac:dyDescent="0.25">
      <c r="A1644" s="40" t="str">
        <f>IF(Agent09_Loans!B56="","",Agent09_Loans!A56)</f>
        <v/>
      </c>
      <c r="B1644" s="40" t="str">
        <f>IF(Agent09_Loans!B56="","",Agent09_Loans!B56)</f>
        <v/>
      </c>
      <c r="C1644" s="40" t="str">
        <f>IF(Agent09_Loans!B56="","",Agent09_Loans!C56)</f>
        <v/>
      </c>
      <c r="D1644" s="41" t="str">
        <f>IF(Agent09_Loans!B56="","",Agent09_Loans!D56)</f>
        <v/>
      </c>
      <c r="E1644" s="43" t="str">
        <f>IF(Agent09_Loans!B56="","",Agent09_Loans!E56)</f>
        <v/>
      </c>
      <c r="F1644" s="40" t="str">
        <f>IF(Agent09_Loans!B56="","",Agent09_Loans!F56)</f>
        <v/>
      </c>
      <c r="G1644" s="40" t="str">
        <f>IF(Agent09_Loans!B56="","",Agent09_Loans!G56)</f>
        <v/>
      </c>
      <c r="H1644" s="40" t="str">
        <f>IF(Agent09_Loans!B56="","",Agent09_Loans!H56)</f>
        <v/>
      </c>
      <c r="I1644" s="43" t="str">
        <f>IF(Agent09_Loans!B56="","",Agent09_Loans!I56)</f>
        <v/>
      </c>
      <c r="J1644" s="43" t="str">
        <f>IF(Agent09_Loans!B56="","",Agent09_Loans!J56)</f>
        <v/>
      </c>
      <c r="K1644" s="40" t="str">
        <f>IF(Agent09_Loans!B56="","",Agent09_Loans!K56)</f>
        <v/>
      </c>
      <c r="L1644" s="40" t="str">
        <f>IF(Agent09_Loans!B56="","",Agent09_Loans!L56)</f>
        <v/>
      </c>
      <c r="M1644" s="40" t="str">
        <f>IFERROR(IF(Agent09_Loans!B56="","",YEAR(Agent09_Loans!D56)),"")</f>
        <v/>
      </c>
    </row>
    <row r="1645" spans="1:13" ht="18" customHeight="1" x14ac:dyDescent="0.25">
      <c r="A1645" s="40" t="str">
        <f>IF(Agent09_Loans!B57="","",Agent09_Loans!A57)</f>
        <v/>
      </c>
      <c r="B1645" s="40" t="str">
        <f>IF(Agent09_Loans!B57="","",Agent09_Loans!B57)</f>
        <v/>
      </c>
      <c r="C1645" s="40" t="str">
        <f>IF(Agent09_Loans!B57="","",Agent09_Loans!C57)</f>
        <v/>
      </c>
      <c r="D1645" s="41" t="str">
        <f>IF(Agent09_Loans!B57="","",Agent09_Loans!D57)</f>
        <v/>
      </c>
      <c r="E1645" s="43" t="str">
        <f>IF(Agent09_Loans!B57="","",Agent09_Loans!E57)</f>
        <v/>
      </c>
      <c r="F1645" s="40" t="str">
        <f>IF(Agent09_Loans!B57="","",Agent09_Loans!F57)</f>
        <v/>
      </c>
      <c r="G1645" s="40" t="str">
        <f>IF(Agent09_Loans!B57="","",Agent09_Loans!G57)</f>
        <v/>
      </c>
      <c r="H1645" s="40" t="str">
        <f>IF(Agent09_Loans!B57="","",Agent09_Loans!H57)</f>
        <v/>
      </c>
      <c r="I1645" s="43" t="str">
        <f>IF(Agent09_Loans!B57="","",Agent09_Loans!I57)</f>
        <v/>
      </c>
      <c r="J1645" s="43" t="str">
        <f>IF(Agent09_Loans!B57="","",Agent09_Loans!J57)</f>
        <v/>
      </c>
      <c r="K1645" s="40" t="str">
        <f>IF(Agent09_Loans!B57="","",Agent09_Loans!K57)</f>
        <v/>
      </c>
      <c r="L1645" s="40" t="str">
        <f>IF(Agent09_Loans!B57="","",Agent09_Loans!L57)</f>
        <v/>
      </c>
      <c r="M1645" s="40" t="str">
        <f>IFERROR(IF(Agent09_Loans!B57="","",YEAR(Agent09_Loans!D57)),"")</f>
        <v/>
      </c>
    </row>
    <row r="1646" spans="1:13" ht="18" customHeight="1" x14ac:dyDescent="0.25">
      <c r="A1646" s="40" t="str">
        <f>IF(Agent09_Loans!B58="","",Agent09_Loans!A58)</f>
        <v/>
      </c>
      <c r="B1646" s="40" t="str">
        <f>IF(Agent09_Loans!B58="","",Agent09_Loans!B58)</f>
        <v/>
      </c>
      <c r="C1646" s="40" t="str">
        <f>IF(Agent09_Loans!B58="","",Agent09_Loans!C58)</f>
        <v/>
      </c>
      <c r="D1646" s="41" t="str">
        <f>IF(Agent09_Loans!B58="","",Agent09_Loans!D58)</f>
        <v/>
      </c>
      <c r="E1646" s="43" t="str">
        <f>IF(Agent09_Loans!B58="","",Agent09_Loans!E58)</f>
        <v/>
      </c>
      <c r="F1646" s="40" t="str">
        <f>IF(Agent09_Loans!B58="","",Agent09_Loans!F58)</f>
        <v/>
      </c>
      <c r="G1646" s="40" t="str">
        <f>IF(Agent09_Loans!B58="","",Agent09_Loans!G58)</f>
        <v/>
      </c>
      <c r="H1646" s="40" t="str">
        <f>IF(Agent09_Loans!B58="","",Agent09_Loans!H58)</f>
        <v/>
      </c>
      <c r="I1646" s="43" t="str">
        <f>IF(Agent09_Loans!B58="","",Agent09_Loans!I58)</f>
        <v/>
      </c>
      <c r="J1646" s="43" t="str">
        <f>IF(Agent09_Loans!B58="","",Agent09_Loans!J58)</f>
        <v/>
      </c>
      <c r="K1646" s="40" t="str">
        <f>IF(Agent09_Loans!B58="","",Agent09_Loans!K58)</f>
        <v/>
      </c>
      <c r="L1646" s="40" t="str">
        <f>IF(Agent09_Loans!B58="","",Agent09_Loans!L58)</f>
        <v/>
      </c>
      <c r="M1646" s="40" t="str">
        <f>IFERROR(IF(Agent09_Loans!B58="","",YEAR(Agent09_Loans!D58)),"")</f>
        <v/>
      </c>
    </row>
    <row r="1647" spans="1:13" ht="18" customHeight="1" x14ac:dyDescent="0.25">
      <c r="A1647" s="40" t="str">
        <f>IF(Agent09_Loans!B59="","",Agent09_Loans!A59)</f>
        <v/>
      </c>
      <c r="B1647" s="40" t="str">
        <f>IF(Agent09_Loans!B59="","",Agent09_Loans!B59)</f>
        <v/>
      </c>
      <c r="C1647" s="40" t="str">
        <f>IF(Agent09_Loans!B59="","",Agent09_Loans!C59)</f>
        <v/>
      </c>
      <c r="D1647" s="41" t="str">
        <f>IF(Agent09_Loans!B59="","",Agent09_Loans!D59)</f>
        <v/>
      </c>
      <c r="E1647" s="43" t="str">
        <f>IF(Agent09_Loans!B59="","",Agent09_Loans!E59)</f>
        <v/>
      </c>
      <c r="F1647" s="40" t="str">
        <f>IF(Agent09_Loans!B59="","",Agent09_Loans!F59)</f>
        <v/>
      </c>
      <c r="G1647" s="40" t="str">
        <f>IF(Agent09_Loans!B59="","",Agent09_Loans!G59)</f>
        <v/>
      </c>
      <c r="H1647" s="40" t="str">
        <f>IF(Agent09_Loans!B59="","",Agent09_Loans!H59)</f>
        <v/>
      </c>
      <c r="I1647" s="43" t="str">
        <f>IF(Agent09_Loans!B59="","",Agent09_Loans!I59)</f>
        <v/>
      </c>
      <c r="J1647" s="43" t="str">
        <f>IF(Agent09_Loans!B59="","",Agent09_Loans!J59)</f>
        <v/>
      </c>
      <c r="K1647" s="40" t="str">
        <f>IF(Agent09_Loans!B59="","",Agent09_Loans!K59)</f>
        <v/>
      </c>
      <c r="L1647" s="40" t="str">
        <f>IF(Agent09_Loans!B59="","",Agent09_Loans!L59)</f>
        <v/>
      </c>
      <c r="M1647" s="40" t="str">
        <f>IFERROR(IF(Agent09_Loans!B59="","",YEAR(Agent09_Loans!D59)),"")</f>
        <v/>
      </c>
    </row>
    <row r="1648" spans="1:13" ht="18" customHeight="1" x14ac:dyDescent="0.25">
      <c r="A1648" s="40" t="str">
        <f>IF(Agent09_Loans!B60="","",Agent09_Loans!A60)</f>
        <v/>
      </c>
      <c r="B1648" s="40" t="str">
        <f>IF(Agent09_Loans!B60="","",Agent09_Loans!B60)</f>
        <v/>
      </c>
      <c r="C1648" s="40" t="str">
        <f>IF(Agent09_Loans!B60="","",Agent09_Loans!C60)</f>
        <v/>
      </c>
      <c r="D1648" s="41" t="str">
        <f>IF(Agent09_Loans!B60="","",Agent09_Loans!D60)</f>
        <v/>
      </c>
      <c r="E1648" s="43" t="str">
        <f>IF(Agent09_Loans!B60="","",Agent09_Loans!E60)</f>
        <v/>
      </c>
      <c r="F1648" s="40" t="str">
        <f>IF(Agent09_Loans!B60="","",Agent09_Loans!F60)</f>
        <v/>
      </c>
      <c r="G1648" s="40" t="str">
        <f>IF(Agent09_Loans!B60="","",Agent09_Loans!G60)</f>
        <v/>
      </c>
      <c r="H1648" s="40" t="str">
        <f>IF(Agent09_Loans!B60="","",Agent09_Loans!H60)</f>
        <v/>
      </c>
      <c r="I1648" s="43" t="str">
        <f>IF(Agent09_Loans!B60="","",Agent09_Loans!I60)</f>
        <v/>
      </c>
      <c r="J1648" s="43" t="str">
        <f>IF(Agent09_Loans!B60="","",Agent09_Loans!J60)</f>
        <v/>
      </c>
      <c r="K1648" s="40" t="str">
        <f>IF(Agent09_Loans!B60="","",Agent09_Loans!K60)</f>
        <v/>
      </c>
      <c r="L1648" s="40" t="str">
        <f>IF(Agent09_Loans!B60="","",Agent09_Loans!L60)</f>
        <v/>
      </c>
      <c r="M1648" s="40" t="str">
        <f>IFERROR(IF(Agent09_Loans!B60="","",YEAR(Agent09_Loans!D60)),"")</f>
        <v/>
      </c>
    </row>
    <row r="1649" spans="1:13" ht="18" customHeight="1" x14ac:dyDescent="0.25">
      <c r="A1649" s="40" t="str">
        <f>IF(Agent09_Loans!B61="","",Agent09_Loans!A61)</f>
        <v/>
      </c>
      <c r="B1649" s="40" t="str">
        <f>IF(Agent09_Loans!B61="","",Agent09_Loans!B61)</f>
        <v/>
      </c>
      <c r="C1649" s="40" t="str">
        <f>IF(Agent09_Loans!B61="","",Agent09_Loans!C61)</f>
        <v/>
      </c>
      <c r="D1649" s="41" t="str">
        <f>IF(Agent09_Loans!B61="","",Agent09_Loans!D61)</f>
        <v/>
      </c>
      <c r="E1649" s="43" t="str">
        <f>IF(Agent09_Loans!B61="","",Agent09_Loans!E61)</f>
        <v/>
      </c>
      <c r="F1649" s="40" t="str">
        <f>IF(Agent09_Loans!B61="","",Agent09_Loans!F61)</f>
        <v/>
      </c>
      <c r="G1649" s="40" t="str">
        <f>IF(Agent09_Loans!B61="","",Agent09_Loans!G61)</f>
        <v/>
      </c>
      <c r="H1649" s="40" t="str">
        <f>IF(Agent09_Loans!B61="","",Agent09_Loans!H61)</f>
        <v/>
      </c>
      <c r="I1649" s="43" t="str">
        <f>IF(Agent09_Loans!B61="","",Agent09_Loans!I61)</f>
        <v/>
      </c>
      <c r="J1649" s="43" t="str">
        <f>IF(Agent09_Loans!B61="","",Agent09_Loans!J61)</f>
        <v/>
      </c>
      <c r="K1649" s="40" t="str">
        <f>IF(Agent09_Loans!B61="","",Agent09_Loans!K61)</f>
        <v/>
      </c>
      <c r="L1649" s="40" t="str">
        <f>IF(Agent09_Loans!B61="","",Agent09_Loans!L61)</f>
        <v/>
      </c>
      <c r="M1649" s="40" t="str">
        <f>IFERROR(IF(Agent09_Loans!B61="","",YEAR(Agent09_Loans!D61)),"")</f>
        <v/>
      </c>
    </row>
    <row r="1650" spans="1:13" ht="18" customHeight="1" x14ac:dyDescent="0.25">
      <c r="A1650" s="40" t="str">
        <f>IF(Agent09_Loans!B62="","",Agent09_Loans!A62)</f>
        <v/>
      </c>
      <c r="B1650" s="40" t="str">
        <f>IF(Agent09_Loans!B62="","",Agent09_Loans!B62)</f>
        <v/>
      </c>
      <c r="C1650" s="40" t="str">
        <f>IF(Agent09_Loans!B62="","",Agent09_Loans!C62)</f>
        <v/>
      </c>
      <c r="D1650" s="41" t="str">
        <f>IF(Agent09_Loans!B62="","",Agent09_Loans!D62)</f>
        <v/>
      </c>
      <c r="E1650" s="43" t="str">
        <f>IF(Agent09_Loans!B62="","",Agent09_Loans!E62)</f>
        <v/>
      </c>
      <c r="F1650" s="40" t="str">
        <f>IF(Agent09_Loans!B62="","",Agent09_Loans!F62)</f>
        <v/>
      </c>
      <c r="G1650" s="40" t="str">
        <f>IF(Agent09_Loans!B62="","",Agent09_Loans!G62)</f>
        <v/>
      </c>
      <c r="H1650" s="40" t="str">
        <f>IF(Agent09_Loans!B62="","",Agent09_Loans!H62)</f>
        <v/>
      </c>
      <c r="I1650" s="43" t="str">
        <f>IF(Agent09_Loans!B62="","",Agent09_Loans!I62)</f>
        <v/>
      </c>
      <c r="J1650" s="43" t="str">
        <f>IF(Agent09_Loans!B62="","",Agent09_Loans!J62)</f>
        <v/>
      </c>
      <c r="K1650" s="40" t="str">
        <f>IF(Agent09_Loans!B62="","",Agent09_Loans!K62)</f>
        <v/>
      </c>
      <c r="L1650" s="40" t="str">
        <f>IF(Agent09_Loans!B62="","",Agent09_Loans!L62)</f>
        <v/>
      </c>
      <c r="M1650" s="40" t="str">
        <f>IFERROR(IF(Agent09_Loans!B62="","",YEAR(Agent09_Loans!D62)),"")</f>
        <v/>
      </c>
    </row>
    <row r="1651" spans="1:13" ht="18" customHeight="1" x14ac:dyDescent="0.25">
      <c r="A1651" s="40" t="str">
        <f>IF(Agent09_Loans!B63="","",Agent09_Loans!A63)</f>
        <v/>
      </c>
      <c r="B1651" s="40" t="str">
        <f>IF(Agent09_Loans!B63="","",Agent09_Loans!B63)</f>
        <v/>
      </c>
      <c r="C1651" s="40" t="str">
        <f>IF(Agent09_Loans!B63="","",Agent09_Loans!C63)</f>
        <v/>
      </c>
      <c r="D1651" s="41" t="str">
        <f>IF(Agent09_Loans!B63="","",Agent09_Loans!D63)</f>
        <v/>
      </c>
      <c r="E1651" s="43" t="str">
        <f>IF(Agent09_Loans!B63="","",Agent09_Loans!E63)</f>
        <v/>
      </c>
      <c r="F1651" s="40" t="str">
        <f>IF(Agent09_Loans!B63="","",Agent09_Loans!F63)</f>
        <v/>
      </c>
      <c r="G1651" s="40" t="str">
        <f>IF(Agent09_Loans!B63="","",Agent09_Loans!G63)</f>
        <v/>
      </c>
      <c r="H1651" s="40" t="str">
        <f>IF(Agent09_Loans!B63="","",Agent09_Loans!H63)</f>
        <v/>
      </c>
      <c r="I1651" s="43" t="str">
        <f>IF(Agent09_Loans!B63="","",Agent09_Loans!I63)</f>
        <v/>
      </c>
      <c r="J1651" s="43" t="str">
        <f>IF(Agent09_Loans!B63="","",Agent09_Loans!J63)</f>
        <v/>
      </c>
      <c r="K1651" s="40" t="str">
        <f>IF(Agent09_Loans!B63="","",Agent09_Loans!K63)</f>
        <v/>
      </c>
      <c r="L1651" s="40" t="str">
        <f>IF(Agent09_Loans!B63="","",Agent09_Loans!L63)</f>
        <v/>
      </c>
      <c r="M1651" s="40" t="str">
        <f>IFERROR(IF(Agent09_Loans!B63="","",YEAR(Agent09_Loans!D63)),"")</f>
        <v/>
      </c>
    </row>
    <row r="1652" spans="1:13" ht="18" customHeight="1" x14ac:dyDescent="0.25">
      <c r="A1652" s="40" t="str">
        <f>IF(Agent09_Loans!B64="","",Agent09_Loans!A64)</f>
        <v/>
      </c>
      <c r="B1652" s="40" t="str">
        <f>IF(Agent09_Loans!B64="","",Agent09_Loans!B64)</f>
        <v/>
      </c>
      <c r="C1652" s="40" t="str">
        <f>IF(Agent09_Loans!B64="","",Agent09_Loans!C64)</f>
        <v/>
      </c>
      <c r="D1652" s="41" t="str">
        <f>IF(Agent09_Loans!B64="","",Agent09_Loans!D64)</f>
        <v/>
      </c>
      <c r="E1652" s="43" t="str">
        <f>IF(Agent09_Loans!B64="","",Agent09_Loans!E64)</f>
        <v/>
      </c>
      <c r="F1652" s="40" t="str">
        <f>IF(Agent09_Loans!B64="","",Agent09_Loans!F64)</f>
        <v/>
      </c>
      <c r="G1652" s="40" t="str">
        <f>IF(Agent09_Loans!B64="","",Agent09_Loans!G64)</f>
        <v/>
      </c>
      <c r="H1652" s="40" t="str">
        <f>IF(Agent09_Loans!B64="","",Agent09_Loans!H64)</f>
        <v/>
      </c>
      <c r="I1652" s="43" t="str">
        <f>IF(Agent09_Loans!B64="","",Agent09_Loans!I64)</f>
        <v/>
      </c>
      <c r="J1652" s="43" t="str">
        <f>IF(Agent09_Loans!B64="","",Agent09_Loans!J64)</f>
        <v/>
      </c>
      <c r="K1652" s="40" t="str">
        <f>IF(Agent09_Loans!B64="","",Agent09_Loans!K64)</f>
        <v/>
      </c>
      <c r="L1652" s="40" t="str">
        <f>IF(Agent09_Loans!B64="","",Agent09_Loans!L64)</f>
        <v/>
      </c>
      <c r="M1652" s="40" t="str">
        <f>IFERROR(IF(Agent09_Loans!B64="","",YEAR(Agent09_Loans!D64)),"")</f>
        <v/>
      </c>
    </row>
    <row r="1653" spans="1:13" ht="18" customHeight="1" x14ac:dyDescent="0.25">
      <c r="A1653" s="40" t="str">
        <f>IF(Agent09_Loans!B65="","",Agent09_Loans!A65)</f>
        <v/>
      </c>
      <c r="B1653" s="40" t="str">
        <f>IF(Agent09_Loans!B65="","",Agent09_Loans!B65)</f>
        <v/>
      </c>
      <c r="C1653" s="40" t="str">
        <f>IF(Agent09_Loans!B65="","",Agent09_Loans!C65)</f>
        <v/>
      </c>
      <c r="D1653" s="41" t="str">
        <f>IF(Agent09_Loans!B65="","",Agent09_Loans!D65)</f>
        <v/>
      </c>
      <c r="E1653" s="43" t="str">
        <f>IF(Agent09_Loans!B65="","",Agent09_Loans!E65)</f>
        <v/>
      </c>
      <c r="F1653" s="40" t="str">
        <f>IF(Agent09_Loans!B65="","",Agent09_Loans!F65)</f>
        <v/>
      </c>
      <c r="G1653" s="40" t="str">
        <f>IF(Agent09_Loans!B65="","",Agent09_Loans!G65)</f>
        <v/>
      </c>
      <c r="H1653" s="40" t="str">
        <f>IF(Agent09_Loans!B65="","",Agent09_Loans!H65)</f>
        <v/>
      </c>
      <c r="I1653" s="43" t="str">
        <f>IF(Agent09_Loans!B65="","",Agent09_Loans!I65)</f>
        <v/>
      </c>
      <c r="J1653" s="43" t="str">
        <f>IF(Agent09_Loans!B65="","",Agent09_Loans!J65)</f>
        <v/>
      </c>
      <c r="K1653" s="40" t="str">
        <f>IF(Agent09_Loans!B65="","",Agent09_Loans!K65)</f>
        <v/>
      </c>
      <c r="L1653" s="40" t="str">
        <f>IF(Agent09_Loans!B65="","",Agent09_Loans!L65)</f>
        <v/>
      </c>
      <c r="M1653" s="40" t="str">
        <f>IFERROR(IF(Agent09_Loans!B65="","",YEAR(Agent09_Loans!D65)),"")</f>
        <v/>
      </c>
    </row>
    <row r="1654" spans="1:13" ht="18" customHeight="1" x14ac:dyDescent="0.25">
      <c r="A1654" s="40" t="str">
        <f>IF(Agent09_Loans!B66="","",Agent09_Loans!A66)</f>
        <v/>
      </c>
      <c r="B1654" s="40" t="str">
        <f>IF(Agent09_Loans!B66="","",Agent09_Loans!B66)</f>
        <v/>
      </c>
      <c r="C1654" s="40" t="str">
        <f>IF(Agent09_Loans!B66="","",Agent09_Loans!C66)</f>
        <v/>
      </c>
      <c r="D1654" s="41" t="str">
        <f>IF(Agent09_Loans!B66="","",Agent09_Loans!D66)</f>
        <v/>
      </c>
      <c r="E1654" s="43" t="str">
        <f>IF(Agent09_Loans!B66="","",Agent09_Loans!E66)</f>
        <v/>
      </c>
      <c r="F1654" s="40" t="str">
        <f>IF(Agent09_Loans!B66="","",Agent09_Loans!F66)</f>
        <v/>
      </c>
      <c r="G1654" s="40" t="str">
        <f>IF(Agent09_Loans!B66="","",Agent09_Loans!G66)</f>
        <v/>
      </c>
      <c r="H1654" s="40" t="str">
        <f>IF(Agent09_Loans!B66="","",Agent09_Loans!H66)</f>
        <v/>
      </c>
      <c r="I1654" s="43" t="str">
        <f>IF(Agent09_Loans!B66="","",Agent09_Loans!I66)</f>
        <v/>
      </c>
      <c r="J1654" s="43" t="str">
        <f>IF(Agent09_Loans!B66="","",Agent09_Loans!J66)</f>
        <v/>
      </c>
      <c r="K1654" s="40" t="str">
        <f>IF(Agent09_Loans!B66="","",Agent09_Loans!K66)</f>
        <v/>
      </c>
      <c r="L1654" s="40" t="str">
        <f>IF(Agent09_Loans!B66="","",Agent09_Loans!L66)</f>
        <v/>
      </c>
      <c r="M1654" s="40" t="str">
        <f>IFERROR(IF(Agent09_Loans!B66="","",YEAR(Agent09_Loans!D66)),"")</f>
        <v/>
      </c>
    </row>
    <row r="1655" spans="1:13" ht="18" customHeight="1" x14ac:dyDescent="0.25">
      <c r="A1655" s="40" t="str">
        <f>IF(Agent09_Loans!B67="","",Agent09_Loans!A67)</f>
        <v/>
      </c>
      <c r="B1655" s="40" t="str">
        <f>IF(Agent09_Loans!B67="","",Agent09_Loans!B67)</f>
        <v/>
      </c>
      <c r="C1655" s="40" t="str">
        <f>IF(Agent09_Loans!B67="","",Agent09_Loans!C67)</f>
        <v/>
      </c>
      <c r="D1655" s="41" t="str">
        <f>IF(Agent09_Loans!B67="","",Agent09_Loans!D67)</f>
        <v/>
      </c>
      <c r="E1655" s="43" t="str">
        <f>IF(Agent09_Loans!B67="","",Agent09_Loans!E67)</f>
        <v/>
      </c>
      <c r="F1655" s="40" t="str">
        <f>IF(Agent09_Loans!B67="","",Agent09_Loans!F67)</f>
        <v/>
      </c>
      <c r="G1655" s="40" t="str">
        <f>IF(Agent09_Loans!B67="","",Agent09_Loans!G67)</f>
        <v/>
      </c>
      <c r="H1655" s="40" t="str">
        <f>IF(Agent09_Loans!B67="","",Agent09_Loans!H67)</f>
        <v/>
      </c>
      <c r="I1655" s="43" t="str">
        <f>IF(Agent09_Loans!B67="","",Agent09_Loans!I67)</f>
        <v/>
      </c>
      <c r="J1655" s="43" t="str">
        <f>IF(Agent09_Loans!B67="","",Agent09_Loans!J67)</f>
        <v/>
      </c>
      <c r="K1655" s="40" t="str">
        <f>IF(Agent09_Loans!B67="","",Agent09_Loans!K67)</f>
        <v/>
      </c>
      <c r="L1655" s="40" t="str">
        <f>IF(Agent09_Loans!B67="","",Agent09_Loans!L67)</f>
        <v/>
      </c>
      <c r="M1655" s="40" t="str">
        <f>IFERROR(IF(Agent09_Loans!B67="","",YEAR(Agent09_Loans!D67)),"")</f>
        <v/>
      </c>
    </row>
    <row r="1656" spans="1:13" ht="18" customHeight="1" x14ac:dyDescent="0.25">
      <c r="A1656" s="40" t="str">
        <f>IF(Agent09_Loans!B68="","",Agent09_Loans!A68)</f>
        <v/>
      </c>
      <c r="B1656" s="40" t="str">
        <f>IF(Agent09_Loans!B68="","",Agent09_Loans!B68)</f>
        <v/>
      </c>
      <c r="C1656" s="40" t="str">
        <f>IF(Agent09_Loans!B68="","",Agent09_Loans!C68)</f>
        <v/>
      </c>
      <c r="D1656" s="41" t="str">
        <f>IF(Agent09_Loans!B68="","",Agent09_Loans!D68)</f>
        <v/>
      </c>
      <c r="E1656" s="43" t="str">
        <f>IF(Agent09_Loans!B68="","",Agent09_Loans!E68)</f>
        <v/>
      </c>
      <c r="F1656" s="40" t="str">
        <f>IF(Agent09_Loans!B68="","",Agent09_Loans!F68)</f>
        <v/>
      </c>
      <c r="G1656" s="40" t="str">
        <f>IF(Agent09_Loans!B68="","",Agent09_Loans!G68)</f>
        <v/>
      </c>
      <c r="H1656" s="40" t="str">
        <f>IF(Agent09_Loans!B68="","",Agent09_Loans!H68)</f>
        <v/>
      </c>
      <c r="I1656" s="43" t="str">
        <f>IF(Agent09_Loans!B68="","",Agent09_Loans!I68)</f>
        <v/>
      </c>
      <c r="J1656" s="43" t="str">
        <f>IF(Agent09_Loans!B68="","",Agent09_Loans!J68)</f>
        <v/>
      </c>
      <c r="K1656" s="40" t="str">
        <f>IF(Agent09_Loans!B68="","",Agent09_Loans!K68)</f>
        <v/>
      </c>
      <c r="L1656" s="40" t="str">
        <f>IF(Agent09_Loans!B68="","",Agent09_Loans!L68)</f>
        <v/>
      </c>
      <c r="M1656" s="40" t="str">
        <f>IFERROR(IF(Agent09_Loans!B68="","",YEAR(Agent09_Loans!D68)),"")</f>
        <v/>
      </c>
    </row>
    <row r="1657" spans="1:13" ht="18" customHeight="1" x14ac:dyDescent="0.25">
      <c r="A1657" s="40" t="str">
        <f>IF(Agent09_Loans!B69="","",Agent09_Loans!A69)</f>
        <v/>
      </c>
      <c r="B1657" s="40" t="str">
        <f>IF(Agent09_Loans!B69="","",Agent09_Loans!B69)</f>
        <v/>
      </c>
      <c r="C1657" s="40" t="str">
        <f>IF(Agent09_Loans!B69="","",Agent09_Loans!C69)</f>
        <v/>
      </c>
      <c r="D1657" s="41" t="str">
        <f>IF(Agent09_Loans!B69="","",Agent09_Loans!D69)</f>
        <v/>
      </c>
      <c r="E1657" s="43" t="str">
        <f>IF(Agent09_Loans!B69="","",Agent09_Loans!E69)</f>
        <v/>
      </c>
      <c r="F1657" s="40" t="str">
        <f>IF(Agent09_Loans!B69="","",Agent09_Loans!F69)</f>
        <v/>
      </c>
      <c r="G1657" s="40" t="str">
        <f>IF(Agent09_Loans!B69="","",Agent09_Loans!G69)</f>
        <v/>
      </c>
      <c r="H1657" s="40" t="str">
        <f>IF(Agent09_Loans!B69="","",Agent09_Loans!H69)</f>
        <v/>
      </c>
      <c r="I1657" s="43" t="str">
        <f>IF(Agent09_Loans!B69="","",Agent09_Loans!I69)</f>
        <v/>
      </c>
      <c r="J1657" s="43" t="str">
        <f>IF(Agent09_Loans!B69="","",Agent09_Loans!J69)</f>
        <v/>
      </c>
      <c r="K1657" s="40" t="str">
        <f>IF(Agent09_Loans!B69="","",Agent09_Loans!K69)</f>
        <v/>
      </c>
      <c r="L1657" s="40" t="str">
        <f>IF(Agent09_Loans!B69="","",Agent09_Loans!L69)</f>
        <v/>
      </c>
      <c r="M1657" s="40" t="str">
        <f>IFERROR(IF(Agent09_Loans!B69="","",YEAR(Agent09_Loans!D69)),"")</f>
        <v/>
      </c>
    </row>
    <row r="1658" spans="1:13" ht="18" customHeight="1" x14ac:dyDescent="0.25">
      <c r="A1658" s="40" t="str">
        <f>IF(Agent09_Loans!B70="","",Agent09_Loans!A70)</f>
        <v/>
      </c>
      <c r="B1658" s="40" t="str">
        <f>IF(Agent09_Loans!B70="","",Agent09_Loans!B70)</f>
        <v/>
      </c>
      <c r="C1658" s="40" t="str">
        <f>IF(Agent09_Loans!B70="","",Agent09_Loans!C70)</f>
        <v/>
      </c>
      <c r="D1658" s="41" t="str">
        <f>IF(Agent09_Loans!B70="","",Agent09_Loans!D70)</f>
        <v/>
      </c>
      <c r="E1658" s="43" t="str">
        <f>IF(Agent09_Loans!B70="","",Agent09_Loans!E70)</f>
        <v/>
      </c>
      <c r="F1658" s="40" t="str">
        <f>IF(Agent09_Loans!B70="","",Agent09_Loans!F70)</f>
        <v/>
      </c>
      <c r="G1658" s="40" t="str">
        <f>IF(Agent09_Loans!B70="","",Agent09_Loans!G70)</f>
        <v/>
      </c>
      <c r="H1658" s="40" t="str">
        <f>IF(Agent09_Loans!B70="","",Agent09_Loans!H70)</f>
        <v/>
      </c>
      <c r="I1658" s="43" t="str">
        <f>IF(Agent09_Loans!B70="","",Agent09_Loans!I70)</f>
        <v/>
      </c>
      <c r="J1658" s="43" t="str">
        <f>IF(Agent09_Loans!B70="","",Agent09_Loans!J70)</f>
        <v/>
      </c>
      <c r="K1658" s="40" t="str">
        <f>IF(Agent09_Loans!B70="","",Agent09_Loans!K70)</f>
        <v/>
      </c>
      <c r="L1658" s="40" t="str">
        <f>IF(Agent09_Loans!B70="","",Agent09_Loans!L70)</f>
        <v/>
      </c>
      <c r="M1658" s="40" t="str">
        <f>IFERROR(IF(Agent09_Loans!B70="","",YEAR(Agent09_Loans!D70)),"")</f>
        <v/>
      </c>
    </row>
    <row r="1659" spans="1:13" ht="18" customHeight="1" x14ac:dyDescent="0.25">
      <c r="A1659" s="40" t="str">
        <f>IF(Agent09_Loans!B71="","",Agent09_Loans!A71)</f>
        <v/>
      </c>
      <c r="B1659" s="40" t="str">
        <f>IF(Agent09_Loans!B71="","",Agent09_Loans!B71)</f>
        <v/>
      </c>
      <c r="C1659" s="40" t="str">
        <f>IF(Agent09_Loans!B71="","",Agent09_Loans!C71)</f>
        <v/>
      </c>
      <c r="D1659" s="41" t="str">
        <f>IF(Agent09_Loans!B71="","",Agent09_Loans!D71)</f>
        <v/>
      </c>
      <c r="E1659" s="43" t="str">
        <f>IF(Agent09_Loans!B71="","",Agent09_Loans!E71)</f>
        <v/>
      </c>
      <c r="F1659" s="40" t="str">
        <f>IF(Agent09_Loans!B71="","",Agent09_Loans!F71)</f>
        <v/>
      </c>
      <c r="G1659" s="40" t="str">
        <f>IF(Agent09_Loans!B71="","",Agent09_Loans!G71)</f>
        <v/>
      </c>
      <c r="H1659" s="40" t="str">
        <f>IF(Agent09_Loans!B71="","",Agent09_Loans!H71)</f>
        <v/>
      </c>
      <c r="I1659" s="43" t="str">
        <f>IF(Agent09_Loans!B71="","",Agent09_Loans!I71)</f>
        <v/>
      </c>
      <c r="J1659" s="43" t="str">
        <f>IF(Agent09_Loans!B71="","",Agent09_Loans!J71)</f>
        <v/>
      </c>
      <c r="K1659" s="40" t="str">
        <f>IF(Agent09_Loans!B71="","",Agent09_Loans!K71)</f>
        <v/>
      </c>
      <c r="L1659" s="40" t="str">
        <f>IF(Agent09_Loans!B71="","",Agent09_Loans!L71)</f>
        <v/>
      </c>
      <c r="M1659" s="40" t="str">
        <f>IFERROR(IF(Agent09_Loans!B71="","",YEAR(Agent09_Loans!D71)),"")</f>
        <v/>
      </c>
    </row>
    <row r="1660" spans="1:13" ht="18" customHeight="1" x14ac:dyDescent="0.25">
      <c r="A1660" s="40" t="str">
        <f>IF(Agent09_Loans!B72="","",Agent09_Loans!A72)</f>
        <v/>
      </c>
      <c r="B1660" s="40" t="str">
        <f>IF(Agent09_Loans!B72="","",Agent09_Loans!B72)</f>
        <v/>
      </c>
      <c r="C1660" s="40" t="str">
        <f>IF(Agent09_Loans!B72="","",Agent09_Loans!C72)</f>
        <v/>
      </c>
      <c r="D1660" s="41" t="str">
        <f>IF(Agent09_Loans!B72="","",Agent09_Loans!D72)</f>
        <v/>
      </c>
      <c r="E1660" s="43" t="str">
        <f>IF(Agent09_Loans!B72="","",Agent09_Loans!E72)</f>
        <v/>
      </c>
      <c r="F1660" s="40" t="str">
        <f>IF(Agent09_Loans!B72="","",Agent09_Loans!F72)</f>
        <v/>
      </c>
      <c r="G1660" s="40" t="str">
        <f>IF(Agent09_Loans!B72="","",Agent09_Loans!G72)</f>
        <v/>
      </c>
      <c r="H1660" s="40" t="str">
        <f>IF(Agent09_Loans!B72="","",Agent09_Loans!H72)</f>
        <v/>
      </c>
      <c r="I1660" s="43" t="str">
        <f>IF(Agent09_Loans!B72="","",Agent09_Loans!I72)</f>
        <v/>
      </c>
      <c r="J1660" s="43" t="str">
        <f>IF(Agent09_Loans!B72="","",Agent09_Loans!J72)</f>
        <v/>
      </c>
      <c r="K1660" s="40" t="str">
        <f>IF(Agent09_Loans!B72="","",Agent09_Loans!K72)</f>
        <v/>
      </c>
      <c r="L1660" s="40" t="str">
        <f>IF(Agent09_Loans!B72="","",Agent09_Loans!L72)</f>
        <v/>
      </c>
      <c r="M1660" s="40" t="str">
        <f>IFERROR(IF(Agent09_Loans!B72="","",YEAR(Agent09_Loans!D72)),"")</f>
        <v/>
      </c>
    </row>
    <row r="1661" spans="1:13" ht="18" customHeight="1" x14ac:dyDescent="0.25">
      <c r="A1661" s="40" t="str">
        <f>IF(Agent09_Loans!B73="","",Agent09_Loans!A73)</f>
        <v/>
      </c>
      <c r="B1661" s="40" t="str">
        <f>IF(Agent09_Loans!B73="","",Agent09_Loans!B73)</f>
        <v/>
      </c>
      <c r="C1661" s="40" t="str">
        <f>IF(Agent09_Loans!B73="","",Agent09_Loans!C73)</f>
        <v/>
      </c>
      <c r="D1661" s="41" t="str">
        <f>IF(Agent09_Loans!B73="","",Agent09_Loans!D73)</f>
        <v/>
      </c>
      <c r="E1661" s="43" t="str">
        <f>IF(Agent09_Loans!B73="","",Agent09_Loans!E73)</f>
        <v/>
      </c>
      <c r="F1661" s="40" t="str">
        <f>IF(Agent09_Loans!B73="","",Agent09_Loans!F73)</f>
        <v/>
      </c>
      <c r="G1661" s="40" t="str">
        <f>IF(Agent09_Loans!B73="","",Agent09_Loans!G73)</f>
        <v/>
      </c>
      <c r="H1661" s="40" t="str">
        <f>IF(Agent09_Loans!B73="","",Agent09_Loans!H73)</f>
        <v/>
      </c>
      <c r="I1661" s="43" t="str">
        <f>IF(Agent09_Loans!B73="","",Agent09_Loans!I73)</f>
        <v/>
      </c>
      <c r="J1661" s="43" t="str">
        <f>IF(Agent09_Loans!B73="","",Agent09_Loans!J73)</f>
        <v/>
      </c>
      <c r="K1661" s="40" t="str">
        <f>IF(Agent09_Loans!B73="","",Agent09_Loans!K73)</f>
        <v/>
      </c>
      <c r="L1661" s="40" t="str">
        <f>IF(Agent09_Loans!B73="","",Agent09_Loans!L73)</f>
        <v/>
      </c>
      <c r="M1661" s="40" t="str">
        <f>IFERROR(IF(Agent09_Loans!B73="","",YEAR(Agent09_Loans!D73)),"")</f>
        <v/>
      </c>
    </row>
    <row r="1662" spans="1:13" ht="18" customHeight="1" x14ac:dyDescent="0.25">
      <c r="A1662" s="40" t="str">
        <f>IF(Agent09_Loans!B74="","",Agent09_Loans!A74)</f>
        <v/>
      </c>
      <c r="B1662" s="40" t="str">
        <f>IF(Agent09_Loans!B74="","",Agent09_Loans!B74)</f>
        <v/>
      </c>
      <c r="C1662" s="40" t="str">
        <f>IF(Agent09_Loans!B74="","",Agent09_Loans!C74)</f>
        <v/>
      </c>
      <c r="D1662" s="41" t="str">
        <f>IF(Agent09_Loans!B74="","",Agent09_Loans!D74)</f>
        <v/>
      </c>
      <c r="E1662" s="43" t="str">
        <f>IF(Agent09_Loans!B74="","",Agent09_Loans!E74)</f>
        <v/>
      </c>
      <c r="F1662" s="40" t="str">
        <f>IF(Agent09_Loans!B74="","",Agent09_Loans!F74)</f>
        <v/>
      </c>
      <c r="G1662" s="40" t="str">
        <f>IF(Agent09_Loans!B74="","",Agent09_Loans!G74)</f>
        <v/>
      </c>
      <c r="H1662" s="40" t="str">
        <f>IF(Agent09_Loans!B74="","",Agent09_Loans!H74)</f>
        <v/>
      </c>
      <c r="I1662" s="43" t="str">
        <f>IF(Agent09_Loans!B74="","",Agent09_Loans!I74)</f>
        <v/>
      </c>
      <c r="J1662" s="43" t="str">
        <f>IF(Agent09_Loans!B74="","",Agent09_Loans!J74)</f>
        <v/>
      </c>
      <c r="K1662" s="40" t="str">
        <f>IF(Agent09_Loans!B74="","",Agent09_Loans!K74)</f>
        <v/>
      </c>
      <c r="L1662" s="40" t="str">
        <f>IF(Agent09_Loans!B74="","",Agent09_Loans!L74)</f>
        <v/>
      </c>
      <c r="M1662" s="40" t="str">
        <f>IFERROR(IF(Agent09_Loans!B74="","",YEAR(Agent09_Loans!D74)),"")</f>
        <v/>
      </c>
    </row>
    <row r="1663" spans="1:13" ht="18" customHeight="1" x14ac:dyDescent="0.25">
      <c r="A1663" s="40" t="str">
        <f>IF(Agent09_Loans!B75="","",Agent09_Loans!A75)</f>
        <v/>
      </c>
      <c r="B1663" s="40" t="str">
        <f>IF(Agent09_Loans!B75="","",Agent09_Loans!B75)</f>
        <v/>
      </c>
      <c r="C1663" s="40" t="str">
        <f>IF(Agent09_Loans!B75="","",Agent09_Loans!C75)</f>
        <v/>
      </c>
      <c r="D1663" s="41" t="str">
        <f>IF(Agent09_Loans!B75="","",Agent09_Loans!D75)</f>
        <v/>
      </c>
      <c r="E1663" s="43" t="str">
        <f>IF(Agent09_Loans!B75="","",Agent09_Loans!E75)</f>
        <v/>
      </c>
      <c r="F1663" s="40" t="str">
        <f>IF(Agent09_Loans!B75="","",Agent09_Loans!F75)</f>
        <v/>
      </c>
      <c r="G1663" s="40" t="str">
        <f>IF(Agent09_Loans!B75="","",Agent09_Loans!G75)</f>
        <v/>
      </c>
      <c r="H1663" s="40" t="str">
        <f>IF(Agent09_Loans!B75="","",Agent09_Loans!H75)</f>
        <v/>
      </c>
      <c r="I1663" s="43" t="str">
        <f>IF(Agent09_Loans!B75="","",Agent09_Loans!I75)</f>
        <v/>
      </c>
      <c r="J1663" s="43" t="str">
        <f>IF(Agent09_Loans!B75="","",Agent09_Loans!J75)</f>
        <v/>
      </c>
      <c r="K1663" s="40" t="str">
        <f>IF(Agent09_Loans!B75="","",Agent09_Loans!K75)</f>
        <v/>
      </c>
      <c r="L1663" s="40" t="str">
        <f>IF(Agent09_Loans!B75="","",Agent09_Loans!L75)</f>
        <v/>
      </c>
      <c r="M1663" s="40" t="str">
        <f>IFERROR(IF(Agent09_Loans!B75="","",YEAR(Agent09_Loans!D75)),"")</f>
        <v/>
      </c>
    </row>
    <row r="1664" spans="1:13" ht="18" customHeight="1" x14ac:dyDescent="0.25">
      <c r="A1664" s="40" t="str">
        <f>IF(Agent09_Loans!B76="","",Agent09_Loans!A76)</f>
        <v/>
      </c>
      <c r="B1664" s="40" t="str">
        <f>IF(Agent09_Loans!B76="","",Agent09_Loans!B76)</f>
        <v/>
      </c>
      <c r="C1664" s="40" t="str">
        <f>IF(Agent09_Loans!B76="","",Agent09_Loans!C76)</f>
        <v/>
      </c>
      <c r="D1664" s="41" t="str">
        <f>IF(Agent09_Loans!B76="","",Agent09_Loans!D76)</f>
        <v/>
      </c>
      <c r="E1664" s="43" t="str">
        <f>IF(Agent09_Loans!B76="","",Agent09_Loans!E76)</f>
        <v/>
      </c>
      <c r="F1664" s="40" t="str">
        <f>IF(Agent09_Loans!B76="","",Agent09_Loans!F76)</f>
        <v/>
      </c>
      <c r="G1664" s="40" t="str">
        <f>IF(Agent09_Loans!B76="","",Agent09_Loans!G76)</f>
        <v/>
      </c>
      <c r="H1664" s="40" t="str">
        <f>IF(Agent09_Loans!B76="","",Agent09_Loans!H76)</f>
        <v/>
      </c>
      <c r="I1664" s="43" t="str">
        <f>IF(Agent09_Loans!B76="","",Agent09_Loans!I76)</f>
        <v/>
      </c>
      <c r="J1664" s="43" t="str">
        <f>IF(Agent09_Loans!B76="","",Agent09_Loans!J76)</f>
        <v/>
      </c>
      <c r="K1664" s="40" t="str">
        <f>IF(Agent09_Loans!B76="","",Agent09_Loans!K76)</f>
        <v/>
      </c>
      <c r="L1664" s="40" t="str">
        <f>IF(Agent09_Loans!B76="","",Agent09_Loans!L76)</f>
        <v/>
      </c>
      <c r="M1664" s="40" t="str">
        <f>IFERROR(IF(Agent09_Loans!B76="","",YEAR(Agent09_Loans!D76)),"")</f>
        <v/>
      </c>
    </row>
    <row r="1665" spans="1:13" ht="18" customHeight="1" x14ac:dyDescent="0.25">
      <c r="A1665" s="40" t="str">
        <f>IF(Agent09_Loans!B77="","",Agent09_Loans!A77)</f>
        <v/>
      </c>
      <c r="B1665" s="40" t="str">
        <f>IF(Agent09_Loans!B77="","",Agent09_Loans!B77)</f>
        <v/>
      </c>
      <c r="C1665" s="40" t="str">
        <f>IF(Agent09_Loans!B77="","",Agent09_Loans!C77)</f>
        <v/>
      </c>
      <c r="D1665" s="41" t="str">
        <f>IF(Agent09_Loans!B77="","",Agent09_Loans!D77)</f>
        <v/>
      </c>
      <c r="E1665" s="43" t="str">
        <f>IF(Agent09_Loans!B77="","",Agent09_Loans!E77)</f>
        <v/>
      </c>
      <c r="F1665" s="40" t="str">
        <f>IF(Agent09_Loans!B77="","",Agent09_Loans!F77)</f>
        <v/>
      </c>
      <c r="G1665" s="40" t="str">
        <f>IF(Agent09_Loans!B77="","",Agent09_Loans!G77)</f>
        <v/>
      </c>
      <c r="H1665" s="40" t="str">
        <f>IF(Agent09_Loans!B77="","",Agent09_Loans!H77)</f>
        <v/>
      </c>
      <c r="I1665" s="43" t="str">
        <f>IF(Agent09_Loans!B77="","",Agent09_Loans!I77)</f>
        <v/>
      </c>
      <c r="J1665" s="43" t="str">
        <f>IF(Agent09_Loans!B77="","",Agent09_Loans!J77)</f>
        <v/>
      </c>
      <c r="K1665" s="40" t="str">
        <f>IF(Agent09_Loans!B77="","",Agent09_Loans!K77)</f>
        <v/>
      </c>
      <c r="L1665" s="40" t="str">
        <f>IF(Agent09_Loans!B77="","",Agent09_Loans!L77)</f>
        <v/>
      </c>
      <c r="M1665" s="40" t="str">
        <f>IFERROR(IF(Agent09_Loans!B77="","",YEAR(Agent09_Loans!D77)),"")</f>
        <v/>
      </c>
    </row>
    <row r="1666" spans="1:13" ht="18" customHeight="1" x14ac:dyDescent="0.25">
      <c r="A1666" s="40" t="str">
        <f>IF(Agent09_Loans!B78="","",Agent09_Loans!A78)</f>
        <v/>
      </c>
      <c r="B1666" s="40" t="str">
        <f>IF(Agent09_Loans!B78="","",Agent09_Loans!B78)</f>
        <v/>
      </c>
      <c r="C1666" s="40" t="str">
        <f>IF(Agent09_Loans!B78="","",Agent09_Loans!C78)</f>
        <v/>
      </c>
      <c r="D1666" s="41" t="str">
        <f>IF(Agent09_Loans!B78="","",Agent09_Loans!D78)</f>
        <v/>
      </c>
      <c r="E1666" s="43" t="str">
        <f>IF(Agent09_Loans!B78="","",Agent09_Loans!E78)</f>
        <v/>
      </c>
      <c r="F1666" s="40" t="str">
        <f>IF(Agent09_Loans!B78="","",Agent09_Loans!F78)</f>
        <v/>
      </c>
      <c r="G1666" s="40" t="str">
        <f>IF(Agent09_Loans!B78="","",Agent09_Loans!G78)</f>
        <v/>
      </c>
      <c r="H1666" s="40" t="str">
        <f>IF(Agent09_Loans!B78="","",Agent09_Loans!H78)</f>
        <v/>
      </c>
      <c r="I1666" s="43" t="str">
        <f>IF(Agent09_Loans!B78="","",Agent09_Loans!I78)</f>
        <v/>
      </c>
      <c r="J1666" s="43" t="str">
        <f>IF(Agent09_Loans!B78="","",Agent09_Loans!J78)</f>
        <v/>
      </c>
      <c r="K1666" s="40" t="str">
        <f>IF(Agent09_Loans!B78="","",Agent09_Loans!K78)</f>
        <v/>
      </c>
      <c r="L1666" s="40" t="str">
        <f>IF(Agent09_Loans!B78="","",Agent09_Loans!L78)</f>
        <v/>
      </c>
      <c r="M1666" s="40" t="str">
        <f>IFERROR(IF(Agent09_Loans!B78="","",YEAR(Agent09_Loans!D78)),"")</f>
        <v/>
      </c>
    </row>
    <row r="1667" spans="1:13" ht="18" customHeight="1" x14ac:dyDescent="0.25">
      <c r="A1667" s="40" t="str">
        <f>IF(Agent09_Loans!B79="","",Agent09_Loans!A79)</f>
        <v/>
      </c>
      <c r="B1667" s="40" t="str">
        <f>IF(Agent09_Loans!B79="","",Agent09_Loans!B79)</f>
        <v/>
      </c>
      <c r="C1667" s="40" t="str">
        <f>IF(Agent09_Loans!B79="","",Agent09_Loans!C79)</f>
        <v/>
      </c>
      <c r="D1667" s="41" t="str">
        <f>IF(Agent09_Loans!B79="","",Agent09_Loans!D79)</f>
        <v/>
      </c>
      <c r="E1667" s="43" t="str">
        <f>IF(Agent09_Loans!B79="","",Agent09_Loans!E79)</f>
        <v/>
      </c>
      <c r="F1667" s="40" t="str">
        <f>IF(Agent09_Loans!B79="","",Agent09_Loans!F79)</f>
        <v/>
      </c>
      <c r="G1667" s="40" t="str">
        <f>IF(Agent09_Loans!B79="","",Agent09_Loans!G79)</f>
        <v/>
      </c>
      <c r="H1667" s="40" t="str">
        <f>IF(Agent09_Loans!B79="","",Agent09_Loans!H79)</f>
        <v/>
      </c>
      <c r="I1667" s="43" t="str">
        <f>IF(Agent09_Loans!B79="","",Agent09_Loans!I79)</f>
        <v/>
      </c>
      <c r="J1667" s="43" t="str">
        <f>IF(Agent09_Loans!B79="","",Agent09_Loans!J79)</f>
        <v/>
      </c>
      <c r="K1667" s="40" t="str">
        <f>IF(Agent09_Loans!B79="","",Agent09_Loans!K79)</f>
        <v/>
      </c>
      <c r="L1667" s="40" t="str">
        <f>IF(Agent09_Loans!B79="","",Agent09_Loans!L79)</f>
        <v/>
      </c>
      <c r="M1667" s="40" t="str">
        <f>IFERROR(IF(Agent09_Loans!B79="","",YEAR(Agent09_Loans!D79)),"")</f>
        <v/>
      </c>
    </row>
    <row r="1668" spans="1:13" ht="18" customHeight="1" x14ac:dyDescent="0.25">
      <c r="A1668" s="40" t="str">
        <f>IF(Agent09_Loans!B80="","",Agent09_Loans!A80)</f>
        <v/>
      </c>
      <c r="B1668" s="40" t="str">
        <f>IF(Agent09_Loans!B80="","",Agent09_Loans!B80)</f>
        <v/>
      </c>
      <c r="C1668" s="40" t="str">
        <f>IF(Agent09_Loans!B80="","",Agent09_Loans!C80)</f>
        <v/>
      </c>
      <c r="D1668" s="41" t="str">
        <f>IF(Agent09_Loans!B80="","",Agent09_Loans!D80)</f>
        <v/>
      </c>
      <c r="E1668" s="43" t="str">
        <f>IF(Agent09_Loans!B80="","",Agent09_Loans!E80)</f>
        <v/>
      </c>
      <c r="F1668" s="40" t="str">
        <f>IF(Agent09_Loans!B80="","",Agent09_Loans!F80)</f>
        <v/>
      </c>
      <c r="G1668" s="40" t="str">
        <f>IF(Agent09_Loans!B80="","",Agent09_Loans!G80)</f>
        <v/>
      </c>
      <c r="H1668" s="40" t="str">
        <f>IF(Agent09_Loans!B80="","",Agent09_Loans!H80)</f>
        <v/>
      </c>
      <c r="I1668" s="43" t="str">
        <f>IF(Agent09_Loans!B80="","",Agent09_Loans!I80)</f>
        <v/>
      </c>
      <c r="J1668" s="43" t="str">
        <f>IF(Agent09_Loans!B80="","",Agent09_Loans!J80)</f>
        <v/>
      </c>
      <c r="K1668" s="40" t="str">
        <f>IF(Agent09_Loans!B80="","",Agent09_Loans!K80)</f>
        <v/>
      </c>
      <c r="L1668" s="40" t="str">
        <f>IF(Agent09_Loans!B80="","",Agent09_Loans!L80)</f>
        <v/>
      </c>
      <c r="M1668" s="40" t="str">
        <f>IFERROR(IF(Agent09_Loans!B80="","",YEAR(Agent09_Loans!D80)),"")</f>
        <v/>
      </c>
    </row>
    <row r="1669" spans="1:13" ht="18" customHeight="1" x14ac:dyDescent="0.25">
      <c r="A1669" s="40" t="str">
        <f>IF(Agent09_Loans!B81="","",Agent09_Loans!A81)</f>
        <v/>
      </c>
      <c r="B1669" s="40" t="str">
        <f>IF(Agent09_Loans!B81="","",Agent09_Loans!B81)</f>
        <v/>
      </c>
      <c r="C1669" s="40" t="str">
        <f>IF(Agent09_Loans!B81="","",Agent09_Loans!C81)</f>
        <v/>
      </c>
      <c r="D1669" s="41" t="str">
        <f>IF(Agent09_Loans!B81="","",Agent09_Loans!D81)</f>
        <v/>
      </c>
      <c r="E1669" s="43" t="str">
        <f>IF(Agent09_Loans!B81="","",Agent09_Loans!E81)</f>
        <v/>
      </c>
      <c r="F1669" s="40" t="str">
        <f>IF(Agent09_Loans!B81="","",Agent09_Loans!F81)</f>
        <v/>
      </c>
      <c r="G1669" s="40" t="str">
        <f>IF(Agent09_Loans!B81="","",Agent09_Loans!G81)</f>
        <v/>
      </c>
      <c r="H1669" s="40" t="str">
        <f>IF(Agent09_Loans!B81="","",Agent09_Loans!H81)</f>
        <v/>
      </c>
      <c r="I1669" s="43" t="str">
        <f>IF(Agent09_Loans!B81="","",Agent09_Loans!I81)</f>
        <v/>
      </c>
      <c r="J1669" s="43" t="str">
        <f>IF(Agent09_Loans!B81="","",Agent09_Loans!J81)</f>
        <v/>
      </c>
      <c r="K1669" s="40" t="str">
        <f>IF(Agent09_Loans!B81="","",Agent09_Loans!K81)</f>
        <v/>
      </c>
      <c r="L1669" s="40" t="str">
        <f>IF(Agent09_Loans!B81="","",Agent09_Loans!L81)</f>
        <v/>
      </c>
      <c r="M1669" s="40" t="str">
        <f>IFERROR(IF(Agent09_Loans!B81="","",YEAR(Agent09_Loans!D81)),"")</f>
        <v/>
      </c>
    </row>
    <row r="1670" spans="1:13" ht="18" customHeight="1" x14ac:dyDescent="0.25">
      <c r="A1670" s="40" t="str">
        <f>IF(Agent09_Loans!B82="","",Agent09_Loans!A82)</f>
        <v/>
      </c>
      <c r="B1670" s="40" t="str">
        <f>IF(Agent09_Loans!B82="","",Agent09_Loans!B82)</f>
        <v/>
      </c>
      <c r="C1670" s="40" t="str">
        <f>IF(Agent09_Loans!B82="","",Agent09_Loans!C82)</f>
        <v/>
      </c>
      <c r="D1670" s="41" t="str">
        <f>IF(Agent09_Loans!B82="","",Agent09_Loans!D82)</f>
        <v/>
      </c>
      <c r="E1670" s="43" t="str">
        <f>IF(Agent09_Loans!B82="","",Agent09_Loans!E82)</f>
        <v/>
      </c>
      <c r="F1670" s="40" t="str">
        <f>IF(Agent09_Loans!B82="","",Agent09_Loans!F82)</f>
        <v/>
      </c>
      <c r="G1670" s="40" t="str">
        <f>IF(Agent09_Loans!B82="","",Agent09_Loans!G82)</f>
        <v/>
      </c>
      <c r="H1670" s="40" t="str">
        <f>IF(Agent09_Loans!B82="","",Agent09_Loans!H82)</f>
        <v/>
      </c>
      <c r="I1670" s="43" t="str">
        <f>IF(Agent09_Loans!B82="","",Agent09_Loans!I82)</f>
        <v/>
      </c>
      <c r="J1670" s="43" t="str">
        <f>IF(Agent09_Loans!B82="","",Agent09_Loans!J82)</f>
        <v/>
      </c>
      <c r="K1670" s="40" t="str">
        <f>IF(Agent09_Loans!B82="","",Agent09_Loans!K82)</f>
        <v/>
      </c>
      <c r="L1670" s="40" t="str">
        <f>IF(Agent09_Loans!B82="","",Agent09_Loans!L82)</f>
        <v/>
      </c>
      <c r="M1670" s="40" t="str">
        <f>IFERROR(IF(Agent09_Loans!B82="","",YEAR(Agent09_Loans!D82)),"")</f>
        <v/>
      </c>
    </row>
    <row r="1671" spans="1:13" ht="18" customHeight="1" x14ac:dyDescent="0.25">
      <c r="A1671" s="40" t="str">
        <f>IF(Agent09_Loans!B83="","",Agent09_Loans!A83)</f>
        <v/>
      </c>
      <c r="B1671" s="40" t="str">
        <f>IF(Agent09_Loans!B83="","",Agent09_Loans!B83)</f>
        <v/>
      </c>
      <c r="C1671" s="40" t="str">
        <f>IF(Agent09_Loans!B83="","",Agent09_Loans!C83)</f>
        <v/>
      </c>
      <c r="D1671" s="41" t="str">
        <f>IF(Agent09_Loans!B83="","",Agent09_Loans!D83)</f>
        <v/>
      </c>
      <c r="E1671" s="43" t="str">
        <f>IF(Agent09_Loans!B83="","",Agent09_Loans!E83)</f>
        <v/>
      </c>
      <c r="F1671" s="40" t="str">
        <f>IF(Agent09_Loans!B83="","",Agent09_Loans!F83)</f>
        <v/>
      </c>
      <c r="G1671" s="40" t="str">
        <f>IF(Agent09_Loans!B83="","",Agent09_Loans!G83)</f>
        <v/>
      </c>
      <c r="H1671" s="40" t="str">
        <f>IF(Agent09_Loans!B83="","",Agent09_Loans!H83)</f>
        <v/>
      </c>
      <c r="I1671" s="43" t="str">
        <f>IF(Agent09_Loans!B83="","",Agent09_Loans!I83)</f>
        <v/>
      </c>
      <c r="J1671" s="43" t="str">
        <f>IF(Agent09_Loans!B83="","",Agent09_Loans!J83)</f>
        <v/>
      </c>
      <c r="K1671" s="40" t="str">
        <f>IF(Agent09_Loans!B83="","",Agent09_Loans!K83)</f>
        <v/>
      </c>
      <c r="L1671" s="40" t="str">
        <f>IF(Agent09_Loans!B83="","",Agent09_Loans!L83)</f>
        <v/>
      </c>
      <c r="M1671" s="40" t="str">
        <f>IFERROR(IF(Agent09_Loans!B83="","",YEAR(Agent09_Loans!D83)),"")</f>
        <v/>
      </c>
    </row>
    <row r="1672" spans="1:13" ht="18" customHeight="1" x14ac:dyDescent="0.25">
      <c r="A1672" s="40" t="str">
        <f>IF(Agent09_Loans!B84="","",Agent09_Loans!A84)</f>
        <v/>
      </c>
      <c r="B1672" s="40" t="str">
        <f>IF(Agent09_Loans!B84="","",Agent09_Loans!B84)</f>
        <v/>
      </c>
      <c r="C1672" s="40" t="str">
        <f>IF(Agent09_Loans!B84="","",Agent09_Loans!C84)</f>
        <v/>
      </c>
      <c r="D1672" s="41" t="str">
        <f>IF(Agent09_Loans!B84="","",Agent09_Loans!D84)</f>
        <v/>
      </c>
      <c r="E1672" s="43" t="str">
        <f>IF(Agent09_Loans!B84="","",Agent09_Loans!E84)</f>
        <v/>
      </c>
      <c r="F1672" s="40" t="str">
        <f>IF(Agent09_Loans!B84="","",Agent09_Loans!F84)</f>
        <v/>
      </c>
      <c r="G1672" s="40" t="str">
        <f>IF(Agent09_Loans!B84="","",Agent09_Loans!G84)</f>
        <v/>
      </c>
      <c r="H1672" s="40" t="str">
        <f>IF(Agent09_Loans!B84="","",Agent09_Loans!H84)</f>
        <v/>
      </c>
      <c r="I1672" s="43" t="str">
        <f>IF(Agent09_Loans!B84="","",Agent09_Loans!I84)</f>
        <v/>
      </c>
      <c r="J1672" s="43" t="str">
        <f>IF(Agent09_Loans!B84="","",Agent09_Loans!J84)</f>
        <v/>
      </c>
      <c r="K1672" s="40" t="str">
        <f>IF(Agent09_Loans!B84="","",Agent09_Loans!K84)</f>
        <v/>
      </c>
      <c r="L1672" s="40" t="str">
        <f>IF(Agent09_Loans!B84="","",Agent09_Loans!L84)</f>
        <v/>
      </c>
      <c r="M1672" s="40" t="str">
        <f>IFERROR(IF(Agent09_Loans!B84="","",YEAR(Agent09_Loans!D84)),"")</f>
        <v/>
      </c>
    </row>
    <row r="1673" spans="1:13" ht="18" customHeight="1" x14ac:dyDescent="0.25">
      <c r="A1673" s="40" t="str">
        <f>IF(Agent09_Loans!B85="","",Agent09_Loans!A85)</f>
        <v/>
      </c>
      <c r="B1673" s="40" t="str">
        <f>IF(Agent09_Loans!B85="","",Agent09_Loans!B85)</f>
        <v/>
      </c>
      <c r="C1673" s="40" t="str">
        <f>IF(Agent09_Loans!B85="","",Agent09_Loans!C85)</f>
        <v/>
      </c>
      <c r="D1673" s="41" t="str">
        <f>IF(Agent09_Loans!B85="","",Agent09_Loans!D85)</f>
        <v/>
      </c>
      <c r="E1673" s="43" t="str">
        <f>IF(Agent09_Loans!B85="","",Agent09_Loans!E85)</f>
        <v/>
      </c>
      <c r="F1673" s="40" t="str">
        <f>IF(Agent09_Loans!B85="","",Agent09_Loans!F85)</f>
        <v/>
      </c>
      <c r="G1673" s="40" t="str">
        <f>IF(Agent09_Loans!B85="","",Agent09_Loans!G85)</f>
        <v/>
      </c>
      <c r="H1673" s="40" t="str">
        <f>IF(Agent09_Loans!B85="","",Agent09_Loans!H85)</f>
        <v/>
      </c>
      <c r="I1673" s="43" t="str">
        <f>IF(Agent09_Loans!B85="","",Agent09_Loans!I85)</f>
        <v/>
      </c>
      <c r="J1673" s="43" t="str">
        <f>IF(Agent09_Loans!B85="","",Agent09_Loans!J85)</f>
        <v/>
      </c>
      <c r="K1673" s="40" t="str">
        <f>IF(Agent09_Loans!B85="","",Agent09_Loans!K85)</f>
        <v/>
      </c>
      <c r="L1673" s="40" t="str">
        <f>IF(Agent09_Loans!B85="","",Agent09_Loans!L85)</f>
        <v/>
      </c>
      <c r="M1673" s="40" t="str">
        <f>IFERROR(IF(Agent09_Loans!B85="","",YEAR(Agent09_Loans!D85)),"")</f>
        <v/>
      </c>
    </row>
    <row r="1674" spans="1:13" ht="18" customHeight="1" x14ac:dyDescent="0.25">
      <c r="A1674" s="40" t="str">
        <f>IF(Agent09_Loans!B86="","",Agent09_Loans!A86)</f>
        <v/>
      </c>
      <c r="B1674" s="40" t="str">
        <f>IF(Agent09_Loans!B86="","",Agent09_Loans!B86)</f>
        <v/>
      </c>
      <c r="C1674" s="40" t="str">
        <f>IF(Agent09_Loans!B86="","",Agent09_Loans!C86)</f>
        <v/>
      </c>
      <c r="D1674" s="41" t="str">
        <f>IF(Agent09_Loans!B86="","",Agent09_Loans!D86)</f>
        <v/>
      </c>
      <c r="E1674" s="43" t="str">
        <f>IF(Agent09_Loans!B86="","",Agent09_Loans!E86)</f>
        <v/>
      </c>
      <c r="F1674" s="40" t="str">
        <f>IF(Agent09_Loans!B86="","",Agent09_Loans!F86)</f>
        <v/>
      </c>
      <c r="G1674" s="40" t="str">
        <f>IF(Agent09_Loans!B86="","",Agent09_Loans!G86)</f>
        <v/>
      </c>
      <c r="H1674" s="40" t="str">
        <f>IF(Agent09_Loans!B86="","",Agent09_Loans!H86)</f>
        <v/>
      </c>
      <c r="I1674" s="43" t="str">
        <f>IF(Agent09_Loans!B86="","",Agent09_Loans!I86)</f>
        <v/>
      </c>
      <c r="J1674" s="43" t="str">
        <f>IF(Agent09_Loans!B86="","",Agent09_Loans!J86)</f>
        <v/>
      </c>
      <c r="K1674" s="40" t="str">
        <f>IF(Agent09_Loans!B86="","",Agent09_Loans!K86)</f>
        <v/>
      </c>
      <c r="L1674" s="40" t="str">
        <f>IF(Agent09_Loans!B86="","",Agent09_Loans!L86)</f>
        <v/>
      </c>
      <c r="M1674" s="40" t="str">
        <f>IFERROR(IF(Agent09_Loans!B86="","",YEAR(Agent09_Loans!D86)),"")</f>
        <v/>
      </c>
    </row>
    <row r="1675" spans="1:13" ht="18" customHeight="1" x14ac:dyDescent="0.25">
      <c r="A1675" s="40" t="str">
        <f>IF(Agent09_Loans!B87="","",Agent09_Loans!A87)</f>
        <v/>
      </c>
      <c r="B1675" s="40" t="str">
        <f>IF(Agent09_Loans!B87="","",Agent09_Loans!B87)</f>
        <v/>
      </c>
      <c r="C1675" s="40" t="str">
        <f>IF(Agent09_Loans!B87="","",Agent09_Loans!C87)</f>
        <v/>
      </c>
      <c r="D1675" s="41" t="str">
        <f>IF(Agent09_Loans!B87="","",Agent09_Loans!D87)</f>
        <v/>
      </c>
      <c r="E1675" s="43" t="str">
        <f>IF(Agent09_Loans!B87="","",Agent09_Loans!E87)</f>
        <v/>
      </c>
      <c r="F1675" s="40" t="str">
        <f>IF(Agent09_Loans!B87="","",Agent09_Loans!F87)</f>
        <v/>
      </c>
      <c r="G1675" s="40" t="str">
        <f>IF(Agent09_Loans!B87="","",Agent09_Loans!G87)</f>
        <v/>
      </c>
      <c r="H1675" s="40" t="str">
        <f>IF(Agent09_Loans!B87="","",Agent09_Loans!H87)</f>
        <v/>
      </c>
      <c r="I1675" s="43" t="str">
        <f>IF(Agent09_Loans!B87="","",Agent09_Loans!I87)</f>
        <v/>
      </c>
      <c r="J1675" s="43" t="str">
        <f>IF(Agent09_Loans!B87="","",Agent09_Loans!J87)</f>
        <v/>
      </c>
      <c r="K1675" s="40" t="str">
        <f>IF(Agent09_Loans!B87="","",Agent09_Loans!K87)</f>
        <v/>
      </c>
      <c r="L1675" s="40" t="str">
        <f>IF(Agent09_Loans!B87="","",Agent09_Loans!L87)</f>
        <v/>
      </c>
      <c r="M1675" s="40" t="str">
        <f>IFERROR(IF(Agent09_Loans!B87="","",YEAR(Agent09_Loans!D87)),"")</f>
        <v/>
      </c>
    </row>
    <row r="1676" spans="1:13" ht="18" customHeight="1" x14ac:dyDescent="0.25">
      <c r="A1676" s="40" t="str">
        <f>IF(Agent09_Loans!B88="","",Agent09_Loans!A88)</f>
        <v/>
      </c>
      <c r="B1676" s="40" t="str">
        <f>IF(Agent09_Loans!B88="","",Agent09_Loans!B88)</f>
        <v/>
      </c>
      <c r="C1676" s="40" t="str">
        <f>IF(Agent09_Loans!B88="","",Agent09_Loans!C88)</f>
        <v/>
      </c>
      <c r="D1676" s="41" t="str">
        <f>IF(Agent09_Loans!B88="","",Agent09_Loans!D88)</f>
        <v/>
      </c>
      <c r="E1676" s="43" t="str">
        <f>IF(Agent09_Loans!B88="","",Agent09_Loans!E88)</f>
        <v/>
      </c>
      <c r="F1676" s="40" t="str">
        <f>IF(Agent09_Loans!B88="","",Agent09_Loans!F88)</f>
        <v/>
      </c>
      <c r="G1676" s="40" t="str">
        <f>IF(Agent09_Loans!B88="","",Agent09_Loans!G88)</f>
        <v/>
      </c>
      <c r="H1676" s="40" t="str">
        <f>IF(Agent09_Loans!B88="","",Agent09_Loans!H88)</f>
        <v/>
      </c>
      <c r="I1676" s="43" t="str">
        <f>IF(Agent09_Loans!B88="","",Agent09_Loans!I88)</f>
        <v/>
      </c>
      <c r="J1676" s="43" t="str">
        <f>IF(Agent09_Loans!B88="","",Agent09_Loans!J88)</f>
        <v/>
      </c>
      <c r="K1676" s="40" t="str">
        <f>IF(Agent09_Loans!B88="","",Agent09_Loans!K88)</f>
        <v/>
      </c>
      <c r="L1676" s="40" t="str">
        <f>IF(Agent09_Loans!B88="","",Agent09_Loans!L88)</f>
        <v/>
      </c>
      <c r="M1676" s="40" t="str">
        <f>IFERROR(IF(Agent09_Loans!B88="","",YEAR(Agent09_Loans!D88)),"")</f>
        <v/>
      </c>
    </row>
    <row r="1677" spans="1:13" ht="18" customHeight="1" x14ac:dyDescent="0.25">
      <c r="A1677" s="40" t="str">
        <f>IF(Agent09_Loans!B89="","",Agent09_Loans!A89)</f>
        <v/>
      </c>
      <c r="B1677" s="40" t="str">
        <f>IF(Agent09_Loans!B89="","",Agent09_Loans!B89)</f>
        <v/>
      </c>
      <c r="C1677" s="40" t="str">
        <f>IF(Agent09_Loans!B89="","",Agent09_Loans!C89)</f>
        <v/>
      </c>
      <c r="D1677" s="41" t="str">
        <f>IF(Agent09_Loans!B89="","",Agent09_Loans!D89)</f>
        <v/>
      </c>
      <c r="E1677" s="43" t="str">
        <f>IF(Agent09_Loans!B89="","",Agent09_Loans!E89)</f>
        <v/>
      </c>
      <c r="F1677" s="40" t="str">
        <f>IF(Agent09_Loans!B89="","",Agent09_Loans!F89)</f>
        <v/>
      </c>
      <c r="G1677" s="40" t="str">
        <f>IF(Agent09_Loans!B89="","",Agent09_Loans!G89)</f>
        <v/>
      </c>
      <c r="H1677" s="40" t="str">
        <f>IF(Agent09_Loans!B89="","",Agent09_Loans!H89)</f>
        <v/>
      </c>
      <c r="I1677" s="43" t="str">
        <f>IF(Agent09_Loans!B89="","",Agent09_Loans!I89)</f>
        <v/>
      </c>
      <c r="J1677" s="43" t="str">
        <f>IF(Agent09_Loans!B89="","",Agent09_Loans!J89)</f>
        <v/>
      </c>
      <c r="K1677" s="40" t="str">
        <f>IF(Agent09_Loans!B89="","",Agent09_Loans!K89)</f>
        <v/>
      </c>
      <c r="L1677" s="40" t="str">
        <f>IF(Agent09_Loans!B89="","",Agent09_Loans!L89)</f>
        <v/>
      </c>
      <c r="M1677" s="40" t="str">
        <f>IFERROR(IF(Agent09_Loans!B89="","",YEAR(Agent09_Loans!D89)),"")</f>
        <v/>
      </c>
    </row>
    <row r="1678" spans="1:13" ht="18" customHeight="1" x14ac:dyDescent="0.25">
      <c r="A1678" s="40" t="str">
        <f>IF(Agent09_Loans!B90="","",Agent09_Loans!A90)</f>
        <v/>
      </c>
      <c r="B1678" s="40" t="str">
        <f>IF(Agent09_Loans!B90="","",Agent09_Loans!B90)</f>
        <v/>
      </c>
      <c r="C1678" s="40" t="str">
        <f>IF(Agent09_Loans!B90="","",Agent09_Loans!C90)</f>
        <v/>
      </c>
      <c r="D1678" s="41" t="str">
        <f>IF(Agent09_Loans!B90="","",Agent09_Loans!D90)</f>
        <v/>
      </c>
      <c r="E1678" s="43" t="str">
        <f>IF(Agent09_Loans!B90="","",Agent09_Loans!E90)</f>
        <v/>
      </c>
      <c r="F1678" s="40" t="str">
        <f>IF(Agent09_Loans!B90="","",Agent09_Loans!F90)</f>
        <v/>
      </c>
      <c r="G1678" s="40" t="str">
        <f>IF(Agent09_Loans!B90="","",Agent09_Loans!G90)</f>
        <v/>
      </c>
      <c r="H1678" s="40" t="str">
        <f>IF(Agent09_Loans!B90="","",Agent09_Loans!H90)</f>
        <v/>
      </c>
      <c r="I1678" s="43" t="str">
        <f>IF(Agent09_Loans!B90="","",Agent09_Loans!I90)</f>
        <v/>
      </c>
      <c r="J1678" s="43" t="str">
        <f>IF(Agent09_Loans!B90="","",Agent09_Loans!J90)</f>
        <v/>
      </c>
      <c r="K1678" s="40" t="str">
        <f>IF(Agent09_Loans!B90="","",Agent09_Loans!K90)</f>
        <v/>
      </c>
      <c r="L1678" s="40" t="str">
        <f>IF(Agent09_Loans!B90="","",Agent09_Loans!L90)</f>
        <v/>
      </c>
      <c r="M1678" s="40" t="str">
        <f>IFERROR(IF(Agent09_Loans!B90="","",YEAR(Agent09_Loans!D90)),"")</f>
        <v/>
      </c>
    </row>
    <row r="1679" spans="1:13" ht="18" customHeight="1" x14ac:dyDescent="0.25">
      <c r="A1679" s="40" t="str">
        <f>IF(Agent09_Loans!B91="","",Agent09_Loans!A91)</f>
        <v/>
      </c>
      <c r="B1679" s="40" t="str">
        <f>IF(Agent09_Loans!B91="","",Agent09_Loans!B91)</f>
        <v/>
      </c>
      <c r="C1679" s="40" t="str">
        <f>IF(Agent09_Loans!B91="","",Agent09_Loans!C91)</f>
        <v/>
      </c>
      <c r="D1679" s="41" t="str">
        <f>IF(Agent09_Loans!B91="","",Agent09_Loans!D91)</f>
        <v/>
      </c>
      <c r="E1679" s="43" t="str">
        <f>IF(Agent09_Loans!B91="","",Agent09_Loans!E91)</f>
        <v/>
      </c>
      <c r="F1679" s="40" t="str">
        <f>IF(Agent09_Loans!B91="","",Agent09_Loans!F91)</f>
        <v/>
      </c>
      <c r="G1679" s="40" t="str">
        <f>IF(Agent09_Loans!B91="","",Agent09_Loans!G91)</f>
        <v/>
      </c>
      <c r="H1679" s="40" t="str">
        <f>IF(Agent09_Loans!B91="","",Agent09_Loans!H91)</f>
        <v/>
      </c>
      <c r="I1679" s="43" t="str">
        <f>IF(Agent09_Loans!B91="","",Agent09_Loans!I91)</f>
        <v/>
      </c>
      <c r="J1679" s="43" t="str">
        <f>IF(Agent09_Loans!B91="","",Agent09_Loans!J91)</f>
        <v/>
      </c>
      <c r="K1679" s="40" t="str">
        <f>IF(Agent09_Loans!B91="","",Agent09_Loans!K91)</f>
        <v/>
      </c>
      <c r="L1679" s="40" t="str">
        <f>IF(Agent09_Loans!B91="","",Agent09_Loans!L91)</f>
        <v/>
      </c>
      <c r="M1679" s="40" t="str">
        <f>IFERROR(IF(Agent09_Loans!B91="","",YEAR(Agent09_Loans!D91)),"")</f>
        <v/>
      </c>
    </row>
    <row r="1680" spans="1:13" ht="18" customHeight="1" x14ac:dyDescent="0.25">
      <c r="A1680" s="40" t="str">
        <f>IF(Agent09_Loans!B92="","",Agent09_Loans!A92)</f>
        <v/>
      </c>
      <c r="B1680" s="40" t="str">
        <f>IF(Agent09_Loans!B92="","",Agent09_Loans!B92)</f>
        <v/>
      </c>
      <c r="C1680" s="40" t="str">
        <f>IF(Agent09_Loans!B92="","",Agent09_Loans!C92)</f>
        <v/>
      </c>
      <c r="D1680" s="41" t="str">
        <f>IF(Agent09_Loans!B92="","",Agent09_Loans!D92)</f>
        <v/>
      </c>
      <c r="E1680" s="43" t="str">
        <f>IF(Agent09_Loans!B92="","",Agent09_Loans!E92)</f>
        <v/>
      </c>
      <c r="F1680" s="40" t="str">
        <f>IF(Agent09_Loans!B92="","",Agent09_Loans!F92)</f>
        <v/>
      </c>
      <c r="G1680" s="40" t="str">
        <f>IF(Agent09_Loans!B92="","",Agent09_Loans!G92)</f>
        <v/>
      </c>
      <c r="H1680" s="40" t="str">
        <f>IF(Agent09_Loans!B92="","",Agent09_Loans!H92)</f>
        <v/>
      </c>
      <c r="I1680" s="43" t="str">
        <f>IF(Agent09_Loans!B92="","",Agent09_Loans!I92)</f>
        <v/>
      </c>
      <c r="J1680" s="43" t="str">
        <f>IF(Agent09_Loans!B92="","",Agent09_Loans!J92)</f>
        <v/>
      </c>
      <c r="K1680" s="40" t="str">
        <f>IF(Agent09_Loans!B92="","",Agent09_Loans!K92)</f>
        <v/>
      </c>
      <c r="L1680" s="40" t="str">
        <f>IF(Agent09_Loans!B92="","",Agent09_Loans!L92)</f>
        <v/>
      </c>
      <c r="M1680" s="40" t="str">
        <f>IFERROR(IF(Agent09_Loans!B92="","",YEAR(Agent09_Loans!D92)),"")</f>
        <v/>
      </c>
    </row>
    <row r="1681" spans="1:13" ht="18" customHeight="1" x14ac:dyDescent="0.25">
      <c r="A1681" s="40" t="str">
        <f>IF(Agent09_Loans!B93="","",Agent09_Loans!A93)</f>
        <v/>
      </c>
      <c r="B1681" s="40" t="str">
        <f>IF(Agent09_Loans!B93="","",Agent09_Loans!B93)</f>
        <v/>
      </c>
      <c r="C1681" s="40" t="str">
        <f>IF(Agent09_Loans!B93="","",Agent09_Loans!C93)</f>
        <v/>
      </c>
      <c r="D1681" s="41" t="str">
        <f>IF(Agent09_Loans!B93="","",Agent09_Loans!D93)</f>
        <v/>
      </c>
      <c r="E1681" s="43" t="str">
        <f>IF(Agent09_Loans!B93="","",Agent09_Loans!E93)</f>
        <v/>
      </c>
      <c r="F1681" s="40" t="str">
        <f>IF(Agent09_Loans!B93="","",Agent09_Loans!F93)</f>
        <v/>
      </c>
      <c r="G1681" s="40" t="str">
        <f>IF(Agent09_Loans!B93="","",Agent09_Loans!G93)</f>
        <v/>
      </c>
      <c r="H1681" s="40" t="str">
        <f>IF(Agent09_Loans!B93="","",Agent09_Loans!H93)</f>
        <v/>
      </c>
      <c r="I1681" s="43" t="str">
        <f>IF(Agent09_Loans!B93="","",Agent09_Loans!I93)</f>
        <v/>
      </c>
      <c r="J1681" s="43" t="str">
        <f>IF(Agent09_Loans!B93="","",Agent09_Loans!J93)</f>
        <v/>
      </c>
      <c r="K1681" s="40" t="str">
        <f>IF(Agent09_Loans!B93="","",Agent09_Loans!K93)</f>
        <v/>
      </c>
      <c r="L1681" s="40" t="str">
        <f>IF(Agent09_Loans!B93="","",Agent09_Loans!L93)</f>
        <v/>
      </c>
      <c r="M1681" s="40" t="str">
        <f>IFERROR(IF(Agent09_Loans!B93="","",YEAR(Agent09_Loans!D93)),"")</f>
        <v/>
      </c>
    </row>
    <row r="1682" spans="1:13" ht="18" customHeight="1" x14ac:dyDescent="0.25">
      <c r="A1682" s="40" t="str">
        <f>IF(Agent09_Loans!B94="","",Agent09_Loans!A94)</f>
        <v/>
      </c>
      <c r="B1682" s="40" t="str">
        <f>IF(Agent09_Loans!B94="","",Agent09_Loans!B94)</f>
        <v/>
      </c>
      <c r="C1682" s="40" t="str">
        <f>IF(Agent09_Loans!B94="","",Agent09_Loans!C94)</f>
        <v/>
      </c>
      <c r="D1682" s="41" t="str">
        <f>IF(Agent09_Loans!B94="","",Agent09_Loans!D94)</f>
        <v/>
      </c>
      <c r="E1682" s="43" t="str">
        <f>IF(Agent09_Loans!B94="","",Agent09_Loans!E94)</f>
        <v/>
      </c>
      <c r="F1682" s="40" t="str">
        <f>IF(Agent09_Loans!B94="","",Agent09_Loans!F94)</f>
        <v/>
      </c>
      <c r="G1682" s="40" t="str">
        <f>IF(Agent09_Loans!B94="","",Agent09_Loans!G94)</f>
        <v/>
      </c>
      <c r="H1682" s="40" t="str">
        <f>IF(Agent09_Loans!B94="","",Agent09_Loans!H94)</f>
        <v/>
      </c>
      <c r="I1682" s="43" t="str">
        <f>IF(Agent09_Loans!B94="","",Agent09_Loans!I94)</f>
        <v/>
      </c>
      <c r="J1682" s="43" t="str">
        <f>IF(Agent09_Loans!B94="","",Agent09_Loans!J94)</f>
        <v/>
      </c>
      <c r="K1682" s="40" t="str">
        <f>IF(Agent09_Loans!B94="","",Agent09_Loans!K94)</f>
        <v/>
      </c>
      <c r="L1682" s="40" t="str">
        <f>IF(Agent09_Loans!B94="","",Agent09_Loans!L94)</f>
        <v/>
      </c>
      <c r="M1682" s="40" t="str">
        <f>IFERROR(IF(Agent09_Loans!B94="","",YEAR(Agent09_Loans!D94)),"")</f>
        <v/>
      </c>
    </row>
    <row r="1683" spans="1:13" ht="18" customHeight="1" x14ac:dyDescent="0.25">
      <c r="A1683" s="40" t="str">
        <f>IF(Agent09_Loans!B95="","",Agent09_Loans!A95)</f>
        <v/>
      </c>
      <c r="B1683" s="40" t="str">
        <f>IF(Agent09_Loans!B95="","",Agent09_Loans!B95)</f>
        <v/>
      </c>
      <c r="C1683" s="40" t="str">
        <f>IF(Agent09_Loans!B95="","",Agent09_Loans!C95)</f>
        <v/>
      </c>
      <c r="D1683" s="41" t="str">
        <f>IF(Agent09_Loans!B95="","",Agent09_Loans!D95)</f>
        <v/>
      </c>
      <c r="E1683" s="43" t="str">
        <f>IF(Agent09_Loans!B95="","",Agent09_Loans!E95)</f>
        <v/>
      </c>
      <c r="F1683" s="40" t="str">
        <f>IF(Agent09_Loans!B95="","",Agent09_Loans!F95)</f>
        <v/>
      </c>
      <c r="G1683" s="40" t="str">
        <f>IF(Agent09_Loans!B95="","",Agent09_Loans!G95)</f>
        <v/>
      </c>
      <c r="H1683" s="40" t="str">
        <f>IF(Agent09_Loans!B95="","",Agent09_Loans!H95)</f>
        <v/>
      </c>
      <c r="I1683" s="43" t="str">
        <f>IF(Agent09_Loans!B95="","",Agent09_Loans!I95)</f>
        <v/>
      </c>
      <c r="J1683" s="43" t="str">
        <f>IF(Agent09_Loans!B95="","",Agent09_Loans!J95)</f>
        <v/>
      </c>
      <c r="K1683" s="40" t="str">
        <f>IF(Agent09_Loans!B95="","",Agent09_Loans!K95)</f>
        <v/>
      </c>
      <c r="L1683" s="40" t="str">
        <f>IF(Agent09_Loans!B95="","",Agent09_Loans!L95)</f>
        <v/>
      </c>
      <c r="M1683" s="40" t="str">
        <f>IFERROR(IF(Agent09_Loans!B95="","",YEAR(Agent09_Loans!D95)),"")</f>
        <v/>
      </c>
    </row>
    <row r="1684" spans="1:13" ht="18" customHeight="1" x14ac:dyDescent="0.25">
      <c r="A1684" s="40" t="str">
        <f>IF(Agent09_Loans!B96="","",Agent09_Loans!A96)</f>
        <v/>
      </c>
      <c r="B1684" s="40" t="str">
        <f>IF(Agent09_Loans!B96="","",Agent09_Loans!B96)</f>
        <v/>
      </c>
      <c r="C1684" s="40" t="str">
        <f>IF(Agent09_Loans!B96="","",Agent09_Loans!C96)</f>
        <v/>
      </c>
      <c r="D1684" s="41" t="str">
        <f>IF(Agent09_Loans!B96="","",Agent09_Loans!D96)</f>
        <v/>
      </c>
      <c r="E1684" s="43" t="str">
        <f>IF(Agent09_Loans!B96="","",Agent09_Loans!E96)</f>
        <v/>
      </c>
      <c r="F1684" s="40" t="str">
        <f>IF(Agent09_Loans!B96="","",Agent09_Loans!F96)</f>
        <v/>
      </c>
      <c r="G1684" s="40" t="str">
        <f>IF(Agent09_Loans!B96="","",Agent09_Loans!G96)</f>
        <v/>
      </c>
      <c r="H1684" s="40" t="str">
        <f>IF(Agent09_Loans!B96="","",Agent09_Loans!H96)</f>
        <v/>
      </c>
      <c r="I1684" s="43" t="str">
        <f>IF(Agent09_Loans!B96="","",Agent09_Loans!I96)</f>
        <v/>
      </c>
      <c r="J1684" s="43" t="str">
        <f>IF(Agent09_Loans!B96="","",Agent09_Loans!J96)</f>
        <v/>
      </c>
      <c r="K1684" s="40" t="str">
        <f>IF(Agent09_Loans!B96="","",Agent09_Loans!K96)</f>
        <v/>
      </c>
      <c r="L1684" s="40" t="str">
        <f>IF(Agent09_Loans!B96="","",Agent09_Loans!L96)</f>
        <v/>
      </c>
      <c r="M1684" s="40" t="str">
        <f>IFERROR(IF(Agent09_Loans!B96="","",YEAR(Agent09_Loans!D96)),"")</f>
        <v/>
      </c>
    </row>
    <row r="1685" spans="1:13" ht="18" customHeight="1" x14ac:dyDescent="0.25">
      <c r="A1685" s="40" t="str">
        <f>IF(Agent09_Loans!B97="","",Agent09_Loans!A97)</f>
        <v/>
      </c>
      <c r="B1685" s="40" t="str">
        <f>IF(Agent09_Loans!B97="","",Agent09_Loans!B97)</f>
        <v/>
      </c>
      <c r="C1685" s="40" t="str">
        <f>IF(Agent09_Loans!B97="","",Agent09_Loans!C97)</f>
        <v/>
      </c>
      <c r="D1685" s="41" t="str">
        <f>IF(Agent09_Loans!B97="","",Agent09_Loans!D97)</f>
        <v/>
      </c>
      <c r="E1685" s="43" t="str">
        <f>IF(Agent09_Loans!B97="","",Agent09_Loans!E97)</f>
        <v/>
      </c>
      <c r="F1685" s="40" t="str">
        <f>IF(Agent09_Loans!B97="","",Agent09_Loans!F97)</f>
        <v/>
      </c>
      <c r="G1685" s="40" t="str">
        <f>IF(Agent09_Loans!B97="","",Agent09_Loans!G97)</f>
        <v/>
      </c>
      <c r="H1685" s="40" t="str">
        <f>IF(Agent09_Loans!B97="","",Agent09_Loans!H97)</f>
        <v/>
      </c>
      <c r="I1685" s="43" t="str">
        <f>IF(Agent09_Loans!B97="","",Agent09_Loans!I97)</f>
        <v/>
      </c>
      <c r="J1685" s="43" t="str">
        <f>IF(Agent09_Loans!B97="","",Agent09_Loans!J97)</f>
        <v/>
      </c>
      <c r="K1685" s="40" t="str">
        <f>IF(Agent09_Loans!B97="","",Agent09_Loans!K97)</f>
        <v/>
      </c>
      <c r="L1685" s="40" t="str">
        <f>IF(Agent09_Loans!B97="","",Agent09_Loans!L97)</f>
        <v/>
      </c>
      <c r="M1685" s="40" t="str">
        <f>IFERROR(IF(Agent09_Loans!B97="","",YEAR(Agent09_Loans!D97)),"")</f>
        <v/>
      </c>
    </row>
    <row r="1686" spans="1:13" ht="18" customHeight="1" x14ac:dyDescent="0.25">
      <c r="A1686" s="40" t="str">
        <f>IF(Agent09_Loans!B98="","",Agent09_Loans!A98)</f>
        <v/>
      </c>
      <c r="B1686" s="40" t="str">
        <f>IF(Agent09_Loans!B98="","",Agent09_Loans!B98)</f>
        <v/>
      </c>
      <c r="C1686" s="40" t="str">
        <f>IF(Agent09_Loans!B98="","",Agent09_Loans!C98)</f>
        <v/>
      </c>
      <c r="D1686" s="41" t="str">
        <f>IF(Agent09_Loans!B98="","",Agent09_Loans!D98)</f>
        <v/>
      </c>
      <c r="E1686" s="43" t="str">
        <f>IF(Agent09_Loans!B98="","",Agent09_Loans!E98)</f>
        <v/>
      </c>
      <c r="F1686" s="40" t="str">
        <f>IF(Agent09_Loans!B98="","",Agent09_Loans!F98)</f>
        <v/>
      </c>
      <c r="G1686" s="40" t="str">
        <f>IF(Agent09_Loans!B98="","",Agent09_Loans!G98)</f>
        <v/>
      </c>
      <c r="H1686" s="40" t="str">
        <f>IF(Agent09_Loans!B98="","",Agent09_Loans!H98)</f>
        <v/>
      </c>
      <c r="I1686" s="43" t="str">
        <f>IF(Agent09_Loans!B98="","",Agent09_Loans!I98)</f>
        <v/>
      </c>
      <c r="J1686" s="43" t="str">
        <f>IF(Agent09_Loans!B98="","",Agent09_Loans!J98)</f>
        <v/>
      </c>
      <c r="K1686" s="40" t="str">
        <f>IF(Agent09_Loans!B98="","",Agent09_Loans!K98)</f>
        <v/>
      </c>
      <c r="L1686" s="40" t="str">
        <f>IF(Agent09_Loans!B98="","",Agent09_Loans!L98)</f>
        <v/>
      </c>
      <c r="M1686" s="40" t="str">
        <f>IFERROR(IF(Agent09_Loans!B98="","",YEAR(Agent09_Loans!D98)),"")</f>
        <v/>
      </c>
    </row>
    <row r="1687" spans="1:13" ht="18" customHeight="1" x14ac:dyDescent="0.25">
      <c r="A1687" s="40" t="str">
        <f>IF(Agent09_Loans!B99="","",Agent09_Loans!A99)</f>
        <v/>
      </c>
      <c r="B1687" s="40" t="str">
        <f>IF(Agent09_Loans!B99="","",Agent09_Loans!B99)</f>
        <v/>
      </c>
      <c r="C1687" s="40" t="str">
        <f>IF(Agent09_Loans!B99="","",Agent09_Loans!C99)</f>
        <v/>
      </c>
      <c r="D1687" s="41" t="str">
        <f>IF(Agent09_Loans!B99="","",Agent09_Loans!D99)</f>
        <v/>
      </c>
      <c r="E1687" s="43" t="str">
        <f>IF(Agent09_Loans!B99="","",Agent09_Loans!E99)</f>
        <v/>
      </c>
      <c r="F1687" s="40" t="str">
        <f>IF(Agent09_Loans!B99="","",Agent09_Loans!F99)</f>
        <v/>
      </c>
      <c r="G1687" s="40" t="str">
        <f>IF(Agent09_Loans!B99="","",Agent09_Loans!G99)</f>
        <v/>
      </c>
      <c r="H1687" s="40" t="str">
        <f>IF(Agent09_Loans!B99="","",Agent09_Loans!H99)</f>
        <v/>
      </c>
      <c r="I1687" s="43" t="str">
        <f>IF(Agent09_Loans!B99="","",Agent09_Loans!I99)</f>
        <v/>
      </c>
      <c r="J1687" s="43" t="str">
        <f>IF(Agent09_Loans!B99="","",Agent09_Loans!J99)</f>
        <v/>
      </c>
      <c r="K1687" s="40" t="str">
        <f>IF(Agent09_Loans!B99="","",Agent09_Loans!K99)</f>
        <v/>
      </c>
      <c r="L1687" s="40" t="str">
        <f>IF(Agent09_Loans!B99="","",Agent09_Loans!L99)</f>
        <v/>
      </c>
      <c r="M1687" s="40" t="str">
        <f>IFERROR(IF(Agent09_Loans!B99="","",YEAR(Agent09_Loans!D99)),"")</f>
        <v/>
      </c>
    </row>
    <row r="1688" spans="1:13" ht="18" customHeight="1" x14ac:dyDescent="0.25">
      <c r="A1688" s="40" t="str">
        <f>IF(Agent09_Loans!B100="","",Agent09_Loans!A100)</f>
        <v/>
      </c>
      <c r="B1688" s="40" t="str">
        <f>IF(Agent09_Loans!B100="","",Agent09_Loans!B100)</f>
        <v/>
      </c>
      <c r="C1688" s="40" t="str">
        <f>IF(Agent09_Loans!B100="","",Agent09_Loans!C100)</f>
        <v/>
      </c>
      <c r="D1688" s="41" t="str">
        <f>IF(Agent09_Loans!B100="","",Agent09_Loans!D100)</f>
        <v/>
      </c>
      <c r="E1688" s="43" t="str">
        <f>IF(Agent09_Loans!B100="","",Agent09_Loans!E100)</f>
        <v/>
      </c>
      <c r="F1688" s="40" t="str">
        <f>IF(Agent09_Loans!B100="","",Agent09_Loans!F100)</f>
        <v/>
      </c>
      <c r="G1688" s="40" t="str">
        <f>IF(Agent09_Loans!B100="","",Agent09_Loans!G100)</f>
        <v/>
      </c>
      <c r="H1688" s="40" t="str">
        <f>IF(Agent09_Loans!B100="","",Agent09_Loans!H100)</f>
        <v/>
      </c>
      <c r="I1688" s="43" t="str">
        <f>IF(Agent09_Loans!B100="","",Agent09_Loans!I100)</f>
        <v/>
      </c>
      <c r="J1688" s="43" t="str">
        <f>IF(Agent09_Loans!B100="","",Agent09_Loans!J100)</f>
        <v/>
      </c>
      <c r="K1688" s="40" t="str">
        <f>IF(Agent09_Loans!B100="","",Agent09_Loans!K100)</f>
        <v/>
      </c>
      <c r="L1688" s="40" t="str">
        <f>IF(Agent09_Loans!B100="","",Agent09_Loans!L100)</f>
        <v/>
      </c>
      <c r="M1688" s="40" t="str">
        <f>IFERROR(IF(Agent09_Loans!B100="","",YEAR(Agent09_Loans!D100)),"")</f>
        <v/>
      </c>
    </row>
    <row r="1689" spans="1:13" ht="18" customHeight="1" x14ac:dyDescent="0.25">
      <c r="A1689" s="40" t="str">
        <f>IF(Agent09_Loans!B101="","",Agent09_Loans!A101)</f>
        <v/>
      </c>
      <c r="B1689" s="40" t="str">
        <f>IF(Agent09_Loans!B101="","",Agent09_Loans!B101)</f>
        <v/>
      </c>
      <c r="C1689" s="40" t="str">
        <f>IF(Agent09_Loans!B101="","",Agent09_Loans!C101)</f>
        <v/>
      </c>
      <c r="D1689" s="41" t="str">
        <f>IF(Agent09_Loans!B101="","",Agent09_Loans!D101)</f>
        <v/>
      </c>
      <c r="E1689" s="43" t="str">
        <f>IF(Agent09_Loans!B101="","",Agent09_Loans!E101)</f>
        <v/>
      </c>
      <c r="F1689" s="40" t="str">
        <f>IF(Agent09_Loans!B101="","",Agent09_Loans!F101)</f>
        <v/>
      </c>
      <c r="G1689" s="40" t="str">
        <f>IF(Agent09_Loans!B101="","",Agent09_Loans!G101)</f>
        <v/>
      </c>
      <c r="H1689" s="40" t="str">
        <f>IF(Agent09_Loans!B101="","",Agent09_Loans!H101)</f>
        <v/>
      </c>
      <c r="I1689" s="43" t="str">
        <f>IF(Agent09_Loans!B101="","",Agent09_Loans!I101)</f>
        <v/>
      </c>
      <c r="J1689" s="43" t="str">
        <f>IF(Agent09_Loans!B101="","",Agent09_Loans!J101)</f>
        <v/>
      </c>
      <c r="K1689" s="40" t="str">
        <f>IF(Agent09_Loans!B101="","",Agent09_Loans!K101)</f>
        <v/>
      </c>
      <c r="L1689" s="40" t="str">
        <f>IF(Agent09_Loans!B101="","",Agent09_Loans!L101)</f>
        <v/>
      </c>
      <c r="M1689" s="40" t="str">
        <f>IFERROR(IF(Agent09_Loans!B101="","",YEAR(Agent09_Loans!D101)),"")</f>
        <v/>
      </c>
    </row>
    <row r="1690" spans="1:13" ht="18" customHeight="1" x14ac:dyDescent="0.25">
      <c r="A1690" s="40" t="str">
        <f>IF(Agent09_Loans!B102="","",Agent09_Loans!A102)</f>
        <v/>
      </c>
      <c r="B1690" s="40" t="str">
        <f>IF(Agent09_Loans!B102="","",Agent09_Loans!B102)</f>
        <v/>
      </c>
      <c r="C1690" s="40" t="str">
        <f>IF(Agent09_Loans!B102="","",Agent09_Loans!C102)</f>
        <v/>
      </c>
      <c r="D1690" s="41" t="str">
        <f>IF(Agent09_Loans!B102="","",Agent09_Loans!D102)</f>
        <v/>
      </c>
      <c r="E1690" s="43" t="str">
        <f>IF(Agent09_Loans!B102="","",Agent09_Loans!E102)</f>
        <v/>
      </c>
      <c r="F1690" s="40" t="str">
        <f>IF(Agent09_Loans!B102="","",Agent09_Loans!F102)</f>
        <v/>
      </c>
      <c r="G1690" s="40" t="str">
        <f>IF(Agent09_Loans!B102="","",Agent09_Loans!G102)</f>
        <v/>
      </c>
      <c r="H1690" s="40" t="str">
        <f>IF(Agent09_Loans!B102="","",Agent09_Loans!H102)</f>
        <v/>
      </c>
      <c r="I1690" s="43" t="str">
        <f>IF(Agent09_Loans!B102="","",Agent09_Loans!I102)</f>
        <v/>
      </c>
      <c r="J1690" s="43" t="str">
        <f>IF(Agent09_Loans!B102="","",Agent09_Loans!J102)</f>
        <v/>
      </c>
      <c r="K1690" s="40" t="str">
        <f>IF(Agent09_Loans!B102="","",Agent09_Loans!K102)</f>
        <v/>
      </c>
      <c r="L1690" s="40" t="str">
        <f>IF(Agent09_Loans!B102="","",Agent09_Loans!L102)</f>
        <v/>
      </c>
      <c r="M1690" s="40" t="str">
        <f>IFERROR(IF(Agent09_Loans!B102="","",YEAR(Agent09_Loans!D102)),"")</f>
        <v/>
      </c>
    </row>
    <row r="1691" spans="1:13" ht="18" customHeight="1" x14ac:dyDescent="0.25">
      <c r="A1691" s="40" t="str">
        <f>IF(Agent09_Loans!B103="","",Agent09_Loans!A103)</f>
        <v/>
      </c>
      <c r="B1691" s="40" t="str">
        <f>IF(Agent09_Loans!B103="","",Agent09_Loans!B103)</f>
        <v/>
      </c>
      <c r="C1691" s="40" t="str">
        <f>IF(Agent09_Loans!B103="","",Agent09_Loans!C103)</f>
        <v/>
      </c>
      <c r="D1691" s="41" t="str">
        <f>IF(Agent09_Loans!B103="","",Agent09_Loans!D103)</f>
        <v/>
      </c>
      <c r="E1691" s="43" t="str">
        <f>IF(Agent09_Loans!B103="","",Agent09_Loans!E103)</f>
        <v/>
      </c>
      <c r="F1691" s="40" t="str">
        <f>IF(Agent09_Loans!B103="","",Agent09_Loans!F103)</f>
        <v/>
      </c>
      <c r="G1691" s="40" t="str">
        <f>IF(Agent09_Loans!B103="","",Agent09_Loans!G103)</f>
        <v/>
      </c>
      <c r="H1691" s="40" t="str">
        <f>IF(Agent09_Loans!B103="","",Agent09_Loans!H103)</f>
        <v/>
      </c>
      <c r="I1691" s="43" t="str">
        <f>IF(Agent09_Loans!B103="","",Agent09_Loans!I103)</f>
        <v/>
      </c>
      <c r="J1691" s="43" t="str">
        <f>IF(Agent09_Loans!B103="","",Agent09_Loans!J103)</f>
        <v/>
      </c>
      <c r="K1691" s="40" t="str">
        <f>IF(Agent09_Loans!B103="","",Agent09_Loans!K103)</f>
        <v/>
      </c>
      <c r="L1691" s="40" t="str">
        <f>IF(Agent09_Loans!B103="","",Agent09_Loans!L103)</f>
        <v/>
      </c>
      <c r="M1691" s="40" t="str">
        <f>IFERROR(IF(Agent09_Loans!B103="","",YEAR(Agent09_Loans!D103)),"")</f>
        <v/>
      </c>
    </row>
    <row r="1692" spans="1:13" ht="18" customHeight="1" x14ac:dyDescent="0.25">
      <c r="A1692" s="40" t="str">
        <f>IF(Agent09_Loans!B104="","",Agent09_Loans!A104)</f>
        <v/>
      </c>
      <c r="B1692" s="40" t="str">
        <f>IF(Agent09_Loans!B104="","",Agent09_Loans!B104)</f>
        <v/>
      </c>
      <c r="C1692" s="40" t="str">
        <f>IF(Agent09_Loans!B104="","",Agent09_Loans!C104)</f>
        <v/>
      </c>
      <c r="D1692" s="41" t="str">
        <f>IF(Agent09_Loans!B104="","",Agent09_Loans!D104)</f>
        <v/>
      </c>
      <c r="E1692" s="43" t="str">
        <f>IF(Agent09_Loans!B104="","",Agent09_Loans!E104)</f>
        <v/>
      </c>
      <c r="F1692" s="40" t="str">
        <f>IF(Agent09_Loans!B104="","",Agent09_Loans!F104)</f>
        <v/>
      </c>
      <c r="G1692" s="40" t="str">
        <f>IF(Agent09_Loans!B104="","",Agent09_Loans!G104)</f>
        <v/>
      </c>
      <c r="H1692" s="40" t="str">
        <f>IF(Agent09_Loans!B104="","",Agent09_Loans!H104)</f>
        <v/>
      </c>
      <c r="I1692" s="43" t="str">
        <f>IF(Agent09_Loans!B104="","",Agent09_Loans!I104)</f>
        <v/>
      </c>
      <c r="J1692" s="43" t="str">
        <f>IF(Agent09_Loans!B104="","",Agent09_Loans!J104)</f>
        <v/>
      </c>
      <c r="K1692" s="40" t="str">
        <f>IF(Agent09_Loans!B104="","",Agent09_Loans!K104)</f>
        <v/>
      </c>
      <c r="L1692" s="40" t="str">
        <f>IF(Agent09_Loans!B104="","",Agent09_Loans!L104)</f>
        <v/>
      </c>
      <c r="M1692" s="40" t="str">
        <f>IFERROR(IF(Agent09_Loans!B104="","",YEAR(Agent09_Loans!D104)),"")</f>
        <v/>
      </c>
    </row>
    <row r="1693" spans="1:13" ht="18" customHeight="1" x14ac:dyDescent="0.25">
      <c r="A1693" s="40" t="str">
        <f>IF(Agent09_Loans!B105="","",Agent09_Loans!A105)</f>
        <v/>
      </c>
      <c r="B1693" s="40" t="str">
        <f>IF(Agent09_Loans!B105="","",Agent09_Loans!B105)</f>
        <v/>
      </c>
      <c r="C1693" s="40" t="str">
        <f>IF(Agent09_Loans!B105="","",Agent09_Loans!C105)</f>
        <v/>
      </c>
      <c r="D1693" s="41" t="str">
        <f>IF(Agent09_Loans!B105="","",Agent09_Loans!D105)</f>
        <v/>
      </c>
      <c r="E1693" s="43" t="str">
        <f>IF(Agent09_Loans!B105="","",Agent09_Loans!E105)</f>
        <v/>
      </c>
      <c r="F1693" s="40" t="str">
        <f>IF(Agent09_Loans!B105="","",Agent09_Loans!F105)</f>
        <v/>
      </c>
      <c r="G1693" s="40" t="str">
        <f>IF(Agent09_Loans!B105="","",Agent09_Loans!G105)</f>
        <v/>
      </c>
      <c r="H1693" s="40" t="str">
        <f>IF(Agent09_Loans!B105="","",Agent09_Loans!H105)</f>
        <v/>
      </c>
      <c r="I1693" s="43" t="str">
        <f>IF(Agent09_Loans!B105="","",Agent09_Loans!I105)</f>
        <v/>
      </c>
      <c r="J1693" s="43" t="str">
        <f>IF(Agent09_Loans!B105="","",Agent09_Loans!J105)</f>
        <v/>
      </c>
      <c r="K1693" s="40" t="str">
        <f>IF(Agent09_Loans!B105="","",Agent09_Loans!K105)</f>
        <v/>
      </c>
      <c r="L1693" s="40" t="str">
        <f>IF(Agent09_Loans!B105="","",Agent09_Loans!L105)</f>
        <v/>
      </c>
      <c r="M1693" s="40" t="str">
        <f>IFERROR(IF(Agent09_Loans!B105="","",YEAR(Agent09_Loans!D105)),"")</f>
        <v/>
      </c>
    </row>
    <row r="1694" spans="1:13" ht="18" customHeight="1" x14ac:dyDescent="0.25">
      <c r="A1694" s="40" t="str">
        <f>IF(Agent09_Loans!B106="","",Agent09_Loans!A106)</f>
        <v/>
      </c>
      <c r="B1694" s="40" t="str">
        <f>IF(Agent09_Loans!B106="","",Agent09_Loans!B106)</f>
        <v/>
      </c>
      <c r="C1694" s="40" t="str">
        <f>IF(Agent09_Loans!B106="","",Agent09_Loans!C106)</f>
        <v/>
      </c>
      <c r="D1694" s="41" t="str">
        <f>IF(Agent09_Loans!B106="","",Agent09_Loans!D106)</f>
        <v/>
      </c>
      <c r="E1694" s="43" t="str">
        <f>IF(Agent09_Loans!B106="","",Agent09_Loans!E106)</f>
        <v/>
      </c>
      <c r="F1694" s="40" t="str">
        <f>IF(Agent09_Loans!B106="","",Agent09_Loans!F106)</f>
        <v/>
      </c>
      <c r="G1694" s="40" t="str">
        <f>IF(Agent09_Loans!B106="","",Agent09_Loans!G106)</f>
        <v/>
      </c>
      <c r="H1694" s="40" t="str">
        <f>IF(Agent09_Loans!B106="","",Agent09_Loans!H106)</f>
        <v/>
      </c>
      <c r="I1694" s="43" t="str">
        <f>IF(Agent09_Loans!B106="","",Agent09_Loans!I106)</f>
        <v/>
      </c>
      <c r="J1694" s="43" t="str">
        <f>IF(Agent09_Loans!B106="","",Agent09_Loans!J106)</f>
        <v/>
      </c>
      <c r="K1694" s="40" t="str">
        <f>IF(Agent09_Loans!B106="","",Agent09_Loans!K106)</f>
        <v/>
      </c>
      <c r="L1694" s="40" t="str">
        <f>IF(Agent09_Loans!B106="","",Agent09_Loans!L106)</f>
        <v/>
      </c>
      <c r="M1694" s="40" t="str">
        <f>IFERROR(IF(Agent09_Loans!B106="","",YEAR(Agent09_Loans!D106)),"")</f>
        <v/>
      </c>
    </row>
    <row r="1695" spans="1:13" ht="18" customHeight="1" x14ac:dyDescent="0.25">
      <c r="A1695" s="40" t="str">
        <f>IF(Agent09_Loans!B107="","",Agent09_Loans!A107)</f>
        <v/>
      </c>
      <c r="B1695" s="40" t="str">
        <f>IF(Agent09_Loans!B107="","",Agent09_Loans!B107)</f>
        <v/>
      </c>
      <c r="C1695" s="40" t="str">
        <f>IF(Agent09_Loans!B107="","",Agent09_Loans!C107)</f>
        <v/>
      </c>
      <c r="D1695" s="41" t="str">
        <f>IF(Agent09_Loans!B107="","",Agent09_Loans!D107)</f>
        <v/>
      </c>
      <c r="E1695" s="43" t="str">
        <f>IF(Agent09_Loans!B107="","",Agent09_Loans!E107)</f>
        <v/>
      </c>
      <c r="F1695" s="40" t="str">
        <f>IF(Agent09_Loans!B107="","",Agent09_Loans!F107)</f>
        <v/>
      </c>
      <c r="G1695" s="40" t="str">
        <f>IF(Agent09_Loans!B107="","",Agent09_Loans!G107)</f>
        <v/>
      </c>
      <c r="H1695" s="40" t="str">
        <f>IF(Agent09_Loans!B107="","",Agent09_Loans!H107)</f>
        <v/>
      </c>
      <c r="I1695" s="43" t="str">
        <f>IF(Agent09_Loans!B107="","",Agent09_Loans!I107)</f>
        <v/>
      </c>
      <c r="J1695" s="43" t="str">
        <f>IF(Agent09_Loans!B107="","",Agent09_Loans!J107)</f>
        <v/>
      </c>
      <c r="K1695" s="40" t="str">
        <f>IF(Agent09_Loans!B107="","",Agent09_Loans!K107)</f>
        <v/>
      </c>
      <c r="L1695" s="40" t="str">
        <f>IF(Agent09_Loans!B107="","",Agent09_Loans!L107)</f>
        <v/>
      </c>
      <c r="M1695" s="40" t="str">
        <f>IFERROR(IF(Agent09_Loans!B107="","",YEAR(Agent09_Loans!D107)),"")</f>
        <v/>
      </c>
    </row>
    <row r="1696" spans="1:13" ht="18" customHeight="1" x14ac:dyDescent="0.25">
      <c r="A1696" s="40" t="str">
        <f>IF(Agent09_Loans!B108="","",Agent09_Loans!A108)</f>
        <v/>
      </c>
      <c r="B1696" s="40" t="str">
        <f>IF(Agent09_Loans!B108="","",Agent09_Loans!B108)</f>
        <v/>
      </c>
      <c r="C1696" s="40" t="str">
        <f>IF(Agent09_Loans!B108="","",Agent09_Loans!C108)</f>
        <v/>
      </c>
      <c r="D1696" s="41" t="str">
        <f>IF(Agent09_Loans!B108="","",Agent09_Loans!D108)</f>
        <v/>
      </c>
      <c r="E1696" s="43" t="str">
        <f>IF(Agent09_Loans!B108="","",Agent09_Loans!E108)</f>
        <v/>
      </c>
      <c r="F1696" s="40" t="str">
        <f>IF(Agent09_Loans!B108="","",Agent09_Loans!F108)</f>
        <v/>
      </c>
      <c r="G1696" s="40" t="str">
        <f>IF(Agent09_Loans!B108="","",Agent09_Loans!G108)</f>
        <v/>
      </c>
      <c r="H1696" s="40" t="str">
        <f>IF(Agent09_Loans!B108="","",Agent09_Loans!H108)</f>
        <v/>
      </c>
      <c r="I1696" s="43" t="str">
        <f>IF(Agent09_Loans!B108="","",Agent09_Loans!I108)</f>
        <v/>
      </c>
      <c r="J1696" s="43" t="str">
        <f>IF(Agent09_Loans!B108="","",Agent09_Loans!J108)</f>
        <v/>
      </c>
      <c r="K1696" s="40" t="str">
        <f>IF(Agent09_Loans!B108="","",Agent09_Loans!K108)</f>
        <v/>
      </c>
      <c r="L1696" s="40" t="str">
        <f>IF(Agent09_Loans!B108="","",Agent09_Loans!L108)</f>
        <v/>
      </c>
      <c r="M1696" s="40" t="str">
        <f>IFERROR(IF(Agent09_Loans!B108="","",YEAR(Agent09_Loans!D108)),"")</f>
        <v/>
      </c>
    </row>
    <row r="1697" spans="1:13" ht="18" customHeight="1" x14ac:dyDescent="0.25">
      <c r="A1697" s="40" t="str">
        <f>IF(Agent09_Loans!B109="","",Agent09_Loans!A109)</f>
        <v/>
      </c>
      <c r="B1697" s="40" t="str">
        <f>IF(Agent09_Loans!B109="","",Agent09_Loans!B109)</f>
        <v/>
      </c>
      <c r="C1697" s="40" t="str">
        <f>IF(Agent09_Loans!B109="","",Agent09_Loans!C109)</f>
        <v/>
      </c>
      <c r="D1697" s="41" t="str">
        <f>IF(Agent09_Loans!B109="","",Agent09_Loans!D109)</f>
        <v/>
      </c>
      <c r="E1697" s="43" t="str">
        <f>IF(Agent09_Loans!B109="","",Agent09_Loans!E109)</f>
        <v/>
      </c>
      <c r="F1697" s="40" t="str">
        <f>IF(Agent09_Loans!B109="","",Agent09_Loans!F109)</f>
        <v/>
      </c>
      <c r="G1697" s="40" t="str">
        <f>IF(Agent09_Loans!B109="","",Agent09_Loans!G109)</f>
        <v/>
      </c>
      <c r="H1697" s="40" t="str">
        <f>IF(Agent09_Loans!B109="","",Agent09_Loans!H109)</f>
        <v/>
      </c>
      <c r="I1697" s="43" t="str">
        <f>IF(Agent09_Loans!B109="","",Agent09_Loans!I109)</f>
        <v/>
      </c>
      <c r="J1697" s="43" t="str">
        <f>IF(Agent09_Loans!B109="","",Agent09_Loans!J109)</f>
        <v/>
      </c>
      <c r="K1697" s="40" t="str">
        <f>IF(Agent09_Loans!B109="","",Agent09_Loans!K109)</f>
        <v/>
      </c>
      <c r="L1697" s="40" t="str">
        <f>IF(Agent09_Loans!B109="","",Agent09_Loans!L109)</f>
        <v/>
      </c>
      <c r="M1697" s="40" t="str">
        <f>IFERROR(IF(Agent09_Loans!B109="","",YEAR(Agent09_Loans!D109)),"")</f>
        <v/>
      </c>
    </row>
    <row r="1698" spans="1:13" ht="18" customHeight="1" x14ac:dyDescent="0.25">
      <c r="A1698" s="40" t="str">
        <f>IF(Agent09_Loans!B110="","",Agent09_Loans!A110)</f>
        <v/>
      </c>
      <c r="B1698" s="40" t="str">
        <f>IF(Agent09_Loans!B110="","",Agent09_Loans!B110)</f>
        <v/>
      </c>
      <c r="C1698" s="40" t="str">
        <f>IF(Agent09_Loans!B110="","",Agent09_Loans!C110)</f>
        <v/>
      </c>
      <c r="D1698" s="41" t="str">
        <f>IF(Agent09_Loans!B110="","",Agent09_Loans!D110)</f>
        <v/>
      </c>
      <c r="E1698" s="43" t="str">
        <f>IF(Agent09_Loans!B110="","",Agent09_Loans!E110)</f>
        <v/>
      </c>
      <c r="F1698" s="40" t="str">
        <f>IF(Agent09_Loans!B110="","",Agent09_Loans!F110)</f>
        <v/>
      </c>
      <c r="G1698" s="40" t="str">
        <f>IF(Agent09_Loans!B110="","",Agent09_Loans!G110)</f>
        <v/>
      </c>
      <c r="H1698" s="40" t="str">
        <f>IF(Agent09_Loans!B110="","",Agent09_Loans!H110)</f>
        <v/>
      </c>
      <c r="I1698" s="43" t="str">
        <f>IF(Agent09_Loans!B110="","",Agent09_Loans!I110)</f>
        <v/>
      </c>
      <c r="J1698" s="43" t="str">
        <f>IF(Agent09_Loans!B110="","",Agent09_Loans!J110)</f>
        <v/>
      </c>
      <c r="K1698" s="40" t="str">
        <f>IF(Agent09_Loans!B110="","",Agent09_Loans!K110)</f>
        <v/>
      </c>
      <c r="L1698" s="40" t="str">
        <f>IF(Agent09_Loans!B110="","",Agent09_Loans!L110)</f>
        <v/>
      </c>
      <c r="M1698" s="40" t="str">
        <f>IFERROR(IF(Agent09_Loans!B110="","",YEAR(Agent09_Loans!D110)),"")</f>
        <v/>
      </c>
    </row>
    <row r="1699" spans="1:13" ht="18" customHeight="1" x14ac:dyDescent="0.25">
      <c r="A1699" s="40" t="str">
        <f>IF(Agent09_Loans!B111="","",Agent09_Loans!A111)</f>
        <v/>
      </c>
      <c r="B1699" s="40" t="str">
        <f>IF(Agent09_Loans!B111="","",Agent09_Loans!B111)</f>
        <v/>
      </c>
      <c r="C1699" s="40" t="str">
        <f>IF(Agent09_Loans!B111="","",Agent09_Loans!C111)</f>
        <v/>
      </c>
      <c r="D1699" s="41" t="str">
        <f>IF(Agent09_Loans!B111="","",Agent09_Loans!D111)</f>
        <v/>
      </c>
      <c r="E1699" s="43" t="str">
        <f>IF(Agent09_Loans!B111="","",Agent09_Loans!E111)</f>
        <v/>
      </c>
      <c r="F1699" s="40" t="str">
        <f>IF(Agent09_Loans!B111="","",Agent09_Loans!F111)</f>
        <v/>
      </c>
      <c r="G1699" s="40" t="str">
        <f>IF(Agent09_Loans!B111="","",Agent09_Loans!G111)</f>
        <v/>
      </c>
      <c r="H1699" s="40" t="str">
        <f>IF(Agent09_Loans!B111="","",Agent09_Loans!H111)</f>
        <v/>
      </c>
      <c r="I1699" s="43" t="str">
        <f>IF(Agent09_Loans!B111="","",Agent09_Loans!I111)</f>
        <v/>
      </c>
      <c r="J1699" s="43" t="str">
        <f>IF(Agent09_Loans!B111="","",Agent09_Loans!J111)</f>
        <v/>
      </c>
      <c r="K1699" s="40" t="str">
        <f>IF(Agent09_Loans!B111="","",Agent09_Loans!K111)</f>
        <v/>
      </c>
      <c r="L1699" s="40" t="str">
        <f>IF(Agent09_Loans!B111="","",Agent09_Loans!L111)</f>
        <v/>
      </c>
      <c r="M1699" s="40" t="str">
        <f>IFERROR(IF(Agent09_Loans!B111="","",YEAR(Agent09_Loans!D111)),"")</f>
        <v/>
      </c>
    </row>
    <row r="1700" spans="1:13" ht="18" customHeight="1" x14ac:dyDescent="0.25">
      <c r="A1700" s="40" t="str">
        <f>IF(Agent09_Loans!B112="","",Agent09_Loans!A112)</f>
        <v/>
      </c>
      <c r="B1700" s="40" t="str">
        <f>IF(Agent09_Loans!B112="","",Agent09_Loans!B112)</f>
        <v/>
      </c>
      <c r="C1700" s="40" t="str">
        <f>IF(Agent09_Loans!B112="","",Agent09_Loans!C112)</f>
        <v/>
      </c>
      <c r="D1700" s="41" t="str">
        <f>IF(Agent09_Loans!B112="","",Agent09_Loans!D112)</f>
        <v/>
      </c>
      <c r="E1700" s="43" t="str">
        <f>IF(Agent09_Loans!B112="","",Agent09_Loans!E112)</f>
        <v/>
      </c>
      <c r="F1700" s="40" t="str">
        <f>IF(Agent09_Loans!B112="","",Agent09_Loans!F112)</f>
        <v/>
      </c>
      <c r="G1700" s="40" t="str">
        <f>IF(Agent09_Loans!B112="","",Agent09_Loans!G112)</f>
        <v/>
      </c>
      <c r="H1700" s="40" t="str">
        <f>IF(Agent09_Loans!B112="","",Agent09_Loans!H112)</f>
        <v/>
      </c>
      <c r="I1700" s="43" t="str">
        <f>IF(Agent09_Loans!B112="","",Agent09_Loans!I112)</f>
        <v/>
      </c>
      <c r="J1700" s="43" t="str">
        <f>IF(Agent09_Loans!B112="","",Agent09_Loans!J112)</f>
        <v/>
      </c>
      <c r="K1700" s="40" t="str">
        <f>IF(Agent09_Loans!B112="","",Agent09_Loans!K112)</f>
        <v/>
      </c>
      <c r="L1700" s="40" t="str">
        <f>IF(Agent09_Loans!B112="","",Agent09_Loans!L112)</f>
        <v/>
      </c>
      <c r="M1700" s="40" t="str">
        <f>IFERROR(IF(Agent09_Loans!B112="","",YEAR(Agent09_Loans!D112)),"")</f>
        <v/>
      </c>
    </row>
    <row r="1701" spans="1:13" ht="18" customHeight="1" x14ac:dyDescent="0.25">
      <c r="A1701" s="40" t="str">
        <f>IF(Agent09_Loans!B113="","",Agent09_Loans!A113)</f>
        <v/>
      </c>
      <c r="B1701" s="40" t="str">
        <f>IF(Agent09_Loans!B113="","",Agent09_Loans!B113)</f>
        <v/>
      </c>
      <c r="C1701" s="40" t="str">
        <f>IF(Agent09_Loans!B113="","",Agent09_Loans!C113)</f>
        <v/>
      </c>
      <c r="D1701" s="41" t="str">
        <f>IF(Agent09_Loans!B113="","",Agent09_Loans!D113)</f>
        <v/>
      </c>
      <c r="E1701" s="43" t="str">
        <f>IF(Agent09_Loans!B113="","",Agent09_Loans!E113)</f>
        <v/>
      </c>
      <c r="F1701" s="40" t="str">
        <f>IF(Agent09_Loans!B113="","",Agent09_Loans!F113)</f>
        <v/>
      </c>
      <c r="G1701" s="40" t="str">
        <f>IF(Agent09_Loans!B113="","",Agent09_Loans!G113)</f>
        <v/>
      </c>
      <c r="H1701" s="40" t="str">
        <f>IF(Agent09_Loans!B113="","",Agent09_Loans!H113)</f>
        <v/>
      </c>
      <c r="I1701" s="43" t="str">
        <f>IF(Agent09_Loans!B113="","",Agent09_Loans!I113)</f>
        <v/>
      </c>
      <c r="J1701" s="43" t="str">
        <f>IF(Agent09_Loans!B113="","",Agent09_Loans!J113)</f>
        <v/>
      </c>
      <c r="K1701" s="40" t="str">
        <f>IF(Agent09_Loans!B113="","",Agent09_Loans!K113)</f>
        <v/>
      </c>
      <c r="L1701" s="40" t="str">
        <f>IF(Agent09_Loans!B113="","",Agent09_Loans!L113)</f>
        <v/>
      </c>
      <c r="M1701" s="40" t="str">
        <f>IFERROR(IF(Agent09_Loans!B113="","",YEAR(Agent09_Loans!D113)),"")</f>
        <v/>
      </c>
    </row>
    <row r="1702" spans="1:13" ht="18" customHeight="1" x14ac:dyDescent="0.25">
      <c r="A1702" s="40" t="str">
        <f>IF(Agent09_Loans!B114="","",Agent09_Loans!A114)</f>
        <v/>
      </c>
      <c r="B1702" s="40" t="str">
        <f>IF(Agent09_Loans!B114="","",Agent09_Loans!B114)</f>
        <v/>
      </c>
      <c r="C1702" s="40" t="str">
        <f>IF(Agent09_Loans!B114="","",Agent09_Loans!C114)</f>
        <v/>
      </c>
      <c r="D1702" s="41" t="str">
        <f>IF(Agent09_Loans!B114="","",Agent09_Loans!D114)</f>
        <v/>
      </c>
      <c r="E1702" s="43" t="str">
        <f>IF(Agent09_Loans!B114="","",Agent09_Loans!E114)</f>
        <v/>
      </c>
      <c r="F1702" s="40" t="str">
        <f>IF(Agent09_Loans!B114="","",Agent09_Loans!F114)</f>
        <v/>
      </c>
      <c r="G1702" s="40" t="str">
        <f>IF(Agent09_Loans!B114="","",Agent09_Loans!G114)</f>
        <v/>
      </c>
      <c r="H1702" s="40" t="str">
        <f>IF(Agent09_Loans!B114="","",Agent09_Loans!H114)</f>
        <v/>
      </c>
      <c r="I1702" s="43" t="str">
        <f>IF(Agent09_Loans!B114="","",Agent09_Loans!I114)</f>
        <v/>
      </c>
      <c r="J1702" s="43" t="str">
        <f>IF(Agent09_Loans!B114="","",Agent09_Loans!J114)</f>
        <v/>
      </c>
      <c r="K1702" s="40" t="str">
        <f>IF(Agent09_Loans!B114="","",Agent09_Loans!K114)</f>
        <v/>
      </c>
      <c r="L1702" s="40" t="str">
        <f>IF(Agent09_Loans!B114="","",Agent09_Loans!L114)</f>
        <v/>
      </c>
      <c r="M1702" s="40" t="str">
        <f>IFERROR(IF(Agent09_Loans!B114="","",YEAR(Agent09_Loans!D114)),"")</f>
        <v/>
      </c>
    </row>
    <row r="1703" spans="1:13" ht="18" customHeight="1" x14ac:dyDescent="0.25">
      <c r="A1703" s="40" t="str">
        <f>IF(Agent09_Loans!B115="","",Agent09_Loans!A115)</f>
        <v/>
      </c>
      <c r="B1703" s="40" t="str">
        <f>IF(Agent09_Loans!B115="","",Agent09_Loans!B115)</f>
        <v/>
      </c>
      <c r="C1703" s="40" t="str">
        <f>IF(Agent09_Loans!B115="","",Agent09_Loans!C115)</f>
        <v/>
      </c>
      <c r="D1703" s="41" t="str">
        <f>IF(Agent09_Loans!B115="","",Agent09_Loans!D115)</f>
        <v/>
      </c>
      <c r="E1703" s="43" t="str">
        <f>IF(Agent09_Loans!B115="","",Agent09_Loans!E115)</f>
        <v/>
      </c>
      <c r="F1703" s="40" t="str">
        <f>IF(Agent09_Loans!B115="","",Agent09_Loans!F115)</f>
        <v/>
      </c>
      <c r="G1703" s="40" t="str">
        <f>IF(Agent09_Loans!B115="","",Agent09_Loans!G115)</f>
        <v/>
      </c>
      <c r="H1703" s="40" t="str">
        <f>IF(Agent09_Loans!B115="","",Agent09_Loans!H115)</f>
        <v/>
      </c>
      <c r="I1703" s="43" t="str">
        <f>IF(Agent09_Loans!B115="","",Agent09_Loans!I115)</f>
        <v/>
      </c>
      <c r="J1703" s="43" t="str">
        <f>IF(Agent09_Loans!B115="","",Agent09_Loans!J115)</f>
        <v/>
      </c>
      <c r="K1703" s="40" t="str">
        <f>IF(Agent09_Loans!B115="","",Agent09_Loans!K115)</f>
        <v/>
      </c>
      <c r="L1703" s="40" t="str">
        <f>IF(Agent09_Loans!B115="","",Agent09_Loans!L115)</f>
        <v/>
      </c>
      <c r="M1703" s="40" t="str">
        <f>IFERROR(IF(Agent09_Loans!B115="","",YEAR(Agent09_Loans!D115)),"")</f>
        <v/>
      </c>
    </row>
    <row r="1704" spans="1:13" ht="18" customHeight="1" x14ac:dyDescent="0.25">
      <c r="A1704" s="40" t="str">
        <f>IF(Agent09_Loans!B116="","",Agent09_Loans!A116)</f>
        <v/>
      </c>
      <c r="B1704" s="40" t="str">
        <f>IF(Agent09_Loans!B116="","",Agent09_Loans!B116)</f>
        <v/>
      </c>
      <c r="C1704" s="40" t="str">
        <f>IF(Agent09_Loans!B116="","",Agent09_Loans!C116)</f>
        <v/>
      </c>
      <c r="D1704" s="41" t="str">
        <f>IF(Agent09_Loans!B116="","",Agent09_Loans!D116)</f>
        <v/>
      </c>
      <c r="E1704" s="43" t="str">
        <f>IF(Agent09_Loans!B116="","",Agent09_Loans!E116)</f>
        <v/>
      </c>
      <c r="F1704" s="40" t="str">
        <f>IF(Agent09_Loans!B116="","",Agent09_Loans!F116)</f>
        <v/>
      </c>
      <c r="G1704" s="40" t="str">
        <f>IF(Agent09_Loans!B116="","",Agent09_Loans!G116)</f>
        <v/>
      </c>
      <c r="H1704" s="40" t="str">
        <f>IF(Agent09_Loans!B116="","",Agent09_Loans!H116)</f>
        <v/>
      </c>
      <c r="I1704" s="43" t="str">
        <f>IF(Agent09_Loans!B116="","",Agent09_Loans!I116)</f>
        <v/>
      </c>
      <c r="J1704" s="43" t="str">
        <f>IF(Agent09_Loans!B116="","",Agent09_Loans!J116)</f>
        <v/>
      </c>
      <c r="K1704" s="40" t="str">
        <f>IF(Agent09_Loans!B116="","",Agent09_Loans!K116)</f>
        <v/>
      </c>
      <c r="L1704" s="40" t="str">
        <f>IF(Agent09_Loans!B116="","",Agent09_Loans!L116)</f>
        <v/>
      </c>
      <c r="M1704" s="40" t="str">
        <f>IFERROR(IF(Agent09_Loans!B116="","",YEAR(Agent09_Loans!D116)),"")</f>
        <v/>
      </c>
    </row>
    <row r="1705" spans="1:13" ht="18" customHeight="1" x14ac:dyDescent="0.25">
      <c r="A1705" s="40" t="str">
        <f>IF(Agent09_Loans!B117="","",Agent09_Loans!A117)</f>
        <v/>
      </c>
      <c r="B1705" s="40" t="str">
        <f>IF(Agent09_Loans!B117="","",Agent09_Loans!B117)</f>
        <v/>
      </c>
      <c r="C1705" s="40" t="str">
        <f>IF(Agent09_Loans!B117="","",Agent09_Loans!C117)</f>
        <v/>
      </c>
      <c r="D1705" s="41" t="str">
        <f>IF(Agent09_Loans!B117="","",Agent09_Loans!D117)</f>
        <v/>
      </c>
      <c r="E1705" s="43" t="str">
        <f>IF(Agent09_Loans!B117="","",Agent09_Loans!E117)</f>
        <v/>
      </c>
      <c r="F1705" s="40" t="str">
        <f>IF(Agent09_Loans!B117="","",Agent09_Loans!F117)</f>
        <v/>
      </c>
      <c r="G1705" s="40" t="str">
        <f>IF(Agent09_Loans!B117="","",Agent09_Loans!G117)</f>
        <v/>
      </c>
      <c r="H1705" s="40" t="str">
        <f>IF(Agent09_Loans!B117="","",Agent09_Loans!H117)</f>
        <v/>
      </c>
      <c r="I1705" s="43" t="str">
        <f>IF(Agent09_Loans!B117="","",Agent09_Loans!I117)</f>
        <v/>
      </c>
      <c r="J1705" s="43" t="str">
        <f>IF(Agent09_Loans!B117="","",Agent09_Loans!J117)</f>
        <v/>
      </c>
      <c r="K1705" s="40" t="str">
        <f>IF(Agent09_Loans!B117="","",Agent09_Loans!K117)</f>
        <v/>
      </c>
      <c r="L1705" s="40" t="str">
        <f>IF(Agent09_Loans!B117="","",Agent09_Loans!L117)</f>
        <v/>
      </c>
      <c r="M1705" s="40" t="str">
        <f>IFERROR(IF(Agent09_Loans!B117="","",YEAR(Agent09_Loans!D117)),"")</f>
        <v/>
      </c>
    </row>
    <row r="1706" spans="1:13" ht="18" customHeight="1" x14ac:dyDescent="0.25">
      <c r="A1706" s="40" t="str">
        <f>IF(Agent09_Loans!B118="","",Agent09_Loans!A118)</f>
        <v/>
      </c>
      <c r="B1706" s="40" t="str">
        <f>IF(Agent09_Loans!B118="","",Agent09_Loans!B118)</f>
        <v/>
      </c>
      <c r="C1706" s="40" t="str">
        <f>IF(Agent09_Loans!B118="","",Agent09_Loans!C118)</f>
        <v/>
      </c>
      <c r="D1706" s="41" t="str">
        <f>IF(Agent09_Loans!B118="","",Agent09_Loans!D118)</f>
        <v/>
      </c>
      <c r="E1706" s="43" t="str">
        <f>IF(Agent09_Loans!B118="","",Agent09_Loans!E118)</f>
        <v/>
      </c>
      <c r="F1706" s="40" t="str">
        <f>IF(Agent09_Loans!B118="","",Agent09_Loans!F118)</f>
        <v/>
      </c>
      <c r="G1706" s="40" t="str">
        <f>IF(Agent09_Loans!B118="","",Agent09_Loans!G118)</f>
        <v/>
      </c>
      <c r="H1706" s="40" t="str">
        <f>IF(Agent09_Loans!B118="","",Agent09_Loans!H118)</f>
        <v/>
      </c>
      <c r="I1706" s="43" t="str">
        <f>IF(Agent09_Loans!B118="","",Agent09_Loans!I118)</f>
        <v/>
      </c>
      <c r="J1706" s="43" t="str">
        <f>IF(Agent09_Loans!B118="","",Agent09_Loans!J118)</f>
        <v/>
      </c>
      <c r="K1706" s="40" t="str">
        <f>IF(Agent09_Loans!B118="","",Agent09_Loans!K118)</f>
        <v/>
      </c>
      <c r="L1706" s="40" t="str">
        <f>IF(Agent09_Loans!B118="","",Agent09_Loans!L118)</f>
        <v/>
      </c>
      <c r="M1706" s="40" t="str">
        <f>IFERROR(IF(Agent09_Loans!B118="","",YEAR(Agent09_Loans!D118)),"")</f>
        <v/>
      </c>
    </row>
    <row r="1707" spans="1:13" ht="18" customHeight="1" x14ac:dyDescent="0.25">
      <c r="A1707" s="40" t="str">
        <f>IF(Agent09_Loans!B119="","",Agent09_Loans!A119)</f>
        <v/>
      </c>
      <c r="B1707" s="40" t="str">
        <f>IF(Agent09_Loans!B119="","",Agent09_Loans!B119)</f>
        <v/>
      </c>
      <c r="C1707" s="40" t="str">
        <f>IF(Agent09_Loans!B119="","",Agent09_Loans!C119)</f>
        <v/>
      </c>
      <c r="D1707" s="41" t="str">
        <f>IF(Agent09_Loans!B119="","",Agent09_Loans!D119)</f>
        <v/>
      </c>
      <c r="E1707" s="43" t="str">
        <f>IF(Agent09_Loans!B119="","",Agent09_Loans!E119)</f>
        <v/>
      </c>
      <c r="F1707" s="40" t="str">
        <f>IF(Agent09_Loans!B119="","",Agent09_Loans!F119)</f>
        <v/>
      </c>
      <c r="G1707" s="40" t="str">
        <f>IF(Agent09_Loans!B119="","",Agent09_Loans!G119)</f>
        <v/>
      </c>
      <c r="H1707" s="40" t="str">
        <f>IF(Agent09_Loans!B119="","",Agent09_Loans!H119)</f>
        <v/>
      </c>
      <c r="I1707" s="43" t="str">
        <f>IF(Agent09_Loans!B119="","",Agent09_Loans!I119)</f>
        <v/>
      </c>
      <c r="J1707" s="43" t="str">
        <f>IF(Agent09_Loans!B119="","",Agent09_Loans!J119)</f>
        <v/>
      </c>
      <c r="K1707" s="40" t="str">
        <f>IF(Agent09_Loans!B119="","",Agent09_Loans!K119)</f>
        <v/>
      </c>
      <c r="L1707" s="40" t="str">
        <f>IF(Agent09_Loans!B119="","",Agent09_Loans!L119)</f>
        <v/>
      </c>
      <c r="M1707" s="40" t="str">
        <f>IFERROR(IF(Agent09_Loans!B119="","",YEAR(Agent09_Loans!D119)),"")</f>
        <v/>
      </c>
    </row>
    <row r="1708" spans="1:13" ht="18" customHeight="1" x14ac:dyDescent="0.25">
      <c r="A1708" s="40" t="str">
        <f>IF(Agent09_Loans!B120="","",Agent09_Loans!A120)</f>
        <v/>
      </c>
      <c r="B1708" s="40" t="str">
        <f>IF(Agent09_Loans!B120="","",Agent09_Loans!B120)</f>
        <v/>
      </c>
      <c r="C1708" s="40" t="str">
        <f>IF(Agent09_Loans!B120="","",Agent09_Loans!C120)</f>
        <v/>
      </c>
      <c r="D1708" s="41" t="str">
        <f>IF(Agent09_Loans!B120="","",Agent09_Loans!D120)</f>
        <v/>
      </c>
      <c r="E1708" s="43" t="str">
        <f>IF(Agent09_Loans!B120="","",Agent09_Loans!E120)</f>
        <v/>
      </c>
      <c r="F1708" s="40" t="str">
        <f>IF(Agent09_Loans!B120="","",Agent09_Loans!F120)</f>
        <v/>
      </c>
      <c r="G1708" s="40" t="str">
        <f>IF(Agent09_Loans!B120="","",Agent09_Loans!G120)</f>
        <v/>
      </c>
      <c r="H1708" s="40" t="str">
        <f>IF(Agent09_Loans!B120="","",Agent09_Loans!H120)</f>
        <v/>
      </c>
      <c r="I1708" s="43" t="str">
        <f>IF(Agent09_Loans!B120="","",Agent09_Loans!I120)</f>
        <v/>
      </c>
      <c r="J1708" s="43" t="str">
        <f>IF(Agent09_Loans!B120="","",Agent09_Loans!J120)</f>
        <v/>
      </c>
      <c r="K1708" s="40" t="str">
        <f>IF(Agent09_Loans!B120="","",Agent09_Loans!K120)</f>
        <v/>
      </c>
      <c r="L1708" s="40" t="str">
        <f>IF(Agent09_Loans!B120="","",Agent09_Loans!L120)</f>
        <v/>
      </c>
      <c r="M1708" s="40" t="str">
        <f>IFERROR(IF(Agent09_Loans!B120="","",YEAR(Agent09_Loans!D120)),"")</f>
        <v/>
      </c>
    </row>
    <row r="1709" spans="1:13" ht="18" customHeight="1" x14ac:dyDescent="0.25">
      <c r="A1709" s="40" t="str">
        <f>IF(Agent09_Loans!B121="","",Agent09_Loans!A121)</f>
        <v/>
      </c>
      <c r="B1709" s="40" t="str">
        <f>IF(Agent09_Loans!B121="","",Agent09_Loans!B121)</f>
        <v/>
      </c>
      <c r="C1709" s="40" t="str">
        <f>IF(Agent09_Loans!B121="","",Agent09_Loans!C121)</f>
        <v/>
      </c>
      <c r="D1709" s="41" t="str">
        <f>IF(Agent09_Loans!B121="","",Agent09_Loans!D121)</f>
        <v/>
      </c>
      <c r="E1709" s="43" t="str">
        <f>IF(Agent09_Loans!B121="","",Agent09_Loans!E121)</f>
        <v/>
      </c>
      <c r="F1709" s="40" t="str">
        <f>IF(Agent09_Loans!B121="","",Agent09_Loans!F121)</f>
        <v/>
      </c>
      <c r="G1709" s="40" t="str">
        <f>IF(Agent09_Loans!B121="","",Agent09_Loans!G121)</f>
        <v/>
      </c>
      <c r="H1709" s="40" t="str">
        <f>IF(Agent09_Loans!B121="","",Agent09_Loans!H121)</f>
        <v/>
      </c>
      <c r="I1709" s="43" t="str">
        <f>IF(Agent09_Loans!B121="","",Agent09_Loans!I121)</f>
        <v/>
      </c>
      <c r="J1709" s="43" t="str">
        <f>IF(Agent09_Loans!B121="","",Agent09_Loans!J121)</f>
        <v/>
      </c>
      <c r="K1709" s="40" t="str">
        <f>IF(Agent09_Loans!B121="","",Agent09_Loans!K121)</f>
        <v/>
      </c>
      <c r="L1709" s="40" t="str">
        <f>IF(Agent09_Loans!B121="","",Agent09_Loans!L121)</f>
        <v/>
      </c>
      <c r="M1709" s="40" t="str">
        <f>IFERROR(IF(Agent09_Loans!B121="","",YEAR(Agent09_Loans!D121)),"")</f>
        <v/>
      </c>
    </row>
    <row r="1710" spans="1:13" ht="18" customHeight="1" x14ac:dyDescent="0.25">
      <c r="A1710" s="40" t="str">
        <f>IF(Agent09_Loans!B122="","",Agent09_Loans!A122)</f>
        <v/>
      </c>
      <c r="B1710" s="40" t="str">
        <f>IF(Agent09_Loans!B122="","",Agent09_Loans!B122)</f>
        <v/>
      </c>
      <c r="C1710" s="40" t="str">
        <f>IF(Agent09_Loans!B122="","",Agent09_Loans!C122)</f>
        <v/>
      </c>
      <c r="D1710" s="41" t="str">
        <f>IF(Agent09_Loans!B122="","",Agent09_Loans!D122)</f>
        <v/>
      </c>
      <c r="E1710" s="43" t="str">
        <f>IF(Agent09_Loans!B122="","",Agent09_Loans!E122)</f>
        <v/>
      </c>
      <c r="F1710" s="40" t="str">
        <f>IF(Agent09_Loans!B122="","",Agent09_Loans!F122)</f>
        <v/>
      </c>
      <c r="G1710" s="40" t="str">
        <f>IF(Agent09_Loans!B122="","",Agent09_Loans!G122)</f>
        <v/>
      </c>
      <c r="H1710" s="40" t="str">
        <f>IF(Agent09_Loans!B122="","",Agent09_Loans!H122)</f>
        <v/>
      </c>
      <c r="I1710" s="43" t="str">
        <f>IF(Agent09_Loans!B122="","",Agent09_Loans!I122)</f>
        <v/>
      </c>
      <c r="J1710" s="43" t="str">
        <f>IF(Agent09_Loans!B122="","",Agent09_Loans!J122)</f>
        <v/>
      </c>
      <c r="K1710" s="40" t="str">
        <f>IF(Agent09_Loans!B122="","",Agent09_Loans!K122)</f>
        <v/>
      </c>
      <c r="L1710" s="40" t="str">
        <f>IF(Agent09_Loans!B122="","",Agent09_Loans!L122)</f>
        <v/>
      </c>
      <c r="M1710" s="40" t="str">
        <f>IFERROR(IF(Agent09_Loans!B122="","",YEAR(Agent09_Loans!D122)),"")</f>
        <v/>
      </c>
    </row>
    <row r="1711" spans="1:13" ht="18" customHeight="1" x14ac:dyDescent="0.25">
      <c r="A1711" s="40" t="str">
        <f>IF(Agent09_Loans!B123="","",Agent09_Loans!A123)</f>
        <v/>
      </c>
      <c r="B1711" s="40" t="str">
        <f>IF(Agent09_Loans!B123="","",Agent09_Loans!B123)</f>
        <v/>
      </c>
      <c r="C1711" s="40" t="str">
        <f>IF(Agent09_Loans!B123="","",Agent09_Loans!C123)</f>
        <v/>
      </c>
      <c r="D1711" s="41" t="str">
        <f>IF(Agent09_Loans!B123="","",Agent09_Loans!D123)</f>
        <v/>
      </c>
      <c r="E1711" s="43" t="str">
        <f>IF(Agent09_Loans!B123="","",Agent09_Loans!E123)</f>
        <v/>
      </c>
      <c r="F1711" s="40" t="str">
        <f>IF(Agent09_Loans!B123="","",Agent09_Loans!F123)</f>
        <v/>
      </c>
      <c r="G1711" s="40" t="str">
        <f>IF(Agent09_Loans!B123="","",Agent09_Loans!G123)</f>
        <v/>
      </c>
      <c r="H1711" s="40" t="str">
        <f>IF(Agent09_Loans!B123="","",Agent09_Loans!H123)</f>
        <v/>
      </c>
      <c r="I1711" s="43" t="str">
        <f>IF(Agent09_Loans!B123="","",Agent09_Loans!I123)</f>
        <v/>
      </c>
      <c r="J1711" s="43" t="str">
        <f>IF(Agent09_Loans!B123="","",Agent09_Loans!J123)</f>
        <v/>
      </c>
      <c r="K1711" s="40" t="str">
        <f>IF(Agent09_Loans!B123="","",Agent09_Loans!K123)</f>
        <v/>
      </c>
      <c r="L1711" s="40" t="str">
        <f>IF(Agent09_Loans!B123="","",Agent09_Loans!L123)</f>
        <v/>
      </c>
      <c r="M1711" s="40" t="str">
        <f>IFERROR(IF(Agent09_Loans!B123="","",YEAR(Agent09_Loans!D123)),"")</f>
        <v/>
      </c>
    </row>
    <row r="1712" spans="1:13" ht="18" customHeight="1" x14ac:dyDescent="0.25">
      <c r="A1712" s="40" t="str">
        <f>IF(Agent09_Loans!B124="","",Agent09_Loans!A124)</f>
        <v/>
      </c>
      <c r="B1712" s="40" t="str">
        <f>IF(Agent09_Loans!B124="","",Agent09_Loans!B124)</f>
        <v/>
      </c>
      <c r="C1712" s="40" t="str">
        <f>IF(Agent09_Loans!B124="","",Agent09_Loans!C124)</f>
        <v/>
      </c>
      <c r="D1712" s="41" t="str">
        <f>IF(Agent09_Loans!B124="","",Agent09_Loans!D124)</f>
        <v/>
      </c>
      <c r="E1712" s="43" t="str">
        <f>IF(Agent09_Loans!B124="","",Agent09_Loans!E124)</f>
        <v/>
      </c>
      <c r="F1712" s="40" t="str">
        <f>IF(Agent09_Loans!B124="","",Agent09_Loans!F124)</f>
        <v/>
      </c>
      <c r="G1712" s="40" t="str">
        <f>IF(Agent09_Loans!B124="","",Agent09_Loans!G124)</f>
        <v/>
      </c>
      <c r="H1712" s="40" t="str">
        <f>IF(Agent09_Loans!B124="","",Agent09_Loans!H124)</f>
        <v/>
      </c>
      <c r="I1712" s="43" t="str">
        <f>IF(Agent09_Loans!B124="","",Agent09_Loans!I124)</f>
        <v/>
      </c>
      <c r="J1712" s="43" t="str">
        <f>IF(Agent09_Loans!B124="","",Agent09_Loans!J124)</f>
        <v/>
      </c>
      <c r="K1712" s="40" t="str">
        <f>IF(Agent09_Loans!B124="","",Agent09_Loans!K124)</f>
        <v/>
      </c>
      <c r="L1712" s="40" t="str">
        <f>IF(Agent09_Loans!B124="","",Agent09_Loans!L124)</f>
        <v/>
      </c>
      <c r="M1712" s="40" t="str">
        <f>IFERROR(IF(Agent09_Loans!B124="","",YEAR(Agent09_Loans!D124)),"")</f>
        <v/>
      </c>
    </row>
    <row r="1713" spans="1:13" ht="18" customHeight="1" x14ac:dyDescent="0.25">
      <c r="A1713" s="40" t="str">
        <f>IF(Agent09_Loans!B125="","",Agent09_Loans!A125)</f>
        <v/>
      </c>
      <c r="B1713" s="40" t="str">
        <f>IF(Agent09_Loans!B125="","",Agent09_Loans!B125)</f>
        <v/>
      </c>
      <c r="C1713" s="40" t="str">
        <f>IF(Agent09_Loans!B125="","",Agent09_Loans!C125)</f>
        <v/>
      </c>
      <c r="D1713" s="41" t="str">
        <f>IF(Agent09_Loans!B125="","",Agent09_Loans!D125)</f>
        <v/>
      </c>
      <c r="E1713" s="43" t="str">
        <f>IF(Agent09_Loans!B125="","",Agent09_Loans!E125)</f>
        <v/>
      </c>
      <c r="F1713" s="40" t="str">
        <f>IF(Agent09_Loans!B125="","",Agent09_Loans!F125)</f>
        <v/>
      </c>
      <c r="G1713" s="40" t="str">
        <f>IF(Agent09_Loans!B125="","",Agent09_Loans!G125)</f>
        <v/>
      </c>
      <c r="H1713" s="40" t="str">
        <f>IF(Agent09_Loans!B125="","",Agent09_Loans!H125)</f>
        <v/>
      </c>
      <c r="I1713" s="43" t="str">
        <f>IF(Agent09_Loans!B125="","",Agent09_Loans!I125)</f>
        <v/>
      </c>
      <c r="J1713" s="43" t="str">
        <f>IF(Agent09_Loans!B125="","",Agent09_Loans!J125)</f>
        <v/>
      </c>
      <c r="K1713" s="40" t="str">
        <f>IF(Agent09_Loans!B125="","",Agent09_Loans!K125)</f>
        <v/>
      </c>
      <c r="L1713" s="40" t="str">
        <f>IF(Agent09_Loans!B125="","",Agent09_Loans!L125)</f>
        <v/>
      </c>
      <c r="M1713" s="40" t="str">
        <f>IFERROR(IF(Agent09_Loans!B125="","",YEAR(Agent09_Loans!D125)),"")</f>
        <v/>
      </c>
    </row>
    <row r="1714" spans="1:13" ht="18" customHeight="1" x14ac:dyDescent="0.25">
      <c r="A1714" s="40" t="str">
        <f>IF(Agent09_Loans!B126="","",Agent09_Loans!A126)</f>
        <v/>
      </c>
      <c r="B1714" s="40" t="str">
        <f>IF(Agent09_Loans!B126="","",Agent09_Loans!B126)</f>
        <v/>
      </c>
      <c r="C1714" s="40" t="str">
        <f>IF(Agent09_Loans!B126="","",Agent09_Loans!C126)</f>
        <v/>
      </c>
      <c r="D1714" s="41" t="str">
        <f>IF(Agent09_Loans!B126="","",Agent09_Loans!D126)</f>
        <v/>
      </c>
      <c r="E1714" s="43" t="str">
        <f>IF(Agent09_Loans!B126="","",Agent09_Loans!E126)</f>
        <v/>
      </c>
      <c r="F1714" s="40" t="str">
        <f>IF(Agent09_Loans!B126="","",Agent09_Loans!F126)</f>
        <v/>
      </c>
      <c r="G1714" s="40" t="str">
        <f>IF(Agent09_Loans!B126="","",Agent09_Loans!G126)</f>
        <v/>
      </c>
      <c r="H1714" s="40" t="str">
        <f>IF(Agent09_Loans!B126="","",Agent09_Loans!H126)</f>
        <v/>
      </c>
      <c r="I1714" s="43" t="str">
        <f>IF(Agent09_Loans!B126="","",Agent09_Loans!I126)</f>
        <v/>
      </c>
      <c r="J1714" s="43" t="str">
        <f>IF(Agent09_Loans!B126="","",Agent09_Loans!J126)</f>
        <v/>
      </c>
      <c r="K1714" s="40" t="str">
        <f>IF(Agent09_Loans!B126="","",Agent09_Loans!K126)</f>
        <v/>
      </c>
      <c r="L1714" s="40" t="str">
        <f>IF(Agent09_Loans!B126="","",Agent09_Loans!L126)</f>
        <v/>
      </c>
      <c r="M1714" s="40" t="str">
        <f>IFERROR(IF(Agent09_Loans!B126="","",YEAR(Agent09_Loans!D126)),"")</f>
        <v/>
      </c>
    </row>
    <row r="1715" spans="1:13" ht="18" customHeight="1" x14ac:dyDescent="0.25">
      <c r="A1715" s="40" t="str">
        <f>IF(Agent09_Loans!B127="","",Agent09_Loans!A127)</f>
        <v/>
      </c>
      <c r="B1715" s="40" t="str">
        <f>IF(Agent09_Loans!B127="","",Agent09_Loans!B127)</f>
        <v/>
      </c>
      <c r="C1715" s="40" t="str">
        <f>IF(Agent09_Loans!B127="","",Agent09_Loans!C127)</f>
        <v/>
      </c>
      <c r="D1715" s="41" t="str">
        <f>IF(Agent09_Loans!B127="","",Agent09_Loans!D127)</f>
        <v/>
      </c>
      <c r="E1715" s="43" t="str">
        <f>IF(Agent09_Loans!B127="","",Agent09_Loans!E127)</f>
        <v/>
      </c>
      <c r="F1715" s="40" t="str">
        <f>IF(Agent09_Loans!B127="","",Agent09_Loans!F127)</f>
        <v/>
      </c>
      <c r="G1715" s="40" t="str">
        <f>IF(Agent09_Loans!B127="","",Agent09_Loans!G127)</f>
        <v/>
      </c>
      <c r="H1715" s="40" t="str">
        <f>IF(Agent09_Loans!B127="","",Agent09_Loans!H127)</f>
        <v/>
      </c>
      <c r="I1715" s="43" t="str">
        <f>IF(Agent09_Loans!B127="","",Agent09_Loans!I127)</f>
        <v/>
      </c>
      <c r="J1715" s="43" t="str">
        <f>IF(Agent09_Loans!B127="","",Agent09_Loans!J127)</f>
        <v/>
      </c>
      <c r="K1715" s="40" t="str">
        <f>IF(Agent09_Loans!B127="","",Agent09_Loans!K127)</f>
        <v/>
      </c>
      <c r="L1715" s="40" t="str">
        <f>IF(Agent09_Loans!B127="","",Agent09_Loans!L127)</f>
        <v/>
      </c>
      <c r="M1715" s="40" t="str">
        <f>IFERROR(IF(Agent09_Loans!B127="","",YEAR(Agent09_Loans!D127)),"")</f>
        <v/>
      </c>
    </row>
    <row r="1716" spans="1:13" ht="18" customHeight="1" x14ac:dyDescent="0.25">
      <c r="A1716" s="40" t="str">
        <f>IF(Agent09_Loans!B128="","",Agent09_Loans!A128)</f>
        <v/>
      </c>
      <c r="B1716" s="40" t="str">
        <f>IF(Agent09_Loans!B128="","",Agent09_Loans!B128)</f>
        <v/>
      </c>
      <c r="C1716" s="40" t="str">
        <f>IF(Agent09_Loans!B128="","",Agent09_Loans!C128)</f>
        <v/>
      </c>
      <c r="D1716" s="41" t="str">
        <f>IF(Agent09_Loans!B128="","",Agent09_Loans!D128)</f>
        <v/>
      </c>
      <c r="E1716" s="43" t="str">
        <f>IF(Agent09_Loans!B128="","",Agent09_Loans!E128)</f>
        <v/>
      </c>
      <c r="F1716" s="40" t="str">
        <f>IF(Agent09_Loans!B128="","",Agent09_Loans!F128)</f>
        <v/>
      </c>
      <c r="G1716" s="40" t="str">
        <f>IF(Agent09_Loans!B128="","",Agent09_Loans!G128)</f>
        <v/>
      </c>
      <c r="H1716" s="40" t="str">
        <f>IF(Agent09_Loans!B128="","",Agent09_Loans!H128)</f>
        <v/>
      </c>
      <c r="I1716" s="43" t="str">
        <f>IF(Agent09_Loans!B128="","",Agent09_Loans!I128)</f>
        <v/>
      </c>
      <c r="J1716" s="43" t="str">
        <f>IF(Agent09_Loans!B128="","",Agent09_Loans!J128)</f>
        <v/>
      </c>
      <c r="K1716" s="40" t="str">
        <f>IF(Agent09_Loans!B128="","",Agent09_Loans!K128)</f>
        <v/>
      </c>
      <c r="L1716" s="40" t="str">
        <f>IF(Agent09_Loans!B128="","",Agent09_Loans!L128)</f>
        <v/>
      </c>
      <c r="M1716" s="40" t="str">
        <f>IFERROR(IF(Agent09_Loans!B128="","",YEAR(Agent09_Loans!D128)),"")</f>
        <v/>
      </c>
    </row>
    <row r="1717" spans="1:13" ht="18" customHeight="1" x14ac:dyDescent="0.25">
      <c r="A1717" s="40" t="str">
        <f>IF(Agent09_Loans!B129="","",Agent09_Loans!A129)</f>
        <v/>
      </c>
      <c r="B1717" s="40" t="str">
        <f>IF(Agent09_Loans!B129="","",Agent09_Loans!B129)</f>
        <v/>
      </c>
      <c r="C1717" s="40" t="str">
        <f>IF(Agent09_Loans!B129="","",Agent09_Loans!C129)</f>
        <v/>
      </c>
      <c r="D1717" s="41" t="str">
        <f>IF(Agent09_Loans!B129="","",Agent09_Loans!D129)</f>
        <v/>
      </c>
      <c r="E1717" s="43" t="str">
        <f>IF(Agent09_Loans!B129="","",Agent09_Loans!E129)</f>
        <v/>
      </c>
      <c r="F1717" s="40" t="str">
        <f>IF(Agent09_Loans!B129="","",Agent09_Loans!F129)</f>
        <v/>
      </c>
      <c r="G1717" s="40" t="str">
        <f>IF(Agent09_Loans!B129="","",Agent09_Loans!G129)</f>
        <v/>
      </c>
      <c r="H1717" s="40" t="str">
        <f>IF(Agent09_Loans!B129="","",Agent09_Loans!H129)</f>
        <v/>
      </c>
      <c r="I1717" s="43" t="str">
        <f>IF(Agent09_Loans!B129="","",Agent09_Loans!I129)</f>
        <v/>
      </c>
      <c r="J1717" s="43" t="str">
        <f>IF(Agent09_Loans!B129="","",Agent09_Loans!J129)</f>
        <v/>
      </c>
      <c r="K1717" s="40" t="str">
        <f>IF(Agent09_Loans!B129="","",Agent09_Loans!K129)</f>
        <v/>
      </c>
      <c r="L1717" s="40" t="str">
        <f>IF(Agent09_Loans!B129="","",Agent09_Loans!L129)</f>
        <v/>
      </c>
      <c r="M1717" s="40" t="str">
        <f>IFERROR(IF(Agent09_Loans!B129="","",YEAR(Agent09_Loans!D129)),"")</f>
        <v/>
      </c>
    </row>
    <row r="1718" spans="1:13" ht="18" customHeight="1" x14ac:dyDescent="0.25">
      <c r="A1718" s="40" t="str">
        <f>IF(Agent09_Loans!B130="","",Agent09_Loans!A130)</f>
        <v/>
      </c>
      <c r="B1718" s="40" t="str">
        <f>IF(Agent09_Loans!B130="","",Agent09_Loans!B130)</f>
        <v/>
      </c>
      <c r="C1718" s="40" t="str">
        <f>IF(Agent09_Loans!B130="","",Agent09_Loans!C130)</f>
        <v/>
      </c>
      <c r="D1718" s="41" t="str">
        <f>IF(Agent09_Loans!B130="","",Agent09_Loans!D130)</f>
        <v/>
      </c>
      <c r="E1718" s="43" t="str">
        <f>IF(Agent09_Loans!B130="","",Agent09_Loans!E130)</f>
        <v/>
      </c>
      <c r="F1718" s="40" t="str">
        <f>IF(Agent09_Loans!B130="","",Agent09_Loans!F130)</f>
        <v/>
      </c>
      <c r="G1718" s="40" t="str">
        <f>IF(Agent09_Loans!B130="","",Agent09_Loans!G130)</f>
        <v/>
      </c>
      <c r="H1718" s="40" t="str">
        <f>IF(Agent09_Loans!B130="","",Agent09_Loans!H130)</f>
        <v/>
      </c>
      <c r="I1718" s="43" t="str">
        <f>IF(Agent09_Loans!B130="","",Agent09_Loans!I130)</f>
        <v/>
      </c>
      <c r="J1718" s="43" t="str">
        <f>IF(Agent09_Loans!B130="","",Agent09_Loans!J130)</f>
        <v/>
      </c>
      <c r="K1718" s="40" t="str">
        <f>IF(Agent09_Loans!B130="","",Agent09_Loans!K130)</f>
        <v/>
      </c>
      <c r="L1718" s="40" t="str">
        <f>IF(Agent09_Loans!B130="","",Agent09_Loans!L130)</f>
        <v/>
      </c>
      <c r="M1718" s="40" t="str">
        <f>IFERROR(IF(Agent09_Loans!B130="","",YEAR(Agent09_Loans!D130)),"")</f>
        <v/>
      </c>
    </row>
    <row r="1719" spans="1:13" ht="18" customHeight="1" x14ac:dyDescent="0.25">
      <c r="A1719" s="40" t="str">
        <f>IF(Agent09_Loans!B131="","",Agent09_Loans!A131)</f>
        <v/>
      </c>
      <c r="B1719" s="40" t="str">
        <f>IF(Agent09_Loans!B131="","",Agent09_Loans!B131)</f>
        <v/>
      </c>
      <c r="C1719" s="40" t="str">
        <f>IF(Agent09_Loans!B131="","",Agent09_Loans!C131)</f>
        <v/>
      </c>
      <c r="D1719" s="41" t="str">
        <f>IF(Agent09_Loans!B131="","",Agent09_Loans!D131)</f>
        <v/>
      </c>
      <c r="E1719" s="43" t="str">
        <f>IF(Agent09_Loans!B131="","",Agent09_Loans!E131)</f>
        <v/>
      </c>
      <c r="F1719" s="40" t="str">
        <f>IF(Agent09_Loans!B131="","",Agent09_Loans!F131)</f>
        <v/>
      </c>
      <c r="G1719" s="40" t="str">
        <f>IF(Agent09_Loans!B131="","",Agent09_Loans!G131)</f>
        <v/>
      </c>
      <c r="H1719" s="40" t="str">
        <f>IF(Agent09_Loans!B131="","",Agent09_Loans!H131)</f>
        <v/>
      </c>
      <c r="I1719" s="43" t="str">
        <f>IF(Agent09_Loans!B131="","",Agent09_Loans!I131)</f>
        <v/>
      </c>
      <c r="J1719" s="43" t="str">
        <f>IF(Agent09_Loans!B131="","",Agent09_Loans!J131)</f>
        <v/>
      </c>
      <c r="K1719" s="40" t="str">
        <f>IF(Agent09_Loans!B131="","",Agent09_Loans!K131)</f>
        <v/>
      </c>
      <c r="L1719" s="40" t="str">
        <f>IF(Agent09_Loans!B131="","",Agent09_Loans!L131)</f>
        <v/>
      </c>
      <c r="M1719" s="40" t="str">
        <f>IFERROR(IF(Agent09_Loans!B131="","",YEAR(Agent09_Loans!D131)),"")</f>
        <v/>
      </c>
    </row>
    <row r="1720" spans="1:13" ht="18" customHeight="1" x14ac:dyDescent="0.25">
      <c r="A1720" s="40" t="str">
        <f>IF(Agent09_Loans!B132="","",Agent09_Loans!A132)</f>
        <v/>
      </c>
      <c r="B1720" s="40" t="str">
        <f>IF(Agent09_Loans!B132="","",Agent09_Loans!B132)</f>
        <v/>
      </c>
      <c r="C1720" s="40" t="str">
        <f>IF(Agent09_Loans!B132="","",Agent09_Loans!C132)</f>
        <v/>
      </c>
      <c r="D1720" s="41" t="str">
        <f>IF(Agent09_Loans!B132="","",Agent09_Loans!D132)</f>
        <v/>
      </c>
      <c r="E1720" s="43" t="str">
        <f>IF(Agent09_Loans!B132="","",Agent09_Loans!E132)</f>
        <v/>
      </c>
      <c r="F1720" s="40" t="str">
        <f>IF(Agent09_Loans!B132="","",Agent09_Loans!F132)</f>
        <v/>
      </c>
      <c r="G1720" s="40" t="str">
        <f>IF(Agent09_Loans!B132="","",Agent09_Loans!G132)</f>
        <v/>
      </c>
      <c r="H1720" s="40" t="str">
        <f>IF(Agent09_Loans!B132="","",Agent09_Loans!H132)</f>
        <v/>
      </c>
      <c r="I1720" s="43" t="str">
        <f>IF(Agent09_Loans!B132="","",Agent09_Loans!I132)</f>
        <v/>
      </c>
      <c r="J1720" s="43" t="str">
        <f>IF(Agent09_Loans!B132="","",Agent09_Loans!J132)</f>
        <v/>
      </c>
      <c r="K1720" s="40" t="str">
        <f>IF(Agent09_Loans!B132="","",Agent09_Loans!K132)</f>
        <v/>
      </c>
      <c r="L1720" s="40" t="str">
        <f>IF(Agent09_Loans!B132="","",Agent09_Loans!L132)</f>
        <v/>
      </c>
      <c r="M1720" s="40" t="str">
        <f>IFERROR(IF(Agent09_Loans!B132="","",YEAR(Agent09_Loans!D132)),"")</f>
        <v/>
      </c>
    </row>
    <row r="1721" spans="1:13" ht="18" customHeight="1" x14ac:dyDescent="0.25">
      <c r="A1721" s="40" t="str">
        <f>IF(Agent09_Loans!B133="","",Agent09_Loans!A133)</f>
        <v/>
      </c>
      <c r="B1721" s="40" t="str">
        <f>IF(Agent09_Loans!B133="","",Agent09_Loans!B133)</f>
        <v/>
      </c>
      <c r="C1721" s="40" t="str">
        <f>IF(Agent09_Loans!B133="","",Agent09_Loans!C133)</f>
        <v/>
      </c>
      <c r="D1721" s="41" t="str">
        <f>IF(Agent09_Loans!B133="","",Agent09_Loans!D133)</f>
        <v/>
      </c>
      <c r="E1721" s="43" t="str">
        <f>IF(Agent09_Loans!B133="","",Agent09_Loans!E133)</f>
        <v/>
      </c>
      <c r="F1721" s="40" t="str">
        <f>IF(Agent09_Loans!B133="","",Agent09_Loans!F133)</f>
        <v/>
      </c>
      <c r="G1721" s="40" t="str">
        <f>IF(Agent09_Loans!B133="","",Agent09_Loans!G133)</f>
        <v/>
      </c>
      <c r="H1721" s="40" t="str">
        <f>IF(Agent09_Loans!B133="","",Agent09_Loans!H133)</f>
        <v/>
      </c>
      <c r="I1721" s="43" t="str">
        <f>IF(Agent09_Loans!B133="","",Agent09_Loans!I133)</f>
        <v/>
      </c>
      <c r="J1721" s="43" t="str">
        <f>IF(Agent09_Loans!B133="","",Agent09_Loans!J133)</f>
        <v/>
      </c>
      <c r="K1721" s="40" t="str">
        <f>IF(Agent09_Loans!B133="","",Agent09_Loans!K133)</f>
        <v/>
      </c>
      <c r="L1721" s="40" t="str">
        <f>IF(Agent09_Loans!B133="","",Agent09_Loans!L133)</f>
        <v/>
      </c>
      <c r="M1721" s="40" t="str">
        <f>IFERROR(IF(Agent09_Loans!B133="","",YEAR(Agent09_Loans!D133)),"")</f>
        <v/>
      </c>
    </row>
    <row r="1722" spans="1:13" ht="18" customHeight="1" x14ac:dyDescent="0.25">
      <c r="A1722" s="40" t="str">
        <f>IF(Agent09_Loans!B134="","",Agent09_Loans!A134)</f>
        <v/>
      </c>
      <c r="B1722" s="40" t="str">
        <f>IF(Agent09_Loans!B134="","",Agent09_Loans!B134)</f>
        <v/>
      </c>
      <c r="C1722" s="40" t="str">
        <f>IF(Agent09_Loans!B134="","",Agent09_Loans!C134)</f>
        <v/>
      </c>
      <c r="D1722" s="41" t="str">
        <f>IF(Agent09_Loans!B134="","",Agent09_Loans!D134)</f>
        <v/>
      </c>
      <c r="E1722" s="43" t="str">
        <f>IF(Agent09_Loans!B134="","",Agent09_Loans!E134)</f>
        <v/>
      </c>
      <c r="F1722" s="40" t="str">
        <f>IF(Agent09_Loans!B134="","",Agent09_Loans!F134)</f>
        <v/>
      </c>
      <c r="G1722" s="40" t="str">
        <f>IF(Agent09_Loans!B134="","",Agent09_Loans!G134)</f>
        <v/>
      </c>
      <c r="H1722" s="40" t="str">
        <f>IF(Agent09_Loans!B134="","",Agent09_Loans!H134)</f>
        <v/>
      </c>
      <c r="I1722" s="43" t="str">
        <f>IF(Agent09_Loans!B134="","",Agent09_Loans!I134)</f>
        <v/>
      </c>
      <c r="J1722" s="43" t="str">
        <f>IF(Agent09_Loans!B134="","",Agent09_Loans!J134)</f>
        <v/>
      </c>
      <c r="K1722" s="40" t="str">
        <f>IF(Agent09_Loans!B134="","",Agent09_Loans!K134)</f>
        <v/>
      </c>
      <c r="L1722" s="40" t="str">
        <f>IF(Agent09_Loans!B134="","",Agent09_Loans!L134)</f>
        <v/>
      </c>
      <c r="M1722" s="40" t="str">
        <f>IFERROR(IF(Agent09_Loans!B134="","",YEAR(Agent09_Loans!D134)),"")</f>
        <v/>
      </c>
    </row>
    <row r="1723" spans="1:13" ht="18" customHeight="1" x14ac:dyDescent="0.25">
      <c r="A1723" s="40" t="str">
        <f>IF(Agent09_Loans!B135="","",Agent09_Loans!A135)</f>
        <v/>
      </c>
      <c r="B1723" s="40" t="str">
        <f>IF(Agent09_Loans!B135="","",Agent09_Loans!B135)</f>
        <v/>
      </c>
      <c r="C1723" s="40" t="str">
        <f>IF(Agent09_Loans!B135="","",Agent09_Loans!C135)</f>
        <v/>
      </c>
      <c r="D1723" s="41" t="str">
        <f>IF(Agent09_Loans!B135="","",Agent09_Loans!D135)</f>
        <v/>
      </c>
      <c r="E1723" s="43" t="str">
        <f>IF(Agent09_Loans!B135="","",Agent09_Loans!E135)</f>
        <v/>
      </c>
      <c r="F1723" s="40" t="str">
        <f>IF(Agent09_Loans!B135="","",Agent09_Loans!F135)</f>
        <v/>
      </c>
      <c r="G1723" s="40" t="str">
        <f>IF(Agent09_Loans!B135="","",Agent09_Loans!G135)</f>
        <v/>
      </c>
      <c r="H1723" s="40" t="str">
        <f>IF(Agent09_Loans!B135="","",Agent09_Loans!H135)</f>
        <v/>
      </c>
      <c r="I1723" s="43" t="str">
        <f>IF(Agent09_Loans!B135="","",Agent09_Loans!I135)</f>
        <v/>
      </c>
      <c r="J1723" s="43" t="str">
        <f>IF(Agent09_Loans!B135="","",Agent09_Loans!J135)</f>
        <v/>
      </c>
      <c r="K1723" s="40" t="str">
        <f>IF(Agent09_Loans!B135="","",Agent09_Loans!K135)</f>
        <v/>
      </c>
      <c r="L1723" s="40" t="str">
        <f>IF(Agent09_Loans!B135="","",Agent09_Loans!L135)</f>
        <v/>
      </c>
      <c r="M1723" s="40" t="str">
        <f>IFERROR(IF(Agent09_Loans!B135="","",YEAR(Agent09_Loans!D135)),"")</f>
        <v/>
      </c>
    </row>
    <row r="1724" spans="1:13" ht="18" customHeight="1" x14ac:dyDescent="0.25">
      <c r="A1724" s="40" t="str">
        <f>IF(Agent09_Loans!B136="","",Agent09_Loans!A136)</f>
        <v/>
      </c>
      <c r="B1724" s="40" t="str">
        <f>IF(Agent09_Loans!B136="","",Agent09_Loans!B136)</f>
        <v/>
      </c>
      <c r="C1724" s="40" t="str">
        <f>IF(Agent09_Loans!B136="","",Agent09_Loans!C136)</f>
        <v/>
      </c>
      <c r="D1724" s="41" t="str">
        <f>IF(Agent09_Loans!B136="","",Agent09_Loans!D136)</f>
        <v/>
      </c>
      <c r="E1724" s="43" t="str">
        <f>IF(Agent09_Loans!B136="","",Agent09_Loans!E136)</f>
        <v/>
      </c>
      <c r="F1724" s="40" t="str">
        <f>IF(Agent09_Loans!B136="","",Agent09_Loans!F136)</f>
        <v/>
      </c>
      <c r="G1724" s="40" t="str">
        <f>IF(Agent09_Loans!B136="","",Agent09_Loans!G136)</f>
        <v/>
      </c>
      <c r="H1724" s="40" t="str">
        <f>IF(Agent09_Loans!B136="","",Agent09_Loans!H136)</f>
        <v/>
      </c>
      <c r="I1724" s="43" t="str">
        <f>IF(Agent09_Loans!B136="","",Agent09_Loans!I136)</f>
        <v/>
      </c>
      <c r="J1724" s="43" t="str">
        <f>IF(Agent09_Loans!B136="","",Agent09_Loans!J136)</f>
        <v/>
      </c>
      <c r="K1724" s="40" t="str">
        <f>IF(Agent09_Loans!B136="","",Agent09_Loans!K136)</f>
        <v/>
      </c>
      <c r="L1724" s="40" t="str">
        <f>IF(Agent09_Loans!B136="","",Agent09_Loans!L136)</f>
        <v/>
      </c>
      <c r="M1724" s="40" t="str">
        <f>IFERROR(IF(Agent09_Loans!B136="","",YEAR(Agent09_Loans!D136)),"")</f>
        <v/>
      </c>
    </row>
    <row r="1725" spans="1:13" ht="18" customHeight="1" x14ac:dyDescent="0.25">
      <c r="A1725" s="40" t="str">
        <f>IF(Agent09_Loans!B137="","",Agent09_Loans!A137)</f>
        <v/>
      </c>
      <c r="B1725" s="40" t="str">
        <f>IF(Agent09_Loans!B137="","",Agent09_Loans!B137)</f>
        <v/>
      </c>
      <c r="C1725" s="40" t="str">
        <f>IF(Agent09_Loans!B137="","",Agent09_Loans!C137)</f>
        <v/>
      </c>
      <c r="D1725" s="41" t="str">
        <f>IF(Agent09_Loans!B137="","",Agent09_Loans!D137)</f>
        <v/>
      </c>
      <c r="E1725" s="43" t="str">
        <f>IF(Agent09_Loans!B137="","",Agent09_Loans!E137)</f>
        <v/>
      </c>
      <c r="F1725" s="40" t="str">
        <f>IF(Agent09_Loans!B137="","",Agent09_Loans!F137)</f>
        <v/>
      </c>
      <c r="G1725" s="40" t="str">
        <f>IF(Agent09_Loans!B137="","",Agent09_Loans!G137)</f>
        <v/>
      </c>
      <c r="H1725" s="40" t="str">
        <f>IF(Agent09_Loans!B137="","",Agent09_Loans!H137)</f>
        <v/>
      </c>
      <c r="I1725" s="43" t="str">
        <f>IF(Agent09_Loans!B137="","",Agent09_Loans!I137)</f>
        <v/>
      </c>
      <c r="J1725" s="43" t="str">
        <f>IF(Agent09_Loans!B137="","",Agent09_Loans!J137)</f>
        <v/>
      </c>
      <c r="K1725" s="40" t="str">
        <f>IF(Agent09_Loans!B137="","",Agent09_Loans!K137)</f>
        <v/>
      </c>
      <c r="L1725" s="40" t="str">
        <f>IF(Agent09_Loans!B137="","",Agent09_Loans!L137)</f>
        <v/>
      </c>
      <c r="M1725" s="40" t="str">
        <f>IFERROR(IF(Agent09_Loans!B137="","",YEAR(Agent09_Loans!D137)),"")</f>
        <v/>
      </c>
    </row>
    <row r="1726" spans="1:13" ht="18" customHeight="1" x14ac:dyDescent="0.25">
      <c r="A1726" s="40" t="str">
        <f>IF(Agent09_Loans!B138="","",Agent09_Loans!A138)</f>
        <v/>
      </c>
      <c r="B1726" s="40" t="str">
        <f>IF(Agent09_Loans!B138="","",Agent09_Loans!B138)</f>
        <v/>
      </c>
      <c r="C1726" s="40" t="str">
        <f>IF(Agent09_Loans!B138="","",Agent09_Loans!C138)</f>
        <v/>
      </c>
      <c r="D1726" s="41" t="str">
        <f>IF(Agent09_Loans!B138="","",Agent09_Loans!D138)</f>
        <v/>
      </c>
      <c r="E1726" s="43" t="str">
        <f>IF(Agent09_Loans!B138="","",Agent09_Loans!E138)</f>
        <v/>
      </c>
      <c r="F1726" s="40" t="str">
        <f>IF(Agent09_Loans!B138="","",Agent09_Loans!F138)</f>
        <v/>
      </c>
      <c r="G1726" s="40" t="str">
        <f>IF(Agent09_Loans!B138="","",Agent09_Loans!G138)</f>
        <v/>
      </c>
      <c r="H1726" s="40" t="str">
        <f>IF(Agent09_Loans!B138="","",Agent09_Loans!H138)</f>
        <v/>
      </c>
      <c r="I1726" s="43" t="str">
        <f>IF(Agent09_Loans!B138="","",Agent09_Loans!I138)</f>
        <v/>
      </c>
      <c r="J1726" s="43" t="str">
        <f>IF(Agent09_Loans!B138="","",Agent09_Loans!J138)</f>
        <v/>
      </c>
      <c r="K1726" s="40" t="str">
        <f>IF(Agent09_Loans!B138="","",Agent09_Loans!K138)</f>
        <v/>
      </c>
      <c r="L1726" s="40" t="str">
        <f>IF(Agent09_Loans!B138="","",Agent09_Loans!L138)</f>
        <v/>
      </c>
      <c r="M1726" s="40" t="str">
        <f>IFERROR(IF(Agent09_Loans!B138="","",YEAR(Agent09_Loans!D138)),"")</f>
        <v/>
      </c>
    </row>
    <row r="1727" spans="1:13" ht="18" customHeight="1" x14ac:dyDescent="0.25">
      <c r="A1727" s="40" t="str">
        <f>IF(Agent09_Loans!B139="","",Agent09_Loans!A139)</f>
        <v/>
      </c>
      <c r="B1727" s="40" t="str">
        <f>IF(Agent09_Loans!B139="","",Agent09_Loans!B139)</f>
        <v/>
      </c>
      <c r="C1727" s="40" t="str">
        <f>IF(Agent09_Loans!B139="","",Agent09_Loans!C139)</f>
        <v/>
      </c>
      <c r="D1727" s="41" t="str">
        <f>IF(Agent09_Loans!B139="","",Agent09_Loans!D139)</f>
        <v/>
      </c>
      <c r="E1727" s="43" t="str">
        <f>IF(Agent09_Loans!B139="","",Agent09_Loans!E139)</f>
        <v/>
      </c>
      <c r="F1727" s="40" t="str">
        <f>IF(Agent09_Loans!B139="","",Agent09_Loans!F139)</f>
        <v/>
      </c>
      <c r="G1727" s="40" t="str">
        <f>IF(Agent09_Loans!B139="","",Agent09_Loans!G139)</f>
        <v/>
      </c>
      <c r="H1727" s="40" t="str">
        <f>IF(Agent09_Loans!B139="","",Agent09_Loans!H139)</f>
        <v/>
      </c>
      <c r="I1727" s="43" t="str">
        <f>IF(Agent09_Loans!B139="","",Agent09_Loans!I139)</f>
        <v/>
      </c>
      <c r="J1727" s="43" t="str">
        <f>IF(Agent09_Loans!B139="","",Agent09_Loans!J139)</f>
        <v/>
      </c>
      <c r="K1727" s="40" t="str">
        <f>IF(Agent09_Loans!B139="","",Agent09_Loans!K139)</f>
        <v/>
      </c>
      <c r="L1727" s="40" t="str">
        <f>IF(Agent09_Loans!B139="","",Agent09_Loans!L139)</f>
        <v/>
      </c>
      <c r="M1727" s="40" t="str">
        <f>IFERROR(IF(Agent09_Loans!B139="","",YEAR(Agent09_Loans!D139)),"")</f>
        <v/>
      </c>
    </row>
    <row r="1728" spans="1:13" ht="18" customHeight="1" x14ac:dyDescent="0.25">
      <c r="A1728" s="40" t="str">
        <f>IF(Agent09_Loans!B140="","",Agent09_Loans!A140)</f>
        <v/>
      </c>
      <c r="B1728" s="40" t="str">
        <f>IF(Agent09_Loans!B140="","",Agent09_Loans!B140)</f>
        <v/>
      </c>
      <c r="C1728" s="40" t="str">
        <f>IF(Agent09_Loans!B140="","",Agent09_Loans!C140)</f>
        <v/>
      </c>
      <c r="D1728" s="41" t="str">
        <f>IF(Agent09_Loans!B140="","",Agent09_Loans!D140)</f>
        <v/>
      </c>
      <c r="E1728" s="43" t="str">
        <f>IF(Agent09_Loans!B140="","",Agent09_Loans!E140)</f>
        <v/>
      </c>
      <c r="F1728" s="40" t="str">
        <f>IF(Agent09_Loans!B140="","",Agent09_Loans!F140)</f>
        <v/>
      </c>
      <c r="G1728" s="40" t="str">
        <f>IF(Agent09_Loans!B140="","",Agent09_Loans!G140)</f>
        <v/>
      </c>
      <c r="H1728" s="40" t="str">
        <f>IF(Agent09_Loans!B140="","",Agent09_Loans!H140)</f>
        <v/>
      </c>
      <c r="I1728" s="43" t="str">
        <f>IF(Agent09_Loans!B140="","",Agent09_Loans!I140)</f>
        <v/>
      </c>
      <c r="J1728" s="43" t="str">
        <f>IF(Agent09_Loans!B140="","",Agent09_Loans!J140)</f>
        <v/>
      </c>
      <c r="K1728" s="40" t="str">
        <f>IF(Agent09_Loans!B140="","",Agent09_Loans!K140)</f>
        <v/>
      </c>
      <c r="L1728" s="40" t="str">
        <f>IF(Agent09_Loans!B140="","",Agent09_Loans!L140)</f>
        <v/>
      </c>
      <c r="M1728" s="40" t="str">
        <f>IFERROR(IF(Agent09_Loans!B140="","",YEAR(Agent09_Loans!D140)),"")</f>
        <v/>
      </c>
    </row>
    <row r="1729" spans="1:13" ht="18" customHeight="1" x14ac:dyDescent="0.25">
      <c r="A1729" s="40" t="str">
        <f>IF(Agent09_Loans!B141="","",Agent09_Loans!A141)</f>
        <v/>
      </c>
      <c r="B1729" s="40" t="str">
        <f>IF(Agent09_Loans!B141="","",Agent09_Loans!B141)</f>
        <v/>
      </c>
      <c r="C1729" s="40" t="str">
        <f>IF(Agent09_Loans!B141="","",Agent09_Loans!C141)</f>
        <v/>
      </c>
      <c r="D1729" s="41" t="str">
        <f>IF(Agent09_Loans!B141="","",Agent09_Loans!D141)</f>
        <v/>
      </c>
      <c r="E1729" s="43" t="str">
        <f>IF(Agent09_Loans!B141="","",Agent09_Loans!E141)</f>
        <v/>
      </c>
      <c r="F1729" s="40" t="str">
        <f>IF(Agent09_Loans!B141="","",Agent09_Loans!F141)</f>
        <v/>
      </c>
      <c r="G1729" s="40" t="str">
        <f>IF(Agent09_Loans!B141="","",Agent09_Loans!G141)</f>
        <v/>
      </c>
      <c r="H1729" s="40" t="str">
        <f>IF(Agent09_Loans!B141="","",Agent09_Loans!H141)</f>
        <v/>
      </c>
      <c r="I1729" s="43" t="str">
        <f>IF(Agent09_Loans!B141="","",Agent09_Loans!I141)</f>
        <v/>
      </c>
      <c r="J1729" s="43" t="str">
        <f>IF(Agent09_Loans!B141="","",Agent09_Loans!J141)</f>
        <v/>
      </c>
      <c r="K1729" s="40" t="str">
        <f>IF(Agent09_Loans!B141="","",Agent09_Loans!K141)</f>
        <v/>
      </c>
      <c r="L1729" s="40" t="str">
        <f>IF(Agent09_Loans!B141="","",Agent09_Loans!L141)</f>
        <v/>
      </c>
      <c r="M1729" s="40" t="str">
        <f>IFERROR(IF(Agent09_Loans!B141="","",YEAR(Agent09_Loans!D141)),"")</f>
        <v/>
      </c>
    </row>
    <row r="1730" spans="1:13" ht="18" customHeight="1" x14ac:dyDescent="0.25">
      <c r="A1730" s="40" t="str">
        <f>IF(Agent09_Loans!B142="","",Agent09_Loans!A142)</f>
        <v/>
      </c>
      <c r="B1730" s="40" t="str">
        <f>IF(Agent09_Loans!B142="","",Agent09_Loans!B142)</f>
        <v/>
      </c>
      <c r="C1730" s="40" t="str">
        <f>IF(Agent09_Loans!B142="","",Agent09_Loans!C142)</f>
        <v/>
      </c>
      <c r="D1730" s="41" t="str">
        <f>IF(Agent09_Loans!B142="","",Agent09_Loans!D142)</f>
        <v/>
      </c>
      <c r="E1730" s="43" t="str">
        <f>IF(Agent09_Loans!B142="","",Agent09_Loans!E142)</f>
        <v/>
      </c>
      <c r="F1730" s="40" t="str">
        <f>IF(Agent09_Loans!B142="","",Agent09_Loans!F142)</f>
        <v/>
      </c>
      <c r="G1730" s="40" t="str">
        <f>IF(Agent09_Loans!B142="","",Agent09_Loans!G142)</f>
        <v/>
      </c>
      <c r="H1730" s="40" t="str">
        <f>IF(Agent09_Loans!B142="","",Agent09_Loans!H142)</f>
        <v/>
      </c>
      <c r="I1730" s="43" t="str">
        <f>IF(Agent09_Loans!B142="","",Agent09_Loans!I142)</f>
        <v/>
      </c>
      <c r="J1730" s="43" t="str">
        <f>IF(Agent09_Loans!B142="","",Agent09_Loans!J142)</f>
        <v/>
      </c>
      <c r="K1730" s="40" t="str">
        <f>IF(Agent09_Loans!B142="","",Agent09_Loans!K142)</f>
        <v/>
      </c>
      <c r="L1730" s="40" t="str">
        <f>IF(Agent09_Loans!B142="","",Agent09_Loans!L142)</f>
        <v/>
      </c>
      <c r="M1730" s="40" t="str">
        <f>IFERROR(IF(Agent09_Loans!B142="","",YEAR(Agent09_Loans!D142)),"")</f>
        <v/>
      </c>
    </row>
    <row r="1731" spans="1:13" ht="18" customHeight="1" x14ac:dyDescent="0.25">
      <c r="A1731" s="40" t="str">
        <f>IF(Agent09_Loans!B143="","",Agent09_Loans!A143)</f>
        <v/>
      </c>
      <c r="B1731" s="40" t="str">
        <f>IF(Agent09_Loans!B143="","",Agent09_Loans!B143)</f>
        <v/>
      </c>
      <c r="C1731" s="40" t="str">
        <f>IF(Agent09_Loans!B143="","",Agent09_Loans!C143)</f>
        <v/>
      </c>
      <c r="D1731" s="41" t="str">
        <f>IF(Agent09_Loans!B143="","",Agent09_Loans!D143)</f>
        <v/>
      </c>
      <c r="E1731" s="43" t="str">
        <f>IF(Agent09_Loans!B143="","",Agent09_Loans!E143)</f>
        <v/>
      </c>
      <c r="F1731" s="40" t="str">
        <f>IF(Agent09_Loans!B143="","",Agent09_Loans!F143)</f>
        <v/>
      </c>
      <c r="G1731" s="40" t="str">
        <f>IF(Agent09_Loans!B143="","",Agent09_Loans!G143)</f>
        <v/>
      </c>
      <c r="H1731" s="40" t="str">
        <f>IF(Agent09_Loans!B143="","",Agent09_Loans!H143)</f>
        <v/>
      </c>
      <c r="I1731" s="43" t="str">
        <f>IF(Agent09_Loans!B143="","",Agent09_Loans!I143)</f>
        <v/>
      </c>
      <c r="J1731" s="43" t="str">
        <f>IF(Agent09_Loans!B143="","",Agent09_Loans!J143)</f>
        <v/>
      </c>
      <c r="K1731" s="40" t="str">
        <f>IF(Agent09_Loans!B143="","",Agent09_Loans!K143)</f>
        <v/>
      </c>
      <c r="L1731" s="40" t="str">
        <f>IF(Agent09_Loans!B143="","",Agent09_Loans!L143)</f>
        <v/>
      </c>
      <c r="M1731" s="40" t="str">
        <f>IFERROR(IF(Agent09_Loans!B143="","",YEAR(Agent09_Loans!D143)),"")</f>
        <v/>
      </c>
    </row>
    <row r="1732" spans="1:13" ht="18" customHeight="1" x14ac:dyDescent="0.25">
      <c r="A1732" s="40" t="str">
        <f>IF(Agent09_Loans!B144="","",Agent09_Loans!A144)</f>
        <v/>
      </c>
      <c r="B1732" s="40" t="str">
        <f>IF(Agent09_Loans!B144="","",Agent09_Loans!B144)</f>
        <v/>
      </c>
      <c r="C1732" s="40" t="str">
        <f>IF(Agent09_Loans!B144="","",Agent09_Loans!C144)</f>
        <v/>
      </c>
      <c r="D1732" s="41" t="str">
        <f>IF(Agent09_Loans!B144="","",Agent09_Loans!D144)</f>
        <v/>
      </c>
      <c r="E1732" s="43" t="str">
        <f>IF(Agent09_Loans!B144="","",Agent09_Loans!E144)</f>
        <v/>
      </c>
      <c r="F1732" s="40" t="str">
        <f>IF(Agent09_Loans!B144="","",Agent09_Loans!F144)</f>
        <v/>
      </c>
      <c r="G1732" s="40" t="str">
        <f>IF(Agent09_Loans!B144="","",Agent09_Loans!G144)</f>
        <v/>
      </c>
      <c r="H1732" s="40" t="str">
        <f>IF(Agent09_Loans!B144="","",Agent09_Loans!H144)</f>
        <v/>
      </c>
      <c r="I1732" s="43" t="str">
        <f>IF(Agent09_Loans!B144="","",Agent09_Loans!I144)</f>
        <v/>
      </c>
      <c r="J1732" s="43" t="str">
        <f>IF(Agent09_Loans!B144="","",Agent09_Loans!J144)</f>
        <v/>
      </c>
      <c r="K1732" s="40" t="str">
        <f>IF(Agent09_Loans!B144="","",Agent09_Loans!K144)</f>
        <v/>
      </c>
      <c r="L1732" s="40" t="str">
        <f>IF(Agent09_Loans!B144="","",Agent09_Loans!L144)</f>
        <v/>
      </c>
      <c r="M1732" s="40" t="str">
        <f>IFERROR(IF(Agent09_Loans!B144="","",YEAR(Agent09_Loans!D144)),"")</f>
        <v/>
      </c>
    </row>
    <row r="1733" spans="1:13" ht="18" customHeight="1" x14ac:dyDescent="0.25">
      <c r="A1733" s="40" t="str">
        <f>IF(Agent09_Loans!B145="","",Agent09_Loans!A145)</f>
        <v/>
      </c>
      <c r="B1733" s="40" t="str">
        <f>IF(Agent09_Loans!B145="","",Agent09_Loans!B145)</f>
        <v/>
      </c>
      <c r="C1733" s="40" t="str">
        <f>IF(Agent09_Loans!B145="","",Agent09_Loans!C145)</f>
        <v/>
      </c>
      <c r="D1733" s="41" t="str">
        <f>IF(Agent09_Loans!B145="","",Agent09_Loans!D145)</f>
        <v/>
      </c>
      <c r="E1733" s="43" t="str">
        <f>IF(Agent09_Loans!B145="","",Agent09_Loans!E145)</f>
        <v/>
      </c>
      <c r="F1733" s="40" t="str">
        <f>IF(Agent09_Loans!B145="","",Agent09_Loans!F145)</f>
        <v/>
      </c>
      <c r="G1733" s="40" t="str">
        <f>IF(Agent09_Loans!B145="","",Agent09_Loans!G145)</f>
        <v/>
      </c>
      <c r="H1733" s="40" t="str">
        <f>IF(Agent09_Loans!B145="","",Agent09_Loans!H145)</f>
        <v/>
      </c>
      <c r="I1733" s="43" t="str">
        <f>IF(Agent09_Loans!B145="","",Agent09_Loans!I145)</f>
        <v/>
      </c>
      <c r="J1733" s="43" t="str">
        <f>IF(Agent09_Loans!B145="","",Agent09_Loans!J145)</f>
        <v/>
      </c>
      <c r="K1733" s="40" t="str">
        <f>IF(Agent09_Loans!B145="","",Agent09_Loans!K145)</f>
        <v/>
      </c>
      <c r="L1733" s="40" t="str">
        <f>IF(Agent09_Loans!B145="","",Agent09_Loans!L145)</f>
        <v/>
      </c>
      <c r="M1733" s="40" t="str">
        <f>IFERROR(IF(Agent09_Loans!B145="","",YEAR(Agent09_Loans!D145)),"")</f>
        <v/>
      </c>
    </row>
    <row r="1734" spans="1:13" ht="18" customHeight="1" x14ac:dyDescent="0.25">
      <c r="A1734" s="40" t="str">
        <f>IF(Agent09_Loans!B146="","",Agent09_Loans!A146)</f>
        <v/>
      </c>
      <c r="B1734" s="40" t="str">
        <f>IF(Agent09_Loans!B146="","",Agent09_Loans!B146)</f>
        <v/>
      </c>
      <c r="C1734" s="40" t="str">
        <f>IF(Agent09_Loans!B146="","",Agent09_Loans!C146)</f>
        <v/>
      </c>
      <c r="D1734" s="41" t="str">
        <f>IF(Agent09_Loans!B146="","",Agent09_Loans!D146)</f>
        <v/>
      </c>
      <c r="E1734" s="43" t="str">
        <f>IF(Agent09_Loans!B146="","",Agent09_Loans!E146)</f>
        <v/>
      </c>
      <c r="F1734" s="40" t="str">
        <f>IF(Agent09_Loans!B146="","",Agent09_Loans!F146)</f>
        <v/>
      </c>
      <c r="G1734" s="40" t="str">
        <f>IF(Agent09_Loans!B146="","",Agent09_Loans!G146)</f>
        <v/>
      </c>
      <c r="H1734" s="40" t="str">
        <f>IF(Agent09_Loans!B146="","",Agent09_Loans!H146)</f>
        <v/>
      </c>
      <c r="I1734" s="43" t="str">
        <f>IF(Agent09_Loans!B146="","",Agent09_Loans!I146)</f>
        <v/>
      </c>
      <c r="J1734" s="43" t="str">
        <f>IF(Agent09_Loans!B146="","",Agent09_Loans!J146)</f>
        <v/>
      </c>
      <c r="K1734" s="40" t="str">
        <f>IF(Agent09_Loans!B146="","",Agent09_Loans!K146)</f>
        <v/>
      </c>
      <c r="L1734" s="40" t="str">
        <f>IF(Agent09_Loans!B146="","",Agent09_Loans!L146)</f>
        <v/>
      </c>
      <c r="M1734" s="40" t="str">
        <f>IFERROR(IF(Agent09_Loans!B146="","",YEAR(Agent09_Loans!D146)),"")</f>
        <v/>
      </c>
    </row>
    <row r="1735" spans="1:13" ht="18" customHeight="1" x14ac:dyDescent="0.25">
      <c r="A1735" s="40" t="str">
        <f>IF(Agent09_Loans!B147="","",Agent09_Loans!A147)</f>
        <v/>
      </c>
      <c r="B1735" s="40" t="str">
        <f>IF(Agent09_Loans!B147="","",Agent09_Loans!B147)</f>
        <v/>
      </c>
      <c r="C1735" s="40" t="str">
        <f>IF(Agent09_Loans!B147="","",Agent09_Loans!C147)</f>
        <v/>
      </c>
      <c r="D1735" s="41" t="str">
        <f>IF(Agent09_Loans!B147="","",Agent09_Loans!D147)</f>
        <v/>
      </c>
      <c r="E1735" s="43" t="str">
        <f>IF(Agent09_Loans!B147="","",Agent09_Loans!E147)</f>
        <v/>
      </c>
      <c r="F1735" s="40" t="str">
        <f>IF(Agent09_Loans!B147="","",Agent09_Loans!F147)</f>
        <v/>
      </c>
      <c r="G1735" s="40" t="str">
        <f>IF(Agent09_Loans!B147="","",Agent09_Loans!G147)</f>
        <v/>
      </c>
      <c r="H1735" s="40" t="str">
        <f>IF(Agent09_Loans!B147="","",Agent09_Loans!H147)</f>
        <v/>
      </c>
      <c r="I1735" s="43" t="str">
        <f>IF(Agent09_Loans!B147="","",Agent09_Loans!I147)</f>
        <v/>
      </c>
      <c r="J1735" s="43" t="str">
        <f>IF(Agent09_Loans!B147="","",Agent09_Loans!J147)</f>
        <v/>
      </c>
      <c r="K1735" s="40" t="str">
        <f>IF(Agent09_Loans!B147="","",Agent09_Loans!K147)</f>
        <v/>
      </c>
      <c r="L1735" s="40" t="str">
        <f>IF(Agent09_Loans!B147="","",Agent09_Loans!L147)</f>
        <v/>
      </c>
      <c r="M1735" s="40" t="str">
        <f>IFERROR(IF(Agent09_Loans!B147="","",YEAR(Agent09_Loans!D147)),"")</f>
        <v/>
      </c>
    </row>
    <row r="1736" spans="1:13" ht="18" customHeight="1" x14ac:dyDescent="0.25">
      <c r="A1736" s="40" t="str">
        <f>IF(Agent09_Loans!B148="","",Agent09_Loans!A148)</f>
        <v/>
      </c>
      <c r="B1736" s="40" t="str">
        <f>IF(Agent09_Loans!B148="","",Agent09_Loans!B148)</f>
        <v/>
      </c>
      <c r="C1736" s="40" t="str">
        <f>IF(Agent09_Loans!B148="","",Agent09_Loans!C148)</f>
        <v/>
      </c>
      <c r="D1736" s="41" t="str">
        <f>IF(Agent09_Loans!B148="","",Agent09_Loans!D148)</f>
        <v/>
      </c>
      <c r="E1736" s="43" t="str">
        <f>IF(Agent09_Loans!B148="","",Agent09_Loans!E148)</f>
        <v/>
      </c>
      <c r="F1736" s="40" t="str">
        <f>IF(Agent09_Loans!B148="","",Agent09_Loans!F148)</f>
        <v/>
      </c>
      <c r="G1736" s="40" t="str">
        <f>IF(Agent09_Loans!B148="","",Agent09_Loans!G148)</f>
        <v/>
      </c>
      <c r="H1736" s="40" t="str">
        <f>IF(Agent09_Loans!B148="","",Agent09_Loans!H148)</f>
        <v/>
      </c>
      <c r="I1736" s="43" t="str">
        <f>IF(Agent09_Loans!B148="","",Agent09_Loans!I148)</f>
        <v/>
      </c>
      <c r="J1736" s="43" t="str">
        <f>IF(Agent09_Loans!B148="","",Agent09_Loans!J148)</f>
        <v/>
      </c>
      <c r="K1736" s="40" t="str">
        <f>IF(Agent09_Loans!B148="","",Agent09_Loans!K148)</f>
        <v/>
      </c>
      <c r="L1736" s="40" t="str">
        <f>IF(Agent09_Loans!B148="","",Agent09_Loans!L148)</f>
        <v/>
      </c>
      <c r="M1736" s="40" t="str">
        <f>IFERROR(IF(Agent09_Loans!B148="","",YEAR(Agent09_Loans!D148)),"")</f>
        <v/>
      </c>
    </row>
    <row r="1737" spans="1:13" ht="18" customHeight="1" x14ac:dyDescent="0.25">
      <c r="A1737" s="40" t="str">
        <f>IF(Agent09_Loans!B149="","",Agent09_Loans!A149)</f>
        <v/>
      </c>
      <c r="B1737" s="40" t="str">
        <f>IF(Agent09_Loans!B149="","",Agent09_Loans!B149)</f>
        <v/>
      </c>
      <c r="C1737" s="40" t="str">
        <f>IF(Agent09_Loans!B149="","",Agent09_Loans!C149)</f>
        <v/>
      </c>
      <c r="D1737" s="41" t="str">
        <f>IF(Agent09_Loans!B149="","",Agent09_Loans!D149)</f>
        <v/>
      </c>
      <c r="E1737" s="43" t="str">
        <f>IF(Agent09_Loans!B149="","",Agent09_Loans!E149)</f>
        <v/>
      </c>
      <c r="F1737" s="40" t="str">
        <f>IF(Agent09_Loans!B149="","",Agent09_Loans!F149)</f>
        <v/>
      </c>
      <c r="G1737" s="40" t="str">
        <f>IF(Agent09_Loans!B149="","",Agent09_Loans!G149)</f>
        <v/>
      </c>
      <c r="H1737" s="40" t="str">
        <f>IF(Agent09_Loans!B149="","",Agent09_Loans!H149)</f>
        <v/>
      </c>
      <c r="I1737" s="43" t="str">
        <f>IF(Agent09_Loans!B149="","",Agent09_Loans!I149)</f>
        <v/>
      </c>
      <c r="J1737" s="43" t="str">
        <f>IF(Agent09_Loans!B149="","",Agent09_Loans!J149)</f>
        <v/>
      </c>
      <c r="K1737" s="40" t="str">
        <f>IF(Agent09_Loans!B149="","",Agent09_Loans!K149)</f>
        <v/>
      </c>
      <c r="L1737" s="40" t="str">
        <f>IF(Agent09_Loans!B149="","",Agent09_Loans!L149)</f>
        <v/>
      </c>
      <c r="M1737" s="40" t="str">
        <f>IFERROR(IF(Agent09_Loans!B149="","",YEAR(Agent09_Loans!D149)),"")</f>
        <v/>
      </c>
    </row>
    <row r="1738" spans="1:13" ht="18" customHeight="1" x14ac:dyDescent="0.25">
      <c r="A1738" s="40" t="str">
        <f>IF(Agent09_Loans!B150="","",Agent09_Loans!A150)</f>
        <v/>
      </c>
      <c r="B1738" s="40" t="str">
        <f>IF(Agent09_Loans!B150="","",Agent09_Loans!B150)</f>
        <v/>
      </c>
      <c r="C1738" s="40" t="str">
        <f>IF(Agent09_Loans!B150="","",Agent09_Loans!C150)</f>
        <v/>
      </c>
      <c r="D1738" s="41" t="str">
        <f>IF(Agent09_Loans!B150="","",Agent09_Loans!D150)</f>
        <v/>
      </c>
      <c r="E1738" s="43" t="str">
        <f>IF(Agent09_Loans!B150="","",Agent09_Loans!E150)</f>
        <v/>
      </c>
      <c r="F1738" s="40" t="str">
        <f>IF(Agent09_Loans!B150="","",Agent09_Loans!F150)</f>
        <v/>
      </c>
      <c r="G1738" s="40" t="str">
        <f>IF(Agent09_Loans!B150="","",Agent09_Loans!G150)</f>
        <v/>
      </c>
      <c r="H1738" s="40" t="str">
        <f>IF(Agent09_Loans!B150="","",Agent09_Loans!H150)</f>
        <v/>
      </c>
      <c r="I1738" s="43" t="str">
        <f>IF(Agent09_Loans!B150="","",Agent09_Loans!I150)</f>
        <v/>
      </c>
      <c r="J1738" s="43" t="str">
        <f>IF(Agent09_Loans!B150="","",Agent09_Loans!J150)</f>
        <v/>
      </c>
      <c r="K1738" s="40" t="str">
        <f>IF(Agent09_Loans!B150="","",Agent09_Loans!K150)</f>
        <v/>
      </c>
      <c r="L1738" s="40" t="str">
        <f>IF(Agent09_Loans!B150="","",Agent09_Loans!L150)</f>
        <v/>
      </c>
      <c r="M1738" s="40" t="str">
        <f>IFERROR(IF(Agent09_Loans!B150="","",YEAR(Agent09_Loans!D150)),"")</f>
        <v/>
      </c>
    </row>
    <row r="1739" spans="1:13" ht="18" customHeight="1" x14ac:dyDescent="0.25">
      <c r="A1739" s="40" t="str">
        <f>IF(Agent09_Loans!B151="","",Agent09_Loans!A151)</f>
        <v/>
      </c>
      <c r="B1739" s="40" t="str">
        <f>IF(Agent09_Loans!B151="","",Agent09_Loans!B151)</f>
        <v/>
      </c>
      <c r="C1739" s="40" t="str">
        <f>IF(Agent09_Loans!B151="","",Agent09_Loans!C151)</f>
        <v/>
      </c>
      <c r="D1739" s="41" t="str">
        <f>IF(Agent09_Loans!B151="","",Agent09_Loans!D151)</f>
        <v/>
      </c>
      <c r="E1739" s="43" t="str">
        <f>IF(Agent09_Loans!B151="","",Agent09_Loans!E151)</f>
        <v/>
      </c>
      <c r="F1739" s="40" t="str">
        <f>IF(Agent09_Loans!B151="","",Agent09_Loans!F151)</f>
        <v/>
      </c>
      <c r="G1739" s="40" t="str">
        <f>IF(Agent09_Loans!B151="","",Agent09_Loans!G151)</f>
        <v/>
      </c>
      <c r="H1739" s="40" t="str">
        <f>IF(Agent09_Loans!B151="","",Agent09_Loans!H151)</f>
        <v/>
      </c>
      <c r="I1739" s="43" t="str">
        <f>IF(Agent09_Loans!B151="","",Agent09_Loans!I151)</f>
        <v/>
      </c>
      <c r="J1739" s="43" t="str">
        <f>IF(Agent09_Loans!B151="","",Agent09_Loans!J151)</f>
        <v/>
      </c>
      <c r="K1739" s="40" t="str">
        <f>IF(Agent09_Loans!B151="","",Agent09_Loans!K151)</f>
        <v/>
      </c>
      <c r="L1739" s="40" t="str">
        <f>IF(Agent09_Loans!B151="","",Agent09_Loans!L151)</f>
        <v/>
      </c>
      <c r="M1739" s="40" t="str">
        <f>IFERROR(IF(Agent09_Loans!B151="","",YEAR(Agent09_Loans!D151)),"")</f>
        <v/>
      </c>
    </row>
    <row r="1740" spans="1:13" ht="18" customHeight="1" x14ac:dyDescent="0.25">
      <c r="A1740" s="40" t="str">
        <f>IF(Agent09_Loans!B152="","",Agent09_Loans!A152)</f>
        <v/>
      </c>
      <c r="B1740" s="40" t="str">
        <f>IF(Agent09_Loans!B152="","",Agent09_Loans!B152)</f>
        <v/>
      </c>
      <c r="C1740" s="40" t="str">
        <f>IF(Agent09_Loans!B152="","",Agent09_Loans!C152)</f>
        <v/>
      </c>
      <c r="D1740" s="41" t="str">
        <f>IF(Agent09_Loans!B152="","",Agent09_Loans!D152)</f>
        <v/>
      </c>
      <c r="E1740" s="43" t="str">
        <f>IF(Agent09_Loans!B152="","",Agent09_Loans!E152)</f>
        <v/>
      </c>
      <c r="F1740" s="40" t="str">
        <f>IF(Agent09_Loans!B152="","",Agent09_Loans!F152)</f>
        <v/>
      </c>
      <c r="G1740" s="40" t="str">
        <f>IF(Agent09_Loans!B152="","",Agent09_Loans!G152)</f>
        <v/>
      </c>
      <c r="H1740" s="40" t="str">
        <f>IF(Agent09_Loans!B152="","",Agent09_Loans!H152)</f>
        <v/>
      </c>
      <c r="I1740" s="43" t="str">
        <f>IF(Agent09_Loans!B152="","",Agent09_Loans!I152)</f>
        <v/>
      </c>
      <c r="J1740" s="43" t="str">
        <f>IF(Agent09_Loans!B152="","",Agent09_Loans!J152)</f>
        <v/>
      </c>
      <c r="K1740" s="40" t="str">
        <f>IF(Agent09_Loans!B152="","",Agent09_Loans!K152)</f>
        <v/>
      </c>
      <c r="L1740" s="40" t="str">
        <f>IF(Agent09_Loans!B152="","",Agent09_Loans!L152)</f>
        <v/>
      </c>
      <c r="M1740" s="40" t="str">
        <f>IFERROR(IF(Agent09_Loans!B152="","",YEAR(Agent09_Loans!D152)),"")</f>
        <v/>
      </c>
    </row>
    <row r="1741" spans="1:13" ht="18" customHeight="1" x14ac:dyDescent="0.25">
      <c r="A1741" s="40" t="str">
        <f>IF(Agent09_Loans!B153="","",Agent09_Loans!A153)</f>
        <v/>
      </c>
      <c r="B1741" s="40" t="str">
        <f>IF(Agent09_Loans!B153="","",Agent09_Loans!B153)</f>
        <v/>
      </c>
      <c r="C1741" s="40" t="str">
        <f>IF(Agent09_Loans!B153="","",Agent09_Loans!C153)</f>
        <v/>
      </c>
      <c r="D1741" s="41" t="str">
        <f>IF(Agent09_Loans!B153="","",Agent09_Loans!D153)</f>
        <v/>
      </c>
      <c r="E1741" s="43" t="str">
        <f>IF(Agent09_Loans!B153="","",Agent09_Loans!E153)</f>
        <v/>
      </c>
      <c r="F1741" s="40" t="str">
        <f>IF(Agent09_Loans!B153="","",Agent09_Loans!F153)</f>
        <v/>
      </c>
      <c r="G1741" s="40" t="str">
        <f>IF(Agent09_Loans!B153="","",Agent09_Loans!G153)</f>
        <v/>
      </c>
      <c r="H1741" s="40" t="str">
        <f>IF(Agent09_Loans!B153="","",Agent09_Loans!H153)</f>
        <v/>
      </c>
      <c r="I1741" s="43" t="str">
        <f>IF(Agent09_Loans!B153="","",Agent09_Loans!I153)</f>
        <v/>
      </c>
      <c r="J1741" s="43" t="str">
        <f>IF(Agent09_Loans!B153="","",Agent09_Loans!J153)</f>
        <v/>
      </c>
      <c r="K1741" s="40" t="str">
        <f>IF(Agent09_Loans!B153="","",Agent09_Loans!K153)</f>
        <v/>
      </c>
      <c r="L1741" s="40" t="str">
        <f>IF(Agent09_Loans!B153="","",Agent09_Loans!L153)</f>
        <v/>
      </c>
      <c r="M1741" s="40" t="str">
        <f>IFERROR(IF(Agent09_Loans!B153="","",YEAR(Agent09_Loans!D153)),"")</f>
        <v/>
      </c>
    </row>
    <row r="1742" spans="1:13" ht="18" customHeight="1" x14ac:dyDescent="0.25">
      <c r="A1742" s="40" t="str">
        <f>IF(Agent09_Loans!B154="","",Agent09_Loans!A154)</f>
        <v/>
      </c>
      <c r="B1742" s="40" t="str">
        <f>IF(Agent09_Loans!B154="","",Agent09_Loans!B154)</f>
        <v/>
      </c>
      <c r="C1742" s="40" t="str">
        <f>IF(Agent09_Loans!B154="","",Agent09_Loans!C154)</f>
        <v/>
      </c>
      <c r="D1742" s="41" t="str">
        <f>IF(Agent09_Loans!B154="","",Agent09_Loans!D154)</f>
        <v/>
      </c>
      <c r="E1742" s="43" t="str">
        <f>IF(Agent09_Loans!B154="","",Agent09_Loans!E154)</f>
        <v/>
      </c>
      <c r="F1742" s="40" t="str">
        <f>IF(Agent09_Loans!B154="","",Agent09_Loans!F154)</f>
        <v/>
      </c>
      <c r="G1742" s="40" t="str">
        <f>IF(Agent09_Loans!B154="","",Agent09_Loans!G154)</f>
        <v/>
      </c>
      <c r="H1742" s="40" t="str">
        <f>IF(Agent09_Loans!B154="","",Agent09_Loans!H154)</f>
        <v/>
      </c>
      <c r="I1742" s="43" t="str">
        <f>IF(Agent09_Loans!B154="","",Agent09_Loans!I154)</f>
        <v/>
      </c>
      <c r="J1742" s="43" t="str">
        <f>IF(Agent09_Loans!B154="","",Agent09_Loans!J154)</f>
        <v/>
      </c>
      <c r="K1742" s="40" t="str">
        <f>IF(Agent09_Loans!B154="","",Agent09_Loans!K154)</f>
        <v/>
      </c>
      <c r="L1742" s="40" t="str">
        <f>IF(Agent09_Loans!B154="","",Agent09_Loans!L154)</f>
        <v/>
      </c>
      <c r="M1742" s="40" t="str">
        <f>IFERROR(IF(Agent09_Loans!B154="","",YEAR(Agent09_Loans!D154)),"")</f>
        <v/>
      </c>
    </row>
    <row r="1743" spans="1:13" ht="18" customHeight="1" x14ac:dyDescent="0.25">
      <c r="A1743" s="40" t="str">
        <f>IF(Agent09_Loans!B155="","",Agent09_Loans!A155)</f>
        <v/>
      </c>
      <c r="B1743" s="40" t="str">
        <f>IF(Agent09_Loans!B155="","",Agent09_Loans!B155)</f>
        <v/>
      </c>
      <c r="C1743" s="40" t="str">
        <f>IF(Agent09_Loans!B155="","",Agent09_Loans!C155)</f>
        <v/>
      </c>
      <c r="D1743" s="41" t="str">
        <f>IF(Agent09_Loans!B155="","",Agent09_Loans!D155)</f>
        <v/>
      </c>
      <c r="E1743" s="43" t="str">
        <f>IF(Agent09_Loans!B155="","",Agent09_Loans!E155)</f>
        <v/>
      </c>
      <c r="F1743" s="40" t="str">
        <f>IF(Agent09_Loans!B155="","",Agent09_Loans!F155)</f>
        <v/>
      </c>
      <c r="G1743" s="40" t="str">
        <f>IF(Agent09_Loans!B155="","",Agent09_Loans!G155)</f>
        <v/>
      </c>
      <c r="H1743" s="40" t="str">
        <f>IF(Agent09_Loans!B155="","",Agent09_Loans!H155)</f>
        <v/>
      </c>
      <c r="I1743" s="43" t="str">
        <f>IF(Agent09_Loans!B155="","",Agent09_Loans!I155)</f>
        <v/>
      </c>
      <c r="J1743" s="43" t="str">
        <f>IF(Agent09_Loans!B155="","",Agent09_Loans!J155)</f>
        <v/>
      </c>
      <c r="K1743" s="40" t="str">
        <f>IF(Agent09_Loans!B155="","",Agent09_Loans!K155)</f>
        <v/>
      </c>
      <c r="L1743" s="40" t="str">
        <f>IF(Agent09_Loans!B155="","",Agent09_Loans!L155)</f>
        <v/>
      </c>
      <c r="M1743" s="40" t="str">
        <f>IFERROR(IF(Agent09_Loans!B155="","",YEAR(Agent09_Loans!D155)),"")</f>
        <v/>
      </c>
    </row>
    <row r="1744" spans="1:13" ht="18" customHeight="1" x14ac:dyDescent="0.25">
      <c r="A1744" s="40" t="str">
        <f>IF(Agent09_Loans!B156="","",Agent09_Loans!A156)</f>
        <v/>
      </c>
      <c r="B1744" s="40" t="str">
        <f>IF(Agent09_Loans!B156="","",Agent09_Loans!B156)</f>
        <v/>
      </c>
      <c r="C1744" s="40" t="str">
        <f>IF(Agent09_Loans!B156="","",Agent09_Loans!C156)</f>
        <v/>
      </c>
      <c r="D1744" s="41" t="str">
        <f>IF(Agent09_Loans!B156="","",Agent09_Loans!D156)</f>
        <v/>
      </c>
      <c r="E1744" s="43" t="str">
        <f>IF(Agent09_Loans!B156="","",Agent09_Loans!E156)</f>
        <v/>
      </c>
      <c r="F1744" s="40" t="str">
        <f>IF(Agent09_Loans!B156="","",Agent09_Loans!F156)</f>
        <v/>
      </c>
      <c r="G1744" s="40" t="str">
        <f>IF(Agent09_Loans!B156="","",Agent09_Loans!G156)</f>
        <v/>
      </c>
      <c r="H1744" s="40" t="str">
        <f>IF(Agent09_Loans!B156="","",Agent09_Loans!H156)</f>
        <v/>
      </c>
      <c r="I1744" s="43" t="str">
        <f>IF(Agent09_Loans!B156="","",Agent09_Loans!I156)</f>
        <v/>
      </c>
      <c r="J1744" s="43" t="str">
        <f>IF(Agent09_Loans!B156="","",Agent09_Loans!J156)</f>
        <v/>
      </c>
      <c r="K1744" s="40" t="str">
        <f>IF(Agent09_Loans!B156="","",Agent09_Loans!K156)</f>
        <v/>
      </c>
      <c r="L1744" s="40" t="str">
        <f>IF(Agent09_Loans!B156="","",Agent09_Loans!L156)</f>
        <v/>
      </c>
      <c r="M1744" s="40" t="str">
        <f>IFERROR(IF(Agent09_Loans!B156="","",YEAR(Agent09_Loans!D156)),"")</f>
        <v/>
      </c>
    </row>
    <row r="1745" spans="1:13" ht="18" customHeight="1" x14ac:dyDescent="0.25">
      <c r="A1745" s="40" t="str">
        <f>IF(Agent09_Loans!B157="","",Agent09_Loans!A157)</f>
        <v/>
      </c>
      <c r="B1745" s="40" t="str">
        <f>IF(Agent09_Loans!B157="","",Agent09_Loans!B157)</f>
        <v/>
      </c>
      <c r="C1745" s="40" t="str">
        <f>IF(Agent09_Loans!B157="","",Agent09_Loans!C157)</f>
        <v/>
      </c>
      <c r="D1745" s="41" t="str">
        <f>IF(Agent09_Loans!B157="","",Agent09_Loans!D157)</f>
        <v/>
      </c>
      <c r="E1745" s="43" t="str">
        <f>IF(Agent09_Loans!B157="","",Agent09_Loans!E157)</f>
        <v/>
      </c>
      <c r="F1745" s="40" t="str">
        <f>IF(Agent09_Loans!B157="","",Agent09_Loans!F157)</f>
        <v/>
      </c>
      <c r="G1745" s="40" t="str">
        <f>IF(Agent09_Loans!B157="","",Agent09_Loans!G157)</f>
        <v/>
      </c>
      <c r="H1745" s="40" t="str">
        <f>IF(Agent09_Loans!B157="","",Agent09_Loans!H157)</f>
        <v/>
      </c>
      <c r="I1745" s="43" t="str">
        <f>IF(Agent09_Loans!B157="","",Agent09_Loans!I157)</f>
        <v/>
      </c>
      <c r="J1745" s="43" t="str">
        <f>IF(Agent09_Loans!B157="","",Agent09_Loans!J157)</f>
        <v/>
      </c>
      <c r="K1745" s="40" t="str">
        <f>IF(Agent09_Loans!B157="","",Agent09_Loans!K157)</f>
        <v/>
      </c>
      <c r="L1745" s="40" t="str">
        <f>IF(Agent09_Loans!B157="","",Agent09_Loans!L157)</f>
        <v/>
      </c>
      <c r="M1745" s="40" t="str">
        <f>IFERROR(IF(Agent09_Loans!B157="","",YEAR(Agent09_Loans!D157)),"")</f>
        <v/>
      </c>
    </row>
    <row r="1746" spans="1:13" ht="18" customHeight="1" x14ac:dyDescent="0.25">
      <c r="A1746" s="40" t="str">
        <f>IF(Agent09_Loans!B158="","",Agent09_Loans!A158)</f>
        <v/>
      </c>
      <c r="B1746" s="40" t="str">
        <f>IF(Agent09_Loans!B158="","",Agent09_Loans!B158)</f>
        <v/>
      </c>
      <c r="C1746" s="40" t="str">
        <f>IF(Agent09_Loans!B158="","",Agent09_Loans!C158)</f>
        <v/>
      </c>
      <c r="D1746" s="41" t="str">
        <f>IF(Agent09_Loans!B158="","",Agent09_Loans!D158)</f>
        <v/>
      </c>
      <c r="E1746" s="43" t="str">
        <f>IF(Agent09_Loans!B158="","",Agent09_Loans!E158)</f>
        <v/>
      </c>
      <c r="F1746" s="40" t="str">
        <f>IF(Agent09_Loans!B158="","",Agent09_Loans!F158)</f>
        <v/>
      </c>
      <c r="G1746" s="40" t="str">
        <f>IF(Agent09_Loans!B158="","",Agent09_Loans!G158)</f>
        <v/>
      </c>
      <c r="H1746" s="40" t="str">
        <f>IF(Agent09_Loans!B158="","",Agent09_Loans!H158)</f>
        <v/>
      </c>
      <c r="I1746" s="43" t="str">
        <f>IF(Agent09_Loans!B158="","",Agent09_Loans!I158)</f>
        <v/>
      </c>
      <c r="J1746" s="43" t="str">
        <f>IF(Agent09_Loans!B158="","",Agent09_Loans!J158)</f>
        <v/>
      </c>
      <c r="K1746" s="40" t="str">
        <f>IF(Agent09_Loans!B158="","",Agent09_Loans!K158)</f>
        <v/>
      </c>
      <c r="L1746" s="40" t="str">
        <f>IF(Agent09_Loans!B158="","",Agent09_Loans!L158)</f>
        <v/>
      </c>
      <c r="M1746" s="40" t="str">
        <f>IFERROR(IF(Agent09_Loans!B158="","",YEAR(Agent09_Loans!D158)),"")</f>
        <v/>
      </c>
    </row>
    <row r="1747" spans="1:13" ht="18" customHeight="1" x14ac:dyDescent="0.25">
      <c r="A1747" s="40" t="str">
        <f>IF(Agent09_Loans!B159="","",Agent09_Loans!A159)</f>
        <v/>
      </c>
      <c r="B1747" s="40" t="str">
        <f>IF(Agent09_Loans!B159="","",Agent09_Loans!B159)</f>
        <v/>
      </c>
      <c r="C1747" s="40" t="str">
        <f>IF(Agent09_Loans!B159="","",Agent09_Loans!C159)</f>
        <v/>
      </c>
      <c r="D1747" s="41" t="str">
        <f>IF(Agent09_Loans!B159="","",Agent09_Loans!D159)</f>
        <v/>
      </c>
      <c r="E1747" s="43" t="str">
        <f>IF(Agent09_Loans!B159="","",Agent09_Loans!E159)</f>
        <v/>
      </c>
      <c r="F1747" s="40" t="str">
        <f>IF(Agent09_Loans!B159="","",Agent09_Loans!F159)</f>
        <v/>
      </c>
      <c r="G1747" s="40" t="str">
        <f>IF(Agent09_Loans!B159="","",Agent09_Loans!G159)</f>
        <v/>
      </c>
      <c r="H1747" s="40" t="str">
        <f>IF(Agent09_Loans!B159="","",Agent09_Loans!H159)</f>
        <v/>
      </c>
      <c r="I1747" s="43" t="str">
        <f>IF(Agent09_Loans!B159="","",Agent09_Loans!I159)</f>
        <v/>
      </c>
      <c r="J1747" s="43" t="str">
        <f>IF(Agent09_Loans!B159="","",Agent09_Loans!J159)</f>
        <v/>
      </c>
      <c r="K1747" s="40" t="str">
        <f>IF(Agent09_Loans!B159="","",Agent09_Loans!K159)</f>
        <v/>
      </c>
      <c r="L1747" s="40" t="str">
        <f>IF(Agent09_Loans!B159="","",Agent09_Loans!L159)</f>
        <v/>
      </c>
      <c r="M1747" s="40" t="str">
        <f>IFERROR(IF(Agent09_Loans!B159="","",YEAR(Agent09_Loans!D159)),"")</f>
        <v/>
      </c>
    </row>
    <row r="1748" spans="1:13" ht="18" customHeight="1" x14ac:dyDescent="0.25">
      <c r="A1748" s="40" t="str">
        <f>IF(Agent09_Loans!B160="","",Agent09_Loans!A160)</f>
        <v/>
      </c>
      <c r="B1748" s="40" t="str">
        <f>IF(Agent09_Loans!B160="","",Agent09_Loans!B160)</f>
        <v/>
      </c>
      <c r="C1748" s="40" t="str">
        <f>IF(Agent09_Loans!B160="","",Agent09_Loans!C160)</f>
        <v/>
      </c>
      <c r="D1748" s="41" t="str">
        <f>IF(Agent09_Loans!B160="","",Agent09_Loans!D160)</f>
        <v/>
      </c>
      <c r="E1748" s="43" t="str">
        <f>IF(Agent09_Loans!B160="","",Agent09_Loans!E160)</f>
        <v/>
      </c>
      <c r="F1748" s="40" t="str">
        <f>IF(Agent09_Loans!B160="","",Agent09_Loans!F160)</f>
        <v/>
      </c>
      <c r="G1748" s="40" t="str">
        <f>IF(Agent09_Loans!B160="","",Agent09_Loans!G160)</f>
        <v/>
      </c>
      <c r="H1748" s="40" t="str">
        <f>IF(Agent09_Loans!B160="","",Agent09_Loans!H160)</f>
        <v/>
      </c>
      <c r="I1748" s="43" t="str">
        <f>IF(Agent09_Loans!B160="","",Agent09_Loans!I160)</f>
        <v/>
      </c>
      <c r="J1748" s="43" t="str">
        <f>IF(Agent09_Loans!B160="","",Agent09_Loans!J160)</f>
        <v/>
      </c>
      <c r="K1748" s="40" t="str">
        <f>IF(Agent09_Loans!B160="","",Agent09_Loans!K160)</f>
        <v/>
      </c>
      <c r="L1748" s="40" t="str">
        <f>IF(Agent09_Loans!B160="","",Agent09_Loans!L160)</f>
        <v/>
      </c>
      <c r="M1748" s="40" t="str">
        <f>IFERROR(IF(Agent09_Loans!B160="","",YEAR(Agent09_Loans!D160)),"")</f>
        <v/>
      </c>
    </row>
    <row r="1749" spans="1:13" ht="18" customHeight="1" x14ac:dyDescent="0.25">
      <c r="A1749" s="40" t="str">
        <f>IF(Agent09_Loans!B161="","",Agent09_Loans!A161)</f>
        <v/>
      </c>
      <c r="B1749" s="40" t="str">
        <f>IF(Agent09_Loans!B161="","",Agent09_Loans!B161)</f>
        <v/>
      </c>
      <c r="C1749" s="40" t="str">
        <f>IF(Agent09_Loans!B161="","",Agent09_Loans!C161)</f>
        <v/>
      </c>
      <c r="D1749" s="41" t="str">
        <f>IF(Agent09_Loans!B161="","",Agent09_Loans!D161)</f>
        <v/>
      </c>
      <c r="E1749" s="43" t="str">
        <f>IF(Agent09_Loans!B161="","",Agent09_Loans!E161)</f>
        <v/>
      </c>
      <c r="F1749" s="40" t="str">
        <f>IF(Agent09_Loans!B161="","",Agent09_Loans!F161)</f>
        <v/>
      </c>
      <c r="G1749" s="40" t="str">
        <f>IF(Agent09_Loans!B161="","",Agent09_Loans!G161)</f>
        <v/>
      </c>
      <c r="H1749" s="40" t="str">
        <f>IF(Agent09_Loans!B161="","",Agent09_Loans!H161)</f>
        <v/>
      </c>
      <c r="I1749" s="43" t="str">
        <f>IF(Agent09_Loans!B161="","",Agent09_Loans!I161)</f>
        <v/>
      </c>
      <c r="J1749" s="43" t="str">
        <f>IF(Agent09_Loans!B161="","",Agent09_Loans!J161)</f>
        <v/>
      </c>
      <c r="K1749" s="40" t="str">
        <f>IF(Agent09_Loans!B161="","",Agent09_Loans!K161)</f>
        <v/>
      </c>
      <c r="L1749" s="40" t="str">
        <f>IF(Agent09_Loans!B161="","",Agent09_Loans!L161)</f>
        <v/>
      </c>
      <c r="M1749" s="40" t="str">
        <f>IFERROR(IF(Agent09_Loans!B161="","",YEAR(Agent09_Loans!D161)),"")</f>
        <v/>
      </c>
    </row>
    <row r="1750" spans="1:13" ht="18" customHeight="1" x14ac:dyDescent="0.25">
      <c r="A1750" s="40" t="str">
        <f>IF(Agent09_Loans!B162="","",Agent09_Loans!A162)</f>
        <v/>
      </c>
      <c r="B1750" s="40" t="str">
        <f>IF(Agent09_Loans!B162="","",Agent09_Loans!B162)</f>
        <v/>
      </c>
      <c r="C1750" s="40" t="str">
        <f>IF(Agent09_Loans!B162="","",Agent09_Loans!C162)</f>
        <v/>
      </c>
      <c r="D1750" s="41" t="str">
        <f>IF(Agent09_Loans!B162="","",Agent09_Loans!D162)</f>
        <v/>
      </c>
      <c r="E1750" s="43" t="str">
        <f>IF(Agent09_Loans!B162="","",Agent09_Loans!E162)</f>
        <v/>
      </c>
      <c r="F1750" s="40" t="str">
        <f>IF(Agent09_Loans!B162="","",Agent09_Loans!F162)</f>
        <v/>
      </c>
      <c r="G1750" s="40" t="str">
        <f>IF(Agent09_Loans!B162="","",Agent09_Loans!G162)</f>
        <v/>
      </c>
      <c r="H1750" s="40" t="str">
        <f>IF(Agent09_Loans!B162="","",Agent09_Loans!H162)</f>
        <v/>
      </c>
      <c r="I1750" s="43" t="str">
        <f>IF(Agent09_Loans!B162="","",Agent09_Loans!I162)</f>
        <v/>
      </c>
      <c r="J1750" s="43" t="str">
        <f>IF(Agent09_Loans!B162="","",Agent09_Loans!J162)</f>
        <v/>
      </c>
      <c r="K1750" s="40" t="str">
        <f>IF(Agent09_Loans!B162="","",Agent09_Loans!K162)</f>
        <v/>
      </c>
      <c r="L1750" s="40" t="str">
        <f>IF(Agent09_Loans!B162="","",Agent09_Loans!L162)</f>
        <v/>
      </c>
      <c r="M1750" s="40" t="str">
        <f>IFERROR(IF(Agent09_Loans!B162="","",YEAR(Agent09_Loans!D162)),"")</f>
        <v/>
      </c>
    </row>
    <row r="1751" spans="1:13" ht="18" customHeight="1" x14ac:dyDescent="0.25">
      <c r="A1751" s="40" t="str">
        <f>IF(Agent09_Loans!B163="","",Agent09_Loans!A163)</f>
        <v/>
      </c>
      <c r="B1751" s="40" t="str">
        <f>IF(Agent09_Loans!B163="","",Agent09_Loans!B163)</f>
        <v/>
      </c>
      <c r="C1751" s="40" t="str">
        <f>IF(Agent09_Loans!B163="","",Agent09_Loans!C163)</f>
        <v/>
      </c>
      <c r="D1751" s="41" t="str">
        <f>IF(Agent09_Loans!B163="","",Agent09_Loans!D163)</f>
        <v/>
      </c>
      <c r="E1751" s="43" t="str">
        <f>IF(Agent09_Loans!B163="","",Agent09_Loans!E163)</f>
        <v/>
      </c>
      <c r="F1751" s="40" t="str">
        <f>IF(Agent09_Loans!B163="","",Agent09_Loans!F163)</f>
        <v/>
      </c>
      <c r="G1751" s="40" t="str">
        <f>IF(Agent09_Loans!B163="","",Agent09_Loans!G163)</f>
        <v/>
      </c>
      <c r="H1751" s="40" t="str">
        <f>IF(Agent09_Loans!B163="","",Agent09_Loans!H163)</f>
        <v/>
      </c>
      <c r="I1751" s="43" t="str">
        <f>IF(Agent09_Loans!B163="","",Agent09_Loans!I163)</f>
        <v/>
      </c>
      <c r="J1751" s="43" t="str">
        <f>IF(Agent09_Loans!B163="","",Agent09_Loans!J163)</f>
        <v/>
      </c>
      <c r="K1751" s="40" t="str">
        <f>IF(Agent09_Loans!B163="","",Agent09_Loans!K163)</f>
        <v/>
      </c>
      <c r="L1751" s="40" t="str">
        <f>IF(Agent09_Loans!B163="","",Agent09_Loans!L163)</f>
        <v/>
      </c>
      <c r="M1751" s="40" t="str">
        <f>IFERROR(IF(Agent09_Loans!B163="","",YEAR(Agent09_Loans!D163)),"")</f>
        <v/>
      </c>
    </row>
    <row r="1752" spans="1:13" ht="18" customHeight="1" x14ac:dyDescent="0.25">
      <c r="A1752" s="40" t="str">
        <f>IF(Agent09_Loans!B164="","",Agent09_Loans!A164)</f>
        <v/>
      </c>
      <c r="B1752" s="40" t="str">
        <f>IF(Agent09_Loans!B164="","",Agent09_Loans!B164)</f>
        <v/>
      </c>
      <c r="C1752" s="40" t="str">
        <f>IF(Agent09_Loans!B164="","",Agent09_Loans!C164)</f>
        <v/>
      </c>
      <c r="D1752" s="41" t="str">
        <f>IF(Agent09_Loans!B164="","",Agent09_Loans!D164)</f>
        <v/>
      </c>
      <c r="E1752" s="43" t="str">
        <f>IF(Agent09_Loans!B164="","",Agent09_Loans!E164)</f>
        <v/>
      </c>
      <c r="F1752" s="40" t="str">
        <f>IF(Agent09_Loans!B164="","",Agent09_Loans!F164)</f>
        <v/>
      </c>
      <c r="G1752" s="40" t="str">
        <f>IF(Agent09_Loans!B164="","",Agent09_Loans!G164)</f>
        <v/>
      </c>
      <c r="H1752" s="40" t="str">
        <f>IF(Agent09_Loans!B164="","",Agent09_Loans!H164)</f>
        <v/>
      </c>
      <c r="I1752" s="43" t="str">
        <f>IF(Agent09_Loans!B164="","",Agent09_Loans!I164)</f>
        <v/>
      </c>
      <c r="J1752" s="43" t="str">
        <f>IF(Agent09_Loans!B164="","",Agent09_Loans!J164)</f>
        <v/>
      </c>
      <c r="K1752" s="40" t="str">
        <f>IF(Agent09_Loans!B164="","",Agent09_Loans!K164)</f>
        <v/>
      </c>
      <c r="L1752" s="40" t="str">
        <f>IF(Agent09_Loans!B164="","",Agent09_Loans!L164)</f>
        <v/>
      </c>
      <c r="M1752" s="40" t="str">
        <f>IFERROR(IF(Agent09_Loans!B164="","",YEAR(Agent09_Loans!D164)),"")</f>
        <v/>
      </c>
    </row>
    <row r="1753" spans="1:13" ht="18" customHeight="1" x14ac:dyDescent="0.25">
      <c r="A1753" s="40" t="str">
        <f>IF(Agent09_Loans!B165="","",Agent09_Loans!A165)</f>
        <v/>
      </c>
      <c r="B1753" s="40" t="str">
        <f>IF(Agent09_Loans!B165="","",Agent09_Loans!B165)</f>
        <v/>
      </c>
      <c r="C1753" s="40" t="str">
        <f>IF(Agent09_Loans!B165="","",Agent09_Loans!C165)</f>
        <v/>
      </c>
      <c r="D1753" s="41" t="str">
        <f>IF(Agent09_Loans!B165="","",Agent09_Loans!D165)</f>
        <v/>
      </c>
      <c r="E1753" s="43" t="str">
        <f>IF(Agent09_Loans!B165="","",Agent09_Loans!E165)</f>
        <v/>
      </c>
      <c r="F1753" s="40" t="str">
        <f>IF(Agent09_Loans!B165="","",Agent09_Loans!F165)</f>
        <v/>
      </c>
      <c r="G1753" s="40" t="str">
        <f>IF(Agent09_Loans!B165="","",Agent09_Loans!G165)</f>
        <v/>
      </c>
      <c r="H1753" s="40" t="str">
        <f>IF(Agent09_Loans!B165="","",Agent09_Loans!H165)</f>
        <v/>
      </c>
      <c r="I1753" s="43" t="str">
        <f>IF(Agent09_Loans!B165="","",Agent09_Loans!I165)</f>
        <v/>
      </c>
      <c r="J1753" s="43" t="str">
        <f>IF(Agent09_Loans!B165="","",Agent09_Loans!J165)</f>
        <v/>
      </c>
      <c r="K1753" s="40" t="str">
        <f>IF(Agent09_Loans!B165="","",Agent09_Loans!K165)</f>
        <v/>
      </c>
      <c r="L1753" s="40" t="str">
        <f>IF(Agent09_Loans!B165="","",Agent09_Loans!L165)</f>
        <v/>
      </c>
      <c r="M1753" s="40" t="str">
        <f>IFERROR(IF(Agent09_Loans!B165="","",YEAR(Agent09_Loans!D165)),"")</f>
        <v/>
      </c>
    </row>
    <row r="1754" spans="1:13" ht="18" customHeight="1" x14ac:dyDescent="0.25">
      <c r="A1754" s="40" t="str">
        <f>IF(Agent09_Loans!B166="","",Agent09_Loans!A166)</f>
        <v/>
      </c>
      <c r="B1754" s="40" t="str">
        <f>IF(Agent09_Loans!B166="","",Agent09_Loans!B166)</f>
        <v/>
      </c>
      <c r="C1754" s="40" t="str">
        <f>IF(Agent09_Loans!B166="","",Agent09_Loans!C166)</f>
        <v/>
      </c>
      <c r="D1754" s="41" t="str">
        <f>IF(Agent09_Loans!B166="","",Agent09_Loans!D166)</f>
        <v/>
      </c>
      <c r="E1754" s="43" t="str">
        <f>IF(Agent09_Loans!B166="","",Agent09_Loans!E166)</f>
        <v/>
      </c>
      <c r="F1754" s="40" t="str">
        <f>IF(Agent09_Loans!B166="","",Agent09_Loans!F166)</f>
        <v/>
      </c>
      <c r="G1754" s="40" t="str">
        <f>IF(Agent09_Loans!B166="","",Agent09_Loans!G166)</f>
        <v/>
      </c>
      <c r="H1754" s="40" t="str">
        <f>IF(Agent09_Loans!B166="","",Agent09_Loans!H166)</f>
        <v/>
      </c>
      <c r="I1754" s="43" t="str">
        <f>IF(Agent09_Loans!B166="","",Agent09_Loans!I166)</f>
        <v/>
      </c>
      <c r="J1754" s="43" t="str">
        <f>IF(Agent09_Loans!B166="","",Agent09_Loans!J166)</f>
        <v/>
      </c>
      <c r="K1754" s="40" t="str">
        <f>IF(Agent09_Loans!B166="","",Agent09_Loans!K166)</f>
        <v/>
      </c>
      <c r="L1754" s="40" t="str">
        <f>IF(Agent09_Loans!B166="","",Agent09_Loans!L166)</f>
        <v/>
      </c>
      <c r="M1754" s="40" t="str">
        <f>IFERROR(IF(Agent09_Loans!B166="","",YEAR(Agent09_Loans!D166)),"")</f>
        <v/>
      </c>
    </row>
    <row r="1755" spans="1:13" ht="18" customHeight="1" x14ac:dyDescent="0.25">
      <c r="A1755" s="40" t="str">
        <f>IF(Agent09_Loans!B167="","",Agent09_Loans!A167)</f>
        <v/>
      </c>
      <c r="B1755" s="40" t="str">
        <f>IF(Agent09_Loans!B167="","",Agent09_Loans!B167)</f>
        <v/>
      </c>
      <c r="C1755" s="40" t="str">
        <f>IF(Agent09_Loans!B167="","",Agent09_Loans!C167)</f>
        <v/>
      </c>
      <c r="D1755" s="41" t="str">
        <f>IF(Agent09_Loans!B167="","",Agent09_Loans!D167)</f>
        <v/>
      </c>
      <c r="E1755" s="43" t="str">
        <f>IF(Agent09_Loans!B167="","",Agent09_Loans!E167)</f>
        <v/>
      </c>
      <c r="F1755" s="40" t="str">
        <f>IF(Agent09_Loans!B167="","",Agent09_Loans!F167)</f>
        <v/>
      </c>
      <c r="G1755" s="40" t="str">
        <f>IF(Agent09_Loans!B167="","",Agent09_Loans!G167)</f>
        <v/>
      </c>
      <c r="H1755" s="40" t="str">
        <f>IF(Agent09_Loans!B167="","",Agent09_Loans!H167)</f>
        <v/>
      </c>
      <c r="I1755" s="43" t="str">
        <f>IF(Agent09_Loans!B167="","",Agent09_Loans!I167)</f>
        <v/>
      </c>
      <c r="J1755" s="43" t="str">
        <f>IF(Agent09_Loans!B167="","",Agent09_Loans!J167)</f>
        <v/>
      </c>
      <c r="K1755" s="40" t="str">
        <f>IF(Agent09_Loans!B167="","",Agent09_Loans!K167)</f>
        <v/>
      </c>
      <c r="L1755" s="40" t="str">
        <f>IF(Agent09_Loans!B167="","",Agent09_Loans!L167)</f>
        <v/>
      </c>
      <c r="M1755" s="40" t="str">
        <f>IFERROR(IF(Agent09_Loans!B167="","",YEAR(Agent09_Loans!D167)),"")</f>
        <v/>
      </c>
    </row>
    <row r="1756" spans="1:13" ht="18" customHeight="1" x14ac:dyDescent="0.25">
      <c r="A1756" s="40" t="str">
        <f>IF(Agent09_Loans!B168="","",Agent09_Loans!A168)</f>
        <v/>
      </c>
      <c r="B1756" s="40" t="str">
        <f>IF(Agent09_Loans!B168="","",Agent09_Loans!B168)</f>
        <v/>
      </c>
      <c r="C1756" s="40" t="str">
        <f>IF(Agent09_Loans!B168="","",Agent09_Loans!C168)</f>
        <v/>
      </c>
      <c r="D1756" s="41" t="str">
        <f>IF(Agent09_Loans!B168="","",Agent09_Loans!D168)</f>
        <v/>
      </c>
      <c r="E1756" s="43" t="str">
        <f>IF(Agent09_Loans!B168="","",Agent09_Loans!E168)</f>
        <v/>
      </c>
      <c r="F1756" s="40" t="str">
        <f>IF(Agent09_Loans!B168="","",Agent09_Loans!F168)</f>
        <v/>
      </c>
      <c r="G1756" s="40" t="str">
        <f>IF(Agent09_Loans!B168="","",Agent09_Loans!G168)</f>
        <v/>
      </c>
      <c r="H1756" s="40" t="str">
        <f>IF(Agent09_Loans!B168="","",Agent09_Loans!H168)</f>
        <v/>
      </c>
      <c r="I1756" s="43" t="str">
        <f>IF(Agent09_Loans!B168="","",Agent09_Loans!I168)</f>
        <v/>
      </c>
      <c r="J1756" s="43" t="str">
        <f>IF(Agent09_Loans!B168="","",Agent09_Loans!J168)</f>
        <v/>
      </c>
      <c r="K1756" s="40" t="str">
        <f>IF(Agent09_Loans!B168="","",Agent09_Loans!K168)</f>
        <v/>
      </c>
      <c r="L1756" s="40" t="str">
        <f>IF(Agent09_Loans!B168="","",Agent09_Loans!L168)</f>
        <v/>
      </c>
      <c r="M1756" s="40" t="str">
        <f>IFERROR(IF(Agent09_Loans!B168="","",YEAR(Agent09_Loans!D168)),"")</f>
        <v/>
      </c>
    </row>
    <row r="1757" spans="1:13" ht="18" customHeight="1" x14ac:dyDescent="0.25">
      <c r="A1757" s="40" t="str">
        <f>IF(Agent09_Loans!B169="","",Agent09_Loans!A169)</f>
        <v/>
      </c>
      <c r="B1757" s="40" t="str">
        <f>IF(Agent09_Loans!B169="","",Agent09_Loans!B169)</f>
        <v/>
      </c>
      <c r="C1757" s="40" t="str">
        <f>IF(Agent09_Loans!B169="","",Agent09_Loans!C169)</f>
        <v/>
      </c>
      <c r="D1757" s="41" t="str">
        <f>IF(Agent09_Loans!B169="","",Agent09_Loans!D169)</f>
        <v/>
      </c>
      <c r="E1757" s="43" t="str">
        <f>IF(Agent09_Loans!B169="","",Agent09_Loans!E169)</f>
        <v/>
      </c>
      <c r="F1757" s="40" t="str">
        <f>IF(Agent09_Loans!B169="","",Agent09_Loans!F169)</f>
        <v/>
      </c>
      <c r="G1757" s="40" t="str">
        <f>IF(Agent09_Loans!B169="","",Agent09_Loans!G169)</f>
        <v/>
      </c>
      <c r="H1757" s="40" t="str">
        <f>IF(Agent09_Loans!B169="","",Agent09_Loans!H169)</f>
        <v/>
      </c>
      <c r="I1757" s="43" t="str">
        <f>IF(Agent09_Loans!B169="","",Agent09_Loans!I169)</f>
        <v/>
      </c>
      <c r="J1757" s="43" t="str">
        <f>IF(Agent09_Loans!B169="","",Agent09_Loans!J169)</f>
        <v/>
      </c>
      <c r="K1757" s="40" t="str">
        <f>IF(Agent09_Loans!B169="","",Agent09_Loans!K169)</f>
        <v/>
      </c>
      <c r="L1757" s="40" t="str">
        <f>IF(Agent09_Loans!B169="","",Agent09_Loans!L169)</f>
        <v/>
      </c>
      <c r="M1757" s="40" t="str">
        <f>IFERROR(IF(Agent09_Loans!B169="","",YEAR(Agent09_Loans!D169)),"")</f>
        <v/>
      </c>
    </row>
    <row r="1758" spans="1:13" ht="18" customHeight="1" x14ac:dyDescent="0.25">
      <c r="A1758" s="40" t="str">
        <f>IF(Agent09_Loans!B170="","",Agent09_Loans!A170)</f>
        <v/>
      </c>
      <c r="B1758" s="40" t="str">
        <f>IF(Agent09_Loans!B170="","",Agent09_Loans!B170)</f>
        <v/>
      </c>
      <c r="C1758" s="40" t="str">
        <f>IF(Agent09_Loans!B170="","",Agent09_Loans!C170)</f>
        <v/>
      </c>
      <c r="D1758" s="41" t="str">
        <f>IF(Agent09_Loans!B170="","",Agent09_Loans!D170)</f>
        <v/>
      </c>
      <c r="E1758" s="43" t="str">
        <f>IF(Agent09_Loans!B170="","",Agent09_Loans!E170)</f>
        <v/>
      </c>
      <c r="F1758" s="40" t="str">
        <f>IF(Agent09_Loans!B170="","",Agent09_Loans!F170)</f>
        <v/>
      </c>
      <c r="G1758" s="40" t="str">
        <f>IF(Agent09_Loans!B170="","",Agent09_Loans!G170)</f>
        <v/>
      </c>
      <c r="H1758" s="40" t="str">
        <f>IF(Agent09_Loans!B170="","",Agent09_Loans!H170)</f>
        <v/>
      </c>
      <c r="I1758" s="43" t="str">
        <f>IF(Agent09_Loans!B170="","",Agent09_Loans!I170)</f>
        <v/>
      </c>
      <c r="J1758" s="43" t="str">
        <f>IF(Agent09_Loans!B170="","",Agent09_Loans!J170)</f>
        <v/>
      </c>
      <c r="K1758" s="40" t="str">
        <f>IF(Agent09_Loans!B170="","",Agent09_Loans!K170)</f>
        <v/>
      </c>
      <c r="L1758" s="40" t="str">
        <f>IF(Agent09_Loans!B170="","",Agent09_Loans!L170)</f>
        <v/>
      </c>
      <c r="M1758" s="40" t="str">
        <f>IFERROR(IF(Agent09_Loans!B170="","",YEAR(Agent09_Loans!D170)),"")</f>
        <v/>
      </c>
    </row>
    <row r="1759" spans="1:13" ht="18" customHeight="1" x14ac:dyDescent="0.25">
      <c r="A1759" s="40" t="str">
        <f>IF(Agent09_Loans!B171="","",Agent09_Loans!A171)</f>
        <v/>
      </c>
      <c r="B1759" s="40" t="str">
        <f>IF(Agent09_Loans!B171="","",Agent09_Loans!B171)</f>
        <v/>
      </c>
      <c r="C1759" s="40" t="str">
        <f>IF(Agent09_Loans!B171="","",Agent09_Loans!C171)</f>
        <v/>
      </c>
      <c r="D1759" s="41" t="str">
        <f>IF(Agent09_Loans!B171="","",Agent09_Loans!D171)</f>
        <v/>
      </c>
      <c r="E1759" s="43" t="str">
        <f>IF(Agent09_Loans!B171="","",Agent09_Loans!E171)</f>
        <v/>
      </c>
      <c r="F1759" s="40" t="str">
        <f>IF(Agent09_Loans!B171="","",Agent09_Loans!F171)</f>
        <v/>
      </c>
      <c r="G1759" s="40" t="str">
        <f>IF(Agent09_Loans!B171="","",Agent09_Loans!G171)</f>
        <v/>
      </c>
      <c r="H1759" s="40" t="str">
        <f>IF(Agent09_Loans!B171="","",Agent09_Loans!H171)</f>
        <v/>
      </c>
      <c r="I1759" s="43" t="str">
        <f>IF(Agent09_Loans!B171="","",Agent09_Loans!I171)</f>
        <v/>
      </c>
      <c r="J1759" s="43" t="str">
        <f>IF(Agent09_Loans!B171="","",Agent09_Loans!J171)</f>
        <v/>
      </c>
      <c r="K1759" s="40" t="str">
        <f>IF(Agent09_Loans!B171="","",Agent09_Loans!K171)</f>
        <v/>
      </c>
      <c r="L1759" s="40" t="str">
        <f>IF(Agent09_Loans!B171="","",Agent09_Loans!L171)</f>
        <v/>
      </c>
      <c r="M1759" s="40" t="str">
        <f>IFERROR(IF(Agent09_Loans!B171="","",YEAR(Agent09_Loans!D171)),"")</f>
        <v/>
      </c>
    </row>
    <row r="1760" spans="1:13" ht="18" customHeight="1" x14ac:dyDescent="0.25">
      <c r="A1760" s="40" t="str">
        <f>IF(Agent09_Loans!B172="","",Agent09_Loans!A172)</f>
        <v/>
      </c>
      <c r="B1760" s="40" t="str">
        <f>IF(Agent09_Loans!B172="","",Agent09_Loans!B172)</f>
        <v/>
      </c>
      <c r="C1760" s="40" t="str">
        <f>IF(Agent09_Loans!B172="","",Agent09_Loans!C172)</f>
        <v/>
      </c>
      <c r="D1760" s="41" t="str">
        <f>IF(Agent09_Loans!B172="","",Agent09_Loans!D172)</f>
        <v/>
      </c>
      <c r="E1760" s="43" t="str">
        <f>IF(Agent09_Loans!B172="","",Agent09_Loans!E172)</f>
        <v/>
      </c>
      <c r="F1760" s="40" t="str">
        <f>IF(Agent09_Loans!B172="","",Agent09_Loans!F172)</f>
        <v/>
      </c>
      <c r="G1760" s="40" t="str">
        <f>IF(Agent09_Loans!B172="","",Agent09_Loans!G172)</f>
        <v/>
      </c>
      <c r="H1760" s="40" t="str">
        <f>IF(Agent09_Loans!B172="","",Agent09_Loans!H172)</f>
        <v/>
      </c>
      <c r="I1760" s="43" t="str">
        <f>IF(Agent09_Loans!B172="","",Agent09_Loans!I172)</f>
        <v/>
      </c>
      <c r="J1760" s="43" t="str">
        <f>IF(Agent09_Loans!B172="","",Agent09_Loans!J172)</f>
        <v/>
      </c>
      <c r="K1760" s="40" t="str">
        <f>IF(Agent09_Loans!B172="","",Agent09_Loans!K172)</f>
        <v/>
      </c>
      <c r="L1760" s="40" t="str">
        <f>IF(Agent09_Loans!B172="","",Agent09_Loans!L172)</f>
        <v/>
      </c>
      <c r="M1760" s="40" t="str">
        <f>IFERROR(IF(Agent09_Loans!B172="","",YEAR(Agent09_Loans!D172)),"")</f>
        <v/>
      </c>
    </row>
    <row r="1761" spans="1:13" ht="18" customHeight="1" x14ac:dyDescent="0.25">
      <c r="A1761" s="40" t="str">
        <f>IF(Agent09_Loans!B173="","",Agent09_Loans!A173)</f>
        <v/>
      </c>
      <c r="B1761" s="40" t="str">
        <f>IF(Agent09_Loans!B173="","",Agent09_Loans!B173)</f>
        <v/>
      </c>
      <c r="C1761" s="40" t="str">
        <f>IF(Agent09_Loans!B173="","",Agent09_Loans!C173)</f>
        <v/>
      </c>
      <c r="D1761" s="41" t="str">
        <f>IF(Agent09_Loans!B173="","",Agent09_Loans!D173)</f>
        <v/>
      </c>
      <c r="E1761" s="43" t="str">
        <f>IF(Agent09_Loans!B173="","",Agent09_Loans!E173)</f>
        <v/>
      </c>
      <c r="F1761" s="40" t="str">
        <f>IF(Agent09_Loans!B173="","",Agent09_Loans!F173)</f>
        <v/>
      </c>
      <c r="G1761" s="40" t="str">
        <f>IF(Agent09_Loans!B173="","",Agent09_Loans!G173)</f>
        <v/>
      </c>
      <c r="H1761" s="40" t="str">
        <f>IF(Agent09_Loans!B173="","",Agent09_Loans!H173)</f>
        <v/>
      </c>
      <c r="I1761" s="43" t="str">
        <f>IF(Agent09_Loans!B173="","",Agent09_Loans!I173)</f>
        <v/>
      </c>
      <c r="J1761" s="43" t="str">
        <f>IF(Agent09_Loans!B173="","",Agent09_Loans!J173)</f>
        <v/>
      </c>
      <c r="K1761" s="40" t="str">
        <f>IF(Agent09_Loans!B173="","",Agent09_Loans!K173)</f>
        <v/>
      </c>
      <c r="L1761" s="40" t="str">
        <f>IF(Agent09_Loans!B173="","",Agent09_Loans!L173)</f>
        <v/>
      </c>
      <c r="M1761" s="40" t="str">
        <f>IFERROR(IF(Agent09_Loans!B173="","",YEAR(Agent09_Loans!D173)),"")</f>
        <v/>
      </c>
    </row>
    <row r="1762" spans="1:13" ht="18" customHeight="1" x14ac:dyDescent="0.25">
      <c r="A1762" s="40" t="str">
        <f>IF(Agent09_Loans!B174="","",Agent09_Loans!A174)</f>
        <v/>
      </c>
      <c r="B1762" s="40" t="str">
        <f>IF(Agent09_Loans!B174="","",Agent09_Loans!B174)</f>
        <v/>
      </c>
      <c r="C1762" s="40" t="str">
        <f>IF(Agent09_Loans!B174="","",Agent09_Loans!C174)</f>
        <v/>
      </c>
      <c r="D1762" s="41" t="str">
        <f>IF(Agent09_Loans!B174="","",Agent09_Loans!D174)</f>
        <v/>
      </c>
      <c r="E1762" s="43" t="str">
        <f>IF(Agent09_Loans!B174="","",Agent09_Loans!E174)</f>
        <v/>
      </c>
      <c r="F1762" s="40" t="str">
        <f>IF(Agent09_Loans!B174="","",Agent09_Loans!F174)</f>
        <v/>
      </c>
      <c r="G1762" s="40" t="str">
        <f>IF(Agent09_Loans!B174="","",Agent09_Loans!G174)</f>
        <v/>
      </c>
      <c r="H1762" s="40" t="str">
        <f>IF(Agent09_Loans!B174="","",Agent09_Loans!H174)</f>
        <v/>
      </c>
      <c r="I1762" s="43" t="str">
        <f>IF(Agent09_Loans!B174="","",Agent09_Loans!I174)</f>
        <v/>
      </c>
      <c r="J1762" s="43" t="str">
        <f>IF(Agent09_Loans!B174="","",Agent09_Loans!J174)</f>
        <v/>
      </c>
      <c r="K1762" s="40" t="str">
        <f>IF(Agent09_Loans!B174="","",Agent09_Loans!K174)</f>
        <v/>
      </c>
      <c r="L1762" s="40" t="str">
        <f>IF(Agent09_Loans!B174="","",Agent09_Loans!L174)</f>
        <v/>
      </c>
      <c r="M1762" s="40" t="str">
        <f>IFERROR(IF(Agent09_Loans!B174="","",YEAR(Agent09_Loans!D174)),"")</f>
        <v/>
      </c>
    </row>
    <row r="1763" spans="1:13" ht="18" customHeight="1" x14ac:dyDescent="0.25">
      <c r="A1763" s="40" t="str">
        <f>IF(Agent09_Loans!B175="","",Agent09_Loans!A175)</f>
        <v/>
      </c>
      <c r="B1763" s="40" t="str">
        <f>IF(Agent09_Loans!B175="","",Agent09_Loans!B175)</f>
        <v/>
      </c>
      <c r="C1763" s="40" t="str">
        <f>IF(Agent09_Loans!B175="","",Agent09_Loans!C175)</f>
        <v/>
      </c>
      <c r="D1763" s="41" t="str">
        <f>IF(Agent09_Loans!B175="","",Agent09_Loans!D175)</f>
        <v/>
      </c>
      <c r="E1763" s="43" t="str">
        <f>IF(Agent09_Loans!B175="","",Agent09_Loans!E175)</f>
        <v/>
      </c>
      <c r="F1763" s="40" t="str">
        <f>IF(Agent09_Loans!B175="","",Agent09_Loans!F175)</f>
        <v/>
      </c>
      <c r="G1763" s="40" t="str">
        <f>IF(Agent09_Loans!B175="","",Agent09_Loans!G175)</f>
        <v/>
      </c>
      <c r="H1763" s="40" t="str">
        <f>IF(Agent09_Loans!B175="","",Agent09_Loans!H175)</f>
        <v/>
      </c>
      <c r="I1763" s="43" t="str">
        <f>IF(Agent09_Loans!B175="","",Agent09_Loans!I175)</f>
        <v/>
      </c>
      <c r="J1763" s="43" t="str">
        <f>IF(Agent09_Loans!B175="","",Agent09_Loans!J175)</f>
        <v/>
      </c>
      <c r="K1763" s="40" t="str">
        <f>IF(Agent09_Loans!B175="","",Agent09_Loans!K175)</f>
        <v/>
      </c>
      <c r="L1763" s="40" t="str">
        <f>IF(Agent09_Loans!B175="","",Agent09_Loans!L175)</f>
        <v/>
      </c>
      <c r="M1763" s="40" t="str">
        <f>IFERROR(IF(Agent09_Loans!B175="","",YEAR(Agent09_Loans!D175)),"")</f>
        <v/>
      </c>
    </row>
    <row r="1764" spans="1:13" ht="18" customHeight="1" x14ac:dyDescent="0.25">
      <c r="A1764" s="40" t="str">
        <f>IF(Agent09_Loans!B176="","",Agent09_Loans!A176)</f>
        <v/>
      </c>
      <c r="B1764" s="40" t="str">
        <f>IF(Agent09_Loans!B176="","",Agent09_Loans!B176)</f>
        <v/>
      </c>
      <c r="C1764" s="40" t="str">
        <f>IF(Agent09_Loans!B176="","",Agent09_Loans!C176)</f>
        <v/>
      </c>
      <c r="D1764" s="41" t="str">
        <f>IF(Agent09_Loans!B176="","",Agent09_Loans!D176)</f>
        <v/>
      </c>
      <c r="E1764" s="43" t="str">
        <f>IF(Agent09_Loans!B176="","",Agent09_Loans!E176)</f>
        <v/>
      </c>
      <c r="F1764" s="40" t="str">
        <f>IF(Agent09_Loans!B176="","",Agent09_Loans!F176)</f>
        <v/>
      </c>
      <c r="G1764" s="40" t="str">
        <f>IF(Agent09_Loans!B176="","",Agent09_Loans!G176)</f>
        <v/>
      </c>
      <c r="H1764" s="40" t="str">
        <f>IF(Agent09_Loans!B176="","",Agent09_Loans!H176)</f>
        <v/>
      </c>
      <c r="I1764" s="43" t="str">
        <f>IF(Agent09_Loans!B176="","",Agent09_Loans!I176)</f>
        <v/>
      </c>
      <c r="J1764" s="43" t="str">
        <f>IF(Agent09_Loans!B176="","",Agent09_Loans!J176)</f>
        <v/>
      </c>
      <c r="K1764" s="40" t="str">
        <f>IF(Agent09_Loans!B176="","",Agent09_Loans!K176)</f>
        <v/>
      </c>
      <c r="L1764" s="40" t="str">
        <f>IF(Agent09_Loans!B176="","",Agent09_Loans!L176)</f>
        <v/>
      </c>
      <c r="M1764" s="40" t="str">
        <f>IFERROR(IF(Agent09_Loans!B176="","",YEAR(Agent09_Loans!D176)),"")</f>
        <v/>
      </c>
    </row>
    <row r="1765" spans="1:13" ht="18" customHeight="1" x14ac:dyDescent="0.25">
      <c r="A1765" s="40" t="str">
        <f>IF(Agent09_Loans!B177="","",Agent09_Loans!A177)</f>
        <v/>
      </c>
      <c r="B1765" s="40" t="str">
        <f>IF(Agent09_Loans!B177="","",Agent09_Loans!B177)</f>
        <v/>
      </c>
      <c r="C1765" s="40" t="str">
        <f>IF(Agent09_Loans!B177="","",Agent09_Loans!C177)</f>
        <v/>
      </c>
      <c r="D1765" s="41" t="str">
        <f>IF(Agent09_Loans!B177="","",Agent09_Loans!D177)</f>
        <v/>
      </c>
      <c r="E1765" s="43" t="str">
        <f>IF(Agent09_Loans!B177="","",Agent09_Loans!E177)</f>
        <v/>
      </c>
      <c r="F1765" s="40" t="str">
        <f>IF(Agent09_Loans!B177="","",Agent09_Loans!F177)</f>
        <v/>
      </c>
      <c r="G1765" s="40" t="str">
        <f>IF(Agent09_Loans!B177="","",Agent09_Loans!G177)</f>
        <v/>
      </c>
      <c r="H1765" s="40" t="str">
        <f>IF(Agent09_Loans!B177="","",Agent09_Loans!H177)</f>
        <v/>
      </c>
      <c r="I1765" s="43" t="str">
        <f>IF(Agent09_Loans!B177="","",Agent09_Loans!I177)</f>
        <v/>
      </c>
      <c r="J1765" s="43" t="str">
        <f>IF(Agent09_Loans!B177="","",Agent09_Loans!J177)</f>
        <v/>
      </c>
      <c r="K1765" s="40" t="str">
        <f>IF(Agent09_Loans!B177="","",Agent09_Loans!K177)</f>
        <v/>
      </c>
      <c r="L1765" s="40" t="str">
        <f>IF(Agent09_Loans!B177="","",Agent09_Loans!L177)</f>
        <v/>
      </c>
      <c r="M1765" s="40" t="str">
        <f>IFERROR(IF(Agent09_Loans!B177="","",YEAR(Agent09_Loans!D177)),"")</f>
        <v/>
      </c>
    </row>
    <row r="1766" spans="1:13" ht="18" customHeight="1" x14ac:dyDescent="0.25">
      <c r="A1766" s="40" t="str">
        <f>IF(Agent09_Loans!B178="","",Agent09_Loans!A178)</f>
        <v/>
      </c>
      <c r="B1766" s="40" t="str">
        <f>IF(Agent09_Loans!B178="","",Agent09_Loans!B178)</f>
        <v/>
      </c>
      <c r="C1766" s="40" t="str">
        <f>IF(Agent09_Loans!B178="","",Agent09_Loans!C178)</f>
        <v/>
      </c>
      <c r="D1766" s="41" t="str">
        <f>IF(Agent09_Loans!B178="","",Agent09_Loans!D178)</f>
        <v/>
      </c>
      <c r="E1766" s="43" t="str">
        <f>IF(Agent09_Loans!B178="","",Agent09_Loans!E178)</f>
        <v/>
      </c>
      <c r="F1766" s="40" t="str">
        <f>IF(Agent09_Loans!B178="","",Agent09_Loans!F178)</f>
        <v/>
      </c>
      <c r="G1766" s="40" t="str">
        <f>IF(Agent09_Loans!B178="","",Agent09_Loans!G178)</f>
        <v/>
      </c>
      <c r="H1766" s="40" t="str">
        <f>IF(Agent09_Loans!B178="","",Agent09_Loans!H178)</f>
        <v/>
      </c>
      <c r="I1766" s="43" t="str">
        <f>IF(Agent09_Loans!B178="","",Agent09_Loans!I178)</f>
        <v/>
      </c>
      <c r="J1766" s="43" t="str">
        <f>IF(Agent09_Loans!B178="","",Agent09_Loans!J178)</f>
        <v/>
      </c>
      <c r="K1766" s="40" t="str">
        <f>IF(Agent09_Loans!B178="","",Agent09_Loans!K178)</f>
        <v/>
      </c>
      <c r="L1766" s="40" t="str">
        <f>IF(Agent09_Loans!B178="","",Agent09_Loans!L178)</f>
        <v/>
      </c>
      <c r="M1766" s="40" t="str">
        <f>IFERROR(IF(Agent09_Loans!B178="","",YEAR(Agent09_Loans!D178)),"")</f>
        <v/>
      </c>
    </row>
    <row r="1767" spans="1:13" ht="18" customHeight="1" x14ac:dyDescent="0.25">
      <c r="A1767" s="40" t="str">
        <f>IF(Agent09_Loans!B179="","",Agent09_Loans!A179)</f>
        <v/>
      </c>
      <c r="B1767" s="40" t="str">
        <f>IF(Agent09_Loans!B179="","",Agent09_Loans!B179)</f>
        <v/>
      </c>
      <c r="C1767" s="40" t="str">
        <f>IF(Agent09_Loans!B179="","",Agent09_Loans!C179)</f>
        <v/>
      </c>
      <c r="D1767" s="41" t="str">
        <f>IF(Agent09_Loans!B179="","",Agent09_Loans!D179)</f>
        <v/>
      </c>
      <c r="E1767" s="43" t="str">
        <f>IF(Agent09_Loans!B179="","",Agent09_Loans!E179)</f>
        <v/>
      </c>
      <c r="F1767" s="40" t="str">
        <f>IF(Agent09_Loans!B179="","",Agent09_Loans!F179)</f>
        <v/>
      </c>
      <c r="G1767" s="40" t="str">
        <f>IF(Agent09_Loans!B179="","",Agent09_Loans!G179)</f>
        <v/>
      </c>
      <c r="H1767" s="40" t="str">
        <f>IF(Agent09_Loans!B179="","",Agent09_Loans!H179)</f>
        <v/>
      </c>
      <c r="I1767" s="43" t="str">
        <f>IF(Agent09_Loans!B179="","",Agent09_Loans!I179)</f>
        <v/>
      </c>
      <c r="J1767" s="43" t="str">
        <f>IF(Agent09_Loans!B179="","",Agent09_Loans!J179)</f>
        <v/>
      </c>
      <c r="K1767" s="40" t="str">
        <f>IF(Agent09_Loans!B179="","",Agent09_Loans!K179)</f>
        <v/>
      </c>
      <c r="L1767" s="40" t="str">
        <f>IF(Agent09_Loans!B179="","",Agent09_Loans!L179)</f>
        <v/>
      </c>
      <c r="M1767" s="40" t="str">
        <f>IFERROR(IF(Agent09_Loans!B179="","",YEAR(Agent09_Loans!D179)),"")</f>
        <v/>
      </c>
    </row>
    <row r="1768" spans="1:13" ht="18" customHeight="1" x14ac:dyDescent="0.25">
      <c r="A1768" s="40" t="str">
        <f>IF(Agent09_Loans!B180="","",Agent09_Loans!A180)</f>
        <v/>
      </c>
      <c r="B1768" s="40" t="str">
        <f>IF(Agent09_Loans!B180="","",Agent09_Loans!B180)</f>
        <v/>
      </c>
      <c r="C1768" s="40" t="str">
        <f>IF(Agent09_Loans!B180="","",Agent09_Loans!C180)</f>
        <v/>
      </c>
      <c r="D1768" s="41" t="str">
        <f>IF(Agent09_Loans!B180="","",Agent09_Loans!D180)</f>
        <v/>
      </c>
      <c r="E1768" s="43" t="str">
        <f>IF(Agent09_Loans!B180="","",Agent09_Loans!E180)</f>
        <v/>
      </c>
      <c r="F1768" s="40" t="str">
        <f>IF(Agent09_Loans!B180="","",Agent09_Loans!F180)</f>
        <v/>
      </c>
      <c r="G1768" s="40" t="str">
        <f>IF(Agent09_Loans!B180="","",Agent09_Loans!G180)</f>
        <v/>
      </c>
      <c r="H1768" s="40" t="str">
        <f>IF(Agent09_Loans!B180="","",Agent09_Loans!H180)</f>
        <v/>
      </c>
      <c r="I1768" s="43" t="str">
        <f>IF(Agent09_Loans!B180="","",Agent09_Loans!I180)</f>
        <v/>
      </c>
      <c r="J1768" s="43" t="str">
        <f>IF(Agent09_Loans!B180="","",Agent09_Loans!J180)</f>
        <v/>
      </c>
      <c r="K1768" s="40" t="str">
        <f>IF(Agent09_Loans!B180="","",Agent09_Loans!K180)</f>
        <v/>
      </c>
      <c r="L1768" s="40" t="str">
        <f>IF(Agent09_Loans!B180="","",Agent09_Loans!L180)</f>
        <v/>
      </c>
      <c r="M1768" s="40" t="str">
        <f>IFERROR(IF(Agent09_Loans!B180="","",YEAR(Agent09_Loans!D180)),"")</f>
        <v/>
      </c>
    </row>
    <row r="1769" spans="1:13" ht="18" customHeight="1" x14ac:dyDescent="0.25">
      <c r="A1769" s="40" t="str">
        <f>IF(Agent09_Loans!B181="","",Agent09_Loans!A181)</f>
        <v/>
      </c>
      <c r="B1769" s="40" t="str">
        <f>IF(Agent09_Loans!B181="","",Agent09_Loans!B181)</f>
        <v/>
      </c>
      <c r="C1769" s="40" t="str">
        <f>IF(Agent09_Loans!B181="","",Agent09_Loans!C181)</f>
        <v/>
      </c>
      <c r="D1769" s="41" t="str">
        <f>IF(Agent09_Loans!B181="","",Agent09_Loans!D181)</f>
        <v/>
      </c>
      <c r="E1769" s="43" t="str">
        <f>IF(Agent09_Loans!B181="","",Agent09_Loans!E181)</f>
        <v/>
      </c>
      <c r="F1769" s="40" t="str">
        <f>IF(Agent09_Loans!B181="","",Agent09_Loans!F181)</f>
        <v/>
      </c>
      <c r="G1769" s="40" t="str">
        <f>IF(Agent09_Loans!B181="","",Agent09_Loans!G181)</f>
        <v/>
      </c>
      <c r="H1769" s="40" t="str">
        <f>IF(Agent09_Loans!B181="","",Agent09_Loans!H181)</f>
        <v/>
      </c>
      <c r="I1769" s="43" t="str">
        <f>IF(Agent09_Loans!B181="","",Agent09_Loans!I181)</f>
        <v/>
      </c>
      <c r="J1769" s="43" t="str">
        <f>IF(Agent09_Loans!B181="","",Agent09_Loans!J181)</f>
        <v/>
      </c>
      <c r="K1769" s="40" t="str">
        <f>IF(Agent09_Loans!B181="","",Agent09_Loans!K181)</f>
        <v/>
      </c>
      <c r="L1769" s="40" t="str">
        <f>IF(Agent09_Loans!B181="","",Agent09_Loans!L181)</f>
        <v/>
      </c>
      <c r="M1769" s="40" t="str">
        <f>IFERROR(IF(Agent09_Loans!B181="","",YEAR(Agent09_Loans!D181)),"")</f>
        <v/>
      </c>
    </row>
    <row r="1770" spans="1:13" ht="18" customHeight="1" x14ac:dyDescent="0.25">
      <c r="A1770" s="40" t="str">
        <f>IF(Agent09_Loans!B182="","",Agent09_Loans!A182)</f>
        <v/>
      </c>
      <c r="B1770" s="40" t="str">
        <f>IF(Agent09_Loans!B182="","",Agent09_Loans!B182)</f>
        <v/>
      </c>
      <c r="C1770" s="40" t="str">
        <f>IF(Agent09_Loans!B182="","",Agent09_Loans!C182)</f>
        <v/>
      </c>
      <c r="D1770" s="41" t="str">
        <f>IF(Agent09_Loans!B182="","",Agent09_Loans!D182)</f>
        <v/>
      </c>
      <c r="E1770" s="43" t="str">
        <f>IF(Agent09_Loans!B182="","",Agent09_Loans!E182)</f>
        <v/>
      </c>
      <c r="F1770" s="40" t="str">
        <f>IF(Agent09_Loans!B182="","",Agent09_Loans!F182)</f>
        <v/>
      </c>
      <c r="G1770" s="40" t="str">
        <f>IF(Agent09_Loans!B182="","",Agent09_Loans!G182)</f>
        <v/>
      </c>
      <c r="H1770" s="40" t="str">
        <f>IF(Agent09_Loans!B182="","",Agent09_Loans!H182)</f>
        <v/>
      </c>
      <c r="I1770" s="43" t="str">
        <f>IF(Agent09_Loans!B182="","",Agent09_Loans!I182)</f>
        <v/>
      </c>
      <c r="J1770" s="43" t="str">
        <f>IF(Agent09_Loans!B182="","",Agent09_Loans!J182)</f>
        <v/>
      </c>
      <c r="K1770" s="40" t="str">
        <f>IF(Agent09_Loans!B182="","",Agent09_Loans!K182)</f>
        <v/>
      </c>
      <c r="L1770" s="40" t="str">
        <f>IF(Agent09_Loans!B182="","",Agent09_Loans!L182)</f>
        <v/>
      </c>
      <c r="M1770" s="40" t="str">
        <f>IFERROR(IF(Agent09_Loans!B182="","",YEAR(Agent09_Loans!D182)),"")</f>
        <v/>
      </c>
    </row>
    <row r="1771" spans="1:13" ht="18" customHeight="1" x14ac:dyDescent="0.25">
      <c r="A1771" s="40" t="str">
        <f>IF(Agent09_Loans!B183="","",Agent09_Loans!A183)</f>
        <v/>
      </c>
      <c r="B1771" s="40" t="str">
        <f>IF(Agent09_Loans!B183="","",Agent09_Loans!B183)</f>
        <v/>
      </c>
      <c r="C1771" s="40" t="str">
        <f>IF(Agent09_Loans!B183="","",Agent09_Loans!C183)</f>
        <v/>
      </c>
      <c r="D1771" s="41" t="str">
        <f>IF(Agent09_Loans!B183="","",Agent09_Loans!D183)</f>
        <v/>
      </c>
      <c r="E1771" s="43" t="str">
        <f>IF(Agent09_Loans!B183="","",Agent09_Loans!E183)</f>
        <v/>
      </c>
      <c r="F1771" s="40" t="str">
        <f>IF(Agent09_Loans!B183="","",Agent09_Loans!F183)</f>
        <v/>
      </c>
      <c r="G1771" s="40" t="str">
        <f>IF(Agent09_Loans!B183="","",Agent09_Loans!G183)</f>
        <v/>
      </c>
      <c r="H1771" s="40" t="str">
        <f>IF(Agent09_Loans!B183="","",Agent09_Loans!H183)</f>
        <v/>
      </c>
      <c r="I1771" s="43" t="str">
        <f>IF(Agent09_Loans!B183="","",Agent09_Loans!I183)</f>
        <v/>
      </c>
      <c r="J1771" s="43" t="str">
        <f>IF(Agent09_Loans!B183="","",Agent09_Loans!J183)</f>
        <v/>
      </c>
      <c r="K1771" s="40" t="str">
        <f>IF(Agent09_Loans!B183="","",Agent09_Loans!K183)</f>
        <v/>
      </c>
      <c r="L1771" s="40" t="str">
        <f>IF(Agent09_Loans!B183="","",Agent09_Loans!L183)</f>
        <v/>
      </c>
      <c r="M1771" s="40" t="str">
        <f>IFERROR(IF(Agent09_Loans!B183="","",YEAR(Agent09_Loans!D183)),"")</f>
        <v/>
      </c>
    </row>
    <row r="1772" spans="1:13" ht="18" customHeight="1" x14ac:dyDescent="0.25">
      <c r="A1772" s="40" t="str">
        <f>IF(Agent09_Loans!B184="","",Agent09_Loans!A184)</f>
        <v/>
      </c>
      <c r="B1772" s="40" t="str">
        <f>IF(Agent09_Loans!B184="","",Agent09_Loans!B184)</f>
        <v/>
      </c>
      <c r="C1772" s="40" t="str">
        <f>IF(Agent09_Loans!B184="","",Agent09_Loans!C184)</f>
        <v/>
      </c>
      <c r="D1772" s="41" t="str">
        <f>IF(Agent09_Loans!B184="","",Agent09_Loans!D184)</f>
        <v/>
      </c>
      <c r="E1772" s="43" t="str">
        <f>IF(Agent09_Loans!B184="","",Agent09_Loans!E184)</f>
        <v/>
      </c>
      <c r="F1772" s="40" t="str">
        <f>IF(Agent09_Loans!B184="","",Agent09_Loans!F184)</f>
        <v/>
      </c>
      <c r="G1772" s="40" t="str">
        <f>IF(Agent09_Loans!B184="","",Agent09_Loans!G184)</f>
        <v/>
      </c>
      <c r="H1772" s="40" t="str">
        <f>IF(Agent09_Loans!B184="","",Agent09_Loans!H184)</f>
        <v/>
      </c>
      <c r="I1772" s="43" t="str">
        <f>IF(Agent09_Loans!B184="","",Agent09_Loans!I184)</f>
        <v/>
      </c>
      <c r="J1772" s="43" t="str">
        <f>IF(Agent09_Loans!B184="","",Agent09_Loans!J184)</f>
        <v/>
      </c>
      <c r="K1772" s="40" t="str">
        <f>IF(Agent09_Loans!B184="","",Agent09_Loans!K184)</f>
        <v/>
      </c>
      <c r="L1772" s="40" t="str">
        <f>IF(Agent09_Loans!B184="","",Agent09_Loans!L184)</f>
        <v/>
      </c>
      <c r="M1772" s="40" t="str">
        <f>IFERROR(IF(Agent09_Loans!B184="","",YEAR(Agent09_Loans!D184)),"")</f>
        <v/>
      </c>
    </row>
    <row r="1773" spans="1:13" ht="18" customHeight="1" x14ac:dyDescent="0.25">
      <c r="A1773" s="40" t="str">
        <f>IF(Agent09_Loans!B185="","",Agent09_Loans!A185)</f>
        <v/>
      </c>
      <c r="B1773" s="40" t="str">
        <f>IF(Agent09_Loans!B185="","",Agent09_Loans!B185)</f>
        <v/>
      </c>
      <c r="C1773" s="40" t="str">
        <f>IF(Agent09_Loans!B185="","",Agent09_Loans!C185)</f>
        <v/>
      </c>
      <c r="D1773" s="41" t="str">
        <f>IF(Agent09_Loans!B185="","",Agent09_Loans!D185)</f>
        <v/>
      </c>
      <c r="E1773" s="43" t="str">
        <f>IF(Agent09_Loans!B185="","",Agent09_Loans!E185)</f>
        <v/>
      </c>
      <c r="F1773" s="40" t="str">
        <f>IF(Agent09_Loans!B185="","",Agent09_Loans!F185)</f>
        <v/>
      </c>
      <c r="G1773" s="40" t="str">
        <f>IF(Agent09_Loans!B185="","",Agent09_Loans!G185)</f>
        <v/>
      </c>
      <c r="H1773" s="40" t="str">
        <f>IF(Agent09_Loans!B185="","",Agent09_Loans!H185)</f>
        <v/>
      </c>
      <c r="I1773" s="43" t="str">
        <f>IF(Agent09_Loans!B185="","",Agent09_Loans!I185)</f>
        <v/>
      </c>
      <c r="J1773" s="43" t="str">
        <f>IF(Agent09_Loans!B185="","",Agent09_Loans!J185)</f>
        <v/>
      </c>
      <c r="K1773" s="40" t="str">
        <f>IF(Agent09_Loans!B185="","",Agent09_Loans!K185)</f>
        <v/>
      </c>
      <c r="L1773" s="40" t="str">
        <f>IF(Agent09_Loans!B185="","",Agent09_Loans!L185)</f>
        <v/>
      </c>
      <c r="M1773" s="40" t="str">
        <f>IFERROR(IF(Agent09_Loans!B185="","",YEAR(Agent09_Loans!D185)),"")</f>
        <v/>
      </c>
    </row>
    <row r="1774" spans="1:13" ht="18" customHeight="1" x14ac:dyDescent="0.25">
      <c r="A1774" s="40" t="str">
        <f>IF(Agent09_Loans!B186="","",Agent09_Loans!A186)</f>
        <v/>
      </c>
      <c r="B1774" s="40" t="str">
        <f>IF(Agent09_Loans!B186="","",Agent09_Loans!B186)</f>
        <v/>
      </c>
      <c r="C1774" s="40" t="str">
        <f>IF(Agent09_Loans!B186="","",Agent09_Loans!C186)</f>
        <v/>
      </c>
      <c r="D1774" s="41" t="str">
        <f>IF(Agent09_Loans!B186="","",Agent09_Loans!D186)</f>
        <v/>
      </c>
      <c r="E1774" s="43" t="str">
        <f>IF(Agent09_Loans!B186="","",Agent09_Loans!E186)</f>
        <v/>
      </c>
      <c r="F1774" s="40" t="str">
        <f>IF(Agent09_Loans!B186="","",Agent09_Loans!F186)</f>
        <v/>
      </c>
      <c r="G1774" s="40" t="str">
        <f>IF(Agent09_Loans!B186="","",Agent09_Loans!G186)</f>
        <v/>
      </c>
      <c r="H1774" s="40" t="str">
        <f>IF(Agent09_Loans!B186="","",Agent09_Loans!H186)</f>
        <v/>
      </c>
      <c r="I1774" s="43" t="str">
        <f>IF(Agent09_Loans!B186="","",Agent09_Loans!I186)</f>
        <v/>
      </c>
      <c r="J1774" s="43" t="str">
        <f>IF(Agent09_Loans!B186="","",Agent09_Loans!J186)</f>
        <v/>
      </c>
      <c r="K1774" s="40" t="str">
        <f>IF(Agent09_Loans!B186="","",Agent09_Loans!K186)</f>
        <v/>
      </c>
      <c r="L1774" s="40" t="str">
        <f>IF(Agent09_Loans!B186="","",Agent09_Loans!L186)</f>
        <v/>
      </c>
      <c r="M1774" s="40" t="str">
        <f>IFERROR(IF(Agent09_Loans!B186="","",YEAR(Agent09_Loans!D186)),"")</f>
        <v/>
      </c>
    </row>
    <row r="1775" spans="1:13" ht="18" customHeight="1" x14ac:dyDescent="0.25">
      <c r="A1775" s="40" t="str">
        <f>IF(Agent09_Loans!B187="","",Agent09_Loans!A187)</f>
        <v/>
      </c>
      <c r="B1775" s="40" t="str">
        <f>IF(Agent09_Loans!B187="","",Agent09_Loans!B187)</f>
        <v/>
      </c>
      <c r="C1775" s="40" t="str">
        <f>IF(Agent09_Loans!B187="","",Agent09_Loans!C187)</f>
        <v/>
      </c>
      <c r="D1775" s="41" t="str">
        <f>IF(Agent09_Loans!B187="","",Agent09_Loans!D187)</f>
        <v/>
      </c>
      <c r="E1775" s="43" t="str">
        <f>IF(Agent09_Loans!B187="","",Agent09_Loans!E187)</f>
        <v/>
      </c>
      <c r="F1775" s="40" t="str">
        <f>IF(Agent09_Loans!B187="","",Agent09_Loans!F187)</f>
        <v/>
      </c>
      <c r="G1775" s="40" t="str">
        <f>IF(Agent09_Loans!B187="","",Agent09_Loans!G187)</f>
        <v/>
      </c>
      <c r="H1775" s="40" t="str">
        <f>IF(Agent09_Loans!B187="","",Agent09_Loans!H187)</f>
        <v/>
      </c>
      <c r="I1775" s="43" t="str">
        <f>IF(Agent09_Loans!B187="","",Agent09_Loans!I187)</f>
        <v/>
      </c>
      <c r="J1775" s="43" t="str">
        <f>IF(Agent09_Loans!B187="","",Agent09_Loans!J187)</f>
        <v/>
      </c>
      <c r="K1775" s="40" t="str">
        <f>IF(Agent09_Loans!B187="","",Agent09_Loans!K187)</f>
        <v/>
      </c>
      <c r="L1775" s="40" t="str">
        <f>IF(Agent09_Loans!B187="","",Agent09_Loans!L187)</f>
        <v/>
      </c>
      <c r="M1775" s="40" t="str">
        <f>IFERROR(IF(Agent09_Loans!B187="","",YEAR(Agent09_Loans!D187)),"")</f>
        <v/>
      </c>
    </row>
    <row r="1776" spans="1:13" ht="18" customHeight="1" x14ac:dyDescent="0.25">
      <c r="A1776" s="40" t="str">
        <f>IF(Agent09_Loans!B188="","",Agent09_Loans!A188)</f>
        <v/>
      </c>
      <c r="B1776" s="40" t="str">
        <f>IF(Agent09_Loans!B188="","",Agent09_Loans!B188)</f>
        <v/>
      </c>
      <c r="C1776" s="40" t="str">
        <f>IF(Agent09_Loans!B188="","",Agent09_Loans!C188)</f>
        <v/>
      </c>
      <c r="D1776" s="41" t="str">
        <f>IF(Agent09_Loans!B188="","",Agent09_Loans!D188)</f>
        <v/>
      </c>
      <c r="E1776" s="43" t="str">
        <f>IF(Agent09_Loans!B188="","",Agent09_Loans!E188)</f>
        <v/>
      </c>
      <c r="F1776" s="40" t="str">
        <f>IF(Agent09_Loans!B188="","",Agent09_Loans!F188)</f>
        <v/>
      </c>
      <c r="G1776" s="40" t="str">
        <f>IF(Agent09_Loans!B188="","",Agent09_Loans!G188)</f>
        <v/>
      </c>
      <c r="H1776" s="40" t="str">
        <f>IF(Agent09_Loans!B188="","",Agent09_Loans!H188)</f>
        <v/>
      </c>
      <c r="I1776" s="43" t="str">
        <f>IF(Agent09_Loans!B188="","",Agent09_Loans!I188)</f>
        <v/>
      </c>
      <c r="J1776" s="43" t="str">
        <f>IF(Agent09_Loans!B188="","",Agent09_Loans!J188)</f>
        <v/>
      </c>
      <c r="K1776" s="40" t="str">
        <f>IF(Agent09_Loans!B188="","",Agent09_Loans!K188)</f>
        <v/>
      </c>
      <c r="L1776" s="40" t="str">
        <f>IF(Agent09_Loans!B188="","",Agent09_Loans!L188)</f>
        <v/>
      </c>
      <c r="M1776" s="40" t="str">
        <f>IFERROR(IF(Agent09_Loans!B188="","",YEAR(Agent09_Loans!D188)),"")</f>
        <v/>
      </c>
    </row>
    <row r="1777" spans="1:13" ht="18" customHeight="1" x14ac:dyDescent="0.25">
      <c r="A1777" s="40" t="str">
        <f>IF(Agent09_Loans!B189="","",Agent09_Loans!A189)</f>
        <v/>
      </c>
      <c r="B1777" s="40" t="str">
        <f>IF(Agent09_Loans!B189="","",Agent09_Loans!B189)</f>
        <v/>
      </c>
      <c r="C1777" s="40" t="str">
        <f>IF(Agent09_Loans!B189="","",Agent09_Loans!C189)</f>
        <v/>
      </c>
      <c r="D1777" s="41" t="str">
        <f>IF(Agent09_Loans!B189="","",Agent09_Loans!D189)</f>
        <v/>
      </c>
      <c r="E1777" s="43" t="str">
        <f>IF(Agent09_Loans!B189="","",Agent09_Loans!E189)</f>
        <v/>
      </c>
      <c r="F1777" s="40" t="str">
        <f>IF(Agent09_Loans!B189="","",Agent09_Loans!F189)</f>
        <v/>
      </c>
      <c r="G1777" s="40" t="str">
        <f>IF(Agent09_Loans!B189="","",Agent09_Loans!G189)</f>
        <v/>
      </c>
      <c r="H1777" s="40" t="str">
        <f>IF(Agent09_Loans!B189="","",Agent09_Loans!H189)</f>
        <v/>
      </c>
      <c r="I1777" s="43" t="str">
        <f>IF(Agent09_Loans!B189="","",Agent09_Loans!I189)</f>
        <v/>
      </c>
      <c r="J1777" s="43" t="str">
        <f>IF(Agent09_Loans!B189="","",Agent09_Loans!J189)</f>
        <v/>
      </c>
      <c r="K1777" s="40" t="str">
        <f>IF(Agent09_Loans!B189="","",Agent09_Loans!K189)</f>
        <v/>
      </c>
      <c r="L1777" s="40" t="str">
        <f>IF(Agent09_Loans!B189="","",Agent09_Loans!L189)</f>
        <v/>
      </c>
      <c r="M1777" s="40" t="str">
        <f>IFERROR(IF(Agent09_Loans!B189="","",YEAR(Agent09_Loans!D189)),"")</f>
        <v/>
      </c>
    </row>
    <row r="1778" spans="1:13" ht="18" customHeight="1" x14ac:dyDescent="0.25">
      <c r="A1778" s="40" t="str">
        <f>IF(Agent09_Loans!B190="","",Agent09_Loans!A190)</f>
        <v/>
      </c>
      <c r="B1778" s="40" t="str">
        <f>IF(Agent09_Loans!B190="","",Agent09_Loans!B190)</f>
        <v/>
      </c>
      <c r="C1778" s="40" t="str">
        <f>IF(Agent09_Loans!B190="","",Agent09_Loans!C190)</f>
        <v/>
      </c>
      <c r="D1778" s="41" t="str">
        <f>IF(Agent09_Loans!B190="","",Agent09_Loans!D190)</f>
        <v/>
      </c>
      <c r="E1778" s="43" t="str">
        <f>IF(Agent09_Loans!B190="","",Agent09_Loans!E190)</f>
        <v/>
      </c>
      <c r="F1778" s="40" t="str">
        <f>IF(Agent09_Loans!B190="","",Agent09_Loans!F190)</f>
        <v/>
      </c>
      <c r="G1778" s="40" t="str">
        <f>IF(Agent09_Loans!B190="","",Agent09_Loans!G190)</f>
        <v/>
      </c>
      <c r="H1778" s="40" t="str">
        <f>IF(Agent09_Loans!B190="","",Agent09_Loans!H190)</f>
        <v/>
      </c>
      <c r="I1778" s="43" t="str">
        <f>IF(Agent09_Loans!B190="","",Agent09_Loans!I190)</f>
        <v/>
      </c>
      <c r="J1778" s="43" t="str">
        <f>IF(Agent09_Loans!B190="","",Agent09_Loans!J190)</f>
        <v/>
      </c>
      <c r="K1778" s="40" t="str">
        <f>IF(Agent09_Loans!B190="","",Agent09_Loans!K190)</f>
        <v/>
      </c>
      <c r="L1778" s="40" t="str">
        <f>IF(Agent09_Loans!B190="","",Agent09_Loans!L190)</f>
        <v/>
      </c>
      <c r="M1778" s="40" t="str">
        <f>IFERROR(IF(Agent09_Loans!B190="","",YEAR(Agent09_Loans!D190)),"")</f>
        <v/>
      </c>
    </row>
    <row r="1779" spans="1:13" ht="18" customHeight="1" x14ac:dyDescent="0.25">
      <c r="A1779" s="40" t="str">
        <f>IF(Agent09_Loans!B191="","",Agent09_Loans!A191)</f>
        <v/>
      </c>
      <c r="B1779" s="40" t="str">
        <f>IF(Agent09_Loans!B191="","",Agent09_Loans!B191)</f>
        <v/>
      </c>
      <c r="C1779" s="40" t="str">
        <f>IF(Agent09_Loans!B191="","",Agent09_Loans!C191)</f>
        <v/>
      </c>
      <c r="D1779" s="41" t="str">
        <f>IF(Agent09_Loans!B191="","",Agent09_Loans!D191)</f>
        <v/>
      </c>
      <c r="E1779" s="43" t="str">
        <f>IF(Agent09_Loans!B191="","",Agent09_Loans!E191)</f>
        <v/>
      </c>
      <c r="F1779" s="40" t="str">
        <f>IF(Agent09_Loans!B191="","",Agent09_Loans!F191)</f>
        <v/>
      </c>
      <c r="G1779" s="40" t="str">
        <f>IF(Agent09_Loans!B191="","",Agent09_Loans!G191)</f>
        <v/>
      </c>
      <c r="H1779" s="40" t="str">
        <f>IF(Agent09_Loans!B191="","",Agent09_Loans!H191)</f>
        <v/>
      </c>
      <c r="I1779" s="43" t="str">
        <f>IF(Agent09_Loans!B191="","",Agent09_Loans!I191)</f>
        <v/>
      </c>
      <c r="J1779" s="43" t="str">
        <f>IF(Agent09_Loans!B191="","",Agent09_Loans!J191)</f>
        <v/>
      </c>
      <c r="K1779" s="40" t="str">
        <f>IF(Agent09_Loans!B191="","",Agent09_Loans!K191)</f>
        <v/>
      </c>
      <c r="L1779" s="40" t="str">
        <f>IF(Agent09_Loans!B191="","",Agent09_Loans!L191)</f>
        <v/>
      </c>
      <c r="M1779" s="40" t="str">
        <f>IFERROR(IF(Agent09_Loans!B191="","",YEAR(Agent09_Loans!D191)),"")</f>
        <v/>
      </c>
    </row>
    <row r="1780" spans="1:13" ht="18" customHeight="1" x14ac:dyDescent="0.25">
      <c r="A1780" s="40" t="str">
        <f>IF(Agent09_Loans!B192="","",Agent09_Loans!A192)</f>
        <v/>
      </c>
      <c r="B1780" s="40" t="str">
        <f>IF(Agent09_Loans!B192="","",Agent09_Loans!B192)</f>
        <v/>
      </c>
      <c r="C1780" s="40" t="str">
        <f>IF(Agent09_Loans!B192="","",Agent09_Loans!C192)</f>
        <v/>
      </c>
      <c r="D1780" s="41" t="str">
        <f>IF(Agent09_Loans!B192="","",Agent09_Loans!D192)</f>
        <v/>
      </c>
      <c r="E1780" s="43" t="str">
        <f>IF(Agent09_Loans!B192="","",Agent09_Loans!E192)</f>
        <v/>
      </c>
      <c r="F1780" s="40" t="str">
        <f>IF(Agent09_Loans!B192="","",Agent09_Loans!F192)</f>
        <v/>
      </c>
      <c r="G1780" s="40" t="str">
        <f>IF(Agent09_Loans!B192="","",Agent09_Loans!G192)</f>
        <v/>
      </c>
      <c r="H1780" s="40" t="str">
        <f>IF(Agent09_Loans!B192="","",Agent09_Loans!H192)</f>
        <v/>
      </c>
      <c r="I1780" s="43" t="str">
        <f>IF(Agent09_Loans!B192="","",Agent09_Loans!I192)</f>
        <v/>
      </c>
      <c r="J1780" s="43" t="str">
        <f>IF(Agent09_Loans!B192="","",Agent09_Loans!J192)</f>
        <v/>
      </c>
      <c r="K1780" s="40" t="str">
        <f>IF(Agent09_Loans!B192="","",Agent09_Loans!K192)</f>
        <v/>
      </c>
      <c r="L1780" s="40" t="str">
        <f>IF(Agent09_Loans!B192="","",Agent09_Loans!L192)</f>
        <v/>
      </c>
      <c r="M1780" s="40" t="str">
        <f>IFERROR(IF(Agent09_Loans!B192="","",YEAR(Agent09_Loans!D192)),"")</f>
        <v/>
      </c>
    </row>
    <row r="1781" spans="1:13" ht="18" customHeight="1" x14ac:dyDescent="0.25">
      <c r="A1781" s="40" t="str">
        <f>IF(Agent09_Loans!B193="","",Agent09_Loans!A193)</f>
        <v/>
      </c>
      <c r="B1781" s="40" t="str">
        <f>IF(Agent09_Loans!B193="","",Agent09_Loans!B193)</f>
        <v/>
      </c>
      <c r="C1781" s="40" t="str">
        <f>IF(Agent09_Loans!B193="","",Agent09_Loans!C193)</f>
        <v/>
      </c>
      <c r="D1781" s="41" t="str">
        <f>IF(Agent09_Loans!B193="","",Agent09_Loans!D193)</f>
        <v/>
      </c>
      <c r="E1781" s="43" t="str">
        <f>IF(Agent09_Loans!B193="","",Agent09_Loans!E193)</f>
        <v/>
      </c>
      <c r="F1781" s="40" t="str">
        <f>IF(Agent09_Loans!B193="","",Agent09_Loans!F193)</f>
        <v/>
      </c>
      <c r="G1781" s="40" t="str">
        <f>IF(Agent09_Loans!B193="","",Agent09_Loans!G193)</f>
        <v/>
      </c>
      <c r="H1781" s="40" t="str">
        <f>IF(Agent09_Loans!B193="","",Agent09_Loans!H193)</f>
        <v/>
      </c>
      <c r="I1781" s="43" t="str">
        <f>IF(Agent09_Loans!B193="","",Agent09_Loans!I193)</f>
        <v/>
      </c>
      <c r="J1781" s="43" t="str">
        <f>IF(Agent09_Loans!B193="","",Agent09_Loans!J193)</f>
        <v/>
      </c>
      <c r="K1781" s="40" t="str">
        <f>IF(Agent09_Loans!B193="","",Agent09_Loans!K193)</f>
        <v/>
      </c>
      <c r="L1781" s="40" t="str">
        <f>IF(Agent09_Loans!B193="","",Agent09_Loans!L193)</f>
        <v/>
      </c>
      <c r="M1781" s="40" t="str">
        <f>IFERROR(IF(Agent09_Loans!B193="","",YEAR(Agent09_Loans!D193)),"")</f>
        <v/>
      </c>
    </row>
    <row r="1782" spans="1:13" ht="18" customHeight="1" x14ac:dyDescent="0.25">
      <c r="A1782" s="40" t="str">
        <f>IF(Agent09_Loans!B194="","",Agent09_Loans!A194)</f>
        <v/>
      </c>
      <c r="B1782" s="40" t="str">
        <f>IF(Agent09_Loans!B194="","",Agent09_Loans!B194)</f>
        <v/>
      </c>
      <c r="C1782" s="40" t="str">
        <f>IF(Agent09_Loans!B194="","",Agent09_Loans!C194)</f>
        <v/>
      </c>
      <c r="D1782" s="41" t="str">
        <f>IF(Agent09_Loans!B194="","",Agent09_Loans!D194)</f>
        <v/>
      </c>
      <c r="E1782" s="43" t="str">
        <f>IF(Agent09_Loans!B194="","",Agent09_Loans!E194)</f>
        <v/>
      </c>
      <c r="F1782" s="40" t="str">
        <f>IF(Agent09_Loans!B194="","",Agent09_Loans!F194)</f>
        <v/>
      </c>
      <c r="G1782" s="40" t="str">
        <f>IF(Agent09_Loans!B194="","",Agent09_Loans!G194)</f>
        <v/>
      </c>
      <c r="H1782" s="40" t="str">
        <f>IF(Agent09_Loans!B194="","",Agent09_Loans!H194)</f>
        <v/>
      </c>
      <c r="I1782" s="43" t="str">
        <f>IF(Agent09_Loans!B194="","",Agent09_Loans!I194)</f>
        <v/>
      </c>
      <c r="J1782" s="43" t="str">
        <f>IF(Agent09_Loans!B194="","",Agent09_Loans!J194)</f>
        <v/>
      </c>
      <c r="K1782" s="40" t="str">
        <f>IF(Agent09_Loans!B194="","",Agent09_Loans!K194)</f>
        <v/>
      </c>
      <c r="L1782" s="40" t="str">
        <f>IF(Agent09_Loans!B194="","",Agent09_Loans!L194)</f>
        <v/>
      </c>
      <c r="M1782" s="40" t="str">
        <f>IFERROR(IF(Agent09_Loans!B194="","",YEAR(Agent09_Loans!D194)),"")</f>
        <v/>
      </c>
    </row>
    <row r="1783" spans="1:13" ht="18" customHeight="1" x14ac:dyDescent="0.25">
      <c r="A1783" s="40" t="str">
        <f>IF(Agent09_Loans!B195="","",Agent09_Loans!A195)</f>
        <v/>
      </c>
      <c r="B1783" s="40" t="str">
        <f>IF(Agent09_Loans!B195="","",Agent09_Loans!B195)</f>
        <v/>
      </c>
      <c r="C1783" s="40" t="str">
        <f>IF(Agent09_Loans!B195="","",Agent09_Loans!C195)</f>
        <v/>
      </c>
      <c r="D1783" s="41" t="str">
        <f>IF(Agent09_Loans!B195="","",Agent09_Loans!D195)</f>
        <v/>
      </c>
      <c r="E1783" s="43" t="str">
        <f>IF(Agent09_Loans!B195="","",Agent09_Loans!E195)</f>
        <v/>
      </c>
      <c r="F1783" s="40" t="str">
        <f>IF(Agent09_Loans!B195="","",Agent09_Loans!F195)</f>
        <v/>
      </c>
      <c r="G1783" s="40" t="str">
        <f>IF(Agent09_Loans!B195="","",Agent09_Loans!G195)</f>
        <v/>
      </c>
      <c r="H1783" s="40" t="str">
        <f>IF(Agent09_Loans!B195="","",Agent09_Loans!H195)</f>
        <v/>
      </c>
      <c r="I1783" s="43" t="str">
        <f>IF(Agent09_Loans!B195="","",Agent09_Loans!I195)</f>
        <v/>
      </c>
      <c r="J1783" s="43" t="str">
        <f>IF(Agent09_Loans!B195="","",Agent09_Loans!J195)</f>
        <v/>
      </c>
      <c r="K1783" s="40" t="str">
        <f>IF(Agent09_Loans!B195="","",Agent09_Loans!K195)</f>
        <v/>
      </c>
      <c r="L1783" s="40" t="str">
        <f>IF(Agent09_Loans!B195="","",Agent09_Loans!L195)</f>
        <v/>
      </c>
      <c r="M1783" s="40" t="str">
        <f>IFERROR(IF(Agent09_Loans!B195="","",YEAR(Agent09_Loans!D195)),"")</f>
        <v/>
      </c>
    </row>
    <row r="1784" spans="1:13" ht="18" customHeight="1" x14ac:dyDescent="0.25">
      <c r="A1784" s="40" t="str">
        <f>IF(Agent09_Loans!B196="","",Agent09_Loans!A196)</f>
        <v/>
      </c>
      <c r="B1784" s="40" t="str">
        <f>IF(Agent09_Loans!B196="","",Agent09_Loans!B196)</f>
        <v/>
      </c>
      <c r="C1784" s="40" t="str">
        <f>IF(Agent09_Loans!B196="","",Agent09_Loans!C196)</f>
        <v/>
      </c>
      <c r="D1784" s="41" t="str">
        <f>IF(Agent09_Loans!B196="","",Agent09_Loans!D196)</f>
        <v/>
      </c>
      <c r="E1784" s="43" t="str">
        <f>IF(Agent09_Loans!B196="","",Agent09_Loans!E196)</f>
        <v/>
      </c>
      <c r="F1784" s="40" t="str">
        <f>IF(Agent09_Loans!B196="","",Agent09_Loans!F196)</f>
        <v/>
      </c>
      <c r="G1784" s="40" t="str">
        <f>IF(Agent09_Loans!B196="","",Agent09_Loans!G196)</f>
        <v/>
      </c>
      <c r="H1784" s="40" t="str">
        <f>IF(Agent09_Loans!B196="","",Agent09_Loans!H196)</f>
        <v/>
      </c>
      <c r="I1784" s="43" t="str">
        <f>IF(Agent09_Loans!B196="","",Agent09_Loans!I196)</f>
        <v/>
      </c>
      <c r="J1784" s="43" t="str">
        <f>IF(Agent09_Loans!B196="","",Agent09_Loans!J196)</f>
        <v/>
      </c>
      <c r="K1784" s="40" t="str">
        <f>IF(Agent09_Loans!B196="","",Agent09_Loans!K196)</f>
        <v/>
      </c>
      <c r="L1784" s="40" t="str">
        <f>IF(Agent09_Loans!B196="","",Agent09_Loans!L196)</f>
        <v/>
      </c>
      <c r="M1784" s="40" t="str">
        <f>IFERROR(IF(Agent09_Loans!B196="","",YEAR(Agent09_Loans!D196)),"")</f>
        <v/>
      </c>
    </row>
    <row r="1785" spans="1:13" ht="18" customHeight="1" x14ac:dyDescent="0.25">
      <c r="A1785" s="40" t="str">
        <f>IF(Agent09_Loans!B197="","",Agent09_Loans!A197)</f>
        <v/>
      </c>
      <c r="B1785" s="40" t="str">
        <f>IF(Agent09_Loans!B197="","",Agent09_Loans!B197)</f>
        <v/>
      </c>
      <c r="C1785" s="40" t="str">
        <f>IF(Agent09_Loans!B197="","",Agent09_Loans!C197)</f>
        <v/>
      </c>
      <c r="D1785" s="41" t="str">
        <f>IF(Agent09_Loans!B197="","",Agent09_Loans!D197)</f>
        <v/>
      </c>
      <c r="E1785" s="43" t="str">
        <f>IF(Agent09_Loans!B197="","",Agent09_Loans!E197)</f>
        <v/>
      </c>
      <c r="F1785" s="40" t="str">
        <f>IF(Agent09_Loans!B197="","",Agent09_Loans!F197)</f>
        <v/>
      </c>
      <c r="G1785" s="40" t="str">
        <f>IF(Agent09_Loans!B197="","",Agent09_Loans!G197)</f>
        <v/>
      </c>
      <c r="H1785" s="40" t="str">
        <f>IF(Agent09_Loans!B197="","",Agent09_Loans!H197)</f>
        <v/>
      </c>
      <c r="I1785" s="43" t="str">
        <f>IF(Agent09_Loans!B197="","",Agent09_Loans!I197)</f>
        <v/>
      </c>
      <c r="J1785" s="43" t="str">
        <f>IF(Agent09_Loans!B197="","",Agent09_Loans!J197)</f>
        <v/>
      </c>
      <c r="K1785" s="40" t="str">
        <f>IF(Agent09_Loans!B197="","",Agent09_Loans!K197)</f>
        <v/>
      </c>
      <c r="L1785" s="40" t="str">
        <f>IF(Agent09_Loans!B197="","",Agent09_Loans!L197)</f>
        <v/>
      </c>
      <c r="M1785" s="40" t="str">
        <f>IFERROR(IF(Agent09_Loans!B197="","",YEAR(Agent09_Loans!D197)),"")</f>
        <v/>
      </c>
    </row>
    <row r="1786" spans="1:13" ht="18" customHeight="1" x14ac:dyDescent="0.25">
      <c r="A1786" s="40" t="str">
        <f>IF(Agent09_Loans!B198="","",Agent09_Loans!A198)</f>
        <v/>
      </c>
      <c r="B1786" s="40" t="str">
        <f>IF(Agent09_Loans!B198="","",Agent09_Loans!B198)</f>
        <v/>
      </c>
      <c r="C1786" s="40" t="str">
        <f>IF(Agent09_Loans!B198="","",Agent09_Loans!C198)</f>
        <v/>
      </c>
      <c r="D1786" s="41" t="str">
        <f>IF(Agent09_Loans!B198="","",Agent09_Loans!D198)</f>
        <v/>
      </c>
      <c r="E1786" s="43" t="str">
        <f>IF(Agent09_Loans!B198="","",Agent09_Loans!E198)</f>
        <v/>
      </c>
      <c r="F1786" s="40" t="str">
        <f>IF(Agent09_Loans!B198="","",Agent09_Loans!F198)</f>
        <v/>
      </c>
      <c r="G1786" s="40" t="str">
        <f>IF(Agent09_Loans!B198="","",Agent09_Loans!G198)</f>
        <v/>
      </c>
      <c r="H1786" s="40" t="str">
        <f>IF(Agent09_Loans!B198="","",Agent09_Loans!H198)</f>
        <v/>
      </c>
      <c r="I1786" s="43" t="str">
        <f>IF(Agent09_Loans!B198="","",Agent09_Loans!I198)</f>
        <v/>
      </c>
      <c r="J1786" s="43" t="str">
        <f>IF(Agent09_Loans!B198="","",Agent09_Loans!J198)</f>
        <v/>
      </c>
      <c r="K1786" s="40" t="str">
        <f>IF(Agent09_Loans!B198="","",Agent09_Loans!K198)</f>
        <v/>
      </c>
      <c r="L1786" s="40" t="str">
        <f>IF(Agent09_Loans!B198="","",Agent09_Loans!L198)</f>
        <v/>
      </c>
      <c r="M1786" s="40" t="str">
        <f>IFERROR(IF(Agent09_Loans!B198="","",YEAR(Agent09_Loans!D198)),"")</f>
        <v/>
      </c>
    </row>
    <row r="1787" spans="1:13" ht="18" customHeight="1" x14ac:dyDescent="0.25">
      <c r="A1787" s="40" t="str">
        <f>IF(Agent09_Loans!B199="","",Agent09_Loans!A199)</f>
        <v/>
      </c>
      <c r="B1787" s="40" t="str">
        <f>IF(Agent09_Loans!B199="","",Agent09_Loans!B199)</f>
        <v/>
      </c>
      <c r="C1787" s="40" t="str">
        <f>IF(Agent09_Loans!B199="","",Agent09_Loans!C199)</f>
        <v/>
      </c>
      <c r="D1787" s="41" t="str">
        <f>IF(Agent09_Loans!B199="","",Agent09_Loans!D199)</f>
        <v/>
      </c>
      <c r="E1787" s="43" t="str">
        <f>IF(Agent09_Loans!B199="","",Agent09_Loans!E199)</f>
        <v/>
      </c>
      <c r="F1787" s="40" t="str">
        <f>IF(Agent09_Loans!B199="","",Agent09_Loans!F199)</f>
        <v/>
      </c>
      <c r="G1787" s="40" t="str">
        <f>IF(Agent09_Loans!B199="","",Agent09_Loans!G199)</f>
        <v/>
      </c>
      <c r="H1787" s="40" t="str">
        <f>IF(Agent09_Loans!B199="","",Agent09_Loans!H199)</f>
        <v/>
      </c>
      <c r="I1787" s="43" t="str">
        <f>IF(Agent09_Loans!B199="","",Agent09_Loans!I199)</f>
        <v/>
      </c>
      <c r="J1787" s="43" t="str">
        <f>IF(Agent09_Loans!B199="","",Agent09_Loans!J199)</f>
        <v/>
      </c>
      <c r="K1787" s="40" t="str">
        <f>IF(Agent09_Loans!B199="","",Agent09_Loans!K199)</f>
        <v/>
      </c>
      <c r="L1787" s="40" t="str">
        <f>IF(Agent09_Loans!B199="","",Agent09_Loans!L199)</f>
        <v/>
      </c>
      <c r="M1787" s="40" t="str">
        <f>IFERROR(IF(Agent09_Loans!B199="","",YEAR(Agent09_Loans!D199)),"")</f>
        <v/>
      </c>
    </row>
    <row r="1788" spans="1:13" ht="18" customHeight="1" x14ac:dyDescent="0.25">
      <c r="A1788" s="40" t="str">
        <f>IF(Agent09_Loans!B200="","",Agent09_Loans!A200)</f>
        <v/>
      </c>
      <c r="B1788" s="40" t="str">
        <f>IF(Agent09_Loans!B200="","",Agent09_Loans!B200)</f>
        <v/>
      </c>
      <c r="C1788" s="40" t="str">
        <f>IF(Agent09_Loans!B200="","",Agent09_Loans!C200)</f>
        <v/>
      </c>
      <c r="D1788" s="41" t="str">
        <f>IF(Agent09_Loans!B200="","",Agent09_Loans!D200)</f>
        <v/>
      </c>
      <c r="E1788" s="43" t="str">
        <f>IF(Agent09_Loans!B200="","",Agent09_Loans!E200)</f>
        <v/>
      </c>
      <c r="F1788" s="40" t="str">
        <f>IF(Agent09_Loans!B200="","",Agent09_Loans!F200)</f>
        <v/>
      </c>
      <c r="G1788" s="40" t="str">
        <f>IF(Agent09_Loans!B200="","",Agent09_Loans!G200)</f>
        <v/>
      </c>
      <c r="H1788" s="40" t="str">
        <f>IF(Agent09_Loans!B200="","",Agent09_Loans!H200)</f>
        <v/>
      </c>
      <c r="I1788" s="43" t="str">
        <f>IF(Agent09_Loans!B200="","",Agent09_Loans!I200)</f>
        <v/>
      </c>
      <c r="J1788" s="43" t="str">
        <f>IF(Agent09_Loans!B200="","",Agent09_Loans!J200)</f>
        <v/>
      </c>
      <c r="K1788" s="40" t="str">
        <f>IF(Agent09_Loans!B200="","",Agent09_Loans!K200)</f>
        <v/>
      </c>
      <c r="L1788" s="40" t="str">
        <f>IF(Agent09_Loans!B200="","",Agent09_Loans!L200)</f>
        <v/>
      </c>
      <c r="M1788" s="40" t="str">
        <f>IFERROR(IF(Agent09_Loans!B200="","",YEAR(Agent09_Loans!D200)),"")</f>
        <v/>
      </c>
    </row>
    <row r="1789" spans="1:13" ht="18" customHeight="1" x14ac:dyDescent="0.25">
      <c r="A1789" s="40" t="str">
        <f>IF(Agent09_Loans!B201="","",Agent09_Loans!A201)</f>
        <v/>
      </c>
      <c r="B1789" s="40" t="str">
        <f>IF(Agent09_Loans!B201="","",Agent09_Loans!B201)</f>
        <v/>
      </c>
      <c r="C1789" s="40" t="str">
        <f>IF(Agent09_Loans!B201="","",Agent09_Loans!C201)</f>
        <v/>
      </c>
      <c r="D1789" s="41" t="str">
        <f>IF(Agent09_Loans!B201="","",Agent09_Loans!D201)</f>
        <v/>
      </c>
      <c r="E1789" s="43" t="str">
        <f>IF(Agent09_Loans!B201="","",Agent09_Loans!E201)</f>
        <v/>
      </c>
      <c r="F1789" s="40" t="str">
        <f>IF(Agent09_Loans!B201="","",Agent09_Loans!F201)</f>
        <v/>
      </c>
      <c r="G1789" s="40" t="str">
        <f>IF(Agent09_Loans!B201="","",Agent09_Loans!G201)</f>
        <v/>
      </c>
      <c r="H1789" s="40" t="str">
        <f>IF(Agent09_Loans!B201="","",Agent09_Loans!H201)</f>
        <v/>
      </c>
      <c r="I1789" s="43" t="str">
        <f>IF(Agent09_Loans!B201="","",Agent09_Loans!I201)</f>
        <v/>
      </c>
      <c r="J1789" s="43" t="str">
        <f>IF(Agent09_Loans!B201="","",Agent09_Loans!J201)</f>
        <v/>
      </c>
      <c r="K1789" s="40" t="str">
        <f>IF(Agent09_Loans!B201="","",Agent09_Loans!K201)</f>
        <v/>
      </c>
      <c r="L1789" s="40" t="str">
        <f>IF(Agent09_Loans!B201="","",Agent09_Loans!L201)</f>
        <v/>
      </c>
      <c r="M1789" s="40" t="str">
        <f>IFERROR(IF(Agent09_Loans!B201="","",YEAR(Agent09_Loans!D201)),"")</f>
        <v/>
      </c>
    </row>
    <row r="1790" spans="1:13" ht="18" customHeight="1" x14ac:dyDescent="0.25">
      <c r="A1790" s="40" t="str">
        <f>IF(Agent09_Loans!B202="","",Agent09_Loans!A202)</f>
        <v/>
      </c>
      <c r="B1790" s="40" t="str">
        <f>IF(Agent09_Loans!B202="","",Agent09_Loans!B202)</f>
        <v/>
      </c>
      <c r="C1790" s="40" t="str">
        <f>IF(Agent09_Loans!B202="","",Agent09_Loans!C202)</f>
        <v/>
      </c>
      <c r="D1790" s="41" t="str">
        <f>IF(Agent09_Loans!B202="","",Agent09_Loans!D202)</f>
        <v/>
      </c>
      <c r="E1790" s="43" t="str">
        <f>IF(Agent09_Loans!B202="","",Agent09_Loans!E202)</f>
        <v/>
      </c>
      <c r="F1790" s="40" t="str">
        <f>IF(Agent09_Loans!B202="","",Agent09_Loans!F202)</f>
        <v/>
      </c>
      <c r="G1790" s="40" t="str">
        <f>IF(Agent09_Loans!B202="","",Agent09_Loans!G202)</f>
        <v/>
      </c>
      <c r="H1790" s="40" t="str">
        <f>IF(Agent09_Loans!B202="","",Agent09_Loans!H202)</f>
        <v/>
      </c>
      <c r="I1790" s="43" t="str">
        <f>IF(Agent09_Loans!B202="","",Agent09_Loans!I202)</f>
        <v/>
      </c>
      <c r="J1790" s="43" t="str">
        <f>IF(Agent09_Loans!B202="","",Agent09_Loans!J202)</f>
        <v/>
      </c>
      <c r="K1790" s="40" t="str">
        <f>IF(Agent09_Loans!B202="","",Agent09_Loans!K202)</f>
        <v/>
      </c>
      <c r="L1790" s="40" t="str">
        <f>IF(Agent09_Loans!B202="","",Agent09_Loans!L202)</f>
        <v/>
      </c>
      <c r="M1790" s="40" t="str">
        <f>IFERROR(IF(Agent09_Loans!B202="","",YEAR(Agent09_Loans!D202)),"")</f>
        <v/>
      </c>
    </row>
    <row r="1791" spans="1:13" ht="18" customHeight="1" x14ac:dyDescent="0.25">
      <c r="A1791" s="40" t="str">
        <f>IF(Agent09_Loans!B203="","",Agent09_Loans!A203)</f>
        <v/>
      </c>
      <c r="B1791" s="40" t="str">
        <f>IF(Agent09_Loans!B203="","",Agent09_Loans!B203)</f>
        <v/>
      </c>
      <c r="C1791" s="40" t="str">
        <f>IF(Agent09_Loans!B203="","",Agent09_Loans!C203)</f>
        <v/>
      </c>
      <c r="D1791" s="41" t="str">
        <f>IF(Agent09_Loans!B203="","",Agent09_Loans!D203)</f>
        <v/>
      </c>
      <c r="E1791" s="43" t="str">
        <f>IF(Agent09_Loans!B203="","",Agent09_Loans!E203)</f>
        <v/>
      </c>
      <c r="F1791" s="40" t="str">
        <f>IF(Agent09_Loans!B203="","",Agent09_Loans!F203)</f>
        <v/>
      </c>
      <c r="G1791" s="40" t="str">
        <f>IF(Agent09_Loans!B203="","",Agent09_Loans!G203)</f>
        <v/>
      </c>
      <c r="H1791" s="40" t="str">
        <f>IF(Agent09_Loans!B203="","",Agent09_Loans!H203)</f>
        <v/>
      </c>
      <c r="I1791" s="43" t="str">
        <f>IF(Agent09_Loans!B203="","",Agent09_Loans!I203)</f>
        <v/>
      </c>
      <c r="J1791" s="43" t="str">
        <f>IF(Agent09_Loans!B203="","",Agent09_Loans!J203)</f>
        <v/>
      </c>
      <c r="K1791" s="40" t="str">
        <f>IF(Agent09_Loans!B203="","",Agent09_Loans!K203)</f>
        <v/>
      </c>
      <c r="L1791" s="40" t="str">
        <f>IF(Agent09_Loans!B203="","",Agent09_Loans!L203)</f>
        <v/>
      </c>
      <c r="M1791" s="40" t="str">
        <f>IFERROR(IF(Agent09_Loans!B203="","",YEAR(Agent09_Loans!D203)),"")</f>
        <v/>
      </c>
    </row>
    <row r="1792" spans="1:13" ht="18" customHeight="1" x14ac:dyDescent="0.25">
      <c r="A1792" s="40" t="str">
        <f>IF(Agent09_Loans!B204="","",Agent09_Loans!A204)</f>
        <v/>
      </c>
      <c r="B1792" s="40" t="str">
        <f>IF(Agent09_Loans!B204="","",Agent09_Loans!B204)</f>
        <v/>
      </c>
      <c r="C1792" s="40" t="str">
        <f>IF(Agent09_Loans!B204="","",Agent09_Loans!C204)</f>
        <v/>
      </c>
      <c r="D1792" s="41" t="str">
        <f>IF(Agent09_Loans!B204="","",Agent09_Loans!D204)</f>
        <v/>
      </c>
      <c r="E1792" s="43" t="str">
        <f>IF(Agent09_Loans!B204="","",Agent09_Loans!E204)</f>
        <v/>
      </c>
      <c r="F1792" s="40" t="str">
        <f>IF(Agent09_Loans!B204="","",Agent09_Loans!F204)</f>
        <v/>
      </c>
      <c r="G1792" s="40" t="str">
        <f>IF(Agent09_Loans!B204="","",Agent09_Loans!G204)</f>
        <v/>
      </c>
      <c r="H1792" s="40" t="str">
        <f>IF(Agent09_Loans!B204="","",Agent09_Loans!H204)</f>
        <v/>
      </c>
      <c r="I1792" s="43" t="str">
        <f>IF(Agent09_Loans!B204="","",Agent09_Loans!I204)</f>
        <v/>
      </c>
      <c r="J1792" s="43" t="str">
        <f>IF(Agent09_Loans!B204="","",Agent09_Loans!J204)</f>
        <v/>
      </c>
      <c r="K1792" s="40" t="str">
        <f>IF(Agent09_Loans!B204="","",Agent09_Loans!K204)</f>
        <v/>
      </c>
      <c r="L1792" s="40" t="str">
        <f>IF(Agent09_Loans!B204="","",Agent09_Loans!L204)</f>
        <v/>
      </c>
      <c r="M1792" s="40" t="str">
        <f>IFERROR(IF(Agent09_Loans!B204="","",YEAR(Agent09_Loans!D204)),"")</f>
        <v/>
      </c>
    </row>
    <row r="1793" spans="1:13" ht="18" customHeight="1" x14ac:dyDescent="0.25">
      <c r="A1793" s="40" t="str">
        <f>IF(Agent09_Loans!B205="","",Agent09_Loans!A205)</f>
        <v/>
      </c>
      <c r="B1793" s="40" t="str">
        <f>IF(Agent09_Loans!B205="","",Agent09_Loans!B205)</f>
        <v/>
      </c>
      <c r="C1793" s="40" t="str">
        <f>IF(Agent09_Loans!B205="","",Agent09_Loans!C205)</f>
        <v/>
      </c>
      <c r="D1793" s="41" t="str">
        <f>IF(Agent09_Loans!B205="","",Agent09_Loans!D205)</f>
        <v/>
      </c>
      <c r="E1793" s="43" t="str">
        <f>IF(Agent09_Loans!B205="","",Agent09_Loans!E205)</f>
        <v/>
      </c>
      <c r="F1793" s="40" t="str">
        <f>IF(Agent09_Loans!B205="","",Agent09_Loans!F205)</f>
        <v/>
      </c>
      <c r="G1793" s="40" t="str">
        <f>IF(Agent09_Loans!B205="","",Agent09_Loans!G205)</f>
        <v/>
      </c>
      <c r="H1793" s="40" t="str">
        <f>IF(Agent09_Loans!B205="","",Agent09_Loans!H205)</f>
        <v/>
      </c>
      <c r="I1793" s="43" t="str">
        <f>IF(Agent09_Loans!B205="","",Agent09_Loans!I205)</f>
        <v/>
      </c>
      <c r="J1793" s="43" t="str">
        <f>IF(Agent09_Loans!B205="","",Agent09_Loans!J205)</f>
        <v/>
      </c>
      <c r="K1793" s="40" t="str">
        <f>IF(Agent09_Loans!B205="","",Agent09_Loans!K205)</f>
        <v/>
      </c>
      <c r="L1793" s="40" t="str">
        <f>IF(Agent09_Loans!B205="","",Agent09_Loans!L205)</f>
        <v/>
      </c>
      <c r="M1793" s="40" t="str">
        <f>IFERROR(IF(Agent09_Loans!B205="","",YEAR(Agent09_Loans!D205)),"")</f>
        <v/>
      </c>
    </row>
    <row r="1794" spans="1:13" ht="18" customHeight="1" x14ac:dyDescent="0.25">
      <c r="A1794" s="40" t="str">
        <f>IF(Agent09_Loans!B206="","",Agent09_Loans!A206)</f>
        <v/>
      </c>
      <c r="B1794" s="40" t="str">
        <f>IF(Agent09_Loans!B206="","",Agent09_Loans!B206)</f>
        <v/>
      </c>
      <c r="C1794" s="40" t="str">
        <f>IF(Agent09_Loans!B206="","",Agent09_Loans!C206)</f>
        <v/>
      </c>
      <c r="D1794" s="41" t="str">
        <f>IF(Agent09_Loans!B206="","",Agent09_Loans!D206)</f>
        <v/>
      </c>
      <c r="E1794" s="43" t="str">
        <f>IF(Agent09_Loans!B206="","",Agent09_Loans!E206)</f>
        <v/>
      </c>
      <c r="F1794" s="40" t="str">
        <f>IF(Agent09_Loans!B206="","",Agent09_Loans!F206)</f>
        <v/>
      </c>
      <c r="G1794" s="40" t="str">
        <f>IF(Agent09_Loans!B206="","",Agent09_Loans!G206)</f>
        <v/>
      </c>
      <c r="H1794" s="40" t="str">
        <f>IF(Agent09_Loans!B206="","",Agent09_Loans!H206)</f>
        <v/>
      </c>
      <c r="I1794" s="43" t="str">
        <f>IF(Agent09_Loans!B206="","",Agent09_Loans!I206)</f>
        <v/>
      </c>
      <c r="J1794" s="43" t="str">
        <f>IF(Agent09_Loans!B206="","",Agent09_Loans!J206)</f>
        <v/>
      </c>
      <c r="K1794" s="40" t="str">
        <f>IF(Agent09_Loans!B206="","",Agent09_Loans!K206)</f>
        <v/>
      </c>
      <c r="L1794" s="40" t="str">
        <f>IF(Agent09_Loans!B206="","",Agent09_Loans!L206)</f>
        <v/>
      </c>
      <c r="M1794" s="40" t="str">
        <f>IFERROR(IF(Agent09_Loans!B206="","",YEAR(Agent09_Loans!D206)),"")</f>
        <v/>
      </c>
    </row>
    <row r="1795" spans="1:13" ht="18" customHeight="1" x14ac:dyDescent="0.25">
      <c r="A1795" s="40" t="str">
        <f>IF(Agent09_Loans!B207="","",Agent09_Loans!A207)</f>
        <v/>
      </c>
      <c r="B1795" s="40" t="str">
        <f>IF(Agent09_Loans!B207="","",Agent09_Loans!B207)</f>
        <v/>
      </c>
      <c r="C1795" s="40" t="str">
        <f>IF(Agent09_Loans!B207="","",Agent09_Loans!C207)</f>
        <v/>
      </c>
      <c r="D1795" s="41" t="str">
        <f>IF(Agent09_Loans!B207="","",Agent09_Loans!D207)</f>
        <v/>
      </c>
      <c r="E1795" s="43" t="str">
        <f>IF(Agent09_Loans!B207="","",Agent09_Loans!E207)</f>
        <v/>
      </c>
      <c r="F1795" s="40" t="str">
        <f>IF(Agent09_Loans!B207="","",Agent09_Loans!F207)</f>
        <v/>
      </c>
      <c r="G1795" s="40" t="str">
        <f>IF(Agent09_Loans!B207="","",Agent09_Loans!G207)</f>
        <v/>
      </c>
      <c r="H1795" s="40" t="str">
        <f>IF(Agent09_Loans!B207="","",Agent09_Loans!H207)</f>
        <v/>
      </c>
      <c r="I1795" s="43" t="str">
        <f>IF(Agent09_Loans!B207="","",Agent09_Loans!I207)</f>
        <v/>
      </c>
      <c r="J1795" s="43" t="str">
        <f>IF(Agent09_Loans!B207="","",Agent09_Loans!J207)</f>
        <v/>
      </c>
      <c r="K1795" s="40" t="str">
        <f>IF(Agent09_Loans!B207="","",Agent09_Loans!K207)</f>
        <v/>
      </c>
      <c r="L1795" s="40" t="str">
        <f>IF(Agent09_Loans!B207="","",Agent09_Loans!L207)</f>
        <v/>
      </c>
      <c r="M1795" s="40" t="str">
        <f>IFERROR(IF(Agent09_Loans!B207="","",YEAR(Agent09_Loans!D207)),"")</f>
        <v/>
      </c>
    </row>
    <row r="1796" spans="1:13" ht="18" customHeight="1" x14ac:dyDescent="0.25">
      <c r="A1796" s="40" t="str">
        <f>IF(Agent09_Loans!B208="","",Agent09_Loans!A208)</f>
        <v/>
      </c>
      <c r="B1796" s="40" t="str">
        <f>IF(Agent09_Loans!B208="","",Agent09_Loans!B208)</f>
        <v/>
      </c>
      <c r="C1796" s="40" t="str">
        <f>IF(Agent09_Loans!B208="","",Agent09_Loans!C208)</f>
        <v/>
      </c>
      <c r="D1796" s="41" t="str">
        <f>IF(Agent09_Loans!B208="","",Agent09_Loans!D208)</f>
        <v/>
      </c>
      <c r="E1796" s="43" t="str">
        <f>IF(Agent09_Loans!B208="","",Agent09_Loans!E208)</f>
        <v/>
      </c>
      <c r="F1796" s="40" t="str">
        <f>IF(Agent09_Loans!B208="","",Agent09_Loans!F208)</f>
        <v/>
      </c>
      <c r="G1796" s="40" t="str">
        <f>IF(Agent09_Loans!B208="","",Agent09_Loans!G208)</f>
        <v/>
      </c>
      <c r="H1796" s="40" t="str">
        <f>IF(Agent09_Loans!B208="","",Agent09_Loans!H208)</f>
        <v/>
      </c>
      <c r="I1796" s="43" t="str">
        <f>IF(Agent09_Loans!B208="","",Agent09_Loans!I208)</f>
        <v/>
      </c>
      <c r="J1796" s="43" t="str">
        <f>IF(Agent09_Loans!B208="","",Agent09_Loans!J208)</f>
        <v/>
      </c>
      <c r="K1796" s="40" t="str">
        <f>IF(Agent09_Loans!B208="","",Agent09_Loans!K208)</f>
        <v/>
      </c>
      <c r="L1796" s="40" t="str">
        <f>IF(Agent09_Loans!B208="","",Agent09_Loans!L208)</f>
        <v/>
      </c>
      <c r="M1796" s="40" t="str">
        <f>IFERROR(IF(Agent09_Loans!B208="","",YEAR(Agent09_Loans!D208)),"")</f>
        <v/>
      </c>
    </row>
    <row r="1797" spans="1:13" ht="18" customHeight="1" x14ac:dyDescent="0.25">
      <c r="A1797" s="40" t="str">
        <f>IF(Agent09_Loans!B209="","",Agent09_Loans!A209)</f>
        <v/>
      </c>
      <c r="B1797" s="40" t="str">
        <f>IF(Agent09_Loans!B209="","",Agent09_Loans!B209)</f>
        <v/>
      </c>
      <c r="C1797" s="40" t="str">
        <f>IF(Agent09_Loans!B209="","",Agent09_Loans!C209)</f>
        <v/>
      </c>
      <c r="D1797" s="41" t="str">
        <f>IF(Agent09_Loans!B209="","",Agent09_Loans!D209)</f>
        <v/>
      </c>
      <c r="E1797" s="43" t="str">
        <f>IF(Agent09_Loans!B209="","",Agent09_Loans!E209)</f>
        <v/>
      </c>
      <c r="F1797" s="40" t="str">
        <f>IF(Agent09_Loans!B209="","",Agent09_Loans!F209)</f>
        <v/>
      </c>
      <c r="G1797" s="40" t="str">
        <f>IF(Agent09_Loans!B209="","",Agent09_Loans!G209)</f>
        <v/>
      </c>
      <c r="H1797" s="40" t="str">
        <f>IF(Agent09_Loans!B209="","",Agent09_Loans!H209)</f>
        <v/>
      </c>
      <c r="I1797" s="43" t="str">
        <f>IF(Agent09_Loans!B209="","",Agent09_Loans!I209)</f>
        <v/>
      </c>
      <c r="J1797" s="43" t="str">
        <f>IF(Agent09_Loans!B209="","",Agent09_Loans!J209)</f>
        <v/>
      </c>
      <c r="K1797" s="40" t="str">
        <f>IF(Agent09_Loans!B209="","",Agent09_Loans!K209)</f>
        <v/>
      </c>
      <c r="L1797" s="40" t="str">
        <f>IF(Agent09_Loans!B209="","",Agent09_Loans!L209)</f>
        <v/>
      </c>
      <c r="M1797" s="40" t="str">
        <f>IFERROR(IF(Agent09_Loans!B209="","",YEAR(Agent09_Loans!D209)),"")</f>
        <v/>
      </c>
    </row>
    <row r="1798" spans="1:13" ht="18" customHeight="1" x14ac:dyDescent="0.25">
      <c r="A1798" s="40" t="str">
        <f>IF(Agent09_Loans!B210="","",Agent09_Loans!A210)</f>
        <v/>
      </c>
      <c r="B1798" s="40" t="str">
        <f>IF(Agent09_Loans!B210="","",Agent09_Loans!B210)</f>
        <v/>
      </c>
      <c r="C1798" s="40" t="str">
        <f>IF(Agent09_Loans!B210="","",Agent09_Loans!C210)</f>
        <v/>
      </c>
      <c r="D1798" s="41" t="str">
        <f>IF(Agent09_Loans!B210="","",Agent09_Loans!D210)</f>
        <v/>
      </c>
      <c r="E1798" s="43" t="str">
        <f>IF(Agent09_Loans!B210="","",Agent09_Loans!E210)</f>
        <v/>
      </c>
      <c r="F1798" s="40" t="str">
        <f>IF(Agent09_Loans!B210="","",Agent09_Loans!F210)</f>
        <v/>
      </c>
      <c r="G1798" s="40" t="str">
        <f>IF(Agent09_Loans!B210="","",Agent09_Loans!G210)</f>
        <v/>
      </c>
      <c r="H1798" s="40" t="str">
        <f>IF(Agent09_Loans!B210="","",Agent09_Loans!H210)</f>
        <v/>
      </c>
      <c r="I1798" s="43" t="str">
        <f>IF(Agent09_Loans!B210="","",Agent09_Loans!I210)</f>
        <v/>
      </c>
      <c r="J1798" s="43" t="str">
        <f>IF(Agent09_Loans!B210="","",Agent09_Loans!J210)</f>
        <v/>
      </c>
      <c r="K1798" s="40" t="str">
        <f>IF(Agent09_Loans!B210="","",Agent09_Loans!K210)</f>
        <v/>
      </c>
      <c r="L1798" s="40" t="str">
        <f>IF(Agent09_Loans!B210="","",Agent09_Loans!L210)</f>
        <v/>
      </c>
      <c r="M1798" s="40" t="str">
        <f>IFERROR(IF(Agent09_Loans!B210="","",YEAR(Agent09_Loans!D210)),"")</f>
        <v/>
      </c>
    </row>
    <row r="1799" spans="1:13" ht="18" customHeight="1" x14ac:dyDescent="0.25">
      <c r="A1799" s="40" t="str">
        <f>IF(Agent09_Loans!B211="","",Agent09_Loans!A211)</f>
        <v/>
      </c>
      <c r="B1799" s="40" t="str">
        <f>IF(Agent09_Loans!B211="","",Agent09_Loans!B211)</f>
        <v/>
      </c>
      <c r="C1799" s="40" t="str">
        <f>IF(Agent09_Loans!B211="","",Agent09_Loans!C211)</f>
        <v/>
      </c>
      <c r="D1799" s="41" t="str">
        <f>IF(Agent09_Loans!B211="","",Agent09_Loans!D211)</f>
        <v/>
      </c>
      <c r="E1799" s="43" t="str">
        <f>IF(Agent09_Loans!B211="","",Agent09_Loans!E211)</f>
        <v/>
      </c>
      <c r="F1799" s="40" t="str">
        <f>IF(Agent09_Loans!B211="","",Agent09_Loans!F211)</f>
        <v/>
      </c>
      <c r="G1799" s="40" t="str">
        <f>IF(Agent09_Loans!B211="","",Agent09_Loans!G211)</f>
        <v/>
      </c>
      <c r="H1799" s="40" t="str">
        <f>IF(Agent09_Loans!B211="","",Agent09_Loans!H211)</f>
        <v/>
      </c>
      <c r="I1799" s="43" t="str">
        <f>IF(Agent09_Loans!B211="","",Agent09_Loans!I211)</f>
        <v/>
      </c>
      <c r="J1799" s="43" t="str">
        <f>IF(Agent09_Loans!B211="","",Agent09_Loans!J211)</f>
        <v/>
      </c>
      <c r="K1799" s="40" t="str">
        <f>IF(Agent09_Loans!B211="","",Agent09_Loans!K211)</f>
        <v/>
      </c>
      <c r="L1799" s="40" t="str">
        <f>IF(Agent09_Loans!B211="","",Agent09_Loans!L211)</f>
        <v/>
      </c>
      <c r="M1799" s="40" t="str">
        <f>IFERROR(IF(Agent09_Loans!B211="","",YEAR(Agent09_Loans!D211)),"")</f>
        <v/>
      </c>
    </row>
    <row r="1800" spans="1:13" ht="18" customHeight="1" x14ac:dyDescent="0.25">
      <c r="A1800" s="40" t="str">
        <f>IF(Agent09_Loans!B212="","",Agent09_Loans!A212)</f>
        <v/>
      </c>
      <c r="B1800" s="40" t="str">
        <f>IF(Agent09_Loans!B212="","",Agent09_Loans!B212)</f>
        <v/>
      </c>
      <c r="C1800" s="40" t="str">
        <f>IF(Agent09_Loans!B212="","",Agent09_Loans!C212)</f>
        <v/>
      </c>
      <c r="D1800" s="41" t="str">
        <f>IF(Agent09_Loans!B212="","",Agent09_Loans!D212)</f>
        <v/>
      </c>
      <c r="E1800" s="43" t="str">
        <f>IF(Agent09_Loans!B212="","",Agent09_Loans!E212)</f>
        <v/>
      </c>
      <c r="F1800" s="40" t="str">
        <f>IF(Agent09_Loans!B212="","",Agent09_Loans!F212)</f>
        <v/>
      </c>
      <c r="G1800" s="40" t="str">
        <f>IF(Agent09_Loans!B212="","",Agent09_Loans!G212)</f>
        <v/>
      </c>
      <c r="H1800" s="40" t="str">
        <f>IF(Agent09_Loans!B212="","",Agent09_Loans!H212)</f>
        <v/>
      </c>
      <c r="I1800" s="43" t="str">
        <f>IF(Agent09_Loans!B212="","",Agent09_Loans!I212)</f>
        <v/>
      </c>
      <c r="J1800" s="43" t="str">
        <f>IF(Agent09_Loans!B212="","",Agent09_Loans!J212)</f>
        <v/>
      </c>
      <c r="K1800" s="40" t="str">
        <f>IF(Agent09_Loans!B212="","",Agent09_Loans!K212)</f>
        <v/>
      </c>
      <c r="L1800" s="40" t="str">
        <f>IF(Agent09_Loans!B212="","",Agent09_Loans!L212)</f>
        <v/>
      </c>
      <c r="M1800" s="40" t="str">
        <f>IFERROR(IF(Agent09_Loans!B212="","",YEAR(Agent09_Loans!D212)),"")</f>
        <v/>
      </c>
    </row>
    <row r="1801" spans="1:13" ht="18" customHeight="1" x14ac:dyDescent="0.25">
      <c r="A1801" s="40" t="str">
        <f>IF(Agent09_Loans!B213="","",Agent09_Loans!A213)</f>
        <v/>
      </c>
      <c r="B1801" s="40" t="str">
        <f>IF(Agent09_Loans!B213="","",Agent09_Loans!B213)</f>
        <v/>
      </c>
      <c r="C1801" s="40" t="str">
        <f>IF(Agent09_Loans!B213="","",Agent09_Loans!C213)</f>
        <v/>
      </c>
      <c r="D1801" s="41" t="str">
        <f>IF(Agent09_Loans!B213="","",Agent09_Loans!D213)</f>
        <v/>
      </c>
      <c r="E1801" s="43" t="str">
        <f>IF(Agent09_Loans!B213="","",Agent09_Loans!E213)</f>
        <v/>
      </c>
      <c r="F1801" s="40" t="str">
        <f>IF(Agent09_Loans!B213="","",Agent09_Loans!F213)</f>
        <v/>
      </c>
      <c r="G1801" s="40" t="str">
        <f>IF(Agent09_Loans!B213="","",Agent09_Loans!G213)</f>
        <v/>
      </c>
      <c r="H1801" s="40" t="str">
        <f>IF(Agent09_Loans!B213="","",Agent09_Loans!H213)</f>
        <v/>
      </c>
      <c r="I1801" s="43" t="str">
        <f>IF(Agent09_Loans!B213="","",Agent09_Loans!I213)</f>
        <v/>
      </c>
      <c r="J1801" s="43" t="str">
        <f>IF(Agent09_Loans!B213="","",Agent09_Loans!J213)</f>
        <v/>
      </c>
      <c r="K1801" s="40" t="str">
        <f>IF(Agent09_Loans!B213="","",Agent09_Loans!K213)</f>
        <v/>
      </c>
      <c r="L1801" s="40" t="str">
        <f>IF(Agent09_Loans!B213="","",Agent09_Loans!L213)</f>
        <v/>
      </c>
      <c r="M1801" s="40" t="str">
        <f>IFERROR(IF(Agent09_Loans!B213="","",YEAR(Agent09_Loans!D213)),"")</f>
        <v/>
      </c>
    </row>
    <row r="1802" spans="1:13" ht="18" customHeight="1" x14ac:dyDescent="0.25">
      <c r="A1802" s="40" t="str">
        <f>IF(Agent09_Loans!B214="","",Agent09_Loans!A214)</f>
        <v/>
      </c>
      <c r="B1802" s="40" t="str">
        <f>IF(Agent09_Loans!B214="","",Agent09_Loans!B214)</f>
        <v/>
      </c>
      <c r="C1802" s="40" t="str">
        <f>IF(Agent09_Loans!B214="","",Agent09_Loans!C214)</f>
        <v/>
      </c>
      <c r="D1802" s="41" t="str">
        <f>IF(Agent09_Loans!B214="","",Agent09_Loans!D214)</f>
        <v/>
      </c>
      <c r="E1802" s="43" t="str">
        <f>IF(Agent09_Loans!B214="","",Agent09_Loans!E214)</f>
        <v/>
      </c>
      <c r="F1802" s="40" t="str">
        <f>IF(Agent09_Loans!B214="","",Agent09_Loans!F214)</f>
        <v/>
      </c>
      <c r="G1802" s="40" t="str">
        <f>IF(Agent09_Loans!B214="","",Agent09_Loans!G214)</f>
        <v/>
      </c>
      <c r="H1802" s="40" t="str">
        <f>IF(Agent09_Loans!B214="","",Agent09_Loans!H214)</f>
        <v/>
      </c>
      <c r="I1802" s="43" t="str">
        <f>IF(Agent09_Loans!B214="","",Agent09_Loans!I214)</f>
        <v/>
      </c>
      <c r="J1802" s="43" t="str">
        <f>IF(Agent09_Loans!B214="","",Agent09_Loans!J214)</f>
        <v/>
      </c>
      <c r="K1802" s="40" t="str">
        <f>IF(Agent09_Loans!B214="","",Agent09_Loans!K214)</f>
        <v/>
      </c>
      <c r="L1802" s="40" t="str">
        <f>IF(Agent09_Loans!B214="","",Agent09_Loans!L214)</f>
        <v/>
      </c>
      <c r="M1802" s="40" t="str">
        <f>IFERROR(IF(Agent09_Loans!B214="","",YEAR(Agent09_Loans!D214)),"")</f>
        <v/>
      </c>
    </row>
    <row r="1803" spans="1:13" ht="18" customHeight="1" x14ac:dyDescent="0.25">
      <c r="A1803" s="40" t="str">
        <f>IF(Agent09_Loans!B215="","",Agent09_Loans!A215)</f>
        <v/>
      </c>
      <c r="B1803" s="40" t="str">
        <f>IF(Agent09_Loans!B215="","",Agent09_Loans!B215)</f>
        <v/>
      </c>
      <c r="C1803" s="40" t="str">
        <f>IF(Agent09_Loans!B215="","",Agent09_Loans!C215)</f>
        <v/>
      </c>
      <c r="D1803" s="41" t="str">
        <f>IF(Agent09_Loans!B215="","",Agent09_Loans!D215)</f>
        <v/>
      </c>
      <c r="E1803" s="43" t="str">
        <f>IF(Agent09_Loans!B215="","",Agent09_Loans!E215)</f>
        <v/>
      </c>
      <c r="F1803" s="40" t="str">
        <f>IF(Agent09_Loans!B215="","",Agent09_Loans!F215)</f>
        <v/>
      </c>
      <c r="G1803" s="40" t="str">
        <f>IF(Agent09_Loans!B215="","",Agent09_Loans!G215)</f>
        <v/>
      </c>
      <c r="H1803" s="40" t="str">
        <f>IF(Agent09_Loans!B215="","",Agent09_Loans!H215)</f>
        <v/>
      </c>
      <c r="I1803" s="43" t="str">
        <f>IF(Agent09_Loans!B215="","",Agent09_Loans!I215)</f>
        <v/>
      </c>
      <c r="J1803" s="43" t="str">
        <f>IF(Agent09_Loans!B215="","",Agent09_Loans!J215)</f>
        <v/>
      </c>
      <c r="K1803" s="40" t="str">
        <f>IF(Agent09_Loans!B215="","",Agent09_Loans!K215)</f>
        <v/>
      </c>
      <c r="L1803" s="40" t="str">
        <f>IF(Agent09_Loans!B215="","",Agent09_Loans!L215)</f>
        <v/>
      </c>
      <c r="M1803" s="40" t="str">
        <f>IFERROR(IF(Agent09_Loans!B215="","",YEAR(Agent09_Loans!D215)),"")</f>
        <v/>
      </c>
    </row>
    <row r="1804" spans="1:13" ht="18" customHeight="1" x14ac:dyDescent="0.25">
      <c r="A1804" s="40" t="str">
        <f>IF(Agent10_Loans!B16="","",Agent10_Loans!A16)</f>
        <v/>
      </c>
      <c r="B1804" s="40" t="str">
        <f>IF(Agent10_Loans!B16="","",Agent10_Loans!B16)</f>
        <v/>
      </c>
      <c r="C1804" s="40" t="str">
        <f>IF(Agent10_Loans!B16="","",Agent10_Loans!C16)</f>
        <v/>
      </c>
      <c r="D1804" s="41" t="str">
        <f>IF(Agent10_Loans!B16="","",Agent10_Loans!D16)</f>
        <v/>
      </c>
      <c r="E1804" s="43" t="str">
        <f>IF(Agent10_Loans!B16="","",Agent10_Loans!E16)</f>
        <v/>
      </c>
      <c r="F1804" s="40" t="str">
        <f>IF(Agent10_Loans!B16="","",Agent10_Loans!F16)</f>
        <v/>
      </c>
      <c r="G1804" s="40" t="str">
        <f>IF(Agent10_Loans!B16="","",Agent10_Loans!G16)</f>
        <v/>
      </c>
      <c r="H1804" s="40" t="str">
        <f>IF(Agent10_Loans!B16="","",Agent10_Loans!H16)</f>
        <v/>
      </c>
      <c r="I1804" s="43" t="str">
        <f>IF(Agent10_Loans!B16="","",Agent10_Loans!I16)</f>
        <v/>
      </c>
      <c r="J1804" s="43" t="str">
        <f>IF(Agent10_Loans!B16="","",Agent10_Loans!J16)</f>
        <v/>
      </c>
      <c r="K1804" s="40" t="str">
        <f>IF(Agent10_Loans!B16="","",Agent10_Loans!K16)</f>
        <v/>
      </c>
      <c r="L1804" s="40" t="str">
        <f>IF(Agent10_Loans!B16="","",Agent10_Loans!L16)</f>
        <v/>
      </c>
      <c r="M1804" s="40" t="str">
        <f>IFERROR(IF(Agent10_Loans!B16="","",YEAR(Agent10_Loans!D16)),"")</f>
        <v/>
      </c>
    </row>
    <row r="1805" spans="1:13" ht="18" customHeight="1" x14ac:dyDescent="0.25">
      <c r="A1805" s="40" t="str">
        <f>IF(Agent10_Loans!B17="","",Agent10_Loans!A17)</f>
        <v/>
      </c>
      <c r="B1805" s="40" t="str">
        <f>IF(Agent10_Loans!B17="","",Agent10_Loans!B17)</f>
        <v/>
      </c>
      <c r="C1805" s="40" t="str">
        <f>IF(Agent10_Loans!B17="","",Agent10_Loans!C17)</f>
        <v/>
      </c>
      <c r="D1805" s="41" t="str">
        <f>IF(Agent10_Loans!B17="","",Agent10_Loans!D17)</f>
        <v/>
      </c>
      <c r="E1805" s="43" t="str">
        <f>IF(Agent10_Loans!B17="","",Agent10_Loans!E17)</f>
        <v/>
      </c>
      <c r="F1805" s="40" t="str">
        <f>IF(Agent10_Loans!B17="","",Agent10_Loans!F17)</f>
        <v/>
      </c>
      <c r="G1805" s="40" t="str">
        <f>IF(Agent10_Loans!B17="","",Agent10_Loans!G17)</f>
        <v/>
      </c>
      <c r="H1805" s="40" t="str">
        <f>IF(Agent10_Loans!B17="","",Agent10_Loans!H17)</f>
        <v/>
      </c>
      <c r="I1805" s="43" t="str">
        <f>IF(Agent10_Loans!B17="","",Agent10_Loans!I17)</f>
        <v/>
      </c>
      <c r="J1805" s="43" t="str">
        <f>IF(Agent10_Loans!B17="","",Agent10_Loans!J17)</f>
        <v/>
      </c>
      <c r="K1805" s="40" t="str">
        <f>IF(Agent10_Loans!B17="","",Agent10_Loans!K17)</f>
        <v/>
      </c>
      <c r="L1805" s="40" t="str">
        <f>IF(Agent10_Loans!B17="","",Agent10_Loans!L17)</f>
        <v/>
      </c>
      <c r="M1805" s="40" t="str">
        <f>IFERROR(IF(Agent10_Loans!B17="","",YEAR(Agent10_Loans!D17)),"")</f>
        <v/>
      </c>
    </row>
    <row r="1806" spans="1:13" ht="18" customHeight="1" x14ac:dyDescent="0.25">
      <c r="A1806" s="40" t="str">
        <f>IF(Agent10_Loans!B18="","",Agent10_Loans!A18)</f>
        <v/>
      </c>
      <c r="B1806" s="40" t="str">
        <f>IF(Agent10_Loans!B18="","",Agent10_Loans!B18)</f>
        <v/>
      </c>
      <c r="C1806" s="40" t="str">
        <f>IF(Agent10_Loans!B18="","",Agent10_Loans!C18)</f>
        <v/>
      </c>
      <c r="D1806" s="41" t="str">
        <f>IF(Agent10_Loans!B18="","",Agent10_Loans!D18)</f>
        <v/>
      </c>
      <c r="E1806" s="43" t="str">
        <f>IF(Agent10_Loans!B18="","",Agent10_Loans!E18)</f>
        <v/>
      </c>
      <c r="F1806" s="40" t="str">
        <f>IF(Agent10_Loans!B18="","",Agent10_Loans!F18)</f>
        <v/>
      </c>
      <c r="G1806" s="40" t="str">
        <f>IF(Agent10_Loans!B18="","",Agent10_Loans!G18)</f>
        <v/>
      </c>
      <c r="H1806" s="40" t="str">
        <f>IF(Agent10_Loans!B18="","",Agent10_Loans!H18)</f>
        <v/>
      </c>
      <c r="I1806" s="43" t="str">
        <f>IF(Agent10_Loans!B18="","",Agent10_Loans!I18)</f>
        <v/>
      </c>
      <c r="J1806" s="43" t="str">
        <f>IF(Agent10_Loans!B18="","",Agent10_Loans!J18)</f>
        <v/>
      </c>
      <c r="K1806" s="40" t="str">
        <f>IF(Agent10_Loans!B18="","",Agent10_Loans!K18)</f>
        <v/>
      </c>
      <c r="L1806" s="40" t="str">
        <f>IF(Agent10_Loans!B18="","",Agent10_Loans!L18)</f>
        <v/>
      </c>
      <c r="M1806" s="40" t="str">
        <f>IFERROR(IF(Agent10_Loans!B18="","",YEAR(Agent10_Loans!D18)),"")</f>
        <v/>
      </c>
    </row>
    <row r="1807" spans="1:13" ht="18" customHeight="1" x14ac:dyDescent="0.25">
      <c r="A1807" s="40" t="str">
        <f>IF(Agent10_Loans!B19="","",Agent10_Loans!A19)</f>
        <v/>
      </c>
      <c r="B1807" s="40" t="str">
        <f>IF(Agent10_Loans!B19="","",Agent10_Loans!B19)</f>
        <v/>
      </c>
      <c r="C1807" s="40" t="str">
        <f>IF(Agent10_Loans!B19="","",Agent10_Loans!C19)</f>
        <v/>
      </c>
      <c r="D1807" s="41" t="str">
        <f>IF(Agent10_Loans!B19="","",Agent10_Loans!D19)</f>
        <v/>
      </c>
      <c r="E1807" s="43" t="str">
        <f>IF(Agent10_Loans!B19="","",Agent10_Loans!E19)</f>
        <v/>
      </c>
      <c r="F1807" s="40" t="str">
        <f>IF(Agent10_Loans!B19="","",Agent10_Loans!F19)</f>
        <v/>
      </c>
      <c r="G1807" s="40" t="str">
        <f>IF(Agent10_Loans!B19="","",Agent10_Loans!G19)</f>
        <v/>
      </c>
      <c r="H1807" s="40" t="str">
        <f>IF(Agent10_Loans!B19="","",Agent10_Loans!H19)</f>
        <v/>
      </c>
      <c r="I1807" s="43" t="str">
        <f>IF(Agent10_Loans!B19="","",Agent10_Loans!I19)</f>
        <v/>
      </c>
      <c r="J1807" s="43" t="str">
        <f>IF(Agent10_Loans!B19="","",Agent10_Loans!J19)</f>
        <v/>
      </c>
      <c r="K1807" s="40" t="str">
        <f>IF(Agent10_Loans!B19="","",Agent10_Loans!K19)</f>
        <v/>
      </c>
      <c r="L1807" s="40" t="str">
        <f>IF(Agent10_Loans!B19="","",Agent10_Loans!L19)</f>
        <v/>
      </c>
      <c r="M1807" s="40" t="str">
        <f>IFERROR(IF(Agent10_Loans!B19="","",YEAR(Agent10_Loans!D19)),"")</f>
        <v/>
      </c>
    </row>
    <row r="1808" spans="1:13" ht="18" customHeight="1" x14ac:dyDescent="0.25">
      <c r="A1808" s="40" t="str">
        <f>IF(Agent10_Loans!B20="","",Agent10_Loans!A20)</f>
        <v/>
      </c>
      <c r="B1808" s="40" t="str">
        <f>IF(Agent10_Loans!B20="","",Agent10_Loans!B20)</f>
        <v/>
      </c>
      <c r="C1808" s="40" t="str">
        <f>IF(Agent10_Loans!B20="","",Agent10_Loans!C20)</f>
        <v/>
      </c>
      <c r="D1808" s="41" t="str">
        <f>IF(Agent10_Loans!B20="","",Agent10_Loans!D20)</f>
        <v/>
      </c>
      <c r="E1808" s="43" t="str">
        <f>IF(Agent10_Loans!B20="","",Agent10_Loans!E20)</f>
        <v/>
      </c>
      <c r="F1808" s="40" t="str">
        <f>IF(Agent10_Loans!B20="","",Agent10_Loans!F20)</f>
        <v/>
      </c>
      <c r="G1808" s="40" t="str">
        <f>IF(Agent10_Loans!B20="","",Agent10_Loans!G20)</f>
        <v/>
      </c>
      <c r="H1808" s="40" t="str">
        <f>IF(Agent10_Loans!B20="","",Agent10_Loans!H20)</f>
        <v/>
      </c>
      <c r="I1808" s="43" t="str">
        <f>IF(Agent10_Loans!B20="","",Agent10_Loans!I20)</f>
        <v/>
      </c>
      <c r="J1808" s="43" t="str">
        <f>IF(Agent10_Loans!B20="","",Agent10_Loans!J20)</f>
        <v/>
      </c>
      <c r="K1808" s="40" t="str">
        <f>IF(Agent10_Loans!B20="","",Agent10_Loans!K20)</f>
        <v/>
      </c>
      <c r="L1808" s="40" t="str">
        <f>IF(Agent10_Loans!B20="","",Agent10_Loans!L20)</f>
        <v/>
      </c>
      <c r="M1808" s="40" t="str">
        <f>IFERROR(IF(Agent10_Loans!B20="","",YEAR(Agent10_Loans!D20)),"")</f>
        <v/>
      </c>
    </row>
    <row r="1809" spans="1:13" ht="18" customHeight="1" x14ac:dyDescent="0.25">
      <c r="A1809" s="40" t="str">
        <f>IF(Agent10_Loans!B21="","",Agent10_Loans!A21)</f>
        <v/>
      </c>
      <c r="B1809" s="40" t="str">
        <f>IF(Agent10_Loans!B21="","",Agent10_Loans!B21)</f>
        <v/>
      </c>
      <c r="C1809" s="40" t="str">
        <f>IF(Agent10_Loans!B21="","",Agent10_Loans!C21)</f>
        <v/>
      </c>
      <c r="D1809" s="41" t="str">
        <f>IF(Agent10_Loans!B21="","",Agent10_Loans!D21)</f>
        <v/>
      </c>
      <c r="E1809" s="43" t="str">
        <f>IF(Agent10_Loans!B21="","",Agent10_Loans!E21)</f>
        <v/>
      </c>
      <c r="F1809" s="40" t="str">
        <f>IF(Agent10_Loans!B21="","",Agent10_Loans!F21)</f>
        <v/>
      </c>
      <c r="G1809" s="40" t="str">
        <f>IF(Agent10_Loans!B21="","",Agent10_Loans!G21)</f>
        <v/>
      </c>
      <c r="H1809" s="40" t="str">
        <f>IF(Agent10_Loans!B21="","",Agent10_Loans!H21)</f>
        <v/>
      </c>
      <c r="I1809" s="43" t="str">
        <f>IF(Agent10_Loans!B21="","",Agent10_Loans!I21)</f>
        <v/>
      </c>
      <c r="J1809" s="43" t="str">
        <f>IF(Agent10_Loans!B21="","",Agent10_Loans!J21)</f>
        <v/>
      </c>
      <c r="K1809" s="40" t="str">
        <f>IF(Agent10_Loans!B21="","",Agent10_Loans!K21)</f>
        <v/>
      </c>
      <c r="L1809" s="40" t="str">
        <f>IF(Agent10_Loans!B21="","",Agent10_Loans!L21)</f>
        <v/>
      </c>
      <c r="M1809" s="40" t="str">
        <f>IFERROR(IF(Agent10_Loans!B21="","",YEAR(Agent10_Loans!D21)),"")</f>
        <v/>
      </c>
    </row>
    <row r="1810" spans="1:13" ht="18" customHeight="1" x14ac:dyDescent="0.25">
      <c r="A1810" s="40" t="str">
        <f>IF(Agent10_Loans!B22="","",Agent10_Loans!A22)</f>
        <v/>
      </c>
      <c r="B1810" s="40" t="str">
        <f>IF(Agent10_Loans!B22="","",Agent10_Loans!B22)</f>
        <v/>
      </c>
      <c r="C1810" s="40" t="str">
        <f>IF(Agent10_Loans!B22="","",Agent10_Loans!C22)</f>
        <v/>
      </c>
      <c r="D1810" s="41" t="str">
        <f>IF(Agent10_Loans!B22="","",Agent10_Loans!D22)</f>
        <v/>
      </c>
      <c r="E1810" s="43" t="str">
        <f>IF(Agent10_Loans!B22="","",Agent10_Loans!E22)</f>
        <v/>
      </c>
      <c r="F1810" s="40" t="str">
        <f>IF(Agent10_Loans!B22="","",Agent10_Loans!F22)</f>
        <v/>
      </c>
      <c r="G1810" s="40" t="str">
        <f>IF(Agent10_Loans!B22="","",Agent10_Loans!G22)</f>
        <v/>
      </c>
      <c r="H1810" s="40" t="str">
        <f>IF(Agent10_Loans!B22="","",Agent10_Loans!H22)</f>
        <v/>
      </c>
      <c r="I1810" s="43" t="str">
        <f>IF(Agent10_Loans!B22="","",Agent10_Loans!I22)</f>
        <v/>
      </c>
      <c r="J1810" s="43" t="str">
        <f>IF(Agent10_Loans!B22="","",Agent10_Loans!J22)</f>
        <v/>
      </c>
      <c r="K1810" s="40" t="str">
        <f>IF(Agent10_Loans!B22="","",Agent10_Loans!K22)</f>
        <v/>
      </c>
      <c r="L1810" s="40" t="str">
        <f>IF(Agent10_Loans!B22="","",Agent10_Loans!L22)</f>
        <v/>
      </c>
      <c r="M1810" s="40" t="str">
        <f>IFERROR(IF(Agent10_Loans!B22="","",YEAR(Agent10_Loans!D22)),"")</f>
        <v/>
      </c>
    </row>
    <row r="1811" spans="1:13" ht="18" customHeight="1" x14ac:dyDescent="0.25">
      <c r="A1811" s="40" t="str">
        <f>IF(Agent10_Loans!B23="","",Agent10_Loans!A23)</f>
        <v/>
      </c>
      <c r="B1811" s="40" t="str">
        <f>IF(Agent10_Loans!B23="","",Agent10_Loans!B23)</f>
        <v/>
      </c>
      <c r="C1811" s="40" t="str">
        <f>IF(Agent10_Loans!B23="","",Agent10_Loans!C23)</f>
        <v/>
      </c>
      <c r="D1811" s="41" t="str">
        <f>IF(Agent10_Loans!B23="","",Agent10_Loans!D23)</f>
        <v/>
      </c>
      <c r="E1811" s="43" t="str">
        <f>IF(Agent10_Loans!B23="","",Agent10_Loans!E23)</f>
        <v/>
      </c>
      <c r="F1811" s="40" t="str">
        <f>IF(Agent10_Loans!B23="","",Agent10_Loans!F23)</f>
        <v/>
      </c>
      <c r="G1811" s="40" t="str">
        <f>IF(Agent10_Loans!B23="","",Agent10_Loans!G23)</f>
        <v/>
      </c>
      <c r="H1811" s="40" t="str">
        <f>IF(Agent10_Loans!B23="","",Agent10_Loans!H23)</f>
        <v/>
      </c>
      <c r="I1811" s="43" t="str">
        <f>IF(Agent10_Loans!B23="","",Agent10_Loans!I23)</f>
        <v/>
      </c>
      <c r="J1811" s="43" t="str">
        <f>IF(Agent10_Loans!B23="","",Agent10_Loans!J23)</f>
        <v/>
      </c>
      <c r="K1811" s="40" t="str">
        <f>IF(Agent10_Loans!B23="","",Agent10_Loans!K23)</f>
        <v/>
      </c>
      <c r="L1811" s="40" t="str">
        <f>IF(Agent10_Loans!B23="","",Agent10_Loans!L23)</f>
        <v/>
      </c>
      <c r="M1811" s="40" t="str">
        <f>IFERROR(IF(Agent10_Loans!B23="","",YEAR(Agent10_Loans!D23)),"")</f>
        <v/>
      </c>
    </row>
    <row r="1812" spans="1:13" ht="18" customHeight="1" x14ac:dyDescent="0.25">
      <c r="A1812" s="40" t="str">
        <f>IF(Agent10_Loans!B24="","",Agent10_Loans!A24)</f>
        <v/>
      </c>
      <c r="B1812" s="40" t="str">
        <f>IF(Agent10_Loans!B24="","",Agent10_Loans!B24)</f>
        <v/>
      </c>
      <c r="C1812" s="40" t="str">
        <f>IF(Agent10_Loans!B24="","",Agent10_Loans!C24)</f>
        <v/>
      </c>
      <c r="D1812" s="41" t="str">
        <f>IF(Agent10_Loans!B24="","",Agent10_Loans!D24)</f>
        <v/>
      </c>
      <c r="E1812" s="43" t="str">
        <f>IF(Agent10_Loans!B24="","",Agent10_Loans!E24)</f>
        <v/>
      </c>
      <c r="F1812" s="40" t="str">
        <f>IF(Agent10_Loans!B24="","",Agent10_Loans!F24)</f>
        <v/>
      </c>
      <c r="G1812" s="40" t="str">
        <f>IF(Agent10_Loans!B24="","",Agent10_Loans!G24)</f>
        <v/>
      </c>
      <c r="H1812" s="40" t="str">
        <f>IF(Agent10_Loans!B24="","",Agent10_Loans!H24)</f>
        <v/>
      </c>
      <c r="I1812" s="43" t="str">
        <f>IF(Agent10_Loans!B24="","",Agent10_Loans!I24)</f>
        <v/>
      </c>
      <c r="J1812" s="43" t="str">
        <f>IF(Agent10_Loans!B24="","",Agent10_Loans!J24)</f>
        <v/>
      </c>
      <c r="K1812" s="40" t="str">
        <f>IF(Agent10_Loans!B24="","",Agent10_Loans!K24)</f>
        <v/>
      </c>
      <c r="L1812" s="40" t="str">
        <f>IF(Agent10_Loans!B24="","",Agent10_Loans!L24)</f>
        <v/>
      </c>
      <c r="M1812" s="40" t="str">
        <f>IFERROR(IF(Agent10_Loans!B24="","",YEAR(Agent10_Loans!D24)),"")</f>
        <v/>
      </c>
    </row>
    <row r="1813" spans="1:13" ht="18" customHeight="1" x14ac:dyDescent="0.25">
      <c r="A1813" s="40" t="str">
        <f>IF(Agent10_Loans!B25="","",Agent10_Loans!A25)</f>
        <v/>
      </c>
      <c r="B1813" s="40" t="str">
        <f>IF(Agent10_Loans!B25="","",Agent10_Loans!B25)</f>
        <v/>
      </c>
      <c r="C1813" s="40" t="str">
        <f>IF(Agent10_Loans!B25="","",Agent10_Loans!C25)</f>
        <v/>
      </c>
      <c r="D1813" s="41" t="str">
        <f>IF(Agent10_Loans!B25="","",Agent10_Loans!D25)</f>
        <v/>
      </c>
      <c r="E1813" s="43" t="str">
        <f>IF(Agent10_Loans!B25="","",Agent10_Loans!E25)</f>
        <v/>
      </c>
      <c r="F1813" s="40" t="str">
        <f>IF(Agent10_Loans!B25="","",Agent10_Loans!F25)</f>
        <v/>
      </c>
      <c r="G1813" s="40" t="str">
        <f>IF(Agent10_Loans!B25="","",Agent10_Loans!G25)</f>
        <v/>
      </c>
      <c r="H1813" s="40" t="str">
        <f>IF(Agent10_Loans!B25="","",Agent10_Loans!H25)</f>
        <v/>
      </c>
      <c r="I1813" s="43" t="str">
        <f>IF(Agent10_Loans!B25="","",Agent10_Loans!I25)</f>
        <v/>
      </c>
      <c r="J1813" s="43" t="str">
        <f>IF(Agent10_Loans!B25="","",Agent10_Loans!J25)</f>
        <v/>
      </c>
      <c r="K1813" s="40" t="str">
        <f>IF(Agent10_Loans!B25="","",Agent10_Loans!K25)</f>
        <v/>
      </c>
      <c r="L1813" s="40" t="str">
        <f>IF(Agent10_Loans!B25="","",Agent10_Loans!L25)</f>
        <v/>
      </c>
      <c r="M1813" s="40" t="str">
        <f>IFERROR(IF(Agent10_Loans!B25="","",YEAR(Agent10_Loans!D25)),"")</f>
        <v/>
      </c>
    </row>
    <row r="1814" spans="1:13" ht="18" customHeight="1" x14ac:dyDescent="0.25">
      <c r="A1814" s="40" t="str">
        <f>IF(Agent10_Loans!B26="","",Agent10_Loans!A26)</f>
        <v/>
      </c>
      <c r="B1814" s="40" t="str">
        <f>IF(Agent10_Loans!B26="","",Agent10_Loans!B26)</f>
        <v/>
      </c>
      <c r="C1814" s="40" t="str">
        <f>IF(Agent10_Loans!B26="","",Agent10_Loans!C26)</f>
        <v/>
      </c>
      <c r="D1814" s="41" t="str">
        <f>IF(Agent10_Loans!B26="","",Agent10_Loans!D26)</f>
        <v/>
      </c>
      <c r="E1814" s="43" t="str">
        <f>IF(Agent10_Loans!B26="","",Agent10_Loans!E26)</f>
        <v/>
      </c>
      <c r="F1814" s="40" t="str">
        <f>IF(Agent10_Loans!B26="","",Agent10_Loans!F26)</f>
        <v/>
      </c>
      <c r="G1814" s="40" t="str">
        <f>IF(Agent10_Loans!B26="","",Agent10_Loans!G26)</f>
        <v/>
      </c>
      <c r="H1814" s="40" t="str">
        <f>IF(Agent10_Loans!B26="","",Agent10_Loans!H26)</f>
        <v/>
      </c>
      <c r="I1814" s="43" t="str">
        <f>IF(Agent10_Loans!B26="","",Agent10_Loans!I26)</f>
        <v/>
      </c>
      <c r="J1814" s="43" t="str">
        <f>IF(Agent10_Loans!B26="","",Agent10_Loans!J26)</f>
        <v/>
      </c>
      <c r="K1814" s="40" t="str">
        <f>IF(Agent10_Loans!B26="","",Agent10_Loans!K26)</f>
        <v/>
      </c>
      <c r="L1814" s="40" t="str">
        <f>IF(Agent10_Loans!B26="","",Agent10_Loans!L26)</f>
        <v/>
      </c>
      <c r="M1814" s="40" t="str">
        <f>IFERROR(IF(Agent10_Loans!B26="","",YEAR(Agent10_Loans!D26)),"")</f>
        <v/>
      </c>
    </row>
    <row r="1815" spans="1:13" ht="18" customHeight="1" x14ac:dyDescent="0.25">
      <c r="A1815" s="40" t="str">
        <f>IF(Agent10_Loans!B27="","",Agent10_Loans!A27)</f>
        <v/>
      </c>
      <c r="B1815" s="40" t="str">
        <f>IF(Agent10_Loans!B27="","",Agent10_Loans!B27)</f>
        <v/>
      </c>
      <c r="C1815" s="40" t="str">
        <f>IF(Agent10_Loans!B27="","",Agent10_Loans!C27)</f>
        <v/>
      </c>
      <c r="D1815" s="41" t="str">
        <f>IF(Agent10_Loans!B27="","",Agent10_Loans!D27)</f>
        <v/>
      </c>
      <c r="E1815" s="43" t="str">
        <f>IF(Agent10_Loans!B27="","",Agent10_Loans!E27)</f>
        <v/>
      </c>
      <c r="F1815" s="40" t="str">
        <f>IF(Agent10_Loans!B27="","",Agent10_Loans!F27)</f>
        <v/>
      </c>
      <c r="G1815" s="40" t="str">
        <f>IF(Agent10_Loans!B27="","",Agent10_Loans!G27)</f>
        <v/>
      </c>
      <c r="H1815" s="40" t="str">
        <f>IF(Agent10_Loans!B27="","",Agent10_Loans!H27)</f>
        <v/>
      </c>
      <c r="I1815" s="43" t="str">
        <f>IF(Agent10_Loans!B27="","",Agent10_Loans!I27)</f>
        <v/>
      </c>
      <c r="J1815" s="43" t="str">
        <f>IF(Agent10_Loans!B27="","",Agent10_Loans!J27)</f>
        <v/>
      </c>
      <c r="K1815" s="40" t="str">
        <f>IF(Agent10_Loans!B27="","",Agent10_Loans!K27)</f>
        <v/>
      </c>
      <c r="L1815" s="40" t="str">
        <f>IF(Agent10_Loans!B27="","",Agent10_Loans!L27)</f>
        <v/>
      </c>
      <c r="M1815" s="40" t="str">
        <f>IFERROR(IF(Agent10_Loans!B27="","",YEAR(Agent10_Loans!D27)),"")</f>
        <v/>
      </c>
    </row>
    <row r="1816" spans="1:13" ht="18" customHeight="1" x14ac:dyDescent="0.25">
      <c r="A1816" s="40" t="str">
        <f>IF(Agent10_Loans!B28="","",Agent10_Loans!A28)</f>
        <v/>
      </c>
      <c r="B1816" s="40" t="str">
        <f>IF(Agent10_Loans!B28="","",Agent10_Loans!B28)</f>
        <v/>
      </c>
      <c r="C1816" s="40" t="str">
        <f>IF(Agent10_Loans!B28="","",Agent10_Loans!C28)</f>
        <v/>
      </c>
      <c r="D1816" s="41" t="str">
        <f>IF(Agent10_Loans!B28="","",Agent10_Loans!D28)</f>
        <v/>
      </c>
      <c r="E1816" s="43" t="str">
        <f>IF(Agent10_Loans!B28="","",Agent10_Loans!E28)</f>
        <v/>
      </c>
      <c r="F1816" s="40" t="str">
        <f>IF(Agent10_Loans!B28="","",Agent10_Loans!F28)</f>
        <v/>
      </c>
      <c r="G1816" s="40" t="str">
        <f>IF(Agent10_Loans!B28="","",Agent10_Loans!G28)</f>
        <v/>
      </c>
      <c r="H1816" s="40" t="str">
        <f>IF(Agent10_Loans!B28="","",Agent10_Loans!H28)</f>
        <v/>
      </c>
      <c r="I1816" s="43" t="str">
        <f>IF(Agent10_Loans!B28="","",Agent10_Loans!I28)</f>
        <v/>
      </c>
      <c r="J1816" s="43" t="str">
        <f>IF(Agent10_Loans!B28="","",Agent10_Loans!J28)</f>
        <v/>
      </c>
      <c r="K1816" s="40" t="str">
        <f>IF(Agent10_Loans!B28="","",Agent10_Loans!K28)</f>
        <v/>
      </c>
      <c r="L1816" s="40" t="str">
        <f>IF(Agent10_Loans!B28="","",Agent10_Loans!L28)</f>
        <v/>
      </c>
      <c r="M1816" s="40" t="str">
        <f>IFERROR(IF(Agent10_Loans!B28="","",YEAR(Agent10_Loans!D28)),"")</f>
        <v/>
      </c>
    </row>
    <row r="1817" spans="1:13" ht="18" customHeight="1" x14ac:dyDescent="0.25">
      <c r="A1817" s="40" t="str">
        <f>IF(Agent10_Loans!B29="","",Agent10_Loans!A29)</f>
        <v/>
      </c>
      <c r="B1817" s="40" t="str">
        <f>IF(Agent10_Loans!B29="","",Agent10_Loans!B29)</f>
        <v/>
      </c>
      <c r="C1817" s="40" t="str">
        <f>IF(Agent10_Loans!B29="","",Agent10_Loans!C29)</f>
        <v/>
      </c>
      <c r="D1817" s="41" t="str">
        <f>IF(Agent10_Loans!B29="","",Agent10_Loans!D29)</f>
        <v/>
      </c>
      <c r="E1817" s="43" t="str">
        <f>IF(Agent10_Loans!B29="","",Agent10_Loans!E29)</f>
        <v/>
      </c>
      <c r="F1817" s="40" t="str">
        <f>IF(Agent10_Loans!B29="","",Agent10_Loans!F29)</f>
        <v/>
      </c>
      <c r="G1817" s="40" t="str">
        <f>IF(Agent10_Loans!B29="","",Agent10_Loans!G29)</f>
        <v/>
      </c>
      <c r="H1817" s="40" t="str">
        <f>IF(Agent10_Loans!B29="","",Agent10_Loans!H29)</f>
        <v/>
      </c>
      <c r="I1817" s="43" t="str">
        <f>IF(Agent10_Loans!B29="","",Agent10_Loans!I29)</f>
        <v/>
      </c>
      <c r="J1817" s="43" t="str">
        <f>IF(Agent10_Loans!B29="","",Agent10_Loans!J29)</f>
        <v/>
      </c>
      <c r="K1817" s="40" t="str">
        <f>IF(Agent10_Loans!B29="","",Agent10_Loans!K29)</f>
        <v/>
      </c>
      <c r="L1817" s="40" t="str">
        <f>IF(Agent10_Loans!B29="","",Agent10_Loans!L29)</f>
        <v/>
      </c>
      <c r="M1817" s="40" t="str">
        <f>IFERROR(IF(Agent10_Loans!B29="","",YEAR(Agent10_Loans!D29)),"")</f>
        <v/>
      </c>
    </row>
    <row r="1818" spans="1:13" ht="18" customHeight="1" x14ac:dyDescent="0.25">
      <c r="A1818" s="40" t="str">
        <f>IF(Agent10_Loans!B30="","",Agent10_Loans!A30)</f>
        <v/>
      </c>
      <c r="B1818" s="40" t="str">
        <f>IF(Agent10_Loans!B30="","",Agent10_Loans!B30)</f>
        <v/>
      </c>
      <c r="C1818" s="40" t="str">
        <f>IF(Agent10_Loans!B30="","",Agent10_Loans!C30)</f>
        <v/>
      </c>
      <c r="D1818" s="41" t="str">
        <f>IF(Agent10_Loans!B30="","",Agent10_Loans!D30)</f>
        <v/>
      </c>
      <c r="E1818" s="43" t="str">
        <f>IF(Agent10_Loans!B30="","",Agent10_Loans!E30)</f>
        <v/>
      </c>
      <c r="F1818" s="40" t="str">
        <f>IF(Agent10_Loans!B30="","",Agent10_Loans!F30)</f>
        <v/>
      </c>
      <c r="G1818" s="40" t="str">
        <f>IF(Agent10_Loans!B30="","",Agent10_Loans!G30)</f>
        <v/>
      </c>
      <c r="H1818" s="40" t="str">
        <f>IF(Agent10_Loans!B30="","",Agent10_Loans!H30)</f>
        <v/>
      </c>
      <c r="I1818" s="43" t="str">
        <f>IF(Agent10_Loans!B30="","",Agent10_Loans!I30)</f>
        <v/>
      </c>
      <c r="J1818" s="43" t="str">
        <f>IF(Agent10_Loans!B30="","",Agent10_Loans!J30)</f>
        <v/>
      </c>
      <c r="K1818" s="40" t="str">
        <f>IF(Agent10_Loans!B30="","",Agent10_Loans!K30)</f>
        <v/>
      </c>
      <c r="L1818" s="40" t="str">
        <f>IF(Agent10_Loans!B30="","",Agent10_Loans!L30)</f>
        <v/>
      </c>
      <c r="M1818" s="40" t="str">
        <f>IFERROR(IF(Agent10_Loans!B30="","",YEAR(Agent10_Loans!D30)),"")</f>
        <v/>
      </c>
    </row>
    <row r="1819" spans="1:13" ht="18" customHeight="1" x14ac:dyDescent="0.25">
      <c r="A1819" s="40" t="str">
        <f>IF(Agent10_Loans!B31="","",Agent10_Loans!A31)</f>
        <v/>
      </c>
      <c r="B1819" s="40" t="str">
        <f>IF(Agent10_Loans!B31="","",Agent10_Loans!B31)</f>
        <v/>
      </c>
      <c r="C1819" s="40" t="str">
        <f>IF(Agent10_Loans!B31="","",Agent10_Loans!C31)</f>
        <v/>
      </c>
      <c r="D1819" s="41" t="str">
        <f>IF(Agent10_Loans!B31="","",Agent10_Loans!D31)</f>
        <v/>
      </c>
      <c r="E1819" s="43" t="str">
        <f>IF(Agent10_Loans!B31="","",Agent10_Loans!E31)</f>
        <v/>
      </c>
      <c r="F1819" s="40" t="str">
        <f>IF(Agent10_Loans!B31="","",Agent10_Loans!F31)</f>
        <v/>
      </c>
      <c r="G1819" s="40" t="str">
        <f>IF(Agent10_Loans!B31="","",Agent10_Loans!G31)</f>
        <v/>
      </c>
      <c r="H1819" s="40" t="str">
        <f>IF(Agent10_Loans!B31="","",Agent10_Loans!H31)</f>
        <v/>
      </c>
      <c r="I1819" s="43" t="str">
        <f>IF(Agent10_Loans!B31="","",Agent10_Loans!I31)</f>
        <v/>
      </c>
      <c r="J1819" s="43" t="str">
        <f>IF(Agent10_Loans!B31="","",Agent10_Loans!J31)</f>
        <v/>
      </c>
      <c r="K1819" s="40" t="str">
        <f>IF(Agent10_Loans!B31="","",Agent10_Loans!K31)</f>
        <v/>
      </c>
      <c r="L1819" s="40" t="str">
        <f>IF(Agent10_Loans!B31="","",Agent10_Loans!L31)</f>
        <v/>
      </c>
      <c r="M1819" s="40" t="str">
        <f>IFERROR(IF(Agent10_Loans!B31="","",YEAR(Agent10_Loans!D31)),"")</f>
        <v/>
      </c>
    </row>
    <row r="1820" spans="1:13" ht="18" customHeight="1" x14ac:dyDescent="0.25">
      <c r="A1820" s="40" t="str">
        <f>IF(Agent10_Loans!B32="","",Agent10_Loans!A32)</f>
        <v/>
      </c>
      <c r="B1820" s="40" t="str">
        <f>IF(Agent10_Loans!B32="","",Agent10_Loans!B32)</f>
        <v/>
      </c>
      <c r="C1820" s="40" t="str">
        <f>IF(Agent10_Loans!B32="","",Agent10_Loans!C32)</f>
        <v/>
      </c>
      <c r="D1820" s="41" t="str">
        <f>IF(Agent10_Loans!B32="","",Agent10_Loans!D32)</f>
        <v/>
      </c>
      <c r="E1820" s="43" t="str">
        <f>IF(Agent10_Loans!B32="","",Agent10_Loans!E32)</f>
        <v/>
      </c>
      <c r="F1820" s="40" t="str">
        <f>IF(Agent10_Loans!B32="","",Agent10_Loans!F32)</f>
        <v/>
      </c>
      <c r="G1820" s="40" t="str">
        <f>IF(Agent10_Loans!B32="","",Agent10_Loans!G32)</f>
        <v/>
      </c>
      <c r="H1820" s="40" t="str">
        <f>IF(Agent10_Loans!B32="","",Agent10_Loans!H32)</f>
        <v/>
      </c>
      <c r="I1820" s="43" t="str">
        <f>IF(Agent10_Loans!B32="","",Agent10_Loans!I32)</f>
        <v/>
      </c>
      <c r="J1820" s="43" t="str">
        <f>IF(Agent10_Loans!B32="","",Agent10_Loans!J32)</f>
        <v/>
      </c>
      <c r="K1820" s="40" t="str">
        <f>IF(Agent10_Loans!B32="","",Agent10_Loans!K32)</f>
        <v/>
      </c>
      <c r="L1820" s="40" t="str">
        <f>IF(Agent10_Loans!B32="","",Agent10_Loans!L32)</f>
        <v/>
      </c>
      <c r="M1820" s="40" t="str">
        <f>IFERROR(IF(Agent10_Loans!B32="","",YEAR(Agent10_Loans!D32)),"")</f>
        <v/>
      </c>
    </row>
    <row r="1821" spans="1:13" ht="18" customHeight="1" x14ac:dyDescent="0.25">
      <c r="A1821" s="40" t="str">
        <f>IF(Agent10_Loans!B33="","",Agent10_Loans!A33)</f>
        <v/>
      </c>
      <c r="B1821" s="40" t="str">
        <f>IF(Agent10_Loans!B33="","",Agent10_Loans!B33)</f>
        <v/>
      </c>
      <c r="C1821" s="40" t="str">
        <f>IF(Agent10_Loans!B33="","",Agent10_Loans!C33)</f>
        <v/>
      </c>
      <c r="D1821" s="41" t="str">
        <f>IF(Agent10_Loans!B33="","",Agent10_Loans!D33)</f>
        <v/>
      </c>
      <c r="E1821" s="43" t="str">
        <f>IF(Agent10_Loans!B33="","",Agent10_Loans!E33)</f>
        <v/>
      </c>
      <c r="F1821" s="40" t="str">
        <f>IF(Agent10_Loans!B33="","",Agent10_Loans!F33)</f>
        <v/>
      </c>
      <c r="G1821" s="40" t="str">
        <f>IF(Agent10_Loans!B33="","",Agent10_Loans!G33)</f>
        <v/>
      </c>
      <c r="H1821" s="40" t="str">
        <f>IF(Agent10_Loans!B33="","",Agent10_Loans!H33)</f>
        <v/>
      </c>
      <c r="I1821" s="43" t="str">
        <f>IF(Agent10_Loans!B33="","",Agent10_Loans!I33)</f>
        <v/>
      </c>
      <c r="J1821" s="43" t="str">
        <f>IF(Agent10_Loans!B33="","",Agent10_Loans!J33)</f>
        <v/>
      </c>
      <c r="K1821" s="40" t="str">
        <f>IF(Agent10_Loans!B33="","",Agent10_Loans!K33)</f>
        <v/>
      </c>
      <c r="L1821" s="40" t="str">
        <f>IF(Agent10_Loans!B33="","",Agent10_Loans!L33)</f>
        <v/>
      </c>
      <c r="M1821" s="40" t="str">
        <f>IFERROR(IF(Agent10_Loans!B33="","",YEAR(Agent10_Loans!D33)),"")</f>
        <v/>
      </c>
    </row>
    <row r="1822" spans="1:13" ht="18" customHeight="1" x14ac:dyDescent="0.25">
      <c r="A1822" s="40" t="str">
        <f>IF(Agent10_Loans!B34="","",Agent10_Loans!A34)</f>
        <v/>
      </c>
      <c r="B1822" s="40" t="str">
        <f>IF(Agent10_Loans!B34="","",Agent10_Loans!B34)</f>
        <v/>
      </c>
      <c r="C1822" s="40" t="str">
        <f>IF(Agent10_Loans!B34="","",Agent10_Loans!C34)</f>
        <v/>
      </c>
      <c r="D1822" s="41" t="str">
        <f>IF(Agent10_Loans!B34="","",Agent10_Loans!D34)</f>
        <v/>
      </c>
      <c r="E1822" s="43" t="str">
        <f>IF(Agent10_Loans!B34="","",Agent10_Loans!E34)</f>
        <v/>
      </c>
      <c r="F1822" s="40" t="str">
        <f>IF(Agent10_Loans!B34="","",Agent10_Loans!F34)</f>
        <v/>
      </c>
      <c r="G1822" s="40" t="str">
        <f>IF(Agent10_Loans!B34="","",Agent10_Loans!G34)</f>
        <v/>
      </c>
      <c r="H1822" s="40" t="str">
        <f>IF(Agent10_Loans!B34="","",Agent10_Loans!H34)</f>
        <v/>
      </c>
      <c r="I1822" s="43" t="str">
        <f>IF(Agent10_Loans!B34="","",Agent10_Loans!I34)</f>
        <v/>
      </c>
      <c r="J1822" s="43" t="str">
        <f>IF(Agent10_Loans!B34="","",Agent10_Loans!J34)</f>
        <v/>
      </c>
      <c r="K1822" s="40" t="str">
        <f>IF(Agent10_Loans!B34="","",Agent10_Loans!K34)</f>
        <v/>
      </c>
      <c r="L1822" s="40" t="str">
        <f>IF(Agent10_Loans!B34="","",Agent10_Loans!L34)</f>
        <v/>
      </c>
      <c r="M1822" s="40" t="str">
        <f>IFERROR(IF(Agent10_Loans!B34="","",YEAR(Agent10_Loans!D34)),"")</f>
        <v/>
      </c>
    </row>
    <row r="1823" spans="1:13" ht="18" customHeight="1" x14ac:dyDescent="0.25">
      <c r="A1823" s="40" t="str">
        <f>IF(Agent10_Loans!B35="","",Agent10_Loans!A35)</f>
        <v/>
      </c>
      <c r="B1823" s="40" t="str">
        <f>IF(Agent10_Loans!B35="","",Agent10_Loans!B35)</f>
        <v/>
      </c>
      <c r="C1823" s="40" t="str">
        <f>IF(Agent10_Loans!B35="","",Agent10_Loans!C35)</f>
        <v/>
      </c>
      <c r="D1823" s="41" t="str">
        <f>IF(Agent10_Loans!B35="","",Agent10_Loans!D35)</f>
        <v/>
      </c>
      <c r="E1823" s="43" t="str">
        <f>IF(Agent10_Loans!B35="","",Agent10_Loans!E35)</f>
        <v/>
      </c>
      <c r="F1823" s="40" t="str">
        <f>IF(Agent10_Loans!B35="","",Agent10_Loans!F35)</f>
        <v/>
      </c>
      <c r="G1823" s="40" t="str">
        <f>IF(Agent10_Loans!B35="","",Agent10_Loans!G35)</f>
        <v/>
      </c>
      <c r="H1823" s="40" t="str">
        <f>IF(Agent10_Loans!B35="","",Agent10_Loans!H35)</f>
        <v/>
      </c>
      <c r="I1823" s="43" t="str">
        <f>IF(Agent10_Loans!B35="","",Agent10_Loans!I35)</f>
        <v/>
      </c>
      <c r="J1823" s="43" t="str">
        <f>IF(Agent10_Loans!B35="","",Agent10_Loans!J35)</f>
        <v/>
      </c>
      <c r="K1823" s="40" t="str">
        <f>IF(Agent10_Loans!B35="","",Agent10_Loans!K35)</f>
        <v/>
      </c>
      <c r="L1823" s="40" t="str">
        <f>IF(Agent10_Loans!B35="","",Agent10_Loans!L35)</f>
        <v/>
      </c>
      <c r="M1823" s="40" t="str">
        <f>IFERROR(IF(Agent10_Loans!B35="","",YEAR(Agent10_Loans!D35)),"")</f>
        <v/>
      </c>
    </row>
    <row r="1824" spans="1:13" ht="18" customHeight="1" x14ac:dyDescent="0.25">
      <c r="A1824" s="40" t="str">
        <f>IF(Agent10_Loans!B36="","",Agent10_Loans!A36)</f>
        <v/>
      </c>
      <c r="B1824" s="40" t="str">
        <f>IF(Agent10_Loans!B36="","",Agent10_Loans!B36)</f>
        <v/>
      </c>
      <c r="C1824" s="40" t="str">
        <f>IF(Agent10_Loans!B36="","",Agent10_Loans!C36)</f>
        <v/>
      </c>
      <c r="D1824" s="41" t="str">
        <f>IF(Agent10_Loans!B36="","",Agent10_Loans!D36)</f>
        <v/>
      </c>
      <c r="E1824" s="43" t="str">
        <f>IF(Agent10_Loans!B36="","",Agent10_Loans!E36)</f>
        <v/>
      </c>
      <c r="F1824" s="40" t="str">
        <f>IF(Agent10_Loans!B36="","",Agent10_Loans!F36)</f>
        <v/>
      </c>
      <c r="G1824" s="40" t="str">
        <f>IF(Agent10_Loans!B36="","",Agent10_Loans!G36)</f>
        <v/>
      </c>
      <c r="H1824" s="40" t="str">
        <f>IF(Agent10_Loans!B36="","",Agent10_Loans!H36)</f>
        <v/>
      </c>
      <c r="I1824" s="43" t="str">
        <f>IF(Agent10_Loans!B36="","",Agent10_Loans!I36)</f>
        <v/>
      </c>
      <c r="J1824" s="43" t="str">
        <f>IF(Agent10_Loans!B36="","",Agent10_Loans!J36)</f>
        <v/>
      </c>
      <c r="K1824" s="40" t="str">
        <f>IF(Agent10_Loans!B36="","",Agent10_Loans!K36)</f>
        <v/>
      </c>
      <c r="L1824" s="40" t="str">
        <f>IF(Agent10_Loans!B36="","",Agent10_Loans!L36)</f>
        <v/>
      </c>
      <c r="M1824" s="40" t="str">
        <f>IFERROR(IF(Agent10_Loans!B36="","",YEAR(Agent10_Loans!D36)),"")</f>
        <v/>
      </c>
    </row>
    <row r="1825" spans="1:13" ht="18" customHeight="1" x14ac:dyDescent="0.25">
      <c r="A1825" s="40" t="str">
        <f>IF(Agent10_Loans!B37="","",Agent10_Loans!A37)</f>
        <v/>
      </c>
      <c r="B1825" s="40" t="str">
        <f>IF(Agent10_Loans!B37="","",Agent10_Loans!B37)</f>
        <v/>
      </c>
      <c r="C1825" s="40" t="str">
        <f>IF(Agent10_Loans!B37="","",Agent10_Loans!C37)</f>
        <v/>
      </c>
      <c r="D1825" s="41" t="str">
        <f>IF(Agent10_Loans!B37="","",Agent10_Loans!D37)</f>
        <v/>
      </c>
      <c r="E1825" s="43" t="str">
        <f>IF(Agent10_Loans!B37="","",Agent10_Loans!E37)</f>
        <v/>
      </c>
      <c r="F1825" s="40" t="str">
        <f>IF(Agent10_Loans!B37="","",Agent10_Loans!F37)</f>
        <v/>
      </c>
      <c r="G1825" s="40" t="str">
        <f>IF(Agent10_Loans!B37="","",Agent10_Loans!G37)</f>
        <v/>
      </c>
      <c r="H1825" s="40" t="str">
        <f>IF(Agent10_Loans!B37="","",Agent10_Loans!H37)</f>
        <v/>
      </c>
      <c r="I1825" s="43" t="str">
        <f>IF(Agent10_Loans!B37="","",Agent10_Loans!I37)</f>
        <v/>
      </c>
      <c r="J1825" s="43" t="str">
        <f>IF(Agent10_Loans!B37="","",Agent10_Loans!J37)</f>
        <v/>
      </c>
      <c r="K1825" s="40" t="str">
        <f>IF(Agent10_Loans!B37="","",Agent10_Loans!K37)</f>
        <v/>
      </c>
      <c r="L1825" s="40" t="str">
        <f>IF(Agent10_Loans!B37="","",Agent10_Loans!L37)</f>
        <v/>
      </c>
      <c r="M1825" s="40" t="str">
        <f>IFERROR(IF(Agent10_Loans!B37="","",YEAR(Agent10_Loans!D37)),"")</f>
        <v/>
      </c>
    </row>
    <row r="1826" spans="1:13" ht="18" customHeight="1" x14ac:dyDescent="0.25">
      <c r="A1826" s="40" t="str">
        <f>IF(Agent10_Loans!B38="","",Agent10_Loans!A38)</f>
        <v/>
      </c>
      <c r="B1826" s="40" t="str">
        <f>IF(Agent10_Loans!B38="","",Agent10_Loans!B38)</f>
        <v/>
      </c>
      <c r="C1826" s="40" t="str">
        <f>IF(Agent10_Loans!B38="","",Agent10_Loans!C38)</f>
        <v/>
      </c>
      <c r="D1826" s="41" t="str">
        <f>IF(Agent10_Loans!B38="","",Agent10_Loans!D38)</f>
        <v/>
      </c>
      <c r="E1826" s="43" t="str">
        <f>IF(Agent10_Loans!B38="","",Agent10_Loans!E38)</f>
        <v/>
      </c>
      <c r="F1826" s="40" t="str">
        <f>IF(Agent10_Loans!B38="","",Agent10_Loans!F38)</f>
        <v/>
      </c>
      <c r="G1826" s="40" t="str">
        <f>IF(Agent10_Loans!B38="","",Agent10_Loans!G38)</f>
        <v/>
      </c>
      <c r="H1826" s="40" t="str">
        <f>IF(Agent10_Loans!B38="","",Agent10_Loans!H38)</f>
        <v/>
      </c>
      <c r="I1826" s="43" t="str">
        <f>IF(Agent10_Loans!B38="","",Agent10_Loans!I38)</f>
        <v/>
      </c>
      <c r="J1826" s="43" t="str">
        <f>IF(Agent10_Loans!B38="","",Agent10_Loans!J38)</f>
        <v/>
      </c>
      <c r="K1826" s="40" t="str">
        <f>IF(Agent10_Loans!B38="","",Agent10_Loans!K38)</f>
        <v/>
      </c>
      <c r="L1826" s="40" t="str">
        <f>IF(Agent10_Loans!B38="","",Agent10_Loans!L38)</f>
        <v/>
      </c>
      <c r="M1826" s="40" t="str">
        <f>IFERROR(IF(Agent10_Loans!B38="","",YEAR(Agent10_Loans!D38)),"")</f>
        <v/>
      </c>
    </row>
    <row r="1827" spans="1:13" ht="18" customHeight="1" x14ac:dyDescent="0.25">
      <c r="A1827" s="40" t="str">
        <f>IF(Agent10_Loans!B39="","",Agent10_Loans!A39)</f>
        <v/>
      </c>
      <c r="B1827" s="40" t="str">
        <f>IF(Agent10_Loans!B39="","",Agent10_Loans!B39)</f>
        <v/>
      </c>
      <c r="C1827" s="40" t="str">
        <f>IF(Agent10_Loans!B39="","",Agent10_Loans!C39)</f>
        <v/>
      </c>
      <c r="D1827" s="41" t="str">
        <f>IF(Agent10_Loans!B39="","",Agent10_Loans!D39)</f>
        <v/>
      </c>
      <c r="E1827" s="43" t="str">
        <f>IF(Agent10_Loans!B39="","",Agent10_Loans!E39)</f>
        <v/>
      </c>
      <c r="F1827" s="40" t="str">
        <f>IF(Agent10_Loans!B39="","",Agent10_Loans!F39)</f>
        <v/>
      </c>
      <c r="G1827" s="40" t="str">
        <f>IF(Agent10_Loans!B39="","",Agent10_Loans!G39)</f>
        <v/>
      </c>
      <c r="H1827" s="40" t="str">
        <f>IF(Agent10_Loans!B39="","",Agent10_Loans!H39)</f>
        <v/>
      </c>
      <c r="I1827" s="43" t="str">
        <f>IF(Agent10_Loans!B39="","",Agent10_Loans!I39)</f>
        <v/>
      </c>
      <c r="J1827" s="43" t="str">
        <f>IF(Agent10_Loans!B39="","",Agent10_Loans!J39)</f>
        <v/>
      </c>
      <c r="K1827" s="40" t="str">
        <f>IF(Agent10_Loans!B39="","",Agent10_Loans!K39)</f>
        <v/>
      </c>
      <c r="L1827" s="40" t="str">
        <f>IF(Agent10_Loans!B39="","",Agent10_Loans!L39)</f>
        <v/>
      </c>
      <c r="M1827" s="40" t="str">
        <f>IFERROR(IF(Agent10_Loans!B39="","",YEAR(Agent10_Loans!D39)),"")</f>
        <v/>
      </c>
    </row>
    <row r="1828" spans="1:13" ht="18" customHeight="1" x14ac:dyDescent="0.25">
      <c r="A1828" s="40" t="str">
        <f>IF(Agent10_Loans!B40="","",Agent10_Loans!A40)</f>
        <v/>
      </c>
      <c r="B1828" s="40" t="str">
        <f>IF(Agent10_Loans!B40="","",Agent10_Loans!B40)</f>
        <v/>
      </c>
      <c r="C1828" s="40" t="str">
        <f>IF(Agent10_Loans!B40="","",Agent10_Loans!C40)</f>
        <v/>
      </c>
      <c r="D1828" s="41" t="str">
        <f>IF(Agent10_Loans!B40="","",Agent10_Loans!D40)</f>
        <v/>
      </c>
      <c r="E1828" s="43" t="str">
        <f>IF(Agent10_Loans!B40="","",Agent10_Loans!E40)</f>
        <v/>
      </c>
      <c r="F1828" s="40" t="str">
        <f>IF(Agent10_Loans!B40="","",Agent10_Loans!F40)</f>
        <v/>
      </c>
      <c r="G1828" s="40" t="str">
        <f>IF(Agent10_Loans!B40="","",Agent10_Loans!G40)</f>
        <v/>
      </c>
      <c r="H1828" s="40" t="str">
        <f>IF(Agent10_Loans!B40="","",Agent10_Loans!H40)</f>
        <v/>
      </c>
      <c r="I1828" s="43" t="str">
        <f>IF(Agent10_Loans!B40="","",Agent10_Loans!I40)</f>
        <v/>
      </c>
      <c r="J1828" s="43" t="str">
        <f>IF(Agent10_Loans!B40="","",Agent10_Loans!J40)</f>
        <v/>
      </c>
      <c r="K1828" s="40" t="str">
        <f>IF(Agent10_Loans!B40="","",Agent10_Loans!K40)</f>
        <v/>
      </c>
      <c r="L1828" s="40" t="str">
        <f>IF(Agent10_Loans!B40="","",Agent10_Loans!L40)</f>
        <v/>
      </c>
      <c r="M1828" s="40" t="str">
        <f>IFERROR(IF(Agent10_Loans!B40="","",YEAR(Agent10_Loans!D40)),"")</f>
        <v/>
      </c>
    </row>
    <row r="1829" spans="1:13" ht="18" customHeight="1" x14ac:dyDescent="0.25">
      <c r="A1829" s="40" t="str">
        <f>IF(Agent10_Loans!B41="","",Agent10_Loans!A41)</f>
        <v/>
      </c>
      <c r="B1829" s="40" t="str">
        <f>IF(Agent10_Loans!B41="","",Agent10_Loans!B41)</f>
        <v/>
      </c>
      <c r="C1829" s="40" t="str">
        <f>IF(Agent10_Loans!B41="","",Agent10_Loans!C41)</f>
        <v/>
      </c>
      <c r="D1829" s="41" t="str">
        <f>IF(Agent10_Loans!B41="","",Agent10_Loans!D41)</f>
        <v/>
      </c>
      <c r="E1829" s="43" t="str">
        <f>IF(Agent10_Loans!B41="","",Agent10_Loans!E41)</f>
        <v/>
      </c>
      <c r="F1829" s="40" t="str">
        <f>IF(Agent10_Loans!B41="","",Agent10_Loans!F41)</f>
        <v/>
      </c>
      <c r="G1829" s="40" t="str">
        <f>IF(Agent10_Loans!B41="","",Agent10_Loans!G41)</f>
        <v/>
      </c>
      <c r="H1829" s="40" t="str">
        <f>IF(Agent10_Loans!B41="","",Agent10_Loans!H41)</f>
        <v/>
      </c>
      <c r="I1829" s="43" t="str">
        <f>IF(Agent10_Loans!B41="","",Agent10_Loans!I41)</f>
        <v/>
      </c>
      <c r="J1829" s="43" t="str">
        <f>IF(Agent10_Loans!B41="","",Agent10_Loans!J41)</f>
        <v/>
      </c>
      <c r="K1829" s="40" t="str">
        <f>IF(Agent10_Loans!B41="","",Agent10_Loans!K41)</f>
        <v/>
      </c>
      <c r="L1829" s="40" t="str">
        <f>IF(Agent10_Loans!B41="","",Agent10_Loans!L41)</f>
        <v/>
      </c>
      <c r="M1829" s="40" t="str">
        <f>IFERROR(IF(Agent10_Loans!B41="","",YEAR(Agent10_Loans!D41)),"")</f>
        <v/>
      </c>
    </row>
    <row r="1830" spans="1:13" ht="18" customHeight="1" x14ac:dyDescent="0.25">
      <c r="A1830" s="40" t="str">
        <f>IF(Agent10_Loans!B42="","",Agent10_Loans!A42)</f>
        <v/>
      </c>
      <c r="B1830" s="40" t="str">
        <f>IF(Agent10_Loans!B42="","",Agent10_Loans!B42)</f>
        <v/>
      </c>
      <c r="C1830" s="40" t="str">
        <f>IF(Agent10_Loans!B42="","",Agent10_Loans!C42)</f>
        <v/>
      </c>
      <c r="D1830" s="41" t="str">
        <f>IF(Agent10_Loans!B42="","",Agent10_Loans!D42)</f>
        <v/>
      </c>
      <c r="E1830" s="43" t="str">
        <f>IF(Agent10_Loans!B42="","",Agent10_Loans!E42)</f>
        <v/>
      </c>
      <c r="F1830" s="40" t="str">
        <f>IF(Agent10_Loans!B42="","",Agent10_Loans!F42)</f>
        <v/>
      </c>
      <c r="G1830" s="40" t="str">
        <f>IF(Agent10_Loans!B42="","",Agent10_Loans!G42)</f>
        <v/>
      </c>
      <c r="H1830" s="40" t="str">
        <f>IF(Agent10_Loans!B42="","",Agent10_Loans!H42)</f>
        <v/>
      </c>
      <c r="I1830" s="43" t="str">
        <f>IF(Agent10_Loans!B42="","",Agent10_Loans!I42)</f>
        <v/>
      </c>
      <c r="J1830" s="43" t="str">
        <f>IF(Agent10_Loans!B42="","",Agent10_Loans!J42)</f>
        <v/>
      </c>
      <c r="K1830" s="40" t="str">
        <f>IF(Agent10_Loans!B42="","",Agent10_Loans!K42)</f>
        <v/>
      </c>
      <c r="L1830" s="40" t="str">
        <f>IF(Agent10_Loans!B42="","",Agent10_Loans!L42)</f>
        <v/>
      </c>
      <c r="M1830" s="40" t="str">
        <f>IFERROR(IF(Agent10_Loans!B42="","",YEAR(Agent10_Loans!D42)),"")</f>
        <v/>
      </c>
    </row>
    <row r="1831" spans="1:13" ht="18" customHeight="1" x14ac:dyDescent="0.25">
      <c r="A1831" s="40" t="str">
        <f>IF(Agent10_Loans!B43="","",Agent10_Loans!A43)</f>
        <v/>
      </c>
      <c r="B1831" s="40" t="str">
        <f>IF(Agent10_Loans!B43="","",Agent10_Loans!B43)</f>
        <v/>
      </c>
      <c r="C1831" s="40" t="str">
        <f>IF(Agent10_Loans!B43="","",Agent10_Loans!C43)</f>
        <v/>
      </c>
      <c r="D1831" s="41" t="str">
        <f>IF(Agent10_Loans!B43="","",Agent10_Loans!D43)</f>
        <v/>
      </c>
      <c r="E1831" s="43" t="str">
        <f>IF(Agent10_Loans!B43="","",Agent10_Loans!E43)</f>
        <v/>
      </c>
      <c r="F1831" s="40" t="str">
        <f>IF(Agent10_Loans!B43="","",Agent10_Loans!F43)</f>
        <v/>
      </c>
      <c r="G1831" s="40" t="str">
        <f>IF(Agent10_Loans!B43="","",Agent10_Loans!G43)</f>
        <v/>
      </c>
      <c r="H1831" s="40" t="str">
        <f>IF(Agent10_Loans!B43="","",Agent10_Loans!H43)</f>
        <v/>
      </c>
      <c r="I1831" s="43" t="str">
        <f>IF(Agent10_Loans!B43="","",Agent10_Loans!I43)</f>
        <v/>
      </c>
      <c r="J1831" s="43" t="str">
        <f>IF(Agent10_Loans!B43="","",Agent10_Loans!J43)</f>
        <v/>
      </c>
      <c r="K1831" s="40" t="str">
        <f>IF(Agent10_Loans!B43="","",Agent10_Loans!K43)</f>
        <v/>
      </c>
      <c r="L1831" s="40" t="str">
        <f>IF(Agent10_Loans!B43="","",Agent10_Loans!L43)</f>
        <v/>
      </c>
      <c r="M1831" s="40" t="str">
        <f>IFERROR(IF(Agent10_Loans!B43="","",YEAR(Agent10_Loans!D43)),"")</f>
        <v/>
      </c>
    </row>
    <row r="1832" spans="1:13" ht="18" customHeight="1" x14ac:dyDescent="0.25">
      <c r="A1832" s="40" t="str">
        <f>IF(Agent10_Loans!B44="","",Agent10_Loans!A44)</f>
        <v/>
      </c>
      <c r="B1832" s="40" t="str">
        <f>IF(Agent10_Loans!B44="","",Agent10_Loans!B44)</f>
        <v/>
      </c>
      <c r="C1832" s="40" t="str">
        <f>IF(Agent10_Loans!B44="","",Agent10_Loans!C44)</f>
        <v/>
      </c>
      <c r="D1832" s="41" t="str">
        <f>IF(Agent10_Loans!B44="","",Agent10_Loans!D44)</f>
        <v/>
      </c>
      <c r="E1832" s="43" t="str">
        <f>IF(Agent10_Loans!B44="","",Agent10_Loans!E44)</f>
        <v/>
      </c>
      <c r="F1832" s="40" t="str">
        <f>IF(Agent10_Loans!B44="","",Agent10_Loans!F44)</f>
        <v/>
      </c>
      <c r="G1832" s="40" t="str">
        <f>IF(Agent10_Loans!B44="","",Agent10_Loans!G44)</f>
        <v/>
      </c>
      <c r="H1832" s="40" t="str">
        <f>IF(Agent10_Loans!B44="","",Agent10_Loans!H44)</f>
        <v/>
      </c>
      <c r="I1832" s="43" t="str">
        <f>IF(Agent10_Loans!B44="","",Agent10_Loans!I44)</f>
        <v/>
      </c>
      <c r="J1832" s="43" t="str">
        <f>IF(Agent10_Loans!B44="","",Agent10_Loans!J44)</f>
        <v/>
      </c>
      <c r="K1832" s="40" t="str">
        <f>IF(Agent10_Loans!B44="","",Agent10_Loans!K44)</f>
        <v/>
      </c>
      <c r="L1832" s="40" t="str">
        <f>IF(Agent10_Loans!B44="","",Agent10_Loans!L44)</f>
        <v/>
      </c>
      <c r="M1832" s="40" t="str">
        <f>IFERROR(IF(Agent10_Loans!B44="","",YEAR(Agent10_Loans!D44)),"")</f>
        <v/>
      </c>
    </row>
    <row r="1833" spans="1:13" ht="18" customHeight="1" x14ac:dyDescent="0.25">
      <c r="A1833" s="40" t="str">
        <f>IF(Agent10_Loans!B45="","",Agent10_Loans!A45)</f>
        <v/>
      </c>
      <c r="B1833" s="40" t="str">
        <f>IF(Agent10_Loans!B45="","",Agent10_Loans!B45)</f>
        <v/>
      </c>
      <c r="C1833" s="40" t="str">
        <f>IF(Agent10_Loans!B45="","",Agent10_Loans!C45)</f>
        <v/>
      </c>
      <c r="D1833" s="41" t="str">
        <f>IF(Agent10_Loans!B45="","",Agent10_Loans!D45)</f>
        <v/>
      </c>
      <c r="E1833" s="43" t="str">
        <f>IF(Agent10_Loans!B45="","",Agent10_Loans!E45)</f>
        <v/>
      </c>
      <c r="F1833" s="40" t="str">
        <f>IF(Agent10_Loans!B45="","",Agent10_Loans!F45)</f>
        <v/>
      </c>
      <c r="G1833" s="40" t="str">
        <f>IF(Agent10_Loans!B45="","",Agent10_Loans!G45)</f>
        <v/>
      </c>
      <c r="H1833" s="40" t="str">
        <f>IF(Agent10_Loans!B45="","",Agent10_Loans!H45)</f>
        <v/>
      </c>
      <c r="I1833" s="43" t="str">
        <f>IF(Agent10_Loans!B45="","",Agent10_Loans!I45)</f>
        <v/>
      </c>
      <c r="J1833" s="43" t="str">
        <f>IF(Agent10_Loans!B45="","",Agent10_Loans!J45)</f>
        <v/>
      </c>
      <c r="K1833" s="40" t="str">
        <f>IF(Agent10_Loans!B45="","",Agent10_Loans!K45)</f>
        <v/>
      </c>
      <c r="L1833" s="40" t="str">
        <f>IF(Agent10_Loans!B45="","",Agent10_Loans!L45)</f>
        <v/>
      </c>
      <c r="M1833" s="40" t="str">
        <f>IFERROR(IF(Agent10_Loans!B45="","",YEAR(Agent10_Loans!D45)),"")</f>
        <v/>
      </c>
    </row>
    <row r="1834" spans="1:13" ht="18" customHeight="1" x14ac:dyDescent="0.25">
      <c r="A1834" s="40" t="str">
        <f>IF(Agent10_Loans!B46="","",Agent10_Loans!A46)</f>
        <v/>
      </c>
      <c r="B1834" s="40" t="str">
        <f>IF(Agent10_Loans!B46="","",Agent10_Loans!B46)</f>
        <v/>
      </c>
      <c r="C1834" s="40" t="str">
        <f>IF(Agent10_Loans!B46="","",Agent10_Loans!C46)</f>
        <v/>
      </c>
      <c r="D1834" s="41" t="str">
        <f>IF(Agent10_Loans!B46="","",Agent10_Loans!D46)</f>
        <v/>
      </c>
      <c r="E1834" s="43" t="str">
        <f>IF(Agent10_Loans!B46="","",Agent10_Loans!E46)</f>
        <v/>
      </c>
      <c r="F1834" s="40" t="str">
        <f>IF(Agent10_Loans!B46="","",Agent10_Loans!F46)</f>
        <v/>
      </c>
      <c r="G1834" s="40" t="str">
        <f>IF(Agent10_Loans!B46="","",Agent10_Loans!G46)</f>
        <v/>
      </c>
      <c r="H1834" s="40" t="str">
        <f>IF(Agent10_Loans!B46="","",Agent10_Loans!H46)</f>
        <v/>
      </c>
      <c r="I1834" s="43" t="str">
        <f>IF(Agent10_Loans!B46="","",Agent10_Loans!I46)</f>
        <v/>
      </c>
      <c r="J1834" s="43" t="str">
        <f>IF(Agent10_Loans!B46="","",Agent10_Loans!J46)</f>
        <v/>
      </c>
      <c r="K1834" s="40" t="str">
        <f>IF(Agent10_Loans!B46="","",Agent10_Loans!K46)</f>
        <v/>
      </c>
      <c r="L1834" s="40" t="str">
        <f>IF(Agent10_Loans!B46="","",Agent10_Loans!L46)</f>
        <v/>
      </c>
      <c r="M1834" s="40" t="str">
        <f>IFERROR(IF(Agent10_Loans!B46="","",YEAR(Agent10_Loans!D46)),"")</f>
        <v/>
      </c>
    </row>
    <row r="1835" spans="1:13" ht="18" customHeight="1" x14ac:dyDescent="0.25">
      <c r="A1835" s="40" t="str">
        <f>IF(Agent10_Loans!B47="","",Agent10_Loans!A47)</f>
        <v/>
      </c>
      <c r="B1835" s="40" t="str">
        <f>IF(Agent10_Loans!B47="","",Agent10_Loans!B47)</f>
        <v/>
      </c>
      <c r="C1835" s="40" t="str">
        <f>IF(Agent10_Loans!B47="","",Agent10_Loans!C47)</f>
        <v/>
      </c>
      <c r="D1835" s="41" t="str">
        <f>IF(Agent10_Loans!B47="","",Agent10_Loans!D47)</f>
        <v/>
      </c>
      <c r="E1835" s="43" t="str">
        <f>IF(Agent10_Loans!B47="","",Agent10_Loans!E47)</f>
        <v/>
      </c>
      <c r="F1835" s="40" t="str">
        <f>IF(Agent10_Loans!B47="","",Agent10_Loans!F47)</f>
        <v/>
      </c>
      <c r="G1835" s="40" t="str">
        <f>IF(Agent10_Loans!B47="","",Agent10_Loans!G47)</f>
        <v/>
      </c>
      <c r="H1835" s="40" t="str">
        <f>IF(Agent10_Loans!B47="","",Agent10_Loans!H47)</f>
        <v/>
      </c>
      <c r="I1835" s="43" t="str">
        <f>IF(Agent10_Loans!B47="","",Agent10_Loans!I47)</f>
        <v/>
      </c>
      <c r="J1835" s="43" t="str">
        <f>IF(Agent10_Loans!B47="","",Agent10_Loans!J47)</f>
        <v/>
      </c>
      <c r="K1835" s="40" t="str">
        <f>IF(Agent10_Loans!B47="","",Agent10_Loans!K47)</f>
        <v/>
      </c>
      <c r="L1835" s="40" t="str">
        <f>IF(Agent10_Loans!B47="","",Agent10_Loans!L47)</f>
        <v/>
      </c>
      <c r="M1835" s="40" t="str">
        <f>IFERROR(IF(Agent10_Loans!B47="","",YEAR(Agent10_Loans!D47)),"")</f>
        <v/>
      </c>
    </row>
    <row r="1836" spans="1:13" ht="18" customHeight="1" x14ac:dyDescent="0.25">
      <c r="A1836" s="40" t="str">
        <f>IF(Agent10_Loans!B48="","",Agent10_Loans!A48)</f>
        <v/>
      </c>
      <c r="B1836" s="40" t="str">
        <f>IF(Agent10_Loans!B48="","",Agent10_Loans!B48)</f>
        <v/>
      </c>
      <c r="C1836" s="40" t="str">
        <f>IF(Agent10_Loans!B48="","",Agent10_Loans!C48)</f>
        <v/>
      </c>
      <c r="D1836" s="41" t="str">
        <f>IF(Agent10_Loans!B48="","",Agent10_Loans!D48)</f>
        <v/>
      </c>
      <c r="E1836" s="43" t="str">
        <f>IF(Agent10_Loans!B48="","",Agent10_Loans!E48)</f>
        <v/>
      </c>
      <c r="F1836" s="40" t="str">
        <f>IF(Agent10_Loans!B48="","",Agent10_Loans!F48)</f>
        <v/>
      </c>
      <c r="G1836" s="40" t="str">
        <f>IF(Agent10_Loans!B48="","",Agent10_Loans!G48)</f>
        <v/>
      </c>
      <c r="H1836" s="40" t="str">
        <f>IF(Agent10_Loans!B48="","",Agent10_Loans!H48)</f>
        <v/>
      </c>
      <c r="I1836" s="43" t="str">
        <f>IF(Agent10_Loans!B48="","",Agent10_Loans!I48)</f>
        <v/>
      </c>
      <c r="J1836" s="43" t="str">
        <f>IF(Agent10_Loans!B48="","",Agent10_Loans!J48)</f>
        <v/>
      </c>
      <c r="K1836" s="40" t="str">
        <f>IF(Agent10_Loans!B48="","",Agent10_Loans!K48)</f>
        <v/>
      </c>
      <c r="L1836" s="40" t="str">
        <f>IF(Agent10_Loans!B48="","",Agent10_Loans!L48)</f>
        <v/>
      </c>
      <c r="M1836" s="40" t="str">
        <f>IFERROR(IF(Agent10_Loans!B48="","",YEAR(Agent10_Loans!D48)),"")</f>
        <v/>
      </c>
    </row>
    <row r="1837" spans="1:13" ht="18" customHeight="1" x14ac:dyDescent="0.25">
      <c r="A1837" s="40" t="str">
        <f>IF(Agent10_Loans!B49="","",Agent10_Loans!A49)</f>
        <v/>
      </c>
      <c r="B1837" s="40" t="str">
        <f>IF(Agent10_Loans!B49="","",Agent10_Loans!B49)</f>
        <v/>
      </c>
      <c r="C1837" s="40" t="str">
        <f>IF(Agent10_Loans!B49="","",Agent10_Loans!C49)</f>
        <v/>
      </c>
      <c r="D1837" s="41" t="str">
        <f>IF(Agent10_Loans!B49="","",Agent10_Loans!D49)</f>
        <v/>
      </c>
      <c r="E1837" s="43" t="str">
        <f>IF(Agent10_Loans!B49="","",Agent10_Loans!E49)</f>
        <v/>
      </c>
      <c r="F1837" s="40" t="str">
        <f>IF(Agent10_Loans!B49="","",Agent10_Loans!F49)</f>
        <v/>
      </c>
      <c r="G1837" s="40" t="str">
        <f>IF(Agent10_Loans!B49="","",Agent10_Loans!G49)</f>
        <v/>
      </c>
      <c r="H1837" s="40" t="str">
        <f>IF(Agent10_Loans!B49="","",Agent10_Loans!H49)</f>
        <v/>
      </c>
      <c r="I1837" s="43" t="str">
        <f>IF(Agent10_Loans!B49="","",Agent10_Loans!I49)</f>
        <v/>
      </c>
      <c r="J1837" s="43" t="str">
        <f>IF(Agent10_Loans!B49="","",Agent10_Loans!J49)</f>
        <v/>
      </c>
      <c r="K1837" s="40" t="str">
        <f>IF(Agent10_Loans!B49="","",Agent10_Loans!K49)</f>
        <v/>
      </c>
      <c r="L1837" s="40" t="str">
        <f>IF(Agent10_Loans!B49="","",Agent10_Loans!L49)</f>
        <v/>
      </c>
      <c r="M1837" s="40" t="str">
        <f>IFERROR(IF(Agent10_Loans!B49="","",YEAR(Agent10_Loans!D49)),"")</f>
        <v/>
      </c>
    </row>
    <row r="1838" spans="1:13" ht="18" customHeight="1" x14ac:dyDescent="0.25">
      <c r="A1838" s="40" t="str">
        <f>IF(Agent10_Loans!B50="","",Agent10_Loans!A50)</f>
        <v/>
      </c>
      <c r="B1838" s="40" t="str">
        <f>IF(Agent10_Loans!B50="","",Agent10_Loans!B50)</f>
        <v/>
      </c>
      <c r="C1838" s="40" t="str">
        <f>IF(Agent10_Loans!B50="","",Agent10_Loans!C50)</f>
        <v/>
      </c>
      <c r="D1838" s="41" t="str">
        <f>IF(Agent10_Loans!B50="","",Agent10_Loans!D50)</f>
        <v/>
      </c>
      <c r="E1838" s="43" t="str">
        <f>IF(Agent10_Loans!B50="","",Agent10_Loans!E50)</f>
        <v/>
      </c>
      <c r="F1838" s="40" t="str">
        <f>IF(Agent10_Loans!B50="","",Agent10_Loans!F50)</f>
        <v/>
      </c>
      <c r="G1838" s="40" t="str">
        <f>IF(Agent10_Loans!B50="","",Agent10_Loans!G50)</f>
        <v/>
      </c>
      <c r="H1838" s="40" t="str">
        <f>IF(Agent10_Loans!B50="","",Agent10_Loans!H50)</f>
        <v/>
      </c>
      <c r="I1838" s="43" t="str">
        <f>IF(Agent10_Loans!B50="","",Agent10_Loans!I50)</f>
        <v/>
      </c>
      <c r="J1838" s="43" t="str">
        <f>IF(Agent10_Loans!B50="","",Agent10_Loans!J50)</f>
        <v/>
      </c>
      <c r="K1838" s="40" t="str">
        <f>IF(Agent10_Loans!B50="","",Agent10_Loans!K50)</f>
        <v/>
      </c>
      <c r="L1838" s="40" t="str">
        <f>IF(Agent10_Loans!B50="","",Agent10_Loans!L50)</f>
        <v/>
      </c>
      <c r="M1838" s="40" t="str">
        <f>IFERROR(IF(Agent10_Loans!B50="","",YEAR(Agent10_Loans!D50)),"")</f>
        <v/>
      </c>
    </row>
    <row r="1839" spans="1:13" ht="18" customHeight="1" x14ac:dyDescent="0.25">
      <c r="A1839" s="40" t="str">
        <f>IF(Agent10_Loans!B51="","",Agent10_Loans!A51)</f>
        <v/>
      </c>
      <c r="B1839" s="40" t="str">
        <f>IF(Agent10_Loans!B51="","",Agent10_Loans!B51)</f>
        <v/>
      </c>
      <c r="C1839" s="40" t="str">
        <f>IF(Agent10_Loans!B51="","",Agent10_Loans!C51)</f>
        <v/>
      </c>
      <c r="D1839" s="41" t="str">
        <f>IF(Agent10_Loans!B51="","",Agent10_Loans!D51)</f>
        <v/>
      </c>
      <c r="E1839" s="43" t="str">
        <f>IF(Agent10_Loans!B51="","",Agent10_Loans!E51)</f>
        <v/>
      </c>
      <c r="F1839" s="40" t="str">
        <f>IF(Agent10_Loans!B51="","",Agent10_Loans!F51)</f>
        <v/>
      </c>
      <c r="G1839" s="40" t="str">
        <f>IF(Agent10_Loans!B51="","",Agent10_Loans!G51)</f>
        <v/>
      </c>
      <c r="H1839" s="40" t="str">
        <f>IF(Agent10_Loans!B51="","",Agent10_Loans!H51)</f>
        <v/>
      </c>
      <c r="I1839" s="43" t="str">
        <f>IF(Agent10_Loans!B51="","",Agent10_Loans!I51)</f>
        <v/>
      </c>
      <c r="J1839" s="43" t="str">
        <f>IF(Agent10_Loans!B51="","",Agent10_Loans!J51)</f>
        <v/>
      </c>
      <c r="K1839" s="40" t="str">
        <f>IF(Agent10_Loans!B51="","",Agent10_Loans!K51)</f>
        <v/>
      </c>
      <c r="L1839" s="40" t="str">
        <f>IF(Agent10_Loans!B51="","",Agent10_Loans!L51)</f>
        <v/>
      </c>
      <c r="M1839" s="40" t="str">
        <f>IFERROR(IF(Agent10_Loans!B51="","",YEAR(Agent10_Loans!D51)),"")</f>
        <v/>
      </c>
    </row>
    <row r="1840" spans="1:13" ht="18" customHeight="1" x14ac:dyDescent="0.25">
      <c r="A1840" s="40" t="str">
        <f>IF(Agent10_Loans!B52="","",Agent10_Loans!A52)</f>
        <v/>
      </c>
      <c r="B1840" s="40" t="str">
        <f>IF(Agent10_Loans!B52="","",Agent10_Loans!B52)</f>
        <v/>
      </c>
      <c r="C1840" s="40" t="str">
        <f>IF(Agent10_Loans!B52="","",Agent10_Loans!C52)</f>
        <v/>
      </c>
      <c r="D1840" s="41" t="str">
        <f>IF(Agent10_Loans!B52="","",Agent10_Loans!D52)</f>
        <v/>
      </c>
      <c r="E1840" s="43" t="str">
        <f>IF(Agent10_Loans!B52="","",Agent10_Loans!E52)</f>
        <v/>
      </c>
      <c r="F1840" s="40" t="str">
        <f>IF(Agent10_Loans!B52="","",Agent10_Loans!F52)</f>
        <v/>
      </c>
      <c r="G1840" s="40" t="str">
        <f>IF(Agent10_Loans!B52="","",Agent10_Loans!G52)</f>
        <v/>
      </c>
      <c r="H1840" s="40" t="str">
        <f>IF(Agent10_Loans!B52="","",Agent10_Loans!H52)</f>
        <v/>
      </c>
      <c r="I1840" s="43" t="str">
        <f>IF(Agent10_Loans!B52="","",Agent10_Loans!I52)</f>
        <v/>
      </c>
      <c r="J1840" s="43" t="str">
        <f>IF(Agent10_Loans!B52="","",Agent10_Loans!J52)</f>
        <v/>
      </c>
      <c r="K1840" s="40" t="str">
        <f>IF(Agent10_Loans!B52="","",Agent10_Loans!K52)</f>
        <v/>
      </c>
      <c r="L1840" s="40" t="str">
        <f>IF(Agent10_Loans!B52="","",Agent10_Loans!L52)</f>
        <v/>
      </c>
      <c r="M1840" s="40" t="str">
        <f>IFERROR(IF(Agent10_Loans!B52="","",YEAR(Agent10_Loans!D52)),"")</f>
        <v/>
      </c>
    </row>
    <row r="1841" spans="1:13" ht="18" customHeight="1" x14ac:dyDescent="0.25">
      <c r="A1841" s="40" t="str">
        <f>IF(Agent10_Loans!B53="","",Agent10_Loans!A53)</f>
        <v/>
      </c>
      <c r="B1841" s="40" t="str">
        <f>IF(Agent10_Loans!B53="","",Agent10_Loans!B53)</f>
        <v/>
      </c>
      <c r="C1841" s="40" t="str">
        <f>IF(Agent10_Loans!B53="","",Agent10_Loans!C53)</f>
        <v/>
      </c>
      <c r="D1841" s="41" t="str">
        <f>IF(Agent10_Loans!B53="","",Agent10_Loans!D53)</f>
        <v/>
      </c>
      <c r="E1841" s="43" t="str">
        <f>IF(Agent10_Loans!B53="","",Agent10_Loans!E53)</f>
        <v/>
      </c>
      <c r="F1841" s="40" t="str">
        <f>IF(Agent10_Loans!B53="","",Agent10_Loans!F53)</f>
        <v/>
      </c>
      <c r="G1841" s="40" t="str">
        <f>IF(Agent10_Loans!B53="","",Agent10_Loans!G53)</f>
        <v/>
      </c>
      <c r="H1841" s="40" t="str">
        <f>IF(Agent10_Loans!B53="","",Agent10_Loans!H53)</f>
        <v/>
      </c>
      <c r="I1841" s="43" t="str">
        <f>IF(Agent10_Loans!B53="","",Agent10_Loans!I53)</f>
        <v/>
      </c>
      <c r="J1841" s="43" t="str">
        <f>IF(Agent10_Loans!B53="","",Agent10_Loans!J53)</f>
        <v/>
      </c>
      <c r="K1841" s="40" t="str">
        <f>IF(Agent10_Loans!B53="","",Agent10_Loans!K53)</f>
        <v/>
      </c>
      <c r="L1841" s="40" t="str">
        <f>IF(Agent10_Loans!B53="","",Agent10_Loans!L53)</f>
        <v/>
      </c>
      <c r="M1841" s="40" t="str">
        <f>IFERROR(IF(Agent10_Loans!B53="","",YEAR(Agent10_Loans!D53)),"")</f>
        <v/>
      </c>
    </row>
    <row r="1842" spans="1:13" ht="18" customHeight="1" x14ac:dyDescent="0.25">
      <c r="A1842" s="40" t="str">
        <f>IF(Agent10_Loans!B54="","",Agent10_Loans!A54)</f>
        <v/>
      </c>
      <c r="B1842" s="40" t="str">
        <f>IF(Agent10_Loans!B54="","",Agent10_Loans!B54)</f>
        <v/>
      </c>
      <c r="C1842" s="40" t="str">
        <f>IF(Agent10_Loans!B54="","",Agent10_Loans!C54)</f>
        <v/>
      </c>
      <c r="D1842" s="41" t="str">
        <f>IF(Agent10_Loans!B54="","",Agent10_Loans!D54)</f>
        <v/>
      </c>
      <c r="E1842" s="43" t="str">
        <f>IF(Agent10_Loans!B54="","",Agent10_Loans!E54)</f>
        <v/>
      </c>
      <c r="F1842" s="40" t="str">
        <f>IF(Agent10_Loans!B54="","",Agent10_Loans!F54)</f>
        <v/>
      </c>
      <c r="G1842" s="40" t="str">
        <f>IF(Agent10_Loans!B54="","",Agent10_Loans!G54)</f>
        <v/>
      </c>
      <c r="H1842" s="40" t="str">
        <f>IF(Agent10_Loans!B54="","",Agent10_Loans!H54)</f>
        <v/>
      </c>
      <c r="I1842" s="43" t="str">
        <f>IF(Agent10_Loans!B54="","",Agent10_Loans!I54)</f>
        <v/>
      </c>
      <c r="J1842" s="43" t="str">
        <f>IF(Agent10_Loans!B54="","",Agent10_Loans!J54)</f>
        <v/>
      </c>
      <c r="K1842" s="40" t="str">
        <f>IF(Agent10_Loans!B54="","",Agent10_Loans!K54)</f>
        <v/>
      </c>
      <c r="L1842" s="40" t="str">
        <f>IF(Agent10_Loans!B54="","",Agent10_Loans!L54)</f>
        <v/>
      </c>
      <c r="M1842" s="40" t="str">
        <f>IFERROR(IF(Agent10_Loans!B54="","",YEAR(Agent10_Loans!D54)),"")</f>
        <v/>
      </c>
    </row>
    <row r="1843" spans="1:13" ht="18" customHeight="1" x14ac:dyDescent="0.25">
      <c r="A1843" s="40" t="str">
        <f>IF(Agent10_Loans!B55="","",Agent10_Loans!A55)</f>
        <v/>
      </c>
      <c r="B1843" s="40" t="str">
        <f>IF(Agent10_Loans!B55="","",Agent10_Loans!B55)</f>
        <v/>
      </c>
      <c r="C1843" s="40" t="str">
        <f>IF(Agent10_Loans!B55="","",Agent10_Loans!C55)</f>
        <v/>
      </c>
      <c r="D1843" s="41" t="str">
        <f>IF(Agent10_Loans!B55="","",Agent10_Loans!D55)</f>
        <v/>
      </c>
      <c r="E1843" s="43" t="str">
        <f>IF(Agent10_Loans!B55="","",Agent10_Loans!E55)</f>
        <v/>
      </c>
      <c r="F1843" s="40" t="str">
        <f>IF(Agent10_Loans!B55="","",Agent10_Loans!F55)</f>
        <v/>
      </c>
      <c r="G1843" s="40" t="str">
        <f>IF(Agent10_Loans!B55="","",Agent10_Loans!G55)</f>
        <v/>
      </c>
      <c r="H1843" s="40" t="str">
        <f>IF(Agent10_Loans!B55="","",Agent10_Loans!H55)</f>
        <v/>
      </c>
      <c r="I1843" s="43" t="str">
        <f>IF(Agent10_Loans!B55="","",Agent10_Loans!I55)</f>
        <v/>
      </c>
      <c r="J1843" s="43" t="str">
        <f>IF(Agent10_Loans!B55="","",Agent10_Loans!J55)</f>
        <v/>
      </c>
      <c r="K1843" s="40" t="str">
        <f>IF(Agent10_Loans!B55="","",Agent10_Loans!K55)</f>
        <v/>
      </c>
      <c r="L1843" s="40" t="str">
        <f>IF(Agent10_Loans!B55="","",Agent10_Loans!L55)</f>
        <v/>
      </c>
      <c r="M1843" s="40" t="str">
        <f>IFERROR(IF(Agent10_Loans!B55="","",YEAR(Agent10_Loans!D55)),"")</f>
        <v/>
      </c>
    </row>
    <row r="1844" spans="1:13" ht="18" customHeight="1" x14ac:dyDescent="0.25">
      <c r="A1844" s="40" t="str">
        <f>IF(Agent10_Loans!B56="","",Agent10_Loans!A56)</f>
        <v/>
      </c>
      <c r="B1844" s="40" t="str">
        <f>IF(Agent10_Loans!B56="","",Agent10_Loans!B56)</f>
        <v/>
      </c>
      <c r="C1844" s="40" t="str">
        <f>IF(Agent10_Loans!B56="","",Agent10_Loans!C56)</f>
        <v/>
      </c>
      <c r="D1844" s="41" t="str">
        <f>IF(Agent10_Loans!B56="","",Agent10_Loans!D56)</f>
        <v/>
      </c>
      <c r="E1844" s="43" t="str">
        <f>IF(Agent10_Loans!B56="","",Agent10_Loans!E56)</f>
        <v/>
      </c>
      <c r="F1844" s="40" t="str">
        <f>IF(Agent10_Loans!B56="","",Agent10_Loans!F56)</f>
        <v/>
      </c>
      <c r="G1844" s="40" t="str">
        <f>IF(Agent10_Loans!B56="","",Agent10_Loans!G56)</f>
        <v/>
      </c>
      <c r="H1844" s="40" t="str">
        <f>IF(Agent10_Loans!B56="","",Agent10_Loans!H56)</f>
        <v/>
      </c>
      <c r="I1844" s="43" t="str">
        <f>IF(Agent10_Loans!B56="","",Agent10_Loans!I56)</f>
        <v/>
      </c>
      <c r="J1844" s="43" t="str">
        <f>IF(Agent10_Loans!B56="","",Agent10_Loans!J56)</f>
        <v/>
      </c>
      <c r="K1844" s="40" t="str">
        <f>IF(Agent10_Loans!B56="","",Agent10_Loans!K56)</f>
        <v/>
      </c>
      <c r="L1844" s="40" t="str">
        <f>IF(Agent10_Loans!B56="","",Agent10_Loans!L56)</f>
        <v/>
      </c>
      <c r="M1844" s="40" t="str">
        <f>IFERROR(IF(Agent10_Loans!B56="","",YEAR(Agent10_Loans!D56)),"")</f>
        <v/>
      </c>
    </row>
    <row r="1845" spans="1:13" ht="18" customHeight="1" x14ac:dyDescent="0.25">
      <c r="A1845" s="40" t="str">
        <f>IF(Agent10_Loans!B57="","",Agent10_Loans!A57)</f>
        <v/>
      </c>
      <c r="B1845" s="40" t="str">
        <f>IF(Agent10_Loans!B57="","",Agent10_Loans!B57)</f>
        <v/>
      </c>
      <c r="C1845" s="40" t="str">
        <f>IF(Agent10_Loans!B57="","",Agent10_Loans!C57)</f>
        <v/>
      </c>
      <c r="D1845" s="41" t="str">
        <f>IF(Agent10_Loans!B57="","",Agent10_Loans!D57)</f>
        <v/>
      </c>
      <c r="E1845" s="43" t="str">
        <f>IF(Agent10_Loans!B57="","",Agent10_Loans!E57)</f>
        <v/>
      </c>
      <c r="F1845" s="40" t="str">
        <f>IF(Agent10_Loans!B57="","",Agent10_Loans!F57)</f>
        <v/>
      </c>
      <c r="G1845" s="40" t="str">
        <f>IF(Agent10_Loans!B57="","",Agent10_Loans!G57)</f>
        <v/>
      </c>
      <c r="H1845" s="40" t="str">
        <f>IF(Agent10_Loans!B57="","",Agent10_Loans!H57)</f>
        <v/>
      </c>
      <c r="I1845" s="43" t="str">
        <f>IF(Agent10_Loans!B57="","",Agent10_Loans!I57)</f>
        <v/>
      </c>
      <c r="J1845" s="43" t="str">
        <f>IF(Agent10_Loans!B57="","",Agent10_Loans!J57)</f>
        <v/>
      </c>
      <c r="K1845" s="40" t="str">
        <f>IF(Agent10_Loans!B57="","",Agent10_Loans!K57)</f>
        <v/>
      </c>
      <c r="L1845" s="40" t="str">
        <f>IF(Agent10_Loans!B57="","",Agent10_Loans!L57)</f>
        <v/>
      </c>
      <c r="M1845" s="40" t="str">
        <f>IFERROR(IF(Agent10_Loans!B57="","",YEAR(Agent10_Loans!D57)),"")</f>
        <v/>
      </c>
    </row>
    <row r="1846" spans="1:13" ht="18" customHeight="1" x14ac:dyDescent="0.25">
      <c r="A1846" s="40" t="str">
        <f>IF(Agent10_Loans!B58="","",Agent10_Loans!A58)</f>
        <v/>
      </c>
      <c r="B1846" s="40" t="str">
        <f>IF(Agent10_Loans!B58="","",Agent10_Loans!B58)</f>
        <v/>
      </c>
      <c r="C1846" s="40" t="str">
        <f>IF(Agent10_Loans!B58="","",Agent10_Loans!C58)</f>
        <v/>
      </c>
      <c r="D1846" s="41" t="str">
        <f>IF(Agent10_Loans!B58="","",Agent10_Loans!D58)</f>
        <v/>
      </c>
      <c r="E1846" s="43" t="str">
        <f>IF(Agent10_Loans!B58="","",Agent10_Loans!E58)</f>
        <v/>
      </c>
      <c r="F1846" s="40" t="str">
        <f>IF(Agent10_Loans!B58="","",Agent10_Loans!F58)</f>
        <v/>
      </c>
      <c r="G1846" s="40" t="str">
        <f>IF(Agent10_Loans!B58="","",Agent10_Loans!G58)</f>
        <v/>
      </c>
      <c r="H1846" s="40" t="str">
        <f>IF(Agent10_Loans!B58="","",Agent10_Loans!H58)</f>
        <v/>
      </c>
      <c r="I1846" s="43" t="str">
        <f>IF(Agent10_Loans!B58="","",Agent10_Loans!I58)</f>
        <v/>
      </c>
      <c r="J1846" s="43" t="str">
        <f>IF(Agent10_Loans!B58="","",Agent10_Loans!J58)</f>
        <v/>
      </c>
      <c r="K1846" s="40" t="str">
        <f>IF(Agent10_Loans!B58="","",Agent10_Loans!K58)</f>
        <v/>
      </c>
      <c r="L1846" s="40" t="str">
        <f>IF(Agent10_Loans!B58="","",Agent10_Loans!L58)</f>
        <v/>
      </c>
      <c r="M1846" s="40" t="str">
        <f>IFERROR(IF(Agent10_Loans!B58="","",YEAR(Agent10_Loans!D58)),"")</f>
        <v/>
      </c>
    </row>
    <row r="1847" spans="1:13" ht="18" customHeight="1" x14ac:dyDescent="0.25">
      <c r="A1847" s="40" t="str">
        <f>IF(Agent10_Loans!B59="","",Agent10_Loans!A59)</f>
        <v/>
      </c>
      <c r="B1847" s="40" t="str">
        <f>IF(Agent10_Loans!B59="","",Agent10_Loans!B59)</f>
        <v/>
      </c>
      <c r="C1847" s="40" t="str">
        <f>IF(Agent10_Loans!B59="","",Agent10_Loans!C59)</f>
        <v/>
      </c>
      <c r="D1847" s="41" t="str">
        <f>IF(Agent10_Loans!B59="","",Agent10_Loans!D59)</f>
        <v/>
      </c>
      <c r="E1847" s="43" t="str">
        <f>IF(Agent10_Loans!B59="","",Agent10_Loans!E59)</f>
        <v/>
      </c>
      <c r="F1847" s="40" t="str">
        <f>IF(Agent10_Loans!B59="","",Agent10_Loans!F59)</f>
        <v/>
      </c>
      <c r="G1847" s="40" t="str">
        <f>IF(Agent10_Loans!B59="","",Agent10_Loans!G59)</f>
        <v/>
      </c>
      <c r="H1847" s="40" t="str">
        <f>IF(Agent10_Loans!B59="","",Agent10_Loans!H59)</f>
        <v/>
      </c>
      <c r="I1847" s="43" t="str">
        <f>IF(Agent10_Loans!B59="","",Agent10_Loans!I59)</f>
        <v/>
      </c>
      <c r="J1847" s="43" t="str">
        <f>IF(Agent10_Loans!B59="","",Agent10_Loans!J59)</f>
        <v/>
      </c>
      <c r="K1847" s="40" t="str">
        <f>IF(Agent10_Loans!B59="","",Agent10_Loans!K59)</f>
        <v/>
      </c>
      <c r="L1847" s="40" t="str">
        <f>IF(Agent10_Loans!B59="","",Agent10_Loans!L59)</f>
        <v/>
      </c>
      <c r="M1847" s="40" t="str">
        <f>IFERROR(IF(Agent10_Loans!B59="","",YEAR(Agent10_Loans!D59)),"")</f>
        <v/>
      </c>
    </row>
    <row r="1848" spans="1:13" ht="18" customHeight="1" x14ac:dyDescent="0.25">
      <c r="A1848" s="40" t="str">
        <f>IF(Agent10_Loans!B60="","",Agent10_Loans!A60)</f>
        <v/>
      </c>
      <c r="B1848" s="40" t="str">
        <f>IF(Agent10_Loans!B60="","",Agent10_Loans!B60)</f>
        <v/>
      </c>
      <c r="C1848" s="40" t="str">
        <f>IF(Agent10_Loans!B60="","",Agent10_Loans!C60)</f>
        <v/>
      </c>
      <c r="D1848" s="41" t="str">
        <f>IF(Agent10_Loans!B60="","",Agent10_Loans!D60)</f>
        <v/>
      </c>
      <c r="E1848" s="43" t="str">
        <f>IF(Agent10_Loans!B60="","",Agent10_Loans!E60)</f>
        <v/>
      </c>
      <c r="F1848" s="40" t="str">
        <f>IF(Agent10_Loans!B60="","",Agent10_Loans!F60)</f>
        <v/>
      </c>
      <c r="G1848" s="40" t="str">
        <f>IF(Agent10_Loans!B60="","",Agent10_Loans!G60)</f>
        <v/>
      </c>
      <c r="H1848" s="40" t="str">
        <f>IF(Agent10_Loans!B60="","",Agent10_Loans!H60)</f>
        <v/>
      </c>
      <c r="I1848" s="43" t="str">
        <f>IF(Agent10_Loans!B60="","",Agent10_Loans!I60)</f>
        <v/>
      </c>
      <c r="J1848" s="43" t="str">
        <f>IF(Agent10_Loans!B60="","",Agent10_Loans!J60)</f>
        <v/>
      </c>
      <c r="K1848" s="40" t="str">
        <f>IF(Agent10_Loans!B60="","",Agent10_Loans!K60)</f>
        <v/>
      </c>
      <c r="L1848" s="40" t="str">
        <f>IF(Agent10_Loans!B60="","",Agent10_Loans!L60)</f>
        <v/>
      </c>
      <c r="M1848" s="40" t="str">
        <f>IFERROR(IF(Agent10_Loans!B60="","",YEAR(Agent10_Loans!D60)),"")</f>
        <v/>
      </c>
    </row>
    <row r="1849" spans="1:13" ht="18" customHeight="1" x14ac:dyDescent="0.25">
      <c r="A1849" s="40" t="str">
        <f>IF(Agent10_Loans!B61="","",Agent10_Loans!A61)</f>
        <v/>
      </c>
      <c r="B1849" s="40" t="str">
        <f>IF(Agent10_Loans!B61="","",Agent10_Loans!B61)</f>
        <v/>
      </c>
      <c r="C1849" s="40" t="str">
        <f>IF(Agent10_Loans!B61="","",Agent10_Loans!C61)</f>
        <v/>
      </c>
      <c r="D1849" s="41" t="str">
        <f>IF(Agent10_Loans!B61="","",Agent10_Loans!D61)</f>
        <v/>
      </c>
      <c r="E1849" s="43" t="str">
        <f>IF(Agent10_Loans!B61="","",Agent10_Loans!E61)</f>
        <v/>
      </c>
      <c r="F1849" s="40" t="str">
        <f>IF(Agent10_Loans!B61="","",Agent10_Loans!F61)</f>
        <v/>
      </c>
      <c r="G1849" s="40" t="str">
        <f>IF(Agent10_Loans!B61="","",Agent10_Loans!G61)</f>
        <v/>
      </c>
      <c r="H1849" s="40" t="str">
        <f>IF(Agent10_Loans!B61="","",Agent10_Loans!H61)</f>
        <v/>
      </c>
      <c r="I1849" s="43" t="str">
        <f>IF(Agent10_Loans!B61="","",Agent10_Loans!I61)</f>
        <v/>
      </c>
      <c r="J1849" s="43" t="str">
        <f>IF(Agent10_Loans!B61="","",Agent10_Loans!J61)</f>
        <v/>
      </c>
      <c r="K1849" s="40" t="str">
        <f>IF(Agent10_Loans!B61="","",Agent10_Loans!K61)</f>
        <v/>
      </c>
      <c r="L1849" s="40" t="str">
        <f>IF(Agent10_Loans!B61="","",Agent10_Loans!L61)</f>
        <v/>
      </c>
      <c r="M1849" s="40" t="str">
        <f>IFERROR(IF(Agent10_Loans!B61="","",YEAR(Agent10_Loans!D61)),"")</f>
        <v/>
      </c>
    </row>
    <row r="1850" spans="1:13" ht="18" customHeight="1" x14ac:dyDescent="0.25">
      <c r="A1850" s="40" t="str">
        <f>IF(Agent10_Loans!B62="","",Agent10_Loans!A62)</f>
        <v/>
      </c>
      <c r="B1850" s="40" t="str">
        <f>IF(Agent10_Loans!B62="","",Agent10_Loans!B62)</f>
        <v/>
      </c>
      <c r="C1850" s="40" t="str">
        <f>IF(Agent10_Loans!B62="","",Agent10_Loans!C62)</f>
        <v/>
      </c>
      <c r="D1850" s="41" t="str">
        <f>IF(Agent10_Loans!B62="","",Agent10_Loans!D62)</f>
        <v/>
      </c>
      <c r="E1850" s="43" t="str">
        <f>IF(Agent10_Loans!B62="","",Agent10_Loans!E62)</f>
        <v/>
      </c>
      <c r="F1850" s="40" t="str">
        <f>IF(Agent10_Loans!B62="","",Agent10_Loans!F62)</f>
        <v/>
      </c>
      <c r="G1850" s="40" t="str">
        <f>IF(Agent10_Loans!B62="","",Agent10_Loans!G62)</f>
        <v/>
      </c>
      <c r="H1850" s="40" t="str">
        <f>IF(Agent10_Loans!B62="","",Agent10_Loans!H62)</f>
        <v/>
      </c>
      <c r="I1850" s="43" t="str">
        <f>IF(Agent10_Loans!B62="","",Agent10_Loans!I62)</f>
        <v/>
      </c>
      <c r="J1850" s="43" t="str">
        <f>IF(Agent10_Loans!B62="","",Agent10_Loans!J62)</f>
        <v/>
      </c>
      <c r="K1850" s="40" t="str">
        <f>IF(Agent10_Loans!B62="","",Agent10_Loans!K62)</f>
        <v/>
      </c>
      <c r="L1850" s="40" t="str">
        <f>IF(Agent10_Loans!B62="","",Agent10_Loans!L62)</f>
        <v/>
      </c>
      <c r="M1850" s="40" t="str">
        <f>IFERROR(IF(Agent10_Loans!B62="","",YEAR(Agent10_Loans!D62)),"")</f>
        <v/>
      </c>
    </row>
    <row r="1851" spans="1:13" ht="18" customHeight="1" x14ac:dyDescent="0.25">
      <c r="A1851" s="40" t="str">
        <f>IF(Agent10_Loans!B63="","",Agent10_Loans!A63)</f>
        <v/>
      </c>
      <c r="B1851" s="40" t="str">
        <f>IF(Agent10_Loans!B63="","",Agent10_Loans!B63)</f>
        <v/>
      </c>
      <c r="C1851" s="40" t="str">
        <f>IF(Agent10_Loans!B63="","",Agent10_Loans!C63)</f>
        <v/>
      </c>
      <c r="D1851" s="41" t="str">
        <f>IF(Agent10_Loans!B63="","",Agent10_Loans!D63)</f>
        <v/>
      </c>
      <c r="E1851" s="43" t="str">
        <f>IF(Agent10_Loans!B63="","",Agent10_Loans!E63)</f>
        <v/>
      </c>
      <c r="F1851" s="40" t="str">
        <f>IF(Agent10_Loans!B63="","",Agent10_Loans!F63)</f>
        <v/>
      </c>
      <c r="G1851" s="40" t="str">
        <f>IF(Agent10_Loans!B63="","",Agent10_Loans!G63)</f>
        <v/>
      </c>
      <c r="H1851" s="40" t="str">
        <f>IF(Agent10_Loans!B63="","",Agent10_Loans!H63)</f>
        <v/>
      </c>
      <c r="I1851" s="43" t="str">
        <f>IF(Agent10_Loans!B63="","",Agent10_Loans!I63)</f>
        <v/>
      </c>
      <c r="J1851" s="43" t="str">
        <f>IF(Agent10_Loans!B63="","",Agent10_Loans!J63)</f>
        <v/>
      </c>
      <c r="K1851" s="40" t="str">
        <f>IF(Agent10_Loans!B63="","",Agent10_Loans!K63)</f>
        <v/>
      </c>
      <c r="L1851" s="40" t="str">
        <f>IF(Agent10_Loans!B63="","",Agent10_Loans!L63)</f>
        <v/>
      </c>
      <c r="M1851" s="40" t="str">
        <f>IFERROR(IF(Agent10_Loans!B63="","",YEAR(Agent10_Loans!D63)),"")</f>
        <v/>
      </c>
    </row>
    <row r="1852" spans="1:13" ht="18" customHeight="1" x14ac:dyDescent="0.25">
      <c r="A1852" s="40" t="str">
        <f>IF(Agent10_Loans!B64="","",Agent10_Loans!A64)</f>
        <v/>
      </c>
      <c r="B1852" s="40" t="str">
        <f>IF(Agent10_Loans!B64="","",Agent10_Loans!B64)</f>
        <v/>
      </c>
      <c r="C1852" s="40" t="str">
        <f>IF(Agent10_Loans!B64="","",Agent10_Loans!C64)</f>
        <v/>
      </c>
      <c r="D1852" s="41" t="str">
        <f>IF(Agent10_Loans!B64="","",Agent10_Loans!D64)</f>
        <v/>
      </c>
      <c r="E1852" s="43" t="str">
        <f>IF(Agent10_Loans!B64="","",Agent10_Loans!E64)</f>
        <v/>
      </c>
      <c r="F1852" s="40" t="str">
        <f>IF(Agent10_Loans!B64="","",Agent10_Loans!F64)</f>
        <v/>
      </c>
      <c r="G1852" s="40" t="str">
        <f>IF(Agent10_Loans!B64="","",Agent10_Loans!G64)</f>
        <v/>
      </c>
      <c r="H1852" s="40" t="str">
        <f>IF(Agent10_Loans!B64="","",Agent10_Loans!H64)</f>
        <v/>
      </c>
      <c r="I1852" s="43" t="str">
        <f>IF(Agent10_Loans!B64="","",Agent10_Loans!I64)</f>
        <v/>
      </c>
      <c r="J1852" s="43" t="str">
        <f>IF(Agent10_Loans!B64="","",Agent10_Loans!J64)</f>
        <v/>
      </c>
      <c r="K1852" s="40" t="str">
        <f>IF(Agent10_Loans!B64="","",Agent10_Loans!K64)</f>
        <v/>
      </c>
      <c r="L1852" s="40" t="str">
        <f>IF(Agent10_Loans!B64="","",Agent10_Loans!L64)</f>
        <v/>
      </c>
      <c r="M1852" s="40" t="str">
        <f>IFERROR(IF(Agent10_Loans!B64="","",YEAR(Agent10_Loans!D64)),"")</f>
        <v/>
      </c>
    </row>
    <row r="1853" spans="1:13" ht="18" customHeight="1" x14ac:dyDescent="0.25">
      <c r="A1853" s="40" t="str">
        <f>IF(Agent10_Loans!B65="","",Agent10_Loans!A65)</f>
        <v/>
      </c>
      <c r="B1853" s="40" t="str">
        <f>IF(Agent10_Loans!B65="","",Agent10_Loans!B65)</f>
        <v/>
      </c>
      <c r="C1853" s="40" t="str">
        <f>IF(Agent10_Loans!B65="","",Agent10_Loans!C65)</f>
        <v/>
      </c>
      <c r="D1853" s="41" t="str">
        <f>IF(Agent10_Loans!B65="","",Agent10_Loans!D65)</f>
        <v/>
      </c>
      <c r="E1853" s="43" t="str">
        <f>IF(Agent10_Loans!B65="","",Agent10_Loans!E65)</f>
        <v/>
      </c>
      <c r="F1853" s="40" t="str">
        <f>IF(Agent10_Loans!B65="","",Agent10_Loans!F65)</f>
        <v/>
      </c>
      <c r="G1853" s="40" t="str">
        <f>IF(Agent10_Loans!B65="","",Agent10_Loans!G65)</f>
        <v/>
      </c>
      <c r="H1853" s="40" t="str">
        <f>IF(Agent10_Loans!B65="","",Agent10_Loans!H65)</f>
        <v/>
      </c>
      <c r="I1853" s="43" t="str">
        <f>IF(Agent10_Loans!B65="","",Agent10_Loans!I65)</f>
        <v/>
      </c>
      <c r="J1853" s="43" t="str">
        <f>IF(Agent10_Loans!B65="","",Agent10_Loans!J65)</f>
        <v/>
      </c>
      <c r="K1853" s="40" t="str">
        <f>IF(Agent10_Loans!B65="","",Agent10_Loans!K65)</f>
        <v/>
      </c>
      <c r="L1853" s="40" t="str">
        <f>IF(Agent10_Loans!B65="","",Agent10_Loans!L65)</f>
        <v/>
      </c>
      <c r="M1853" s="40" t="str">
        <f>IFERROR(IF(Agent10_Loans!B65="","",YEAR(Agent10_Loans!D65)),"")</f>
        <v/>
      </c>
    </row>
    <row r="1854" spans="1:13" ht="18" customHeight="1" x14ac:dyDescent="0.25">
      <c r="A1854" s="40" t="str">
        <f>IF(Agent10_Loans!B66="","",Agent10_Loans!A66)</f>
        <v/>
      </c>
      <c r="B1854" s="40" t="str">
        <f>IF(Agent10_Loans!B66="","",Agent10_Loans!B66)</f>
        <v/>
      </c>
      <c r="C1854" s="40" t="str">
        <f>IF(Agent10_Loans!B66="","",Agent10_Loans!C66)</f>
        <v/>
      </c>
      <c r="D1854" s="41" t="str">
        <f>IF(Agent10_Loans!B66="","",Agent10_Loans!D66)</f>
        <v/>
      </c>
      <c r="E1854" s="43" t="str">
        <f>IF(Agent10_Loans!B66="","",Agent10_Loans!E66)</f>
        <v/>
      </c>
      <c r="F1854" s="40" t="str">
        <f>IF(Agent10_Loans!B66="","",Agent10_Loans!F66)</f>
        <v/>
      </c>
      <c r="G1854" s="40" t="str">
        <f>IF(Agent10_Loans!B66="","",Agent10_Loans!G66)</f>
        <v/>
      </c>
      <c r="H1854" s="40" t="str">
        <f>IF(Agent10_Loans!B66="","",Agent10_Loans!H66)</f>
        <v/>
      </c>
      <c r="I1854" s="43" t="str">
        <f>IF(Agent10_Loans!B66="","",Agent10_Loans!I66)</f>
        <v/>
      </c>
      <c r="J1854" s="43" t="str">
        <f>IF(Agent10_Loans!B66="","",Agent10_Loans!J66)</f>
        <v/>
      </c>
      <c r="K1854" s="40" t="str">
        <f>IF(Agent10_Loans!B66="","",Agent10_Loans!K66)</f>
        <v/>
      </c>
      <c r="L1854" s="40" t="str">
        <f>IF(Agent10_Loans!B66="","",Agent10_Loans!L66)</f>
        <v/>
      </c>
      <c r="M1854" s="40" t="str">
        <f>IFERROR(IF(Agent10_Loans!B66="","",YEAR(Agent10_Loans!D66)),"")</f>
        <v/>
      </c>
    </row>
    <row r="1855" spans="1:13" ht="18" customHeight="1" x14ac:dyDescent="0.25">
      <c r="A1855" s="40" t="str">
        <f>IF(Agent10_Loans!B67="","",Agent10_Loans!A67)</f>
        <v/>
      </c>
      <c r="B1855" s="40" t="str">
        <f>IF(Agent10_Loans!B67="","",Agent10_Loans!B67)</f>
        <v/>
      </c>
      <c r="C1855" s="40" t="str">
        <f>IF(Agent10_Loans!B67="","",Agent10_Loans!C67)</f>
        <v/>
      </c>
      <c r="D1855" s="41" t="str">
        <f>IF(Agent10_Loans!B67="","",Agent10_Loans!D67)</f>
        <v/>
      </c>
      <c r="E1855" s="43" t="str">
        <f>IF(Agent10_Loans!B67="","",Agent10_Loans!E67)</f>
        <v/>
      </c>
      <c r="F1855" s="40" t="str">
        <f>IF(Agent10_Loans!B67="","",Agent10_Loans!F67)</f>
        <v/>
      </c>
      <c r="G1855" s="40" t="str">
        <f>IF(Agent10_Loans!B67="","",Agent10_Loans!G67)</f>
        <v/>
      </c>
      <c r="H1855" s="40" t="str">
        <f>IF(Agent10_Loans!B67="","",Agent10_Loans!H67)</f>
        <v/>
      </c>
      <c r="I1855" s="43" t="str">
        <f>IF(Agent10_Loans!B67="","",Agent10_Loans!I67)</f>
        <v/>
      </c>
      <c r="J1855" s="43" t="str">
        <f>IF(Agent10_Loans!B67="","",Agent10_Loans!J67)</f>
        <v/>
      </c>
      <c r="K1855" s="40" t="str">
        <f>IF(Agent10_Loans!B67="","",Agent10_Loans!K67)</f>
        <v/>
      </c>
      <c r="L1855" s="40" t="str">
        <f>IF(Agent10_Loans!B67="","",Agent10_Loans!L67)</f>
        <v/>
      </c>
      <c r="M1855" s="40" t="str">
        <f>IFERROR(IF(Agent10_Loans!B67="","",YEAR(Agent10_Loans!D67)),"")</f>
        <v/>
      </c>
    </row>
    <row r="1856" spans="1:13" ht="18" customHeight="1" x14ac:dyDescent="0.25">
      <c r="A1856" s="40" t="str">
        <f>IF(Agent10_Loans!B68="","",Agent10_Loans!A68)</f>
        <v/>
      </c>
      <c r="B1856" s="40" t="str">
        <f>IF(Agent10_Loans!B68="","",Agent10_Loans!B68)</f>
        <v/>
      </c>
      <c r="C1856" s="40" t="str">
        <f>IF(Agent10_Loans!B68="","",Agent10_Loans!C68)</f>
        <v/>
      </c>
      <c r="D1856" s="41" t="str">
        <f>IF(Agent10_Loans!B68="","",Agent10_Loans!D68)</f>
        <v/>
      </c>
      <c r="E1856" s="43" t="str">
        <f>IF(Agent10_Loans!B68="","",Agent10_Loans!E68)</f>
        <v/>
      </c>
      <c r="F1856" s="40" t="str">
        <f>IF(Agent10_Loans!B68="","",Agent10_Loans!F68)</f>
        <v/>
      </c>
      <c r="G1856" s="40" t="str">
        <f>IF(Agent10_Loans!B68="","",Agent10_Loans!G68)</f>
        <v/>
      </c>
      <c r="H1856" s="40" t="str">
        <f>IF(Agent10_Loans!B68="","",Agent10_Loans!H68)</f>
        <v/>
      </c>
      <c r="I1856" s="43" t="str">
        <f>IF(Agent10_Loans!B68="","",Agent10_Loans!I68)</f>
        <v/>
      </c>
      <c r="J1856" s="43" t="str">
        <f>IF(Agent10_Loans!B68="","",Agent10_Loans!J68)</f>
        <v/>
      </c>
      <c r="K1856" s="40" t="str">
        <f>IF(Agent10_Loans!B68="","",Agent10_Loans!K68)</f>
        <v/>
      </c>
      <c r="L1856" s="40" t="str">
        <f>IF(Agent10_Loans!B68="","",Agent10_Loans!L68)</f>
        <v/>
      </c>
      <c r="M1856" s="40" t="str">
        <f>IFERROR(IF(Agent10_Loans!B68="","",YEAR(Agent10_Loans!D68)),"")</f>
        <v/>
      </c>
    </row>
    <row r="1857" spans="1:13" ht="18" customHeight="1" x14ac:dyDescent="0.25">
      <c r="A1857" s="40" t="str">
        <f>IF(Agent10_Loans!B69="","",Agent10_Loans!A69)</f>
        <v/>
      </c>
      <c r="B1857" s="40" t="str">
        <f>IF(Agent10_Loans!B69="","",Agent10_Loans!B69)</f>
        <v/>
      </c>
      <c r="C1857" s="40" t="str">
        <f>IF(Agent10_Loans!B69="","",Agent10_Loans!C69)</f>
        <v/>
      </c>
      <c r="D1857" s="41" t="str">
        <f>IF(Agent10_Loans!B69="","",Agent10_Loans!D69)</f>
        <v/>
      </c>
      <c r="E1857" s="43" t="str">
        <f>IF(Agent10_Loans!B69="","",Agent10_Loans!E69)</f>
        <v/>
      </c>
      <c r="F1857" s="40" t="str">
        <f>IF(Agent10_Loans!B69="","",Agent10_Loans!F69)</f>
        <v/>
      </c>
      <c r="G1857" s="40" t="str">
        <f>IF(Agent10_Loans!B69="","",Agent10_Loans!G69)</f>
        <v/>
      </c>
      <c r="H1857" s="40" t="str">
        <f>IF(Agent10_Loans!B69="","",Agent10_Loans!H69)</f>
        <v/>
      </c>
      <c r="I1857" s="43" t="str">
        <f>IF(Agent10_Loans!B69="","",Agent10_Loans!I69)</f>
        <v/>
      </c>
      <c r="J1857" s="43" t="str">
        <f>IF(Agent10_Loans!B69="","",Agent10_Loans!J69)</f>
        <v/>
      </c>
      <c r="K1857" s="40" t="str">
        <f>IF(Agent10_Loans!B69="","",Agent10_Loans!K69)</f>
        <v/>
      </c>
      <c r="L1857" s="40" t="str">
        <f>IF(Agent10_Loans!B69="","",Agent10_Loans!L69)</f>
        <v/>
      </c>
      <c r="M1857" s="40" t="str">
        <f>IFERROR(IF(Agent10_Loans!B69="","",YEAR(Agent10_Loans!D69)),"")</f>
        <v/>
      </c>
    </row>
    <row r="1858" spans="1:13" ht="18" customHeight="1" x14ac:dyDescent="0.25">
      <c r="A1858" s="40" t="str">
        <f>IF(Agent10_Loans!B70="","",Agent10_Loans!A70)</f>
        <v/>
      </c>
      <c r="B1858" s="40" t="str">
        <f>IF(Agent10_Loans!B70="","",Agent10_Loans!B70)</f>
        <v/>
      </c>
      <c r="C1858" s="40" t="str">
        <f>IF(Agent10_Loans!B70="","",Agent10_Loans!C70)</f>
        <v/>
      </c>
      <c r="D1858" s="41" t="str">
        <f>IF(Agent10_Loans!B70="","",Agent10_Loans!D70)</f>
        <v/>
      </c>
      <c r="E1858" s="43" t="str">
        <f>IF(Agent10_Loans!B70="","",Agent10_Loans!E70)</f>
        <v/>
      </c>
      <c r="F1858" s="40" t="str">
        <f>IF(Agent10_Loans!B70="","",Agent10_Loans!F70)</f>
        <v/>
      </c>
      <c r="G1858" s="40" t="str">
        <f>IF(Agent10_Loans!B70="","",Agent10_Loans!G70)</f>
        <v/>
      </c>
      <c r="H1858" s="40" t="str">
        <f>IF(Agent10_Loans!B70="","",Agent10_Loans!H70)</f>
        <v/>
      </c>
      <c r="I1858" s="43" t="str">
        <f>IF(Agent10_Loans!B70="","",Agent10_Loans!I70)</f>
        <v/>
      </c>
      <c r="J1858" s="43" t="str">
        <f>IF(Agent10_Loans!B70="","",Agent10_Loans!J70)</f>
        <v/>
      </c>
      <c r="K1858" s="40" t="str">
        <f>IF(Agent10_Loans!B70="","",Agent10_Loans!K70)</f>
        <v/>
      </c>
      <c r="L1858" s="40" t="str">
        <f>IF(Agent10_Loans!B70="","",Agent10_Loans!L70)</f>
        <v/>
      </c>
      <c r="M1858" s="40" t="str">
        <f>IFERROR(IF(Agent10_Loans!B70="","",YEAR(Agent10_Loans!D70)),"")</f>
        <v/>
      </c>
    </row>
    <row r="1859" spans="1:13" ht="18" customHeight="1" x14ac:dyDescent="0.25">
      <c r="A1859" s="40" t="str">
        <f>IF(Agent10_Loans!B71="","",Agent10_Loans!A71)</f>
        <v/>
      </c>
      <c r="B1859" s="40" t="str">
        <f>IF(Agent10_Loans!B71="","",Agent10_Loans!B71)</f>
        <v/>
      </c>
      <c r="C1859" s="40" t="str">
        <f>IF(Agent10_Loans!B71="","",Agent10_Loans!C71)</f>
        <v/>
      </c>
      <c r="D1859" s="41" t="str">
        <f>IF(Agent10_Loans!B71="","",Agent10_Loans!D71)</f>
        <v/>
      </c>
      <c r="E1859" s="43" t="str">
        <f>IF(Agent10_Loans!B71="","",Agent10_Loans!E71)</f>
        <v/>
      </c>
      <c r="F1859" s="40" t="str">
        <f>IF(Agent10_Loans!B71="","",Agent10_Loans!F71)</f>
        <v/>
      </c>
      <c r="G1859" s="40" t="str">
        <f>IF(Agent10_Loans!B71="","",Agent10_Loans!G71)</f>
        <v/>
      </c>
      <c r="H1859" s="40" t="str">
        <f>IF(Agent10_Loans!B71="","",Agent10_Loans!H71)</f>
        <v/>
      </c>
      <c r="I1859" s="43" t="str">
        <f>IF(Agent10_Loans!B71="","",Agent10_Loans!I71)</f>
        <v/>
      </c>
      <c r="J1859" s="43" t="str">
        <f>IF(Agent10_Loans!B71="","",Agent10_Loans!J71)</f>
        <v/>
      </c>
      <c r="K1859" s="40" t="str">
        <f>IF(Agent10_Loans!B71="","",Agent10_Loans!K71)</f>
        <v/>
      </c>
      <c r="L1859" s="40" t="str">
        <f>IF(Agent10_Loans!B71="","",Agent10_Loans!L71)</f>
        <v/>
      </c>
      <c r="M1859" s="40" t="str">
        <f>IFERROR(IF(Agent10_Loans!B71="","",YEAR(Agent10_Loans!D71)),"")</f>
        <v/>
      </c>
    </row>
    <row r="1860" spans="1:13" ht="18" customHeight="1" x14ac:dyDescent="0.25">
      <c r="A1860" s="40" t="str">
        <f>IF(Agent10_Loans!B72="","",Agent10_Loans!A72)</f>
        <v/>
      </c>
      <c r="B1860" s="40" t="str">
        <f>IF(Agent10_Loans!B72="","",Agent10_Loans!B72)</f>
        <v/>
      </c>
      <c r="C1860" s="40" t="str">
        <f>IF(Agent10_Loans!B72="","",Agent10_Loans!C72)</f>
        <v/>
      </c>
      <c r="D1860" s="41" t="str">
        <f>IF(Agent10_Loans!B72="","",Agent10_Loans!D72)</f>
        <v/>
      </c>
      <c r="E1860" s="43" t="str">
        <f>IF(Agent10_Loans!B72="","",Agent10_Loans!E72)</f>
        <v/>
      </c>
      <c r="F1860" s="40" t="str">
        <f>IF(Agent10_Loans!B72="","",Agent10_Loans!F72)</f>
        <v/>
      </c>
      <c r="G1860" s="40" t="str">
        <f>IF(Agent10_Loans!B72="","",Agent10_Loans!G72)</f>
        <v/>
      </c>
      <c r="H1860" s="40" t="str">
        <f>IF(Agent10_Loans!B72="","",Agent10_Loans!H72)</f>
        <v/>
      </c>
      <c r="I1860" s="43" t="str">
        <f>IF(Agent10_Loans!B72="","",Agent10_Loans!I72)</f>
        <v/>
      </c>
      <c r="J1860" s="43" t="str">
        <f>IF(Agent10_Loans!B72="","",Agent10_Loans!J72)</f>
        <v/>
      </c>
      <c r="K1860" s="40" t="str">
        <f>IF(Agent10_Loans!B72="","",Agent10_Loans!K72)</f>
        <v/>
      </c>
      <c r="L1860" s="40" t="str">
        <f>IF(Agent10_Loans!B72="","",Agent10_Loans!L72)</f>
        <v/>
      </c>
      <c r="M1860" s="40" t="str">
        <f>IFERROR(IF(Agent10_Loans!B72="","",YEAR(Agent10_Loans!D72)),"")</f>
        <v/>
      </c>
    </row>
    <row r="1861" spans="1:13" ht="18" customHeight="1" x14ac:dyDescent="0.25">
      <c r="A1861" s="40" t="str">
        <f>IF(Agent10_Loans!B73="","",Agent10_Loans!A73)</f>
        <v/>
      </c>
      <c r="B1861" s="40" t="str">
        <f>IF(Agent10_Loans!B73="","",Agent10_Loans!B73)</f>
        <v/>
      </c>
      <c r="C1861" s="40" t="str">
        <f>IF(Agent10_Loans!B73="","",Agent10_Loans!C73)</f>
        <v/>
      </c>
      <c r="D1861" s="41" t="str">
        <f>IF(Agent10_Loans!B73="","",Agent10_Loans!D73)</f>
        <v/>
      </c>
      <c r="E1861" s="43" t="str">
        <f>IF(Agent10_Loans!B73="","",Agent10_Loans!E73)</f>
        <v/>
      </c>
      <c r="F1861" s="40" t="str">
        <f>IF(Agent10_Loans!B73="","",Agent10_Loans!F73)</f>
        <v/>
      </c>
      <c r="G1861" s="40" t="str">
        <f>IF(Agent10_Loans!B73="","",Agent10_Loans!G73)</f>
        <v/>
      </c>
      <c r="H1861" s="40" t="str">
        <f>IF(Agent10_Loans!B73="","",Agent10_Loans!H73)</f>
        <v/>
      </c>
      <c r="I1861" s="43" t="str">
        <f>IF(Agent10_Loans!B73="","",Agent10_Loans!I73)</f>
        <v/>
      </c>
      <c r="J1861" s="43" t="str">
        <f>IF(Agent10_Loans!B73="","",Agent10_Loans!J73)</f>
        <v/>
      </c>
      <c r="K1861" s="40" t="str">
        <f>IF(Agent10_Loans!B73="","",Agent10_Loans!K73)</f>
        <v/>
      </c>
      <c r="L1861" s="40" t="str">
        <f>IF(Agent10_Loans!B73="","",Agent10_Loans!L73)</f>
        <v/>
      </c>
      <c r="M1861" s="40" t="str">
        <f>IFERROR(IF(Agent10_Loans!B73="","",YEAR(Agent10_Loans!D73)),"")</f>
        <v/>
      </c>
    </row>
    <row r="1862" spans="1:13" ht="18" customHeight="1" x14ac:dyDescent="0.25">
      <c r="A1862" s="40" t="str">
        <f>IF(Agent10_Loans!B74="","",Agent10_Loans!A74)</f>
        <v/>
      </c>
      <c r="B1862" s="40" t="str">
        <f>IF(Agent10_Loans!B74="","",Agent10_Loans!B74)</f>
        <v/>
      </c>
      <c r="C1862" s="40" t="str">
        <f>IF(Agent10_Loans!B74="","",Agent10_Loans!C74)</f>
        <v/>
      </c>
      <c r="D1862" s="41" t="str">
        <f>IF(Agent10_Loans!B74="","",Agent10_Loans!D74)</f>
        <v/>
      </c>
      <c r="E1862" s="43" t="str">
        <f>IF(Agent10_Loans!B74="","",Agent10_Loans!E74)</f>
        <v/>
      </c>
      <c r="F1862" s="40" t="str">
        <f>IF(Agent10_Loans!B74="","",Agent10_Loans!F74)</f>
        <v/>
      </c>
      <c r="G1862" s="40" t="str">
        <f>IF(Agent10_Loans!B74="","",Agent10_Loans!G74)</f>
        <v/>
      </c>
      <c r="H1862" s="40" t="str">
        <f>IF(Agent10_Loans!B74="","",Agent10_Loans!H74)</f>
        <v/>
      </c>
      <c r="I1862" s="43" t="str">
        <f>IF(Agent10_Loans!B74="","",Agent10_Loans!I74)</f>
        <v/>
      </c>
      <c r="J1862" s="43" t="str">
        <f>IF(Agent10_Loans!B74="","",Agent10_Loans!J74)</f>
        <v/>
      </c>
      <c r="K1862" s="40" t="str">
        <f>IF(Agent10_Loans!B74="","",Agent10_Loans!K74)</f>
        <v/>
      </c>
      <c r="L1862" s="40" t="str">
        <f>IF(Agent10_Loans!B74="","",Agent10_Loans!L74)</f>
        <v/>
      </c>
      <c r="M1862" s="40" t="str">
        <f>IFERROR(IF(Agent10_Loans!B74="","",YEAR(Agent10_Loans!D74)),"")</f>
        <v/>
      </c>
    </row>
    <row r="1863" spans="1:13" ht="18" customHeight="1" x14ac:dyDescent="0.25">
      <c r="A1863" s="40" t="str">
        <f>IF(Agent10_Loans!B75="","",Agent10_Loans!A75)</f>
        <v/>
      </c>
      <c r="B1863" s="40" t="str">
        <f>IF(Agent10_Loans!B75="","",Agent10_Loans!B75)</f>
        <v/>
      </c>
      <c r="C1863" s="40" t="str">
        <f>IF(Agent10_Loans!B75="","",Agent10_Loans!C75)</f>
        <v/>
      </c>
      <c r="D1863" s="41" t="str">
        <f>IF(Agent10_Loans!B75="","",Agent10_Loans!D75)</f>
        <v/>
      </c>
      <c r="E1863" s="43" t="str">
        <f>IF(Agent10_Loans!B75="","",Agent10_Loans!E75)</f>
        <v/>
      </c>
      <c r="F1863" s="40" t="str">
        <f>IF(Agent10_Loans!B75="","",Agent10_Loans!F75)</f>
        <v/>
      </c>
      <c r="G1863" s="40" t="str">
        <f>IF(Agent10_Loans!B75="","",Agent10_Loans!G75)</f>
        <v/>
      </c>
      <c r="H1863" s="40" t="str">
        <f>IF(Agent10_Loans!B75="","",Agent10_Loans!H75)</f>
        <v/>
      </c>
      <c r="I1863" s="43" t="str">
        <f>IF(Agent10_Loans!B75="","",Agent10_Loans!I75)</f>
        <v/>
      </c>
      <c r="J1863" s="43" t="str">
        <f>IF(Agent10_Loans!B75="","",Agent10_Loans!J75)</f>
        <v/>
      </c>
      <c r="K1863" s="40" t="str">
        <f>IF(Agent10_Loans!B75="","",Agent10_Loans!K75)</f>
        <v/>
      </c>
      <c r="L1863" s="40" t="str">
        <f>IF(Agent10_Loans!B75="","",Agent10_Loans!L75)</f>
        <v/>
      </c>
      <c r="M1863" s="40" t="str">
        <f>IFERROR(IF(Agent10_Loans!B75="","",YEAR(Agent10_Loans!D75)),"")</f>
        <v/>
      </c>
    </row>
    <row r="1864" spans="1:13" ht="18" customHeight="1" x14ac:dyDescent="0.25">
      <c r="A1864" s="40" t="str">
        <f>IF(Agent10_Loans!B76="","",Agent10_Loans!A76)</f>
        <v/>
      </c>
      <c r="B1864" s="40" t="str">
        <f>IF(Agent10_Loans!B76="","",Agent10_Loans!B76)</f>
        <v/>
      </c>
      <c r="C1864" s="40" t="str">
        <f>IF(Agent10_Loans!B76="","",Agent10_Loans!C76)</f>
        <v/>
      </c>
      <c r="D1864" s="41" t="str">
        <f>IF(Agent10_Loans!B76="","",Agent10_Loans!D76)</f>
        <v/>
      </c>
      <c r="E1864" s="43" t="str">
        <f>IF(Agent10_Loans!B76="","",Agent10_Loans!E76)</f>
        <v/>
      </c>
      <c r="F1864" s="40" t="str">
        <f>IF(Agent10_Loans!B76="","",Agent10_Loans!F76)</f>
        <v/>
      </c>
      <c r="G1864" s="40" t="str">
        <f>IF(Agent10_Loans!B76="","",Agent10_Loans!G76)</f>
        <v/>
      </c>
      <c r="H1864" s="40" t="str">
        <f>IF(Agent10_Loans!B76="","",Agent10_Loans!H76)</f>
        <v/>
      </c>
      <c r="I1864" s="43" t="str">
        <f>IF(Agent10_Loans!B76="","",Agent10_Loans!I76)</f>
        <v/>
      </c>
      <c r="J1864" s="43" t="str">
        <f>IF(Agent10_Loans!B76="","",Agent10_Loans!J76)</f>
        <v/>
      </c>
      <c r="K1864" s="40" t="str">
        <f>IF(Agent10_Loans!B76="","",Agent10_Loans!K76)</f>
        <v/>
      </c>
      <c r="L1864" s="40" t="str">
        <f>IF(Agent10_Loans!B76="","",Agent10_Loans!L76)</f>
        <v/>
      </c>
      <c r="M1864" s="40" t="str">
        <f>IFERROR(IF(Agent10_Loans!B76="","",YEAR(Agent10_Loans!D76)),"")</f>
        <v/>
      </c>
    </row>
    <row r="1865" spans="1:13" ht="18" customHeight="1" x14ac:dyDescent="0.25">
      <c r="A1865" s="40" t="str">
        <f>IF(Agent10_Loans!B77="","",Agent10_Loans!A77)</f>
        <v/>
      </c>
      <c r="B1865" s="40" t="str">
        <f>IF(Agent10_Loans!B77="","",Agent10_Loans!B77)</f>
        <v/>
      </c>
      <c r="C1865" s="40" t="str">
        <f>IF(Agent10_Loans!B77="","",Agent10_Loans!C77)</f>
        <v/>
      </c>
      <c r="D1865" s="41" t="str">
        <f>IF(Agent10_Loans!B77="","",Agent10_Loans!D77)</f>
        <v/>
      </c>
      <c r="E1865" s="43" t="str">
        <f>IF(Agent10_Loans!B77="","",Agent10_Loans!E77)</f>
        <v/>
      </c>
      <c r="F1865" s="40" t="str">
        <f>IF(Agent10_Loans!B77="","",Agent10_Loans!F77)</f>
        <v/>
      </c>
      <c r="G1865" s="40" t="str">
        <f>IF(Agent10_Loans!B77="","",Agent10_Loans!G77)</f>
        <v/>
      </c>
      <c r="H1865" s="40" t="str">
        <f>IF(Agent10_Loans!B77="","",Agent10_Loans!H77)</f>
        <v/>
      </c>
      <c r="I1865" s="43" t="str">
        <f>IF(Agent10_Loans!B77="","",Agent10_Loans!I77)</f>
        <v/>
      </c>
      <c r="J1865" s="43" t="str">
        <f>IF(Agent10_Loans!B77="","",Agent10_Loans!J77)</f>
        <v/>
      </c>
      <c r="K1865" s="40" t="str">
        <f>IF(Agent10_Loans!B77="","",Agent10_Loans!K77)</f>
        <v/>
      </c>
      <c r="L1865" s="40" t="str">
        <f>IF(Agent10_Loans!B77="","",Agent10_Loans!L77)</f>
        <v/>
      </c>
      <c r="M1865" s="40" t="str">
        <f>IFERROR(IF(Agent10_Loans!B77="","",YEAR(Agent10_Loans!D77)),"")</f>
        <v/>
      </c>
    </row>
    <row r="1866" spans="1:13" ht="18" customHeight="1" x14ac:dyDescent="0.25">
      <c r="A1866" s="40" t="str">
        <f>IF(Agent10_Loans!B78="","",Agent10_Loans!A78)</f>
        <v/>
      </c>
      <c r="B1866" s="40" t="str">
        <f>IF(Agent10_Loans!B78="","",Agent10_Loans!B78)</f>
        <v/>
      </c>
      <c r="C1866" s="40" t="str">
        <f>IF(Agent10_Loans!B78="","",Agent10_Loans!C78)</f>
        <v/>
      </c>
      <c r="D1866" s="41" t="str">
        <f>IF(Agent10_Loans!B78="","",Agent10_Loans!D78)</f>
        <v/>
      </c>
      <c r="E1866" s="43" t="str">
        <f>IF(Agent10_Loans!B78="","",Agent10_Loans!E78)</f>
        <v/>
      </c>
      <c r="F1866" s="40" t="str">
        <f>IF(Agent10_Loans!B78="","",Agent10_Loans!F78)</f>
        <v/>
      </c>
      <c r="G1866" s="40" t="str">
        <f>IF(Agent10_Loans!B78="","",Agent10_Loans!G78)</f>
        <v/>
      </c>
      <c r="H1866" s="40" t="str">
        <f>IF(Agent10_Loans!B78="","",Agent10_Loans!H78)</f>
        <v/>
      </c>
      <c r="I1866" s="43" t="str">
        <f>IF(Agent10_Loans!B78="","",Agent10_Loans!I78)</f>
        <v/>
      </c>
      <c r="J1866" s="43" t="str">
        <f>IF(Agent10_Loans!B78="","",Agent10_Loans!J78)</f>
        <v/>
      </c>
      <c r="K1866" s="40" t="str">
        <f>IF(Agent10_Loans!B78="","",Agent10_Loans!K78)</f>
        <v/>
      </c>
      <c r="L1866" s="40" t="str">
        <f>IF(Agent10_Loans!B78="","",Agent10_Loans!L78)</f>
        <v/>
      </c>
      <c r="M1866" s="40" t="str">
        <f>IFERROR(IF(Agent10_Loans!B78="","",YEAR(Agent10_Loans!D78)),"")</f>
        <v/>
      </c>
    </row>
    <row r="1867" spans="1:13" ht="18" customHeight="1" x14ac:dyDescent="0.25">
      <c r="A1867" s="40" t="str">
        <f>IF(Agent10_Loans!B79="","",Agent10_Loans!A79)</f>
        <v/>
      </c>
      <c r="B1867" s="40" t="str">
        <f>IF(Agent10_Loans!B79="","",Agent10_Loans!B79)</f>
        <v/>
      </c>
      <c r="C1867" s="40" t="str">
        <f>IF(Agent10_Loans!B79="","",Agent10_Loans!C79)</f>
        <v/>
      </c>
      <c r="D1867" s="41" t="str">
        <f>IF(Agent10_Loans!B79="","",Agent10_Loans!D79)</f>
        <v/>
      </c>
      <c r="E1867" s="43" t="str">
        <f>IF(Agent10_Loans!B79="","",Agent10_Loans!E79)</f>
        <v/>
      </c>
      <c r="F1867" s="40" t="str">
        <f>IF(Agent10_Loans!B79="","",Agent10_Loans!F79)</f>
        <v/>
      </c>
      <c r="G1867" s="40" t="str">
        <f>IF(Agent10_Loans!B79="","",Agent10_Loans!G79)</f>
        <v/>
      </c>
      <c r="H1867" s="40" t="str">
        <f>IF(Agent10_Loans!B79="","",Agent10_Loans!H79)</f>
        <v/>
      </c>
      <c r="I1867" s="43" t="str">
        <f>IF(Agent10_Loans!B79="","",Agent10_Loans!I79)</f>
        <v/>
      </c>
      <c r="J1867" s="43" t="str">
        <f>IF(Agent10_Loans!B79="","",Agent10_Loans!J79)</f>
        <v/>
      </c>
      <c r="K1867" s="40" t="str">
        <f>IF(Agent10_Loans!B79="","",Agent10_Loans!K79)</f>
        <v/>
      </c>
      <c r="L1867" s="40" t="str">
        <f>IF(Agent10_Loans!B79="","",Agent10_Loans!L79)</f>
        <v/>
      </c>
      <c r="M1867" s="40" t="str">
        <f>IFERROR(IF(Agent10_Loans!B79="","",YEAR(Agent10_Loans!D79)),"")</f>
        <v/>
      </c>
    </row>
    <row r="1868" spans="1:13" ht="18" customHeight="1" x14ac:dyDescent="0.25">
      <c r="A1868" s="40" t="str">
        <f>IF(Agent10_Loans!B80="","",Agent10_Loans!A80)</f>
        <v/>
      </c>
      <c r="B1868" s="40" t="str">
        <f>IF(Agent10_Loans!B80="","",Agent10_Loans!B80)</f>
        <v/>
      </c>
      <c r="C1868" s="40" t="str">
        <f>IF(Agent10_Loans!B80="","",Agent10_Loans!C80)</f>
        <v/>
      </c>
      <c r="D1868" s="41" t="str">
        <f>IF(Agent10_Loans!B80="","",Agent10_Loans!D80)</f>
        <v/>
      </c>
      <c r="E1868" s="43" t="str">
        <f>IF(Agent10_Loans!B80="","",Agent10_Loans!E80)</f>
        <v/>
      </c>
      <c r="F1868" s="40" t="str">
        <f>IF(Agent10_Loans!B80="","",Agent10_Loans!F80)</f>
        <v/>
      </c>
      <c r="G1868" s="40" t="str">
        <f>IF(Agent10_Loans!B80="","",Agent10_Loans!G80)</f>
        <v/>
      </c>
      <c r="H1868" s="40" t="str">
        <f>IF(Agent10_Loans!B80="","",Agent10_Loans!H80)</f>
        <v/>
      </c>
      <c r="I1868" s="43" t="str">
        <f>IF(Agent10_Loans!B80="","",Agent10_Loans!I80)</f>
        <v/>
      </c>
      <c r="J1868" s="43" t="str">
        <f>IF(Agent10_Loans!B80="","",Agent10_Loans!J80)</f>
        <v/>
      </c>
      <c r="K1868" s="40" t="str">
        <f>IF(Agent10_Loans!B80="","",Agent10_Loans!K80)</f>
        <v/>
      </c>
      <c r="L1868" s="40" t="str">
        <f>IF(Agent10_Loans!B80="","",Agent10_Loans!L80)</f>
        <v/>
      </c>
      <c r="M1868" s="40" t="str">
        <f>IFERROR(IF(Agent10_Loans!B80="","",YEAR(Agent10_Loans!D80)),"")</f>
        <v/>
      </c>
    </row>
    <row r="1869" spans="1:13" ht="18" customHeight="1" x14ac:dyDescent="0.25">
      <c r="A1869" s="40" t="str">
        <f>IF(Agent10_Loans!B81="","",Agent10_Loans!A81)</f>
        <v/>
      </c>
      <c r="B1869" s="40" t="str">
        <f>IF(Agent10_Loans!B81="","",Agent10_Loans!B81)</f>
        <v/>
      </c>
      <c r="C1869" s="40" t="str">
        <f>IF(Agent10_Loans!B81="","",Agent10_Loans!C81)</f>
        <v/>
      </c>
      <c r="D1869" s="41" t="str">
        <f>IF(Agent10_Loans!B81="","",Agent10_Loans!D81)</f>
        <v/>
      </c>
      <c r="E1869" s="43" t="str">
        <f>IF(Agent10_Loans!B81="","",Agent10_Loans!E81)</f>
        <v/>
      </c>
      <c r="F1869" s="40" t="str">
        <f>IF(Agent10_Loans!B81="","",Agent10_Loans!F81)</f>
        <v/>
      </c>
      <c r="G1869" s="40" t="str">
        <f>IF(Agent10_Loans!B81="","",Agent10_Loans!G81)</f>
        <v/>
      </c>
      <c r="H1869" s="40" t="str">
        <f>IF(Agent10_Loans!B81="","",Agent10_Loans!H81)</f>
        <v/>
      </c>
      <c r="I1869" s="43" t="str">
        <f>IF(Agent10_Loans!B81="","",Agent10_Loans!I81)</f>
        <v/>
      </c>
      <c r="J1869" s="43" t="str">
        <f>IF(Agent10_Loans!B81="","",Agent10_Loans!J81)</f>
        <v/>
      </c>
      <c r="K1869" s="40" t="str">
        <f>IF(Agent10_Loans!B81="","",Agent10_Loans!K81)</f>
        <v/>
      </c>
      <c r="L1869" s="40" t="str">
        <f>IF(Agent10_Loans!B81="","",Agent10_Loans!L81)</f>
        <v/>
      </c>
      <c r="M1869" s="40" t="str">
        <f>IFERROR(IF(Agent10_Loans!B81="","",YEAR(Agent10_Loans!D81)),"")</f>
        <v/>
      </c>
    </row>
    <row r="1870" spans="1:13" ht="18" customHeight="1" x14ac:dyDescent="0.25">
      <c r="A1870" s="40" t="str">
        <f>IF(Agent10_Loans!B82="","",Agent10_Loans!A82)</f>
        <v/>
      </c>
      <c r="B1870" s="40" t="str">
        <f>IF(Agent10_Loans!B82="","",Agent10_Loans!B82)</f>
        <v/>
      </c>
      <c r="C1870" s="40" t="str">
        <f>IF(Agent10_Loans!B82="","",Agent10_Loans!C82)</f>
        <v/>
      </c>
      <c r="D1870" s="41" t="str">
        <f>IF(Agent10_Loans!B82="","",Agent10_Loans!D82)</f>
        <v/>
      </c>
      <c r="E1870" s="43" t="str">
        <f>IF(Agent10_Loans!B82="","",Agent10_Loans!E82)</f>
        <v/>
      </c>
      <c r="F1870" s="40" t="str">
        <f>IF(Agent10_Loans!B82="","",Agent10_Loans!F82)</f>
        <v/>
      </c>
      <c r="G1870" s="40" t="str">
        <f>IF(Agent10_Loans!B82="","",Agent10_Loans!G82)</f>
        <v/>
      </c>
      <c r="H1870" s="40" t="str">
        <f>IF(Agent10_Loans!B82="","",Agent10_Loans!H82)</f>
        <v/>
      </c>
      <c r="I1870" s="43" t="str">
        <f>IF(Agent10_Loans!B82="","",Agent10_Loans!I82)</f>
        <v/>
      </c>
      <c r="J1870" s="43" t="str">
        <f>IF(Agent10_Loans!B82="","",Agent10_Loans!J82)</f>
        <v/>
      </c>
      <c r="K1870" s="40" t="str">
        <f>IF(Agent10_Loans!B82="","",Agent10_Loans!K82)</f>
        <v/>
      </c>
      <c r="L1870" s="40" t="str">
        <f>IF(Agent10_Loans!B82="","",Agent10_Loans!L82)</f>
        <v/>
      </c>
      <c r="M1870" s="40" t="str">
        <f>IFERROR(IF(Agent10_Loans!B82="","",YEAR(Agent10_Loans!D82)),"")</f>
        <v/>
      </c>
    </row>
    <row r="1871" spans="1:13" ht="18" customHeight="1" x14ac:dyDescent="0.25">
      <c r="A1871" s="40" t="str">
        <f>IF(Agent10_Loans!B83="","",Agent10_Loans!A83)</f>
        <v/>
      </c>
      <c r="B1871" s="40" t="str">
        <f>IF(Agent10_Loans!B83="","",Agent10_Loans!B83)</f>
        <v/>
      </c>
      <c r="C1871" s="40" t="str">
        <f>IF(Agent10_Loans!B83="","",Agent10_Loans!C83)</f>
        <v/>
      </c>
      <c r="D1871" s="41" t="str">
        <f>IF(Agent10_Loans!B83="","",Agent10_Loans!D83)</f>
        <v/>
      </c>
      <c r="E1871" s="43" t="str">
        <f>IF(Agent10_Loans!B83="","",Agent10_Loans!E83)</f>
        <v/>
      </c>
      <c r="F1871" s="40" t="str">
        <f>IF(Agent10_Loans!B83="","",Agent10_Loans!F83)</f>
        <v/>
      </c>
      <c r="G1871" s="40" t="str">
        <f>IF(Agent10_Loans!B83="","",Agent10_Loans!G83)</f>
        <v/>
      </c>
      <c r="H1871" s="40" t="str">
        <f>IF(Agent10_Loans!B83="","",Agent10_Loans!H83)</f>
        <v/>
      </c>
      <c r="I1871" s="43" t="str">
        <f>IF(Agent10_Loans!B83="","",Agent10_Loans!I83)</f>
        <v/>
      </c>
      <c r="J1871" s="43" t="str">
        <f>IF(Agent10_Loans!B83="","",Agent10_Loans!J83)</f>
        <v/>
      </c>
      <c r="K1871" s="40" t="str">
        <f>IF(Agent10_Loans!B83="","",Agent10_Loans!K83)</f>
        <v/>
      </c>
      <c r="L1871" s="40" t="str">
        <f>IF(Agent10_Loans!B83="","",Agent10_Loans!L83)</f>
        <v/>
      </c>
      <c r="M1871" s="40" t="str">
        <f>IFERROR(IF(Agent10_Loans!B83="","",YEAR(Agent10_Loans!D83)),"")</f>
        <v/>
      </c>
    </row>
    <row r="1872" spans="1:13" ht="18" customHeight="1" x14ac:dyDescent="0.25">
      <c r="A1872" s="40" t="str">
        <f>IF(Agent10_Loans!B84="","",Agent10_Loans!A84)</f>
        <v/>
      </c>
      <c r="B1872" s="40" t="str">
        <f>IF(Agent10_Loans!B84="","",Agent10_Loans!B84)</f>
        <v/>
      </c>
      <c r="C1872" s="40" t="str">
        <f>IF(Agent10_Loans!B84="","",Agent10_Loans!C84)</f>
        <v/>
      </c>
      <c r="D1872" s="41" t="str">
        <f>IF(Agent10_Loans!B84="","",Agent10_Loans!D84)</f>
        <v/>
      </c>
      <c r="E1872" s="43" t="str">
        <f>IF(Agent10_Loans!B84="","",Agent10_Loans!E84)</f>
        <v/>
      </c>
      <c r="F1872" s="40" t="str">
        <f>IF(Agent10_Loans!B84="","",Agent10_Loans!F84)</f>
        <v/>
      </c>
      <c r="G1872" s="40" t="str">
        <f>IF(Agent10_Loans!B84="","",Agent10_Loans!G84)</f>
        <v/>
      </c>
      <c r="H1872" s="40" t="str">
        <f>IF(Agent10_Loans!B84="","",Agent10_Loans!H84)</f>
        <v/>
      </c>
      <c r="I1872" s="43" t="str">
        <f>IF(Agent10_Loans!B84="","",Agent10_Loans!I84)</f>
        <v/>
      </c>
      <c r="J1872" s="43" t="str">
        <f>IF(Agent10_Loans!B84="","",Agent10_Loans!J84)</f>
        <v/>
      </c>
      <c r="K1872" s="40" t="str">
        <f>IF(Agent10_Loans!B84="","",Agent10_Loans!K84)</f>
        <v/>
      </c>
      <c r="L1872" s="40" t="str">
        <f>IF(Agent10_Loans!B84="","",Agent10_Loans!L84)</f>
        <v/>
      </c>
      <c r="M1872" s="40" t="str">
        <f>IFERROR(IF(Agent10_Loans!B84="","",YEAR(Agent10_Loans!D84)),"")</f>
        <v/>
      </c>
    </row>
    <row r="1873" spans="1:13" ht="18" customHeight="1" x14ac:dyDescent="0.25">
      <c r="A1873" s="40" t="str">
        <f>IF(Agent10_Loans!B85="","",Agent10_Loans!A85)</f>
        <v/>
      </c>
      <c r="B1873" s="40" t="str">
        <f>IF(Agent10_Loans!B85="","",Agent10_Loans!B85)</f>
        <v/>
      </c>
      <c r="C1873" s="40" t="str">
        <f>IF(Agent10_Loans!B85="","",Agent10_Loans!C85)</f>
        <v/>
      </c>
      <c r="D1873" s="41" t="str">
        <f>IF(Agent10_Loans!B85="","",Agent10_Loans!D85)</f>
        <v/>
      </c>
      <c r="E1873" s="43" t="str">
        <f>IF(Agent10_Loans!B85="","",Agent10_Loans!E85)</f>
        <v/>
      </c>
      <c r="F1873" s="40" t="str">
        <f>IF(Agent10_Loans!B85="","",Agent10_Loans!F85)</f>
        <v/>
      </c>
      <c r="G1873" s="40" t="str">
        <f>IF(Agent10_Loans!B85="","",Agent10_Loans!G85)</f>
        <v/>
      </c>
      <c r="H1873" s="40" t="str">
        <f>IF(Agent10_Loans!B85="","",Agent10_Loans!H85)</f>
        <v/>
      </c>
      <c r="I1873" s="43" t="str">
        <f>IF(Agent10_Loans!B85="","",Agent10_Loans!I85)</f>
        <v/>
      </c>
      <c r="J1873" s="43" t="str">
        <f>IF(Agent10_Loans!B85="","",Agent10_Loans!J85)</f>
        <v/>
      </c>
      <c r="K1873" s="40" t="str">
        <f>IF(Agent10_Loans!B85="","",Agent10_Loans!K85)</f>
        <v/>
      </c>
      <c r="L1873" s="40" t="str">
        <f>IF(Agent10_Loans!B85="","",Agent10_Loans!L85)</f>
        <v/>
      </c>
      <c r="M1873" s="40" t="str">
        <f>IFERROR(IF(Agent10_Loans!B85="","",YEAR(Agent10_Loans!D85)),"")</f>
        <v/>
      </c>
    </row>
    <row r="1874" spans="1:13" ht="18" customHeight="1" x14ac:dyDescent="0.25">
      <c r="A1874" s="40" t="str">
        <f>IF(Agent10_Loans!B86="","",Agent10_Loans!A86)</f>
        <v/>
      </c>
      <c r="B1874" s="40" t="str">
        <f>IF(Agent10_Loans!B86="","",Agent10_Loans!B86)</f>
        <v/>
      </c>
      <c r="C1874" s="40" t="str">
        <f>IF(Agent10_Loans!B86="","",Agent10_Loans!C86)</f>
        <v/>
      </c>
      <c r="D1874" s="41" t="str">
        <f>IF(Agent10_Loans!B86="","",Agent10_Loans!D86)</f>
        <v/>
      </c>
      <c r="E1874" s="43" t="str">
        <f>IF(Agent10_Loans!B86="","",Agent10_Loans!E86)</f>
        <v/>
      </c>
      <c r="F1874" s="40" t="str">
        <f>IF(Agent10_Loans!B86="","",Agent10_Loans!F86)</f>
        <v/>
      </c>
      <c r="G1874" s="40" t="str">
        <f>IF(Agent10_Loans!B86="","",Agent10_Loans!G86)</f>
        <v/>
      </c>
      <c r="H1874" s="40" t="str">
        <f>IF(Agent10_Loans!B86="","",Agent10_Loans!H86)</f>
        <v/>
      </c>
      <c r="I1874" s="43" t="str">
        <f>IF(Agent10_Loans!B86="","",Agent10_Loans!I86)</f>
        <v/>
      </c>
      <c r="J1874" s="43" t="str">
        <f>IF(Agent10_Loans!B86="","",Agent10_Loans!J86)</f>
        <v/>
      </c>
      <c r="K1874" s="40" t="str">
        <f>IF(Agent10_Loans!B86="","",Agent10_Loans!K86)</f>
        <v/>
      </c>
      <c r="L1874" s="40" t="str">
        <f>IF(Agent10_Loans!B86="","",Agent10_Loans!L86)</f>
        <v/>
      </c>
      <c r="M1874" s="40" t="str">
        <f>IFERROR(IF(Agent10_Loans!B86="","",YEAR(Agent10_Loans!D86)),"")</f>
        <v/>
      </c>
    </row>
    <row r="1875" spans="1:13" ht="18" customHeight="1" x14ac:dyDescent="0.25">
      <c r="A1875" s="40" t="str">
        <f>IF(Agent10_Loans!B87="","",Agent10_Loans!A87)</f>
        <v/>
      </c>
      <c r="B1875" s="40" t="str">
        <f>IF(Agent10_Loans!B87="","",Agent10_Loans!B87)</f>
        <v/>
      </c>
      <c r="C1875" s="40" t="str">
        <f>IF(Agent10_Loans!B87="","",Agent10_Loans!C87)</f>
        <v/>
      </c>
      <c r="D1875" s="41" t="str">
        <f>IF(Agent10_Loans!B87="","",Agent10_Loans!D87)</f>
        <v/>
      </c>
      <c r="E1875" s="43" t="str">
        <f>IF(Agent10_Loans!B87="","",Agent10_Loans!E87)</f>
        <v/>
      </c>
      <c r="F1875" s="40" t="str">
        <f>IF(Agent10_Loans!B87="","",Agent10_Loans!F87)</f>
        <v/>
      </c>
      <c r="G1875" s="40" t="str">
        <f>IF(Agent10_Loans!B87="","",Agent10_Loans!G87)</f>
        <v/>
      </c>
      <c r="H1875" s="40" t="str">
        <f>IF(Agent10_Loans!B87="","",Agent10_Loans!H87)</f>
        <v/>
      </c>
      <c r="I1875" s="43" t="str">
        <f>IF(Agent10_Loans!B87="","",Agent10_Loans!I87)</f>
        <v/>
      </c>
      <c r="J1875" s="43" t="str">
        <f>IF(Agent10_Loans!B87="","",Agent10_Loans!J87)</f>
        <v/>
      </c>
      <c r="K1875" s="40" t="str">
        <f>IF(Agent10_Loans!B87="","",Agent10_Loans!K87)</f>
        <v/>
      </c>
      <c r="L1875" s="40" t="str">
        <f>IF(Agent10_Loans!B87="","",Agent10_Loans!L87)</f>
        <v/>
      </c>
      <c r="M1875" s="40" t="str">
        <f>IFERROR(IF(Agent10_Loans!B87="","",YEAR(Agent10_Loans!D87)),"")</f>
        <v/>
      </c>
    </row>
    <row r="1876" spans="1:13" ht="18" customHeight="1" x14ac:dyDescent="0.25">
      <c r="A1876" s="40" t="str">
        <f>IF(Agent10_Loans!B88="","",Agent10_Loans!A88)</f>
        <v/>
      </c>
      <c r="B1876" s="40" t="str">
        <f>IF(Agent10_Loans!B88="","",Agent10_Loans!B88)</f>
        <v/>
      </c>
      <c r="C1876" s="40" t="str">
        <f>IF(Agent10_Loans!B88="","",Agent10_Loans!C88)</f>
        <v/>
      </c>
      <c r="D1876" s="41" t="str">
        <f>IF(Agent10_Loans!B88="","",Agent10_Loans!D88)</f>
        <v/>
      </c>
      <c r="E1876" s="43" t="str">
        <f>IF(Agent10_Loans!B88="","",Agent10_Loans!E88)</f>
        <v/>
      </c>
      <c r="F1876" s="40" t="str">
        <f>IF(Agent10_Loans!B88="","",Agent10_Loans!F88)</f>
        <v/>
      </c>
      <c r="G1876" s="40" t="str">
        <f>IF(Agent10_Loans!B88="","",Agent10_Loans!G88)</f>
        <v/>
      </c>
      <c r="H1876" s="40" t="str">
        <f>IF(Agent10_Loans!B88="","",Agent10_Loans!H88)</f>
        <v/>
      </c>
      <c r="I1876" s="43" t="str">
        <f>IF(Agent10_Loans!B88="","",Agent10_Loans!I88)</f>
        <v/>
      </c>
      <c r="J1876" s="43" t="str">
        <f>IF(Agent10_Loans!B88="","",Agent10_Loans!J88)</f>
        <v/>
      </c>
      <c r="K1876" s="40" t="str">
        <f>IF(Agent10_Loans!B88="","",Agent10_Loans!K88)</f>
        <v/>
      </c>
      <c r="L1876" s="40" t="str">
        <f>IF(Agent10_Loans!B88="","",Agent10_Loans!L88)</f>
        <v/>
      </c>
      <c r="M1876" s="40" t="str">
        <f>IFERROR(IF(Agent10_Loans!B88="","",YEAR(Agent10_Loans!D88)),"")</f>
        <v/>
      </c>
    </row>
    <row r="1877" spans="1:13" ht="18" customHeight="1" x14ac:dyDescent="0.25">
      <c r="A1877" s="40" t="str">
        <f>IF(Agent10_Loans!B89="","",Agent10_Loans!A89)</f>
        <v/>
      </c>
      <c r="B1877" s="40" t="str">
        <f>IF(Agent10_Loans!B89="","",Agent10_Loans!B89)</f>
        <v/>
      </c>
      <c r="C1877" s="40" t="str">
        <f>IF(Agent10_Loans!B89="","",Agent10_Loans!C89)</f>
        <v/>
      </c>
      <c r="D1877" s="41" t="str">
        <f>IF(Agent10_Loans!B89="","",Agent10_Loans!D89)</f>
        <v/>
      </c>
      <c r="E1877" s="43" t="str">
        <f>IF(Agent10_Loans!B89="","",Agent10_Loans!E89)</f>
        <v/>
      </c>
      <c r="F1877" s="40" t="str">
        <f>IF(Agent10_Loans!B89="","",Agent10_Loans!F89)</f>
        <v/>
      </c>
      <c r="G1877" s="40" t="str">
        <f>IF(Agent10_Loans!B89="","",Agent10_Loans!G89)</f>
        <v/>
      </c>
      <c r="H1877" s="40" t="str">
        <f>IF(Agent10_Loans!B89="","",Agent10_Loans!H89)</f>
        <v/>
      </c>
      <c r="I1877" s="43" t="str">
        <f>IF(Agent10_Loans!B89="","",Agent10_Loans!I89)</f>
        <v/>
      </c>
      <c r="J1877" s="43" t="str">
        <f>IF(Agent10_Loans!B89="","",Agent10_Loans!J89)</f>
        <v/>
      </c>
      <c r="K1877" s="40" t="str">
        <f>IF(Agent10_Loans!B89="","",Agent10_Loans!K89)</f>
        <v/>
      </c>
      <c r="L1877" s="40" t="str">
        <f>IF(Agent10_Loans!B89="","",Agent10_Loans!L89)</f>
        <v/>
      </c>
      <c r="M1877" s="40" t="str">
        <f>IFERROR(IF(Agent10_Loans!B89="","",YEAR(Agent10_Loans!D89)),"")</f>
        <v/>
      </c>
    </row>
    <row r="1878" spans="1:13" ht="18" customHeight="1" x14ac:dyDescent="0.25">
      <c r="A1878" s="40" t="str">
        <f>IF(Agent10_Loans!B90="","",Agent10_Loans!A90)</f>
        <v/>
      </c>
      <c r="B1878" s="40" t="str">
        <f>IF(Agent10_Loans!B90="","",Agent10_Loans!B90)</f>
        <v/>
      </c>
      <c r="C1878" s="40" t="str">
        <f>IF(Agent10_Loans!B90="","",Agent10_Loans!C90)</f>
        <v/>
      </c>
      <c r="D1878" s="41" t="str">
        <f>IF(Agent10_Loans!B90="","",Agent10_Loans!D90)</f>
        <v/>
      </c>
      <c r="E1878" s="43" t="str">
        <f>IF(Agent10_Loans!B90="","",Agent10_Loans!E90)</f>
        <v/>
      </c>
      <c r="F1878" s="40" t="str">
        <f>IF(Agent10_Loans!B90="","",Agent10_Loans!F90)</f>
        <v/>
      </c>
      <c r="G1878" s="40" t="str">
        <f>IF(Agent10_Loans!B90="","",Agent10_Loans!G90)</f>
        <v/>
      </c>
      <c r="H1878" s="40" t="str">
        <f>IF(Agent10_Loans!B90="","",Agent10_Loans!H90)</f>
        <v/>
      </c>
      <c r="I1878" s="43" t="str">
        <f>IF(Agent10_Loans!B90="","",Agent10_Loans!I90)</f>
        <v/>
      </c>
      <c r="J1878" s="43" t="str">
        <f>IF(Agent10_Loans!B90="","",Agent10_Loans!J90)</f>
        <v/>
      </c>
      <c r="K1878" s="40" t="str">
        <f>IF(Agent10_Loans!B90="","",Agent10_Loans!K90)</f>
        <v/>
      </c>
      <c r="L1878" s="40" t="str">
        <f>IF(Agent10_Loans!B90="","",Agent10_Loans!L90)</f>
        <v/>
      </c>
      <c r="M1878" s="40" t="str">
        <f>IFERROR(IF(Agent10_Loans!B90="","",YEAR(Agent10_Loans!D90)),"")</f>
        <v/>
      </c>
    </row>
    <row r="1879" spans="1:13" ht="18" customHeight="1" x14ac:dyDescent="0.25">
      <c r="A1879" s="40" t="str">
        <f>IF(Agent10_Loans!B91="","",Agent10_Loans!A91)</f>
        <v/>
      </c>
      <c r="B1879" s="40" t="str">
        <f>IF(Agent10_Loans!B91="","",Agent10_Loans!B91)</f>
        <v/>
      </c>
      <c r="C1879" s="40" t="str">
        <f>IF(Agent10_Loans!B91="","",Agent10_Loans!C91)</f>
        <v/>
      </c>
      <c r="D1879" s="41" t="str">
        <f>IF(Agent10_Loans!B91="","",Agent10_Loans!D91)</f>
        <v/>
      </c>
      <c r="E1879" s="43" t="str">
        <f>IF(Agent10_Loans!B91="","",Agent10_Loans!E91)</f>
        <v/>
      </c>
      <c r="F1879" s="40" t="str">
        <f>IF(Agent10_Loans!B91="","",Agent10_Loans!F91)</f>
        <v/>
      </c>
      <c r="G1879" s="40" t="str">
        <f>IF(Agent10_Loans!B91="","",Agent10_Loans!G91)</f>
        <v/>
      </c>
      <c r="H1879" s="40" t="str">
        <f>IF(Agent10_Loans!B91="","",Agent10_Loans!H91)</f>
        <v/>
      </c>
      <c r="I1879" s="43" t="str">
        <f>IF(Agent10_Loans!B91="","",Agent10_Loans!I91)</f>
        <v/>
      </c>
      <c r="J1879" s="43" t="str">
        <f>IF(Agent10_Loans!B91="","",Agent10_Loans!J91)</f>
        <v/>
      </c>
      <c r="K1879" s="40" t="str">
        <f>IF(Agent10_Loans!B91="","",Agent10_Loans!K91)</f>
        <v/>
      </c>
      <c r="L1879" s="40" t="str">
        <f>IF(Agent10_Loans!B91="","",Agent10_Loans!L91)</f>
        <v/>
      </c>
      <c r="M1879" s="40" t="str">
        <f>IFERROR(IF(Agent10_Loans!B91="","",YEAR(Agent10_Loans!D91)),"")</f>
        <v/>
      </c>
    </row>
    <row r="1880" spans="1:13" ht="18" customHeight="1" x14ac:dyDescent="0.25">
      <c r="A1880" s="40" t="str">
        <f>IF(Agent10_Loans!B92="","",Agent10_Loans!A92)</f>
        <v/>
      </c>
      <c r="B1880" s="40" t="str">
        <f>IF(Agent10_Loans!B92="","",Agent10_Loans!B92)</f>
        <v/>
      </c>
      <c r="C1880" s="40" t="str">
        <f>IF(Agent10_Loans!B92="","",Agent10_Loans!C92)</f>
        <v/>
      </c>
      <c r="D1880" s="41" t="str">
        <f>IF(Agent10_Loans!B92="","",Agent10_Loans!D92)</f>
        <v/>
      </c>
      <c r="E1880" s="43" t="str">
        <f>IF(Agent10_Loans!B92="","",Agent10_Loans!E92)</f>
        <v/>
      </c>
      <c r="F1880" s="40" t="str">
        <f>IF(Agent10_Loans!B92="","",Agent10_Loans!F92)</f>
        <v/>
      </c>
      <c r="G1880" s="40" t="str">
        <f>IF(Agent10_Loans!B92="","",Agent10_Loans!G92)</f>
        <v/>
      </c>
      <c r="H1880" s="40" t="str">
        <f>IF(Agent10_Loans!B92="","",Agent10_Loans!H92)</f>
        <v/>
      </c>
      <c r="I1880" s="43" t="str">
        <f>IF(Agent10_Loans!B92="","",Agent10_Loans!I92)</f>
        <v/>
      </c>
      <c r="J1880" s="43" t="str">
        <f>IF(Agent10_Loans!B92="","",Agent10_Loans!J92)</f>
        <v/>
      </c>
      <c r="K1880" s="40" t="str">
        <f>IF(Agent10_Loans!B92="","",Agent10_Loans!K92)</f>
        <v/>
      </c>
      <c r="L1880" s="40" t="str">
        <f>IF(Agent10_Loans!B92="","",Agent10_Loans!L92)</f>
        <v/>
      </c>
      <c r="M1880" s="40" t="str">
        <f>IFERROR(IF(Agent10_Loans!B92="","",YEAR(Agent10_Loans!D92)),"")</f>
        <v/>
      </c>
    </row>
    <row r="1881" spans="1:13" ht="18" customHeight="1" x14ac:dyDescent="0.25">
      <c r="A1881" s="40" t="str">
        <f>IF(Agent10_Loans!B93="","",Agent10_Loans!A93)</f>
        <v/>
      </c>
      <c r="B1881" s="40" t="str">
        <f>IF(Agent10_Loans!B93="","",Agent10_Loans!B93)</f>
        <v/>
      </c>
      <c r="C1881" s="40" t="str">
        <f>IF(Agent10_Loans!B93="","",Agent10_Loans!C93)</f>
        <v/>
      </c>
      <c r="D1881" s="41" t="str">
        <f>IF(Agent10_Loans!B93="","",Agent10_Loans!D93)</f>
        <v/>
      </c>
      <c r="E1881" s="43" t="str">
        <f>IF(Agent10_Loans!B93="","",Agent10_Loans!E93)</f>
        <v/>
      </c>
      <c r="F1881" s="40" t="str">
        <f>IF(Agent10_Loans!B93="","",Agent10_Loans!F93)</f>
        <v/>
      </c>
      <c r="G1881" s="40" t="str">
        <f>IF(Agent10_Loans!B93="","",Agent10_Loans!G93)</f>
        <v/>
      </c>
      <c r="H1881" s="40" t="str">
        <f>IF(Agent10_Loans!B93="","",Agent10_Loans!H93)</f>
        <v/>
      </c>
      <c r="I1881" s="43" t="str">
        <f>IF(Agent10_Loans!B93="","",Agent10_Loans!I93)</f>
        <v/>
      </c>
      <c r="J1881" s="43" t="str">
        <f>IF(Agent10_Loans!B93="","",Agent10_Loans!J93)</f>
        <v/>
      </c>
      <c r="K1881" s="40" t="str">
        <f>IF(Agent10_Loans!B93="","",Agent10_Loans!K93)</f>
        <v/>
      </c>
      <c r="L1881" s="40" t="str">
        <f>IF(Agent10_Loans!B93="","",Agent10_Loans!L93)</f>
        <v/>
      </c>
      <c r="M1881" s="40" t="str">
        <f>IFERROR(IF(Agent10_Loans!B93="","",YEAR(Agent10_Loans!D93)),"")</f>
        <v/>
      </c>
    </row>
    <row r="1882" spans="1:13" ht="18" customHeight="1" x14ac:dyDescent="0.25">
      <c r="A1882" s="40" t="str">
        <f>IF(Agent10_Loans!B94="","",Agent10_Loans!A94)</f>
        <v/>
      </c>
      <c r="B1882" s="40" t="str">
        <f>IF(Agent10_Loans!B94="","",Agent10_Loans!B94)</f>
        <v/>
      </c>
      <c r="C1882" s="40" t="str">
        <f>IF(Agent10_Loans!B94="","",Agent10_Loans!C94)</f>
        <v/>
      </c>
      <c r="D1882" s="41" t="str">
        <f>IF(Agent10_Loans!B94="","",Agent10_Loans!D94)</f>
        <v/>
      </c>
      <c r="E1882" s="43" t="str">
        <f>IF(Agent10_Loans!B94="","",Agent10_Loans!E94)</f>
        <v/>
      </c>
      <c r="F1882" s="40" t="str">
        <f>IF(Agent10_Loans!B94="","",Agent10_Loans!F94)</f>
        <v/>
      </c>
      <c r="G1882" s="40" t="str">
        <f>IF(Agent10_Loans!B94="","",Agent10_Loans!G94)</f>
        <v/>
      </c>
      <c r="H1882" s="40" t="str">
        <f>IF(Agent10_Loans!B94="","",Agent10_Loans!H94)</f>
        <v/>
      </c>
      <c r="I1882" s="43" t="str">
        <f>IF(Agent10_Loans!B94="","",Agent10_Loans!I94)</f>
        <v/>
      </c>
      <c r="J1882" s="43" t="str">
        <f>IF(Agent10_Loans!B94="","",Agent10_Loans!J94)</f>
        <v/>
      </c>
      <c r="K1882" s="40" t="str">
        <f>IF(Agent10_Loans!B94="","",Agent10_Loans!K94)</f>
        <v/>
      </c>
      <c r="L1882" s="40" t="str">
        <f>IF(Agent10_Loans!B94="","",Agent10_Loans!L94)</f>
        <v/>
      </c>
      <c r="M1882" s="40" t="str">
        <f>IFERROR(IF(Agent10_Loans!B94="","",YEAR(Agent10_Loans!D94)),"")</f>
        <v/>
      </c>
    </row>
    <row r="1883" spans="1:13" ht="18" customHeight="1" x14ac:dyDescent="0.25">
      <c r="A1883" s="40" t="str">
        <f>IF(Agent10_Loans!B95="","",Agent10_Loans!A95)</f>
        <v/>
      </c>
      <c r="B1883" s="40" t="str">
        <f>IF(Agent10_Loans!B95="","",Agent10_Loans!B95)</f>
        <v/>
      </c>
      <c r="C1883" s="40" t="str">
        <f>IF(Agent10_Loans!B95="","",Agent10_Loans!C95)</f>
        <v/>
      </c>
      <c r="D1883" s="41" t="str">
        <f>IF(Agent10_Loans!B95="","",Agent10_Loans!D95)</f>
        <v/>
      </c>
      <c r="E1883" s="43" t="str">
        <f>IF(Agent10_Loans!B95="","",Agent10_Loans!E95)</f>
        <v/>
      </c>
      <c r="F1883" s="40" t="str">
        <f>IF(Agent10_Loans!B95="","",Agent10_Loans!F95)</f>
        <v/>
      </c>
      <c r="G1883" s="40" t="str">
        <f>IF(Agent10_Loans!B95="","",Agent10_Loans!G95)</f>
        <v/>
      </c>
      <c r="H1883" s="40" t="str">
        <f>IF(Agent10_Loans!B95="","",Agent10_Loans!H95)</f>
        <v/>
      </c>
      <c r="I1883" s="43" t="str">
        <f>IF(Agent10_Loans!B95="","",Agent10_Loans!I95)</f>
        <v/>
      </c>
      <c r="J1883" s="43" t="str">
        <f>IF(Agent10_Loans!B95="","",Agent10_Loans!J95)</f>
        <v/>
      </c>
      <c r="K1883" s="40" t="str">
        <f>IF(Agent10_Loans!B95="","",Agent10_Loans!K95)</f>
        <v/>
      </c>
      <c r="L1883" s="40" t="str">
        <f>IF(Agent10_Loans!B95="","",Agent10_Loans!L95)</f>
        <v/>
      </c>
      <c r="M1883" s="40" t="str">
        <f>IFERROR(IF(Agent10_Loans!B95="","",YEAR(Agent10_Loans!D95)),"")</f>
        <v/>
      </c>
    </row>
    <row r="1884" spans="1:13" ht="18" customHeight="1" x14ac:dyDescent="0.25">
      <c r="A1884" s="40" t="str">
        <f>IF(Agent10_Loans!B96="","",Agent10_Loans!A96)</f>
        <v/>
      </c>
      <c r="B1884" s="40" t="str">
        <f>IF(Agent10_Loans!B96="","",Agent10_Loans!B96)</f>
        <v/>
      </c>
      <c r="C1884" s="40" t="str">
        <f>IF(Agent10_Loans!B96="","",Agent10_Loans!C96)</f>
        <v/>
      </c>
      <c r="D1884" s="41" t="str">
        <f>IF(Agent10_Loans!B96="","",Agent10_Loans!D96)</f>
        <v/>
      </c>
      <c r="E1884" s="43" t="str">
        <f>IF(Agent10_Loans!B96="","",Agent10_Loans!E96)</f>
        <v/>
      </c>
      <c r="F1884" s="40" t="str">
        <f>IF(Agent10_Loans!B96="","",Agent10_Loans!F96)</f>
        <v/>
      </c>
      <c r="G1884" s="40" t="str">
        <f>IF(Agent10_Loans!B96="","",Agent10_Loans!G96)</f>
        <v/>
      </c>
      <c r="H1884" s="40" t="str">
        <f>IF(Agent10_Loans!B96="","",Agent10_Loans!H96)</f>
        <v/>
      </c>
      <c r="I1884" s="43" t="str">
        <f>IF(Agent10_Loans!B96="","",Agent10_Loans!I96)</f>
        <v/>
      </c>
      <c r="J1884" s="43" t="str">
        <f>IF(Agent10_Loans!B96="","",Agent10_Loans!J96)</f>
        <v/>
      </c>
      <c r="K1884" s="40" t="str">
        <f>IF(Agent10_Loans!B96="","",Agent10_Loans!K96)</f>
        <v/>
      </c>
      <c r="L1884" s="40" t="str">
        <f>IF(Agent10_Loans!B96="","",Agent10_Loans!L96)</f>
        <v/>
      </c>
      <c r="M1884" s="40" t="str">
        <f>IFERROR(IF(Agent10_Loans!B96="","",YEAR(Agent10_Loans!D96)),"")</f>
        <v/>
      </c>
    </row>
    <row r="1885" spans="1:13" ht="18" customHeight="1" x14ac:dyDescent="0.25">
      <c r="A1885" s="40" t="str">
        <f>IF(Agent10_Loans!B97="","",Agent10_Loans!A97)</f>
        <v/>
      </c>
      <c r="B1885" s="40" t="str">
        <f>IF(Agent10_Loans!B97="","",Agent10_Loans!B97)</f>
        <v/>
      </c>
      <c r="C1885" s="40" t="str">
        <f>IF(Agent10_Loans!B97="","",Agent10_Loans!C97)</f>
        <v/>
      </c>
      <c r="D1885" s="41" t="str">
        <f>IF(Agent10_Loans!B97="","",Agent10_Loans!D97)</f>
        <v/>
      </c>
      <c r="E1885" s="43" t="str">
        <f>IF(Agent10_Loans!B97="","",Agent10_Loans!E97)</f>
        <v/>
      </c>
      <c r="F1885" s="40" t="str">
        <f>IF(Agent10_Loans!B97="","",Agent10_Loans!F97)</f>
        <v/>
      </c>
      <c r="G1885" s="40" t="str">
        <f>IF(Agent10_Loans!B97="","",Agent10_Loans!G97)</f>
        <v/>
      </c>
      <c r="H1885" s="40" t="str">
        <f>IF(Agent10_Loans!B97="","",Agent10_Loans!H97)</f>
        <v/>
      </c>
      <c r="I1885" s="43" t="str">
        <f>IF(Agent10_Loans!B97="","",Agent10_Loans!I97)</f>
        <v/>
      </c>
      <c r="J1885" s="43" t="str">
        <f>IF(Agent10_Loans!B97="","",Agent10_Loans!J97)</f>
        <v/>
      </c>
      <c r="K1885" s="40" t="str">
        <f>IF(Agent10_Loans!B97="","",Agent10_Loans!K97)</f>
        <v/>
      </c>
      <c r="L1885" s="40" t="str">
        <f>IF(Agent10_Loans!B97="","",Agent10_Loans!L97)</f>
        <v/>
      </c>
      <c r="M1885" s="40" t="str">
        <f>IFERROR(IF(Agent10_Loans!B97="","",YEAR(Agent10_Loans!D97)),"")</f>
        <v/>
      </c>
    </row>
    <row r="1886" spans="1:13" ht="18" customHeight="1" x14ac:dyDescent="0.25">
      <c r="A1886" s="40" t="str">
        <f>IF(Agent10_Loans!B98="","",Agent10_Loans!A98)</f>
        <v/>
      </c>
      <c r="B1886" s="40" t="str">
        <f>IF(Agent10_Loans!B98="","",Agent10_Loans!B98)</f>
        <v/>
      </c>
      <c r="C1886" s="40" t="str">
        <f>IF(Agent10_Loans!B98="","",Agent10_Loans!C98)</f>
        <v/>
      </c>
      <c r="D1886" s="41" t="str">
        <f>IF(Agent10_Loans!B98="","",Agent10_Loans!D98)</f>
        <v/>
      </c>
      <c r="E1886" s="43" t="str">
        <f>IF(Agent10_Loans!B98="","",Agent10_Loans!E98)</f>
        <v/>
      </c>
      <c r="F1886" s="40" t="str">
        <f>IF(Agent10_Loans!B98="","",Agent10_Loans!F98)</f>
        <v/>
      </c>
      <c r="G1886" s="40" t="str">
        <f>IF(Agent10_Loans!B98="","",Agent10_Loans!G98)</f>
        <v/>
      </c>
      <c r="H1886" s="40" t="str">
        <f>IF(Agent10_Loans!B98="","",Agent10_Loans!H98)</f>
        <v/>
      </c>
      <c r="I1886" s="43" t="str">
        <f>IF(Agent10_Loans!B98="","",Agent10_Loans!I98)</f>
        <v/>
      </c>
      <c r="J1886" s="43" t="str">
        <f>IF(Agent10_Loans!B98="","",Agent10_Loans!J98)</f>
        <v/>
      </c>
      <c r="K1886" s="40" t="str">
        <f>IF(Agent10_Loans!B98="","",Agent10_Loans!K98)</f>
        <v/>
      </c>
      <c r="L1886" s="40" t="str">
        <f>IF(Agent10_Loans!B98="","",Agent10_Loans!L98)</f>
        <v/>
      </c>
      <c r="M1886" s="40" t="str">
        <f>IFERROR(IF(Agent10_Loans!B98="","",YEAR(Agent10_Loans!D98)),"")</f>
        <v/>
      </c>
    </row>
    <row r="1887" spans="1:13" ht="18" customHeight="1" x14ac:dyDescent="0.25">
      <c r="A1887" s="40" t="str">
        <f>IF(Agent10_Loans!B99="","",Agent10_Loans!A99)</f>
        <v/>
      </c>
      <c r="B1887" s="40" t="str">
        <f>IF(Agent10_Loans!B99="","",Agent10_Loans!B99)</f>
        <v/>
      </c>
      <c r="C1887" s="40" t="str">
        <f>IF(Agent10_Loans!B99="","",Agent10_Loans!C99)</f>
        <v/>
      </c>
      <c r="D1887" s="41" t="str">
        <f>IF(Agent10_Loans!B99="","",Agent10_Loans!D99)</f>
        <v/>
      </c>
      <c r="E1887" s="43" t="str">
        <f>IF(Agent10_Loans!B99="","",Agent10_Loans!E99)</f>
        <v/>
      </c>
      <c r="F1887" s="40" t="str">
        <f>IF(Agent10_Loans!B99="","",Agent10_Loans!F99)</f>
        <v/>
      </c>
      <c r="G1887" s="40" t="str">
        <f>IF(Agent10_Loans!B99="","",Agent10_Loans!G99)</f>
        <v/>
      </c>
      <c r="H1887" s="40" t="str">
        <f>IF(Agent10_Loans!B99="","",Agent10_Loans!H99)</f>
        <v/>
      </c>
      <c r="I1887" s="43" t="str">
        <f>IF(Agent10_Loans!B99="","",Agent10_Loans!I99)</f>
        <v/>
      </c>
      <c r="J1887" s="43" t="str">
        <f>IF(Agent10_Loans!B99="","",Agent10_Loans!J99)</f>
        <v/>
      </c>
      <c r="K1887" s="40" t="str">
        <f>IF(Agent10_Loans!B99="","",Agent10_Loans!K99)</f>
        <v/>
      </c>
      <c r="L1887" s="40" t="str">
        <f>IF(Agent10_Loans!B99="","",Agent10_Loans!L99)</f>
        <v/>
      </c>
      <c r="M1887" s="40" t="str">
        <f>IFERROR(IF(Agent10_Loans!B99="","",YEAR(Agent10_Loans!D99)),"")</f>
        <v/>
      </c>
    </row>
    <row r="1888" spans="1:13" ht="18" customHeight="1" x14ac:dyDescent="0.25">
      <c r="A1888" s="40" t="str">
        <f>IF(Agent10_Loans!B100="","",Agent10_Loans!A100)</f>
        <v/>
      </c>
      <c r="B1888" s="40" t="str">
        <f>IF(Agent10_Loans!B100="","",Agent10_Loans!B100)</f>
        <v/>
      </c>
      <c r="C1888" s="40" t="str">
        <f>IF(Agent10_Loans!B100="","",Agent10_Loans!C100)</f>
        <v/>
      </c>
      <c r="D1888" s="41" t="str">
        <f>IF(Agent10_Loans!B100="","",Agent10_Loans!D100)</f>
        <v/>
      </c>
      <c r="E1888" s="43" t="str">
        <f>IF(Agent10_Loans!B100="","",Agent10_Loans!E100)</f>
        <v/>
      </c>
      <c r="F1888" s="40" t="str">
        <f>IF(Agent10_Loans!B100="","",Agent10_Loans!F100)</f>
        <v/>
      </c>
      <c r="G1888" s="40" t="str">
        <f>IF(Agent10_Loans!B100="","",Agent10_Loans!G100)</f>
        <v/>
      </c>
      <c r="H1888" s="40" t="str">
        <f>IF(Agent10_Loans!B100="","",Agent10_Loans!H100)</f>
        <v/>
      </c>
      <c r="I1888" s="43" t="str">
        <f>IF(Agent10_Loans!B100="","",Agent10_Loans!I100)</f>
        <v/>
      </c>
      <c r="J1888" s="43" t="str">
        <f>IF(Agent10_Loans!B100="","",Agent10_Loans!J100)</f>
        <v/>
      </c>
      <c r="K1888" s="40" t="str">
        <f>IF(Agent10_Loans!B100="","",Agent10_Loans!K100)</f>
        <v/>
      </c>
      <c r="L1888" s="40" t="str">
        <f>IF(Agent10_Loans!B100="","",Agent10_Loans!L100)</f>
        <v/>
      </c>
      <c r="M1888" s="40" t="str">
        <f>IFERROR(IF(Agent10_Loans!B100="","",YEAR(Agent10_Loans!D100)),"")</f>
        <v/>
      </c>
    </row>
    <row r="1889" spans="1:13" ht="18" customHeight="1" x14ac:dyDescent="0.25">
      <c r="A1889" s="40" t="str">
        <f>IF(Agent10_Loans!B101="","",Agent10_Loans!A101)</f>
        <v/>
      </c>
      <c r="B1889" s="40" t="str">
        <f>IF(Agent10_Loans!B101="","",Agent10_Loans!B101)</f>
        <v/>
      </c>
      <c r="C1889" s="40" t="str">
        <f>IF(Agent10_Loans!B101="","",Agent10_Loans!C101)</f>
        <v/>
      </c>
      <c r="D1889" s="41" t="str">
        <f>IF(Agent10_Loans!B101="","",Agent10_Loans!D101)</f>
        <v/>
      </c>
      <c r="E1889" s="43" t="str">
        <f>IF(Agent10_Loans!B101="","",Agent10_Loans!E101)</f>
        <v/>
      </c>
      <c r="F1889" s="40" t="str">
        <f>IF(Agent10_Loans!B101="","",Agent10_Loans!F101)</f>
        <v/>
      </c>
      <c r="G1889" s="40" t="str">
        <f>IF(Agent10_Loans!B101="","",Agent10_Loans!G101)</f>
        <v/>
      </c>
      <c r="H1889" s="40" t="str">
        <f>IF(Agent10_Loans!B101="","",Agent10_Loans!H101)</f>
        <v/>
      </c>
      <c r="I1889" s="43" t="str">
        <f>IF(Agent10_Loans!B101="","",Agent10_Loans!I101)</f>
        <v/>
      </c>
      <c r="J1889" s="43" t="str">
        <f>IF(Agent10_Loans!B101="","",Agent10_Loans!J101)</f>
        <v/>
      </c>
      <c r="K1889" s="40" t="str">
        <f>IF(Agent10_Loans!B101="","",Agent10_Loans!K101)</f>
        <v/>
      </c>
      <c r="L1889" s="40" t="str">
        <f>IF(Agent10_Loans!B101="","",Agent10_Loans!L101)</f>
        <v/>
      </c>
      <c r="M1889" s="40" t="str">
        <f>IFERROR(IF(Agent10_Loans!B101="","",YEAR(Agent10_Loans!D101)),"")</f>
        <v/>
      </c>
    </row>
    <row r="1890" spans="1:13" ht="18" customHeight="1" x14ac:dyDescent="0.25">
      <c r="A1890" s="40" t="str">
        <f>IF(Agent10_Loans!B102="","",Agent10_Loans!A102)</f>
        <v/>
      </c>
      <c r="B1890" s="40" t="str">
        <f>IF(Agent10_Loans!B102="","",Agent10_Loans!B102)</f>
        <v/>
      </c>
      <c r="C1890" s="40" t="str">
        <f>IF(Agent10_Loans!B102="","",Agent10_Loans!C102)</f>
        <v/>
      </c>
      <c r="D1890" s="41" t="str">
        <f>IF(Agent10_Loans!B102="","",Agent10_Loans!D102)</f>
        <v/>
      </c>
      <c r="E1890" s="43" t="str">
        <f>IF(Agent10_Loans!B102="","",Agent10_Loans!E102)</f>
        <v/>
      </c>
      <c r="F1890" s="40" t="str">
        <f>IF(Agent10_Loans!B102="","",Agent10_Loans!F102)</f>
        <v/>
      </c>
      <c r="G1890" s="40" t="str">
        <f>IF(Agent10_Loans!B102="","",Agent10_Loans!G102)</f>
        <v/>
      </c>
      <c r="H1890" s="40" t="str">
        <f>IF(Agent10_Loans!B102="","",Agent10_Loans!H102)</f>
        <v/>
      </c>
      <c r="I1890" s="43" t="str">
        <f>IF(Agent10_Loans!B102="","",Agent10_Loans!I102)</f>
        <v/>
      </c>
      <c r="J1890" s="43" t="str">
        <f>IF(Agent10_Loans!B102="","",Agent10_Loans!J102)</f>
        <v/>
      </c>
      <c r="K1890" s="40" t="str">
        <f>IF(Agent10_Loans!B102="","",Agent10_Loans!K102)</f>
        <v/>
      </c>
      <c r="L1890" s="40" t="str">
        <f>IF(Agent10_Loans!B102="","",Agent10_Loans!L102)</f>
        <v/>
      </c>
      <c r="M1890" s="40" t="str">
        <f>IFERROR(IF(Agent10_Loans!B102="","",YEAR(Agent10_Loans!D102)),"")</f>
        <v/>
      </c>
    </row>
    <row r="1891" spans="1:13" ht="18" customHeight="1" x14ac:dyDescent="0.25">
      <c r="A1891" s="40" t="str">
        <f>IF(Agent10_Loans!B103="","",Agent10_Loans!A103)</f>
        <v/>
      </c>
      <c r="B1891" s="40" t="str">
        <f>IF(Agent10_Loans!B103="","",Agent10_Loans!B103)</f>
        <v/>
      </c>
      <c r="C1891" s="40" t="str">
        <f>IF(Agent10_Loans!B103="","",Agent10_Loans!C103)</f>
        <v/>
      </c>
      <c r="D1891" s="41" t="str">
        <f>IF(Agent10_Loans!B103="","",Agent10_Loans!D103)</f>
        <v/>
      </c>
      <c r="E1891" s="43" t="str">
        <f>IF(Agent10_Loans!B103="","",Agent10_Loans!E103)</f>
        <v/>
      </c>
      <c r="F1891" s="40" t="str">
        <f>IF(Agent10_Loans!B103="","",Agent10_Loans!F103)</f>
        <v/>
      </c>
      <c r="G1891" s="40" t="str">
        <f>IF(Agent10_Loans!B103="","",Agent10_Loans!G103)</f>
        <v/>
      </c>
      <c r="H1891" s="40" t="str">
        <f>IF(Agent10_Loans!B103="","",Agent10_Loans!H103)</f>
        <v/>
      </c>
      <c r="I1891" s="43" t="str">
        <f>IF(Agent10_Loans!B103="","",Agent10_Loans!I103)</f>
        <v/>
      </c>
      <c r="J1891" s="43" t="str">
        <f>IF(Agent10_Loans!B103="","",Agent10_Loans!J103)</f>
        <v/>
      </c>
      <c r="K1891" s="40" t="str">
        <f>IF(Agent10_Loans!B103="","",Agent10_Loans!K103)</f>
        <v/>
      </c>
      <c r="L1891" s="40" t="str">
        <f>IF(Agent10_Loans!B103="","",Agent10_Loans!L103)</f>
        <v/>
      </c>
      <c r="M1891" s="40" t="str">
        <f>IFERROR(IF(Agent10_Loans!B103="","",YEAR(Agent10_Loans!D103)),"")</f>
        <v/>
      </c>
    </row>
    <row r="1892" spans="1:13" ht="18" customHeight="1" x14ac:dyDescent="0.25">
      <c r="A1892" s="40" t="str">
        <f>IF(Agent10_Loans!B104="","",Agent10_Loans!A104)</f>
        <v/>
      </c>
      <c r="B1892" s="40" t="str">
        <f>IF(Agent10_Loans!B104="","",Agent10_Loans!B104)</f>
        <v/>
      </c>
      <c r="C1892" s="40" t="str">
        <f>IF(Agent10_Loans!B104="","",Agent10_Loans!C104)</f>
        <v/>
      </c>
      <c r="D1892" s="41" t="str">
        <f>IF(Agent10_Loans!B104="","",Agent10_Loans!D104)</f>
        <v/>
      </c>
      <c r="E1892" s="43" t="str">
        <f>IF(Agent10_Loans!B104="","",Agent10_Loans!E104)</f>
        <v/>
      </c>
      <c r="F1892" s="40" t="str">
        <f>IF(Agent10_Loans!B104="","",Agent10_Loans!F104)</f>
        <v/>
      </c>
      <c r="G1892" s="40" t="str">
        <f>IF(Agent10_Loans!B104="","",Agent10_Loans!G104)</f>
        <v/>
      </c>
      <c r="H1892" s="40" t="str">
        <f>IF(Agent10_Loans!B104="","",Agent10_Loans!H104)</f>
        <v/>
      </c>
      <c r="I1892" s="43" t="str">
        <f>IF(Agent10_Loans!B104="","",Agent10_Loans!I104)</f>
        <v/>
      </c>
      <c r="J1892" s="43" t="str">
        <f>IF(Agent10_Loans!B104="","",Agent10_Loans!J104)</f>
        <v/>
      </c>
      <c r="K1892" s="40" t="str">
        <f>IF(Agent10_Loans!B104="","",Agent10_Loans!K104)</f>
        <v/>
      </c>
      <c r="L1892" s="40" t="str">
        <f>IF(Agent10_Loans!B104="","",Agent10_Loans!L104)</f>
        <v/>
      </c>
      <c r="M1892" s="40" t="str">
        <f>IFERROR(IF(Agent10_Loans!B104="","",YEAR(Agent10_Loans!D104)),"")</f>
        <v/>
      </c>
    </row>
    <row r="1893" spans="1:13" ht="18" customHeight="1" x14ac:dyDescent="0.25">
      <c r="A1893" s="40" t="str">
        <f>IF(Agent10_Loans!B105="","",Agent10_Loans!A105)</f>
        <v/>
      </c>
      <c r="B1893" s="40" t="str">
        <f>IF(Agent10_Loans!B105="","",Agent10_Loans!B105)</f>
        <v/>
      </c>
      <c r="C1893" s="40" t="str">
        <f>IF(Agent10_Loans!B105="","",Agent10_Loans!C105)</f>
        <v/>
      </c>
      <c r="D1893" s="41" t="str">
        <f>IF(Agent10_Loans!B105="","",Agent10_Loans!D105)</f>
        <v/>
      </c>
      <c r="E1893" s="43" t="str">
        <f>IF(Agent10_Loans!B105="","",Agent10_Loans!E105)</f>
        <v/>
      </c>
      <c r="F1893" s="40" t="str">
        <f>IF(Agent10_Loans!B105="","",Agent10_Loans!F105)</f>
        <v/>
      </c>
      <c r="G1893" s="40" t="str">
        <f>IF(Agent10_Loans!B105="","",Agent10_Loans!G105)</f>
        <v/>
      </c>
      <c r="H1893" s="40" t="str">
        <f>IF(Agent10_Loans!B105="","",Agent10_Loans!H105)</f>
        <v/>
      </c>
      <c r="I1893" s="43" t="str">
        <f>IF(Agent10_Loans!B105="","",Agent10_Loans!I105)</f>
        <v/>
      </c>
      <c r="J1893" s="43" t="str">
        <f>IF(Agent10_Loans!B105="","",Agent10_Loans!J105)</f>
        <v/>
      </c>
      <c r="K1893" s="40" t="str">
        <f>IF(Agent10_Loans!B105="","",Agent10_Loans!K105)</f>
        <v/>
      </c>
      <c r="L1893" s="40" t="str">
        <f>IF(Agent10_Loans!B105="","",Agent10_Loans!L105)</f>
        <v/>
      </c>
      <c r="M1893" s="40" t="str">
        <f>IFERROR(IF(Agent10_Loans!B105="","",YEAR(Agent10_Loans!D105)),"")</f>
        <v/>
      </c>
    </row>
    <row r="1894" spans="1:13" ht="18" customHeight="1" x14ac:dyDescent="0.25">
      <c r="A1894" s="40" t="str">
        <f>IF(Agent10_Loans!B106="","",Agent10_Loans!A106)</f>
        <v/>
      </c>
      <c r="B1894" s="40" t="str">
        <f>IF(Agent10_Loans!B106="","",Agent10_Loans!B106)</f>
        <v/>
      </c>
      <c r="C1894" s="40" t="str">
        <f>IF(Agent10_Loans!B106="","",Agent10_Loans!C106)</f>
        <v/>
      </c>
      <c r="D1894" s="41" t="str">
        <f>IF(Agent10_Loans!B106="","",Agent10_Loans!D106)</f>
        <v/>
      </c>
      <c r="E1894" s="43" t="str">
        <f>IF(Agent10_Loans!B106="","",Agent10_Loans!E106)</f>
        <v/>
      </c>
      <c r="F1894" s="40" t="str">
        <f>IF(Agent10_Loans!B106="","",Agent10_Loans!F106)</f>
        <v/>
      </c>
      <c r="G1894" s="40" t="str">
        <f>IF(Agent10_Loans!B106="","",Agent10_Loans!G106)</f>
        <v/>
      </c>
      <c r="H1894" s="40" t="str">
        <f>IF(Agent10_Loans!B106="","",Agent10_Loans!H106)</f>
        <v/>
      </c>
      <c r="I1894" s="43" t="str">
        <f>IF(Agent10_Loans!B106="","",Agent10_Loans!I106)</f>
        <v/>
      </c>
      <c r="J1894" s="43" t="str">
        <f>IF(Agent10_Loans!B106="","",Agent10_Loans!J106)</f>
        <v/>
      </c>
      <c r="K1894" s="40" t="str">
        <f>IF(Agent10_Loans!B106="","",Agent10_Loans!K106)</f>
        <v/>
      </c>
      <c r="L1894" s="40" t="str">
        <f>IF(Agent10_Loans!B106="","",Agent10_Loans!L106)</f>
        <v/>
      </c>
      <c r="M1894" s="40" t="str">
        <f>IFERROR(IF(Agent10_Loans!B106="","",YEAR(Agent10_Loans!D106)),"")</f>
        <v/>
      </c>
    </row>
    <row r="1895" spans="1:13" ht="18" customHeight="1" x14ac:dyDescent="0.25">
      <c r="A1895" s="40" t="str">
        <f>IF(Agent10_Loans!B107="","",Agent10_Loans!A107)</f>
        <v/>
      </c>
      <c r="B1895" s="40" t="str">
        <f>IF(Agent10_Loans!B107="","",Agent10_Loans!B107)</f>
        <v/>
      </c>
      <c r="C1895" s="40" t="str">
        <f>IF(Agent10_Loans!B107="","",Agent10_Loans!C107)</f>
        <v/>
      </c>
      <c r="D1895" s="41" t="str">
        <f>IF(Agent10_Loans!B107="","",Agent10_Loans!D107)</f>
        <v/>
      </c>
      <c r="E1895" s="43" t="str">
        <f>IF(Agent10_Loans!B107="","",Agent10_Loans!E107)</f>
        <v/>
      </c>
      <c r="F1895" s="40" t="str">
        <f>IF(Agent10_Loans!B107="","",Agent10_Loans!F107)</f>
        <v/>
      </c>
      <c r="G1895" s="40" t="str">
        <f>IF(Agent10_Loans!B107="","",Agent10_Loans!G107)</f>
        <v/>
      </c>
      <c r="H1895" s="40" t="str">
        <f>IF(Agent10_Loans!B107="","",Agent10_Loans!H107)</f>
        <v/>
      </c>
      <c r="I1895" s="43" t="str">
        <f>IF(Agent10_Loans!B107="","",Agent10_Loans!I107)</f>
        <v/>
      </c>
      <c r="J1895" s="43" t="str">
        <f>IF(Agent10_Loans!B107="","",Agent10_Loans!J107)</f>
        <v/>
      </c>
      <c r="K1895" s="40" t="str">
        <f>IF(Agent10_Loans!B107="","",Agent10_Loans!K107)</f>
        <v/>
      </c>
      <c r="L1895" s="40" t="str">
        <f>IF(Agent10_Loans!B107="","",Agent10_Loans!L107)</f>
        <v/>
      </c>
      <c r="M1895" s="40" t="str">
        <f>IFERROR(IF(Agent10_Loans!B107="","",YEAR(Agent10_Loans!D107)),"")</f>
        <v/>
      </c>
    </row>
    <row r="1896" spans="1:13" ht="18" customHeight="1" x14ac:dyDescent="0.25">
      <c r="A1896" s="40" t="str">
        <f>IF(Agent10_Loans!B108="","",Agent10_Loans!A108)</f>
        <v/>
      </c>
      <c r="B1896" s="40" t="str">
        <f>IF(Agent10_Loans!B108="","",Agent10_Loans!B108)</f>
        <v/>
      </c>
      <c r="C1896" s="40" t="str">
        <f>IF(Agent10_Loans!B108="","",Agent10_Loans!C108)</f>
        <v/>
      </c>
      <c r="D1896" s="41" t="str">
        <f>IF(Agent10_Loans!B108="","",Agent10_Loans!D108)</f>
        <v/>
      </c>
      <c r="E1896" s="43" t="str">
        <f>IF(Agent10_Loans!B108="","",Agent10_Loans!E108)</f>
        <v/>
      </c>
      <c r="F1896" s="40" t="str">
        <f>IF(Agent10_Loans!B108="","",Agent10_Loans!F108)</f>
        <v/>
      </c>
      <c r="G1896" s="40" t="str">
        <f>IF(Agent10_Loans!B108="","",Agent10_Loans!G108)</f>
        <v/>
      </c>
      <c r="H1896" s="40" t="str">
        <f>IF(Agent10_Loans!B108="","",Agent10_Loans!H108)</f>
        <v/>
      </c>
      <c r="I1896" s="43" t="str">
        <f>IF(Agent10_Loans!B108="","",Agent10_Loans!I108)</f>
        <v/>
      </c>
      <c r="J1896" s="43" t="str">
        <f>IF(Agent10_Loans!B108="","",Agent10_Loans!J108)</f>
        <v/>
      </c>
      <c r="K1896" s="40" t="str">
        <f>IF(Agent10_Loans!B108="","",Agent10_Loans!K108)</f>
        <v/>
      </c>
      <c r="L1896" s="40" t="str">
        <f>IF(Agent10_Loans!B108="","",Agent10_Loans!L108)</f>
        <v/>
      </c>
      <c r="M1896" s="40" t="str">
        <f>IFERROR(IF(Agent10_Loans!B108="","",YEAR(Agent10_Loans!D108)),"")</f>
        <v/>
      </c>
    </row>
    <row r="1897" spans="1:13" ht="18" customHeight="1" x14ac:dyDescent="0.25">
      <c r="A1897" s="40" t="str">
        <f>IF(Agent10_Loans!B109="","",Agent10_Loans!A109)</f>
        <v/>
      </c>
      <c r="B1897" s="40" t="str">
        <f>IF(Agent10_Loans!B109="","",Agent10_Loans!B109)</f>
        <v/>
      </c>
      <c r="C1897" s="40" t="str">
        <f>IF(Agent10_Loans!B109="","",Agent10_Loans!C109)</f>
        <v/>
      </c>
      <c r="D1897" s="41" t="str">
        <f>IF(Agent10_Loans!B109="","",Agent10_Loans!D109)</f>
        <v/>
      </c>
      <c r="E1897" s="43" t="str">
        <f>IF(Agent10_Loans!B109="","",Agent10_Loans!E109)</f>
        <v/>
      </c>
      <c r="F1897" s="40" t="str">
        <f>IF(Agent10_Loans!B109="","",Agent10_Loans!F109)</f>
        <v/>
      </c>
      <c r="G1897" s="40" t="str">
        <f>IF(Agent10_Loans!B109="","",Agent10_Loans!G109)</f>
        <v/>
      </c>
      <c r="H1897" s="40" t="str">
        <f>IF(Agent10_Loans!B109="","",Agent10_Loans!H109)</f>
        <v/>
      </c>
      <c r="I1897" s="43" t="str">
        <f>IF(Agent10_Loans!B109="","",Agent10_Loans!I109)</f>
        <v/>
      </c>
      <c r="J1897" s="43" t="str">
        <f>IF(Agent10_Loans!B109="","",Agent10_Loans!J109)</f>
        <v/>
      </c>
      <c r="K1897" s="40" t="str">
        <f>IF(Agent10_Loans!B109="","",Agent10_Loans!K109)</f>
        <v/>
      </c>
      <c r="L1897" s="40" t="str">
        <f>IF(Agent10_Loans!B109="","",Agent10_Loans!L109)</f>
        <v/>
      </c>
      <c r="M1897" s="40" t="str">
        <f>IFERROR(IF(Agent10_Loans!B109="","",YEAR(Agent10_Loans!D109)),"")</f>
        <v/>
      </c>
    </row>
    <row r="1898" spans="1:13" ht="18" customHeight="1" x14ac:dyDescent="0.25">
      <c r="A1898" s="40" t="str">
        <f>IF(Agent10_Loans!B110="","",Agent10_Loans!A110)</f>
        <v/>
      </c>
      <c r="B1898" s="40" t="str">
        <f>IF(Agent10_Loans!B110="","",Agent10_Loans!B110)</f>
        <v/>
      </c>
      <c r="C1898" s="40" t="str">
        <f>IF(Agent10_Loans!B110="","",Agent10_Loans!C110)</f>
        <v/>
      </c>
      <c r="D1898" s="41" t="str">
        <f>IF(Agent10_Loans!B110="","",Agent10_Loans!D110)</f>
        <v/>
      </c>
      <c r="E1898" s="43" t="str">
        <f>IF(Agent10_Loans!B110="","",Agent10_Loans!E110)</f>
        <v/>
      </c>
      <c r="F1898" s="40" t="str">
        <f>IF(Agent10_Loans!B110="","",Agent10_Loans!F110)</f>
        <v/>
      </c>
      <c r="G1898" s="40" t="str">
        <f>IF(Agent10_Loans!B110="","",Agent10_Loans!G110)</f>
        <v/>
      </c>
      <c r="H1898" s="40" t="str">
        <f>IF(Agent10_Loans!B110="","",Agent10_Loans!H110)</f>
        <v/>
      </c>
      <c r="I1898" s="43" t="str">
        <f>IF(Agent10_Loans!B110="","",Agent10_Loans!I110)</f>
        <v/>
      </c>
      <c r="J1898" s="43" t="str">
        <f>IF(Agent10_Loans!B110="","",Agent10_Loans!J110)</f>
        <v/>
      </c>
      <c r="K1898" s="40" t="str">
        <f>IF(Agent10_Loans!B110="","",Agent10_Loans!K110)</f>
        <v/>
      </c>
      <c r="L1898" s="40" t="str">
        <f>IF(Agent10_Loans!B110="","",Agent10_Loans!L110)</f>
        <v/>
      </c>
      <c r="M1898" s="40" t="str">
        <f>IFERROR(IF(Agent10_Loans!B110="","",YEAR(Agent10_Loans!D110)),"")</f>
        <v/>
      </c>
    </row>
    <row r="1899" spans="1:13" ht="18" customHeight="1" x14ac:dyDescent="0.25">
      <c r="A1899" s="40" t="str">
        <f>IF(Agent10_Loans!B111="","",Agent10_Loans!A111)</f>
        <v/>
      </c>
      <c r="B1899" s="40" t="str">
        <f>IF(Agent10_Loans!B111="","",Agent10_Loans!B111)</f>
        <v/>
      </c>
      <c r="C1899" s="40" t="str">
        <f>IF(Agent10_Loans!B111="","",Agent10_Loans!C111)</f>
        <v/>
      </c>
      <c r="D1899" s="41" t="str">
        <f>IF(Agent10_Loans!B111="","",Agent10_Loans!D111)</f>
        <v/>
      </c>
      <c r="E1899" s="43" t="str">
        <f>IF(Agent10_Loans!B111="","",Agent10_Loans!E111)</f>
        <v/>
      </c>
      <c r="F1899" s="40" t="str">
        <f>IF(Agent10_Loans!B111="","",Agent10_Loans!F111)</f>
        <v/>
      </c>
      <c r="G1899" s="40" t="str">
        <f>IF(Agent10_Loans!B111="","",Agent10_Loans!G111)</f>
        <v/>
      </c>
      <c r="H1899" s="40" t="str">
        <f>IF(Agent10_Loans!B111="","",Agent10_Loans!H111)</f>
        <v/>
      </c>
      <c r="I1899" s="43" t="str">
        <f>IF(Agent10_Loans!B111="","",Agent10_Loans!I111)</f>
        <v/>
      </c>
      <c r="J1899" s="43" t="str">
        <f>IF(Agent10_Loans!B111="","",Agent10_Loans!J111)</f>
        <v/>
      </c>
      <c r="K1899" s="40" t="str">
        <f>IF(Agent10_Loans!B111="","",Agent10_Loans!K111)</f>
        <v/>
      </c>
      <c r="L1899" s="40" t="str">
        <f>IF(Agent10_Loans!B111="","",Agent10_Loans!L111)</f>
        <v/>
      </c>
      <c r="M1899" s="40" t="str">
        <f>IFERROR(IF(Agent10_Loans!B111="","",YEAR(Agent10_Loans!D111)),"")</f>
        <v/>
      </c>
    </row>
    <row r="1900" spans="1:13" ht="18" customHeight="1" x14ac:dyDescent="0.25">
      <c r="A1900" s="40" t="str">
        <f>IF(Agent10_Loans!B112="","",Agent10_Loans!A112)</f>
        <v/>
      </c>
      <c r="B1900" s="40" t="str">
        <f>IF(Agent10_Loans!B112="","",Agent10_Loans!B112)</f>
        <v/>
      </c>
      <c r="C1900" s="40" t="str">
        <f>IF(Agent10_Loans!B112="","",Agent10_Loans!C112)</f>
        <v/>
      </c>
      <c r="D1900" s="41" t="str">
        <f>IF(Agent10_Loans!B112="","",Agent10_Loans!D112)</f>
        <v/>
      </c>
      <c r="E1900" s="43" t="str">
        <f>IF(Agent10_Loans!B112="","",Agent10_Loans!E112)</f>
        <v/>
      </c>
      <c r="F1900" s="40" t="str">
        <f>IF(Agent10_Loans!B112="","",Agent10_Loans!F112)</f>
        <v/>
      </c>
      <c r="G1900" s="40" t="str">
        <f>IF(Agent10_Loans!B112="","",Agent10_Loans!G112)</f>
        <v/>
      </c>
      <c r="H1900" s="40" t="str">
        <f>IF(Agent10_Loans!B112="","",Agent10_Loans!H112)</f>
        <v/>
      </c>
      <c r="I1900" s="43" t="str">
        <f>IF(Agent10_Loans!B112="","",Agent10_Loans!I112)</f>
        <v/>
      </c>
      <c r="J1900" s="43" t="str">
        <f>IF(Agent10_Loans!B112="","",Agent10_Loans!J112)</f>
        <v/>
      </c>
      <c r="K1900" s="40" t="str">
        <f>IF(Agent10_Loans!B112="","",Agent10_Loans!K112)</f>
        <v/>
      </c>
      <c r="L1900" s="40" t="str">
        <f>IF(Agent10_Loans!B112="","",Agent10_Loans!L112)</f>
        <v/>
      </c>
      <c r="M1900" s="40" t="str">
        <f>IFERROR(IF(Agent10_Loans!B112="","",YEAR(Agent10_Loans!D112)),"")</f>
        <v/>
      </c>
    </row>
    <row r="1901" spans="1:13" ht="18" customHeight="1" x14ac:dyDescent="0.25">
      <c r="A1901" s="40" t="str">
        <f>IF(Agent10_Loans!B113="","",Agent10_Loans!A113)</f>
        <v/>
      </c>
      <c r="B1901" s="40" t="str">
        <f>IF(Agent10_Loans!B113="","",Agent10_Loans!B113)</f>
        <v/>
      </c>
      <c r="C1901" s="40" t="str">
        <f>IF(Agent10_Loans!B113="","",Agent10_Loans!C113)</f>
        <v/>
      </c>
      <c r="D1901" s="41" t="str">
        <f>IF(Agent10_Loans!B113="","",Agent10_Loans!D113)</f>
        <v/>
      </c>
      <c r="E1901" s="43" t="str">
        <f>IF(Agent10_Loans!B113="","",Agent10_Loans!E113)</f>
        <v/>
      </c>
      <c r="F1901" s="40" t="str">
        <f>IF(Agent10_Loans!B113="","",Agent10_Loans!F113)</f>
        <v/>
      </c>
      <c r="G1901" s="40" t="str">
        <f>IF(Agent10_Loans!B113="","",Agent10_Loans!G113)</f>
        <v/>
      </c>
      <c r="H1901" s="40" t="str">
        <f>IF(Agent10_Loans!B113="","",Agent10_Loans!H113)</f>
        <v/>
      </c>
      <c r="I1901" s="43" t="str">
        <f>IF(Agent10_Loans!B113="","",Agent10_Loans!I113)</f>
        <v/>
      </c>
      <c r="J1901" s="43" t="str">
        <f>IF(Agent10_Loans!B113="","",Agent10_Loans!J113)</f>
        <v/>
      </c>
      <c r="K1901" s="40" t="str">
        <f>IF(Agent10_Loans!B113="","",Agent10_Loans!K113)</f>
        <v/>
      </c>
      <c r="L1901" s="40" t="str">
        <f>IF(Agent10_Loans!B113="","",Agent10_Loans!L113)</f>
        <v/>
      </c>
      <c r="M1901" s="40" t="str">
        <f>IFERROR(IF(Agent10_Loans!B113="","",YEAR(Agent10_Loans!D113)),"")</f>
        <v/>
      </c>
    </row>
    <row r="1902" spans="1:13" ht="18" customHeight="1" x14ac:dyDescent="0.25">
      <c r="A1902" s="40" t="str">
        <f>IF(Agent10_Loans!B114="","",Agent10_Loans!A114)</f>
        <v/>
      </c>
      <c r="B1902" s="40" t="str">
        <f>IF(Agent10_Loans!B114="","",Agent10_Loans!B114)</f>
        <v/>
      </c>
      <c r="C1902" s="40" t="str">
        <f>IF(Agent10_Loans!B114="","",Agent10_Loans!C114)</f>
        <v/>
      </c>
      <c r="D1902" s="41" t="str">
        <f>IF(Agent10_Loans!B114="","",Agent10_Loans!D114)</f>
        <v/>
      </c>
      <c r="E1902" s="43" t="str">
        <f>IF(Agent10_Loans!B114="","",Agent10_Loans!E114)</f>
        <v/>
      </c>
      <c r="F1902" s="40" t="str">
        <f>IF(Agent10_Loans!B114="","",Agent10_Loans!F114)</f>
        <v/>
      </c>
      <c r="G1902" s="40" t="str">
        <f>IF(Agent10_Loans!B114="","",Agent10_Loans!G114)</f>
        <v/>
      </c>
      <c r="H1902" s="40" t="str">
        <f>IF(Agent10_Loans!B114="","",Agent10_Loans!H114)</f>
        <v/>
      </c>
      <c r="I1902" s="43" t="str">
        <f>IF(Agent10_Loans!B114="","",Agent10_Loans!I114)</f>
        <v/>
      </c>
      <c r="J1902" s="43" t="str">
        <f>IF(Agent10_Loans!B114="","",Agent10_Loans!J114)</f>
        <v/>
      </c>
      <c r="K1902" s="40" t="str">
        <f>IF(Agent10_Loans!B114="","",Agent10_Loans!K114)</f>
        <v/>
      </c>
      <c r="L1902" s="40" t="str">
        <f>IF(Agent10_Loans!B114="","",Agent10_Loans!L114)</f>
        <v/>
      </c>
      <c r="M1902" s="40" t="str">
        <f>IFERROR(IF(Agent10_Loans!B114="","",YEAR(Agent10_Loans!D114)),"")</f>
        <v/>
      </c>
    </row>
    <row r="1903" spans="1:13" ht="18" customHeight="1" x14ac:dyDescent="0.25">
      <c r="A1903" s="40" t="str">
        <f>IF(Agent10_Loans!B115="","",Agent10_Loans!A115)</f>
        <v/>
      </c>
      <c r="B1903" s="40" t="str">
        <f>IF(Agent10_Loans!B115="","",Agent10_Loans!B115)</f>
        <v/>
      </c>
      <c r="C1903" s="40" t="str">
        <f>IF(Agent10_Loans!B115="","",Agent10_Loans!C115)</f>
        <v/>
      </c>
      <c r="D1903" s="41" t="str">
        <f>IF(Agent10_Loans!B115="","",Agent10_Loans!D115)</f>
        <v/>
      </c>
      <c r="E1903" s="43" t="str">
        <f>IF(Agent10_Loans!B115="","",Agent10_Loans!E115)</f>
        <v/>
      </c>
      <c r="F1903" s="40" t="str">
        <f>IF(Agent10_Loans!B115="","",Agent10_Loans!F115)</f>
        <v/>
      </c>
      <c r="G1903" s="40" t="str">
        <f>IF(Agent10_Loans!B115="","",Agent10_Loans!G115)</f>
        <v/>
      </c>
      <c r="H1903" s="40" t="str">
        <f>IF(Agent10_Loans!B115="","",Agent10_Loans!H115)</f>
        <v/>
      </c>
      <c r="I1903" s="43" t="str">
        <f>IF(Agent10_Loans!B115="","",Agent10_Loans!I115)</f>
        <v/>
      </c>
      <c r="J1903" s="43" t="str">
        <f>IF(Agent10_Loans!B115="","",Agent10_Loans!J115)</f>
        <v/>
      </c>
      <c r="K1903" s="40" t="str">
        <f>IF(Agent10_Loans!B115="","",Agent10_Loans!K115)</f>
        <v/>
      </c>
      <c r="L1903" s="40" t="str">
        <f>IF(Agent10_Loans!B115="","",Agent10_Loans!L115)</f>
        <v/>
      </c>
      <c r="M1903" s="40" t="str">
        <f>IFERROR(IF(Agent10_Loans!B115="","",YEAR(Agent10_Loans!D115)),"")</f>
        <v/>
      </c>
    </row>
    <row r="1904" spans="1:13" ht="18" customHeight="1" x14ac:dyDescent="0.25">
      <c r="A1904" s="40" t="str">
        <f>IF(Agent10_Loans!B116="","",Agent10_Loans!A116)</f>
        <v/>
      </c>
      <c r="B1904" s="40" t="str">
        <f>IF(Agent10_Loans!B116="","",Agent10_Loans!B116)</f>
        <v/>
      </c>
      <c r="C1904" s="40" t="str">
        <f>IF(Agent10_Loans!B116="","",Agent10_Loans!C116)</f>
        <v/>
      </c>
      <c r="D1904" s="41" t="str">
        <f>IF(Agent10_Loans!B116="","",Agent10_Loans!D116)</f>
        <v/>
      </c>
      <c r="E1904" s="43" t="str">
        <f>IF(Agent10_Loans!B116="","",Agent10_Loans!E116)</f>
        <v/>
      </c>
      <c r="F1904" s="40" t="str">
        <f>IF(Agent10_Loans!B116="","",Agent10_Loans!F116)</f>
        <v/>
      </c>
      <c r="G1904" s="40" t="str">
        <f>IF(Agent10_Loans!B116="","",Agent10_Loans!G116)</f>
        <v/>
      </c>
      <c r="H1904" s="40" t="str">
        <f>IF(Agent10_Loans!B116="","",Agent10_Loans!H116)</f>
        <v/>
      </c>
      <c r="I1904" s="43" t="str">
        <f>IF(Agent10_Loans!B116="","",Agent10_Loans!I116)</f>
        <v/>
      </c>
      <c r="J1904" s="43" t="str">
        <f>IF(Agent10_Loans!B116="","",Agent10_Loans!J116)</f>
        <v/>
      </c>
      <c r="K1904" s="40" t="str">
        <f>IF(Agent10_Loans!B116="","",Agent10_Loans!K116)</f>
        <v/>
      </c>
      <c r="L1904" s="40" t="str">
        <f>IF(Agent10_Loans!B116="","",Agent10_Loans!L116)</f>
        <v/>
      </c>
      <c r="M1904" s="40" t="str">
        <f>IFERROR(IF(Agent10_Loans!B116="","",YEAR(Agent10_Loans!D116)),"")</f>
        <v/>
      </c>
    </row>
    <row r="1905" spans="1:13" ht="18" customHeight="1" x14ac:dyDescent="0.25">
      <c r="A1905" s="40" t="str">
        <f>IF(Agent10_Loans!B117="","",Agent10_Loans!A117)</f>
        <v/>
      </c>
      <c r="B1905" s="40" t="str">
        <f>IF(Agent10_Loans!B117="","",Agent10_Loans!B117)</f>
        <v/>
      </c>
      <c r="C1905" s="40" t="str">
        <f>IF(Agent10_Loans!B117="","",Agent10_Loans!C117)</f>
        <v/>
      </c>
      <c r="D1905" s="41" t="str">
        <f>IF(Agent10_Loans!B117="","",Agent10_Loans!D117)</f>
        <v/>
      </c>
      <c r="E1905" s="43" t="str">
        <f>IF(Agent10_Loans!B117="","",Agent10_Loans!E117)</f>
        <v/>
      </c>
      <c r="F1905" s="40" t="str">
        <f>IF(Agent10_Loans!B117="","",Agent10_Loans!F117)</f>
        <v/>
      </c>
      <c r="G1905" s="40" t="str">
        <f>IF(Agent10_Loans!B117="","",Agent10_Loans!G117)</f>
        <v/>
      </c>
      <c r="H1905" s="40" t="str">
        <f>IF(Agent10_Loans!B117="","",Agent10_Loans!H117)</f>
        <v/>
      </c>
      <c r="I1905" s="43" t="str">
        <f>IF(Agent10_Loans!B117="","",Agent10_Loans!I117)</f>
        <v/>
      </c>
      <c r="J1905" s="43" t="str">
        <f>IF(Agent10_Loans!B117="","",Agent10_Loans!J117)</f>
        <v/>
      </c>
      <c r="K1905" s="40" t="str">
        <f>IF(Agent10_Loans!B117="","",Agent10_Loans!K117)</f>
        <v/>
      </c>
      <c r="L1905" s="40" t="str">
        <f>IF(Agent10_Loans!B117="","",Agent10_Loans!L117)</f>
        <v/>
      </c>
      <c r="M1905" s="40" t="str">
        <f>IFERROR(IF(Agent10_Loans!B117="","",YEAR(Agent10_Loans!D117)),"")</f>
        <v/>
      </c>
    </row>
    <row r="1906" spans="1:13" ht="18" customHeight="1" x14ac:dyDescent="0.25">
      <c r="A1906" s="40" t="str">
        <f>IF(Agent10_Loans!B118="","",Agent10_Loans!A118)</f>
        <v/>
      </c>
      <c r="B1906" s="40" t="str">
        <f>IF(Agent10_Loans!B118="","",Agent10_Loans!B118)</f>
        <v/>
      </c>
      <c r="C1906" s="40" t="str">
        <f>IF(Agent10_Loans!B118="","",Agent10_Loans!C118)</f>
        <v/>
      </c>
      <c r="D1906" s="41" t="str">
        <f>IF(Agent10_Loans!B118="","",Agent10_Loans!D118)</f>
        <v/>
      </c>
      <c r="E1906" s="43" t="str">
        <f>IF(Agent10_Loans!B118="","",Agent10_Loans!E118)</f>
        <v/>
      </c>
      <c r="F1906" s="40" t="str">
        <f>IF(Agent10_Loans!B118="","",Agent10_Loans!F118)</f>
        <v/>
      </c>
      <c r="G1906" s="40" t="str">
        <f>IF(Agent10_Loans!B118="","",Agent10_Loans!G118)</f>
        <v/>
      </c>
      <c r="H1906" s="40" t="str">
        <f>IF(Agent10_Loans!B118="","",Agent10_Loans!H118)</f>
        <v/>
      </c>
      <c r="I1906" s="43" t="str">
        <f>IF(Agent10_Loans!B118="","",Agent10_Loans!I118)</f>
        <v/>
      </c>
      <c r="J1906" s="43" t="str">
        <f>IF(Agent10_Loans!B118="","",Agent10_Loans!J118)</f>
        <v/>
      </c>
      <c r="K1906" s="40" t="str">
        <f>IF(Agent10_Loans!B118="","",Agent10_Loans!K118)</f>
        <v/>
      </c>
      <c r="L1906" s="40" t="str">
        <f>IF(Agent10_Loans!B118="","",Agent10_Loans!L118)</f>
        <v/>
      </c>
      <c r="M1906" s="40" t="str">
        <f>IFERROR(IF(Agent10_Loans!B118="","",YEAR(Agent10_Loans!D118)),"")</f>
        <v/>
      </c>
    </row>
    <row r="1907" spans="1:13" ht="18" customHeight="1" x14ac:dyDescent="0.25">
      <c r="A1907" s="40" t="str">
        <f>IF(Agent10_Loans!B119="","",Agent10_Loans!A119)</f>
        <v/>
      </c>
      <c r="B1907" s="40" t="str">
        <f>IF(Agent10_Loans!B119="","",Agent10_Loans!B119)</f>
        <v/>
      </c>
      <c r="C1907" s="40" t="str">
        <f>IF(Agent10_Loans!B119="","",Agent10_Loans!C119)</f>
        <v/>
      </c>
      <c r="D1907" s="41" t="str">
        <f>IF(Agent10_Loans!B119="","",Agent10_Loans!D119)</f>
        <v/>
      </c>
      <c r="E1907" s="43" t="str">
        <f>IF(Agent10_Loans!B119="","",Agent10_Loans!E119)</f>
        <v/>
      </c>
      <c r="F1907" s="40" t="str">
        <f>IF(Agent10_Loans!B119="","",Agent10_Loans!F119)</f>
        <v/>
      </c>
      <c r="G1907" s="40" t="str">
        <f>IF(Agent10_Loans!B119="","",Agent10_Loans!G119)</f>
        <v/>
      </c>
      <c r="H1907" s="40" t="str">
        <f>IF(Agent10_Loans!B119="","",Agent10_Loans!H119)</f>
        <v/>
      </c>
      <c r="I1907" s="43" t="str">
        <f>IF(Agent10_Loans!B119="","",Agent10_Loans!I119)</f>
        <v/>
      </c>
      <c r="J1907" s="43" t="str">
        <f>IF(Agent10_Loans!B119="","",Agent10_Loans!J119)</f>
        <v/>
      </c>
      <c r="K1907" s="40" t="str">
        <f>IF(Agent10_Loans!B119="","",Agent10_Loans!K119)</f>
        <v/>
      </c>
      <c r="L1907" s="40" t="str">
        <f>IF(Agent10_Loans!B119="","",Agent10_Loans!L119)</f>
        <v/>
      </c>
      <c r="M1907" s="40" t="str">
        <f>IFERROR(IF(Agent10_Loans!B119="","",YEAR(Agent10_Loans!D119)),"")</f>
        <v/>
      </c>
    </row>
    <row r="1908" spans="1:13" ht="18" customHeight="1" x14ac:dyDescent="0.25">
      <c r="A1908" s="40" t="str">
        <f>IF(Agent10_Loans!B120="","",Agent10_Loans!A120)</f>
        <v/>
      </c>
      <c r="B1908" s="40" t="str">
        <f>IF(Agent10_Loans!B120="","",Agent10_Loans!B120)</f>
        <v/>
      </c>
      <c r="C1908" s="40" t="str">
        <f>IF(Agent10_Loans!B120="","",Agent10_Loans!C120)</f>
        <v/>
      </c>
      <c r="D1908" s="41" t="str">
        <f>IF(Agent10_Loans!B120="","",Agent10_Loans!D120)</f>
        <v/>
      </c>
      <c r="E1908" s="43" t="str">
        <f>IF(Agent10_Loans!B120="","",Agent10_Loans!E120)</f>
        <v/>
      </c>
      <c r="F1908" s="40" t="str">
        <f>IF(Agent10_Loans!B120="","",Agent10_Loans!F120)</f>
        <v/>
      </c>
      <c r="G1908" s="40" t="str">
        <f>IF(Agent10_Loans!B120="","",Agent10_Loans!G120)</f>
        <v/>
      </c>
      <c r="H1908" s="40" t="str">
        <f>IF(Agent10_Loans!B120="","",Agent10_Loans!H120)</f>
        <v/>
      </c>
      <c r="I1908" s="43" t="str">
        <f>IF(Agent10_Loans!B120="","",Agent10_Loans!I120)</f>
        <v/>
      </c>
      <c r="J1908" s="43" t="str">
        <f>IF(Agent10_Loans!B120="","",Agent10_Loans!J120)</f>
        <v/>
      </c>
      <c r="K1908" s="40" t="str">
        <f>IF(Agent10_Loans!B120="","",Agent10_Loans!K120)</f>
        <v/>
      </c>
      <c r="L1908" s="40" t="str">
        <f>IF(Agent10_Loans!B120="","",Agent10_Loans!L120)</f>
        <v/>
      </c>
      <c r="M1908" s="40" t="str">
        <f>IFERROR(IF(Agent10_Loans!B120="","",YEAR(Agent10_Loans!D120)),"")</f>
        <v/>
      </c>
    </row>
    <row r="1909" spans="1:13" ht="18" customHeight="1" x14ac:dyDescent="0.25">
      <c r="A1909" s="40" t="str">
        <f>IF(Agent10_Loans!B121="","",Agent10_Loans!A121)</f>
        <v/>
      </c>
      <c r="B1909" s="40" t="str">
        <f>IF(Agent10_Loans!B121="","",Agent10_Loans!B121)</f>
        <v/>
      </c>
      <c r="C1909" s="40" t="str">
        <f>IF(Agent10_Loans!B121="","",Agent10_Loans!C121)</f>
        <v/>
      </c>
      <c r="D1909" s="41" t="str">
        <f>IF(Agent10_Loans!B121="","",Agent10_Loans!D121)</f>
        <v/>
      </c>
      <c r="E1909" s="43" t="str">
        <f>IF(Agent10_Loans!B121="","",Agent10_Loans!E121)</f>
        <v/>
      </c>
      <c r="F1909" s="40" t="str">
        <f>IF(Agent10_Loans!B121="","",Agent10_Loans!F121)</f>
        <v/>
      </c>
      <c r="G1909" s="40" t="str">
        <f>IF(Agent10_Loans!B121="","",Agent10_Loans!G121)</f>
        <v/>
      </c>
      <c r="H1909" s="40" t="str">
        <f>IF(Agent10_Loans!B121="","",Agent10_Loans!H121)</f>
        <v/>
      </c>
      <c r="I1909" s="43" t="str">
        <f>IF(Agent10_Loans!B121="","",Agent10_Loans!I121)</f>
        <v/>
      </c>
      <c r="J1909" s="43" t="str">
        <f>IF(Agent10_Loans!B121="","",Agent10_Loans!J121)</f>
        <v/>
      </c>
      <c r="K1909" s="40" t="str">
        <f>IF(Agent10_Loans!B121="","",Agent10_Loans!K121)</f>
        <v/>
      </c>
      <c r="L1909" s="40" t="str">
        <f>IF(Agent10_Loans!B121="","",Agent10_Loans!L121)</f>
        <v/>
      </c>
      <c r="M1909" s="40" t="str">
        <f>IFERROR(IF(Agent10_Loans!B121="","",YEAR(Agent10_Loans!D121)),"")</f>
        <v/>
      </c>
    </row>
    <row r="1910" spans="1:13" ht="18" customHeight="1" x14ac:dyDescent="0.25">
      <c r="A1910" s="40" t="str">
        <f>IF(Agent10_Loans!B122="","",Agent10_Loans!A122)</f>
        <v/>
      </c>
      <c r="B1910" s="40" t="str">
        <f>IF(Agent10_Loans!B122="","",Agent10_Loans!B122)</f>
        <v/>
      </c>
      <c r="C1910" s="40" t="str">
        <f>IF(Agent10_Loans!B122="","",Agent10_Loans!C122)</f>
        <v/>
      </c>
      <c r="D1910" s="41" t="str">
        <f>IF(Agent10_Loans!B122="","",Agent10_Loans!D122)</f>
        <v/>
      </c>
      <c r="E1910" s="43" t="str">
        <f>IF(Agent10_Loans!B122="","",Agent10_Loans!E122)</f>
        <v/>
      </c>
      <c r="F1910" s="40" t="str">
        <f>IF(Agent10_Loans!B122="","",Agent10_Loans!F122)</f>
        <v/>
      </c>
      <c r="G1910" s="40" t="str">
        <f>IF(Agent10_Loans!B122="","",Agent10_Loans!G122)</f>
        <v/>
      </c>
      <c r="H1910" s="40" t="str">
        <f>IF(Agent10_Loans!B122="","",Agent10_Loans!H122)</f>
        <v/>
      </c>
      <c r="I1910" s="43" t="str">
        <f>IF(Agent10_Loans!B122="","",Agent10_Loans!I122)</f>
        <v/>
      </c>
      <c r="J1910" s="43" t="str">
        <f>IF(Agent10_Loans!B122="","",Agent10_Loans!J122)</f>
        <v/>
      </c>
      <c r="K1910" s="40" t="str">
        <f>IF(Agent10_Loans!B122="","",Agent10_Loans!K122)</f>
        <v/>
      </c>
      <c r="L1910" s="40" t="str">
        <f>IF(Agent10_Loans!B122="","",Agent10_Loans!L122)</f>
        <v/>
      </c>
      <c r="M1910" s="40" t="str">
        <f>IFERROR(IF(Agent10_Loans!B122="","",YEAR(Agent10_Loans!D122)),"")</f>
        <v/>
      </c>
    </row>
    <row r="1911" spans="1:13" ht="18" customHeight="1" x14ac:dyDescent="0.25">
      <c r="A1911" s="40" t="str">
        <f>IF(Agent10_Loans!B123="","",Agent10_Loans!A123)</f>
        <v/>
      </c>
      <c r="B1911" s="40" t="str">
        <f>IF(Agent10_Loans!B123="","",Agent10_Loans!B123)</f>
        <v/>
      </c>
      <c r="C1911" s="40" t="str">
        <f>IF(Agent10_Loans!B123="","",Agent10_Loans!C123)</f>
        <v/>
      </c>
      <c r="D1911" s="41" t="str">
        <f>IF(Agent10_Loans!B123="","",Agent10_Loans!D123)</f>
        <v/>
      </c>
      <c r="E1911" s="43" t="str">
        <f>IF(Agent10_Loans!B123="","",Agent10_Loans!E123)</f>
        <v/>
      </c>
      <c r="F1911" s="40" t="str">
        <f>IF(Agent10_Loans!B123="","",Agent10_Loans!F123)</f>
        <v/>
      </c>
      <c r="G1911" s="40" t="str">
        <f>IF(Agent10_Loans!B123="","",Agent10_Loans!G123)</f>
        <v/>
      </c>
      <c r="H1911" s="40" t="str">
        <f>IF(Agent10_Loans!B123="","",Agent10_Loans!H123)</f>
        <v/>
      </c>
      <c r="I1911" s="43" t="str">
        <f>IF(Agent10_Loans!B123="","",Agent10_Loans!I123)</f>
        <v/>
      </c>
      <c r="J1911" s="43" t="str">
        <f>IF(Agent10_Loans!B123="","",Agent10_Loans!J123)</f>
        <v/>
      </c>
      <c r="K1911" s="40" t="str">
        <f>IF(Agent10_Loans!B123="","",Agent10_Loans!K123)</f>
        <v/>
      </c>
      <c r="L1911" s="40" t="str">
        <f>IF(Agent10_Loans!B123="","",Agent10_Loans!L123)</f>
        <v/>
      </c>
      <c r="M1911" s="40" t="str">
        <f>IFERROR(IF(Agent10_Loans!B123="","",YEAR(Agent10_Loans!D123)),"")</f>
        <v/>
      </c>
    </row>
    <row r="1912" spans="1:13" ht="18" customHeight="1" x14ac:dyDescent="0.25">
      <c r="A1912" s="40" t="str">
        <f>IF(Agent10_Loans!B124="","",Agent10_Loans!A124)</f>
        <v/>
      </c>
      <c r="B1912" s="40" t="str">
        <f>IF(Agent10_Loans!B124="","",Agent10_Loans!B124)</f>
        <v/>
      </c>
      <c r="C1912" s="40" t="str">
        <f>IF(Agent10_Loans!B124="","",Agent10_Loans!C124)</f>
        <v/>
      </c>
      <c r="D1912" s="41" t="str">
        <f>IF(Agent10_Loans!B124="","",Agent10_Loans!D124)</f>
        <v/>
      </c>
      <c r="E1912" s="43" t="str">
        <f>IF(Agent10_Loans!B124="","",Agent10_Loans!E124)</f>
        <v/>
      </c>
      <c r="F1912" s="40" t="str">
        <f>IF(Agent10_Loans!B124="","",Agent10_Loans!F124)</f>
        <v/>
      </c>
      <c r="G1912" s="40" t="str">
        <f>IF(Agent10_Loans!B124="","",Agent10_Loans!G124)</f>
        <v/>
      </c>
      <c r="H1912" s="40" t="str">
        <f>IF(Agent10_Loans!B124="","",Agent10_Loans!H124)</f>
        <v/>
      </c>
      <c r="I1912" s="43" t="str">
        <f>IF(Agent10_Loans!B124="","",Agent10_Loans!I124)</f>
        <v/>
      </c>
      <c r="J1912" s="43" t="str">
        <f>IF(Agent10_Loans!B124="","",Agent10_Loans!J124)</f>
        <v/>
      </c>
      <c r="K1912" s="40" t="str">
        <f>IF(Agent10_Loans!B124="","",Agent10_Loans!K124)</f>
        <v/>
      </c>
      <c r="L1912" s="40" t="str">
        <f>IF(Agent10_Loans!B124="","",Agent10_Loans!L124)</f>
        <v/>
      </c>
      <c r="M1912" s="40" t="str">
        <f>IFERROR(IF(Agent10_Loans!B124="","",YEAR(Agent10_Loans!D124)),"")</f>
        <v/>
      </c>
    </row>
    <row r="1913" spans="1:13" ht="18" customHeight="1" x14ac:dyDescent="0.25">
      <c r="A1913" s="40" t="str">
        <f>IF(Agent10_Loans!B125="","",Agent10_Loans!A125)</f>
        <v/>
      </c>
      <c r="B1913" s="40" t="str">
        <f>IF(Agent10_Loans!B125="","",Agent10_Loans!B125)</f>
        <v/>
      </c>
      <c r="C1913" s="40" t="str">
        <f>IF(Agent10_Loans!B125="","",Agent10_Loans!C125)</f>
        <v/>
      </c>
      <c r="D1913" s="41" t="str">
        <f>IF(Agent10_Loans!B125="","",Agent10_Loans!D125)</f>
        <v/>
      </c>
      <c r="E1913" s="43" t="str">
        <f>IF(Agent10_Loans!B125="","",Agent10_Loans!E125)</f>
        <v/>
      </c>
      <c r="F1913" s="40" t="str">
        <f>IF(Agent10_Loans!B125="","",Agent10_Loans!F125)</f>
        <v/>
      </c>
      <c r="G1913" s="40" t="str">
        <f>IF(Agent10_Loans!B125="","",Agent10_Loans!G125)</f>
        <v/>
      </c>
      <c r="H1913" s="40" t="str">
        <f>IF(Agent10_Loans!B125="","",Agent10_Loans!H125)</f>
        <v/>
      </c>
      <c r="I1913" s="43" t="str">
        <f>IF(Agent10_Loans!B125="","",Agent10_Loans!I125)</f>
        <v/>
      </c>
      <c r="J1913" s="43" t="str">
        <f>IF(Agent10_Loans!B125="","",Agent10_Loans!J125)</f>
        <v/>
      </c>
      <c r="K1913" s="40" t="str">
        <f>IF(Agent10_Loans!B125="","",Agent10_Loans!K125)</f>
        <v/>
      </c>
      <c r="L1913" s="40" t="str">
        <f>IF(Agent10_Loans!B125="","",Agent10_Loans!L125)</f>
        <v/>
      </c>
      <c r="M1913" s="40" t="str">
        <f>IFERROR(IF(Agent10_Loans!B125="","",YEAR(Agent10_Loans!D125)),"")</f>
        <v/>
      </c>
    </row>
    <row r="1914" spans="1:13" ht="18" customHeight="1" x14ac:dyDescent="0.25">
      <c r="A1914" s="40" t="str">
        <f>IF(Agent10_Loans!B126="","",Agent10_Loans!A126)</f>
        <v/>
      </c>
      <c r="B1914" s="40" t="str">
        <f>IF(Agent10_Loans!B126="","",Agent10_Loans!B126)</f>
        <v/>
      </c>
      <c r="C1914" s="40" t="str">
        <f>IF(Agent10_Loans!B126="","",Agent10_Loans!C126)</f>
        <v/>
      </c>
      <c r="D1914" s="41" t="str">
        <f>IF(Agent10_Loans!B126="","",Agent10_Loans!D126)</f>
        <v/>
      </c>
      <c r="E1914" s="43" t="str">
        <f>IF(Agent10_Loans!B126="","",Agent10_Loans!E126)</f>
        <v/>
      </c>
      <c r="F1914" s="40" t="str">
        <f>IF(Agent10_Loans!B126="","",Agent10_Loans!F126)</f>
        <v/>
      </c>
      <c r="G1914" s="40" t="str">
        <f>IF(Agent10_Loans!B126="","",Agent10_Loans!G126)</f>
        <v/>
      </c>
      <c r="H1914" s="40" t="str">
        <f>IF(Agent10_Loans!B126="","",Agent10_Loans!H126)</f>
        <v/>
      </c>
      <c r="I1914" s="43" t="str">
        <f>IF(Agent10_Loans!B126="","",Agent10_Loans!I126)</f>
        <v/>
      </c>
      <c r="J1914" s="43" t="str">
        <f>IF(Agent10_Loans!B126="","",Agent10_Loans!J126)</f>
        <v/>
      </c>
      <c r="K1914" s="40" t="str">
        <f>IF(Agent10_Loans!B126="","",Agent10_Loans!K126)</f>
        <v/>
      </c>
      <c r="L1914" s="40" t="str">
        <f>IF(Agent10_Loans!B126="","",Agent10_Loans!L126)</f>
        <v/>
      </c>
      <c r="M1914" s="40" t="str">
        <f>IFERROR(IF(Agent10_Loans!B126="","",YEAR(Agent10_Loans!D126)),"")</f>
        <v/>
      </c>
    </row>
    <row r="1915" spans="1:13" ht="18" customHeight="1" x14ac:dyDescent="0.25">
      <c r="A1915" s="40" t="str">
        <f>IF(Agent10_Loans!B127="","",Agent10_Loans!A127)</f>
        <v/>
      </c>
      <c r="B1915" s="40" t="str">
        <f>IF(Agent10_Loans!B127="","",Agent10_Loans!B127)</f>
        <v/>
      </c>
      <c r="C1915" s="40" t="str">
        <f>IF(Agent10_Loans!B127="","",Agent10_Loans!C127)</f>
        <v/>
      </c>
      <c r="D1915" s="41" t="str">
        <f>IF(Agent10_Loans!B127="","",Agent10_Loans!D127)</f>
        <v/>
      </c>
      <c r="E1915" s="43" t="str">
        <f>IF(Agent10_Loans!B127="","",Agent10_Loans!E127)</f>
        <v/>
      </c>
      <c r="F1915" s="40" t="str">
        <f>IF(Agent10_Loans!B127="","",Agent10_Loans!F127)</f>
        <v/>
      </c>
      <c r="G1915" s="40" t="str">
        <f>IF(Agent10_Loans!B127="","",Agent10_Loans!G127)</f>
        <v/>
      </c>
      <c r="H1915" s="40" t="str">
        <f>IF(Agent10_Loans!B127="","",Agent10_Loans!H127)</f>
        <v/>
      </c>
      <c r="I1915" s="43" t="str">
        <f>IF(Agent10_Loans!B127="","",Agent10_Loans!I127)</f>
        <v/>
      </c>
      <c r="J1915" s="43" t="str">
        <f>IF(Agent10_Loans!B127="","",Agent10_Loans!J127)</f>
        <v/>
      </c>
      <c r="K1915" s="40" t="str">
        <f>IF(Agent10_Loans!B127="","",Agent10_Loans!K127)</f>
        <v/>
      </c>
      <c r="L1915" s="40" t="str">
        <f>IF(Agent10_Loans!B127="","",Agent10_Loans!L127)</f>
        <v/>
      </c>
      <c r="M1915" s="40" t="str">
        <f>IFERROR(IF(Agent10_Loans!B127="","",YEAR(Agent10_Loans!D127)),"")</f>
        <v/>
      </c>
    </row>
    <row r="1916" spans="1:13" ht="18" customHeight="1" x14ac:dyDescent="0.25">
      <c r="A1916" s="40" t="str">
        <f>IF(Agent10_Loans!B128="","",Agent10_Loans!A128)</f>
        <v/>
      </c>
      <c r="B1916" s="40" t="str">
        <f>IF(Agent10_Loans!B128="","",Agent10_Loans!B128)</f>
        <v/>
      </c>
      <c r="C1916" s="40" t="str">
        <f>IF(Agent10_Loans!B128="","",Agent10_Loans!C128)</f>
        <v/>
      </c>
      <c r="D1916" s="41" t="str">
        <f>IF(Agent10_Loans!B128="","",Agent10_Loans!D128)</f>
        <v/>
      </c>
      <c r="E1916" s="43" t="str">
        <f>IF(Agent10_Loans!B128="","",Agent10_Loans!E128)</f>
        <v/>
      </c>
      <c r="F1916" s="40" t="str">
        <f>IF(Agent10_Loans!B128="","",Agent10_Loans!F128)</f>
        <v/>
      </c>
      <c r="G1916" s="40" t="str">
        <f>IF(Agent10_Loans!B128="","",Agent10_Loans!G128)</f>
        <v/>
      </c>
      <c r="H1916" s="40" t="str">
        <f>IF(Agent10_Loans!B128="","",Agent10_Loans!H128)</f>
        <v/>
      </c>
      <c r="I1916" s="43" t="str">
        <f>IF(Agent10_Loans!B128="","",Agent10_Loans!I128)</f>
        <v/>
      </c>
      <c r="J1916" s="43" t="str">
        <f>IF(Agent10_Loans!B128="","",Agent10_Loans!J128)</f>
        <v/>
      </c>
      <c r="K1916" s="40" t="str">
        <f>IF(Agent10_Loans!B128="","",Agent10_Loans!K128)</f>
        <v/>
      </c>
      <c r="L1916" s="40" t="str">
        <f>IF(Agent10_Loans!B128="","",Agent10_Loans!L128)</f>
        <v/>
      </c>
      <c r="M1916" s="40" t="str">
        <f>IFERROR(IF(Agent10_Loans!B128="","",YEAR(Agent10_Loans!D128)),"")</f>
        <v/>
      </c>
    </row>
    <row r="1917" spans="1:13" ht="18" customHeight="1" x14ac:dyDescent="0.25">
      <c r="A1917" s="40" t="str">
        <f>IF(Agent10_Loans!B129="","",Agent10_Loans!A129)</f>
        <v/>
      </c>
      <c r="B1917" s="40" t="str">
        <f>IF(Agent10_Loans!B129="","",Agent10_Loans!B129)</f>
        <v/>
      </c>
      <c r="C1917" s="40" t="str">
        <f>IF(Agent10_Loans!B129="","",Agent10_Loans!C129)</f>
        <v/>
      </c>
      <c r="D1917" s="41" t="str">
        <f>IF(Agent10_Loans!B129="","",Agent10_Loans!D129)</f>
        <v/>
      </c>
      <c r="E1917" s="43" t="str">
        <f>IF(Agent10_Loans!B129="","",Agent10_Loans!E129)</f>
        <v/>
      </c>
      <c r="F1917" s="40" t="str">
        <f>IF(Agent10_Loans!B129="","",Agent10_Loans!F129)</f>
        <v/>
      </c>
      <c r="G1917" s="40" t="str">
        <f>IF(Agent10_Loans!B129="","",Agent10_Loans!G129)</f>
        <v/>
      </c>
      <c r="H1917" s="40" t="str">
        <f>IF(Agent10_Loans!B129="","",Agent10_Loans!H129)</f>
        <v/>
      </c>
      <c r="I1917" s="43" t="str">
        <f>IF(Agent10_Loans!B129="","",Agent10_Loans!I129)</f>
        <v/>
      </c>
      <c r="J1917" s="43" t="str">
        <f>IF(Agent10_Loans!B129="","",Agent10_Loans!J129)</f>
        <v/>
      </c>
      <c r="K1917" s="40" t="str">
        <f>IF(Agent10_Loans!B129="","",Agent10_Loans!K129)</f>
        <v/>
      </c>
      <c r="L1917" s="40" t="str">
        <f>IF(Agent10_Loans!B129="","",Agent10_Loans!L129)</f>
        <v/>
      </c>
      <c r="M1917" s="40" t="str">
        <f>IFERROR(IF(Agent10_Loans!B129="","",YEAR(Agent10_Loans!D129)),"")</f>
        <v/>
      </c>
    </row>
    <row r="1918" spans="1:13" ht="18" customHeight="1" x14ac:dyDescent="0.25">
      <c r="A1918" s="40" t="str">
        <f>IF(Agent10_Loans!B130="","",Agent10_Loans!A130)</f>
        <v/>
      </c>
      <c r="B1918" s="40" t="str">
        <f>IF(Agent10_Loans!B130="","",Agent10_Loans!B130)</f>
        <v/>
      </c>
      <c r="C1918" s="40" t="str">
        <f>IF(Agent10_Loans!B130="","",Agent10_Loans!C130)</f>
        <v/>
      </c>
      <c r="D1918" s="41" t="str">
        <f>IF(Agent10_Loans!B130="","",Agent10_Loans!D130)</f>
        <v/>
      </c>
      <c r="E1918" s="43" t="str">
        <f>IF(Agent10_Loans!B130="","",Agent10_Loans!E130)</f>
        <v/>
      </c>
      <c r="F1918" s="40" t="str">
        <f>IF(Agent10_Loans!B130="","",Agent10_Loans!F130)</f>
        <v/>
      </c>
      <c r="G1918" s="40" t="str">
        <f>IF(Agent10_Loans!B130="","",Agent10_Loans!G130)</f>
        <v/>
      </c>
      <c r="H1918" s="40" t="str">
        <f>IF(Agent10_Loans!B130="","",Agent10_Loans!H130)</f>
        <v/>
      </c>
      <c r="I1918" s="43" t="str">
        <f>IF(Agent10_Loans!B130="","",Agent10_Loans!I130)</f>
        <v/>
      </c>
      <c r="J1918" s="43" t="str">
        <f>IF(Agent10_Loans!B130="","",Agent10_Loans!J130)</f>
        <v/>
      </c>
      <c r="K1918" s="40" t="str">
        <f>IF(Agent10_Loans!B130="","",Agent10_Loans!K130)</f>
        <v/>
      </c>
      <c r="L1918" s="40" t="str">
        <f>IF(Agent10_Loans!B130="","",Agent10_Loans!L130)</f>
        <v/>
      </c>
      <c r="M1918" s="40" t="str">
        <f>IFERROR(IF(Agent10_Loans!B130="","",YEAR(Agent10_Loans!D130)),"")</f>
        <v/>
      </c>
    </row>
    <row r="1919" spans="1:13" ht="18" customHeight="1" x14ac:dyDescent="0.25">
      <c r="A1919" s="40" t="str">
        <f>IF(Agent10_Loans!B131="","",Agent10_Loans!A131)</f>
        <v/>
      </c>
      <c r="B1919" s="40" t="str">
        <f>IF(Agent10_Loans!B131="","",Agent10_Loans!B131)</f>
        <v/>
      </c>
      <c r="C1919" s="40" t="str">
        <f>IF(Agent10_Loans!B131="","",Agent10_Loans!C131)</f>
        <v/>
      </c>
      <c r="D1919" s="41" t="str">
        <f>IF(Agent10_Loans!B131="","",Agent10_Loans!D131)</f>
        <v/>
      </c>
      <c r="E1919" s="43" t="str">
        <f>IF(Agent10_Loans!B131="","",Agent10_Loans!E131)</f>
        <v/>
      </c>
      <c r="F1919" s="40" t="str">
        <f>IF(Agent10_Loans!B131="","",Agent10_Loans!F131)</f>
        <v/>
      </c>
      <c r="G1919" s="40" t="str">
        <f>IF(Agent10_Loans!B131="","",Agent10_Loans!G131)</f>
        <v/>
      </c>
      <c r="H1919" s="40" t="str">
        <f>IF(Agent10_Loans!B131="","",Agent10_Loans!H131)</f>
        <v/>
      </c>
      <c r="I1919" s="43" t="str">
        <f>IF(Agent10_Loans!B131="","",Agent10_Loans!I131)</f>
        <v/>
      </c>
      <c r="J1919" s="43" t="str">
        <f>IF(Agent10_Loans!B131="","",Agent10_Loans!J131)</f>
        <v/>
      </c>
      <c r="K1919" s="40" t="str">
        <f>IF(Agent10_Loans!B131="","",Agent10_Loans!K131)</f>
        <v/>
      </c>
      <c r="L1919" s="40" t="str">
        <f>IF(Agent10_Loans!B131="","",Agent10_Loans!L131)</f>
        <v/>
      </c>
      <c r="M1919" s="40" t="str">
        <f>IFERROR(IF(Agent10_Loans!B131="","",YEAR(Agent10_Loans!D131)),"")</f>
        <v/>
      </c>
    </row>
    <row r="1920" spans="1:13" ht="18" customHeight="1" x14ac:dyDescent="0.25">
      <c r="A1920" s="40" t="str">
        <f>IF(Agent10_Loans!B132="","",Agent10_Loans!A132)</f>
        <v/>
      </c>
      <c r="B1920" s="40" t="str">
        <f>IF(Agent10_Loans!B132="","",Agent10_Loans!B132)</f>
        <v/>
      </c>
      <c r="C1920" s="40" t="str">
        <f>IF(Agent10_Loans!B132="","",Agent10_Loans!C132)</f>
        <v/>
      </c>
      <c r="D1920" s="41" t="str">
        <f>IF(Agent10_Loans!B132="","",Agent10_Loans!D132)</f>
        <v/>
      </c>
      <c r="E1920" s="43" t="str">
        <f>IF(Agent10_Loans!B132="","",Agent10_Loans!E132)</f>
        <v/>
      </c>
      <c r="F1920" s="40" t="str">
        <f>IF(Agent10_Loans!B132="","",Agent10_Loans!F132)</f>
        <v/>
      </c>
      <c r="G1920" s="40" t="str">
        <f>IF(Agent10_Loans!B132="","",Agent10_Loans!G132)</f>
        <v/>
      </c>
      <c r="H1920" s="40" t="str">
        <f>IF(Agent10_Loans!B132="","",Agent10_Loans!H132)</f>
        <v/>
      </c>
      <c r="I1920" s="43" t="str">
        <f>IF(Agent10_Loans!B132="","",Agent10_Loans!I132)</f>
        <v/>
      </c>
      <c r="J1920" s="43" t="str">
        <f>IF(Agent10_Loans!B132="","",Agent10_Loans!J132)</f>
        <v/>
      </c>
      <c r="K1920" s="40" t="str">
        <f>IF(Agent10_Loans!B132="","",Agent10_Loans!K132)</f>
        <v/>
      </c>
      <c r="L1920" s="40" t="str">
        <f>IF(Agent10_Loans!B132="","",Agent10_Loans!L132)</f>
        <v/>
      </c>
      <c r="M1920" s="40" t="str">
        <f>IFERROR(IF(Agent10_Loans!B132="","",YEAR(Agent10_Loans!D132)),"")</f>
        <v/>
      </c>
    </row>
    <row r="1921" spans="1:13" ht="18" customHeight="1" x14ac:dyDescent="0.25">
      <c r="A1921" s="40" t="str">
        <f>IF(Agent10_Loans!B133="","",Agent10_Loans!A133)</f>
        <v/>
      </c>
      <c r="B1921" s="40" t="str">
        <f>IF(Agent10_Loans!B133="","",Agent10_Loans!B133)</f>
        <v/>
      </c>
      <c r="C1921" s="40" t="str">
        <f>IF(Agent10_Loans!B133="","",Agent10_Loans!C133)</f>
        <v/>
      </c>
      <c r="D1921" s="41" t="str">
        <f>IF(Agent10_Loans!B133="","",Agent10_Loans!D133)</f>
        <v/>
      </c>
      <c r="E1921" s="43" t="str">
        <f>IF(Agent10_Loans!B133="","",Agent10_Loans!E133)</f>
        <v/>
      </c>
      <c r="F1921" s="40" t="str">
        <f>IF(Agent10_Loans!B133="","",Agent10_Loans!F133)</f>
        <v/>
      </c>
      <c r="G1921" s="40" t="str">
        <f>IF(Agent10_Loans!B133="","",Agent10_Loans!G133)</f>
        <v/>
      </c>
      <c r="H1921" s="40" t="str">
        <f>IF(Agent10_Loans!B133="","",Agent10_Loans!H133)</f>
        <v/>
      </c>
      <c r="I1921" s="43" t="str">
        <f>IF(Agent10_Loans!B133="","",Agent10_Loans!I133)</f>
        <v/>
      </c>
      <c r="J1921" s="43" t="str">
        <f>IF(Agent10_Loans!B133="","",Agent10_Loans!J133)</f>
        <v/>
      </c>
      <c r="K1921" s="40" t="str">
        <f>IF(Agent10_Loans!B133="","",Agent10_Loans!K133)</f>
        <v/>
      </c>
      <c r="L1921" s="40" t="str">
        <f>IF(Agent10_Loans!B133="","",Agent10_Loans!L133)</f>
        <v/>
      </c>
      <c r="M1921" s="40" t="str">
        <f>IFERROR(IF(Agent10_Loans!B133="","",YEAR(Agent10_Loans!D133)),"")</f>
        <v/>
      </c>
    </row>
    <row r="1922" spans="1:13" ht="18" customHeight="1" x14ac:dyDescent="0.25">
      <c r="A1922" s="40" t="str">
        <f>IF(Agent10_Loans!B134="","",Agent10_Loans!A134)</f>
        <v/>
      </c>
      <c r="B1922" s="40" t="str">
        <f>IF(Agent10_Loans!B134="","",Agent10_Loans!B134)</f>
        <v/>
      </c>
      <c r="C1922" s="40" t="str">
        <f>IF(Agent10_Loans!B134="","",Agent10_Loans!C134)</f>
        <v/>
      </c>
      <c r="D1922" s="41" t="str">
        <f>IF(Agent10_Loans!B134="","",Agent10_Loans!D134)</f>
        <v/>
      </c>
      <c r="E1922" s="43" t="str">
        <f>IF(Agent10_Loans!B134="","",Agent10_Loans!E134)</f>
        <v/>
      </c>
      <c r="F1922" s="40" t="str">
        <f>IF(Agent10_Loans!B134="","",Agent10_Loans!F134)</f>
        <v/>
      </c>
      <c r="G1922" s="40" t="str">
        <f>IF(Agent10_Loans!B134="","",Agent10_Loans!G134)</f>
        <v/>
      </c>
      <c r="H1922" s="40" t="str">
        <f>IF(Agent10_Loans!B134="","",Agent10_Loans!H134)</f>
        <v/>
      </c>
      <c r="I1922" s="43" t="str">
        <f>IF(Agent10_Loans!B134="","",Agent10_Loans!I134)</f>
        <v/>
      </c>
      <c r="J1922" s="43" t="str">
        <f>IF(Agent10_Loans!B134="","",Agent10_Loans!J134)</f>
        <v/>
      </c>
      <c r="K1922" s="40" t="str">
        <f>IF(Agent10_Loans!B134="","",Agent10_Loans!K134)</f>
        <v/>
      </c>
      <c r="L1922" s="40" t="str">
        <f>IF(Agent10_Loans!B134="","",Agent10_Loans!L134)</f>
        <v/>
      </c>
      <c r="M1922" s="40" t="str">
        <f>IFERROR(IF(Agent10_Loans!B134="","",YEAR(Agent10_Loans!D134)),"")</f>
        <v/>
      </c>
    </row>
    <row r="1923" spans="1:13" ht="18" customHeight="1" x14ac:dyDescent="0.25">
      <c r="A1923" s="40" t="str">
        <f>IF(Agent10_Loans!B135="","",Agent10_Loans!A135)</f>
        <v/>
      </c>
      <c r="B1923" s="40" t="str">
        <f>IF(Agent10_Loans!B135="","",Agent10_Loans!B135)</f>
        <v/>
      </c>
      <c r="C1923" s="40" t="str">
        <f>IF(Agent10_Loans!B135="","",Agent10_Loans!C135)</f>
        <v/>
      </c>
      <c r="D1923" s="41" t="str">
        <f>IF(Agent10_Loans!B135="","",Agent10_Loans!D135)</f>
        <v/>
      </c>
      <c r="E1923" s="43" t="str">
        <f>IF(Agent10_Loans!B135="","",Agent10_Loans!E135)</f>
        <v/>
      </c>
      <c r="F1923" s="40" t="str">
        <f>IF(Agent10_Loans!B135="","",Agent10_Loans!F135)</f>
        <v/>
      </c>
      <c r="G1923" s="40" t="str">
        <f>IF(Agent10_Loans!B135="","",Agent10_Loans!G135)</f>
        <v/>
      </c>
      <c r="H1923" s="40" t="str">
        <f>IF(Agent10_Loans!B135="","",Agent10_Loans!H135)</f>
        <v/>
      </c>
      <c r="I1923" s="43" t="str">
        <f>IF(Agent10_Loans!B135="","",Agent10_Loans!I135)</f>
        <v/>
      </c>
      <c r="J1923" s="43" t="str">
        <f>IF(Agent10_Loans!B135="","",Agent10_Loans!J135)</f>
        <v/>
      </c>
      <c r="K1923" s="40" t="str">
        <f>IF(Agent10_Loans!B135="","",Agent10_Loans!K135)</f>
        <v/>
      </c>
      <c r="L1923" s="40" t="str">
        <f>IF(Agent10_Loans!B135="","",Agent10_Loans!L135)</f>
        <v/>
      </c>
      <c r="M1923" s="40" t="str">
        <f>IFERROR(IF(Agent10_Loans!B135="","",YEAR(Agent10_Loans!D135)),"")</f>
        <v/>
      </c>
    </row>
    <row r="1924" spans="1:13" ht="18" customHeight="1" x14ac:dyDescent="0.25">
      <c r="A1924" s="40" t="str">
        <f>IF(Agent10_Loans!B136="","",Agent10_Loans!A136)</f>
        <v/>
      </c>
      <c r="B1924" s="40" t="str">
        <f>IF(Agent10_Loans!B136="","",Agent10_Loans!B136)</f>
        <v/>
      </c>
      <c r="C1924" s="40" t="str">
        <f>IF(Agent10_Loans!B136="","",Agent10_Loans!C136)</f>
        <v/>
      </c>
      <c r="D1924" s="41" t="str">
        <f>IF(Agent10_Loans!B136="","",Agent10_Loans!D136)</f>
        <v/>
      </c>
      <c r="E1924" s="43" t="str">
        <f>IF(Agent10_Loans!B136="","",Agent10_Loans!E136)</f>
        <v/>
      </c>
      <c r="F1924" s="40" t="str">
        <f>IF(Agent10_Loans!B136="","",Agent10_Loans!F136)</f>
        <v/>
      </c>
      <c r="G1924" s="40" t="str">
        <f>IF(Agent10_Loans!B136="","",Agent10_Loans!G136)</f>
        <v/>
      </c>
      <c r="H1924" s="40" t="str">
        <f>IF(Agent10_Loans!B136="","",Agent10_Loans!H136)</f>
        <v/>
      </c>
      <c r="I1924" s="43" t="str">
        <f>IF(Agent10_Loans!B136="","",Agent10_Loans!I136)</f>
        <v/>
      </c>
      <c r="J1924" s="43" t="str">
        <f>IF(Agent10_Loans!B136="","",Agent10_Loans!J136)</f>
        <v/>
      </c>
      <c r="K1924" s="40" t="str">
        <f>IF(Agent10_Loans!B136="","",Agent10_Loans!K136)</f>
        <v/>
      </c>
      <c r="L1924" s="40" t="str">
        <f>IF(Agent10_Loans!B136="","",Agent10_Loans!L136)</f>
        <v/>
      </c>
      <c r="M1924" s="40" t="str">
        <f>IFERROR(IF(Agent10_Loans!B136="","",YEAR(Agent10_Loans!D136)),"")</f>
        <v/>
      </c>
    </row>
    <row r="1925" spans="1:13" ht="18" customHeight="1" x14ac:dyDescent="0.25">
      <c r="A1925" s="40" t="str">
        <f>IF(Agent10_Loans!B137="","",Agent10_Loans!A137)</f>
        <v/>
      </c>
      <c r="B1925" s="40" t="str">
        <f>IF(Agent10_Loans!B137="","",Agent10_Loans!B137)</f>
        <v/>
      </c>
      <c r="C1925" s="40" t="str">
        <f>IF(Agent10_Loans!B137="","",Agent10_Loans!C137)</f>
        <v/>
      </c>
      <c r="D1925" s="41" t="str">
        <f>IF(Agent10_Loans!B137="","",Agent10_Loans!D137)</f>
        <v/>
      </c>
      <c r="E1925" s="43" t="str">
        <f>IF(Agent10_Loans!B137="","",Agent10_Loans!E137)</f>
        <v/>
      </c>
      <c r="F1925" s="40" t="str">
        <f>IF(Agent10_Loans!B137="","",Agent10_Loans!F137)</f>
        <v/>
      </c>
      <c r="G1925" s="40" t="str">
        <f>IF(Agent10_Loans!B137="","",Agent10_Loans!G137)</f>
        <v/>
      </c>
      <c r="H1925" s="40" t="str">
        <f>IF(Agent10_Loans!B137="","",Agent10_Loans!H137)</f>
        <v/>
      </c>
      <c r="I1925" s="43" t="str">
        <f>IF(Agent10_Loans!B137="","",Agent10_Loans!I137)</f>
        <v/>
      </c>
      <c r="J1925" s="43" t="str">
        <f>IF(Agent10_Loans!B137="","",Agent10_Loans!J137)</f>
        <v/>
      </c>
      <c r="K1925" s="40" t="str">
        <f>IF(Agent10_Loans!B137="","",Agent10_Loans!K137)</f>
        <v/>
      </c>
      <c r="L1925" s="40" t="str">
        <f>IF(Agent10_Loans!B137="","",Agent10_Loans!L137)</f>
        <v/>
      </c>
      <c r="M1925" s="40" t="str">
        <f>IFERROR(IF(Agent10_Loans!B137="","",YEAR(Agent10_Loans!D137)),"")</f>
        <v/>
      </c>
    </row>
    <row r="1926" spans="1:13" ht="18" customHeight="1" x14ac:dyDescent="0.25">
      <c r="A1926" s="40" t="str">
        <f>IF(Agent10_Loans!B138="","",Agent10_Loans!A138)</f>
        <v/>
      </c>
      <c r="B1926" s="40" t="str">
        <f>IF(Agent10_Loans!B138="","",Agent10_Loans!B138)</f>
        <v/>
      </c>
      <c r="C1926" s="40" t="str">
        <f>IF(Agent10_Loans!B138="","",Agent10_Loans!C138)</f>
        <v/>
      </c>
      <c r="D1926" s="41" t="str">
        <f>IF(Agent10_Loans!B138="","",Agent10_Loans!D138)</f>
        <v/>
      </c>
      <c r="E1926" s="43" t="str">
        <f>IF(Agent10_Loans!B138="","",Agent10_Loans!E138)</f>
        <v/>
      </c>
      <c r="F1926" s="40" t="str">
        <f>IF(Agent10_Loans!B138="","",Agent10_Loans!F138)</f>
        <v/>
      </c>
      <c r="G1926" s="40" t="str">
        <f>IF(Agent10_Loans!B138="","",Agent10_Loans!G138)</f>
        <v/>
      </c>
      <c r="H1926" s="40" t="str">
        <f>IF(Agent10_Loans!B138="","",Agent10_Loans!H138)</f>
        <v/>
      </c>
      <c r="I1926" s="43" t="str">
        <f>IF(Agent10_Loans!B138="","",Agent10_Loans!I138)</f>
        <v/>
      </c>
      <c r="J1926" s="43" t="str">
        <f>IF(Agent10_Loans!B138="","",Agent10_Loans!J138)</f>
        <v/>
      </c>
      <c r="K1926" s="40" t="str">
        <f>IF(Agent10_Loans!B138="","",Agent10_Loans!K138)</f>
        <v/>
      </c>
      <c r="L1926" s="40" t="str">
        <f>IF(Agent10_Loans!B138="","",Agent10_Loans!L138)</f>
        <v/>
      </c>
      <c r="M1926" s="40" t="str">
        <f>IFERROR(IF(Agent10_Loans!B138="","",YEAR(Agent10_Loans!D138)),"")</f>
        <v/>
      </c>
    </row>
    <row r="1927" spans="1:13" ht="18" customHeight="1" x14ac:dyDescent="0.25">
      <c r="A1927" s="40" t="str">
        <f>IF(Agent10_Loans!B139="","",Agent10_Loans!A139)</f>
        <v/>
      </c>
      <c r="B1927" s="40" t="str">
        <f>IF(Agent10_Loans!B139="","",Agent10_Loans!B139)</f>
        <v/>
      </c>
      <c r="C1927" s="40" t="str">
        <f>IF(Agent10_Loans!B139="","",Agent10_Loans!C139)</f>
        <v/>
      </c>
      <c r="D1927" s="41" t="str">
        <f>IF(Agent10_Loans!B139="","",Agent10_Loans!D139)</f>
        <v/>
      </c>
      <c r="E1927" s="43" t="str">
        <f>IF(Agent10_Loans!B139="","",Agent10_Loans!E139)</f>
        <v/>
      </c>
      <c r="F1927" s="40" t="str">
        <f>IF(Agent10_Loans!B139="","",Agent10_Loans!F139)</f>
        <v/>
      </c>
      <c r="G1927" s="40" t="str">
        <f>IF(Agent10_Loans!B139="","",Agent10_Loans!G139)</f>
        <v/>
      </c>
      <c r="H1927" s="40" t="str">
        <f>IF(Agent10_Loans!B139="","",Agent10_Loans!H139)</f>
        <v/>
      </c>
      <c r="I1927" s="43" t="str">
        <f>IF(Agent10_Loans!B139="","",Agent10_Loans!I139)</f>
        <v/>
      </c>
      <c r="J1927" s="43" t="str">
        <f>IF(Agent10_Loans!B139="","",Agent10_Loans!J139)</f>
        <v/>
      </c>
      <c r="K1927" s="40" t="str">
        <f>IF(Agent10_Loans!B139="","",Agent10_Loans!K139)</f>
        <v/>
      </c>
      <c r="L1927" s="40" t="str">
        <f>IF(Agent10_Loans!B139="","",Agent10_Loans!L139)</f>
        <v/>
      </c>
      <c r="M1927" s="40" t="str">
        <f>IFERROR(IF(Agent10_Loans!B139="","",YEAR(Agent10_Loans!D139)),"")</f>
        <v/>
      </c>
    </row>
    <row r="1928" spans="1:13" ht="18" customHeight="1" x14ac:dyDescent="0.25">
      <c r="A1928" s="40" t="str">
        <f>IF(Agent10_Loans!B140="","",Agent10_Loans!A140)</f>
        <v/>
      </c>
      <c r="B1928" s="40" t="str">
        <f>IF(Agent10_Loans!B140="","",Agent10_Loans!B140)</f>
        <v/>
      </c>
      <c r="C1928" s="40" t="str">
        <f>IF(Agent10_Loans!B140="","",Agent10_Loans!C140)</f>
        <v/>
      </c>
      <c r="D1928" s="41" t="str">
        <f>IF(Agent10_Loans!B140="","",Agent10_Loans!D140)</f>
        <v/>
      </c>
      <c r="E1928" s="43" t="str">
        <f>IF(Agent10_Loans!B140="","",Agent10_Loans!E140)</f>
        <v/>
      </c>
      <c r="F1928" s="40" t="str">
        <f>IF(Agent10_Loans!B140="","",Agent10_Loans!F140)</f>
        <v/>
      </c>
      <c r="G1928" s="40" t="str">
        <f>IF(Agent10_Loans!B140="","",Agent10_Loans!G140)</f>
        <v/>
      </c>
      <c r="H1928" s="40" t="str">
        <f>IF(Agent10_Loans!B140="","",Agent10_Loans!H140)</f>
        <v/>
      </c>
      <c r="I1928" s="43" t="str">
        <f>IF(Agent10_Loans!B140="","",Agent10_Loans!I140)</f>
        <v/>
      </c>
      <c r="J1928" s="43" t="str">
        <f>IF(Agent10_Loans!B140="","",Agent10_Loans!J140)</f>
        <v/>
      </c>
      <c r="K1928" s="40" t="str">
        <f>IF(Agent10_Loans!B140="","",Agent10_Loans!K140)</f>
        <v/>
      </c>
      <c r="L1928" s="40" t="str">
        <f>IF(Agent10_Loans!B140="","",Agent10_Loans!L140)</f>
        <v/>
      </c>
      <c r="M1928" s="40" t="str">
        <f>IFERROR(IF(Agent10_Loans!B140="","",YEAR(Agent10_Loans!D140)),"")</f>
        <v/>
      </c>
    </row>
    <row r="1929" spans="1:13" ht="18" customHeight="1" x14ac:dyDescent="0.25">
      <c r="A1929" s="40" t="str">
        <f>IF(Agent10_Loans!B141="","",Agent10_Loans!A141)</f>
        <v/>
      </c>
      <c r="B1929" s="40" t="str">
        <f>IF(Agent10_Loans!B141="","",Agent10_Loans!B141)</f>
        <v/>
      </c>
      <c r="C1929" s="40" t="str">
        <f>IF(Agent10_Loans!B141="","",Agent10_Loans!C141)</f>
        <v/>
      </c>
      <c r="D1929" s="41" t="str">
        <f>IF(Agent10_Loans!B141="","",Agent10_Loans!D141)</f>
        <v/>
      </c>
      <c r="E1929" s="43" t="str">
        <f>IF(Agent10_Loans!B141="","",Agent10_Loans!E141)</f>
        <v/>
      </c>
      <c r="F1929" s="40" t="str">
        <f>IF(Agent10_Loans!B141="","",Agent10_Loans!F141)</f>
        <v/>
      </c>
      <c r="G1929" s="40" t="str">
        <f>IF(Agent10_Loans!B141="","",Agent10_Loans!G141)</f>
        <v/>
      </c>
      <c r="H1929" s="40" t="str">
        <f>IF(Agent10_Loans!B141="","",Agent10_Loans!H141)</f>
        <v/>
      </c>
      <c r="I1929" s="43" t="str">
        <f>IF(Agent10_Loans!B141="","",Agent10_Loans!I141)</f>
        <v/>
      </c>
      <c r="J1929" s="43" t="str">
        <f>IF(Agent10_Loans!B141="","",Agent10_Loans!J141)</f>
        <v/>
      </c>
      <c r="K1929" s="40" t="str">
        <f>IF(Agent10_Loans!B141="","",Agent10_Loans!K141)</f>
        <v/>
      </c>
      <c r="L1929" s="40" t="str">
        <f>IF(Agent10_Loans!B141="","",Agent10_Loans!L141)</f>
        <v/>
      </c>
      <c r="M1929" s="40" t="str">
        <f>IFERROR(IF(Agent10_Loans!B141="","",YEAR(Agent10_Loans!D141)),"")</f>
        <v/>
      </c>
    </row>
    <row r="1930" spans="1:13" ht="18" customHeight="1" x14ac:dyDescent="0.25">
      <c r="A1930" s="40" t="str">
        <f>IF(Agent10_Loans!B142="","",Agent10_Loans!A142)</f>
        <v/>
      </c>
      <c r="B1930" s="40" t="str">
        <f>IF(Agent10_Loans!B142="","",Agent10_Loans!B142)</f>
        <v/>
      </c>
      <c r="C1930" s="40" t="str">
        <f>IF(Agent10_Loans!B142="","",Agent10_Loans!C142)</f>
        <v/>
      </c>
      <c r="D1930" s="41" t="str">
        <f>IF(Agent10_Loans!B142="","",Agent10_Loans!D142)</f>
        <v/>
      </c>
      <c r="E1930" s="43" t="str">
        <f>IF(Agent10_Loans!B142="","",Agent10_Loans!E142)</f>
        <v/>
      </c>
      <c r="F1930" s="40" t="str">
        <f>IF(Agent10_Loans!B142="","",Agent10_Loans!F142)</f>
        <v/>
      </c>
      <c r="G1930" s="40" t="str">
        <f>IF(Agent10_Loans!B142="","",Agent10_Loans!G142)</f>
        <v/>
      </c>
      <c r="H1930" s="40" t="str">
        <f>IF(Agent10_Loans!B142="","",Agent10_Loans!H142)</f>
        <v/>
      </c>
      <c r="I1930" s="43" t="str">
        <f>IF(Agent10_Loans!B142="","",Agent10_Loans!I142)</f>
        <v/>
      </c>
      <c r="J1930" s="43" t="str">
        <f>IF(Agent10_Loans!B142="","",Agent10_Loans!J142)</f>
        <v/>
      </c>
      <c r="K1930" s="40" t="str">
        <f>IF(Agent10_Loans!B142="","",Agent10_Loans!K142)</f>
        <v/>
      </c>
      <c r="L1930" s="40" t="str">
        <f>IF(Agent10_Loans!B142="","",Agent10_Loans!L142)</f>
        <v/>
      </c>
      <c r="M1930" s="40" t="str">
        <f>IFERROR(IF(Agent10_Loans!B142="","",YEAR(Agent10_Loans!D142)),"")</f>
        <v/>
      </c>
    </row>
    <row r="1931" spans="1:13" ht="18" customHeight="1" x14ac:dyDescent="0.25">
      <c r="A1931" s="40" t="str">
        <f>IF(Agent10_Loans!B143="","",Agent10_Loans!A143)</f>
        <v/>
      </c>
      <c r="B1931" s="40" t="str">
        <f>IF(Agent10_Loans!B143="","",Agent10_Loans!B143)</f>
        <v/>
      </c>
      <c r="C1931" s="40" t="str">
        <f>IF(Agent10_Loans!B143="","",Agent10_Loans!C143)</f>
        <v/>
      </c>
      <c r="D1931" s="41" t="str">
        <f>IF(Agent10_Loans!B143="","",Agent10_Loans!D143)</f>
        <v/>
      </c>
      <c r="E1931" s="43" t="str">
        <f>IF(Agent10_Loans!B143="","",Agent10_Loans!E143)</f>
        <v/>
      </c>
      <c r="F1931" s="40" t="str">
        <f>IF(Agent10_Loans!B143="","",Agent10_Loans!F143)</f>
        <v/>
      </c>
      <c r="G1931" s="40" t="str">
        <f>IF(Agent10_Loans!B143="","",Agent10_Loans!G143)</f>
        <v/>
      </c>
      <c r="H1931" s="40" t="str">
        <f>IF(Agent10_Loans!B143="","",Agent10_Loans!H143)</f>
        <v/>
      </c>
      <c r="I1931" s="43" t="str">
        <f>IF(Agent10_Loans!B143="","",Agent10_Loans!I143)</f>
        <v/>
      </c>
      <c r="J1931" s="43" t="str">
        <f>IF(Agent10_Loans!B143="","",Agent10_Loans!J143)</f>
        <v/>
      </c>
      <c r="K1931" s="40" t="str">
        <f>IF(Agent10_Loans!B143="","",Agent10_Loans!K143)</f>
        <v/>
      </c>
      <c r="L1931" s="40" t="str">
        <f>IF(Agent10_Loans!B143="","",Agent10_Loans!L143)</f>
        <v/>
      </c>
      <c r="M1931" s="40" t="str">
        <f>IFERROR(IF(Agent10_Loans!B143="","",YEAR(Agent10_Loans!D143)),"")</f>
        <v/>
      </c>
    </row>
    <row r="1932" spans="1:13" ht="18" customHeight="1" x14ac:dyDescent="0.25">
      <c r="A1932" s="40" t="str">
        <f>IF(Agent10_Loans!B144="","",Agent10_Loans!A144)</f>
        <v/>
      </c>
      <c r="B1932" s="40" t="str">
        <f>IF(Agent10_Loans!B144="","",Agent10_Loans!B144)</f>
        <v/>
      </c>
      <c r="C1932" s="40" t="str">
        <f>IF(Agent10_Loans!B144="","",Agent10_Loans!C144)</f>
        <v/>
      </c>
      <c r="D1932" s="41" t="str">
        <f>IF(Agent10_Loans!B144="","",Agent10_Loans!D144)</f>
        <v/>
      </c>
      <c r="E1932" s="43" t="str">
        <f>IF(Agent10_Loans!B144="","",Agent10_Loans!E144)</f>
        <v/>
      </c>
      <c r="F1932" s="40" t="str">
        <f>IF(Agent10_Loans!B144="","",Agent10_Loans!F144)</f>
        <v/>
      </c>
      <c r="G1932" s="40" t="str">
        <f>IF(Agent10_Loans!B144="","",Agent10_Loans!G144)</f>
        <v/>
      </c>
      <c r="H1932" s="40" t="str">
        <f>IF(Agent10_Loans!B144="","",Agent10_Loans!H144)</f>
        <v/>
      </c>
      <c r="I1932" s="43" t="str">
        <f>IF(Agent10_Loans!B144="","",Agent10_Loans!I144)</f>
        <v/>
      </c>
      <c r="J1932" s="43" t="str">
        <f>IF(Agent10_Loans!B144="","",Agent10_Loans!J144)</f>
        <v/>
      </c>
      <c r="K1932" s="40" t="str">
        <f>IF(Agent10_Loans!B144="","",Agent10_Loans!K144)</f>
        <v/>
      </c>
      <c r="L1932" s="40" t="str">
        <f>IF(Agent10_Loans!B144="","",Agent10_Loans!L144)</f>
        <v/>
      </c>
      <c r="M1932" s="40" t="str">
        <f>IFERROR(IF(Agent10_Loans!B144="","",YEAR(Agent10_Loans!D144)),"")</f>
        <v/>
      </c>
    </row>
    <row r="1933" spans="1:13" ht="18" customHeight="1" x14ac:dyDescent="0.25">
      <c r="A1933" s="40" t="str">
        <f>IF(Agent10_Loans!B145="","",Agent10_Loans!A145)</f>
        <v/>
      </c>
      <c r="B1933" s="40" t="str">
        <f>IF(Agent10_Loans!B145="","",Agent10_Loans!B145)</f>
        <v/>
      </c>
      <c r="C1933" s="40" t="str">
        <f>IF(Agent10_Loans!B145="","",Agent10_Loans!C145)</f>
        <v/>
      </c>
      <c r="D1933" s="41" t="str">
        <f>IF(Agent10_Loans!B145="","",Agent10_Loans!D145)</f>
        <v/>
      </c>
      <c r="E1933" s="43" t="str">
        <f>IF(Agent10_Loans!B145="","",Agent10_Loans!E145)</f>
        <v/>
      </c>
      <c r="F1933" s="40" t="str">
        <f>IF(Agent10_Loans!B145="","",Agent10_Loans!F145)</f>
        <v/>
      </c>
      <c r="G1933" s="40" t="str">
        <f>IF(Agent10_Loans!B145="","",Agent10_Loans!G145)</f>
        <v/>
      </c>
      <c r="H1933" s="40" t="str">
        <f>IF(Agent10_Loans!B145="","",Agent10_Loans!H145)</f>
        <v/>
      </c>
      <c r="I1933" s="43" t="str">
        <f>IF(Agent10_Loans!B145="","",Agent10_Loans!I145)</f>
        <v/>
      </c>
      <c r="J1933" s="43" t="str">
        <f>IF(Agent10_Loans!B145="","",Agent10_Loans!J145)</f>
        <v/>
      </c>
      <c r="K1933" s="40" t="str">
        <f>IF(Agent10_Loans!B145="","",Agent10_Loans!K145)</f>
        <v/>
      </c>
      <c r="L1933" s="40" t="str">
        <f>IF(Agent10_Loans!B145="","",Agent10_Loans!L145)</f>
        <v/>
      </c>
      <c r="M1933" s="40" t="str">
        <f>IFERROR(IF(Agent10_Loans!B145="","",YEAR(Agent10_Loans!D145)),"")</f>
        <v/>
      </c>
    </row>
    <row r="1934" spans="1:13" ht="18" customHeight="1" x14ac:dyDescent="0.25">
      <c r="A1934" s="40" t="str">
        <f>IF(Agent10_Loans!B146="","",Agent10_Loans!A146)</f>
        <v/>
      </c>
      <c r="B1934" s="40" t="str">
        <f>IF(Agent10_Loans!B146="","",Agent10_Loans!B146)</f>
        <v/>
      </c>
      <c r="C1934" s="40" t="str">
        <f>IF(Agent10_Loans!B146="","",Agent10_Loans!C146)</f>
        <v/>
      </c>
      <c r="D1934" s="41" t="str">
        <f>IF(Agent10_Loans!B146="","",Agent10_Loans!D146)</f>
        <v/>
      </c>
      <c r="E1934" s="43" t="str">
        <f>IF(Agent10_Loans!B146="","",Agent10_Loans!E146)</f>
        <v/>
      </c>
      <c r="F1934" s="40" t="str">
        <f>IF(Agent10_Loans!B146="","",Agent10_Loans!F146)</f>
        <v/>
      </c>
      <c r="G1934" s="40" t="str">
        <f>IF(Agent10_Loans!B146="","",Agent10_Loans!G146)</f>
        <v/>
      </c>
      <c r="H1934" s="40" t="str">
        <f>IF(Agent10_Loans!B146="","",Agent10_Loans!H146)</f>
        <v/>
      </c>
      <c r="I1934" s="43" t="str">
        <f>IF(Agent10_Loans!B146="","",Agent10_Loans!I146)</f>
        <v/>
      </c>
      <c r="J1934" s="43" t="str">
        <f>IF(Agent10_Loans!B146="","",Agent10_Loans!J146)</f>
        <v/>
      </c>
      <c r="K1934" s="40" t="str">
        <f>IF(Agent10_Loans!B146="","",Agent10_Loans!K146)</f>
        <v/>
      </c>
      <c r="L1934" s="40" t="str">
        <f>IF(Agent10_Loans!B146="","",Agent10_Loans!L146)</f>
        <v/>
      </c>
      <c r="M1934" s="40" t="str">
        <f>IFERROR(IF(Agent10_Loans!B146="","",YEAR(Agent10_Loans!D146)),"")</f>
        <v/>
      </c>
    </row>
    <row r="1935" spans="1:13" ht="18" customHeight="1" x14ac:dyDescent="0.25">
      <c r="A1935" s="40" t="str">
        <f>IF(Agent10_Loans!B147="","",Agent10_Loans!A147)</f>
        <v/>
      </c>
      <c r="B1935" s="40" t="str">
        <f>IF(Agent10_Loans!B147="","",Agent10_Loans!B147)</f>
        <v/>
      </c>
      <c r="C1935" s="40" t="str">
        <f>IF(Agent10_Loans!B147="","",Agent10_Loans!C147)</f>
        <v/>
      </c>
      <c r="D1935" s="41" t="str">
        <f>IF(Agent10_Loans!B147="","",Agent10_Loans!D147)</f>
        <v/>
      </c>
      <c r="E1935" s="43" t="str">
        <f>IF(Agent10_Loans!B147="","",Agent10_Loans!E147)</f>
        <v/>
      </c>
      <c r="F1935" s="40" t="str">
        <f>IF(Agent10_Loans!B147="","",Agent10_Loans!F147)</f>
        <v/>
      </c>
      <c r="G1935" s="40" t="str">
        <f>IF(Agent10_Loans!B147="","",Agent10_Loans!G147)</f>
        <v/>
      </c>
      <c r="H1935" s="40" t="str">
        <f>IF(Agent10_Loans!B147="","",Agent10_Loans!H147)</f>
        <v/>
      </c>
      <c r="I1935" s="43" t="str">
        <f>IF(Agent10_Loans!B147="","",Agent10_Loans!I147)</f>
        <v/>
      </c>
      <c r="J1935" s="43" t="str">
        <f>IF(Agent10_Loans!B147="","",Agent10_Loans!J147)</f>
        <v/>
      </c>
      <c r="K1935" s="40" t="str">
        <f>IF(Agent10_Loans!B147="","",Agent10_Loans!K147)</f>
        <v/>
      </c>
      <c r="L1935" s="40" t="str">
        <f>IF(Agent10_Loans!B147="","",Agent10_Loans!L147)</f>
        <v/>
      </c>
      <c r="M1935" s="40" t="str">
        <f>IFERROR(IF(Agent10_Loans!B147="","",YEAR(Agent10_Loans!D147)),"")</f>
        <v/>
      </c>
    </row>
    <row r="1936" spans="1:13" ht="18" customHeight="1" x14ac:dyDescent="0.25">
      <c r="A1936" s="40" t="str">
        <f>IF(Agent10_Loans!B148="","",Agent10_Loans!A148)</f>
        <v/>
      </c>
      <c r="B1936" s="40" t="str">
        <f>IF(Agent10_Loans!B148="","",Agent10_Loans!B148)</f>
        <v/>
      </c>
      <c r="C1936" s="40" t="str">
        <f>IF(Agent10_Loans!B148="","",Agent10_Loans!C148)</f>
        <v/>
      </c>
      <c r="D1936" s="41" t="str">
        <f>IF(Agent10_Loans!B148="","",Agent10_Loans!D148)</f>
        <v/>
      </c>
      <c r="E1936" s="43" t="str">
        <f>IF(Agent10_Loans!B148="","",Agent10_Loans!E148)</f>
        <v/>
      </c>
      <c r="F1936" s="40" t="str">
        <f>IF(Agent10_Loans!B148="","",Agent10_Loans!F148)</f>
        <v/>
      </c>
      <c r="G1936" s="40" t="str">
        <f>IF(Agent10_Loans!B148="","",Agent10_Loans!G148)</f>
        <v/>
      </c>
      <c r="H1936" s="40" t="str">
        <f>IF(Agent10_Loans!B148="","",Agent10_Loans!H148)</f>
        <v/>
      </c>
      <c r="I1936" s="43" t="str">
        <f>IF(Agent10_Loans!B148="","",Agent10_Loans!I148)</f>
        <v/>
      </c>
      <c r="J1936" s="43" t="str">
        <f>IF(Agent10_Loans!B148="","",Agent10_Loans!J148)</f>
        <v/>
      </c>
      <c r="K1936" s="40" t="str">
        <f>IF(Agent10_Loans!B148="","",Agent10_Loans!K148)</f>
        <v/>
      </c>
      <c r="L1936" s="40" t="str">
        <f>IF(Agent10_Loans!B148="","",Agent10_Loans!L148)</f>
        <v/>
      </c>
      <c r="M1936" s="40" t="str">
        <f>IFERROR(IF(Agent10_Loans!B148="","",YEAR(Agent10_Loans!D148)),"")</f>
        <v/>
      </c>
    </row>
    <row r="1937" spans="1:13" ht="18" customHeight="1" x14ac:dyDescent="0.25">
      <c r="A1937" s="40" t="str">
        <f>IF(Agent10_Loans!B149="","",Agent10_Loans!A149)</f>
        <v/>
      </c>
      <c r="B1937" s="40" t="str">
        <f>IF(Agent10_Loans!B149="","",Agent10_Loans!B149)</f>
        <v/>
      </c>
      <c r="C1937" s="40" t="str">
        <f>IF(Agent10_Loans!B149="","",Agent10_Loans!C149)</f>
        <v/>
      </c>
      <c r="D1937" s="41" t="str">
        <f>IF(Agent10_Loans!B149="","",Agent10_Loans!D149)</f>
        <v/>
      </c>
      <c r="E1937" s="43" t="str">
        <f>IF(Agent10_Loans!B149="","",Agent10_Loans!E149)</f>
        <v/>
      </c>
      <c r="F1937" s="40" t="str">
        <f>IF(Agent10_Loans!B149="","",Agent10_Loans!F149)</f>
        <v/>
      </c>
      <c r="G1937" s="40" t="str">
        <f>IF(Agent10_Loans!B149="","",Agent10_Loans!G149)</f>
        <v/>
      </c>
      <c r="H1937" s="40" t="str">
        <f>IF(Agent10_Loans!B149="","",Agent10_Loans!H149)</f>
        <v/>
      </c>
      <c r="I1937" s="43" t="str">
        <f>IF(Agent10_Loans!B149="","",Agent10_Loans!I149)</f>
        <v/>
      </c>
      <c r="J1937" s="43" t="str">
        <f>IF(Agent10_Loans!B149="","",Agent10_Loans!J149)</f>
        <v/>
      </c>
      <c r="K1937" s="40" t="str">
        <f>IF(Agent10_Loans!B149="","",Agent10_Loans!K149)</f>
        <v/>
      </c>
      <c r="L1937" s="40" t="str">
        <f>IF(Agent10_Loans!B149="","",Agent10_Loans!L149)</f>
        <v/>
      </c>
      <c r="M1937" s="40" t="str">
        <f>IFERROR(IF(Agent10_Loans!B149="","",YEAR(Agent10_Loans!D149)),"")</f>
        <v/>
      </c>
    </row>
    <row r="1938" spans="1:13" ht="18" customHeight="1" x14ac:dyDescent="0.25">
      <c r="A1938" s="40" t="str">
        <f>IF(Agent10_Loans!B150="","",Agent10_Loans!A150)</f>
        <v/>
      </c>
      <c r="B1938" s="40" t="str">
        <f>IF(Agent10_Loans!B150="","",Agent10_Loans!B150)</f>
        <v/>
      </c>
      <c r="C1938" s="40" t="str">
        <f>IF(Agent10_Loans!B150="","",Agent10_Loans!C150)</f>
        <v/>
      </c>
      <c r="D1938" s="41" t="str">
        <f>IF(Agent10_Loans!B150="","",Agent10_Loans!D150)</f>
        <v/>
      </c>
      <c r="E1938" s="43" t="str">
        <f>IF(Agent10_Loans!B150="","",Agent10_Loans!E150)</f>
        <v/>
      </c>
      <c r="F1938" s="40" t="str">
        <f>IF(Agent10_Loans!B150="","",Agent10_Loans!F150)</f>
        <v/>
      </c>
      <c r="G1938" s="40" t="str">
        <f>IF(Agent10_Loans!B150="","",Agent10_Loans!G150)</f>
        <v/>
      </c>
      <c r="H1938" s="40" t="str">
        <f>IF(Agent10_Loans!B150="","",Agent10_Loans!H150)</f>
        <v/>
      </c>
      <c r="I1938" s="43" t="str">
        <f>IF(Agent10_Loans!B150="","",Agent10_Loans!I150)</f>
        <v/>
      </c>
      <c r="J1938" s="43" t="str">
        <f>IF(Agent10_Loans!B150="","",Agent10_Loans!J150)</f>
        <v/>
      </c>
      <c r="K1938" s="40" t="str">
        <f>IF(Agent10_Loans!B150="","",Agent10_Loans!K150)</f>
        <v/>
      </c>
      <c r="L1938" s="40" t="str">
        <f>IF(Agent10_Loans!B150="","",Agent10_Loans!L150)</f>
        <v/>
      </c>
      <c r="M1938" s="40" t="str">
        <f>IFERROR(IF(Agent10_Loans!B150="","",YEAR(Agent10_Loans!D150)),"")</f>
        <v/>
      </c>
    </row>
    <row r="1939" spans="1:13" ht="18" customHeight="1" x14ac:dyDescent="0.25">
      <c r="A1939" s="40" t="str">
        <f>IF(Agent10_Loans!B151="","",Agent10_Loans!A151)</f>
        <v/>
      </c>
      <c r="B1939" s="40" t="str">
        <f>IF(Agent10_Loans!B151="","",Agent10_Loans!B151)</f>
        <v/>
      </c>
      <c r="C1939" s="40" t="str">
        <f>IF(Agent10_Loans!B151="","",Agent10_Loans!C151)</f>
        <v/>
      </c>
      <c r="D1939" s="41" t="str">
        <f>IF(Agent10_Loans!B151="","",Agent10_Loans!D151)</f>
        <v/>
      </c>
      <c r="E1939" s="43" t="str">
        <f>IF(Agent10_Loans!B151="","",Agent10_Loans!E151)</f>
        <v/>
      </c>
      <c r="F1939" s="40" t="str">
        <f>IF(Agent10_Loans!B151="","",Agent10_Loans!F151)</f>
        <v/>
      </c>
      <c r="G1939" s="40" t="str">
        <f>IF(Agent10_Loans!B151="","",Agent10_Loans!G151)</f>
        <v/>
      </c>
      <c r="H1939" s="40" t="str">
        <f>IF(Agent10_Loans!B151="","",Agent10_Loans!H151)</f>
        <v/>
      </c>
      <c r="I1939" s="43" t="str">
        <f>IF(Agent10_Loans!B151="","",Agent10_Loans!I151)</f>
        <v/>
      </c>
      <c r="J1939" s="43" t="str">
        <f>IF(Agent10_Loans!B151="","",Agent10_Loans!J151)</f>
        <v/>
      </c>
      <c r="K1939" s="40" t="str">
        <f>IF(Agent10_Loans!B151="","",Agent10_Loans!K151)</f>
        <v/>
      </c>
      <c r="L1939" s="40" t="str">
        <f>IF(Agent10_Loans!B151="","",Agent10_Loans!L151)</f>
        <v/>
      </c>
      <c r="M1939" s="40" t="str">
        <f>IFERROR(IF(Agent10_Loans!B151="","",YEAR(Agent10_Loans!D151)),"")</f>
        <v/>
      </c>
    </row>
    <row r="1940" spans="1:13" ht="18" customHeight="1" x14ac:dyDescent="0.25">
      <c r="A1940" s="40" t="str">
        <f>IF(Agent10_Loans!B152="","",Agent10_Loans!A152)</f>
        <v/>
      </c>
      <c r="B1940" s="40" t="str">
        <f>IF(Agent10_Loans!B152="","",Agent10_Loans!B152)</f>
        <v/>
      </c>
      <c r="C1940" s="40" t="str">
        <f>IF(Agent10_Loans!B152="","",Agent10_Loans!C152)</f>
        <v/>
      </c>
      <c r="D1940" s="41" t="str">
        <f>IF(Agent10_Loans!B152="","",Agent10_Loans!D152)</f>
        <v/>
      </c>
      <c r="E1940" s="43" t="str">
        <f>IF(Agent10_Loans!B152="","",Agent10_Loans!E152)</f>
        <v/>
      </c>
      <c r="F1940" s="40" t="str">
        <f>IF(Agent10_Loans!B152="","",Agent10_Loans!F152)</f>
        <v/>
      </c>
      <c r="G1940" s="40" t="str">
        <f>IF(Agent10_Loans!B152="","",Agent10_Loans!G152)</f>
        <v/>
      </c>
      <c r="H1940" s="40" t="str">
        <f>IF(Agent10_Loans!B152="","",Agent10_Loans!H152)</f>
        <v/>
      </c>
      <c r="I1940" s="43" t="str">
        <f>IF(Agent10_Loans!B152="","",Agent10_Loans!I152)</f>
        <v/>
      </c>
      <c r="J1940" s="43" t="str">
        <f>IF(Agent10_Loans!B152="","",Agent10_Loans!J152)</f>
        <v/>
      </c>
      <c r="K1940" s="40" t="str">
        <f>IF(Agent10_Loans!B152="","",Agent10_Loans!K152)</f>
        <v/>
      </c>
      <c r="L1940" s="40" t="str">
        <f>IF(Agent10_Loans!B152="","",Agent10_Loans!L152)</f>
        <v/>
      </c>
      <c r="M1940" s="40" t="str">
        <f>IFERROR(IF(Agent10_Loans!B152="","",YEAR(Agent10_Loans!D152)),"")</f>
        <v/>
      </c>
    </row>
    <row r="1941" spans="1:13" ht="18" customHeight="1" x14ac:dyDescent="0.25">
      <c r="A1941" s="40" t="str">
        <f>IF(Agent10_Loans!B153="","",Agent10_Loans!A153)</f>
        <v/>
      </c>
      <c r="B1941" s="40" t="str">
        <f>IF(Agent10_Loans!B153="","",Agent10_Loans!B153)</f>
        <v/>
      </c>
      <c r="C1941" s="40" t="str">
        <f>IF(Agent10_Loans!B153="","",Agent10_Loans!C153)</f>
        <v/>
      </c>
      <c r="D1941" s="41" t="str">
        <f>IF(Agent10_Loans!B153="","",Agent10_Loans!D153)</f>
        <v/>
      </c>
      <c r="E1941" s="43" t="str">
        <f>IF(Agent10_Loans!B153="","",Agent10_Loans!E153)</f>
        <v/>
      </c>
      <c r="F1941" s="40" t="str">
        <f>IF(Agent10_Loans!B153="","",Agent10_Loans!F153)</f>
        <v/>
      </c>
      <c r="G1941" s="40" t="str">
        <f>IF(Agent10_Loans!B153="","",Agent10_Loans!G153)</f>
        <v/>
      </c>
      <c r="H1941" s="40" t="str">
        <f>IF(Agent10_Loans!B153="","",Agent10_Loans!H153)</f>
        <v/>
      </c>
      <c r="I1941" s="43" t="str">
        <f>IF(Agent10_Loans!B153="","",Agent10_Loans!I153)</f>
        <v/>
      </c>
      <c r="J1941" s="43" t="str">
        <f>IF(Agent10_Loans!B153="","",Agent10_Loans!J153)</f>
        <v/>
      </c>
      <c r="K1941" s="40" t="str">
        <f>IF(Agent10_Loans!B153="","",Agent10_Loans!K153)</f>
        <v/>
      </c>
      <c r="L1941" s="40" t="str">
        <f>IF(Agent10_Loans!B153="","",Agent10_Loans!L153)</f>
        <v/>
      </c>
      <c r="M1941" s="40" t="str">
        <f>IFERROR(IF(Agent10_Loans!B153="","",YEAR(Agent10_Loans!D153)),"")</f>
        <v/>
      </c>
    </row>
    <row r="1942" spans="1:13" ht="18" customHeight="1" x14ac:dyDescent="0.25">
      <c r="A1942" s="40" t="str">
        <f>IF(Agent10_Loans!B154="","",Agent10_Loans!A154)</f>
        <v/>
      </c>
      <c r="B1942" s="40" t="str">
        <f>IF(Agent10_Loans!B154="","",Agent10_Loans!B154)</f>
        <v/>
      </c>
      <c r="C1942" s="40" t="str">
        <f>IF(Agent10_Loans!B154="","",Agent10_Loans!C154)</f>
        <v/>
      </c>
      <c r="D1942" s="41" t="str">
        <f>IF(Agent10_Loans!B154="","",Agent10_Loans!D154)</f>
        <v/>
      </c>
      <c r="E1942" s="43" t="str">
        <f>IF(Agent10_Loans!B154="","",Agent10_Loans!E154)</f>
        <v/>
      </c>
      <c r="F1942" s="40" t="str">
        <f>IF(Agent10_Loans!B154="","",Agent10_Loans!F154)</f>
        <v/>
      </c>
      <c r="G1942" s="40" t="str">
        <f>IF(Agent10_Loans!B154="","",Agent10_Loans!G154)</f>
        <v/>
      </c>
      <c r="H1942" s="40" t="str">
        <f>IF(Agent10_Loans!B154="","",Agent10_Loans!H154)</f>
        <v/>
      </c>
      <c r="I1942" s="43" t="str">
        <f>IF(Agent10_Loans!B154="","",Agent10_Loans!I154)</f>
        <v/>
      </c>
      <c r="J1942" s="43" t="str">
        <f>IF(Agent10_Loans!B154="","",Agent10_Loans!J154)</f>
        <v/>
      </c>
      <c r="K1942" s="40" t="str">
        <f>IF(Agent10_Loans!B154="","",Agent10_Loans!K154)</f>
        <v/>
      </c>
      <c r="L1942" s="40" t="str">
        <f>IF(Agent10_Loans!B154="","",Agent10_Loans!L154)</f>
        <v/>
      </c>
      <c r="M1942" s="40" t="str">
        <f>IFERROR(IF(Agent10_Loans!B154="","",YEAR(Agent10_Loans!D154)),"")</f>
        <v/>
      </c>
    </row>
    <row r="1943" spans="1:13" ht="18" customHeight="1" x14ac:dyDescent="0.25">
      <c r="A1943" s="40" t="str">
        <f>IF(Agent10_Loans!B155="","",Agent10_Loans!A155)</f>
        <v/>
      </c>
      <c r="B1943" s="40" t="str">
        <f>IF(Agent10_Loans!B155="","",Agent10_Loans!B155)</f>
        <v/>
      </c>
      <c r="C1943" s="40" t="str">
        <f>IF(Agent10_Loans!B155="","",Agent10_Loans!C155)</f>
        <v/>
      </c>
      <c r="D1943" s="41" t="str">
        <f>IF(Agent10_Loans!B155="","",Agent10_Loans!D155)</f>
        <v/>
      </c>
      <c r="E1943" s="43" t="str">
        <f>IF(Agent10_Loans!B155="","",Agent10_Loans!E155)</f>
        <v/>
      </c>
      <c r="F1943" s="40" t="str">
        <f>IF(Agent10_Loans!B155="","",Agent10_Loans!F155)</f>
        <v/>
      </c>
      <c r="G1943" s="40" t="str">
        <f>IF(Agent10_Loans!B155="","",Agent10_Loans!G155)</f>
        <v/>
      </c>
      <c r="H1943" s="40" t="str">
        <f>IF(Agent10_Loans!B155="","",Agent10_Loans!H155)</f>
        <v/>
      </c>
      <c r="I1943" s="43" t="str">
        <f>IF(Agent10_Loans!B155="","",Agent10_Loans!I155)</f>
        <v/>
      </c>
      <c r="J1943" s="43" t="str">
        <f>IF(Agent10_Loans!B155="","",Agent10_Loans!J155)</f>
        <v/>
      </c>
      <c r="K1943" s="40" t="str">
        <f>IF(Agent10_Loans!B155="","",Agent10_Loans!K155)</f>
        <v/>
      </c>
      <c r="L1943" s="40" t="str">
        <f>IF(Agent10_Loans!B155="","",Agent10_Loans!L155)</f>
        <v/>
      </c>
      <c r="M1943" s="40" t="str">
        <f>IFERROR(IF(Agent10_Loans!B155="","",YEAR(Agent10_Loans!D155)),"")</f>
        <v/>
      </c>
    </row>
    <row r="1944" spans="1:13" ht="18" customHeight="1" x14ac:dyDescent="0.25">
      <c r="A1944" s="40" t="str">
        <f>IF(Agent10_Loans!B156="","",Agent10_Loans!A156)</f>
        <v/>
      </c>
      <c r="B1944" s="40" t="str">
        <f>IF(Agent10_Loans!B156="","",Agent10_Loans!B156)</f>
        <v/>
      </c>
      <c r="C1944" s="40" t="str">
        <f>IF(Agent10_Loans!B156="","",Agent10_Loans!C156)</f>
        <v/>
      </c>
      <c r="D1944" s="41" t="str">
        <f>IF(Agent10_Loans!B156="","",Agent10_Loans!D156)</f>
        <v/>
      </c>
      <c r="E1944" s="43" t="str">
        <f>IF(Agent10_Loans!B156="","",Agent10_Loans!E156)</f>
        <v/>
      </c>
      <c r="F1944" s="40" t="str">
        <f>IF(Agent10_Loans!B156="","",Agent10_Loans!F156)</f>
        <v/>
      </c>
      <c r="G1944" s="40" t="str">
        <f>IF(Agent10_Loans!B156="","",Agent10_Loans!G156)</f>
        <v/>
      </c>
      <c r="H1944" s="40" t="str">
        <f>IF(Agent10_Loans!B156="","",Agent10_Loans!H156)</f>
        <v/>
      </c>
      <c r="I1944" s="43" t="str">
        <f>IF(Agent10_Loans!B156="","",Agent10_Loans!I156)</f>
        <v/>
      </c>
      <c r="J1944" s="43" t="str">
        <f>IF(Agent10_Loans!B156="","",Agent10_Loans!J156)</f>
        <v/>
      </c>
      <c r="K1944" s="40" t="str">
        <f>IF(Agent10_Loans!B156="","",Agent10_Loans!K156)</f>
        <v/>
      </c>
      <c r="L1944" s="40" t="str">
        <f>IF(Agent10_Loans!B156="","",Agent10_Loans!L156)</f>
        <v/>
      </c>
      <c r="M1944" s="40" t="str">
        <f>IFERROR(IF(Agent10_Loans!B156="","",YEAR(Agent10_Loans!D156)),"")</f>
        <v/>
      </c>
    </row>
    <row r="1945" spans="1:13" ht="18" customHeight="1" x14ac:dyDescent="0.25">
      <c r="A1945" s="40" t="str">
        <f>IF(Agent10_Loans!B157="","",Agent10_Loans!A157)</f>
        <v/>
      </c>
      <c r="B1945" s="40" t="str">
        <f>IF(Agent10_Loans!B157="","",Agent10_Loans!B157)</f>
        <v/>
      </c>
      <c r="C1945" s="40" t="str">
        <f>IF(Agent10_Loans!B157="","",Agent10_Loans!C157)</f>
        <v/>
      </c>
      <c r="D1945" s="41" t="str">
        <f>IF(Agent10_Loans!B157="","",Agent10_Loans!D157)</f>
        <v/>
      </c>
      <c r="E1945" s="43" t="str">
        <f>IF(Agent10_Loans!B157="","",Agent10_Loans!E157)</f>
        <v/>
      </c>
      <c r="F1945" s="40" t="str">
        <f>IF(Agent10_Loans!B157="","",Agent10_Loans!F157)</f>
        <v/>
      </c>
      <c r="G1945" s="40" t="str">
        <f>IF(Agent10_Loans!B157="","",Agent10_Loans!G157)</f>
        <v/>
      </c>
      <c r="H1945" s="40" t="str">
        <f>IF(Agent10_Loans!B157="","",Agent10_Loans!H157)</f>
        <v/>
      </c>
      <c r="I1945" s="43" t="str">
        <f>IF(Agent10_Loans!B157="","",Agent10_Loans!I157)</f>
        <v/>
      </c>
      <c r="J1945" s="43" t="str">
        <f>IF(Agent10_Loans!B157="","",Agent10_Loans!J157)</f>
        <v/>
      </c>
      <c r="K1945" s="40" t="str">
        <f>IF(Agent10_Loans!B157="","",Agent10_Loans!K157)</f>
        <v/>
      </c>
      <c r="L1945" s="40" t="str">
        <f>IF(Agent10_Loans!B157="","",Agent10_Loans!L157)</f>
        <v/>
      </c>
      <c r="M1945" s="40" t="str">
        <f>IFERROR(IF(Agent10_Loans!B157="","",YEAR(Agent10_Loans!D157)),"")</f>
        <v/>
      </c>
    </row>
    <row r="1946" spans="1:13" ht="18" customHeight="1" x14ac:dyDescent="0.25">
      <c r="A1946" s="40" t="str">
        <f>IF(Agent10_Loans!B158="","",Agent10_Loans!A158)</f>
        <v/>
      </c>
      <c r="B1946" s="40" t="str">
        <f>IF(Agent10_Loans!B158="","",Agent10_Loans!B158)</f>
        <v/>
      </c>
      <c r="C1946" s="40" t="str">
        <f>IF(Agent10_Loans!B158="","",Agent10_Loans!C158)</f>
        <v/>
      </c>
      <c r="D1946" s="41" t="str">
        <f>IF(Agent10_Loans!B158="","",Agent10_Loans!D158)</f>
        <v/>
      </c>
      <c r="E1946" s="43" t="str">
        <f>IF(Agent10_Loans!B158="","",Agent10_Loans!E158)</f>
        <v/>
      </c>
      <c r="F1946" s="40" t="str">
        <f>IF(Agent10_Loans!B158="","",Agent10_Loans!F158)</f>
        <v/>
      </c>
      <c r="G1946" s="40" t="str">
        <f>IF(Agent10_Loans!B158="","",Agent10_Loans!G158)</f>
        <v/>
      </c>
      <c r="H1946" s="40" t="str">
        <f>IF(Agent10_Loans!B158="","",Agent10_Loans!H158)</f>
        <v/>
      </c>
      <c r="I1946" s="43" t="str">
        <f>IF(Agent10_Loans!B158="","",Agent10_Loans!I158)</f>
        <v/>
      </c>
      <c r="J1946" s="43" t="str">
        <f>IF(Agent10_Loans!B158="","",Agent10_Loans!J158)</f>
        <v/>
      </c>
      <c r="K1946" s="40" t="str">
        <f>IF(Agent10_Loans!B158="","",Agent10_Loans!K158)</f>
        <v/>
      </c>
      <c r="L1946" s="40" t="str">
        <f>IF(Agent10_Loans!B158="","",Agent10_Loans!L158)</f>
        <v/>
      </c>
      <c r="M1946" s="40" t="str">
        <f>IFERROR(IF(Agent10_Loans!B158="","",YEAR(Agent10_Loans!D158)),"")</f>
        <v/>
      </c>
    </row>
    <row r="1947" spans="1:13" ht="18" customHeight="1" x14ac:dyDescent="0.25">
      <c r="A1947" s="40" t="str">
        <f>IF(Agent10_Loans!B159="","",Agent10_Loans!A159)</f>
        <v/>
      </c>
      <c r="B1947" s="40" t="str">
        <f>IF(Agent10_Loans!B159="","",Agent10_Loans!B159)</f>
        <v/>
      </c>
      <c r="C1947" s="40" t="str">
        <f>IF(Agent10_Loans!B159="","",Agent10_Loans!C159)</f>
        <v/>
      </c>
      <c r="D1947" s="41" t="str">
        <f>IF(Agent10_Loans!B159="","",Agent10_Loans!D159)</f>
        <v/>
      </c>
      <c r="E1947" s="43" t="str">
        <f>IF(Agent10_Loans!B159="","",Agent10_Loans!E159)</f>
        <v/>
      </c>
      <c r="F1947" s="40" t="str">
        <f>IF(Agent10_Loans!B159="","",Agent10_Loans!F159)</f>
        <v/>
      </c>
      <c r="G1947" s="40" t="str">
        <f>IF(Agent10_Loans!B159="","",Agent10_Loans!G159)</f>
        <v/>
      </c>
      <c r="H1947" s="40" t="str">
        <f>IF(Agent10_Loans!B159="","",Agent10_Loans!H159)</f>
        <v/>
      </c>
      <c r="I1947" s="43" t="str">
        <f>IF(Agent10_Loans!B159="","",Agent10_Loans!I159)</f>
        <v/>
      </c>
      <c r="J1947" s="43" t="str">
        <f>IF(Agent10_Loans!B159="","",Agent10_Loans!J159)</f>
        <v/>
      </c>
      <c r="K1947" s="40" t="str">
        <f>IF(Agent10_Loans!B159="","",Agent10_Loans!K159)</f>
        <v/>
      </c>
      <c r="L1947" s="40" t="str">
        <f>IF(Agent10_Loans!B159="","",Agent10_Loans!L159)</f>
        <v/>
      </c>
      <c r="M1947" s="40" t="str">
        <f>IFERROR(IF(Agent10_Loans!B159="","",YEAR(Agent10_Loans!D159)),"")</f>
        <v/>
      </c>
    </row>
    <row r="1948" spans="1:13" ht="18" customHeight="1" x14ac:dyDescent="0.25">
      <c r="A1948" s="40" t="str">
        <f>IF(Agent10_Loans!B160="","",Agent10_Loans!A160)</f>
        <v/>
      </c>
      <c r="B1948" s="40" t="str">
        <f>IF(Agent10_Loans!B160="","",Agent10_Loans!B160)</f>
        <v/>
      </c>
      <c r="C1948" s="40" t="str">
        <f>IF(Agent10_Loans!B160="","",Agent10_Loans!C160)</f>
        <v/>
      </c>
      <c r="D1948" s="41" t="str">
        <f>IF(Agent10_Loans!B160="","",Agent10_Loans!D160)</f>
        <v/>
      </c>
      <c r="E1948" s="43" t="str">
        <f>IF(Agent10_Loans!B160="","",Agent10_Loans!E160)</f>
        <v/>
      </c>
      <c r="F1948" s="40" t="str">
        <f>IF(Agent10_Loans!B160="","",Agent10_Loans!F160)</f>
        <v/>
      </c>
      <c r="G1948" s="40" t="str">
        <f>IF(Agent10_Loans!B160="","",Agent10_Loans!G160)</f>
        <v/>
      </c>
      <c r="H1948" s="40" t="str">
        <f>IF(Agent10_Loans!B160="","",Agent10_Loans!H160)</f>
        <v/>
      </c>
      <c r="I1948" s="43" t="str">
        <f>IF(Agent10_Loans!B160="","",Agent10_Loans!I160)</f>
        <v/>
      </c>
      <c r="J1948" s="43" t="str">
        <f>IF(Agent10_Loans!B160="","",Agent10_Loans!J160)</f>
        <v/>
      </c>
      <c r="K1948" s="40" t="str">
        <f>IF(Agent10_Loans!B160="","",Agent10_Loans!K160)</f>
        <v/>
      </c>
      <c r="L1948" s="40" t="str">
        <f>IF(Agent10_Loans!B160="","",Agent10_Loans!L160)</f>
        <v/>
      </c>
      <c r="M1948" s="40" t="str">
        <f>IFERROR(IF(Agent10_Loans!B160="","",YEAR(Agent10_Loans!D160)),"")</f>
        <v/>
      </c>
    </row>
    <row r="1949" spans="1:13" ht="18" customHeight="1" x14ac:dyDescent="0.25">
      <c r="A1949" s="40" t="str">
        <f>IF(Agent10_Loans!B161="","",Agent10_Loans!A161)</f>
        <v/>
      </c>
      <c r="B1949" s="40" t="str">
        <f>IF(Agent10_Loans!B161="","",Agent10_Loans!B161)</f>
        <v/>
      </c>
      <c r="C1949" s="40" t="str">
        <f>IF(Agent10_Loans!B161="","",Agent10_Loans!C161)</f>
        <v/>
      </c>
      <c r="D1949" s="41" t="str">
        <f>IF(Agent10_Loans!B161="","",Agent10_Loans!D161)</f>
        <v/>
      </c>
      <c r="E1949" s="43" t="str">
        <f>IF(Agent10_Loans!B161="","",Agent10_Loans!E161)</f>
        <v/>
      </c>
      <c r="F1949" s="40" t="str">
        <f>IF(Agent10_Loans!B161="","",Agent10_Loans!F161)</f>
        <v/>
      </c>
      <c r="G1949" s="40" t="str">
        <f>IF(Agent10_Loans!B161="","",Agent10_Loans!G161)</f>
        <v/>
      </c>
      <c r="H1949" s="40" t="str">
        <f>IF(Agent10_Loans!B161="","",Agent10_Loans!H161)</f>
        <v/>
      </c>
      <c r="I1949" s="43" t="str">
        <f>IF(Agent10_Loans!B161="","",Agent10_Loans!I161)</f>
        <v/>
      </c>
      <c r="J1949" s="43" t="str">
        <f>IF(Agent10_Loans!B161="","",Agent10_Loans!J161)</f>
        <v/>
      </c>
      <c r="K1949" s="40" t="str">
        <f>IF(Agent10_Loans!B161="","",Agent10_Loans!K161)</f>
        <v/>
      </c>
      <c r="L1949" s="40" t="str">
        <f>IF(Agent10_Loans!B161="","",Agent10_Loans!L161)</f>
        <v/>
      </c>
      <c r="M1949" s="40" t="str">
        <f>IFERROR(IF(Agent10_Loans!B161="","",YEAR(Agent10_Loans!D161)),"")</f>
        <v/>
      </c>
    </row>
    <row r="1950" spans="1:13" ht="18" customHeight="1" x14ac:dyDescent="0.25">
      <c r="A1950" s="40" t="str">
        <f>IF(Agent10_Loans!B162="","",Agent10_Loans!A162)</f>
        <v/>
      </c>
      <c r="B1950" s="40" t="str">
        <f>IF(Agent10_Loans!B162="","",Agent10_Loans!B162)</f>
        <v/>
      </c>
      <c r="C1950" s="40" t="str">
        <f>IF(Agent10_Loans!B162="","",Agent10_Loans!C162)</f>
        <v/>
      </c>
      <c r="D1950" s="41" t="str">
        <f>IF(Agent10_Loans!B162="","",Agent10_Loans!D162)</f>
        <v/>
      </c>
      <c r="E1950" s="43" t="str">
        <f>IF(Agent10_Loans!B162="","",Agent10_Loans!E162)</f>
        <v/>
      </c>
      <c r="F1950" s="40" t="str">
        <f>IF(Agent10_Loans!B162="","",Agent10_Loans!F162)</f>
        <v/>
      </c>
      <c r="G1950" s="40" t="str">
        <f>IF(Agent10_Loans!B162="","",Agent10_Loans!G162)</f>
        <v/>
      </c>
      <c r="H1950" s="40" t="str">
        <f>IF(Agent10_Loans!B162="","",Agent10_Loans!H162)</f>
        <v/>
      </c>
      <c r="I1950" s="43" t="str">
        <f>IF(Agent10_Loans!B162="","",Agent10_Loans!I162)</f>
        <v/>
      </c>
      <c r="J1950" s="43" t="str">
        <f>IF(Agent10_Loans!B162="","",Agent10_Loans!J162)</f>
        <v/>
      </c>
      <c r="K1950" s="40" t="str">
        <f>IF(Agent10_Loans!B162="","",Agent10_Loans!K162)</f>
        <v/>
      </c>
      <c r="L1950" s="40" t="str">
        <f>IF(Agent10_Loans!B162="","",Agent10_Loans!L162)</f>
        <v/>
      </c>
      <c r="M1950" s="40" t="str">
        <f>IFERROR(IF(Agent10_Loans!B162="","",YEAR(Agent10_Loans!D162)),"")</f>
        <v/>
      </c>
    </row>
    <row r="1951" spans="1:13" ht="18" customHeight="1" x14ac:dyDescent="0.25">
      <c r="A1951" s="40" t="str">
        <f>IF(Agent10_Loans!B163="","",Agent10_Loans!A163)</f>
        <v/>
      </c>
      <c r="B1951" s="40" t="str">
        <f>IF(Agent10_Loans!B163="","",Agent10_Loans!B163)</f>
        <v/>
      </c>
      <c r="C1951" s="40" t="str">
        <f>IF(Agent10_Loans!B163="","",Agent10_Loans!C163)</f>
        <v/>
      </c>
      <c r="D1951" s="41" t="str">
        <f>IF(Agent10_Loans!B163="","",Agent10_Loans!D163)</f>
        <v/>
      </c>
      <c r="E1951" s="43" t="str">
        <f>IF(Agent10_Loans!B163="","",Agent10_Loans!E163)</f>
        <v/>
      </c>
      <c r="F1951" s="40" t="str">
        <f>IF(Agent10_Loans!B163="","",Agent10_Loans!F163)</f>
        <v/>
      </c>
      <c r="G1951" s="40" t="str">
        <f>IF(Agent10_Loans!B163="","",Agent10_Loans!G163)</f>
        <v/>
      </c>
      <c r="H1951" s="40" t="str">
        <f>IF(Agent10_Loans!B163="","",Agent10_Loans!H163)</f>
        <v/>
      </c>
      <c r="I1951" s="43" t="str">
        <f>IF(Agent10_Loans!B163="","",Agent10_Loans!I163)</f>
        <v/>
      </c>
      <c r="J1951" s="43" t="str">
        <f>IF(Agent10_Loans!B163="","",Agent10_Loans!J163)</f>
        <v/>
      </c>
      <c r="K1951" s="40" t="str">
        <f>IF(Agent10_Loans!B163="","",Agent10_Loans!K163)</f>
        <v/>
      </c>
      <c r="L1951" s="40" t="str">
        <f>IF(Agent10_Loans!B163="","",Agent10_Loans!L163)</f>
        <v/>
      </c>
      <c r="M1951" s="40" t="str">
        <f>IFERROR(IF(Agent10_Loans!B163="","",YEAR(Agent10_Loans!D163)),"")</f>
        <v/>
      </c>
    </row>
    <row r="1952" spans="1:13" ht="18" customHeight="1" x14ac:dyDescent="0.25">
      <c r="A1952" s="40" t="str">
        <f>IF(Agent10_Loans!B164="","",Agent10_Loans!A164)</f>
        <v/>
      </c>
      <c r="B1952" s="40" t="str">
        <f>IF(Agent10_Loans!B164="","",Agent10_Loans!B164)</f>
        <v/>
      </c>
      <c r="C1952" s="40" t="str">
        <f>IF(Agent10_Loans!B164="","",Agent10_Loans!C164)</f>
        <v/>
      </c>
      <c r="D1952" s="41" t="str">
        <f>IF(Agent10_Loans!B164="","",Agent10_Loans!D164)</f>
        <v/>
      </c>
      <c r="E1952" s="43" t="str">
        <f>IF(Agent10_Loans!B164="","",Agent10_Loans!E164)</f>
        <v/>
      </c>
      <c r="F1952" s="40" t="str">
        <f>IF(Agent10_Loans!B164="","",Agent10_Loans!F164)</f>
        <v/>
      </c>
      <c r="G1952" s="40" t="str">
        <f>IF(Agent10_Loans!B164="","",Agent10_Loans!G164)</f>
        <v/>
      </c>
      <c r="H1952" s="40" t="str">
        <f>IF(Agent10_Loans!B164="","",Agent10_Loans!H164)</f>
        <v/>
      </c>
      <c r="I1952" s="43" t="str">
        <f>IF(Agent10_Loans!B164="","",Agent10_Loans!I164)</f>
        <v/>
      </c>
      <c r="J1952" s="43" t="str">
        <f>IF(Agent10_Loans!B164="","",Agent10_Loans!J164)</f>
        <v/>
      </c>
      <c r="K1952" s="40" t="str">
        <f>IF(Agent10_Loans!B164="","",Agent10_Loans!K164)</f>
        <v/>
      </c>
      <c r="L1952" s="40" t="str">
        <f>IF(Agent10_Loans!B164="","",Agent10_Loans!L164)</f>
        <v/>
      </c>
      <c r="M1952" s="40" t="str">
        <f>IFERROR(IF(Agent10_Loans!B164="","",YEAR(Agent10_Loans!D164)),"")</f>
        <v/>
      </c>
    </row>
    <row r="1953" spans="1:13" ht="18" customHeight="1" x14ac:dyDescent="0.25">
      <c r="A1953" s="40" t="str">
        <f>IF(Agent10_Loans!B165="","",Agent10_Loans!A165)</f>
        <v/>
      </c>
      <c r="B1953" s="40" t="str">
        <f>IF(Agent10_Loans!B165="","",Agent10_Loans!B165)</f>
        <v/>
      </c>
      <c r="C1953" s="40" t="str">
        <f>IF(Agent10_Loans!B165="","",Agent10_Loans!C165)</f>
        <v/>
      </c>
      <c r="D1953" s="41" t="str">
        <f>IF(Agent10_Loans!B165="","",Agent10_Loans!D165)</f>
        <v/>
      </c>
      <c r="E1953" s="43" t="str">
        <f>IF(Agent10_Loans!B165="","",Agent10_Loans!E165)</f>
        <v/>
      </c>
      <c r="F1953" s="40" t="str">
        <f>IF(Agent10_Loans!B165="","",Agent10_Loans!F165)</f>
        <v/>
      </c>
      <c r="G1953" s="40" t="str">
        <f>IF(Agent10_Loans!B165="","",Agent10_Loans!G165)</f>
        <v/>
      </c>
      <c r="H1953" s="40" t="str">
        <f>IF(Agent10_Loans!B165="","",Agent10_Loans!H165)</f>
        <v/>
      </c>
      <c r="I1953" s="43" t="str">
        <f>IF(Agent10_Loans!B165="","",Agent10_Loans!I165)</f>
        <v/>
      </c>
      <c r="J1953" s="43" t="str">
        <f>IF(Agent10_Loans!B165="","",Agent10_Loans!J165)</f>
        <v/>
      </c>
      <c r="K1953" s="40" t="str">
        <f>IF(Agent10_Loans!B165="","",Agent10_Loans!K165)</f>
        <v/>
      </c>
      <c r="L1953" s="40" t="str">
        <f>IF(Agent10_Loans!B165="","",Agent10_Loans!L165)</f>
        <v/>
      </c>
      <c r="M1953" s="40" t="str">
        <f>IFERROR(IF(Agent10_Loans!B165="","",YEAR(Agent10_Loans!D165)),"")</f>
        <v/>
      </c>
    </row>
    <row r="1954" spans="1:13" ht="18" customHeight="1" x14ac:dyDescent="0.25">
      <c r="A1954" s="40" t="str">
        <f>IF(Agent10_Loans!B166="","",Agent10_Loans!A166)</f>
        <v/>
      </c>
      <c r="B1954" s="40" t="str">
        <f>IF(Agent10_Loans!B166="","",Agent10_Loans!B166)</f>
        <v/>
      </c>
      <c r="C1954" s="40" t="str">
        <f>IF(Agent10_Loans!B166="","",Agent10_Loans!C166)</f>
        <v/>
      </c>
      <c r="D1954" s="41" t="str">
        <f>IF(Agent10_Loans!B166="","",Agent10_Loans!D166)</f>
        <v/>
      </c>
      <c r="E1954" s="43" t="str">
        <f>IF(Agent10_Loans!B166="","",Agent10_Loans!E166)</f>
        <v/>
      </c>
      <c r="F1954" s="40" t="str">
        <f>IF(Agent10_Loans!B166="","",Agent10_Loans!F166)</f>
        <v/>
      </c>
      <c r="G1954" s="40" t="str">
        <f>IF(Agent10_Loans!B166="","",Agent10_Loans!G166)</f>
        <v/>
      </c>
      <c r="H1954" s="40" t="str">
        <f>IF(Agent10_Loans!B166="","",Agent10_Loans!H166)</f>
        <v/>
      </c>
      <c r="I1954" s="43" t="str">
        <f>IF(Agent10_Loans!B166="","",Agent10_Loans!I166)</f>
        <v/>
      </c>
      <c r="J1954" s="43" t="str">
        <f>IF(Agent10_Loans!B166="","",Agent10_Loans!J166)</f>
        <v/>
      </c>
      <c r="K1954" s="40" t="str">
        <f>IF(Agent10_Loans!B166="","",Agent10_Loans!K166)</f>
        <v/>
      </c>
      <c r="L1954" s="40" t="str">
        <f>IF(Agent10_Loans!B166="","",Agent10_Loans!L166)</f>
        <v/>
      </c>
      <c r="M1954" s="40" t="str">
        <f>IFERROR(IF(Agent10_Loans!B166="","",YEAR(Agent10_Loans!D166)),"")</f>
        <v/>
      </c>
    </row>
    <row r="1955" spans="1:13" ht="18" customHeight="1" x14ac:dyDescent="0.25">
      <c r="A1955" s="40" t="str">
        <f>IF(Agent10_Loans!B167="","",Agent10_Loans!A167)</f>
        <v/>
      </c>
      <c r="B1955" s="40" t="str">
        <f>IF(Agent10_Loans!B167="","",Agent10_Loans!B167)</f>
        <v/>
      </c>
      <c r="C1955" s="40" t="str">
        <f>IF(Agent10_Loans!B167="","",Agent10_Loans!C167)</f>
        <v/>
      </c>
      <c r="D1955" s="41" t="str">
        <f>IF(Agent10_Loans!B167="","",Agent10_Loans!D167)</f>
        <v/>
      </c>
      <c r="E1955" s="43" t="str">
        <f>IF(Agent10_Loans!B167="","",Agent10_Loans!E167)</f>
        <v/>
      </c>
      <c r="F1955" s="40" t="str">
        <f>IF(Agent10_Loans!B167="","",Agent10_Loans!F167)</f>
        <v/>
      </c>
      <c r="G1955" s="40" t="str">
        <f>IF(Agent10_Loans!B167="","",Agent10_Loans!G167)</f>
        <v/>
      </c>
      <c r="H1955" s="40" t="str">
        <f>IF(Agent10_Loans!B167="","",Agent10_Loans!H167)</f>
        <v/>
      </c>
      <c r="I1955" s="43" t="str">
        <f>IF(Agent10_Loans!B167="","",Agent10_Loans!I167)</f>
        <v/>
      </c>
      <c r="J1955" s="43" t="str">
        <f>IF(Agent10_Loans!B167="","",Agent10_Loans!J167)</f>
        <v/>
      </c>
      <c r="K1955" s="40" t="str">
        <f>IF(Agent10_Loans!B167="","",Agent10_Loans!K167)</f>
        <v/>
      </c>
      <c r="L1955" s="40" t="str">
        <f>IF(Agent10_Loans!B167="","",Agent10_Loans!L167)</f>
        <v/>
      </c>
      <c r="M1955" s="40" t="str">
        <f>IFERROR(IF(Agent10_Loans!B167="","",YEAR(Agent10_Loans!D167)),"")</f>
        <v/>
      </c>
    </row>
    <row r="1956" spans="1:13" ht="18" customHeight="1" x14ac:dyDescent="0.25">
      <c r="A1956" s="40" t="str">
        <f>IF(Agent10_Loans!B168="","",Agent10_Loans!A168)</f>
        <v/>
      </c>
      <c r="B1956" s="40" t="str">
        <f>IF(Agent10_Loans!B168="","",Agent10_Loans!B168)</f>
        <v/>
      </c>
      <c r="C1956" s="40" t="str">
        <f>IF(Agent10_Loans!B168="","",Agent10_Loans!C168)</f>
        <v/>
      </c>
      <c r="D1956" s="41" t="str">
        <f>IF(Agent10_Loans!B168="","",Agent10_Loans!D168)</f>
        <v/>
      </c>
      <c r="E1956" s="43" t="str">
        <f>IF(Agent10_Loans!B168="","",Agent10_Loans!E168)</f>
        <v/>
      </c>
      <c r="F1956" s="40" t="str">
        <f>IF(Agent10_Loans!B168="","",Agent10_Loans!F168)</f>
        <v/>
      </c>
      <c r="G1956" s="40" t="str">
        <f>IF(Agent10_Loans!B168="","",Agent10_Loans!G168)</f>
        <v/>
      </c>
      <c r="H1956" s="40" t="str">
        <f>IF(Agent10_Loans!B168="","",Agent10_Loans!H168)</f>
        <v/>
      </c>
      <c r="I1956" s="43" t="str">
        <f>IF(Agent10_Loans!B168="","",Agent10_Loans!I168)</f>
        <v/>
      </c>
      <c r="J1956" s="43" t="str">
        <f>IF(Agent10_Loans!B168="","",Agent10_Loans!J168)</f>
        <v/>
      </c>
      <c r="K1956" s="40" t="str">
        <f>IF(Agent10_Loans!B168="","",Agent10_Loans!K168)</f>
        <v/>
      </c>
      <c r="L1956" s="40" t="str">
        <f>IF(Agent10_Loans!B168="","",Agent10_Loans!L168)</f>
        <v/>
      </c>
      <c r="M1956" s="40" t="str">
        <f>IFERROR(IF(Agent10_Loans!B168="","",YEAR(Agent10_Loans!D168)),"")</f>
        <v/>
      </c>
    </row>
    <row r="1957" spans="1:13" ht="18" customHeight="1" x14ac:dyDescent="0.25">
      <c r="A1957" s="40" t="str">
        <f>IF(Agent10_Loans!B169="","",Agent10_Loans!A169)</f>
        <v/>
      </c>
      <c r="B1957" s="40" t="str">
        <f>IF(Agent10_Loans!B169="","",Agent10_Loans!B169)</f>
        <v/>
      </c>
      <c r="C1957" s="40" t="str">
        <f>IF(Agent10_Loans!B169="","",Agent10_Loans!C169)</f>
        <v/>
      </c>
      <c r="D1957" s="41" t="str">
        <f>IF(Agent10_Loans!B169="","",Agent10_Loans!D169)</f>
        <v/>
      </c>
      <c r="E1957" s="43" t="str">
        <f>IF(Agent10_Loans!B169="","",Agent10_Loans!E169)</f>
        <v/>
      </c>
      <c r="F1957" s="40" t="str">
        <f>IF(Agent10_Loans!B169="","",Agent10_Loans!F169)</f>
        <v/>
      </c>
      <c r="G1957" s="40" t="str">
        <f>IF(Agent10_Loans!B169="","",Agent10_Loans!G169)</f>
        <v/>
      </c>
      <c r="H1957" s="40" t="str">
        <f>IF(Agent10_Loans!B169="","",Agent10_Loans!H169)</f>
        <v/>
      </c>
      <c r="I1957" s="43" t="str">
        <f>IF(Agent10_Loans!B169="","",Agent10_Loans!I169)</f>
        <v/>
      </c>
      <c r="J1957" s="43" t="str">
        <f>IF(Agent10_Loans!B169="","",Agent10_Loans!J169)</f>
        <v/>
      </c>
      <c r="K1957" s="40" t="str">
        <f>IF(Agent10_Loans!B169="","",Agent10_Loans!K169)</f>
        <v/>
      </c>
      <c r="L1957" s="40" t="str">
        <f>IF(Agent10_Loans!B169="","",Agent10_Loans!L169)</f>
        <v/>
      </c>
      <c r="M1957" s="40" t="str">
        <f>IFERROR(IF(Agent10_Loans!B169="","",YEAR(Agent10_Loans!D169)),"")</f>
        <v/>
      </c>
    </row>
    <row r="1958" spans="1:13" ht="18" customHeight="1" x14ac:dyDescent="0.25">
      <c r="A1958" s="40" t="str">
        <f>IF(Agent10_Loans!B170="","",Agent10_Loans!A170)</f>
        <v/>
      </c>
      <c r="B1958" s="40" t="str">
        <f>IF(Agent10_Loans!B170="","",Agent10_Loans!B170)</f>
        <v/>
      </c>
      <c r="C1958" s="40" t="str">
        <f>IF(Agent10_Loans!B170="","",Agent10_Loans!C170)</f>
        <v/>
      </c>
      <c r="D1958" s="41" t="str">
        <f>IF(Agent10_Loans!B170="","",Agent10_Loans!D170)</f>
        <v/>
      </c>
      <c r="E1958" s="43" t="str">
        <f>IF(Agent10_Loans!B170="","",Agent10_Loans!E170)</f>
        <v/>
      </c>
      <c r="F1958" s="40" t="str">
        <f>IF(Agent10_Loans!B170="","",Agent10_Loans!F170)</f>
        <v/>
      </c>
      <c r="G1958" s="40" t="str">
        <f>IF(Agent10_Loans!B170="","",Agent10_Loans!G170)</f>
        <v/>
      </c>
      <c r="H1958" s="40" t="str">
        <f>IF(Agent10_Loans!B170="","",Agent10_Loans!H170)</f>
        <v/>
      </c>
      <c r="I1958" s="43" t="str">
        <f>IF(Agent10_Loans!B170="","",Agent10_Loans!I170)</f>
        <v/>
      </c>
      <c r="J1958" s="43" t="str">
        <f>IF(Agent10_Loans!B170="","",Agent10_Loans!J170)</f>
        <v/>
      </c>
      <c r="K1958" s="40" t="str">
        <f>IF(Agent10_Loans!B170="","",Agent10_Loans!K170)</f>
        <v/>
      </c>
      <c r="L1958" s="40" t="str">
        <f>IF(Agent10_Loans!B170="","",Agent10_Loans!L170)</f>
        <v/>
      </c>
      <c r="M1958" s="40" t="str">
        <f>IFERROR(IF(Agent10_Loans!B170="","",YEAR(Agent10_Loans!D170)),"")</f>
        <v/>
      </c>
    </row>
    <row r="1959" spans="1:13" ht="18" customHeight="1" x14ac:dyDescent="0.25">
      <c r="A1959" s="40" t="str">
        <f>IF(Agent10_Loans!B171="","",Agent10_Loans!A171)</f>
        <v/>
      </c>
      <c r="B1959" s="40" t="str">
        <f>IF(Agent10_Loans!B171="","",Agent10_Loans!B171)</f>
        <v/>
      </c>
      <c r="C1959" s="40" t="str">
        <f>IF(Agent10_Loans!B171="","",Agent10_Loans!C171)</f>
        <v/>
      </c>
      <c r="D1959" s="41" t="str">
        <f>IF(Agent10_Loans!B171="","",Agent10_Loans!D171)</f>
        <v/>
      </c>
      <c r="E1959" s="43" t="str">
        <f>IF(Agent10_Loans!B171="","",Agent10_Loans!E171)</f>
        <v/>
      </c>
      <c r="F1959" s="40" t="str">
        <f>IF(Agent10_Loans!B171="","",Agent10_Loans!F171)</f>
        <v/>
      </c>
      <c r="G1959" s="40" t="str">
        <f>IF(Agent10_Loans!B171="","",Agent10_Loans!G171)</f>
        <v/>
      </c>
      <c r="H1959" s="40" t="str">
        <f>IF(Agent10_Loans!B171="","",Agent10_Loans!H171)</f>
        <v/>
      </c>
      <c r="I1959" s="43" t="str">
        <f>IF(Agent10_Loans!B171="","",Agent10_Loans!I171)</f>
        <v/>
      </c>
      <c r="J1959" s="43" t="str">
        <f>IF(Agent10_Loans!B171="","",Agent10_Loans!J171)</f>
        <v/>
      </c>
      <c r="K1959" s="40" t="str">
        <f>IF(Agent10_Loans!B171="","",Agent10_Loans!K171)</f>
        <v/>
      </c>
      <c r="L1959" s="40" t="str">
        <f>IF(Agent10_Loans!B171="","",Agent10_Loans!L171)</f>
        <v/>
      </c>
      <c r="M1959" s="40" t="str">
        <f>IFERROR(IF(Agent10_Loans!B171="","",YEAR(Agent10_Loans!D171)),"")</f>
        <v/>
      </c>
    </row>
    <row r="1960" spans="1:13" ht="18" customHeight="1" x14ac:dyDescent="0.25">
      <c r="A1960" s="40" t="str">
        <f>IF(Agent10_Loans!B172="","",Agent10_Loans!A172)</f>
        <v/>
      </c>
      <c r="B1960" s="40" t="str">
        <f>IF(Agent10_Loans!B172="","",Agent10_Loans!B172)</f>
        <v/>
      </c>
      <c r="C1960" s="40" t="str">
        <f>IF(Agent10_Loans!B172="","",Agent10_Loans!C172)</f>
        <v/>
      </c>
      <c r="D1960" s="41" t="str">
        <f>IF(Agent10_Loans!B172="","",Agent10_Loans!D172)</f>
        <v/>
      </c>
      <c r="E1960" s="43" t="str">
        <f>IF(Agent10_Loans!B172="","",Agent10_Loans!E172)</f>
        <v/>
      </c>
      <c r="F1960" s="40" t="str">
        <f>IF(Agent10_Loans!B172="","",Agent10_Loans!F172)</f>
        <v/>
      </c>
      <c r="G1960" s="40" t="str">
        <f>IF(Agent10_Loans!B172="","",Agent10_Loans!G172)</f>
        <v/>
      </c>
      <c r="H1960" s="40" t="str">
        <f>IF(Agent10_Loans!B172="","",Agent10_Loans!H172)</f>
        <v/>
      </c>
      <c r="I1960" s="43" t="str">
        <f>IF(Agent10_Loans!B172="","",Agent10_Loans!I172)</f>
        <v/>
      </c>
      <c r="J1960" s="43" t="str">
        <f>IF(Agent10_Loans!B172="","",Agent10_Loans!J172)</f>
        <v/>
      </c>
      <c r="K1960" s="40" t="str">
        <f>IF(Agent10_Loans!B172="","",Agent10_Loans!K172)</f>
        <v/>
      </c>
      <c r="L1960" s="40" t="str">
        <f>IF(Agent10_Loans!B172="","",Agent10_Loans!L172)</f>
        <v/>
      </c>
      <c r="M1960" s="40" t="str">
        <f>IFERROR(IF(Agent10_Loans!B172="","",YEAR(Agent10_Loans!D172)),"")</f>
        <v/>
      </c>
    </row>
    <row r="1961" spans="1:13" ht="18" customHeight="1" x14ac:dyDescent="0.25">
      <c r="A1961" s="40" t="str">
        <f>IF(Agent10_Loans!B173="","",Agent10_Loans!A173)</f>
        <v/>
      </c>
      <c r="B1961" s="40" t="str">
        <f>IF(Agent10_Loans!B173="","",Agent10_Loans!B173)</f>
        <v/>
      </c>
      <c r="C1961" s="40" t="str">
        <f>IF(Agent10_Loans!B173="","",Agent10_Loans!C173)</f>
        <v/>
      </c>
      <c r="D1961" s="41" t="str">
        <f>IF(Agent10_Loans!B173="","",Agent10_Loans!D173)</f>
        <v/>
      </c>
      <c r="E1961" s="43" t="str">
        <f>IF(Agent10_Loans!B173="","",Agent10_Loans!E173)</f>
        <v/>
      </c>
      <c r="F1961" s="40" t="str">
        <f>IF(Agent10_Loans!B173="","",Agent10_Loans!F173)</f>
        <v/>
      </c>
      <c r="G1961" s="40" t="str">
        <f>IF(Agent10_Loans!B173="","",Agent10_Loans!G173)</f>
        <v/>
      </c>
      <c r="H1961" s="40" t="str">
        <f>IF(Agent10_Loans!B173="","",Agent10_Loans!H173)</f>
        <v/>
      </c>
      <c r="I1961" s="43" t="str">
        <f>IF(Agent10_Loans!B173="","",Agent10_Loans!I173)</f>
        <v/>
      </c>
      <c r="J1961" s="43" t="str">
        <f>IF(Agent10_Loans!B173="","",Agent10_Loans!J173)</f>
        <v/>
      </c>
      <c r="K1961" s="40" t="str">
        <f>IF(Agent10_Loans!B173="","",Agent10_Loans!K173)</f>
        <v/>
      </c>
      <c r="L1961" s="40" t="str">
        <f>IF(Agent10_Loans!B173="","",Agent10_Loans!L173)</f>
        <v/>
      </c>
      <c r="M1961" s="40" t="str">
        <f>IFERROR(IF(Agent10_Loans!B173="","",YEAR(Agent10_Loans!D173)),"")</f>
        <v/>
      </c>
    </row>
    <row r="1962" spans="1:13" ht="18" customHeight="1" x14ac:dyDescent="0.25">
      <c r="A1962" s="40" t="str">
        <f>IF(Agent10_Loans!B174="","",Agent10_Loans!A174)</f>
        <v/>
      </c>
      <c r="B1962" s="40" t="str">
        <f>IF(Agent10_Loans!B174="","",Agent10_Loans!B174)</f>
        <v/>
      </c>
      <c r="C1962" s="40" t="str">
        <f>IF(Agent10_Loans!B174="","",Agent10_Loans!C174)</f>
        <v/>
      </c>
      <c r="D1962" s="41" t="str">
        <f>IF(Agent10_Loans!B174="","",Agent10_Loans!D174)</f>
        <v/>
      </c>
      <c r="E1962" s="43" t="str">
        <f>IF(Agent10_Loans!B174="","",Agent10_Loans!E174)</f>
        <v/>
      </c>
      <c r="F1962" s="40" t="str">
        <f>IF(Agent10_Loans!B174="","",Agent10_Loans!F174)</f>
        <v/>
      </c>
      <c r="G1962" s="40" t="str">
        <f>IF(Agent10_Loans!B174="","",Agent10_Loans!G174)</f>
        <v/>
      </c>
      <c r="H1962" s="40" t="str">
        <f>IF(Agent10_Loans!B174="","",Agent10_Loans!H174)</f>
        <v/>
      </c>
      <c r="I1962" s="43" t="str">
        <f>IF(Agent10_Loans!B174="","",Agent10_Loans!I174)</f>
        <v/>
      </c>
      <c r="J1962" s="43" t="str">
        <f>IF(Agent10_Loans!B174="","",Agent10_Loans!J174)</f>
        <v/>
      </c>
      <c r="K1962" s="40" t="str">
        <f>IF(Agent10_Loans!B174="","",Agent10_Loans!K174)</f>
        <v/>
      </c>
      <c r="L1962" s="40" t="str">
        <f>IF(Agent10_Loans!B174="","",Agent10_Loans!L174)</f>
        <v/>
      </c>
      <c r="M1962" s="40" t="str">
        <f>IFERROR(IF(Agent10_Loans!B174="","",YEAR(Agent10_Loans!D174)),"")</f>
        <v/>
      </c>
    </row>
    <row r="1963" spans="1:13" ht="18" customHeight="1" x14ac:dyDescent="0.25">
      <c r="A1963" s="40" t="str">
        <f>IF(Agent10_Loans!B175="","",Agent10_Loans!A175)</f>
        <v/>
      </c>
      <c r="B1963" s="40" t="str">
        <f>IF(Agent10_Loans!B175="","",Agent10_Loans!B175)</f>
        <v/>
      </c>
      <c r="C1963" s="40" t="str">
        <f>IF(Agent10_Loans!B175="","",Agent10_Loans!C175)</f>
        <v/>
      </c>
      <c r="D1963" s="41" t="str">
        <f>IF(Agent10_Loans!B175="","",Agent10_Loans!D175)</f>
        <v/>
      </c>
      <c r="E1963" s="43" t="str">
        <f>IF(Agent10_Loans!B175="","",Agent10_Loans!E175)</f>
        <v/>
      </c>
      <c r="F1963" s="40" t="str">
        <f>IF(Agent10_Loans!B175="","",Agent10_Loans!F175)</f>
        <v/>
      </c>
      <c r="G1963" s="40" t="str">
        <f>IF(Agent10_Loans!B175="","",Agent10_Loans!G175)</f>
        <v/>
      </c>
      <c r="H1963" s="40" t="str">
        <f>IF(Agent10_Loans!B175="","",Agent10_Loans!H175)</f>
        <v/>
      </c>
      <c r="I1963" s="43" t="str">
        <f>IF(Agent10_Loans!B175="","",Agent10_Loans!I175)</f>
        <v/>
      </c>
      <c r="J1963" s="43" t="str">
        <f>IF(Agent10_Loans!B175="","",Agent10_Loans!J175)</f>
        <v/>
      </c>
      <c r="K1963" s="40" t="str">
        <f>IF(Agent10_Loans!B175="","",Agent10_Loans!K175)</f>
        <v/>
      </c>
      <c r="L1963" s="40" t="str">
        <f>IF(Agent10_Loans!B175="","",Agent10_Loans!L175)</f>
        <v/>
      </c>
      <c r="M1963" s="40" t="str">
        <f>IFERROR(IF(Agent10_Loans!B175="","",YEAR(Agent10_Loans!D175)),"")</f>
        <v/>
      </c>
    </row>
    <row r="1964" spans="1:13" ht="18" customHeight="1" x14ac:dyDescent="0.25">
      <c r="A1964" s="40" t="str">
        <f>IF(Agent10_Loans!B176="","",Agent10_Loans!A176)</f>
        <v/>
      </c>
      <c r="B1964" s="40" t="str">
        <f>IF(Agent10_Loans!B176="","",Agent10_Loans!B176)</f>
        <v/>
      </c>
      <c r="C1964" s="40" t="str">
        <f>IF(Agent10_Loans!B176="","",Agent10_Loans!C176)</f>
        <v/>
      </c>
      <c r="D1964" s="41" t="str">
        <f>IF(Agent10_Loans!B176="","",Agent10_Loans!D176)</f>
        <v/>
      </c>
      <c r="E1964" s="43" t="str">
        <f>IF(Agent10_Loans!B176="","",Agent10_Loans!E176)</f>
        <v/>
      </c>
      <c r="F1964" s="40" t="str">
        <f>IF(Agent10_Loans!B176="","",Agent10_Loans!F176)</f>
        <v/>
      </c>
      <c r="G1964" s="40" t="str">
        <f>IF(Agent10_Loans!B176="","",Agent10_Loans!G176)</f>
        <v/>
      </c>
      <c r="H1964" s="40" t="str">
        <f>IF(Agent10_Loans!B176="","",Agent10_Loans!H176)</f>
        <v/>
      </c>
      <c r="I1964" s="43" t="str">
        <f>IF(Agent10_Loans!B176="","",Agent10_Loans!I176)</f>
        <v/>
      </c>
      <c r="J1964" s="43" t="str">
        <f>IF(Agent10_Loans!B176="","",Agent10_Loans!J176)</f>
        <v/>
      </c>
      <c r="K1964" s="40" t="str">
        <f>IF(Agent10_Loans!B176="","",Agent10_Loans!K176)</f>
        <v/>
      </c>
      <c r="L1964" s="40" t="str">
        <f>IF(Agent10_Loans!B176="","",Agent10_Loans!L176)</f>
        <v/>
      </c>
      <c r="M1964" s="40" t="str">
        <f>IFERROR(IF(Agent10_Loans!B176="","",YEAR(Agent10_Loans!D176)),"")</f>
        <v/>
      </c>
    </row>
    <row r="1965" spans="1:13" ht="18" customHeight="1" x14ac:dyDescent="0.25">
      <c r="A1965" s="40" t="str">
        <f>IF(Agent10_Loans!B177="","",Agent10_Loans!A177)</f>
        <v/>
      </c>
      <c r="B1965" s="40" t="str">
        <f>IF(Agent10_Loans!B177="","",Agent10_Loans!B177)</f>
        <v/>
      </c>
      <c r="C1965" s="40" t="str">
        <f>IF(Agent10_Loans!B177="","",Agent10_Loans!C177)</f>
        <v/>
      </c>
      <c r="D1965" s="41" t="str">
        <f>IF(Agent10_Loans!B177="","",Agent10_Loans!D177)</f>
        <v/>
      </c>
      <c r="E1965" s="43" t="str">
        <f>IF(Agent10_Loans!B177="","",Agent10_Loans!E177)</f>
        <v/>
      </c>
      <c r="F1965" s="40" t="str">
        <f>IF(Agent10_Loans!B177="","",Agent10_Loans!F177)</f>
        <v/>
      </c>
      <c r="G1965" s="40" t="str">
        <f>IF(Agent10_Loans!B177="","",Agent10_Loans!G177)</f>
        <v/>
      </c>
      <c r="H1965" s="40" t="str">
        <f>IF(Agent10_Loans!B177="","",Agent10_Loans!H177)</f>
        <v/>
      </c>
      <c r="I1965" s="43" t="str">
        <f>IF(Agent10_Loans!B177="","",Agent10_Loans!I177)</f>
        <v/>
      </c>
      <c r="J1965" s="43" t="str">
        <f>IF(Agent10_Loans!B177="","",Agent10_Loans!J177)</f>
        <v/>
      </c>
      <c r="K1965" s="40" t="str">
        <f>IF(Agent10_Loans!B177="","",Agent10_Loans!K177)</f>
        <v/>
      </c>
      <c r="L1965" s="40" t="str">
        <f>IF(Agent10_Loans!B177="","",Agent10_Loans!L177)</f>
        <v/>
      </c>
      <c r="M1965" s="40" t="str">
        <f>IFERROR(IF(Agent10_Loans!B177="","",YEAR(Agent10_Loans!D177)),"")</f>
        <v/>
      </c>
    </row>
    <row r="1966" spans="1:13" ht="18" customHeight="1" x14ac:dyDescent="0.25">
      <c r="A1966" s="40" t="str">
        <f>IF(Agent10_Loans!B178="","",Agent10_Loans!A178)</f>
        <v/>
      </c>
      <c r="B1966" s="40" t="str">
        <f>IF(Agent10_Loans!B178="","",Agent10_Loans!B178)</f>
        <v/>
      </c>
      <c r="C1966" s="40" t="str">
        <f>IF(Agent10_Loans!B178="","",Agent10_Loans!C178)</f>
        <v/>
      </c>
      <c r="D1966" s="41" t="str">
        <f>IF(Agent10_Loans!B178="","",Agent10_Loans!D178)</f>
        <v/>
      </c>
      <c r="E1966" s="43" t="str">
        <f>IF(Agent10_Loans!B178="","",Agent10_Loans!E178)</f>
        <v/>
      </c>
      <c r="F1966" s="40" t="str">
        <f>IF(Agent10_Loans!B178="","",Agent10_Loans!F178)</f>
        <v/>
      </c>
      <c r="G1966" s="40" t="str">
        <f>IF(Agent10_Loans!B178="","",Agent10_Loans!G178)</f>
        <v/>
      </c>
      <c r="H1966" s="40" t="str">
        <f>IF(Agent10_Loans!B178="","",Agent10_Loans!H178)</f>
        <v/>
      </c>
      <c r="I1966" s="43" t="str">
        <f>IF(Agent10_Loans!B178="","",Agent10_Loans!I178)</f>
        <v/>
      </c>
      <c r="J1966" s="43" t="str">
        <f>IF(Agent10_Loans!B178="","",Agent10_Loans!J178)</f>
        <v/>
      </c>
      <c r="K1966" s="40" t="str">
        <f>IF(Agent10_Loans!B178="","",Agent10_Loans!K178)</f>
        <v/>
      </c>
      <c r="L1966" s="40" t="str">
        <f>IF(Agent10_Loans!B178="","",Agent10_Loans!L178)</f>
        <v/>
      </c>
      <c r="M1966" s="40" t="str">
        <f>IFERROR(IF(Agent10_Loans!B178="","",YEAR(Agent10_Loans!D178)),"")</f>
        <v/>
      </c>
    </row>
    <row r="1967" spans="1:13" ht="18" customHeight="1" x14ac:dyDescent="0.25">
      <c r="A1967" s="40" t="str">
        <f>IF(Agent10_Loans!B179="","",Agent10_Loans!A179)</f>
        <v/>
      </c>
      <c r="B1967" s="40" t="str">
        <f>IF(Agent10_Loans!B179="","",Agent10_Loans!B179)</f>
        <v/>
      </c>
      <c r="C1967" s="40" t="str">
        <f>IF(Agent10_Loans!B179="","",Agent10_Loans!C179)</f>
        <v/>
      </c>
      <c r="D1967" s="41" t="str">
        <f>IF(Agent10_Loans!B179="","",Agent10_Loans!D179)</f>
        <v/>
      </c>
      <c r="E1967" s="43" t="str">
        <f>IF(Agent10_Loans!B179="","",Agent10_Loans!E179)</f>
        <v/>
      </c>
      <c r="F1967" s="40" t="str">
        <f>IF(Agent10_Loans!B179="","",Agent10_Loans!F179)</f>
        <v/>
      </c>
      <c r="G1967" s="40" t="str">
        <f>IF(Agent10_Loans!B179="","",Agent10_Loans!G179)</f>
        <v/>
      </c>
      <c r="H1967" s="40" t="str">
        <f>IF(Agent10_Loans!B179="","",Agent10_Loans!H179)</f>
        <v/>
      </c>
      <c r="I1967" s="43" t="str">
        <f>IF(Agent10_Loans!B179="","",Agent10_Loans!I179)</f>
        <v/>
      </c>
      <c r="J1967" s="43" t="str">
        <f>IF(Agent10_Loans!B179="","",Agent10_Loans!J179)</f>
        <v/>
      </c>
      <c r="K1967" s="40" t="str">
        <f>IF(Agent10_Loans!B179="","",Agent10_Loans!K179)</f>
        <v/>
      </c>
      <c r="L1967" s="40" t="str">
        <f>IF(Agent10_Loans!B179="","",Agent10_Loans!L179)</f>
        <v/>
      </c>
      <c r="M1967" s="40" t="str">
        <f>IFERROR(IF(Agent10_Loans!B179="","",YEAR(Agent10_Loans!D179)),"")</f>
        <v/>
      </c>
    </row>
    <row r="1968" spans="1:13" ht="18" customHeight="1" x14ac:dyDescent="0.25">
      <c r="A1968" s="40" t="str">
        <f>IF(Agent10_Loans!B180="","",Agent10_Loans!A180)</f>
        <v/>
      </c>
      <c r="B1968" s="40" t="str">
        <f>IF(Agent10_Loans!B180="","",Agent10_Loans!B180)</f>
        <v/>
      </c>
      <c r="C1968" s="40" t="str">
        <f>IF(Agent10_Loans!B180="","",Agent10_Loans!C180)</f>
        <v/>
      </c>
      <c r="D1968" s="41" t="str">
        <f>IF(Agent10_Loans!B180="","",Agent10_Loans!D180)</f>
        <v/>
      </c>
      <c r="E1968" s="43" t="str">
        <f>IF(Agent10_Loans!B180="","",Agent10_Loans!E180)</f>
        <v/>
      </c>
      <c r="F1968" s="40" t="str">
        <f>IF(Agent10_Loans!B180="","",Agent10_Loans!F180)</f>
        <v/>
      </c>
      <c r="G1968" s="40" t="str">
        <f>IF(Agent10_Loans!B180="","",Agent10_Loans!G180)</f>
        <v/>
      </c>
      <c r="H1968" s="40" t="str">
        <f>IF(Agent10_Loans!B180="","",Agent10_Loans!H180)</f>
        <v/>
      </c>
      <c r="I1968" s="43" t="str">
        <f>IF(Agent10_Loans!B180="","",Agent10_Loans!I180)</f>
        <v/>
      </c>
      <c r="J1968" s="43" t="str">
        <f>IF(Agent10_Loans!B180="","",Agent10_Loans!J180)</f>
        <v/>
      </c>
      <c r="K1968" s="40" t="str">
        <f>IF(Agent10_Loans!B180="","",Agent10_Loans!K180)</f>
        <v/>
      </c>
      <c r="L1968" s="40" t="str">
        <f>IF(Agent10_Loans!B180="","",Agent10_Loans!L180)</f>
        <v/>
      </c>
      <c r="M1968" s="40" t="str">
        <f>IFERROR(IF(Agent10_Loans!B180="","",YEAR(Agent10_Loans!D180)),"")</f>
        <v/>
      </c>
    </row>
    <row r="1969" spans="1:13" ht="18" customHeight="1" x14ac:dyDescent="0.25">
      <c r="A1969" s="40" t="str">
        <f>IF(Agent10_Loans!B181="","",Agent10_Loans!A181)</f>
        <v/>
      </c>
      <c r="B1969" s="40" t="str">
        <f>IF(Agent10_Loans!B181="","",Agent10_Loans!B181)</f>
        <v/>
      </c>
      <c r="C1969" s="40" t="str">
        <f>IF(Agent10_Loans!B181="","",Agent10_Loans!C181)</f>
        <v/>
      </c>
      <c r="D1969" s="41" t="str">
        <f>IF(Agent10_Loans!B181="","",Agent10_Loans!D181)</f>
        <v/>
      </c>
      <c r="E1969" s="43" t="str">
        <f>IF(Agent10_Loans!B181="","",Agent10_Loans!E181)</f>
        <v/>
      </c>
      <c r="F1969" s="40" t="str">
        <f>IF(Agent10_Loans!B181="","",Agent10_Loans!F181)</f>
        <v/>
      </c>
      <c r="G1969" s="40" t="str">
        <f>IF(Agent10_Loans!B181="","",Agent10_Loans!G181)</f>
        <v/>
      </c>
      <c r="H1969" s="40" t="str">
        <f>IF(Agent10_Loans!B181="","",Agent10_Loans!H181)</f>
        <v/>
      </c>
      <c r="I1969" s="43" t="str">
        <f>IF(Agent10_Loans!B181="","",Agent10_Loans!I181)</f>
        <v/>
      </c>
      <c r="J1969" s="43" t="str">
        <f>IF(Agent10_Loans!B181="","",Agent10_Loans!J181)</f>
        <v/>
      </c>
      <c r="K1969" s="40" t="str">
        <f>IF(Agent10_Loans!B181="","",Agent10_Loans!K181)</f>
        <v/>
      </c>
      <c r="L1969" s="40" t="str">
        <f>IF(Agent10_Loans!B181="","",Agent10_Loans!L181)</f>
        <v/>
      </c>
      <c r="M1969" s="40" t="str">
        <f>IFERROR(IF(Agent10_Loans!B181="","",YEAR(Agent10_Loans!D181)),"")</f>
        <v/>
      </c>
    </row>
    <row r="1970" spans="1:13" ht="18" customHeight="1" x14ac:dyDescent="0.25">
      <c r="A1970" s="40" t="str">
        <f>IF(Agent10_Loans!B182="","",Agent10_Loans!A182)</f>
        <v/>
      </c>
      <c r="B1970" s="40" t="str">
        <f>IF(Agent10_Loans!B182="","",Agent10_Loans!B182)</f>
        <v/>
      </c>
      <c r="C1970" s="40" t="str">
        <f>IF(Agent10_Loans!B182="","",Agent10_Loans!C182)</f>
        <v/>
      </c>
      <c r="D1970" s="41" t="str">
        <f>IF(Agent10_Loans!B182="","",Agent10_Loans!D182)</f>
        <v/>
      </c>
      <c r="E1970" s="43" t="str">
        <f>IF(Agent10_Loans!B182="","",Agent10_Loans!E182)</f>
        <v/>
      </c>
      <c r="F1970" s="40" t="str">
        <f>IF(Agent10_Loans!B182="","",Agent10_Loans!F182)</f>
        <v/>
      </c>
      <c r="G1970" s="40" t="str">
        <f>IF(Agent10_Loans!B182="","",Agent10_Loans!G182)</f>
        <v/>
      </c>
      <c r="H1970" s="40" t="str">
        <f>IF(Agent10_Loans!B182="","",Agent10_Loans!H182)</f>
        <v/>
      </c>
      <c r="I1970" s="43" t="str">
        <f>IF(Agent10_Loans!B182="","",Agent10_Loans!I182)</f>
        <v/>
      </c>
      <c r="J1970" s="43" t="str">
        <f>IF(Agent10_Loans!B182="","",Agent10_Loans!J182)</f>
        <v/>
      </c>
      <c r="K1970" s="40" t="str">
        <f>IF(Agent10_Loans!B182="","",Agent10_Loans!K182)</f>
        <v/>
      </c>
      <c r="L1970" s="40" t="str">
        <f>IF(Agent10_Loans!B182="","",Agent10_Loans!L182)</f>
        <v/>
      </c>
      <c r="M1970" s="40" t="str">
        <f>IFERROR(IF(Agent10_Loans!B182="","",YEAR(Agent10_Loans!D182)),"")</f>
        <v/>
      </c>
    </row>
    <row r="1971" spans="1:13" ht="18" customHeight="1" x14ac:dyDescent="0.25">
      <c r="A1971" s="40" t="str">
        <f>IF(Agent10_Loans!B183="","",Agent10_Loans!A183)</f>
        <v/>
      </c>
      <c r="B1971" s="40" t="str">
        <f>IF(Agent10_Loans!B183="","",Agent10_Loans!B183)</f>
        <v/>
      </c>
      <c r="C1971" s="40" t="str">
        <f>IF(Agent10_Loans!B183="","",Agent10_Loans!C183)</f>
        <v/>
      </c>
      <c r="D1971" s="41" t="str">
        <f>IF(Agent10_Loans!B183="","",Agent10_Loans!D183)</f>
        <v/>
      </c>
      <c r="E1971" s="43" t="str">
        <f>IF(Agent10_Loans!B183="","",Agent10_Loans!E183)</f>
        <v/>
      </c>
      <c r="F1971" s="40" t="str">
        <f>IF(Agent10_Loans!B183="","",Agent10_Loans!F183)</f>
        <v/>
      </c>
      <c r="G1971" s="40" t="str">
        <f>IF(Agent10_Loans!B183="","",Agent10_Loans!G183)</f>
        <v/>
      </c>
      <c r="H1971" s="40" t="str">
        <f>IF(Agent10_Loans!B183="","",Agent10_Loans!H183)</f>
        <v/>
      </c>
      <c r="I1971" s="43" t="str">
        <f>IF(Agent10_Loans!B183="","",Agent10_Loans!I183)</f>
        <v/>
      </c>
      <c r="J1971" s="43" t="str">
        <f>IF(Agent10_Loans!B183="","",Agent10_Loans!J183)</f>
        <v/>
      </c>
      <c r="K1971" s="40" t="str">
        <f>IF(Agent10_Loans!B183="","",Agent10_Loans!K183)</f>
        <v/>
      </c>
      <c r="L1971" s="40" t="str">
        <f>IF(Agent10_Loans!B183="","",Agent10_Loans!L183)</f>
        <v/>
      </c>
      <c r="M1971" s="40" t="str">
        <f>IFERROR(IF(Agent10_Loans!B183="","",YEAR(Agent10_Loans!D183)),"")</f>
        <v/>
      </c>
    </row>
    <row r="1972" spans="1:13" ht="18" customHeight="1" x14ac:dyDescent="0.25">
      <c r="A1972" s="40" t="str">
        <f>IF(Agent10_Loans!B184="","",Agent10_Loans!A184)</f>
        <v/>
      </c>
      <c r="B1972" s="40" t="str">
        <f>IF(Agent10_Loans!B184="","",Agent10_Loans!B184)</f>
        <v/>
      </c>
      <c r="C1972" s="40" t="str">
        <f>IF(Agent10_Loans!B184="","",Agent10_Loans!C184)</f>
        <v/>
      </c>
      <c r="D1972" s="41" t="str">
        <f>IF(Agent10_Loans!B184="","",Agent10_Loans!D184)</f>
        <v/>
      </c>
      <c r="E1972" s="43" t="str">
        <f>IF(Agent10_Loans!B184="","",Agent10_Loans!E184)</f>
        <v/>
      </c>
      <c r="F1972" s="40" t="str">
        <f>IF(Agent10_Loans!B184="","",Agent10_Loans!F184)</f>
        <v/>
      </c>
      <c r="G1972" s="40" t="str">
        <f>IF(Agent10_Loans!B184="","",Agent10_Loans!G184)</f>
        <v/>
      </c>
      <c r="H1972" s="40" t="str">
        <f>IF(Agent10_Loans!B184="","",Agent10_Loans!H184)</f>
        <v/>
      </c>
      <c r="I1972" s="43" t="str">
        <f>IF(Agent10_Loans!B184="","",Agent10_Loans!I184)</f>
        <v/>
      </c>
      <c r="J1972" s="43" t="str">
        <f>IF(Agent10_Loans!B184="","",Agent10_Loans!J184)</f>
        <v/>
      </c>
      <c r="K1972" s="40" t="str">
        <f>IF(Agent10_Loans!B184="","",Agent10_Loans!K184)</f>
        <v/>
      </c>
      <c r="L1972" s="40" t="str">
        <f>IF(Agent10_Loans!B184="","",Agent10_Loans!L184)</f>
        <v/>
      </c>
      <c r="M1972" s="40" t="str">
        <f>IFERROR(IF(Agent10_Loans!B184="","",YEAR(Agent10_Loans!D184)),"")</f>
        <v/>
      </c>
    </row>
    <row r="1973" spans="1:13" ht="18" customHeight="1" x14ac:dyDescent="0.25">
      <c r="A1973" s="40" t="str">
        <f>IF(Agent10_Loans!B185="","",Agent10_Loans!A185)</f>
        <v/>
      </c>
      <c r="B1973" s="40" t="str">
        <f>IF(Agent10_Loans!B185="","",Agent10_Loans!B185)</f>
        <v/>
      </c>
      <c r="C1973" s="40" t="str">
        <f>IF(Agent10_Loans!B185="","",Agent10_Loans!C185)</f>
        <v/>
      </c>
      <c r="D1973" s="41" t="str">
        <f>IF(Agent10_Loans!B185="","",Agent10_Loans!D185)</f>
        <v/>
      </c>
      <c r="E1973" s="43" t="str">
        <f>IF(Agent10_Loans!B185="","",Agent10_Loans!E185)</f>
        <v/>
      </c>
      <c r="F1973" s="40" t="str">
        <f>IF(Agent10_Loans!B185="","",Agent10_Loans!F185)</f>
        <v/>
      </c>
      <c r="G1973" s="40" t="str">
        <f>IF(Agent10_Loans!B185="","",Agent10_Loans!G185)</f>
        <v/>
      </c>
      <c r="H1973" s="40" t="str">
        <f>IF(Agent10_Loans!B185="","",Agent10_Loans!H185)</f>
        <v/>
      </c>
      <c r="I1973" s="43" t="str">
        <f>IF(Agent10_Loans!B185="","",Agent10_Loans!I185)</f>
        <v/>
      </c>
      <c r="J1973" s="43" t="str">
        <f>IF(Agent10_Loans!B185="","",Agent10_Loans!J185)</f>
        <v/>
      </c>
      <c r="K1973" s="40" t="str">
        <f>IF(Agent10_Loans!B185="","",Agent10_Loans!K185)</f>
        <v/>
      </c>
      <c r="L1973" s="40" t="str">
        <f>IF(Agent10_Loans!B185="","",Agent10_Loans!L185)</f>
        <v/>
      </c>
      <c r="M1973" s="40" t="str">
        <f>IFERROR(IF(Agent10_Loans!B185="","",YEAR(Agent10_Loans!D185)),"")</f>
        <v/>
      </c>
    </row>
    <row r="1974" spans="1:13" ht="18" customHeight="1" x14ac:dyDescent="0.25">
      <c r="A1974" s="40" t="str">
        <f>IF(Agent10_Loans!B186="","",Agent10_Loans!A186)</f>
        <v/>
      </c>
      <c r="B1974" s="40" t="str">
        <f>IF(Agent10_Loans!B186="","",Agent10_Loans!B186)</f>
        <v/>
      </c>
      <c r="C1974" s="40" t="str">
        <f>IF(Agent10_Loans!B186="","",Agent10_Loans!C186)</f>
        <v/>
      </c>
      <c r="D1974" s="41" t="str">
        <f>IF(Agent10_Loans!B186="","",Agent10_Loans!D186)</f>
        <v/>
      </c>
      <c r="E1974" s="43" t="str">
        <f>IF(Agent10_Loans!B186="","",Agent10_Loans!E186)</f>
        <v/>
      </c>
      <c r="F1974" s="40" t="str">
        <f>IF(Agent10_Loans!B186="","",Agent10_Loans!F186)</f>
        <v/>
      </c>
      <c r="G1974" s="40" t="str">
        <f>IF(Agent10_Loans!B186="","",Agent10_Loans!G186)</f>
        <v/>
      </c>
      <c r="H1974" s="40" t="str">
        <f>IF(Agent10_Loans!B186="","",Agent10_Loans!H186)</f>
        <v/>
      </c>
      <c r="I1974" s="43" t="str">
        <f>IF(Agent10_Loans!B186="","",Agent10_Loans!I186)</f>
        <v/>
      </c>
      <c r="J1974" s="43" t="str">
        <f>IF(Agent10_Loans!B186="","",Agent10_Loans!J186)</f>
        <v/>
      </c>
      <c r="K1974" s="40" t="str">
        <f>IF(Agent10_Loans!B186="","",Agent10_Loans!K186)</f>
        <v/>
      </c>
      <c r="L1974" s="40" t="str">
        <f>IF(Agent10_Loans!B186="","",Agent10_Loans!L186)</f>
        <v/>
      </c>
      <c r="M1974" s="40" t="str">
        <f>IFERROR(IF(Agent10_Loans!B186="","",YEAR(Agent10_Loans!D186)),"")</f>
        <v/>
      </c>
    </row>
    <row r="1975" spans="1:13" ht="18" customHeight="1" x14ac:dyDescent="0.25">
      <c r="A1975" s="40" t="str">
        <f>IF(Agent10_Loans!B187="","",Agent10_Loans!A187)</f>
        <v/>
      </c>
      <c r="B1975" s="40" t="str">
        <f>IF(Agent10_Loans!B187="","",Agent10_Loans!B187)</f>
        <v/>
      </c>
      <c r="C1975" s="40" t="str">
        <f>IF(Agent10_Loans!B187="","",Agent10_Loans!C187)</f>
        <v/>
      </c>
      <c r="D1975" s="41" t="str">
        <f>IF(Agent10_Loans!B187="","",Agent10_Loans!D187)</f>
        <v/>
      </c>
      <c r="E1975" s="43" t="str">
        <f>IF(Agent10_Loans!B187="","",Agent10_Loans!E187)</f>
        <v/>
      </c>
      <c r="F1975" s="40" t="str">
        <f>IF(Agent10_Loans!B187="","",Agent10_Loans!F187)</f>
        <v/>
      </c>
      <c r="G1975" s="40" t="str">
        <f>IF(Agent10_Loans!B187="","",Agent10_Loans!G187)</f>
        <v/>
      </c>
      <c r="H1975" s="40" t="str">
        <f>IF(Agent10_Loans!B187="","",Agent10_Loans!H187)</f>
        <v/>
      </c>
      <c r="I1975" s="43" t="str">
        <f>IF(Agent10_Loans!B187="","",Agent10_Loans!I187)</f>
        <v/>
      </c>
      <c r="J1975" s="43" t="str">
        <f>IF(Agent10_Loans!B187="","",Agent10_Loans!J187)</f>
        <v/>
      </c>
      <c r="K1975" s="40" t="str">
        <f>IF(Agent10_Loans!B187="","",Agent10_Loans!K187)</f>
        <v/>
      </c>
      <c r="L1975" s="40" t="str">
        <f>IF(Agent10_Loans!B187="","",Agent10_Loans!L187)</f>
        <v/>
      </c>
      <c r="M1975" s="40" t="str">
        <f>IFERROR(IF(Agent10_Loans!B187="","",YEAR(Agent10_Loans!D187)),"")</f>
        <v/>
      </c>
    </row>
    <row r="1976" spans="1:13" ht="18" customHeight="1" x14ac:dyDescent="0.25">
      <c r="A1976" s="40" t="str">
        <f>IF(Agent10_Loans!B188="","",Agent10_Loans!A188)</f>
        <v/>
      </c>
      <c r="B1976" s="40" t="str">
        <f>IF(Agent10_Loans!B188="","",Agent10_Loans!B188)</f>
        <v/>
      </c>
      <c r="C1976" s="40" t="str">
        <f>IF(Agent10_Loans!B188="","",Agent10_Loans!C188)</f>
        <v/>
      </c>
      <c r="D1976" s="41" t="str">
        <f>IF(Agent10_Loans!B188="","",Agent10_Loans!D188)</f>
        <v/>
      </c>
      <c r="E1976" s="43" t="str">
        <f>IF(Agent10_Loans!B188="","",Agent10_Loans!E188)</f>
        <v/>
      </c>
      <c r="F1976" s="40" t="str">
        <f>IF(Agent10_Loans!B188="","",Agent10_Loans!F188)</f>
        <v/>
      </c>
      <c r="G1976" s="40" t="str">
        <f>IF(Agent10_Loans!B188="","",Agent10_Loans!G188)</f>
        <v/>
      </c>
      <c r="H1976" s="40" t="str">
        <f>IF(Agent10_Loans!B188="","",Agent10_Loans!H188)</f>
        <v/>
      </c>
      <c r="I1976" s="43" t="str">
        <f>IF(Agent10_Loans!B188="","",Agent10_Loans!I188)</f>
        <v/>
      </c>
      <c r="J1976" s="43" t="str">
        <f>IF(Agent10_Loans!B188="","",Agent10_Loans!J188)</f>
        <v/>
      </c>
      <c r="K1976" s="40" t="str">
        <f>IF(Agent10_Loans!B188="","",Agent10_Loans!K188)</f>
        <v/>
      </c>
      <c r="L1976" s="40" t="str">
        <f>IF(Agent10_Loans!B188="","",Agent10_Loans!L188)</f>
        <v/>
      </c>
      <c r="M1976" s="40" t="str">
        <f>IFERROR(IF(Agent10_Loans!B188="","",YEAR(Agent10_Loans!D188)),"")</f>
        <v/>
      </c>
    </row>
    <row r="1977" spans="1:13" ht="18" customHeight="1" x14ac:dyDescent="0.25">
      <c r="A1977" s="40" t="str">
        <f>IF(Agent10_Loans!B189="","",Agent10_Loans!A189)</f>
        <v/>
      </c>
      <c r="B1977" s="40" t="str">
        <f>IF(Agent10_Loans!B189="","",Agent10_Loans!B189)</f>
        <v/>
      </c>
      <c r="C1977" s="40" t="str">
        <f>IF(Agent10_Loans!B189="","",Agent10_Loans!C189)</f>
        <v/>
      </c>
      <c r="D1977" s="41" t="str">
        <f>IF(Agent10_Loans!B189="","",Agent10_Loans!D189)</f>
        <v/>
      </c>
      <c r="E1977" s="43" t="str">
        <f>IF(Agent10_Loans!B189="","",Agent10_Loans!E189)</f>
        <v/>
      </c>
      <c r="F1977" s="40" t="str">
        <f>IF(Agent10_Loans!B189="","",Agent10_Loans!F189)</f>
        <v/>
      </c>
      <c r="G1977" s="40" t="str">
        <f>IF(Agent10_Loans!B189="","",Agent10_Loans!G189)</f>
        <v/>
      </c>
      <c r="H1977" s="40" t="str">
        <f>IF(Agent10_Loans!B189="","",Agent10_Loans!H189)</f>
        <v/>
      </c>
      <c r="I1977" s="43" t="str">
        <f>IF(Agent10_Loans!B189="","",Agent10_Loans!I189)</f>
        <v/>
      </c>
      <c r="J1977" s="43" t="str">
        <f>IF(Agent10_Loans!B189="","",Agent10_Loans!J189)</f>
        <v/>
      </c>
      <c r="K1977" s="40" t="str">
        <f>IF(Agent10_Loans!B189="","",Agent10_Loans!K189)</f>
        <v/>
      </c>
      <c r="L1977" s="40" t="str">
        <f>IF(Agent10_Loans!B189="","",Agent10_Loans!L189)</f>
        <v/>
      </c>
      <c r="M1977" s="40" t="str">
        <f>IFERROR(IF(Agent10_Loans!B189="","",YEAR(Agent10_Loans!D189)),"")</f>
        <v/>
      </c>
    </row>
    <row r="1978" spans="1:13" ht="18" customHeight="1" x14ac:dyDescent="0.25">
      <c r="A1978" s="40" t="str">
        <f>IF(Agent10_Loans!B190="","",Agent10_Loans!A190)</f>
        <v/>
      </c>
      <c r="B1978" s="40" t="str">
        <f>IF(Agent10_Loans!B190="","",Agent10_Loans!B190)</f>
        <v/>
      </c>
      <c r="C1978" s="40" t="str">
        <f>IF(Agent10_Loans!B190="","",Agent10_Loans!C190)</f>
        <v/>
      </c>
      <c r="D1978" s="41" t="str">
        <f>IF(Agent10_Loans!B190="","",Agent10_Loans!D190)</f>
        <v/>
      </c>
      <c r="E1978" s="43" t="str">
        <f>IF(Agent10_Loans!B190="","",Agent10_Loans!E190)</f>
        <v/>
      </c>
      <c r="F1978" s="40" t="str">
        <f>IF(Agent10_Loans!B190="","",Agent10_Loans!F190)</f>
        <v/>
      </c>
      <c r="G1978" s="40" t="str">
        <f>IF(Agent10_Loans!B190="","",Agent10_Loans!G190)</f>
        <v/>
      </c>
      <c r="H1978" s="40" t="str">
        <f>IF(Agent10_Loans!B190="","",Agent10_Loans!H190)</f>
        <v/>
      </c>
      <c r="I1978" s="43" t="str">
        <f>IF(Agent10_Loans!B190="","",Agent10_Loans!I190)</f>
        <v/>
      </c>
      <c r="J1978" s="43" t="str">
        <f>IF(Agent10_Loans!B190="","",Agent10_Loans!J190)</f>
        <v/>
      </c>
      <c r="K1978" s="40" t="str">
        <f>IF(Agent10_Loans!B190="","",Agent10_Loans!K190)</f>
        <v/>
      </c>
      <c r="L1978" s="40" t="str">
        <f>IF(Agent10_Loans!B190="","",Agent10_Loans!L190)</f>
        <v/>
      </c>
      <c r="M1978" s="40" t="str">
        <f>IFERROR(IF(Agent10_Loans!B190="","",YEAR(Agent10_Loans!D190)),"")</f>
        <v/>
      </c>
    </row>
    <row r="1979" spans="1:13" ht="18" customHeight="1" x14ac:dyDescent="0.25">
      <c r="A1979" s="40" t="str">
        <f>IF(Agent10_Loans!B191="","",Agent10_Loans!A191)</f>
        <v/>
      </c>
      <c r="B1979" s="40" t="str">
        <f>IF(Agent10_Loans!B191="","",Agent10_Loans!B191)</f>
        <v/>
      </c>
      <c r="C1979" s="40" t="str">
        <f>IF(Agent10_Loans!B191="","",Agent10_Loans!C191)</f>
        <v/>
      </c>
      <c r="D1979" s="41" t="str">
        <f>IF(Agent10_Loans!B191="","",Agent10_Loans!D191)</f>
        <v/>
      </c>
      <c r="E1979" s="43" t="str">
        <f>IF(Agent10_Loans!B191="","",Agent10_Loans!E191)</f>
        <v/>
      </c>
      <c r="F1979" s="40" t="str">
        <f>IF(Agent10_Loans!B191="","",Agent10_Loans!F191)</f>
        <v/>
      </c>
      <c r="G1979" s="40" t="str">
        <f>IF(Agent10_Loans!B191="","",Agent10_Loans!G191)</f>
        <v/>
      </c>
      <c r="H1979" s="40" t="str">
        <f>IF(Agent10_Loans!B191="","",Agent10_Loans!H191)</f>
        <v/>
      </c>
      <c r="I1979" s="43" t="str">
        <f>IF(Agent10_Loans!B191="","",Agent10_Loans!I191)</f>
        <v/>
      </c>
      <c r="J1979" s="43" t="str">
        <f>IF(Agent10_Loans!B191="","",Agent10_Loans!J191)</f>
        <v/>
      </c>
      <c r="K1979" s="40" t="str">
        <f>IF(Agent10_Loans!B191="","",Agent10_Loans!K191)</f>
        <v/>
      </c>
      <c r="L1979" s="40" t="str">
        <f>IF(Agent10_Loans!B191="","",Agent10_Loans!L191)</f>
        <v/>
      </c>
      <c r="M1979" s="40" t="str">
        <f>IFERROR(IF(Agent10_Loans!B191="","",YEAR(Agent10_Loans!D191)),"")</f>
        <v/>
      </c>
    </row>
    <row r="1980" spans="1:13" ht="18" customHeight="1" x14ac:dyDescent="0.25">
      <c r="A1980" s="40" t="str">
        <f>IF(Agent10_Loans!B192="","",Agent10_Loans!A192)</f>
        <v/>
      </c>
      <c r="B1980" s="40" t="str">
        <f>IF(Agent10_Loans!B192="","",Agent10_Loans!B192)</f>
        <v/>
      </c>
      <c r="C1980" s="40" t="str">
        <f>IF(Agent10_Loans!B192="","",Agent10_Loans!C192)</f>
        <v/>
      </c>
      <c r="D1980" s="41" t="str">
        <f>IF(Agent10_Loans!B192="","",Agent10_Loans!D192)</f>
        <v/>
      </c>
      <c r="E1980" s="43" t="str">
        <f>IF(Agent10_Loans!B192="","",Agent10_Loans!E192)</f>
        <v/>
      </c>
      <c r="F1980" s="40" t="str">
        <f>IF(Agent10_Loans!B192="","",Agent10_Loans!F192)</f>
        <v/>
      </c>
      <c r="G1980" s="40" t="str">
        <f>IF(Agent10_Loans!B192="","",Agent10_Loans!G192)</f>
        <v/>
      </c>
      <c r="H1980" s="40" t="str">
        <f>IF(Agent10_Loans!B192="","",Agent10_Loans!H192)</f>
        <v/>
      </c>
      <c r="I1980" s="43" t="str">
        <f>IF(Agent10_Loans!B192="","",Agent10_Loans!I192)</f>
        <v/>
      </c>
      <c r="J1980" s="43" t="str">
        <f>IF(Agent10_Loans!B192="","",Agent10_Loans!J192)</f>
        <v/>
      </c>
      <c r="K1980" s="40" t="str">
        <f>IF(Agent10_Loans!B192="","",Agent10_Loans!K192)</f>
        <v/>
      </c>
      <c r="L1980" s="40" t="str">
        <f>IF(Agent10_Loans!B192="","",Agent10_Loans!L192)</f>
        <v/>
      </c>
      <c r="M1980" s="40" t="str">
        <f>IFERROR(IF(Agent10_Loans!B192="","",YEAR(Agent10_Loans!D192)),"")</f>
        <v/>
      </c>
    </row>
    <row r="1981" spans="1:13" ht="18" customHeight="1" x14ac:dyDescent="0.25">
      <c r="A1981" s="40" t="str">
        <f>IF(Agent10_Loans!B193="","",Agent10_Loans!A193)</f>
        <v/>
      </c>
      <c r="B1981" s="40" t="str">
        <f>IF(Agent10_Loans!B193="","",Agent10_Loans!B193)</f>
        <v/>
      </c>
      <c r="C1981" s="40" t="str">
        <f>IF(Agent10_Loans!B193="","",Agent10_Loans!C193)</f>
        <v/>
      </c>
      <c r="D1981" s="41" t="str">
        <f>IF(Agent10_Loans!B193="","",Agent10_Loans!D193)</f>
        <v/>
      </c>
      <c r="E1981" s="43" t="str">
        <f>IF(Agent10_Loans!B193="","",Agent10_Loans!E193)</f>
        <v/>
      </c>
      <c r="F1981" s="40" t="str">
        <f>IF(Agent10_Loans!B193="","",Agent10_Loans!F193)</f>
        <v/>
      </c>
      <c r="G1981" s="40" t="str">
        <f>IF(Agent10_Loans!B193="","",Agent10_Loans!G193)</f>
        <v/>
      </c>
      <c r="H1981" s="40" t="str">
        <f>IF(Agent10_Loans!B193="","",Agent10_Loans!H193)</f>
        <v/>
      </c>
      <c r="I1981" s="43" t="str">
        <f>IF(Agent10_Loans!B193="","",Agent10_Loans!I193)</f>
        <v/>
      </c>
      <c r="J1981" s="43" t="str">
        <f>IF(Agent10_Loans!B193="","",Agent10_Loans!J193)</f>
        <v/>
      </c>
      <c r="K1981" s="40" t="str">
        <f>IF(Agent10_Loans!B193="","",Agent10_Loans!K193)</f>
        <v/>
      </c>
      <c r="L1981" s="40" t="str">
        <f>IF(Agent10_Loans!B193="","",Agent10_Loans!L193)</f>
        <v/>
      </c>
      <c r="M1981" s="40" t="str">
        <f>IFERROR(IF(Agent10_Loans!B193="","",YEAR(Agent10_Loans!D193)),"")</f>
        <v/>
      </c>
    </row>
    <row r="1982" spans="1:13" ht="18" customHeight="1" x14ac:dyDescent="0.25">
      <c r="A1982" s="40" t="str">
        <f>IF(Agent10_Loans!B194="","",Agent10_Loans!A194)</f>
        <v/>
      </c>
      <c r="B1982" s="40" t="str">
        <f>IF(Agent10_Loans!B194="","",Agent10_Loans!B194)</f>
        <v/>
      </c>
      <c r="C1982" s="40" t="str">
        <f>IF(Agent10_Loans!B194="","",Agent10_Loans!C194)</f>
        <v/>
      </c>
      <c r="D1982" s="41" t="str">
        <f>IF(Agent10_Loans!B194="","",Agent10_Loans!D194)</f>
        <v/>
      </c>
      <c r="E1982" s="43" t="str">
        <f>IF(Agent10_Loans!B194="","",Agent10_Loans!E194)</f>
        <v/>
      </c>
      <c r="F1982" s="40" t="str">
        <f>IF(Agent10_Loans!B194="","",Agent10_Loans!F194)</f>
        <v/>
      </c>
      <c r="G1982" s="40" t="str">
        <f>IF(Agent10_Loans!B194="","",Agent10_Loans!G194)</f>
        <v/>
      </c>
      <c r="H1982" s="40" t="str">
        <f>IF(Agent10_Loans!B194="","",Agent10_Loans!H194)</f>
        <v/>
      </c>
      <c r="I1982" s="43" t="str">
        <f>IF(Agent10_Loans!B194="","",Agent10_Loans!I194)</f>
        <v/>
      </c>
      <c r="J1982" s="43" t="str">
        <f>IF(Agent10_Loans!B194="","",Agent10_Loans!J194)</f>
        <v/>
      </c>
      <c r="K1982" s="40" t="str">
        <f>IF(Agent10_Loans!B194="","",Agent10_Loans!K194)</f>
        <v/>
      </c>
      <c r="L1982" s="40" t="str">
        <f>IF(Agent10_Loans!B194="","",Agent10_Loans!L194)</f>
        <v/>
      </c>
      <c r="M1982" s="40" t="str">
        <f>IFERROR(IF(Agent10_Loans!B194="","",YEAR(Agent10_Loans!D194)),"")</f>
        <v/>
      </c>
    </row>
    <row r="1983" spans="1:13" ht="18" customHeight="1" x14ac:dyDescent="0.25">
      <c r="A1983" s="40" t="str">
        <f>IF(Agent10_Loans!B195="","",Agent10_Loans!A195)</f>
        <v/>
      </c>
      <c r="B1983" s="40" t="str">
        <f>IF(Agent10_Loans!B195="","",Agent10_Loans!B195)</f>
        <v/>
      </c>
      <c r="C1983" s="40" t="str">
        <f>IF(Agent10_Loans!B195="","",Agent10_Loans!C195)</f>
        <v/>
      </c>
      <c r="D1983" s="41" t="str">
        <f>IF(Agent10_Loans!B195="","",Agent10_Loans!D195)</f>
        <v/>
      </c>
      <c r="E1983" s="43" t="str">
        <f>IF(Agent10_Loans!B195="","",Agent10_Loans!E195)</f>
        <v/>
      </c>
      <c r="F1983" s="40" t="str">
        <f>IF(Agent10_Loans!B195="","",Agent10_Loans!F195)</f>
        <v/>
      </c>
      <c r="G1983" s="40" t="str">
        <f>IF(Agent10_Loans!B195="","",Agent10_Loans!G195)</f>
        <v/>
      </c>
      <c r="H1983" s="40" t="str">
        <f>IF(Agent10_Loans!B195="","",Agent10_Loans!H195)</f>
        <v/>
      </c>
      <c r="I1983" s="43" t="str">
        <f>IF(Agent10_Loans!B195="","",Agent10_Loans!I195)</f>
        <v/>
      </c>
      <c r="J1983" s="43" t="str">
        <f>IF(Agent10_Loans!B195="","",Agent10_Loans!J195)</f>
        <v/>
      </c>
      <c r="K1983" s="40" t="str">
        <f>IF(Agent10_Loans!B195="","",Agent10_Loans!K195)</f>
        <v/>
      </c>
      <c r="L1983" s="40" t="str">
        <f>IF(Agent10_Loans!B195="","",Agent10_Loans!L195)</f>
        <v/>
      </c>
      <c r="M1983" s="40" t="str">
        <f>IFERROR(IF(Agent10_Loans!B195="","",YEAR(Agent10_Loans!D195)),"")</f>
        <v/>
      </c>
    </row>
    <row r="1984" spans="1:13" ht="18" customHeight="1" x14ac:dyDescent="0.25">
      <c r="A1984" s="40" t="str">
        <f>IF(Agent10_Loans!B196="","",Agent10_Loans!A196)</f>
        <v/>
      </c>
      <c r="B1984" s="40" t="str">
        <f>IF(Agent10_Loans!B196="","",Agent10_Loans!B196)</f>
        <v/>
      </c>
      <c r="C1984" s="40" t="str">
        <f>IF(Agent10_Loans!B196="","",Agent10_Loans!C196)</f>
        <v/>
      </c>
      <c r="D1984" s="41" t="str">
        <f>IF(Agent10_Loans!B196="","",Agent10_Loans!D196)</f>
        <v/>
      </c>
      <c r="E1984" s="43" t="str">
        <f>IF(Agent10_Loans!B196="","",Agent10_Loans!E196)</f>
        <v/>
      </c>
      <c r="F1984" s="40" t="str">
        <f>IF(Agent10_Loans!B196="","",Agent10_Loans!F196)</f>
        <v/>
      </c>
      <c r="G1984" s="40" t="str">
        <f>IF(Agent10_Loans!B196="","",Agent10_Loans!G196)</f>
        <v/>
      </c>
      <c r="H1984" s="40" t="str">
        <f>IF(Agent10_Loans!B196="","",Agent10_Loans!H196)</f>
        <v/>
      </c>
      <c r="I1984" s="43" t="str">
        <f>IF(Agent10_Loans!B196="","",Agent10_Loans!I196)</f>
        <v/>
      </c>
      <c r="J1984" s="43" t="str">
        <f>IF(Agent10_Loans!B196="","",Agent10_Loans!J196)</f>
        <v/>
      </c>
      <c r="K1984" s="40" t="str">
        <f>IF(Agent10_Loans!B196="","",Agent10_Loans!K196)</f>
        <v/>
      </c>
      <c r="L1984" s="40" t="str">
        <f>IF(Agent10_Loans!B196="","",Agent10_Loans!L196)</f>
        <v/>
      </c>
      <c r="M1984" s="40" t="str">
        <f>IFERROR(IF(Agent10_Loans!B196="","",YEAR(Agent10_Loans!D196)),"")</f>
        <v/>
      </c>
    </row>
    <row r="1985" spans="1:13" ht="18" customHeight="1" x14ac:dyDescent="0.25">
      <c r="A1985" s="40" t="str">
        <f>IF(Agent10_Loans!B197="","",Agent10_Loans!A197)</f>
        <v/>
      </c>
      <c r="B1985" s="40" t="str">
        <f>IF(Agent10_Loans!B197="","",Agent10_Loans!B197)</f>
        <v/>
      </c>
      <c r="C1985" s="40" t="str">
        <f>IF(Agent10_Loans!B197="","",Agent10_Loans!C197)</f>
        <v/>
      </c>
      <c r="D1985" s="41" t="str">
        <f>IF(Agent10_Loans!B197="","",Agent10_Loans!D197)</f>
        <v/>
      </c>
      <c r="E1985" s="43" t="str">
        <f>IF(Agent10_Loans!B197="","",Agent10_Loans!E197)</f>
        <v/>
      </c>
      <c r="F1985" s="40" t="str">
        <f>IF(Agent10_Loans!B197="","",Agent10_Loans!F197)</f>
        <v/>
      </c>
      <c r="G1985" s="40" t="str">
        <f>IF(Agent10_Loans!B197="","",Agent10_Loans!G197)</f>
        <v/>
      </c>
      <c r="H1985" s="40" t="str">
        <f>IF(Agent10_Loans!B197="","",Agent10_Loans!H197)</f>
        <v/>
      </c>
      <c r="I1985" s="43" t="str">
        <f>IF(Agent10_Loans!B197="","",Agent10_Loans!I197)</f>
        <v/>
      </c>
      <c r="J1985" s="43" t="str">
        <f>IF(Agent10_Loans!B197="","",Agent10_Loans!J197)</f>
        <v/>
      </c>
      <c r="K1985" s="40" t="str">
        <f>IF(Agent10_Loans!B197="","",Agent10_Loans!K197)</f>
        <v/>
      </c>
      <c r="L1985" s="40" t="str">
        <f>IF(Agent10_Loans!B197="","",Agent10_Loans!L197)</f>
        <v/>
      </c>
      <c r="M1985" s="40" t="str">
        <f>IFERROR(IF(Agent10_Loans!B197="","",YEAR(Agent10_Loans!D197)),"")</f>
        <v/>
      </c>
    </row>
    <row r="1986" spans="1:13" ht="18" customHeight="1" x14ac:dyDescent="0.25">
      <c r="A1986" s="40" t="str">
        <f>IF(Agent10_Loans!B198="","",Agent10_Loans!A198)</f>
        <v/>
      </c>
      <c r="B1986" s="40" t="str">
        <f>IF(Agent10_Loans!B198="","",Agent10_Loans!B198)</f>
        <v/>
      </c>
      <c r="C1986" s="40" t="str">
        <f>IF(Agent10_Loans!B198="","",Agent10_Loans!C198)</f>
        <v/>
      </c>
      <c r="D1986" s="41" t="str">
        <f>IF(Agent10_Loans!B198="","",Agent10_Loans!D198)</f>
        <v/>
      </c>
      <c r="E1986" s="43" t="str">
        <f>IF(Agent10_Loans!B198="","",Agent10_Loans!E198)</f>
        <v/>
      </c>
      <c r="F1986" s="40" t="str">
        <f>IF(Agent10_Loans!B198="","",Agent10_Loans!F198)</f>
        <v/>
      </c>
      <c r="G1986" s="40" t="str">
        <f>IF(Agent10_Loans!B198="","",Agent10_Loans!G198)</f>
        <v/>
      </c>
      <c r="H1986" s="40" t="str">
        <f>IF(Agent10_Loans!B198="","",Agent10_Loans!H198)</f>
        <v/>
      </c>
      <c r="I1986" s="43" t="str">
        <f>IF(Agent10_Loans!B198="","",Agent10_Loans!I198)</f>
        <v/>
      </c>
      <c r="J1986" s="43" t="str">
        <f>IF(Agent10_Loans!B198="","",Agent10_Loans!J198)</f>
        <v/>
      </c>
      <c r="K1986" s="40" t="str">
        <f>IF(Agent10_Loans!B198="","",Agent10_Loans!K198)</f>
        <v/>
      </c>
      <c r="L1986" s="40" t="str">
        <f>IF(Agent10_Loans!B198="","",Agent10_Loans!L198)</f>
        <v/>
      </c>
      <c r="M1986" s="40" t="str">
        <f>IFERROR(IF(Agent10_Loans!B198="","",YEAR(Agent10_Loans!D198)),"")</f>
        <v/>
      </c>
    </row>
    <row r="1987" spans="1:13" ht="18" customHeight="1" x14ac:dyDescent="0.25">
      <c r="A1987" s="40" t="str">
        <f>IF(Agent10_Loans!B199="","",Agent10_Loans!A199)</f>
        <v/>
      </c>
      <c r="B1987" s="40" t="str">
        <f>IF(Agent10_Loans!B199="","",Agent10_Loans!B199)</f>
        <v/>
      </c>
      <c r="C1987" s="40" t="str">
        <f>IF(Agent10_Loans!B199="","",Agent10_Loans!C199)</f>
        <v/>
      </c>
      <c r="D1987" s="41" t="str">
        <f>IF(Agent10_Loans!B199="","",Agent10_Loans!D199)</f>
        <v/>
      </c>
      <c r="E1987" s="43" t="str">
        <f>IF(Agent10_Loans!B199="","",Agent10_Loans!E199)</f>
        <v/>
      </c>
      <c r="F1987" s="40" t="str">
        <f>IF(Agent10_Loans!B199="","",Agent10_Loans!F199)</f>
        <v/>
      </c>
      <c r="G1987" s="40" t="str">
        <f>IF(Agent10_Loans!B199="","",Agent10_Loans!G199)</f>
        <v/>
      </c>
      <c r="H1987" s="40" t="str">
        <f>IF(Agent10_Loans!B199="","",Agent10_Loans!H199)</f>
        <v/>
      </c>
      <c r="I1987" s="43" t="str">
        <f>IF(Agent10_Loans!B199="","",Agent10_Loans!I199)</f>
        <v/>
      </c>
      <c r="J1987" s="43" t="str">
        <f>IF(Agent10_Loans!B199="","",Agent10_Loans!J199)</f>
        <v/>
      </c>
      <c r="K1987" s="40" t="str">
        <f>IF(Agent10_Loans!B199="","",Agent10_Loans!K199)</f>
        <v/>
      </c>
      <c r="L1987" s="40" t="str">
        <f>IF(Agent10_Loans!B199="","",Agent10_Loans!L199)</f>
        <v/>
      </c>
      <c r="M1987" s="40" t="str">
        <f>IFERROR(IF(Agent10_Loans!B199="","",YEAR(Agent10_Loans!D199)),"")</f>
        <v/>
      </c>
    </row>
    <row r="1988" spans="1:13" ht="18" customHeight="1" x14ac:dyDescent="0.25">
      <c r="A1988" s="40" t="str">
        <f>IF(Agent10_Loans!B200="","",Agent10_Loans!A200)</f>
        <v/>
      </c>
      <c r="B1988" s="40" t="str">
        <f>IF(Agent10_Loans!B200="","",Agent10_Loans!B200)</f>
        <v/>
      </c>
      <c r="C1988" s="40" t="str">
        <f>IF(Agent10_Loans!B200="","",Agent10_Loans!C200)</f>
        <v/>
      </c>
      <c r="D1988" s="41" t="str">
        <f>IF(Agent10_Loans!B200="","",Agent10_Loans!D200)</f>
        <v/>
      </c>
      <c r="E1988" s="43" t="str">
        <f>IF(Agent10_Loans!B200="","",Agent10_Loans!E200)</f>
        <v/>
      </c>
      <c r="F1988" s="40" t="str">
        <f>IF(Agent10_Loans!B200="","",Agent10_Loans!F200)</f>
        <v/>
      </c>
      <c r="G1988" s="40" t="str">
        <f>IF(Agent10_Loans!B200="","",Agent10_Loans!G200)</f>
        <v/>
      </c>
      <c r="H1988" s="40" t="str">
        <f>IF(Agent10_Loans!B200="","",Agent10_Loans!H200)</f>
        <v/>
      </c>
      <c r="I1988" s="43" t="str">
        <f>IF(Agent10_Loans!B200="","",Agent10_Loans!I200)</f>
        <v/>
      </c>
      <c r="J1988" s="43" t="str">
        <f>IF(Agent10_Loans!B200="","",Agent10_Loans!J200)</f>
        <v/>
      </c>
      <c r="K1988" s="40" t="str">
        <f>IF(Agent10_Loans!B200="","",Agent10_Loans!K200)</f>
        <v/>
      </c>
      <c r="L1988" s="40" t="str">
        <f>IF(Agent10_Loans!B200="","",Agent10_Loans!L200)</f>
        <v/>
      </c>
      <c r="M1988" s="40" t="str">
        <f>IFERROR(IF(Agent10_Loans!B200="","",YEAR(Agent10_Loans!D200)),"")</f>
        <v/>
      </c>
    </row>
    <row r="1989" spans="1:13" ht="18" customHeight="1" x14ac:dyDescent="0.25">
      <c r="A1989" s="40" t="str">
        <f>IF(Agent10_Loans!B201="","",Agent10_Loans!A201)</f>
        <v/>
      </c>
      <c r="B1989" s="40" t="str">
        <f>IF(Agent10_Loans!B201="","",Agent10_Loans!B201)</f>
        <v/>
      </c>
      <c r="C1989" s="40" t="str">
        <f>IF(Agent10_Loans!B201="","",Agent10_Loans!C201)</f>
        <v/>
      </c>
      <c r="D1989" s="41" t="str">
        <f>IF(Agent10_Loans!B201="","",Agent10_Loans!D201)</f>
        <v/>
      </c>
      <c r="E1989" s="43" t="str">
        <f>IF(Agent10_Loans!B201="","",Agent10_Loans!E201)</f>
        <v/>
      </c>
      <c r="F1989" s="40" t="str">
        <f>IF(Agent10_Loans!B201="","",Agent10_Loans!F201)</f>
        <v/>
      </c>
      <c r="G1989" s="40" t="str">
        <f>IF(Agent10_Loans!B201="","",Agent10_Loans!G201)</f>
        <v/>
      </c>
      <c r="H1989" s="40" t="str">
        <f>IF(Agent10_Loans!B201="","",Agent10_Loans!H201)</f>
        <v/>
      </c>
      <c r="I1989" s="43" t="str">
        <f>IF(Agent10_Loans!B201="","",Agent10_Loans!I201)</f>
        <v/>
      </c>
      <c r="J1989" s="43" t="str">
        <f>IF(Agent10_Loans!B201="","",Agent10_Loans!J201)</f>
        <v/>
      </c>
      <c r="K1989" s="40" t="str">
        <f>IF(Agent10_Loans!B201="","",Agent10_Loans!K201)</f>
        <v/>
      </c>
      <c r="L1989" s="40" t="str">
        <f>IF(Agent10_Loans!B201="","",Agent10_Loans!L201)</f>
        <v/>
      </c>
      <c r="M1989" s="40" t="str">
        <f>IFERROR(IF(Agent10_Loans!B201="","",YEAR(Agent10_Loans!D201)),"")</f>
        <v/>
      </c>
    </row>
    <row r="1990" spans="1:13" ht="18" customHeight="1" x14ac:dyDescent="0.25">
      <c r="A1990" s="40" t="str">
        <f>IF(Agent10_Loans!B202="","",Agent10_Loans!A202)</f>
        <v/>
      </c>
      <c r="B1990" s="40" t="str">
        <f>IF(Agent10_Loans!B202="","",Agent10_Loans!B202)</f>
        <v/>
      </c>
      <c r="C1990" s="40" t="str">
        <f>IF(Agent10_Loans!B202="","",Agent10_Loans!C202)</f>
        <v/>
      </c>
      <c r="D1990" s="41" t="str">
        <f>IF(Agent10_Loans!B202="","",Agent10_Loans!D202)</f>
        <v/>
      </c>
      <c r="E1990" s="43" t="str">
        <f>IF(Agent10_Loans!B202="","",Agent10_Loans!E202)</f>
        <v/>
      </c>
      <c r="F1990" s="40" t="str">
        <f>IF(Agent10_Loans!B202="","",Agent10_Loans!F202)</f>
        <v/>
      </c>
      <c r="G1990" s="40" t="str">
        <f>IF(Agent10_Loans!B202="","",Agent10_Loans!G202)</f>
        <v/>
      </c>
      <c r="H1990" s="40" t="str">
        <f>IF(Agent10_Loans!B202="","",Agent10_Loans!H202)</f>
        <v/>
      </c>
      <c r="I1990" s="43" t="str">
        <f>IF(Agent10_Loans!B202="","",Agent10_Loans!I202)</f>
        <v/>
      </c>
      <c r="J1990" s="43" t="str">
        <f>IF(Agent10_Loans!B202="","",Agent10_Loans!J202)</f>
        <v/>
      </c>
      <c r="K1990" s="40" t="str">
        <f>IF(Agent10_Loans!B202="","",Agent10_Loans!K202)</f>
        <v/>
      </c>
      <c r="L1990" s="40" t="str">
        <f>IF(Agent10_Loans!B202="","",Agent10_Loans!L202)</f>
        <v/>
      </c>
      <c r="M1990" s="40" t="str">
        <f>IFERROR(IF(Agent10_Loans!B202="","",YEAR(Agent10_Loans!D202)),"")</f>
        <v/>
      </c>
    </row>
    <row r="1991" spans="1:13" ht="18" customHeight="1" x14ac:dyDescent="0.25">
      <c r="A1991" s="40" t="str">
        <f>IF(Agent10_Loans!B203="","",Agent10_Loans!A203)</f>
        <v/>
      </c>
      <c r="B1991" s="40" t="str">
        <f>IF(Agent10_Loans!B203="","",Agent10_Loans!B203)</f>
        <v/>
      </c>
      <c r="C1991" s="40" t="str">
        <f>IF(Agent10_Loans!B203="","",Agent10_Loans!C203)</f>
        <v/>
      </c>
      <c r="D1991" s="41" t="str">
        <f>IF(Agent10_Loans!B203="","",Agent10_Loans!D203)</f>
        <v/>
      </c>
      <c r="E1991" s="43" t="str">
        <f>IF(Agent10_Loans!B203="","",Agent10_Loans!E203)</f>
        <v/>
      </c>
      <c r="F1991" s="40" t="str">
        <f>IF(Agent10_Loans!B203="","",Agent10_Loans!F203)</f>
        <v/>
      </c>
      <c r="G1991" s="40" t="str">
        <f>IF(Agent10_Loans!B203="","",Agent10_Loans!G203)</f>
        <v/>
      </c>
      <c r="H1991" s="40" t="str">
        <f>IF(Agent10_Loans!B203="","",Agent10_Loans!H203)</f>
        <v/>
      </c>
      <c r="I1991" s="43" t="str">
        <f>IF(Agent10_Loans!B203="","",Agent10_Loans!I203)</f>
        <v/>
      </c>
      <c r="J1991" s="43" t="str">
        <f>IF(Agent10_Loans!B203="","",Agent10_Loans!J203)</f>
        <v/>
      </c>
      <c r="K1991" s="40" t="str">
        <f>IF(Agent10_Loans!B203="","",Agent10_Loans!K203)</f>
        <v/>
      </c>
      <c r="L1991" s="40" t="str">
        <f>IF(Agent10_Loans!B203="","",Agent10_Loans!L203)</f>
        <v/>
      </c>
      <c r="M1991" s="40" t="str">
        <f>IFERROR(IF(Agent10_Loans!B203="","",YEAR(Agent10_Loans!D203)),"")</f>
        <v/>
      </c>
    </row>
    <row r="1992" spans="1:13" ht="18" customHeight="1" x14ac:dyDescent="0.25">
      <c r="A1992" s="40" t="str">
        <f>IF(Agent10_Loans!B204="","",Agent10_Loans!A204)</f>
        <v/>
      </c>
      <c r="B1992" s="40" t="str">
        <f>IF(Agent10_Loans!B204="","",Agent10_Loans!B204)</f>
        <v/>
      </c>
      <c r="C1992" s="40" t="str">
        <f>IF(Agent10_Loans!B204="","",Agent10_Loans!C204)</f>
        <v/>
      </c>
      <c r="D1992" s="41" t="str">
        <f>IF(Agent10_Loans!B204="","",Agent10_Loans!D204)</f>
        <v/>
      </c>
      <c r="E1992" s="43" t="str">
        <f>IF(Agent10_Loans!B204="","",Agent10_Loans!E204)</f>
        <v/>
      </c>
      <c r="F1992" s="40" t="str">
        <f>IF(Agent10_Loans!B204="","",Agent10_Loans!F204)</f>
        <v/>
      </c>
      <c r="G1992" s="40" t="str">
        <f>IF(Agent10_Loans!B204="","",Agent10_Loans!G204)</f>
        <v/>
      </c>
      <c r="H1992" s="40" t="str">
        <f>IF(Agent10_Loans!B204="","",Agent10_Loans!H204)</f>
        <v/>
      </c>
      <c r="I1992" s="43" t="str">
        <f>IF(Agent10_Loans!B204="","",Agent10_Loans!I204)</f>
        <v/>
      </c>
      <c r="J1992" s="43" t="str">
        <f>IF(Agent10_Loans!B204="","",Agent10_Loans!J204)</f>
        <v/>
      </c>
      <c r="K1992" s="40" t="str">
        <f>IF(Agent10_Loans!B204="","",Agent10_Loans!K204)</f>
        <v/>
      </c>
      <c r="L1992" s="40" t="str">
        <f>IF(Agent10_Loans!B204="","",Agent10_Loans!L204)</f>
        <v/>
      </c>
      <c r="M1992" s="40" t="str">
        <f>IFERROR(IF(Agent10_Loans!B204="","",YEAR(Agent10_Loans!D204)),"")</f>
        <v/>
      </c>
    </row>
    <row r="1993" spans="1:13" ht="18" customHeight="1" x14ac:dyDescent="0.25">
      <c r="A1993" s="40" t="str">
        <f>IF(Agent10_Loans!B205="","",Agent10_Loans!A205)</f>
        <v/>
      </c>
      <c r="B1993" s="40" t="str">
        <f>IF(Agent10_Loans!B205="","",Agent10_Loans!B205)</f>
        <v/>
      </c>
      <c r="C1993" s="40" t="str">
        <f>IF(Agent10_Loans!B205="","",Agent10_Loans!C205)</f>
        <v/>
      </c>
      <c r="D1993" s="41" t="str">
        <f>IF(Agent10_Loans!B205="","",Agent10_Loans!D205)</f>
        <v/>
      </c>
      <c r="E1993" s="43" t="str">
        <f>IF(Agent10_Loans!B205="","",Agent10_Loans!E205)</f>
        <v/>
      </c>
      <c r="F1993" s="40" t="str">
        <f>IF(Agent10_Loans!B205="","",Agent10_Loans!F205)</f>
        <v/>
      </c>
      <c r="G1993" s="40" t="str">
        <f>IF(Agent10_Loans!B205="","",Agent10_Loans!G205)</f>
        <v/>
      </c>
      <c r="H1993" s="40" t="str">
        <f>IF(Agent10_Loans!B205="","",Agent10_Loans!H205)</f>
        <v/>
      </c>
      <c r="I1993" s="43" t="str">
        <f>IF(Agent10_Loans!B205="","",Agent10_Loans!I205)</f>
        <v/>
      </c>
      <c r="J1993" s="43" t="str">
        <f>IF(Agent10_Loans!B205="","",Agent10_Loans!J205)</f>
        <v/>
      </c>
      <c r="K1993" s="40" t="str">
        <f>IF(Agent10_Loans!B205="","",Agent10_Loans!K205)</f>
        <v/>
      </c>
      <c r="L1993" s="40" t="str">
        <f>IF(Agent10_Loans!B205="","",Agent10_Loans!L205)</f>
        <v/>
      </c>
      <c r="M1993" s="40" t="str">
        <f>IFERROR(IF(Agent10_Loans!B205="","",YEAR(Agent10_Loans!D205)),"")</f>
        <v/>
      </c>
    </row>
    <row r="1994" spans="1:13" ht="18" customHeight="1" x14ac:dyDescent="0.25">
      <c r="A1994" s="40" t="str">
        <f>IF(Agent10_Loans!B206="","",Agent10_Loans!A206)</f>
        <v/>
      </c>
      <c r="B1994" s="40" t="str">
        <f>IF(Agent10_Loans!B206="","",Agent10_Loans!B206)</f>
        <v/>
      </c>
      <c r="C1994" s="40" t="str">
        <f>IF(Agent10_Loans!B206="","",Agent10_Loans!C206)</f>
        <v/>
      </c>
      <c r="D1994" s="41" t="str">
        <f>IF(Agent10_Loans!B206="","",Agent10_Loans!D206)</f>
        <v/>
      </c>
      <c r="E1994" s="43" t="str">
        <f>IF(Agent10_Loans!B206="","",Agent10_Loans!E206)</f>
        <v/>
      </c>
      <c r="F1994" s="40" t="str">
        <f>IF(Agent10_Loans!B206="","",Agent10_Loans!F206)</f>
        <v/>
      </c>
      <c r="G1994" s="40" t="str">
        <f>IF(Agent10_Loans!B206="","",Agent10_Loans!G206)</f>
        <v/>
      </c>
      <c r="H1994" s="40" t="str">
        <f>IF(Agent10_Loans!B206="","",Agent10_Loans!H206)</f>
        <v/>
      </c>
      <c r="I1994" s="43" t="str">
        <f>IF(Agent10_Loans!B206="","",Agent10_Loans!I206)</f>
        <v/>
      </c>
      <c r="J1994" s="43" t="str">
        <f>IF(Agent10_Loans!B206="","",Agent10_Loans!J206)</f>
        <v/>
      </c>
      <c r="K1994" s="40" t="str">
        <f>IF(Agent10_Loans!B206="","",Agent10_Loans!K206)</f>
        <v/>
      </c>
      <c r="L1994" s="40" t="str">
        <f>IF(Agent10_Loans!B206="","",Agent10_Loans!L206)</f>
        <v/>
      </c>
      <c r="M1994" s="40" t="str">
        <f>IFERROR(IF(Agent10_Loans!B206="","",YEAR(Agent10_Loans!D206)),"")</f>
        <v/>
      </c>
    </row>
    <row r="1995" spans="1:13" ht="18" customHeight="1" x14ac:dyDescent="0.25">
      <c r="A1995" s="40" t="str">
        <f>IF(Agent10_Loans!B207="","",Agent10_Loans!A207)</f>
        <v/>
      </c>
      <c r="B1995" s="40" t="str">
        <f>IF(Agent10_Loans!B207="","",Agent10_Loans!B207)</f>
        <v/>
      </c>
      <c r="C1995" s="40" t="str">
        <f>IF(Agent10_Loans!B207="","",Agent10_Loans!C207)</f>
        <v/>
      </c>
      <c r="D1995" s="41" t="str">
        <f>IF(Agent10_Loans!B207="","",Agent10_Loans!D207)</f>
        <v/>
      </c>
      <c r="E1995" s="43" t="str">
        <f>IF(Agent10_Loans!B207="","",Agent10_Loans!E207)</f>
        <v/>
      </c>
      <c r="F1995" s="40" t="str">
        <f>IF(Agent10_Loans!B207="","",Agent10_Loans!F207)</f>
        <v/>
      </c>
      <c r="G1995" s="40" t="str">
        <f>IF(Agent10_Loans!B207="","",Agent10_Loans!G207)</f>
        <v/>
      </c>
      <c r="H1995" s="40" t="str">
        <f>IF(Agent10_Loans!B207="","",Agent10_Loans!H207)</f>
        <v/>
      </c>
      <c r="I1995" s="43" t="str">
        <f>IF(Agent10_Loans!B207="","",Agent10_Loans!I207)</f>
        <v/>
      </c>
      <c r="J1995" s="43" t="str">
        <f>IF(Agent10_Loans!B207="","",Agent10_Loans!J207)</f>
        <v/>
      </c>
      <c r="K1995" s="40" t="str">
        <f>IF(Agent10_Loans!B207="","",Agent10_Loans!K207)</f>
        <v/>
      </c>
      <c r="L1995" s="40" t="str">
        <f>IF(Agent10_Loans!B207="","",Agent10_Loans!L207)</f>
        <v/>
      </c>
      <c r="M1995" s="40" t="str">
        <f>IFERROR(IF(Agent10_Loans!B207="","",YEAR(Agent10_Loans!D207)),"")</f>
        <v/>
      </c>
    </row>
    <row r="1996" spans="1:13" ht="18" customHeight="1" x14ac:dyDescent="0.25">
      <c r="A1996" s="40" t="str">
        <f>IF(Agent10_Loans!B208="","",Agent10_Loans!A208)</f>
        <v/>
      </c>
      <c r="B1996" s="40" t="str">
        <f>IF(Agent10_Loans!B208="","",Agent10_Loans!B208)</f>
        <v/>
      </c>
      <c r="C1996" s="40" t="str">
        <f>IF(Agent10_Loans!B208="","",Agent10_Loans!C208)</f>
        <v/>
      </c>
      <c r="D1996" s="41" t="str">
        <f>IF(Agent10_Loans!B208="","",Agent10_Loans!D208)</f>
        <v/>
      </c>
      <c r="E1996" s="43" t="str">
        <f>IF(Agent10_Loans!B208="","",Agent10_Loans!E208)</f>
        <v/>
      </c>
      <c r="F1996" s="40" t="str">
        <f>IF(Agent10_Loans!B208="","",Agent10_Loans!F208)</f>
        <v/>
      </c>
      <c r="G1996" s="40" t="str">
        <f>IF(Agent10_Loans!B208="","",Agent10_Loans!G208)</f>
        <v/>
      </c>
      <c r="H1996" s="40" t="str">
        <f>IF(Agent10_Loans!B208="","",Agent10_Loans!H208)</f>
        <v/>
      </c>
      <c r="I1996" s="43" t="str">
        <f>IF(Agent10_Loans!B208="","",Agent10_Loans!I208)</f>
        <v/>
      </c>
      <c r="J1996" s="43" t="str">
        <f>IF(Agent10_Loans!B208="","",Agent10_Loans!J208)</f>
        <v/>
      </c>
      <c r="K1996" s="40" t="str">
        <f>IF(Agent10_Loans!B208="","",Agent10_Loans!K208)</f>
        <v/>
      </c>
      <c r="L1996" s="40" t="str">
        <f>IF(Agent10_Loans!B208="","",Agent10_Loans!L208)</f>
        <v/>
      </c>
      <c r="M1996" s="40" t="str">
        <f>IFERROR(IF(Agent10_Loans!B208="","",YEAR(Agent10_Loans!D208)),"")</f>
        <v/>
      </c>
    </row>
    <row r="1997" spans="1:13" ht="18" customHeight="1" x14ac:dyDescent="0.25">
      <c r="A1997" s="40" t="str">
        <f>IF(Agent10_Loans!B209="","",Agent10_Loans!A209)</f>
        <v/>
      </c>
      <c r="B1997" s="40" t="str">
        <f>IF(Agent10_Loans!B209="","",Agent10_Loans!B209)</f>
        <v/>
      </c>
      <c r="C1997" s="40" t="str">
        <f>IF(Agent10_Loans!B209="","",Agent10_Loans!C209)</f>
        <v/>
      </c>
      <c r="D1997" s="41" t="str">
        <f>IF(Agent10_Loans!B209="","",Agent10_Loans!D209)</f>
        <v/>
      </c>
      <c r="E1997" s="43" t="str">
        <f>IF(Agent10_Loans!B209="","",Agent10_Loans!E209)</f>
        <v/>
      </c>
      <c r="F1997" s="40" t="str">
        <f>IF(Agent10_Loans!B209="","",Agent10_Loans!F209)</f>
        <v/>
      </c>
      <c r="G1997" s="40" t="str">
        <f>IF(Agent10_Loans!B209="","",Agent10_Loans!G209)</f>
        <v/>
      </c>
      <c r="H1997" s="40" t="str">
        <f>IF(Agent10_Loans!B209="","",Agent10_Loans!H209)</f>
        <v/>
      </c>
      <c r="I1997" s="43" t="str">
        <f>IF(Agent10_Loans!B209="","",Agent10_Loans!I209)</f>
        <v/>
      </c>
      <c r="J1997" s="43" t="str">
        <f>IF(Agent10_Loans!B209="","",Agent10_Loans!J209)</f>
        <v/>
      </c>
      <c r="K1997" s="40" t="str">
        <f>IF(Agent10_Loans!B209="","",Agent10_Loans!K209)</f>
        <v/>
      </c>
      <c r="L1997" s="40" t="str">
        <f>IF(Agent10_Loans!B209="","",Agent10_Loans!L209)</f>
        <v/>
      </c>
      <c r="M1997" s="40" t="str">
        <f>IFERROR(IF(Agent10_Loans!B209="","",YEAR(Agent10_Loans!D209)),"")</f>
        <v/>
      </c>
    </row>
    <row r="1998" spans="1:13" ht="18" customHeight="1" x14ac:dyDescent="0.25">
      <c r="A1998" s="40" t="str">
        <f>IF(Agent10_Loans!B210="","",Agent10_Loans!A210)</f>
        <v/>
      </c>
      <c r="B1998" s="40" t="str">
        <f>IF(Agent10_Loans!B210="","",Agent10_Loans!B210)</f>
        <v/>
      </c>
      <c r="C1998" s="40" t="str">
        <f>IF(Agent10_Loans!B210="","",Agent10_Loans!C210)</f>
        <v/>
      </c>
      <c r="D1998" s="41" t="str">
        <f>IF(Agent10_Loans!B210="","",Agent10_Loans!D210)</f>
        <v/>
      </c>
      <c r="E1998" s="43" t="str">
        <f>IF(Agent10_Loans!B210="","",Agent10_Loans!E210)</f>
        <v/>
      </c>
      <c r="F1998" s="40" t="str">
        <f>IF(Agent10_Loans!B210="","",Agent10_Loans!F210)</f>
        <v/>
      </c>
      <c r="G1998" s="40" t="str">
        <f>IF(Agent10_Loans!B210="","",Agent10_Loans!G210)</f>
        <v/>
      </c>
      <c r="H1998" s="40" t="str">
        <f>IF(Agent10_Loans!B210="","",Agent10_Loans!H210)</f>
        <v/>
      </c>
      <c r="I1998" s="43" t="str">
        <f>IF(Agent10_Loans!B210="","",Agent10_Loans!I210)</f>
        <v/>
      </c>
      <c r="J1998" s="43" t="str">
        <f>IF(Agent10_Loans!B210="","",Agent10_Loans!J210)</f>
        <v/>
      </c>
      <c r="K1998" s="40" t="str">
        <f>IF(Agent10_Loans!B210="","",Agent10_Loans!K210)</f>
        <v/>
      </c>
      <c r="L1998" s="40" t="str">
        <f>IF(Agent10_Loans!B210="","",Agent10_Loans!L210)</f>
        <v/>
      </c>
      <c r="M1998" s="40" t="str">
        <f>IFERROR(IF(Agent10_Loans!B210="","",YEAR(Agent10_Loans!D210)),"")</f>
        <v/>
      </c>
    </row>
    <row r="1999" spans="1:13" ht="18" customHeight="1" x14ac:dyDescent="0.25">
      <c r="A1999" s="40" t="str">
        <f>IF(Agent10_Loans!B211="","",Agent10_Loans!A211)</f>
        <v/>
      </c>
      <c r="B1999" s="40" t="str">
        <f>IF(Agent10_Loans!B211="","",Agent10_Loans!B211)</f>
        <v/>
      </c>
      <c r="C1999" s="40" t="str">
        <f>IF(Agent10_Loans!B211="","",Agent10_Loans!C211)</f>
        <v/>
      </c>
      <c r="D1999" s="41" t="str">
        <f>IF(Agent10_Loans!B211="","",Agent10_Loans!D211)</f>
        <v/>
      </c>
      <c r="E1999" s="43" t="str">
        <f>IF(Agent10_Loans!B211="","",Agent10_Loans!E211)</f>
        <v/>
      </c>
      <c r="F1999" s="40" t="str">
        <f>IF(Agent10_Loans!B211="","",Agent10_Loans!F211)</f>
        <v/>
      </c>
      <c r="G1999" s="40" t="str">
        <f>IF(Agent10_Loans!B211="","",Agent10_Loans!G211)</f>
        <v/>
      </c>
      <c r="H1999" s="40" t="str">
        <f>IF(Agent10_Loans!B211="","",Agent10_Loans!H211)</f>
        <v/>
      </c>
      <c r="I1999" s="43" t="str">
        <f>IF(Agent10_Loans!B211="","",Agent10_Loans!I211)</f>
        <v/>
      </c>
      <c r="J1999" s="43" t="str">
        <f>IF(Agent10_Loans!B211="","",Agent10_Loans!J211)</f>
        <v/>
      </c>
      <c r="K1999" s="40" t="str">
        <f>IF(Agent10_Loans!B211="","",Agent10_Loans!K211)</f>
        <v/>
      </c>
      <c r="L1999" s="40" t="str">
        <f>IF(Agent10_Loans!B211="","",Agent10_Loans!L211)</f>
        <v/>
      </c>
      <c r="M1999" s="40" t="str">
        <f>IFERROR(IF(Agent10_Loans!B211="","",YEAR(Agent10_Loans!D211)),"")</f>
        <v/>
      </c>
    </row>
    <row r="2000" spans="1:13" ht="18" customHeight="1" x14ac:dyDescent="0.25">
      <c r="A2000" s="40" t="str">
        <f>IF(Agent10_Loans!B212="","",Agent10_Loans!A212)</f>
        <v/>
      </c>
      <c r="B2000" s="40" t="str">
        <f>IF(Agent10_Loans!B212="","",Agent10_Loans!B212)</f>
        <v/>
      </c>
      <c r="C2000" s="40" t="str">
        <f>IF(Agent10_Loans!B212="","",Agent10_Loans!C212)</f>
        <v/>
      </c>
      <c r="D2000" s="41" t="str">
        <f>IF(Agent10_Loans!B212="","",Agent10_Loans!D212)</f>
        <v/>
      </c>
      <c r="E2000" s="43" t="str">
        <f>IF(Agent10_Loans!B212="","",Agent10_Loans!E212)</f>
        <v/>
      </c>
      <c r="F2000" s="40" t="str">
        <f>IF(Agent10_Loans!B212="","",Agent10_Loans!F212)</f>
        <v/>
      </c>
      <c r="G2000" s="40" t="str">
        <f>IF(Agent10_Loans!B212="","",Agent10_Loans!G212)</f>
        <v/>
      </c>
      <c r="H2000" s="40" t="str">
        <f>IF(Agent10_Loans!B212="","",Agent10_Loans!H212)</f>
        <v/>
      </c>
      <c r="I2000" s="43" t="str">
        <f>IF(Agent10_Loans!B212="","",Agent10_Loans!I212)</f>
        <v/>
      </c>
      <c r="J2000" s="43" t="str">
        <f>IF(Agent10_Loans!B212="","",Agent10_Loans!J212)</f>
        <v/>
      </c>
      <c r="K2000" s="40" t="str">
        <f>IF(Agent10_Loans!B212="","",Agent10_Loans!K212)</f>
        <v/>
      </c>
      <c r="L2000" s="40" t="str">
        <f>IF(Agent10_Loans!B212="","",Agent10_Loans!L212)</f>
        <v/>
      </c>
      <c r="M2000" s="40" t="str">
        <f>IFERROR(IF(Agent10_Loans!B212="","",YEAR(Agent10_Loans!D212)),"")</f>
        <v/>
      </c>
    </row>
    <row r="2001" spans="1:13" ht="18" customHeight="1" x14ac:dyDescent="0.25">
      <c r="A2001" s="40" t="str">
        <f>IF(Agent10_Loans!B213="","",Agent10_Loans!A213)</f>
        <v/>
      </c>
      <c r="B2001" s="40" t="str">
        <f>IF(Agent10_Loans!B213="","",Agent10_Loans!B213)</f>
        <v/>
      </c>
      <c r="C2001" s="40" t="str">
        <f>IF(Agent10_Loans!B213="","",Agent10_Loans!C213)</f>
        <v/>
      </c>
      <c r="D2001" s="41" t="str">
        <f>IF(Agent10_Loans!B213="","",Agent10_Loans!D213)</f>
        <v/>
      </c>
      <c r="E2001" s="43" t="str">
        <f>IF(Agent10_Loans!B213="","",Agent10_Loans!E213)</f>
        <v/>
      </c>
      <c r="F2001" s="40" t="str">
        <f>IF(Agent10_Loans!B213="","",Agent10_Loans!F213)</f>
        <v/>
      </c>
      <c r="G2001" s="40" t="str">
        <f>IF(Agent10_Loans!B213="","",Agent10_Loans!G213)</f>
        <v/>
      </c>
      <c r="H2001" s="40" t="str">
        <f>IF(Agent10_Loans!B213="","",Agent10_Loans!H213)</f>
        <v/>
      </c>
      <c r="I2001" s="43" t="str">
        <f>IF(Agent10_Loans!B213="","",Agent10_Loans!I213)</f>
        <v/>
      </c>
      <c r="J2001" s="43" t="str">
        <f>IF(Agent10_Loans!B213="","",Agent10_Loans!J213)</f>
        <v/>
      </c>
      <c r="K2001" s="40" t="str">
        <f>IF(Agent10_Loans!B213="","",Agent10_Loans!K213)</f>
        <v/>
      </c>
      <c r="L2001" s="40" t="str">
        <f>IF(Agent10_Loans!B213="","",Agent10_Loans!L213)</f>
        <v/>
      </c>
      <c r="M2001" s="40" t="str">
        <f>IFERROR(IF(Agent10_Loans!B213="","",YEAR(Agent10_Loans!D213)),"")</f>
        <v/>
      </c>
    </row>
    <row r="2002" spans="1:13" ht="18" customHeight="1" x14ac:dyDescent="0.25">
      <c r="A2002" s="40" t="str">
        <f>IF(Agent10_Loans!B214="","",Agent10_Loans!A214)</f>
        <v/>
      </c>
      <c r="B2002" s="40" t="str">
        <f>IF(Agent10_Loans!B214="","",Agent10_Loans!B214)</f>
        <v/>
      </c>
      <c r="C2002" s="40" t="str">
        <f>IF(Agent10_Loans!B214="","",Agent10_Loans!C214)</f>
        <v/>
      </c>
      <c r="D2002" s="41" t="str">
        <f>IF(Agent10_Loans!B214="","",Agent10_Loans!D214)</f>
        <v/>
      </c>
      <c r="E2002" s="43" t="str">
        <f>IF(Agent10_Loans!B214="","",Agent10_Loans!E214)</f>
        <v/>
      </c>
      <c r="F2002" s="40" t="str">
        <f>IF(Agent10_Loans!B214="","",Agent10_Loans!F214)</f>
        <v/>
      </c>
      <c r="G2002" s="40" t="str">
        <f>IF(Agent10_Loans!B214="","",Agent10_Loans!G214)</f>
        <v/>
      </c>
      <c r="H2002" s="40" t="str">
        <f>IF(Agent10_Loans!B214="","",Agent10_Loans!H214)</f>
        <v/>
      </c>
      <c r="I2002" s="43" t="str">
        <f>IF(Agent10_Loans!B214="","",Agent10_Loans!I214)</f>
        <v/>
      </c>
      <c r="J2002" s="43" t="str">
        <f>IF(Agent10_Loans!B214="","",Agent10_Loans!J214)</f>
        <v/>
      </c>
      <c r="K2002" s="40" t="str">
        <f>IF(Agent10_Loans!B214="","",Agent10_Loans!K214)</f>
        <v/>
      </c>
      <c r="L2002" s="40" t="str">
        <f>IF(Agent10_Loans!B214="","",Agent10_Loans!L214)</f>
        <v/>
      </c>
      <c r="M2002" s="40" t="str">
        <f>IFERROR(IF(Agent10_Loans!B214="","",YEAR(Agent10_Loans!D214)),"")</f>
        <v/>
      </c>
    </row>
    <row r="2003" spans="1:13" ht="18" customHeight="1" x14ac:dyDescent="0.25">
      <c r="A2003" s="40" t="str">
        <f>IF(Agent10_Loans!B215="","",Agent10_Loans!A215)</f>
        <v/>
      </c>
      <c r="B2003" s="40" t="str">
        <f>IF(Agent10_Loans!B215="","",Agent10_Loans!B215)</f>
        <v/>
      </c>
      <c r="C2003" s="40" t="str">
        <f>IF(Agent10_Loans!B215="","",Agent10_Loans!C215)</f>
        <v/>
      </c>
      <c r="D2003" s="41" t="str">
        <f>IF(Agent10_Loans!B215="","",Agent10_Loans!D215)</f>
        <v/>
      </c>
      <c r="E2003" s="43" t="str">
        <f>IF(Agent10_Loans!B215="","",Agent10_Loans!E215)</f>
        <v/>
      </c>
      <c r="F2003" s="40" t="str">
        <f>IF(Agent10_Loans!B215="","",Agent10_Loans!F215)</f>
        <v/>
      </c>
      <c r="G2003" s="40" t="str">
        <f>IF(Agent10_Loans!B215="","",Agent10_Loans!G215)</f>
        <v/>
      </c>
      <c r="H2003" s="40" t="str">
        <f>IF(Agent10_Loans!B215="","",Agent10_Loans!H215)</f>
        <v/>
      </c>
      <c r="I2003" s="43" t="str">
        <f>IF(Agent10_Loans!B215="","",Agent10_Loans!I215)</f>
        <v/>
      </c>
      <c r="J2003" s="43" t="str">
        <f>IF(Agent10_Loans!B215="","",Agent10_Loans!J215)</f>
        <v/>
      </c>
      <c r="K2003" s="40" t="str">
        <f>IF(Agent10_Loans!B215="","",Agent10_Loans!K215)</f>
        <v/>
      </c>
      <c r="L2003" s="40" t="str">
        <f>IF(Agent10_Loans!B215="","",Agent10_Loans!L215)</f>
        <v/>
      </c>
      <c r="M2003" s="40" t="str">
        <f>IFERROR(IF(Agent10_Loans!B215="","",YEAR(Agent10_Loans!D215)),"")</f>
        <v/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504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J1"/>
    </sheetView>
  </sheetViews>
  <sheetFormatPr defaultColWidth="8.7109375" defaultRowHeight="15" x14ac:dyDescent="0.25"/>
  <cols>
    <col min="1" max="1" width="14" customWidth="1"/>
    <col min="2" max="2" width="18" customWidth="1"/>
    <col min="3" max="3" width="26" customWidth="1"/>
    <col min="4" max="4" width="22" customWidth="1"/>
    <col min="5" max="5" width="24" customWidth="1"/>
    <col min="6" max="6" width="16" customWidth="1"/>
    <col min="7" max="9" width="28" customWidth="1"/>
    <col min="10" max="10" width="14" customWidth="1"/>
  </cols>
  <sheetData>
    <row r="1" spans="1:10" ht="33.75" customHeight="1" x14ac:dyDescent="0.25">
      <c r="A1" s="106" t="s">
        <v>114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21.75" customHeight="1" x14ac:dyDescent="0.25">
      <c r="A2" s="107" t="s">
        <v>115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9.5" customHeight="1" x14ac:dyDescent="0.25">
      <c r="A3" s="108" t="s">
        <v>116</v>
      </c>
      <c r="B3" s="108"/>
      <c r="C3" s="108"/>
      <c r="D3" s="108"/>
      <c r="E3" s="108"/>
      <c r="F3" s="108"/>
      <c r="G3" s="108"/>
      <c r="H3" s="108"/>
      <c r="I3" s="108"/>
      <c r="J3" s="108"/>
    </row>
    <row r="4" spans="1:10" ht="30" customHeight="1" x14ac:dyDescent="0.25">
      <c r="A4" s="19" t="s">
        <v>117</v>
      </c>
      <c r="B4" s="19" t="s">
        <v>118</v>
      </c>
      <c r="C4" s="19" t="s">
        <v>69</v>
      </c>
      <c r="D4" s="19" t="s">
        <v>119</v>
      </c>
      <c r="E4" s="19" t="s">
        <v>120</v>
      </c>
      <c r="F4" s="19" t="s">
        <v>91</v>
      </c>
      <c r="G4" s="19" t="s">
        <v>121</v>
      </c>
      <c r="H4" s="19" t="s">
        <v>122</v>
      </c>
      <c r="I4" s="19" t="s">
        <v>123</v>
      </c>
      <c r="J4" s="19" t="s">
        <v>45</v>
      </c>
    </row>
    <row r="5" spans="1:10" ht="19.5" customHeight="1" x14ac:dyDescent="0.25">
      <c r="A5" s="31" t="str">
        <f t="shared" ref="A5:A68" si="0">IF(B5="","","TU"&amp;TEXT(ROW()-4,"0000"))</f>
        <v/>
      </c>
      <c r="B5" s="45"/>
      <c r="C5" s="38" t="str">
        <f>IFERROR(IF(B5="","",VLOOKUP(B5,DB_Customers!$A:$B,2,0)),"")</f>
        <v/>
      </c>
      <c r="D5" s="45"/>
      <c r="E5" s="33"/>
      <c r="F5" s="46" t="str">
        <f t="shared" ref="F5:F68" ca="1" si="1">IF(B5="","",TODAY())</f>
        <v/>
      </c>
      <c r="G5" s="32"/>
      <c r="H5" s="47" t="str">
        <f>IFERROR(IF(OR(B5="",E5=""),"",SUMIF(DB_Loans!$B:$B,B5,DB_Loans!$E:$E)+E5),"")</f>
        <v/>
      </c>
      <c r="I5" s="47" t="str">
        <f>IFERROR(IF(OR(B5="",E5=""),"",SUMIF(DB_Loans!$B:$B,B5,DB_Loans!$J:$J)+(E5*0.025)),"")</f>
        <v/>
      </c>
      <c r="J5" s="32"/>
    </row>
    <row r="6" spans="1:10" ht="19.5" customHeight="1" x14ac:dyDescent="0.25">
      <c r="A6" s="31" t="str">
        <f t="shared" si="0"/>
        <v/>
      </c>
      <c r="B6" s="45"/>
      <c r="C6" s="38" t="str">
        <f>IFERROR(IF(B6="","",VLOOKUP(B6,DB_Customers!$A:$B,2,0)),"")</f>
        <v/>
      </c>
      <c r="D6" s="45"/>
      <c r="E6" s="33"/>
      <c r="F6" s="46" t="str">
        <f t="shared" ca="1" si="1"/>
        <v/>
      </c>
      <c r="G6" s="32"/>
      <c r="H6" s="47" t="str">
        <f>IFERROR(IF(OR(B6="",E6=""),"",SUMIF(DB_Loans!$B:$B,B6,DB_Loans!$E:$E)+E6),"")</f>
        <v/>
      </c>
      <c r="I6" s="47" t="str">
        <f>IFERROR(IF(OR(B6="",E6=""),"",SUMIF(DB_Loans!$B:$B,B6,DB_Loans!$J:$J)+(E6*0.025)),"")</f>
        <v/>
      </c>
      <c r="J6" s="32"/>
    </row>
    <row r="7" spans="1:10" ht="19.5" customHeight="1" x14ac:dyDescent="0.25">
      <c r="A7" s="31" t="str">
        <f t="shared" si="0"/>
        <v/>
      </c>
      <c r="B7" s="45"/>
      <c r="C7" s="38" t="str">
        <f>IFERROR(IF(B7="","",VLOOKUP(B7,DB_Customers!$A:$B,2,0)),"")</f>
        <v/>
      </c>
      <c r="D7" s="45"/>
      <c r="E7" s="33"/>
      <c r="F7" s="46" t="str">
        <f t="shared" ca="1" si="1"/>
        <v/>
      </c>
      <c r="G7" s="32"/>
      <c r="H7" s="47" t="str">
        <f>IFERROR(IF(OR(B7="",E7=""),"",SUMIF(DB_Loans!$B:$B,B7,DB_Loans!$E:$E)+E7),"")</f>
        <v/>
      </c>
      <c r="I7" s="47" t="str">
        <f>IFERROR(IF(OR(B7="",E7=""),"",SUMIF(DB_Loans!$B:$B,B7,DB_Loans!$J:$J)+(E7*0.025)),"")</f>
        <v/>
      </c>
      <c r="J7" s="32"/>
    </row>
    <row r="8" spans="1:10" ht="19.5" customHeight="1" x14ac:dyDescent="0.25">
      <c r="A8" s="31" t="str">
        <f t="shared" si="0"/>
        <v/>
      </c>
      <c r="B8" s="45"/>
      <c r="C8" s="38" t="str">
        <f>IFERROR(IF(B8="","",VLOOKUP(B8,DB_Customers!$A:$B,2,0)),"")</f>
        <v/>
      </c>
      <c r="D8" s="45"/>
      <c r="E8" s="33"/>
      <c r="F8" s="46" t="str">
        <f t="shared" ca="1" si="1"/>
        <v/>
      </c>
      <c r="G8" s="32"/>
      <c r="H8" s="47" t="str">
        <f>IFERROR(IF(OR(B8="",E8=""),"",SUMIF(DB_Loans!$B:$B,B8,DB_Loans!$E:$E)+E8),"")</f>
        <v/>
      </c>
      <c r="I8" s="47" t="str">
        <f>IFERROR(IF(OR(B8="",E8=""),"",SUMIF(DB_Loans!$B:$B,B8,DB_Loans!$J:$J)+(E8*0.025)),"")</f>
        <v/>
      </c>
      <c r="J8" s="32"/>
    </row>
    <row r="9" spans="1:10" ht="19.5" customHeight="1" x14ac:dyDescent="0.25">
      <c r="A9" s="31" t="str">
        <f t="shared" si="0"/>
        <v/>
      </c>
      <c r="B9" s="45"/>
      <c r="C9" s="38" t="str">
        <f>IFERROR(IF(B9="","",VLOOKUP(B9,DB_Customers!$A:$B,2,0)),"")</f>
        <v/>
      </c>
      <c r="D9" s="45"/>
      <c r="E9" s="33"/>
      <c r="F9" s="46" t="str">
        <f t="shared" ca="1" si="1"/>
        <v/>
      </c>
      <c r="G9" s="32"/>
      <c r="H9" s="47" t="str">
        <f>IFERROR(IF(OR(B9="",E9=""),"",SUMIF(DB_Loans!$B:$B,B9,DB_Loans!$E:$E)+E9),"")</f>
        <v/>
      </c>
      <c r="I9" s="47" t="str">
        <f>IFERROR(IF(OR(B9="",E9=""),"",SUMIF(DB_Loans!$B:$B,B9,DB_Loans!$J:$J)+(E9*0.025)),"")</f>
        <v/>
      </c>
      <c r="J9" s="32"/>
    </row>
    <row r="10" spans="1:10" ht="19.5" customHeight="1" x14ac:dyDescent="0.25">
      <c r="A10" s="31" t="str">
        <f t="shared" si="0"/>
        <v/>
      </c>
      <c r="B10" s="45"/>
      <c r="C10" s="38" t="str">
        <f>IFERROR(IF(B10="","",VLOOKUP(B10,DB_Customers!$A:$B,2,0)),"")</f>
        <v/>
      </c>
      <c r="D10" s="45"/>
      <c r="E10" s="33"/>
      <c r="F10" s="46" t="str">
        <f t="shared" ca="1" si="1"/>
        <v/>
      </c>
      <c r="G10" s="32"/>
      <c r="H10" s="47" t="str">
        <f>IFERROR(IF(OR(B10="",E10=""),"",SUMIF(DB_Loans!$B:$B,B10,DB_Loans!$E:$E)+E10),"")</f>
        <v/>
      </c>
      <c r="I10" s="47" t="str">
        <f>IFERROR(IF(OR(B10="",E10=""),"",SUMIF(DB_Loans!$B:$B,B10,DB_Loans!$J:$J)+(E10*0.025)),"")</f>
        <v/>
      </c>
      <c r="J10" s="32"/>
    </row>
    <row r="11" spans="1:10" ht="19.5" customHeight="1" x14ac:dyDescent="0.25">
      <c r="A11" s="31" t="str">
        <f t="shared" si="0"/>
        <v/>
      </c>
      <c r="B11" s="45"/>
      <c r="C11" s="38" t="str">
        <f>IFERROR(IF(B11="","",VLOOKUP(B11,DB_Customers!$A:$B,2,0)),"")</f>
        <v/>
      </c>
      <c r="D11" s="45"/>
      <c r="E11" s="33"/>
      <c r="F11" s="46" t="str">
        <f t="shared" ca="1" si="1"/>
        <v/>
      </c>
      <c r="G11" s="32"/>
      <c r="H11" s="47" t="str">
        <f>IFERROR(IF(OR(B11="",E11=""),"",SUMIF(DB_Loans!$B:$B,B11,DB_Loans!$E:$E)+E11),"")</f>
        <v/>
      </c>
      <c r="I11" s="47" t="str">
        <f>IFERROR(IF(OR(B11="",E11=""),"",SUMIF(DB_Loans!$B:$B,B11,DB_Loans!$J:$J)+(E11*0.025)),"")</f>
        <v/>
      </c>
      <c r="J11" s="32"/>
    </row>
    <row r="12" spans="1:10" ht="19.5" customHeight="1" x14ac:dyDescent="0.25">
      <c r="A12" s="31" t="str">
        <f t="shared" si="0"/>
        <v/>
      </c>
      <c r="B12" s="45"/>
      <c r="C12" s="38" t="str">
        <f>IFERROR(IF(B12="","",VLOOKUP(B12,DB_Customers!$A:$B,2,0)),"")</f>
        <v/>
      </c>
      <c r="D12" s="45"/>
      <c r="E12" s="33"/>
      <c r="F12" s="46" t="str">
        <f t="shared" ca="1" si="1"/>
        <v/>
      </c>
      <c r="G12" s="32"/>
      <c r="H12" s="47" t="str">
        <f>IFERROR(IF(OR(B12="",E12=""),"",SUMIF(DB_Loans!$B:$B,B12,DB_Loans!$E:$E)+E12),"")</f>
        <v/>
      </c>
      <c r="I12" s="47" t="str">
        <f>IFERROR(IF(OR(B12="",E12=""),"",SUMIF(DB_Loans!$B:$B,B12,DB_Loans!$J:$J)+(E12*0.025)),"")</f>
        <v/>
      </c>
      <c r="J12" s="32"/>
    </row>
    <row r="13" spans="1:10" ht="19.5" customHeight="1" x14ac:dyDescent="0.25">
      <c r="A13" s="31" t="str">
        <f t="shared" si="0"/>
        <v/>
      </c>
      <c r="B13" s="45"/>
      <c r="C13" s="38" t="str">
        <f>IFERROR(IF(B13="","",VLOOKUP(B13,DB_Customers!$A:$B,2,0)),"")</f>
        <v/>
      </c>
      <c r="D13" s="45"/>
      <c r="E13" s="33"/>
      <c r="F13" s="46" t="str">
        <f t="shared" ca="1" si="1"/>
        <v/>
      </c>
      <c r="G13" s="32"/>
      <c r="H13" s="47" t="str">
        <f>IFERROR(IF(OR(B13="",E13=""),"",SUMIF(DB_Loans!$B:$B,B13,DB_Loans!$E:$E)+E13),"")</f>
        <v/>
      </c>
      <c r="I13" s="47" t="str">
        <f>IFERROR(IF(OR(B13="",E13=""),"",SUMIF(DB_Loans!$B:$B,B13,DB_Loans!$J:$J)+(E13*0.025)),"")</f>
        <v/>
      </c>
      <c r="J13" s="32"/>
    </row>
    <row r="14" spans="1:10" ht="19.5" customHeight="1" x14ac:dyDescent="0.25">
      <c r="A14" s="31" t="str">
        <f t="shared" si="0"/>
        <v/>
      </c>
      <c r="B14" s="45"/>
      <c r="C14" s="38" t="str">
        <f>IFERROR(IF(B14="","",VLOOKUP(B14,DB_Customers!$A:$B,2,0)),"")</f>
        <v/>
      </c>
      <c r="D14" s="45"/>
      <c r="E14" s="33"/>
      <c r="F14" s="46" t="str">
        <f t="shared" ca="1" si="1"/>
        <v/>
      </c>
      <c r="G14" s="32"/>
      <c r="H14" s="47" t="str">
        <f>IFERROR(IF(OR(B14="",E14=""),"",SUMIF(DB_Loans!$B:$B,B14,DB_Loans!$E:$E)+E14),"")</f>
        <v/>
      </c>
      <c r="I14" s="47" t="str">
        <f>IFERROR(IF(OR(B14="",E14=""),"",SUMIF(DB_Loans!$B:$B,B14,DB_Loans!$J:$J)+(E14*0.025)),"")</f>
        <v/>
      </c>
      <c r="J14" s="32"/>
    </row>
    <row r="15" spans="1:10" ht="19.5" customHeight="1" x14ac:dyDescent="0.25">
      <c r="A15" s="31" t="str">
        <f t="shared" si="0"/>
        <v/>
      </c>
      <c r="B15" s="45"/>
      <c r="C15" s="38" t="str">
        <f>IFERROR(IF(B15="","",VLOOKUP(B15,DB_Customers!$A:$B,2,0)),"")</f>
        <v/>
      </c>
      <c r="D15" s="45"/>
      <c r="E15" s="33"/>
      <c r="F15" s="46" t="str">
        <f t="shared" ca="1" si="1"/>
        <v/>
      </c>
      <c r="G15" s="32"/>
      <c r="H15" s="47" t="str">
        <f>IFERROR(IF(OR(B15="",E15=""),"",SUMIF(DB_Loans!$B:$B,B15,DB_Loans!$E:$E)+E15),"")</f>
        <v/>
      </c>
      <c r="I15" s="47" t="str">
        <f>IFERROR(IF(OR(B15="",E15=""),"",SUMIF(DB_Loans!$B:$B,B15,DB_Loans!$J:$J)+(E15*0.025)),"")</f>
        <v/>
      </c>
      <c r="J15" s="32"/>
    </row>
    <row r="16" spans="1:10" ht="19.5" customHeight="1" x14ac:dyDescent="0.25">
      <c r="A16" s="31" t="str">
        <f t="shared" si="0"/>
        <v/>
      </c>
      <c r="B16" s="45"/>
      <c r="C16" s="38" t="str">
        <f>IFERROR(IF(B16="","",VLOOKUP(B16,DB_Customers!$A:$B,2,0)),"")</f>
        <v/>
      </c>
      <c r="D16" s="45"/>
      <c r="E16" s="33"/>
      <c r="F16" s="46" t="str">
        <f t="shared" ca="1" si="1"/>
        <v/>
      </c>
      <c r="G16" s="32"/>
      <c r="H16" s="47" t="str">
        <f>IFERROR(IF(OR(B16="",E16=""),"",SUMIF(DB_Loans!$B:$B,B16,DB_Loans!$E:$E)+E16),"")</f>
        <v/>
      </c>
      <c r="I16" s="47" t="str">
        <f>IFERROR(IF(OR(B16="",E16=""),"",SUMIF(DB_Loans!$B:$B,B16,DB_Loans!$J:$J)+(E16*0.025)),"")</f>
        <v/>
      </c>
      <c r="J16" s="32"/>
    </row>
    <row r="17" spans="1:10" ht="19.5" customHeight="1" x14ac:dyDescent="0.25">
      <c r="A17" s="31" t="str">
        <f t="shared" si="0"/>
        <v/>
      </c>
      <c r="B17" s="45"/>
      <c r="C17" s="38" t="str">
        <f>IFERROR(IF(B17="","",VLOOKUP(B17,DB_Customers!$A:$B,2,0)),"")</f>
        <v/>
      </c>
      <c r="D17" s="45"/>
      <c r="E17" s="33"/>
      <c r="F17" s="46" t="str">
        <f t="shared" ca="1" si="1"/>
        <v/>
      </c>
      <c r="G17" s="32"/>
      <c r="H17" s="47" t="str">
        <f>IFERROR(IF(OR(B17="",E17=""),"",SUMIF(DB_Loans!$B:$B,B17,DB_Loans!$E:$E)+E17),"")</f>
        <v/>
      </c>
      <c r="I17" s="47" t="str">
        <f>IFERROR(IF(OR(B17="",E17=""),"",SUMIF(DB_Loans!$B:$B,B17,DB_Loans!$J:$J)+(E17*0.025)),"")</f>
        <v/>
      </c>
      <c r="J17" s="32"/>
    </row>
    <row r="18" spans="1:10" ht="19.5" customHeight="1" x14ac:dyDescent="0.25">
      <c r="A18" s="31" t="str">
        <f t="shared" si="0"/>
        <v/>
      </c>
      <c r="B18" s="45"/>
      <c r="C18" s="38" t="str">
        <f>IFERROR(IF(B18="","",VLOOKUP(B18,DB_Customers!$A:$B,2,0)),"")</f>
        <v/>
      </c>
      <c r="D18" s="45"/>
      <c r="E18" s="33"/>
      <c r="F18" s="46" t="str">
        <f t="shared" ca="1" si="1"/>
        <v/>
      </c>
      <c r="G18" s="32"/>
      <c r="H18" s="47" t="str">
        <f>IFERROR(IF(OR(B18="",E18=""),"",SUMIF(DB_Loans!$B:$B,B18,DB_Loans!$E:$E)+E18),"")</f>
        <v/>
      </c>
      <c r="I18" s="47" t="str">
        <f>IFERROR(IF(OR(B18="",E18=""),"",SUMIF(DB_Loans!$B:$B,B18,DB_Loans!$J:$J)+(E18*0.025)),"")</f>
        <v/>
      </c>
      <c r="J18" s="32"/>
    </row>
    <row r="19" spans="1:10" ht="19.5" customHeight="1" x14ac:dyDescent="0.25">
      <c r="A19" s="31" t="str">
        <f t="shared" si="0"/>
        <v/>
      </c>
      <c r="B19" s="45"/>
      <c r="C19" s="38" t="str">
        <f>IFERROR(IF(B19="","",VLOOKUP(B19,DB_Customers!$A:$B,2,0)),"")</f>
        <v/>
      </c>
      <c r="D19" s="45"/>
      <c r="E19" s="33"/>
      <c r="F19" s="46" t="str">
        <f t="shared" ca="1" si="1"/>
        <v/>
      </c>
      <c r="G19" s="32"/>
      <c r="H19" s="47" t="str">
        <f>IFERROR(IF(OR(B19="",E19=""),"",SUMIF(DB_Loans!$B:$B,B19,DB_Loans!$E:$E)+E19),"")</f>
        <v/>
      </c>
      <c r="I19" s="47" t="str">
        <f>IFERROR(IF(OR(B19="",E19=""),"",SUMIF(DB_Loans!$B:$B,B19,DB_Loans!$J:$J)+(E19*0.025)),"")</f>
        <v/>
      </c>
      <c r="J19" s="32"/>
    </row>
    <row r="20" spans="1:10" ht="19.5" customHeight="1" x14ac:dyDescent="0.25">
      <c r="A20" s="31" t="str">
        <f t="shared" si="0"/>
        <v/>
      </c>
      <c r="B20" s="45"/>
      <c r="C20" s="38" t="str">
        <f>IFERROR(IF(B20="","",VLOOKUP(B20,DB_Customers!$A:$B,2,0)),"")</f>
        <v/>
      </c>
      <c r="D20" s="45"/>
      <c r="E20" s="33"/>
      <c r="F20" s="46" t="str">
        <f t="shared" ca="1" si="1"/>
        <v/>
      </c>
      <c r="G20" s="32"/>
      <c r="H20" s="47" t="str">
        <f>IFERROR(IF(OR(B20="",E20=""),"",SUMIF(DB_Loans!$B:$B,B20,DB_Loans!$E:$E)+E20),"")</f>
        <v/>
      </c>
      <c r="I20" s="47" t="str">
        <f>IFERROR(IF(OR(B20="",E20=""),"",SUMIF(DB_Loans!$B:$B,B20,DB_Loans!$J:$J)+(E20*0.025)),"")</f>
        <v/>
      </c>
      <c r="J20" s="32"/>
    </row>
    <row r="21" spans="1:10" ht="19.5" customHeight="1" x14ac:dyDescent="0.25">
      <c r="A21" s="31" t="str">
        <f t="shared" si="0"/>
        <v/>
      </c>
      <c r="B21" s="45"/>
      <c r="C21" s="38" t="str">
        <f>IFERROR(IF(B21="","",VLOOKUP(B21,DB_Customers!$A:$B,2,0)),"")</f>
        <v/>
      </c>
      <c r="D21" s="45"/>
      <c r="E21" s="33"/>
      <c r="F21" s="46" t="str">
        <f t="shared" ca="1" si="1"/>
        <v/>
      </c>
      <c r="G21" s="32"/>
      <c r="H21" s="47" t="str">
        <f>IFERROR(IF(OR(B21="",E21=""),"",SUMIF(DB_Loans!$B:$B,B21,DB_Loans!$E:$E)+E21),"")</f>
        <v/>
      </c>
      <c r="I21" s="47" t="str">
        <f>IFERROR(IF(OR(B21="",E21=""),"",SUMIF(DB_Loans!$B:$B,B21,DB_Loans!$J:$J)+(E21*0.025)),"")</f>
        <v/>
      </c>
      <c r="J21" s="32"/>
    </row>
    <row r="22" spans="1:10" ht="19.5" customHeight="1" x14ac:dyDescent="0.25">
      <c r="A22" s="31" t="str">
        <f t="shared" si="0"/>
        <v/>
      </c>
      <c r="B22" s="45"/>
      <c r="C22" s="38" t="str">
        <f>IFERROR(IF(B22="","",VLOOKUP(B22,DB_Customers!$A:$B,2,0)),"")</f>
        <v/>
      </c>
      <c r="D22" s="45"/>
      <c r="E22" s="33"/>
      <c r="F22" s="46" t="str">
        <f t="shared" ca="1" si="1"/>
        <v/>
      </c>
      <c r="G22" s="32"/>
      <c r="H22" s="47" t="str">
        <f>IFERROR(IF(OR(B22="",E22=""),"",SUMIF(DB_Loans!$B:$B,B22,DB_Loans!$E:$E)+E22),"")</f>
        <v/>
      </c>
      <c r="I22" s="47" t="str">
        <f>IFERROR(IF(OR(B22="",E22=""),"",SUMIF(DB_Loans!$B:$B,B22,DB_Loans!$J:$J)+(E22*0.025)),"")</f>
        <v/>
      </c>
      <c r="J22" s="32"/>
    </row>
    <row r="23" spans="1:10" ht="19.5" customHeight="1" x14ac:dyDescent="0.25">
      <c r="A23" s="31" t="str">
        <f t="shared" si="0"/>
        <v/>
      </c>
      <c r="B23" s="45"/>
      <c r="C23" s="38" t="str">
        <f>IFERROR(IF(B23="","",VLOOKUP(B23,DB_Customers!$A:$B,2,0)),"")</f>
        <v/>
      </c>
      <c r="D23" s="45"/>
      <c r="E23" s="33"/>
      <c r="F23" s="46" t="str">
        <f t="shared" ca="1" si="1"/>
        <v/>
      </c>
      <c r="G23" s="32"/>
      <c r="H23" s="47" t="str">
        <f>IFERROR(IF(OR(B23="",E23=""),"",SUMIF(DB_Loans!$B:$B,B23,DB_Loans!$E:$E)+E23),"")</f>
        <v/>
      </c>
      <c r="I23" s="47" t="str">
        <f>IFERROR(IF(OR(B23="",E23=""),"",SUMIF(DB_Loans!$B:$B,B23,DB_Loans!$J:$J)+(E23*0.025)),"")</f>
        <v/>
      </c>
      <c r="J23" s="32"/>
    </row>
    <row r="24" spans="1:10" ht="19.5" customHeight="1" x14ac:dyDescent="0.25">
      <c r="A24" s="31" t="str">
        <f t="shared" si="0"/>
        <v/>
      </c>
      <c r="B24" s="45"/>
      <c r="C24" s="38" t="str">
        <f>IFERROR(IF(B24="","",VLOOKUP(B24,DB_Customers!$A:$B,2,0)),"")</f>
        <v/>
      </c>
      <c r="D24" s="45"/>
      <c r="E24" s="33"/>
      <c r="F24" s="46" t="str">
        <f t="shared" ca="1" si="1"/>
        <v/>
      </c>
      <c r="G24" s="32"/>
      <c r="H24" s="47" t="str">
        <f>IFERROR(IF(OR(B24="",E24=""),"",SUMIF(DB_Loans!$B:$B,B24,DB_Loans!$E:$E)+E24),"")</f>
        <v/>
      </c>
      <c r="I24" s="47" t="str">
        <f>IFERROR(IF(OR(B24="",E24=""),"",SUMIF(DB_Loans!$B:$B,B24,DB_Loans!$J:$J)+(E24*0.025)),"")</f>
        <v/>
      </c>
      <c r="J24" s="32"/>
    </row>
    <row r="25" spans="1:10" ht="19.5" customHeight="1" x14ac:dyDescent="0.25">
      <c r="A25" s="31" t="str">
        <f t="shared" si="0"/>
        <v/>
      </c>
      <c r="B25" s="45"/>
      <c r="C25" s="38" t="str">
        <f>IFERROR(IF(B25="","",VLOOKUP(B25,DB_Customers!$A:$B,2,0)),"")</f>
        <v/>
      </c>
      <c r="D25" s="45"/>
      <c r="E25" s="33"/>
      <c r="F25" s="46" t="str">
        <f t="shared" ca="1" si="1"/>
        <v/>
      </c>
      <c r="G25" s="32"/>
      <c r="H25" s="47" t="str">
        <f>IFERROR(IF(OR(B25="",E25=""),"",SUMIF(DB_Loans!$B:$B,B25,DB_Loans!$E:$E)+E25),"")</f>
        <v/>
      </c>
      <c r="I25" s="47" t="str">
        <f>IFERROR(IF(OR(B25="",E25=""),"",SUMIF(DB_Loans!$B:$B,B25,DB_Loans!$J:$J)+(E25*0.025)),"")</f>
        <v/>
      </c>
      <c r="J25" s="32"/>
    </row>
    <row r="26" spans="1:10" ht="19.5" customHeight="1" x14ac:dyDescent="0.25">
      <c r="A26" s="31" t="str">
        <f t="shared" si="0"/>
        <v/>
      </c>
      <c r="B26" s="45"/>
      <c r="C26" s="38" t="str">
        <f>IFERROR(IF(B26="","",VLOOKUP(B26,DB_Customers!$A:$B,2,0)),"")</f>
        <v/>
      </c>
      <c r="D26" s="45"/>
      <c r="E26" s="33"/>
      <c r="F26" s="46" t="str">
        <f t="shared" ca="1" si="1"/>
        <v/>
      </c>
      <c r="G26" s="32"/>
      <c r="H26" s="47" t="str">
        <f>IFERROR(IF(OR(B26="",E26=""),"",SUMIF(DB_Loans!$B:$B,B26,DB_Loans!$E:$E)+E26),"")</f>
        <v/>
      </c>
      <c r="I26" s="47" t="str">
        <f>IFERROR(IF(OR(B26="",E26=""),"",SUMIF(DB_Loans!$B:$B,B26,DB_Loans!$J:$J)+(E26*0.025)),"")</f>
        <v/>
      </c>
      <c r="J26" s="32"/>
    </row>
    <row r="27" spans="1:10" ht="19.5" customHeight="1" x14ac:dyDescent="0.25">
      <c r="A27" s="31" t="str">
        <f t="shared" si="0"/>
        <v/>
      </c>
      <c r="B27" s="45"/>
      <c r="C27" s="38" t="str">
        <f>IFERROR(IF(B27="","",VLOOKUP(B27,DB_Customers!$A:$B,2,0)),"")</f>
        <v/>
      </c>
      <c r="D27" s="45"/>
      <c r="E27" s="33"/>
      <c r="F27" s="46" t="str">
        <f t="shared" ca="1" si="1"/>
        <v/>
      </c>
      <c r="G27" s="32"/>
      <c r="H27" s="47" t="str">
        <f>IFERROR(IF(OR(B27="",E27=""),"",SUMIF(DB_Loans!$B:$B,B27,DB_Loans!$E:$E)+E27),"")</f>
        <v/>
      </c>
      <c r="I27" s="47" t="str">
        <f>IFERROR(IF(OR(B27="",E27=""),"",SUMIF(DB_Loans!$B:$B,B27,DB_Loans!$J:$J)+(E27*0.025)),"")</f>
        <v/>
      </c>
      <c r="J27" s="32"/>
    </row>
    <row r="28" spans="1:10" ht="19.5" customHeight="1" x14ac:dyDescent="0.25">
      <c r="A28" s="31" t="str">
        <f t="shared" si="0"/>
        <v/>
      </c>
      <c r="B28" s="45"/>
      <c r="C28" s="38" t="str">
        <f>IFERROR(IF(B28="","",VLOOKUP(B28,DB_Customers!$A:$B,2,0)),"")</f>
        <v/>
      </c>
      <c r="D28" s="45"/>
      <c r="E28" s="33"/>
      <c r="F28" s="46" t="str">
        <f t="shared" ca="1" si="1"/>
        <v/>
      </c>
      <c r="G28" s="32"/>
      <c r="H28" s="47" t="str">
        <f>IFERROR(IF(OR(B28="",E28=""),"",SUMIF(DB_Loans!$B:$B,B28,DB_Loans!$E:$E)+E28),"")</f>
        <v/>
      </c>
      <c r="I28" s="47" t="str">
        <f>IFERROR(IF(OR(B28="",E28=""),"",SUMIF(DB_Loans!$B:$B,B28,DB_Loans!$J:$J)+(E28*0.025)),"")</f>
        <v/>
      </c>
      <c r="J28" s="32"/>
    </row>
    <row r="29" spans="1:10" ht="19.5" customHeight="1" x14ac:dyDescent="0.25">
      <c r="A29" s="31" t="str">
        <f t="shared" si="0"/>
        <v/>
      </c>
      <c r="B29" s="45"/>
      <c r="C29" s="38" t="str">
        <f>IFERROR(IF(B29="","",VLOOKUP(B29,DB_Customers!$A:$B,2,0)),"")</f>
        <v/>
      </c>
      <c r="D29" s="45"/>
      <c r="E29" s="33"/>
      <c r="F29" s="46" t="str">
        <f t="shared" ca="1" si="1"/>
        <v/>
      </c>
      <c r="G29" s="32"/>
      <c r="H29" s="47" t="str">
        <f>IFERROR(IF(OR(B29="",E29=""),"",SUMIF(DB_Loans!$B:$B,B29,DB_Loans!$E:$E)+E29),"")</f>
        <v/>
      </c>
      <c r="I29" s="47" t="str">
        <f>IFERROR(IF(OR(B29="",E29=""),"",SUMIF(DB_Loans!$B:$B,B29,DB_Loans!$J:$J)+(E29*0.025)),"")</f>
        <v/>
      </c>
      <c r="J29" s="32"/>
    </row>
    <row r="30" spans="1:10" ht="19.5" customHeight="1" x14ac:dyDescent="0.25">
      <c r="A30" s="31" t="str">
        <f t="shared" si="0"/>
        <v/>
      </c>
      <c r="B30" s="45"/>
      <c r="C30" s="38" t="str">
        <f>IFERROR(IF(B30="","",VLOOKUP(B30,DB_Customers!$A:$B,2,0)),"")</f>
        <v/>
      </c>
      <c r="D30" s="45"/>
      <c r="E30" s="33"/>
      <c r="F30" s="46" t="str">
        <f t="shared" ca="1" si="1"/>
        <v/>
      </c>
      <c r="G30" s="32"/>
      <c r="H30" s="47" t="str">
        <f>IFERROR(IF(OR(B30="",E30=""),"",SUMIF(DB_Loans!$B:$B,B30,DB_Loans!$E:$E)+E30),"")</f>
        <v/>
      </c>
      <c r="I30" s="47" t="str">
        <f>IFERROR(IF(OR(B30="",E30=""),"",SUMIF(DB_Loans!$B:$B,B30,DB_Loans!$J:$J)+(E30*0.025)),"")</f>
        <v/>
      </c>
      <c r="J30" s="32"/>
    </row>
    <row r="31" spans="1:10" ht="19.5" customHeight="1" x14ac:dyDescent="0.25">
      <c r="A31" s="31" t="str">
        <f t="shared" si="0"/>
        <v/>
      </c>
      <c r="B31" s="45"/>
      <c r="C31" s="38" t="str">
        <f>IFERROR(IF(B31="","",VLOOKUP(B31,DB_Customers!$A:$B,2,0)),"")</f>
        <v/>
      </c>
      <c r="D31" s="45"/>
      <c r="E31" s="33"/>
      <c r="F31" s="46" t="str">
        <f t="shared" ca="1" si="1"/>
        <v/>
      </c>
      <c r="G31" s="32"/>
      <c r="H31" s="47" t="str">
        <f>IFERROR(IF(OR(B31="",E31=""),"",SUMIF(DB_Loans!$B:$B,B31,DB_Loans!$E:$E)+E31),"")</f>
        <v/>
      </c>
      <c r="I31" s="47" t="str">
        <f>IFERROR(IF(OR(B31="",E31=""),"",SUMIF(DB_Loans!$B:$B,B31,DB_Loans!$J:$J)+(E31*0.025)),"")</f>
        <v/>
      </c>
      <c r="J31" s="32"/>
    </row>
    <row r="32" spans="1:10" ht="19.5" customHeight="1" x14ac:dyDescent="0.25">
      <c r="A32" s="31" t="str">
        <f t="shared" si="0"/>
        <v/>
      </c>
      <c r="B32" s="45"/>
      <c r="C32" s="38" t="str">
        <f>IFERROR(IF(B32="","",VLOOKUP(B32,DB_Customers!$A:$B,2,0)),"")</f>
        <v/>
      </c>
      <c r="D32" s="45"/>
      <c r="E32" s="33"/>
      <c r="F32" s="46" t="str">
        <f t="shared" ca="1" si="1"/>
        <v/>
      </c>
      <c r="G32" s="32"/>
      <c r="H32" s="47" t="str">
        <f>IFERROR(IF(OR(B32="",E32=""),"",SUMIF(DB_Loans!$B:$B,B32,DB_Loans!$E:$E)+E32),"")</f>
        <v/>
      </c>
      <c r="I32" s="47" t="str">
        <f>IFERROR(IF(OR(B32="",E32=""),"",SUMIF(DB_Loans!$B:$B,B32,DB_Loans!$J:$J)+(E32*0.025)),"")</f>
        <v/>
      </c>
      <c r="J32" s="32"/>
    </row>
    <row r="33" spans="1:10" ht="19.5" customHeight="1" x14ac:dyDescent="0.25">
      <c r="A33" s="31" t="str">
        <f t="shared" si="0"/>
        <v/>
      </c>
      <c r="B33" s="45"/>
      <c r="C33" s="38" t="str">
        <f>IFERROR(IF(B33="","",VLOOKUP(B33,DB_Customers!$A:$B,2,0)),"")</f>
        <v/>
      </c>
      <c r="D33" s="45"/>
      <c r="E33" s="33"/>
      <c r="F33" s="46" t="str">
        <f t="shared" ca="1" si="1"/>
        <v/>
      </c>
      <c r="G33" s="32"/>
      <c r="H33" s="47" t="str">
        <f>IFERROR(IF(OR(B33="",E33=""),"",SUMIF(DB_Loans!$B:$B,B33,DB_Loans!$E:$E)+E33),"")</f>
        <v/>
      </c>
      <c r="I33" s="47" t="str">
        <f>IFERROR(IF(OR(B33="",E33=""),"",SUMIF(DB_Loans!$B:$B,B33,DB_Loans!$J:$J)+(E33*0.025)),"")</f>
        <v/>
      </c>
      <c r="J33" s="32"/>
    </row>
    <row r="34" spans="1:10" ht="19.5" customHeight="1" x14ac:dyDescent="0.25">
      <c r="A34" s="31" t="str">
        <f t="shared" si="0"/>
        <v/>
      </c>
      <c r="B34" s="45"/>
      <c r="C34" s="38" t="str">
        <f>IFERROR(IF(B34="","",VLOOKUP(B34,DB_Customers!$A:$B,2,0)),"")</f>
        <v/>
      </c>
      <c r="D34" s="45"/>
      <c r="E34" s="33"/>
      <c r="F34" s="46" t="str">
        <f t="shared" ca="1" si="1"/>
        <v/>
      </c>
      <c r="G34" s="32"/>
      <c r="H34" s="47" t="str">
        <f>IFERROR(IF(OR(B34="",E34=""),"",SUMIF(DB_Loans!$B:$B,B34,DB_Loans!$E:$E)+E34),"")</f>
        <v/>
      </c>
      <c r="I34" s="47" t="str">
        <f>IFERROR(IF(OR(B34="",E34=""),"",SUMIF(DB_Loans!$B:$B,B34,DB_Loans!$J:$J)+(E34*0.025)),"")</f>
        <v/>
      </c>
      <c r="J34" s="32"/>
    </row>
    <row r="35" spans="1:10" ht="19.5" customHeight="1" x14ac:dyDescent="0.25">
      <c r="A35" s="31" t="str">
        <f t="shared" si="0"/>
        <v/>
      </c>
      <c r="B35" s="45"/>
      <c r="C35" s="38" t="str">
        <f>IFERROR(IF(B35="","",VLOOKUP(B35,DB_Customers!$A:$B,2,0)),"")</f>
        <v/>
      </c>
      <c r="D35" s="45"/>
      <c r="E35" s="33"/>
      <c r="F35" s="46" t="str">
        <f t="shared" ca="1" si="1"/>
        <v/>
      </c>
      <c r="G35" s="32"/>
      <c r="H35" s="47" t="str">
        <f>IFERROR(IF(OR(B35="",E35=""),"",SUMIF(DB_Loans!$B:$B,B35,DB_Loans!$E:$E)+E35),"")</f>
        <v/>
      </c>
      <c r="I35" s="47" t="str">
        <f>IFERROR(IF(OR(B35="",E35=""),"",SUMIF(DB_Loans!$B:$B,B35,DB_Loans!$J:$J)+(E35*0.025)),"")</f>
        <v/>
      </c>
      <c r="J35" s="32"/>
    </row>
    <row r="36" spans="1:10" ht="19.5" customHeight="1" x14ac:dyDescent="0.25">
      <c r="A36" s="31" t="str">
        <f t="shared" si="0"/>
        <v/>
      </c>
      <c r="B36" s="45"/>
      <c r="C36" s="38" t="str">
        <f>IFERROR(IF(B36="","",VLOOKUP(B36,DB_Customers!$A:$B,2,0)),"")</f>
        <v/>
      </c>
      <c r="D36" s="45"/>
      <c r="E36" s="33"/>
      <c r="F36" s="46" t="str">
        <f t="shared" ca="1" si="1"/>
        <v/>
      </c>
      <c r="G36" s="32"/>
      <c r="H36" s="47" t="str">
        <f>IFERROR(IF(OR(B36="",E36=""),"",SUMIF(DB_Loans!$B:$B,B36,DB_Loans!$E:$E)+E36),"")</f>
        <v/>
      </c>
      <c r="I36" s="47" t="str">
        <f>IFERROR(IF(OR(B36="",E36=""),"",SUMIF(DB_Loans!$B:$B,B36,DB_Loans!$J:$J)+(E36*0.025)),"")</f>
        <v/>
      </c>
      <c r="J36" s="32"/>
    </row>
    <row r="37" spans="1:10" ht="19.5" customHeight="1" x14ac:dyDescent="0.25">
      <c r="A37" s="31" t="str">
        <f t="shared" si="0"/>
        <v/>
      </c>
      <c r="B37" s="45"/>
      <c r="C37" s="38" t="str">
        <f>IFERROR(IF(B37="","",VLOOKUP(B37,DB_Customers!$A:$B,2,0)),"")</f>
        <v/>
      </c>
      <c r="D37" s="45"/>
      <c r="E37" s="33"/>
      <c r="F37" s="46" t="str">
        <f t="shared" ca="1" si="1"/>
        <v/>
      </c>
      <c r="G37" s="32"/>
      <c r="H37" s="47" t="str">
        <f>IFERROR(IF(OR(B37="",E37=""),"",SUMIF(DB_Loans!$B:$B,B37,DB_Loans!$E:$E)+E37),"")</f>
        <v/>
      </c>
      <c r="I37" s="47" t="str">
        <f>IFERROR(IF(OR(B37="",E37=""),"",SUMIF(DB_Loans!$B:$B,B37,DB_Loans!$J:$J)+(E37*0.025)),"")</f>
        <v/>
      </c>
      <c r="J37" s="32"/>
    </row>
    <row r="38" spans="1:10" ht="19.5" customHeight="1" x14ac:dyDescent="0.25">
      <c r="A38" s="31" t="str">
        <f t="shared" si="0"/>
        <v/>
      </c>
      <c r="B38" s="45"/>
      <c r="C38" s="38" t="str">
        <f>IFERROR(IF(B38="","",VLOOKUP(B38,DB_Customers!$A:$B,2,0)),"")</f>
        <v/>
      </c>
      <c r="D38" s="45"/>
      <c r="E38" s="33"/>
      <c r="F38" s="46" t="str">
        <f t="shared" ca="1" si="1"/>
        <v/>
      </c>
      <c r="G38" s="32"/>
      <c r="H38" s="47" t="str">
        <f>IFERROR(IF(OR(B38="",E38=""),"",SUMIF(DB_Loans!$B:$B,B38,DB_Loans!$E:$E)+E38),"")</f>
        <v/>
      </c>
      <c r="I38" s="47" t="str">
        <f>IFERROR(IF(OR(B38="",E38=""),"",SUMIF(DB_Loans!$B:$B,B38,DB_Loans!$J:$J)+(E38*0.025)),"")</f>
        <v/>
      </c>
      <c r="J38" s="32"/>
    </row>
    <row r="39" spans="1:10" ht="19.5" customHeight="1" x14ac:dyDescent="0.25">
      <c r="A39" s="31" t="str">
        <f t="shared" si="0"/>
        <v/>
      </c>
      <c r="B39" s="45"/>
      <c r="C39" s="38" t="str">
        <f>IFERROR(IF(B39="","",VLOOKUP(B39,DB_Customers!$A:$B,2,0)),"")</f>
        <v/>
      </c>
      <c r="D39" s="45"/>
      <c r="E39" s="33"/>
      <c r="F39" s="46" t="str">
        <f t="shared" ca="1" si="1"/>
        <v/>
      </c>
      <c r="G39" s="32"/>
      <c r="H39" s="47" t="str">
        <f>IFERROR(IF(OR(B39="",E39=""),"",SUMIF(DB_Loans!$B:$B,B39,DB_Loans!$E:$E)+E39),"")</f>
        <v/>
      </c>
      <c r="I39" s="47" t="str">
        <f>IFERROR(IF(OR(B39="",E39=""),"",SUMIF(DB_Loans!$B:$B,B39,DB_Loans!$J:$J)+(E39*0.025)),"")</f>
        <v/>
      </c>
      <c r="J39" s="32"/>
    </row>
    <row r="40" spans="1:10" ht="19.5" customHeight="1" x14ac:dyDescent="0.25">
      <c r="A40" s="31" t="str">
        <f t="shared" si="0"/>
        <v/>
      </c>
      <c r="B40" s="45"/>
      <c r="C40" s="38" t="str">
        <f>IFERROR(IF(B40="","",VLOOKUP(B40,DB_Customers!$A:$B,2,0)),"")</f>
        <v/>
      </c>
      <c r="D40" s="45"/>
      <c r="E40" s="33"/>
      <c r="F40" s="46" t="str">
        <f t="shared" ca="1" si="1"/>
        <v/>
      </c>
      <c r="G40" s="32"/>
      <c r="H40" s="47" t="str">
        <f>IFERROR(IF(OR(B40="",E40=""),"",SUMIF(DB_Loans!$B:$B,B40,DB_Loans!$E:$E)+E40),"")</f>
        <v/>
      </c>
      <c r="I40" s="47" t="str">
        <f>IFERROR(IF(OR(B40="",E40=""),"",SUMIF(DB_Loans!$B:$B,B40,DB_Loans!$J:$J)+(E40*0.025)),"")</f>
        <v/>
      </c>
      <c r="J40" s="32"/>
    </row>
    <row r="41" spans="1:10" ht="19.5" customHeight="1" x14ac:dyDescent="0.25">
      <c r="A41" s="31" t="str">
        <f t="shared" si="0"/>
        <v/>
      </c>
      <c r="B41" s="45"/>
      <c r="C41" s="38" t="str">
        <f>IFERROR(IF(B41="","",VLOOKUP(B41,DB_Customers!$A:$B,2,0)),"")</f>
        <v/>
      </c>
      <c r="D41" s="45"/>
      <c r="E41" s="33"/>
      <c r="F41" s="46" t="str">
        <f t="shared" ca="1" si="1"/>
        <v/>
      </c>
      <c r="G41" s="32"/>
      <c r="H41" s="47" t="str">
        <f>IFERROR(IF(OR(B41="",E41=""),"",SUMIF(DB_Loans!$B:$B,B41,DB_Loans!$E:$E)+E41),"")</f>
        <v/>
      </c>
      <c r="I41" s="47" t="str">
        <f>IFERROR(IF(OR(B41="",E41=""),"",SUMIF(DB_Loans!$B:$B,B41,DB_Loans!$J:$J)+(E41*0.025)),"")</f>
        <v/>
      </c>
      <c r="J41" s="32"/>
    </row>
    <row r="42" spans="1:10" ht="19.5" customHeight="1" x14ac:dyDescent="0.25">
      <c r="A42" s="31" t="str">
        <f t="shared" si="0"/>
        <v/>
      </c>
      <c r="B42" s="45"/>
      <c r="C42" s="38" t="str">
        <f>IFERROR(IF(B42="","",VLOOKUP(B42,DB_Customers!$A:$B,2,0)),"")</f>
        <v/>
      </c>
      <c r="D42" s="45"/>
      <c r="E42" s="33"/>
      <c r="F42" s="46" t="str">
        <f t="shared" ca="1" si="1"/>
        <v/>
      </c>
      <c r="G42" s="32"/>
      <c r="H42" s="47" t="str">
        <f>IFERROR(IF(OR(B42="",E42=""),"",SUMIF(DB_Loans!$B:$B,B42,DB_Loans!$E:$E)+E42),"")</f>
        <v/>
      </c>
      <c r="I42" s="47" t="str">
        <f>IFERROR(IF(OR(B42="",E42=""),"",SUMIF(DB_Loans!$B:$B,B42,DB_Loans!$J:$J)+(E42*0.025)),"")</f>
        <v/>
      </c>
      <c r="J42" s="32"/>
    </row>
    <row r="43" spans="1:10" ht="19.5" customHeight="1" x14ac:dyDescent="0.25">
      <c r="A43" s="31" t="str">
        <f t="shared" si="0"/>
        <v/>
      </c>
      <c r="B43" s="45"/>
      <c r="C43" s="38" t="str">
        <f>IFERROR(IF(B43="","",VLOOKUP(B43,DB_Customers!$A:$B,2,0)),"")</f>
        <v/>
      </c>
      <c r="D43" s="45"/>
      <c r="E43" s="33"/>
      <c r="F43" s="46" t="str">
        <f t="shared" ca="1" si="1"/>
        <v/>
      </c>
      <c r="G43" s="32"/>
      <c r="H43" s="47" t="str">
        <f>IFERROR(IF(OR(B43="",E43=""),"",SUMIF(DB_Loans!$B:$B,B43,DB_Loans!$E:$E)+E43),"")</f>
        <v/>
      </c>
      <c r="I43" s="47" t="str">
        <f>IFERROR(IF(OR(B43="",E43=""),"",SUMIF(DB_Loans!$B:$B,B43,DB_Loans!$J:$J)+(E43*0.025)),"")</f>
        <v/>
      </c>
      <c r="J43" s="32"/>
    </row>
    <row r="44" spans="1:10" ht="19.5" customHeight="1" x14ac:dyDescent="0.25">
      <c r="A44" s="31" t="str">
        <f t="shared" si="0"/>
        <v/>
      </c>
      <c r="B44" s="45"/>
      <c r="C44" s="38" t="str">
        <f>IFERROR(IF(B44="","",VLOOKUP(B44,DB_Customers!$A:$B,2,0)),"")</f>
        <v/>
      </c>
      <c r="D44" s="45"/>
      <c r="E44" s="33"/>
      <c r="F44" s="46" t="str">
        <f t="shared" ca="1" si="1"/>
        <v/>
      </c>
      <c r="G44" s="32"/>
      <c r="H44" s="47" t="str">
        <f>IFERROR(IF(OR(B44="",E44=""),"",SUMIF(DB_Loans!$B:$B,B44,DB_Loans!$E:$E)+E44),"")</f>
        <v/>
      </c>
      <c r="I44" s="47" t="str">
        <f>IFERROR(IF(OR(B44="",E44=""),"",SUMIF(DB_Loans!$B:$B,B44,DB_Loans!$J:$J)+(E44*0.025)),"")</f>
        <v/>
      </c>
      <c r="J44" s="32"/>
    </row>
    <row r="45" spans="1:10" ht="19.5" customHeight="1" x14ac:dyDescent="0.25">
      <c r="A45" s="31" t="str">
        <f t="shared" si="0"/>
        <v/>
      </c>
      <c r="B45" s="45"/>
      <c r="C45" s="38" t="str">
        <f>IFERROR(IF(B45="","",VLOOKUP(B45,DB_Customers!$A:$B,2,0)),"")</f>
        <v/>
      </c>
      <c r="D45" s="45"/>
      <c r="E45" s="33"/>
      <c r="F45" s="46" t="str">
        <f t="shared" ca="1" si="1"/>
        <v/>
      </c>
      <c r="G45" s="32"/>
      <c r="H45" s="47" t="str">
        <f>IFERROR(IF(OR(B45="",E45=""),"",SUMIF(DB_Loans!$B:$B,B45,DB_Loans!$E:$E)+E45),"")</f>
        <v/>
      </c>
      <c r="I45" s="47" t="str">
        <f>IFERROR(IF(OR(B45="",E45=""),"",SUMIF(DB_Loans!$B:$B,B45,DB_Loans!$J:$J)+(E45*0.025)),"")</f>
        <v/>
      </c>
      <c r="J45" s="32"/>
    </row>
    <row r="46" spans="1:10" ht="19.5" customHeight="1" x14ac:dyDescent="0.25">
      <c r="A46" s="31" t="str">
        <f t="shared" si="0"/>
        <v/>
      </c>
      <c r="B46" s="45"/>
      <c r="C46" s="38" t="str">
        <f>IFERROR(IF(B46="","",VLOOKUP(B46,DB_Customers!$A:$B,2,0)),"")</f>
        <v/>
      </c>
      <c r="D46" s="45"/>
      <c r="E46" s="33"/>
      <c r="F46" s="46" t="str">
        <f t="shared" ca="1" si="1"/>
        <v/>
      </c>
      <c r="G46" s="32"/>
      <c r="H46" s="47" t="str">
        <f>IFERROR(IF(OR(B46="",E46=""),"",SUMIF(DB_Loans!$B:$B,B46,DB_Loans!$E:$E)+E46),"")</f>
        <v/>
      </c>
      <c r="I46" s="47" t="str">
        <f>IFERROR(IF(OR(B46="",E46=""),"",SUMIF(DB_Loans!$B:$B,B46,DB_Loans!$J:$J)+(E46*0.025)),"")</f>
        <v/>
      </c>
      <c r="J46" s="32"/>
    </row>
    <row r="47" spans="1:10" ht="19.5" customHeight="1" x14ac:dyDescent="0.25">
      <c r="A47" s="31" t="str">
        <f t="shared" si="0"/>
        <v/>
      </c>
      <c r="B47" s="45"/>
      <c r="C47" s="38" t="str">
        <f>IFERROR(IF(B47="","",VLOOKUP(B47,DB_Customers!$A:$B,2,0)),"")</f>
        <v/>
      </c>
      <c r="D47" s="45"/>
      <c r="E47" s="33"/>
      <c r="F47" s="46" t="str">
        <f t="shared" ca="1" si="1"/>
        <v/>
      </c>
      <c r="G47" s="32"/>
      <c r="H47" s="47" t="str">
        <f>IFERROR(IF(OR(B47="",E47=""),"",SUMIF(DB_Loans!$B:$B,B47,DB_Loans!$E:$E)+E47),"")</f>
        <v/>
      </c>
      <c r="I47" s="47" t="str">
        <f>IFERROR(IF(OR(B47="",E47=""),"",SUMIF(DB_Loans!$B:$B,B47,DB_Loans!$J:$J)+(E47*0.025)),"")</f>
        <v/>
      </c>
      <c r="J47" s="32"/>
    </row>
    <row r="48" spans="1:10" ht="19.5" customHeight="1" x14ac:dyDescent="0.25">
      <c r="A48" s="31" t="str">
        <f t="shared" si="0"/>
        <v/>
      </c>
      <c r="B48" s="45"/>
      <c r="C48" s="38" t="str">
        <f>IFERROR(IF(B48="","",VLOOKUP(B48,DB_Customers!$A:$B,2,0)),"")</f>
        <v/>
      </c>
      <c r="D48" s="45"/>
      <c r="E48" s="33"/>
      <c r="F48" s="46" t="str">
        <f t="shared" ca="1" si="1"/>
        <v/>
      </c>
      <c r="G48" s="32"/>
      <c r="H48" s="47" t="str">
        <f>IFERROR(IF(OR(B48="",E48=""),"",SUMIF(DB_Loans!$B:$B,B48,DB_Loans!$E:$E)+E48),"")</f>
        <v/>
      </c>
      <c r="I48" s="47" t="str">
        <f>IFERROR(IF(OR(B48="",E48=""),"",SUMIF(DB_Loans!$B:$B,B48,DB_Loans!$J:$J)+(E48*0.025)),"")</f>
        <v/>
      </c>
      <c r="J48" s="32"/>
    </row>
    <row r="49" spans="1:10" ht="19.5" customHeight="1" x14ac:dyDescent="0.25">
      <c r="A49" s="31" t="str">
        <f t="shared" si="0"/>
        <v/>
      </c>
      <c r="B49" s="45"/>
      <c r="C49" s="38" t="str">
        <f>IFERROR(IF(B49="","",VLOOKUP(B49,DB_Customers!$A:$B,2,0)),"")</f>
        <v/>
      </c>
      <c r="D49" s="45"/>
      <c r="E49" s="33"/>
      <c r="F49" s="46" t="str">
        <f t="shared" ca="1" si="1"/>
        <v/>
      </c>
      <c r="G49" s="32"/>
      <c r="H49" s="47" t="str">
        <f>IFERROR(IF(OR(B49="",E49=""),"",SUMIF(DB_Loans!$B:$B,B49,DB_Loans!$E:$E)+E49),"")</f>
        <v/>
      </c>
      <c r="I49" s="47" t="str">
        <f>IFERROR(IF(OR(B49="",E49=""),"",SUMIF(DB_Loans!$B:$B,B49,DB_Loans!$J:$J)+(E49*0.025)),"")</f>
        <v/>
      </c>
      <c r="J49" s="32"/>
    </row>
    <row r="50" spans="1:10" ht="19.5" customHeight="1" x14ac:dyDescent="0.25">
      <c r="A50" s="31" t="str">
        <f t="shared" si="0"/>
        <v/>
      </c>
      <c r="B50" s="45"/>
      <c r="C50" s="38" t="str">
        <f>IFERROR(IF(B50="","",VLOOKUP(B50,DB_Customers!$A:$B,2,0)),"")</f>
        <v/>
      </c>
      <c r="D50" s="45"/>
      <c r="E50" s="33"/>
      <c r="F50" s="46" t="str">
        <f t="shared" ca="1" si="1"/>
        <v/>
      </c>
      <c r="G50" s="32"/>
      <c r="H50" s="47" t="str">
        <f>IFERROR(IF(OR(B50="",E50=""),"",SUMIF(DB_Loans!$B:$B,B50,DB_Loans!$E:$E)+E50),"")</f>
        <v/>
      </c>
      <c r="I50" s="47" t="str">
        <f>IFERROR(IF(OR(B50="",E50=""),"",SUMIF(DB_Loans!$B:$B,B50,DB_Loans!$J:$J)+(E50*0.025)),"")</f>
        <v/>
      </c>
      <c r="J50" s="32"/>
    </row>
    <row r="51" spans="1:10" ht="19.5" customHeight="1" x14ac:dyDescent="0.25">
      <c r="A51" s="31" t="str">
        <f t="shared" si="0"/>
        <v/>
      </c>
      <c r="B51" s="45"/>
      <c r="C51" s="38" t="str">
        <f>IFERROR(IF(B51="","",VLOOKUP(B51,DB_Customers!$A:$B,2,0)),"")</f>
        <v/>
      </c>
      <c r="D51" s="45"/>
      <c r="E51" s="33"/>
      <c r="F51" s="46" t="str">
        <f t="shared" ca="1" si="1"/>
        <v/>
      </c>
      <c r="G51" s="32"/>
      <c r="H51" s="47" t="str">
        <f>IFERROR(IF(OR(B51="",E51=""),"",SUMIF(DB_Loans!$B:$B,B51,DB_Loans!$E:$E)+E51),"")</f>
        <v/>
      </c>
      <c r="I51" s="47" t="str">
        <f>IFERROR(IF(OR(B51="",E51=""),"",SUMIF(DB_Loans!$B:$B,B51,DB_Loans!$J:$J)+(E51*0.025)),"")</f>
        <v/>
      </c>
      <c r="J51" s="32"/>
    </row>
    <row r="52" spans="1:10" ht="19.5" customHeight="1" x14ac:dyDescent="0.25">
      <c r="A52" s="31" t="str">
        <f t="shared" si="0"/>
        <v/>
      </c>
      <c r="B52" s="45"/>
      <c r="C52" s="38" t="str">
        <f>IFERROR(IF(B52="","",VLOOKUP(B52,DB_Customers!$A:$B,2,0)),"")</f>
        <v/>
      </c>
      <c r="D52" s="45"/>
      <c r="E52" s="33"/>
      <c r="F52" s="46" t="str">
        <f t="shared" ca="1" si="1"/>
        <v/>
      </c>
      <c r="G52" s="32"/>
      <c r="H52" s="47" t="str">
        <f>IFERROR(IF(OR(B52="",E52=""),"",SUMIF(DB_Loans!$B:$B,B52,DB_Loans!$E:$E)+E52),"")</f>
        <v/>
      </c>
      <c r="I52" s="47" t="str">
        <f>IFERROR(IF(OR(B52="",E52=""),"",SUMIF(DB_Loans!$B:$B,B52,DB_Loans!$J:$J)+(E52*0.025)),"")</f>
        <v/>
      </c>
      <c r="J52" s="32"/>
    </row>
    <row r="53" spans="1:10" ht="19.5" customHeight="1" x14ac:dyDescent="0.25">
      <c r="A53" s="31" t="str">
        <f t="shared" si="0"/>
        <v/>
      </c>
      <c r="B53" s="45"/>
      <c r="C53" s="38" t="str">
        <f>IFERROR(IF(B53="","",VLOOKUP(B53,DB_Customers!$A:$B,2,0)),"")</f>
        <v/>
      </c>
      <c r="D53" s="45"/>
      <c r="E53" s="33"/>
      <c r="F53" s="46" t="str">
        <f t="shared" ca="1" si="1"/>
        <v/>
      </c>
      <c r="G53" s="32"/>
      <c r="H53" s="47" t="str">
        <f>IFERROR(IF(OR(B53="",E53=""),"",SUMIF(DB_Loans!$B:$B,B53,DB_Loans!$E:$E)+E53),"")</f>
        <v/>
      </c>
      <c r="I53" s="47" t="str">
        <f>IFERROR(IF(OR(B53="",E53=""),"",SUMIF(DB_Loans!$B:$B,B53,DB_Loans!$J:$J)+(E53*0.025)),"")</f>
        <v/>
      </c>
      <c r="J53" s="32"/>
    </row>
    <row r="54" spans="1:10" ht="19.5" customHeight="1" x14ac:dyDescent="0.25">
      <c r="A54" s="31" t="str">
        <f t="shared" si="0"/>
        <v/>
      </c>
      <c r="B54" s="45"/>
      <c r="C54" s="38" t="str">
        <f>IFERROR(IF(B54="","",VLOOKUP(B54,DB_Customers!$A:$B,2,0)),"")</f>
        <v/>
      </c>
      <c r="D54" s="45"/>
      <c r="E54" s="33"/>
      <c r="F54" s="46" t="str">
        <f t="shared" ca="1" si="1"/>
        <v/>
      </c>
      <c r="G54" s="32"/>
      <c r="H54" s="47" t="str">
        <f>IFERROR(IF(OR(B54="",E54=""),"",SUMIF(DB_Loans!$B:$B,B54,DB_Loans!$E:$E)+E54),"")</f>
        <v/>
      </c>
      <c r="I54" s="47" t="str">
        <f>IFERROR(IF(OR(B54="",E54=""),"",SUMIF(DB_Loans!$B:$B,B54,DB_Loans!$J:$J)+(E54*0.025)),"")</f>
        <v/>
      </c>
      <c r="J54" s="32"/>
    </row>
    <row r="55" spans="1:10" ht="19.5" customHeight="1" x14ac:dyDescent="0.25">
      <c r="A55" s="31" t="str">
        <f t="shared" si="0"/>
        <v/>
      </c>
      <c r="B55" s="45"/>
      <c r="C55" s="38" t="str">
        <f>IFERROR(IF(B55="","",VLOOKUP(B55,DB_Customers!$A:$B,2,0)),"")</f>
        <v/>
      </c>
      <c r="D55" s="45"/>
      <c r="E55" s="33"/>
      <c r="F55" s="46" t="str">
        <f t="shared" ca="1" si="1"/>
        <v/>
      </c>
      <c r="G55" s="32"/>
      <c r="H55" s="47" t="str">
        <f>IFERROR(IF(OR(B55="",E55=""),"",SUMIF(DB_Loans!$B:$B,B55,DB_Loans!$E:$E)+E55),"")</f>
        <v/>
      </c>
      <c r="I55" s="47" t="str">
        <f>IFERROR(IF(OR(B55="",E55=""),"",SUMIF(DB_Loans!$B:$B,B55,DB_Loans!$J:$J)+(E55*0.025)),"")</f>
        <v/>
      </c>
      <c r="J55" s="32"/>
    </row>
    <row r="56" spans="1:10" ht="19.5" customHeight="1" x14ac:dyDescent="0.25">
      <c r="A56" s="31" t="str">
        <f t="shared" si="0"/>
        <v/>
      </c>
      <c r="B56" s="45"/>
      <c r="C56" s="38" t="str">
        <f>IFERROR(IF(B56="","",VLOOKUP(B56,DB_Customers!$A:$B,2,0)),"")</f>
        <v/>
      </c>
      <c r="D56" s="45"/>
      <c r="E56" s="33"/>
      <c r="F56" s="46" t="str">
        <f t="shared" ca="1" si="1"/>
        <v/>
      </c>
      <c r="G56" s="32"/>
      <c r="H56" s="47" t="str">
        <f>IFERROR(IF(OR(B56="",E56=""),"",SUMIF(DB_Loans!$B:$B,B56,DB_Loans!$E:$E)+E56),"")</f>
        <v/>
      </c>
      <c r="I56" s="47" t="str">
        <f>IFERROR(IF(OR(B56="",E56=""),"",SUMIF(DB_Loans!$B:$B,B56,DB_Loans!$J:$J)+(E56*0.025)),"")</f>
        <v/>
      </c>
      <c r="J56" s="32"/>
    </row>
    <row r="57" spans="1:10" ht="19.5" customHeight="1" x14ac:dyDescent="0.25">
      <c r="A57" s="31" t="str">
        <f t="shared" si="0"/>
        <v/>
      </c>
      <c r="B57" s="45"/>
      <c r="C57" s="38" t="str">
        <f>IFERROR(IF(B57="","",VLOOKUP(B57,DB_Customers!$A:$B,2,0)),"")</f>
        <v/>
      </c>
      <c r="D57" s="45"/>
      <c r="E57" s="33"/>
      <c r="F57" s="46" t="str">
        <f t="shared" ca="1" si="1"/>
        <v/>
      </c>
      <c r="G57" s="32"/>
      <c r="H57" s="47" t="str">
        <f>IFERROR(IF(OR(B57="",E57=""),"",SUMIF(DB_Loans!$B:$B,B57,DB_Loans!$E:$E)+E57),"")</f>
        <v/>
      </c>
      <c r="I57" s="47" t="str">
        <f>IFERROR(IF(OR(B57="",E57=""),"",SUMIF(DB_Loans!$B:$B,B57,DB_Loans!$J:$J)+(E57*0.025)),"")</f>
        <v/>
      </c>
      <c r="J57" s="32"/>
    </row>
    <row r="58" spans="1:10" ht="19.5" customHeight="1" x14ac:dyDescent="0.25">
      <c r="A58" s="31" t="str">
        <f t="shared" si="0"/>
        <v/>
      </c>
      <c r="B58" s="45"/>
      <c r="C58" s="38" t="str">
        <f>IFERROR(IF(B58="","",VLOOKUP(B58,DB_Customers!$A:$B,2,0)),"")</f>
        <v/>
      </c>
      <c r="D58" s="45"/>
      <c r="E58" s="33"/>
      <c r="F58" s="46" t="str">
        <f t="shared" ca="1" si="1"/>
        <v/>
      </c>
      <c r="G58" s="32"/>
      <c r="H58" s="47" t="str">
        <f>IFERROR(IF(OR(B58="",E58=""),"",SUMIF(DB_Loans!$B:$B,B58,DB_Loans!$E:$E)+E58),"")</f>
        <v/>
      </c>
      <c r="I58" s="47" t="str">
        <f>IFERROR(IF(OR(B58="",E58=""),"",SUMIF(DB_Loans!$B:$B,B58,DB_Loans!$J:$J)+(E58*0.025)),"")</f>
        <v/>
      </c>
      <c r="J58" s="32"/>
    </row>
    <row r="59" spans="1:10" ht="19.5" customHeight="1" x14ac:dyDescent="0.25">
      <c r="A59" s="31" t="str">
        <f t="shared" si="0"/>
        <v/>
      </c>
      <c r="B59" s="45"/>
      <c r="C59" s="38" t="str">
        <f>IFERROR(IF(B59="","",VLOOKUP(B59,DB_Customers!$A:$B,2,0)),"")</f>
        <v/>
      </c>
      <c r="D59" s="45"/>
      <c r="E59" s="33"/>
      <c r="F59" s="46" t="str">
        <f t="shared" ca="1" si="1"/>
        <v/>
      </c>
      <c r="G59" s="32"/>
      <c r="H59" s="47" t="str">
        <f>IFERROR(IF(OR(B59="",E59=""),"",SUMIF(DB_Loans!$B:$B,B59,DB_Loans!$E:$E)+E59),"")</f>
        <v/>
      </c>
      <c r="I59" s="47" t="str">
        <f>IFERROR(IF(OR(B59="",E59=""),"",SUMIF(DB_Loans!$B:$B,B59,DB_Loans!$J:$J)+(E59*0.025)),"")</f>
        <v/>
      </c>
      <c r="J59" s="32"/>
    </row>
    <row r="60" spans="1:10" ht="19.5" customHeight="1" x14ac:dyDescent="0.25">
      <c r="A60" s="31" t="str">
        <f t="shared" si="0"/>
        <v/>
      </c>
      <c r="B60" s="45"/>
      <c r="C60" s="38" t="str">
        <f>IFERROR(IF(B60="","",VLOOKUP(B60,DB_Customers!$A:$B,2,0)),"")</f>
        <v/>
      </c>
      <c r="D60" s="45"/>
      <c r="E60" s="33"/>
      <c r="F60" s="46" t="str">
        <f t="shared" ca="1" si="1"/>
        <v/>
      </c>
      <c r="G60" s="32"/>
      <c r="H60" s="47" t="str">
        <f>IFERROR(IF(OR(B60="",E60=""),"",SUMIF(DB_Loans!$B:$B,B60,DB_Loans!$E:$E)+E60),"")</f>
        <v/>
      </c>
      <c r="I60" s="47" t="str">
        <f>IFERROR(IF(OR(B60="",E60=""),"",SUMIF(DB_Loans!$B:$B,B60,DB_Loans!$J:$J)+(E60*0.025)),"")</f>
        <v/>
      </c>
      <c r="J60" s="32"/>
    </row>
    <row r="61" spans="1:10" ht="19.5" customHeight="1" x14ac:dyDescent="0.25">
      <c r="A61" s="31" t="str">
        <f t="shared" si="0"/>
        <v/>
      </c>
      <c r="B61" s="45"/>
      <c r="C61" s="38" t="str">
        <f>IFERROR(IF(B61="","",VLOOKUP(B61,DB_Customers!$A:$B,2,0)),"")</f>
        <v/>
      </c>
      <c r="D61" s="45"/>
      <c r="E61" s="33"/>
      <c r="F61" s="46" t="str">
        <f t="shared" ca="1" si="1"/>
        <v/>
      </c>
      <c r="G61" s="32"/>
      <c r="H61" s="47" t="str">
        <f>IFERROR(IF(OR(B61="",E61=""),"",SUMIF(DB_Loans!$B:$B,B61,DB_Loans!$E:$E)+E61),"")</f>
        <v/>
      </c>
      <c r="I61" s="47" t="str">
        <f>IFERROR(IF(OR(B61="",E61=""),"",SUMIF(DB_Loans!$B:$B,B61,DB_Loans!$J:$J)+(E61*0.025)),"")</f>
        <v/>
      </c>
      <c r="J61" s="32"/>
    </row>
    <row r="62" spans="1:10" ht="19.5" customHeight="1" x14ac:dyDescent="0.25">
      <c r="A62" s="31" t="str">
        <f t="shared" si="0"/>
        <v/>
      </c>
      <c r="B62" s="45"/>
      <c r="C62" s="38" t="str">
        <f>IFERROR(IF(B62="","",VLOOKUP(B62,DB_Customers!$A:$B,2,0)),"")</f>
        <v/>
      </c>
      <c r="D62" s="45"/>
      <c r="E62" s="33"/>
      <c r="F62" s="46" t="str">
        <f t="shared" ca="1" si="1"/>
        <v/>
      </c>
      <c r="G62" s="32"/>
      <c r="H62" s="47" t="str">
        <f>IFERROR(IF(OR(B62="",E62=""),"",SUMIF(DB_Loans!$B:$B,B62,DB_Loans!$E:$E)+E62),"")</f>
        <v/>
      </c>
      <c r="I62" s="47" t="str">
        <f>IFERROR(IF(OR(B62="",E62=""),"",SUMIF(DB_Loans!$B:$B,B62,DB_Loans!$J:$J)+(E62*0.025)),"")</f>
        <v/>
      </c>
      <c r="J62" s="32"/>
    </row>
    <row r="63" spans="1:10" ht="19.5" customHeight="1" x14ac:dyDescent="0.25">
      <c r="A63" s="31" t="str">
        <f t="shared" si="0"/>
        <v/>
      </c>
      <c r="B63" s="45"/>
      <c r="C63" s="38" t="str">
        <f>IFERROR(IF(B63="","",VLOOKUP(B63,DB_Customers!$A:$B,2,0)),"")</f>
        <v/>
      </c>
      <c r="D63" s="45"/>
      <c r="E63" s="33"/>
      <c r="F63" s="46" t="str">
        <f t="shared" ca="1" si="1"/>
        <v/>
      </c>
      <c r="G63" s="32"/>
      <c r="H63" s="47" t="str">
        <f>IFERROR(IF(OR(B63="",E63=""),"",SUMIF(DB_Loans!$B:$B,B63,DB_Loans!$E:$E)+E63),"")</f>
        <v/>
      </c>
      <c r="I63" s="47" t="str">
        <f>IFERROR(IF(OR(B63="",E63=""),"",SUMIF(DB_Loans!$B:$B,B63,DB_Loans!$J:$J)+(E63*0.025)),"")</f>
        <v/>
      </c>
      <c r="J63" s="32"/>
    </row>
    <row r="64" spans="1:10" ht="19.5" customHeight="1" x14ac:dyDescent="0.25">
      <c r="A64" s="31" t="str">
        <f t="shared" si="0"/>
        <v/>
      </c>
      <c r="B64" s="45"/>
      <c r="C64" s="38" t="str">
        <f>IFERROR(IF(B64="","",VLOOKUP(B64,DB_Customers!$A:$B,2,0)),"")</f>
        <v/>
      </c>
      <c r="D64" s="45"/>
      <c r="E64" s="33"/>
      <c r="F64" s="46" t="str">
        <f t="shared" ca="1" si="1"/>
        <v/>
      </c>
      <c r="G64" s="32"/>
      <c r="H64" s="47" t="str">
        <f>IFERROR(IF(OR(B64="",E64=""),"",SUMIF(DB_Loans!$B:$B,B64,DB_Loans!$E:$E)+E64),"")</f>
        <v/>
      </c>
      <c r="I64" s="47" t="str">
        <f>IFERROR(IF(OR(B64="",E64=""),"",SUMIF(DB_Loans!$B:$B,B64,DB_Loans!$J:$J)+(E64*0.025)),"")</f>
        <v/>
      </c>
      <c r="J64" s="32"/>
    </row>
    <row r="65" spans="1:10" ht="19.5" customHeight="1" x14ac:dyDescent="0.25">
      <c r="A65" s="31" t="str">
        <f t="shared" si="0"/>
        <v/>
      </c>
      <c r="B65" s="45"/>
      <c r="C65" s="38" t="str">
        <f>IFERROR(IF(B65="","",VLOOKUP(B65,DB_Customers!$A:$B,2,0)),"")</f>
        <v/>
      </c>
      <c r="D65" s="45"/>
      <c r="E65" s="33"/>
      <c r="F65" s="46" t="str">
        <f t="shared" ca="1" si="1"/>
        <v/>
      </c>
      <c r="G65" s="32"/>
      <c r="H65" s="47" t="str">
        <f>IFERROR(IF(OR(B65="",E65=""),"",SUMIF(DB_Loans!$B:$B,B65,DB_Loans!$E:$E)+E65),"")</f>
        <v/>
      </c>
      <c r="I65" s="47" t="str">
        <f>IFERROR(IF(OR(B65="",E65=""),"",SUMIF(DB_Loans!$B:$B,B65,DB_Loans!$J:$J)+(E65*0.025)),"")</f>
        <v/>
      </c>
      <c r="J65" s="32"/>
    </row>
    <row r="66" spans="1:10" ht="19.5" customHeight="1" x14ac:dyDescent="0.25">
      <c r="A66" s="31" t="str">
        <f t="shared" si="0"/>
        <v/>
      </c>
      <c r="B66" s="45"/>
      <c r="C66" s="38" t="str">
        <f>IFERROR(IF(B66="","",VLOOKUP(B66,DB_Customers!$A:$B,2,0)),"")</f>
        <v/>
      </c>
      <c r="D66" s="45"/>
      <c r="E66" s="33"/>
      <c r="F66" s="46" t="str">
        <f t="shared" ca="1" si="1"/>
        <v/>
      </c>
      <c r="G66" s="32"/>
      <c r="H66" s="47" t="str">
        <f>IFERROR(IF(OR(B66="",E66=""),"",SUMIF(DB_Loans!$B:$B,B66,DB_Loans!$E:$E)+E66),"")</f>
        <v/>
      </c>
      <c r="I66" s="47" t="str">
        <f>IFERROR(IF(OR(B66="",E66=""),"",SUMIF(DB_Loans!$B:$B,B66,DB_Loans!$J:$J)+(E66*0.025)),"")</f>
        <v/>
      </c>
      <c r="J66" s="32"/>
    </row>
    <row r="67" spans="1:10" ht="19.5" customHeight="1" x14ac:dyDescent="0.25">
      <c r="A67" s="31" t="str">
        <f t="shared" si="0"/>
        <v/>
      </c>
      <c r="B67" s="45"/>
      <c r="C67" s="38" t="str">
        <f>IFERROR(IF(B67="","",VLOOKUP(B67,DB_Customers!$A:$B,2,0)),"")</f>
        <v/>
      </c>
      <c r="D67" s="45"/>
      <c r="E67" s="33"/>
      <c r="F67" s="46" t="str">
        <f t="shared" ca="1" si="1"/>
        <v/>
      </c>
      <c r="G67" s="32"/>
      <c r="H67" s="47" t="str">
        <f>IFERROR(IF(OR(B67="",E67=""),"",SUMIF(DB_Loans!$B:$B,B67,DB_Loans!$E:$E)+E67),"")</f>
        <v/>
      </c>
      <c r="I67" s="47" t="str">
        <f>IFERROR(IF(OR(B67="",E67=""),"",SUMIF(DB_Loans!$B:$B,B67,DB_Loans!$J:$J)+(E67*0.025)),"")</f>
        <v/>
      </c>
      <c r="J67" s="32"/>
    </row>
    <row r="68" spans="1:10" ht="19.5" customHeight="1" x14ac:dyDescent="0.25">
      <c r="A68" s="31" t="str">
        <f t="shared" si="0"/>
        <v/>
      </c>
      <c r="B68" s="45"/>
      <c r="C68" s="38" t="str">
        <f>IFERROR(IF(B68="","",VLOOKUP(B68,DB_Customers!$A:$B,2,0)),"")</f>
        <v/>
      </c>
      <c r="D68" s="45"/>
      <c r="E68" s="33"/>
      <c r="F68" s="46" t="str">
        <f t="shared" ca="1" si="1"/>
        <v/>
      </c>
      <c r="G68" s="32"/>
      <c r="H68" s="47" t="str">
        <f>IFERROR(IF(OR(B68="",E68=""),"",SUMIF(DB_Loans!$B:$B,B68,DB_Loans!$E:$E)+E68),"")</f>
        <v/>
      </c>
      <c r="I68" s="47" t="str">
        <f>IFERROR(IF(OR(B68="",E68=""),"",SUMIF(DB_Loans!$B:$B,B68,DB_Loans!$J:$J)+(E68*0.025)),"")</f>
        <v/>
      </c>
      <c r="J68" s="32"/>
    </row>
    <row r="69" spans="1:10" ht="19.5" customHeight="1" x14ac:dyDescent="0.25">
      <c r="A69" s="31" t="str">
        <f t="shared" ref="A69:A132" si="2">IF(B69="","","TU"&amp;TEXT(ROW()-4,"0000"))</f>
        <v/>
      </c>
      <c r="B69" s="45"/>
      <c r="C69" s="38" t="str">
        <f>IFERROR(IF(B69="","",VLOOKUP(B69,DB_Customers!$A:$B,2,0)),"")</f>
        <v/>
      </c>
      <c r="D69" s="45"/>
      <c r="E69" s="33"/>
      <c r="F69" s="46" t="str">
        <f t="shared" ref="F69:F132" ca="1" si="3">IF(B69="","",TODAY())</f>
        <v/>
      </c>
      <c r="G69" s="32"/>
      <c r="H69" s="47" t="str">
        <f>IFERROR(IF(OR(B69="",E69=""),"",SUMIF(DB_Loans!$B:$B,B69,DB_Loans!$E:$E)+E69),"")</f>
        <v/>
      </c>
      <c r="I69" s="47" t="str">
        <f>IFERROR(IF(OR(B69="",E69=""),"",SUMIF(DB_Loans!$B:$B,B69,DB_Loans!$J:$J)+(E69*0.025)),"")</f>
        <v/>
      </c>
      <c r="J69" s="32"/>
    </row>
    <row r="70" spans="1:10" ht="19.5" customHeight="1" x14ac:dyDescent="0.25">
      <c r="A70" s="31" t="str">
        <f t="shared" si="2"/>
        <v/>
      </c>
      <c r="B70" s="45"/>
      <c r="C70" s="38" t="str">
        <f>IFERROR(IF(B70="","",VLOOKUP(B70,DB_Customers!$A:$B,2,0)),"")</f>
        <v/>
      </c>
      <c r="D70" s="45"/>
      <c r="E70" s="33"/>
      <c r="F70" s="46" t="str">
        <f t="shared" ca="1" si="3"/>
        <v/>
      </c>
      <c r="G70" s="32"/>
      <c r="H70" s="47" t="str">
        <f>IFERROR(IF(OR(B70="",E70=""),"",SUMIF(DB_Loans!$B:$B,B70,DB_Loans!$E:$E)+E70),"")</f>
        <v/>
      </c>
      <c r="I70" s="47" t="str">
        <f>IFERROR(IF(OR(B70="",E70=""),"",SUMIF(DB_Loans!$B:$B,B70,DB_Loans!$J:$J)+(E70*0.025)),"")</f>
        <v/>
      </c>
      <c r="J70" s="32"/>
    </row>
    <row r="71" spans="1:10" ht="19.5" customHeight="1" x14ac:dyDescent="0.25">
      <c r="A71" s="31" t="str">
        <f t="shared" si="2"/>
        <v/>
      </c>
      <c r="B71" s="45"/>
      <c r="C71" s="38" t="str">
        <f>IFERROR(IF(B71="","",VLOOKUP(B71,DB_Customers!$A:$B,2,0)),"")</f>
        <v/>
      </c>
      <c r="D71" s="45"/>
      <c r="E71" s="33"/>
      <c r="F71" s="46" t="str">
        <f t="shared" ca="1" si="3"/>
        <v/>
      </c>
      <c r="G71" s="32"/>
      <c r="H71" s="47" t="str">
        <f>IFERROR(IF(OR(B71="",E71=""),"",SUMIF(DB_Loans!$B:$B,B71,DB_Loans!$E:$E)+E71),"")</f>
        <v/>
      </c>
      <c r="I71" s="47" t="str">
        <f>IFERROR(IF(OR(B71="",E71=""),"",SUMIF(DB_Loans!$B:$B,B71,DB_Loans!$J:$J)+(E71*0.025)),"")</f>
        <v/>
      </c>
      <c r="J71" s="32"/>
    </row>
    <row r="72" spans="1:10" ht="19.5" customHeight="1" x14ac:dyDescent="0.25">
      <c r="A72" s="31" t="str">
        <f t="shared" si="2"/>
        <v/>
      </c>
      <c r="B72" s="45"/>
      <c r="C72" s="38" t="str">
        <f>IFERROR(IF(B72="","",VLOOKUP(B72,DB_Customers!$A:$B,2,0)),"")</f>
        <v/>
      </c>
      <c r="D72" s="45"/>
      <c r="E72" s="33"/>
      <c r="F72" s="46" t="str">
        <f t="shared" ca="1" si="3"/>
        <v/>
      </c>
      <c r="G72" s="32"/>
      <c r="H72" s="47" t="str">
        <f>IFERROR(IF(OR(B72="",E72=""),"",SUMIF(DB_Loans!$B:$B,B72,DB_Loans!$E:$E)+E72),"")</f>
        <v/>
      </c>
      <c r="I72" s="47" t="str">
        <f>IFERROR(IF(OR(B72="",E72=""),"",SUMIF(DB_Loans!$B:$B,B72,DB_Loans!$J:$J)+(E72*0.025)),"")</f>
        <v/>
      </c>
      <c r="J72" s="32"/>
    </row>
    <row r="73" spans="1:10" ht="19.5" customHeight="1" x14ac:dyDescent="0.25">
      <c r="A73" s="31" t="str">
        <f t="shared" si="2"/>
        <v/>
      </c>
      <c r="B73" s="45"/>
      <c r="C73" s="38" t="str">
        <f>IFERROR(IF(B73="","",VLOOKUP(B73,DB_Customers!$A:$B,2,0)),"")</f>
        <v/>
      </c>
      <c r="D73" s="45"/>
      <c r="E73" s="33"/>
      <c r="F73" s="46" t="str">
        <f t="shared" ca="1" si="3"/>
        <v/>
      </c>
      <c r="G73" s="32"/>
      <c r="H73" s="47" t="str">
        <f>IFERROR(IF(OR(B73="",E73=""),"",SUMIF(DB_Loans!$B:$B,B73,DB_Loans!$E:$E)+E73),"")</f>
        <v/>
      </c>
      <c r="I73" s="47" t="str">
        <f>IFERROR(IF(OR(B73="",E73=""),"",SUMIF(DB_Loans!$B:$B,B73,DB_Loans!$J:$J)+(E73*0.025)),"")</f>
        <v/>
      </c>
      <c r="J73" s="32"/>
    </row>
    <row r="74" spans="1:10" ht="19.5" customHeight="1" x14ac:dyDescent="0.25">
      <c r="A74" s="31" t="str">
        <f t="shared" si="2"/>
        <v/>
      </c>
      <c r="B74" s="45"/>
      <c r="C74" s="38" t="str">
        <f>IFERROR(IF(B74="","",VLOOKUP(B74,DB_Customers!$A:$B,2,0)),"")</f>
        <v/>
      </c>
      <c r="D74" s="45"/>
      <c r="E74" s="33"/>
      <c r="F74" s="46" t="str">
        <f t="shared" ca="1" si="3"/>
        <v/>
      </c>
      <c r="G74" s="32"/>
      <c r="H74" s="47" t="str">
        <f>IFERROR(IF(OR(B74="",E74=""),"",SUMIF(DB_Loans!$B:$B,B74,DB_Loans!$E:$E)+E74),"")</f>
        <v/>
      </c>
      <c r="I74" s="47" t="str">
        <f>IFERROR(IF(OR(B74="",E74=""),"",SUMIF(DB_Loans!$B:$B,B74,DB_Loans!$J:$J)+(E74*0.025)),"")</f>
        <v/>
      </c>
      <c r="J74" s="32"/>
    </row>
    <row r="75" spans="1:10" ht="19.5" customHeight="1" x14ac:dyDescent="0.25">
      <c r="A75" s="31" t="str">
        <f t="shared" si="2"/>
        <v/>
      </c>
      <c r="B75" s="45"/>
      <c r="C75" s="38" t="str">
        <f>IFERROR(IF(B75="","",VLOOKUP(B75,DB_Customers!$A:$B,2,0)),"")</f>
        <v/>
      </c>
      <c r="D75" s="45"/>
      <c r="E75" s="33"/>
      <c r="F75" s="46" t="str">
        <f t="shared" ca="1" si="3"/>
        <v/>
      </c>
      <c r="G75" s="32"/>
      <c r="H75" s="47" t="str">
        <f>IFERROR(IF(OR(B75="",E75=""),"",SUMIF(DB_Loans!$B:$B,B75,DB_Loans!$E:$E)+E75),"")</f>
        <v/>
      </c>
      <c r="I75" s="47" t="str">
        <f>IFERROR(IF(OR(B75="",E75=""),"",SUMIF(DB_Loans!$B:$B,B75,DB_Loans!$J:$J)+(E75*0.025)),"")</f>
        <v/>
      </c>
      <c r="J75" s="32"/>
    </row>
    <row r="76" spans="1:10" ht="19.5" customHeight="1" x14ac:dyDescent="0.25">
      <c r="A76" s="31" t="str">
        <f t="shared" si="2"/>
        <v/>
      </c>
      <c r="B76" s="45"/>
      <c r="C76" s="38" t="str">
        <f>IFERROR(IF(B76="","",VLOOKUP(B76,DB_Customers!$A:$B,2,0)),"")</f>
        <v/>
      </c>
      <c r="D76" s="45"/>
      <c r="E76" s="33"/>
      <c r="F76" s="46" t="str">
        <f t="shared" ca="1" si="3"/>
        <v/>
      </c>
      <c r="G76" s="32"/>
      <c r="H76" s="47" t="str">
        <f>IFERROR(IF(OR(B76="",E76=""),"",SUMIF(DB_Loans!$B:$B,B76,DB_Loans!$E:$E)+E76),"")</f>
        <v/>
      </c>
      <c r="I76" s="47" t="str">
        <f>IFERROR(IF(OR(B76="",E76=""),"",SUMIF(DB_Loans!$B:$B,B76,DB_Loans!$J:$J)+(E76*0.025)),"")</f>
        <v/>
      </c>
      <c r="J76" s="32"/>
    </row>
    <row r="77" spans="1:10" ht="19.5" customHeight="1" x14ac:dyDescent="0.25">
      <c r="A77" s="31" t="str">
        <f t="shared" si="2"/>
        <v/>
      </c>
      <c r="B77" s="45"/>
      <c r="C77" s="38" t="str">
        <f>IFERROR(IF(B77="","",VLOOKUP(B77,DB_Customers!$A:$B,2,0)),"")</f>
        <v/>
      </c>
      <c r="D77" s="45"/>
      <c r="E77" s="33"/>
      <c r="F77" s="46" t="str">
        <f t="shared" ca="1" si="3"/>
        <v/>
      </c>
      <c r="G77" s="32"/>
      <c r="H77" s="47" t="str">
        <f>IFERROR(IF(OR(B77="",E77=""),"",SUMIF(DB_Loans!$B:$B,B77,DB_Loans!$E:$E)+E77),"")</f>
        <v/>
      </c>
      <c r="I77" s="47" t="str">
        <f>IFERROR(IF(OR(B77="",E77=""),"",SUMIF(DB_Loans!$B:$B,B77,DB_Loans!$J:$J)+(E77*0.025)),"")</f>
        <v/>
      </c>
      <c r="J77" s="32"/>
    </row>
    <row r="78" spans="1:10" ht="19.5" customHeight="1" x14ac:dyDescent="0.25">
      <c r="A78" s="31" t="str">
        <f t="shared" si="2"/>
        <v/>
      </c>
      <c r="B78" s="45"/>
      <c r="C78" s="38" t="str">
        <f>IFERROR(IF(B78="","",VLOOKUP(B78,DB_Customers!$A:$B,2,0)),"")</f>
        <v/>
      </c>
      <c r="D78" s="45"/>
      <c r="E78" s="33"/>
      <c r="F78" s="46" t="str">
        <f t="shared" ca="1" si="3"/>
        <v/>
      </c>
      <c r="G78" s="32"/>
      <c r="H78" s="47" t="str">
        <f>IFERROR(IF(OR(B78="",E78=""),"",SUMIF(DB_Loans!$B:$B,B78,DB_Loans!$E:$E)+E78),"")</f>
        <v/>
      </c>
      <c r="I78" s="47" t="str">
        <f>IFERROR(IF(OR(B78="",E78=""),"",SUMIF(DB_Loans!$B:$B,B78,DB_Loans!$J:$J)+(E78*0.025)),"")</f>
        <v/>
      </c>
      <c r="J78" s="32"/>
    </row>
    <row r="79" spans="1:10" ht="19.5" customHeight="1" x14ac:dyDescent="0.25">
      <c r="A79" s="31" t="str">
        <f t="shared" si="2"/>
        <v/>
      </c>
      <c r="B79" s="45"/>
      <c r="C79" s="38" t="str">
        <f>IFERROR(IF(B79="","",VLOOKUP(B79,DB_Customers!$A:$B,2,0)),"")</f>
        <v/>
      </c>
      <c r="D79" s="45"/>
      <c r="E79" s="33"/>
      <c r="F79" s="46" t="str">
        <f t="shared" ca="1" si="3"/>
        <v/>
      </c>
      <c r="G79" s="32"/>
      <c r="H79" s="47" t="str">
        <f>IFERROR(IF(OR(B79="",E79=""),"",SUMIF(DB_Loans!$B:$B,B79,DB_Loans!$E:$E)+E79),"")</f>
        <v/>
      </c>
      <c r="I79" s="47" t="str">
        <f>IFERROR(IF(OR(B79="",E79=""),"",SUMIF(DB_Loans!$B:$B,B79,DB_Loans!$J:$J)+(E79*0.025)),"")</f>
        <v/>
      </c>
      <c r="J79" s="32"/>
    </row>
    <row r="80" spans="1:10" ht="19.5" customHeight="1" x14ac:dyDescent="0.25">
      <c r="A80" s="31" t="str">
        <f t="shared" si="2"/>
        <v/>
      </c>
      <c r="B80" s="45"/>
      <c r="C80" s="38" t="str">
        <f>IFERROR(IF(B80="","",VLOOKUP(B80,DB_Customers!$A:$B,2,0)),"")</f>
        <v/>
      </c>
      <c r="D80" s="45"/>
      <c r="E80" s="33"/>
      <c r="F80" s="46" t="str">
        <f t="shared" ca="1" si="3"/>
        <v/>
      </c>
      <c r="G80" s="32"/>
      <c r="H80" s="47" t="str">
        <f>IFERROR(IF(OR(B80="",E80=""),"",SUMIF(DB_Loans!$B:$B,B80,DB_Loans!$E:$E)+E80),"")</f>
        <v/>
      </c>
      <c r="I80" s="47" t="str">
        <f>IFERROR(IF(OR(B80="",E80=""),"",SUMIF(DB_Loans!$B:$B,B80,DB_Loans!$J:$J)+(E80*0.025)),"")</f>
        <v/>
      </c>
      <c r="J80" s="32"/>
    </row>
    <row r="81" spans="1:10" ht="19.5" customHeight="1" x14ac:dyDescent="0.25">
      <c r="A81" s="31" t="str">
        <f t="shared" si="2"/>
        <v/>
      </c>
      <c r="B81" s="45"/>
      <c r="C81" s="38" t="str">
        <f>IFERROR(IF(B81="","",VLOOKUP(B81,DB_Customers!$A:$B,2,0)),"")</f>
        <v/>
      </c>
      <c r="D81" s="45"/>
      <c r="E81" s="33"/>
      <c r="F81" s="46" t="str">
        <f t="shared" ca="1" si="3"/>
        <v/>
      </c>
      <c r="G81" s="32"/>
      <c r="H81" s="47" t="str">
        <f>IFERROR(IF(OR(B81="",E81=""),"",SUMIF(DB_Loans!$B:$B,B81,DB_Loans!$E:$E)+E81),"")</f>
        <v/>
      </c>
      <c r="I81" s="47" t="str">
        <f>IFERROR(IF(OR(B81="",E81=""),"",SUMIF(DB_Loans!$B:$B,B81,DB_Loans!$J:$J)+(E81*0.025)),"")</f>
        <v/>
      </c>
      <c r="J81" s="32"/>
    </row>
    <row r="82" spans="1:10" ht="19.5" customHeight="1" x14ac:dyDescent="0.25">
      <c r="A82" s="31" t="str">
        <f t="shared" si="2"/>
        <v/>
      </c>
      <c r="B82" s="45"/>
      <c r="C82" s="38" t="str">
        <f>IFERROR(IF(B82="","",VLOOKUP(B82,DB_Customers!$A:$B,2,0)),"")</f>
        <v/>
      </c>
      <c r="D82" s="45"/>
      <c r="E82" s="33"/>
      <c r="F82" s="46" t="str">
        <f t="shared" ca="1" si="3"/>
        <v/>
      </c>
      <c r="G82" s="32"/>
      <c r="H82" s="47" t="str">
        <f>IFERROR(IF(OR(B82="",E82=""),"",SUMIF(DB_Loans!$B:$B,B82,DB_Loans!$E:$E)+E82),"")</f>
        <v/>
      </c>
      <c r="I82" s="47" t="str">
        <f>IFERROR(IF(OR(B82="",E82=""),"",SUMIF(DB_Loans!$B:$B,B82,DB_Loans!$J:$J)+(E82*0.025)),"")</f>
        <v/>
      </c>
      <c r="J82" s="32"/>
    </row>
    <row r="83" spans="1:10" ht="19.5" customHeight="1" x14ac:dyDescent="0.25">
      <c r="A83" s="31" t="str">
        <f t="shared" si="2"/>
        <v/>
      </c>
      <c r="B83" s="45"/>
      <c r="C83" s="38" t="str">
        <f>IFERROR(IF(B83="","",VLOOKUP(B83,DB_Customers!$A:$B,2,0)),"")</f>
        <v/>
      </c>
      <c r="D83" s="45"/>
      <c r="E83" s="33"/>
      <c r="F83" s="46" t="str">
        <f t="shared" ca="1" si="3"/>
        <v/>
      </c>
      <c r="G83" s="32"/>
      <c r="H83" s="47" t="str">
        <f>IFERROR(IF(OR(B83="",E83=""),"",SUMIF(DB_Loans!$B:$B,B83,DB_Loans!$E:$E)+E83),"")</f>
        <v/>
      </c>
      <c r="I83" s="47" t="str">
        <f>IFERROR(IF(OR(B83="",E83=""),"",SUMIF(DB_Loans!$B:$B,B83,DB_Loans!$J:$J)+(E83*0.025)),"")</f>
        <v/>
      </c>
      <c r="J83" s="32"/>
    </row>
    <row r="84" spans="1:10" ht="19.5" customHeight="1" x14ac:dyDescent="0.25">
      <c r="A84" s="31" t="str">
        <f t="shared" si="2"/>
        <v/>
      </c>
      <c r="B84" s="45"/>
      <c r="C84" s="38" t="str">
        <f>IFERROR(IF(B84="","",VLOOKUP(B84,DB_Customers!$A:$B,2,0)),"")</f>
        <v/>
      </c>
      <c r="D84" s="45"/>
      <c r="E84" s="33"/>
      <c r="F84" s="46" t="str">
        <f t="shared" ca="1" si="3"/>
        <v/>
      </c>
      <c r="G84" s="32"/>
      <c r="H84" s="47" t="str">
        <f>IFERROR(IF(OR(B84="",E84=""),"",SUMIF(DB_Loans!$B:$B,B84,DB_Loans!$E:$E)+E84),"")</f>
        <v/>
      </c>
      <c r="I84" s="47" t="str">
        <f>IFERROR(IF(OR(B84="",E84=""),"",SUMIF(DB_Loans!$B:$B,B84,DB_Loans!$J:$J)+(E84*0.025)),"")</f>
        <v/>
      </c>
      <c r="J84" s="32"/>
    </row>
    <row r="85" spans="1:10" ht="19.5" customHeight="1" x14ac:dyDescent="0.25">
      <c r="A85" s="31" t="str">
        <f t="shared" si="2"/>
        <v/>
      </c>
      <c r="B85" s="45"/>
      <c r="C85" s="38" t="str">
        <f>IFERROR(IF(B85="","",VLOOKUP(B85,DB_Customers!$A:$B,2,0)),"")</f>
        <v/>
      </c>
      <c r="D85" s="45"/>
      <c r="E85" s="33"/>
      <c r="F85" s="46" t="str">
        <f t="shared" ca="1" si="3"/>
        <v/>
      </c>
      <c r="G85" s="32"/>
      <c r="H85" s="47" t="str">
        <f>IFERROR(IF(OR(B85="",E85=""),"",SUMIF(DB_Loans!$B:$B,B85,DB_Loans!$E:$E)+E85),"")</f>
        <v/>
      </c>
      <c r="I85" s="47" t="str">
        <f>IFERROR(IF(OR(B85="",E85=""),"",SUMIF(DB_Loans!$B:$B,B85,DB_Loans!$J:$J)+(E85*0.025)),"")</f>
        <v/>
      </c>
      <c r="J85" s="32"/>
    </row>
    <row r="86" spans="1:10" ht="19.5" customHeight="1" x14ac:dyDescent="0.25">
      <c r="A86" s="31" t="str">
        <f t="shared" si="2"/>
        <v/>
      </c>
      <c r="B86" s="45"/>
      <c r="C86" s="38" t="str">
        <f>IFERROR(IF(B86="","",VLOOKUP(B86,DB_Customers!$A:$B,2,0)),"")</f>
        <v/>
      </c>
      <c r="D86" s="45"/>
      <c r="E86" s="33"/>
      <c r="F86" s="46" t="str">
        <f t="shared" ca="1" si="3"/>
        <v/>
      </c>
      <c r="G86" s="32"/>
      <c r="H86" s="47" t="str">
        <f>IFERROR(IF(OR(B86="",E86=""),"",SUMIF(DB_Loans!$B:$B,B86,DB_Loans!$E:$E)+E86),"")</f>
        <v/>
      </c>
      <c r="I86" s="47" t="str">
        <f>IFERROR(IF(OR(B86="",E86=""),"",SUMIF(DB_Loans!$B:$B,B86,DB_Loans!$J:$J)+(E86*0.025)),"")</f>
        <v/>
      </c>
      <c r="J86" s="32"/>
    </row>
    <row r="87" spans="1:10" ht="19.5" customHeight="1" x14ac:dyDescent="0.25">
      <c r="A87" s="31" t="str">
        <f t="shared" si="2"/>
        <v/>
      </c>
      <c r="B87" s="45"/>
      <c r="C87" s="38" t="str">
        <f>IFERROR(IF(B87="","",VLOOKUP(B87,DB_Customers!$A:$B,2,0)),"")</f>
        <v/>
      </c>
      <c r="D87" s="45"/>
      <c r="E87" s="33"/>
      <c r="F87" s="46" t="str">
        <f t="shared" ca="1" si="3"/>
        <v/>
      </c>
      <c r="G87" s="32"/>
      <c r="H87" s="47" t="str">
        <f>IFERROR(IF(OR(B87="",E87=""),"",SUMIF(DB_Loans!$B:$B,B87,DB_Loans!$E:$E)+E87),"")</f>
        <v/>
      </c>
      <c r="I87" s="47" t="str">
        <f>IFERROR(IF(OR(B87="",E87=""),"",SUMIF(DB_Loans!$B:$B,B87,DB_Loans!$J:$J)+(E87*0.025)),"")</f>
        <v/>
      </c>
      <c r="J87" s="32"/>
    </row>
    <row r="88" spans="1:10" ht="19.5" customHeight="1" x14ac:dyDescent="0.25">
      <c r="A88" s="31" t="str">
        <f t="shared" si="2"/>
        <v/>
      </c>
      <c r="B88" s="45"/>
      <c r="C88" s="38" t="str">
        <f>IFERROR(IF(B88="","",VLOOKUP(B88,DB_Customers!$A:$B,2,0)),"")</f>
        <v/>
      </c>
      <c r="D88" s="45"/>
      <c r="E88" s="33"/>
      <c r="F88" s="46" t="str">
        <f t="shared" ca="1" si="3"/>
        <v/>
      </c>
      <c r="G88" s="32"/>
      <c r="H88" s="47" t="str">
        <f>IFERROR(IF(OR(B88="",E88=""),"",SUMIF(DB_Loans!$B:$B,B88,DB_Loans!$E:$E)+E88),"")</f>
        <v/>
      </c>
      <c r="I88" s="47" t="str">
        <f>IFERROR(IF(OR(B88="",E88=""),"",SUMIF(DB_Loans!$B:$B,B88,DB_Loans!$J:$J)+(E88*0.025)),"")</f>
        <v/>
      </c>
      <c r="J88" s="32"/>
    </row>
    <row r="89" spans="1:10" ht="19.5" customHeight="1" x14ac:dyDescent="0.25">
      <c r="A89" s="31" t="str">
        <f t="shared" si="2"/>
        <v/>
      </c>
      <c r="B89" s="45"/>
      <c r="C89" s="38" t="str">
        <f>IFERROR(IF(B89="","",VLOOKUP(B89,DB_Customers!$A:$B,2,0)),"")</f>
        <v/>
      </c>
      <c r="D89" s="45"/>
      <c r="E89" s="33"/>
      <c r="F89" s="46" t="str">
        <f t="shared" ca="1" si="3"/>
        <v/>
      </c>
      <c r="G89" s="32"/>
      <c r="H89" s="47" t="str">
        <f>IFERROR(IF(OR(B89="",E89=""),"",SUMIF(DB_Loans!$B:$B,B89,DB_Loans!$E:$E)+E89),"")</f>
        <v/>
      </c>
      <c r="I89" s="47" t="str">
        <f>IFERROR(IF(OR(B89="",E89=""),"",SUMIF(DB_Loans!$B:$B,B89,DB_Loans!$J:$J)+(E89*0.025)),"")</f>
        <v/>
      </c>
      <c r="J89" s="32"/>
    </row>
    <row r="90" spans="1:10" ht="19.5" customHeight="1" x14ac:dyDescent="0.25">
      <c r="A90" s="31" t="str">
        <f t="shared" si="2"/>
        <v/>
      </c>
      <c r="B90" s="45"/>
      <c r="C90" s="38" t="str">
        <f>IFERROR(IF(B90="","",VLOOKUP(B90,DB_Customers!$A:$B,2,0)),"")</f>
        <v/>
      </c>
      <c r="D90" s="45"/>
      <c r="E90" s="33"/>
      <c r="F90" s="46" t="str">
        <f t="shared" ca="1" si="3"/>
        <v/>
      </c>
      <c r="G90" s="32"/>
      <c r="H90" s="47" t="str">
        <f>IFERROR(IF(OR(B90="",E90=""),"",SUMIF(DB_Loans!$B:$B,B90,DB_Loans!$E:$E)+E90),"")</f>
        <v/>
      </c>
      <c r="I90" s="47" t="str">
        <f>IFERROR(IF(OR(B90="",E90=""),"",SUMIF(DB_Loans!$B:$B,B90,DB_Loans!$J:$J)+(E90*0.025)),"")</f>
        <v/>
      </c>
      <c r="J90" s="32"/>
    </row>
    <row r="91" spans="1:10" ht="19.5" customHeight="1" x14ac:dyDescent="0.25">
      <c r="A91" s="31" t="str">
        <f t="shared" si="2"/>
        <v/>
      </c>
      <c r="B91" s="45"/>
      <c r="C91" s="38" t="str">
        <f>IFERROR(IF(B91="","",VLOOKUP(B91,DB_Customers!$A:$B,2,0)),"")</f>
        <v/>
      </c>
      <c r="D91" s="45"/>
      <c r="E91" s="33"/>
      <c r="F91" s="46" t="str">
        <f t="shared" ca="1" si="3"/>
        <v/>
      </c>
      <c r="G91" s="32"/>
      <c r="H91" s="47" t="str">
        <f>IFERROR(IF(OR(B91="",E91=""),"",SUMIF(DB_Loans!$B:$B,B91,DB_Loans!$E:$E)+E91),"")</f>
        <v/>
      </c>
      <c r="I91" s="47" t="str">
        <f>IFERROR(IF(OR(B91="",E91=""),"",SUMIF(DB_Loans!$B:$B,B91,DB_Loans!$J:$J)+(E91*0.025)),"")</f>
        <v/>
      </c>
      <c r="J91" s="32"/>
    </row>
    <row r="92" spans="1:10" ht="19.5" customHeight="1" x14ac:dyDescent="0.25">
      <c r="A92" s="31" t="str">
        <f t="shared" si="2"/>
        <v/>
      </c>
      <c r="B92" s="45"/>
      <c r="C92" s="38" t="str">
        <f>IFERROR(IF(B92="","",VLOOKUP(B92,DB_Customers!$A:$B,2,0)),"")</f>
        <v/>
      </c>
      <c r="D92" s="45"/>
      <c r="E92" s="33"/>
      <c r="F92" s="46" t="str">
        <f t="shared" ca="1" si="3"/>
        <v/>
      </c>
      <c r="G92" s="32"/>
      <c r="H92" s="47" t="str">
        <f>IFERROR(IF(OR(B92="",E92=""),"",SUMIF(DB_Loans!$B:$B,B92,DB_Loans!$E:$E)+E92),"")</f>
        <v/>
      </c>
      <c r="I92" s="47" t="str">
        <f>IFERROR(IF(OR(B92="",E92=""),"",SUMIF(DB_Loans!$B:$B,B92,DB_Loans!$J:$J)+(E92*0.025)),"")</f>
        <v/>
      </c>
      <c r="J92" s="32"/>
    </row>
    <row r="93" spans="1:10" ht="19.5" customHeight="1" x14ac:dyDescent="0.25">
      <c r="A93" s="31" t="str">
        <f t="shared" si="2"/>
        <v/>
      </c>
      <c r="B93" s="45"/>
      <c r="C93" s="38" t="str">
        <f>IFERROR(IF(B93="","",VLOOKUP(B93,DB_Customers!$A:$B,2,0)),"")</f>
        <v/>
      </c>
      <c r="D93" s="45"/>
      <c r="E93" s="33"/>
      <c r="F93" s="46" t="str">
        <f t="shared" ca="1" si="3"/>
        <v/>
      </c>
      <c r="G93" s="32"/>
      <c r="H93" s="47" t="str">
        <f>IFERROR(IF(OR(B93="",E93=""),"",SUMIF(DB_Loans!$B:$B,B93,DB_Loans!$E:$E)+E93),"")</f>
        <v/>
      </c>
      <c r="I93" s="47" t="str">
        <f>IFERROR(IF(OR(B93="",E93=""),"",SUMIF(DB_Loans!$B:$B,B93,DB_Loans!$J:$J)+(E93*0.025)),"")</f>
        <v/>
      </c>
      <c r="J93" s="32"/>
    </row>
    <row r="94" spans="1:10" ht="19.5" customHeight="1" x14ac:dyDescent="0.25">
      <c r="A94" s="31" t="str">
        <f t="shared" si="2"/>
        <v/>
      </c>
      <c r="B94" s="45"/>
      <c r="C94" s="38" t="str">
        <f>IFERROR(IF(B94="","",VLOOKUP(B94,DB_Customers!$A:$B,2,0)),"")</f>
        <v/>
      </c>
      <c r="D94" s="45"/>
      <c r="E94" s="33"/>
      <c r="F94" s="46" t="str">
        <f t="shared" ca="1" si="3"/>
        <v/>
      </c>
      <c r="G94" s="32"/>
      <c r="H94" s="47" t="str">
        <f>IFERROR(IF(OR(B94="",E94=""),"",SUMIF(DB_Loans!$B:$B,B94,DB_Loans!$E:$E)+E94),"")</f>
        <v/>
      </c>
      <c r="I94" s="47" t="str">
        <f>IFERROR(IF(OR(B94="",E94=""),"",SUMIF(DB_Loans!$B:$B,B94,DB_Loans!$J:$J)+(E94*0.025)),"")</f>
        <v/>
      </c>
      <c r="J94" s="32"/>
    </row>
    <row r="95" spans="1:10" ht="19.5" customHeight="1" x14ac:dyDescent="0.25">
      <c r="A95" s="31" t="str">
        <f t="shared" si="2"/>
        <v/>
      </c>
      <c r="B95" s="45"/>
      <c r="C95" s="38" t="str">
        <f>IFERROR(IF(B95="","",VLOOKUP(B95,DB_Customers!$A:$B,2,0)),"")</f>
        <v/>
      </c>
      <c r="D95" s="45"/>
      <c r="E95" s="33"/>
      <c r="F95" s="46" t="str">
        <f t="shared" ca="1" si="3"/>
        <v/>
      </c>
      <c r="G95" s="32"/>
      <c r="H95" s="47" t="str">
        <f>IFERROR(IF(OR(B95="",E95=""),"",SUMIF(DB_Loans!$B:$B,B95,DB_Loans!$E:$E)+E95),"")</f>
        <v/>
      </c>
      <c r="I95" s="47" t="str">
        <f>IFERROR(IF(OR(B95="",E95=""),"",SUMIF(DB_Loans!$B:$B,B95,DB_Loans!$J:$J)+(E95*0.025)),"")</f>
        <v/>
      </c>
      <c r="J95" s="32"/>
    </row>
    <row r="96" spans="1:10" ht="19.5" customHeight="1" x14ac:dyDescent="0.25">
      <c r="A96" s="31" t="str">
        <f t="shared" si="2"/>
        <v/>
      </c>
      <c r="B96" s="45"/>
      <c r="C96" s="38" t="str">
        <f>IFERROR(IF(B96="","",VLOOKUP(B96,DB_Customers!$A:$B,2,0)),"")</f>
        <v/>
      </c>
      <c r="D96" s="45"/>
      <c r="E96" s="33"/>
      <c r="F96" s="46" t="str">
        <f t="shared" ca="1" si="3"/>
        <v/>
      </c>
      <c r="G96" s="32"/>
      <c r="H96" s="47" t="str">
        <f>IFERROR(IF(OR(B96="",E96=""),"",SUMIF(DB_Loans!$B:$B,B96,DB_Loans!$E:$E)+E96),"")</f>
        <v/>
      </c>
      <c r="I96" s="47" t="str">
        <f>IFERROR(IF(OR(B96="",E96=""),"",SUMIF(DB_Loans!$B:$B,B96,DB_Loans!$J:$J)+(E96*0.025)),"")</f>
        <v/>
      </c>
      <c r="J96" s="32"/>
    </row>
    <row r="97" spans="1:10" ht="19.5" customHeight="1" x14ac:dyDescent="0.25">
      <c r="A97" s="31" t="str">
        <f t="shared" si="2"/>
        <v/>
      </c>
      <c r="B97" s="45"/>
      <c r="C97" s="38" t="str">
        <f>IFERROR(IF(B97="","",VLOOKUP(B97,DB_Customers!$A:$B,2,0)),"")</f>
        <v/>
      </c>
      <c r="D97" s="45"/>
      <c r="E97" s="33"/>
      <c r="F97" s="46" t="str">
        <f t="shared" ca="1" si="3"/>
        <v/>
      </c>
      <c r="G97" s="32"/>
      <c r="H97" s="47" t="str">
        <f>IFERROR(IF(OR(B97="",E97=""),"",SUMIF(DB_Loans!$B:$B,B97,DB_Loans!$E:$E)+E97),"")</f>
        <v/>
      </c>
      <c r="I97" s="47" t="str">
        <f>IFERROR(IF(OR(B97="",E97=""),"",SUMIF(DB_Loans!$B:$B,B97,DB_Loans!$J:$J)+(E97*0.025)),"")</f>
        <v/>
      </c>
      <c r="J97" s="32"/>
    </row>
    <row r="98" spans="1:10" ht="19.5" customHeight="1" x14ac:dyDescent="0.25">
      <c r="A98" s="31" t="str">
        <f t="shared" si="2"/>
        <v/>
      </c>
      <c r="B98" s="45"/>
      <c r="C98" s="38" t="str">
        <f>IFERROR(IF(B98="","",VLOOKUP(B98,DB_Customers!$A:$B,2,0)),"")</f>
        <v/>
      </c>
      <c r="D98" s="45"/>
      <c r="E98" s="33"/>
      <c r="F98" s="46" t="str">
        <f t="shared" ca="1" si="3"/>
        <v/>
      </c>
      <c r="G98" s="32"/>
      <c r="H98" s="47" t="str">
        <f>IFERROR(IF(OR(B98="",E98=""),"",SUMIF(DB_Loans!$B:$B,B98,DB_Loans!$E:$E)+E98),"")</f>
        <v/>
      </c>
      <c r="I98" s="47" t="str">
        <f>IFERROR(IF(OR(B98="",E98=""),"",SUMIF(DB_Loans!$B:$B,B98,DB_Loans!$J:$J)+(E98*0.025)),"")</f>
        <v/>
      </c>
      <c r="J98" s="32"/>
    </row>
    <row r="99" spans="1:10" ht="19.5" customHeight="1" x14ac:dyDescent="0.25">
      <c r="A99" s="31" t="str">
        <f t="shared" si="2"/>
        <v/>
      </c>
      <c r="B99" s="45"/>
      <c r="C99" s="38" t="str">
        <f>IFERROR(IF(B99="","",VLOOKUP(B99,DB_Customers!$A:$B,2,0)),"")</f>
        <v/>
      </c>
      <c r="D99" s="45"/>
      <c r="E99" s="33"/>
      <c r="F99" s="46" t="str">
        <f t="shared" ca="1" si="3"/>
        <v/>
      </c>
      <c r="G99" s="32"/>
      <c r="H99" s="47" t="str">
        <f>IFERROR(IF(OR(B99="",E99=""),"",SUMIF(DB_Loans!$B:$B,B99,DB_Loans!$E:$E)+E99),"")</f>
        <v/>
      </c>
      <c r="I99" s="47" t="str">
        <f>IFERROR(IF(OR(B99="",E99=""),"",SUMIF(DB_Loans!$B:$B,B99,DB_Loans!$J:$J)+(E99*0.025)),"")</f>
        <v/>
      </c>
      <c r="J99" s="32"/>
    </row>
    <row r="100" spans="1:10" ht="19.5" customHeight="1" x14ac:dyDescent="0.25">
      <c r="A100" s="31" t="str">
        <f t="shared" si="2"/>
        <v/>
      </c>
      <c r="B100" s="45"/>
      <c r="C100" s="38" t="str">
        <f>IFERROR(IF(B100="","",VLOOKUP(B100,DB_Customers!$A:$B,2,0)),"")</f>
        <v/>
      </c>
      <c r="D100" s="45"/>
      <c r="E100" s="33"/>
      <c r="F100" s="46" t="str">
        <f t="shared" ca="1" si="3"/>
        <v/>
      </c>
      <c r="G100" s="32"/>
      <c r="H100" s="47" t="str">
        <f>IFERROR(IF(OR(B100="",E100=""),"",SUMIF(DB_Loans!$B:$B,B100,DB_Loans!$E:$E)+E100),"")</f>
        <v/>
      </c>
      <c r="I100" s="47" t="str">
        <f>IFERROR(IF(OR(B100="",E100=""),"",SUMIF(DB_Loans!$B:$B,B100,DB_Loans!$J:$J)+(E100*0.025)),"")</f>
        <v/>
      </c>
      <c r="J100" s="32"/>
    </row>
    <row r="101" spans="1:10" ht="19.5" customHeight="1" x14ac:dyDescent="0.25">
      <c r="A101" s="31" t="str">
        <f t="shared" si="2"/>
        <v/>
      </c>
      <c r="B101" s="45"/>
      <c r="C101" s="38" t="str">
        <f>IFERROR(IF(B101="","",VLOOKUP(B101,DB_Customers!$A:$B,2,0)),"")</f>
        <v/>
      </c>
      <c r="D101" s="45"/>
      <c r="E101" s="33"/>
      <c r="F101" s="46" t="str">
        <f t="shared" ca="1" si="3"/>
        <v/>
      </c>
      <c r="G101" s="32"/>
      <c r="H101" s="47" t="str">
        <f>IFERROR(IF(OR(B101="",E101=""),"",SUMIF(DB_Loans!$B:$B,B101,DB_Loans!$E:$E)+E101),"")</f>
        <v/>
      </c>
      <c r="I101" s="47" t="str">
        <f>IFERROR(IF(OR(B101="",E101=""),"",SUMIF(DB_Loans!$B:$B,B101,DB_Loans!$J:$J)+(E101*0.025)),"")</f>
        <v/>
      </c>
      <c r="J101" s="32"/>
    </row>
    <row r="102" spans="1:10" ht="19.5" customHeight="1" x14ac:dyDescent="0.25">
      <c r="A102" s="31" t="str">
        <f t="shared" si="2"/>
        <v/>
      </c>
      <c r="B102" s="45"/>
      <c r="C102" s="38" t="str">
        <f>IFERROR(IF(B102="","",VLOOKUP(B102,DB_Customers!$A:$B,2,0)),"")</f>
        <v/>
      </c>
      <c r="D102" s="45"/>
      <c r="E102" s="33"/>
      <c r="F102" s="46" t="str">
        <f t="shared" ca="1" si="3"/>
        <v/>
      </c>
      <c r="G102" s="32"/>
      <c r="H102" s="47" t="str">
        <f>IFERROR(IF(OR(B102="",E102=""),"",SUMIF(DB_Loans!$B:$B,B102,DB_Loans!$E:$E)+E102),"")</f>
        <v/>
      </c>
      <c r="I102" s="47" t="str">
        <f>IFERROR(IF(OR(B102="",E102=""),"",SUMIF(DB_Loans!$B:$B,B102,DB_Loans!$J:$J)+(E102*0.025)),"")</f>
        <v/>
      </c>
      <c r="J102" s="32"/>
    </row>
    <row r="103" spans="1:10" ht="19.5" customHeight="1" x14ac:dyDescent="0.25">
      <c r="A103" s="31" t="str">
        <f t="shared" si="2"/>
        <v/>
      </c>
      <c r="B103" s="45"/>
      <c r="C103" s="38" t="str">
        <f>IFERROR(IF(B103="","",VLOOKUP(B103,DB_Customers!$A:$B,2,0)),"")</f>
        <v/>
      </c>
      <c r="D103" s="45"/>
      <c r="E103" s="33"/>
      <c r="F103" s="46" t="str">
        <f t="shared" ca="1" si="3"/>
        <v/>
      </c>
      <c r="G103" s="32"/>
      <c r="H103" s="47" t="str">
        <f>IFERROR(IF(OR(B103="",E103=""),"",SUMIF(DB_Loans!$B:$B,B103,DB_Loans!$E:$E)+E103),"")</f>
        <v/>
      </c>
      <c r="I103" s="47" t="str">
        <f>IFERROR(IF(OR(B103="",E103=""),"",SUMIF(DB_Loans!$B:$B,B103,DB_Loans!$J:$J)+(E103*0.025)),"")</f>
        <v/>
      </c>
      <c r="J103" s="32"/>
    </row>
    <row r="104" spans="1:10" ht="19.5" customHeight="1" x14ac:dyDescent="0.25">
      <c r="A104" s="31" t="str">
        <f t="shared" si="2"/>
        <v/>
      </c>
      <c r="B104" s="45"/>
      <c r="C104" s="38" t="str">
        <f>IFERROR(IF(B104="","",VLOOKUP(B104,DB_Customers!$A:$B,2,0)),"")</f>
        <v/>
      </c>
      <c r="D104" s="45"/>
      <c r="E104" s="33"/>
      <c r="F104" s="46" t="str">
        <f t="shared" ca="1" si="3"/>
        <v/>
      </c>
      <c r="G104" s="32"/>
      <c r="H104" s="47" t="str">
        <f>IFERROR(IF(OR(B104="",E104=""),"",SUMIF(DB_Loans!$B:$B,B104,DB_Loans!$E:$E)+E104),"")</f>
        <v/>
      </c>
      <c r="I104" s="47" t="str">
        <f>IFERROR(IF(OR(B104="",E104=""),"",SUMIF(DB_Loans!$B:$B,B104,DB_Loans!$J:$J)+(E104*0.025)),"")</f>
        <v/>
      </c>
      <c r="J104" s="32"/>
    </row>
    <row r="105" spans="1:10" ht="19.5" customHeight="1" x14ac:dyDescent="0.25">
      <c r="A105" s="31" t="str">
        <f t="shared" si="2"/>
        <v/>
      </c>
      <c r="B105" s="45"/>
      <c r="C105" s="38" t="str">
        <f>IFERROR(IF(B105="","",VLOOKUP(B105,DB_Customers!$A:$B,2,0)),"")</f>
        <v/>
      </c>
      <c r="D105" s="45"/>
      <c r="E105" s="33"/>
      <c r="F105" s="46" t="str">
        <f t="shared" ca="1" si="3"/>
        <v/>
      </c>
      <c r="G105" s="32"/>
      <c r="H105" s="47" t="str">
        <f>IFERROR(IF(OR(B105="",E105=""),"",SUMIF(DB_Loans!$B:$B,B105,DB_Loans!$E:$E)+E105),"")</f>
        <v/>
      </c>
      <c r="I105" s="47" t="str">
        <f>IFERROR(IF(OR(B105="",E105=""),"",SUMIF(DB_Loans!$B:$B,B105,DB_Loans!$J:$J)+(E105*0.025)),"")</f>
        <v/>
      </c>
      <c r="J105" s="32"/>
    </row>
    <row r="106" spans="1:10" ht="19.5" customHeight="1" x14ac:dyDescent="0.25">
      <c r="A106" s="31" t="str">
        <f t="shared" si="2"/>
        <v/>
      </c>
      <c r="B106" s="45"/>
      <c r="C106" s="38" t="str">
        <f>IFERROR(IF(B106="","",VLOOKUP(B106,DB_Customers!$A:$B,2,0)),"")</f>
        <v/>
      </c>
      <c r="D106" s="45"/>
      <c r="E106" s="33"/>
      <c r="F106" s="46" t="str">
        <f t="shared" ca="1" si="3"/>
        <v/>
      </c>
      <c r="G106" s="32"/>
      <c r="H106" s="47" t="str">
        <f>IFERROR(IF(OR(B106="",E106=""),"",SUMIF(DB_Loans!$B:$B,B106,DB_Loans!$E:$E)+E106),"")</f>
        <v/>
      </c>
      <c r="I106" s="47" t="str">
        <f>IFERROR(IF(OR(B106="",E106=""),"",SUMIF(DB_Loans!$B:$B,B106,DB_Loans!$J:$J)+(E106*0.025)),"")</f>
        <v/>
      </c>
      <c r="J106" s="32"/>
    </row>
    <row r="107" spans="1:10" ht="19.5" customHeight="1" x14ac:dyDescent="0.25">
      <c r="A107" s="31" t="str">
        <f t="shared" si="2"/>
        <v/>
      </c>
      <c r="B107" s="45"/>
      <c r="C107" s="38" t="str">
        <f>IFERROR(IF(B107="","",VLOOKUP(B107,DB_Customers!$A:$B,2,0)),"")</f>
        <v/>
      </c>
      <c r="D107" s="45"/>
      <c r="E107" s="33"/>
      <c r="F107" s="46" t="str">
        <f t="shared" ca="1" si="3"/>
        <v/>
      </c>
      <c r="G107" s="32"/>
      <c r="H107" s="47" t="str">
        <f>IFERROR(IF(OR(B107="",E107=""),"",SUMIF(DB_Loans!$B:$B,B107,DB_Loans!$E:$E)+E107),"")</f>
        <v/>
      </c>
      <c r="I107" s="47" t="str">
        <f>IFERROR(IF(OR(B107="",E107=""),"",SUMIF(DB_Loans!$B:$B,B107,DB_Loans!$J:$J)+(E107*0.025)),"")</f>
        <v/>
      </c>
      <c r="J107" s="32"/>
    </row>
    <row r="108" spans="1:10" ht="19.5" customHeight="1" x14ac:dyDescent="0.25">
      <c r="A108" s="31" t="str">
        <f t="shared" si="2"/>
        <v/>
      </c>
      <c r="B108" s="45"/>
      <c r="C108" s="38" t="str">
        <f>IFERROR(IF(B108="","",VLOOKUP(B108,DB_Customers!$A:$B,2,0)),"")</f>
        <v/>
      </c>
      <c r="D108" s="45"/>
      <c r="E108" s="33"/>
      <c r="F108" s="46" t="str">
        <f t="shared" ca="1" si="3"/>
        <v/>
      </c>
      <c r="G108" s="32"/>
      <c r="H108" s="47" t="str">
        <f>IFERROR(IF(OR(B108="",E108=""),"",SUMIF(DB_Loans!$B:$B,B108,DB_Loans!$E:$E)+E108),"")</f>
        <v/>
      </c>
      <c r="I108" s="47" t="str">
        <f>IFERROR(IF(OR(B108="",E108=""),"",SUMIF(DB_Loans!$B:$B,B108,DB_Loans!$J:$J)+(E108*0.025)),"")</f>
        <v/>
      </c>
      <c r="J108" s="32"/>
    </row>
    <row r="109" spans="1:10" ht="19.5" customHeight="1" x14ac:dyDescent="0.25">
      <c r="A109" s="31" t="str">
        <f t="shared" si="2"/>
        <v/>
      </c>
      <c r="B109" s="45"/>
      <c r="C109" s="38" t="str">
        <f>IFERROR(IF(B109="","",VLOOKUP(B109,DB_Customers!$A:$B,2,0)),"")</f>
        <v/>
      </c>
      <c r="D109" s="45"/>
      <c r="E109" s="33"/>
      <c r="F109" s="46" t="str">
        <f t="shared" ca="1" si="3"/>
        <v/>
      </c>
      <c r="G109" s="32"/>
      <c r="H109" s="47" t="str">
        <f>IFERROR(IF(OR(B109="",E109=""),"",SUMIF(DB_Loans!$B:$B,B109,DB_Loans!$E:$E)+E109),"")</f>
        <v/>
      </c>
      <c r="I109" s="47" t="str">
        <f>IFERROR(IF(OR(B109="",E109=""),"",SUMIF(DB_Loans!$B:$B,B109,DB_Loans!$J:$J)+(E109*0.025)),"")</f>
        <v/>
      </c>
      <c r="J109" s="32"/>
    </row>
    <row r="110" spans="1:10" ht="19.5" customHeight="1" x14ac:dyDescent="0.25">
      <c r="A110" s="31" t="str">
        <f t="shared" si="2"/>
        <v/>
      </c>
      <c r="B110" s="45"/>
      <c r="C110" s="38" t="str">
        <f>IFERROR(IF(B110="","",VLOOKUP(B110,DB_Customers!$A:$B,2,0)),"")</f>
        <v/>
      </c>
      <c r="D110" s="45"/>
      <c r="E110" s="33"/>
      <c r="F110" s="46" t="str">
        <f t="shared" ca="1" si="3"/>
        <v/>
      </c>
      <c r="G110" s="32"/>
      <c r="H110" s="47" t="str">
        <f>IFERROR(IF(OR(B110="",E110=""),"",SUMIF(DB_Loans!$B:$B,B110,DB_Loans!$E:$E)+E110),"")</f>
        <v/>
      </c>
      <c r="I110" s="47" t="str">
        <f>IFERROR(IF(OR(B110="",E110=""),"",SUMIF(DB_Loans!$B:$B,B110,DB_Loans!$J:$J)+(E110*0.025)),"")</f>
        <v/>
      </c>
      <c r="J110" s="32"/>
    </row>
    <row r="111" spans="1:10" ht="19.5" customHeight="1" x14ac:dyDescent="0.25">
      <c r="A111" s="31" t="str">
        <f t="shared" si="2"/>
        <v/>
      </c>
      <c r="B111" s="45"/>
      <c r="C111" s="38" t="str">
        <f>IFERROR(IF(B111="","",VLOOKUP(B111,DB_Customers!$A:$B,2,0)),"")</f>
        <v/>
      </c>
      <c r="D111" s="45"/>
      <c r="E111" s="33"/>
      <c r="F111" s="46" t="str">
        <f t="shared" ca="1" si="3"/>
        <v/>
      </c>
      <c r="G111" s="32"/>
      <c r="H111" s="47" t="str">
        <f>IFERROR(IF(OR(B111="",E111=""),"",SUMIF(DB_Loans!$B:$B,B111,DB_Loans!$E:$E)+E111),"")</f>
        <v/>
      </c>
      <c r="I111" s="47" t="str">
        <f>IFERROR(IF(OR(B111="",E111=""),"",SUMIF(DB_Loans!$B:$B,B111,DB_Loans!$J:$J)+(E111*0.025)),"")</f>
        <v/>
      </c>
      <c r="J111" s="32"/>
    </row>
    <row r="112" spans="1:10" ht="19.5" customHeight="1" x14ac:dyDescent="0.25">
      <c r="A112" s="31" t="str">
        <f t="shared" si="2"/>
        <v/>
      </c>
      <c r="B112" s="45"/>
      <c r="C112" s="38" t="str">
        <f>IFERROR(IF(B112="","",VLOOKUP(B112,DB_Customers!$A:$B,2,0)),"")</f>
        <v/>
      </c>
      <c r="D112" s="45"/>
      <c r="E112" s="33"/>
      <c r="F112" s="46" t="str">
        <f t="shared" ca="1" si="3"/>
        <v/>
      </c>
      <c r="G112" s="32"/>
      <c r="H112" s="47" t="str">
        <f>IFERROR(IF(OR(B112="",E112=""),"",SUMIF(DB_Loans!$B:$B,B112,DB_Loans!$E:$E)+E112),"")</f>
        <v/>
      </c>
      <c r="I112" s="47" t="str">
        <f>IFERROR(IF(OR(B112="",E112=""),"",SUMIF(DB_Loans!$B:$B,B112,DB_Loans!$J:$J)+(E112*0.025)),"")</f>
        <v/>
      </c>
      <c r="J112" s="32"/>
    </row>
    <row r="113" spans="1:10" ht="19.5" customHeight="1" x14ac:dyDescent="0.25">
      <c r="A113" s="31" t="str">
        <f t="shared" si="2"/>
        <v/>
      </c>
      <c r="B113" s="45"/>
      <c r="C113" s="38" t="str">
        <f>IFERROR(IF(B113="","",VLOOKUP(B113,DB_Customers!$A:$B,2,0)),"")</f>
        <v/>
      </c>
      <c r="D113" s="45"/>
      <c r="E113" s="33"/>
      <c r="F113" s="46" t="str">
        <f t="shared" ca="1" si="3"/>
        <v/>
      </c>
      <c r="G113" s="32"/>
      <c r="H113" s="47" t="str">
        <f>IFERROR(IF(OR(B113="",E113=""),"",SUMIF(DB_Loans!$B:$B,B113,DB_Loans!$E:$E)+E113),"")</f>
        <v/>
      </c>
      <c r="I113" s="47" t="str">
        <f>IFERROR(IF(OR(B113="",E113=""),"",SUMIF(DB_Loans!$B:$B,B113,DB_Loans!$J:$J)+(E113*0.025)),"")</f>
        <v/>
      </c>
      <c r="J113" s="32"/>
    </row>
    <row r="114" spans="1:10" ht="19.5" customHeight="1" x14ac:dyDescent="0.25">
      <c r="A114" s="31" t="str">
        <f t="shared" si="2"/>
        <v/>
      </c>
      <c r="B114" s="45"/>
      <c r="C114" s="38" t="str">
        <f>IFERROR(IF(B114="","",VLOOKUP(B114,DB_Customers!$A:$B,2,0)),"")</f>
        <v/>
      </c>
      <c r="D114" s="45"/>
      <c r="E114" s="33"/>
      <c r="F114" s="46" t="str">
        <f t="shared" ca="1" si="3"/>
        <v/>
      </c>
      <c r="G114" s="32"/>
      <c r="H114" s="47" t="str">
        <f>IFERROR(IF(OR(B114="",E114=""),"",SUMIF(DB_Loans!$B:$B,B114,DB_Loans!$E:$E)+E114),"")</f>
        <v/>
      </c>
      <c r="I114" s="47" t="str">
        <f>IFERROR(IF(OR(B114="",E114=""),"",SUMIF(DB_Loans!$B:$B,B114,DB_Loans!$J:$J)+(E114*0.025)),"")</f>
        <v/>
      </c>
      <c r="J114" s="32"/>
    </row>
    <row r="115" spans="1:10" ht="19.5" customHeight="1" x14ac:dyDescent="0.25">
      <c r="A115" s="31" t="str">
        <f t="shared" si="2"/>
        <v/>
      </c>
      <c r="B115" s="45"/>
      <c r="C115" s="38" t="str">
        <f>IFERROR(IF(B115="","",VLOOKUP(B115,DB_Customers!$A:$B,2,0)),"")</f>
        <v/>
      </c>
      <c r="D115" s="45"/>
      <c r="E115" s="33"/>
      <c r="F115" s="46" t="str">
        <f t="shared" ca="1" si="3"/>
        <v/>
      </c>
      <c r="G115" s="32"/>
      <c r="H115" s="47" t="str">
        <f>IFERROR(IF(OR(B115="",E115=""),"",SUMIF(DB_Loans!$B:$B,B115,DB_Loans!$E:$E)+E115),"")</f>
        <v/>
      </c>
      <c r="I115" s="47" t="str">
        <f>IFERROR(IF(OR(B115="",E115=""),"",SUMIF(DB_Loans!$B:$B,B115,DB_Loans!$J:$J)+(E115*0.025)),"")</f>
        <v/>
      </c>
      <c r="J115" s="32"/>
    </row>
    <row r="116" spans="1:10" ht="19.5" customHeight="1" x14ac:dyDescent="0.25">
      <c r="A116" s="31" t="str">
        <f t="shared" si="2"/>
        <v/>
      </c>
      <c r="B116" s="45"/>
      <c r="C116" s="38" t="str">
        <f>IFERROR(IF(B116="","",VLOOKUP(B116,DB_Customers!$A:$B,2,0)),"")</f>
        <v/>
      </c>
      <c r="D116" s="45"/>
      <c r="E116" s="33"/>
      <c r="F116" s="46" t="str">
        <f t="shared" ca="1" si="3"/>
        <v/>
      </c>
      <c r="G116" s="32"/>
      <c r="H116" s="47" t="str">
        <f>IFERROR(IF(OR(B116="",E116=""),"",SUMIF(DB_Loans!$B:$B,B116,DB_Loans!$E:$E)+E116),"")</f>
        <v/>
      </c>
      <c r="I116" s="47" t="str">
        <f>IFERROR(IF(OR(B116="",E116=""),"",SUMIF(DB_Loans!$B:$B,B116,DB_Loans!$J:$J)+(E116*0.025)),"")</f>
        <v/>
      </c>
      <c r="J116" s="32"/>
    </row>
    <row r="117" spans="1:10" ht="19.5" customHeight="1" x14ac:dyDescent="0.25">
      <c r="A117" s="31" t="str">
        <f t="shared" si="2"/>
        <v/>
      </c>
      <c r="B117" s="45"/>
      <c r="C117" s="38" t="str">
        <f>IFERROR(IF(B117="","",VLOOKUP(B117,DB_Customers!$A:$B,2,0)),"")</f>
        <v/>
      </c>
      <c r="D117" s="45"/>
      <c r="E117" s="33"/>
      <c r="F117" s="46" t="str">
        <f t="shared" ca="1" si="3"/>
        <v/>
      </c>
      <c r="G117" s="32"/>
      <c r="H117" s="47" t="str">
        <f>IFERROR(IF(OR(B117="",E117=""),"",SUMIF(DB_Loans!$B:$B,B117,DB_Loans!$E:$E)+E117),"")</f>
        <v/>
      </c>
      <c r="I117" s="47" t="str">
        <f>IFERROR(IF(OR(B117="",E117=""),"",SUMIF(DB_Loans!$B:$B,B117,DB_Loans!$J:$J)+(E117*0.025)),"")</f>
        <v/>
      </c>
      <c r="J117" s="32"/>
    </row>
    <row r="118" spans="1:10" ht="19.5" customHeight="1" x14ac:dyDescent="0.25">
      <c r="A118" s="31" t="str">
        <f t="shared" si="2"/>
        <v/>
      </c>
      <c r="B118" s="45"/>
      <c r="C118" s="38" t="str">
        <f>IFERROR(IF(B118="","",VLOOKUP(B118,DB_Customers!$A:$B,2,0)),"")</f>
        <v/>
      </c>
      <c r="D118" s="45"/>
      <c r="E118" s="33"/>
      <c r="F118" s="46" t="str">
        <f t="shared" ca="1" si="3"/>
        <v/>
      </c>
      <c r="G118" s="32"/>
      <c r="H118" s="47" t="str">
        <f>IFERROR(IF(OR(B118="",E118=""),"",SUMIF(DB_Loans!$B:$B,B118,DB_Loans!$E:$E)+E118),"")</f>
        <v/>
      </c>
      <c r="I118" s="47" t="str">
        <f>IFERROR(IF(OR(B118="",E118=""),"",SUMIF(DB_Loans!$B:$B,B118,DB_Loans!$J:$J)+(E118*0.025)),"")</f>
        <v/>
      </c>
      <c r="J118" s="32"/>
    </row>
    <row r="119" spans="1:10" ht="19.5" customHeight="1" x14ac:dyDescent="0.25">
      <c r="A119" s="31" t="str">
        <f t="shared" si="2"/>
        <v/>
      </c>
      <c r="B119" s="45"/>
      <c r="C119" s="38" t="str">
        <f>IFERROR(IF(B119="","",VLOOKUP(B119,DB_Customers!$A:$B,2,0)),"")</f>
        <v/>
      </c>
      <c r="D119" s="45"/>
      <c r="E119" s="33"/>
      <c r="F119" s="46" t="str">
        <f t="shared" ca="1" si="3"/>
        <v/>
      </c>
      <c r="G119" s="32"/>
      <c r="H119" s="47" t="str">
        <f>IFERROR(IF(OR(B119="",E119=""),"",SUMIF(DB_Loans!$B:$B,B119,DB_Loans!$E:$E)+E119),"")</f>
        <v/>
      </c>
      <c r="I119" s="47" t="str">
        <f>IFERROR(IF(OR(B119="",E119=""),"",SUMIF(DB_Loans!$B:$B,B119,DB_Loans!$J:$J)+(E119*0.025)),"")</f>
        <v/>
      </c>
      <c r="J119" s="32"/>
    </row>
    <row r="120" spans="1:10" ht="19.5" customHeight="1" x14ac:dyDescent="0.25">
      <c r="A120" s="31" t="str">
        <f t="shared" si="2"/>
        <v/>
      </c>
      <c r="B120" s="45"/>
      <c r="C120" s="38" t="str">
        <f>IFERROR(IF(B120="","",VLOOKUP(B120,DB_Customers!$A:$B,2,0)),"")</f>
        <v/>
      </c>
      <c r="D120" s="45"/>
      <c r="E120" s="33"/>
      <c r="F120" s="46" t="str">
        <f t="shared" ca="1" si="3"/>
        <v/>
      </c>
      <c r="G120" s="32"/>
      <c r="H120" s="47" t="str">
        <f>IFERROR(IF(OR(B120="",E120=""),"",SUMIF(DB_Loans!$B:$B,B120,DB_Loans!$E:$E)+E120),"")</f>
        <v/>
      </c>
      <c r="I120" s="47" t="str">
        <f>IFERROR(IF(OR(B120="",E120=""),"",SUMIF(DB_Loans!$B:$B,B120,DB_Loans!$J:$J)+(E120*0.025)),"")</f>
        <v/>
      </c>
      <c r="J120" s="32"/>
    </row>
    <row r="121" spans="1:10" ht="19.5" customHeight="1" x14ac:dyDescent="0.25">
      <c r="A121" s="31" t="str">
        <f t="shared" si="2"/>
        <v/>
      </c>
      <c r="B121" s="45"/>
      <c r="C121" s="38" t="str">
        <f>IFERROR(IF(B121="","",VLOOKUP(B121,DB_Customers!$A:$B,2,0)),"")</f>
        <v/>
      </c>
      <c r="D121" s="45"/>
      <c r="E121" s="33"/>
      <c r="F121" s="46" t="str">
        <f t="shared" ca="1" si="3"/>
        <v/>
      </c>
      <c r="G121" s="32"/>
      <c r="H121" s="47" t="str">
        <f>IFERROR(IF(OR(B121="",E121=""),"",SUMIF(DB_Loans!$B:$B,B121,DB_Loans!$E:$E)+E121),"")</f>
        <v/>
      </c>
      <c r="I121" s="47" t="str">
        <f>IFERROR(IF(OR(B121="",E121=""),"",SUMIF(DB_Loans!$B:$B,B121,DB_Loans!$J:$J)+(E121*0.025)),"")</f>
        <v/>
      </c>
      <c r="J121" s="32"/>
    </row>
    <row r="122" spans="1:10" ht="19.5" customHeight="1" x14ac:dyDescent="0.25">
      <c r="A122" s="31" t="str">
        <f t="shared" si="2"/>
        <v/>
      </c>
      <c r="B122" s="45"/>
      <c r="C122" s="38" t="str">
        <f>IFERROR(IF(B122="","",VLOOKUP(B122,DB_Customers!$A:$B,2,0)),"")</f>
        <v/>
      </c>
      <c r="D122" s="45"/>
      <c r="E122" s="33"/>
      <c r="F122" s="46" t="str">
        <f t="shared" ca="1" si="3"/>
        <v/>
      </c>
      <c r="G122" s="32"/>
      <c r="H122" s="47" t="str">
        <f>IFERROR(IF(OR(B122="",E122=""),"",SUMIF(DB_Loans!$B:$B,B122,DB_Loans!$E:$E)+E122),"")</f>
        <v/>
      </c>
      <c r="I122" s="47" t="str">
        <f>IFERROR(IF(OR(B122="",E122=""),"",SUMIF(DB_Loans!$B:$B,B122,DB_Loans!$J:$J)+(E122*0.025)),"")</f>
        <v/>
      </c>
      <c r="J122" s="32"/>
    </row>
    <row r="123" spans="1:10" ht="19.5" customHeight="1" x14ac:dyDescent="0.25">
      <c r="A123" s="31" t="str">
        <f t="shared" si="2"/>
        <v/>
      </c>
      <c r="B123" s="45"/>
      <c r="C123" s="38" t="str">
        <f>IFERROR(IF(B123="","",VLOOKUP(B123,DB_Customers!$A:$B,2,0)),"")</f>
        <v/>
      </c>
      <c r="D123" s="45"/>
      <c r="E123" s="33"/>
      <c r="F123" s="46" t="str">
        <f t="shared" ca="1" si="3"/>
        <v/>
      </c>
      <c r="G123" s="32"/>
      <c r="H123" s="47" t="str">
        <f>IFERROR(IF(OR(B123="",E123=""),"",SUMIF(DB_Loans!$B:$B,B123,DB_Loans!$E:$E)+E123),"")</f>
        <v/>
      </c>
      <c r="I123" s="47" t="str">
        <f>IFERROR(IF(OR(B123="",E123=""),"",SUMIF(DB_Loans!$B:$B,B123,DB_Loans!$J:$J)+(E123*0.025)),"")</f>
        <v/>
      </c>
      <c r="J123" s="32"/>
    </row>
    <row r="124" spans="1:10" ht="19.5" customHeight="1" x14ac:dyDescent="0.25">
      <c r="A124" s="31" t="str">
        <f t="shared" si="2"/>
        <v/>
      </c>
      <c r="B124" s="45"/>
      <c r="C124" s="38" t="str">
        <f>IFERROR(IF(B124="","",VLOOKUP(B124,DB_Customers!$A:$B,2,0)),"")</f>
        <v/>
      </c>
      <c r="D124" s="45"/>
      <c r="E124" s="33"/>
      <c r="F124" s="46" t="str">
        <f t="shared" ca="1" si="3"/>
        <v/>
      </c>
      <c r="G124" s="32"/>
      <c r="H124" s="47" t="str">
        <f>IFERROR(IF(OR(B124="",E124=""),"",SUMIF(DB_Loans!$B:$B,B124,DB_Loans!$E:$E)+E124),"")</f>
        <v/>
      </c>
      <c r="I124" s="47" t="str">
        <f>IFERROR(IF(OR(B124="",E124=""),"",SUMIF(DB_Loans!$B:$B,B124,DB_Loans!$J:$J)+(E124*0.025)),"")</f>
        <v/>
      </c>
      <c r="J124" s="32"/>
    </row>
    <row r="125" spans="1:10" ht="19.5" customHeight="1" x14ac:dyDescent="0.25">
      <c r="A125" s="31" t="str">
        <f t="shared" si="2"/>
        <v/>
      </c>
      <c r="B125" s="45"/>
      <c r="C125" s="38" t="str">
        <f>IFERROR(IF(B125="","",VLOOKUP(B125,DB_Customers!$A:$B,2,0)),"")</f>
        <v/>
      </c>
      <c r="D125" s="45"/>
      <c r="E125" s="33"/>
      <c r="F125" s="46" t="str">
        <f t="shared" ca="1" si="3"/>
        <v/>
      </c>
      <c r="G125" s="32"/>
      <c r="H125" s="47" t="str">
        <f>IFERROR(IF(OR(B125="",E125=""),"",SUMIF(DB_Loans!$B:$B,B125,DB_Loans!$E:$E)+E125),"")</f>
        <v/>
      </c>
      <c r="I125" s="47" t="str">
        <f>IFERROR(IF(OR(B125="",E125=""),"",SUMIF(DB_Loans!$B:$B,B125,DB_Loans!$J:$J)+(E125*0.025)),"")</f>
        <v/>
      </c>
      <c r="J125" s="32"/>
    </row>
    <row r="126" spans="1:10" ht="19.5" customHeight="1" x14ac:dyDescent="0.25">
      <c r="A126" s="31" t="str">
        <f t="shared" si="2"/>
        <v/>
      </c>
      <c r="B126" s="45"/>
      <c r="C126" s="38" t="str">
        <f>IFERROR(IF(B126="","",VLOOKUP(B126,DB_Customers!$A:$B,2,0)),"")</f>
        <v/>
      </c>
      <c r="D126" s="45"/>
      <c r="E126" s="33"/>
      <c r="F126" s="46" t="str">
        <f t="shared" ca="1" si="3"/>
        <v/>
      </c>
      <c r="G126" s="32"/>
      <c r="H126" s="47" t="str">
        <f>IFERROR(IF(OR(B126="",E126=""),"",SUMIF(DB_Loans!$B:$B,B126,DB_Loans!$E:$E)+E126),"")</f>
        <v/>
      </c>
      <c r="I126" s="47" t="str">
        <f>IFERROR(IF(OR(B126="",E126=""),"",SUMIF(DB_Loans!$B:$B,B126,DB_Loans!$J:$J)+(E126*0.025)),"")</f>
        <v/>
      </c>
      <c r="J126" s="32"/>
    </row>
    <row r="127" spans="1:10" ht="19.5" customHeight="1" x14ac:dyDescent="0.25">
      <c r="A127" s="31" t="str">
        <f t="shared" si="2"/>
        <v/>
      </c>
      <c r="B127" s="45"/>
      <c r="C127" s="38" t="str">
        <f>IFERROR(IF(B127="","",VLOOKUP(B127,DB_Customers!$A:$B,2,0)),"")</f>
        <v/>
      </c>
      <c r="D127" s="45"/>
      <c r="E127" s="33"/>
      <c r="F127" s="46" t="str">
        <f t="shared" ca="1" si="3"/>
        <v/>
      </c>
      <c r="G127" s="32"/>
      <c r="H127" s="47" t="str">
        <f>IFERROR(IF(OR(B127="",E127=""),"",SUMIF(DB_Loans!$B:$B,B127,DB_Loans!$E:$E)+E127),"")</f>
        <v/>
      </c>
      <c r="I127" s="47" t="str">
        <f>IFERROR(IF(OR(B127="",E127=""),"",SUMIF(DB_Loans!$B:$B,B127,DB_Loans!$J:$J)+(E127*0.025)),"")</f>
        <v/>
      </c>
      <c r="J127" s="32"/>
    </row>
    <row r="128" spans="1:10" ht="19.5" customHeight="1" x14ac:dyDescent="0.25">
      <c r="A128" s="31" t="str">
        <f t="shared" si="2"/>
        <v/>
      </c>
      <c r="B128" s="45"/>
      <c r="C128" s="38" t="str">
        <f>IFERROR(IF(B128="","",VLOOKUP(B128,DB_Customers!$A:$B,2,0)),"")</f>
        <v/>
      </c>
      <c r="D128" s="45"/>
      <c r="E128" s="33"/>
      <c r="F128" s="46" t="str">
        <f t="shared" ca="1" si="3"/>
        <v/>
      </c>
      <c r="G128" s="32"/>
      <c r="H128" s="47" t="str">
        <f>IFERROR(IF(OR(B128="",E128=""),"",SUMIF(DB_Loans!$B:$B,B128,DB_Loans!$E:$E)+E128),"")</f>
        <v/>
      </c>
      <c r="I128" s="47" t="str">
        <f>IFERROR(IF(OR(B128="",E128=""),"",SUMIF(DB_Loans!$B:$B,B128,DB_Loans!$J:$J)+(E128*0.025)),"")</f>
        <v/>
      </c>
      <c r="J128" s="32"/>
    </row>
    <row r="129" spans="1:10" ht="19.5" customHeight="1" x14ac:dyDescent="0.25">
      <c r="A129" s="31" t="str">
        <f t="shared" si="2"/>
        <v/>
      </c>
      <c r="B129" s="45"/>
      <c r="C129" s="38" t="str">
        <f>IFERROR(IF(B129="","",VLOOKUP(B129,DB_Customers!$A:$B,2,0)),"")</f>
        <v/>
      </c>
      <c r="D129" s="45"/>
      <c r="E129" s="33"/>
      <c r="F129" s="46" t="str">
        <f t="shared" ca="1" si="3"/>
        <v/>
      </c>
      <c r="G129" s="32"/>
      <c r="H129" s="47" t="str">
        <f>IFERROR(IF(OR(B129="",E129=""),"",SUMIF(DB_Loans!$B:$B,B129,DB_Loans!$E:$E)+E129),"")</f>
        <v/>
      </c>
      <c r="I129" s="47" t="str">
        <f>IFERROR(IF(OR(B129="",E129=""),"",SUMIF(DB_Loans!$B:$B,B129,DB_Loans!$J:$J)+(E129*0.025)),"")</f>
        <v/>
      </c>
      <c r="J129" s="32"/>
    </row>
    <row r="130" spans="1:10" ht="19.5" customHeight="1" x14ac:dyDescent="0.25">
      <c r="A130" s="31" t="str">
        <f t="shared" si="2"/>
        <v/>
      </c>
      <c r="B130" s="45"/>
      <c r="C130" s="38" t="str">
        <f>IFERROR(IF(B130="","",VLOOKUP(B130,DB_Customers!$A:$B,2,0)),"")</f>
        <v/>
      </c>
      <c r="D130" s="45"/>
      <c r="E130" s="33"/>
      <c r="F130" s="46" t="str">
        <f t="shared" ca="1" si="3"/>
        <v/>
      </c>
      <c r="G130" s="32"/>
      <c r="H130" s="47" t="str">
        <f>IFERROR(IF(OR(B130="",E130=""),"",SUMIF(DB_Loans!$B:$B,B130,DB_Loans!$E:$E)+E130),"")</f>
        <v/>
      </c>
      <c r="I130" s="47" t="str">
        <f>IFERROR(IF(OR(B130="",E130=""),"",SUMIF(DB_Loans!$B:$B,B130,DB_Loans!$J:$J)+(E130*0.025)),"")</f>
        <v/>
      </c>
      <c r="J130" s="32"/>
    </row>
    <row r="131" spans="1:10" ht="19.5" customHeight="1" x14ac:dyDescent="0.25">
      <c r="A131" s="31" t="str">
        <f t="shared" si="2"/>
        <v/>
      </c>
      <c r="B131" s="45"/>
      <c r="C131" s="38" t="str">
        <f>IFERROR(IF(B131="","",VLOOKUP(B131,DB_Customers!$A:$B,2,0)),"")</f>
        <v/>
      </c>
      <c r="D131" s="45"/>
      <c r="E131" s="33"/>
      <c r="F131" s="46" t="str">
        <f t="shared" ca="1" si="3"/>
        <v/>
      </c>
      <c r="G131" s="32"/>
      <c r="H131" s="47" t="str">
        <f>IFERROR(IF(OR(B131="",E131=""),"",SUMIF(DB_Loans!$B:$B,B131,DB_Loans!$E:$E)+E131),"")</f>
        <v/>
      </c>
      <c r="I131" s="47" t="str">
        <f>IFERROR(IF(OR(B131="",E131=""),"",SUMIF(DB_Loans!$B:$B,B131,DB_Loans!$J:$J)+(E131*0.025)),"")</f>
        <v/>
      </c>
      <c r="J131" s="32"/>
    </row>
    <row r="132" spans="1:10" ht="19.5" customHeight="1" x14ac:dyDescent="0.25">
      <c r="A132" s="31" t="str">
        <f t="shared" si="2"/>
        <v/>
      </c>
      <c r="B132" s="45"/>
      <c r="C132" s="38" t="str">
        <f>IFERROR(IF(B132="","",VLOOKUP(B132,DB_Customers!$A:$B,2,0)),"")</f>
        <v/>
      </c>
      <c r="D132" s="45"/>
      <c r="E132" s="33"/>
      <c r="F132" s="46" t="str">
        <f t="shared" ca="1" si="3"/>
        <v/>
      </c>
      <c r="G132" s="32"/>
      <c r="H132" s="47" t="str">
        <f>IFERROR(IF(OR(B132="",E132=""),"",SUMIF(DB_Loans!$B:$B,B132,DB_Loans!$E:$E)+E132),"")</f>
        <v/>
      </c>
      <c r="I132" s="47" t="str">
        <f>IFERROR(IF(OR(B132="",E132=""),"",SUMIF(DB_Loans!$B:$B,B132,DB_Loans!$J:$J)+(E132*0.025)),"")</f>
        <v/>
      </c>
      <c r="J132" s="32"/>
    </row>
    <row r="133" spans="1:10" ht="19.5" customHeight="1" x14ac:dyDescent="0.25">
      <c r="A133" s="31" t="str">
        <f t="shared" ref="A133:A196" si="4">IF(B133="","","TU"&amp;TEXT(ROW()-4,"0000"))</f>
        <v/>
      </c>
      <c r="B133" s="45"/>
      <c r="C133" s="38" t="str">
        <f>IFERROR(IF(B133="","",VLOOKUP(B133,DB_Customers!$A:$B,2,0)),"")</f>
        <v/>
      </c>
      <c r="D133" s="45"/>
      <c r="E133" s="33"/>
      <c r="F133" s="46" t="str">
        <f t="shared" ref="F133:F196" ca="1" si="5">IF(B133="","",TODAY())</f>
        <v/>
      </c>
      <c r="G133" s="32"/>
      <c r="H133" s="47" t="str">
        <f>IFERROR(IF(OR(B133="",E133=""),"",SUMIF(DB_Loans!$B:$B,B133,DB_Loans!$E:$E)+E133),"")</f>
        <v/>
      </c>
      <c r="I133" s="47" t="str">
        <f>IFERROR(IF(OR(B133="",E133=""),"",SUMIF(DB_Loans!$B:$B,B133,DB_Loans!$J:$J)+(E133*0.025)),"")</f>
        <v/>
      </c>
      <c r="J133" s="32"/>
    </row>
    <row r="134" spans="1:10" ht="19.5" customHeight="1" x14ac:dyDescent="0.25">
      <c r="A134" s="31" t="str">
        <f t="shared" si="4"/>
        <v/>
      </c>
      <c r="B134" s="45"/>
      <c r="C134" s="38" t="str">
        <f>IFERROR(IF(B134="","",VLOOKUP(B134,DB_Customers!$A:$B,2,0)),"")</f>
        <v/>
      </c>
      <c r="D134" s="45"/>
      <c r="E134" s="33"/>
      <c r="F134" s="46" t="str">
        <f t="shared" ca="1" si="5"/>
        <v/>
      </c>
      <c r="G134" s="32"/>
      <c r="H134" s="47" t="str">
        <f>IFERROR(IF(OR(B134="",E134=""),"",SUMIF(DB_Loans!$B:$B,B134,DB_Loans!$E:$E)+E134),"")</f>
        <v/>
      </c>
      <c r="I134" s="47" t="str">
        <f>IFERROR(IF(OR(B134="",E134=""),"",SUMIF(DB_Loans!$B:$B,B134,DB_Loans!$J:$J)+(E134*0.025)),"")</f>
        <v/>
      </c>
      <c r="J134" s="32"/>
    </row>
    <row r="135" spans="1:10" ht="19.5" customHeight="1" x14ac:dyDescent="0.25">
      <c r="A135" s="31" t="str">
        <f t="shared" si="4"/>
        <v/>
      </c>
      <c r="B135" s="45"/>
      <c r="C135" s="38" t="str">
        <f>IFERROR(IF(B135="","",VLOOKUP(B135,DB_Customers!$A:$B,2,0)),"")</f>
        <v/>
      </c>
      <c r="D135" s="45"/>
      <c r="E135" s="33"/>
      <c r="F135" s="46" t="str">
        <f t="shared" ca="1" si="5"/>
        <v/>
      </c>
      <c r="G135" s="32"/>
      <c r="H135" s="47" t="str">
        <f>IFERROR(IF(OR(B135="",E135=""),"",SUMIF(DB_Loans!$B:$B,B135,DB_Loans!$E:$E)+E135),"")</f>
        <v/>
      </c>
      <c r="I135" s="47" t="str">
        <f>IFERROR(IF(OR(B135="",E135=""),"",SUMIF(DB_Loans!$B:$B,B135,DB_Loans!$J:$J)+(E135*0.025)),"")</f>
        <v/>
      </c>
      <c r="J135" s="32"/>
    </row>
    <row r="136" spans="1:10" ht="19.5" customHeight="1" x14ac:dyDescent="0.25">
      <c r="A136" s="31" t="str">
        <f t="shared" si="4"/>
        <v/>
      </c>
      <c r="B136" s="45"/>
      <c r="C136" s="38" t="str">
        <f>IFERROR(IF(B136="","",VLOOKUP(B136,DB_Customers!$A:$B,2,0)),"")</f>
        <v/>
      </c>
      <c r="D136" s="45"/>
      <c r="E136" s="33"/>
      <c r="F136" s="46" t="str">
        <f t="shared" ca="1" si="5"/>
        <v/>
      </c>
      <c r="G136" s="32"/>
      <c r="H136" s="47" t="str">
        <f>IFERROR(IF(OR(B136="",E136=""),"",SUMIF(DB_Loans!$B:$B,B136,DB_Loans!$E:$E)+E136),"")</f>
        <v/>
      </c>
      <c r="I136" s="47" t="str">
        <f>IFERROR(IF(OR(B136="",E136=""),"",SUMIF(DB_Loans!$B:$B,B136,DB_Loans!$J:$J)+(E136*0.025)),"")</f>
        <v/>
      </c>
      <c r="J136" s="32"/>
    </row>
    <row r="137" spans="1:10" ht="19.5" customHeight="1" x14ac:dyDescent="0.25">
      <c r="A137" s="31" t="str">
        <f t="shared" si="4"/>
        <v/>
      </c>
      <c r="B137" s="45"/>
      <c r="C137" s="38" t="str">
        <f>IFERROR(IF(B137="","",VLOOKUP(B137,DB_Customers!$A:$B,2,0)),"")</f>
        <v/>
      </c>
      <c r="D137" s="45"/>
      <c r="E137" s="33"/>
      <c r="F137" s="46" t="str">
        <f t="shared" ca="1" si="5"/>
        <v/>
      </c>
      <c r="G137" s="32"/>
      <c r="H137" s="47" t="str">
        <f>IFERROR(IF(OR(B137="",E137=""),"",SUMIF(DB_Loans!$B:$B,B137,DB_Loans!$E:$E)+E137),"")</f>
        <v/>
      </c>
      <c r="I137" s="47" t="str">
        <f>IFERROR(IF(OR(B137="",E137=""),"",SUMIF(DB_Loans!$B:$B,B137,DB_Loans!$J:$J)+(E137*0.025)),"")</f>
        <v/>
      </c>
      <c r="J137" s="32"/>
    </row>
    <row r="138" spans="1:10" ht="19.5" customHeight="1" x14ac:dyDescent="0.25">
      <c r="A138" s="31" t="str">
        <f t="shared" si="4"/>
        <v/>
      </c>
      <c r="B138" s="45"/>
      <c r="C138" s="38" t="str">
        <f>IFERROR(IF(B138="","",VLOOKUP(B138,DB_Customers!$A:$B,2,0)),"")</f>
        <v/>
      </c>
      <c r="D138" s="45"/>
      <c r="E138" s="33"/>
      <c r="F138" s="46" t="str">
        <f t="shared" ca="1" si="5"/>
        <v/>
      </c>
      <c r="G138" s="32"/>
      <c r="H138" s="47" t="str">
        <f>IFERROR(IF(OR(B138="",E138=""),"",SUMIF(DB_Loans!$B:$B,B138,DB_Loans!$E:$E)+E138),"")</f>
        <v/>
      </c>
      <c r="I138" s="47" t="str">
        <f>IFERROR(IF(OR(B138="",E138=""),"",SUMIF(DB_Loans!$B:$B,B138,DB_Loans!$J:$J)+(E138*0.025)),"")</f>
        <v/>
      </c>
      <c r="J138" s="32"/>
    </row>
    <row r="139" spans="1:10" ht="19.5" customHeight="1" x14ac:dyDescent="0.25">
      <c r="A139" s="31" t="str">
        <f t="shared" si="4"/>
        <v/>
      </c>
      <c r="B139" s="45"/>
      <c r="C139" s="38" t="str">
        <f>IFERROR(IF(B139="","",VLOOKUP(B139,DB_Customers!$A:$B,2,0)),"")</f>
        <v/>
      </c>
      <c r="D139" s="45"/>
      <c r="E139" s="33"/>
      <c r="F139" s="46" t="str">
        <f t="shared" ca="1" si="5"/>
        <v/>
      </c>
      <c r="G139" s="32"/>
      <c r="H139" s="47" t="str">
        <f>IFERROR(IF(OR(B139="",E139=""),"",SUMIF(DB_Loans!$B:$B,B139,DB_Loans!$E:$E)+E139),"")</f>
        <v/>
      </c>
      <c r="I139" s="47" t="str">
        <f>IFERROR(IF(OR(B139="",E139=""),"",SUMIF(DB_Loans!$B:$B,B139,DB_Loans!$J:$J)+(E139*0.025)),"")</f>
        <v/>
      </c>
      <c r="J139" s="32"/>
    </row>
    <row r="140" spans="1:10" ht="19.5" customHeight="1" x14ac:dyDescent="0.25">
      <c r="A140" s="31" t="str">
        <f t="shared" si="4"/>
        <v/>
      </c>
      <c r="B140" s="45"/>
      <c r="C140" s="38" t="str">
        <f>IFERROR(IF(B140="","",VLOOKUP(B140,DB_Customers!$A:$B,2,0)),"")</f>
        <v/>
      </c>
      <c r="D140" s="45"/>
      <c r="E140" s="33"/>
      <c r="F140" s="46" t="str">
        <f t="shared" ca="1" si="5"/>
        <v/>
      </c>
      <c r="G140" s="32"/>
      <c r="H140" s="47" t="str">
        <f>IFERROR(IF(OR(B140="",E140=""),"",SUMIF(DB_Loans!$B:$B,B140,DB_Loans!$E:$E)+E140),"")</f>
        <v/>
      </c>
      <c r="I140" s="47" t="str">
        <f>IFERROR(IF(OR(B140="",E140=""),"",SUMIF(DB_Loans!$B:$B,B140,DB_Loans!$J:$J)+(E140*0.025)),"")</f>
        <v/>
      </c>
      <c r="J140" s="32"/>
    </row>
    <row r="141" spans="1:10" ht="19.5" customHeight="1" x14ac:dyDescent="0.25">
      <c r="A141" s="31" t="str">
        <f t="shared" si="4"/>
        <v/>
      </c>
      <c r="B141" s="45"/>
      <c r="C141" s="38" t="str">
        <f>IFERROR(IF(B141="","",VLOOKUP(B141,DB_Customers!$A:$B,2,0)),"")</f>
        <v/>
      </c>
      <c r="D141" s="45"/>
      <c r="E141" s="33"/>
      <c r="F141" s="46" t="str">
        <f t="shared" ca="1" si="5"/>
        <v/>
      </c>
      <c r="G141" s="32"/>
      <c r="H141" s="47" t="str">
        <f>IFERROR(IF(OR(B141="",E141=""),"",SUMIF(DB_Loans!$B:$B,B141,DB_Loans!$E:$E)+E141),"")</f>
        <v/>
      </c>
      <c r="I141" s="47" t="str">
        <f>IFERROR(IF(OR(B141="",E141=""),"",SUMIF(DB_Loans!$B:$B,B141,DB_Loans!$J:$J)+(E141*0.025)),"")</f>
        <v/>
      </c>
      <c r="J141" s="32"/>
    </row>
    <row r="142" spans="1:10" ht="19.5" customHeight="1" x14ac:dyDescent="0.25">
      <c r="A142" s="31" t="str">
        <f t="shared" si="4"/>
        <v/>
      </c>
      <c r="B142" s="45"/>
      <c r="C142" s="38" t="str">
        <f>IFERROR(IF(B142="","",VLOOKUP(B142,DB_Customers!$A:$B,2,0)),"")</f>
        <v/>
      </c>
      <c r="D142" s="45"/>
      <c r="E142" s="33"/>
      <c r="F142" s="46" t="str">
        <f t="shared" ca="1" si="5"/>
        <v/>
      </c>
      <c r="G142" s="32"/>
      <c r="H142" s="47" t="str">
        <f>IFERROR(IF(OR(B142="",E142=""),"",SUMIF(DB_Loans!$B:$B,B142,DB_Loans!$E:$E)+E142),"")</f>
        <v/>
      </c>
      <c r="I142" s="47" t="str">
        <f>IFERROR(IF(OR(B142="",E142=""),"",SUMIF(DB_Loans!$B:$B,B142,DB_Loans!$J:$J)+(E142*0.025)),"")</f>
        <v/>
      </c>
      <c r="J142" s="32"/>
    </row>
    <row r="143" spans="1:10" ht="19.5" customHeight="1" x14ac:dyDescent="0.25">
      <c r="A143" s="31" t="str">
        <f t="shared" si="4"/>
        <v/>
      </c>
      <c r="B143" s="45"/>
      <c r="C143" s="38" t="str">
        <f>IFERROR(IF(B143="","",VLOOKUP(B143,DB_Customers!$A:$B,2,0)),"")</f>
        <v/>
      </c>
      <c r="D143" s="45"/>
      <c r="E143" s="33"/>
      <c r="F143" s="46" t="str">
        <f t="shared" ca="1" si="5"/>
        <v/>
      </c>
      <c r="G143" s="32"/>
      <c r="H143" s="47" t="str">
        <f>IFERROR(IF(OR(B143="",E143=""),"",SUMIF(DB_Loans!$B:$B,B143,DB_Loans!$E:$E)+E143),"")</f>
        <v/>
      </c>
      <c r="I143" s="47" t="str">
        <f>IFERROR(IF(OR(B143="",E143=""),"",SUMIF(DB_Loans!$B:$B,B143,DB_Loans!$J:$J)+(E143*0.025)),"")</f>
        <v/>
      </c>
      <c r="J143" s="32"/>
    </row>
    <row r="144" spans="1:10" ht="19.5" customHeight="1" x14ac:dyDescent="0.25">
      <c r="A144" s="31" t="str">
        <f t="shared" si="4"/>
        <v/>
      </c>
      <c r="B144" s="45"/>
      <c r="C144" s="38" t="str">
        <f>IFERROR(IF(B144="","",VLOOKUP(B144,DB_Customers!$A:$B,2,0)),"")</f>
        <v/>
      </c>
      <c r="D144" s="45"/>
      <c r="E144" s="33"/>
      <c r="F144" s="46" t="str">
        <f t="shared" ca="1" si="5"/>
        <v/>
      </c>
      <c r="G144" s="32"/>
      <c r="H144" s="47" t="str">
        <f>IFERROR(IF(OR(B144="",E144=""),"",SUMIF(DB_Loans!$B:$B,B144,DB_Loans!$E:$E)+E144),"")</f>
        <v/>
      </c>
      <c r="I144" s="47" t="str">
        <f>IFERROR(IF(OR(B144="",E144=""),"",SUMIF(DB_Loans!$B:$B,B144,DB_Loans!$J:$J)+(E144*0.025)),"")</f>
        <v/>
      </c>
      <c r="J144" s="32"/>
    </row>
    <row r="145" spans="1:10" ht="19.5" customHeight="1" x14ac:dyDescent="0.25">
      <c r="A145" s="31" t="str">
        <f t="shared" si="4"/>
        <v/>
      </c>
      <c r="B145" s="45"/>
      <c r="C145" s="38" t="str">
        <f>IFERROR(IF(B145="","",VLOOKUP(B145,DB_Customers!$A:$B,2,0)),"")</f>
        <v/>
      </c>
      <c r="D145" s="45"/>
      <c r="E145" s="33"/>
      <c r="F145" s="46" t="str">
        <f t="shared" ca="1" si="5"/>
        <v/>
      </c>
      <c r="G145" s="32"/>
      <c r="H145" s="47" t="str">
        <f>IFERROR(IF(OR(B145="",E145=""),"",SUMIF(DB_Loans!$B:$B,B145,DB_Loans!$E:$E)+E145),"")</f>
        <v/>
      </c>
      <c r="I145" s="47" t="str">
        <f>IFERROR(IF(OR(B145="",E145=""),"",SUMIF(DB_Loans!$B:$B,B145,DB_Loans!$J:$J)+(E145*0.025)),"")</f>
        <v/>
      </c>
      <c r="J145" s="32"/>
    </row>
    <row r="146" spans="1:10" ht="19.5" customHeight="1" x14ac:dyDescent="0.25">
      <c r="A146" s="31" t="str">
        <f t="shared" si="4"/>
        <v/>
      </c>
      <c r="B146" s="45"/>
      <c r="C146" s="38" t="str">
        <f>IFERROR(IF(B146="","",VLOOKUP(B146,DB_Customers!$A:$B,2,0)),"")</f>
        <v/>
      </c>
      <c r="D146" s="45"/>
      <c r="E146" s="33"/>
      <c r="F146" s="46" t="str">
        <f t="shared" ca="1" si="5"/>
        <v/>
      </c>
      <c r="G146" s="32"/>
      <c r="H146" s="47" t="str">
        <f>IFERROR(IF(OR(B146="",E146=""),"",SUMIF(DB_Loans!$B:$B,B146,DB_Loans!$E:$E)+E146),"")</f>
        <v/>
      </c>
      <c r="I146" s="47" t="str">
        <f>IFERROR(IF(OR(B146="",E146=""),"",SUMIF(DB_Loans!$B:$B,B146,DB_Loans!$J:$J)+(E146*0.025)),"")</f>
        <v/>
      </c>
      <c r="J146" s="32"/>
    </row>
    <row r="147" spans="1:10" ht="19.5" customHeight="1" x14ac:dyDescent="0.25">
      <c r="A147" s="31" t="str">
        <f t="shared" si="4"/>
        <v/>
      </c>
      <c r="B147" s="45"/>
      <c r="C147" s="38" t="str">
        <f>IFERROR(IF(B147="","",VLOOKUP(B147,DB_Customers!$A:$B,2,0)),"")</f>
        <v/>
      </c>
      <c r="D147" s="45"/>
      <c r="E147" s="33"/>
      <c r="F147" s="46" t="str">
        <f t="shared" ca="1" si="5"/>
        <v/>
      </c>
      <c r="G147" s="32"/>
      <c r="H147" s="47" t="str">
        <f>IFERROR(IF(OR(B147="",E147=""),"",SUMIF(DB_Loans!$B:$B,B147,DB_Loans!$E:$E)+E147),"")</f>
        <v/>
      </c>
      <c r="I147" s="47" t="str">
        <f>IFERROR(IF(OR(B147="",E147=""),"",SUMIF(DB_Loans!$B:$B,B147,DB_Loans!$J:$J)+(E147*0.025)),"")</f>
        <v/>
      </c>
      <c r="J147" s="32"/>
    </row>
    <row r="148" spans="1:10" ht="19.5" customHeight="1" x14ac:dyDescent="0.25">
      <c r="A148" s="31" t="str">
        <f t="shared" si="4"/>
        <v/>
      </c>
      <c r="B148" s="45"/>
      <c r="C148" s="38" t="str">
        <f>IFERROR(IF(B148="","",VLOOKUP(B148,DB_Customers!$A:$B,2,0)),"")</f>
        <v/>
      </c>
      <c r="D148" s="45"/>
      <c r="E148" s="33"/>
      <c r="F148" s="46" t="str">
        <f t="shared" ca="1" si="5"/>
        <v/>
      </c>
      <c r="G148" s="32"/>
      <c r="H148" s="47" t="str">
        <f>IFERROR(IF(OR(B148="",E148=""),"",SUMIF(DB_Loans!$B:$B,B148,DB_Loans!$E:$E)+E148),"")</f>
        <v/>
      </c>
      <c r="I148" s="47" t="str">
        <f>IFERROR(IF(OR(B148="",E148=""),"",SUMIF(DB_Loans!$B:$B,B148,DB_Loans!$J:$J)+(E148*0.025)),"")</f>
        <v/>
      </c>
      <c r="J148" s="32"/>
    </row>
    <row r="149" spans="1:10" ht="19.5" customHeight="1" x14ac:dyDescent="0.25">
      <c r="A149" s="31" t="str">
        <f t="shared" si="4"/>
        <v/>
      </c>
      <c r="B149" s="45"/>
      <c r="C149" s="38" t="str">
        <f>IFERROR(IF(B149="","",VLOOKUP(B149,DB_Customers!$A:$B,2,0)),"")</f>
        <v/>
      </c>
      <c r="D149" s="45"/>
      <c r="E149" s="33"/>
      <c r="F149" s="46" t="str">
        <f t="shared" ca="1" si="5"/>
        <v/>
      </c>
      <c r="G149" s="32"/>
      <c r="H149" s="47" t="str">
        <f>IFERROR(IF(OR(B149="",E149=""),"",SUMIF(DB_Loans!$B:$B,B149,DB_Loans!$E:$E)+E149),"")</f>
        <v/>
      </c>
      <c r="I149" s="47" t="str">
        <f>IFERROR(IF(OR(B149="",E149=""),"",SUMIF(DB_Loans!$B:$B,B149,DB_Loans!$J:$J)+(E149*0.025)),"")</f>
        <v/>
      </c>
      <c r="J149" s="32"/>
    </row>
    <row r="150" spans="1:10" ht="19.5" customHeight="1" x14ac:dyDescent="0.25">
      <c r="A150" s="31" t="str">
        <f t="shared" si="4"/>
        <v/>
      </c>
      <c r="B150" s="45"/>
      <c r="C150" s="38" t="str">
        <f>IFERROR(IF(B150="","",VLOOKUP(B150,DB_Customers!$A:$B,2,0)),"")</f>
        <v/>
      </c>
      <c r="D150" s="45"/>
      <c r="E150" s="33"/>
      <c r="F150" s="46" t="str">
        <f t="shared" ca="1" si="5"/>
        <v/>
      </c>
      <c r="G150" s="32"/>
      <c r="H150" s="47" t="str">
        <f>IFERROR(IF(OR(B150="",E150=""),"",SUMIF(DB_Loans!$B:$B,B150,DB_Loans!$E:$E)+E150),"")</f>
        <v/>
      </c>
      <c r="I150" s="47" t="str">
        <f>IFERROR(IF(OR(B150="",E150=""),"",SUMIF(DB_Loans!$B:$B,B150,DB_Loans!$J:$J)+(E150*0.025)),"")</f>
        <v/>
      </c>
      <c r="J150" s="32"/>
    </row>
    <row r="151" spans="1:10" ht="19.5" customHeight="1" x14ac:dyDescent="0.25">
      <c r="A151" s="31" t="str">
        <f t="shared" si="4"/>
        <v/>
      </c>
      <c r="B151" s="45"/>
      <c r="C151" s="38" t="str">
        <f>IFERROR(IF(B151="","",VLOOKUP(B151,DB_Customers!$A:$B,2,0)),"")</f>
        <v/>
      </c>
      <c r="D151" s="45"/>
      <c r="E151" s="33"/>
      <c r="F151" s="46" t="str">
        <f t="shared" ca="1" si="5"/>
        <v/>
      </c>
      <c r="G151" s="32"/>
      <c r="H151" s="47" t="str">
        <f>IFERROR(IF(OR(B151="",E151=""),"",SUMIF(DB_Loans!$B:$B,B151,DB_Loans!$E:$E)+E151),"")</f>
        <v/>
      </c>
      <c r="I151" s="47" t="str">
        <f>IFERROR(IF(OR(B151="",E151=""),"",SUMIF(DB_Loans!$B:$B,B151,DB_Loans!$J:$J)+(E151*0.025)),"")</f>
        <v/>
      </c>
      <c r="J151" s="32"/>
    </row>
    <row r="152" spans="1:10" ht="19.5" customHeight="1" x14ac:dyDescent="0.25">
      <c r="A152" s="31" t="str">
        <f t="shared" si="4"/>
        <v/>
      </c>
      <c r="B152" s="45"/>
      <c r="C152" s="38" t="str">
        <f>IFERROR(IF(B152="","",VLOOKUP(B152,DB_Customers!$A:$B,2,0)),"")</f>
        <v/>
      </c>
      <c r="D152" s="45"/>
      <c r="E152" s="33"/>
      <c r="F152" s="46" t="str">
        <f t="shared" ca="1" si="5"/>
        <v/>
      </c>
      <c r="G152" s="32"/>
      <c r="H152" s="47" t="str">
        <f>IFERROR(IF(OR(B152="",E152=""),"",SUMIF(DB_Loans!$B:$B,B152,DB_Loans!$E:$E)+E152),"")</f>
        <v/>
      </c>
      <c r="I152" s="47" t="str">
        <f>IFERROR(IF(OR(B152="",E152=""),"",SUMIF(DB_Loans!$B:$B,B152,DB_Loans!$J:$J)+(E152*0.025)),"")</f>
        <v/>
      </c>
      <c r="J152" s="32"/>
    </row>
    <row r="153" spans="1:10" ht="19.5" customHeight="1" x14ac:dyDescent="0.25">
      <c r="A153" s="31" t="str">
        <f t="shared" si="4"/>
        <v/>
      </c>
      <c r="B153" s="45"/>
      <c r="C153" s="38" t="str">
        <f>IFERROR(IF(B153="","",VLOOKUP(B153,DB_Customers!$A:$B,2,0)),"")</f>
        <v/>
      </c>
      <c r="D153" s="45"/>
      <c r="E153" s="33"/>
      <c r="F153" s="46" t="str">
        <f t="shared" ca="1" si="5"/>
        <v/>
      </c>
      <c r="G153" s="32"/>
      <c r="H153" s="47" t="str">
        <f>IFERROR(IF(OR(B153="",E153=""),"",SUMIF(DB_Loans!$B:$B,B153,DB_Loans!$E:$E)+E153),"")</f>
        <v/>
      </c>
      <c r="I153" s="47" t="str">
        <f>IFERROR(IF(OR(B153="",E153=""),"",SUMIF(DB_Loans!$B:$B,B153,DB_Loans!$J:$J)+(E153*0.025)),"")</f>
        <v/>
      </c>
      <c r="J153" s="32"/>
    </row>
    <row r="154" spans="1:10" ht="19.5" customHeight="1" x14ac:dyDescent="0.25">
      <c r="A154" s="31" t="str">
        <f t="shared" si="4"/>
        <v/>
      </c>
      <c r="B154" s="45"/>
      <c r="C154" s="38" t="str">
        <f>IFERROR(IF(B154="","",VLOOKUP(B154,DB_Customers!$A:$B,2,0)),"")</f>
        <v/>
      </c>
      <c r="D154" s="45"/>
      <c r="E154" s="33"/>
      <c r="F154" s="46" t="str">
        <f t="shared" ca="1" si="5"/>
        <v/>
      </c>
      <c r="G154" s="32"/>
      <c r="H154" s="47" t="str">
        <f>IFERROR(IF(OR(B154="",E154=""),"",SUMIF(DB_Loans!$B:$B,B154,DB_Loans!$E:$E)+E154),"")</f>
        <v/>
      </c>
      <c r="I154" s="47" t="str">
        <f>IFERROR(IF(OR(B154="",E154=""),"",SUMIF(DB_Loans!$B:$B,B154,DB_Loans!$J:$J)+(E154*0.025)),"")</f>
        <v/>
      </c>
      <c r="J154" s="32"/>
    </row>
    <row r="155" spans="1:10" ht="19.5" customHeight="1" x14ac:dyDescent="0.25">
      <c r="A155" s="31" t="str">
        <f t="shared" si="4"/>
        <v/>
      </c>
      <c r="B155" s="45"/>
      <c r="C155" s="38" t="str">
        <f>IFERROR(IF(B155="","",VLOOKUP(B155,DB_Customers!$A:$B,2,0)),"")</f>
        <v/>
      </c>
      <c r="D155" s="45"/>
      <c r="E155" s="33"/>
      <c r="F155" s="46" t="str">
        <f t="shared" ca="1" si="5"/>
        <v/>
      </c>
      <c r="G155" s="32"/>
      <c r="H155" s="47" t="str">
        <f>IFERROR(IF(OR(B155="",E155=""),"",SUMIF(DB_Loans!$B:$B,B155,DB_Loans!$E:$E)+E155),"")</f>
        <v/>
      </c>
      <c r="I155" s="47" t="str">
        <f>IFERROR(IF(OR(B155="",E155=""),"",SUMIF(DB_Loans!$B:$B,B155,DB_Loans!$J:$J)+(E155*0.025)),"")</f>
        <v/>
      </c>
      <c r="J155" s="32"/>
    </row>
    <row r="156" spans="1:10" ht="19.5" customHeight="1" x14ac:dyDescent="0.25">
      <c r="A156" s="31" t="str">
        <f t="shared" si="4"/>
        <v/>
      </c>
      <c r="B156" s="45"/>
      <c r="C156" s="38" t="str">
        <f>IFERROR(IF(B156="","",VLOOKUP(B156,DB_Customers!$A:$B,2,0)),"")</f>
        <v/>
      </c>
      <c r="D156" s="45"/>
      <c r="E156" s="33"/>
      <c r="F156" s="46" t="str">
        <f t="shared" ca="1" si="5"/>
        <v/>
      </c>
      <c r="G156" s="32"/>
      <c r="H156" s="47" t="str">
        <f>IFERROR(IF(OR(B156="",E156=""),"",SUMIF(DB_Loans!$B:$B,B156,DB_Loans!$E:$E)+E156),"")</f>
        <v/>
      </c>
      <c r="I156" s="47" t="str">
        <f>IFERROR(IF(OR(B156="",E156=""),"",SUMIF(DB_Loans!$B:$B,B156,DB_Loans!$J:$J)+(E156*0.025)),"")</f>
        <v/>
      </c>
      <c r="J156" s="32"/>
    </row>
    <row r="157" spans="1:10" ht="19.5" customHeight="1" x14ac:dyDescent="0.25">
      <c r="A157" s="31" t="str">
        <f t="shared" si="4"/>
        <v/>
      </c>
      <c r="B157" s="45"/>
      <c r="C157" s="38" t="str">
        <f>IFERROR(IF(B157="","",VLOOKUP(B157,DB_Customers!$A:$B,2,0)),"")</f>
        <v/>
      </c>
      <c r="D157" s="45"/>
      <c r="E157" s="33"/>
      <c r="F157" s="46" t="str">
        <f t="shared" ca="1" si="5"/>
        <v/>
      </c>
      <c r="G157" s="32"/>
      <c r="H157" s="47" t="str">
        <f>IFERROR(IF(OR(B157="",E157=""),"",SUMIF(DB_Loans!$B:$B,B157,DB_Loans!$E:$E)+E157),"")</f>
        <v/>
      </c>
      <c r="I157" s="47" t="str">
        <f>IFERROR(IF(OR(B157="",E157=""),"",SUMIF(DB_Loans!$B:$B,B157,DB_Loans!$J:$J)+(E157*0.025)),"")</f>
        <v/>
      </c>
      <c r="J157" s="32"/>
    </row>
    <row r="158" spans="1:10" ht="19.5" customHeight="1" x14ac:dyDescent="0.25">
      <c r="A158" s="31" t="str">
        <f t="shared" si="4"/>
        <v/>
      </c>
      <c r="B158" s="45"/>
      <c r="C158" s="38" t="str">
        <f>IFERROR(IF(B158="","",VLOOKUP(B158,DB_Customers!$A:$B,2,0)),"")</f>
        <v/>
      </c>
      <c r="D158" s="45"/>
      <c r="E158" s="33"/>
      <c r="F158" s="46" t="str">
        <f t="shared" ca="1" si="5"/>
        <v/>
      </c>
      <c r="G158" s="32"/>
      <c r="H158" s="47" t="str">
        <f>IFERROR(IF(OR(B158="",E158=""),"",SUMIF(DB_Loans!$B:$B,B158,DB_Loans!$E:$E)+E158),"")</f>
        <v/>
      </c>
      <c r="I158" s="47" t="str">
        <f>IFERROR(IF(OR(B158="",E158=""),"",SUMIF(DB_Loans!$B:$B,B158,DB_Loans!$J:$J)+(E158*0.025)),"")</f>
        <v/>
      </c>
      <c r="J158" s="32"/>
    </row>
    <row r="159" spans="1:10" ht="19.5" customHeight="1" x14ac:dyDescent="0.25">
      <c r="A159" s="31" t="str">
        <f t="shared" si="4"/>
        <v/>
      </c>
      <c r="B159" s="45"/>
      <c r="C159" s="38" t="str">
        <f>IFERROR(IF(B159="","",VLOOKUP(B159,DB_Customers!$A:$B,2,0)),"")</f>
        <v/>
      </c>
      <c r="D159" s="45"/>
      <c r="E159" s="33"/>
      <c r="F159" s="46" t="str">
        <f t="shared" ca="1" si="5"/>
        <v/>
      </c>
      <c r="G159" s="32"/>
      <c r="H159" s="47" t="str">
        <f>IFERROR(IF(OR(B159="",E159=""),"",SUMIF(DB_Loans!$B:$B,B159,DB_Loans!$E:$E)+E159),"")</f>
        <v/>
      </c>
      <c r="I159" s="47" t="str">
        <f>IFERROR(IF(OR(B159="",E159=""),"",SUMIF(DB_Loans!$B:$B,B159,DB_Loans!$J:$J)+(E159*0.025)),"")</f>
        <v/>
      </c>
      <c r="J159" s="32"/>
    </row>
    <row r="160" spans="1:10" ht="19.5" customHeight="1" x14ac:dyDescent="0.25">
      <c r="A160" s="31" t="str">
        <f t="shared" si="4"/>
        <v/>
      </c>
      <c r="B160" s="45"/>
      <c r="C160" s="38" t="str">
        <f>IFERROR(IF(B160="","",VLOOKUP(B160,DB_Customers!$A:$B,2,0)),"")</f>
        <v/>
      </c>
      <c r="D160" s="45"/>
      <c r="E160" s="33"/>
      <c r="F160" s="46" t="str">
        <f t="shared" ca="1" si="5"/>
        <v/>
      </c>
      <c r="G160" s="32"/>
      <c r="H160" s="47" t="str">
        <f>IFERROR(IF(OR(B160="",E160=""),"",SUMIF(DB_Loans!$B:$B,B160,DB_Loans!$E:$E)+E160),"")</f>
        <v/>
      </c>
      <c r="I160" s="47" t="str">
        <f>IFERROR(IF(OR(B160="",E160=""),"",SUMIF(DB_Loans!$B:$B,B160,DB_Loans!$J:$J)+(E160*0.025)),"")</f>
        <v/>
      </c>
      <c r="J160" s="32"/>
    </row>
    <row r="161" spans="1:10" ht="19.5" customHeight="1" x14ac:dyDescent="0.25">
      <c r="A161" s="31" t="str">
        <f t="shared" si="4"/>
        <v/>
      </c>
      <c r="B161" s="45"/>
      <c r="C161" s="38" t="str">
        <f>IFERROR(IF(B161="","",VLOOKUP(B161,DB_Customers!$A:$B,2,0)),"")</f>
        <v/>
      </c>
      <c r="D161" s="45"/>
      <c r="E161" s="33"/>
      <c r="F161" s="46" t="str">
        <f t="shared" ca="1" si="5"/>
        <v/>
      </c>
      <c r="G161" s="32"/>
      <c r="H161" s="47" t="str">
        <f>IFERROR(IF(OR(B161="",E161=""),"",SUMIF(DB_Loans!$B:$B,B161,DB_Loans!$E:$E)+E161),"")</f>
        <v/>
      </c>
      <c r="I161" s="47" t="str">
        <f>IFERROR(IF(OR(B161="",E161=""),"",SUMIF(DB_Loans!$B:$B,B161,DB_Loans!$J:$J)+(E161*0.025)),"")</f>
        <v/>
      </c>
      <c r="J161" s="32"/>
    </row>
    <row r="162" spans="1:10" ht="19.5" customHeight="1" x14ac:dyDescent="0.25">
      <c r="A162" s="31" t="str">
        <f t="shared" si="4"/>
        <v/>
      </c>
      <c r="B162" s="45"/>
      <c r="C162" s="38" t="str">
        <f>IFERROR(IF(B162="","",VLOOKUP(B162,DB_Customers!$A:$B,2,0)),"")</f>
        <v/>
      </c>
      <c r="D162" s="45"/>
      <c r="E162" s="33"/>
      <c r="F162" s="46" t="str">
        <f t="shared" ca="1" si="5"/>
        <v/>
      </c>
      <c r="G162" s="32"/>
      <c r="H162" s="47" t="str">
        <f>IFERROR(IF(OR(B162="",E162=""),"",SUMIF(DB_Loans!$B:$B,B162,DB_Loans!$E:$E)+E162),"")</f>
        <v/>
      </c>
      <c r="I162" s="47" t="str">
        <f>IFERROR(IF(OR(B162="",E162=""),"",SUMIF(DB_Loans!$B:$B,B162,DB_Loans!$J:$J)+(E162*0.025)),"")</f>
        <v/>
      </c>
      <c r="J162" s="32"/>
    </row>
    <row r="163" spans="1:10" ht="19.5" customHeight="1" x14ac:dyDescent="0.25">
      <c r="A163" s="31" t="str">
        <f t="shared" si="4"/>
        <v/>
      </c>
      <c r="B163" s="45"/>
      <c r="C163" s="38" t="str">
        <f>IFERROR(IF(B163="","",VLOOKUP(B163,DB_Customers!$A:$B,2,0)),"")</f>
        <v/>
      </c>
      <c r="D163" s="45"/>
      <c r="E163" s="33"/>
      <c r="F163" s="46" t="str">
        <f t="shared" ca="1" si="5"/>
        <v/>
      </c>
      <c r="G163" s="32"/>
      <c r="H163" s="47" t="str">
        <f>IFERROR(IF(OR(B163="",E163=""),"",SUMIF(DB_Loans!$B:$B,B163,DB_Loans!$E:$E)+E163),"")</f>
        <v/>
      </c>
      <c r="I163" s="47" t="str">
        <f>IFERROR(IF(OR(B163="",E163=""),"",SUMIF(DB_Loans!$B:$B,B163,DB_Loans!$J:$J)+(E163*0.025)),"")</f>
        <v/>
      </c>
      <c r="J163" s="32"/>
    </row>
    <row r="164" spans="1:10" ht="19.5" customHeight="1" x14ac:dyDescent="0.25">
      <c r="A164" s="31" t="str">
        <f t="shared" si="4"/>
        <v/>
      </c>
      <c r="B164" s="45"/>
      <c r="C164" s="38" t="str">
        <f>IFERROR(IF(B164="","",VLOOKUP(B164,DB_Customers!$A:$B,2,0)),"")</f>
        <v/>
      </c>
      <c r="D164" s="45"/>
      <c r="E164" s="33"/>
      <c r="F164" s="46" t="str">
        <f t="shared" ca="1" si="5"/>
        <v/>
      </c>
      <c r="G164" s="32"/>
      <c r="H164" s="47" t="str">
        <f>IFERROR(IF(OR(B164="",E164=""),"",SUMIF(DB_Loans!$B:$B,B164,DB_Loans!$E:$E)+E164),"")</f>
        <v/>
      </c>
      <c r="I164" s="47" t="str">
        <f>IFERROR(IF(OR(B164="",E164=""),"",SUMIF(DB_Loans!$B:$B,B164,DB_Loans!$J:$J)+(E164*0.025)),"")</f>
        <v/>
      </c>
      <c r="J164" s="32"/>
    </row>
    <row r="165" spans="1:10" ht="19.5" customHeight="1" x14ac:dyDescent="0.25">
      <c r="A165" s="31" t="str">
        <f t="shared" si="4"/>
        <v/>
      </c>
      <c r="B165" s="45"/>
      <c r="C165" s="38" t="str">
        <f>IFERROR(IF(B165="","",VLOOKUP(B165,DB_Customers!$A:$B,2,0)),"")</f>
        <v/>
      </c>
      <c r="D165" s="45"/>
      <c r="E165" s="33"/>
      <c r="F165" s="46" t="str">
        <f t="shared" ca="1" si="5"/>
        <v/>
      </c>
      <c r="G165" s="32"/>
      <c r="H165" s="47" t="str">
        <f>IFERROR(IF(OR(B165="",E165=""),"",SUMIF(DB_Loans!$B:$B,B165,DB_Loans!$E:$E)+E165),"")</f>
        <v/>
      </c>
      <c r="I165" s="47" t="str">
        <f>IFERROR(IF(OR(B165="",E165=""),"",SUMIF(DB_Loans!$B:$B,B165,DB_Loans!$J:$J)+(E165*0.025)),"")</f>
        <v/>
      </c>
      <c r="J165" s="32"/>
    </row>
    <row r="166" spans="1:10" ht="19.5" customHeight="1" x14ac:dyDescent="0.25">
      <c r="A166" s="31" t="str">
        <f t="shared" si="4"/>
        <v/>
      </c>
      <c r="B166" s="45"/>
      <c r="C166" s="38" t="str">
        <f>IFERROR(IF(B166="","",VLOOKUP(B166,DB_Customers!$A:$B,2,0)),"")</f>
        <v/>
      </c>
      <c r="D166" s="45"/>
      <c r="E166" s="33"/>
      <c r="F166" s="46" t="str">
        <f t="shared" ca="1" si="5"/>
        <v/>
      </c>
      <c r="G166" s="32"/>
      <c r="H166" s="47" t="str">
        <f>IFERROR(IF(OR(B166="",E166=""),"",SUMIF(DB_Loans!$B:$B,B166,DB_Loans!$E:$E)+E166),"")</f>
        <v/>
      </c>
      <c r="I166" s="47" t="str">
        <f>IFERROR(IF(OR(B166="",E166=""),"",SUMIF(DB_Loans!$B:$B,B166,DB_Loans!$J:$J)+(E166*0.025)),"")</f>
        <v/>
      </c>
      <c r="J166" s="32"/>
    </row>
    <row r="167" spans="1:10" ht="19.5" customHeight="1" x14ac:dyDescent="0.25">
      <c r="A167" s="31" t="str">
        <f t="shared" si="4"/>
        <v/>
      </c>
      <c r="B167" s="45"/>
      <c r="C167" s="38" t="str">
        <f>IFERROR(IF(B167="","",VLOOKUP(B167,DB_Customers!$A:$B,2,0)),"")</f>
        <v/>
      </c>
      <c r="D167" s="45"/>
      <c r="E167" s="33"/>
      <c r="F167" s="46" t="str">
        <f t="shared" ca="1" si="5"/>
        <v/>
      </c>
      <c r="G167" s="32"/>
      <c r="H167" s="47" t="str">
        <f>IFERROR(IF(OR(B167="",E167=""),"",SUMIF(DB_Loans!$B:$B,B167,DB_Loans!$E:$E)+E167),"")</f>
        <v/>
      </c>
      <c r="I167" s="47" t="str">
        <f>IFERROR(IF(OR(B167="",E167=""),"",SUMIF(DB_Loans!$B:$B,B167,DB_Loans!$J:$J)+(E167*0.025)),"")</f>
        <v/>
      </c>
      <c r="J167" s="32"/>
    </row>
    <row r="168" spans="1:10" ht="19.5" customHeight="1" x14ac:dyDescent="0.25">
      <c r="A168" s="31" t="str">
        <f t="shared" si="4"/>
        <v/>
      </c>
      <c r="B168" s="45"/>
      <c r="C168" s="38" t="str">
        <f>IFERROR(IF(B168="","",VLOOKUP(B168,DB_Customers!$A:$B,2,0)),"")</f>
        <v/>
      </c>
      <c r="D168" s="45"/>
      <c r="E168" s="33"/>
      <c r="F168" s="46" t="str">
        <f t="shared" ca="1" si="5"/>
        <v/>
      </c>
      <c r="G168" s="32"/>
      <c r="H168" s="47" t="str">
        <f>IFERROR(IF(OR(B168="",E168=""),"",SUMIF(DB_Loans!$B:$B,B168,DB_Loans!$E:$E)+E168),"")</f>
        <v/>
      </c>
      <c r="I168" s="47" t="str">
        <f>IFERROR(IF(OR(B168="",E168=""),"",SUMIF(DB_Loans!$B:$B,B168,DB_Loans!$J:$J)+(E168*0.025)),"")</f>
        <v/>
      </c>
      <c r="J168" s="32"/>
    </row>
    <row r="169" spans="1:10" ht="19.5" customHeight="1" x14ac:dyDescent="0.25">
      <c r="A169" s="31" t="str">
        <f t="shared" si="4"/>
        <v/>
      </c>
      <c r="B169" s="45"/>
      <c r="C169" s="38" t="str">
        <f>IFERROR(IF(B169="","",VLOOKUP(B169,DB_Customers!$A:$B,2,0)),"")</f>
        <v/>
      </c>
      <c r="D169" s="45"/>
      <c r="E169" s="33"/>
      <c r="F169" s="46" t="str">
        <f t="shared" ca="1" si="5"/>
        <v/>
      </c>
      <c r="G169" s="32"/>
      <c r="H169" s="47" t="str">
        <f>IFERROR(IF(OR(B169="",E169=""),"",SUMIF(DB_Loans!$B:$B,B169,DB_Loans!$E:$E)+E169),"")</f>
        <v/>
      </c>
      <c r="I169" s="47" t="str">
        <f>IFERROR(IF(OR(B169="",E169=""),"",SUMIF(DB_Loans!$B:$B,B169,DB_Loans!$J:$J)+(E169*0.025)),"")</f>
        <v/>
      </c>
      <c r="J169" s="32"/>
    </row>
    <row r="170" spans="1:10" ht="19.5" customHeight="1" x14ac:dyDescent="0.25">
      <c r="A170" s="31" t="str">
        <f t="shared" si="4"/>
        <v/>
      </c>
      <c r="B170" s="45"/>
      <c r="C170" s="38" t="str">
        <f>IFERROR(IF(B170="","",VLOOKUP(B170,DB_Customers!$A:$B,2,0)),"")</f>
        <v/>
      </c>
      <c r="D170" s="45"/>
      <c r="E170" s="33"/>
      <c r="F170" s="46" t="str">
        <f t="shared" ca="1" si="5"/>
        <v/>
      </c>
      <c r="G170" s="32"/>
      <c r="H170" s="47" t="str">
        <f>IFERROR(IF(OR(B170="",E170=""),"",SUMIF(DB_Loans!$B:$B,B170,DB_Loans!$E:$E)+E170),"")</f>
        <v/>
      </c>
      <c r="I170" s="47" t="str">
        <f>IFERROR(IF(OR(B170="",E170=""),"",SUMIF(DB_Loans!$B:$B,B170,DB_Loans!$J:$J)+(E170*0.025)),"")</f>
        <v/>
      </c>
      <c r="J170" s="32"/>
    </row>
    <row r="171" spans="1:10" ht="19.5" customHeight="1" x14ac:dyDescent="0.25">
      <c r="A171" s="31" t="str">
        <f t="shared" si="4"/>
        <v/>
      </c>
      <c r="B171" s="45"/>
      <c r="C171" s="38" t="str">
        <f>IFERROR(IF(B171="","",VLOOKUP(B171,DB_Customers!$A:$B,2,0)),"")</f>
        <v/>
      </c>
      <c r="D171" s="45"/>
      <c r="E171" s="33"/>
      <c r="F171" s="46" t="str">
        <f t="shared" ca="1" si="5"/>
        <v/>
      </c>
      <c r="G171" s="32"/>
      <c r="H171" s="47" t="str">
        <f>IFERROR(IF(OR(B171="",E171=""),"",SUMIF(DB_Loans!$B:$B,B171,DB_Loans!$E:$E)+E171),"")</f>
        <v/>
      </c>
      <c r="I171" s="47" t="str">
        <f>IFERROR(IF(OR(B171="",E171=""),"",SUMIF(DB_Loans!$B:$B,B171,DB_Loans!$J:$J)+(E171*0.025)),"")</f>
        <v/>
      </c>
      <c r="J171" s="32"/>
    </row>
    <row r="172" spans="1:10" ht="19.5" customHeight="1" x14ac:dyDescent="0.25">
      <c r="A172" s="31" t="str">
        <f t="shared" si="4"/>
        <v/>
      </c>
      <c r="B172" s="45"/>
      <c r="C172" s="38" t="str">
        <f>IFERROR(IF(B172="","",VLOOKUP(B172,DB_Customers!$A:$B,2,0)),"")</f>
        <v/>
      </c>
      <c r="D172" s="45"/>
      <c r="E172" s="33"/>
      <c r="F172" s="46" t="str">
        <f t="shared" ca="1" si="5"/>
        <v/>
      </c>
      <c r="G172" s="32"/>
      <c r="H172" s="47" t="str">
        <f>IFERROR(IF(OR(B172="",E172=""),"",SUMIF(DB_Loans!$B:$B,B172,DB_Loans!$E:$E)+E172),"")</f>
        <v/>
      </c>
      <c r="I172" s="47" t="str">
        <f>IFERROR(IF(OR(B172="",E172=""),"",SUMIF(DB_Loans!$B:$B,B172,DB_Loans!$J:$J)+(E172*0.025)),"")</f>
        <v/>
      </c>
      <c r="J172" s="32"/>
    </row>
    <row r="173" spans="1:10" ht="19.5" customHeight="1" x14ac:dyDescent="0.25">
      <c r="A173" s="31" t="str">
        <f t="shared" si="4"/>
        <v/>
      </c>
      <c r="B173" s="45"/>
      <c r="C173" s="38" t="str">
        <f>IFERROR(IF(B173="","",VLOOKUP(B173,DB_Customers!$A:$B,2,0)),"")</f>
        <v/>
      </c>
      <c r="D173" s="45"/>
      <c r="E173" s="33"/>
      <c r="F173" s="46" t="str">
        <f t="shared" ca="1" si="5"/>
        <v/>
      </c>
      <c r="G173" s="32"/>
      <c r="H173" s="47" t="str">
        <f>IFERROR(IF(OR(B173="",E173=""),"",SUMIF(DB_Loans!$B:$B,B173,DB_Loans!$E:$E)+E173),"")</f>
        <v/>
      </c>
      <c r="I173" s="47" t="str">
        <f>IFERROR(IF(OR(B173="",E173=""),"",SUMIF(DB_Loans!$B:$B,B173,DB_Loans!$J:$J)+(E173*0.025)),"")</f>
        <v/>
      </c>
      <c r="J173" s="32"/>
    </row>
    <row r="174" spans="1:10" ht="19.5" customHeight="1" x14ac:dyDescent="0.25">
      <c r="A174" s="31" t="str">
        <f t="shared" si="4"/>
        <v/>
      </c>
      <c r="B174" s="45"/>
      <c r="C174" s="38" t="str">
        <f>IFERROR(IF(B174="","",VLOOKUP(B174,DB_Customers!$A:$B,2,0)),"")</f>
        <v/>
      </c>
      <c r="D174" s="45"/>
      <c r="E174" s="33"/>
      <c r="F174" s="46" t="str">
        <f t="shared" ca="1" si="5"/>
        <v/>
      </c>
      <c r="G174" s="32"/>
      <c r="H174" s="47" t="str">
        <f>IFERROR(IF(OR(B174="",E174=""),"",SUMIF(DB_Loans!$B:$B,B174,DB_Loans!$E:$E)+E174),"")</f>
        <v/>
      </c>
      <c r="I174" s="47" t="str">
        <f>IFERROR(IF(OR(B174="",E174=""),"",SUMIF(DB_Loans!$B:$B,B174,DB_Loans!$J:$J)+(E174*0.025)),"")</f>
        <v/>
      </c>
      <c r="J174" s="32"/>
    </row>
    <row r="175" spans="1:10" ht="19.5" customHeight="1" x14ac:dyDescent="0.25">
      <c r="A175" s="31" t="str">
        <f t="shared" si="4"/>
        <v/>
      </c>
      <c r="B175" s="45"/>
      <c r="C175" s="38" t="str">
        <f>IFERROR(IF(B175="","",VLOOKUP(B175,DB_Customers!$A:$B,2,0)),"")</f>
        <v/>
      </c>
      <c r="D175" s="45"/>
      <c r="E175" s="33"/>
      <c r="F175" s="46" t="str">
        <f t="shared" ca="1" si="5"/>
        <v/>
      </c>
      <c r="G175" s="32"/>
      <c r="H175" s="47" t="str">
        <f>IFERROR(IF(OR(B175="",E175=""),"",SUMIF(DB_Loans!$B:$B,B175,DB_Loans!$E:$E)+E175),"")</f>
        <v/>
      </c>
      <c r="I175" s="47" t="str">
        <f>IFERROR(IF(OR(B175="",E175=""),"",SUMIF(DB_Loans!$B:$B,B175,DB_Loans!$J:$J)+(E175*0.025)),"")</f>
        <v/>
      </c>
      <c r="J175" s="32"/>
    </row>
    <row r="176" spans="1:10" ht="19.5" customHeight="1" x14ac:dyDescent="0.25">
      <c r="A176" s="31" t="str">
        <f t="shared" si="4"/>
        <v/>
      </c>
      <c r="B176" s="45"/>
      <c r="C176" s="38" t="str">
        <f>IFERROR(IF(B176="","",VLOOKUP(B176,DB_Customers!$A:$B,2,0)),"")</f>
        <v/>
      </c>
      <c r="D176" s="45"/>
      <c r="E176" s="33"/>
      <c r="F176" s="46" t="str">
        <f t="shared" ca="1" si="5"/>
        <v/>
      </c>
      <c r="G176" s="32"/>
      <c r="H176" s="47" t="str">
        <f>IFERROR(IF(OR(B176="",E176=""),"",SUMIF(DB_Loans!$B:$B,B176,DB_Loans!$E:$E)+E176),"")</f>
        <v/>
      </c>
      <c r="I176" s="47" t="str">
        <f>IFERROR(IF(OR(B176="",E176=""),"",SUMIF(DB_Loans!$B:$B,B176,DB_Loans!$J:$J)+(E176*0.025)),"")</f>
        <v/>
      </c>
      <c r="J176" s="32"/>
    </row>
    <row r="177" spans="1:10" ht="19.5" customHeight="1" x14ac:dyDescent="0.25">
      <c r="A177" s="31" t="str">
        <f t="shared" si="4"/>
        <v/>
      </c>
      <c r="B177" s="45"/>
      <c r="C177" s="38" t="str">
        <f>IFERROR(IF(B177="","",VLOOKUP(B177,DB_Customers!$A:$B,2,0)),"")</f>
        <v/>
      </c>
      <c r="D177" s="45"/>
      <c r="E177" s="33"/>
      <c r="F177" s="46" t="str">
        <f t="shared" ca="1" si="5"/>
        <v/>
      </c>
      <c r="G177" s="32"/>
      <c r="H177" s="47" t="str">
        <f>IFERROR(IF(OR(B177="",E177=""),"",SUMIF(DB_Loans!$B:$B,B177,DB_Loans!$E:$E)+E177),"")</f>
        <v/>
      </c>
      <c r="I177" s="47" t="str">
        <f>IFERROR(IF(OR(B177="",E177=""),"",SUMIF(DB_Loans!$B:$B,B177,DB_Loans!$J:$J)+(E177*0.025)),"")</f>
        <v/>
      </c>
      <c r="J177" s="32"/>
    </row>
    <row r="178" spans="1:10" ht="19.5" customHeight="1" x14ac:dyDescent="0.25">
      <c r="A178" s="31" t="str">
        <f t="shared" si="4"/>
        <v/>
      </c>
      <c r="B178" s="45"/>
      <c r="C178" s="38" t="str">
        <f>IFERROR(IF(B178="","",VLOOKUP(B178,DB_Customers!$A:$B,2,0)),"")</f>
        <v/>
      </c>
      <c r="D178" s="45"/>
      <c r="E178" s="33"/>
      <c r="F178" s="46" t="str">
        <f t="shared" ca="1" si="5"/>
        <v/>
      </c>
      <c r="G178" s="32"/>
      <c r="H178" s="47" t="str">
        <f>IFERROR(IF(OR(B178="",E178=""),"",SUMIF(DB_Loans!$B:$B,B178,DB_Loans!$E:$E)+E178),"")</f>
        <v/>
      </c>
      <c r="I178" s="47" t="str">
        <f>IFERROR(IF(OR(B178="",E178=""),"",SUMIF(DB_Loans!$B:$B,B178,DB_Loans!$J:$J)+(E178*0.025)),"")</f>
        <v/>
      </c>
      <c r="J178" s="32"/>
    </row>
    <row r="179" spans="1:10" ht="19.5" customHeight="1" x14ac:dyDescent="0.25">
      <c r="A179" s="31" t="str">
        <f t="shared" si="4"/>
        <v/>
      </c>
      <c r="B179" s="45"/>
      <c r="C179" s="38" t="str">
        <f>IFERROR(IF(B179="","",VLOOKUP(B179,DB_Customers!$A:$B,2,0)),"")</f>
        <v/>
      </c>
      <c r="D179" s="45"/>
      <c r="E179" s="33"/>
      <c r="F179" s="46" t="str">
        <f t="shared" ca="1" si="5"/>
        <v/>
      </c>
      <c r="G179" s="32"/>
      <c r="H179" s="47" t="str">
        <f>IFERROR(IF(OR(B179="",E179=""),"",SUMIF(DB_Loans!$B:$B,B179,DB_Loans!$E:$E)+E179),"")</f>
        <v/>
      </c>
      <c r="I179" s="47" t="str">
        <f>IFERROR(IF(OR(B179="",E179=""),"",SUMIF(DB_Loans!$B:$B,B179,DB_Loans!$J:$J)+(E179*0.025)),"")</f>
        <v/>
      </c>
      <c r="J179" s="32"/>
    </row>
    <row r="180" spans="1:10" ht="19.5" customHeight="1" x14ac:dyDescent="0.25">
      <c r="A180" s="31" t="str">
        <f t="shared" si="4"/>
        <v/>
      </c>
      <c r="B180" s="45"/>
      <c r="C180" s="38" t="str">
        <f>IFERROR(IF(B180="","",VLOOKUP(B180,DB_Customers!$A:$B,2,0)),"")</f>
        <v/>
      </c>
      <c r="D180" s="45"/>
      <c r="E180" s="33"/>
      <c r="F180" s="46" t="str">
        <f t="shared" ca="1" si="5"/>
        <v/>
      </c>
      <c r="G180" s="32"/>
      <c r="H180" s="47" t="str">
        <f>IFERROR(IF(OR(B180="",E180=""),"",SUMIF(DB_Loans!$B:$B,B180,DB_Loans!$E:$E)+E180),"")</f>
        <v/>
      </c>
      <c r="I180" s="47" t="str">
        <f>IFERROR(IF(OR(B180="",E180=""),"",SUMIF(DB_Loans!$B:$B,B180,DB_Loans!$J:$J)+(E180*0.025)),"")</f>
        <v/>
      </c>
      <c r="J180" s="32"/>
    </row>
    <row r="181" spans="1:10" ht="19.5" customHeight="1" x14ac:dyDescent="0.25">
      <c r="A181" s="31" t="str">
        <f t="shared" si="4"/>
        <v/>
      </c>
      <c r="B181" s="45"/>
      <c r="C181" s="38" t="str">
        <f>IFERROR(IF(B181="","",VLOOKUP(B181,DB_Customers!$A:$B,2,0)),"")</f>
        <v/>
      </c>
      <c r="D181" s="45"/>
      <c r="E181" s="33"/>
      <c r="F181" s="46" t="str">
        <f t="shared" ca="1" si="5"/>
        <v/>
      </c>
      <c r="G181" s="32"/>
      <c r="H181" s="47" t="str">
        <f>IFERROR(IF(OR(B181="",E181=""),"",SUMIF(DB_Loans!$B:$B,B181,DB_Loans!$E:$E)+E181),"")</f>
        <v/>
      </c>
      <c r="I181" s="47" t="str">
        <f>IFERROR(IF(OR(B181="",E181=""),"",SUMIF(DB_Loans!$B:$B,B181,DB_Loans!$J:$J)+(E181*0.025)),"")</f>
        <v/>
      </c>
      <c r="J181" s="32"/>
    </row>
    <row r="182" spans="1:10" ht="19.5" customHeight="1" x14ac:dyDescent="0.25">
      <c r="A182" s="31" t="str">
        <f t="shared" si="4"/>
        <v/>
      </c>
      <c r="B182" s="45"/>
      <c r="C182" s="38" t="str">
        <f>IFERROR(IF(B182="","",VLOOKUP(B182,DB_Customers!$A:$B,2,0)),"")</f>
        <v/>
      </c>
      <c r="D182" s="45"/>
      <c r="E182" s="33"/>
      <c r="F182" s="46" t="str">
        <f t="shared" ca="1" si="5"/>
        <v/>
      </c>
      <c r="G182" s="32"/>
      <c r="H182" s="47" t="str">
        <f>IFERROR(IF(OR(B182="",E182=""),"",SUMIF(DB_Loans!$B:$B,B182,DB_Loans!$E:$E)+E182),"")</f>
        <v/>
      </c>
      <c r="I182" s="47" t="str">
        <f>IFERROR(IF(OR(B182="",E182=""),"",SUMIF(DB_Loans!$B:$B,B182,DB_Loans!$J:$J)+(E182*0.025)),"")</f>
        <v/>
      </c>
      <c r="J182" s="32"/>
    </row>
    <row r="183" spans="1:10" ht="19.5" customHeight="1" x14ac:dyDescent="0.25">
      <c r="A183" s="31" t="str">
        <f t="shared" si="4"/>
        <v/>
      </c>
      <c r="B183" s="45"/>
      <c r="C183" s="38" t="str">
        <f>IFERROR(IF(B183="","",VLOOKUP(B183,DB_Customers!$A:$B,2,0)),"")</f>
        <v/>
      </c>
      <c r="D183" s="45"/>
      <c r="E183" s="33"/>
      <c r="F183" s="46" t="str">
        <f t="shared" ca="1" si="5"/>
        <v/>
      </c>
      <c r="G183" s="32"/>
      <c r="H183" s="47" t="str">
        <f>IFERROR(IF(OR(B183="",E183=""),"",SUMIF(DB_Loans!$B:$B,B183,DB_Loans!$E:$E)+E183),"")</f>
        <v/>
      </c>
      <c r="I183" s="47" t="str">
        <f>IFERROR(IF(OR(B183="",E183=""),"",SUMIF(DB_Loans!$B:$B,B183,DB_Loans!$J:$J)+(E183*0.025)),"")</f>
        <v/>
      </c>
      <c r="J183" s="32"/>
    </row>
    <row r="184" spans="1:10" ht="19.5" customHeight="1" x14ac:dyDescent="0.25">
      <c r="A184" s="31" t="str">
        <f t="shared" si="4"/>
        <v/>
      </c>
      <c r="B184" s="45"/>
      <c r="C184" s="38" t="str">
        <f>IFERROR(IF(B184="","",VLOOKUP(B184,DB_Customers!$A:$B,2,0)),"")</f>
        <v/>
      </c>
      <c r="D184" s="45"/>
      <c r="E184" s="33"/>
      <c r="F184" s="46" t="str">
        <f t="shared" ca="1" si="5"/>
        <v/>
      </c>
      <c r="G184" s="32"/>
      <c r="H184" s="47" t="str">
        <f>IFERROR(IF(OR(B184="",E184=""),"",SUMIF(DB_Loans!$B:$B,B184,DB_Loans!$E:$E)+E184),"")</f>
        <v/>
      </c>
      <c r="I184" s="47" t="str">
        <f>IFERROR(IF(OR(B184="",E184=""),"",SUMIF(DB_Loans!$B:$B,B184,DB_Loans!$J:$J)+(E184*0.025)),"")</f>
        <v/>
      </c>
      <c r="J184" s="32"/>
    </row>
    <row r="185" spans="1:10" ht="19.5" customHeight="1" x14ac:dyDescent="0.25">
      <c r="A185" s="31" t="str">
        <f t="shared" si="4"/>
        <v/>
      </c>
      <c r="B185" s="45"/>
      <c r="C185" s="38" t="str">
        <f>IFERROR(IF(B185="","",VLOOKUP(B185,DB_Customers!$A:$B,2,0)),"")</f>
        <v/>
      </c>
      <c r="D185" s="45"/>
      <c r="E185" s="33"/>
      <c r="F185" s="46" t="str">
        <f t="shared" ca="1" si="5"/>
        <v/>
      </c>
      <c r="G185" s="32"/>
      <c r="H185" s="47" t="str">
        <f>IFERROR(IF(OR(B185="",E185=""),"",SUMIF(DB_Loans!$B:$B,B185,DB_Loans!$E:$E)+E185),"")</f>
        <v/>
      </c>
      <c r="I185" s="47" t="str">
        <f>IFERROR(IF(OR(B185="",E185=""),"",SUMIF(DB_Loans!$B:$B,B185,DB_Loans!$J:$J)+(E185*0.025)),"")</f>
        <v/>
      </c>
      <c r="J185" s="32"/>
    </row>
    <row r="186" spans="1:10" ht="19.5" customHeight="1" x14ac:dyDescent="0.25">
      <c r="A186" s="31" t="str">
        <f t="shared" si="4"/>
        <v/>
      </c>
      <c r="B186" s="45"/>
      <c r="C186" s="38" t="str">
        <f>IFERROR(IF(B186="","",VLOOKUP(B186,DB_Customers!$A:$B,2,0)),"")</f>
        <v/>
      </c>
      <c r="D186" s="45"/>
      <c r="E186" s="33"/>
      <c r="F186" s="46" t="str">
        <f t="shared" ca="1" si="5"/>
        <v/>
      </c>
      <c r="G186" s="32"/>
      <c r="H186" s="47" t="str">
        <f>IFERROR(IF(OR(B186="",E186=""),"",SUMIF(DB_Loans!$B:$B,B186,DB_Loans!$E:$E)+E186),"")</f>
        <v/>
      </c>
      <c r="I186" s="47" t="str">
        <f>IFERROR(IF(OR(B186="",E186=""),"",SUMIF(DB_Loans!$B:$B,B186,DB_Loans!$J:$J)+(E186*0.025)),"")</f>
        <v/>
      </c>
      <c r="J186" s="32"/>
    </row>
    <row r="187" spans="1:10" ht="19.5" customHeight="1" x14ac:dyDescent="0.25">
      <c r="A187" s="31" t="str">
        <f t="shared" si="4"/>
        <v/>
      </c>
      <c r="B187" s="45"/>
      <c r="C187" s="38" t="str">
        <f>IFERROR(IF(B187="","",VLOOKUP(B187,DB_Customers!$A:$B,2,0)),"")</f>
        <v/>
      </c>
      <c r="D187" s="45"/>
      <c r="E187" s="33"/>
      <c r="F187" s="46" t="str">
        <f t="shared" ca="1" si="5"/>
        <v/>
      </c>
      <c r="G187" s="32"/>
      <c r="H187" s="47" t="str">
        <f>IFERROR(IF(OR(B187="",E187=""),"",SUMIF(DB_Loans!$B:$B,B187,DB_Loans!$E:$E)+E187),"")</f>
        <v/>
      </c>
      <c r="I187" s="47" t="str">
        <f>IFERROR(IF(OR(B187="",E187=""),"",SUMIF(DB_Loans!$B:$B,B187,DB_Loans!$J:$J)+(E187*0.025)),"")</f>
        <v/>
      </c>
      <c r="J187" s="32"/>
    </row>
    <row r="188" spans="1:10" ht="19.5" customHeight="1" x14ac:dyDescent="0.25">
      <c r="A188" s="31" t="str">
        <f t="shared" si="4"/>
        <v/>
      </c>
      <c r="B188" s="45"/>
      <c r="C188" s="38" t="str">
        <f>IFERROR(IF(B188="","",VLOOKUP(B188,DB_Customers!$A:$B,2,0)),"")</f>
        <v/>
      </c>
      <c r="D188" s="45"/>
      <c r="E188" s="33"/>
      <c r="F188" s="46" t="str">
        <f t="shared" ca="1" si="5"/>
        <v/>
      </c>
      <c r="G188" s="32"/>
      <c r="H188" s="47" t="str">
        <f>IFERROR(IF(OR(B188="",E188=""),"",SUMIF(DB_Loans!$B:$B,B188,DB_Loans!$E:$E)+E188),"")</f>
        <v/>
      </c>
      <c r="I188" s="47" t="str">
        <f>IFERROR(IF(OR(B188="",E188=""),"",SUMIF(DB_Loans!$B:$B,B188,DB_Loans!$J:$J)+(E188*0.025)),"")</f>
        <v/>
      </c>
      <c r="J188" s="32"/>
    </row>
    <row r="189" spans="1:10" ht="19.5" customHeight="1" x14ac:dyDescent="0.25">
      <c r="A189" s="31" t="str">
        <f t="shared" si="4"/>
        <v/>
      </c>
      <c r="B189" s="45"/>
      <c r="C189" s="38" t="str">
        <f>IFERROR(IF(B189="","",VLOOKUP(B189,DB_Customers!$A:$B,2,0)),"")</f>
        <v/>
      </c>
      <c r="D189" s="45"/>
      <c r="E189" s="33"/>
      <c r="F189" s="46" t="str">
        <f t="shared" ca="1" si="5"/>
        <v/>
      </c>
      <c r="G189" s="32"/>
      <c r="H189" s="47" t="str">
        <f>IFERROR(IF(OR(B189="",E189=""),"",SUMIF(DB_Loans!$B:$B,B189,DB_Loans!$E:$E)+E189),"")</f>
        <v/>
      </c>
      <c r="I189" s="47" t="str">
        <f>IFERROR(IF(OR(B189="",E189=""),"",SUMIF(DB_Loans!$B:$B,B189,DB_Loans!$J:$J)+(E189*0.025)),"")</f>
        <v/>
      </c>
      <c r="J189" s="32"/>
    </row>
    <row r="190" spans="1:10" ht="19.5" customHeight="1" x14ac:dyDescent="0.25">
      <c r="A190" s="31" t="str">
        <f t="shared" si="4"/>
        <v/>
      </c>
      <c r="B190" s="45"/>
      <c r="C190" s="38" t="str">
        <f>IFERROR(IF(B190="","",VLOOKUP(B190,DB_Customers!$A:$B,2,0)),"")</f>
        <v/>
      </c>
      <c r="D190" s="45"/>
      <c r="E190" s="33"/>
      <c r="F190" s="46" t="str">
        <f t="shared" ca="1" si="5"/>
        <v/>
      </c>
      <c r="G190" s="32"/>
      <c r="H190" s="47" t="str">
        <f>IFERROR(IF(OR(B190="",E190=""),"",SUMIF(DB_Loans!$B:$B,B190,DB_Loans!$E:$E)+E190),"")</f>
        <v/>
      </c>
      <c r="I190" s="47" t="str">
        <f>IFERROR(IF(OR(B190="",E190=""),"",SUMIF(DB_Loans!$B:$B,B190,DB_Loans!$J:$J)+(E190*0.025)),"")</f>
        <v/>
      </c>
      <c r="J190" s="32"/>
    </row>
    <row r="191" spans="1:10" ht="19.5" customHeight="1" x14ac:dyDescent="0.25">
      <c r="A191" s="31" t="str">
        <f t="shared" si="4"/>
        <v/>
      </c>
      <c r="B191" s="45"/>
      <c r="C191" s="38" t="str">
        <f>IFERROR(IF(B191="","",VLOOKUP(B191,DB_Customers!$A:$B,2,0)),"")</f>
        <v/>
      </c>
      <c r="D191" s="45"/>
      <c r="E191" s="33"/>
      <c r="F191" s="46" t="str">
        <f t="shared" ca="1" si="5"/>
        <v/>
      </c>
      <c r="G191" s="32"/>
      <c r="H191" s="47" t="str">
        <f>IFERROR(IF(OR(B191="",E191=""),"",SUMIF(DB_Loans!$B:$B,B191,DB_Loans!$E:$E)+E191),"")</f>
        <v/>
      </c>
      <c r="I191" s="47" t="str">
        <f>IFERROR(IF(OR(B191="",E191=""),"",SUMIF(DB_Loans!$B:$B,B191,DB_Loans!$J:$J)+(E191*0.025)),"")</f>
        <v/>
      </c>
      <c r="J191" s="32"/>
    </row>
    <row r="192" spans="1:10" ht="19.5" customHeight="1" x14ac:dyDescent="0.25">
      <c r="A192" s="31" t="str">
        <f t="shared" si="4"/>
        <v/>
      </c>
      <c r="B192" s="45"/>
      <c r="C192" s="38" t="str">
        <f>IFERROR(IF(B192="","",VLOOKUP(B192,DB_Customers!$A:$B,2,0)),"")</f>
        <v/>
      </c>
      <c r="D192" s="45"/>
      <c r="E192" s="33"/>
      <c r="F192" s="46" t="str">
        <f t="shared" ca="1" si="5"/>
        <v/>
      </c>
      <c r="G192" s="32"/>
      <c r="H192" s="47" t="str">
        <f>IFERROR(IF(OR(B192="",E192=""),"",SUMIF(DB_Loans!$B:$B,B192,DB_Loans!$E:$E)+E192),"")</f>
        <v/>
      </c>
      <c r="I192" s="47" t="str">
        <f>IFERROR(IF(OR(B192="",E192=""),"",SUMIF(DB_Loans!$B:$B,B192,DB_Loans!$J:$J)+(E192*0.025)),"")</f>
        <v/>
      </c>
      <c r="J192" s="32"/>
    </row>
    <row r="193" spans="1:10" ht="19.5" customHeight="1" x14ac:dyDescent="0.25">
      <c r="A193" s="31" t="str">
        <f t="shared" si="4"/>
        <v/>
      </c>
      <c r="B193" s="45"/>
      <c r="C193" s="38" t="str">
        <f>IFERROR(IF(B193="","",VLOOKUP(B193,DB_Customers!$A:$B,2,0)),"")</f>
        <v/>
      </c>
      <c r="D193" s="45"/>
      <c r="E193" s="33"/>
      <c r="F193" s="46" t="str">
        <f t="shared" ca="1" si="5"/>
        <v/>
      </c>
      <c r="G193" s="32"/>
      <c r="H193" s="47" t="str">
        <f>IFERROR(IF(OR(B193="",E193=""),"",SUMIF(DB_Loans!$B:$B,B193,DB_Loans!$E:$E)+E193),"")</f>
        <v/>
      </c>
      <c r="I193" s="47" t="str">
        <f>IFERROR(IF(OR(B193="",E193=""),"",SUMIF(DB_Loans!$B:$B,B193,DB_Loans!$J:$J)+(E193*0.025)),"")</f>
        <v/>
      </c>
      <c r="J193" s="32"/>
    </row>
    <row r="194" spans="1:10" ht="19.5" customHeight="1" x14ac:dyDescent="0.25">
      <c r="A194" s="31" t="str">
        <f t="shared" si="4"/>
        <v/>
      </c>
      <c r="B194" s="45"/>
      <c r="C194" s="38" t="str">
        <f>IFERROR(IF(B194="","",VLOOKUP(B194,DB_Customers!$A:$B,2,0)),"")</f>
        <v/>
      </c>
      <c r="D194" s="45"/>
      <c r="E194" s="33"/>
      <c r="F194" s="46" t="str">
        <f t="shared" ca="1" si="5"/>
        <v/>
      </c>
      <c r="G194" s="32"/>
      <c r="H194" s="47" t="str">
        <f>IFERROR(IF(OR(B194="",E194=""),"",SUMIF(DB_Loans!$B:$B,B194,DB_Loans!$E:$E)+E194),"")</f>
        <v/>
      </c>
      <c r="I194" s="47" t="str">
        <f>IFERROR(IF(OR(B194="",E194=""),"",SUMIF(DB_Loans!$B:$B,B194,DB_Loans!$J:$J)+(E194*0.025)),"")</f>
        <v/>
      </c>
      <c r="J194" s="32"/>
    </row>
    <row r="195" spans="1:10" ht="19.5" customHeight="1" x14ac:dyDescent="0.25">
      <c r="A195" s="31" t="str">
        <f t="shared" si="4"/>
        <v/>
      </c>
      <c r="B195" s="45"/>
      <c r="C195" s="38" t="str">
        <f>IFERROR(IF(B195="","",VLOOKUP(B195,DB_Customers!$A:$B,2,0)),"")</f>
        <v/>
      </c>
      <c r="D195" s="45"/>
      <c r="E195" s="33"/>
      <c r="F195" s="46" t="str">
        <f t="shared" ca="1" si="5"/>
        <v/>
      </c>
      <c r="G195" s="32"/>
      <c r="H195" s="47" t="str">
        <f>IFERROR(IF(OR(B195="",E195=""),"",SUMIF(DB_Loans!$B:$B,B195,DB_Loans!$E:$E)+E195),"")</f>
        <v/>
      </c>
      <c r="I195" s="47" t="str">
        <f>IFERROR(IF(OR(B195="",E195=""),"",SUMIF(DB_Loans!$B:$B,B195,DB_Loans!$J:$J)+(E195*0.025)),"")</f>
        <v/>
      </c>
      <c r="J195" s="32"/>
    </row>
    <row r="196" spans="1:10" ht="19.5" customHeight="1" x14ac:dyDescent="0.25">
      <c r="A196" s="31" t="str">
        <f t="shared" si="4"/>
        <v/>
      </c>
      <c r="B196" s="45"/>
      <c r="C196" s="38" t="str">
        <f>IFERROR(IF(B196="","",VLOOKUP(B196,DB_Customers!$A:$B,2,0)),"")</f>
        <v/>
      </c>
      <c r="D196" s="45"/>
      <c r="E196" s="33"/>
      <c r="F196" s="46" t="str">
        <f t="shared" ca="1" si="5"/>
        <v/>
      </c>
      <c r="G196" s="32"/>
      <c r="H196" s="47" t="str">
        <f>IFERROR(IF(OR(B196="",E196=""),"",SUMIF(DB_Loans!$B:$B,B196,DB_Loans!$E:$E)+E196),"")</f>
        <v/>
      </c>
      <c r="I196" s="47" t="str">
        <f>IFERROR(IF(OR(B196="",E196=""),"",SUMIF(DB_Loans!$B:$B,B196,DB_Loans!$J:$J)+(E196*0.025)),"")</f>
        <v/>
      </c>
      <c r="J196" s="32"/>
    </row>
    <row r="197" spans="1:10" ht="19.5" customHeight="1" x14ac:dyDescent="0.25">
      <c r="A197" s="31" t="str">
        <f t="shared" ref="A197:A260" si="6">IF(B197="","","TU"&amp;TEXT(ROW()-4,"0000"))</f>
        <v/>
      </c>
      <c r="B197" s="45"/>
      <c r="C197" s="38" t="str">
        <f>IFERROR(IF(B197="","",VLOOKUP(B197,DB_Customers!$A:$B,2,0)),"")</f>
        <v/>
      </c>
      <c r="D197" s="45"/>
      <c r="E197" s="33"/>
      <c r="F197" s="46" t="str">
        <f t="shared" ref="F197:F260" ca="1" si="7">IF(B197="","",TODAY())</f>
        <v/>
      </c>
      <c r="G197" s="32"/>
      <c r="H197" s="47" t="str">
        <f>IFERROR(IF(OR(B197="",E197=""),"",SUMIF(DB_Loans!$B:$B,B197,DB_Loans!$E:$E)+E197),"")</f>
        <v/>
      </c>
      <c r="I197" s="47" t="str">
        <f>IFERROR(IF(OR(B197="",E197=""),"",SUMIF(DB_Loans!$B:$B,B197,DB_Loans!$J:$J)+(E197*0.025)),"")</f>
        <v/>
      </c>
      <c r="J197" s="32"/>
    </row>
    <row r="198" spans="1:10" ht="19.5" customHeight="1" x14ac:dyDescent="0.25">
      <c r="A198" s="31" t="str">
        <f t="shared" si="6"/>
        <v/>
      </c>
      <c r="B198" s="45"/>
      <c r="C198" s="38" t="str">
        <f>IFERROR(IF(B198="","",VLOOKUP(B198,DB_Customers!$A:$B,2,0)),"")</f>
        <v/>
      </c>
      <c r="D198" s="45"/>
      <c r="E198" s="33"/>
      <c r="F198" s="46" t="str">
        <f t="shared" ca="1" si="7"/>
        <v/>
      </c>
      <c r="G198" s="32"/>
      <c r="H198" s="47" t="str">
        <f>IFERROR(IF(OR(B198="",E198=""),"",SUMIF(DB_Loans!$B:$B,B198,DB_Loans!$E:$E)+E198),"")</f>
        <v/>
      </c>
      <c r="I198" s="47" t="str">
        <f>IFERROR(IF(OR(B198="",E198=""),"",SUMIF(DB_Loans!$B:$B,B198,DB_Loans!$J:$J)+(E198*0.025)),"")</f>
        <v/>
      </c>
      <c r="J198" s="32"/>
    </row>
    <row r="199" spans="1:10" ht="19.5" customHeight="1" x14ac:dyDescent="0.25">
      <c r="A199" s="31" t="str">
        <f t="shared" si="6"/>
        <v/>
      </c>
      <c r="B199" s="45"/>
      <c r="C199" s="38" t="str">
        <f>IFERROR(IF(B199="","",VLOOKUP(B199,DB_Customers!$A:$B,2,0)),"")</f>
        <v/>
      </c>
      <c r="D199" s="45"/>
      <c r="E199" s="33"/>
      <c r="F199" s="46" t="str">
        <f t="shared" ca="1" si="7"/>
        <v/>
      </c>
      <c r="G199" s="32"/>
      <c r="H199" s="47" t="str">
        <f>IFERROR(IF(OR(B199="",E199=""),"",SUMIF(DB_Loans!$B:$B,B199,DB_Loans!$E:$E)+E199),"")</f>
        <v/>
      </c>
      <c r="I199" s="47" t="str">
        <f>IFERROR(IF(OR(B199="",E199=""),"",SUMIF(DB_Loans!$B:$B,B199,DB_Loans!$J:$J)+(E199*0.025)),"")</f>
        <v/>
      </c>
      <c r="J199" s="32"/>
    </row>
    <row r="200" spans="1:10" ht="19.5" customHeight="1" x14ac:dyDescent="0.25">
      <c r="A200" s="31" t="str">
        <f t="shared" si="6"/>
        <v/>
      </c>
      <c r="B200" s="45"/>
      <c r="C200" s="38" t="str">
        <f>IFERROR(IF(B200="","",VLOOKUP(B200,DB_Customers!$A:$B,2,0)),"")</f>
        <v/>
      </c>
      <c r="D200" s="45"/>
      <c r="E200" s="33"/>
      <c r="F200" s="46" t="str">
        <f t="shared" ca="1" si="7"/>
        <v/>
      </c>
      <c r="G200" s="32"/>
      <c r="H200" s="47" t="str">
        <f>IFERROR(IF(OR(B200="",E200=""),"",SUMIF(DB_Loans!$B:$B,B200,DB_Loans!$E:$E)+E200),"")</f>
        <v/>
      </c>
      <c r="I200" s="47" t="str">
        <f>IFERROR(IF(OR(B200="",E200=""),"",SUMIF(DB_Loans!$B:$B,B200,DB_Loans!$J:$J)+(E200*0.025)),"")</f>
        <v/>
      </c>
      <c r="J200" s="32"/>
    </row>
    <row r="201" spans="1:10" ht="19.5" customHeight="1" x14ac:dyDescent="0.25">
      <c r="A201" s="31" t="str">
        <f t="shared" si="6"/>
        <v/>
      </c>
      <c r="B201" s="45"/>
      <c r="C201" s="38" t="str">
        <f>IFERROR(IF(B201="","",VLOOKUP(B201,DB_Customers!$A:$B,2,0)),"")</f>
        <v/>
      </c>
      <c r="D201" s="45"/>
      <c r="E201" s="33"/>
      <c r="F201" s="46" t="str">
        <f t="shared" ca="1" si="7"/>
        <v/>
      </c>
      <c r="G201" s="32"/>
      <c r="H201" s="47" t="str">
        <f>IFERROR(IF(OR(B201="",E201=""),"",SUMIF(DB_Loans!$B:$B,B201,DB_Loans!$E:$E)+E201),"")</f>
        <v/>
      </c>
      <c r="I201" s="47" t="str">
        <f>IFERROR(IF(OR(B201="",E201=""),"",SUMIF(DB_Loans!$B:$B,B201,DB_Loans!$J:$J)+(E201*0.025)),"")</f>
        <v/>
      </c>
      <c r="J201" s="32"/>
    </row>
    <row r="202" spans="1:10" ht="19.5" customHeight="1" x14ac:dyDescent="0.25">
      <c r="A202" s="31" t="str">
        <f t="shared" si="6"/>
        <v/>
      </c>
      <c r="B202" s="45"/>
      <c r="C202" s="38" t="str">
        <f>IFERROR(IF(B202="","",VLOOKUP(B202,DB_Customers!$A:$B,2,0)),"")</f>
        <v/>
      </c>
      <c r="D202" s="45"/>
      <c r="E202" s="33"/>
      <c r="F202" s="46" t="str">
        <f t="shared" ca="1" si="7"/>
        <v/>
      </c>
      <c r="G202" s="32"/>
      <c r="H202" s="47" t="str">
        <f>IFERROR(IF(OR(B202="",E202=""),"",SUMIF(DB_Loans!$B:$B,B202,DB_Loans!$E:$E)+E202),"")</f>
        <v/>
      </c>
      <c r="I202" s="47" t="str">
        <f>IFERROR(IF(OR(B202="",E202=""),"",SUMIF(DB_Loans!$B:$B,B202,DB_Loans!$J:$J)+(E202*0.025)),"")</f>
        <v/>
      </c>
      <c r="J202" s="32"/>
    </row>
    <row r="203" spans="1:10" ht="19.5" customHeight="1" x14ac:dyDescent="0.25">
      <c r="A203" s="31" t="str">
        <f t="shared" si="6"/>
        <v/>
      </c>
      <c r="B203" s="45"/>
      <c r="C203" s="38" t="str">
        <f>IFERROR(IF(B203="","",VLOOKUP(B203,DB_Customers!$A:$B,2,0)),"")</f>
        <v/>
      </c>
      <c r="D203" s="45"/>
      <c r="E203" s="33"/>
      <c r="F203" s="46" t="str">
        <f t="shared" ca="1" si="7"/>
        <v/>
      </c>
      <c r="G203" s="32"/>
      <c r="H203" s="47" t="str">
        <f>IFERROR(IF(OR(B203="",E203=""),"",SUMIF(DB_Loans!$B:$B,B203,DB_Loans!$E:$E)+E203),"")</f>
        <v/>
      </c>
      <c r="I203" s="47" t="str">
        <f>IFERROR(IF(OR(B203="",E203=""),"",SUMIF(DB_Loans!$B:$B,B203,DB_Loans!$J:$J)+(E203*0.025)),"")</f>
        <v/>
      </c>
      <c r="J203" s="32"/>
    </row>
    <row r="204" spans="1:10" ht="19.5" customHeight="1" x14ac:dyDescent="0.25">
      <c r="A204" s="31" t="str">
        <f t="shared" si="6"/>
        <v/>
      </c>
      <c r="B204" s="45"/>
      <c r="C204" s="38" t="str">
        <f>IFERROR(IF(B204="","",VLOOKUP(B204,DB_Customers!$A:$B,2,0)),"")</f>
        <v/>
      </c>
      <c r="D204" s="45"/>
      <c r="E204" s="33"/>
      <c r="F204" s="46" t="str">
        <f t="shared" ca="1" si="7"/>
        <v/>
      </c>
      <c r="G204" s="32"/>
      <c r="H204" s="47" t="str">
        <f>IFERROR(IF(OR(B204="",E204=""),"",SUMIF(DB_Loans!$B:$B,B204,DB_Loans!$E:$E)+E204),"")</f>
        <v/>
      </c>
      <c r="I204" s="47" t="str">
        <f>IFERROR(IF(OR(B204="",E204=""),"",SUMIF(DB_Loans!$B:$B,B204,DB_Loans!$J:$J)+(E204*0.025)),"")</f>
        <v/>
      </c>
      <c r="J204" s="32"/>
    </row>
    <row r="205" spans="1:10" ht="19.5" customHeight="1" x14ac:dyDescent="0.25">
      <c r="A205" s="31" t="str">
        <f t="shared" si="6"/>
        <v/>
      </c>
      <c r="B205" s="45"/>
      <c r="C205" s="38" t="str">
        <f>IFERROR(IF(B205="","",VLOOKUP(B205,DB_Customers!$A:$B,2,0)),"")</f>
        <v/>
      </c>
      <c r="D205" s="45"/>
      <c r="E205" s="33"/>
      <c r="F205" s="46" t="str">
        <f t="shared" ca="1" si="7"/>
        <v/>
      </c>
      <c r="G205" s="32"/>
      <c r="H205" s="47" t="str">
        <f>IFERROR(IF(OR(B205="",E205=""),"",SUMIF(DB_Loans!$B:$B,B205,DB_Loans!$E:$E)+E205),"")</f>
        <v/>
      </c>
      <c r="I205" s="47" t="str">
        <f>IFERROR(IF(OR(B205="",E205=""),"",SUMIF(DB_Loans!$B:$B,B205,DB_Loans!$J:$J)+(E205*0.025)),"")</f>
        <v/>
      </c>
      <c r="J205" s="32"/>
    </row>
    <row r="206" spans="1:10" ht="19.5" customHeight="1" x14ac:dyDescent="0.25">
      <c r="A206" s="31" t="str">
        <f t="shared" si="6"/>
        <v/>
      </c>
      <c r="B206" s="45"/>
      <c r="C206" s="38" t="str">
        <f>IFERROR(IF(B206="","",VLOOKUP(B206,DB_Customers!$A:$B,2,0)),"")</f>
        <v/>
      </c>
      <c r="D206" s="45"/>
      <c r="E206" s="33"/>
      <c r="F206" s="46" t="str">
        <f t="shared" ca="1" si="7"/>
        <v/>
      </c>
      <c r="G206" s="32"/>
      <c r="H206" s="47" t="str">
        <f>IFERROR(IF(OR(B206="",E206=""),"",SUMIF(DB_Loans!$B:$B,B206,DB_Loans!$E:$E)+E206),"")</f>
        <v/>
      </c>
      <c r="I206" s="47" t="str">
        <f>IFERROR(IF(OR(B206="",E206=""),"",SUMIF(DB_Loans!$B:$B,B206,DB_Loans!$J:$J)+(E206*0.025)),"")</f>
        <v/>
      </c>
      <c r="J206" s="32"/>
    </row>
    <row r="207" spans="1:10" ht="19.5" customHeight="1" x14ac:dyDescent="0.25">
      <c r="A207" s="31" t="str">
        <f t="shared" si="6"/>
        <v/>
      </c>
      <c r="B207" s="45"/>
      <c r="C207" s="38" t="str">
        <f>IFERROR(IF(B207="","",VLOOKUP(B207,DB_Customers!$A:$B,2,0)),"")</f>
        <v/>
      </c>
      <c r="D207" s="45"/>
      <c r="E207" s="33"/>
      <c r="F207" s="46" t="str">
        <f t="shared" ca="1" si="7"/>
        <v/>
      </c>
      <c r="G207" s="32"/>
      <c r="H207" s="47" t="str">
        <f>IFERROR(IF(OR(B207="",E207=""),"",SUMIF(DB_Loans!$B:$B,B207,DB_Loans!$E:$E)+E207),"")</f>
        <v/>
      </c>
      <c r="I207" s="47" t="str">
        <f>IFERROR(IF(OR(B207="",E207=""),"",SUMIF(DB_Loans!$B:$B,B207,DB_Loans!$J:$J)+(E207*0.025)),"")</f>
        <v/>
      </c>
      <c r="J207" s="32"/>
    </row>
    <row r="208" spans="1:10" ht="19.5" customHeight="1" x14ac:dyDescent="0.25">
      <c r="A208" s="31" t="str">
        <f t="shared" si="6"/>
        <v/>
      </c>
      <c r="B208" s="45"/>
      <c r="C208" s="38" t="str">
        <f>IFERROR(IF(B208="","",VLOOKUP(B208,DB_Customers!$A:$B,2,0)),"")</f>
        <v/>
      </c>
      <c r="D208" s="45"/>
      <c r="E208" s="33"/>
      <c r="F208" s="46" t="str">
        <f t="shared" ca="1" si="7"/>
        <v/>
      </c>
      <c r="G208" s="32"/>
      <c r="H208" s="47" t="str">
        <f>IFERROR(IF(OR(B208="",E208=""),"",SUMIF(DB_Loans!$B:$B,B208,DB_Loans!$E:$E)+E208),"")</f>
        <v/>
      </c>
      <c r="I208" s="47" t="str">
        <f>IFERROR(IF(OR(B208="",E208=""),"",SUMIF(DB_Loans!$B:$B,B208,DB_Loans!$J:$J)+(E208*0.025)),"")</f>
        <v/>
      </c>
      <c r="J208" s="32"/>
    </row>
    <row r="209" spans="1:10" ht="19.5" customHeight="1" x14ac:dyDescent="0.25">
      <c r="A209" s="31" t="str">
        <f t="shared" si="6"/>
        <v/>
      </c>
      <c r="B209" s="45"/>
      <c r="C209" s="38" t="str">
        <f>IFERROR(IF(B209="","",VLOOKUP(B209,DB_Customers!$A:$B,2,0)),"")</f>
        <v/>
      </c>
      <c r="D209" s="45"/>
      <c r="E209" s="33"/>
      <c r="F209" s="46" t="str">
        <f t="shared" ca="1" si="7"/>
        <v/>
      </c>
      <c r="G209" s="32"/>
      <c r="H209" s="47" t="str">
        <f>IFERROR(IF(OR(B209="",E209=""),"",SUMIF(DB_Loans!$B:$B,B209,DB_Loans!$E:$E)+E209),"")</f>
        <v/>
      </c>
      <c r="I209" s="47" t="str">
        <f>IFERROR(IF(OR(B209="",E209=""),"",SUMIF(DB_Loans!$B:$B,B209,DB_Loans!$J:$J)+(E209*0.025)),"")</f>
        <v/>
      </c>
      <c r="J209" s="32"/>
    </row>
    <row r="210" spans="1:10" ht="19.5" customHeight="1" x14ac:dyDescent="0.25">
      <c r="A210" s="31" t="str">
        <f t="shared" si="6"/>
        <v/>
      </c>
      <c r="B210" s="45"/>
      <c r="C210" s="38" t="str">
        <f>IFERROR(IF(B210="","",VLOOKUP(B210,DB_Customers!$A:$B,2,0)),"")</f>
        <v/>
      </c>
      <c r="D210" s="45"/>
      <c r="E210" s="33"/>
      <c r="F210" s="46" t="str">
        <f t="shared" ca="1" si="7"/>
        <v/>
      </c>
      <c r="G210" s="32"/>
      <c r="H210" s="47" t="str">
        <f>IFERROR(IF(OR(B210="",E210=""),"",SUMIF(DB_Loans!$B:$B,B210,DB_Loans!$E:$E)+E210),"")</f>
        <v/>
      </c>
      <c r="I210" s="47" t="str">
        <f>IFERROR(IF(OR(B210="",E210=""),"",SUMIF(DB_Loans!$B:$B,B210,DB_Loans!$J:$J)+(E210*0.025)),"")</f>
        <v/>
      </c>
      <c r="J210" s="32"/>
    </row>
    <row r="211" spans="1:10" ht="19.5" customHeight="1" x14ac:dyDescent="0.25">
      <c r="A211" s="31" t="str">
        <f t="shared" si="6"/>
        <v/>
      </c>
      <c r="B211" s="45"/>
      <c r="C211" s="38" t="str">
        <f>IFERROR(IF(B211="","",VLOOKUP(B211,DB_Customers!$A:$B,2,0)),"")</f>
        <v/>
      </c>
      <c r="D211" s="45"/>
      <c r="E211" s="33"/>
      <c r="F211" s="46" t="str">
        <f t="shared" ca="1" si="7"/>
        <v/>
      </c>
      <c r="G211" s="32"/>
      <c r="H211" s="47" t="str">
        <f>IFERROR(IF(OR(B211="",E211=""),"",SUMIF(DB_Loans!$B:$B,B211,DB_Loans!$E:$E)+E211),"")</f>
        <v/>
      </c>
      <c r="I211" s="47" t="str">
        <f>IFERROR(IF(OR(B211="",E211=""),"",SUMIF(DB_Loans!$B:$B,B211,DB_Loans!$J:$J)+(E211*0.025)),"")</f>
        <v/>
      </c>
      <c r="J211" s="32"/>
    </row>
    <row r="212" spans="1:10" ht="19.5" customHeight="1" x14ac:dyDescent="0.25">
      <c r="A212" s="31" t="str">
        <f t="shared" si="6"/>
        <v/>
      </c>
      <c r="B212" s="45"/>
      <c r="C212" s="38" t="str">
        <f>IFERROR(IF(B212="","",VLOOKUP(B212,DB_Customers!$A:$B,2,0)),"")</f>
        <v/>
      </c>
      <c r="D212" s="45"/>
      <c r="E212" s="33"/>
      <c r="F212" s="46" t="str">
        <f t="shared" ca="1" si="7"/>
        <v/>
      </c>
      <c r="G212" s="32"/>
      <c r="H212" s="47" t="str">
        <f>IFERROR(IF(OR(B212="",E212=""),"",SUMIF(DB_Loans!$B:$B,B212,DB_Loans!$E:$E)+E212),"")</f>
        <v/>
      </c>
      <c r="I212" s="47" t="str">
        <f>IFERROR(IF(OR(B212="",E212=""),"",SUMIF(DB_Loans!$B:$B,B212,DB_Loans!$J:$J)+(E212*0.025)),"")</f>
        <v/>
      </c>
      <c r="J212" s="32"/>
    </row>
    <row r="213" spans="1:10" ht="19.5" customHeight="1" x14ac:dyDescent="0.25">
      <c r="A213" s="31" t="str">
        <f t="shared" si="6"/>
        <v/>
      </c>
      <c r="B213" s="45"/>
      <c r="C213" s="38" t="str">
        <f>IFERROR(IF(B213="","",VLOOKUP(B213,DB_Customers!$A:$B,2,0)),"")</f>
        <v/>
      </c>
      <c r="D213" s="45"/>
      <c r="E213" s="33"/>
      <c r="F213" s="46" t="str">
        <f t="shared" ca="1" si="7"/>
        <v/>
      </c>
      <c r="G213" s="32"/>
      <c r="H213" s="47" t="str">
        <f>IFERROR(IF(OR(B213="",E213=""),"",SUMIF(DB_Loans!$B:$B,B213,DB_Loans!$E:$E)+E213),"")</f>
        <v/>
      </c>
      <c r="I213" s="47" t="str">
        <f>IFERROR(IF(OR(B213="",E213=""),"",SUMIF(DB_Loans!$B:$B,B213,DB_Loans!$J:$J)+(E213*0.025)),"")</f>
        <v/>
      </c>
      <c r="J213" s="32"/>
    </row>
    <row r="214" spans="1:10" ht="19.5" customHeight="1" x14ac:dyDescent="0.25">
      <c r="A214" s="31" t="str">
        <f t="shared" si="6"/>
        <v/>
      </c>
      <c r="B214" s="45"/>
      <c r="C214" s="38" t="str">
        <f>IFERROR(IF(B214="","",VLOOKUP(B214,DB_Customers!$A:$B,2,0)),"")</f>
        <v/>
      </c>
      <c r="D214" s="45"/>
      <c r="E214" s="33"/>
      <c r="F214" s="46" t="str">
        <f t="shared" ca="1" si="7"/>
        <v/>
      </c>
      <c r="G214" s="32"/>
      <c r="H214" s="47" t="str">
        <f>IFERROR(IF(OR(B214="",E214=""),"",SUMIF(DB_Loans!$B:$B,B214,DB_Loans!$E:$E)+E214),"")</f>
        <v/>
      </c>
      <c r="I214" s="47" t="str">
        <f>IFERROR(IF(OR(B214="",E214=""),"",SUMIF(DB_Loans!$B:$B,B214,DB_Loans!$J:$J)+(E214*0.025)),"")</f>
        <v/>
      </c>
      <c r="J214" s="32"/>
    </row>
    <row r="215" spans="1:10" ht="19.5" customHeight="1" x14ac:dyDescent="0.25">
      <c r="A215" s="31" t="str">
        <f t="shared" si="6"/>
        <v/>
      </c>
      <c r="B215" s="45"/>
      <c r="C215" s="38" t="str">
        <f>IFERROR(IF(B215="","",VLOOKUP(B215,DB_Customers!$A:$B,2,0)),"")</f>
        <v/>
      </c>
      <c r="D215" s="45"/>
      <c r="E215" s="33"/>
      <c r="F215" s="46" t="str">
        <f t="shared" ca="1" si="7"/>
        <v/>
      </c>
      <c r="G215" s="32"/>
      <c r="H215" s="47" t="str">
        <f>IFERROR(IF(OR(B215="",E215=""),"",SUMIF(DB_Loans!$B:$B,B215,DB_Loans!$E:$E)+E215),"")</f>
        <v/>
      </c>
      <c r="I215" s="47" t="str">
        <f>IFERROR(IF(OR(B215="",E215=""),"",SUMIF(DB_Loans!$B:$B,B215,DB_Loans!$J:$J)+(E215*0.025)),"")</f>
        <v/>
      </c>
      <c r="J215" s="32"/>
    </row>
    <row r="216" spans="1:10" ht="19.5" customHeight="1" x14ac:dyDescent="0.25">
      <c r="A216" s="31" t="str">
        <f t="shared" si="6"/>
        <v/>
      </c>
      <c r="B216" s="45"/>
      <c r="C216" s="38" t="str">
        <f>IFERROR(IF(B216="","",VLOOKUP(B216,DB_Customers!$A:$B,2,0)),"")</f>
        <v/>
      </c>
      <c r="D216" s="45"/>
      <c r="E216" s="33"/>
      <c r="F216" s="46" t="str">
        <f t="shared" ca="1" si="7"/>
        <v/>
      </c>
      <c r="G216" s="32"/>
      <c r="H216" s="47" t="str">
        <f>IFERROR(IF(OR(B216="",E216=""),"",SUMIF(DB_Loans!$B:$B,B216,DB_Loans!$E:$E)+E216),"")</f>
        <v/>
      </c>
      <c r="I216" s="47" t="str">
        <f>IFERROR(IF(OR(B216="",E216=""),"",SUMIF(DB_Loans!$B:$B,B216,DB_Loans!$J:$J)+(E216*0.025)),"")</f>
        <v/>
      </c>
      <c r="J216" s="32"/>
    </row>
    <row r="217" spans="1:10" ht="19.5" customHeight="1" x14ac:dyDescent="0.25">
      <c r="A217" s="31" t="str">
        <f t="shared" si="6"/>
        <v/>
      </c>
      <c r="B217" s="45"/>
      <c r="C217" s="38" t="str">
        <f>IFERROR(IF(B217="","",VLOOKUP(B217,DB_Customers!$A:$B,2,0)),"")</f>
        <v/>
      </c>
      <c r="D217" s="45"/>
      <c r="E217" s="33"/>
      <c r="F217" s="46" t="str">
        <f t="shared" ca="1" si="7"/>
        <v/>
      </c>
      <c r="G217" s="32"/>
      <c r="H217" s="47" t="str">
        <f>IFERROR(IF(OR(B217="",E217=""),"",SUMIF(DB_Loans!$B:$B,B217,DB_Loans!$E:$E)+E217),"")</f>
        <v/>
      </c>
      <c r="I217" s="47" t="str">
        <f>IFERROR(IF(OR(B217="",E217=""),"",SUMIF(DB_Loans!$B:$B,B217,DB_Loans!$J:$J)+(E217*0.025)),"")</f>
        <v/>
      </c>
      <c r="J217" s="32"/>
    </row>
    <row r="218" spans="1:10" ht="19.5" customHeight="1" x14ac:dyDescent="0.25">
      <c r="A218" s="31" t="str">
        <f t="shared" si="6"/>
        <v/>
      </c>
      <c r="B218" s="45"/>
      <c r="C218" s="38" t="str">
        <f>IFERROR(IF(B218="","",VLOOKUP(B218,DB_Customers!$A:$B,2,0)),"")</f>
        <v/>
      </c>
      <c r="D218" s="45"/>
      <c r="E218" s="33"/>
      <c r="F218" s="46" t="str">
        <f t="shared" ca="1" si="7"/>
        <v/>
      </c>
      <c r="G218" s="32"/>
      <c r="H218" s="47" t="str">
        <f>IFERROR(IF(OR(B218="",E218=""),"",SUMIF(DB_Loans!$B:$B,B218,DB_Loans!$E:$E)+E218),"")</f>
        <v/>
      </c>
      <c r="I218" s="47" t="str">
        <f>IFERROR(IF(OR(B218="",E218=""),"",SUMIF(DB_Loans!$B:$B,B218,DB_Loans!$J:$J)+(E218*0.025)),"")</f>
        <v/>
      </c>
      <c r="J218" s="32"/>
    </row>
    <row r="219" spans="1:10" ht="19.5" customHeight="1" x14ac:dyDescent="0.25">
      <c r="A219" s="31" t="str">
        <f t="shared" si="6"/>
        <v/>
      </c>
      <c r="B219" s="45"/>
      <c r="C219" s="38" t="str">
        <f>IFERROR(IF(B219="","",VLOOKUP(B219,DB_Customers!$A:$B,2,0)),"")</f>
        <v/>
      </c>
      <c r="D219" s="45"/>
      <c r="E219" s="33"/>
      <c r="F219" s="46" t="str">
        <f t="shared" ca="1" si="7"/>
        <v/>
      </c>
      <c r="G219" s="32"/>
      <c r="H219" s="47" t="str">
        <f>IFERROR(IF(OR(B219="",E219=""),"",SUMIF(DB_Loans!$B:$B,B219,DB_Loans!$E:$E)+E219),"")</f>
        <v/>
      </c>
      <c r="I219" s="47" t="str">
        <f>IFERROR(IF(OR(B219="",E219=""),"",SUMIF(DB_Loans!$B:$B,B219,DB_Loans!$J:$J)+(E219*0.025)),"")</f>
        <v/>
      </c>
      <c r="J219" s="32"/>
    </row>
    <row r="220" spans="1:10" ht="19.5" customHeight="1" x14ac:dyDescent="0.25">
      <c r="A220" s="31" t="str">
        <f t="shared" si="6"/>
        <v/>
      </c>
      <c r="B220" s="45"/>
      <c r="C220" s="38" t="str">
        <f>IFERROR(IF(B220="","",VLOOKUP(B220,DB_Customers!$A:$B,2,0)),"")</f>
        <v/>
      </c>
      <c r="D220" s="45"/>
      <c r="E220" s="33"/>
      <c r="F220" s="46" t="str">
        <f t="shared" ca="1" si="7"/>
        <v/>
      </c>
      <c r="G220" s="32"/>
      <c r="H220" s="47" t="str">
        <f>IFERROR(IF(OR(B220="",E220=""),"",SUMIF(DB_Loans!$B:$B,B220,DB_Loans!$E:$E)+E220),"")</f>
        <v/>
      </c>
      <c r="I220" s="47" t="str">
        <f>IFERROR(IF(OR(B220="",E220=""),"",SUMIF(DB_Loans!$B:$B,B220,DB_Loans!$J:$J)+(E220*0.025)),"")</f>
        <v/>
      </c>
      <c r="J220" s="32"/>
    </row>
    <row r="221" spans="1:10" ht="19.5" customHeight="1" x14ac:dyDescent="0.25">
      <c r="A221" s="31" t="str">
        <f t="shared" si="6"/>
        <v/>
      </c>
      <c r="B221" s="45"/>
      <c r="C221" s="38" t="str">
        <f>IFERROR(IF(B221="","",VLOOKUP(B221,DB_Customers!$A:$B,2,0)),"")</f>
        <v/>
      </c>
      <c r="D221" s="45"/>
      <c r="E221" s="33"/>
      <c r="F221" s="46" t="str">
        <f t="shared" ca="1" si="7"/>
        <v/>
      </c>
      <c r="G221" s="32"/>
      <c r="H221" s="47" t="str">
        <f>IFERROR(IF(OR(B221="",E221=""),"",SUMIF(DB_Loans!$B:$B,B221,DB_Loans!$E:$E)+E221),"")</f>
        <v/>
      </c>
      <c r="I221" s="47" t="str">
        <f>IFERROR(IF(OR(B221="",E221=""),"",SUMIF(DB_Loans!$B:$B,B221,DB_Loans!$J:$J)+(E221*0.025)),"")</f>
        <v/>
      </c>
      <c r="J221" s="32"/>
    </row>
    <row r="222" spans="1:10" ht="19.5" customHeight="1" x14ac:dyDescent="0.25">
      <c r="A222" s="31" t="str">
        <f t="shared" si="6"/>
        <v/>
      </c>
      <c r="B222" s="45"/>
      <c r="C222" s="38" t="str">
        <f>IFERROR(IF(B222="","",VLOOKUP(B222,DB_Customers!$A:$B,2,0)),"")</f>
        <v/>
      </c>
      <c r="D222" s="45"/>
      <c r="E222" s="33"/>
      <c r="F222" s="46" t="str">
        <f t="shared" ca="1" si="7"/>
        <v/>
      </c>
      <c r="G222" s="32"/>
      <c r="H222" s="47" t="str">
        <f>IFERROR(IF(OR(B222="",E222=""),"",SUMIF(DB_Loans!$B:$B,B222,DB_Loans!$E:$E)+E222),"")</f>
        <v/>
      </c>
      <c r="I222" s="47" t="str">
        <f>IFERROR(IF(OR(B222="",E222=""),"",SUMIF(DB_Loans!$B:$B,B222,DB_Loans!$J:$J)+(E222*0.025)),"")</f>
        <v/>
      </c>
      <c r="J222" s="32"/>
    </row>
    <row r="223" spans="1:10" ht="19.5" customHeight="1" x14ac:dyDescent="0.25">
      <c r="A223" s="31" t="str">
        <f t="shared" si="6"/>
        <v/>
      </c>
      <c r="B223" s="45"/>
      <c r="C223" s="38" t="str">
        <f>IFERROR(IF(B223="","",VLOOKUP(B223,DB_Customers!$A:$B,2,0)),"")</f>
        <v/>
      </c>
      <c r="D223" s="45"/>
      <c r="E223" s="33"/>
      <c r="F223" s="46" t="str">
        <f t="shared" ca="1" si="7"/>
        <v/>
      </c>
      <c r="G223" s="32"/>
      <c r="H223" s="47" t="str">
        <f>IFERROR(IF(OR(B223="",E223=""),"",SUMIF(DB_Loans!$B:$B,B223,DB_Loans!$E:$E)+E223),"")</f>
        <v/>
      </c>
      <c r="I223" s="47" t="str">
        <f>IFERROR(IF(OR(B223="",E223=""),"",SUMIF(DB_Loans!$B:$B,B223,DB_Loans!$J:$J)+(E223*0.025)),"")</f>
        <v/>
      </c>
      <c r="J223" s="32"/>
    </row>
    <row r="224" spans="1:10" ht="19.5" customHeight="1" x14ac:dyDescent="0.25">
      <c r="A224" s="31" t="str">
        <f t="shared" si="6"/>
        <v/>
      </c>
      <c r="B224" s="45"/>
      <c r="C224" s="38" t="str">
        <f>IFERROR(IF(B224="","",VLOOKUP(B224,DB_Customers!$A:$B,2,0)),"")</f>
        <v/>
      </c>
      <c r="D224" s="45"/>
      <c r="E224" s="33"/>
      <c r="F224" s="46" t="str">
        <f t="shared" ca="1" si="7"/>
        <v/>
      </c>
      <c r="G224" s="32"/>
      <c r="H224" s="47" t="str">
        <f>IFERROR(IF(OR(B224="",E224=""),"",SUMIF(DB_Loans!$B:$B,B224,DB_Loans!$E:$E)+E224),"")</f>
        <v/>
      </c>
      <c r="I224" s="47" t="str">
        <f>IFERROR(IF(OR(B224="",E224=""),"",SUMIF(DB_Loans!$B:$B,B224,DB_Loans!$J:$J)+(E224*0.025)),"")</f>
        <v/>
      </c>
      <c r="J224" s="32"/>
    </row>
    <row r="225" spans="1:10" ht="19.5" customHeight="1" x14ac:dyDescent="0.25">
      <c r="A225" s="31" t="str">
        <f t="shared" si="6"/>
        <v/>
      </c>
      <c r="B225" s="45"/>
      <c r="C225" s="38" t="str">
        <f>IFERROR(IF(B225="","",VLOOKUP(B225,DB_Customers!$A:$B,2,0)),"")</f>
        <v/>
      </c>
      <c r="D225" s="45"/>
      <c r="E225" s="33"/>
      <c r="F225" s="46" t="str">
        <f t="shared" ca="1" si="7"/>
        <v/>
      </c>
      <c r="G225" s="32"/>
      <c r="H225" s="47" t="str">
        <f>IFERROR(IF(OR(B225="",E225=""),"",SUMIF(DB_Loans!$B:$B,B225,DB_Loans!$E:$E)+E225),"")</f>
        <v/>
      </c>
      <c r="I225" s="47" t="str">
        <f>IFERROR(IF(OR(B225="",E225=""),"",SUMIF(DB_Loans!$B:$B,B225,DB_Loans!$J:$J)+(E225*0.025)),"")</f>
        <v/>
      </c>
      <c r="J225" s="32"/>
    </row>
    <row r="226" spans="1:10" ht="19.5" customHeight="1" x14ac:dyDescent="0.25">
      <c r="A226" s="31" t="str">
        <f t="shared" si="6"/>
        <v/>
      </c>
      <c r="B226" s="45"/>
      <c r="C226" s="38" t="str">
        <f>IFERROR(IF(B226="","",VLOOKUP(B226,DB_Customers!$A:$B,2,0)),"")</f>
        <v/>
      </c>
      <c r="D226" s="45"/>
      <c r="E226" s="33"/>
      <c r="F226" s="46" t="str">
        <f t="shared" ca="1" si="7"/>
        <v/>
      </c>
      <c r="G226" s="32"/>
      <c r="H226" s="47" t="str">
        <f>IFERROR(IF(OR(B226="",E226=""),"",SUMIF(DB_Loans!$B:$B,B226,DB_Loans!$E:$E)+E226),"")</f>
        <v/>
      </c>
      <c r="I226" s="47" t="str">
        <f>IFERROR(IF(OR(B226="",E226=""),"",SUMIF(DB_Loans!$B:$B,B226,DB_Loans!$J:$J)+(E226*0.025)),"")</f>
        <v/>
      </c>
      <c r="J226" s="32"/>
    </row>
    <row r="227" spans="1:10" ht="19.5" customHeight="1" x14ac:dyDescent="0.25">
      <c r="A227" s="31" t="str">
        <f t="shared" si="6"/>
        <v/>
      </c>
      <c r="B227" s="45"/>
      <c r="C227" s="38" t="str">
        <f>IFERROR(IF(B227="","",VLOOKUP(B227,DB_Customers!$A:$B,2,0)),"")</f>
        <v/>
      </c>
      <c r="D227" s="45"/>
      <c r="E227" s="33"/>
      <c r="F227" s="46" t="str">
        <f t="shared" ca="1" si="7"/>
        <v/>
      </c>
      <c r="G227" s="32"/>
      <c r="H227" s="47" t="str">
        <f>IFERROR(IF(OR(B227="",E227=""),"",SUMIF(DB_Loans!$B:$B,B227,DB_Loans!$E:$E)+E227),"")</f>
        <v/>
      </c>
      <c r="I227" s="47" t="str">
        <f>IFERROR(IF(OR(B227="",E227=""),"",SUMIF(DB_Loans!$B:$B,B227,DB_Loans!$J:$J)+(E227*0.025)),"")</f>
        <v/>
      </c>
      <c r="J227" s="32"/>
    </row>
    <row r="228" spans="1:10" ht="19.5" customHeight="1" x14ac:dyDescent="0.25">
      <c r="A228" s="31" t="str">
        <f t="shared" si="6"/>
        <v/>
      </c>
      <c r="B228" s="45"/>
      <c r="C228" s="38" t="str">
        <f>IFERROR(IF(B228="","",VLOOKUP(B228,DB_Customers!$A:$B,2,0)),"")</f>
        <v/>
      </c>
      <c r="D228" s="45"/>
      <c r="E228" s="33"/>
      <c r="F228" s="46" t="str">
        <f t="shared" ca="1" si="7"/>
        <v/>
      </c>
      <c r="G228" s="32"/>
      <c r="H228" s="47" t="str">
        <f>IFERROR(IF(OR(B228="",E228=""),"",SUMIF(DB_Loans!$B:$B,B228,DB_Loans!$E:$E)+E228),"")</f>
        <v/>
      </c>
      <c r="I228" s="47" t="str">
        <f>IFERROR(IF(OR(B228="",E228=""),"",SUMIF(DB_Loans!$B:$B,B228,DB_Loans!$J:$J)+(E228*0.025)),"")</f>
        <v/>
      </c>
      <c r="J228" s="32"/>
    </row>
    <row r="229" spans="1:10" ht="19.5" customHeight="1" x14ac:dyDescent="0.25">
      <c r="A229" s="31" t="str">
        <f t="shared" si="6"/>
        <v/>
      </c>
      <c r="B229" s="45"/>
      <c r="C229" s="38" t="str">
        <f>IFERROR(IF(B229="","",VLOOKUP(B229,DB_Customers!$A:$B,2,0)),"")</f>
        <v/>
      </c>
      <c r="D229" s="45"/>
      <c r="E229" s="33"/>
      <c r="F229" s="46" t="str">
        <f t="shared" ca="1" si="7"/>
        <v/>
      </c>
      <c r="G229" s="32"/>
      <c r="H229" s="47" t="str">
        <f>IFERROR(IF(OR(B229="",E229=""),"",SUMIF(DB_Loans!$B:$B,B229,DB_Loans!$E:$E)+E229),"")</f>
        <v/>
      </c>
      <c r="I229" s="47" t="str">
        <f>IFERROR(IF(OR(B229="",E229=""),"",SUMIF(DB_Loans!$B:$B,B229,DB_Loans!$J:$J)+(E229*0.025)),"")</f>
        <v/>
      </c>
      <c r="J229" s="32"/>
    </row>
    <row r="230" spans="1:10" ht="19.5" customHeight="1" x14ac:dyDescent="0.25">
      <c r="A230" s="31" t="str">
        <f t="shared" si="6"/>
        <v/>
      </c>
      <c r="B230" s="45"/>
      <c r="C230" s="38" t="str">
        <f>IFERROR(IF(B230="","",VLOOKUP(B230,DB_Customers!$A:$B,2,0)),"")</f>
        <v/>
      </c>
      <c r="D230" s="45"/>
      <c r="E230" s="33"/>
      <c r="F230" s="46" t="str">
        <f t="shared" ca="1" si="7"/>
        <v/>
      </c>
      <c r="G230" s="32"/>
      <c r="H230" s="47" t="str">
        <f>IFERROR(IF(OR(B230="",E230=""),"",SUMIF(DB_Loans!$B:$B,B230,DB_Loans!$E:$E)+E230),"")</f>
        <v/>
      </c>
      <c r="I230" s="47" t="str">
        <f>IFERROR(IF(OR(B230="",E230=""),"",SUMIF(DB_Loans!$B:$B,B230,DB_Loans!$J:$J)+(E230*0.025)),"")</f>
        <v/>
      </c>
      <c r="J230" s="32"/>
    </row>
    <row r="231" spans="1:10" ht="19.5" customHeight="1" x14ac:dyDescent="0.25">
      <c r="A231" s="31" t="str">
        <f t="shared" si="6"/>
        <v/>
      </c>
      <c r="B231" s="45"/>
      <c r="C231" s="38" t="str">
        <f>IFERROR(IF(B231="","",VLOOKUP(B231,DB_Customers!$A:$B,2,0)),"")</f>
        <v/>
      </c>
      <c r="D231" s="45"/>
      <c r="E231" s="33"/>
      <c r="F231" s="46" t="str">
        <f t="shared" ca="1" si="7"/>
        <v/>
      </c>
      <c r="G231" s="32"/>
      <c r="H231" s="47" t="str">
        <f>IFERROR(IF(OR(B231="",E231=""),"",SUMIF(DB_Loans!$B:$B,B231,DB_Loans!$E:$E)+E231),"")</f>
        <v/>
      </c>
      <c r="I231" s="47" t="str">
        <f>IFERROR(IF(OR(B231="",E231=""),"",SUMIF(DB_Loans!$B:$B,B231,DB_Loans!$J:$J)+(E231*0.025)),"")</f>
        <v/>
      </c>
      <c r="J231" s="32"/>
    </row>
    <row r="232" spans="1:10" ht="19.5" customHeight="1" x14ac:dyDescent="0.25">
      <c r="A232" s="31" t="str">
        <f t="shared" si="6"/>
        <v/>
      </c>
      <c r="B232" s="45"/>
      <c r="C232" s="38" t="str">
        <f>IFERROR(IF(B232="","",VLOOKUP(B232,DB_Customers!$A:$B,2,0)),"")</f>
        <v/>
      </c>
      <c r="D232" s="45"/>
      <c r="E232" s="33"/>
      <c r="F232" s="46" t="str">
        <f t="shared" ca="1" si="7"/>
        <v/>
      </c>
      <c r="G232" s="32"/>
      <c r="H232" s="47" t="str">
        <f>IFERROR(IF(OR(B232="",E232=""),"",SUMIF(DB_Loans!$B:$B,B232,DB_Loans!$E:$E)+E232),"")</f>
        <v/>
      </c>
      <c r="I232" s="47" t="str">
        <f>IFERROR(IF(OR(B232="",E232=""),"",SUMIF(DB_Loans!$B:$B,B232,DB_Loans!$J:$J)+(E232*0.025)),"")</f>
        <v/>
      </c>
      <c r="J232" s="32"/>
    </row>
    <row r="233" spans="1:10" ht="19.5" customHeight="1" x14ac:dyDescent="0.25">
      <c r="A233" s="31" t="str">
        <f t="shared" si="6"/>
        <v/>
      </c>
      <c r="B233" s="45"/>
      <c r="C233" s="38" t="str">
        <f>IFERROR(IF(B233="","",VLOOKUP(B233,DB_Customers!$A:$B,2,0)),"")</f>
        <v/>
      </c>
      <c r="D233" s="45"/>
      <c r="E233" s="33"/>
      <c r="F233" s="46" t="str">
        <f t="shared" ca="1" si="7"/>
        <v/>
      </c>
      <c r="G233" s="32"/>
      <c r="H233" s="47" t="str">
        <f>IFERROR(IF(OR(B233="",E233=""),"",SUMIF(DB_Loans!$B:$B,B233,DB_Loans!$E:$E)+E233),"")</f>
        <v/>
      </c>
      <c r="I233" s="47" t="str">
        <f>IFERROR(IF(OR(B233="",E233=""),"",SUMIF(DB_Loans!$B:$B,B233,DB_Loans!$J:$J)+(E233*0.025)),"")</f>
        <v/>
      </c>
      <c r="J233" s="32"/>
    </row>
    <row r="234" spans="1:10" ht="19.5" customHeight="1" x14ac:dyDescent="0.25">
      <c r="A234" s="31" t="str">
        <f t="shared" si="6"/>
        <v/>
      </c>
      <c r="B234" s="45"/>
      <c r="C234" s="38" t="str">
        <f>IFERROR(IF(B234="","",VLOOKUP(B234,DB_Customers!$A:$B,2,0)),"")</f>
        <v/>
      </c>
      <c r="D234" s="45"/>
      <c r="E234" s="33"/>
      <c r="F234" s="46" t="str">
        <f t="shared" ca="1" si="7"/>
        <v/>
      </c>
      <c r="G234" s="32"/>
      <c r="H234" s="47" t="str">
        <f>IFERROR(IF(OR(B234="",E234=""),"",SUMIF(DB_Loans!$B:$B,B234,DB_Loans!$E:$E)+E234),"")</f>
        <v/>
      </c>
      <c r="I234" s="47" t="str">
        <f>IFERROR(IF(OR(B234="",E234=""),"",SUMIF(DB_Loans!$B:$B,B234,DB_Loans!$J:$J)+(E234*0.025)),"")</f>
        <v/>
      </c>
      <c r="J234" s="32"/>
    </row>
    <row r="235" spans="1:10" ht="19.5" customHeight="1" x14ac:dyDescent="0.25">
      <c r="A235" s="31" t="str">
        <f t="shared" si="6"/>
        <v/>
      </c>
      <c r="B235" s="45"/>
      <c r="C235" s="38" t="str">
        <f>IFERROR(IF(B235="","",VLOOKUP(B235,DB_Customers!$A:$B,2,0)),"")</f>
        <v/>
      </c>
      <c r="D235" s="45"/>
      <c r="E235" s="33"/>
      <c r="F235" s="46" t="str">
        <f t="shared" ca="1" si="7"/>
        <v/>
      </c>
      <c r="G235" s="32"/>
      <c r="H235" s="47" t="str">
        <f>IFERROR(IF(OR(B235="",E235=""),"",SUMIF(DB_Loans!$B:$B,B235,DB_Loans!$E:$E)+E235),"")</f>
        <v/>
      </c>
      <c r="I235" s="47" t="str">
        <f>IFERROR(IF(OR(B235="",E235=""),"",SUMIF(DB_Loans!$B:$B,B235,DB_Loans!$J:$J)+(E235*0.025)),"")</f>
        <v/>
      </c>
      <c r="J235" s="32"/>
    </row>
    <row r="236" spans="1:10" ht="19.5" customHeight="1" x14ac:dyDescent="0.25">
      <c r="A236" s="31" t="str">
        <f t="shared" si="6"/>
        <v/>
      </c>
      <c r="B236" s="45"/>
      <c r="C236" s="38" t="str">
        <f>IFERROR(IF(B236="","",VLOOKUP(B236,DB_Customers!$A:$B,2,0)),"")</f>
        <v/>
      </c>
      <c r="D236" s="45"/>
      <c r="E236" s="33"/>
      <c r="F236" s="46" t="str">
        <f t="shared" ca="1" si="7"/>
        <v/>
      </c>
      <c r="G236" s="32"/>
      <c r="H236" s="47" t="str">
        <f>IFERROR(IF(OR(B236="",E236=""),"",SUMIF(DB_Loans!$B:$B,B236,DB_Loans!$E:$E)+E236),"")</f>
        <v/>
      </c>
      <c r="I236" s="47" t="str">
        <f>IFERROR(IF(OR(B236="",E236=""),"",SUMIF(DB_Loans!$B:$B,B236,DB_Loans!$J:$J)+(E236*0.025)),"")</f>
        <v/>
      </c>
      <c r="J236" s="32"/>
    </row>
    <row r="237" spans="1:10" ht="19.5" customHeight="1" x14ac:dyDescent="0.25">
      <c r="A237" s="31" t="str">
        <f t="shared" si="6"/>
        <v/>
      </c>
      <c r="B237" s="45"/>
      <c r="C237" s="38" t="str">
        <f>IFERROR(IF(B237="","",VLOOKUP(B237,DB_Customers!$A:$B,2,0)),"")</f>
        <v/>
      </c>
      <c r="D237" s="45"/>
      <c r="E237" s="33"/>
      <c r="F237" s="46" t="str">
        <f t="shared" ca="1" si="7"/>
        <v/>
      </c>
      <c r="G237" s="32"/>
      <c r="H237" s="47" t="str">
        <f>IFERROR(IF(OR(B237="",E237=""),"",SUMIF(DB_Loans!$B:$B,B237,DB_Loans!$E:$E)+E237),"")</f>
        <v/>
      </c>
      <c r="I237" s="47" t="str">
        <f>IFERROR(IF(OR(B237="",E237=""),"",SUMIF(DB_Loans!$B:$B,B237,DB_Loans!$J:$J)+(E237*0.025)),"")</f>
        <v/>
      </c>
      <c r="J237" s="32"/>
    </row>
    <row r="238" spans="1:10" ht="19.5" customHeight="1" x14ac:dyDescent="0.25">
      <c r="A238" s="31" t="str">
        <f t="shared" si="6"/>
        <v/>
      </c>
      <c r="B238" s="45"/>
      <c r="C238" s="38" t="str">
        <f>IFERROR(IF(B238="","",VLOOKUP(B238,DB_Customers!$A:$B,2,0)),"")</f>
        <v/>
      </c>
      <c r="D238" s="45"/>
      <c r="E238" s="33"/>
      <c r="F238" s="46" t="str">
        <f t="shared" ca="1" si="7"/>
        <v/>
      </c>
      <c r="G238" s="32"/>
      <c r="H238" s="47" t="str">
        <f>IFERROR(IF(OR(B238="",E238=""),"",SUMIF(DB_Loans!$B:$B,B238,DB_Loans!$E:$E)+E238),"")</f>
        <v/>
      </c>
      <c r="I238" s="47" t="str">
        <f>IFERROR(IF(OR(B238="",E238=""),"",SUMIF(DB_Loans!$B:$B,B238,DB_Loans!$J:$J)+(E238*0.025)),"")</f>
        <v/>
      </c>
      <c r="J238" s="32"/>
    </row>
    <row r="239" spans="1:10" ht="19.5" customHeight="1" x14ac:dyDescent="0.25">
      <c r="A239" s="31" t="str">
        <f t="shared" si="6"/>
        <v/>
      </c>
      <c r="B239" s="45"/>
      <c r="C239" s="38" t="str">
        <f>IFERROR(IF(B239="","",VLOOKUP(B239,DB_Customers!$A:$B,2,0)),"")</f>
        <v/>
      </c>
      <c r="D239" s="45"/>
      <c r="E239" s="33"/>
      <c r="F239" s="46" t="str">
        <f t="shared" ca="1" si="7"/>
        <v/>
      </c>
      <c r="G239" s="32"/>
      <c r="H239" s="47" t="str">
        <f>IFERROR(IF(OR(B239="",E239=""),"",SUMIF(DB_Loans!$B:$B,B239,DB_Loans!$E:$E)+E239),"")</f>
        <v/>
      </c>
      <c r="I239" s="47" t="str">
        <f>IFERROR(IF(OR(B239="",E239=""),"",SUMIF(DB_Loans!$B:$B,B239,DB_Loans!$J:$J)+(E239*0.025)),"")</f>
        <v/>
      </c>
      <c r="J239" s="32"/>
    </row>
    <row r="240" spans="1:10" ht="19.5" customHeight="1" x14ac:dyDescent="0.25">
      <c r="A240" s="31" t="str">
        <f t="shared" si="6"/>
        <v/>
      </c>
      <c r="B240" s="45"/>
      <c r="C240" s="38" t="str">
        <f>IFERROR(IF(B240="","",VLOOKUP(B240,DB_Customers!$A:$B,2,0)),"")</f>
        <v/>
      </c>
      <c r="D240" s="45"/>
      <c r="E240" s="33"/>
      <c r="F240" s="46" t="str">
        <f t="shared" ca="1" si="7"/>
        <v/>
      </c>
      <c r="G240" s="32"/>
      <c r="H240" s="47" t="str">
        <f>IFERROR(IF(OR(B240="",E240=""),"",SUMIF(DB_Loans!$B:$B,B240,DB_Loans!$E:$E)+E240),"")</f>
        <v/>
      </c>
      <c r="I240" s="47" t="str">
        <f>IFERROR(IF(OR(B240="",E240=""),"",SUMIF(DB_Loans!$B:$B,B240,DB_Loans!$J:$J)+(E240*0.025)),"")</f>
        <v/>
      </c>
      <c r="J240" s="32"/>
    </row>
    <row r="241" spans="1:10" ht="19.5" customHeight="1" x14ac:dyDescent="0.25">
      <c r="A241" s="31" t="str">
        <f t="shared" si="6"/>
        <v/>
      </c>
      <c r="B241" s="45"/>
      <c r="C241" s="38" t="str">
        <f>IFERROR(IF(B241="","",VLOOKUP(B241,DB_Customers!$A:$B,2,0)),"")</f>
        <v/>
      </c>
      <c r="D241" s="45"/>
      <c r="E241" s="33"/>
      <c r="F241" s="46" t="str">
        <f t="shared" ca="1" si="7"/>
        <v/>
      </c>
      <c r="G241" s="32"/>
      <c r="H241" s="47" t="str">
        <f>IFERROR(IF(OR(B241="",E241=""),"",SUMIF(DB_Loans!$B:$B,B241,DB_Loans!$E:$E)+E241),"")</f>
        <v/>
      </c>
      <c r="I241" s="47" t="str">
        <f>IFERROR(IF(OR(B241="",E241=""),"",SUMIF(DB_Loans!$B:$B,B241,DB_Loans!$J:$J)+(E241*0.025)),"")</f>
        <v/>
      </c>
      <c r="J241" s="32"/>
    </row>
    <row r="242" spans="1:10" ht="19.5" customHeight="1" x14ac:dyDescent="0.25">
      <c r="A242" s="31" t="str">
        <f t="shared" si="6"/>
        <v/>
      </c>
      <c r="B242" s="45"/>
      <c r="C242" s="38" t="str">
        <f>IFERROR(IF(B242="","",VLOOKUP(B242,DB_Customers!$A:$B,2,0)),"")</f>
        <v/>
      </c>
      <c r="D242" s="45"/>
      <c r="E242" s="33"/>
      <c r="F242" s="46" t="str">
        <f t="shared" ca="1" si="7"/>
        <v/>
      </c>
      <c r="G242" s="32"/>
      <c r="H242" s="47" t="str">
        <f>IFERROR(IF(OR(B242="",E242=""),"",SUMIF(DB_Loans!$B:$B,B242,DB_Loans!$E:$E)+E242),"")</f>
        <v/>
      </c>
      <c r="I242" s="47" t="str">
        <f>IFERROR(IF(OR(B242="",E242=""),"",SUMIF(DB_Loans!$B:$B,B242,DB_Loans!$J:$J)+(E242*0.025)),"")</f>
        <v/>
      </c>
      <c r="J242" s="32"/>
    </row>
    <row r="243" spans="1:10" ht="19.5" customHeight="1" x14ac:dyDescent="0.25">
      <c r="A243" s="31" t="str">
        <f t="shared" si="6"/>
        <v/>
      </c>
      <c r="B243" s="45"/>
      <c r="C243" s="38" t="str">
        <f>IFERROR(IF(B243="","",VLOOKUP(B243,DB_Customers!$A:$B,2,0)),"")</f>
        <v/>
      </c>
      <c r="D243" s="45"/>
      <c r="E243" s="33"/>
      <c r="F243" s="46" t="str">
        <f t="shared" ca="1" si="7"/>
        <v/>
      </c>
      <c r="G243" s="32"/>
      <c r="H243" s="47" t="str">
        <f>IFERROR(IF(OR(B243="",E243=""),"",SUMIF(DB_Loans!$B:$B,B243,DB_Loans!$E:$E)+E243),"")</f>
        <v/>
      </c>
      <c r="I243" s="47" t="str">
        <f>IFERROR(IF(OR(B243="",E243=""),"",SUMIF(DB_Loans!$B:$B,B243,DB_Loans!$J:$J)+(E243*0.025)),"")</f>
        <v/>
      </c>
      <c r="J243" s="32"/>
    </row>
    <row r="244" spans="1:10" ht="19.5" customHeight="1" x14ac:dyDescent="0.25">
      <c r="A244" s="31" t="str">
        <f t="shared" si="6"/>
        <v/>
      </c>
      <c r="B244" s="45"/>
      <c r="C244" s="38" t="str">
        <f>IFERROR(IF(B244="","",VLOOKUP(B244,DB_Customers!$A:$B,2,0)),"")</f>
        <v/>
      </c>
      <c r="D244" s="45"/>
      <c r="E244" s="33"/>
      <c r="F244" s="46" t="str">
        <f t="shared" ca="1" si="7"/>
        <v/>
      </c>
      <c r="G244" s="32"/>
      <c r="H244" s="47" t="str">
        <f>IFERROR(IF(OR(B244="",E244=""),"",SUMIF(DB_Loans!$B:$B,B244,DB_Loans!$E:$E)+E244),"")</f>
        <v/>
      </c>
      <c r="I244" s="47" t="str">
        <f>IFERROR(IF(OR(B244="",E244=""),"",SUMIF(DB_Loans!$B:$B,B244,DB_Loans!$J:$J)+(E244*0.025)),"")</f>
        <v/>
      </c>
      <c r="J244" s="32"/>
    </row>
    <row r="245" spans="1:10" ht="19.5" customHeight="1" x14ac:dyDescent="0.25">
      <c r="A245" s="31" t="str">
        <f t="shared" si="6"/>
        <v/>
      </c>
      <c r="B245" s="45"/>
      <c r="C245" s="38" t="str">
        <f>IFERROR(IF(B245="","",VLOOKUP(B245,DB_Customers!$A:$B,2,0)),"")</f>
        <v/>
      </c>
      <c r="D245" s="45"/>
      <c r="E245" s="33"/>
      <c r="F245" s="46" t="str">
        <f t="shared" ca="1" si="7"/>
        <v/>
      </c>
      <c r="G245" s="32"/>
      <c r="H245" s="47" t="str">
        <f>IFERROR(IF(OR(B245="",E245=""),"",SUMIF(DB_Loans!$B:$B,B245,DB_Loans!$E:$E)+E245),"")</f>
        <v/>
      </c>
      <c r="I245" s="47" t="str">
        <f>IFERROR(IF(OR(B245="",E245=""),"",SUMIF(DB_Loans!$B:$B,B245,DB_Loans!$J:$J)+(E245*0.025)),"")</f>
        <v/>
      </c>
      <c r="J245" s="32"/>
    </row>
    <row r="246" spans="1:10" ht="19.5" customHeight="1" x14ac:dyDescent="0.25">
      <c r="A246" s="31" t="str">
        <f t="shared" si="6"/>
        <v/>
      </c>
      <c r="B246" s="45"/>
      <c r="C246" s="38" t="str">
        <f>IFERROR(IF(B246="","",VLOOKUP(B246,DB_Customers!$A:$B,2,0)),"")</f>
        <v/>
      </c>
      <c r="D246" s="45"/>
      <c r="E246" s="33"/>
      <c r="F246" s="46" t="str">
        <f t="shared" ca="1" si="7"/>
        <v/>
      </c>
      <c r="G246" s="32"/>
      <c r="H246" s="47" t="str">
        <f>IFERROR(IF(OR(B246="",E246=""),"",SUMIF(DB_Loans!$B:$B,B246,DB_Loans!$E:$E)+E246),"")</f>
        <v/>
      </c>
      <c r="I246" s="47" t="str">
        <f>IFERROR(IF(OR(B246="",E246=""),"",SUMIF(DB_Loans!$B:$B,B246,DB_Loans!$J:$J)+(E246*0.025)),"")</f>
        <v/>
      </c>
      <c r="J246" s="32"/>
    </row>
    <row r="247" spans="1:10" ht="19.5" customHeight="1" x14ac:dyDescent="0.25">
      <c r="A247" s="31" t="str">
        <f t="shared" si="6"/>
        <v/>
      </c>
      <c r="B247" s="45"/>
      <c r="C247" s="38" t="str">
        <f>IFERROR(IF(B247="","",VLOOKUP(B247,DB_Customers!$A:$B,2,0)),"")</f>
        <v/>
      </c>
      <c r="D247" s="45"/>
      <c r="E247" s="33"/>
      <c r="F247" s="46" t="str">
        <f t="shared" ca="1" si="7"/>
        <v/>
      </c>
      <c r="G247" s="32"/>
      <c r="H247" s="47" t="str">
        <f>IFERROR(IF(OR(B247="",E247=""),"",SUMIF(DB_Loans!$B:$B,B247,DB_Loans!$E:$E)+E247),"")</f>
        <v/>
      </c>
      <c r="I247" s="47" t="str">
        <f>IFERROR(IF(OR(B247="",E247=""),"",SUMIF(DB_Loans!$B:$B,B247,DB_Loans!$J:$J)+(E247*0.025)),"")</f>
        <v/>
      </c>
      <c r="J247" s="32"/>
    </row>
    <row r="248" spans="1:10" ht="19.5" customHeight="1" x14ac:dyDescent="0.25">
      <c r="A248" s="31" t="str">
        <f t="shared" si="6"/>
        <v/>
      </c>
      <c r="B248" s="45"/>
      <c r="C248" s="38" t="str">
        <f>IFERROR(IF(B248="","",VLOOKUP(B248,DB_Customers!$A:$B,2,0)),"")</f>
        <v/>
      </c>
      <c r="D248" s="45"/>
      <c r="E248" s="33"/>
      <c r="F248" s="46" t="str">
        <f t="shared" ca="1" si="7"/>
        <v/>
      </c>
      <c r="G248" s="32"/>
      <c r="H248" s="47" t="str">
        <f>IFERROR(IF(OR(B248="",E248=""),"",SUMIF(DB_Loans!$B:$B,B248,DB_Loans!$E:$E)+E248),"")</f>
        <v/>
      </c>
      <c r="I248" s="47" t="str">
        <f>IFERROR(IF(OR(B248="",E248=""),"",SUMIF(DB_Loans!$B:$B,B248,DB_Loans!$J:$J)+(E248*0.025)),"")</f>
        <v/>
      </c>
      <c r="J248" s="32"/>
    </row>
    <row r="249" spans="1:10" ht="19.5" customHeight="1" x14ac:dyDescent="0.25">
      <c r="A249" s="31" t="str">
        <f t="shared" si="6"/>
        <v/>
      </c>
      <c r="B249" s="45"/>
      <c r="C249" s="38" t="str">
        <f>IFERROR(IF(B249="","",VLOOKUP(B249,DB_Customers!$A:$B,2,0)),"")</f>
        <v/>
      </c>
      <c r="D249" s="45"/>
      <c r="E249" s="33"/>
      <c r="F249" s="46" t="str">
        <f t="shared" ca="1" si="7"/>
        <v/>
      </c>
      <c r="G249" s="32"/>
      <c r="H249" s="47" t="str">
        <f>IFERROR(IF(OR(B249="",E249=""),"",SUMIF(DB_Loans!$B:$B,B249,DB_Loans!$E:$E)+E249),"")</f>
        <v/>
      </c>
      <c r="I249" s="47" t="str">
        <f>IFERROR(IF(OR(B249="",E249=""),"",SUMIF(DB_Loans!$B:$B,B249,DB_Loans!$J:$J)+(E249*0.025)),"")</f>
        <v/>
      </c>
      <c r="J249" s="32"/>
    </row>
    <row r="250" spans="1:10" ht="19.5" customHeight="1" x14ac:dyDescent="0.25">
      <c r="A250" s="31" t="str">
        <f t="shared" si="6"/>
        <v/>
      </c>
      <c r="B250" s="45"/>
      <c r="C250" s="38" t="str">
        <f>IFERROR(IF(B250="","",VLOOKUP(B250,DB_Customers!$A:$B,2,0)),"")</f>
        <v/>
      </c>
      <c r="D250" s="45"/>
      <c r="E250" s="33"/>
      <c r="F250" s="46" t="str">
        <f t="shared" ca="1" si="7"/>
        <v/>
      </c>
      <c r="G250" s="32"/>
      <c r="H250" s="47" t="str">
        <f>IFERROR(IF(OR(B250="",E250=""),"",SUMIF(DB_Loans!$B:$B,B250,DB_Loans!$E:$E)+E250),"")</f>
        <v/>
      </c>
      <c r="I250" s="47" t="str">
        <f>IFERROR(IF(OR(B250="",E250=""),"",SUMIF(DB_Loans!$B:$B,B250,DB_Loans!$J:$J)+(E250*0.025)),"")</f>
        <v/>
      </c>
      <c r="J250" s="32"/>
    </row>
    <row r="251" spans="1:10" ht="19.5" customHeight="1" x14ac:dyDescent="0.25">
      <c r="A251" s="31" t="str">
        <f t="shared" si="6"/>
        <v/>
      </c>
      <c r="B251" s="45"/>
      <c r="C251" s="38" t="str">
        <f>IFERROR(IF(B251="","",VLOOKUP(B251,DB_Customers!$A:$B,2,0)),"")</f>
        <v/>
      </c>
      <c r="D251" s="45"/>
      <c r="E251" s="33"/>
      <c r="F251" s="46" t="str">
        <f t="shared" ca="1" si="7"/>
        <v/>
      </c>
      <c r="G251" s="32"/>
      <c r="H251" s="47" t="str">
        <f>IFERROR(IF(OR(B251="",E251=""),"",SUMIF(DB_Loans!$B:$B,B251,DB_Loans!$E:$E)+E251),"")</f>
        <v/>
      </c>
      <c r="I251" s="47" t="str">
        <f>IFERROR(IF(OR(B251="",E251=""),"",SUMIF(DB_Loans!$B:$B,B251,DB_Loans!$J:$J)+(E251*0.025)),"")</f>
        <v/>
      </c>
      <c r="J251" s="32"/>
    </row>
    <row r="252" spans="1:10" ht="19.5" customHeight="1" x14ac:dyDescent="0.25">
      <c r="A252" s="31" t="str">
        <f t="shared" si="6"/>
        <v/>
      </c>
      <c r="B252" s="45"/>
      <c r="C252" s="38" t="str">
        <f>IFERROR(IF(B252="","",VLOOKUP(B252,DB_Customers!$A:$B,2,0)),"")</f>
        <v/>
      </c>
      <c r="D252" s="45"/>
      <c r="E252" s="33"/>
      <c r="F252" s="46" t="str">
        <f t="shared" ca="1" si="7"/>
        <v/>
      </c>
      <c r="G252" s="32"/>
      <c r="H252" s="47" t="str">
        <f>IFERROR(IF(OR(B252="",E252=""),"",SUMIF(DB_Loans!$B:$B,B252,DB_Loans!$E:$E)+E252),"")</f>
        <v/>
      </c>
      <c r="I252" s="47" t="str">
        <f>IFERROR(IF(OR(B252="",E252=""),"",SUMIF(DB_Loans!$B:$B,B252,DB_Loans!$J:$J)+(E252*0.025)),"")</f>
        <v/>
      </c>
      <c r="J252" s="32"/>
    </row>
    <row r="253" spans="1:10" ht="19.5" customHeight="1" x14ac:dyDescent="0.25">
      <c r="A253" s="31" t="str">
        <f t="shared" si="6"/>
        <v/>
      </c>
      <c r="B253" s="45"/>
      <c r="C253" s="38" t="str">
        <f>IFERROR(IF(B253="","",VLOOKUP(B253,DB_Customers!$A:$B,2,0)),"")</f>
        <v/>
      </c>
      <c r="D253" s="45"/>
      <c r="E253" s="33"/>
      <c r="F253" s="46" t="str">
        <f t="shared" ca="1" si="7"/>
        <v/>
      </c>
      <c r="G253" s="32"/>
      <c r="H253" s="47" t="str">
        <f>IFERROR(IF(OR(B253="",E253=""),"",SUMIF(DB_Loans!$B:$B,B253,DB_Loans!$E:$E)+E253),"")</f>
        <v/>
      </c>
      <c r="I253" s="47" t="str">
        <f>IFERROR(IF(OR(B253="",E253=""),"",SUMIF(DB_Loans!$B:$B,B253,DB_Loans!$J:$J)+(E253*0.025)),"")</f>
        <v/>
      </c>
      <c r="J253" s="32"/>
    </row>
    <row r="254" spans="1:10" ht="19.5" customHeight="1" x14ac:dyDescent="0.25">
      <c r="A254" s="31" t="str">
        <f t="shared" si="6"/>
        <v/>
      </c>
      <c r="B254" s="45"/>
      <c r="C254" s="38" t="str">
        <f>IFERROR(IF(B254="","",VLOOKUP(B254,DB_Customers!$A:$B,2,0)),"")</f>
        <v/>
      </c>
      <c r="D254" s="45"/>
      <c r="E254" s="33"/>
      <c r="F254" s="46" t="str">
        <f t="shared" ca="1" si="7"/>
        <v/>
      </c>
      <c r="G254" s="32"/>
      <c r="H254" s="47" t="str">
        <f>IFERROR(IF(OR(B254="",E254=""),"",SUMIF(DB_Loans!$B:$B,B254,DB_Loans!$E:$E)+E254),"")</f>
        <v/>
      </c>
      <c r="I254" s="47" t="str">
        <f>IFERROR(IF(OR(B254="",E254=""),"",SUMIF(DB_Loans!$B:$B,B254,DB_Loans!$J:$J)+(E254*0.025)),"")</f>
        <v/>
      </c>
      <c r="J254" s="32"/>
    </row>
    <row r="255" spans="1:10" ht="19.5" customHeight="1" x14ac:dyDescent="0.25">
      <c r="A255" s="31" t="str">
        <f t="shared" si="6"/>
        <v/>
      </c>
      <c r="B255" s="45"/>
      <c r="C255" s="38" t="str">
        <f>IFERROR(IF(B255="","",VLOOKUP(B255,DB_Customers!$A:$B,2,0)),"")</f>
        <v/>
      </c>
      <c r="D255" s="45"/>
      <c r="E255" s="33"/>
      <c r="F255" s="46" t="str">
        <f t="shared" ca="1" si="7"/>
        <v/>
      </c>
      <c r="G255" s="32"/>
      <c r="H255" s="47" t="str">
        <f>IFERROR(IF(OR(B255="",E255=""),"",SUMIF(DB_Loans!$B:$B,B255,DB_Loans!$E:$E)+E255),"")</f>
        <v/>
      </c>
      <c r="I255" s="47" t="str">
        <f>IFERROR(IF(OR(B255="",E255=""),"",SUMIF(DB_Loans!$B:$B,B255,DB_Loans!$J:$J)+(E255*0.025)),"")</f>
        <v/>
      </c>
      <c r="J255" s="32"/>
    </row>
    <row r="256" spans="1:10" ht="19.5" customHeight="1" x14ac:dyDescent="0.25">
      <c r="A256" s="31" t="str">
        <f t="shared" si="6"/>
        <v/>
      </c>
      <c r="B256" s="45"/>
      <c r="C256" s="38" t="str">
        <f>IFERROR(IF(B256="","",VLOOKUP(B256,DB_Customers!$A:$B,2,0)),"")</f>
        <v/>
      </c>
      <c r="D256" s="45"/>
      <c r="E256" s="33"/>
      <c r="F256" s="46" t="str">
        <f t="shared" ca="1" si="7"/>
        <v/>
      </c>
      <c r="G256" s="32"/>
      <c r="H256" s="47" t="str">
        <f>IFERROR(IF(OR(B256="",E256=""),"",SUMIF(DB_Loans!$B:$B,B256,DB_Loans!$E:$E)+E256),"")</f>
        <v/>
      </c>
      <c r="I256" s="47" t="str">
        <f>IFERROR(IF(OR(B256="",E256=""),"",SUMIF(DB_Loans!$B:$B,B256,DB_Loans!$J:$J)+(E256*0.025)),"")</f>
        <v/>
      </c>
      <c r="J256" s="32"/>
    </row>
    <row r="257" spans="1:10" ht="19.5" customHeight="1" x14ac:dyDescent="0.25">
      <c r="A257" s="31" t="str">
        <f t="shared" si="6"/>
        <v/>
      </c>
      <c r="B257" s="45"/>
      <c r="C257" s="38" t="str">
        <f>IFERROR(IF(B257="","",VLOOKUP(B257,DB_Customers!$A:$B,2,0)),"")</f>
        <v/>
      </c>
      <c r="D257" s="45"/>
      <c r="E257" s="33"/>
      <c r="F257" s="46" t="str">
        <f t="shared" ca="1" si="7"/>
        <v/>
      </c>
      <c r="G257" s="32"/>
      <c r="H257" s="47" t="str">
        <f>IFERROR(IF(OR(B257="",E257=""),"",SUMIF(DB_Loans!$B:$B,B257,DB_Loans!$E:$E)+E257),"")</f>
        <v/>
      </c>
      <c r="I257" s="47" t="str">
        <f>IFERROR(IF(OR(B257="",E257=""),"",SUMIF(DB_Loans!$B:$B,B257,DB_Loans!$J:$J)+(E257*0.025)),"")</f>
        <v/>
      </c>
      <c r="J257" s="32"/>
    </row>
    <row r="258" spans="1:10" ht="19.5" customHeight="1" x14ac:dyDescent="0.25">
      <c r="A258" s="31" t="str">
        <f t="shared" si="6"/>
        <v/>
      </c>
      <c r="B258" s="45"/>
      <c r="C258" s="38" t="str">
        <f>IFERROR(IF(B258="","",VLOOKUP(B258,DB_Customers!$A:$B,2,0)),"")</f>
        <v/>
      </c>
      <c r="D258" s="45"/>
      <c r="E258" s="33"/>
      <c r="F258" s="46" t="str">
        <f t="shared" ca="1" si="7"/>
        <v/>
      </c>
      <c r="G258" s="32"/>
      <c r="H258" s="47" t="str">
        <f>IFERROR(IF(OR(B258="",E258=""),"",SUMIF(DB_Loans!$B:$B,B258,DB_Loans!$E:$E)+E258),"")</f>
        <v/>
      </c>
      <c r="I258" s="47" t="str">
        <f>IFERROR(IF(OR(B258="",E258=""),"",SUMIF(DB_Loans!$B:$B,B258,DB_Loans!$J:$J)+(E258*0.025)),"")</f>
        <v/>
      </c>
      <c r="J258" s="32"/>
    </row>
    <row r="259" spans="1:10" ht="19.5" customHeight="1" x14ac:dyDescent="0.25">
      <c r="A259" s="31" t="str">
        <f t="shared" si="6"/>
        <v/>
      </c>
      <c r="B259" s="45"/>
      <c r="C259" s="38" t="str">
        <f>IFERROR(IF(B259="","",VLOOKUP(B259,DB_Customers!$A:$B,2,0)),"")</f>
        <v/>
      </c>
      <c r="D259" s="45"/>
      <c r="E259" s="33"/>
      <c r="F259" s="46" t="str">
        <f t="shared" ca="1" si="7"/>
        <v/>
      </c>
      <c r="G259" s="32"/>
      <c r="H259" s="47" t="str">
        <f>IFERROR(IF(OR(B259="",E259=""),"",SUMIF(DB_Loans!$B:$B,B259,DB_Loans!$E:$E)+E259),"")</f>
        <v/>
      </c>
      <c r="I259" s="47" t="str">
        <f>IFERROR(IF(OR(B259="",E259=""),"",SUMIF(DB_Loans!$B:$B,B259,DB_Loans!$J:$J)+(E259*0.025)),"")</f>
        <v/>
      </c>
      <c r="J259" s="32"/>
    </row>
    <row r="260" spans="1:10" ht="19.5" customHeight="1" x14ac:dyDescent="0.25">
      <c r="A260" s="31" t="str">
        <f t="shared" si="6"/>
        <v/>
      </c>
      <c r="B260" s="45"/>
      <c r="C260" s="38" t="str">
        <f>IFERROR(IF(B260="","",VLOOKUP(B260,DB_Customers!$A:$B,2,0)),"")</f>
        <v/>
      </c>
      <c r="D260" s="45"/>
      <c r="E260" s="33"/>
      <c r="F260" s="46" t="str">
        <f t="shared" ca="1" si="7"/>
        <v/>
      </c>
      <c r="G260" s="32"/>
      <c r="H260" s="47" t="str">
        <f>IFERROR(IF(OR(B260="",E260=""),"",SUMIF(DB_Loans!$B:$B,B260,DB_Loans!$E:$E)+E260),"")</f>
        <v/>
      </c>
      <c r="I260" s="47" t="str">
        <f>IFERROR(IF(OR(B260="",E260=""),"",SUMIF(DB_Loans!$B:$B,B260,DB_Loans!$J:$J)+(E260*0.025)),"")</f>
        <v/>
      </c>
      <c r="J260" s="32"/>
    </row>
    <row r="261" spans="1:10" ht="19.5" customHeight="1" x14ac:dyDescent="0.25">
      <c r="A261" s="31" t="str">
        <f t="shared" ref="A261:A324" si="8">IF(B261="","","TU"&amp;TEXT(ROW()-4,"0000"))</f>
        <v/>
      </c>
      <c r="B261" s="45"/>
      <c r="C261" s="38" t="str">
        <f>IFERROR(IF(B261="","",VLOOKUP(B261,DB_Customers!$A:$B,2,0)),"")</f>
        <v/>
      </c>
      <c r="D261" s="45"/>
      <c r="E261" s="33"/>
      <c r="F261" s="46" t="str">
        <f t="shared" ref="F261:F324" ca="1" si="9">IF(B261="","",TODAY())</f>
        <v/>
      </c>
      <c r="G261" s="32"/>
      <c r="H261" s="47" t="str">
        <f>IFERROR(IF(OR(B261="",E261=""),"",SUMIF(DB_Loans!$B:$B,B261,DB_Loans!$E:$E)+E261),"")</f>
        <v/>
      </c>
      <c r="I261" s="47" t="str">
        <f>IFERROR(IF(OR(B261="",E261=""),"",SUMIF(DB_Loans!$B:$B,B261,DB_Loans!$J:$J)+(E261*0.025)),"")</f>
        <v/>
      </c>
      <c r="J261" s="32"/>
    </row>
    <row r="262" spans="1:10" ht="19.5" customHeight="1" x14ac:dyDescent="0.25">
      <c r="A262" s="31" t="str">
        <f t="shared" si="8"/>
        <v/>
      </c>
      <c r="B262" s="45"/>
      <c r="C262" s="38" t="str">
        <f>IFERROR(IF(B262="","",VLOOKUP(B262,DB_Customers!$A:$B,2,0)),"")</f>
        <v/>
      </c>
      <c r="D262" s="45"/>
      <c r="E262" s="33"/>
      <c r="F262" s="46" t="str">
        <f t="shared" ca="1" si="9"/>
        <v/>
      </c>
      <c r="G262" s="32"/>
      <c r="H262" s="47" t="str">
        <f>IFERROR(IF(OR(B262="",E262=""),"",SUMIF(DB_Loans!$B:$B,B262,DB_Loans!$E:$E)+E262),"")</f>
        <v/>
      </c>
      <c r="I262" s="47" t="str">
        <f>IFERROR(IF(OR(B262="",E262=""),"",SUMIF(DB_Loans!$B:$B,B262,DB_Loans!$J:$J)+(E262*0.025)),"")</f>
        <v/>
      </c>
      <c r="J262" s="32"/>
    </row>
    <row r="263" spans="1:10" ht="19.5" customHeight="1" x14ac:dyDescent="0.25">
      <c r="A263" s="31" t="str">
        <f t="shared" si="8"/>
        <v/>
      </c>
      <c r="B263" s="45"/>
      <c r="C263" s="38" t="str">
        <f>IFERROR(IF(B263="","",VLOOKUP(B263,DB_Customers!$A:$B,2,0)),"")</f>
        <v/>
      </c>
      <c r="D263" s="45"/>
      <c r="E263" s="33"/>
      <c r="F263" s="46" t="str">
        <f t="shared" ca="1" si="9"/>
        <v/>
      </c>
      <c r="G263" s="32"/>
      <c r="H263" s="47" t="str">
        <f>IFERROR(IF(OR(B263="",E263=""),"",SUMIF(DB_Loans!$B:$B,B263,DB_Loans!$E:$E)+E263),"")</f>
        <v/>
      </c>
      <c r="I263" s="47" t="str">
        <f>IFERROR(IF(OR(B263="",E263=""),"",SUMIF(DB_Loans!$B:$B,B263,DB_Loans!$J:$J)+(E263*0.025)),"")</f>
        <v/>
      </c>
      <c r="J263" s="32"/>
    </row>
    <row r="264" spans="1:10" ht="19.5" customHeight="1" x14ac:dyDescent="0.25">
      <c r="A264" s="31" t="str">
        <f t="shared" si="8"/>
        <v/>
      </c>
      <c r="B264" s="45"/>
      <c r="C264" s="38" t="str">
        <f>IFERROR(IF(B264="","",VLOOKUP(B264,DB_Customers!$A:$B,2,0)),"")</f>
        <v/>
      </c>
      <c r="D264" s="45"/>
      <c r="E264" s="33"/>
      <c r="F264" s="46" t="str">
        <f t="shared" ca="1" si="9"/>
        <v/>
      </c>
      <c r="G264" s="32"/>
      <c r="H264" s="47" t="str">
        <f>IFERROR(IF(OR(B264="",E264=""),"",SUMIF(DB_Loans!$B:$B,B264,DB_Loans!$E:$E)+E264),"")</f>
        <v/>
      </c>
      <c r="I264" s="47" t="str">
        <f>IFERROR(IF(OR(B264="",E264=""),"",SUMIF(DB_Loans!$B:$B,B264,DB_Loans!$J:$J)+(E264*0.025)),"")</f>
        <v/>
      </c>
      <c r="J264" s="32"/>
    </row>
    <row r="265" spans="1:10" ht="19.5" customHeight="1" x14ac:dyDescent="0.25">
      <c r="A265" s="31" t="str">
        <f t="shared" si="8"/>
        <v/>
      </c>
      <c r="B265" s="45"/>
      <c r="C265" s="38" t="str">
        <f>IFERROR(IF(B265="","",VLOOKUP(B265,DB_Customers!$A:$B,2,0)),"")</f>
        <v/>
      </c>
      <c r="D265" s="45"/>
      <c r="E265" s="33"/>
      <c r="F265" s="46" t="str">
        <f t="shared" ca="1" si="9"/>
        <v/>
      </c>
      <c r="G265" s="32"/>
      <c r="H265" s="47" t="str">
        <f>IFERROR(IF(OR(B265="",E265=""),"",SUMIF(DB_Loans!$B:$B,B265,DB_Loans!$E:$E)+E265),"")</f>
        <v/>
      </c>
      <c r="I265" s="47" t="str">
        <f>IFERROR(IF(OR(B265="",E265=""),"",SUMIF(DB_Loans!$B:$B,B265,DB_Loans!$J:$J)+(E265*0.025)),"")</f>
        <v/>
      </c>
      <c r="J265" s="32"/>
    </row>
    <row r="266" spans="1:10" ht="19.5" customHeight="1" x14ac:dyDescent="0.25">
      <c r="A266" s="31" t="str">
        <f t="shared" si="8"/>
        <v/>
      </c>
      <c r="B266" s="45"/>
      <c r="C266" s="38" t="str">
        <f>IFERROR(IF(B266="","",VLOOKUP(B266,DB_Customers!$A:$B,2,0)),"")</f>
        <v/>
      </c>
      <c r="D266" s="45"/>
      <c r="E266" s="33"/>
      <c r="F266" s="46" t="str">
        <f t="shared" ca="1" si="9"/>
        <v/>
      </c>
      <c r="G266" s="32"/>
      <c r="H266" s="47" t="str">
        <f>IFERROR(IF(OR(B266="",E266=""),"",SUMIF(DB_Loans!$B:$B,B266,DB_Loans!$E:$E)+E266),"")</f>
        <v/>
      </c>
      <c r="I266" s="47" t="str">
        <f>IFERROR(IF(OR(B266="",E266=""),"",SUMIF(DB_Loans!$B:$B,B266,DB_Loans!$J:$J)+(E266*0.025)),"")</f>
        <v/>
      </c>
      <c r="J266" s="32"/>
    </row>
    <row r="267" spans="1:10" ht="19.5" customHeight="1" x14ac:dyDescent="0.25">
      <c r="A267" s="31" t="str">
        <f t="shared" si="8"/>
        <v/>
      </c>
      <c r="B267" s="45"/>
      <c r="C267" s="38" t="str">
        <f>IFERROR(IF(B267="","",VLOOKUP(B267,DB_Customers!$A:$B,2,0)),"")</f>
        <v/>
      </c>
      <c r="D267" s="45"/>
      <c r="E267" s="33"/>
      <c r="F267" s="46" t="str">
        <f t="shared" ca="1" si="9"/>
        <v/>
      </c>
      <c r="G267" s="32"/>
      <c r="H267" s="47" t="str">
        <f>IFERROR(IF(OR(B267="",E267=""),"",SUMIF(DB_Loans!$B:$B,B267,DB_Loans!$E:$E)+E267),"")</f>
        <v/>
      </c>
      <c r="I267" s="47" t="str">
        <f>IFERROR(IF(OR(B267="",E267=""),"",SUMIF(DB_Loans!$B:$B,B267,DB_Loans!$J:$J)+(E267*0.025)),"")</f>
        <v/>
      </c>
      <c r="J267" s="32"/>
    </row>
    <row r="268" spans="1:10" ht="19.5" customHeight="1" x14ac:dyDescent="0.25">
      <c r="A268" s="31" t="str">
        <f t="shared" si="8"/>
        <v/>
      </c>
      <c r="B268" s="45"/>
      <c r="C268" s="38" t="str">
        <f>IFERROR(IF(B268="","",VLOOKUP(B268,DB_Customers!$A:$B,2,0)),"")</f>
        <v/>
      </c>
      <c r="D268" s="45"/>
      <c r="E268" s="33"/>
      <c r="F268" s="46" t="str">
        <f t="shared" ca="1" si="9"/>
        <v/>
      </c>
      <c r="G268" s="32"/>
      <c r="H268" s="47" t="str">
        <f>IFERROR(IF(OR(B268="",E268=""),"",SUMIF(DB_Loans!$B:$B,B268,DB_Loans!$E:$E)+E268),"")</f>
        <v/>
      </c>
      <c r="I268" s="47" t="str">
        <f>IFERROR(IF(OR(B268="",E268=""),"",SUMIF(DB_Loans!$B:$B,B268,DB_Loans!$J:$J)+(E268*0.025)),"")</f>
        <v/>
      </c>
      <c r="J268" s="32"/>
    </row>
    <row r="269" spans="1:10" ht="19.5" customHeight="1" x14ac:dyDescent="0.25">
      <c r="A269" s="31" t="str">
        <f t="shared" si="8"/>
        <v/>
      </c>
      <c r="B269" s="45"/>
      <c r="C269" s="38" t="str">
        <f>IFERROR(IF(B269="","",VLOOKUP(B269,DB_Customers!$A:$B,2,0)),"")</f>
        <v/>
      </c>
      <c r="D269" s="45"/>
      <c r="E269" s="33"/>
      <c r="F269" s="46" t="str">
        <f t="shared" ca="1" si="9"/>
        <v/>
      </c>
      <c r="G269" s="32"/>
      <c r="H269" s="47" t="str">
        <f>IFERROR(IF(OR(B269="",E269=""),"",SUMIF(DB_Loans!$B:$B,B269,DB_Loans!$E:$E)+E269),"")</f>
        <v/>
      </c>
      <c r="I269" s="47" t="str">
        <f>IFERROR(IF(OR(B269="",E269=""),"",SUMIF(DB_Loans!$B:$B,B269,DB_Loans!$J:$J)+(E269*0.025)),"")</f>
        <v/>
      </c>
      <c r="J269" s="32"/>
    </row>
    <row r="270" spans="1:10" ht="19.5" customHeight="1" x14ac:dyDescent="0.25">
      <c r="A270" s="31" t="str">
        <f t="shared" si="8"/>
        <v/>
      </c>
      <c r="B270" s="45"/>
      <c r="C270" s="38" t="str">
        <f>IFERROR(IF(B270="","",VLOOKUP(B270,DB_Customers!$A:$B,2,0)),"")</f>
        <v/>
      </c>
      <c r="D270" s="45"/>
      <c r="E270" s="33"/>
      <c r="F270" s="46" t="str">
        <f t="shared" ca="1" si="9"/>
        <v/>
      </c>
      <c r="G270" s="32"/>
      <c r="H270" s="47" t="str">
        <f>IFERROR(IF(OR(B270="",E270=""),"",SUMIF(DB_Loans!$B:$B,B270,DB_Loans!$E:$E)+E270),"")</f>
        <v/>
      </c>
      <c r="I270" s="47" t="str">
        <f>IFERROR(IF(OR(B270="",E270=""),"",SUMIF(DB_Loans!$B:$B,B270,DB_Loans!$J:$J)+(E270*0.025)),"")</f>
        <v/>
      </c>
      <c r="J270" s="32"/>
    </row>
    <row r="271" spans="1:10" ht="19.5" customHeight="1" x14ac:dyDescent="0.25">
      <c r="A271" s="31" t="str">
        <f t="shared" si="8"/>
        <v/>
      </c>
      <c r="B271" s="45"/>
      <c r="C271" s="38" t="str">
        <f>IFERROR(IF(B271="","",VLOOKUP(B271,DB_Customers!$A:$B,2,0)),"")</f>
        <v/>
      </c>
      <c r="D271" s="45"/>
      <c r="E271" s="33"/>
      <c r="F271" s="46" t="str">
        <f t="shared" ca="1" si="9"/>
        <v/>
      </c>
      <c r="G271" s="32"/>
      <c r="H271" s="47" t="str">
        <f>IFERROR(IF(OR(B271="",E271=""),"",SUMIF(DB_Loans!$B:$B,B271,DB_Loans!$E:$E)+E271),"")</f>
        <v/>
      </c>
      <c r="I271" s="47" t="str">
        <f>IFERROR(IF(OR(B271="",E271=""),"",SUMIF(DB_Loans!$B:$B,B271,DB_Loans!$J:$J)+(E271*0.025)),"")</f>
        <v/>
      </c>
      <c r="J271" s="32"/>
    </row>
    <row r="272" spans="1:10" ht="19.5" customHeight="1" x14ac:dyDescent="0.25">
      <c r="A272" s="31" t="str">
        <f t="shared" si="8"/>
        <v/>
      </c>
      <c r="B272" s="45"/>
      <c r="C272" s="38" t="str">
        <f>IFERROR(IF(B272="","",VLOOKUP(B272,DB_Customers!$A:$B,2,0)),"")</f>
        <v/>
      </c>
      <c r="D272" s="45"/>
      <c r="E272" s="33"/>
      <c r="F272" s="46" t="str">
        <f t="shared" ca="1" si="9"/>
        <v/>
      </c>
      <c r="G272" s="32"/>
      <c r="H272" s="47" t="str">
        <f>IFERROR(IF(OR(B272="",E272=""),"",SUMIF(DB_Loans!$B:$B,B272,DB_Loans!$E:$E)+E272),"")</f>
        <v/>
      </c>
      <c r="I272" s="47" t="str">
        <f>IFERROR(IF(OR(B272="",E272=""),"",SUMIF(DB_Loans!$B:$B,B272,DB_Loans!$J:$J)+(E272*0.025)),"")</f>
        <v/>
      </c>
      <c r="J272" s="32"/>
    </row>
    <row r="273" spans="1:10" ht="19.5" customHeight="1" x14ac:dyDescent="0.25">
      <c r="A273" s="31" t="str">
        <f t="shared" si="8"/>
        <v/>
      </c>
      <c r="B273" s="45"/>
      <c r="C273" s="38" t="str">
        <f>IFERROR(IF(B273="","",VLOOKUP(B273,DB_Customers!$A:$B,2,0)),"")</f>
        <v/>
      </c>
      <c r="D273" s="45"/>
      <c r="E273" s="33"/>
      <c r="F273" s="46" t="str">
        <f t="shared" ca="1" si="9"/>
        <v/>
      </c>
      <c r="G273" s="32"/>
      <c r="H273" s="47" t="str">
        <f>IFERROR(IF(OR(B273="",E273=""),"",SUMIF(DB_Loans!$B:$B,B273,DB_Loans!$E:$E)+E273),"")</f>
        <v/>
      </c>
      <c r="I273" s="47" t="str">
        <f>IFERROR(IF(OR(B273="",E273=""),"",SUMIF(DB_Loans!$B:$B,B273,DB_Loans!$J:$J)+(E273*0.025)),"")</f>
        <v/>
      </c>
      <c r="J273" s="32"/>
    </row>
    <row r="274" spans="1:10" ht="19.5" customHeight="1" x14ac:dyDescent="0.25">
      <c r="A274" s="31" t="str">
        <f t="shared" si="8"/>
        <v/>
      </c>
      <c r="B274" s="45"/>
      <c r="C274" s="38" t="str">
        <f>IFERROR(IF(B274="","",VLOOKUP(B274,DB_Customers!$A:$B,2,0)),"")</f>
        <v/>
      </c>
      <c r="D274" s="45"/>
      <c r="E274" s="33"/>
      <c r="F274" s="46" t="str">
        <f t="shared" ca="1" si="9"/>
        <v/>
      </c>
      <c r="G274" s="32"/>
      <c r="H274" s="47" t="str">
        <f>IFERROR(IF(OR(B274="",E274=""),"",SUMIF(DB_Loans!$B:$B,B274,DB_Loans!$E:$E)+E274),"")</f>
        <v/>
      </c>
      <c r="I274" s="47" t="str">
        <f>IFERROR(IF(OR(B274="",E274=""),"",SUMIF(DB_Loans!$B:$B,B274,DB_Loans!$J:$J)+(E274*0.025)),"")</f>
        <v/>
      </c>
      <c r="J274" s="32"/>
    </row>
    <row r="275" spans="1:10" ht="19.5" customHeight="1" x14ac:dyDescent="0.25">
      <c r="A275" s="31" t="str">
        <f t="shared" si="8"/>
        <v/>
      </c>
      <c r="B275" s="45"/>
      <c r="C275" s="38" t="str">
        <f>IFERROR(IF(B275="","",VLOOKUP(B275,DB_Customers!$A:$B,2,0)),"")</f>
        <v/>
      </c>
      <c r="D275" s="45"/>
      <c r="E275" s="33"/>
      <c r="F275" s="46" t="str">
        <f t="shared" ca="1" si="9"/>
        <v/>
      </c>
      <c r="G275" s="32"/>
      <c r="H275" s="47" t="str">
        <f>IFERROR(IF(OR(B275="",E275=""),"",SUMIF(DB_Loans!$B:$B,B275,DB_Loans!$E:$E)+E275),"")</f>
        <v/>
      </c>
      <c r="I275" s="47" t="str">
        <f>IFERROR(IF(OR(B275="",E275=""),"",SUMIF(DB_Loans!$B:$B,B275,DB_Loans!$J:$J)+(E275*0.025)),"")</f>
        <v/>
      </c>
      <c r="J275" s="32"/>
    </row>
    <row r="276" spans="1:10" ht="19.5" customHeight="1" x14ac:dyDescent="0.25">
      <c r="A276" s="31" t="str">
        <f t="shared" si="8"/>
        <v/>
      </c>
      <c r="B276" s="45"/>
      <c r="C276" s="38" t="str">
        <f>IFERROR(IF(B276="","",VLOOKUP(B276,DB_Customers!$A:$B,2,0)),"")</f>
        <v/>
      </c>
      <c r="D276" s="45"/>
      <c r="E276" s="33"/>
      <c r="F276" s="46" t="str">
        <f t="shared" ca="1" si="9"/>
        <v/>
      </c>
      <c r="G276" s="32"/>
      <c r="H276" s="47" t="str">
        <f>IFERROR(IF(OR(B276="",E276=""),"",SUMIF(DB_Loans!$B:$B,B276,DB_Loans!$E:$E)+E276),"")</f>
        <v/>
      </c>
      <c r="I276" s="47" t="str">
        <f>IFERROR(IF(OR(B276="",E276=""),"",SUMIF(DB_Loans!$B:$B,B276,DB_Loans!$J:$J)+(E276*0.025)),"")</f>
        <v/>
      </c>
      <c r="J276" s="32"/>
    </row>
    <row r="277" spans="1:10" ht="19.5" customHeight="1" x14ac:dyDescent="0.25">
      <c r="A277" s="31" t="str">
        <f t="shared" si="8"/>
        <v/>
      </c>
      <c r="B277" s="45"/>
      <c r="C277" s="38" t="str">
        <f>IFERROR(IF(B277="","",VLOOKUP(B277,DB_Customers!$A:$B,2,0)),"")</f>
        <v/>
      </c>
      <c r="D277" s="45"/>
      <c r="E277" s="33"/>
      <c r="F277" s="46" t="str">
        <f t="shared" ca="1" si="9"/>
        <v/>
      </c>
      <c r="G277" s="32"/>
      <c r="H277" s="47" t="str">
        <f>IFERROR(IF(OR(B277="",E277=""),"",SUMIF(DB_Loans!$B:$B,B277,DB_Loans!$E:$E)+E277),"")</f>
        <v/>
      </c>
      <c r="I277" s="47" t="str">
        <f>IFERROR(IF(OR(B277="",E277=""),"",SUMIF(DB_Loans!$B:$B,B277,DB_Loans!$J:$J)+(E277*0.025)),"")</f>
        <v/>
      </c>
      <c r="J277" s="32"/>
    </row>
    <row r="278" spans="1:10" ht="19.5" customHeight="1" x14ac:dyDescent="0.25">
      <c r="A278" s="31" t="str">
        <f t="shared" si="8"/>
        <v/>
      </c>
      <c r="B278" s="45"/>
      <c r="C278" s="38" t="str">
        <f>IFERROR(IF(B278="","",VLOOKUP(B278,DB_Customers!$A:$B,2,0)),"")</f>
        <v/>
      </c>
      <c r="D278" s="45"/>
      <c r="E278" s="33"/>
      <c r="F278" s="46" t="str">
        <f t="shared" ca="1" si="9"/>
        <v/>
      </c>
      <c r="G278" s="32"/>
      <c r="H278" s="47" t="str">
        <f>IFERROR(IF(OR(B278="",E278=""),"",SUMIF(DB_Loans!$B:$B,B278,DB_Loans!$E:$E)+E278),"")</f>
        <v/>
      </c>
      <c r="I278" s="47" t="str">
        <f>IFERROR(IF(OR(B278="",E278=""),"",SUMIF(DB_Loans!$B:$B,B278,DB_Loans!$J:$J)+(E278*0.025)),"")</f>
        <v/>
      </c>
      <c r="J278" s="32"/>
    </row>
    <row r="279" spans="1:10" ht="19.5" customHeight="1" x14ac:dyDescent="0.25">
      <c r="A279" s="31" t="str">
        <f t="shared" si="8"/>
        <v/>
      </c>
      <c r="B279" s="45"/>
      <c r="C279" s="38" t="str">
        <f>IFERROR(IF(B279="","",VLOOKUP(B279,DB_Customers!$A:$B,2,0)),"")</f>
        <v/>
      </c>
      <c r="D279" s="45"/>
      <c r="E279" s="33"/>
      <c r="F279" s="46" t="str">
        <f t="shared" ca="1" si="9"/>
        <v/>
      </c>
      <c r="G279" s="32"/>
      <c r="H279" s="47" t="str">
        <f>IFERROR(IF(OR(B279="",E279=""),"",SUMIF(DB_Loans!$B:$B,B279,DB_Loans!$E:$E)+E279),"")</f>
        <v/>
      </c>
      <c r="I279" s="47" t="str">
        <f>IFERROR(IF(OR(B279="",E279=""),"",SUMIF(DB_Loans!$B:$B,B279,DB_Loans!$J:$J)+(E279*0.025)),"")</f>
        <v/>
      </c>
      <c r="J279" s="32"/>
    </row>
    <row r="280" spans="1:10" ht="19.5" customHeight="1" x14ac:dyDescent="0.25">
      <c r="A280" s="31" t="str">
        <f t="shared" si="8"/>
        <v/>
      </c>
      <c r="B280" s="45"/>
      <c r="C280" s="38" t="str">
        <f>IFERROR(IF(B280="","",VLOOKUP(B280,DB_Customers!$A:$B,2,0)),"")</f>
        <v/>
      </c>
      <c r="D280" s="45"/>
      <c r="E280" s="33"/>
      <c r="F280" s="46" t="str">
        <f t="shared" ca="1" si="9"/>
        <v/>
      </c>
      <c r="G280" s="32"/>
      <c r="H280" s="47" t="str">
        <f>IFERROR(IF(OR(B280="",E280=""),"",SUMIF(DB_Loans!$B:$B,B280,DB_Loans!$E:$E)+E280),"")</f>
        <v/>
      </c>
      <c r="I280" s="47" t="str">
        <f>IFERROR(IF(OR(B280="",E280=""),"",SUMIF(DB_Loans!$B:$B,B280,DB_Loans!$J:$J)+(E280*0.025)),"")</f>
        <v/>
      </c>
      <c r="J280" s="32"/>
    </row>
    <row r="281" spans="1:10" ht="19.5" customHeight="1" x14ac:dyDescent="0.25">
      <c r="A281" s="31" t="str">
        <f t="shared" si="8"/>
        <v/>
      </c>
      <c r="B281" s="45"/>
      <c r="C281" s="38" t="str">
        <f>IFERROR(IF(B281="","",VLOOKUP(B281,DB_Customers!$A:$B,2,0)),"")</f>
        <v/>
      </c>
      <c r="D281" s="45"/>
      <c r="E281" s="33"/>
      <c r="F281" s="46" t="str">
        <f t="shared" ca="1" si="9"/>
        <v/>
      </c>
      <c r="G281" s="32"/>
      <c r="H281" s="47" t="str">
        <f>IFERROR(IF(OR(B281="",E281=""),"",SUMIF(DB_Loans!$B:$B,B281,DB_Loans!$E:$E)+E281),"")</f>
        <v/>
      </c>
      <c r="I281" s="47" t="str">
        <f>IFERROR(IF(OR(B281="",E281=""),"",SUMIF(DB_Loans!$B:$B,B281,DB_Loans!$J:$J)+(E281*0.025)),"")</f>
        <v/>
      </c>
      <c r="J281" s="32"/>
    </row>
    <row r="282" spans="1:10" ht="19.5" customHeight="1" x14ac:dyDescent="0.25">
      <c r="A282" s="31" t="str">
        <f t="shared" si="8"/>
        <v/>
      </c>
      <c r="B282" s="45"/>
      <c r="C282" s="38" t="str">
        <f>IFERROR(IF(B282="","",VLOOKUP(B282,DB_Customers!$A:$B,2,0)),"")</f>
        <v/>
      </c>
      <c r="D282" s="45"/>
      <c r="E282" s="33"/>
      <c r="F282" s="46" t="str">
        <f t="shared" ca="1" si="9"/>
        <v/>
      </c>
      <c r="G282" s="32"/>
      <c r="H282" s="47" t="str">
        <f>IFERROR(IF(OR(B282="",E282=""),"",SUMIF(DB_Loans!$B:$B,B282,DB_Loans!$E:$E)+E282),"")</f>
        <v/>
      </c>
      <c r="I282" s="47" t="str">
        <f>IFERROR(IF(OR(B282="",E282=""),"",SUMIF(DB_Loans!$B:$B,B282,DB_Loans!$J:$J)+(E282*0.025)),"")</f>
        <v/>
      </c>
      <c r="J282" s="32"/>
    </row>
    <row r="283" spans="1:10" ht="19.5" customHeight="1" x14ac:dyDescent="0.25">
      <c r="A283" s="31" t="str">
        <f t="shared" si="8"/>
        <v/>
      </c>
      <c r="B283" s="45"/>
      <c r="C283" s="38" t="str">
        <f>IFERROR(IF(B283="","",VLOOKUP(B283,DB_Customers!$A:$B,2,0)),"")</f>
        <v/>
      </c>
      <c r="D283" s="45"/>
      <c r="E283" s="33"/>
      <c r="F283" s="46" t="str">
        <f t="shared" ca="1" si="9"/>
        <v/>
      </c>
      <c r="G283" s="32"/>
      <c r="H283" s="47" t="str">
        <f>IFERROR(IF(OR(B283="",E283=""),"",SUMIF(DB_Loans!$B:$B,B283,DB_Loans!$E:$E)+E283),"")</f>
        <v/>
      </c>
      <c r="I283" s="47" t="str">
        <f>IFERROR(IF(OR(B283="",E283=""),"",SUMIF(DB_Loans!$B:$B,B283,DB_Loans!$J:$J)+(E283*0.025)),"")</f>
        <v/>
      </c>
      <c r="J283" s="32"/>
    </row>
    <row r="284" spans="1:10" ht="19.5" customHeight="1" x14ac:dyDescent="0.25">
      <c r="A284" s="31" t="str">
        <f t="shared" si="8"/>
        <v/>
      </c>
      <c r="B284" s="45"/>
      <c r="C284" s="38" t="str">
        <f>IFERROR(IF(B284="","",VLOOKUP(B284,DB_Customers!$A:$B,2,0)),"")</f>
        <v/>
      </c>
      <c r="D284" s="45"/>
      <c r="E284" s="33"/>
      <c r="F284" s="46" t="str">
        <f t="shared" ca="1" si="9"/>
        <v/>
      </c>
      <c r="G284" s="32"/>
      <c r="H284" s="47" t="str">
        <f>IFERROR(IF(OR(B284="",E284=""),"",SUMIF(DB_Loans!$B:$B,B284,DB_Loans!$E:$E)+E284),"")</f>
        <v/>
      </c>
      <c r="I284" s="47" t="str">
        <f>IFERROR(IF(OR(B284="",E284=""),"",SUMIF(DB_Loans!$B:$B,B284,DB_Loans!$J:$J)+(E284*0.025)),"")</f>
        <v/>
      </c>
      <c r="J284" s="32"/>
    </row>
    <row r="285" spans="1:10" ht="19.5" customHeight="1" x14ac:dyDescent="0.25">
      <c r="A285" s="31" t="str">
        <f t="shared" si="8"/>
        <v/>
      </c>
      <c r="B285" s="45"/>
      <c r="C285" s="38" t="str">
        <f>IFERROR(IF(B285="","",VLOOKUP(B285,DB_Customers!$A:$B,2,0)),"")</f>
        <v/>
      </c>
      <c r="D285" s="45"/>
      <c r="E285" s="33"/>
      <c r="F285" s="46" t="str">
        <f t="shared" ca="1" si="9"/>
        <v/>
      </c>
      <c r="G285" s="32"/>
      <c r="H285" s="47" t="str">
        <f>IFERROR(IF(OR(B285="",E285=""),"",SUMIF(DB_Loans!$B:$B,B285,DB_Loans!$E:$E)+E285),"")</f>
        <v/>
      </c>
      <c r="I285" s="47" t="str">
        <f>IFERROR(IF(OR(B285="",E285=""),"",SUMIF(DB_Loans!$B:$B,B285,DB_Loans!$J:$J)+(E285*0.025)),"")</f>
        <v/>
      </c>
      <c r="J285" s="32"/>
    </row>
    <row r="286" spans="1:10" ht="19.5" customHeight="1" x14ac:dyDescent="0.25">
      <c r="A286" s="31" t="str">
        <f t="shared" si="8"/>
        <v/>
      </c>
      <c r="B286" s="45"/>
      <c r="C286" s="38" t="str">
        <f>IFERROR(IF(B286="","",VLOOKUP(B286,DB_Customers!$A:$B,2,0)),"")</f>
        <v/>
      </c>
      <c r="D286" s="45"/>
      <c r="E286" s="33"/>
      <c r="F286" s="46" t="str">
        <f t="shared" ca="1" si="9"/>
        <v/>
      </c>
      <c r="G286" s="32"/>
      <c r="H286" s="47" t="str">
        <f>IFERROR(IF(OR(B286="",E286=""),"",SUMIF(DB_Loans!$B:$B,B286,DB_Loans!$E:$E)+E286),"")</f>
        <v/>
      </c>
      <c r="I286" s="47" t="str">
        <f>IFERROR(IF(OR(B286="",E286=""),"",SUMIF(DB_Loans!$B:$B,B286,DB_Loans!$J:$J)+(E286*0.025)),"")</f>
        <v/>
      </c>
      <c r="J286" s="32"/>
    </row>
    <row r="287" spans="1:10" ht="19.5" customHeight="1" x14ac:dyDescent="0.25">
      <c r="A287" s="31" t="str">
        <f t="shared" si="8"/>
        <v/>
      </c>
      <c r="B287" s="45"/>
      <c r="C287" s="38" t="str">
        <f>IFERROR(IF(B287="","",VLOOKUP(B287,DB_Customers!$A:$B,2,0)),"")</f>
        <v/>
      </c>
      <c r="D287" s="45"/>
      <c r="E287" s="33"/>
      <c r="F287" s="46" t="str">
        <f t="shared" ca="1" si="9"/>
        <v/>
      </c>
      <c r="G287" s="32"/>
      <c r="H287" s="47" t="str">
        <f>IFERROR(IF(OR(B287="",E287=""),"",SUMIF(DB_Loans!$B:$B,B287,DB_Loans!$E:$E)+E287),"")</f>
        <v/>
      </c>
      <c r="I287" s="47" t="str">
        <f>IFERROR(IF(OR(B287="",E287=""),"",SUMIF(DB_Loans!$B:$B,B287,DB_Loans!$J:$J)+(E287*0.025)),"")</f>
        <v/>
      </c>
      <c r="J287" s="32"/>
    </row>
    <row r="288" spans="1:10" ht="19.5" customHeight="1" x14ac:dyDescent="0.25">
      <c r="A288" s="31" t="str">
        <f t="shared" si="8"/>
        <v/>
      </c>
      <c r="B288" s="45"/>
      <c r="C288" s="38" t="str">
        <f>IFERROR(IF(B288="","",VLOOKUP(B288,DB_Customers!$A:$B,2,0)),"")</f>
        <v/>
      </c>
      <c r="D288" s="45"/>
      <c r="E288" s="33"/>
      <c r="F288" s="46" t="str">
        <f t="shared" ca="1" si="9"/>
        <v/>
      </c>
      <c r="G288" s="32"/>
      <c r="H288" s="47" t="str">
        <f>IFERROR(IF(OR(B288="",E288=""),"",SUMIF(DB_Loans!$B:$B,B288,DB_Loans!$E:$E)+E288),"")</f>
        <v/>
      </c>
      <c r="I288" s="47" t="str">
        <f>IFERROR(IF(OR(B288="",E288=""),"",SUMIF(DB_Loans!$B:$B,B288,DB_Loans!$J:$J)+(E288*0.025)),"")</f>
        <v/>
      </c>
      <c r="J288" s="32"/>
    </row>
    <row r="289" spans="1:10" ht="19.5" customHeight="1" x14ac:dyDescent="0.25">
      <c r="A289" s="31" t="str">
        <f t="shared" si="8"/>
        <v/>
      </c>
      <c r="B289" s="45"/>
      <c r="C289" s="38" t="str">
        <f>IFERROR(IF(B289="","",VLOOKUP(B289,DB_Customers!$A:$B,2,0)),"")</f>
        <v/>
      </c>
      <c r="D289" s="45"/>
      <c r="E289" s="33"/>
      <c r="F289" s="46" t="str">
        <f t="shared" ca="1" si="9"/>
        <v/>
      </c>
      <c r="G289" s="32"/>
      <c r="H289" s="47" t="str">
        <f>IFERROR(IF(OR(B289="",E289=""),"",SUMIF(DB_Loans!$B:$B,B289,DB_Loans!$E:$E)+E289),"")</f>
        <v/>
      </c>
      <c r="I289" s="47" t="str">
        <f>IFERROR(IF(OR(B289="",E289=""),"",SUMIF(DB_Loans!$B:$B,B289,DB_Loans!$J:$J)+(E289*0.025)),"")</f>
        <v/>
      </c>
      <c r="J289" s="32"/>
    </row>
    <row r="290" spans="1:10" ht="19.5" customHeight="1" x14ac:dyDescent="0.25">
      <c r="A290" s="31" t="str">
        <f t="shared" si="8"/>
        <v/>
      </c>
      <c r="B290" s="45"/>
      <c r="C290" s="38" t="str">
        <f>IFERROR(IF(B290="","",VLOOKUP(B290,DB_Customers!$A:$B,2,0)),"")</f>
        <v/>
      </c>
      <c r="D290" s="45"/>
      <c r="E290" s="33"/>
      <c r="F290" s="46" t="str">
        <f t="shared" ca="1" si="9"/>
        <v/>
      </c>
      <c r="G290" s="32"/>
      <c r="H290" s="47" t="str">
        <f>IFERROR(IF(OR(B290="",E290=""),"",SUMIF(DB_Loans!$B:$B,B290,DB_Loans!$E:$E)+E290),"")</f>
        <v/>
      </c>
      <c r="I290" s="47" t="str">
        <f>IFERROR(IF(OR(B290="",E290=""),"",SUMIF(DB_Loans!$B:$B,B290,DB_Loans!$J:$J)+(E290*0.025)),"")</f>
        <v/>
      </c>
      <c r="J290" s="32"/>
    </row>
    <row r="291" spans="1:10" ht="19.5" customHeight="1" x14ac:dyDescent="0.25">
      <c r="A291" s="31" t="str">
        <f t="shared" si="8"/>
        <v/>
      </c>
      <c r="B291" s="45"/>
      <c r="C291" s="38" t="str">
        <f>IFERROR(IF(B291="","",VLOOKUP(B291,DB_Customers!$A:$B,2,0)),"")</f>
        <v/>
      </c>
      <c r="D291" s="45"/>
      <c r="E291" s="33"/>
      <c r="F291" s="46" t="str">
        <f t="shared" ca="1" si="9"/>
        <v/>
      </c>
      <c r="G291" s="32"/>
      <c r="H291" s="47" t="str">
        <f>IFERROR(IF(OR(B291="",E291=""),"",SUMIF(DB_Loans!$B:$B,B291,DB_Loans!$E:$E)+E291),"")</f>
        <v/>
      </c>
      <c r="I291" s="47" t="str">
        <f>IFERROR(IF(OR(B291="",E291=""),"",SUMIF(DB_Loans!$B:$B,B291,DB_Loans!$J:$J)+(E291*0.025)),"")</f>
        <v/>
      </c>
      <c r="J291" s="32"/>
    </row>
    <row r="292" spans="1:10" ht="19.5" customHeight="1" x14ac:dyDescent="0.25">
      <c r="A292" s="31" t="str">
        <f t="shared" si="8"/>
        <v/>
      </c>
      <c r="B292" s="45"/>
      <c r="C292" s="38" t="str">
        <f>IFERROR(IF(B292="","",VLOOKUP(B292,DB_Customers!$A:$B,2,0)),"")</f>
        <v/>
      </c>
      <c r="D292" s="45"/>
      <c r="E292" s="33"/>
      <c r="F292" s="46" t="str">
        <f t="shared" ca="1" si="9"/>
        <v/>
      </c>
      <c r="G292" s="32"/>
      <c r="H292" s="47" t="str">
        <f>IFERROR(IF(OR(B292="",E292=""),"",SUMIF(DB_Loans!$B:$B,B292,DB_Loans!$E:$E)+E292),"")</f>
        <v/>
      </c>
      <c r="I292" s="47" t="str">
        <f>IFERROR(IF(OR(B292="",E292=""),"",SUMIF(DB_Loans!$B:$B,B292,DB_Loans!$J:$J)+(E292*0.025)),"")</f>
        <v/>
      </c>
      <c r="J292" s="32"/>
    </row>
    <row r="293" spans="1:10" ht="19.5" customHeight="1" x14ac:dyDescent="0.25">
      <c r="A293" s="31" t="str">
        <f t="shared" si="8"/>
        <v/>
      </c>
      <c r="B293" s="45"/>
      <c r="C293" s="38" t="str">
        <f>IFERROR(IF(B293="","",VLOOKUP(B293,DB_Customers!$A:$B,2,0)),"")</f>
        <v/>
      </c>
      <c r="D293" s="45"/>
      <c r="E293" s="33"/>
      <c r="F293" s="46" t="str">
        <f t="shared" ca="1" si="9"/>
        <v/>
      </c>
      <c r="G293" s="32"/>
      <c r="H293" s="47" t="str">
        <f>IFERROR(IF(OR(B293="",E293=""),"",SUMIF(DB_Loans!$B:$B,B293,DB_Loans!$E:$E)+E293),"")</f>
        <v/>
      </c>
      <c r="I293" s="47" t="str">
        <f>IFERROR(IF(OR(B293="",E293=""),"",SUMIF(DB_Loans!$B:$B,B293,DB_Loans!$J:$J)+(E293*0.025)),"")</f>
        <v/>
      </c>
      <c r="J293" s="32"/>
    </row>
    <row r="294" spans="1:10" ht="19.5" customHeight="1" x14ac:dyDescent="0.25">
      <c r="A294" s="31" t="str">
        <f t="shared" si="8"/>
        <v/>
      </c>
      <c r="B294" s="45"/>
      <c r="C294" s="38" t="str">
        <f>IFERROR(IF(B294="","",VLOOKUP(B294,DB_Customers!$A:$B,2,0)),"")</f>
        <v/>
      </c>
      <c r="D294" s="45"/>
      <c r="E294" s="33"/>
      <c r="F294" s="46" t="str">
        <f t="shared" ca="1" si="9"/>
        <v/>
      </c>
      <c r="G294" s="32"/>
      <c r="H294" s="47" t="str">
        <f>IFERROR(IF(OR(B294="",E294=""),"",SUMIF(DB_Loans!$B:$B,B294,DB_Loans!$E:$E)+E294),"")</f>
        <v/>
      </c>
      <c r="I294" s="47" t="str">
        <f>IFERROR(IF(OR(B294="",E294=""),"",SUMIF(DB_Loans!$B:$B,B294,DB_Loans!$J:$J)+(E294*0.025)),"")</f>
        <v/>
      </c>
      <c r="J294" s="32"/>
    </row>
    <row r="295" spans="1:10" ht="19.5" customHeight="1" x14ac:dyDescent="0.25">
      <c r="A295" s="31" t="str">
        <f t="shared" si="8"/>
        <v/>
      </c>
      <c r="B295" s="45"/>
      <c r="C295" s="38" t="str">
        <f>IFERROR(IF(B295="","",VLOOKUP(B295,DB_Customers!$A:$B,2,0)),"")</f>
        <v/>
      </c>
      <c r="D295" s="45"/>
      <c r="E295" s="33"/>
      <c r="F295" s="46" t="str">
        <f t="shared" ca="1" si="9"/>
        <v/>
      </c>
      <c r="G295" s="32"/>
      <c r="H295" s="47" t="str">
        <f>IFERROR(IF(OR(B295="",E295=""),"",SUMIF(DB_Loans!$B:$B,B295,DB_Loans!$E:$E)+E295),"")</f>
        <v/>
      </c>
      <c r="I295" s="47" t="str">
        <f>IFERROR(IF(OR(B295="",E295=""),"",SUMIF(DB_Loans!$B:$B,B295,DB_Loans!$J:$J)+(E295*0.025)),"")</f>
        <v/>
      </c>
      <c r="J295" s="32"/>
    </row>
    <row r="296" spans="1:10" ht="19.5" customHeight="1" x14ac:dyDescent="0.25">
      <c r="A296" s="31" t="str">
        <f t="shared" si="8"/>
        <v/>
      </c>
      <c r="B296" s="45"/>
      <c r="C296" s="38" t="str">
        <f>IFERROR(IF(B296="","",VLOOKUP(B296,DB_Customers!$A:$B,2,0)),"")</f>
        <v/>
      </c>
      <c r="D296" s="45"/>
      <c r="E296" s="33"/>
      <c r="F296" s="46" t="str">
        <f t="shared" ca="1" si="9"/>
        <v/>
      </c>
      <c r="G296" s="32"/>
      <c r="H296" s="47" t="str">
        <f>IFERROR(IF(OR(B296="",E296=""),"",SUMIF(DB_Loans!$B:$B,B296,DB_Loans!$E:$E)+E296),"")</f>
        <v/>
      </c>
      <c r="I296" s="47" t="str">
        <f>IFERROR(IF(OR(B296="",E296=""),"",SUMIF(DB_Loans!$B:$B,B296,DB_Loans!$J:$J)+(E296*0.025)),"")</f>
        <v/>
      </c>
      <c r="J296" s="32"/>
    </row>
    <row r="297" spans="1:10" ht="19.5" customHeight="1" x14ac:dyDescent="0.25">
      <c r="A297" s="31" t="str">
        <f t="shared" si="8"/>
        <v/>
      </c>
      <c r="B297" s="45"/>
      <c r="C297" s="38" t="str">
        <f>IFERROR(IF(B297="","",VLOOKUP(B297,DB_Customers!$A:$B,2,0)),"")</f>
        <v/>
      </c>
      <c r="D297" s="45"/>
      <c r="E297" s="33"/>
      <c r="F297" s="46" t="str">
        <f t="shared" ca="1" si="9"/>
        <v/>
      </c>
      <c r="G297" s="32"/>
      <c r="H297" s="47" t="str">
        <f>IFERROR(IF(OR(B297="",E297=""),"",SUMIF(DB_Loans!$B:$B,B297,DB_Loans!$E:$E)+E297),"")</f>
        <v/>
      </c>
      <c r="I297" s="47" t="str">
        <f>IFERROR(IF(OR(B297="",E297=""),"",SUMIF(DB_Loans!$B:$B,B297,DB_Loans!$J:$J)+(E297*0.025)),"")</f>
        <v/>
      </c>
      <c r="J297" s="32"/>
    </row>
    <row r="298" spans="1:10" ht="19.5" customHeight="1" x14ac:dyDescent="0.25">
      <c r="A298" s="31" t="str">
        <f t="shared" si="8"/>
        <v/>
      </c>
      <c r="B298" s="45"/>
      <c r="C298" s="38" t="str">
        <f>IFERROR(IF(B298="","",VLOOKUP(B298,DB_Customers!$A:$B,2,0)),"")</f>
        <v/>
      </c>
      <c r="D298" s="45"/>
      <c r="E298" s="33"/>
      <c r="F298" s="46" t="str">
        <f t="shared" ca="1" si="9"/>
        <v/>
      </c>
      <c r="G298" s="32"/>
      <c r="H298" s="47" t="str">
        <f>IFERROR(IF(OR(B298="",E298=""),"",SUMIF(DB_Loans!$B:$B,B298,DB_Loans!$E:$E)+E298),"")</f>
        <v/>
      </c>
      <c r="I298" s="47" t="str">
        <f>IFERROR(IF(OR(B298="",E298=""),"",SUMIF(DB_Loans!$B:$B,B298,DB_Loans!$J:$J)+(E298*0.025)),"")</f>
        <v/>
      </c>
      <c r="J298" s="32"/>
    </row>
    <row r="299" spans="1:10" ht="19.5" customHeight="1" x14ac:dyDescent="0.25">
      <c r="A299" s="31" t="str">
        <f t="shared" si="8"/>
        <v/>
      </c>
      <c r="B299" s="45"/>
      <c r="C299" s="38" t="str">
        <f>IFERROR(IF(B299="","",VLOOKUP(B299,DB_Customers!$A:$B,2,0)),"")</f>
        <v/>
      </c>
      <c r="D299" s="45"/>
      <c r="E299" s="33"/>
      <c r="F299" s="46" t="str">
        <f t="shared" ca="1" si="9"/>
        <v/>
      </c>
      <c r="G299" s="32"/>
      <c r="H299" s="47" t="str">
        <f>IFERROR(IF(OR(B299="",E299=""),"",SUMIF(DB_Loans!$B:$B,B299,DB_Loans!$E:$E)+E299),"")</f>
        <v/>
      </c>
      <c r="I299" s="47" t="str">
        <f>IFERROR(IF(OR(B299="",E299=""),"",SUMIF(DB_Loans!$B:$B,B299,DB_Loans!$J:$J)+(E299*0.025)),"")</f>
        <v/>
      </c>
      <c r="J299" s="32"/>
    </row>
    <row r="300" spans="1:10" ht="19.5" customHeight="1" x14ac:dyDescent="0.25">
      <c r="A300" s="31" t="str">
        <f t="shared" si="8"/>
        <v/>
      </c>
      <c r="B300" s="45"/>
      <c r="C300" s="38" t="str">
        <f>IFERROR(IF(B300="","",VLOOKUP(B300,DB_Customers!$A:$B,2,0)),"")</f>
        <v/>
      </c>
      <c r="D300" s="45"/>
      <c r="E300" s="33"/>
      <c r="F300" s="46" t="str">
        <f t="shared" ca="1" si="9"/>
        <v/>
      </c>
      <c r="G300" s="32"/>
      <c r="H300" s="47" t="str">
        <f>IFERROR(IF(OR(B300="",E300=""),"",SUMIF(DB_Loans!$B:$B,B300,DB_Loans!$E:$E)+E300),"")</f>
        <v/>
      </c>
      <c r="I300" s="47" t="str">
        <f>IFERROR(IF(OR(B300="",E300=""),"",SUMIF(DB_Loans!$B:$B,B300,DB_Loans!$J:$J)+(E300*0.025)),"")</f>
        <v/>
      </c>
      <c r="J300" s="32"/>
    </row>
    <row r="301" spans="1:10" ht="19.5" customHeight="1" x14ac:dyDescent="0.25">
      <c r="A301" s="31" t="str">
        <f t="shared" si="8"/>
        <v/>
      </c>
      <c r="B301" s="45"/>
      <c r="C301" s="38" t="str">
        <f>IFERROR(IF(B301="","",VLOOKUP(B301,DB_Customers!$A:$B,2,0)),"")</f>
        <v/>
      </c>
      <c r="D301" s="45"/>
      <c r="E301" s="33"/>
      <c r="F301" s="46" t="str">
        <f t="shared" ca="1" si="9"/>
        <v/>
      </c>
      <c r="G301" s="32"/>
      <c r="H301" s="47" t="str">
        <f>IFERROR(IF(OR(B301="",E301=""),"",SUMIF(DB_Loans!$B:$B,B301,DB_Loans!$E:$E)+E301),"")</f>
        <v/>
      </c>
      <c r="I301" s="47" t="str">
        <f>IFERROR(IF(OR(B301="",E301=""),"",SUMIF(DB_Loans!$B:$B,B301,DB_Loans!$J:$J)+(E301*0.025)),"")</f>
        <v/>
      </c>
      <c r="J301" s="32"/>
    </row>
    <row r="302" spans="1:10" ht="19.5" customHeight="1" x14ac:dyDescent="0.25">
      <c r="A302" s="31" t="str">
        <f t="shared" si="8"/>
        <v/>
      </c>
      <c r="B302" s="45"/>
      <c r="C302" s="38" t="str">
        <f>IFERROR(IF(B302="","",VLOOKUP(B302,DB_Customers!$A:$B,2,0)),"")</f>
        <v/>
      </c>
      <c r="D302" s="45"/>
      <c r="E302" s="33"/>
      <c r="F302" s="46" t="str">
        <f t="shared" ca="1" si="9"/>
        <v/>
      </c>
      <c r="G302" s="32"/>
      <c r="H302" s="47" t="str">
        <f>IFERROR(IF(OR(B302="",E302=""),"",SUMIF(DB_Loans!$B:$B,B302,DB_Loans!$E:$E)+E302),"")</f>
        <v/>
      </c>
      <c r="I302" s="47" t="str">
        <f>IFERROR(IF(OR(B302="",E302=""),"",SUMIF(DB_Loans!$B:$B,B302,DB_Loans!$J:$J)+(E302*0.025)),"")</f>
        <v/>
      </c>
      <c r="J302" s="32"/>
    </row>
    <row r="303" spans="1:10" ht="19.5" customHeight="1" x14ac:dyDescent="0.25">
      <c r="A303" s="31" t="str">
        <f t="shared" si="8"/>
        <v/>
      </c>
      <c r="B303" s="45"/>
      <c r="C303" s="38" t="str">
        <f>IFERROR(IF(B303="","",VLOOKUP(B303,DB_Customers!$A:$B,2,0)),"")</f>
        <v/>
      </c>
      <c r="D303" s="45"/>
      <c r="E303" s="33"/>
      <c r="F303" s="46" t="str">
        <f t="shared" ca="1" si="9"/>
        <v/>
      </c>
      <c r="G303" s="32"/>
      <c r="H303" s="47" t="str">
        <f>IFERROR(IF(OR(B303="",E303=""),"",SUMIF(DB_Loans!$B:$B,B303,DB_Loans!$E:$E)+E303),"")</f>
        <v/>
      </c>
      <c r="I303" s="47" t="str">
        <f>IFERROR(IF(OR(B303="",E303=""),"",SUMIF(DB_Loans!$B:$B,B303,DB_Loans!$J:$J)+(E303*0.025)),"")</f>
        <v/>
      </c>
      <c r="J303" s="32"/>
    </row>
    <row r="304" spans="1:10" ht="19.5" customHeight="1" x14ac:dyDescent="0.25">
      <c r="A304" s="31" t="str">
        <f t="shared" si="8"/>
        <v/>
      </c>
      <c r="B304" s="45"/>
      <c r="C304" s="38" t="str">
        <f>IFERROR(IF(B304="","",VLOOKUP(B304,DB_Customers!$A:$B,2,0)),"")</f>
        <v/>
      </c>
      <c r="D304" s="45"/>
      <c r="E304" s="33"/>
      <c r="F304" s="46" t="str">
        <f t="shared" ca="1" si="9"/>
        <v/>
      </c>
      <c r="G304" s="32"/>
      <c r="H304" s="47" t="str">
        <f>IFERROR(IF(OR(B304="",E304=""),"",SUMIF(DB_Loans!$B:$B,B304,DB_Loans!$E:$E)+E304),"")</f>
        <v/>
      </c>
      <c r="I304" s="47" t="str">
        <f>IFERROR(IF(OR(B304="",E304=""),"",SUMIF(DB_Loans!$B:$B,B304,DB_Loans!$J:$J)+(E304*0.025)),"")</f>
        <v/>
      </c>
      <c r="J304" s="32"/>
    </row>
    <row r="305" spans="1:10" ht="19.5" customHeight="1" x14ac:dyDescent="0.25">
      <c r="A305" s="31" t="str">
        <f t="shared" si="8"/>
        <v/>
      </c>
      <c r="B305" s="45"/>
      <c r="C305" s="38" t="str">
        <f>IFERROR(IF(B305="","",VLOOKUP(B305,DB_Customers!$A:$B,2,0)),"")</f>
        <v/>
      </c>
      <c r="D305" s="45"/>
      <c r="E305" s="33"/>
      <c r="F305" s="46" t="str">
        <f t="shared" ca="1" si="9"/>
        <v/>
      </c>
      <c r="G305" s="32"/>
      <c r="H305" s="47" t="str">
        <f>IFERROR(IF(OR(B305="",E305=""),"",SUMIF(DB_Loans!$B:$B,B305,DB_Loans!$E:$E)+E305),"")</f>
        <v/>
      </c>
      <c r="I305" s="47" t="str">
        <f>IFERROR(IF(OR(B305="",E305=""),"",SUMIF(DB_Loans!$B:$B,B305,DB_Loans!$J:$J)+(E305*0.025)),"")</f>
        <v/>
      </c>
      <c r="J305" s="32"/>
    </row>
    <row r="306" spans="1:10" ht="19.5" customHeight="1" x14ac:dyDescent="0.25">
      <c r="A306" s="31" t="str">
        <f t="shared" si="8"/>
        <v/>
      </c>
      <c r="B306" s="45"/>
      <c r="C306" s="38" t="str">
        <f>IFERROR(IF(B306="","",VLOOKUP(B306,DB_Customers!$A:$B,2,0)),"")</f>
        <v/>
      </c>
      <c r="D306" s="45"/>
      <c r="E306" s="33"/>
      <c r="F306" s="46" t="str">
        <f t="shared" ca="1" si="9"/>
        <v/>
      </c>
      <c r="G306" s="32"/>
      <c r="H306" s="47" t="str">
        <f>IFERROR(IF(OR(B306="",E306=""),"",SUMIF(DB_Loans!$B:$B,B306,DB_Loans!$E:$E)+E306),"")</f>
        <v/>
      </c>
      <c r="I306" s="47" t="str">
        <f>IFERROR(IF(OR(B306="",E306=""),"",SUMIF(DB_Loans!$B:$B,B306,DB_Loans!$J:$J)+(E306*0.025)),"")</f>
        <v/>
      </c>
      <c r="J306" s="32"/>
    </row>
    <row r="307" spans="1:10" ht="19.5" customHeight="1" x14ac:dyDescent="0.25">
      <c r="A307" s="31" t="str">
        <f t="shared" si="8"/>
        <v/>
      </c>
      <c r="B307" s="45"/>
      <c r="C307" s="38" t="str">
        <f>IFERROR(IF(B307="","",VLOOKUP(B307,DB_Customers!$A:$B,2,0)),"")</f>
        <v/>
      </c>
      <c r="D307" s="45"/>
      <c r="E307" s="33"/>
      <c r="F307" s="46" t="str">
        <f t="shared" ca="1" si="9"/>
        <v/>
      </c>
      <c r="G307" s="32"/>
      <c r="H307" s="47" t="str">
        <f>IFERROR(IF(OR(B307="",E307=""),"",SUMIF(DB_Loans!$B:$B,B307,DB_Loans!$E:$E)+E307),"")</f>
        <v/>
      </c>
      <c r="I307" s="47" t="str">
        <f>IFERROR(IF(OR(B307="",E307=""),"",SUMIF(DB_Loans!$B:$B,B307,DB_Loans!$J:$J)+(E307*0.025)),"")</f>
        <v/>
      </c>
      <c r="J307" s="32"/>
    </row>
    <row r="308" spans="1:10" ht="19.5" customHeight="1" x14ac:dyDescent="0.25">
      <c r="A308" s="31" t="str">
        <f t="shared" si="8"/>
        <v/>
      </c>
      <c r="B308" s="45"/>
      <c r="C308" s="38" t="str">
        <f>IFERROR(IF(B308="","",VLOOKUP(B308,DB_Customers!$A:$B,2,0)),"")</f>
        <v/>
      </c>
      <c r="D308" s="45"/>
      <c r="E308" s="33"/>
      <c r="F308" s="46" t="str">
        <f t="shared" ca="1" si="9"/>
        <v/>
      </c>
      <c r="G308" s="32"/>
      <c r="H308" s="47" t="str">
        <f>IFERROR(IF(OR(B308="",E308=""),"",SUMIF(DB_Loans!$B:$B,B308,DB_Loans!$E:$E)+E308),"")</f>
        <v/>
      </c>
      <c r="I308" s="47" t="str">
        <f>IFERROR(IF(OR(B308="",E308=""),"",SUMIF(DB_Loans!$B:$B,B308,DB_Loans!$J:$J)+(E308*0.025)),"")</f>
        <v/>
      </c>
      <c r="J308" s="32"/>
    </row>
    <row r="309" spans="1:10" ht="19.5" customHeight="1" x14ac:dyDescent="0.25">
      <c r="A309" s="31" t="str">
        <f t="shared" si="8"/>
        <v/>
      </c>
      <c r="B309" s="45"/>
      <c r="C309" s="38" t="str">
        <f>IFERROR(IF(B309="","",VLOOKUP(B309,DB_Customers!$A:$B,2,0)),"")</f>
        <v/>
      </c>
      <c r="D309" s="45"/>
      <c r="E309" s="33"/>
      <c r="F309" s="46" t="str">
        <f t="shared" ca="1" si="9"/>
        <v/>
      </c>
      <c r="G309" s="32"/>
      <c r="H309" s="47" t="str">
        <f>IFERROR(IF(OR(B309="",E309=""),"",SUMIF(DB_Loans!$B:$B,B309,DB_Loans!$E:$E)+E309),"")</f>
        <v/>
      </c>
      <c r="I309" s="47" t="str">
        <f>IFERROR(IF(OR(B309="",E309=""),"",SUMIF(DB_Loans!$B:$B,B309,DB_Loans!$J:$J)+(E309*0.025)),"")</f>
        <v/>
      </c>
      <c r="J309" s="32"/>
    </row>
    <row r="310" spans="1:10" ht="19.5" customHeight="1" x14ac:dyDescent="0.25">
      <c r="A310" s="31" t="str">
        <f t="shared" si="8"/>
        <v/>
      </c>
      <c r="B310" s="45"/>
      <c r="C310" s="38" t="str">
        <f>IFERROR(IF(B310="","",VLOOKUP(B310,DB_Customers!$A:$B,2,0)),"")</f>
        <v/>
      </c>
      <c r="D310" s="45"/>
      <c r="E310" s="33"/>
      <c r="F310" s="46" t="str">
        <f t="shared" ca="1" si="9"/>
        <v/>
      </c>
      <c r="G310" s="32"/>
      <c r="H310" s="47" t="str">
        <f>IFERROR(IF(OR(B310="",E310=""),"",SUMIF(DB_Loans!$B:$B,B310,DB_Loans!$E:$E)+E310),"")</f>
        <v/>
      </c>
      <c r="I310" s="47" t="str">
        <f>IFERROR(IF(OR(B310="",E310=""),"",SUMIF(DB_Loans!$B:$B,B310,DB_Loans!$J:$J)+(E310*0.025)),"")</f>
        <v/>
      </c>
      <c r="J310" s="32"/>
    </row>
    <row r="311" spans="1:10" ht="19.5" customHeight="1" x14ac:dyDescent="0.25">
      <c r="A311" s="31" t="str">
        <f t="shared" si="8"/>
        <v/>
      </c>
      <c r="B311" s="45"/>
      <c r="C311" s="38" t="str">
        <f>IFERROR(IF(B311="","",VLOOKUP(B311,DB_Customers!$A:$B,2,0)),"")</f>
        <v/>
      </c>
      <c r="D311" s="45"/>
      <c r="E311" s="33"/>
      <c r="F311" s="46" t="str">
        <f t="shared" ca="1" si="9"/>
        <v/>
      </c>
      <c r="G311" s="32"/>
      <c r="H311" s="47" t="str">
        <f>IFERROR(IF(OR(B311="",E311=""),"",SUMIF(DB_Loans!$B:$B,B311,DB_Loans!$E:$E)+E311),"")</f>
        <v/>
      </c>
      <c r="I311" s="47" t="str">
        <f>IFERROR(IF(OR(B311="",E311=""),"",SUMIF(DB_Loans!$B:$B,B311,DB_Loans!$J:$J)+(E311*0.025)),"")</f>
        <v/>
      </c>
      <c r="J311" s="32"/>
    </row>
    <row r="312" spans="1:10" ht="19.5" customHeight="1" x14ac:dyDescent="0.25">
      <c r="A312" s="31" t="str">
        <f t="shared" si="8"/>
        <v/>
      </c>
      <c r="B312" s="45"/>
      <c r="C312" s="38" t="str">
        <f>IFERROR(IF(B312="","",VLOOKUP(B312,DB_Customers!$A:$B,2,0)),"")</f>
        <v/>
      </c>
      <c r="D312" s="45"/>
      <c r="E312" s="33"/>
      <c r="F312" s="46" t="str">
        <f t="shared" ca="1" si="9"/>
        <v/>
      </c>
      <c r="G312" s="32"/>
      <c r="H312" s="47" t="str">
        <f>IFERROR(IF(OR(B312="",E312=""),"",SUMIF(DB_Loans!$B:$B,B312,DB_Loans!$E:$E)+E312),"")</f>
        <v/>
      </c>
      <c r="I312" s="47" t="str">
        <f>IFERROR(IF(OR(B312="",E312=""),"",SUMIF(DB_Loans!$B:$B,B312,DB_Loans!$J:$J)+(E312*0.025)),"")</f>
        <v/>
      </c>
      <c r="J312" s="32"/>
    </row>
    <row r="313" spans="1:10" ht="19.5" customHeight="1" x14ac:dyDescent="0.25">
      <c r="A313" s="31" t="str">
        <f t="shared" si="8"/>
        <v/>
      </c>
      <c r="B313" s="45"/>
      <c r="C313" s="38" t="str">
        <f>IFERROR(IF(B313="","",VLOOKUP(B313,DB_Customers!$A:$B,2,0)),"")</f>
        <v/>
      </c>
      <c r="D313" s="45"/>
      <c r="E313" s="33"/>
      <c r="F313" s="46" t="str">
        <f t="shared" ca="1" si="9"/>
        <v/>
      </c>
      <c r="G313" s="32"/>
      <c r="H313" s="47" t="str">
        <f>IFERROR(IF(OR(B313="",E313=""),"",SUMIF(DB_Loans!$B:$B,B313,DB_Loans!$E:$E)+E313),"")</f>
        <v/>
      </c>
      <c r="I313" s="47" t="str">
        <f>IFERROR(IF(OR(B313="",E313=""),"",SUMIF(DB_Loans!$B:$B,B313,DB_Loans!$J:$J)+(E313*0.025)),"")</f>
        <v/>
      </c>
      <c r="J313" s="32"/>
    </row>
    <row r="314" spans="1:10" ht="19.5" customHeight="1" x14ac:dyDescent="0.25">
      <c r="A314" s="31" t="str">
        <f t="shared" si="8"/>
        <v/>
      </c>
      <c r="B314" s="45"/>
      <c r="C314" s="38" t="str">
        <f>IFERROR(IF(B314="","",VLOOKUP(B314,DB_Customers!$A:$B,2,0)),"")</f>
        <v/>
      </c>
      <c r="D314" s="45"/>
      <c r="E314" s="33"/>
      <c r="F314" s="46" t="str">
        <f t="shared" ca="1" si="9"/>
        <v/>
      </c>
      <c r="G314" s="32"/>
      <c r="H314" s="47" t="str">
        <f>IFERROR(IF(OR(B314="",E314=""),"",SUMIF(DB_Loans!$B:$B,B314,DB_Loans!$E:$E)+E314),"")</f>
        <v/>
      </c>
      <c r="I314" s="47" t="str">
        <f>IFERROR(IF(OR(B314="",E314=""),"",SUMIF(DB_Loans!$B:$B,B314,DB_Loans!$J:$J)+(E314*0.025)),"")</f>
        <v/>
      </c>
      <c r="J314" s="32"/>
    </row>
    <row r="315" spans="1:10" ht="19.5" customHeight="1" x14ac:dyDescent="0.25">
      <c r="A315" s="31" t="str">
        <f t="shared" si="8"/>
        <v/>
      </c>
      <c r="B315" s="45"/>
      <c r="C315" s="38" t="str">
        <f>IFERROR(IF(B315="","",VLOOKUP(B315,DB_Customers!$A:$B,2,0)),"")</f>
        <v/>
      </c>
      <c r="D315" s="45"/>
      <c r="E315" s="33"/>
      <c r="F315" s="46" t="str">
        <f t="shared" ca="1" si="9"/>
        <v/>
      </c>
      <c r="G315" s="32"/>
      <c r="H315" s="47" t="str">
        <f>IFERROR(IF(OR(B315="",E315=""),"",SUMIF(DB_Loans!$B:$B,B315,DB_Loans!$E:$E)+E315),"")</f>
        <v/>
      </c>
      <c r="I315" s="47" t="str">
        <f>IFERROR(IF(OR(B315="",E315=""),"",SUMIF(DB_Loans!$B:$B,B315,DB_Loans!$J:$J)+(E315*0.025)),"")</f>
        <v/>
      </c>
      <c r="J315" s="32"/>
    </row>
    <row r="316" spans="1:10" ht="19.5" customHeight="1" x14ac:dyDescent="0.25">
      <c r="A316" s="31" t="str">
        <f t="shared" si="8"/>
        <v/>
      </c>
      <c r="B316" s="45"/>
      <c r="C316" s="38" t="str">
        <f>IFERROR(IF(B316="","",VLOOKUP(B316,DB_Customers!$A:$B,2,0)),"")</f>
        <v/>
      </c>
      <c r="D316" s="45"/>
      <c r="E316" s="33"/>
      <c r="F316" s="46" t="str">
        <f t="shared" ca="1" si="9"/>
        <v/>
      </c>
      <c r="G316" s="32"/>
      <c r="H316" s="47" t="str">
        <f>IFERROR(IF(OR(B316="",E316=""),"",SUMIF(DB_Loans!$B:$B,B316,DB_Loans!$E:$E)+E316),"")</f>
        <v/>
      </c>
      <c r="I316" s="47" t="str">
        <f>IFERROR(IF(OR(B316="",E316=""),"",SUMIF(DB_Loans!$B:$B,B316,DB_Loans!$J:$J)+(E316*0.025)),"")</f>
        <v/>
      </c>
      <c r="J316" s="32"/>
    </row>
    <row r="317" spans="1:10" ht="19.5" customHeight="1" x14ac:dyDescent="0.25">
      <c r="A317" s="31" t="str">
        <f t="shared" si="8"/>
        <v/>
      </c>
      <c r="B317" s="45"/>
      <c r="C317" s="38" t="str">
        <f>IFERROR(IF(B317="","",VLOOKUP(B317,DB_Customers!$A:$B,2,0)),"")</f>
        <v/>
      </c>
      <c r="D317" s="45"/>
      <c r="E317" s="33"/>
      <c r="F317" s="46" t="str">
        <f t="shared" ca="1" si="9"/>
        <v/>
      </c>
      <c r="G317" s="32"/>
      <c r="H317" s="47" t="str">
        <f>IFERROR(IF(OR(B317="",E317=""),"",SUMIF(DB_Loans!$B:$B,B317,DB_Loans!$E:$E)+E317),"")</f>
        <v/>
      </c>
      <c r="I317" s="47" t="str">
        <f>IFERROR(IF(OR(B317="",E317=""),"",SUMIF(DB_Loans!$B:$B,B317,DB_Loans!$J:$J)+(E317*0.025)),"")</f>
        <v/>
      </c>
      <c r="J317" s="32"/>
    </row>
    <row r="318" spans="1:10" ht="19.5" customHeight="1" x14ac:dyDescent="0.25">
      <c r="A318" s="31" t="str">
        <f t="shared" si="8"/>
        <v/>
      </c>
      <c r="B318" s="45"/>
      <c r="C318" s="38" t="str">
        <f>IFERROR(IF(B318="","",VLOOKUP(B318,DB_Customers!$A:$B,2,0)),"")</f>
        <v/>
      </c>
      <c r="D318" s="45"/>
      <c r="E318" s="33"/>
      <c r="F318" s="46" t="str">
        <f t="shared" ca="1" si="9"/>
        <v/>
      </c>
      <c r="G318" s="32"/>
      <c r="H318" s="47" t="str">
        <f>IFERROR(IF(OR(B318="",E318=""),"",SUMIF(DB_Loans!$B:$B,B318,DB_Loans!$E:$E)+E318),"")</f>
        <v/>
      </c>
      <c r="I318" s="47" t="str">
        <f>IFERROR(IF(OR(B318="",E318=""),"",SUMIF(DB_Loans!$B:$B,B318,DB_Loans!$J:$J)+(E318*0.025)),"")</f>
        <v/>
      </c>
      <c r="J318" s="32"/>
    </row>
    <row r="319" spans="1:10" ht="19.5" customHeight="1" x14ac:dyDescent="0.25">
      <c r="A319" s="31" t="str">
        <f t="shared" si="8"/>
        <v/>
      </c>
      <c r="B319" s="45"/>
      <c r="C319" s="38" t="str">
        <f>IFERROR(IF(B319="","",VLOOKUP(B319,DB_Customers!$A:$B,2,0)),"")</f>
        <v/>
      </c>
      <c r="D319" s="45"/>
      <c r="E319" s="33"/>
      <c r="F319" s="46" t="str">
        <f t="shared" ca="1" si="9"/>
        <v/>
      </c>
      <c r="G319" s="32"/>
      <c r="H319" s="47" t="str">
        <f>IFERROR(IF(OR(B319="",E319=""),"",SUMIF(DB_Loans!$B:$B,B319,DB_Loans!$E:$E)+E319),"")</f>
        <v/>
      </c>
      <c r="I319" s="47" t="str">
        <f>IFERROR(IF(OR(B319="",E319=""),"",SUMIF(DB_Loans!$B:$B,B319,DB_Loans!$J:$J)+(E319*0.025)),"")</f>
        <v/>
      </c>
      <c r="J319" s="32"/>
    </row>
    <row r="320" spans="1:10" ht="19.5" customHeight="1" x14ac:dyDescent="0.25">
      <c r="A320" s="31" t="str">
        <f t="shared" si="8"/>
        <v/>
      </c>
      <c r="B320" s="45"/>
      <c r="C320" s="38" t="str">
        <f>IFERROR(IF(B320="","",VLOOKUP(B320,DB_Customers!$A:$B,2,0)),"")</f>
        <v/>
      </c>
      <c r="D320" s="45"/>
      <c r="E320" s="33"/>
      <c r="F320" s="46" t="str">
        <f t="shared" ca="1" si="9"/>
        <v/>
      </c>
      <c r="G320" s="32"/>
      <c r="H320" s="47" t="str">
        <f>IFERROR(IF(OR(B320="",E320=""),"",SUMIF(DB_Loans!$B:$B,B320,DB_Loans!$E:$E)+E320),"")</f>
        <v/>
      </c>
      <c r="I320" s="47" t="str">
        <f>IFERROR(IF(OR(B320="",E320=""),"",SUMIF(DB_Loans!$B:$B,B320,DB_Loans!$J:$J)+(E320*0.025)),"")</f>
        <v/>
      </c>
      <c r="J320" s="32"/>
    </row>
    <row r="321" spans="1:10" ht="19.5" customHeight="1" x14ac:dyDescent="0.25">
      <c r="A321" s="31" t="str">
        <f t="shared" si="8"/>
        <v/>
      </c>
      <c r="B321" s="45"/>
      <c r="C321" s="38" t="str">
        <f>IFERROR(IF(B321="","",VLOOKUP(B321,DB_Customers!$A:$B,2,0)),"")</f>
        <v/>
      </c>
      <c r="D321" s="45"/>
      <c r="E321" s="33"/>
      <c r="F321" s="46" t="str">
        <f t="shared" ca="1" si="9"/>
        <v/>
      </c>
      <c r="G321" s="32"/>
      <c r="H321" s="47" t="str">
        <f>IFERROR(IF(OR(B321="",E321=""),"",SUMIF(DB_Loans!$B:$B,B321,DB_Loans!$E:$E)+E321),"")</f>
        <v/>
      </c>
      <c r="I321" s="47" t="str">
        <f>IFERROR(IF(OR(B321="",E321=""),"",SUMIF(DB_Loans!$B:$B,B321,DB_Loans!$J:$J)+(E321*0.025)),"")</f>
        <v/>
      </c>
      <c r="J321" s="32"/>
    </row>
    <row r="322" spans="1:10" ht="19.5" customHeight="1" x14ac:dyDescent="0.25">
      <c r="A322" s="31" t="str">
        <f t="shared" si="8"/>
        <v/>
      </c>
      <c r="B322" s="45"/>
      <c r="C322" s="38" t="str">
        <f>IFERROR(IF(B322="","",VLOOKUP(B322,DB_Customers!$A:$B,2,0)),"")</f>
        <v/>
      </c>
      <c r="D322" s="45"/>
      <c r="E322" s="33"/>
      <c r="F322" s="46" t="str">
        <f t="shared" ca="1" si="9"/>
        <v/>
      </c>
      <c r="G322" s="32"/>
      <c r="H322" s="47" t="str">
        <f>IFERROR(IF(OR(B322="",E322=""),"",SUMIF(DB_Loans!$B:$B,B322,DB_Loans!$E:$E)+E322),"")</f>
        <v/>
      </c>
      <c r="I322" s="47" t="str">
        <f>IFERROR(IF(OR(B322="",E322=""),"",SUMIF(DB_Loans!$B:$B,B322,DB_Loans!$J:$J)+(E322*0.025)),"")</f>
        <v/>
      </c>
      <c r="J322" s="32"/>
    </row>
    <row r="323" spans="1:10" ht="19.5" customHeight="1" x14ac:dyDescent="0.25">
      <c r="A323" s="31" t="str">
        <f t="shared" si="8"/>
        <v/>
      </c>
      <c r="B323" s="45"/>
      <c r="C323" s="38" t="str">
        <f>IFERROR(IF(B323="","",VLOOKUP(B323,DB_Customers!$A:$B,2,0)),"")</f>
        <v/>
      </c>
      <c r="D323" s="45"/>
      <c r="E323" s="33"/>
      <c r="F323" s="46" t="str">
        <f t="shared" ca="1" si="9"/>
        <v/>
      </c>
      <c r="G323" s="32"/>
      <c r="H323" s="47" t="str">
        <f>IFERROR(IF(OR(B323="",E323=""),"",SUMIF(DB_Loans!$B:$B,B323,DB_Loans!$E:$E)+E323),"")</f>
        <v/>
      </c>
      <c r="I323" s="47" t="str">
        <f>IFERROR(IF(OR(B323="",E323=""),"",SUMIF(DB_Loans!$B:$B,B323,DB_Loans!$J:$J)+(E323*0.025)),"")</f>
        <v/>
      </c>
      <c r="J323" s="32"/>
    </row>
    <row r="324" spans="1:10" ht="19.5" customHeight="1" x14ac:dyDescent="0.25">
      <c r="A324" s="31" t="str">
        <f t="shared" si="8"/>
        <v/>
      </c>
      <c r="B324" s="45"/>
      <c r="C324" s="38" t="str">
        <f>IFERROR(IF(B324="","",VLOOKUP(B324,DB_Customers!$A:$B,2,0)),"")</f>
        <v/>
      </c>
      <c r="D324" s="45"/>
      <c r="E324" s="33"/>
      <c r="F324" s="46" t="str">
        <f t="shared" ca="1" si="9"/>
        <v/>
      </c>
      <c r="G324" s="32"/>
      <c r="H324" s="47" t="str">
        <f>IFERROR(IF(OR(B324="",E324=""),"",SUMIF(DB_Loans!$B:$B,B324,DB_Loans!$E:$E)+E324),"")</f>
        <v/>
      </c>
      <c r="I324" s="47" t="str">
        <f>IFERROR(IF(OR(B324="",E324=""),"",SUMIF(DB_Loans!$B:$B,B324,DB_Loans!$J:$J)+(E324*0.025)),"")</f>
        <v/>
      </c>
      <c r="J324" s="32"/>
    </row>
    <row r="325" spans="1:10" ht="19.5" customHeight="1" x14ac:dyDescent="0.25">
      <c r="A325" s="31" t="str">
        <f t="shared" ref="A325:A388" si="10">IF(B325="","","TU"&amp;TEXT(ROW()-4,"0000"))</f>
        <v/>
      </c>
      <c r="B325" s="45"/>
      <c r="C325" s="38" t="str">
        <f>IFERROR(IF(B325="","",VLOOKUP(B325,DB_Customers!$A:$B,2,0)),"")</f>
        <v/>
      </c>
      <c r="D325" s="45"/>
      <c r="E325" s="33"/>
      <c r="F325" s="46" t="str">
        <f t="shared" ref="F325:F388" ca="1" si="11">IF(B325="","",TODAY())</f>
        <v/>
      </c>
      <c r="G325" s="32"/>
      <c r="H325" s="47" t="str">
        <f>IFERROR(IF(OR(B325="",E325=""),"",SUMIF(DB_Loans!$B:$B,B325,DB_Loans!$E:$E)+E325),"")</f>
        <v/>
      </c>
      <c r="I325" s="47" t="str">
        <f>IFERROR(IF(OR(B325="",E325=""),"",SUMIF(DB_Loans!$B:$B,B325,DB_Loans!$J:$J)+(E325*0.025)),"")</f>
        <v/>
      </c>
      <c r="J325" s="32"/>
    </row>
    <row r="326" spans="1:10" ht="19.5" customHeight="1" x14ac:dyDescent="0.25">
      <c r="A326" s="31" t="str">
        <f t="shared" si="10"/>
        <v/>
      </c>
      <c r="B326" s="45"/>
      <c r="C326" s="38" t="str">
        <f>IFERROR(IF(B326="","",VLOOKUP(B326,DB_Customers!$A:$B,2,0)),"")</f>
        <v/>
      </c>
      <c r="D326" s="45"/>
      <c r="E326" s="33"/>
      <c r="F326" s="46" t="str">
        <f t="shared" ca="1" si="11"/>
        <v/>
      </c>
      <c r="G326" s="32"/>
      <c r="H326" s="47" t="str">
        <f>IFERROR(IF(OR(B326="",E326=""),"",SUMIF(DB_Loans!$B:$B,B326,DB_Loans!$E:$E)+E326),"")</f>
        <v/>
      </c>
      <c r="I326" s="47" t="str">
        <f>IFERROR(IF(OR(B326="",E326=""),"",SUMIF(DB_Loans!$B:$B,B326,DB_Loans!$J:$J)+(E326*0.025)),"")</f>
        <v/>
      </c>
      <c r="J326" s="32"/>
    </row>
    <row r="327" spans="1:10" ht="19.5" customHeight="1" x14ac:dyDescent="0.25">
      <c r="A327" s="31" t="str">
        <f t="shared" si="10"/>
        <v/>
      </c>
      <c r="B327" s="45"/>
      <c r="C327" s="38" t="str">
        <f>IFERROR(IF(B327="","",VLOOKUP(B327,DB_Customers!$A:$B,2,0)),"")</f>
        <v/>
      </c>
      <c r="D327" s="45"/>
      <c r="E327" s="33"/>
      <c r="F327" s="46" t="str">
        <f t="shared" ca="1" si="11"/>
        <v/>
      </c>
      <c r="G327" s="32"/>
      <c r="H327" s="47" t="str">
        <f>IFERROR(IF(OR(B327="",E327=""),"",SUMIF(DB_Loans!$B:$B,B327,DB_Loans!$E:$E)+E327),"")</f>
        <v/>
      </c>
      <c r="I327" s="47" t="str">
        <f>IFERROR(IF(OR(B327="",E327=""),"",SUMIF(DB_Loans!$B:$B,B327,DB_Loans!$J:$J)+(E327*0.025)),"")</f>
        <v/>
      </c>
      <c r="J327" s="32"/>
    </row>
    <row r="328" spans="1:10" ht="19.5" customHeight="1" x14ac:dyDescent="0.25">
      <c r="A328" s="31" t="str">
        <f t="shared" si="10"/>
        <v/>
      </c>
      <c r="B328" s="45"/>
      <c r="C328" s="38" t="str">
        <f>IFERROR(IF(B328="","",VLOOKUP(B328,DB_Customers!$A:$B,2,0)),"")</f>
        <v/>
      </c>
      <c r="D328" s="45"/>
      <c r="E328" s="33"/>
      <c r="F328" s="46" t="str">
        <f t="shared" ca="1" si="11"/>
        <v/>
      </c>
      <c r="G328" s="32"/>
      <c r="H328" s="47" t="str">
        <f>IFERROR(IF(OR(B328="",E328=""),"",SUMIF(DB_Loans!$B:$B,B328,DB_Loans!$E:$E)+E328),"")</f>
        <v/>
      </c>
      <c r="I328" s="47" t="str">
        <f>IFERROR(IF(OR(B328="",E328=""),"",SUMIF(DB_Loans!$B:$B,B328,DB_Loans!$J:$J)+(E328*0.025)),"")</f>
        <v/>
      </c>
      <c r="J328" s="32"/>
    </row>
    <row r="329" spans="1:10" ht="19.5" customHeight="1" x14ac:dyDescent="0.25">
      <c r="A329" s="31" t="str">
        <f t="shared" si="10"/>
        <v/>
      </c>
      <c r="B329" s="45"/>
      <c r="C329" s="38" t="str">
        <f>IFERROR(IF(B329="","",VLOOKUP(B329,DB_Customers!$A:$B,2,0)),"")</f>
        <v/>
      </c>
      <c r="D329" s="45"/>
      <c r="E329" s="33"/>
      <c r="F329" s="46" t="str">
        <f t="shared" ca="1" si="11"/>
        <v/>
      </c>
      <c r="G329" s="32"/>
      <c r="H329" s="47" t="str">
        <f>IFERROR(IF(OR(B329="",E329=""),"",SUMIF(DB_Loans!$B:$B,B329,DB_Loans!$E:$E)+E329),"")</f>
        <v/>
      </c>
      <c r="I329" s="47" t="str">
        <f>IFERROR(IF(OR(B329="",E329=""),"",SUMIF(DB_Loans!$B:$B,B329,DB_Loans!$J:$J)+(E329*0.025)),"")</f>
        <v/>
      </c>
      <c r="J329" s="32"/>
    </row>
    <row r="330" spans="1:10" ht="19.5" customHeight="1" x14ac:dyDescent="0.25">
      <c r="A330" s="31" t="str">
        <f t="shared" si="10"/>
        <v/>
      </c>
      <c r="B330" s="45"/>
      <c r="C330" s="38" t="str">
        <f>IFERROR(IF(B330="","",VLOOKUP(B330,DB_Customers!$A:$B,2,0)),"")</f>
        <v/>
      </c>
      <c r="D330" s="45"/>
      <c r="E330" s="33"/>
      <c r="F330" s="46" t="str">
        <f t="shared" ca="1" si="11"/>
        <v/>
      </c>
      <c r="G330" s="32"/>
      <c r="H330" s="47" t="str">
        <f>IFERROR(IF(OR(B330="",E330=""),"",SUMIF(DB_Loans!$B:$B,B330,DB_Loans!$E:$E)+E330),"")</f>
        <v/>
      </c>
      <c r="I330" s="47" t="str">
        <f>IFERROR(IF(OR(B330="",E330=""),"",SUMIF(DB_Loans!$B:$B,B330,DB_Loans!$J:$J)+(E330*0.025)),"")</f>
        <v/>
      </c>
      <c r="J330" s="32"/>
    </row>
    <row r="331" spans="1:10" ht="19.5" customHeight="1" x14ac:dyDescent="0.25">
      <c r="A331" s="31" t="str">
        <f t="shared" si="10"/>
        <v/>
      </c>
      <c r="B331" s="45"/>
      <c r="C331" s="38" t="str">
        <f>IFERROR(IF(B331="","",VLOOKUP(B331,DB_Customers!$A:$B,2,0)),"")</f>
        <v/>
      </c>
      <c r="D331" s="45"/>
      <c r="E331" s="33"/>
      <c r="F331" s="46" t="str">
        <f t="shared" ca="1" si="11"/>
        <v/>
      </c>
      <c r="G331" s="32"/>
      <c r="H331" s="47" t="str">
        <f>IFERROR(IF(OR(B331="",E331=""),"",SUMIF(DB_Loans!$B:$B,B331,DB_Loans!$E:$E)+E331),"")</f>
        <v/>
      </c>
      <c r="I331" s="47" t="str">
        <f>IFERROR(IF(OR(B331="",E331=""),"",SUMIF(DB_Loans!$B:$B,B331,DB_Loans!$J:$J)+(E331*0.025)),"")</f>
        <v/>
      </c>
      <c r="J331" s="32"/>
    </row>
    <row r="332" spans="1:10" ht="19.5" customHeight="1" x14ac:dyDescent="0.25">
      <c r="A332" s="31" t="str">
        <f t="shared" si="10"/>
        <v/>
      </c>
      <c r="B332" s="45"/>
      <c r="C332" s="38" t="str">
        <f>IFERROR(IF(B332="","",VLOOKUP(B332,DB_Customers!$A:$B,2,0)),"")</f>
        <v/>
      </c>
      <c r="D332" s="45"/>
      <c r="E332" s="33"/>
      <c r="F332" s="46" t="str">
        <f t="shared" ca="1" si="11"/>
        <v/>
      </c>
      <c r="G332" s="32"/>
      <c r="H332" s="47" t="str">
        <f>IFERROR(IF(OR(B332="",E332=""),"",SUMIF(DB_Loans!$B:$B,B332,DB_Loans!$E:$E)+E332),"")</f>
        <v/>
      </c>
      <c r="I332" s="47" t="str">
        <f>IFERROR(IF(OR(B332="",E332=""),"",SUMIF(DB_Loans!$B:$B,B332,DB_Loans!$J:$J)+(E332*0.025)),"")</f>
        <v/>
      </c>
      <c r="J332" s="32"/>
    </row>
    <row r="333" spans="1:10" ht="19.5" customHeight="1" x14ac:dyDescent="0.25">
      <c r="A333" s="31" t="str">
        <f t="shared" si="10"/>
        <v/>
      </c>
      <c r="B333" s="45"/>
      <c r="C333" s="38" t="str">
        <f>IFERROR(IF(B333="","",VLOOKUP(B333,DB_Customers!$A:$B,2,0)),"")</f>
        <v/>
      </c>
      <c r="D333" s="45"/>
      <c r="E333" s="33"/>
      <c r="F333" s="46" t="str">
        <f t="shared" ca="1" si="11"/>
        <v/>
      </c>
      <c r="G333" s="32"/>
      <c r="H333" s="47" t="str">
        <f>IFERROR(IF(OR(B333="",E333=""),"",SUMIF(DB_Loans!$B:$B,B333,DB_Loans!$E:$E)+E333),"")</f>
        <v/>
      </c>
      <c r="I333" s="47" t="str">
        <f>IFERROR(IF(OR(B333="",E333=""),"",SUMIF(DB_Loans!$B:$B,B333,DB_Loans!$J:$J)+(E333*0.025)),"")</f>
        <v/>
      </c>
      <c r="J333" s="32"/>
    </row>
    <row r="334" spans="1:10" ht="19.5" customHeight="1" x14ac:dyDescent="0.25">
      <c r="A334" s="31" t="str">
        <f t="shared" si="10"/>
        <v/>
      </c>
      <c r="B334" s="45"/>
      <c r="C334" s="38" t="str">
        <f>IFERROR(IF(B334="","",VLOOKUP(B334,DB_Customers!$A:$B,2,0)),"")</f>
        <v/>
      </c>
      <c r="D334" s="45"/>
      <c r="E334" s="33"/>
      <c r="F334" s="46" t="str">
        <f t="shared" ca="1" si="11"/>
        <v/>
      </c>
      <c r="G334" s="32"/>
      <c r="H334" s="47" t="str">
        <f>IFERROR(IF(OR(B334="",E334=""),"",SUMIF(DB_Loans!$B:$B,B334,DB_Loans!$E:$E)+E334),"")</f>
        <v/>
      </c>
      <c r="I334" s="47" t="str">
        <f>IFERROR(IF(OR(B334="",E334=""),"",SUMIF(DB_Loans!$B:$B,B334,DB_Loans!$J:$J)+(E334*0.025)),"")</f>
        <v/>
      </c>
      <c r="J334" s="32"/>
    </row>
    <row r="335" spans="1:10" ht="19.5" customHeight="1" x14ac:dyDescent="0.25">
      <c r="A335" s="31" t="str">
        <f t="shared" si="10"/>
        <v/>
      </c>
      <c r="B335" s="45"/>
      <c r="C335" s="38" t="str">
        <f>IFERROR(IF(B335="","",VLOOKUP(B335,DB_Customers!$A:$B,2,0)),"")</f>
        <v/>
      </c>
      <c r="D335" s="45"/>
      <c r="E335" s="33"/>
      <c r="F335" s="46" t="str">
        <f t="shared" ca="1" si="11"/>
        <v/>
      </c>
      <c r="G335" s="32"/>
      <c r="H335" s="47" t="str">
        <f>IFERROR(IF(OR(B335="",E335=""),"",SUMIF(DB_Loans!$B:$B,B335,DB_Loans!$E:$E)+E335),"")</f>
        <v/>
      </c>
      <c r="I335" s="47" t="str">
        <f>IFERROR(IF(OR(B335="",E335=""),"",SUMIF(DB_Loans!$B:$B,B335,DB_Loans!$J:$J)+(E335*0.025)),"")</f>
        <v/>
      </c>
      <c r="J335" s="32"/>
    </row>
    <row r="336" spans="1:10" ht="19.5" customHeight="1" x14ac:dyDescent="0.25">
      <c r="A336" s="31" t="str">
        <f t="shared" si="10"/>
        <v/>
      </c>
      <c r="B336" s="45"/>
      <c r="C336" s="38" t="str">
        <f>IFERROR(IF(B336="","",VLOOKUP(B336,DB_Customers!$A:$B,2,0)),"")</f>
        <v/>
      </c>
      <c r="D336" s="45"/>
      <c r="E336" s="33"/>
      <c r="F336" s="46" t="str">
        <f t="shared" ca="1" si="11"/>
        <v/>
      </c>
      <c r="G336" s="32"/>
      <c r="H336" s="47" t="str">
        <f>IFERROR(IF(OR(B336="",E336=""),"",SUMIF(DB_Loans!$B:$B,B336,DB_Loans!$E:$E)+E336),"")</f>
        <v/>
      </c>
      <c r="I336" s="47" t="str">
        <f>IFERROR(IF(OR(B336="",E336=""),"",SUMIF(DB_Loans!$B:$B,B336,DB_Loans!$J:$J)+(E336*0.025)),"")</f>
        <v/>
      </c>
      <c r="J336" s="32"/>
    </row>
    <row r="337" spans="1:10" ht="19.5" customHeight="1" x14ac:dyDescent="0.25">
      <c r="A337" s="31" t="str">
        <f t="shared" si="10"/>
        <v/>
      </c>
      <c r="B337" s="45"/>
      <c r="C337" s="38" t="str">
        <f>IFERROR(IF(B337="","",VLOOKUP(B337,DB_Customers!$A:$B,2,0)),"")</f>
        <v/>
      </c>
      <c r="D337" s="45"/>
      <c r="E337" s="33"/>
      <c r="F337" s="46" t="str">
        <f t="shared" ca="1" si="11"/>
        <v/>
      </c>
      <c r="G337" s="32"/>
      <c r="H337" s="47" t="str">
        <f>IFERROR(IF(OR(B337="",E337=""),"",SUMIF(DB_Loans!$B:$B,B337,DB_Loans!$E:$E)+E337),"")</f>
        <v/>
      </c>
      <c r="I337" s="47" t="str">
        <f>IFERROR(IF(OR(B337="",E337=""),"",SUMIF(DB_Loans!$B:$B,B337,DB_Loans!$J:$J)+(E337*0.025)),"")</f>
        <v/>
      </c>
      <c r="J337" s="32"/>
    </row>
    <row r="338" spans="1:10" ht="19.5" customHeight="1" x14ac:dyDescent="0.25">
      <c r="A338" s="31" t="str">
        <f t="shared" si="10"/>
        <v/>
      </c>
      <c r="B338" s="45"/>
      <c r="C338" s="38" t="str">
        <f>IFERROR(IF(B338="","",VLOOKUP(B338,DB_Customers!$A:$B,2,0)),"")</f>
        <v/>
      </c>
      <c r="D338" s="45"/>
      <c r="E338" s="33"/>
      <c r="F338" s="46" t="str">
        <f t="shared" ca="1" si="11"/>
        <v/>
      </c>
      <c r="G338" s="32"/>
      <c r="H338" s="47" t="str">
        <f>IFERROR(IF(OR(B338="",E338=""),"",SUMIF(DB_Loans!$B:$B,B338,DB_Loans!$E:$E)+E338),"")</f>
        <v/>
      </c>
      <c r="I338" s="47" t="str">
        <f>IFERROR(IF(OR(B338="",E338=""),"",SUMIF(DB_Loans!$B:$B,B338,DB_Loans!$J:$J)+(E338*0.025)),"")</f>
        <v/>
      </c>
      <c r="J338" s="32"/>
    </row>
    <row r="339" spans="1:10" ht="19.5" customHeight="1" x14ac:dyDescent="0.25">
      <c r="A339" s="31" t="str">
        <f t="shared" si="10"/>
        <v/>
      </c>
      <c r="B339" s="45"/>
      <c r="C339" s="38" t="str">
        <f>IFERROR(IF(B339="","",VLOOKUP(B339,DB_Customers!$A:$B,2,0)),"")</f>
        <v/>
      </c>
      <c r="D339" s="45"/>
      <c r="E339" s="33"/>
      <c r="F339" s="46" t="str">
        <f t="shared" ca="1" si="11"/>
        <v/>
      </c>
      <c r="G339" s="32"/>
      <c r="H339" s="47" t="str">
        <f>IFERROR(IF(OR(B339="",E339=""),"",SUMIF(DB_Loans!$B:$B,B339,DB_Loans!$E:$E)+E339),"")</f>
        <v/>
      </c>
      <c r="I339" s="47" t="str">
        <f>IFERROR(IF(OR(B339="",E339=""),"",SUMIF(DB_Loans!$B:$B,B339,DB_Loans!$J:$J)+(E339*0.025)),"")</f>
        <v/>
      </c>
      <c r="J339" s="32"/>
    </row>
    <row r="340" spans="1:10" ht="19.5" customHeight="1" x14ac:dyDescent="0.25">
      <c r="A340" s="31" t="str">
        <f t="shared" si="10"/>
        <v/>
      </c>
      <c r="B340" s="45"/>
      <c r="C340" s="38" t="str">
        <f>IFERROR(IF(B340="","",VLOOKUP(B340,DB_Customers!$A:$B,2,0)),"")</f>
        <v/>
      </c>
      <c r="D340" s="45"/>
      <c r="E340" s="33"/>
      <c r="F340" s="46" t="str">
        <f t="shared" ca="1" si="11"/>
        <v/>
      </c>
      <c r="G340" s="32"/>
      <c r="H340" s="47" t="str">
        <f>IFERROR(IF(OR(B340="",E340=""),"",SUMIF(DB_Loans!$B:$B,B340,DB_Loans!$E:$E)+E340),"")</f>
        <v/>
      </c>
      <c r="I340" s="47" t="str">
        <f>IFERROR(IF(OR(B340="",E340=""),"",SUMIF(DB_Loans!$B:$B,B340,DB_Loans!$J:$J)+(E340*0.025)),"")</f>
        <v/>
      </c>
      <c r="J340" s="32"/>
    </row>
    <row r="341" spans="1:10" ht="19.5" customHeight="1" x14ac:dyDescent="0.25">
      <c r="A341" s="31" t="str">
        <f t="shared" si="10"/>
        <v/>
      </c>
      <c r="B341" s="45"/>
      <c r="C341" s="38" t="str">
        <f>IFERROR(IF(B341="","",VLOOKUP(B341,DB_Customers!$A:$B,2,0)),"")</f>
        <v/>
      </c>
      <c r="D341" s="45"/>
      <c r="E341" s="33"/>
      <c r="F341" s="46" t="str">
        <f t="shared" ca="1" si="11"/>
        <v/>
      </c>
      <c r="G341" s="32"/>
      <c r="H341" s="47" t="str">
        <f>IFERROR(IF(OR(B341="",E341=""),"",SUMIF(DB_Loans!$B:$B,B341,DB_Loans!$E:$E)+E341),"")</f>
        <v/>
      </c>
      <c r="I341" s="47" t="str">
        <f>IFERROR(IF(OR(B341="",E341=""),"",SUMIF(DB_Loans!$B:$B,B341,DB_Loans!$J:$J)+(E341*0.025)),"")</f>
        <v/>
      </c>
      <c r="J341" s="32"/>
    </row>
    <row r="342" spans="1:10" ht="19.5" customHeight="1" x14ac:dyDescent="0.25">
      <c r="A342" s="31" t="str">
        <f t="shared" si="10"/>
        <v/>
      </c>
      <c r="B342" s="45"/>
      <c r="C342" s="38" t="str">
        <f>IFERROR(IF(B342="","",VLOOKUP(B342,DB_Customers!$A:$B,2,0)),"")</f>
        <v/>
      </c>
      <c r="D342" s="45"/>
      <c r="E342" s="33"/>
      <c r="F342" s="46" t="str">
        <f t="shared" ca="1" si="11"/>
        <v/>
      </c>
      <c r="G342" s="32"/>
      <c r="H342" s="47" t="str">
        <f>IFERROR(IF(OR(B342="",E342=""),"",SUMIF(DB_Loans!$B:$B,B342,DB_Loans!$E:$E)+E342),"")</f>
        <v/>
      </c>
      <c r="I342" s="47" t="str">
        <f>IFERROR(IF(OR(B342="",E342=""),"",SUMIF(DB_Loans!$B:$B,B342,DB_Loans!$J:$J)+(E342*0.025)),"")</f>
        <v/>
      </c>
      <c r="J342" s="32"/>
    </row>
    <row r="343" spans="1:10" ht="19.5" customHeight="1" x14ac:dyDescent="0.25">
      <c r="A343" s="31" t="str">
        <f t="shared" si="10"/>
        <v/>
      </c>
      <c r="B343" s="45"/>
      <c r="C343" s="38" t="str">
        <f>IFERROR(IF(B343="","",VLOOKUP(B343,DB_Customers!$A:$B,2,0)),"")</f>
        <v/>
      </c>
      <c r="D343" s="45"/>
      <c r="E343" s="33"/>
      <c r="F343" s="46" t="str">
        <f t="shared" ca="1" si="11"/>
        <v/>
      </c>
      <c r="G343" s="32"/>
      <c r="H343" s="47" t="str">
        <f>IFERROR(IF(OR(B343="",E343=""),"",SUMIF(DB_Loans!$B:$B,B343,DB_Loans!$E:$E)+E343),"")</f>
        <v/>
      </c>
      <c r="I343" s="47" t="str">
        <f>IFERROR(IF(OR(B343="",E343=""),"",SUMIF(DB_Loans!$B:$B,B343,DB_Loans!$J:$J)+(E343*0.025)),"")</f>
        <v/>
      </c>
      <c r="J343" s="32"/>
    </row>
    <row r="344" spans="1:10" ht="19.5" customHeight="1" x14ac:dyDescent="0.25">
      <c r="A344" s="31" t="str">
        <f t="shared" si="10"/>
        <v/>
      </c>
      <c r="B344" s="45"/>
      <c r="C344" s="38" t="str">
        <f>IFERROR(IF(B344="","",VLOOKUP(B344,DB_Customers!$A:$B,2,0)),"")</f>
        <v/>
      </c>
      <c r="D344" s="45"/>
      <c r="E344" s="33"/>
      <c r="F344" s="46" t="str">
        <f t="shared" ca="1" si="11"/>
        <v/>
      </c>
      <c r="G344" s="32"/>
      <c r="H344" s="47" t="str">
        <f>IFERROR(IF(OR(B344="",E344=""),"",SUMIF(DB_Loans!$B:$B,B344,DB_Loans!$E:$E)+E344),"")</f>
        <v/>
      </c>
      <c r="I344" s="47" t="str">
        <f>IFERROR(IF(OR(B344="",E344=""),"",SUMIF(DB_Loans!$B:$B,B344,DB_Loans!$J:$J)+(E344*0.025)),"")</f>
        <v/>
      </c>
      <c r="J344" s="32"/>
    </row>
    <row r="345" spans="1:10" ht="19.5" customHeight="1" x14ac:dyDescent="0.25">
      <c r="A345" s="31" t="str">
        <f t="shared" si="10"/>
        <v/>
      </c>
      <c r="B345" s="45"/>
      <c r="C345" s="38" t="str">
        <f>IFERROR(IF(B345="","",VLOOKUP(B345,DB_Customers!$A:$B,2,0)),"")</f>
        <v/>
      </c>
      <c r="D345" s="45"/>
      <c r="E345" s="33"/>
      <c r="F345" s="46" t="str">
        <f t="shared" ca="1" si="11"/>
        <v/>
      </c>
      <c r="G345" s="32"/>
      <c r="H345" s="47" t="str">
        <f>IFERROR(IF(OR(B345="",E345=""),"",SUMIF(DB_Loans!$B:$B,B345,DB_Loans!$E:$E)+E345),"")</f>
        <v/>
      </c>
      <c r="I345" s="47" t="str">
        <f>IFERROR(IF(OR(B345="",E345=""),"",SUMIF(DB_Loans!$B:$B,B345,DB_Loans!$J:$J)+(E345*0.025)),"")</f>
        <v/>
      </c>
      <c r="J345" s="32"/>
    </row>
    <row r="346" spans="1:10" ht="19.5" customHeight="1" x14ac:dyDescent="0.25">
      <c r="A346" s="31" t="str">
        <f t="shared" si="10"/>
        <v/>
      </c>
      <c r="B346" s="45"/>
      <c r="C346" s="38" t="str">
        <f>IFERROR(IF(B346="","",VLOOKUP(B346,DB_Customers!$A:$B,2,0)),"")</f>
        <v/>
      </c>
      <c r="D346" s="45"/>
      <c r="E346" s="33"/>
      <c r="F346" s="46" t="str">
        <f t="shared" ca="1" si="11"/>
        <v/>
      </c>
      <c r="G346" s="32"/>
      <c r="H346" s="47" t="str">
        <f>IFERROR(IF(OR(B346="",E346=""),"",SUMIF(DB_Loans!$B:$B,B346,DB_Loans!$E:$E)+E346),"")</f>
        <v/>
      </c>
      <c r="I346" s="47" t="str">
        <f>IFERROR(IF(OR(B346="",E346=""),"",SUMIF(DB_Loans!$B:$B,B346,DB_Loans!$J:$J)+(E346*0.025)),"")</f>
        <v/>
      </c>
      <c r="J346" s="32"/>
    </row>
    <row r="347" spans="1:10" ht="19.5" customHeight="1" x14ac:dyDescent="0.25">
      <c r="A347" s="31" t="str">
        <f t="shared" si="10"/>
        <v/>
      </c>
      <c r="B347" s="45"/>
      <c r="C347" s="38" t="str">
        <f>IFERROR(IF(B347="","",VLOOKUP(B347,DB_Customers!$A:$B,2,0)),"")</f>
        <v/>
      </c>
      <c r="D347" s="45"/>
      <c r="E347" s="33"/>
      <c r="F347" s="46" t="str">
        <f t="shared" ca="1" si="11"/>
        <v/>
      </c>
      <c r="G347" s="32"/>
      <c r="H347" s="47" t="str">
        <f>IFERROR(IF(OR(B347="",E347=""),"",SUMIF(DB_Loans!$B:$B,B347,DB_Loans!$E:$E)+E347),"")</f>
        <v/>
      </c>
      <c r="I347" s="47" t="str">
        <f>IFERROR(IF(OR(B347="",E347=""),"",SUMIF(DB_Loans!$B:$B,B347,DB_Loans!$J:$J)+(E347*0.025)),"")</f>
        <v/>
      </c>
      <c r="J347" s="32"/>
    </row>
    <row r="348" spans="1:10" ht="19.5" customHeight="1" x14ac:dyDescent="0.25">
      <c r="A348" s="31" t="str">
        <f t="shared" si="10"/>
        <v/>
      </c>
      <c r="B348" s="45"/>
      <c r="C348" s="38" t="str">
        <f>IFERROR(IF(B348="","",VLOOKUP(B348,DB_Customers!$A:$B,2,0)),"")</f>
        <v/>
      </c>
      <c r="D348" s="45"/>
      <c r="E348" s="33"/>
      <c r="F348" s="46" t="str">
        <f t="shared" ca="1" si="11"/>
        <v/>
      </c>
      <c r="G348" s="32"/>
      <c r="H348" s="47" t="str">
        <f>IFERROR(IF(OR(B348="",E348=""),"",SUMIF(DB_Loans!$B:$B,B348,DB_Loans!$E:$E)+E348),"")</f>
        <v/>
      </c>
      <c r="I348" s="47" t="str">
        <f>IFERROR(IF(OR(B348="",E348=""),"",SUMIF(DB_Loans!$B:$B,B348,DB_Loans!$J:$J)+(E348*0.025)),"")</f>
        <v/>
      </c>
      <c r="J348" s="32"/>
    </row>
    <row r="349" spans="1:10" ht="19.5" customHeight="1" x14ac:dyDescent="0.25">
      <c r="A349" s="31" t="str">
        <f t="shared" si="10"/>
        <v/>
      </c>
      <c r="B349" s="45"/>
      <c r="C349" s="38" t="str">
        <f>IFERROR(IF(B349="","",VLOOKUP(B349,DB_Customers!$A:$B,2,0)),"")</f>
        <v/>
      </c>
      <c r="D349" s="45"/>
      <c r="E349" s="33"/>
      <c r="F349" s="46" t="str">
        <f t="shared" ca="1" si="11"/>
        <v/>
      </c>
      <c r="G349" s="32"/>
      <c r="H349" s="47" t="str">
        <f>IFERROR(IF(OR(B349="",E349=""),"",SUMIF(DB_Loans!$B:$B,B349,DB_Loans!$E:$E)+E349),"")</f>
        <v/>
      </c>
      <c r="I349" s="47" t="str">
        <f>IFERROR(IF(OR(B349="",E349=""),"",SUMIF(DB_Loans!$B:$B,B349,DB_Loans!$J:$J)+(E349*0.025)),"")</f>
        <v/>
      </c>
      <c r="J349" s="32"/>
    </row>
    <row r="350" spans="1:10" ht="19.5" customHeight="1" x14ac:dyDescent="0.25">
      <c r="A350" s="31" t="str">
        <f t="shared" si="10"/>
        <v/>
      </c>
      <c r="B350" s="45"/>
      <c r="C350" s="38" t="str">
        <f>IFERROR(IF(B350="","",VLOOKUP(B350,DB_Customers!$A:$B,2,0)),"")</f>
        <v/>
      </c>
      <c r="D350" s="45"/>
      <c r="E350" s="33"/>
      <c r="F350" s="46" t="str">
        <f t="shared" ca="1" si="11"/>
        <v/>
      </c>
      <c r="G350" s="32"/>
      <c r="H350" s="47" t="str">
        <f>IFERROR(IF(OR(B350="",E350=""),"",SUMIF(DB_Loans!$B:$B,B350,DB_Loans!$E:$E)+E350),"")</f>
        <v/>
      </c>
      <c r="I350" s="47" t="str">
        <f>IFERROR(IF(OR(B350="",E350=""),"",SUMIF(DB_Loans!$B:$B,B350,DB_Loans!$J:$J)+(E350*0.025)),"")</f>
        <v/>
      </c>
      <c r="J350" s="32"/>
    </row>
    <row r="351" spans="1:10" ht="19.5" customHeight="1" x14ac:dyDescent="0.25">
      <c r="A351" s="31" t="str">
        <f t="shared" si="10"/>
        <v/>
      </c>
      <c r="B351" s="45"/>
      <c r="C351" s="38" t="str">
        <f>IFERROR(IF(B351="","",VLOOKUP(B351,DB_Customers!$A:$B,2,0)),"")</f>
        <v/>
      </c>
      <c r="D351" s="45"/>
      <c r="E351" s="33"/>
      <c r="F351" s="46" t="str">
        <f t="shared" ca="1" si="11"/>
        <v/>
      </c>
      <c r="G351" s="32"/>
      <c r="H351" s="47" t="str">
        <f>IFERROR(IF(OR(B351="",E351=""),"",SUMIF(DB_Loans!$B:$B,B351,DB_Loans!$E:$E)+E351),"")</f>
        <v/>
      </c>
      <c r="I351" s="47" t="str">
        <f>IFERROR(IF(OR(B351="",E351=""),"",SUMIF(DB_Loans!$B:$B,B351,DB_Loans!$J:$J)+(E351*0.025)),"")</f>
        <v/>
      </c>
      <c r="J351" s="32"/>
    </row>
    <row r="352" spans="1:10" ht="19.5" customHeight="1" x14ac:dyDescent="0.25">
      <c r="A352" s="31" t="str">
        <f t="shared" si="10"/>
        <v/>
      </c>
      <c r="B352" s="45"/>
      <c r="C352" s="38" t="str">
        <f>IFERROR(IF(B352="","",VLOOKUP(B352,DB_Customers!$A:$B,2,0)),"")</f>
        <v/>
      </c>
      <c r="D352" s="45"/>
      <c r="E352" s="33"/>
      <c r="F352" s="46" t="str">
        <f t="shared" ca="1" si="11"/>
        <v/>
      </c>
      <c r="G352" s="32"/>
      <c r="H352" s="47" t="str">
        <f>IFERROR(IF(OR(B352="",E352=""),"",SUMIF(DB_Loans!$B:$B,B352,DB_Loans!$E:$E)+E352),"")</f>
        <v/>
      </c>
      <c r="I352" s="47" t="str">
        <f>IFERROR(IF(OR(B352="",E352=""),"",SUMIF(DB_Loans!$B:$B,B352,DB_Loans!$J:$J)+(E352*0.025)),"")</f>
        <v/>
      </c>
      <c r="J352" s="32"/>
    </row>
    <row r="353" spans="1:10" ht="19.5" customHeight="1" x14ac:dyDescent="0.25">
      <c r="A353" s="31" t="str">
        <f t="shared" si="10"/>
        <v/>
      </c>
      <c r="B353" s="45"/>
      <c r="C353" s="38" t="str">
        <f>IFERROR(IF(B353="","",VLOOKUP(B353,DB_Customers!$A:$B,2,0)),"")</f>
        <v/>
      </c>
      <c r="D353" s="45"/>
      <c r="E353" s="33"/>
      <c r="F353" s="46" t="str">
        <f t="shared" ca="1" si="11"/>
        <v/>
      </c>
      <c r="G353" s="32"/>
      <c r="H353" s="47" t="str">
        <f>IFERROR(IF(OR(B353="",E353=""),"",SUMIF(DB_Loans!$B:$B,B353,DB_Loans!$E:$E)+E353),"")</f>
        <v/>
      </c>
      <c r="I353" s="47" t="str">
        <f>IFERROR(IF(OR(B353="",E353=""),"",SUMIF(DB_Loans!$B:$B,B353,DB_Loans!$J:$J)+(E353*0.025)),"")</f>
        <v/>
      </c>
      <c r="J353" s="32"/>
    </row>
    <row r="354" spans="1:10" ht="19.5" customHeight="1" x14ac:dyDescent="0.25">
      <c r="A354" s="31" t="str">
        <f t="shared" si="10"/>
        <v/>
      </c>
      <c r="B354" s="45"/>
      <c r="C354" s="38" t="str">
        <f>IFERROR(IF(B354="","",VLOOKUP(B354,DB_Customers!$A:$B,2,0)),"")</f>
        <v/>
      </c>
      <c r="D354" s="45"/>
      <c r="E354" s="33"/>
      <c r="F354" s="46" t="str">
        <f t="shared" ca="1" si="11"/>
        <v/>
      </c>
      <c r="G354" s="32"/>
      <c r="H354" s="47" t="str">
        <f>IFERROR(IF(OR(B354="",E354=""),"",SUMIF(DB_Loans!$B:$B,B354,DB_Loans!$E:$E)+E354),"")</f>
        <v/>
      </c>
      <c r="I354" s="47" t="str">
        <f>IFERROR(IF(OR(B354="",E354=""),"",SUMIF(DB_Loans!$B:$B,B354,DB_Loans!$J:$J)+(E354*0.025)),"")</f>
        <v/>
      </c>
      <c r="J354" s="32"/>
    </row>
    <row r="355" spans="1:10" ht="19.5" customHeight="1" x14ac:dyDescent="0.25">
      <c r="A355" s="31" t="str">
        <f t="shared" si="10"/>
        <v/>
      </c>
      <c r="B355" s="45"/>
      <c r="C355" s="38" t="str">
        <f>IFERROR(IF(B355="","",VLOOKUP(B355,DB_Customers!$A:$B,2,0)),"")</f>
        <v/>
      </c>
      <c r="D355" s="45"/>
      <c r="E355" s="33"/>
      <c r="F355" s="46" t="str">
        <f t="shared" ca="1" si="11"/>
        <v/>
      </c>
      <c r="G355" s="32"/>
      <c r="H355" s="47" t="str">
        <f>IFERROR(IF(OR(B355="",E355=""),"",SUMIF(DB_Loans!$B:$B,B355,DB_Loans!$E:$E)+E355),"")</f>
        <v/>
      </c>
      <c r="I355" s="47" t="str">
        <f>IFERROR(IF(OR(B355="",E355=""),"",SUMIF(DB_Loans!$B:$B,B355,DB_Loans!$J:$J)+(E355*0.025)),"")</f>
        <v/>
      </c>
      <c r="J355" s="32"/>
    </row>
    <row r="356" spans="1:10" ht="19.5" customHeight="1" x14ac:dyDescent="0.25">
      <c r="A356" s="31" t="str">
        <f t="shared" si="10"/>
        <v/>
      </c>
      <c r="B356" s="45"/>
      <c r="C356" s="38" t="str">
        <f>IFERROR(IF(B356="","",VLOOKUP(B356,DB_Customers!$A:$B,2,0)),"")</f>
        <v/>
      </c>
      <c r="D356" s="45"/>
      <c r="E356" s="33"/>
      <c r="F356" s="46" t="str">
        <f t="shared" ca="1" si="11"/>
        <v/>
      </c>
      <c r="G356" s="32"/>
      <c r="H356" s="47" t="str">
        <f>IFERROR(IF(OR(B356="",E356=""),"",SUMIF(DB_Loans!$B:$B,B356,DB_Loans!$E:$E)+E356),"")</f>
        <v/>
      </c>
      <c r="I356" s="47" t="str">
        <f>IFERROR(IF(OR(B356="",E356=""),"",SUMIF(DB_Loans!$B:$B,B356,DB_Loans!$J:$J)+(E356*0.025)),"")</f>
        <v/>
      </c>
      <c r="J356" s="32"/>
    </row>
    <row r="357" spans="1:10" ht="19.5" customHeight="1" x14ac:dyDescent="0.25">
      <c r="A357" s="31" t="str">
        <f t="shared" si="10"/>
        <v/>
      </c>
      <c r="B357" s="45"/>
      <c r="C357" s="38" t="str">
        <f>IFERROR(IF(B357="","",VLOOKUP(B357,DB_Customers!$A:$B,2,0)),"")</f>
        <v/>
      </c>
      <c r="D357" s="45"/>
      <c r="E357" s="33"/>
      <c r="F357" s="46" t="str">
        <f t="shared" ca="1" si="11"/>
        <v/>
      </c>
      <c r="G357" s="32"/>
      <c r="H357" s="47" t="str">
        <f>IFERROR(IF(OR(B357="",E357=""),"",SUMIF(DB_Loans!$B:$B,B357,DB_Loans!$E:$E)+E357),"")</f>
        <v/>
      </c>
      <c r="I357" s="47" t="str">
        <f>IFERROR(IF(OR(B357="",E357=""),"",SUMIF(DB_Loans!$B:$B,B357,DB_Loans!$J:$J)+(E357*0.025)),"")</f>
        <v/>
      </c>
      <c r="J357" s="32"/>
    </row>
    <row r="358" spans="1:10" ht="19.5" customHeight="1" x14ac:dyDescent="0.25">
      <c r="A358" s="31" t="str">
        <f t="shared" si="10"/>
        <v/>
      </c>
      <c r="B358" s="45"/>
      <c r="C358" s="38" t="str">
        <f>IFERROR(IF(B358="","",VLOOKUP(B358,DB_Customers!$A:$B,2,0)),"")</f>
        <v/>
      </c>
      <c r="D358" s="45"/>
      <c r="E358" s="33"/>
      <c r="F358" s="46" t="str">
        <f t="shared" ca="1" si="11"/>
        <v/>
      </c>
      <c r="G358" s="32"/>
      <c r="H358" s="47" t="str">
        <f>IFERROR(IF(OR(B358="",E358=""),"",SUMIF(DB_Loans!$B:$B,B358,DB_Loans!$E:$E)+E358),"")</f>
        <v/>
      </c>
      <c r="I358" s="47" t="str">
        <f>IFERROR(IF(OR(B358="",E358=""),"",SUMIF(DB_Loans!$B:$B,B358,DB_Loans!$J:$J)+(E358*0.025)),"")</f>
        <v/>
      </c>
      <c r="J358" s="32"/>
    </row>
    <row r="359" spans="1:10" ht="19.5" customHeight="1" x14ac:dyDescent="0.25">
      <c r="A359" s="31" t="str">
        <f t="shared" si="10"/>
        <v/>
      </c>
      <c r="B359" s="45"/>
      <c r="C359" s="38" t="str">
        <f>IFERROR(IF(B359="","",VLOOKUP(B359,DB_Customers!$A:$B,2,0)),"")</f>
        <v/>
      </c>
      <c r="D359" s="45"/>
      <c r="E359" s="33"/>
      <c r="F359" s="46" t="str">
        <f t="shared" ca="1" si="11"/>
        <v/>
      </c>
      <c r="G359" s="32"/>
      <c r="H359" s="47" t="str">
        <f>IFERROR(IF(OR(B359="",E359=""),"",SUMIF(DB_Loans!$B:$B,B359,DB_Loans!$E:$E)+E359),"")</f>
        <v/>
      </c>
      <c r="I359" s="47" t="str">
        <f>IFERROR(IF(OR(B359="",E359=""),"",SUMIF(DB_Loans!$B:$B,B359,DB_Loans!$J:$J)+(E359*0.025)),"")</f>
        <v/>
      </c>
      <c r="J359" s="32"/>
    </row>
    <row r="360" spans="1:10" ht="19.5" customHeight="1" x14ac:dyDescent="0.25">
      <c r="A360" s="31" t="str">
        <f t="shared" si="10"/>
        <v/>
      </c>
      <c r="B360" s="45"/>
      <c r="C360" s="38" t="str">
        <f>IFERROR(IF(B360="","",VLOOKUP(B360,DB_Customers!$A:$B,2,0)),"")</f>
        <v/>
      </c>
      <c r="D360" s="45"/>
      <c r="E360" s="33"/>
      <c r="F360" s="46" t="str">
        <f t="shared" ca="1" si="11"/>
        <v/>
      </c>
      <c r="G360" s="32"/>
      <c r="H360" s="47" t="str">
        <f>IFERROR(IF(OR(B360="",E360=""),"",SUMIF(DB_Loans!$B:$B,B360,DB_Loans!$E:$E)+E360),"")</f>
        <v/>
      </c>
      <c r="I360" s="47" t="str">
        <f>IFERROR(IF(OR(B360="",E360=""),"",SUMIF(DB_Loans!$B:$B,B360,DB_Loans!$J:$J)+(E360*0.025)),"")</f>
        <v/>
      </c>
      <c r="J360" s="32"/>
    </row>
    <row r="361" spans="1:10" ht="19.5" customHeight="1" x14ac:dyDescent="0.25">
      <c r="A361" s="31" t="str">
        <f t="shared" si="10"/>
        <v/>
      </c>
      <c r="B361" s="45"/>
      <c r="C361" s="38" t="str">
        <f>IFERROR(IF(B361="","",VLOOKUP(B361,DB_Customers!$A:$B,2,0)),"")</f>
        <v/>
      </c>
      <c r="D361" s="45"/>
      <c r="E361" s="33"/>
      <c r="F361" s="46" t="str">
        <f t="shared" ca="1" si="11"/>
        <v/>
      </c>
      <c r="G361" s="32"/>
      <c r="H361" s="47" t="str">
        <f>IFERROR(IF(OR(B361="",E361=""),"",SUMIF(DB_Loans!$B:$B,B361,DB_Loans!$E:$E)+E361),"")</f>
        <v/>
      </c>
      <c r="I361" s="47" t="str">
        <f>IFERROR(IF(OR(B361="",E361=""),"",SUMIF(DB_Loans!$B:$B,B361,DB_Loans!$J:$J)+(E361*0.025)),"")</f>
        <v/>
      </c>
      <c r="J361" s="32"/>
    </row>
    <row r="362" spans="1:10" ht="19.5" customHeight="1" x14ac:dyDescent="0.25">
      <c r="A362" s="31" t="str">
        <f t="shared" si="10"/>
        <v/>
      </c>
      <c r="B362" s="45"/>
      <c r="C362" s="38" t="str">
        <f>IFERROR(IF(B362="","",VLOOKUP(B362,DB_Customers!$A:$B,2,0)),"")</f>
        <v/>
      </c>
      <c r="D362" s="45"/>
      <c r="E362" s="33"/>
      <c r="F362" s="46" t="str">
        <f t="shared" ca="1" si="11"/>
        <v/>
      </c>
      <c r="G362" s="32"/>
      <c r="H362" s="47" t="str">
        <f>IFERROR(IF(OR(B362="",E362=""),"",SUMIF(DB_Loans!$B:$B,B362,DB_Loans!$E:$E)+E362),"")</f>
        <v/>
      </c>
      <c r="I362" s="47" t="str">
        <f>IFERROR(IF(OR(B362="",E362=""),"",SUMIF(DB_Loans!$B:$B,B362,DB_Loans!$J:$J)+(E362*0.025)),"")</f>
        <v/>
      </c>
      <c r="J362" s="32"/>
    </row>
    <row r="363" spans="1:10" ht="19.5" customHeight="1" x14ac:dyDescent="0.25">
      <c r="A363" s="31" t="str">
        <f t="shared" si="10"/>
        <v/>
      </c>
      <c r="B363" s="45"/>
      <c r="C363" s="38" t="str">
        <f>IFERROR(IF(B363="","",VLOOKUP(B363,DB_Customers!$A:$B,2,0)),"")</f>
        <v/>
      </c>
      <c r="D363" s="45"/>
      <c r="E363" s="33"/>
      <c r="F363" s="46" t="str">
        <f t="shared" ca="1" si="11"/>
        <v/>
      </c>
      <c r="G363" s="32"/>
      <c r="H363" s="47" t="str">
        <f>IFERROR(IF(OR(B363="",E363=""),"",SUMIF(DB_Loans!$B:$B,B363,DB_Loans!$E:$E)+E363),"")</f>
        <v/>
      </c>
      <c r="I363" s="47" t="str">
        <f>IFERROR(IF(OR(B363="",E363=""),"",SUMIF(DB_Loans!$B:$B,B363,DB_Loans!$J:$J)+(E363*0.025)),"")</f>
        <v/>
      </c>
      <c r="J363" s="32"/>
    </row>
    <row r="364" spans="1:10" ht="19.5" customHeight="1" x14ac:dyDescent="0.25">
      <c r="A364" s="31" t="str">
        <f t="shared" si="10"/>
        <v/>
      </c>
      <c r="B364" s="45"/>
      <c r="C364" s="38" t="str">
        <f>IFERROR(IF(B364="","",VLOOKUP(B364,DB_Customers!$A:$B,2,0)),"")</f>
        <v/>
      </c>
      <c r="D364" s="45"/>
      <c r="E364" s="33"/>
      <c r="F364" s="46" t="str">
        <f t="shared" ca="1" si="11"/>
        <v/>
      </c>
      <c r="G364" s="32"/>
      <c r="H364" s="47" t="str">
        <f>IFERROR(IF(OR(B364="",E364=""),"",SUMIF(DB_Loans!$B:$B,B364,DB_Loans!$E:$E)+E364),"")</f>
        <v/>
      </c>
      <c r="I364" s="47" t="str">
        <f>IFERROR(IF(OR(B364="",E364=""),"",SUMIF(DB_Loans!$B:$B,B364,DB_Loans!$J:$J)+(E364*0.025)),"")</f>
        <v/>
      </c>
      <c r="J364" s="32"/>
    </row>
    <row r="365" spans="1:10" ht="19.5" customHeight="1" x14ac:dyDescent="0.25">
      <c r="A365" s="31" t="str">
        <f t="shared" si="10"/>
        <v/>
      </c>
      <c r="B365" s="45"/>
      <c r="C365" s="38" t="str">
        <f>IFERROR(IF(B365="","",VLOOKUP(B365,DB_Customers!$A:$B,2,0)),"")</f>
        <v/>
      </c>
      <c r="D365" s="45"/>
      <c r="E365" s="33"/>
      <c r="F365" s="46" t="str">
        <f t="shared" ca="1" si="11"/>
        <v/>
      </c>
      <c r="G365" s="32"/>
      <c r="H365" s="47" t="str">
        <f>IFERROR(IF(OR(B365="",E365=""),"",SUMIF(DB_Loans!$B:$B,B365,DB_Loans!$E:$E)+E365),"")</f>
        <v/>
      </c>
      <c r="I365" s="47" t="str">
        <f>IFERROR(IF(OR(B365="",E365=""),"",SUMIF(DB_Loans!$B:$B,B365,DB_Loans!$J:$J)+(E365*0.025)),"")</f>
        <v/>
      </c>
      <c r="J365" s="32"/>
    </row>
    <row r="366" spans="1:10" ht="19.5" customHeight="1" x14ac:dyDescent="0.25">
      <c r="A366" s="31" t="str">
        <f t="shared" si="10"/>
        <v/>
      </c>
      <c r="B366" s="45"/>
      <c r="C366" s="38" t="str">
        <f>IFERROR(IF(B366="","",VLOOKUP(B366,DB_Customers!$A:$B,2,0)),"")</f>
        <v/>
      </c>
      <c r="D366" s="45"/>
      <c r="E366" s="33"/>
      <c r="F366" s="46" t="str">
        <f t="shared" ca="1" si="11"/>
        <v/>
      </c>
      <c r="G366" s="32"/>
      <c r="H366" s="47" t="str">
        <f>IFERROR(IF(OR(B366="",E366=""),"",SUMIF(DB_Loans!$B:$B,B366,DB_Loans!$E:$E)+E366),"")</f>
        <v/>
      </c>
      <c r="I366" s="47" t="str">
        <f>IFERROR(IF(OR(B366="",E366=""),"",SUMIF(DB_Loans!$B:$B,B366,DB_Loans!$J:$J)+(E366*0.025)),"")</f>
        <v/>
      </c>
      <c r="J366" s="32"/>
    </row>
    <row r="367" spans="1:10" ht="19.5" customHeight="1" x14ac:dyDescent="0.25">
      <c r="A367" s="31" t="str">
        <f t="shared" si="10"/>
        <v/>
      </c>
      <c r="B367" s="45"/>
      <c r="C367" s="38" t="str">
        <f>IFERROR(IF(B367="","",VLOOKUP(B367,DB_Customers!$A:$B,2,0)),"")</f>
        <v/>
      </c>
      <c r="D367" s="45"/>
      <c r="E367" s="33"/>
      <c r="F367" s="46" t="str">
        <f t="shared" ca="1" si="11"/>
        <v/>
      </c>
      <c r="G367" s="32"/>
      <c r="H367" s="47" t="str">
        <f>IFERROR(IF(OR(B367="",E367=""),"",SUMIF(DB_Loans!$B:$B,B367,DB_Loans!$E:$E)+E367),"")</f>
        <v/>
      </c>
      <c r="I367" s="47" t="str">
        <f>IFERROR(IF(OR(B367="",E367=""),"",SUMIF(DB_Loans!$B:$B,B367,DB_Loans!$J:$J)+(E367*0.025)),"")</f>
        <v/>
      </c>
      <c r="J367" s="32"/>
    </row>
    <row r="368" spans="1:10" ht="19.5" customHeight="1" x14ac:dyDescent="0.25">
      <c r="A368" s="31" t="str">
        <f t="shared" si="10"/>
        <v/>
      </c>
      <c r="B368" s="45"/>
      <c r="C368" s="38" t="str">
        <f>IFERROR(IF(B368="","",VLOOKUP(B368,DB_Customers!$A:$B,2,0)),"")</f>
        <v/>
      </c>
      <c r="D368" s="45"/>
      <c r="E368" s="33"/>
      <c r="F368" s="46" t="str">
        <f t="shared" ca="1" si="11"/>
        <v/>
      </c>
      <c r="G368" s="32"/>
      <c r="H368" s="47" t="str">
        <f>IFERROR(IF(OR(B368="",E368=""),"",SUMIF(DB_Loans!$B:$B,B368,DB_Loans!$E:$E)+E368),"")</f>
        <v/>
      </c>
      <c r="I368" s="47" t="str">
        <f>IFERROR(IF(OR(B368="",E368=""),"",SUMIF(DB_Loans!$B:$B,B368,DB_Loans!$J:$J)+(E368*0.025)),"")</f>
        <v/>
      </c>
      <c r="J368" s="32"/>
    </row>
    <row r="369" spans="1:10" ht="19.5" customHeight="1" x14ac:dyDescent="0.25">
      <c r="A369" s="31" t="str">
        <f t="shared" si="10"/>
        <v/>
      </c>
      <c r="B369" s="45"/>
      <c r="C369" s="38" t="str">
        <f>IFERROR(IF(B369="","",VLOOKUP(B369,DB_Customers!$A:$B,2,0)),"")</f>
        <v/>
      </c>
      <c r="D369" s="45"/>
      <c r="E369" s="33"/>
      <c r="F369" s="46" t="str">
        <f t="shared" ca="1" si="11"/>
        <v/>
      </c>
      <c r="G369" s="32"/>
      <c r="H369" s="47" t="str">
        <f>IFERROR(IF(OR(B369="",E369=""),"",SUMIF(DB_Loans!$B:$B,B369,DB_Loans!$E:$E)+E369),"")</f>
        <v/>
      </c>
      <c r="I369" s="47" t="str">
        <f>IFERROR(IF(OR(B369="",E369=""),"",SUMIF(DB_Loans!$B:$B,B369,DB_Loans!$J:$J)+(E369*0.025)),"")</f>
        <v/>
      </c>
      <c r="J369" s="32"/>
    </row>
    <row r="370" spans="1:10" ht="19.5" customHeight="1" x14ac:dyDescent="0.25">
      <c r="A370" s="31" t="str">
        <f t="shared" si="10"/>
        <v/>
      </c>
      <c r="B370" s="45"/>
      <c r="C370" s="38" t="str">
        <f>IFERROR(IF(B370="","",VLOOKUP(B370,DB_Customers!$A:$B,2,0)),"")</f>
        <v/>
      </c>
      <c r="D370" s="45"/>
      <c r="E370" s="33"/>
      <c r="F370" s="46" t="str">
        <f t="shared" ca="1" si="11"/>
        <v/>
      </c>
      <c r="G370" s="32"/>
      <c r="H370" s="47" t="str">
        <f>IFERROR(IF(OR(B370="",E370=""),"",SUMIF(DB_Loans!$B:$B,B370,DB_Loans!$E:$E)+E370),"")</f>
        <v/>
      </c>
      <c r="I370" s="47" t="str">
        <f>IFERROR(IF(OR(B370="",E370=""),"",SUMIF(DB_Loans!$B:$B,B370,DB_Loans!$J:$J)+(E370*0.025)),"")</f>
        <v/>
      </c>
      <c r="J370" s="32"/>
    </row>
    <row r="371" spans="1:10" ht="19.5" customHeight="1" x14ac:dyDescent="0.25">
      <c r="A371" s="31" t="str">
        <f t="shared" si="10"/>
        <v/>
      </c>
      <c r="B371" s="45"/>
      <c r="C371" s="38" t="str">
        <f>IFERROR(IF(B371="","",VLOOKUP(B371,DB_Customers!$A:$B,2,0)),"")</f>
        <v/>
      </c>
      <c r="D371" s="45"/>
      <c r="E371" s="33"/>
      <c r="F371" s="46" t="str">
        <f t="shared" ca="1" si="11"/>
        <v/>
      </c>
      <c r="G371" s="32"/>
      <c r="H371" s="47" t="str">
        <f>IFERROR(IF(OR(B371="",E371=""),"",SUMIF(DB_Loans!$B:$B,B371,DB_Loans!$E:$E)+E371),"")</f>
        <v/>
      </c>
      <c r="I371" s="47" t="str">
        <f>IFERROR(IF(OR(B371="",E371=""),"",SUMIF(DB_Loans!$B:$B,B371,DB_Loans!$J:$J)+(E371*0.025)),"")</f>
        <v/>
      </c>
      <c r="J371" s="32"/>
    </row>
    <row r="372" spans="1:10" ht="19.5" customHeight="1" x14ac:dyDescent="0.25">
      <c r="A372" s="31" t="str">
        <f t="shared" si="10"/>
        <v/>
      </c>
      <c r="B372" s="45"/>
      <c r="C372" s="38" t="str">
        <f>IFERROR(IF(B372="","",VLOOKUP(B372,DB_Customers!$A:$B,2,0)),"")</f>
        <v/>
      </c>
      <c r="D372" s="45"/>
      <c r="E372" s="33"/>
      <c r="F372" s="46" t="str">
        <f t="shared" ca="1" si="11"/>
        <v/>
      </c>
      <c r="G372" s="32"/>
      <c r="H372" s="47" t="str">
        <f>IFERROR(IF(OR(B372="",E372=""),"",SUMIF(DB_Loans!$B:$B,B372,DB_Loans!$E:$E)+E372),"")</f>
        <v/>
      </c>
      <c r="I372" s="47" t="str">
        <f>IFERROR(IF(OR(B372="",E372=""),"",SUMIF(DB_Loans!$B:$B,B372,DB_Loans!$J:$J)+(E372*0.025)),"")</f>
        <v/>
      </c>
      <c r="J372" s="32"/>
    </row>
    <row r="373" spans="1:10" ht="19.5" customHeight="1" x14ac:dyDescent="0.25">
      <c r="A373" s="31" t="str">
        <f t="shared" si="10"/>
        <v/>
      </c>
      <c r="B373" s="45"/>
      <c r="C373" s="38" t="str">
        <f>IFERROR(IF(B373="","",VLOOKUP(B373,DB_Customers!$A:$B,2,0)),"")</f>
        <v/>
      </c>
      <c r="D373" s="45"/>
      <c r="E373" s="33"/>
      <c r="F373" s="46" t="str">
        <f t="shared" ca="1" si="11"/>
        <v/>
      </c>
      <c r="G373" s="32"/>
      <c r="H373" s="47" t="str">
        <f>IFERROR(IF(OR(B373="",E373=""),"",SUMIF(DB_Loans!$B:$B,B373,DB_Loans!$E:$E)+E373),"")</f>
        <v/>
      </c>
      <c r="I373" s="47" t="str">
        <f>IFERROR(IF(OR(B373="",E373=""),"",SUMIF(DB_Loans!$B:$B,B373,DB_Loans!$J:$J)+(E373*0.025)),"")</f>
        <v/>
      </c>
      <c r="J373" s="32"/>
    </row>
    <row r="374" spans="1:10" ht="19.5" customHeight="1" x14ac:dyDescent="0.25">
      <c r="A374" s="31" t="str">
        <f t="shared" si="10"/>
        <v/>
      </c>
      <c r="B374" s="45"/>
      <c r="C374" s="38" t="str">
        <f>IFERROR(IF(B374="","",VLOOKUP(B374,DB_Customers!$A:$B,2,0)),"")</f>
        <v/>
      </c>
      <c r="D374" s="45"/>
      <c r="E374" s="33"/>
      <c r="F374" s="46" t="str">
        <f t="shared" ca="1" si="11"/>
        <v/>
      </c>
      <c r="G374" s="32"/>
      <c r="H374" s="47" t="str">
        <f>IFERROR(IF(OR(B374="",E374=""),"",SUMIF(DB_Loans!$B:$B,B374,DB_Loans!$E:$E)+E374),"")</f>
        <v/>
      </c>
      <c r="I374" s="47" t="str">
        <f>IFERROR(IF(OR(B374="",E374=""),"",SUMIF(DB_Loans!$B:$B,B374,DB_Loans!$J:$J)+(E374*0.025)),"")</f>
        <v/>
      </c>
      <c r="J374" s="32"/>
    </row>
    <row r="375" spans="1:10" ht="19.5" customHeight="1" x14ac:dyDescent="0.25">
      <c r="A375" s="31" t="str">
        <f t="shared" si="10"/>
        <v/>
      </c>
      <c r="B375" s="45"/>
      <c r="C375" s="38" t="str">
        <f>IFERROR(IF(B375="","",VLOOKUP(B375,DB_Customers!$A:$B,2,0)),"")</f>
        <v/>
      </c>
      <c r="D375" s="45"/>
      <c r="E375" s="33"/>
      <c r="F375" s="46" t="str">
        <f t="shared" ca="1" si="11"/>
        <v/>
      </c>
      <c r="G375" s="32"/>
      <c r="H375" s="47" t="str">
        <f>IFERROR(IF(OR(B375="",E375=""),"",SUMIF(DB_Loans!$B:$B,B375,DB_Loans!$E:$E)+E375),"")</f>
        <v/>
      </c>
      <c r="I375" s="47" t="str">
        <f>IFERROR(IF(OR(B375="",E375=""),"",SUMIF(DB_Loans!$B:$B,B375,DB_Loans!$J:$J)+(E375*0.025)),"")</f>
        <v/>
      </c>
      <c r="J375" s="32"/>
    </row>
    <row r="376" spans="1:10" ht="19.5" customHeight="1" x14ac:dyDescent="0.25">
      <c r="A376" s="31" t="str">
        <f t="shared" si="10"/>
        <v/>
      </c>
      <c r="B376" s="45"/>
      <c r="C376" s="38" t="str">
        <f>IFERROR(IF(B376="","",VLOOKUP(B376,DB_Customers!$A:$B,2,0)),"")</f>
        <v/>
      </c>
      <c r="D376" s="45"/>
      <c r="E376" s="33"/>
      <c r="F376" s="46" t="str">
        <f t="shared" ca="1" si="11"/>
        <v/>
      </c>
      <c r="G376" s="32"/>
      <c r="H376" s="47" t="str">
        <f>IFERROR(IF(OR(B376="",E376=""),"",SUMIF(DB_Loans!$B:$B,B376,DB_Loans!$E:$E)+E376),"")</f>
        <v/>
      </c>
      <c r="I376" s="47" t="str">
        <f>IFERROR(IF(OR(B376="",E376=""),"",SUMIF(DB_Loans!$B:$B,B376,DB_Loans!$J:$J)+(E376*0.025)),"")</f>
        <v/>
      </c>
      <c r="J376" s="32"/>
    </row>
    <row r="377" spans="1:10" ht="19.5" customHeight="1" x14ac:dyDescent="0.25">
      <c r="A377" s="31" t="str">
        <f t="shared" si="10"/>
        <v/>
      </c>
      <c r="B377" s="45"/>
      <c r="C377" s="38" t="str">
        <f>IFERROR(IF(B377="","",VLOOKUP(B377,DB_Customers!$A:$B,2,0)),"")</f>
        <v/>
      </c>
      <c r="D377" s="45"/>
      <c r="E377" s="33"/>
      <c r="F377" s="46" t="str">
        <f t="shared" ca="1" si="11"/>
        <v/>
      </c>
      <c r="G377" s="32"/>
      <c r="H377" s="47" t="str">
        <f>IFERROR(IF(OR(B377="",E377=""),"",SUMIF(DB_Loans!$B:$B,B377,DB_Loans!$E:$E)+E377),"")</f>
        <v/>
      </c>
      <c r="I377" s="47" t="str">
        <f>IFERROR(IF(OR(B377="",E377=""),"",SUMIF(DB_Loans!$B:$B,B377,DB_Loans!$J:$J)+(E377*0.025)),"")</f>
        <v/>
      </c>
      <c r="J377" s="32"/>
    </row>
    <row r="378" spans="1:10" ht="19.5" customHeight="1" x14ac:dyDescent="0.25">
      <c r="A378" s="31" t="str">
        <f t="shared" si="10"/>
        <v/>
      </c>
      <c r="B378" s="45"/>
      <c r="C378" s="38" t="str">
        <f>IFERROR(IF(B378="","",VLOOKUP(B378,DB_Customers!$A:$B,2,0)),"")</f>
        <v/>
      </c>
      <c r="D378" s="45"/>
      <c r="E378" s="33"/>
      <c r="F378" s="46" t="str">
        <f t="shared" ca="1" si="11"/>
        <v/>
      </c>
      <c r="G378" s="32"/>
      <c r="H378" s="47" t="str">
        <f>IFERROR(IF(OR(B378="",E378=""),"",SUMIF(DB_Loans!$B:$B,B378,DB_Loans!$E:$E)+E378),"")</f>
        <v/>
      </c>
      <c r="I378" s="47" t="str">
        <f>IFERROR(IF(OR(B378="",E378=""),"",SUMIF(DB_Loans!$B:$B,B378,DB_Loans!$J:$J)+(E378*0.025)),"")</f>
        <v/>
      </c>
      <c r="J378" s="32"/>
    </row>
    <row r="379" spans="1:10" ht="19.5" customHeight="1" x14ac:dyDescent="0.25">
      <c r="A379" s="31" t="str">
        <f t="shared" si="10"/>
        <v/>
      </c>
      <c r="B379" s="45"/>
      <c r="C379" s="38" t="str">
        <f>IFERROR(IF(B379="","",VLOOKUP(B379,DB_Customers!$A:$B,2,0)),"")</f>
        <v/>
      </c>
      <c r="D379" s="45"/>
      <c r="E379" s="33"/>
      <c r="F379" s="46" t="str">
        <f t="shared" ca="1" si="11"/>
        <v/>
      </c>
      <c r="G379" s="32"/>
      <c r="H379" s="47" t="str">
        <f>IFERROR(IF(OR(B379="",E379=""),"",SUMIF(DB_Loans!$B:$B,B379,DB_Loans!$E:$E)+E379),"")</f>
        <v/>
      </c>
      <c r="I379" s="47" t="str">
        <f>IFERROR(IF(OR(B379="",E379=""),"",SUMIF(DB_Loans!$B:$B,B379,DB_Loans!$J:$J)+(E379*0.025)),"")</f>
        <v/>
      </c>
      <c r="J379" s="32"/>
    </row>
    <row r="380" spans="1:10" ht="19.5" customHeight="1" x14ac:dyDescent="0.25">
      <c r="A380" s="31" t="str">
        <f t="shared" si="10"/>
        <v/>
      </c>
      <c r="B380" s="45"/>
      <c r="C380" s="38" t="str">
        <f>IFERROR(IF(B380="","",VLOOKUP(B380,DB_Customers!$A:$B,2,0)),"")</f>
        <v/>
      </c>
      <c r="D380" s="45"/>
      <c r="E380" s="33"/>
      <c r="F380" s="46" t="str">
        <f t="shared" ca="1" si="11"/>
        <v/>
      </c>
      <c r="G380" s="32"/>
      <c r="H380" s="47" t="str">
        <f>IFERROR(IF(OR(B380="",E380=""),"",SUMIF(DB_Loans!$B:$B,B380,DB_Loans!$E:$E)+E380),"")</f>
        <v/>
      </c>
      <c r="I380" s="47" t="str">
        <f>IFERROR(IF(OR(B380="",E380=""),"",SUMIF(DB_Loans!$B:$B,B380,DB_Loans!$J:$J)+(E380*0.025)),"")</f>
        <v/>
      </c>
      <c r="J380" s="32"/>
    </row>
    <row r="381" spans="1:10" ht="19.5" customHeight="1" x14ac:dyDescent="0.25">
      <c r="A381" s="31" t="str">
        <f t="shared" si="10"/>
        <v/>
      </c>
      <c r="B381" s="45"/>
      <c r="C381" s="38" t="str">
        <f>IFERROR(IF(B381="","",VLOOKUP(B381,DB_Customers!$A:$B,2,0)),"")</f>
        <v/>
      </c>
      <c r="D381" s="45"/>
      <c r="E381" s="33"/>
      <c r="F381" s="46" t="str">
        <f t="shared" ca="1" si="11"/>
        <v/>
      </c>
      <c r="G381" s="32"/>
      <c r="H381" s="47" t="str">
        <f>IFERROR(IF(OR(B381="",E381=""),"",SUMIF(DB_Loans!$B:$B,B381,DB_Loans!$E:$E)+E381),"")</f>
        <v/>
      </c>
      <c r="I381" s="47" t="str">
        <f>IFERROR(IF(OR(B381="",E381=""),"",SUMIF(DB_Loans!$B:$B,B381,DB_Loans!$J:$J)+(E381*0.025)),"")</f>
        <v/>
      </c>
      <c r="J381" s="32"/>
    </row>
    <row r="382" spans="1:10" ht="19.5" customHeight="1" x14ac:dyDescent="0.25">
      <c r="A382" s="31" t="str">
        <f t="shared" si="10"/>
        <v/>
      </c>
      <c r="B382" s="45"/>
      <c r="C382" s="38" t="str">
        <f>IFERROR(IF(B382="","",VLOOKUP(B382,DB_Customers!$A:$B,2,0)),"")</f>
        <v/>
      </c>
      <c r="D382" s="45"/>
      <c r="E382" s="33"/>
      <c r="F382" s="46" t="str">
        <f t="shared" ca="1" si="11"/>
        <v/>
      </c>
      <c r="G382" s="32"/>
      <c r="H382" s="47" t="str">
        <f>IFERROR(IF(OR(B382="",E382=""),"",SUMIF(DB_Loans!$B:$B,B382,DB_Loans!$E:$E)+E382),"")</f>
        <v/>
      </c>
      <c r="I382" s="47" t="str">
        <f>IFERROR(IF(OR(B382="",E382=""),"",SUMIF(DB_Loans!$B:$B,B382,DB_Loans!$J:$J)+(E382*0.025)),"")</f>
        <v/>
      </c>
      <c r="J382" s="32"/>
    </row>
    <row r="383" spans="1:10" ht="19.5" customHeight="1" x14ac:dyDescent="0.25">
      <c r="A383" s="31" t="str">
        <f t="shared" si="10"/>
        <v/>
      </c>
      <c r="B383" s="45"/>
      <c r="C383" s="38" t="str">
        <f>IFERROR(IF(B383="","",VLOOKUP(B383,DB_Customers!$A:$B,2,0)),"")</f>
        <v/>
      </c>
      <c r="D383" s="45"/>
      <c r="E383" s="33"/>
      <c r="F383" s="46" t="str">
        <f t="shared" ca="1" si="11"/>
        <v/>
      </c>
      <c r="G383" s="32"/>
      <c r="H383" s="47" t="str">
        <f>IFERROR(IF(OR(B383="",E383=""),"",SUMIF(DB_Loans!$B:$B,B383,DB_Loans!$E:$E)+E383),"")</f>
        <v/>
      </c>
      <c r="I383" s="47" t="str">
        <f>IFERROR(IF(OR(B383="",E383=""),"",SUMIF(DB_Loans!$B:$B,B383,DB_Loans!$J:$J)+(E383*0.025)),"")</f>
        <v/>
      </c>
      <c r="J383" s="32"/>
    </row>
    <row r="384" spans="1:10" ht="19.5" customHeight="1" x14ac:dyDescent="0.25">
      <c r="A384" s="31" t="str">
        <f t="shared" si="10"/>
        <v/>
      </c>
      <c r="B384" s="45"/>
      <c r="C384" s="38" t="str">
        <f>IFERROR(IF(B384="","",VLOOKUP(B384,DB_Customers!$A:$B,2,0)),"")</f>
        <v/>
      </c>
      <c r="D384" s="45"/>
      <c r="E384" s="33"/>
      <c r="F384" s="46" t="str">
        <f t="shared" ca="1" si="11"/>
        <v/>
      </c>
      <c r="G384" s="32"/>
      <c r="H384" s="47" t="str">
        <f>IFERROR(IF(OR(B384="",E384=""),"",SUMIF(DB_Loans!$B:$B,B384,DB_Loans!$E:$E)+E384),"")</f>
        <v/>
      </c>
      <c r="I384" s="47" t="str">
        <f>IFERROR(IF(OR(B384="",E384=""),"",SUMIF(DB_Loans!$B:$B,B384,DB_Loans!$J:$J)+(E384*0.025)),"")</f>
        <v/>
      </c>
      <c r="J384" s="32"/>
    </row>
    <row r="385" spans="1:10" ht="19.5" customHeight="1" x14ac:dyDescent="0.25">
      <c r="A385" s="31" t="str">
        <f t="shared" si="10"/>
        <v/>
      </c>
      <c r="B385" s="45"/>
      <c r="C385" s="38" t="str">
        <f>IFERROR(IF(B385="","",VLOOKUP(B385,DB_Customers!$A:$B,2,0)),"")</f>
        <v/>
      </c>
      <c r="D385" s="45"/>
      <c r="E385" s="33"/>
      <c r="F385" s="46" t="str">
        <f t="shared" ca="1" si="11"/>
        <v/>
      </c>
      <c r="G385" s="32"/>
      <c r="H385" s="47" t="str">
        <f>IFERROR(IF(OR(B385="",E385=""),"",SUMIF(DB_Loans!$B:$B,B385,DB_Loans!$E:$E)+E385),"")</f>
        <v/>
      </c>
      <c r="I385" s="47" t="str">
        <f>IFERROR(IF(OR(B385="",E385=""),"",SUMIF(DB_Loans!$B:$B,B385,DB_Loans!$J:$J)+(E385*0.025)),"")</f>
        <v/>
      </c>
      <c r="J385" s="32"/>
    </row>
    <row r="386" spans="1:10" ht="19.5" customHeight="1" x14ac:dyDescent="0.25">
      <c r="A386" s="31" t="str">
        <f t="shared" si="10"/>
        <v/>
      </c>
      <c r="B386" s="45"/>
      <c r="C386" s="38" t="str">
        <f>IFERROR(IF(B386="","",VLOOKUP(B386,DB_Customers!$A:$B,2,0)),"")</f>
        <v/>
      </c>
      <c r="D386" s="45"/>
      <c r="E386" s="33"/>
      <c r="F386" s="46" t="str">
        <f t="shared" ca="1" si="11"/>
        <v/>
      </c>
      <c r="G386" s="32"/>
      <c r="H386" s="47" t="str">
        <f>IFERROR(IF(OR(B386="",E386=""),"",SUMIF(DB_Loans!$B:$B,B386,DB_Loans!$E:$E)+E386),"")</f>
        <v/>
      </c>
      <c r="I386" s="47" t="str">
        <f>IFERROR(IF(OR(B386="",E386=""),"",SUMIF(DB_Loans!$B:$B,B386,DB_Loans!$J:$J)+(E386*0.025)),"")</f>
        <v/>
      </c>
      <c r="J386" s="32"/>
    </row>
    <row r="387" spans="1:10" ht="19.5" customHeight="1" x14ac:dyDescent="0.25">
      <c r="A387" s="31" t="str">
        <f t="shared" si="10"/>
        <v/>
      </c>
      <c r="B387" s="45"/>
      <c r="C387" s="38" t="str">
        <f>IFERROR(IF(B387="","",VLOOKUP(B387,DB_Customers!$A:$B,2,0)),"")</f>
        <v/>
      </c>
      <c r="D387" s="45"/>
      <c r="E387" s="33"/>
      <c r="F387" s="46" t="str">
        <f t="shared" ca="1" si="11"/>
        <v/>
      </c>
      <c r="G387" s="32"/>
      <c r="H387" s="47" t="str">
        <f>IFERROR(IF(OR(B387="",E387=""),"",SUMIF(DB_Loans!$B:$B,B387,DB_Loans!$E:$E)+E387),"")</f>
        <v/>
      </c>
      <c r="I387" s="47" t="str">
        <f>IFERROR(IF(OR(B387="",E387=""),"",SUMIF(DB_Loans!$B:$B,B387,DB_Loans!$J:$J)+(E387*0.025)),"")</f>
        <v/>
      </c>
      <c r="J387" s="32"/>
    </row>
    <row r="388" spans="1:10" ht="19.5" customHeight="1" x14ac:dyDescent="0.25">
      <c r="A388" s="31" t="str">
        <f t="shared" si="10"/>
        <v/>
      </c>
      <c r="B388" s="45"/>
      <c r="C388" s="38" t="str">
        <f>IFERROR(IF(B388="","",VLOOKUP(B388,DB_Customers!$A:$B,2,0)),"")</f>
        <v/>
      </c>
      <c r="D388" s="45"/>
      <c r="E388" s="33"/>
      <c r="F388" s="46" t="str">
        <f t="shared" ca="1" si="11"/>
        <v/>
      </c>
      <c r="G388" s="32"/>
      <c r="H388" s="47" t="str">
        <f>IFERROR(IF(OR(B388="",E388=""),"",SUMIF(DB_Loans!$B:$B,B388,DB_Loans!$E:$E)+E388),"")</f>
        <v/>
      </c>
      <c r="I388" s="47" t="str">
        <f>IFERROR(IF(OR(B388="",E388=""),"",SUMIF(DB_Loans!$B:$B,B388,DB_Loans!$J:$J)+(E388*0.025)),"")</f>
        <v/>
      </c>
      <c r="J388" s="32"/>
    </row>
    <row r="389" spans="1:10" ht="19.5" customHeight="1" x14ac:dyDescent="0.25">
      <c r="A389" s="31" t="str">
        <f t="shared" ref="A389:A452" si="12">IF(B389="","","TU"&amp;TEXT(ROW()-4,"0000"))</f>
        <v/>
      </c>
      <c r="B389" s="45"/>
      <c r="C389" s="38" t="str">
        <f>IFERROR(IF(B389="","",VLOOKUP(B389,DB_Customers!$A:$B,2,0)),"")</f>
        <v/>
      </c>
      <c r="D389" s="45"/>
      <c r="E389" s="33"/>
      <c r="F389" s="46" t="str">
        <f t="shared" ref="F389:F452" ca="1" si="13">IF(B389="","",TODAY())</f>
        <v/>
      </c>
      <c r="G389" s="32"/>
      <c r="H389" s="47" t="str">
        <f>IFERROR(IF(OR(B389="",E389=""),"",SUMIF(DB_Loans!$B:$B,B389,DB_Loans!$E:$E)+E389),"")</f>
        <v/>
      </c>
      <c r="I389" s="47" t="str">
        <f>IFERROR(IF(OR(B389="",E389=""),"",SUMIF(DB_Loans!$B:$B,B389,DB_Loans!$J:$J)+(E389*0.025)),"")</f>
        <v/>
      </c>
      <c r="J389" s="32"/>
    </row>
    <row r="390" spans="1:10" ht="19.5" customHeight="1" x14ac:dyDescent="0.25">
      <c r="A390" s="31" t="str">
        <f t="shared" si="12"/>
        <v/>
      </c>
      <c r="B390" s="45"/>
      <c r="C390" s="38" t="str">
        <f>IFERROR(IF(B390="","",VLOOKUP(B390,DB_Customers!$A:$B,2,0)),"")</f>
        <v/>
      </c>
      <c r="D390" s="45"/>
      <c r="E390" s="33"/>
      <c r="F390" s="46" t="str">
        <f t="shared" ca="1" si="13"/>
        <v/>
      </c>
      <c r="G390" s="32"/>
      <c r="H390" s="47" t="str">
        <f>IFERROR(IF(OR(B390="",E390=""),"",SUMIF(DB_Loans!$B:$B,B390,DB_Loans!$E:$E)+E390),"")</f>
        <v/>
      </c>
      <c r="I390" s="47" t="str">
        <f>IFERROR(IF(OR(B390="",E390=""),"",SUMIF(DB_Loans!$B:$B,B390,DB_Loans!$J:$J)+(E390*0.025)),"")</f>
        <v/>
      </c>
      <c r="J390" s="32"/>
    </row>
    <row r="391" spans="1:10" ht="19.5" customHeight="1" x14ac:dyDescent="0.25">
      <c r="A391" s="31" t="str">
        <f t="shared" si="12"/>
        <v/>
      </c>
      <c r="B391" s="45"/>
      <c r="C391" s="38" t="str">
        <f>IFERROR(IF(B391="","",VLOOKUP(B391,DB_Customers!$A:$B,2,0)),"")</f>
        <v/>
      </c>
      <c r="D391" s="45"/>
      <c r="E391" s="33"/>
      <c r="F391" s="46" t="str">
        <f t="shared" ca="1" si="13"/>
        <v/>
      </c>
      <c r="G391" s="32"/>
      <c r="H391" s="47" t="str">
        <f>IFERROR(IF(OR(B391="",E391=""),"",SUMIF(DB_Loans!$B:$B,B391,DB_Loans!$E:$E)+E391),"")</f>
        <v/>
      </c>
      <c r="I391" s="47" t="str">
        <f>IFERROR(IF(OR(B391="",E391=""),"",SUMIF(DB_Loans!$B:$B,B391,DB_Loans!$J:$J)+(E391*0.025)),"")</f>
        <v/>
      </c>
      <c r="J391" s="32"/>
    </row>
    <row r="392" spans="1:10" ht="19.5" customHeight="1" x14ac:dyDescent="0.25">
      <c r="A392" s="31" t="str">
        <f t="shared" si="12"/>
        <v/>
      </c>
      <c r="B392" s="45"/>
      <c r="C392" s="38" t="str">
        <f>IFERROR(IF(B392="","",VLOOKUP(B392,DB_Customers!$A:$B,2,0)),"")</f>
        <v/>
      </c>
      <c r="D392" s="45"/>
      <c r="E392" s="33"/>
      <c r="F392" s="46" t="str">
        <f t="shared" ca="1" si="13"/>
        <v/>
      </c>
      <c r="G392" s="32"/>
      <c r="H392" s="47" t="str">
        <f>IFERROR(IF(OR(B392="",E392=""),"",SUMIF(DB_Loans!$B:$B,B392,DB_Loans!$E:$E)+E392),"")</f>
        <v/>
      </c>
      <c r="I392" s="47" t="str">
        <f>IFERROR(IF(OR(B392="",E392=""),"",SUMIF(DB_Loans!$B:$B,B392,DB_Loans!$J:$J)+(E392*0.025)),"")</f>
        <v/>
      </c>
      <c r="J392" s="32"/>
    </row>
    <row r="393" spans="1:10" ht="19.5" customHeight="1" x14ac:dyDescent="0.25">
      <c r="A393" s="31" t="str">
        <f t="shared" si="12"/>
        <v/>
      </c>
      <c r="B393" s="45"/>
      <c r="C393" s="38" t="str">
        <f>IFERROR(IF(B393="","",VLOOKUP(B393,DB_Customers!$A:$B,2,0)),"")</f>
        <v/>
      </c>
      <c r="D393" s="45"/>
      <c r="E393" s="33"/>
      <c r="F393" s="46" t="str">
        <f t="shared" ca="1" si="13"/>
        <v/>
      </c>
      <c r="G393" s="32"/>
      <c r="H393" s="47" t="str">
        <f>IFERROR(IF(OR(B393="",E393=""),"",SUMIF(DB_Loans!$B:$B,B393,DB_Loans!$E:$E)+E393),"")</f>
        <v/>
      </c>
      <c r="I393" s="47" t="str">
        <f>IFERROR(IF(OR(B393="",E393=""),"",SUMIF(DB_Loans!$B:$B,B393,DB_Loans!$J:$J)+(E393*0.025)),"")</f>
        <v/>
      </c>
      <c r="J393" s="32"/>
    </row>
    <row r="394" spans="1:10" ht="19.5" customHeight="1" x14ac:dyDescent="0.25">
      <c r="A394" s="31" t="str">
        <f t="shared" si="12"/>
        <v/>
      </c>
      <c r="B394" s="45"/>
      <c r="C394" s="38" t="str">
        <f>IFERROR(IF(B394="","",VLOOKUP(B394,DB_Customers!$A:$B,2,0)),"")</f>
        <v/>
      </c>
      <c r="D394" s="45"/>
      <c r="E394" s="33"/>
      <c r="F394" s="46" t="str">
        <f t="shared" ca="1" si="13"/>
        <v/>
      </c>
      <c r="G394" s="32"/>
      <c r="H394" s="47" t="str">
        <f>IFERROR(IF(OR(B394="",E394=""),"",SUMIF(DB_Loans!$B:$B,B394,DB_Loans!$E:$E)+E394),"")</f>
        <v/>
      </c>
      <c r="I394" s="47" t="str">
        <f>IFERROR(IF(OR(B394="",E394=""),"",SUMIF(DB_Loans!$B:$B,B394,DB_Loans!$J:$J)+(E394*0.025)),"")</f>
        <v/>
      </c>
      <c r="J394" s="32"/>
    </row>
    <row r="395" spans="1:10" ht="19.5" customHeight="1" x14ac:dyDescent="0.25">
      <c r="A395" s="31" t="str">
        <f t="shared" si="12"/>
        <v/>
      </c>
      <c r="B395" s="45"/>
      <c r="C395" s="38" t="str">
        <f>IFERROR(IF(B395="","",VLOOKUP(B395,DB_Customers!$A:$B,2,0)),"")</f>
        <v/>
      </c>
      <c r="D395" s="45"/>
      <c r="E395" s="33"/>
      <c r="F395" s="46" t="str">
        <f t="shared" ca="1" si="13"/>
        <v/>
      </c>
      <c r="G395" s="32"/>
      <c r="H395" s="47" t="str">
        <f>IFERROR(IF(OR(B395="",E395=""),"",SUMIF(DB_Loans!$B:$B,B395,DB_Loans!$E:$E)+E395),"")</f>
        <v/>
      </c>
      <c r="I395" s="47" t="str">
        <f>IFERROR(IF(OR(B395="",E395=""),"",SUMIF(DB_Loans!$B:$B,B395,DB_Loans!$J:$J)+(E395*0.025)),"")</f>
        <v/>
      </c>
      <c r="J395" s="32"/>
    </row>
    <row r="396" spans="1:10" ht="19.5" customHeight="1" x14ac:dyDescent="0.25">
      <c r="A396" s="31" t="str">
        <f t="shared" si="12"/>
        <v/>
      </c>
      <c r="B396" s="45"/>
      <c r="C396" s="38" t="str">
        <f>IFERROR(IF(B396="","",VLOOKUP(B396,DB_Customers!$A:$B,2,0)),"")</f>
        <v/>
      </c>
      <c r="D396" s="45"/>
      <c r="E396" s="33"/>
      <c r="F396" s="46" t="str">
        <f t="shared" ca="1" si="13"/>
        <v/>
      </c>
      <c r="G396" s="32"/>
      <c r="H396" s="47" t="str">
        <f>IFERROR(IF(OR(B396="",E396=""),"",SUMIF(DB_Loans!$B:$B,B396,DB_Loans!$E:$E)+E396),"")</f>
        <v/>
      </c>
      <c r="I396" s="47" t="str">
        <f>IFERROR(IF(OR(B396="",E396=""),"",SUMIF(DB_Loans!$B:$B,B396,DB_Loans!$J:$J)+(E396*0.025)),"")</f>
        <v/>
      </c>
      <c r="J396" s="32"/>
    </row>
    <row r="397" spans="1:10" ht="19.5" customHeight="1" x14ac:dyDescent="0.25">
      <c r="A397" s="31" t="str">
        <f t="shared" si="12"/>
        <v/>
      </c>
      <c r="B397" s="45"/>
      <c r="C397" s="38" t="str">
        <f>IFERROR(IF(B397="","",VLOOKUP(B397,DB_Customers!$A:$B,2,0)),"")</f>
        <v/>
      </c>
      <c r="D397" s="45"/>
      <c r="E397" s="33"/>
      <c r="F397" s="46" t="str">
        <f t="shared" ca="1" si="13"/>
        <v/>
      </c>
      <c r="G397" s="32"/>
      <c r="H397" s="47" t="str">
        <f>IFERROR(IF(OR(B397="",E397=""),"",SUMIF(DB_Loans!$B:$B,B397,DB_Loans!$E:$E)+E397),"")</f>
        <v/>
      </c>
      <c r="I397" s="47" t="str">
        <f>IFERROR(IF(OR(B397="",E397=""),"",SUMIF(DB_Loans!$B:$B,B397,DB_Loans!$J:$J)+(E397*0.025)),"")</f>
        <v/>
      </c>
      <c r="J397" s="32"/>
    </row>
    <row r="398" spans="1:10" ht="19.5" customHeight="1" x14ac:dyDescent="0.25">
      <c r="A398" s="31" t="str">
        <f t="shared" si="12"/>
        <v/>
      </c>
      <c r="B398" s="45"/>
      <c r="C398" s="38" t="str">
        <f>IFERROR(IF(B398="","",VLOOKUP(B398,DB_Customers!$A:$B,2,0)),"")</f>
        <v/>
      </c>
      <c r="D398" s="45"/>
      <c r="E398" s="33"/>
      <c r="F398" s="46" t="str">
        <f t="shared" ca="1" si="13"/>
        <v/>
      </c>
      <c r="G398" s="32"/>
      <c r="H398" s="47" t="str">
        <f>IFERROR(IF(OR(B398="",E398=""),"",SUMIF(DB_Loans!$B:$B,B398,DB_Loans!$E:$E)+E398),"")</f>
        <v/>
      </c>
      <c r="I398" s="47" t="str">
        <f>IFERROR(IF(OR(B398="",E398=""),"",SUMIF(DB_Loans!$B:$B,B398,DB_Loans!$J:$J)+(E398*0.025)),"")</f>
        <v/>
      </c>
      <c r="J398" s="32"/>
    </row>
    <row r="399" spans="1:10" ht="19.5" customHeight="1" x14ac:dyDescent="0.25">
      <c r="A399" s="31" t="str">
        <f t="shared" si="12"/>
        <v/>
      </c>
      <c r="B399" s="45"/>
      <c r="C399" s="38" t="str">
        <f>IFERROR(IF(B399="","",VLOOKUP(B399,DB_Customers!$A:$B,2,0)),"")</f>
        <v/>
      </c>
      <c r="D399" s="45"/>
      <c r="E399" s="33"/>
      <c r="F399" s="46" t="str">
        <f t="shared" ca="1" si="13"/>
        <v/>
      </c>
      <c r="G399" s="32"/>
      <c r="H399" s="47" t="str">
        <f>IFERROR(IF(OR(B399="",E399=""),"",SUMIF(DB_Loans!$B:$B,B399,DB_Loans!$E:$E)+E399),"")</f>
        <v/>
      </c>
      <c r="I399" s="47" t="str">
        <f>IFERROR(IF(OR(B399="",E399=""),"",SUMIF(DB_Loans!$B:$B,B399,DB_Loans!$J:$J)+(E399*0.025)),"")</f>
        <v/>
      </c>
      <c r="J399" s="32"/>
    </row>
    <row r="400" spans="1:10" ht="19.5" customHeight="1" x14ac:dyDescent="0.25">
      <c r="A400" s="31" t="str">
        <f t="shared" si="12"/>
        <v/>
      </c>
      <c r="B400" s="45"/>
      <c r="C400" s="38" t="str">
        <f>IFERROR(IF(B400="","",VLOOKUP(B400,DB_Customers!$A:$B,2,0)),"")</f>
        <v/>
      </c>
      <c r="D400" s="45"/>
      <c r="E400" s="33"/>
      <c r="F400" s="46" t="str">
        <f t="shared" ca="1" si="13"/>
        <v/>
      </c>
      <c r="G400" s="32"/>
      <c r="H400" s="47" t="str">
        <f>IFERROR(IF(OR(B400="",E400=""),"",SUMIF(DB_Loans!$B:$B,B400,DB_Loans!$E:$E)+E400),"")</f>
        <v/>
      </c>
      <c r="I400" s="47" t="str">
        <f>IFERROR(IF(OR(B400="",E400=""),"",SUMIF(DB_Loans!$B:$B,B400,DB_Loans!$J:$J)+(E400*0.025)),"")</f>
        <v/>
      </c>
      <c r="J400" s="32"/>
    </row>
    <row r="401" spans="1:10" ht="19.5" customHeight="1" x14ac:dyDescent="0.25">
      <c r="A401" s="31" t="str">
        <f t="shared" si="12"/>
        <v/>
      </c>
      <c r="B401" s="45"/>
      <c r="C401" s="38" t="str">
        <f>IFERROR(IF(B401="","",VLOOKUP(B401,DB_Customers!$A:$B,2,0)),"")</f>
        <v/>
      </c>
      <c r="D401" s="45"/>
      <c r="E401" s="33"/>
      <c r="F401" s="46" t="str">
        <f t="shared" ca="1" si="13"/>
        <v/>
      </c>
      <c r="G401" s="32"/>
      <c r="H401" s="47" t="str">
        <f>IFERROR(IF(OR(B401="",E401=""),"",SUMIF(DB_Loans!$B:$B,B401,DB_Loans!$E:$E)+E401),"")</f>
        <v/>
      </c>
      <c r="I401" s="47" t="str">
        <f>IFERROR(IF(OR(B401="",E401=""),"",SUMIF(DB_Loans!$B:$B,B401,DB_Loans!$J:$J)+(E401*0.025)),"")</f>
        <v/>
      </c>
      <c r="J401" s="32"/>
    </row>
    <row r="402" spans="1:10" ht="19.5" customHeight="1" x14ac:dyDescent="0.25">
      <c r="A402" s="31" t="str">
        <f t="shared" si="12"/>
        <v/>
      </c>
      <c r="B402" s="45"/>
      <c r="C402" s="38" t="str">
        <f>IFERROR(IF(B402="","",VLOOKUP(B402,DB_Customers!$A:$B,2,0)),"")</f>
        <v/>
      </c>
      <c r="D402" s="45"/>
      <c r="E402" s="33"/>
      <c r="F402" s="46" t="str">
        <f t="shared" ca="1" si="13"/>
        <v/>
      </c>
      <c r="G402" s="32"/>
      <c r="H402" s="47" t="str">
        <f>IFERROR(IF(OR(B402="",E402=""),"",SUMIF(DB_Loans!$B:$B,B402,DB_Loans!$E:$E)+E402),"")</f>
        <v/>
      </c>
      <c r="I402" s="47" t="str">
        <f>IFERROR(IF(OR(B402="",E402=""),"",SUMIF(DB_Loans!$B:$B,B402,DB_Loans!$J:$J)+(E402*0.025)),"")</f>
        <v/>
      </c>
      <c r="J402" s="32"/>
    </row>
    <row r="403" spans="1:10" ht="19.5" customHeight="1" x14ac:dyDescent="0.25">
      <c r="A403" s="31" t="str">
        <f t="shared" si="12"/>
        <v/>
      </c>
      <c r="B403" s="45"/>
      <c r="C403" s="38" t="str">
        <f>IFERROR(IF(B403="","",VLOOKUP(B403,DB_Customers!$A:$B,2,0)),"")</f>
        <v/>
      </c>
      <c r="D403" s="45"/>
      <c r="E403" s="33"/>
      <c r="F403" s="46" t="str">
        <f t="shared" ca="1" si="13"/>
        <v/>
      </c>
      <c r="G403" s="32"/>
      <c r="H403" s="47" t="str">
        <f>IFERROR(IF(OR(B403="",E403=""),"",SUMIF(DB_Loans!$B:$B,B403,DB_Loans!$E:$E)+E403),"")</f>
        <v/>
      </c>
      <c r="I403" s="47" t="str">
        <f>IFERROR(IF(OR(B403="",E403=""),"",SUMIF(DB_Loans!$B:$B,B403,DB_Loans!$J:$J)+(E403*0.025)),"")</f>
        <v/>
      </c>
      <c r="J403" s="32"/>
    </row>
    <row r="404" spans="1:10" ht="19.5" customHeight="1" x14ac:dyDescent="0.25">
      <c r="A404" s="31" t="str">
        <f t="shared" si="12"/>
        <v/>
      </c>
      <c r="B404" s="45"/>
      <c r="C404" s="38" t="str">
        <f>IFERROR(IF(B404="","",VLOOKUP(B404,DB_Customers!$A:$B,2,0)),"")</f>
        <v/>
      </c>
      <c r="D404" s="45"/>
      <c r="E404" s="33"/>
      <c r="F404" s="46" t="str">
        <f t="shared" ca="1" si="13"/>
        <v/>
      </c>
      <c r="G404" s="32"/>
      <c r="H404" s="47" t="str">
        <f>IFERROR(IF(OR(B404="",E404=""),"",SUMIF(DB_Loans!$B:$B,B404,DB_Loans!$E:$E)+E404),"")</f>
        <v/>
      </c>
      <c r="I404" s="47" t="str">
        <f>IFERROR(IF(OR(B404="",E404=""),"",SUMIF(DB_Loans!$B:$B,B404,DB_Loans!$J:$J)+(E404*0.025)),"")</f>
        <v/>
      </c>
      <c r="J404" s="32"/>
    </row>
    <row r="405" spans="1:10" ht="19.5" customHeight="1" x14ac:dyDescent="0.25">
      <c r="A405" s="31" t="str">
        <f t="shared" si="12"/>
        <v/>
      </c>
      <c r="B405" s="45"/>
      <c r="C405" s="38" t="str">
        <f>IFERROR(IF(B405="","",VLOOKUP(B405,DB_Customers!$A:$B,2,0)),"")</f>
        <v/>
      </c>
      <c r="D405" s="45"/>
      <c r="E405" s="33"/>
      <c r="F405" s="46" t="str">
        <f t="shared" ca="1" si="13"/>
        <v/>
      </c>
      <c r="G405" s="32"/>
      <c r="H405" s="47" t="str">
        <f>IFERROR(IF(OR(B405="",E405=""),"",SUMIF(DB_Loans!$B:$B,B405,DB_Loans!$E:$E)+E405),"")</f>
        <v/>
      </c>
      <c r="I405" s="47" t="str">
        <f>IFERROR(IF(OR(B405="",E405=""),"",SUMIF(DB_Loans!$B:$B,B405,DB_Loans!$J:$J)+(E405*0.025)),"")</f>
        <v/>
      </c>
      <c r="J405" s="32"/>
    </row>
    <row r="406" spans="1:10" ht="19.5" customHeight="1" x14ac:dyDescent="0.25">
      <c r="A406" s="31" t="str">
        <f t="shared" si="12"/>
        <v/>
      </c>
      <c r="B406" s="45"/>
      <c r="C406" s="38" t="str">
        <f>IFERROR(IF(B406="","",VLOOKUP(B406,DB_Customers!$A:$B,2,0)),"")</f>
        <v/>
      </c>
      <c r="D406" s="45"/>
      <c r="E406" s="33"/>
      <c r="F406" s="46" t="str">
        <f t="shared" ca="1" si="13"/>
        <v/>
      </c>
      <c r="G406" s="32"/>
      <c r="H406" s="47" t="str">
        <f>IFERROR(IF(OR(B406="",E406=""),"",SUMIF(DB_Loans!$B:$B,B406,DB_Loans!$E:$E)+E406),"")</f>
        <v/>
      </c>
      <c r="I406" s="47" t="str">
        <f>IFERROR(IF(OR(B406="",E406=""),"",SUMIF(DB_Loans!$B:$B,B406,DB_Loans!$J:$J)+(E406*0.025)),"")</f>
        <v/>
      </c>
      <c r="J406" s="32"/>
    </row>
    <row r="407" spans="1:10" ht="19.5" customHeight="1" x14ac:dyDescent="0.25">
      <c r="A407" s="31" t="str">
        <f t="shared" si="12"/>
        <v/>
      </c>
      <c r="B407" s="45"/>
      <c r="C407" s="38" t="str">
        <f>IFERROR(IF(B407="","",VLOOKUP(B407,DB_Customers!$A:$B,2,0)),"")</f>
        <v/>
      </c>
      <c r="D407" s="45"/>
      <c r="E407" s="33"/>
      <c r="F407" s="46" t="str">
        <f t="shared" ca="1" si="13"/>
        <v/>
      </c>
      <c r="G407" s="32"/>
      <c r="H407" s="47" t="str">
        <f>IFERROR(IF(OR(B407="",E407=""),"",SUMIF(DB_Loans!$B:$B,B407,DB_Loans!$E:$E)+E407),"")</f>
        <v/>
      </c>
      <c r="I407" s="47" t="str">
        <f>IFERROR(IF(OR(B407="",E407=""),"",SUMIF(DB_Loans!$B:$B,B407,DB_Loans!$J:$J)+(E407*0.025)),"")</f>
        <v/>
      </c>
      <c r="J407" s="32"/>
    </row>
    <row r="408" spans="1:10" ht="19.5" customHeight="1" x14ac:dyDescent="0.25">
      <c r="A408" s="31" t="str">
        <f t="shared" si="12"/>
        <v/>
      </c>
      <c r="B408" s="45"/>
      <c r="C408" s="38" t="str">
        <f>IFERROR(IF(B408="","",VLOOKUP(B408,DB_Customers!$A:$B,2,0)),"")</f>
        <v/>
      </c>
      <c r="D408" s="45"/>
      <c r="E408" s="33"/>
      <c r="F408" s="46" t="str">
        <f t="shared" ca="1" si="13"/>
        <v/>
      </c>
      <c r="G408" s="32"/>
      <c r="H408" s="47" t="str">
        <f>IFERROR(IF(OR(B408="",E408=""),"",SUMIF(DB_Loans!$B:$B,B408,DB_Loans!$E:$E)+E408),"")</f>
        <v/>
      </c>
      <c r="I408" s="47" t="str">
        <f>IFERROR(IF(OR(B408="",E408=""),"",SUMIF(DB_Loans!$B:$B,B408,DB_Loans!$J:$J)+(E408*0.025)),"")</f>
        <v/>
      </c>
      <c r="J408" s="32"/>
    </row>
    <row r="409" spans="1:10" ht="19.5" customHeight="1" x14ac:dyDescent="0.25">
      <c r="A409" s="31" t="str">
        <f t="shared" si="12"/>
        <v/>
      </c>
      <c r="B409" s="45"/>
      <c r="C409" s="38" t="str">
        <f>IFERROR(IF(B409="","",VLOOKUP(B409,DB_Customers!$A:$B,2,0)),"")</f>
        <v/>
      </c>
      <c r="D409" s="45"/>
      <c r="E409" s="33"/>
      <c r="F409" s="46" t="str">
        <f t="shared" ca="1" si="13"/>
        <v/>
      </c>
      <c r="G409" s="32"/>
      <c r="H409" s="47" t="str">
        <f>IFERROR(IF(OR(B409="",E409=""),"",SUMIF(DB_Loans!$B:$B,B409,DB_Loans!$E:$E)+E409),"")</f>
        <v/>
      </c>
      <c r="I409" s="47" t="str">
        <f>IFERROR(IF(OR(B409="",E409=""),"",SUMIF(DB_Loans!$B:$B,B409,DB_Loans!$J:$J)+(E409*0.025)),"")</f>
        <v/>
      </c>
      <c r="J409" s="32"/>
    </row>
    <row r="410" spans="1:10" ht="19.5" customHeight="1" x14ac:dyDescent="0.25">
      <c r="A410" s="31" t="str">
        <f t="shared" si="12"/>
        <v/>
      </c>
      <c r="B410" s="45"/>
      <c r="C410" s="38" t="str">
        <f>IFERROR(IF(B410="","",VLOOKUP(B410,DB_Customers!$A:$B,2,0)),"")</f>
        <v/>
      </c>
      <c r="D410" s="45"/>
      <c r="E410" s="33"/>
      <c r="F410" s="46" t="str">
        <f t="shared" ca="1" si="13"/>
        <v/>
      </c>
      <c r="G410" s="32"/>
      <c r="H410" s="47" t="str">
        <f>IFERROR(IF(OR(B410="",E410=""),"",SUMIF(DB_Loans!$B:$B,B410,DB_Loans!$E:$E)+E410),"")</f>
        <v/>
      </c>
      <c r="I410" s="47" t="str">
        <f>IFERROR(IF(OR(B410="",E410=""),"",SUMIF(DB_Loans!$B:$B,B410,DB_Loans!$J:$J)+(E410*0.025)),"")</f>
        <v/>
      </c>
      <c r="J410" s="32"/>
    </row>
    <row r="411" spans="1:10" ht="19.5" customHeight="1" x14ac:dyDescent="0.25">
      <c r="A411" s="31" t="str">
        <f t="shared" si="12"/>
        <v/>
      </c>
      <c r="B411" s="45"/>
      <c r="C411" s="38" t="str">
        <f>IFERROR(IF(B411="","",VLOOKUP(B411,DB_Customers!$A:$B,2,0)),"")</f>
        <v/>
      </c>
      <c r="D411" s="45"/>
      <c r="E411" s="33"/>
      <c r="F411" s="46" t="str">
        <f t="shared" ca="1" si="13"/>
        <v/>
      </c>
      <c r="G411" s="32"/>
      <c r="H411" s="47" t="str">
        <f>IFERROR(IF(OR(B411="",E411=""),"",SUMIF(DB_Loans!$B:$B,B411,DB_Loans!$E:$E)+E411),"")</f>
        <v/>
      </c>
      <c r="I411" s="47" t="str">
        <f>IFERROR(IF(OR(B411="",E411=""),"",SUMIF(DB_Loans!$B:$B,B411,DB_Loans!$J:$J)+(E411*0.025)),"")</f>
        <v/>
      </c>
      <c r="J411" s="32"/>
    </row>
    <row r="412" spans="1:10" ht="19.5" customHeight="1" x14ac:dyDescent="0.25">
      <c r="A412" s="31" t="str">
        <f t="shared" si="12"/>
        <v/>
      </c>
      <c r="B412" s="45"/>
      <c r="C412" s="38" t="str">
        <f>IFERROR(IF(B412="","",VLOOKUP(B412,DB_Customers!$A:$B,2,0)),"")</f>
        <v/>
      </c>
      <c r="D412" s="45"/>
      <c r="E412" s="33"/>
      <c r="F412" s="46" t="str">
        <f t="shared" ca="1" si="13"/>
        <v/>
      </c>
      <c r="G412" s="32"/>
      <c r="H412" s="47" t="str">
        <f>IFERROR(IF(OR(B412="",E412=""),"",SUMIF(DB_Loans!$B:$B,B412,DB_Loans!$E:$E)+E412),"")</f>
        <v/>
      </c>
      <c r="I412" s="47" t="str">
        <f>IFERROR(IF(OR(B412="",E412=""),"",SUMIF(DB_Loans!$B:$B,B412,DB_Loans!$J:$J)+(E412*0.025)),"")</f>
        <v/>
      </c>
      <c r="J412" s="32"/>
    </row>
    <row r="413" spans="1:10" ht="19.5" customHeight="1" x14ac:dyDescent="0.25">
      <c r="A413" s="31" t="str">
        <f t="shared" si="12"/>
        <v/>
      </c>
      <c r="B413" s="45"/>
      <c r="C413" s="38" t="str">
        <f>IFERROR(IF(B413="","",VLOOKUP(B413,DB_Customers!$A:$B,2,0)),"")</f>
        <v/>
      </c>
      <c r="D413" s="45"/>
      <c r="E413" s="33"/>
      <c r="F413" s="46" t="str">
        <f t="shared" ca="1" si="13"/>
        <v/>
      </c>
      <c r="G413" s="32"/>
      <c r="H413" s="47" t="str">
        <f>IFERROR(IF(OR(B413="",E413=""),"",SUMIF(DB_Loans!$B:$B,B413,DB_Loans!$E:$E)+E413),"")</f>
        <v/>
      </c>
      <c r="I413" s="47" t="str">
        <f>IFERROR(IF(OR(B413="",E413=""),"",SUMIF(DB_Loans!$B:$B,B413,DB_Loans!$J:$J)+(E413*0.025)),"")</f>
        <v/>
      </c>
      <c r="J413" s="32"/>
    </row>
    <row r="414" spans="1:10" ht="19.5" customHeight="1" x14ac:dyDescent="0.25">
      <c r="A414" s="31" t="str">
        <f t="shared" si="12"/>
        <v/>
      </c>
      <c r="B414" s="45"/>
      <c r="C414" s="38" t="str">
        <f>IFERROR(IF(B414="","",VLOOKUP(B414,DB_Customers!$A:$B,2,0)),"")</f>
        <v/>
      </c>
      <c r="D414" s="45"/>
      <c r="E414" s="33"/>
      <c r="F414" s="46" t="str">
        <f t="shared" ca="1" si="13"/>
        <v/>
      </c>
      <c r="G414" s="32"/>
      <c r="H414" s="47" t="str">
        <f>IFERROR(IF(OR(B414="",E414=""),"",SUMIF(DB_Loans!$B:$B,B414,DB_Loans!$E:$E)+E414),"")</f>
        <v/>
      </c>
      <c r="I414" s="47" t="str">
        <f>IFERROR(IF(OR(B414="",E414=""),"",SUMIF(DB_Loans!$B:$B,B414,DB_Loans!$J:$J)+(E414*0.025)),"")</f>
        <v/>
      </c>
      <c r="J414" s="32"/>
    </row>
    <row r="415" spans="1:10" ht="19.5" customHeight="1" x14ac:dyDescent="0.25">
      <c r="A415" s="31" t="str">
        <f t="shared" si="12"/>
        <v/>
      </c>
      <c r="B415" s="45"/>
      <c r="C415" s="38" t="str">
        <f>IFERROR(IF(B415="","",VLOOKUP(B415,DB_Customers!$A:$B,2,0)),"")</f>
        <v/>
      </c>
      <c r="D415" s="45"/>
      <c r="E415" s="33"/>
      <c r="F415" s="46" t="str">
        <f t="shared" ca="1" si="13"/>
        <v/>
      </c>
      <c r="G415" s="32"/>
      <c r="H415" s="47" t="str">
        <f>IFERROR(IF(OR(B415="",E415=""),"",SUMIF(DB_Loans!$B:$B,B415,DB_Loans!$E:$E)+E415),"")</f>
        <v/>
      </c>
      <c r="I415" s="47" t="str">
        <f>IFERROR(IF(OR(B415="",E415=""),"",SUMIF(DB_Loans!$B:$B,B415,DB_Loans!$J:$J)+(E415*0.025)),"")</f>
        <v/>
      </c>
      <c r="J415" s="32"/>
    </row>
    <row r="416" spans="1:10" ht="19.5" customHeight="1" x14ac:dyDescent="0.25">
      <c r="A416" s="31" t="str">
        <f t="shared" si="12"/>
        <v/>
      </c>
      <c r="B416" s="45"/>
      <c r="C416" s="38" t="str">
        <f>IFERROR(IF(B416="","",VLOOKUP(B416,DB_Customers!$A:$B,2,0)),"")</f>
        <v/>
      </c>
      <c r="D416" s="45"/>
      <c r="E416" s="33"/>
      <c r="F416" s="46" t="str">
        <f t="shared" ca="1" si="13"/>
        <v/>
      </c>
      <c r="G416" s="32"/>
      <c r="H416" s="47" t="str">
        <f>IFERROR(IF(OR(B416="",E416=""),"",SUMIF(DB_Loans!$B:$B,B416,DB_Loans!$E:$E)+E416),"")</f>
        <v/>
      </c>
      <c r="I416" s="47" t="str">
        <f>IFERROR(IF(OR(B416="",E416=""),"",SUMIF(DB_Loans!$B:$B,B416,DB_Loans!$J:$J)+(E416*0.025)),"")</f>
        <v/>
      </c>
      <c r="J416" s="32"/>
    </row>
    <row r="417" spans="1:10" ht="19.5" customHeight="1" x14ac:dyDescent="0.25">
      <c r="A417" s="31" t="str">
        <f t="shared" si="12"/>
        <v/>
      </c>
      <c r="B417" s="45"/>
      <c r="C417" s="38" t="str">
        <f>IFERROR(IF(B417="","",VLOOKUP(B417,DB_Customers!$A:$B,2,0)),"")</f>
        <v/>
      </c>
      <c r="D417" s="45"/>
      <c r="E417" s="33"/>
      <c r="F417" s="46" t="str">
        <f t="shared" ca="1" si="13"/>
        <v/>
      </c>
      <c r="G417" s="32"/>
      <c r="H417" s="47" t="str">
        <f>IFERROR(IF(OR(B417="",E417=""),"",SUMIF(DB_Loans!$B:$B,B417,DB_Loans!$E:$E)+E417),"")</f>
        <v/>
      </c>
      <c r="I417" s="47" t="str">
        <f>IFERROR(IF(OR(B417="",E417=""),"",SUMIF(DB_Loans!$B:$B,B417,DB_Loans!$J:$J)+(E417*0.025)),"")</f>
        <v/>
      </c>
      <c r="J417" s="32"/>
    </row>
    <row r="418" spans="1:10" ht="19.5" customHeight="1" x14ac:dyDescent="0.25">
      <c r="A418" s="31" t="str">
        <f t="shared" si="12"/>
        <v/>
      </c>
      <c r="B418" s="45"/>
      <c r="C418" s="38" t="str">
        <f>IFERROR(IF(B418="","",VLOOKUP(B418,DB_Customers!$A:$B,2,0)),"")</f>
        <v/>
      </c>
      <c r="D418" s="45"/>
      <c r="E418" s="33"/>
      <c r="F418" s="46" t="str">
        <f t="shared" ca="1" si="13"/>
        <v/>
      </c>
      <c r="G418" s="32"/>
      <c r="H418" s="47" t="str">
        <f>IFERROR(IF(OR(B418="",E418=""),"",SUMIF(DB_Loans!$B:$B,B418,DB_Loans!$E:$E)+E418),"")</f>
        <v/>
      </c>
      <c r="I418" s="47" t="str">
        <f>IFERROR(IF(OR(B418="",E418=""),"",SUMIF(DB_Loans!$B:$B,B418,DB_Loans!$J:$J)+(E418*0.025)),"")</f>
        <v/>
      </c>
      <c r="J418" s="32"/>
    </row>
    <row r="419" spans="1:10" ht="19.5" customHeight="1" x14ac:dyDescent="0.25">
      <c r="A419" s="31" t="str">
        <f t="shared" si="12"/>
        <v/>
      </c>
      <c r="B419" s="45"/>
      <c r="C419" s="38" t="str">
        <f>IFERROR(IF(B419="","",VLOOKUP(B419,DB_Customers!$A:$B,2,0)),"")</f>
        <v/>
      </c>
      <c r="D419" s="45"/>
      <c r="E419" s="33"/>
      <c r="F419" s="46" t="str">
        <f t="shared" ca="1" si="13"/>
        <v/>
      </c>
      <c r="G419" s="32"/>
      <c r="H419" s="47" t="str">
        <f>IFERROR(IF(OR(B419="",E419=""),"",SUMIF(DB_Loans!$B:$B,B419,DB_Loans!$E:$E)+E419),"")</f>
        <v/>
      </c>
      <c r="I419" s="47" t="str">
        <f>IFERROR(IF(OR(B419="",E419=""),"",SUMIF(DB_Loans!$B:$B,B419,DB_Loans!$J:$J)+(E419*0.025)),"")</f>
        <v/>
      </c>
      <c r="J419" s="32"/>
    </row>
    <row r="420" spans="1:10" ht="19.5" customHeight="1" x14ac:dyDescent="0.25">
      <c r="A420" s="31" t="str">
        <f t="shared" si="12"/>
        <v/>
      </c>
      <c r="B420" s="45"/>
      <c r="C420" s="38" t="str">
        <f>IFERROR(IF(B420="","",VLOOKUP(B420,DB_Customers!$A:$B,2,0)),"")</f>
        <v/>
      </c>
      <c r="D420" s="45"/>
      <c r="E420" s="33"/>
      <c r="F420" s="46" t="str">
        <f t="shared" ca="1" si="13"/>
        <v/>
      </c>
      <c r="G420" s="32"/>
      <c r="H420" s="47" t="str">
        <f>IFERROR(IF(OR(B420="",E420=""),"",SUMIF(DB_Loans!$B:$B,B420,DB_Loans!$E:$E)+E420),"")</f>
        <v/>
      </c>
      <c r="I420" s="47" t="str">
        <f>IFERROR(IF(OR(B420="",E420=""),"",SUMIF(DB_Loans!$B:$B,B420,DB_Loans!$J:$J)+(E420*0.025)),"")</f>
        <v/>
      </c>
      <c r="J420" s="32"/>
    </row>
    <row r="421" spans="1:10" ht="19.5" customHeight="1" x14ac:dyDescent="0.25">
      <c r="A421" s="31" t="str">
        <f t="shared" si="12"/>
        <v/>
      </c>
      <c r="B421" s="45"/>
      <c r="C421" s="38" t="str">
        <f>IFERROR(IF(B421="","",VLOOKUP(B421,DB_Customers!$A:$B,2,0)),"")</f>
        <v/>
      </c>
      <c r="D421" s="45"/>
      <c r="E421" s="33"/>
      <c r="F421" s="46" t="str">
        <f t="shared" ca="1" si="13"/>
        <v/>
      </c>
      <c r="G421" s="32"/>
      <c r="H421" s="47" t="str">
        <f>IFERROR(IF(OR(B421="",E421=""),"",SUMIF(DB_Loans!$B:$B,B421,DB_Loans!$E:$E)+E421),"")</f>
        <v/>
      </c>
      <c r="I421" s="47" t="str">
        <f>IFERROR(IF(OR(B421="",E421=""),"",SUMIF(DB_Loans!$B:$B,B421,DB_Loans!$J:$J)+(E421*0.025)),"")</f>
        <v/>
      </c>
      <c r="J421" s="32"/>
    </row>
    <row r="422" spans="1:10" ht="19.5" customHeight="1" x14ac:dyDescent="0.25">
      <c r="A422" s="31" t="str">
        <f t="shared" si="12"/>
        <v/>
      </c>
      <c r="B422" s="45"/>
      <c r="C422" s="38" t="str">
        <f>IFERROR(IF(B422="","",VLOOKUP(B422,DB_Customers!$A:$B,2,0)),"")</f>
        <v/>
      </c>
      <c r="D422" s="45"/>
      <c r="E422" s="33"/>
      <c r="F422" s="46" t="str">
        <f t="shared" ca="1" si="13"/>
        <v/>
      </c>
      <c r="G422" s="32"/>
      <c r="H422" s="47" t="str">
        <f>IFERROR(IF(OR(B422="",E422=""),"",SUMIF(DB_Loans!$B:$B,B422,DB_Loans!$E:$E)+E422),"")</f>
        <v/>
      </c>
      <c r="I422" s="47" t="str">
        <f>IFERROR(IF(OR(B422="",E422=""),"",SUMIF(DB_Loans!$B:$B,B422,DB_Loans!$J:$J)+(E422*0.025)),"")</f>
        <v/>
      </c>
      <c r="J422" s="32"/>
    </row>
    <row r="423" spans="1:10" ht="19.5" customHeight="1" x14ac:dyDescent="0.25">
      <c r="A423" s="31" t="str">
        <f t="shared" si="12"/>
        <v/>
      </c>
      <c r="B423" s="45"/>
      <c r="C423" s="38" t="str">
        <f>IFERROR(IF(B423="","",VLOOKUP(B423,DB_Customers!$A:$B,2,0)),"")</f>
        <v/>
      </c>
      <c r="D423" s="45"/>
      <c r="E423" s="33"/>
      <c r="F423" s="46" t="str">
        <f t="shared" ca="1" si="13"/>
        <v/>
      </c>
      <c r="G423" s="32"/>
      <c r="H423" s="47" t="str">
        <f>IFERROR(IF(OR(B423="",E423=""),"",SUMIF(DB_Loans!$B:$B,B423,DB_Loans!$E:$E)+E423),"")</f>
        <v/>
      </c>
      <c r="I423" s="47" t="str">
        <f>IFERROR(IF(OR(B423="",E423=""),"",SUMIF(DB_Loans!$B:$B,B423,DB_Loans!$J:$J)+(E423*0.025)),"")</f>
        <v/>
      </c>
      <c r="J423" s="32"/>
    </row>
    <row r="424" spans="1:10" ht="19.5" customHeight="1" x14ac:dyDescent="0.25">
      <c r="A424" s="31" t="str">
        <f t="shared" si="12"/>
        <v/>
      </c>
      <c r="B424" s="45"/>
      <c r="C424" s="38" t="str">
        <f>IFERROR(IF(B424="","",VLOOKUP(B424,DB_Customers!$A:$B,2,0)),"")</f>
        <v/>
      </c>
      <c r="D424" s="45"/>
      <c r="E424" s="33"/>
      <c r="F424" s="46" t="str">
        <f t="shared" ca="1" si="13"/>
        <v/>
      </c>
      <c r="G424" s="32"/>
      <c r="H424" s="47" t="str">
        <f>IFERROR(IF(OR(B424="",E424=""),"",SUMIF(DB_Loans!$B:$B,B424,DB_Loans!$E:$E)+E424),"")</f>
        <v/>
      </c>
      <c r="I424" s="47" t="str">
        <f>IFERROR(IF(OR(B424="",E424=""),"",SUMIF(DB_Loans!$B:$B,B424,DB_Loans!$J:$J)+(E424*0.025)),"")</f>
        <v/>
      </c>
      <c r="J424" s="32"/>
    </row>
    <row r="425" spans="1:10" ht="19.5" customHeight="1" x14ac:dyDescent="0.25">
      <c r="A425" s="31" t="str">
        <f t="shared" si="12"/>
        <v/>
      </c>
      <c r="B425" s="45"/>
      <c r="C425" s="38" t="str">
        <f>IFERROR(IF(B425="","",VLOOKUP(B425,DB_Customers!$A:$B,2,0)),"")</f>
        <v/>
      </c>
      <c r="D425" s="45"/>
      <c r="E425" s="33"/>
      <c r="F425" s="46" t="str">
        <f t="shared" ca="1" si="13"/>
        <v/>
      </c>
      <c r="G425" s="32"/>
      <c r="H425" s="47" t="str">
        <f>IFERROR(IF(OR(B425="",E425=""),"",SUMIF(DB_Loans!$B:$B,B425,DB_Loans!$E:$E)+E425),"")</f>
        <v/>
      </c>
      <c r="I425" s="47" t="str">
        <f>IFERROR(IF(OR(B425="",E425=""),"",SUMIF(DB_Loans!$B:$B,B425,DB_Loans!$J:$J)+(E425*0.025)),"")</f>
        <v/>
      </c>
      <c r="J425" s="32"/>
    </row>
    <row r="426" spans="1:10" ht="19.5" customHeight="1" x14ac:dyDescent="0.25">
      <c r="A426" s="31" t="str">
        <f t="shared" si="12"/>
        <v/>
      </c>
      <c r="B426" s="45"/>
      <c r="C426" s="38" t="str">
        <f>IFERROR(IF(B426="","",VLOOKUP(B426,DB_Customers!$A:$B,2,0)),"")</f>
        <v/>
      </c>
      <c r="D426" s="45"/>
      <c r="E426" s="33"/>
      <c r="F426" s="46" t="str">
        <f t="shared" ca="1" si="13"/>
        <v/>
      </c>
      <c r="G426" s="32"/>
      <c r="H426" s="47" t="str">
        <f>IFERROR(IF(OR(B426="",E426=""),"",SUMIF(DB_Loans!$B:$B,B426,DB_Loans!$E:$E)+E426),"")</f>
        <v/>
      </c>
      <c r="I426" s="47" t="str">
        <f>IFERROR(IF(OR(B426="",E426=""),"",SUMIF(DB_Loans!$B:$B,B426,DB_Loans!$J:$J)+(E426*0.025)),"")</f>
        <v/>
      </c>
      <c r="J426" s="32"/>
    </row>
    <row r="427" spans="1:10" ht="19.5" customHeight="1" x14ac:dyDescent="0.25">
      <c r="A427" s="31" t="str">
        <f t="shared" si="12"/>
        <v/>
      </c>
      <c r="B427" s="45"/>
      <c r="C427" s="38" t="str">
        <f>IFERROR(IF(B427="","",VLOOKUP(B427,DB_Customers!$A:$B,2,0)),"")</f>
        <v/>
      </c>
      <c r="D427" s="45"/>
      <c r="E427" s="33"/>
      <c r="F427" s="46" t="str">
        <f t="shared" ca="1" si="13"/>
        <v/>
      </c>
      <c r="G427" s="32"/>
      <c r="H427" s="47" t="str">
        <f>IFERROR(IF(OR(B427="",E427=""),"",SUMIF(DB_Loans!$B:$B,B427,DB_Loans!$E:$E)+E427),"")</f>
        <v/>
      </c>
      <c r="I427" s="47" t="str">
        <f>IFERROR(IF(OR(B427="",E427=""),"",SUMIF(DB_Loans!$B:$B,B427,DB_Loans!$J:$J)+(E427*0.025)),"")</f>
        <v/>
      </c>
      <c r="J427" s="32"/>
    </row>
    <row r="428" spans="1:10" ht="19.5" customHeight="1" x14ac:dyDescent="0.25">
      <c r="A428" s="31" t="str">
        <f t="shared" si="12"/>
        <v/>
      </c>
      <c r="B428" s="45"/>
      <c r="C428" s="38" t="str">
        <f>IFERROR(IF(B428="","",VLOOKUP(B428,DB_Customers!$A:$B,2,0)),"")</f>
        <v/>
      </c>
      <c r="D428" s="45"/>
      <c r="E428" s="33"/>
      <c r="F428" s="46" t="str">
        <f t="shared" ca="1" si="13"/>
        <v/>
      </c>
      <c r="G428" s="32"/>
      <c r="H428" s="47" t="str">
        <f>IFERROR(IF(OR(B428="",E428=""),"",SUMIF(DB_Loans!$B:$B,B428,DB_Loans!$E:$E)+E428),"")</f>
        <v/>
      </c>
      <c r="I428" s="47" t="str">
        <f>IFERROR(IF(OR(B428="",E428=""),"",SUMIF(DB_Loans!$B:$B,B428,DB_Loans!$J:$J)+(E428*0.025)),"")</f>
        <v/>
      </c>
      <c r="J428" s="32"/>
    </row>
    <row r="429" spans="1:10" ht="19.5" customHeight="1" x14ac:dyDescent="0.25">
      <c r="A429" s="31" t="str">
        <f t="shared" si="12"/>
        <v/>
      </c>
      <c r="B429" s="45"/>
      <c r="C429" s="38" t="str">
        <f>IFERROR(IF(B429="","",VLOOKUP(B429,DB_Customers!$A:$B,2,0)),"")</f>
        <v/>
      </c>
      <c r="D429" s="45"/>
      <c r="E429" s="33"/>
      <c r="F429" s="46" t="str">
        <f t="shared" ca="1" si="13"/>
        <v/>
      </c>
      <c r="G429" s="32"/>
      <c r="H429" s="47" t="str">
        <f>IFERROR(IF(OR(B429="",E429=""),"",SUMIF(DB_Loans!$B:$B,B429,DB_Loans!$E:$E)+E429),"")</f>
        <v/>
      </c>
      <c r="I429" s="47" t="str">
        <f>IFERROR(IF(OR(B429="",E429=""),"",SUMIF(DB_Loans!$B:$B,B429,DB_Loans!$J:$J)+(E429*0.025)),"")</f>
        <v/>
      </c>
      <c r="J429" s="32"/>
    </row>
    <row r="430" spans="1:10" ht="19.5" customHeight="1" x14ac:dyDescent="0.25">
      <c r="A430" s="31" t="str">
        <f t="shared" si="12"/>
        <v/>
      </c>
      <c r="B430" s="45"/>
      <c r="C430" s="38" t="str">
        <f>IFERROR(IF(B430="","",VLOOKUP(B430,DB_Customers!$A:$B,2,0)),"")</f>
        <v/>
      </c>
      <c r="D430" s="45"/>
      <c r="E430" s="33"/>
      <c r="F430" s="46" t="str">
        <f t="shared" ca="1" si="13"/>
        <v/>
      </c>
      <c r="G430" s="32"/>
      <c r="H430" s="47" t="str">
        <f>IFERROR(IF(OR(B430="",E430=""),"",SUMIF(DB_Loans!$B:$B,B430,DB_Loans!$E:$E)+E430),"")</f>
        <v/>
      </c>
      <c r="I430" s="47" t="str">
        <f>IFERROR(IF(OR(B430="",E430=""),"",SUMIF(DB_Loans!$B:$B,B430,DB_Loans!$J:$J)+(E430*0.025)),"")</f>
        <v/>
      </c>
      <c r="J430" s="32"/>
    </row>
    <row r="431" spans="1:10" ht="19.5" customHeight="1" x14ac:dyDescent="0.25">
      <c r="A431" s="31" t="str">
        <f t="shared" si="12"/>
        <v/>
      </c>
      <c r="B431" s="45"/>
      <c r="C431" s="38" t="str">
        <f>IFERROR(IF(B431="","",VLOOKUP(B431,DB_Customers!$A:$B,2,0)),"")</f>
        <v/>
      </c>
      <c r="D431" s="45"/>
      <c r="E431" s="33"/>
      <c r="F431" s="46" t="str">
        <f t="shared" ca="1" si="13"/>
        <v/>
      </c>
      <c r="G431" s="32"/>
      <c r="H431" s="47" t="str">
        <f>IFERROR(IF(OR(B431="",E431=""),"",SUMIF(DB_Loans!$B:$B,B431,DB_Loans!$E:$E)+E431),"")</f>
        <v/>
      </c>
      <c r="I431" s="47" t="str">
        <f>IFERROR(IF(OR(B431="",E431=""),"",SUMIF(DB_Loans!$B:$B,B431,DB_Loans!$J:$J)+(E431*0.025)),"")</f>
        <v/>
      </c>
      <c r="J431" s="32"/>
    </row>
    <row r="432" spans="1:10" ht="19.5" customHeight="1" x14ac:dyDescent="0.25">
      <c r="A432" s="31" t="str">
        <f t="shared" si="12"/>
        <v/>
      </c>
      <c r="B432" s="45"/>
      <c r="C432" s="38" t="str">
        <f>IFERROR(IF(B432="","",VLOOKUP(B432,DB_Customers!$A:$B,2,0)),"")</f>
        <v/>
      </c>
      <c r="D432" s="45"/>
      <c r="E432" s="33"/>
      <c r="F432" s="46" t="str">
        <f t="shared" ca="1" si="13"/>
        <v/>
      </c>
      <c r="G432" s="32"/>
      <c r="H432" s="47" t="str">
        <f>IFERROR(IF(OR(B432="",E432=""),"",SUMIF(DB_Loans!$B:$B,B432,DB_Loans!$E:$E)+E432),"")</f>
        <v/>
      </c>
      <c r="I432" s="47" t="str">
        <f>IFERROR(IF(OR(B432="",E432=""),"",SUMIF(DB_Loans!$B:$B,B432,DB_Loans!$J:$J)+(E432*0.025)),"")</f>
        <v/>
      </c>
      <c r="J432" s="32"/>
    </row>
    <row r="433" spans="1:10" ht="19.5" customHeight="1" x14ac:dyDescent="0.25">
      <c r="A433" s="31" t="str">
        <f t="shared" si="12"/>
        <v/>
      </c>
      <c r="B433" s="45"/>
      <c r="C433" s="38" t="str">
        <f>IFERROR(IF(B433="","",VLOOKUP(B433,DB_Customers!$A:$B,2,0)),"")</f>
        <v/>
      </c>
      <c r="D433" s="45"/>
      <c r="E433" s="33"/>
      <c r="F433" s="46" t="str">
        <f t="shared" ca="1" si="13"/>
        <v/>
      </c>
      <c r="G433" s="32"/>
      <c r="H433" s="47" t="str">
        <f>IFERROR(IF(OR(B433="",E433=""),"",SUMIF(DB_Loans!$B:$B,B433,DB_Loans!$E:$E)+E433),"")</f>
        <v/>
      </c>
      <c r="I433" s="47" t="str">
        <f>IFERROR(IF(OR(B433="",E433=""),"",SUMIF(DB_Loans!$B:$B,B433,DB_Loans!$J:$J)+(E433*0.025)),"")</f>
        <v/>
      </c>
      <c r="J433" s="32"/>
    </row>
    <row r="434" spans="1:10" ht="19.5" customHeight="1" x14ac:dyDescent="0.25">
      <c r="A434" s="31" t="str">
        <f t="shared" si="12"/>
        <v/>
      </c>
      <c r="B434" s="45"/>
      <c r="C434" s="38" t="str">
        <f>IFERROR(IF(B434="","",VLOOKUP(B434,DB_Customers!$A:$B,2,0)),"")</f>
        <v/>
      </c>
      <c r="D434" s="45"/>
      <c r="E434" s="33"/>
      <c r="F434" s="46" t="str">
        <f t="shared" ca="1" si="13"/>
        <v/>
      </c>
      <c r="G434" s="32"/>
      <c r="H434" s="47" t="str">
        <f>IFERROR(IF(OR(B434="",E434=""),"",SUMIF(DB_Loans!$B:$B,B434,DB_Loans!$E:$E)+E434),"")</f>
        <v/>
      </c>
      <c r="I434" s="47" t="str">
        <f>IFERROR(IF(OR(B434="",E434=""),"",SUMIF(DB_Loans!$B:$B,B434,DB_Loans!$J:$J)+(E434*0.025)),"")</f>
        <v/>
      </c>
      <c r="J434" s="32"/>
    </row>
    <row r="435" spans="1:10" ht="19.5" customHeight="1" x14ac:dyDescent="0.25">
      <c r="A435" s="31" t="str">
        <f t="shared" si="12"/>
        <v/>
      </c>
      <c r="B435" s="45"/>
      <c r="C435" s="38" t="str">
        <f>IFERROR(IF(B435="","",VLOOKUP(B435,DB_Customers!$A:$B,2,0)),"")</f>
        <v/>
      </c>
      <c r="D435" s="45"/>
      <c r="E435" s="33"/>
      <c r="F435" s="46" t="str">
        <f t="shared" ca="1" si="13"/>
        <v/>
      </c>
      <c r="G435" s="32"/>
      <c r="H435" s="47" t="str">
        <f>IFERROR(IF(OR(B435="",E435=""),"",SUMIF(DB_Loans!$B:$B,B435,DB_Loans!$E:$E)+E435),"")</f>
        <v/>
      </c>
      <c r="I435" s="47" t="str">
        <f>IFERROR(IF(OR(B435="",E435=""),"",SUMIF(DB_Loans!$B:$B,B435,DB_Loans!$J:$J)+(E435*0.025)),"")</f>
        <v/>
      </c>
      <c r="J435" s="32"/>
    </row>
    <row r="436" spans="1:10" ht="19.5" customHeight="1" x14ac:dyDescent="0.25">
      <c r="A436" s="31" t="str">
        <f t="shared" si="12"/>
        <v/>
      </c>
      <c r="B436" s="45"/>
      <c r="C436" s="38" t="str">
        <f>IFERROR(IF(B436="","",VLOOKUP(B436,DB_Customers!$A:$B,2,0)),"")</f>
        <v/>
      </c>
      <c r="D436" s="45"/>
      <c r="E436" s="33"/>
      <c r="F436" s="46" t="str">
        <f t="shared" ca="1" si="13"/>
        <v/>
      </c>
      <c r="G436" s="32"/>
      <c r="H436" s="47" t="str">
        <f>IFERROR(IF(OR(B436="",E436=""),"",SUMIF(DB_Loans!$B:$B,B436,DB_Loans!$E:$E)+E436),"")</f>
        <v/>
      </c>
      <c r="I436" s="47" t="str">
        <f>IFERROR(IF(OR(B436="",E436=""),"",SUMIF(DB_Loans!$B:$B,B436,DB_Loans!$J:$J)+(E436*0.025)),"")</f>
        <v/>
      </c>
      <c r="J436" s="32"/>
    </row>
    <row r="437" spans="1:10" ht="19.5" customHeight="1" x14ac:dyDescent="0.25">
      <c r="A437" s="31" t="str">
        <f t="shared" si="12"/>
        <v/>
      </c>
      <c r="B437" s="45"/>
      <c r="C437" s="38" t="str">
        <f>IFERROR(IF(B437="","",VLOOKUP(B437,DB_Customers!$A:$B,2,0)),"")</f>
        <v/>
      </c>
      <c r="D437" s="45"/>
      <c r="E437" s="33"/>
      <c r="F437" s="46" t="str">
        <f t="shared" ca="1" si="13"/>
        <v/>
      </c>
      <c r="G437" s="32"/>
      <c r="H437" s="47" t="str">
        <f>IFERROR(IF(OR(B437="",E437=""),"",SUMIF(DB_Loans!$B:$B,B437,DB_Loans!$E:$E)+E437),"")</f>
        <v/>
      </c>
      <c r="I437" s="47" t="str">
        <f>IFERROR(IF(OR(B437="",E437=""),"",SUMIF(DB_Loans!$B:$B,B437,DB_Loans!$J:$J)+(E437*0.025)),"")</f>
        <v/>
      </c>
      <c r="J437" s="32"/>
    </row>
    <row r="438" spans="1:10" ht="19.5" customHeight="1" x14ac:dyDescent="0.25">
      <c r="A438" s="31" t="str">
        <f t="shared" si="12"/>
        <v/>
      </c>
      <c r="B438" s="45"/>
      <c r="C438" s="38" t="str">
        <f>IFERROR(IF(B438="","",VLOOKUP(B438,DB_Customers!$A:$B,2,0)),"")</f>
        <v/>
      </c>
      <c r="D438" s="45"/>
      <c r="E438" s="33"/>
      <c r="F438" s="46" t="str">
        <f t="shared" ca="1" si="13"/>
        <v/>
      </c>
      <c r="G438" s="32"/>
      <c r="H438" s="47" t="str">
        <f>IFERROR(IF(OR(B438="",E438=""),"",SUMIF(DB_Loans!$B:$B,B438,DB_Loans!$E:$E)+E438),"")</f>
        <v/>
      </c>
      <c r="I438" s="47" t="str">
        <f>IFERROR(IF(OR(B438="",E438=""),"",SUMIF(DB_Loans!$B:$B,B438,DB_Loans!$J:$J)+(E438*0.025)),"")</f>
        <v/>
      </c>
      <c r="J438" s="32"/>
    </row>
    <row r="439" spans="1:10" ht="19.5" customHeight="1" x14ac:dyDescent="0.25">
      <c r="A439" s="31" t="str">
        <f t="shared" si="12"/>
        <v/>
      </c>
      <c r="B439" s="45"/>
      <c r="C439" s="38" t="str">
        <f>IFERROR(IF(B439="","",VLOOKUP(B439,DB_Customers!$A:$B,2,0)),"")</f>
        <v/>
      </c>
      <c r="D439" s="45"/>
      <c r="E439" s="33"/>
      <c r="F439" s="46" t="str">
        <f t="shared" ca="1" si="13"/>
        <v/>
      </c>
      <c r="G439" s="32"/>
      <c r="H439" s="47" t="str">
        <f>IFERROR(IF(OR(B439="",E439=""),"",SUMIF(DB_Loans!$B:$B,B439,DB_Loans!$E:$E)+E439),"")</f>
        <v/>
      </c>
      <c r="I439" s="47" t="str">
        <f>IFERROR(IF(OR(B439="",E439=""),"",SUMIF(DB_Loans!$B:$B,B439,DB_Loans!$J:$J)+(E439*0.025)),"")</f>
        <v/>
      </c>
      <c r="J439" s="32"/>
    </row>
    <row r="440" spans="1:10" ht="19.5" customHeight="1" x14ac:dyDescent="0.25">
      <c r="A440" s="31" t="str">
        <f t="shared" si="12"/>
        <v/>
      </c>
      <c r="B440" s="45"/>
      <c r="C440" s="38" t="str">
        <f>IFERROR(IF(B440="","",VLOOKUP(B440,DB_Customers!$A:$B,2,0)),"")</f>
        <v/>
      </c>
      <c r="D440" s="45"/>
      <c r="E440" s="33"/>
      <c r="F440" s="46" t="str">
        <f t="shared" ca="1" si="13"/>
        <v/>
      </c>
      <c r="G440" s="32"/>
      <c r="H440" s="47" t="str">
        <f>IFERROR(IF(OR(B440="",E440=""),"",SUMIF(DB_Loans!$B:$B,B440,DB_Loans!$E:$E)+E440),"")</f>
        <v/>
      </c>
      <c r="I440" s="47" t="str">
        <f>IFERROR(IF(OR(B440="",E440=""),"",SUMIF(DB_Loans!$B:$B,B440,DB_Loans!$J:$J)+(E440*0.025)),"")</f>
        <v/>
      </c>
      <c r="J440" s="32"/>
    </row>
    <row r="441" spans="1:10" ht="19.5" customHeight="1" x14ac:dyDescent="0.25">
      <c r="A441" s="31" t="str">
        <f t="shared" si="12"/>
        <v/>
      </c>
      <c r="B441" s="45"/>
      <c r="C441" s="38" t="str">
        <f>IFERROR(IF(B441="","",VLOOKUP(B441,DB_Customers!$A:$B,2,0)),"")</f>
        <v/>
      </c>
      <c r="D441" s="45"/>
      <c r="E441" s="33"/>
      <c r="F441" s="46" t="str">
        <f t="shared" ca="1" si="13"/>
        <v/>
      </c>
      <c r="G441" s="32"/>
      <c r="H441" s="47" t="str">
        <f>IFERROR(IF(OR(B441="",E441=""),"",SUMIF(DB_Loans!$B:$B,B441,DB_Loans!$E:$E)+E441),"")</f>
        <v/>
      </c>
      <c r="I441" s="47" t="str">
        <f>IFERROR(IF(OR(B441="",E441=""),"",SUMIF(DB_Loans!$B:$B,B441,DB_Loans!$J:$J)+(E441*0.025)),"")</f>
        <v/>
      </c>
      <c r="J441" s="32"/>
    </row>
    <row r="442" spans="1:10" ht="19.5" customHeight="1" x14ac:dyDescent="0.25">
      <c r="A442" s="31" t="str">
        <f t="shared" si="12"/>
        <v/>
      </c>
      <c r="B442" s="45"/>
      <c r="C442" s="38" t="str">
        <f>IFERROR(IF(B442="","",VLOOKUP(B442,DB_Customers!$A:$B,2,0)),"")</f>
        <v/>
      </c>
      <c r="D442" s="45"/>
      <c r="E442" s="33"/>
      <c r="F442" s="46" t="str">
        <f t="shared" ca="1" si="13"/>
        <v/>
      </c>
      <c r="G442" s="32"/>
      <c r="H442" s="47" t="str">
        <f>IFERROR(IF(OR(B442="",E442=""),"",SUMIF(DB_Loans!$B:$B,B442,DB_Loans!$E:$E)+E442),"")</f>
        <v/>
      </c>
      <c r="I442" s="47" t="str">
        <f>IFERROR(IF(OR(B442="",E442=""),"",SUMIF(DB_Loans!$B:$B,B442,DB_Loans!$J:$J)+(E442*0.025)),"")</f>
        <v/>
      </c>
      <c r="J442" s="32"/>
    </row>
    <row r="443" spans="1:10" ht="19.5" customHeight="1" x14ac:dyDescent="0.25">
      <c r="A443" s="31" t="str">
        <f t="shared" si="12"/>
        <v/>
      </c>
      <c r="B443" s="45"/>
      <c r="C443" s="38" t="str">
        <f>IFERROR(IF(B443="","",VLOOKUP(B443,DB_Customers!$A:$B,2,0)),"")</f>
        <v/>
      </c>
      <c r="D443" s="45"/>
      <c r="E443" s="33"/>
      <c r="F443" s="46" t="str">
        <f t="shared" ca="1" si="13"/>
        <v/>
      </c>
      <c r="G443" s="32"/>
      <c r="H443" s="47" t="str">
        <f>IFERROR(IF(OR(B443="",E443=""),"",SUMIF(DB_Loans!$B:$B,B443,DB_Loans!$E:$E)+E443),"")</f>
        <v/>
      </c>
      <c r="I443" s="47" t="str">
        <f>IFERROR(IF(OR(B443="",E443=""),"",SUMIF(DB_Loans!$B:$B,B443,DB_Loans!$J:$J)+(E443*0.025)),"")</f>
        <v/>
      </c>
      <c r="J443" s="32"/>
    </row>
    <row r="444" spans="1:10" ht="19.5" customHeight="1" x14ac:dyDescent="0.25">
      <c r="A444" s="31" t="str">
        <f t="shared" si="12"/>
        <v/>
      </c>
      <c r="B444" s="45"/>
      <c r="C444" s="38" t="str">
        <f>IFERROR(IF(B444="","",VLOOKUP(B444,DB_Customers!$A:$B,2,0)),"")</f>
        <v/>
      </c>
      <c r="D444" s="45"/>
      <c r="E444" s="33"/>
      <c r="F444" s="46" t="str">
        <f t="shared" ca="1" si="13"/>
        <v/>
      </c>
      <c r="G444" s="32"/>
      <c r="H444" s="47" t="str">
        <f>IFERROR(IF(OR(B444="",E444=""),"",SUMIF(DB_Loans!$B:$B,B444,DB_Loans!$E:$E)+E444),"")</f>
        <v/>
      </c>
      <c r="I444" s="47" t="str">
        <f>IFERROR(IF(OR(B444="",E444=""),"",SUMIF(DB_Loans!$B:$B,B444,DB_Loans!$J:$J)+(E444*0.025)),"")</f>
        <v/>
      </c>
      <c r="J444" s="32"/>
    </row>
    <row r="445" spans="1:10" ht="19.5" customHeight="1" x14ac:dyDescent="0.25">
      <c r="A445" s="31" t="str">
        <f t="shared" si="12"/>
        <v/>
      </c>
      <c r="B445" s="45"/>
      <c r="C445" s="38" t="str">
        <f>IFERROR(IF(B445="","",VLOOKUP(B445,DB_Customers!$A:$B,2,0)),"")</f>
        <v/>
      </c>
      <c r="D445" s="45"/>
      <c r="E445" s="33"/>
      <c r="F445" s="46" t="str">
        <f t="shared" ca="1" si="13"/>
        <v/>
      </c>
      <c r="G445" s="32"/>
      <c r="H445" s="47" t="str">
        <f>IFERROR(IF(OR(B445="",E445=""),"",SUMIF(DB_Loans!$B:$B,B445,DB_Loans!$E:$E)+E445),"")</f>
        <v/>
      </c>
      <c r="I445" s="47" t="str">
        <f>IFERROR(IF(OR(B445="",E445=""),"",SUMIF(DB_Loans!$B:$B,B445,DB_Loans!$J:$J)+(E445*0.025)),"")</f>
        <v/>
      </c>
      <c r="J445" s="32"/>
    </row>
    <row r="446" spans="1:10" ht="19.5" customHeight="1" x14ac:dyDescent="0.25">
      <c r="A446" s="31" t="str">
        <f t="shared" si="12"/>
        <v/>
      </c>
      <c r="B446" s="45"/>
      <c r="C446" s="38" t="str">
        <f>IFERROR(IF(B446="","",VLOOKUP(B446,DB_Customers!$A:$B,2,0)),"")</f>
        <v/>
      </c>
      <c r="D446" s="45"/>
      <c r="E446" s="33"/>
      <c r="F446" s="46" t="str">
        <f t="shared" ca="1" si="13"/>
        <v/>
      </c>
      <c r="G446" s="32"/>
      <c r="H446" s="47" t="str">
        <f>IFERROR(IF(OR(B446="",E446=""),"",SUMIF(DB_Loans!$B:$B,B446,DB_Loans!$E:$E)+E446),"")</f>
        <v/>
      </c>
      <c r="I446" s="47" t="str">
        <f>IFERROR(IF(OR(B446="",E446=""),"",SUMIF(DB_Loans!$B:$B,B446,DB_Loans!$J:$J)+(E446*0.025)),"")</f>
        <v/>
      </c>
      <c r="J446" s="32"/>
    </row>
    <row r="447" spans="1:10" ht="19.5" customHeight="1" x14ac:dyDescent="0.25">
      <c r="A447" s="31" t="str">
        <f t="shared" si="12"/>
        <v/>
      </c>
      <c r="B447" s="45"/>
      <c r="C447" s="38" t="str">
        <f>IFERROR(IF(B447="","",VLOOKUP(B447,DB_Customers!$A:$B,2,0)),"")</f>
        <v/>
      </c>
      <c r="D447" s="45"/>
      <c r="E447" s="33"/>
      <c r="F447" s="46" t="str">
        <f t="shared" ca="1" si="13"/>
        <v/>
      </c>
      <c r="G447" s="32"/>
      <c r="H447" s="47" t="str">
        <f>IFERROR(IF(OR(B447="",E447=""),"",SUMIF(DB_Loans!$B:$B,B447,DB_Loans!$E:$E)+E447),"")</f>
        <v/>
      </c>
      <c r="I447" s="47" t="str">
        <f>IFERROR(IF(OR(B447="",E447=""),"",SUMIF(DB_Loans!$B:$B,B447,DB_Loans!$J:$J)+(E447*0.025)),"")</f>
        <v/>
      </c>
      <c r="J447" s="32"/>
    </row>
    <row r="448" spans="1:10" ht="19.5" customHeight="1" x14ac:dyDescent="0.25">
      <c r="A448" s="31" t="str">
        <f t="shared" si="12"/>
        <v/>
      </c>
      <c r="B448" s="45"/>
      <c r="C448" s="38" t="str">
        <f>IFERROR(IF(B448="","",VLOOKUP(B448,DB_Customers!$A:$B,2,0)),"")</f>
        <v/>
      </c>
      <c r="D448" s="45"/>
      <c r="E448" s="33"/>
      <c r="F448" s="46" t="str">
        <f t="shared" ca="1" si="13"/>
        <v/>
      </c>
      <c r="G448" s="32"/>
      <c r="H448" s="47" t="str">
        <f>IFERROR(IF(OR(B448="",E448=""),"",SUMIF(DB_Loans!$B:$B,B448,DB_Loans!$E:$E)+E448),"")</f>
        <v/>
      </c>
      <c r="I448" s="47" t="str">
        <f>IFERROR(IF(OR(B448="",E448=""),"",SUMIF(DB_Loans!$B:$B,B448,DB_Loans!$J:$J)+(E448*0.025)),"")</f>
        <v/>
      </c>
      <c r="J448" s="32"/>
    </row>
    <row r="449" spans="1:10" ht="19.5" customHeight="1" x14ac:dyDescent="0.25">
      <c r="A449" s="31" t="str">
        <f t="shared" si="12"/>
        <v/>
      </c>
      <c r="B449" s="45"/>
      <c r="C449" s="38" t="str">
        <f>IFERROR(IF(B449="","",VLOOKUP(B449,DB_Customers!$A:$B,2,0)),"")</f>
        <v/>
      </c>
      <c r="D449" s="45"/>
      <c r="E449" s="33"/>
      <c r="F449" s="46" t="str">
        <f t="shared" ca="1" si="13"/>
        <v/>
      </c>
      <c r="G449" s="32"/>
      <c r="H449" s="47" t="str">
        <f>IFERROR(IF(OR(B449="",E449=""),"",SUMIF(DB_Loans!$B:$B,B449,DB_Loans!$E:$E)+E449),"")</f>
        <v/>
      </c>
      <c r="I449" s="47" t="str">
        <f>IFERROR(IF(OR(B449="",E449=""),"",SUMIF(DB_Loans!$B:$B,B449,DB_Loans!$J:$J)+(E449*0.025)),"")</f>
        <v/>
      </c>
      <c r="J449" s="32"/>
    </row>
    <row r="450" spans="1:10" ht="19.5" customHeight="1" x14ac:dyDescent="0.25">
      <c r="A450" s="31" t="str">
        <f t="shared" si="12"/>
        <v/>
      </c>
      <c r="B450" s="45"/>
      <c r="C450" s="38" t="str">
        <f>IFERROR(IF(B450="","",VLOOKUP(B450,DB_Customers!$A:$B,2,0)),"")</f>
        <v/>
      </c>
      <c r="D450" s="45"/>
      <c r="E450" s="33"/>
      <c r="F450" s="46" t="str">
        <f t="shared" ca="1" si="13"/>
        <v/>
      </c>
      <c r="G450" s="32"/>
      <c r="H450" s="47" t="str">
        <f>IFERROR(IF(OR(B450="",E450=""),"",SUMIF(DB_Loans!$B:$B,B450,DB_Loans!$E:$E)+E450),"")</f>
        <v/>
      </c>
      <c r="I450" s="47" t="str">
        <f>IFERROR(IF(OR(B450="",E450=""),"",SUMIF(DB_Loans!$B:$B,B450,DB_Loans!$J:$J)+(E450*0.025)),"")</f>
        <v/>
      </c>
      <c r="J450" s="32"/>
    </row>
    <row r="451" spans="1:10" ht="19.5" customHeight="1" x14ac:dyDescent="0.25">
      <c r="A451" s="31" t="str">
        <f t="shared" si="12"/>
        <v/>
      </c>
      <c r="B451" s="45"/>
      <c r="C451" s="38" t="str">
        <f>IFERROR(IF(B451="","",VLOOKUP(B451,DB_Customers!$A:$B,2,0)),"")</f>
        <v/>
      </c>
      <c r="D451" s="45"/>
      <c r="E451" s="33"/>
      <c r="F451" s="46" t="str">
        <f t="shared" ca="1" si="13"/>
        <v/>
      </c>
      <c r="G451" s="32"/>
      <c r="H451" s="47" t="str">
        <f>IFERROR(IF(OR(B451="",E451=""),"",SUMIF(DB_Loans!$B:$B,B451,DB_Loans!$E:$E)+E451),"")</f>
        <v/>
      </c>
      <c r="I451" s="47" t="str">
        <f>IFERROR(IF(OR(B451="",E451=""),"",SUMIF(DB_Loans!$B:$B,B451,DB_Loans!$J:$J)+(E451*0.025)),"")</f>
        <v/>
      </c>
      <c r="J451" s="32"/>
    </row>
    <row r="452" spans="1:10" ht="19.5" customHeight="1" x14ac:dyDescent="0.25">
      <c r="A452" s="31" t="str">
        <f t="shared" si="12"/>
        <v/>
      </c>
      <c r="B452" s="45"/>
      <c r="C452" s="38" t="str">
        <f>IFERROR(IF(B452="","",VLOOKUP(B452,DB_Customers!$A:$B,2,0)),"")</f>
        <v/>
      </c>
      <c r="D452" s="45"/>
      <c r="E452" s="33"/>
      <c r="F452" s="46" t="str">
        <f t="shared" ca="1" si="13"/>
        <v/>
      </c>
      <c r="G452" s="32"/>
      <c r="H452" s="47" t="str">
        <f>IFERROR(IF(OR(B452="",E452=""),"",SUMIF(DB_Loans!$B:$B,B452,DB_Loans!$E:$E)+E452),"")</f>
        <v/>
      </c>
      <c r="I452" s="47" t="str">
        <f>IFERROR(IF(OR(B452="",E452=""),"",SUMIF(DB_Loans!$B:$B,B452,DB_Loans!$J:$J)+(E452*0.025)),"")</f>
        <v/>
      </c>
      <c r="J452" s="32"/>
    </row>
    <row r="453" spans="1:10" ht="19.5" customHeight="1" x14ac:dyDescent="0.25">
      <c r="A453" s="31" t="str">
        <f t="shared" ref="A453:A504" si="14">IF(B453="","","TU"&amp;TEXT(ROW()-4,"0000"))</f>
        <v/>
      </c>
      <c r="B453" s="45"/>
      <c r="C453" s="38" t="str">
        <f>IFERROR(IF(B453="","",VLOOKUP(B453,DB_Customers!$A:$B,2,0)),"")</f>
        <v/>
      </c>
      <c r="D453" s="45"/>
      <c r="E453" s="33"/>
      <c r="F453" s="46" t="str">
        <f t="shared" ref="F453:F504" ca="1" si="15">IF(B453="","",TODAY())</f>
        <v/>
      </c>
      <c r="G453" s="32"/>
      <c r="H453" s="47" t="str">
        <f>IFERROR(IF(OR(B453="",E453=""),"",SUMIF(DB_Loans!$B:$B,B453,DB_Loans!$E:$E)+E453),"")</f>
        <v/>
      </c>
      <c r="I453" s="47" t="str">
        <f>IFERROR(IF(OR(B453="",E453=""),"",SUMIF(DB_Loans!$B:$B,B453,DB_Loans!$J:$J)+(E453*0.025)),"")</f>
        <v/>
      </c>
      <c r="J453" s="32"/>
    </row>
    <row r="454" spans="1:10" ht="19.5" customHeight="1" x14ac:dyDescent="0.25">
      <c r="A454" s="31" t="str">
        <f t="shared" si="14"/>
        <v/>
      </c>
      <c r="B454" s="45"/>
      <c r="C454" s="38" t="str">
        <f>IFERROR(IF(B454="","",VLOOKUP(B454,DB_Customers!$A:$B,2,0)),"")</f>
        <v/>
      </c>
      <c r="D454" s="45"/>
      <c r="E454" s="33"/>
      <c r="F454" s="46" t="str">
        <f t="shared" ca="1" si="15"/>
        <v/>
      </c>
      <c r="G454" s="32"/>
      <c r="H454" s="47" t="str">
        <f>IFERROR(IF(OR(B454="",E454=""),"",SUMIF(DB_Loans!$B:$B,B454,DB_Loans!$E:$E)+E454),"")</f>
        <v/>
      </c>
      <c r="I454" s="47" t="str">
        <f>IFERROR(IF(OR(B454="",E454=""),"",SUMIF(DB_Loans!$B:$B,B454,DB_Loans!$J:$J)+(E454*0.025)),"")</f>
        <v/>
      </c>
      <c r="J454" s="32"/>
    </row>
    <row r="455" spans="1:10" ht="19.5" customHeight="1" x14ac:dyDescent="0.25">
      <c r="A455" s="31" t="str">
        <f t="shared" si="14"/>
        <v/>
      </c>
      <c r="B455" s="45"/>
      <c r="C455" s="38" t="str">
        <f>IFERROR(IF(B455="","",VLOOKUP(B455,DB_Customers!$A:$B,2,0)),"")</f>
        <v/>
      </c>
      <c r="D455" s="45"/>
      <c r="E455" s="33"/>
      <c r="F455" s="46" t="str">
        <f t="shared" ca="1" si="15"/>
        <v/>
      </c>
      <c r="G455" s="32"/>
      <c r="H455" s="47" t="str">
        <f>IFERROR(IF(OR(B455="",E455=""),"",SUMIF(DB_Loans!$B:$B,B455,DB_Loans!$E:$E)+E455),"")</f>
        <v/>
      </c>
      <c r="I455" s="47" t="str">
        <f>IFERROR(IF(OR(B455="",E455=""),"",SUMIF(DB_Loans!$B:$B,B455,DB_Loans!$J:$J)+(E455*0.025)),"")</f>
        <v/>
      </c>
      <c r="J455" s="32"/>
    </row>
    <row r="456" spans="1:10" ht="19.5" customHeight="1" x14ac:dyDescent="0.25">
      <c r="A456" s="31" t="str">
        <f t="shared" si="14"/>
        <v/>
      </c>
      <c r="B456" s="45"/>
      <c r="C456" s="38" t="str">
        <f>IFERROR(IF(B456="","",VLOOKUP(B456,DB_Customers!$A:$B,2,0)),"")</f>
        <v/>
      </c>
      <c r="D456" s="45"/>
      <c r="E456" s="33"/>
      <c r="F456" s="46" t="str">
        <f t="shared" ca="1" si="15"/>
        <v/>
      </c>
      <c r="G456" s="32"/>
      <c r="H456" s="47" t="str">
        <f>IFERROR(IF(OR(B456="",E456=""),"",SUMIF(DB_Loans!$B:$B,B456,DB_Loans!$E:$E)+E456),"")</f>
        <v/>
      </c>
      <c r="I456" s="47" t="str">
        <f>IFERROR(IF(OR(B456="",E456=""),"",SUMIF(DB_Loans!$B:$B,B456,DB_Loans!$J:$J)+(E456*0.025)),"")</f>
        <v/>
      </c>
      <c r="J456" s="32"/>
    </row>
    <row r="457" spans="1:10" ht="19.5" customHeight="1" x14ac:dyDescent="0.25">
      <c r="A457" s="31" t="str">
        <f t="shared" si="14"/>
        <v/>
      </c>
      <c r="B457" s="45"/>
      <c r="C457" s="38" t="str">
        <f>IFERROR(IF(B457="","",VLOOKUP(B457,DB_Customers!$A:$B,2,0)),"")</f>
        <v/>
      </c>
      <c r="D457" s="45"/>
      <c r="E457" s="33"/>
      <c r="F457" s="46" t="str">
        <f t="shared" ca="1" si="15"/>
        <v/>
      </c>
      <c r="G457" s="32"/>
      <c r="H457" s="47" t="str">
        <f>IFERROR(IF(OR(B457="",E457=""),"",SUMIF(DB_Loans!$B:$B,B457,DB_Loans!$E:$E)+E457),"")</f>
        <v/>
      </c>
      <c r="I457" s="47" t="str">
        <f>IFERROR(IF(OR(B457="",E457=""),"",SUMIF(DB_Loans!$B:$B,B457,DB_Loans!$J:$J)+(E457*0.025)),"")</f>
        <v/>
      </c>
      <c r="J457" s="32"/>
    </row>
    <row r="458" spans="1:10" ht="19.5" customHeight="1" x14ac:dyDescent="0.25">
      <c r="A458" s="31" t="str">
        <f t="shared" si="14"/>
        <v/>
      </c>
      <c r="B458" s="45"/>
      <c r="C458" s="38" t="str">
        <f>IFERROR(IF(B458="","",VLOOKUP(B458,DB_Customers!$A:$B,2,0)),"")</f>
        <v/>
      </c>
      <c r="D458" s="45"/>
      <c r="E458" s="33"/>
      <c r="F458" s="46" t="str">
        <f t="shared" ca="1" si="15"/>
        <v/>
      </c>
      <c r="G458" s="32"/>
      <c r="H458" s="47" t="str">
        <f>IFERROR(IF(OR(B458="",E458=""),"",SUMIF(DB_Loans!$B:$B,B458,DB_Loans!$E:$E)+E458),"")</f>
        <v/>
      </c>
      <c r="I458" s="47" t="str">
        <f>IFERROR(IF(OR(B458="",E458=""),"",SUMIF(DB_Loans!$B:$B,B458,DB_Loans!$J:$J)+(E458*0.025)),"")</f>
        <v/>
      </c>
      <c r="J458" s="32"/>
    </row>
    <row r="459" spans="1:10" ht="19.5" customHeight="1" x14ac:dyDescent="0.25">
      <c r="A459" s="31" t="str">
        <f t="shared" si="14"/>
        <v/>
      </c>
      <c r="B459" s="45"/>
      <c r="C459" s="38" t="str">
        <f>IFERROR(IF(B459="","",VLOOKUP(B459,DB_Customers!$A:$B,2,0)),"")</f>
        <v/>
      </c>
      <c r="D459" s="45"/>
      <c r="E459" s="33"/>
      <c r="F459" s="46" t="str">
        <f t="shared" ca="1" si="15"/>
        <v/>
      </c>
      <c r="G459" s="32"/>
      <c r="H459" s="47" t="str">
        <f>IFERROR(IF(OR(B459="",E459=""),"",SUMIF(DB_Loans!$B:$B,B459,DB_Loans!$E:$E)+E459),"")</f>
        <v/>
      </c>
      <c r="I459" s="47" t="str">
        <f>IFERROR(IF(OR(B459="",E459=""),"",SUMIF(DB_Loans!$B:$B,B459,DB_Loans!$J:$J)+(E459*0.025)),"")</f>
        <v/>
      </c>
      <c r="J459" s="32"/>
    </row>
    <row r="460" spans="1:10" ht="19.5" customHeight="1" x14ac:dyDescent="0.25">
      <c r="A460" s="31" t="str">
        <f t="shared" si="14"/>
        <v/>
      </c>
      <c r="B460" s="45"/>
      <c r="C460" s="38" t="str">
        <f>IFERROR(IF(B460="","",VLOOKUP(B460,DB_Customers!$A:$B,2,0)),"")</f>
        <v/>
      </c>
      <c r="D460" s="45"/>
      <c r="E460" s="33"/>
      <c r="F460" s="46" t="str">
        <f t="shared" ca="1" si="15"/>
        <v/>
      </c>
      <c r="G460" s="32"/>
      <c r="H460" s="47" t="str">
        <f>IFERROR(IF(OR(B460="",E460=""),"",SUMIF(DB_Loans!$B:$B,B460,DB_Loans!$E:$E)+E460),"")</f>
        <v/>
      </c>
      <c r="I460" s="47" t="str">
        <f>IFERROR(IF(OR(B460="",E460=""),"",SUMIF(DB_Loans!$B:$B,B460,DB_Loans!$J:$J)+(E460*0.025)),"")</f>
        <v/>
      </c>
      <c r="J460" s="32"/>
    </row>
    <row r="461" spans="1:10" ht="19.5" customHeight="1" x14ac:dyDescent="0.25">
      <c r="A461" s="31" t="str">
        <f t="shared" si="14"/>
        <v/>
      </c>
      <c r="B461" s="45"/>
      <c r="C461" s="38" t="str">
        <f>IFERROR(IF(B461="","",VLOOKUP(B461,DB_Customers!$A:$B,2,0)),"")</f>
        <v/>
      </c>
      <c r="D461" s="45"/>
      <c r="E461" s="33"/>
      <c r="F461" s="46" t="str">
        <f t="shared" ca="1" si="15"/>
        <v/>
      </c>
      <c r="G461" s="32"/>
      <c r="H461" s="47" t="str">
        <f>IFERROR(IF(OR(B461="",E461=""),"",SUMIF(DB_Loans!$B:$B,B461,DB_Loans!$E:$E)+E461),"")</f>
        <v/>
      </c>
      <c r="I461" s="47" t="str">
        <f>IFERROR(IF(OR(B461="",E461=""),"",SUMIF(DB_Loans!$B:$B,B461,DB_Loans!$J:$J)+(E461*0.025)),"")</f>
        <v/>
      </c>
      <c r="J461" s="32"/>
    </row>
    <row r="462" spans="1:10" ht="19.5" customHeight="1" x14ac:dyDescent="0.25">
      <c r="A462" s="31" t="str">
        <f t="shared" si="14"/>
        <v/>
      </c>
      <c r="B462" s="45"/>
      <c r="C462" s="38" t="str">
        <f>IFERROR(IF(B462="","",VLOOKUP(B462,DB_Customers!$A:$B,2,0)),"")</f>
        <v/>
      </c>
      <c r="D462" s="45"/>
      <c r="E462" s="33"/>
      <c r="F462" s="46" t="str">
        <f t="shared" ca="1" si="15"/>
        <v/>
      </c>
      <c r="G462" s="32"/>
      <c r="H462" s="47" t="str">
        <f>IFERROR(IF(OR(B462="",E462=""),"",SUMIF(DB_Loans!$B:$B,B462,DB_Loans!$E:$E)+E462),"")</f>
        <v/>
      </c>
      <c r="I462" s="47" t="str">
        <f>IFERROR(IF(OR(B462="",E462=""),"",SUMIF(DB_Loans!$B:$B,B462,DB_Loans!$J:$J)+(E462*0.025)),"")</f>
        <v/>
      </c>
      <c r="J462" s="32"/>
    </row>
    <row r="463" spans="1:10" ht="19.5" customHeight="1" x14ac:dyDescent="0.25">
      <c r="A463" s="31" t="str">
        <f t="shared" si="14"/>
        <v/>
      </c>
      <c r="B463" s="45"/>
      <c r="C463" s="38" t="str">
        <f>IFERROR(IF(B463="","",VLOOKUP(B463,DB_Customers!$A:$B,2,0)),"")</f>
        <v/>
      </c>
      <c r="D463" s="45"/>
      <c r="E463" s="33"/>
      <c r="F463" s="46" t="str">
        <f t="shared" ca="1" si="15"/>
        <v/>
      </c>
      <c r="G463" s="32"/>
      <c r="H463" s="47" t="str">
        <f>IFERROR(IF(OR(B463="",E463=""),"",SUMIF(DB_Loans!$B:$B,B463,DB_Loans!$E:$E)+E463),"")</f>
        <v/>
      </c>
      <c r="I463" s="47" t="str">
        <f>IFERROR(IF(OR(B463="",E463=""),"",SUMIF(DB_Loans!$B:$B,B463,DB_Loans!$J:$J)+(E463*0.025)),"")</f>
        <v/>
      </c>
      <c r="J463" s="32"/>
    </row>
    <row r="464" spans="1:10" ht="19.5" customHeight="1" x14ac:dyDescent="0.25">
      <c r="A464" s="31" t="str">
        <f t="shared" si="14"/>
        <v/>
      </c>
      <c r="B464" s="45"/>
      <c r="C464" s="38" t="str">
        <f>IFERROR(IF(B464="","",VLOOKUP(B464,DB_Customers!$A:$B,2,0)),"")</f>
        <v/>
      </c>
      <c r="D464" s="45"/>
      <c r="E464" s="33"/>
      <c r="F464" s="46" t="str">
        <f t="shared" ca="1" si="15"/>
        <v/>
      </c>
      <c r="G464" s="32"/>
      <c r="H464" s="47" t="str">
        <f>IFERROR(IF(OR(B464="",E464=""),"",SUMIF(DB_Loans!$B:$B,B464,DB_Loans!$E:$E)+E464),"")</f>
        <v/>
      </c>
      <c r="I464" s="47" t="str">
        <f>IFERROR(IF(OR(B464="",E464=""),"",SUMIF(DB_Loans!$B:$B,B464,DB_Loans!$J:$J)+(E464*0.025)),"")</f>
        <v/>
      </c>
      <c r="J464" s="32"/>
    </row>
    <row r="465" spans="1:10" ht="19.5" customHeight="1" x14ac:dyDescent="0.25">
      <c r="A465" s="31" t="str">
        <f t="shared" si="14"/>
        <v/>
      </c>
      <c r="B465" s="45"/>
      <c r="C465" s="38" t="str">
        <f>IFERROR(IF(B465="","",VLOOKUP(B465,DB_Customers!$A:$B,2,0)),"")</f>
        <v/>
      </c>
      <c r="D465" s="45"/>
      <c r="E465" s="33"/>
      <c r="F465" s="46" t="str">
        <f t="shared" ca="1" si="15"/>
        <v/>
      </c>
      <c r="G465" s="32"/>
      <c r="H465" s="47" t="str">
        <f>IFERROR(IF(OR(B465="",E465=""),"",SUMIF(DB_Loans!$B:$B,B465,DB_Loans!$E:$E)+E465),"")</f>
        <v/>
      </c>
      <c r="I465" s="47" t="str">
        <f>IFERROR(IF(OR(B465="",E465=""),"",SUMIF(DB_Loans!$B:$B,B465,DB_Loans!$J:$J)+(E465*0.025)),"")</f>
        <v/>
      </c>
      <c r="J465" s="32"/>
    </row>
    <row r="466" spans="1:10" ht="19.5" customHeight="1" x14ac:dyDescent="0.25">
      <c r="A466" s="31" t="str">
        <f t="shared" si="14"/>
        <v/>
      </c>
      <c r="B466" s="45"/>
      <c r="C466" s="38" t="str">
        <f>IFERROR(IF(B466="","",VLOOKUP(B466,DB_Customers!$A:$B,2,0)),"")</f>
        <v/>
      </c>
      <c r="D466" s="45"/>
      <c r="E466" s="33"/>
      <c r="F466" s="46" t="str">
        <f t="shared" ca="1" si="15"/>
        <v/>
      </c>
      <c r="G466" s="32"/>
      <c r="H466" s="47" t="str">
        <f>IFERROR(IF(OR(B466="",E466=""),"",SUMIF(DB_Loans!$B:$B,B466,DB_Loans!$E:$E)+E466),"")</f>
        <v/>
      </c>
      <c r="I466" s="47" t="str">
        <f>IFERROR(IF(OR(B466="",E466=""),"",SUMIF(DB_Loans!$B:$B,B466,DB_Loans!$J:$J)+(E466*0.025)),"")</f>
        <v/>
      </c>
      <c r="J466" s="32"/>
    </row>
    <row r="467" spans="1:10" ht="19.5" customHeight="1" x14ac:dyDescent="0.25">
      <c r="A467" s="31" t="str">
        <f t="shared" si="14"/>
        <v/>
      </c>
      <c r="B467" s="45"/>
      <c r="C467" s="38" t="str">
        <f>IFERROR(IF(B467="","",VLOOKUP(B467,DB_Customers!$A:$B,2,0)),"")</f>
        <v/>
      </c>
      <c r="D467" s="45"/>
      <c r="E467" s="33"/>
      <c r="F467" s="46" t="str">
        <f t="shared" ca="1" si="15"/>
        <v/>
      </c>
      <c r="G467" s="32"/>
      <c r="H467" s="47" t="str">
        <f>IFERROR(IF(OR(B467="",E467=""),"",SUMIF(DB_Loans!$B:$B,B467,DB_Loans!$E:$E)+E467),"")</f>
        <v/>
      </c>
      <c r="I467" s="47" t="str">
        <f>IFERROR(IF(OR(B467="",E467=""),"",SUMIF(DB_Loans!$B:$B,B467,DB_Loans!$J:$J)+(E467*0.025)),"")</f>
        <v/>
      </c>
      <c r="J467" s="32"/>
    </row>
    <row r="468" spans="1:10" ht="19.5" customHeight="1" x14ac:dyDescent="0.25">
      <c r="A468" s="31" t="str">
        <f t="shared" si="14"/>
        <v/>
      </c>
      <c r="B468" s="45"/>
      <c r="C468" s="38" t="str">
        <f>IFERROR(IF(B468="","",VLOOKUP(B468,DB_Customers!$A:$B,2,0)),"")</f>
        <v/>
      </c>
      <c r="D468" s="45"/>
      <c r="E468" s="33"/>
      <c r="F468" s="46" t="str">
        <f t="shared" ca="1" si="15"/>
        <v/>
      </c>
      <c r="G468" s="32"/>
      <c r="H468" s="47" t="str">
        <f>IFERROR(IF(OR(B468="",E468=""),"",SUMIF(DB_Loans!$B:$B,B468,DB_Loans!$E:$E)+E468),"")</f>
        <v/>
      </c>
      <c r="I468" s="47" t="str">
        <f>IFERROR(IF(OR(B468="",E468=""),"",SUMIF(DB_Loans!$B:$B,B468,DB_Loans!$J:$J)+(E468*0.025)),"")</f>
        <v/>
      </c>
      <c r="J468" s="32"/>
    </row>
    <row r="469" spans="1:10" ht="19.5" customHeight="1" x14ac:dyDescent="0.25">
      <c r="A469" s="31" t="str">
        <f t="shared" si="14"/>
        <v/>
      </c>
      <c r="B469" s="45"/>
      <c r="C469" s="38" t="str">
        <f>IFERROR(IF(B469="","",VLOOKUP(B469,DB_Customers!$A:$B,2,0)),"")</f>
        <v/>
      </c>
      <c r="D469" s="45"/>
      <c r="E469" s="33"/>
      <c r="F469" s="46" t="str">
        <f t="shared" ca="1" si="15"/>
        <v/>
      </c>
      <c r="G469" s="32"/>
      <c r="H469" s="47" t="str">
        <f>IFERROR(IF(OR(B469="",E469=""),"",SUMIF(DB_Loans!$B:$B,B469,DB_Loans!$E:$E)+E469),"")</f>
        <v/>
      </c>
      <c r="I469" s="47" t="str">
        <f>IFERROR(IF(OR(B469="",E469=""),"",SUMIF(DB_Loans!$B:$B,B469,DB_Loans!$J:$J)+(E469*0.025)),"")</f>
        <v/>
      </c>
      <c r="J469" s="32"/>
    </row>
    <row r="470" spans="1:10" ht="19.5" customHeight="1" x14ac:dyDescent="0.25">
      <c r="A470" s="31" t="str">
        <f t="shared" si="14"/>
        <v/>
      </c>
      <c r="B470" s="45"/>
      <c r="C470" s="38" t="str">
        <f>IFERROR(IF(B470="","",VLOOKUP(B470,DB_Customers!$A:$B,2,0)),"")</f>
        <v/>
      </c>
      <c r="D470" s="45"/>
      <c r="E470" s="33"/>
      <c r="F470" s="46" t="str">
        <f t="shared" ca="1" si="15"/>
        <v/>
      </c>
      <c r="G470" s="32"/>
      <c r="H470" s="47" t="str">
        <f>IFERROR(IF(OR(B470="",E470=""),"",SUMIF(DB_Loans!$B:$B,B470,DB_Loans!$E:$E)+E470),"")</f>
        <v/>
      </c>
      <c r="I470" s="47" t="str">
        <f>IFERROR(IF(OR(B470="",E470=""),"",SUMIF(DB_Loans!$B:$B,B470,DB_Loans!$J:$J)+(E470*0.025)),"")</f>
        <v/>
      </c>
      <c r="J470" s="32"/>
    </row>
    <row r="471" spans="1:10" ht="19.5" customHeight="1" x14ac:dyDescent="0.25">
      <c r="A471" s="31" t="str">
        <f t="shared" si="14"/>
        <v/>
      </c>
      <c r="B471" s="45"/>
      <c r="C471" s="38" t="str">
        <f>IFERROR(IF(B471="","",VLOOKUP(B471,DB_Customers!$A:$B,2,0)),"")</f>
        <v/>
      </c>
      <c r="D471" s="45"/>
      <c r="E471" s="33"/>
      <c r="F471" s="46" t="str">
        <f t="shared" ca="1" si="15"/>
        <v/>
      </c>
      <c r="G471" s="32"/>
      <c r="H471" s="47" t="str">
        <f>IFERROR(IF(OR(B471="",E471=""),"",SUMIF(DB_Loans!$B:$B,B471,DB_Loans!$E:$E)+E471),"")</f>
        <v/>
      </c>
      <c r="I471" s="47" t="str">
        <f>IFERROR(IF(OR(B471="",E471=""),"",SUMIF(DB_Loans!$B:$B,B471,DB_Loans!$J:$J)+(E471*0.025)),"")</f>
        <v/>
      </c>
      <c r="J471" s="32"/>
    </row>
    <row r="472" spans="1:10" ht="19.5" customHeight="1" x14ac:dyDescent="0.25">
      <c r="A472" s="31" t="str">
        <f t="shared" si="14"/>
        <v/>
      </c>
      <c r="B472" s="45"/>
      <c r="C472" s="38" t="str">
        <f>IFERROR(IF(B472="","",VLOOKUP(B472,DB_Customers!$A:$B,2,0)),"")</f>
        <v/>
      </c>
      <c r="D472" s="45"/>
      <c r="E472" s="33"/>
      <c r="F472" s="46" t="str">
        <f t="shared" ca="1" si="15"/>
        <v/>
      </c>
      <c r="G472" s="32"/>
      <c r="H472" s="47" t="str">
        <f>IFERROR(IF(OR(B472="",E472=""),"",SUMIF(DB_Loans!$B:$B,B472,DB_Loans!$E:$E)+E472),"")</f>
        <v/>
      </c>
      <c r="I472" s="47" t="str">
        <f>IFERROR(IF(OR(B472="",E472=""),"",SUMIF(DB_Loans!$B:$B,B472,DB_Loans!$J:$J)+(E472*0.025)),"")</f>
        <v/>
      </c>
      <c r="J472" s="32"/>
    </row>
    <row r="473" spans="1:10" ht="19.5" customHeight="1" x14ac:dyDescent="0.25">
      <c r="A473" s="31" t="str">
        <f t="shared" si="14"/>
        <v/>
      </c>
      <c r="B473" s="45"/>
      <c r="C473" s="38" t="str">
        <f>IFERROR(IF(B473="","",VLOOKUP(B473,DB_Customers!$A:$B,2,0)),"")</f>
        <v/>
      </c>
      <c r="D473" s="45"/>
      <c r="E473" s="33"/>
      <c r="F473" s="46" t="str">
        <f t="shared" ca="1" si="15"/>
        <v/>
      </c>
      <c r="G473" s="32"/>
      <c r="H473" s="47" t="str">
        <f>IFERROR(IF(OR(B473="",E473=""),"",SUMIF(DB_Loans!$B:$B,B473,DB_Loans!$E:$E)+E473),"")</f>
        <v/>
      </c>
      <c r="I473" s="47" t="str">
        <f>IFERROR(IF(OR(B473="",E473=""),"",SUMIF(DB_Loans!$B:$B,B473,DB_Loans!$J:$J)+(E473*0.025)),"")</f>
        <v/>
      </c>
      <c r="J473" s="32"/>
    </row>
    <row r="474" spans="1:10" ht="19.5" customHeight="1" x14ac:dyDescent="0.25">
      <c r="A474" s="31" t="str">
        <f t="shared" si="14"/>
        <v/>
      </c>
      <c r="B474" s="45"/>
      <c r="C474" s="38" t="str">
        <f>IFERROR(IF(B474="","",VLOOKUP(B474,DB_Customers!$A:$B,2,0)),"")</f>
        <v/>
      </c>
      <c r="D474" s="45"/>
      <c r="E474" s="33"/>
      <c r="F474" s="46" t="str">
        <f t="shared" ca="1" si="15"/>
        <v/>
      </c>
      <c r="G474" s="32"/>
      <c r="H474" s="47" t="str">
        <f>IFERROR(IF(OR(B474="",E474=""),"",SUMIF(DB_Loans!$B:$B,B474,DB_Loans!$E:$E)+E474),"")</f>
        <v/>
      </c>
      <c r="I474" s="47" t="str">
        <f>IFERROR(IF(OR(B474="",E474=""),"",SUMIF(DB_Loans!$B:$B,B474,DB_Loans!$J:$J)+(E474*0.025)),"")</f>
        <v/>
      </c>
      <c r="J474" s="32"/>
    </row>
    <row r="475" spans="1:10" ht="19.5" customHeight="1" x14ac:dyDescent="0.25">
      <c r="A475" s="31" t="str">
        <f t="shared" si="14"/>
        <v/>
      </c>
      <c r="B475" s="45"/>
      <c r="C475" s="38" t="str">
        <f>IFERROR(IF(B475="","",VLOOKUP(B475,DB_Customers!$A:$B,2,0)),"")</f>
        <v/>
      </c>
      <c r="D475" s="45"/>
      <c r="E475" s="33"/>
      <c r="F475" s="46" t="str">
        <f t="shared" ca="1" si="15"/>
        <v/>
      </c>
      <c r="G475" s="32"/>
      <c r="H475" s="47" t="str">
        <f>IFERROR(IF(OR(B475="",E475=""),"",SUMIF(DB_Loans!$B:$B,B475,DB_Loans!$E:$E)+E475),"")</f>
        <v/>
      </c>
      <c r="I475" s="47" t="str">
        <f>IFERROR(IF(OR(B475="",E475=""),"",SUMIF(DB_Loans!$B:$B,B475,DB_Loans!$J:$J)+(E475*0.025)),"")</f>
        <v/>
      </c>
      <c r="J475" s="32"/>
    </row>
    <row r="476" spans="1:10" ht="19.5" customHeight="1" x14ac:dyDescent="0.25">
      <c r="A476" s="31" t="str">
        <f t="shared" si="14"/>
        <v/>
      </c>
      <c r="B476" s="45"/>
      <c r="C476" s="38" t="str">
        <f>IFERROR(IF(B476="","",VLOOKUP(B476,DB_Customers!$A:$B,2,0)),"")</f>
        <v/>
      </c>
      <c r="D476" s="45"/>
      <c r="E476" s="33"/>
      <c r="F476" s="46" t="str">
        <f t="shared" ca="1" si="15"/>
        <v/>
      </c>
      <c r="G476" s="32"/>
      <c r="H476" s="47" t="str">
        <f>IFERROR(IF(OR(B476="",E476=""),"",SUMIF(DB_Loans!$B:$B,B476,DB_Loans!$E:$E)+E476),"")</f>
        <v/>
      </c>
      <c r="I476" s="47" t="str">
        <f>IFERROR(IF(OR(B476="",E476=""),"",SUMIF(DB_Loans!$B:$B,B476,DB_Loans!$J:$J)+(E476*0.025)),"")</f>
        <v/>
      </c>
      <c r="J476" s="32"/>
    </row>
    <row r="477" spans="1:10" ht="19.5" customHeight="1" x14ac:dyDescent="0.25">
      <c r="A477" s="31" t="str">
        <f t="shared" si="14"/>
        <v/>
      </c>
      <c r="B477" s="45"/>
      <c r="C477" s="38" t="str">
        <f>IFERROR(IF(B477="","",VLOOKUP(B477,DB_Customers!$A:$B,2,0)),"")</f>
        <v/>
      </c>
      <c r="D477" s="45"/>
      <c r="E477" s="33"/>
      <c r="F477" s="46" t="str">
        <f t="shared" ca="1" si="15"/>
        <v/>
      </c>
      <c r="G477" s="32"/>
      <c r="H477" s="47" t="str">
        <f>IFERROR(IF(OR(B477="",E477=""),"",SUMIF(DB_Loans!$B:$B,B477,DB_Loans!$E:$E)+E477),"")</f>
        <v/>
      </c>
      <c r="I477" s="47" t="str">
        <f>IFERROR(IF(OR(B477="",E477=""),"",SUMIF(DB_Loans!$B:$B,B477,DB_Loans!$J:$J)+(E477*0.025)),"")</f>
        <v/>
      </c>
      <c r="J477" s="32"/>
    </row>
    <row r="478" spans="1:10" ht="19.5" customHeight="1" x14ac:dyDescent="0.25">
      <c r="A478" s="31" t="str">
        <f t="shared" si="14"/>
        <v/>
      </c>
      <c r="B478" s="45"/>
      <c r="C478" s="38" t="str">
        <f>IFERROR(IF(B478="","",VLOOKUP(B478,DB_Customers!$A:$B,2,0)),"")</f>
        <v/>
      </c>
      <c r="D478" s="45"/>
      <c r="E478" s="33"/>
      <c r="F478" s="46" t="str">
        <f t="shared" ca="1" si="15"/>
        <v/>
      </c>
      <c r="G478" s="32"/>
      <c r="H478" s="47" t="str">
        <f>IFERROR(IF(OR(B478="",E478=""),"",SUMIF(DB_Loans!$B:$B,B478,DB_Loans!$E:$E)+E478),"")</f>
        <v/>
      </c>
      <c r="I478" s="47" t="str">
        <f>IFERROR(IF(OR(B478="",E478=""),"",SUMIF(DB_Loans!$B:$B,B478,DB_Loans!$J:$J)+(E478*0.025)),"")</f>
        <v/>
      </c>
      <c r="J478" s="32"/>
    </row>
    <row r="479" spans="1:10" ht="19.5" customHeight="1" x14ac:dyDescent="0.25">
      <c r="A479" s="31" t="str">
        <f t="shared" si="14"/>
        <v/>
      </c>
      <c r="B479" s="45"/>
      <c r="C479" s="38" t="str">
        <f>IFERROR(IF(B479="","",VLOOKUP(B479,DB_Customers!$A:$B,2,0)),"")</f>
        <v/>
      </c>
      <c r="D479" s="45"/>
      <c r="E479" s="33"/>
      <c r="F479" s="46" t="str">
        <f t="shared" ca="1" si="15"/>
        <v/>
      </c>
      <c r="G479" s="32"/>
      <c r="H479" s="47" t="str">
        <f>IFERROR(IF(OR(B479="",E479=""),"",SUMIF(DB_Loans!$B:$B,B479,DB_Loans!$E:$E)+E479),"")</f>
        <v/>
      </c>
      <c r="I479" s="47" t="str">
        <f>IFERROR(IF(OR(B479="",E479=""),"",SUMIF(DB_Loans!$B:$B,B479,DB_Loans!$J:$J)+(E479*0.025)),"")</f>
        <v/>
      </c>
      <c r="J479" s="32"/>
    </row>
    <row r="480" spans="1:10" ht="19.5" customHeight="1" x14ac:dyDescent="0.25">
      <c r="A480" s="31" t="str">
        <f t="shared" si="14"/>
        <v/>
      </c>
      <c r="B480" s="45"/>
      <c r="C480" s="38" t="str">
        <f>IFERROR(IF(B480="","",VLOOKUP(B480,DB_Customers!$A:$B,2,0)),"")</f>
        <v/>
      </c>
      <c r="D480" s="45"/>
      <c r="E480" s="33"/>
      <c r="F480" s="46" t="str">
        <f t="shared" ca="1" si="15"/>
        <v/>
      </c>
      <c r="G480" s="32"/>
      <c r="H480" s="47" t="str">
        <f>IFERROR(IF(OR(B480="",E480=""),"",SUMIF(DB_Loans!$B:$B,B480,DB_Loans!$E:$E)+E480),"")</f>
        <v/>
      </c>
      <c r="I480" s="47" t="str">
        <f>IFERROR(IF(OR(B480="",E480=""),"",SUMIF(DB_Loans!$B:$B,B480,DB_Loans!$J:$J)+(E480*0.025)),"")</f>
        <v/>
      </c>
      <c r="J480" s="32"/>
    </row>
    <row r="481" spans="1:10" ht="19.5" customHeight="1" x14ac:dyDescent="0.25">
      <c r="A481" s="31" t="str">
        <f t="shared" si="14"/>
        <v/>
      </c>
      <c r="B481" s="45"/>
      <c r="C481" s="38" t="str">
        <f>IFERROR(IF(B481="","",VLOOKUP(B481,DB_Customers!$A:$B,2,0)),"")</f>
        <v/>
      </c>
      <c r="D481" s="45"/>
      <c r="E481" s="33"/>
      <c r="F481" s="46" t="str">
        <f t="shared" ca="1" si="15"/>
        <v/>
      </c>
      <c r="G481" s="32"/>
      <c r="H481" s="47" t="str">
        <f>IFERROR(IF(OR(B481="",E481=""),"",SUMIF(DB_Loans!$B:$B,B481,DB_Loans!$E:$E)+E481),"")</f>
        <v/>
      </c>
      <c r="I481" s="47" t="str">
        <f>IFERROR(IF(OR(B481="",E481=""),"",SUMIF(DB_Loans!$B:$B,B481,DB_Loans!$J:$J)+(E481*0.025)),"")</f>
        <v/>
      </c>
      <c r="J481" s="32"/>
    </row>
    <row r="482" spans="1:10" ht="19.5" customHeight="1" x14ac:dyDescent="0.25">
      <c r="A482" s="31" t="str">
        <f t="shared" si="14"/>
        <v/>
      </c>
      <c r="B482" s="45"/>
      <c r="C482" s="38" t="str">
        <f>IFERROR(IF(B482="","",VLOOKUP(B482,DB_Customers!$A:$B,2,0)),"")</f>
        <v/>
      </c>
      <c r="D482" s="45"/>
      <c r="E482" s="33"/>
      <c r="F482" s="46" t="str">
        <f t="shared" ca="1" si="15"/>
        <v/>
      </c>
      <c r="G482" s="32"/>
      <c r="H482" s="47" t="str">
        <f>IFERROR(IF(OR(B482="",E482=""),"",SUMIF(DB_Loans!$B:$B,B482,DB_Loans!$E:$E)+E482),"")</f>
        <v/>
      </c>
      <c r="I482" s="47" t="str">
        <f>IFERROR(IF(OR(B482="",E482=""),"",SUMIF(DB_Loans!$B:$B,B482,DB_Loans!$J:$J)+(E482*0.025)),"")</f>
        <v/>
      </c>
      <c r="J482" s="32"/>
    </row>
    <row r="483" spans="1:10" ht="19.5" customHeight="1" x14ac:dyDescent="0.25">
      <c r="A483" s="31" t="str">
        <f t="shared" si="14"/>
        <v/>
      </c>
      <c r="B483" s="45"/>
      <c r="C483" s="38" t="str">
        <f>IFERROR(IF(B483="","",VLOOKUP(B483,DB_Customers!$A:$B,2,0)),"")</f>
        <v/>
      </c>
      <c r="D483" s="45"/>
      <c r="E483" s="33"/>
      <c r="F483" s="46" t="str">
        <f t="shared" ca="1" si="15"/>
        <v/>
      </c>
      <c r="G483" s="32"/>
      <c r="H483" s="47" t="str">
        <f>IFERROR(IF(OR(B483="",E483=""),"",SUMIF(DB_Loans!$B:$B,B483,DB_Loans!$E:$E)+E483),"")</f>
        <v/>
      </c>
      <c r="I483" s="47" t="str">
        <f>IFERROR(IF(OR(B483="",E483=""),"",SUMIF(DB_Loans!$B:$B,B483,DB_Loans!$J:$J)+(E483*0.025)),"")</f>
        <v/>
      </c>
      <c r="J483" s="32"/>
    </row>
    <row r="484" spans="1:10" ht="19.5" customHeight="1" x14ac:dyDescent="0.25">
      <c r="A484" s="31" t="str">
        <f t="shared" si="14"/>
        <v/>
      </c>
      <c r="B484" s="45"/>
      <c r="C484" s="38" t="str">
        <f>IFERROR(IF(B484="","",VLOOKUP(B484,DB_Customers!$A:$B,2,0)),"")</f>
        <v/>
      </c>
      <c r="D484" s="45"/>
      <c r="E484" s="33"/>
      <c r="F484" s="46" t="str">
        <f t="shared" ca="1" si="15"/>
        <v/>
      </c>
      <c r="G484" s="32"/>
      <c r="H484" s="47" t="str">
        <f>IFERROR(IF(OR(B484="",E484=""),"",SUMIF(DB_Loans!$B:$B,B484,DB_Loans!$E:$E)+E484),"")</f>
        <v/>
      </c>
      <c r="I484" s="47" t="str">
        <f>IFERROR(IF(OR(B484="",E484=""),"",SUMIF(DB_Loans!$B:$B,B484,DB_Loans!$J:$J)+(E484*0.025)),"")</f>
        <v/>
      </c>
      <c r="J484" s="32"/>
    </row>
    <row r="485" spans="1:10" ht="19.5" customHeight="1" x14ac:dyDescent="0.25">
      <c r="A485" s="31" t="str">
        <f t="shared" si="14"/>
        <v/>
      </c>
      <c r="B485" s="45"/>
      <c r="C485" s="38" t="str">
        <f>IFERROR(IF(B485="","",VLOOKUP(B485,DB_Customers!$A:$B,2,0)),"")</f>
        <v/>
      </c>
      <c r="D485" s="45"/>
      <c r="E485" s="33"/>
      <c r="F485" s="46" t="str">
        <f t="shared" ca="1" si="15"/>
        <v/>
      </c>
      <c r="G485" s="32"/>
      <c r="H485" s="47" t="str">
        <f>IFERROR(IF(OR(B485="",E485=""),"",SUMIF(DB_Loans!$B:$B,B485,DB_Loans!$E:$E)+E485),"")</f>
        <v/>
      </c>
      <c r="I485" s="47" t="str">
        <f>IFERROR(IF(OR(B485="",E485=""),"",SUMIF(DB_Loans!$B:$B,B485,DB_Loans!$J:$J)+(E485*0.025)),"")</f>
        <v/>
      </c>
      <c r="J485" s="32"/>
    </row>
    <row r="486" spans="1:10" ht="19.5" customHeight="1" x14ac:dyDescent="0.25">
      <c r="A486" s="31" t="str">
        <f t="shared" si="14"/>
        <v/>
      </c>
      <c r="B486" s="45"/>
      <c r="C486" s="38" t="str">
        <f>IFERROR(IF(B486="","",VLOOKUP(B486,DB_Customers!$A:$B,2,0)),"")</f>
        <v/>
      </c>
      <c r="D486" s="45"/>
      <c r="E486" s="33"/>
      <c r="F486" s="46" t="str">
        <f t="shared" ca="1" si="15"/>
        <v/>
      </c>
      <c r="G486" s="32"/>
      <c r="H486" s="47" t="str">
        <f>IFERROR(IF(OR(B486="",E486=""),"",SUMIF(DB_Loans!$B:$B,B486,DB_Loans!$E:$E)+E486),"")</f>
        <v/>
      </c>
      <c r="I486" s="47" t="str">
        <f>IFERROR(IF(OR(B486="",E486=""),"",SUMIF(DB_Loans!$B:$B,B486,DB_Loans!$J:$J)+(E486*0.025)),"")</f>
        <v/>
      </c>
      <c r="J486" s="32"/>
    </row>
    <row r="487" spans="1:10" ht="19.5" customHeight="1" x14ac:dyDescent="0.25">
      <c r="A487" s="31" t="str">
        <f t="shared" si="14"/>
        <v/>
      </c>
      <c r="B487" s="45"/>
      <c r="C487" s="38" t="str">
        <f>IFERROR(IF(B487="","",VLOOKUP(B487,DB_Customers!$A:$B,2,0)),"")</f>
        <v/>
      </c>
      <c r="D487" s="45"/>
      <c r="E487" s="33"/>
      <c r="F487" s="46" t="str">
        <f t="shared" ca="1" si="15"/>
        <v/>
      </c>
      <c r="G487" s="32"/>
      <c r="H487" s="47" t="str">
        <f>IFERROR(IF(OR(B487="",E487=""),"",SUMIF(DB_Loans!$B:$B,B487,DB_Loans!$E:$E)+E487),"")</f>
        <v/>
      </c>
      <c r="I487" s="47" t="str">
        <f>IFERROR(IF(OR(B487="",E487=""),"",SUMIF(DB_Loans!$B:$B,B487,DB_Loans!$J:$J)+(E487*0.025)),"")</f>
        <v/>
      </c>
      <c r="J487" s="32"/>
    </row>
    <row r="488" spans="1:10" ht="19.5" customHeight="1" x14ac:dyDescent="0.25">
      <c r="A488" s="31" t="str">
        <f t="shared" si="14"/>
        <v/>
      </c>
      <c r="B488" s="45"/>
      <c r="C488" s="38" t="str">
        <f>IFERROR(IF(B488="","",VLOOKUP(B488,DB_Customers!$A:$B,2,0)),"")</f>
        <v/>
      </c>
      <c r="D488" s="45"/>
      <c r="E488" s="33"/>
      <c r="F488" s="46" t="str">
        <f t="shared" ca="1" si="15"/>
        <v/>
      </c>
      <c r="G488" s="32"/>
      <c r="H488" s="47" t="str">
        <f>IFERROR(IF(OR(B488="",E488=""),"",SUMIF(DB_Loans!$B:$B,B488,DB_Loans!$E:$E)+E488),"")</f>
        <v/>
      </c>
      <c r="I488" s="47" t="str">
        <f>IFERROR(IF(OR(B488="",E488=""),"",SUMIF(DB_Loans!$B:$B,B488,DB_Loans!$J:$J)+(E488*0.025)),"")</f>
        <v/>
      </c>
      <c r="J488" s="32"/>
    </row>
    <row r="489" spans="1:10" ht="19.5" customHeight="1" x14ac:dyDescent="0.25">
      <c r="A489" s="31" t="str">
        <f t="shared" si="14"/>
        <v/>
      </c>
      <c r="B489" s="45"/>
      <c r="C489" s="38" t="str">
        <f>IFERROR(IF(B489="","",VLOOKUP(B489,DB_Customers!$A:$B,2,0)),"")</f>
        <v/>
      </c>
      <c r="D489" s="45"/>
      <c r="E489" s="33"/>
      <c r="F489" s="46" t="str">
        <f t="shared" ca="1" si="15"/>
        <v/>
      </c>
      <c r="G489" s="32"/>
      <c r="H489" s="47" t="str">
        <f>IFERROR(IF(OR(B489="",E489=""),"",SUMIF(DB_Loans!$B:$B,B489,DB_Loans!$E:$E)+E489),"")</f>
        <v/>
      </c>
      <c r="I489" s="47" t="str">
        <f>IFERROR(IF(OR(B489="",E489=""),"",SUMIF(DB_Loans!$B:$B,B489,DB_Loans!$J:$J)+(E489*0.025)),"")</f>
        <v/>
      </c>
      <c r="J489" s="32"/>
    </row>
    <row r="490" spans="1:10" ht="19.5" customHeight="1" x14ac:dyDescent="0.25">
      <c r="A490" s="31" t="str">
        <f t="shared" si="14"/>
        <v/>
      </c>
      <c r="B490" s="45"/>
      <c r="C490" s="38" t="str">
        <f>IFERROR(IF(B490="","",VLOOKUP(B490,DB_Customers!$A:$B,2,0)),"")</f>
        <v/>
      </c>
      <c r="D490" s="45"/>
      <c r="E490" s="33"/>
      <c r="F490" s="46" t="str">
        <f t="shared" ca="1" si="15"/>
        <v/>
      </c>
      <c r="G490" s="32"/>
      <c r="H490" s="47" t="str">
        <f>IFERROR(IF(OR(B490="",E490=""),"",SUMIF(DB_Loans!$B:$B,B490,DB_Loans!$E:$E)+E490),"")</f>
        <v/>
      </c>
      <c r="I490" s="47" t="str">
        <f>IFERROR(IF(OR(B490="",E490=""),"",SUMIF(DB_Loans!$B:$B,B490,DB_Loans!$J:$J)+(E490*0.025)),"")</f>
        <v/>
      </c>
      <c r="J490" s="32"/>
    </row>
    <row r="491" spans="1:10" ht="19.5" customHeight="1" x14ac:dyDescent="0.25">
      <c r="A491" s="31" t="str">
        <f t="shared" si="14"/>
        <v/>
      </c>
      <c r="B491" s="45"/>
      <c r="C491" s="38" t="str">
        <f>IFERROR(IF(B491="","",VLOOKUP(B491,DB_Customers!$A:$B,2,0)),"")</f>
        <v/>
      </c>
      <c r="D491" s="45"/>
      <c r="E491" s="33"/>
      <c r="F491" s="46" t="str">
        <f t="shared" ca="1" si="15"/>
        <v/>
      </c>
      <c r="G491" s="32"/>
      <c r="H491" s="47" t="str">
        <f>IFERROR(IF(OR(B491="",E491=""),"",SUMIF(DB_Loans!$B:$B,B491,DB_Loans!$E:$E)+E491),"")</f>
        <v/>
      </c>
      <c r="I491" s="47" t="str">
        <f>IFERROR(IF(OR(B491="",E491=""),"",SUMIF(DB_Loans!$B:$B,B491,DB_Loans!$J:$J)+(E491*0.025)),"")</f>
        <v/>
      </c>
      <c r="J491" s="32"/>
    </row>
    <row r="492" spans="1:10" ht="19.5" customHeight="1" x14ac:dyDescent="0.25">
      <c r="A492" s="31" t="str">
        <f t="shared" si="14"/>
        <v/>
      </c>
      <c r="B492" s="45"/>
      <c r="C492" s="38" t="str">
        <f>IFERROR(IF(B492="","",VLOOKUP(B492,DB_Customers!$A:$B,2,0)),"")</f>
        <v/>
      </c>
      <c r="D492" s="45"/>
      <c r="E492" s="33"/>
      <c r="F492" s="46" t="str">
        <f t="shared" ca="1" si="15"/>
        <v/>
      </c>
      <c r="G492" s="32"/>
      <c r="H492" s="47" t="str">
        <f>IFERROR(IF(OR(B492="",E492=""),"",SUMIF(DB_Loans!$B:$B,B492,DB_Loans!$E:$E)+E492),"")</f>
        <v/>
      </c>
      <c r="I492" s="47" t="str">
        <f>IFERROR(IF(OR(B492="",E492=""),"",SUMIF(DB_Loans!$B:$B,B492,DB_Loans!$J:$J)+(E492*0.025)),"")</f>
        <v/>
      </c>
      <c r="J492" s="32"/>
    </row>
    <row r="493" spans="1:10" ht="19.5" customHeight="1" x14ac:dyDescent="0.25">
      <c r="A493" s="31" t="str">
        <f t="shared" si="14"/>
        <v/>
      </c>
      <c r="B493" s="45"/>
      <c r="C493" s="38" t="str">
        <f>IFERROR(IF(B493="","",VLOOKUP(B493,DB_Customers!$A:$B,2,0)),"")</f>
        <v/>
      </c>
      <c r="D493" s="45"/>
      <c r="E493" s="33"/>
      <c r="F493" s="46" t="str">
        <f t="shared" ca="1" si="15"/>
        <v/>
      </c>
      <c r="G493" s="32"/>
      <c r="H493" s="47" t="str">
        <f>IFERROR(IF(OR(B493="",E493=""),"",SUMIF(DB_Loans!$B:$B,B493,DB_Loans!$E:$E)+E493),"")</f>
        <v/>
      </c>
      <c r="I493" s="47" t="str">
        <f>IFERROR(IF(OR(B493="",E493=""),"",SUMIF(DB_Loans!$B:$B,B493,DB_Loans!$J:$J)+(E493*0.025)),"")</f>
        <v/>
      </c>
      <c r="J493" s="32"/>
    </row>
    <row r="494" spans="1:10" ht="19.5" customHeight="1" x14ac:dyDescent="0.25">
      <c r="A494" s="31" t="str">
        <f t="shared" si="14"/>
        <v/>
      </c>
      <c r="B494" s="45"/>
      <c r="C494" s="38" t="str">
        <f>IFERROR(IF(B494="","",VLOOKUP(B494,DB_Customers!$A:$B,2,0)),"")</f>
        <v/>
      </c>
      <c r="D494" s="45"/>
      <c r="E494" s="33"/>
      <c r="F494" s="46" t="str">
        <f t="shared" ca="1" si="15"/>
        <v/>
      </c>
      <c r="G494" s="32"/>
      <c r="H494" s="47" t="str">
        <f>IFERROR(IF(OR(B494="",E494=""),"",SUMIF(DB_Loans!$B:$B,B494,DB_Loans!$E:$E)+E494),"")</f>
        <v/>
      </c>
      <c r="I494" s="47" t="str">
        <f>IFERROR(IF(OR(B494="",E494=""),"",SUMIF(DB_Loans!$B:$B,B494,DB_Loans!$J:$J)+(E494*0.025)),"")</f>
        <v/>
      </c>
      <c r="J494" s="32"/>
    </row>
    <row r="495" spans="1:10" ht="19.5" customHeight="1" x14ac:dyDescent="0.25">
      <c r="A495" s="31" t="str">
        <f t="shared" si="14"/>
        <v/>
      </c>
      <c r="B495" s="45"/>
      <c r="C495" s="38" t="str">
        <f>IFERROR(IF(B495="","",VLOOKUP(B495,DB_Customers!$A:$B,2,0)),"")</f>
        <v/>
      </c>
      <c r="D495" s="45"/>
      <c r="E495" s="33"/>
      <c r="F495" s="46" t="str">
        <f t="shared" ca="1" si="15"/>
        <v/>
      </c>
      <c r="G495" s="32"/>
      <c r="H495" s="47" t="str">
        <f>IFERROR(IF(OR(B495="",E495=""),"",SUMIF(DB_Loans!$B:$B,B495,DB_Loans!$E:$E)+E495),"")</f>
        <v/>
      </c>
      <c r="I495" s="47" t="str">
        <f>IFERROR(IF(OR(B495="",E495=""),"",SUMIF(DB_Loans!$B:$B,B495,DB_Loans!$J:$J)+(E495*0.025)),"")</f>
        <v/>
      </c>
      <c r="J495" s="32"/>
    </row>
    <row r="496" spans="1:10" ht="19.5" customHeight="1" x14ac:dyDescent="0.25">
      <c r="A496" s="31" t="str">
        <f t="shared" si="14"/>
        <v/>
      </c>
      <c r="B496" s="45"/>
      <c r="C496" s="38" t="str">
        <f>IFERROR(IF(B496="","",VLOOKUP(B496,DB_Customers!$A:$B,2,0)),"")</f>
        <v/>
      </c>
      <c r="D496" s="45"/>
      <c r="E496" s="33"/>
      <c r="F496" s="46" t="str">
        <f t="shared" ca="1" si="15"/>
        <v/>
      </c>
      <c r="G496" s="32"/>
      <c r="H496" s="47" t="str">
        <f>IFERROR(IF(OR(B496="",E496=""),"",SUMIF(DB_Loans!$B:$B,B496,DB_Loans!$E:$E)+E496),"")</f>
        <v/>
      </c>
      <c r="I496" s="47" t="str">
        <f>IFERROR(IF(OR(B496="",E496=""),"",SUMIF(DB_Loans!$B:$B,B496,DB_Loans!$J:$J)+(E496*0.025)),"")</f>
        <v/>
      </c>
      <c r="J496" s="32"/>
    </row>
    <row r="497" spans="1:10" ht="19.5" customHeight="1" x14ac:dyDescent="0.25">
      <c r="A497" s="31" t="str">
        <f t="shared" si="14"/>
        <v/>
      </c>
      <c r="B497" s="45"/>
      <c r="C497" s="38" t="str">
        <f>IFERROR(IF(B497="","",VLOOKUP(B497,DB_Customers!$A:$B,2,0)),"")</f>
        <v/>
      </c>
      <c r="D497" s="45"/>
      <c r="E497" s="33"/>
      <c r="F497" s="46" t="str">
        <f t="shared" ca="1" si="15"/>
        <v/>
      </c>
      <c r="G497" s="32"/>
      <c r="H497" s="47" t="str">
        <f>IFERROR(IF(OR(B497="",E497=""),"",SUMIF(DB_Loans!$B:$B,B497,DB_Loans!$E:$E)+E497),"")</f>
        <v/>
      </c>
      <c r="I497" s="47" t="str">
        <f>IFERROR(IF(OR(B497="",E497=""),"",SUMIF(DB_Loans!$B:$B,B497,DB_Loans!$J:$J)+(E497*0.025)),"")</f>
        <v/>
      </c>
      <c r="J497" s="32"/>
    </row>
    <row r="498" spans="1:10" ht="19.5" customHeight="1" x14ac:dyDescent="0.25">
      <c r="A498" s="31" t="str">
        <f t="shared" si="14"/>
        <v/>
      </c>
      <c r="B498" s="45"/>
      <c r="C498" s="38" t="str">
        <f>IFERROR(IF(B498="","",VLOOKUP(B498,DB_Customers!$A:$B,2,0)),"")</f>
        <v/>
      </c>
      <c r="D498" s="45"/>
      <c r="E498" s="33"/>
      <c r="F498" s="46" t="str">
        <f t="shared" ca="1" si="15"/>
        <v/>
      </c>
      <c r="G498" s="32"/>
      <c r="H498" s="47" t="str">
        <f>IFERROR(IF(OR(B498="",E498=""),"",SUMIF(DB_Loans!$B:$B,B498,DB_Loans!$E:$E)+E498),"")</f>
        <v/>
      </c>
      <c r="I498" s="47" t="str">
        <f>IFERROR(IF(OR(B498="",E498=""),"",SUMIF(DB_Loans!$B:$B,B498,DB_Loans!$J:$J)+(E498*0.025)),"")</f>
        <v/>
      </c>
      <c r="J498" s="32"/>
    </row>
    <row r="499" spans="1:10" ht="19.5" customHeight="1" x14ac:dyDescent="0.25">
      <c r="A499" s="31" t="str">
        <f t="shared" si="14"/>
        <v/>
      </c>
      <c r="B499" s="45"/>
      <c r="C499" s="38" t="str">
        <f>IFERROR(IF(B499="","",VLOOKUP(B499,DB_Customers!$A:$B,2,0)),"")</f>
        <v/>
      </c>
      <c r="D499" s="45"/>
      <c r="E499" s="33"/>
      <c r="F499" s="46" t="str">
        <f t="shared" ca="1" si="15"/>
        <v/>
      </c>
      <c r="G499" s="32"/>
      <c r="H499" s="47" t="str">
        <f>IFERROR(IF(OR(B499="",E499=""),"",SUMIF(DB_Loans!$B:$B,B499,DB_Loans!$E:$E)+E499),"")</f>
        <v/>
      </c>
      <c r="I499" s="47" t="str">
        <f>IFERROR(IF(OR(B499="",E499=""),"",SUMIF(DB_Loans!$B:$B,B499,DB_Loans!$J:$J)+(E499*0.025)),"")</f>
        <v/>
      </c>
      <c r="J499" s="32"/>
    </row>
    <row r="500" spans="1:10" ht="19.5" customHeight="1" x14ac:dyDescent="0.25">
      <c r="A500" s="31" t="str">
        <f t="shared" si="14"/>
        <v/>
      </c>
      <c r="B500" s="45"/>
      <c r="C500" s="38" t="str">
        <f>IFERROR(IF(B500="","",VLOOKUP(B500,DB_Customers!$A:$B,2,0)),"")</f>
        <v/>
      </c>
      <c r="D500" s="45"/>
      <c r="E500" s="33"/>
      <c r="F500" s="46" t="str">
        <f t="shared" ca="1" si="15"/>
        <v/>
      </c>
      <c r="G500" s="32"/>
      <c r="H500" s="47" t="str">
        <f>IFERROR(IF(OR(B500="",E500=""),"",SUMIF(DB_Loans!$B:$B,B500,DB_Loans!$E:$E)+E500),"")</f>
        <v/>
      </c>
      <c r="I500" s="47" t="str">
        <f>IFERROR(IF(OR(B500="",E500=""),"",SUMIF(DB_Loans!$B:$B,B500,DB_Loans!$J:$J)+(E500*0.025)),"")</f>
        <v/>
      </c>
      <c r="J500" s="32"/>
    </row>
    <row r="501" spans="1:10" ht="19.5" customHeight="1" x14ac:dyDescent="0.25">
      <c r="A501" s="31" t="str">
        <f t="shared" si="14"/>
        <v/>
      </c>
      <c r="B501" s="45"/>
      <c r="C501" s="38" t="str">
        <f>IFERROR(IF(B501="","",VLOOKUP(B501,DB_Customers!$A:$B,2,0)),"")</f>
        <v/>
      </c>
      <c r="D501" s="45"/>
      <c r="E501" s="33"/>
      <c r="F501" s="46" t="str">
        <f t="shared" ca="1" si="15"/>
        <v/>
      </c>
      <c r="G501" s="32"/>
      <c r="H501" s="47" t="str">
        <f>IFERROR(IF(OR(B501="",E501=""),"",SUMIF(DB_Loans!$B:$B,B501,DB_Loans!$E:$E)+E501),"")</f>
        <v/>
      </c>
      <c r="I501" s="47" t="str">
        <f>IFERROR(IF(OR(B501="",E501=""),"",SUMIF(DB_Loans!$B:$B,B501,DB_Loans!$J:$J)+(E501*0.025)),"")</f>
        <v/>
      </c>
      <c r="J501" s="32"/>
    </row>
    <row r="502" spans="1:10" ht="19.5" customHeight="1" x14ac:dyDescent="0.25">
      <c r="A502" s="31" t="str">
        <f t="shared" si="14"/>
        <v/>
      </c>
      <c r="B502" s="45"/>
      <c r="C502" s="38" t="str">
        <f>IFERROR(IF(B502="","",VLOOKUP(B502,DB_Customers!$A:$B,2,0)),"")</f>
        <v/>
      </c>
      <c r="D502" s="45"/>
      <c r="E502" s="33"/>
      <c r="F502" s="46" t="str">
        <f t="shared" ca="1" si="15"/>
        <v/>
      </c>
      <c r="G502" s="32"/>
      <c r="H502" s="47" t="str">
        <f>IFERROR(IF(OR(B502="",E502=""),"",SUMIF(DB_Loans!$B:$B,B502,DB_Loans!$E:$E)+E502),"")</f>
        <v/>
      </c>
      <c r="I502" s="47" t="str">
        <f>IFERROR(IF(OR(B502="",E502=""),"",SUMIF(DB_Loans!$B:$B,B502,DB_Loans!$J:$J)+(E502*0.025)),"")</f>
        <v/>
      </c>
      <c r="J502" s="32"/>
    </row>
    <row r="503" spans="1:10" ht="19.5" customHeight="1" x14ac:dyDescent="0.25">
      <c r="A503" s="31" t="str">
        <f t="shared" si="14"/>
        <v/>
      </c>
      <c r="B503" s="45"/>
      <c r="C503" s="38" t="str">
        <f>IFERROR(IF(B503="","",VLOOKUP(B503,DB_Customers!$A:$B,2,0)),"")</f>
        <v/>
      </c>
      <c r="D503" s="45"/>
      <c r="E503" s="33"/>
      <c r="F503" s="46" t="str">
        <f t="shared" ca="1" si="15"/>
        <v/>
      </c>
      <c r="G503" s="32"/>
      <c r="H503" s="47" t="str">
        <f>IFERROR(IF(OR(B503="",E503=""),"",SUMIF(DB_Loans!$B:$B,B503,DB_Loans!$E:$E)+E503),"")</f>
        <v/>
      </c>
      <c r="I503" s="47" t="str">
        <f>IFERROR(IF(OR(B503="",E503=""),"",SUMIF(DB_Loans!$B:$B,B503,DB_Loans!$J:$J)+(E503*0.025)),"")</f>
        <v/>
      </c>
      <c r="J503" s="32"/>
    </row>
    <row r="504" spans="1:10" ht="19.5" customHeight="1" x14ac:dyDescent="0.25">
      <c r="A504" s="31" t="str">
        <f t="shared" si="14"/>
        <v/>
      </c>
      <c r="B504" s="45"/>
      <c r="C504" s="38" t="str">
        <f>IFERROR(IF(B504="","",VLOOKUP(B504,DB_Customers!$A:$B,2,0)),"")</f>
        <v/>
      </c>
      <c r="D504" s="45"/>
      <c r="E504" s="33"/>
      <c r="F504" s="46" t="str">
        <f t="shared" ca="1" si="15"/>
        <v/>
      </c>
      <c r="G504" s="32"/>
      <c r="H504" s="47" t="str">
        <f>IFERROR(IF(OR(B504="",E504=""),"",SUMIF(DB_Loans!$B:$B,B504,DB_Loans!$E:$E)+E504),"")</f>
        <v/>
      </c>
      <c r="I504" s="47" t="str">
        <f>IFERROR(IF(OR(B504="",E504=""),"",SUMIF(DB_Loans!$B:$B,B504,DB_Loans!$J:$J)+(E504*0.025)),"")</f>
        <v/>
      </c>
      <c r="J504" s="32"/>
    </row>
  </sheetData>
  <mergeCells count="3">
    <mergeCell ref="A1:J1"/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75623"/>
  </sheetPr>
  <dimension ref="A1:K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2" sqref="A12"/>
    </sheetView>
  </sheetViews>
  <sheetFormatPr defaultColWidth="8.7109375" defaultRowHeight="15" x14ac:dyDescent="0.25"/>
  <cols>
    <col min="1" max="1" width="23.5703125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03" t="s">
        <v>124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1.75" customHeight="1" x14ac:dyDescent="0.25">
      <c r="A2" s="108" t="s">
        <v>125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9.5" customHeight="1" x14ac:dyDescent="0.25">
      <c r="A3" s="48" t="s">
        <v>126</v>
      </c>
      <c r="D3" s="48" t="s">
        <v>127</v>
      </c>
      <c r="G3" s="48" t="s">
        <v>128</v>
      </c>
    </row>
    <row r="4" spans="1:11" ht="24" customHeight="1" x14ac:dyDescent="0.25">
      <c r="A4" s="49">
        <f ca="1">IFERROR(SUMIFS(DB_Savings!$F:$F,DB_Savings!$D:$D,"Agent 01",DB_Savings!$E:$E,TODAY()),0)</f>
        <v>0</v>
      </c>
      <c r="D4" s="49">
        <f ca="1">IFERROR(COUNTIFS(DB_Savings!$D:$D,"Agent 01",DB_Savings!$E:$E,TODAY()),0)</f>
        <v>0</v>
      </c>
      <c r="G4" s="49" t="str">
        <f ca="1">TEXT(TODAY(),"DDDD, DD MMMM YYYY")</f>
        <v>Saturday, 25 April 2026</v>
      </c>
    </row>
    <row r="5" spans="1:11" ht="15" customHeight="1" x14ac:dyDescent="0.25">
      <c r="A5" s="50" t="s">
        <v>129</v>
      </c>
      <c r="D5" s="51" t="s">
        <v>130</v>
      </c>
      <c r="G5" s="52" t="s">
        <v>131</v>
      </c>
    </row>
    <row r="6" spans="1:11" ht="25.5" customHeight="1" x14ac:dyDescent="0.25">
      <c r="A6" s="109">
        <f ca="1">IFERROR(SUMIFS(DB_Withdrawals!$G:$G,DB_Withdrawals!$I:$I,"Agent 01",DB_Withdrawals!$E:$E,TODAY()),0)</f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1" ht="15.7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50.25" customHeight="1" x14ac:dyDescent="0.25">
      <c r="A8" s="44" t="s">
        <v>132</v>
      </c>
    </row>
    <row r="9" spans="1:11" ht="48" customHeight="1" x14ac:dyDescent="0.25">
      <c r="A9" s="30" t="s">
        <v>133</v>
      </c>
    </row>
    <row r="10" spans="1:11" ht="19.5" customHeight="1" x14ac:dyDescent="0.25">
      <c r="A10" s="19" t="s">
        <v>134</v>
      </c>
      <c r="B10" s="19" t="s">
        <v>69</v>
      </c>
      <c r="C10" s="19" t="s">
        <v>84</v>
      </c>
      <c r="D10" s="19" t="s">
        <v>91</v>
      </c>
      <c r="E10" s="19" t="s">
        <v>135</v>
      </c>
      <c r="F10" s="19" t="s">
        <v>136</v>
      </c>
      <c r="G10" s="19" t="s">
        <v>45</v>
      </c>
      <c r="H10" s="19" t="s">
        <v>137</v>
      </c>
      <c r="I10" s="19" t="s">
        <v>77</v>
      </c>
      <c r="J10" s="19" t="s">
        <v>138</v>
      </c>
      <c r="K10" s="19" t="s">
        <v>95</v>
      </c>
    </row>
    <row r="11" spans="1:11" ht="19.5" customHeight="1" x14ac:dyDescent="0.25">
      <c r="A11" s="45" t="s">
        <v>338</v>
      </c>
      <c r="B11" s="38"/>
      <c r="C11" s="47" t="str">
        <f>IF(A9="","",IFERROR(VLOOKUP(A9,DB_Customers!$A:$M,13,0),""))</f>
        <v/>
      </c>
      <c r="D11" s="46"/>
      <c r="E11" s="33"/>
      <c r="F11" s="47" t="str">
        <f t="shared" ref="F11:F42" si="0">IFERROR(IF(OR(A9="",E9=""),"",C9+E9),"")</f>
        <v/>
      </c>
      <c r="G11" s="31" t="s">
        <v>54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1">IF(I9="✅ Saved",TEXT(TODAY(),"YYYY-MM-DD")&amp;" Auto","—")</f>
        <v>—</v>
      </c>
      <c r="K11" s="22"/>
    </row>
    <row r="12" spans="1:11" ht="19.5" customHeight="1" x14ac:dyDescent="0.25">
      <c r="A12" s="45"/>
      <c r="B12" s="38"/>
      <c r="C12" s="47" t="str">
        <f>IF(A10="","",IFERROR(VLOOKUP(A10,DB_Customers!$A:$M,13,0),""))</f>
        <v/>
      </c>
      <c r="D12" s="46"/>
      <c r="E12" s="33"/>
      <c r="F12" s="47" t="str">
        <f t="shared" si="0"/>
        <v/>
      </c>
      <c r="G12" s="31" t="s">
        <v>54</v>
      </c>
      <c r="H12" s="45"/>
      <c r="I12" s="34"/>
      <c r="J12" s="34" t="str">
        <f t="shared" ca="1" si="1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>FRANK ABBAN</v>
      </c>
      <c r="C13" s="47">
        <f>IF(A11="","",IFERROR(VLOOKUP(A11,DB_Customers!$A:$M,13,0),""))</f>
        <v>400</v>
      </c>
      <c r="D13" s="46">
        <f t="shared" ref="D13:D42" ca="1" si="2">IF(A11="","",TODAY())</f>
        <v>46137</v>
      </c>
      <c r="E13" s="33"/>
      <c r="F13" s="47" t="str">
        <f t="shared" si="0"/>
        <v/>
      </c>
      <c r="G13" s="31" t="s">
        <v>54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>⚠️ Enter Agent Code</v>
      </c>
      <c r="J13" s="34" t="str">
        <f t="shared" ca="1" si="1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2"/>
        <v/>
      </c>
      <c r="E14" s="33"/>
      <c r="F14" s="47" t="str">
        <f t="shared" si="0"/>
        <v/>
      </c>
      <c r="G14" s="31" t="s">
        <v>54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1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2"/>
        <v/>
      </c>
      <c r="E15" s="33"/>
      <c r="F15" s="47" t="str">
        <f t="shared" si="0"/>
        <v/>
      </c>
      <c r="G15" s="31" t="s">
        <v>54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1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2"/>
        <v/>
      </c>
      <c r="E16" s="33"/>
      <c r="F16" s="47" t="str">
        <f t="shared" si="0"/>
        <v/>
      </c>
      <c r="G16" s="31" t="s">
        <v>54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1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2"/>
        <v/>
      </c>
      <c r="E17" s="33"/>
      <c r="F17" s="47" t="str">
        <f t="shared" si="0"/>
        <v/>
      </c>
      <c r="G17" s="31" t="s">
        <v>54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1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2"/>
        <v/>
      </c>
      <c r="E18" s="33"/>
      <c r="F18" s="47" t="str">
        <f t="shared" si="0"/>
        <v/>
      </c>
      <c r="G18" s="31" t="s">
        <v>54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1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2"/>
        <v/>
      </c>
      <c r="E19" s="33"/>
      <c r="F19" s="47" t="str">
        <f t="shared" si="0"/>
        <v/>
      </c>
      <c r="G19" s="31" t="s">
        <v>54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1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2"/>
        <v/>
      </c>
      <c r="E20" s="33"/>
      <c r="F20" s="47" t="str">
        <f t="shared" si="0"/>
        <v/>
      </c>
      <c r="G20" s="31" t="s">
        <v>54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1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2"/>
        <v/>
      </c>
      <c r="E21" s="33"/>
      <c r="F21" s="47" t="str">
        <f t="shared" si="0"/>
        <v/>
      </c>
      <c r="G21" s="31" t="s">
        <v>54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1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2"/>
        <v/>
      </c>
      <c r="E22" s="33"/>
      <c r="F22" s="47" t="str">
        <f t="shared" si="0"/>
        <v/>
      </c>
      <c r="G22" s="31" t="s">
        <v>54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1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2"/>
        <v/>
      </c>
      <c r="E23" s="33"/>
      <c r="F23" s="47" t="str">
        <f t="shared" si="0"/>
        <v/>
      </c>
      <c r="G23" s="31" t="s">
        <v>54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1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2"/>
        <v/>
      </c>
      <c r="E24" s="33"/>
      <c r="F24" s="47" t="str">
        <f t="shared" si="0"/>
        <v/>
      </c>
      <c r="G24" s="31" t="s">
        <v>54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1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2"/>
        <v/>
      </c>
      <c r="E25" s="33"/>
      <c r="F25" s="47" t="str">
        <f t="shared" si="0"/>
        <v/>
      </c>
      <c r="G25" s="31" t="s">
        <v>54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1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2"/>
        <v/>
      </c>
      <c r="E26" s="33"/>
      <c r="F26" s="47" t="str">
        <f t="shared" si="0"/>
        <v/>
      </c>
      <c r="G26" s="31" t="s">
        <v>54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1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2"/>
        <v/>
      </c>
      <c r="E27" s="33"/>
      <c r="F27" s="47" t="str">
        <f t="shared" si="0"/>
        <v/>
      </c>
      <c r="G27" s="31" t="s">
        <v>54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1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2"/>
        <v/>
      </c>
      <c r="E28" s="33"/>
      <c r="F28" s="47" t="str">
        <f t="shared" si="0"/>
        <v/>
      </c>
      <c r="G28" s="31" t="s">
        <v>54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1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2"/>
        <v/>
      </c>
      <c r="E29" s="33"/>
      <c r="F29" s="47" t="str">
        <f t="shared" si="0"/>
        <v/>
      </c>
      <c r="G29" s="31" t="s">
        <v>54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1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2"/>
        <v/>
      </c>
      <c r="E30" s="33"/>
      <c r="F30" s="47" t="str">
        <f t="shared" si="0"/>
        <v/>
      </c>
      <c r="G30" s="31" t="s">
        <v>54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1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2"/>
        <v/>
      </c>
      <c r="E31" s="33"/>
      <c r="F31" s="47" t="str">
        <f t="shared" si="0"/>
        <v/>
      </c>
      <c r="G31" s="31" t="s">
        <v>54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1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2"/>
        <v/>
      </c>
      <c r="E32" s="33"/>
      <c r="F32" s="47" t="str">
        <f t="shared" si="0"/>
        <v/>
      </c>
      <c r="G32" s="31" t="s">
        <v>54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1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2"/>
        <v/>
      </c>
      <c r="E33" s="33"/>
      <c r="F33" s="47" t="str">
        <f t="shared" si="0"/>
        <v/>
      </c>
      <c r="G33" s="31" t="s">
        <v>54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1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2"/>
        <v/>
      </c>
      <c r="E34" s="33"/>
      <c r="F34" s="47" t="str">
        <f t="shared" si="0"/>
        <v/>
      </c>
      <c r="G34" s="31" t="s">
        <v>54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1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2"/>
        <v/>
      </c>
      <c r="E35" s="33"/>
      <c r="F35" s="47" t="str">
        <f t="shared" si="0"/>
        <v/>
      </c>
      <c r="G35" s="31" t="s">
        <v>54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1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2"/>
        <v/>
      </c>
      <c r="E36" s="33"/>
      <c r="F36" s="47" t="str">
        <f t="shared" si="0"/>
        <v/>
      </c>
      <c r="G36" s="31" t="s">
        <v>54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1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2"/>
        <v/>
      </c>
      <c r="E37" s="33"/>
      <c r="F37" s="47" t="str">
        <f t="shared" si="0"/>
        <v/>
      </c>
      <c r="G37" s="31" t="s">
        <v>54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1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2"/>
        <v/>
      </c>
      <c r="E38" s="33"/>
      <c r="F38" s="47" t="str">
        <f t="shared" si="0"/>
        <v/>
      </c>
      <c r="G38" s="31" t="s">
        <v>54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1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2"/>
        <v/>
      </c>
      <c r="E39" s="33"/>
      <c r="F39" s="47" t="str">
        <f t="shared" si="0"/>
        <v/>
      </c>
      <c r="G39" s="31" t="s">
        <v>54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1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2"/>
        <v/>
      </c>
      <c r="E40" s="33"/>
      <c r="F40" s="47" t="str">
        <f t="shared" si="0"/>
        <v/>
      </c>
      <c r="G40" s="31" t="s">
        <v>54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1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2"/>
        <v/>
      </c>
      <c r="E41" s="33"/>
      <c r="F41" s="47" t="str">
        <f t="shared" si="0"/>
        <v/>
      </c>
      <c r="G41" s="31" t="s">
        <v>54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1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2"/>
        <v/>
      </c>
      <c r="E42" s="33"/>
      <c r="F42" s="47" t="str">
        <f t="shared" si="0"/>
        <v/>
      </c>
      <c r="G42" s="31" t="s">
        <v>54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1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54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54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54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54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54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54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54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54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54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54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54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54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54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54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54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54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54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54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54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54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54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54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54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54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54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54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54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54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54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54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54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54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54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54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54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54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54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54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54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54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54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54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54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54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54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54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54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54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54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54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54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54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54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54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54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54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54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54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54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54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54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54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54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54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54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54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54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54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54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54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54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54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54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54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54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54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54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54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54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54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54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54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54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54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54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54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54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54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54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54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54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54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54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54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54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54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54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54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54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54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54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54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54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54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54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54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54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54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54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54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54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54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54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54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54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54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54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54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54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54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54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54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54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54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54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54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54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54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54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54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54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54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54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54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54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54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54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54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54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54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54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54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54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54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54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54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54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54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54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54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54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54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54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54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54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54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54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54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54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54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10" ca="1" si="18">IF(A201="","",TODAY())</f>
        <v/>
      </c>
      <c r="E203" s="33"/>
      <c r="F203" s="47" t="str">
        <f t="shared" ref="F203:F210" si="19">IFERROR(IF(OR(A201="",E201=""),"",C201+E201),"")</f>
        <v/>
      </c>
      <c r="G203" s="31" t="s">
        <v>54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10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54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54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54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54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54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54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54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1:K1"/>
    <mergeCell ref="A2:K2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55A11"/>
  </sheetPr>
  <dimension ref="A1:L210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1" sqref="A11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04" t="s">
        <v>139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5.5" customHeight="1" x14ac:dyDescent="0.25">
      <c r="A2" s="108" t="s">
        <v>140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9.5" customHeight="1" x14ac:dyDescent="0.25">
      <c r="A3" s="54" t="s">
        <v>141</v>
      </c>
      <c r="D3" s="48" t="s">
        <v>142</v>
      </c>
      <c r="G3" s="55" t="s">
        <v>143</v>
      </c>
      <c r="J3" s="54" t="s">
        <v>128</v>
      </c>
    </row>
    <row r="4" spans="1:12" ht="24" customHeight="1" x14ac:dyDescent="0.25">
      <c r="A4" s="56">
        <f ca="1">IFERROR(SUMIFS(DB_Withdrawals!$G:$G,DB_Withdrawals!$I:$I,"Agent 01",DB_Withdrawals!$E:$E,TODAY()),0)</f>
        <v>0</v>
      </c>
      <c r="D4" s="56">
        <f ca="1">IFERROR(COUNTIFS(DB_Withdrawals!$I:$I,"Agent 01",DB_Withdrawals!$J:$J,"✅ Successful",DB_Withdrawals!$E:$E,TODAY()),0)</f>
        <v>0</v>
      </c>
      <c r="G4" s="56">
        <f ca="1">IFERROR(COUNTIFS(DB_Withdrawals!$I:$I,"Agent 01",DB_Withdrawals!$J:$J,"❌ Insufficient Funds",DB_Withdrawals!$E:$E,TODAY()),0)</f>
        <v>0</v>
      </c>
      <c r="J4" s="56" t="str">
        <f ca="1">TEXT(TODAY(),"DD MMM YYYY")</f>
        <v>25 Apr 2026</v>
      </c>
    </row>
    <row r="5" spans="1:12" ht="15" customHeight="1" x14ac:dyDescent="0.25">
      <c r="A5" s="51" t="s">
        <v>144</v>
      </c>
      <c r="D5" s="51" t="s">
        <v>130</v>
      </c>
      <c r="G5" s="52" t="s">
        <v>145</v>
      </c>
    </row>
    <row r="6" spans="1:12" ht="25.5" customHeight="1" x14ac:dyDescent="0.25">
      <c r="A6" s="111">
        <f ca="1">IFERROR(SUMIFS(DB_Savings!$F:$F,DB_Savings!$D:$D,"Agent 01",DB_Savings!$E:$E,TODAY()),0)</f>
        <v>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8" spans="1:12" ht="30" customHeight="1" x14ac:dyDescent="0.25">
      <c r="A8" s="30" t="s">
        <v>146</v>
      </c>
    </row>
    <row r="9" spans="1:12" ht="19.5" customHeight="1" x14ac:dyDescent="0.25"/>
    <row r="10" spans="1:12" ht="19.5" customHeight="1" x14ac:dyDescent="0.25">
      <c r="A10" s="19" t="s">
        <v>134</v>
      </c>
      <c r="B10" s="19" t="s">
        <v>69</v>
      </c>
      <c r="C10" s="19" t="s">
        <v>85</v>
      </c>
      <c r="D10" s="19" t="s">
        <v>91</v>
      </c>
      <c r="E10" s="19" t="s">
        <v>147</v>
      </c>
      <c r="F10" s="19" t="s">
        <v>148</v>
      </c>
      <c r="G10" s="19" t="s">
        <v>136</v>
      </c>
      <c r="H10" s="19" t="s">
        <v>45</v>
      </c>
      <c r="I10" s="19" t="s">
        <v>137</v>
      </c>
      <c r="J10" s="19" t="s">
        <v>77</v>
      </c>
      <c r="K10" s="19" t="s">
        <v>138</v>
      </c>
      <c r="L10" s="19" t="s">
        <v>95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/>
      <c r="E11" s="33"/>
      <c r="F11" s="32"/>
      <c r="G11" s="47" t="str">
        <f t="shared" ref="G11:G42" si="0">IFERROR(IF(OR(A9="",E9=""),"",C9-E9),"")</f>
        <v/>
      </c>
      <c r="H11" s="31" t="s">
        <v>54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1">IF(J9="✅ Successful",TEXT(TODAY(),"YYYY-MM-DD")&amp;" Auto","—")</f>
        <v>—</v>
      </c>
      <c r="L11" s="22"/>
    </row>
    <row r="12" spans="1:12" ht="19.5" customHeight="1" x14ac:dyDescent="0.25">
      <c r="A12" s="45"/>
      <c r="B12" s="38"/>
      <c r="C12" s="47" t="str">
        <f>IF(A10="","",IFERROR(VLOOKUP(A10,DB_Customers!$A:$N,14,0),""))</f>
        <v/>
      </c>
      <c r="D12" s="46"/>
      <c r="E12" s="33"/>
      <c r="F12" s="32"/>
      <c r="G12" s="47" t="str">
        <f t="shared" si="0"/>
        <v/>
      </c>
      <c r="H12" s="31" t="s">
        <v>54</v>
      </c>
      <c r="I12" s="45"/>
      <c r="J12" s="34" t="str">
        <f>IF(AND(A10&lt;&gt;"",E10&lt;&gt;""),IF(I10="","⚠️ Enter Code",IF(IFERROR(VLOOKUP(H10,DB_Agents!$B:$F,4,0),"")=TEXT(I10,"0"),IF(C10&gt;=E10,"✅ Successful","❌ Insufficient Funds"),"🔒 WRONG CODE")),"Pending")</f>
        <v>🔒 WRONG CODE</v>
      </c>
      <c r="K12" s="34" t="str">
        <f t="shared" ca="1" si="1"/>
        <v>—</v>
      </c>
      <c r="L12" s="57"/>
    </row>
    <row r="13" spans="1:12" ht="19.5" customHeight="1" x14ac:dyDescent="0.25">
      <c r="A13" s="45"/>
      <c r="B13" s="38"/>
      <c r="C13" s="47"/>
      <c r="D13" s="46"/>
      <c r="E13" s="33"/>
      <c r="F13" s="32"/>
      <c r="G13" s="47" t="str">
        <f t="shared" si="0"/>
        <v/>
      </c>
      <c r="H13" s="31" t="s">
        <v>54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1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ref="D11:D42" ca="1" si="2">IF(A12="","",TODAY())</f>
        <v/>
      </c>
      <c r="E14" s="33"/>
      <c r="F14" s="32"/>
      <c r="G14" s="47" t="str">
        <f t="shared" si="0"/>
        <v/>
      </c>
      <c r="H14" s="31" t="s">
        <v>54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1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2"/>
        <v/>
      </c>
      <c r="E15" s="33"/>
      <c r="F15" s="32"/>
      <c r="G15" s="47" t="str">
        <f t="shared" si="0"/>
        <v/>
      </c>
      <c r="H15" s="31" t="s">
        <v>54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1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2"/>
        <v/>
      </c>
      <c r="E16" s="33"/>
      <c r="F16" s="32"/>
      <c r="G16" s="47" t="str">
        <f t="shared" si="0"/>
        <v/>
      </c>
      <c r="H16" s="31" t="s">
        <v>54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1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2"/>
        <v/>
      </c>
      <c r="E17" s="33"/>
      <c r="F17" s="32"/>
      <c r="G17" s="47" t="str">
        <f t="shared" si="0"/>
        <v/>
      </c>
      <c r="H17" s="31" t="s">
        <v>54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1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2"/>
        <v/>
      </c>
      <c r="E18" s="33"/>
      <c r="F18" s="32"/>
      <c r="G18" s="47" t="str">
        <f t="shared" si="0"/>
        <v/>
      </c>
      <c r="H18" s="31" t="s">
        <v>54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1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2"/>
        <v/>
      </c>
      <c r="E19" s="33"/>
      <c r="F19" s="32"/>
      <c r="G19" s="47" t="str">
        <f t="shared" si="0"/>
        <v/>
      </c>
      <c r="H19" s="31" t="s">
        <v>54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1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2"/>
        <v/>
      </c>
      <c r="E20" s="33"/>
      <c r="F20" s="32"/>
      <c r="G20" s="47" t="str">
        <f t="shared" si="0"/>
        <v/>
      </c>
      <c r="H20" s="31" t="s">
        <v>54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1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2"/>
        <v/>
      </c>
      <c r="E21" s="33"/>
      <c r="F21" s="32"/>
      <c r="G21" s="47" t="str">
        <f t="shared" si="0"/>
        <v/>
      </c>
      <c r="H21" s="31" t="s">
        <v>54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1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2"/>
        <v/>
      </c>
      <c r="E22" s="33"/>
      <c r="F22" s="32"/>
      <c r="G22" s="47" t="str">
        <f t="shared" si="0"/>
        <v/>
      </c>
      <c r="H22" s="31" t="s">
        <v>54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1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2"/>
        <v/>
      </c>
      <c r="E23" s="33"/>
      <c r="F23" s="32"/>
      <c r="G23" s="47" t="str">
        <f t="shared" si="0"/>
        <v/>
      </c>
      <c r="H23" s="31" t="s">
        <v>54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1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2"/>
        <v/>
      </c>
      <c r="E24" s="33"/>
      <c r="F24" s="32"/>
      <c r="G24" s="47" t="str">
        <f t="shared" si="0"/>
        <v/>
      </c>
      <c r="H24" s="31" t="s">
        <v>54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1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2"/>
        <v/>
      </c>
      <c r="E25" s="33"/>
      <c r="F25" s="32"/>
      <c r="G25" s="47" t="str">
        <f t="shared" si="0"/>
        <v/>
      </c>
      <c r="H25" s="31" t="s">
        <v>54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1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2"/>
        <v/>
      </c>
      <c r="E26" s="33"/>
      <c r="F26" s="32"/>
      <c r="G26" s="47" t="str">
        <f t="shared" si="0"/>
        <v/>
      </c>
      <c r="H26" s="31" t="s">
        <v>54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1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2"/>
        <v/>
      </c>
      <c r="E27" s="33"/>
      <c r="F27" s="32"/>
      <c r="G27" s="47" t="str">
        <f t="shared" si="0"/>
        <v/>
      </c>
      <c r="H27" s="31" t="s">
        <v>54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1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2"/>
        <v/>
      </c>
      <c r="E28" s="33"/>
      <c r="F28" s="32"/>
      <c r="G28" s="47" t="str">
        <f t="shared" si="0"/>
        <v/>
      </c>
      <c r="H28" s="31" t="s">
        <v>54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1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2"/>
        <v/>
      </c>
      <c r="E29" s="33"/>
      <c r="F29" s="32"/>
      <c r="G29" s="47" t="str">
        <f t="shared" si="0"/>
        <v/>
      </c>
      <c r="H29" s="31" t="s">
        <v>54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1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2"/>
        <v/>
      </c>
      <c r="E30" s="33"/>
      <c r="F30" s="32"/>
      <c r="G30" s="47" t="str">
        <f t="shared" si="0"/>
        <v/>
      </c>
      <c r="H30" s="31" t="s">
        <v>54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1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2"/>
        <v/>
      </c>
      <c r="E31" s="33"/>
      <c r="F31" s="32"/>
      <c r="G31" s="47" t="str">
        <f t="shared" si="0"/>
        <v/>
      </c>
      <c r="H31" s="31" t="s">
        <v>54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1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2"/>
        <v/>
      </c>
      <c r="E32" s="33"/>
      <c r="F32" s="32"/>
      <c r="G32" s="47" t="str">
        <f t="shared" si="0"/>
        <v/>
      </c>
      <c r="H32" s="31" t="s">
        <v>54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1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2"/>
        <v/>
      </c>
      <c r="E33" s="33"/>
      <c r="F33" s="32"/>
      <c r="G33" s="47" t="str">
        <f t="shared" si="0"/>
        <v/>
      </c>
      <c r="H33" s="31" t="s">
        <v>54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1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2"/>
        <v/>
      </c>
      <c r="E34" s="33"/>
      <c r="F34" s="32"/>
      <c r="G34" s="47" t="str">
        <f t="shared" si="0"/>
        <v/>
      </c>
      <c r="H34" s="31" t="s">
        <v>54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1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2"/>
        <v/>
      </c>
      <c r="E35" s="33"/>
      <c r="F35" s="32"/>
      <c r="G35" s="47" t="str">
        <f t="shared" si="0"/>
        <v/>
      </c>
      <c r="H35" s="31" t="s">
        <v>54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1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2"/>
        <v/>
      </c>
      <c r="E36" s="33"/>
      <c r="F36" s="32"/>
      <c r="G36" s="47" t="str">
        <f t="shared" si="0"/>
        <v/>
      </c>
      <c r="H36" s="31" t="s">
        <v>54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1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2"/>
        <v/>
      </c>
      <c r="E37" s="33"/>
      <c r="F37" s="32"/>
      <c r="G37" s="47" t="str">
        <f t="shared" si="0"/>
        <v/>
      </c>
      <c r="H37" s="31" t="s">
        <v>54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1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2"/>
        <v/>
      </c>
      <c r="E38" s="33"/>
      <c r="F38" s="32"/>
      <c r="G38" s="47" t="str">
        <f t="shared" si="0"/>
        <v/>
      </c>
      <c r="H38" s="31" t="s">
        <v>54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1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2"/>
        <v/>
      </c>
      <c r="E39" s="33"/>
      <c r="F39" s="32"/>
      <c r="G39" s="47" t="str">
        <f t="shared" si="0"/>
        <v/>
      </c>
      <c r="H39" s="31" t="s">
        <v>54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1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2"/>
        <v/>
      </c>
      <c r="E40" s="33"/>
      <c r="F40" s="32"/>
      <c r="G40" s="47" t="str">
        <f t="shared" si="0"/>
        <v/>
      </c>
      <c r="H40" s="31" t="s">
        <v>54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1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2"/>
        <v/>
      </c>
      <c r="E41" s="33"/>
      <c r="F41" s="32"/>
      <c r="G41" s="47" t="str">
        <f t="shared" si="0"/>
        <v/>
      </c>
      <c r="H41" s="31" t="s">
        <v>54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1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2"/>
        <v/>
      </c>
      <c r="E42" s="33"/>
      <c r="F42" s="32"/>
      <c r="G42" s="47" t="str">
        <f t="shared" si="0"/>
        <v/>
      </c>
      <c r="H42" s="31" t="s">
        <v>54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1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54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54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54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54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54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54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54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54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54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54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54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54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54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54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54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54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54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54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54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54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54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54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54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54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54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54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54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54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54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54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54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54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54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54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54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54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54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54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54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54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54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54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54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54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54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54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54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54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54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54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54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54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54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54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54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54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54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54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54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54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54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54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54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54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54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54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54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54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54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54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54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54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54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54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54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54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54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54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54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54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54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54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54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54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54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54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54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54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54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54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54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54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54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54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54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54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54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54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54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54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54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54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54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54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54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54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54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54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54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54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54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54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54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54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54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54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54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54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54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54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54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54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54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54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54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54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54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54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54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54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54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54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54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54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54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54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54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54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54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54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54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54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54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54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54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54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54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54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54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54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54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54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54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54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54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54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54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54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54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54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10" ca="1" si="18">IF(A201="","",TODAY())</f>
        <v/>
      </c>
      <c r="E203" s="33"/>
      <c r="F203" s="32"/>
      <c r="G203" s="47" t="str">
        <f t="shared" ref="G203:G210" si="19">IFERROR(IF(OR(A201="",E201=""),"",C201-E201),"")</f>
        <v/>
      </c>
      <c r="H203" s="31" t="s">
        <v>54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10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54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54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54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54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54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54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54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1:L1"/>
    <mergeCell ref="A2:L2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5C6B"/>
  </sheetPr>
  <dimension ref="A1:N215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B17" sqref="B17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5" t="s">
        <v>149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1.75" customHeight="1" x14ac:dyDescent="0.25">
      <c r="A2" s="108" t="s">
        <v>150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4" ht="15" customHeight="1" x14ac:dyDescent="0.25">
      <c r="A3" s="58" t="s">
        <v>151</v>
      </c>
      <c r="D3" s="52" t="s">
        <v>152</v>
      </c>
      <c r="G3" s="58" t="s">
        <v>128</v>
      </c>
    </row>
    <row r="4" spans="1:14" ht="15.75" customHeight="1" x14ac:dyDescent="0.25">
      <c r="A4" s="59">
        <f ca="1">IFERROR(SUMIFS(DB_Loans!$E:$E,DB_Loans!$L:$L,"Agent 01",DB_Loans!$D:$D,TODAY()),0)</f>
        <v>0</v>
      </c>
      <c r="D4" s="59">
        <f ca="1">IFERROR(SUMIFS(DB_Loans!$E:$E,DB_Loans!$L:$L,"Agent 01",DB_Loans!$M:$M,YEAR(TODAY())),0)</f>
        <v>0</v>
      </c>
      <c r="G4" s="60" t="str">
        <f ca="1">TEXT(TODAY(),"DDDD, DD MMMM YYYY")</f>
        <v>Saturday, 25 April 2026</v>
      </c>
    </row>
    <row r="6" spans="1:14" ht="15" customHeight="1" x14ac:dyDescent="0.25">
      <c r="A6" s="61" t="s">
        <v>153</v>
      </c>
    </row>
    <row r="7" spans="1:14" ht="15" customHeight="1" x14ac:dyDescent="0.25">
      <c r="A7" s="62" t="s">
        <v>154</v>
      </c>
      <c r="B7" s="33"/>
    </row>
    <row r="8" spans="1:14" ht="15" customHeight="1" x14ac:dyDescent="0.25">
      <c r="A8" s="62" t="s">
        <v>155</v>
      </c>
      <c r="B8" s="63"/>
    </row>
    <row r="9" spans="1:14" ht="15" customHeight="1" x14ac:dyDescent="0.25">
      <c r="A9" s="62" t="s">
        <v>156</v>
      </c>
      <c r="B9" s="64">
        <v>2.5</v>
      </c>
    </row>
    <row r="10" spans="1:14" ht="15" customHeight="1" x14ac:dyDescent="0.25">
      <c r="A10" s="65" t="s">
        <v>157</v>
      </c>
      <c r="B10" s="47" t="str">
        <f>IF(B5="","",B5*B7/100*B6)</f>
        <v/>
      </c>
    </row>
    <row r="11" spans="1:14" ht="15" customHeight="1" x14ac:dyDescent="0.25">
      <c r="A11" s="65" t="s">
        <v>158</v>
      </c>
      <c r="B11" s="47" t="str">
        <f>IF(B5="","",B5+(B5*B7/100*B6))</f>
        <v/>
      </c>
    </row>
    <row r="12" spans="1:14" ht="21.75" customHeight="1" x14ac:dyDescent="0.25">
      <c r="A12" s="112" t="s">
        <v>159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</row>
    <row r="13" spans="1:14" ht="30" customHeight="1" x14ac:dyDescent="0.25"/>
    <row r="14" spans="1:14" ht="19.5" customHeight="1" x14ac:dyDescent="0.25">
      <c r="A14" s="44" t="s">
        <v>160</v>
      </c>
    </row>
    <row r="15" spans="1:14" ht="19.5" customHeight="1" x14ac:dyDescent="0.25">
      <c r="A15" s="19" t="s">
        <v>161</v>
      </c>
      <c r="B15" s="19" t="s">
        <v>134</v>
      </c>
      <c r="C15" s="19" t="s">
        <v>69</v>
      </c>
      <c r="D15" s="19" t="s">
        <v>162</v>
      </c>
      <c r="E15" s="19" t="s">
        <v>163</v>
      </c>
      <c r="F15" s="19" t="s">
        <v>109</v>
      </c>
      <c r="G15" s="19" t="s">
        <v>110</v>
      </c>
      <c r="H15" s="19" t="s">
        <v>164</v>
      </c>
      <c r="I15" s="19" t="s">
        <v>165</v>
      </c>
      <c r="J15" s="19" t="s">
        <v>166</v>
      </c>
      <c r="K15" s="19" t="s">
        <v>77</v>
      </c>
      <c r="L15" s="19" t="s">
        <v>45</v>
      </c>
      <c r="M15" s="19" t="s">
        <v>137</v>
      </c>
      <c r="N15" s="19" t="s">
        <v>95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 t="s">
        <v>338</v>
      </c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54</v>
      </c>
      <c r="M16" s="45"/>
      <c r="N16" s="67"/>
    </row>
    <row r="17" spans="1:14" ht="19.5" customHeight="1" x14ac:dyDescent="0.25">
      <c r="A17" s="31"/>
      <c r="B17" s="45"/>
      <c r="C17" s="38"/>
      <c r="D17" s="46"/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/>
      <c r="L17" s="31" t="s">
        <v>54</v>
      </c>
      <c r="M17" s="45"/>
      <c r="N17" s="22"/>
    </row>
    <row r="18" spans="1:14" ht="19.5" customHeight="1" x14ac:dyDescent="0.25">
      <c r="A18" s="31" t="str">
        <f t="shared" ca="1" si="0"/>
        <v>LN0005</v>
      </c>
      <c r="B18" s="45"/>
      <c r="C18" s="38" t="str">
        <f>IF(B16="","",IFERROR(VLOOKUP(B16,DB_Customers!$A:$B,2,0),"❌ Account Not Found"))</f>
        <v>FRANK ABBAN</v>
      </c>
      <c r="D18" s="46">
        <f t="shared" ca="1" si="1"/>
        <v>46137</v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⚠️ Enter Code</v>
      </c>
      <c r="L18" s="31" t="s">
        <v>54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54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54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54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54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54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54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54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54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54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54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54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54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54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54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54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54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54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54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54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54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54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54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54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54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54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54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54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54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54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54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54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54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54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54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54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54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54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54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54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54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54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54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54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54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54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54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54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54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54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54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54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54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54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54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54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54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54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54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54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54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54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54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54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54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54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54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54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54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54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54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54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54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54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54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54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54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54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54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54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54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54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54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54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54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54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54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54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54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54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54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54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54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54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54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54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54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54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54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54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54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54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54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54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54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54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54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54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54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54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54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54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54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54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54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54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54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54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54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54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54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54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54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54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54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54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54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54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54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54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54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54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54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54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54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54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54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54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54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54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54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54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54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54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54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54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54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54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54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54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54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54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54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54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54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54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54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54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54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54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54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54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54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54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54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54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54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54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54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54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54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54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54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54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54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54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54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54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54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54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54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54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54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54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54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54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54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54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54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54</v>
      </c>
      <c r="M207" s="45"/>
      <c r="N207" s="22"/>
    </row>
    <row r="208" spans="1:14" ht="19.5" customHeight="1" x14ac:dyDescent="0.25">
      <c r="A208" s="31" t="str">
        <f t="shared" ref="A208:A215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15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15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54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54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15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54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54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54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54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54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54</v>
      </c>
      <c r="M215" s="45"/>
      <c r="N215" s="22"/>
    </row>
  </sheetData>
  <mergeCells count="3">
    <mergeCell ref="A1:N1"/>
    <mergeCell ref="A2:N2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75623"/>
  </sheetPr>
  <dimension ref="A1:K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03" t="s">
        <v>167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1.75" customHeight="1" x14ac:dyDescent="0.25">
      <c r="A2" s="108" t="s">
        <v>168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9.5" customHeight="1" x14ac:dyDescent="0.25">
      <c r="A3" s="48" t="s">
        <v>126</v>
      </c>
      <c r="D3" s="48" t="s">
        <v>127</v>
      </c>
      <c r="G3" s="48" t="s">
        <v>128</v>
      </c>
    </row>
    <row r="4" spans="1:11" ht="24" customHeight="1" x14ac:dyDescent="0.25">
      <c r="A4" s="49">
        <f ca="1">IFERROR(SUMIFS(DB_Savings!$F:$F,DB_Savings!$D:$D,"Agent 02",DB_Savings!$E:$E,TODAY()),0)</f>
        <v>0</v>
      </c>
      <c r="D4" s="49">
        <f ca="1">IFERROR(COUNTIFS(DB_Savings!$D:$D,"Agent 02",DB_Savings!$E:$E,TODAY()),0)</f>
        <v>0</v>
      </c>
      <c r="G4" s="49" t="str">
        <f ca="1">TEXT(TODAY(),"DDDD, DD MMMM YYYY")</f>
        <v>Saturday, 25 April 2026</v>
      </c>
    </row>
    <row r="5" spans="1:11" ht="15" customHeight="1" x14ac:dyDescent="0.25">
      <c r="A5" s="50" t="s">
        <v>129</v>
      </c>
      <c r="D5" s="51" t="s">
        <v>130</v>
      </c>
      <c r="G5" s="52" t="s">
        <v>131</v>
      </c>
    </row>
    <row r="6" spans="1:11" ht="25.5" customHeight="1" x14ac:dyDescent="0.25">
      <c r="A6" s="109">
        <f ca="1">IFERROR(SUMIFS(DB_Withdrawals!$G:$G,DB_Withdrawals!$I:$I,"Agent 02",DB_Withdrawals!$E:$E,TODAY()),0)</f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1" ht="21.7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30" customHeight="1" x14ac:dyDescent="0.25">
      <c r="A8" s="44" t="s">
        <v>132</v>
      </c>
    </row>
    <row r="9" spans="1:11" ht="19.5" customHeight="1" x14ac:dyDescent="0.25">
      <c r="A9" s="30" t="s">
        <v>169</v>
      </c>
    </row>
    <row r="10" spans="1:11" ht="19.5" customHeight="1" x14ac:dyDescent="0.25">
      <c r="A10" s="19" t="s">
        <v>134</v>
      </c>
      <c r="B10" s="19" t="s">
        <v>69</v>
      </c>
      <c r="C10" s="19" t="s">
        <v>84</v>
      </c>
      <c r="D10" s="19" t="s">
        <v>91</v>
      </c>
      <c r="E10" s="19" t="s">
        <v>135</v>
      </c>
      <c r="F10" s="19" t="s">
        <v>136</v>
      </c>
      <c r="G10" s="19" t="s">
        <v>45</v>
      </c>
      <c r="H10" s="19" t="s">
        <v>137</v>
      </c>
      <c r="I10" s="19" t="s">
        <v>77</v>
      </c>
      <c r="J10" s="19" t="s">
        <v>138</v>
      </c>
      <c r="K10" s="19" t="s">
        <v>95</v>
      </c>
    </row>
    <row r="11" spans="1:11" ht="19.5" customHeight="1" x14ac:dyDescent="0.25">
      <c r="A11" s="45"/>
      <c r="B11" s="38" t="str">
        <f>IF(A9="","",IFERROR(VLOOKUP(A9,DB_Customers!$A:$B,2,0),"❌ Account Not Found"))</f>
        <v>❌ Account Not Found</v>
      </c>
      <c r="C11" s="47" t="str">
        <f>IF(A9="","",IFERROR(VLOOKUP(A9,DB_Customers!$A:$M,13,0),""))</f>
        <v/>
      </c>
      <c r="D11" s="46">
        <f t="shared" ref="D11:D42" ca="1" si="0">IF(A9="","",TODAY())</f>
        <v>46137</v>
      </c>
      <c r="E11" s="33"/>
      <c r="F11" s="47" t="str">
        <f t="shared" ref="F11:F42" si="1">IFERROR(IF(OR(A9="",E9=""),"",C9+E9),"")</f>
        <v/>
      </c>
      <c r="G11" s="31" t="s">
        <v>55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IF(A10="","",IFERROR(VLOOKUP(A10,DB_Customers!$A:$M,13,0),""))</f>
        <v/>
      </c>
      <c r="D12" s="46">
        <f t="shared" ca="1" si="0"/>
        <v>46137</v>
      </c>
      <c r="E12" s="33"/>
      <c r="F12" s="47" t="str">
        <f t="shared" si="1"/>
        <v/>
      </c>
      <c r="G12" s="31" t="s">
        <v>55</v>
      </c>
      <c r="H12" s="45"/>
      <c r="I12" s="34" t="str">
        <f>IF(A10="","",IF(H10="","⚠️ Enter Agent Code",IF(IFERROR(VLOOKUP(G10,DB_Agents!$B:$F,4,0),"")=TEXT(H10,"0"),IF(AND(A10&lt;&gt;"",E10&lt;&gt;""),"✅ Saved","Pending"),"🔒 WRONG CODE")))</f>
        <v>🔒 WRONG CODE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55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55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55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55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55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55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55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55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55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55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55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55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55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55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55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55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55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55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55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55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55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55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55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55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55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55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55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55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55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55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55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55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55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55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55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55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55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55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55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55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55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55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55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55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55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55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55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55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55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55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55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55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55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55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55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55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55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55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55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55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55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55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55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55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55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55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55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55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55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55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55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55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55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55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55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55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55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55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55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55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55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55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55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55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55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55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55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55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55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55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55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55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55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55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55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55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55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55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55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55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55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55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55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55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55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55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55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55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55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55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55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55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55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55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55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55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55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55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55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55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55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55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55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55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55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55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55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55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55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55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55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55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55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55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55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55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55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55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55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55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55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55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55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55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55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55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55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55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55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55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55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55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55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55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55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55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55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55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55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55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55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55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55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55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55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55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55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55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55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55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55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55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55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55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55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55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55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55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55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55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55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55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55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55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55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55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55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55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55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55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10" ca="1" si="18">IF(A201="","",TODAY())</f>
        <v/>
      </c>
      <c r="E203" s="33"/>
      <c r="F203" s="47" t="str">
        <f t="shared" ref="F203:F210" si="19">IFERROR(IF(OR(A201="",E201=""),"",C201+E201),"")</f>
        <v/>
      </c>
      <c r="G203" s="31" t="s">
        <v>55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10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55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55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55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55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55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55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55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1:K1"/>
    <mergeCell ref="A2:K2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55A11"/>
  </sheetPr>
  <dimension ref="A1:L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04" t="s">
        <v>170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5.5" customHeight="1" x14ac:dyDescent="0.25">
      <c r="A2" s="108" t="s">
        <v>171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9.5" customHeight="1" x14ac:dyDescent="0.25">
      <c r="A3" s="54" t="s">
        <v>141</v>
      </c>
      <c r="D3" s="48" t="s">
        <v>142</v>
      </c>
      <c r="G3" s="55" t="s">
        <v>143</v>
      </c>
      <c r="J3" s="54" t="s">
        <v>128</v>
      </c>
    </row>
    <row r="4" spans="1:12" ht="24" customHeight="1" x14ac:dyDescent="0.25">
      <c r="A4" s="56">
        <f ca="1">IFERROR(SUMIFS(DB_Withdrawals!$G:$G,DB_Withdrawals!$I:$I,"Agent 02",DB_Withdrawals!$E:$E,TODAY()),0)</f>
        <v>0</v>
      </c>
      <c r="D4" s="56">
        <f ca="1">IFERROR(COUNTIFS(DB_Withdrawals!$I:$I,"Agent 02",DB_Withdrawals!$J:$J,"✅ Successful",DB_Withdrawals!$E:$E,TODAY()),0)</f>
        <v>0</v>
      </c>
      <c r="G4" s="56">
        <f ca="1">IFERROR(COUNTIFS(DB_Withdrawals!$I:$I,"Agent 02",DB_Withdrawals!$J:$J,"❌ Insufficient Funds",DB_Withdrawals!$E:$E,TODAY()),0)</f>
        <v>0</v>
      </c>
      <c r="J4" s="56" t="str">
        <f ca="1">TEXT(TODAY(),"DD MMM YYYY")</f>
        <v>25 Apr 2026</v>
      </c>
    </row>
    <row r="5" spans="1:12" ht="15" customHeight="1" x14ac:dyDescent="0.25">
      <c r="A5" s="51" t="s">
        <v>144</v>
      </c>
      <c r="D5" s="51" t="s">
        <v>130</v>
      </c>
      <c r="G5" s="52" t="s">
        <v>145</v>
      </c>
    </row>
    <row r="6" spans="1:12" ht="25.5" customHeight="1" x14ac:dyDescent="0.25">
      <c r="A6" s="111">
        <f ca="1">IFERROR(SUMIFS(DB_Savings!$F:$F,DB_Savings!$D:$D,"Agent 02",DB_Savings!$E:$E,TODAY()),0)</f>
        <v>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8" spans="1:12" ht="30" customHeight="1" x14ac:dyDescent="0.25">
      <c r="A8" s="30" t="s">
        <v>146</v>
      </c>
    </row>
    <row r="9" spans="1:12" ht="19.5" customHeight="1" x14ac:dyDescent="0.25"/>
    <row r="10" spans="1:12" ht="19.5" customHeight="1" x14ac:dyDescent="0.25">
      <c r="A10" s="19" t="s">
        <v>134</v>
      </c>
      <c r="B10" s="19" t="s">
        <v>69</v>
      </c>
      <c r="C10" s="19" t="s">
        <v>85</v>
      </c>
      <c r="D10" s="19" t="s">
        <v>91</v>
      </c>
      <c r="E10" s="19" t="s">
        <v>147</v>
      </c>
      <c r="F10" s="19" t="s">
        <v>148</v>
      </c>
      <c r="G10" s="19" t="s">
        <v>136</v>
      </c>
      <c r="H10" s="19" t="s">
        <v>45</v>
      </c>
      <c r="I10" s="19" t="s">
        <v>137</v>
      </c>
      <c r="J10" s="19" t="s">
        <v>77</v>
      </c>
      <c r="K10" s="19" t="s">
        <v>138</v>
      </c>
      <c r="L10" s="19" t="s">
        <v>95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55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IF(A10="","",IFERROR(VLOOKUP(A10,DB_Customers!$A:$N,14,0),""))</f>
        <v/>
      </c>
      <c r="D12" s="46">
        <f t="shared" ca="1" si="0"/>
        <v>46137</v>
      </c>
      <c r="E12" s="33"/>
      <c r="F12" s="32"/>
      <c r="G12" s="47" t="str">
        <f t="shared" si="1"/>
        <v/>
      </c>
      <c r="H12" s="31" t="s">
        <v>55</v>
      </c>
      <c r="I12" s="45"/>
      <c r="J12" s="34" t="str">
        <f>IF(AND(A10&lt;&gt;"",E10&lt;&gt;""),IF(I10="","⚠️ Enter Code",IF(IFERROR(VLOOKUP(H10,DB_Agents!$B:$F,4,0),"")=TEXT(I10,"0"),IF(C10&gt;=E10,"✅ Successful","❌ Insufficient Funds"),"🔒 WRONG CODE")),"Pending")</f>
        <v>🔒 WRONG CODE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55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55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55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55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55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55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55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55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55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55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55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55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55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55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55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55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55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55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55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55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55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55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55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55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55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55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55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55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55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55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55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55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55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55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55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55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55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55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55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55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55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55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55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55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55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55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55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55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55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55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55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55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55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55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55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55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55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55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55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55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55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55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55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55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55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55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55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55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55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55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55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55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55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55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55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55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55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55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55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55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55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55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55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55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55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55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55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55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55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55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55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55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55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55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55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55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55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55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55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55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55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55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55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55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55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55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55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55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55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55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55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55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55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55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55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55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55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55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55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55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55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55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55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55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55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55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55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55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55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55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55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55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55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55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55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55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55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55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55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55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55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55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55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55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55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55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55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55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55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55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55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55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55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55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55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55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55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55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55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55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55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55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55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55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55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55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55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55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55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55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55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55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55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55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55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55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55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55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55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55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55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55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55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55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55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55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55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55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55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55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10" ca="1" si="18">IF(A201="","",TODAY())</f>
        <v/>
      </c>
      <c r="E203" s="33"/>
      <c r="F203" s="32"/>
      <c r="G203" s="47" t="str">
        <f t="shared" ref="G203:G210" si="19">IFERROR(IF(OR(A201="",E201=""),"",C201-E201),"")</f>
        <v/>
      </c>
      <c r="H203" s="31" t="s">
        <v>55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10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55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55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55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55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55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55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55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1:L1"/>
    <mergeCell ref="A2:L2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5C6B"/>
  </sheetPr>
  <dimension ref="A1:N215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5" t="s">
        <v>172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1.75" customHeight="1" x14ac:dyDescent="0.25">
      <c r="A2" s="108" t="s">
        <v>173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4" ht="15" customHeight="1" x14ac:dyDescent="0.25">
      <c r="A3" s="58" t="s">
        <v>151</v>
      </c>
      <c r="D3" s="52" t="s">
        <v>152</v>
      </c>
      <c r="G3" s="58" t="s">
        <v>128</v>
      </c>
    </row>
    <row r="4" spans="1:14" ht="15.75" customHeight="1" x14ac:dyDescent="0.25">
      <c r="A4" s="59">
        <f ca="1">IFERROR(SUMIFS(DB_Loans!$E:$E,DB_Loans!$L:$L,"Agent 02",DB_Loans!$D:$D,TODAY()),0)</f>
        <v>0</v>
      </c>
      <c r="D4" s="59">
        <f ca="1">IFERROR(SUMIFS(DB_Loans!$E:$E,DB_Loans!$L:$L,"Agent 02",DB_Loans!$M:$M,YEAR(TODAY())),0)</f>
        <v>0</v>
      </c>
      <c r="G4" s="60" t="str">
        <f ca="1">TEXT(TODAY(),"DDDD, DD MMMM YYYY")</f>
        <v>Saturday, 25 April 2026</v>
      </c>
    </row>
    <row r="6" spans="1:14" ht="15" customHeight="1" x14ac:dyDescent="0.25">
      <c r="A6" s="61" t="s">
        <v>153</v>
      </c>
    </row>
    <row r="7" spans="1:14" ht="15" customHeight="1" x14ac:dyDescent="0.25">
      <c r="A7" s="62" t="s">
        <v>154</v>
      </c>
      <c r="B7" s="33"/>
    </row>
    <row r="8" spans="1:14" ht="15" customHeight="1" x14ac:dyDescent="0.25">
      <c r="A8" s="62" t="s">
        <v>155</v>
      </c>
      <c r="B8" s="63"/>
    </row>
    <row r="9" spans="1:14" ht="15" customHeight="1" x14ac:dyDescent="0.25">
      <c r="A9" s="62" t="s">
        <v>156</v>
      </c>
      <c r="B9" s="64">
        <v>2.5</v>
      </c>
    </row>
    <row r="10" spans="1:14" ht="15" customHeight="1" x14ac:dyDescent="0.25">
      <c r="A10" s="65" t="s">
        <v>157</v>
      </c>
      <c r="B10" s="47" t="str">
        <f>IF(B5="","",B5*B7/100*B6)</f>
        <v/>
      </c>
    </row>
    <row r="11" spans="1:14" ht="15" customHeight="1" x14ac:dyDescent="0.25">
      <c r="A11" s="65" t="s">
        <v>158</v>
      </c>
      <c r="B11" s="47" t="str">
        <f>IF(B5="","",B5+(B5*B7/100*B6))</f>
        <v/>
      </c>
    </row>
    <row r="12" spans="1:14" ht="21.75" customHeight="1" x14ac:dyDescent="0.25">
      <c r="A12" s="112" t="s">
        <v>159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</row>
    <row r="13" spans="1:14" ht="30" customHeight="1" x14ac:dyDescent="0.25"/>
    <row r="14" spans="1:14" ht="19.5" customHeight="1" x14ac:dyDescent="0.25">
      <c r="A14" s="44" t="s">
        <v>160</v>
      </c>
    </row>
    <row r="15" spans="1:14" ht="19.5" customHeight="1" x14ac:dyDescent="0.25">
      <c r="A15" s="19" t="s">
        <v>161</v>
      </c>
      <c r="B15" s="19" t="s">
        <v>134</v>
      </c>
      <c r="C15" s="19" t="s">
        <v>69</v>
      </c>
      <c r="D15" s="19" t="s">
        <v>162</v>
      </c>
      <c r="E15" s="19" t="s">
        <v>163</v>
      </c>
      <c r="F15" s="19" t="s">
        <v>109</v>
      </c>
      <c r="G15" s="19" t="s">
        <v>110</v>
      </c>
      <c r="H15" s="19" t="s">
        <v>164</v>
      </c>
      <c r="I15" s="19" t="s">
        <v>165</v>
      </c>
      <c r="J15" s="19" t="s">
        <v>166</v>
      </c>
      <c r="K15" s="19" t="s">
        <v>77</v>
      </c>
      <c r="L15" s="19" t="s">
        <v>45</v>
      </c>
      <c r="M15" s="19" t="s">
        <v>137</v>
      </c>
      <c r="N15" s="19" t="s">
        <v>95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55</v>
      </c>
      <c r="M16" s="45"/>
      <c r="N16" s="67"/>
    </row>
    <row r="17" spans="1:14" ht="19.5" customHeight="1" x14ac:dyDescent="0.25">
      <c r="A17" s="31" t="str">
        <f t="shared" si="0"/>
        <v>LNRequest Date0004</v>
      </c>
      <c r="B17" s="45"/>
      <c r="C17" s="38" t="str">
        <f>IF(B15="","",IFERROR(VLOOKUP(B15,DB_Customers!$A:$B,2,0),"❌ Account Not Found"))</f>
        <v>❌ Account Not Found</v>
      </c>
      <c r="D17" s="46">
        <f t="shared" ca="1" si="1"/>
        <v>46137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tr">
        <f>IF(B15="","Pending",IF(M15="","⚠️ Enter Code",IF(IFERROR(VLOOKUP(L15,DB_Agents!$B:$F,4,0),"")=TEXT(M15,"0"),"Pending Approval","🔒 WRONG CODE")))</f>
        <v>🔒 WRONG CODE</v>
      </c>
      <c r="L17" s="31" t="s">
        <v>55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55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55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55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55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55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55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55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55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55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55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55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55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55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55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55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55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55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55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55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55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55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55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55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55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55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55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55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55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55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55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55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55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55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55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55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55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55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55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55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55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55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55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55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55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55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55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55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55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55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55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55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55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55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55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55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55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55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55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55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55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55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55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55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55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55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55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55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55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55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55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55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55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55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55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55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55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55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55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55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55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55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55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55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55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55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55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55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55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55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55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55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55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55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55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55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55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55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55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55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55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55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55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55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55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55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55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55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55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55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55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55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55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55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55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55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55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55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55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55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55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55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55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55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55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55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55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55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55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55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55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55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55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55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55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55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55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55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55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55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55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55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55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55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55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55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55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55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55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55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55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55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55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55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55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55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55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55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55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55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55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55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55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55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55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55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55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55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55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55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55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55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55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55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55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55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55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55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55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55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55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55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55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55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55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55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55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55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55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55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55</v>
      </c>
      <c r="M207" s="45"/>
      <c r="N207" s="22"/>
    </row>
    <row r="208" spans="1:14" ht="19.5" customHeight="1" x14ac:dyDescent="0.25">
      <c r="A208" s="31" t="str">
        <f t="shared" ref="A208:A215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15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15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55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55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15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55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55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55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55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55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55</v>
      </c>
      <c r="M215" s="45"/>
      <c r="N215" s="22"/>
    </row>
  </sheetData>
  <mergeCells count="3">
    <mergeCell ref="A1:N1"/>
    <mergeCell ref="A2:N2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375623"/>
  </sheetPr>
  <dimension ref="A1:K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03" t="s">
        <v>174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1.75" customHeight="1" x14ac:dyDescent="0.25">
      <c r="A2" s="108" t="s">
        <v>175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9.5" customHeight="1" x14ac:dyDescent="0.25">
      <c r="A3" s="48" t="s">
        <v>126</v>
      </c>
      <c r="D3" s="48" t="s">
        <v>127</v>
      </c>
      <c r="G3" s="48" t="s">
        <v>128</v>
      </c>
    </row>
    <row r="4" spans="1:11" ht="24" customHeight="1" x14ac:dyDescent="0.25">
      <c r="A4" s="49">
        <f ca="1">IFERROR(SUMIFS(DB_Savings!$F:$F,DB_Savings!$D:$D,"Agent 03",DB_Savings!$E:$E,TODAY()),0)</f>
        <v>0</v>
      </c>
      <c r="D4" s="49">
        <f ca="1">IFERROR(COUNTIFS(DB_Savings!$D:$D,"Agent 03",DB_Savings!$E:$E,TODAY()),0)</f>
        <v>0</v>
      </c>
      <c r="G4" s="49" t="str">
        <f ca="1">TEXT(TODAY(),"DDDD, DD MMMM YYYY")</f>
        <v>Saturday, 25 April 2026</v>
      </c>
    </row>
    <row r="5" spans="1:11" ht="15" customHeight="1" x14ac:dyDescent="0.25">
      <c r="A5" s="50" t="s">
        <v>129</v>
      </c>
      <c r="D5" s="51" t="s">
        <v>130</v>
      </c>
      <c r="G5" s="52" t="s">
        <v>131</v>
      </c>
    </row>
    <row r="6" spans="1:11" ht="25.5" customHeight="1" x14ac:dyDescent="0.25">
      <c r="A6" s="109">
        <f ca="1">IFERROR(SUMIFS(DB_Withdrawals!$G:$G,DB_Withdrawals!$I:$I,"Agent 03",DB_Withdrawals!$E:$E,TODAY()),0)</f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1" ht="21.7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30" customHeight="1" x14ac:dyDescent="0.25">
      <c r="A8" s="44" t="s">
        <v>132</v>
      </c>
    </row>
    <row r="9" spans="1:11" ht="19.5" customHeight="1" x14ac:dyDescent="0.25">
      <c r="A9" s="30" t="s">
        <v>176</v>
      </c>
    </row>
    <row r="10" spans="1:11" ht="19.5" customHeight="1" x14ac:dyDescent="0.25">
      <c r="A10" s="19" t="s">
        <v>134</v>
      </c>
      <c r="B10" s="19" t="s">
        <v>69</v>
      </c>
      <c r="C10" s="19" t="s">
        <v>84</v>
      </c>
      <c r="D10" s="19" t="s">
        <v>91</v>
      </c>
      <c r="E10" s="19" t="s">
        <v>135</v>
      </c>
      <c r="F10" s="19" t="s">
        <v>136</v>
      </c>
      <c r="G10" s="19" t="s">
        <v>45</v>
      </c>
      <c r="H10" s="19" t="s">
        <v>137</v>
      </c>
      <c r="I10" s="19" t="s">
        <v>77</v>
      </c>
      <c r="J10" s="19" t="s">
        <v>138</v>
      </c>
      <c r="K10" s="19" t="s">
        <v>95</v>
      </c>
    </row>
    <row r="11" spans="1:11" ht="19.5" customHeight="1" x14ac:dyDescent="0.25">
      <c r="A11" s="45"/>
      <c r="B11" s="38" t="str">
        <f>IF(A9="","",IFERROR(VLOOKUP(A9,DB_Customers!$A:$B,2,0),"❌ Account Not Found"))</f>
        <v>❌ Account Not Found</v>
      </c>
      <c r="C11" s="47" t="str">
        <f>IF(A9="","",IFERROR(VLOOKUP(A9,DB_Customers!$A:$M,13,0),""))</f>
        <v/>
      </c>
      <c r="D11" s="46">
        <f t="shared" ref="D11:D42" ca="1" si="0">IF(A9="","",TODAY())</f>
        <v>46137</v>
      </c>
      <c r="E11" s="33"/>
      <c r="F11" s="47" t="str">
        <f t="shared" ref="F11:F42" si="1">IFERROR(IF(OR(A9="",E9=""),"",C9+E9),"")</f>
        <v/>
      </c>
      <c r="G11" s="31" t="s">
        <v>56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IF(A10="","",IFERROR(VLOOKUP(A10,DB_Customers!$A:$M,13,0),""))</f>
        <v/>
      </c>
      <c r="D12" s="46">
        <f t="shared" ca="1" si="0"/>
        <v>46137</v>
      </c>
      <c r="E12" s="33"/>
      <c r="F12" s="47" t="str">
        <f t="shared" si="1"/>
        <v/>
      </c>
      <c r="G12" s="31" t="s">
        <v>56</v>
      </c>
      <c r="H12" s="45"/>
      <c r="I12" s="34" t="str">
        <f>IF(A10="","",IF(H10="","⚠️ Enter Agent Code",IF(IFERROR(VLOOKUP(G10,DB_Agents!$B:$F,4,0),"")=TEXT(H10,"0"),IF(AND(A10&lt;&gt;"",E10&lt;&gt;""),"✅ Saved","Pending"),"🔒 WRONG CODE")))</f>
        <v>🔒 WRONG CODE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56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56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56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56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56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56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56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56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56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56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56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56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56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56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56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56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56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56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56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56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56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56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56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56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56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56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56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56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56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56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56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56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56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56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56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56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56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56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56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56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56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56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56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56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56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56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56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56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56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56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56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56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56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56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56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56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56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56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56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56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56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56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56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56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56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56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56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56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56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56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56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56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56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56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56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56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56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56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56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56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56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56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56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56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56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56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56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56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56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56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56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56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56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56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56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56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56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56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56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56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56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56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56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56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56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56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56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56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56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56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56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56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56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56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56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56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56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56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56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56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56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56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56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56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56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56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56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56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56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56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56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56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56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56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56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56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56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56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56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56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56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56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56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56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56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56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56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56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56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56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56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56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56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56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56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56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56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56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56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56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56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56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56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56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56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56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56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56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56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56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56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56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56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56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56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56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56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56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56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56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56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56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56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56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56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56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56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56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56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56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10" ca="1" si="18">IF(A201="","",TODAY())</f>
        <v/>
      </c>
      <c r="E203" s="33"/>
      <c r="F203" s="47" t="str">
        <f t="shared" ref="F203:F210" si="19">IFERROR(IF(OR(A201="",E201=""),"",C201+E201),"")</f>
        <v/>
      </c>
      <c r="G203" s="31" t="s">
        <v>56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10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56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56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56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56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56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56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56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1:K1"/>
    <mergeCell ref="A2:K2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55A11"/>
  </sheetPr>
  <dimension ref="A1:L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04" t="s">
        <v>177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5.5" customHeight="1" x14ac:dyDescent="0.25">
      <c r="A2" s="108" t="s">
        <v>178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9.5" customHeight="1" x14ac:dyDescent="0.25">
      <c r="A3" s="54" t="s">
        <v>141</v>
      </c>
      <c r="D3" s="48" t="s">
        <v>142</v>
      </c>
      <c r="G3" s="55" t="s">
        <v>143</v>
      </c>
      <c r="J3" s="54" t="s">
        <v>128</v>
      </c>
    </row>
    <row r="4" spans="1:12" ht="24" customHeight="1" x14ac:dyDescent="0.25">
      <c r="A4" s="56">
        <f ca="1">IFERROR(SUMIFS(DB_Withdrawals!$G:$G,DB_Withdrawals!$I:$I,"Agent 03",DB_Withdrawals!$E:$E,TODAY()),0)</f>
        <v>0</v>
      </c>
      <c r="D4" s="56">
        <f ca="1">IFERROR(COUNTIFS(DB_Withdrawals!$I:$I,"Agent 03",DB_Withdrawals!$J:$J,"✅ Successful",DB_Withdrawals!$E:$E,TODAY()),0)</f>
        <v>0</v>
      </c>
      <c r="G4" s="56">
        <f ca="1">IFERROR(COUNTIFS(DB_Withdrawals!$I:$I,"Agent 03",DB_Withdrawals!$J:$J,"❌ Insufficient Funds",DB_Withdrawals!$E:$E,TODAY()),0)</f>
        <v>0</v>
      </c>
      <c r="J4" s="56" t="str">
        <f ca="1">TEXT(TODAY(),"DD MMM YYYY")</f>
        <v>25 Apr 2026</v>
      </c>
    </row>
    <row r="5" spans="1:12" ht="15" customHeight="1" x14ac:dyDescent="0.25">
      <c r="A5" s="51" t="s">
        <v>144</v>
      </c>
      <c r="D5" s="51" t="s">
        <v>130</v>
      </c>
      <c r="G5" s="52" t="s">
        <v>145</v>
      </c>
    </row>
    <row r="6" spans="1:12" ht="25.5" customHeight="1" x14ac:dyDescent="0.25">
      <c r="A6" s="111">
        <f ca="1">IFERROR(SUMIFS(DB_Savings!$F:$F,DB_Savings!$D:$D,"Agent 03",DB_Savings!$E:$E,TODAY()),0)</f>
        <v>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8" spans="1:12" ht="30" customHeight="1" x14ac:dyDescent="0.25">
      <c r="A8" s="30" t="s">
        <v>146</v>
      </c>
    </row>
    <row r="9" spans="1:12" ht="19.5" customHeight="1" x14ac:dyDescent="0.25"/>
    <row r="10" spans="1:12" ht="19.5" customHeight="1" x14ac:dyDescent="0.25">
      <c r="A10" s="19" t="s">
        <v>134</v>
      </c>
      <c r="B10" s="19" t="s">
        <v>69</v>
      </c>
      <c r="C10" s="19" t="s">
        <v>85</v>
      </c>
      <c r="D10" s="19" t="s">
        <v>91</v>
      </c>
      <c r="E10" s="19" t="s">
        <v>147</v>
      </c>
      <c r="F10" s="19" t="s">
        <v>148</v>
      </c>
      <c r="G10" s="19" t="s">
        <v>136</v>
      </c>
      <c r="H10" s="19" t="s">
        <v>45</v>
      </c>
      <c r="I10" s="19" t="s">
        <v>137</v>
      </c>
      <c r="J10" s="19" t="s">
        <v>77</v>
      </c>
      <c r="K10" s="19" t="s">
        <v>138</v>
      </c>
      <c r="L10" s="19" t="s">
        <v>95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56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IF(A10="","",IFERROR(VLOOKUP(A10,DB_Customers!$A:$N,14,0),""))</f>
        <v/>
      </c>
      <c r="D12" s="46">
        <f t="shared" ca="1" si="0"/>
        <v>46137</v>
      </c>
      <c r="E12" s="33"/>
      <c r="F12" s="32"/>
      <c r="G12" s="47" t="str">
        <f t="shared" si="1"/>
        <v/>
      </c>
      <c r="H12" s="31" t="s">
        <v>56</v>
      </c>
      <c r="I12" s="45"/>
      <c r="J12" s="34" t="str">
        <f>IF(AND(A10&lt;&gt;"",E10&lt;&gt;""),IF(I10="","⚠️ Enter Code",IF(IFERROR(VLOOKUP(H10,DB_Agents!$B:$F,4,0),"")=TEXT(I10,"0"),IF(C10&gt;=E10,"✅ Successful","❌ Insufficient Funds"),"🔒 WRONG CODE")),"Pending")</f>
        <v>🔒 WRONG CODE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56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56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56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56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56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56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56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56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56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56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56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56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56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56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56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56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56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56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56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56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56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56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56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56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56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56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56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56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56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56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56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56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56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56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56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56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56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56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56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56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56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56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56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56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56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56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56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56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56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56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56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56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56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56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56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56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56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56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56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56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56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56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56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56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56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56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56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56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56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56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56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56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56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56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56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56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56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56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56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56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56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56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56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56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56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56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56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56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56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56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56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56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56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56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56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56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56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56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56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56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56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56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56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56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56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56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56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56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56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56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56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56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56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56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56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56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56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56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56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56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56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56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56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56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56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56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56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56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56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56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56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56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56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56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56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56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56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56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56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56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56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56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56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56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56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56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56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56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56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56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56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56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56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56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56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56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56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56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56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56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56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56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56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56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56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56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56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56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56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56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56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56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56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56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56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56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56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56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56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56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56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56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56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56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56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56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56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56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56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56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10" ca="1" si="18">IF(A201="","",TODAY())</f>
        <v/>
      </c>
      <c r="E203" s="33"/>
      <c r="F203" s="32"/>
      <c r="G203" s="47" t="str">
        <f t="shared" ref="G203:G210" si="19">IFERROR(IF(OR(A201="",E201=""),"",C201-E201),"")</f>
        <v/>
      </c>
      <c r="H203" s="31" t="s">
        <v>56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10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56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56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56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56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56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56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56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1:L1"/>
    <mergeCell ref="A2:L2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5C6B"/>
  </sheetPr>
  <dimension ref="A1:N215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5" t="s">
        <v>179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1.75" customHeight="1" x14ac:dyDescent="0.25">
      <c r="A2" s="108" t="s">
        <v>180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4" ht="15" customHeight="1" x14ac:dyDescent="0.25">
      <c r="A3" s="58" t="s">
        <v>151</v>
      </c>
      <c r="D3" s="52" t="s">
        <v>152</v>
      </c>
      <c r="G3" s="58" t="s">
        <v>128</v>
      </c>
    </row>
    <row r="4" spans="1:14" ht="15.75" customHeight="1" x14ac:dyDescent="0.25">
      <c r="A4" s="59">
        <f ca="1">IFERROR(SUMIFS(DB_Loans!$E:$E,DB_Loans!$L:$L,"Agent 03",DB_Loans!$D:$D,TODAY()),0)</f>
        <v>0</v>
      </c>
      <c r="D4" s="59">
        <f ca="1">IFERROR(SUMIFS(DB_Loans!$E:$E,DB_Loans!$L:$L,"Agent 03",DB_Loans!$M:$M,YEAR(TODAY())),0)</f>
        <v>0</v>
      </c>
      <c r="G4" s="60" t="str">
        <f ca="1">TEXT(TODAY(),"DDDD, DD MMMM YYYY")</f>
        <v>Saturday, 25 April 2026</v>
      </c>
    </row>
    <row r="6" spans="1:14" ht="15" customHeight="1" x14ac:dyDescent="0.25">
      <c r="A6" s="61" t="s">
        <v>153</v>
      </c>
    </row>
    <row r="7" spans="1:14" ht="15" customHeight="1" x14ac:dyDescent="0.25">
      <c r="A7" s="62" t="s">
        <v>154</v>
      </c>
      <c r="B7" s="33"/>
    </row>
    <row r="8" spans="1:14" ht="15" customHeight="1" x14ac:dyDescent="0.25">
      <c r="A8" s="62" t="s">
        <v>155</v>
      </c>
      <c r="B8" s="63"/>
    </row>
    <row r="9" spans="1:14" ht="15" customHeight="1" x14ac:dyDescent="0.25">
      <c r="A9" s="62" t="s">
        <v>156</v>
      </c>
      <c r="B9" s="64">
        <v>2.5</v>
      </c>
    </row>
    <row r="10" spans="1:14" ht="15" customHeight="1" x14ac:dyDescent="0.25">
      <c r="A10" s="65" t="s">
        <v>157</v>
      </c>
      <c r="B10" s="47" t="str">
        <f>IF(B5="","",B5*B7/100*B6)</f>
        <v/>
      </c>
    </row>
    <row r="11" spans="1:14" ht="15" customHeight="1" x14ac:dyDescent="0.25">
      <c r="A11" s="65" t="s">
        <v>158</v>
      </c>
      <c r="B11" s="47" t="str">
        <f>IF(B5="","",B5+(B5*B7/100*B6))</f>
        <v/>
      </c>
    </row>
    <row r="12" spans="1:14" ht="21.75" customHeight="1" x14ac:dyDescent="0.25">
      <c r="A12" s="112" t="s">
        <v>159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</row>
    <row r="13" spans="1:14" ht="30" customHeight="1" x14ac:dyDescent="0.25"/>
    <row r="14" spans="1:14" ht="19.5" customHeight="1" x14ac:dyDescent="0.25">
      <c r="A14" s="44" t="s">
        <v>160</v>
      </c>
    </row>
    <row r="15" spans="1:14" ht="19.5" customHeight="1" x14ac:dyDescent="0.25">
      <c r="A15" s="19" t="s">
        <v>161</v>
      </c>
      <c r="B15" s="19" t="s">
        <v>134</v>
      </c>
      <c r="C15" s="19" t="s">
        <v>69</v>
      </c>
      <c r="D15" s="19" t="s">
        <v>162</v>
      </c>
      <c r="E15" s="19" t="s">
        <v>163</v>
      </c>
      <c r="F15" s="19" t="s">
        <v>109</v>
      </c>
      <c r="G15" s="19" t="s">
        <v>110</v>
      </c>
      <c r="H15" s="19" t="s">
        <v>164</v>
      </c>
      <c r="I15" s="19" t="s">
        <v>165</v>
      </c>
      <c r="J15" s="19" t="s">
        <v>166</v>
      </c>
      <c r="K15" s="19" t="s">
        <v>77</v>
      </c>
      <c r="L15" s="19" t="s">
        <v>45</v>
      </c>
      <c r="M15" s="19" t="s">
        <v>137</v>
      </c>
      <c r="N15" s="19" t="s">
        <v>95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56</v>
      </c>
      <c r="M16" s="45"/>
      <c r="N16" s="67"/>
    </row>
    <row r="17" spans="1:14" ht="19.5" customHeight="1" x14ac:dyDescent="0.25">
      <c r="A17" s="31" t="str">
        <f t="shared" si="0"/>
        <v>LNRequest Date0004</v>
      </c>
      <c r="B17" s="45"/>
      <c r="C17" s="38" t="str">
        <f>IF(B15="","",IFERROR(VLOOKUP(B15,DB_Customers!$A:$B,2,0),"❌ Account Not Found"))</f>
        <v>❌ Account Not Found</v>
      </c>
      <c r="D17" s="46">
        <f t="shared" ca="1" si="1"/>
        <v>46137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tr">
        <f>IF(B15="","Pending",IF(M15="","⚠️ Enter Code",IF(IFERROR(VLOOKUP(L15,DB_Agents!$B:$F,4,0),"")=TEXT(M15,"0"),"Pending Approval","🔒 WRONG CODE")))</f>
        <v>🔒 WRONG CODE</v>
      </c>
      <c r="L17" s="31" t="s">
        <v>56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56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56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56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56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56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56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56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56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56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56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56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56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56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56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56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56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56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56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56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56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56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56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56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56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56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56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56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56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56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56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56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56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56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56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56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56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56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56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56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56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56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56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56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56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56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56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56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56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56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56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56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56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56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56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56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56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56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56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56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56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56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56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56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56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56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56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56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56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56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56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56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56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56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56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56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56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56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56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56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56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56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56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56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56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56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56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56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56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56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56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56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56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56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56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56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56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56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56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56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56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56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56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56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56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56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56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56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56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56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56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56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56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56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56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56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56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56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56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56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56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56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56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56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56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56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56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56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56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56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56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56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56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56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56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56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56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56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56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56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56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56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56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56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56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56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56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56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56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56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56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56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56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56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56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56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56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56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56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56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56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56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56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56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56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56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56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56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56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56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56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56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56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56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56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56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56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56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56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56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56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56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56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56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56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56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56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56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56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56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56</v>
      </c>
      <c r="M207" s="45"/>
      <c r="N207" s="22"/>
    </row>
    <row r="208" spans="1:14" ht="19.5" customHeight="1" x14ac:dyDescent="0.25">
      <c r="A208" s="31" t="str">
        <f t="shared" ref="A208:A215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15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15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56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56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15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56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56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56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56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56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56</v>
      </c>
      <c r="M215" s="45"/>
      <c r="N215" s="22"/>
    </row>
  </sheetData>
  <mergeCells count="3">
    <mergeCell ref="A1:N1"/>
    <mergeCell ref="A2:N2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375623"/>
  </sheetPr>
  <dimension ref="A1:K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03" t="s">
        <v>181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1.75" customHeight="1" x14ac:dyDescent="0.25">
      <c r="A2" s="108" t="s">
        <v>182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9.5" customHeight="1" x14ac:dyDescent="0.25">
      <c r="A3" s="48" t="s">
        <v>126</v>
      </c>
      <c r="D3" s="48" t="s">
        <v>127</v>
      </c>
      <c r="G3" s="48" t="s">
        <v>128</v>
      </c>
    </row>
    <row r="4" spans="1:11" ht="24" customHeight="1" x14ac:dyDescent="0.25">
      <c r="A4" s="49">
        <f ca="1">IFERROR(SUMIFS(DB_Savings!$F:$F,DB_Savings!$D:$D,"Agent 04",DB_Savings!$E:$E,TODAY()),0)</f>
        <v>0</v>
      </c>
      <c r="D4" s="49">
        <f ca="1">IFERROR(COUNTIFS(DB_Savings!$D:$D,"Agent 04",DB_Savings!$E:$E,TODAY()),0)</f>
        <v>0</v>
      </c>
      <c r="G4" s="49" t="str">
        <f ca="1">TEXT(TODAY(),"DDDD, DD MMMM YYYY")</f>
        <v>Saturday, 25 April 2026</v>
      </c>
    </row>
    <row r="5" spans="1:11" ht="15" customHeight="1" x14ac:dyDescent="0.25">
      <c r="A5" s="50" t="s">
        <v>129</v>
      </c>
      <c r="D5" s="51" t="s">
        <v>130</v>
      </c>
      <c r="G5" s="52" t="s">
        <v>131</v>
      </c>
    </row>
    <row r="6" spans="1:11" ht="25.5" customHeight="1" x14ac:dyDescent="0.25">
      <c r="A6" s="109">
        <f ca="1">IFERROR(SUMIFS(DB_Withdrawals!$G:$G,DB_Withdrawals!$I:$I,"Agent 04",DB_Withdrawals!$E:$E,TODAY()),0)</f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1" ht="21.7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30" customHeight="1" x14ac:dyDescent="0.25">
      <c r="A8" s="44" t="s">
        <v>132</v>
      </c>
    </row>
    <row r="9" spans="1:11" ht="19.5" customHeight="1" x14ac:dyDescent="0.25">
      <c r="A9" s="30" t="s">
        <v>183</v>
      </c>
    </row>
    <row r="10" spans="1:11" ht="19.5" customHeight="1" x14ac:dyDescent="0.25">
      <c r="A10" s="19" t="s">
        <v>134</v>
      </c>
      <c r="B10" s="19" t="s">
        <v>69</v>
      </c>
      <c r="C10" s="19" t="s">
        <v>84</v>
      </c>
      <c r="D10" s="19" t="s">
        <v>91</v>
      </c>
      <c r="E10" s="19" t="s">
        <v>135</v>
      </c>
      <c r="F10" s="19" t="s">
        <v>136</v>
      </c>
      <c r="G10" s="19" t="s">
        <v>45</v>
      </c>
      <c r="H10" s="19" t="s">
        <v>137</v>
      </c>
      <c r="I10" s="19" t="s">
        <v>77</v>
      </c>
      <c r="J10" s="19" t="s">
        <v>138</v>
      </c>
      <c r="K10" s="19" t="s">
        <v>95</v>
      </c>
    </row>
    <row r="11" spans="1:11" ht="19.5" customHeight="1" x14ac:dyDescent="0.25">
      <c r="A11" s="45"/>
      <c r="B11" s="38" t="str">
        <f>IF(A9="","",IFERROR(VLOOKUP(A9,DB_Customers!$A:$B,2,0),"❌ Account Not Found"))</f>
        <v>❌ Account Not Found</v>
      </c>
      <c r="C11" s="47" t="str">
        <f>IF(A9="","",IFERROR(VLOOKUP(A9,DB_Customers!$A:$M,13,0),""))</f>
        <v/>
      </c>
      <c r="D11" s="46">
        <f t="shared" ref="D11:D42" ca="1" si="0">IF(A9="","",TODAY())</f>
        <v>46137</v>
      </c>
      <c r="E11" s="33"/>
      <c r="F11" s="47" t="str">
        <f t="shared" ref="F11:F42" si="1">IFERROR(IF(OR(A9="",E9=""),"",C9+E9),"")</f>
        <v/>
      </c>
      <c r="G11" s="31" t="s">
        <v>57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IF(A10="","",IFERROR(VLOOKUP(A10,DB_Customers!$A:$M,13,0),""))</f>
        <v/>
      </c>
      <c r="D12" s="46">
        <f t="shared" ca="1" si="0"/>
        <v>46137</v>
      </c>
      <c r="E12" s="33"/>
      <c r="F12" s="47" t="str">
        <f t="shared" si="1"/>
        <v/>
      </c>
      <c r="G12" s="31" t="s">
        <v>57</v>
      </c>
      <c r="H12" s="45"/>
      <c r="I12" s="34" t="str">
        <f>IF(A10="","",IF(H10="","⚠️ Enter Agent Code",IF(IFERROR(VLOOKUP(G10,DB_Agents!$B:$F,4,0),"")=TEXT(H10,"0"),IF(AND(A10&lt;&gt;"",E10&lt;&gt;""),"✅ Saved","Pending"),"🔒 WRONG CODE")))</f>
        <v>🔒 WRONG CODE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57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57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57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57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57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57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57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57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57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57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57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57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57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57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57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57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57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57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57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57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57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57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57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57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57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57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57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57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57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57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57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57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57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57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57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57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57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57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57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57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57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57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57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57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57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57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57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57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57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57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57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57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57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57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57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57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57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57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57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57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57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57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57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57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57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57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57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57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57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57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57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57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57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57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57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57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57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57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57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57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57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57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57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57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57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57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57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57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57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57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57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57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57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57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57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57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57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57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57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57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57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57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57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57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57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57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57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57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57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57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57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57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57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57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57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57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57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57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57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57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57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57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57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57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57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57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57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57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57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57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57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57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57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57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57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57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57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57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57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57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57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57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57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57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57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57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57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57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57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57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57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57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57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57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57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57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57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57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57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57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57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57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57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57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57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57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57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57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57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57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57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57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57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57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57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57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57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57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57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57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57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57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57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57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57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57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57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57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57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57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10" ca="1" si="18">IF(A201="","",TODAY())</f>
        <v/>
      </c>
      <c r="E203" s="33"/>
      <c r="F203" s="47" t="str">
        <f t="shared" ref="F203:F210" si="19">IFERROR(IF(OR(A201="",E201=""),"",C201+E201),"")</f>
        <v/>
      </c>
      <c r="G203" s="31" t="s">
        <v>57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10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57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57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57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57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57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57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57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1:K1"/>
    <mergeCell ref="A2:K2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55A11"/>
  </sheetPr>
  <dimension ref="A1:L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04" t="s">
        <v>184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5.5" customHeight="1" x14ac:dyDescent="0.25">
      <c r="A2" s="108" t="s">
        <v>185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9.5" customHeight="1" x14ac:dyDescent="0.25">
      <c r="A3" s="54" t="s">
        <v>141</v>
      </c>
      <c r="D3" s="48" t="s">
        <v>142</v>
      </c>
      <c r="G3" s="55" t="s">
        <v>143</v>
      </c>
      <c r="J3" s="54" t="s">
        <v>128</v>
      </c>
    </row>
    <row r="4" spans="1:12" ht="24" customHeight="1" x14ac:dyDescent="0.25">
      <c r="A4" s="56">
        <f ca="1">IFERROR(SUMIFS(DB_Withdrawals!$G:$G,DB_Withdrawals!$I:$I,"Agent 04",DB_Withdrawals!$E:$E,TODAY()),0)</f>
        <v>0</v>
      </c>
      <c r="D4" s="56">
        <f ca="1">IFERROR(COUNTIFS(DB_Withdrawals!$I:$I,"Agent 04",DB_Withdrawals!$J:$J,"✅ Successful",DB_Withdrawals!$E:$E,TODAY()),0)</f>
        <v>0</v>
      </c>
      <c r="G4" s="56">
        <f ca="1">IFERROR(COUNTIFS(DB_Withdrawals!$I:$I,"Agent 04",DB_Withdrawals!$J:$J,"❌ Insufficient Funds",DB_Withdrawals!$E:$E,TODAY()),0)</f>
        <v>0</v>
      </c>
      <c r="J4" s="56" t="str">
        <f ca="1">TEXT(TODAY(),"DD MMM YYYY")</f>
        <v>25 Apr 2026</v>
      </c>
    </row>
    <row r="5" spans="1:12" ht="15" customHeight="1" x14ac:dyDescent="0.25">
      <c r="A5" s="51" t="s">
        <v>144</v>
      </c>
      <c r="D5" s="51" t="s">
        <v>130</v>
      </c>
      <c r="G5" s="52" t="s">
        <v>145</v>
      </c>
    </row>
    <row r="6" spans="1:12" ht="25.5" customHeight="1" x14ac:dyDescent="0.25">
      <c r="A6" s="111">
        <f ca="1">IFERROR(SUMIFS(DB_Savings!$F:$F,DB_Savings!$D:$D,"Agent 04",DB_Savings!$E:$E,TODAY()),0)</f>
        <v>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8" spans="1:12" ht="30" customHeight="1" x14ac:dyDescent="0.25">
      <c r="A8" s="30" t="s">
        <v>146</v>
      </c>
    </row>
    <row r="9" spans="1:12" ht="19.5" customHeight="1" x14ac:dyDescent="0.25"/>
    <row r="10" spans="1:12" ht="19.5" customHeight="1" x14ac:dyDescent="0.25">
      <c r="A10" s="19" t="s">
        <v>134</v>
      </c>
      <c r="B10" s="19" t="s">
        <v>69</v>
      </c>
      <c r="C10" s="19" t="s">
        <v>85</v>
      </c>
      <c r="D10" s="19" t="s">
        <v>91</v>
      </c>
      <c r="E10" s="19" t="s">
        <v>147</v>
      </c>
      <c r="F10" s="19" t="s">
        <v>148</v>
      </c>
      <c r="G10" s="19" t="s">
        <v>136</v>
      </c>
      <c r="H10" s="19" t="s">
        <v>45</v>
      </c>
      <c r="I10" s="19" t="s">
        <v>137</v>
      </c>
      <c r="J10" s="19" t="s">
        <v>77</v>
      </c>
      <c r="K10" s="19" t="s">
        <v>138</v>
      </c>
      <c r="L10" s="19" t="s">
        <v>95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57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IF(A10="","",IFERROR(VLOOKUP(A10,DB_Customers!$A:$N,14,0),""))</f>
        <v/>
      </c>
      <c r="D12" s="46">
        <f t="shared" ca="1" si="0"/>
        <v>46137</v>
      </c>
      <c r="E12" s="33"/>
      <c r="F12" s="32"/>
      <c r="G12" s="47" t="str">
        <f t="shared" si="1"/>
        <v/>
      </c>
      <c r="H12" s="31" t="s">
        <v>57</v>
      </c>
      <c r="I12" s="45"/>
      <c r="J12" s="34" t="str">
        <f>IF(AND(A10&lt;&gt;"",E10&lt;&gt;""),IF(I10="","⚠️ Enter Code",IF(IFERROR(VLOOKUP(H10,DB_Agents!$B:$F,4,0),"")=TEXT(I10,"0"),IF(C10&gt;=E10,"✅ Successful","❌ Insufficient Funds"),"🔒 WRONG CODE")),"Pending")</f>
        <v>🔒 WRONG CODE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57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57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57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57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57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57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57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57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57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57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57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57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57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57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57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57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57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57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57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57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57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57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57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57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57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57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57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57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57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57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57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57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57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57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57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57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57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57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57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57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57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57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57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57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57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57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57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57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57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57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57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57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57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57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57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57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57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57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57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57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57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57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57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57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57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57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57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57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57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57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57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57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57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57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57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57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57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57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57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57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57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57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57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57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57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57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57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57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57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57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57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57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57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57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57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57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57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57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57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57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57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57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57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57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57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57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57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57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57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57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57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57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57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57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57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57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57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57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57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57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57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57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57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57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57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57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57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57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57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57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57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57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57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57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57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57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57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57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57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57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57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57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57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57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57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57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57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57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57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57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57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57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57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57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57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57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57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57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57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57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57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57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57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57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57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57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57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57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57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57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57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57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57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57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57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57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57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57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57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57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57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57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57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57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57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57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57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57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57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57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10" ca="1" si="18">IF(A201="","",TODAY())</f>
        <v/>
      </c>
      <c r="E203" s="33"/>
      <c r="F203" s="32"/>
      <c r="G203" s="47" t="str">
        <f t="shared" ref="G203:G210" si="19">IFERROR(IF(OR(A201="",E201=""),"",C201-E201),"")</f>
        <v/>
      </c>
      <c r="H203" s="31" t="s">
        <v>57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10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57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57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57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57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57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57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57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1:L1"/>
    <mergeCell ref="A2:L2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F5C6B"/>
  </sheetPr>
  <dimension ref="A1:N215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5" t="s">
        <v>186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1.75" customHeight="1" x14ac:dyDescent="0.25">
      <c r="A2" s="108" t="s">
        <v>187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4" ht="15" customHeight="1" x14ac:dyDescent="0.25">
      <c r="A3" s="58" t="s">
        <v>151</v>
      </c>
      <c r="D3" s="52" t="s">
        <v>152</v>
      </c>
      <c r="G3" s="58" t="s">
        <v>128</v>
      </c>
    </row>
    <row r="4" spans="1:14" ht="15.75" customHeight="1" x14ac:dyDescent="0.25">
      <c r="A4" s="59">
        <f ca="1">IFERROR(SUMIFS(DB_Loans!$E:$E,DB_Loans!$L:$L,"Agent 04",DB_Loans!$D:$D,TODAY()),0)</f>
        <v>0</v>
      </c>
      <c r="D4" s="59">
        <f ca="1">IFERROR(SUMIFS(DB_Loans!$E:$E,DB_Loans!$L:$L,"Agent 04",DB_Loans!$M:$M,YEAR(TODAY())),0)</f>
        <v>0</v>
      </c>
      <c r="G4" s="60" t="str">
        <f ca="1">TEXT(TODAY(),"DDDD, DD MMMM YYYY")</f>
        <v>Saturday, 25 April 2026</v>
      </c>
    </row>
    <row r="6" spans="1:14" ht="15" customHeight="1" x14ac:dyDescent="0.25">
      <c r="A6" s="61" t="s">
        <v>153</v>
      </c>
    </row>
    <row r="7" spans="1:14" ht="15" customHeight="1" x14ac:dyDescent="0.25">
      <c r="A7" s="62" t="s">
        <v>154</v>
      </c>
      <c r="B7" s="33"/>
    </row>
    <row r="8" spans="1:14" ht="15" customHeight="1" x14ac:dyDescent="0.25">
      <c r="A8" s="62" t="s">
        <v>155</v>
      </c>
      <c r="B8" s="63"/>
    </row>
    <row r="9" spans="1:14" ht="15" customHeight="1" x14ac:dyDescent="0.25">
      <c r="A9" s="62" t="s">
        <v>156</v>
      </c>
      <c r="B9" s="64">
        <v>2.5</v>
      </c>
    </row>
    <row r="10" spans="1:14" ht="15" customHeight="1" x14ac:dyDescent="0.25">
      <c r="A10" s="65" t="s">
        <v>157</v>
      </c>
      <c r="B10" s="47" t="str">
        <f>IF(B5="","",B5*B7/100*B6)</f>
        <v/>
      </c>
    </row>
    <row r="11" spans="1:14" ht="15" customHeight="1" x14ac:dyDescent="0.25">
      <c r="A11" s="65" t="s">
        <v>158</v>
      </c>
      <c r="B11" s="47" t="str">
        <f>IF(B5="","",B5+(B5*B7/100*B6))</f>
        <v/>
      </c>
    </row>
    <row r="12" spans="1:14" ht="21.75" customHeight="1" x14ac:dyDescent="0.25">
      <c r="A12" s="112" t="s">
        <v>159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</row>
    <row r="13" spans="1:14" ht="30" customHeight="1" x14ac:dyDescent="0.25"/>
    <row r="14" spans="1:14" ht="19.5" customHeight="1" x14ac:dyDescent="0.25">
      <c r="A14" s="44" t="s">
        <v>160</v>
      </c>
    </row>
    <row r="15" spans="1:14" ht="19.5" customHeight="1" x14ac:dyDescent="0.25">
      <c r="A15" s="19" t="s">
        <v>161</v>
      </c>
      <c r="B15" s="19" t="s">
        <v>134</v>
      </c>
      <c r="C15" s="19" t="s">
        <v>69</v>
      </c>
      <c r="D15" s="19" t="s">
        <v>162</v>
      </c>
      <c r="E15" s="19" t="s">
        <v>163</v>
      </c>
      <c r="F15" s="19" t="s">
        <v>109</v>
      </c>
      <c r="G15" s="19" t="s">
        <v>110</v>
      </c>
      <c r="H15" s="19" t="s">
        <v>164</v>
      </c>
      <c r="I15" s="19" t="s">
        <v>165</v>
      </c>
      <c r="J15" s="19" t="s">
        <v>166</v>
      </c>
      <c r="K15" s="19" t="s">
        <v>77</v>
      </c>
      <c r="L15" s="19" t="s">
        <v>45</v>
      </c>
      <c r="M15" s="19" t="s">
        <v>137</v>
      </c>
      <c r="N15" s="19" t="s">
        <v>95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57</v>
      </c>
      <c r="M16" s="45"/>
      <c r="N16" s="67"/>
    </row>
    <row r="17" spans="1:14" ht="19.5" customHeight="1" x14ac:dyDescent="0.25">
      <c r="A17" s="31" t="str">
        <f t="shared" si="0"/>
        <v>LNRequest Date0004</v>
      </c>
      <c r="B17" s="45"/>
      <c r="C17" s="38" t="str">
        <f>IF(B15="","",IFERROR(VLOOKUP(B15,DB_Customers!$A:$B,2,0),"❌ Account Not Found"))</f>
        <v>❌ Account Not Found</v>
      </c>
      <c r="D17" s="46">
        <f t="shared" ca="1" si="1"/>
        <v>46137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tr">
        <f>IF(B15="","Pending",IF(M15="","⚠️ Enter Code",IF(IFERROR(VLOOKUP(L15,DB_Agents!$B:$F,4,0),"")=TEXT(M15,"0"),"Pending Approval","🔒 WRONG CODE")))</f>
        <v>🔒 WRONG CODE</v>
      </c>
      <c r="L17" s="31" t="s">
        <v>57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57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57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57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57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57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57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57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57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57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57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57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57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57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57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57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57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57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57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57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57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57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57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57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57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57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57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57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57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57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57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57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57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57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57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57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57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57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57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57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57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57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57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57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57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57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57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57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57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57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57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57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57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57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57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57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57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57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57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57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57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57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57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57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57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57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57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57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57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57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57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57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57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57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57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57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57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57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57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57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57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57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57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57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57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57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57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57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57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57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57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57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57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57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57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57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57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57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57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57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57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57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57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57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57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57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57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57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57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57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57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57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57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57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57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57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57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57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57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57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57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57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57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57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57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57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57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57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57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57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57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57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57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57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57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57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57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57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57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57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57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57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57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57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57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57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57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57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57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57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57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57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57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57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57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57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57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57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57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57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57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57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57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57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57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57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57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57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57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57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57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57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57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57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57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57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57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57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57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57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57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57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57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57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57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57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57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57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57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57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57</v>
      </c>
      <c r="M207" s="45"/>
      <c r="N207" s="22"/>
    </row>
    <row r="208" spans="1:14" ht="19.5" customHeight="1" x14ac:dyDescent="0.25">
      <c r="A208" s="31" t="str">
        <f t="shared" ref="A208:A215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15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15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57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57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15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57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57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57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57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57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57</v>
      </c>
      <c r="M215" s="45"/>
      <c r="N215" s="22"/>
    </row>
  </sheetData>
  <mergeCells count="3">
    <mergeCell ref="A1:N1"/>
    <mergeCell ref="A2:N2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75623"/>
  </sheetPr>
  <dimension ref="A1:K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03" t="s">
        <v>188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1.75" customHeight="1" x14ac:dyDescent="0.25">
      <c r="A2" s="108" t="s">
        <v>189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9.5" customHeight="1" x14ac:dyDescent="0.25">
      <c r="A3" s="48" t="s">
        <v>126</v>
      </c>
      <c r="D3" s="48" t="s">
        <v>127</v>
      </c>
      <c r="G3" s="48" t="s">
        <v>128</v>
      </c>
    </row>
    <row r="4" spans="1:11" ht="24" customHeight="1" x14ac:dyDescent="0.25">
      <c r="A4" s="49">
        <f ca="1">IFERROR(SUMIFS(DB_Savings!$F:$F,DB_Savings!$D:$D,"Agent 05",DB_Savings!$E:$E,TODAY()),0)</f>
        <v>0</v>
      </c>
      <c r="D4" s="49">
        <f ca="1">IFERROR(COUNTIFS(DB_Savings!$D:$D,"Agent 05",DB_Savings!$E:$E,TODAY()),0)</f>
        <v>0</v>
      </c>
      <c r="G4" s="49" t="str">
        <f ca="1">TEXT(TODAY(),"DDDD, DD MMMM YYYY")</f>
        <v>Saturday, 25 April 2026</v>
      </c>
    </row>
    <row r="5" spans="1:11" ht="15" customHeight="1" x14ac:dyDescent="0.25">
      <c r="A5" s="50" t="s">
        <v>129</v>
      </c>
      <c r="D5" s="51" t="s">
        <v>130</v>
      </c>
      <c r="G5" s="52" t="s">
        <v>131</v>
      </c>
    </row>
    <row r="6" spans="1:11" ht="25.5" customHeight="1" x14ac:dyDescent="0.25">
      <c r="A6" s="109">
        <f ca="1">IFERROR(SUMIFS(DB_Withdrawals!$G:$G,DB_Withdrawals!$I:$I,"Agent 05",DB_Withdrawals!$E:$E,TODAY()),0)</f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1" ht="21.7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30" customHeight="1" x14ac:dyDescent="0.25">
      <c r="A8" s="44" t="s">
        <v>132</v>
      </c>
    </row>
    <row r="9" spans="1:11" ht="19.5" customHeight="1" x14ac:dyDescent="0.25">
      <c r="A9" s="30" t="s">
        <v>190</v>
      </c>
    </row>
    <row r="10" spans="1:11" ht="19.5" customHeight="1" x14ac:dyDescent="0.25">
      <c r="A10" s="19" t="s">
        <v>134</v>
      </c>
      <c r="B10" s="19" t="s">
        <v>69</v>
      </c>
      <c r="C10" s="19" t="s">
        <v>84</v>
      </c>
      <c r="D10" s="19" t="s">
        <v>91</v>
      </c>
      <c r="E10" s="19" t="s">
        <v>135</v>
      </c>
      <c r="F10" s="19" t="s">
        <v>136</v>
      </c>
      <c r="G10" s="19" t="s">
        <v>45</v>
      </c>
      <c r="H10" s="19" t="s">
        <v>137</v>
      </c>
      <c r="I10" s="19" t="s">
        <v>77</v>
      </c>
      <c r="J10" s="19" t="s">
        <v>138</v>
      </c>
      <c r="K10" s="19" t="s">
        <v>95</v>
      </c>
    </row>
    <row r="11" spans="1:11" ht="19.5" customHeight="1" x14ac:dyDescent="0.25">
      <c r="A11" s="45"/>
      <c r="B11" s="38" t="str">
        <f>IF(A9="","",IFERROR(VLOOKUP(A9,DB_Customers!$A:$B,2,0),"❌ Account Not Found"))</f>
        <v>❌ Account Not Found</v>
      </c>
      <c r="C11" s="47" t="str">
        <f>IF(A9="","",IFERROR(VLOOKUP(A9,DB_Customers!$A:$M,13,0),""))</f>
        <v/>
      </c>
      <c r="D11" s="46">
        <f t="shared" ref="D11:D42" ca="1" si="0">IF(A9="","",TODAY())</f>
        <v>46137</v>
      </c>
      <c r="E11" s="33"/>
      <c r="F11" s="47" t="str">
        <f t="shared" ref="F11:F42" si="1">IFERROR(IF(OR(A9="",E9=""),"",C9+E9),"")</f>
        <v/>
      </c>
      <c r="G11" s="31" t="s">
        <v>58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IF(A10="","",IFERROR(VLOOKUP(A10,DB_Customers!$A:$M,13,0),""))</f>
        <v/>
      </c>
      <c r="D12" s="46">
        <f t="shared" ca="1" si="0"/>
        <v>46137</v>
      </c>
      <c r="E12" s="33"/>
      <c r="F12" s="47" t="str">
        <f t="shared" si="1"/>
        <v/>
      </c>
      <c r="G12" s="31" t="s">
        <v>58</v>
      </c>
      <c r="H12" s="45"/>
      <c r="I12" s="34" t="str">
        <f>IF(A10="","",IF(H10="","⚠️ Enter Agent Code",IF(IFERROR(VLOOKUP(G10,DB_Agents!$B:$F,4,0),"")=TEXT(H10,"0"),IF(AND(A10&lt;&gt;"",E10&lt;&gt;""),"✅ Saved","Pending"),"🔒 WRONG CODE")))</f>
        <v>🔒 WRONG CODE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58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58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58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58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58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58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58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58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58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58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58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58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58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58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58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58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58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58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58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58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58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58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58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58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58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58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58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58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58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58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58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58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58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58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58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58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58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58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58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58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58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58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58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58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58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58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58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58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58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58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58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58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58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58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58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58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58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58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58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58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58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58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58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58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58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58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58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58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58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58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58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58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58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58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58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58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58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58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58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58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58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58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58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58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58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58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58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58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58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58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58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58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58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58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58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58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58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58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58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58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58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58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58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58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58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58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58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58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58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58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58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58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58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58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58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58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58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58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58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58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58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58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58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58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58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58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58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58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58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58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58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58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58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58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58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58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58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58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58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58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58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58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58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58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58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58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58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58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58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58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58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58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58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58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58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58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58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58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58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58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58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58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58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58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58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58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58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58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58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58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58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58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58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58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58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58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58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58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58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58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58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58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58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58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58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58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58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58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58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58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10" ca="1" si="18">IF(A201="","",TODAY())</f>
        <v/>
      </c>
      <c r="E203" s="33"/>
      <c r="F203" s="47" t="str">
        <f t="shared" ref="F203:F210" si="19">IFERROR(IF(OR(A201="",E201=""),"",C201+E201),"")</f>
        <v/>
      </c>
      <c r="G203" s="31" t="s">
        <v>58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10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58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58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58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58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58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58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58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1:K1"/>
    <mergeCell ref="A2:K2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55A11"/>
  </sheetPr>
  <dimension ref="A1:L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04" t="s">
        <v>191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5.5" customHeight="1" x14ac:dyDescent="0.25">
      <c r="A2" s="108" t="s">
        <v>192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9.5" customHeight="1" x14ac:dyDescent="0.25">
      <c r="A3" s="54" t="s">
        <v>141</v>
      </c>
      <c r="D3" s="48" t="s">
        <v>142</v>
      </c>
      <c r="G3" s="55" t="s">
        <v>143</v>
      </c>
      <c r="J3" s="54" t="s">
        <v>128</v>
      </c>
    </row>
    <row r="4" spans="1:12" ht="24" customHeight="1" x14ac:dyDescent="0.25">
      <c r="A4" s="56">
        <f ca="1">IFERROR(SUMIFS(DB_Withdrawals!$G:$G,DB_Withdrawals!$I:$I,"Agent 05",DB_Withdrawals!$E:$E,TODAY()),0)</f>
        <v>0</v>
      </c>
      <c r="D4" s="56">
        <f ca="1">IFERROR(COUNTIFS(DB_Withdrawals!$I:$I,"Agent 05",DB_Withdrawals!$J:$J,"✅ Successful",DB_Withdrawals!$E:$E,TODAY()),0)</f>
        <v>0</v>
      </c>
      <c r="G4" s="56">
        <f ca="1">IFERROR(COUNTIFS(DB_Withdrawals!$I:$I,"Agent 05",DB_Withdrawals!$J:$J,"❌ Insufficient Funds",DB_Withdrawals!$E:$E,TODAY()),0)</f>
        <v>0</v>
      </c>
      <c r="J4" s="56" t="str">
        <f ca="1">TEXT(TODAY(),"DD MMM YYYY")</f>
        <v>25 Apr 2026</v>
      </c>
    </row>
    <row r="5" spans="1:12" ht="15" customHeight="1" x14ac:dyDescent="0.25">
      <c r="A5" s="51" t="s">
        <v>144</v>
      </c>
      <c r="D5" s="51" t="s">
        <v>130</v>
      </c>
      <c r="G5" s="52" t="s">
        <v>145</v>
      </c>
    </row>
    <row r="6" spans="1:12" ht="25.5" customHeight="1" x14ac:dyDescent="0.25">
      <c r="A6" s="111">
        <f ca="1">IFERROR(SUMIFS(DB_Savings!$F:$F,DB_Savings!$D:$D,"Agent 05",DB_Savings!$E:$E,TODAY()),0)</f>
        <v>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8" spans="1:12" ht="30" customHeight="1" x14ac:dyDescent="0.25">
      <c r="A8" s="30" t="s">
        <v>146</v>
      </c>
    </row>
    <row r="9" spans="1:12" ht="19.5" customHeight="1" x14ac:dyDescent="0.25"/>
    <row r="10" spans="1:12" ht="19.5" customHeight="1" x14ac:dyDescent="0.25">
      <c r="A10" s="19" t="s">
        <v>134</v>
      </c>
      <c r="B10" s="19" t="s">
        <v>69</v>
      </c>
      <c r="C10" s="19" t="s">
        <v>85</v>
      </c>
      <c r="D10" s="19" t="s">
        <v>91</v>
      </c>
      <c r="E10" s="19" t="s">
        <v>147</v>
      </c>
      <c r="F10" s="19" t="s">
        <v>148</v>
      </c>
      <c r="G10" s="19" t="s">
        <v>136</v>
      </c>
      <c r="H10" s="19" t="s">
        <v>45</v>
      </c>
      <c r="I10" s="19" t="s">
        <v>137</v>
      </c>
      <c r="J10" s="19" t="s">
        <v>77</v>
      </c>
      <c r="K10" s="19" t="s">
        <v>138</v>
      </c>
      <c r="L10" s="19" t="s">
        <v>95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58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IF(A10="","",IFERROR(VLOOKUP(A10,DB_Customers!$A:$N,14,0),""))</f>
        <v/>
      </c>
      <c r="D12" s="46">
        <f t="shared" ca="1" si="0"/>
        <v>46137</v>
      </c>
      <c r="E12" s="33"/>
      <c r="F12" s="32"/>
      <c r="G12" s="47" t="str">
        <f t="shared" si="1"/>
        <v/>
      </c>
      <c r="H12" s="31" t="s">
        <v>58</v>
      </c>
      <c r="I12" s="45"/>
      <c r="J12" s="34" t="str">
        <f>IF(AND(A10&lt;&gt;"",E10&lt;&gt;""),IF(I10="","⚠️ Enter Code",IF(IFERROR(VLOOKUP(H10,DB_Agents!$B:$F,4,0),"")=TEXT(I10,"0"),IF(C10&gt;=E10,"✅ Successful","❌ Insufficient Funds"),"🔒 WRONG CODE")),"Pending")</f>
        <v>🔒 WRONG CODE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58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58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58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58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58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58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58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58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58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58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58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58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58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58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58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58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58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58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58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58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58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58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58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58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58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58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58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58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58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58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58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58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58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58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58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58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58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58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58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58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58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58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58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58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58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58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58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58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58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58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58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58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58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58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58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58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58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58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58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58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58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58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58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58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58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58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58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58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58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58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58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58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58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58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58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58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58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58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58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58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58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58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58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58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58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58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58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58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58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58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58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58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58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58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58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58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58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58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58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58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58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58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58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58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58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58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58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58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58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58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58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58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58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58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58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58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58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58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58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58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58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58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58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58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58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58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58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58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58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58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58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58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58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58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58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58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58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58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58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58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58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58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58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58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58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58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58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58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58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58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58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58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58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58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58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58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58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58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58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58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58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58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58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58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58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58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58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58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58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58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58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58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58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58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58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58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58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58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58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58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58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58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58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58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58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58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58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58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58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58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10" ca="1" si="18">IF(A201="","",TODAY())</f>
        <v/>
      </c>
      <c r="E203" s="33"/>
      <c r="F203" s="32"/>
      <c r="G203" s="47" t="str">
        <f t="shared" ref="G203:G210" si="19">IFERROR(IF(OR(A201="",E201=""),"",C201-E201),"")</f>
        <v/>
      </c>
      <c r="H203" s="31" t="s">
        <v>58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10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58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58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58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58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58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58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58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1:L1"/>
    <mergeCell ref="A2:L2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F5C6B"/>
  </sheetPr>
  <dimension ref="A1:N215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5" t="s">
        <v>193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1.75" customHeight="1" x14ac:dyDescent="0.25">
      <c r="A2" s="108" t="s">
        <v>194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4" ht="15" customHeight="1" x14ac:dyDescent="0.25">
      <c r="A3" s="58" t="s">
        <v>151</v>
      </c>
      <c r="D3" s="52" t="s">
        <v>152</v>
      </c>
      <c r="G3" s="58" t="s">
        <v>128</v>
      </c>
    </row>
    <row r="4" spans="1:14" ht="15.75" customHeight="1" x14ac:dyDescent="0.25">
      <c r="A4" s="59">
        <f ca="1">IFERROR(SUMIFS(DB_Loans!$E:$E,DB_Loans!$L:$L,"Agent 05",DB_Loans!$D:$D,TODAY()),0)</f>
        <v>0</v>
      </c>
      <c r="D4" s="59">
        <f ca="1">IFERROR(SUMIFS(DB_Loans!$E:$E,DB_Loans!$L:$L,"Agent 05",DB_Loans!$M:$M,YEAR(TODAY())),0)</f>
        <v>0</v>
      </c>
      <c r="G4" s="60" t="str">
        <f ca="1">TEXT(TODAY(),"DDDD, DD MMMM YYYY")</f>
        <v>Saturday, 25 April 2026</v>
      </c>
    </row>
    <row r="6" spans="1:14" ht="15" customHeight="1" x14ac:dyDescent="0.25">
      <c r="A6" s="61" t="s">
        <v>153</v>
      </c>
    </row>
    <row r="7" spans="1:14" ht="15" customHeight="1" x14ac:dyDescent="0.25">
      <c r="A7" s="62" t="s">
        <v>154</v>
      </c>
      <c r="B7" s="33"/>
    </row>
    <row r="8" spans="1:14" ht="15" customHeight="1" x14ac:dyDescent="0.25">
      <c r="A8" s="62" t="s">
        <v>155</v>
      </c>
      <c r="B8" s="63"/>
    </row>
    <row r="9" spans="1:14" ht="15" customHeight="1" x14ac:dyDescent="0.25">
      <c r="A9" s="62" t="s">
        <v>156</v>
      </c>
      <c r="B9" s="64">
        <v>2.5</v>
      </c>
    </row>
    <row r="10" spans="1:14" ht="15" customHeight="1" x14ac:dyDescent="0.25">
      <c r="A10" s="65" t="s">
        <v>157</v>
      </c>
      <c r="B10" s="47" t="str">
        <f>IF(B5="","",B5*B7/100*B6)</f>
        <v/>
      </c>
    </row>
    <row r="11" spans="1:14" ht="15" customHeight="1" x14ac:dyDescent="0.25">
      <c r="A11" s="65" t="s">
        <v>158</v>
      </c>
      <c r="B11" s="47" t="str">
        <f>IF(B5="","",B5+(B5*B7/100*B6))</f>
        <v/>
      </c>
    </row>
    <row r="12" spans="1:14" ht="21.75" customHeight="1" x14ac:dyDescent="0.25">
      <c r="A12" s="112" t="s">
        <v>159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</row>
    <row r="13" spans="1:14" ht="30" customHeight="1" x14ac:dyDescent="0.25"/>
    <row r="14" spans="1:14" ht="19.5" customHeight="1" x14ac:dyDescent="0.25">
      <c r="A14" s="44" t="s">
        <v>160</v>
      </c>
    </row>
    <row r="15" spans="1:14" ht="19.5" customHeight="1" x14ac:dyDescent="0.25">
      <c r="A15" s="19" t="s">
        <v>161</v>
      </c>
      <c r="B15" s="19" t="s">
        <v>134</v>
      </c>
      <c r="C15" s="19" t="s">
        <v>69</v>
      </c>
      <c r="D15" s="19" t="s">
        <v>162</v>
      </c>
      <c r="E15" s="19" t="s">
        <v>163</v>
      </c>
      <c r="F15" s="19" t="s">
        <v>109</v>
      </c>
      <c r="G15" s="19" t="s">
        <v>110</v>
      </c>
      <c r="H15" s="19" t="s">
        <v>164</v>
      </c>
      <c r="I15" s="19" t="s">
        <v>165</v>
      </c>
      <c r="J15" s="19" t="s">
        <v>166</v>
      </c>
      <c r="K15" s="19" t="s">
        <v>77</v>
      </c>
      <c r="L15" s="19" t="s">
        <v>45</v>
      </c>
      <c r="M15" s="19" t="s">
        <v>137</v>
      </c>
      <c r="N15" s="19" t="s">
        <v>95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58</v>
      </c>
      <c r="M16" s="45"/>
      <c r="N16" s="67"/>
    </row>
    <row r="17" spans="1:14" ht="19.5" customHeight="1" x14ac:dyDescent="0.25">
      <c r="A17" s="31" t="str">
        <f t="shared" si="0"/>
        <v>LNRequest Date0004</v>
      </c>
      <c r="B17" s="45"/>
      <c r="C17" s="38" t="str">
        <f>IF(B15="","",IFERROR(VLOOKUP(B15,DB_Customers!$A:$B,2,0),"❌ Account Not Found"))</f>
        <v>❌ Account Not Found</v>
      </c>
      <c r="D17" s="46">
        <f t="shared" ca="1" si="1"/>
        <v>46137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tr">
        <f>IF(B15="","Pending",IF(M15="","⚠️ Enter Code",IF(IFERROR(VLOOKUP(L15,DB_Agents!$B:$F,4,0),"")=TEXT(M15,"0"),"Pending Approval","🔒 WRONG CODE")))</f>
        <v>🔒 WRONG CODE</v>
      </c>
      <c r="L17" s="31" t="s">
        <v>58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58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58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58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58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58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58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58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58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58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58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58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58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58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58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58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58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58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58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58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58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58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58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58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58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58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58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58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58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58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58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58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58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58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58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58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58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58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58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58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58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58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58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58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58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58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58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58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58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58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58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58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58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58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58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58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58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58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58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58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58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58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58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58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58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58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58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58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58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58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58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58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58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58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58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58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58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58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58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58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58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58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58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58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58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58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58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58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58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58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58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58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58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58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58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58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58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58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58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58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58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58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58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58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58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58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58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58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58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58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58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58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58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58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58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58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58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58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58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58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58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58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58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58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58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58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58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58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58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58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58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58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58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58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58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58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58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58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58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58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58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58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58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58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58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58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58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58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58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58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58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58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58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58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58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58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58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58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58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58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58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58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58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58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58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58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58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58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58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58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58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58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58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58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58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58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58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58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58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58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58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58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58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58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58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58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58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58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58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58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58</v>
      </c>
      <c r="M207" s="45"/>
      <c r="N207" s="22"/>
    </row>
    <row r="208" spans="1:14" ht="19.5" customHeight="1" x14ac:dyDescent="0.25">
      <c r="A208" s="31" t="str">
        <f t="shared" ref="A208:A215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15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15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58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58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15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58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58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58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58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58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58</v>
      </c>
      <c r="M215" s="45"/>
      <c r="N215" s="22"/>
    </row>
  </sheetData>
  <mergeCells count="3">
    <mergeCell ref="A1:N1"/>
    <mergeCell ref="A2:N2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375623"/>
  </sheetPr>
  <dimension ref="A1:K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03" t="s">
        <v>195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1.75" customHeight="1" x14ac:dyDescent="0.25">
      <c r="A2" s="108" t="s">
        <v>196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9.5" customHeight="1" x14ac:dyDescent="0.25">
      <c r="A3" s="48" t="s">
        <v>126</v>
      </c>
      <c r="D3" s="48" t="s">
        <v>127</v>
      </c>
      <c r="G3" s="48" t="s">
        <v>128</v>
      </c>
    </row>
    <row r="4" spans="1:11" ht="24" customHeight="1" x14ac:dyDescent="0.25">
      <c r="A4" s="49">
        <f ca="1">IFERROR(SUMIFS(DB_Savings!$F:$F,DB_Savings!$D:$D,"Agent 06",DB_Savings!$E:$E,TODAY()),0)</f>
        <v>0</v>
      </c>
      <c r="D4" s="49">
        <f ca="1">IFERROR(COUNTIFS(DB_Savings!$D:$D,"Agent 06",DB_Savings!$E:$E,TODAY()),0)</f>
        <v>0</v>
      </c>
      <c r="G4" s="49" t="str">
        <f ca="1">TEXT(TODAY(),"DDDD, DD MMMM YYYY")</f>
        <v>Saturday, 25 April 2026</v>
      </c>
    </row>
    <row r="5" spans="1:11" ht="15" customHeight="1" x14ac:dyDescent="0.25">
      <c r="A5" s="50" t="s">
        <v>129</v>
      </c>
      <c r="D5" s="51" t="s">
        <v>130</v>
      </c>
      <c r="G5" s="52" t="s">
        <v>131</v>
      </c>
    </row>
    <row r="6" spans="1:11" ht="25.5" customHeight="1" x14ac:dyDescent="0.25">
      <c r="A6" s="109">
        <f ca="1">IFERROR(SUMIFS(DB_Withdrawals!$G:$G,DB_Withdrawals!$I:$I,"Agent 06",DB_Withdrawals!$E:$E,TODAY()),0)</f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1" ht="21.7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30" customHeight="1" x14ac:dyDescent="0.25">
      <c r="A8" s="44" t="s">
        <v>132</v>
      </c>
    </row>
    <row r="9" spans="1:11" ht="19.5" customHeight="1" x14ac:dyDescent="0.25">
      <c r="A9" s="30" t="s">
        <v>197</v>
      </c>
    </row>
    <row r="10" spans="1:11" ht="19.5" customHeight="1" x14ac:dyDescent="0.25">
      <c r="A10" s="19" t="s">
        <v>134</v>
      </c>
      <c r="B10" s="19" t="s">
        <v>69</v>
      </c>
      <c r="C10" s="19" t="s">
        <v>84</v>
      </c>
      <c r="D10" s="19" t="s">
        <v>91</v>
      </c>
      <c r="E10" s="19" t="s">
        <v>135</v>
      </c>
      <c r="F10" s="19" t="s">
        <v>136</v>
      </c>
      <c r="G10" s="19" t="s">
        <v>45</v>
      </c>
      <c r="H10" s="19" t="s">
        <v>137</v>
      </c>
      <c r="I10" s="19" t="s">
        <v>77</v>
      </c>
      <c r="J10" s="19" t="s">
        <v>138</v>
      </c>
      <c r="K10" s="19" t="s">
        <v>95</v>
      </c>
    </row>
    <row r="11" spans="1:11" ht="19.5" customHeight="1" x14ac:dyDescent="0.25">
      <c r="A11" s="45"/>
      <c r="B11" s="38" t="str">
        <f>IF(A9="","",IFERROR(VLOOKUP(A9,DB_Customers!$A:$B,2,0),"❌ Account Not Found"))</f>
        <v>❌ Account Not Found</v>
      </c>
      <c r="C11" s="47" t="str">
        <f>IF(A9="","",IFERROR(VLOOKUP(A9,DB_Customers!$A:$M,13,0),""))</f>
        <v/>
      </c>
      <c r="D11" s="46">
        <f t="shared" ref="D11:D42" ca="1" si="0">IF(A9="","",TODAY())</f>
        <v>46137</v>
      </c>
      <c r="E11" s="33"/>
      <c r="F11" s="47" t="str">
        <f t="shared" ref="F11:F42" si="1">IFERROR(IF(OR(A9="",E9=""),"",C9+E9),"")</f>
        <v/>
      </c>
      <c r="G11" s="31" t="s">
        <v>59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IF(A10="","",IFERROR(VLOOKUP(A10,DB_Customers!$A:$M,13,0),""))</f>
        <v/>
      </c>
      <c r="D12" s="46">
        <f t="shared" ca="1" si="0"/>
        <v>46137</v>
      </c>
      <c r="E12" s="33"/>
      <c r="F12" s="47" t="str">
        <f t="shared" si="1"/>
        <v/>
      </c>
      <c r="G12" s="31" t="s">
        <v>59</v>
      </c>
      <c r="H12" s="45"/>
      <c r="I12" s="34" t="str">
        <f>IF(A10="","",IF(H10="","⚠️ Enter Agent Code",IF(IFERROR(VLOOKUP(G10,DB_Agents!$B:$F,4,0),"")=TEXT(H10,"0"),IF(AND(A10&lt;&gt;"",E10&lt;&gt;""),"✅ Saved","Pending"),"🔒 WRONG CODE")))</f>
        <v>🔒 WRONG CODE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59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59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59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59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59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59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59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59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59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59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59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59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59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59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59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59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59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59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59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59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59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59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59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59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59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59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59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59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59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59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59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59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59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59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59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59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59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59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59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59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59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59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59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59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59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59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59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59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59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59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59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59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59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59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59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59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59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59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59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59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59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59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59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59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59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59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59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59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59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59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59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59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59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59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59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59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59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59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59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59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59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59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59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59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59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59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59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59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59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59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59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59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59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59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59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59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59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59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59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59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59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59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59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59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59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59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59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59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59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59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59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59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59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59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59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59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59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59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59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59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59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59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59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59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59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59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59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59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59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59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59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59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59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59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59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59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59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59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59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59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59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59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59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59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59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59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59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59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59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59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59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59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59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59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59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59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59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59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59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59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59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59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59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59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59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59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59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59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59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59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59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59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59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59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59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59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59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59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59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59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59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59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59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59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59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59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59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59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59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59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10" ca="1" si="18">IF(A201="","",TODAY())</f>
        <v/>
      </c>
      <c r="E203" s="33"/>
      <c r="F203" s="47" t="str">
        <f t="shared" ref="F203:F210" si="19">IFERROR(IF(OR(A201="",E201=""),"",C201+E201),"")</f>
        <v/>
      </c>
      <c r="G203" s="31" t="s">
        <v>59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10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59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59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59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59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59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59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59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1:K1"/>
    <mergeCell ref="A2:K2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55A11"/>
  </sheetPr>
  <dimension ref="A1:L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04" t="s">
        <v>198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5.5" customHeight="1" x14ac:dyDescent="0.25">
      <c r="A2" s="108" t="s">
        <v>199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9.5" customHeight="1" x14ac:dyDescent="0.25">
      <c r="A3" s="54" t="s">
        <v>141</v>
      </c>
      <c r="D3" s="48" t="s">
        <v>142</v>
      </c>
      <c r="G3" s="55" t="s">
        <v>143</v>
      </c>
      <c r="J3" s="54" t="s">
        <v>128</v>
      </c>
    </row>
    <row r="4" spans="1:12" ht="24" customHeight="1" x14ac:dyDescent="0.25">
      <c r="A4" s="56">
        <f ca="1">IFERROR(SUMIFS(DB_Withdrawals!$G:$G,DB_Withdrawals!$I:$I,"Agent 06",DB_Withdrawals!$E:$E,TODAY()),0)</f>
        <v>0</v>
      </c>
      <c r="D4" s="56">
        <f ca="1">IFERROR(COUNTIFS(DB_Withdrawals!$I:$I,"Agent 06",DB_Withdrawals!$J:$J,"✅ Successful",DB_Withdrawals!$E:$E,TODAY()),0)</f>
        <v>0</v>
      </c>
      <c r="G4" s="56">
        <f ca="1">IFERROR(COUNTIFS(DB_Withdrawals!$I:$I,"Agent 06",DB_Withdrawals!$J:$J,"❌ Insufficient Funds",DB_Withdrawals!$E:$E,TODAY()),0)</f>
        <v>0</v>
      </c>
      <c r="J4" s="56" t="str">
        <f ca="1">TEXT(TODAY(),"DD MMM YYYY")</f>
        <v>25 Apr 2026</v>
      </c>
    </row>
    <row r="5" spans="1:12" ht="15" customHeight="1" x14ac:dyDescent="0.25">
      <c r="A5" s="51" t="s">
        <v>144</v>
      </c>
      <c r="D5" s="51" t="s">
        <v>130</v>
      </c>
      <c r="G5" s="52" t="s">
        <v>145</v>
      </c>
    </row>
    <row r="6" spans="1:12" ht="25.5" customHeight="1" x14ac:dyDescent="0.25">
      <c r="A6" s="111">
        <f ca="1">IFERROR(SUMIFS(DB_Savings!$F:$F,DB_Savings!$D:$D,"Agent 06",DB_Savings!$E:$E,TODAY()),0)</f>
        <v>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8" spans="1:12" ht="30" customHeight="1" x14ac:dyDescent="0.25">
      <c r="A8" s="30" t="s">
        <v>146</v>
      </c>
    </row>
    <row r="9" spans="1:12" ht="19.5" customHeight="1" x14ac:dyDescent="0.25"/>
    <row r="10" spans="1:12" ht="19.5" customHeight="1" x14ac:dyDescent="0.25">
      <c r="A10" s="19" t="s">
        <v>134</v>
      </c>
      <c r="B10" s="19" t="s">
        <v>69</v>
      </c>
      <c r="C10" s="19" t="s">
        <v>85</v>
      </c>
      <c r="D10" s="19" t="s">
        <v>91</v>
      </c>
      <c r="E10" s="19" t="s">
        <v>147</v>
      </c>
      <c r="F10" s="19" t="s">
        <v>148</v>
      </c>
      <c r="G10" s="19" t="s">
        <v>136</v>
      </c>
      <c r="H10" s="19" t="s">
        <v>45</v>
      </c>
      <c r="I10" s="19" t="s">
        <v>137</v>
      </c>
      <c r="J10" s="19" t="s">
        <v>77</v>
      </c>
      <c r="K10" s="19" t="s">
        <v>138</v>
      </c>
      <c r="L10" s="19" t="s">
        <v>95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59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IF(A10="","",IFERROR(VLOOKUP(A10,DB_Customers!$A:$N,14,0),""))</f>
        <v/>
      </c>
      <c r="D12" s="46">
        <f t="shared" ca="1" si="0"/>
        <v>46137</v>
      </c>
      <c r="E12" s="33"/>
      <c r="F12" s="32"/>
      <c r="G12" s="47" t="str">
        <f t="shared" si="1"/>
        <v/>
      </c>
      <c r="H12" s="31" t="s">
        <v>59</v>
      </c>
      <c r="I12" s="45"/>
      <c r="J12" s="34" t="str">
        <f>IF(AND(A10&lt;&gt;"",E10&lt;&gt;""),IF(I10="","⚠️ Enter Code",IF(IFERROR(VLOOKUP(H10,DB_Agents!$B:$F,4,0),"")=TEXT(I10,"0"),IF(C10&gt;=E10,"✅ Successful","❌ Insufficient Funds"),"🔒 WRONG CODE")),"Pending")</f>
        <v>🔒 WRONG CODE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59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59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59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59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59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59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59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59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59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59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59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59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59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59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59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59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59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59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59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59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59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59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59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59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59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59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59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59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59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59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59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59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59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59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59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59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59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59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59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59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59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59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59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59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59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59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59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59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59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59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59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59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59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59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59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59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59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59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59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59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59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59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59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59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59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59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59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59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59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59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59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59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59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59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59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59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59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59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59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59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59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59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59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59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59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59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59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59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59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59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59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59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59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59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59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59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59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59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59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59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59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59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59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59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59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59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59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59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59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59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59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59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59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59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59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59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59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59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59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59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59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59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59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59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59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59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59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59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59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59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59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59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59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59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59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59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59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59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59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59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59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59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59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59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59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59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59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59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59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59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59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59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59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59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59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59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59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59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59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59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59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59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59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59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59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59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59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59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59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59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59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59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59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59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59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59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59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59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59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59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59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59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59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59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59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59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59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59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59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59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10" ca="1" si="18">IF(A201="","",TODAY())</f>
        <v/>
      </c>
      <c r="E203" s="33"/>
      <c r="F203" s="32"/>
      <c r="G203" s="47" t="str">
        <f t="shared" ref="G203:G210" si="19">IFERROR(IF(OR(A201="",E201=""),"",C201-E201),"")</f>
        <v/>
      </c>
      <c r="H203" s="31" t="s">
        <v>59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10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59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59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59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59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59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59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59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1:L1"/>
    <mergeCell ref="A2:L2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F5C6B"/>
  </sheetPr>
  <dimension ref="A1:N215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5" t="s">
        <v>200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1.75" customHeight="1" x14ac:dyDescent="0.25">
      <c r="A2" s="108" t="s">
        <v>201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4" ht="15" customHeight="1" x14ac:dyDescent="0.25">
      <c r="A3" s="58" t="s">
        <v>151</v>
      </c>
      <c r="D3" s="52" t="s">
        <v>152</v>
      </c>
      <c r="G3" s="58" t="s">
        <v>128</v>
      </c>
    </row>
    <row r="4" spans="1:14" ht="15.75" customHeight="1" x14ac:dyDescent="0.25">
      <c r="A4" s="59">
        <f ca="1">IFERROR(SUMIFS(DB_Loans!$E:$E,DB_Loans!$L:$L,"Agent 06",DB_Loans!$D:$D,TODAY()),0)</f>
        <v>0</v>
      </c>
      <c r="D4" s="59">
        <f ca="1">IFERROR(SUMIFS(DB_Loans!$E:$E,DB_Loans!$L:$L,"Agent 06",DB_Loans!$M:$M,YEAR(TODAY())),0)</f>
        <v>0</v>
      </c>
      <c r="G4" s="60" t="str">
        <f ca="1">TEXT(TODAY(),"DDDD, DD MMMM YYYY")</f>
        <v>Saturday, 25 April 2026</v>
      </c>
    </row>
    <row r="6" spans="1:14" ht="15" customHeight="1" x14ac:dyDescent="0.25">
      <c r="A6" s="61" t="s">
        <v>153</v>
      </c>
    </row>
    <row r="7" spans="1:14" ht="15" customHeight="1" x14ac:dyDescent="0.25">
      <c r="A7" s="62" t="s">
        <v>154</v>
      </c>
      <c r="B7" s="33"/>
    </row>
    <row r="8" spans="1:14" ht="15" customHeight="1" x14ac:dyDescent="0.25">
      <c r="A8" s="62" t="s">
        <v>155</v>
      </c>
      <c r="B8" s="63"/>
    </row>
    <row r="9" spans="1:14" ht="15" customHeight="1" x14ac:dyDescent="0.25">
      <c r="A9" s="62" t="s">
        <v>156</v>
      </c>
      <c r="B9" s="64">
        <v>2.5</v>
      </c>
    </row>
    <row r="10" spans="1:14" ht="15" customHeight="1" x14ac:dyDescent="0.25">
      <c r="A10" s="65" t="s">
        <v>157</v>
      </c>
      <c r="B10" s="47" t="str">
        <f>IF(B5="","",B5*B7/100*B6)</f>
        <v/>
      </c>
    </row>
    <row r="11" spans="1:14" ht="15" customHeight="1" x14ac:dyDescent="0.25">
      <c r="A11" s="65" t="s">
        <v>158</v>
      </c>
      <c r="B11" s="47" t="str">
        <f>IF(B5="","",B5+(B5*B7/100*B6))</f>
        <v/>
      </c>
    </row>
    <row r="12" spans="1:14" ht="21.75" customHeight="1" x14ac:dyDescent="0.25">
      <c r="A12" s="112" t="s">
        <v>159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</row>
    <row r="13" spans="1:14" ht="30" customHeight="1" x14ac:dyDescent="0.25"/>
    <row r="14" spans="1:14" ht="19.5" customHeight="1" x14ac:dyDescent="0.25">
      <c r="A14" s="44" t="s">
        <v>160</v>
      </c>
    </row>
    <row r="15" spans="1:14" ht="19.5" customHeight="1" x14ac:dyDescent="0.25">
      <c r="A15" s="19" t="s">
        <v>161</v>
      </c>
      <c r="B15" s="19" t="s">
        <v>134</v>
      </c>
      <c r="C15" s="19" t="s">
        <v>69</v>
      </c>
      <c r="D15" s="19" t="s">
        <v>162</v>
      </c>
      <c r="E15" s="19" t="s">
        <v>163</v>
      </c>
      <c r="F15" s="19" t="s">
        <v>109</v>
      </c>
      <c r="G15" s="19" t="s">
        <v>110</v>
      </c>
      <c r="H15" s="19" t="s">
        <v>164</v>
      </c>
      <c r="I15" s="19" t="s">
        <v>165</v>
      </c>
      <c r="J15" s="19" t="s">
        <v>166</v>
      </c>
      <c r="K15" s="19" t="s">
        <v>77</v>
      </c>
      <c r="L15" s="19" t="s">
        <v>45</v>
      </c>
      <c r="M15" s="19" t="s">
        <v>137</v>
      </c>
      <c r="N15" s="19" t="s">
        <v>95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59</v>
      </c>
      <c r="M16" s="45"/>
      <c r="N16" s="67"/>
    </row>
    <row r="17" spans="1:14" ht="19.5" customHeight="1" x14ac:dyDescent="0.25">
      <c r="A17" s="31" t="str">
        <f t="shared" si="0"/>
        <v>LNRequest Date0004</v>
      </c>
      <c r="B17" s="45"/>
      <c r="C17" s="38" t="str">
        <f>IF(B15="","",IFERROR(VLOOKUP(B15,DB_Customers!$A:$B,2,0),"❌ Account Not Found"))</f>
        <v>❌ Account Not Found</v>
      </c>
      <c r="D17" s="46">
        <f t="shared" ca="1" si="1"/>
        <v>46137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tr">
        <f>IF(B15="","Pending",IF(M15="","⚠️ Enter Code",IF(IFERROR(VLOOKUP(L15,DB_Agents!$B:$F,4,0),"")=TEXT(M15,"0"),"Pending Approval","🔒 WRONG CODE")))</f>
        <v>🔒 WRONG CODE</v>
      </c>
      <c r="L17" s="31" t="s">
        <v>59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59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59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59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59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59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59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59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59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59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59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59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59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59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59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59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59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59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59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59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59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59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59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59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59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59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59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59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59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59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59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59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59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59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59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59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59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59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59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59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59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59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59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59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59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59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59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59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59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59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59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59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59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59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59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59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59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59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59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59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59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59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59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59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59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59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59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59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59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59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59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59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59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59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59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59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59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59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59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59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59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59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59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59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59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59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59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59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59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59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59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59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59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59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59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59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59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59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59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59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59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59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59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59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59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59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59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59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59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59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59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59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59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59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59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59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59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59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59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59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59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59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59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59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59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59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59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59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59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59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59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59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59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59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59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59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59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59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59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59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59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59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59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59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59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59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59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59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59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59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59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59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59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59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59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59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59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59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59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59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59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59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59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59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59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59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59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59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59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59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59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59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59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59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59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59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59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59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59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59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59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59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59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59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59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59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59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59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59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59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59</v>
      </c>
      <c r="M207" s="45"/>
      <c r="N207" s="22"/>
    </row>
    <row r="208" spans="1:14" ht="19.5" customHeight="1" x14ac:dyDescent="0.25">
      <c r="A208" s="31" t="str">
        <f t="shared" ref="A208:A215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15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15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59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59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15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59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59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59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59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59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59</v>
      </c>
      <c r="M215" s="45"/>
      <c r="N215" s="22"/>
    </row>
  </sheetData>
  <mergeCells count="3">
    <mergeCell ref="A1:N1"/>
    <mergeCell ref="A2:N2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375623"/>
  </sheetPr>
  <dimension ref="A1:K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03" t="s">
        <v>202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1.75" customHeight="1" x14ac:dyDescent="0.25">
      <c r="A2" s="108" t="s">
        <v>203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9.5" customHeight="1" x14ac:dyDescent="0.25">
      <c r="A3" s="48" t="s">
        <v>126</v>
      </c>
      <c r="D3" s="48" t="s">
        <v>127</v>
      </c>
      <c r="G3" s="48" t="s">
        <v>128</v>
      </c>
    </row>
    <row r="4" spans="1:11" ht="24" customHeight="1" x14ac:dyDescent="0.25">
      <c r="A4" s="49">
        <f ca="1">IFERROR(SUMIFS(DB_Savings!$F:$F,DB_Savings!$D:$D,"Agent 07",DB_Savings!$E:$E,TODAY()),0)</f>
        <v>0</v>
      </c>
      <c r="D4" s="49">
        <f ca="1">IFERROR(COUNTIFS(DB_Savings!$D:$D,"Agent 07",DB_Savings!$E:$E,TODAY()),0)</f>
        <v>0</v>
      </c>
      <c r="G4" s="49" t="str">
        <f ca="1">TEXT(TODAY(),"DDDD, DD MMMM YYYY")</f>
        <v>Saturday, 25 April 2026</v>
      </c>
    </row>
    <row r="5" spans="1:11" ht="15" customHeight="1" x14ac:dyDescent="0.25">
      <c r="A5" s="50" t="s">
        <v>129</v>
      </c>
      <c r="D5" s="51" t="s">
        <v>130</v>
      </c>
      <c r="G5" s="52" t="s">
        <v>131</v>
      </c>
    </row>
    <row r="6" spans="1:11" ht="25.5" customHeight="1" x14ac:dyDescent="0.25">
      <c r="A6" s="109">
        <f ca="1">IFERROR(SUMIFS(DB_Withdrawals!$G:$G,DB_Withdrawals!$I:$I,"Agent 07",DB_Withdrawals!$E:$E,TODAY()),0)</f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1" ht="21.7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30" customHeight="1" x14ac:dyDescent="0.25">
      <c r="A8" s="44" t="s">
        <v>132</v>
      </c>
    </row>
    <row r="9" spans="1:11" ht="19.5" customHeight="1" x14ac:dyDescent="0.25">
      <c r="A9" s="30" t="s">
        <v>204</v>
      </c>
    </row>
    <row r="10" spans="1:11" ht="19.5" customHeight="1" x14ac:dyDescent="0.25">
      <c r="A10" s="19" t="s">
        <v>134</v>
      </c>
      <c r="B10" s="19" t="s">
        <v>69</v>
      </c>
      <c r="C10" s="19" t="s">
        <v>84</v>
      </c>
      <c r="D10" s="19" t="s">
        <v>91</v>
      </c>
      <c r="E10" s="19" t="s">
        <v>135</v>
      </c>
      <c r="F10" s="19" t="s">
        <v>136</v>
      </c>
      <c r="G10" s="19" t="s">
        <v>45</v>
      </c>
      <c r="H10" s="19" t="s">
        <v>137</v>
      </c>
      <c r="I10" s="19" t="s">
        <v>77</v>
      </c>
      <c r="J10" s="19" t="s">
        <v>138</v>
      </c>
      <c r="K10" s="19" t="s">
        <v>95</v>
      </c>
    </row>
    <row r="11" spans="1:11" ht="19.5" customHeight="1" x14ac:dyDescent="0.25">
      <c r="A11" s="45"/>
      <c r="B11" s="38" t="str">
        <f>IF(A9="","",IFERROR(VLOOKUP(A9,DB_Customers!$A:$B,2,0),"❌ Account Not Found"))</f>
        <v>❌ Account Not Found</v>
      </c>
      <c r="C11" s="47" t="str">
        <f>IF(A9="","",IFERROR(VLOOKUP(A9,DB_Customers!$A:$M,13,0),""))</f>
        <v/>
      </c>
      <c r="D11" s="46">
        <f t="shared" ref="D11:D42" ca="1" si="0">IF(A9="","",TODAY())</f>
        <v>46137</v>
      </c>
      <c r="E11" s="33"/>
      <c r="F11" s="47" t="str">
        <f t="shared" ref="F11:F42" si="1">IFERROR(IF(OR(A9="",E9=""),"",C9+E9),"")</f>
        <v/>
      </c>
      <c r="G11" s="31" t="s">
        <v>60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IF(A10="","",IFERROR(VLOOKUP(A10,DB_Customers!$A:$M,13,0),""))</f>
        <v/>
      </c>
      <c r="D12" s="46">
        <f t="shared" ca="1" si="0"/>
        <v>46137</v>
      </c>
      <c r="E12" s="33"/>
      <c r="F12" s="47" t="str">
        <f t="shared" si="1"/>
        <v/>
      </c>
      <c r="G12" s="31" t="s">
        <v>60</v>
      </c>
      <c r="H12" s="45"/>
      <c r="I12" s="34" t="str">
        <f>IF(A10="","",IF(H10="","⚠️ Enter Agent Code",IF(IFERROR(VLOOKUP(G10,DB_Agents!$B:$F,4,0),"")=TEXT(H10,"0"),IF(AND(A10&lt;&gt;"",E10&lt;&gt;""),"✅ Saved","Pending"),"🔒 WRONG CODE")))</f>
        <v>🔒 WRONG CODE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60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60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60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60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60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60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60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60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60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60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60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60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60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60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60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60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60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60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60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60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60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60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60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60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60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60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60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60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60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60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60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60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60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60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60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60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60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60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60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60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60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60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60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60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60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60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60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60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60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60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60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60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60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60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60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60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60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60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60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60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60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60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60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60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60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60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60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60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60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60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60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60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60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60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60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60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60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60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60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60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60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60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60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60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60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60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60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60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60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60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60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60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60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60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60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60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60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60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60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60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60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60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60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60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60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60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60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60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60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60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60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60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60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60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60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60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60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60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60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60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60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60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60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60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60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60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60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60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60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60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60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60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60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60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60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60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60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60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60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60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60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60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60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60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60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60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60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60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60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60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60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60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60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60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60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60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60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60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60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60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60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60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60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60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60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60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60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60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60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60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60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60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60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60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60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60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60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60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60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60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60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60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60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60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60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60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60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60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60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60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10" ca="1" si="18">IF(A201="","",TODAY())</f>
        <v/>
      </c>
      <c r="E203" s="33"/>
      <c r="F203" s="47" t="str">
        <f t="shared" ref="F203:F210" si="19">IFERROR(IF(OR(A201="",E201=""),"",C201+E201),"")</f>
        <v/>
      </c>
      <c r="G203" s="31" t="s">
        <v>60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10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60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60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60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60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60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60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60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1:K1"/>
    <mergeCell ref="A2:K2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55A11"/>
  </sheetPr>
  <dimension ref="A1:L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04" t="s">
        <v>205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5.5" customHeight="1" x14ac:dyDescent="0.25">
      <c r="A2" s="108" t="s">
        <v>206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9.5" customHeight="1" x14ac:dyDescent="0.25">
      <c r="A3" s="54" t="s">
        <v>141</v>
      </c>
      <c r="D3" s="48" t="s">
        <v>142</v>
      </c>
      <c r="G3" s="55" t="s">
        <v>143</v>
      </c>
      <c r="J3" s="54" t="s">
        <v>128</v>
      </c>
    </row>
    <row r="4" spans="1:12" ht="24" customHeight="1" x14ac:dyDescent="0.25">
      <c r="A4" s="56">
        <f ca="1">IFERROR(SUMIFS(DB_Withdrawals!$G:$G,DB_Withdrawals!$I:$I,"Agent 07",DB_Withdrawals!$E:$E,TODAY()),0)</f>
        <v>0</v>
      </c>
      <c r="D4" s="56">
        <f ca="1">IFERROR(COUNTIFS(DB_Withdrawals!$I:$I,"Agent 07",DB_Withdrawals!$J:$J,"✅ Successful",DB_Withdrawals!$E:$E,TODAY()),0)</f>
        <v>0</v>
      </c>
      <c r="G4" s="56">
        <f ca="1">IFERROR(COUNTIFS(DB_Withdrawals!$I:$I,"Agent 07",DB_Withdrawals!$J:$J,"❌ Insufficient Funds",DB_Withdrawals!$E:$E,TODAY()),0)</f>
        <v>0</v>
      </c>
      <c r="J4" s="56" t="str">
        <f ca="1">TEXT(TODAY(),"DD MMM YYYY")</f>
        <v>25 Apr 2026</v>
      </c>
    </row>
    <row r="5" spans="1:12" ht="15" customHeight="1" x14ac:dyDescent="0.25">
      <c r="A5" s="51" t="s">
        <v>144</v>
      </c>
      <c r="D5" s="51" t="s">
        <v>130</v>
      </c>
      <c r="G5" s="52" t="s">
        <v>145</v>
      </c>
    </row>
    <row r="6" spans="1:12" ht="25.5" customHeight="1" x14ac:dyDescent="0.25">
      <c r="A6" s="111">
        <f ca="1">IFERROR(SUMIFS(DB_Savings!$F:$F,DB_Savings!$D:$D,"Agent 07",DB_Savings!$E:$E,TODAY()),0)</f>
        <v>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8" spans="1:12" ht="30" customHeight="1" x14ac:dyDescent="0.25">
      <c r="A8" s="30" t="s">
        <v>146</v>
      </c>
    </row>
    <row r="9" spans="1:12" ht="19.5" customHeight="1" x14ac:dyDescent="0.25"/>
    <row r="10" spans="1:12" ht="19.5" customHeight="1" x14ac:dyDescent="0.25">
      <c r="A10" s="19" t="s">
        <v>134</v>
      </c>
      <c r="B10" s="19" t="s">
        <v>69</v>
      </c>
      <c r="C10" s="19" t="s">
        <v>85</v>
      </c>
      <c r="D10" s="19" t="s">
        <v>91</v>
      </c>
      <c r="E10" s="19" t="s">
        <v>147</v>
      </c>
      <c r="F10" s="19" t="s">
        <v>148</v>
      </c>
      <c r="G10" s="19" t="s">
        <v>136</v>
      </c>
      <c r="H10" s="19" t="s">
        <v>45</v>
      </c>
      <c r="I10" s="19" t="s">
        <v>137</v>
      </c>
      <c r="J10" s="19" t="s">
        <v>77</v>
      </c>
      <c r="K10" s="19" t="s">
        <v>138</v>
      </c>
      <c r="L10" s="19" t="s">
        <v>95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60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IF(A10="","",IFERROR(VLOOKUP(A10,DB_Customers!$A:$N,14,0),""))</f>
        <v/>
      </c>
      <c r="D12" s="46">
        <f t="shared" ca="1" si="0"/>
        <v>46137</v>
      </c>
      <c r="E12" s="33"/>
      <c r="F12" s="32"/>
      <c r="G12" s="47" t="str">
        <f t="shared" si="1"/>
        <v/>
      </c>
      <c r="H12" s="31" t="s">
        <v>60</v>
      </c>
      <c r="I12" s="45"/>
      <c r="J12" s="34" t="str">
        <f>IF(AND(A10&lt;&gt;"",E10&lt;&gt;""),IF(I10="","⚠️ Enter Code",IF(IFERROR(VLOOKUP(H10,DB_Agents!$B:$F,4,0),"")=TEXT(I10,"0"),IF(C10&gt;=E10,"✅ Successful","❌ Insufficient Funds"),"🔒 WRONG CODE")),"Pending")</f>
        <v>🔒 WRONG CODE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60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60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60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60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60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60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60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60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60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60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60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60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60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60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60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60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60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60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60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60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60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60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60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60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60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60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60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60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60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60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60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60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60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60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60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60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60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60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60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60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60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60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60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60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60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60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60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60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60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60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60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60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60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60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60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60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60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60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60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60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60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60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60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60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60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60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60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60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60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60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60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60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60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60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60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60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60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60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60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60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60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60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60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60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60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60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60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60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60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60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60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60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60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60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60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60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60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60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60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60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60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60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60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60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60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60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60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60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60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60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60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60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60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60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60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60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60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60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60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60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60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60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60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60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60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60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60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60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60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60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60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60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60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60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60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60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60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60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60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60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60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60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60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60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60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60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60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60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60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60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60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60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60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60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60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60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60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60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60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60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60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60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60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60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60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60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60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60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60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60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60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60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60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60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60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60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60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60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60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60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60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60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60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60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60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60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60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60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60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60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10" ca="1" si="18">IF(A201="","",TODAY())</f>
        <v/>
      </c>
      <c r="E203" s="33"/>
      <c r="F203" s="32"/>
      <c r="G203" s="47" t="str">
        <f t="shared" ref="G203:G210" si="19">IFERROR(IF(OR(A201="",E201=""),"",C201-E201),"")</f>
        <v/>
      </c>
      <c r="H203" s="31" t="s">
        <v>60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10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60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60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60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60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60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60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60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1:L1"/>
    <mergeCell ref="A2:L2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F5C6B"/>
  </sheetPr>
  <dimension ref="A1:N215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5" t="s">
        <v>207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1.75" customHeight="1" x14ac:dyDescent="0.25">
      <c r="A2" s="108" t="s">
        <v>208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4" ht="15" customHeight="1" x14ac:dyDescent="0.25">
      <c r="A3" s="58" t="s">
        <v>151</v>
      </c>
      <c r="D3" s="52" t="s">
        <v>152</v>
      </c>
      <c r="G3" s="58" t="s">
        <v>128</v>
      </c>
    </row>
    <row r="4" spans="1:14" ht="15.75" customHeight="1" x14ac:dyDescent="0.25">
      <c r="A4" s="59">
        <f ca="1">IFERROR(SUMIFS(DB_Loans!$E:$E,DB_Loans!$L:$L,"Agent 07",DB_Loans!$D:$D,TODAY()),0)</f>
        <v>0</v>
      </c>
      <c r="D4" s="59">
        <f ca="1">IFERROR(SUMIFS(DB_Loans!$E:$E,DB_Loans!$L:$L,"Agent 07",DB_Loans!$M:$M,YEAR(TODAY())),0)</f>
        <v>0</v>
      </c>
      <c r="G4" s="60" t="str">
        <f ca="1">TEXT(TODAY(),"DDDD, DD MMMM YYYY")</f>
        <v>Saturday, 25 April 2026</v>
      </c>
    </row>
    <row r="6" spans="1:14" ht="15" customHeight="1" x14ac:dyDescent="0.25">
      <c r="A6" s="61" t="s">
        <v>153</v>
      </c>
    </row>
    <row r="7" spans="1:14" ht="15" customHeight="1" x14ac:dyDescent="0.25">
      <c r="A7" s="62" t="s">
        <v>154</v>
      </c>
      <c r="B7" s="33"/>
    </row>
    <row r="8" spans="1:14" ht="15" customHeight="1" x14ac:dyDescent="0.25">
      <c r="A8" s="62" t="s">
        <v>155</v>
      </c>
      <c r="B8" s="63"/>
    </row>
    <row r="9" spans="1:14" ht="15" customHeight="1" x14ac:dyDescent="0.25">
      <c r="A9" s="62" t="s">
        <v>156</v>
      </c>
      <c r="B9" s="64">
        <v>2.5</v>
      </c>
    </row>
    <row r="10" spans="1:14" ht="15" customHeight="1" x14ac:dyDescent="0.25">
      <c r="A10" s="65" t="s">
        <v>157</v>
      </c>
      <c r="B10" s="47" t="str">
        <f>IF(B5="","",B5*B7/100*B6)</f>
        <v/>
      </c>
    </row>
    <row r="11" spans="1:14" ht="15" customHeight="1" x14ac:dyDescent="0.25">
      <c r="A11" s="65" t="s">
        <v>158</v>
      </c>
      <c r="B11" s="47" t="str">
        <f>IF(B5="","",B5+(B5*B7/100*B6))</f>
        <v/>
      </c>
    </row>
    <row r="12" spans="1:14" ht="21.75" customHeight="1" x14ac:dyDescent="0.25">
      <c r="A12" s="112" t="s">
        <v>159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</row>
    <row r="13" spans="1:14" ht="30" customHeight="1" x14ac:dyDescent="0.25"/>
    <row r="14" spans="1:14" ht="19.5" customHeight="1" x14ac:dyDescent="0.25">
      <c r="A14" s="44" t="s">
        <v>160</v>
      </c>
    </row>
    <row r="15" spans="1:14" ht="19.5" customHeight="1" x14ac:dyDescent="0.25">
      <c r="A15" s="19" t="s">
        <v>161</v>
      </c>
      <c r="B15" s="19" t="s">
        <v>134</v>
      </c>
      <c r="C15" s="19" t="s">
        <v>69</v>
      </c>
      <c r="D15" s="19" t="s">
        <v>162</v>
      </c>
      <c r="E15" s="19" t="s">
        <v>163</v>
      </c>
      <c r="F15" s="19" t="s">
        <v>109</v>
      </c>
      <c r="G15" s="19" t="s">
        <v>110</v>
      </c>
      <c r="H15" s="19" t="s">
        <v>164</v>
      </c>
      <c r="I15" s="19" t="s">
        <v>165</v>
      </c>
      <c r="J15" s="19" t="s">
        <v>166</v>
      </c>
      <c r="K15" s="19" t="s">
        <v>77</v>
      </c>
      <c r="L15" s="19" t="s">
        <v>45</v>
      </c>
      <c r="M15" s="19" t="s">
        <v>137</v>
      </c>
      <c r="N15" s="19" t="s">
        <v>95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60</v>
      </c>
      <c r="M16" s="45"/>
      <c r="N16" s="67"/>
    </row>
    <row r="17" spans="1:14" ht="19.5" customHeight="1" x14ac:dyDescent="0.25">
      <c r="A17" s="31" t="str">
        <f t="shared" si="0"/>
        <v>LNRequest Date0004</v>
      </c>
      <c r="B17" s="45"/>
      <c r="C17" s="38" t="str">
        <f>IF(B15="","",IFERROR(VLOOKUP(B15,DB_Customers!$A:$B,2,0),"❌ Account Not Found"))</f>
        <v>❌ Account Not Found</v>
      </c>
      <c r="D17" s="46">
        <f t="shared" ca="1" si="1"/>
        <v>46137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tr">
        <f>IF(B15="","Pending",IF(M15="","⚠️ Enter Code",IF(IFERROR(VLOOKUP(L15,DB_Agents!$B:$F,4,0),"")=TEXT(M15,"0"),"Pending Approval","🔒 WRONG CODE")))</f>
        <v>🔒 WRONG CODE</v>
      </c>
      <c r="L17" s="31" t="s">
        <v>60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60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60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60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60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60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60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60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60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60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60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60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60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60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60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60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60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60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60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60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60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60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60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60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60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60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60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60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60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60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60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60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60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60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60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60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60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60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60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60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60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60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60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60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60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60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60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60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60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60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60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60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60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60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60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60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60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60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60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60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60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60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60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60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60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60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60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60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60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60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60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60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60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60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60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60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60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60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60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60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60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60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60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60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60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60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60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60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60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60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60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60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60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60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60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60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60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60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60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60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60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60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60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60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60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60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60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60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60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60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60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60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60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60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60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60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60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60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60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60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60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60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60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60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60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60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60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60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60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60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60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60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60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60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60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60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60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60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60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60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60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60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60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60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60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60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60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60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60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60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60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60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60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60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60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60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60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60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60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60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60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60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60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60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60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60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60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60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60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60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60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60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60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60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60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60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60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60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60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60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60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60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60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60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60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60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60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60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60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60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60</v>
      </c>
      <c r="M207" s="45"/>
      <c r="N207" s="22"/>
    </row>
    <row r="208" spans="1:14" ht="19.5" customHeight="1" x14ac:dyDescent="0.25">
      <c r="A208" s="31" t="str">
        <f t="shared" ref="A208:A215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15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15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60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60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15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60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60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60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60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60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60</v>
      </c>
      <c r="M215" s="45"/>
      <c r="N215" s="22"/>
    </row>
  </sheetData>
  <mergeCells count="3">
    <mergeCell ref="A1:N1"/>
    <mergeCell ref="A2:N2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375623"/>
  </sheetPr>
  <dimension ref="A1:K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03" t="s">
        <v>209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1.75" customHeight="1" x14ac:dyDescent="0.25">
      <c r="A2" s="108" t="s">
        <v>210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9.5" customHeight="1" x14ac:dyDescent="0.25">
      <c r="A3" s="48" t="s">
        <v>126</v>
      </c>
      <c r="D3" s="48" t="s">
        <v>127</v>
      </c>
      <c r="G3" s="48" t="s">
        <v>128</v>
      </c>
    </row>
    <row r="4" spans="1:11" ht="24" customHeight="1" x14ac:dyDescent="0.25">
      <c r="A4" s="49">
        <f ca="1">IFERROR(SUMIFS(DB_Savings!$F:$F,DB_Savings!$D:$D,"Agent 08",DB_Savings!$E:$E,TODAY()),0)</f>
        <v>0</v>
      </c>
      <c r="D4" s="49">
        <f ca="1">IFERROR(COUNTIFS(DB_Savings!$D:$D,"Agent 08",DB_Savings!$E:$E,TODAY()),0)</f>
        <v>0</v>
      </c>
      <c r="G4" s="49" t="str">
        <f ca="1">TEXT(TODAY(),"DDDD, DD MMMM YYYY")</f>
        <v>Saturday, 25 April 2026</v>
      </c>
    </row>
    <row r="5" spans="1:11" ht="15" customHeight="1" x14ac:dyDescent="0.25">
      <c r="A5" s="50" t="s">
        <v>129</v>
      </c>
      <c r="D5" s="51" t="s">
        <v>130</v>
      </c>
      <c r="G5" s="52" t="s">
        <v>131</v>
      </c>
    </row>
    <row r="6" spans="1:11" ht="25.5" customHeight="1" x14ac:dyDescent="0.25">
      <c r="A6" s="109">
        <f ca="1">IFERROR(SUMIFS(DB_Withdrawals!$G:$G,DB_Withdrawals!$I:$I,"Agent 08",DB_Withdrawals!$E:$E,TODAY()),0)</f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1" ht="21.7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30" customHeight="1" x14ac:dyDescent="0.25">
      <c r="A8" s="44" t="s">
        <v>132</v>
      </c>
    </row>
    <row r="9" spans="1:11" ht="19.5" customHeight="1" x14ac:dyDescent="0.25">
      <c r="A9" s="30" t="s">
        <v>211</v>
      </c>
    </row>
    <row r="10" spans="1:11" ht="19.5" customHeight="1" x14ac:dyDescent="0.25">
      <c r="A10" s="19" t="s">
        <v>134</v>
      </c>
      <c r="B10" s="19" t="s">
        <v>69</v>
      </c>
      <c r="C10" s="19" t="s">
        <v>84</v>
      </c>
      <c r="D10" s="19" t="s">
        <v>91</v>
      </c>
      <c r="E10" s="19" t="s">
        <v>135</v>
      </c>
      <c r="F10" s="19" t="s">
        <v>136</v>
      </c>
      <c r="G10" s="19" t="s">
        <v>45</v>
      </c>
      <c r="H10" s="19" t="s">
        <v>137</v>
      </c>
      <c r="I10" s="19" t="s">
        <v>77</v>
      </c>
      <c r="J10" s="19" t="s">
        <v>138</v>
      </c>
      <c r="K10" s="19" t="s">
        <v>95</v>
      </c>
    </row>
    <row r="11" spans="1:11" ht="19.5" customHeight="1" x14ac:dyDescent="0.25">
      <c r="A11" s="45"/>
      <c r="B11" s="38" t="str">
        <f>IF(A9="","",IFERROR(VLOOKUP(A9,DB_Customers!$A:$B,2,0),"❌ Account Not Found"))</f>
        <v>❌ Account Not Found</v>
      </c>
      <c r="C11" s="47" t="str">
        <f>IF(A9="","",IFERROR(VLOOKUP(A9,DB_Customers!$A:$M,13,0),""))</f>
        <v/>
      </c>
      <c r="D11" s="46">
        <f t="shared" ref="D11:D42" ca="1" si="0">IF(A9="","",TODAY())</f>
        <v>46137</v>
      </c>
      <c r="E11" s="33"/>
      <c r="F11" s="47" t="str">
        <f t="shared" ref="F11:F42" si="1">IFERROR(IF(OR(A9="",E9=""),"",C9+E9),"")</f>
        <v/>
      </c>
      <c r="G11" s="31" t="s">
        <v>61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IF(A10="","",IFERROR(VLOOKUP(A10,DB_Customers!$A:$M,13,0),""))</f>
        <v/>
      </c>
      <c r="D12" s="46">
        <f t="shared" ca="1" si="0"/>
        <v>46137</v>
      </c>
      <c r="E12" s="33"/>
      <c r="F12" s="47" t="str">
        <f t="shared" si="1"/>
        <v/>
      </c>
      <c r="G12" s="31" t="s">
        <v>61</v>
      </c>
      <c r="H12" s="45"/>
      <c r="I12" s="34" t="str">
        <f>IF(A10="","",IF(H10="","⚠️ Enter Agent Code",IF(IFERROR(VLOOKUP(G10,DB_Agents!$B:$F,4,0),"")=TEXT(H10,"0"),IF(AND(A10&lt;&gt;"",E10&lt;&gt;""),"✅ Saved","Pending"),"🔒 WRONG CODE")))</f>
        <v>🔒 WRONG CODE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61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61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61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61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61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61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61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61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61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61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61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61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61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61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61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61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61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61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61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61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61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61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61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61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61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61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61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61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61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61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61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61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61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61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61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61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61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61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61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61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61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61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61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61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61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61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61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61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61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61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61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61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61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61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61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61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61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61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61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61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61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61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61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61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61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61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61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61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61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61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61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61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61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61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61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61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61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61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61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61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61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61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61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61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61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61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61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61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61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61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61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61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61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61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61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61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61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61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61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61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61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61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61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61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61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61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61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61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61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61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61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61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61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61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61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61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61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61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61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61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61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61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61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61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61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61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61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61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61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61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61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61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61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61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61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61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61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61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61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61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61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61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61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61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61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61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61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61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61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61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61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61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61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61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61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61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61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61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61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61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61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61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61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61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61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61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61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61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61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61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61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61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61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61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61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61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61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61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61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61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61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61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61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61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61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61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61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61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61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61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10" ca="1" si="18">IF(A201="","",TODAY())</f>
        <v/>
      </c>
      <c r="E203" s="33"/>
      <c r="F203" s="47" t="str">
        <f t="shared" ref="F203:F210" si="19">IFERROR(IF(OR(A201="",E201=""),"",C201+E201),"")</f>
        <v/>
      </c>
      <c r="G203" s="31" t="s">
        <v>61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10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61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61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61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61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61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61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61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1:K1"/>
    <mergeCell ref="A2:K2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55A11"/>
  </sheetPr>
  <dimension ref="A1:L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04" t="s">
        <v>212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5.5" customHeight="1" x14ac:dyDescent="0.25">
      <c r="A2" s="108" t="s">
        <v>213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9.5" customHeight="1" x14ac:dyDescent="0.25">
      <c r="A3" s="54" t="s">
        <v>141</v>
      </c>
      <c r="D3" s="48" t="s">
        <v>142</v>
      </c>
      <c r="G3" s="55" t="s">
        <v>143</v>
      </c>
      <c r="J3" s="54" t="s">
        <v>128</v>
      </c>
    </row>
    <row r="4" spans="1:12" ht="24" customHeight="1" x14ac:dyDescent="0.25">
      <c r="A4" s="56">
        <f ca="1">IFERROR(SUMIFS(DB_Withdrawals!$G:$G,DB_Withdrawals!$I:$I,"Agent 08",DB_Withdrawals!$E:$E,TODAY()),0)</f>
        <v>0</v>
      </c>
      <c r="D4" s="56">
        <f ca="1">IFERROR(COUNTIFS(DB_Withdrawals!$I:$I,"Agent 08",DB_Withdrawals!$J:$J,"✅ Successful",DB_Withdrawals!$E:$E,TODAY()),0)</f>
        <v>0</v>
      </c>
      <c r="G4" s="56">
        <f ca="1">IFERROR(COUNTIFS(DB_Withdrawals!$I:$I,"Agent 08",DB_Withdrawals!$J:$J,"❌ Insufficient Funds",DB_Withdrawals!$E:$E,TODAY()),0)</f>
        <v>0</v>
      </c>
      <c r="J4" s="56" t="str">
        <f ca="1">TEXT(TODAY(),"DD MMM YYYY")</f>
        <v>25 Apr 2026</v>
      </c>
    </row>
    <row r="5" spans="1:12" ht="15" customHeight="1" x14ac:dyDescent="0.25">
      <c r="A5" s="51" t="s">
        <v>144</v>
      </c>
      <c r="D5" s="51" t="s">
        <v>130</v>
      </c>
      <c r="G5" s="52" t="s">
        <v>145</v>
      </c>
    </row>
    <row r="6" spans="1:12" ht="25.5" customHeight="1" x14ac:dyDescent="0.25">
      <c r="A6" s="111">
        <f ca="1">IFERROR(SUMIFS(DB_Savings!$F:$F,DB_Savings!$D:$D,"Agent 08",DB_Savings!$E:$E,TODAY()),0)</f>
        <v>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8" spans="1:12" ht="30" customHeight="1" x14ac:dyDescent="0.25">
      <c r="A8" s="30" t="s">
        <v>146</v>
      </c>
    </row>
    <row r="9" spans="1:12" ht="19.5" customHeight="1" x14ac:dyDescent="0.25"/>
    <row r="10" spans="1:12" ht="19.5" customHeight="1" x14ac:dyDescent="0.25">
      <c r="A10" s="19" t="s">
        <v>134</v>
      </c>
      <c r="B10" s="19" t="s">
        <v>69</v>
      </c>
      <c r="C10" s="19" t="s">
        <v>85</v>
      </c>
      <c r="D10" s="19" t="s">
        <v>91</v>
      </c>
      <c r="E10" s="19" t="s">
        <v>147</v>
      </c>
      <c r="F10" s="19" t="s">
        <v>148</v>
      </c>
      <c r="G10" s="19" t="s">
        <v>136</v>
      </c>
      <c r="H10" s="19" t="s">
        <v>45</v>
      </c>
      <c r="I10" s="19" t="s">
        <v>137</v>
      </c>
      <c r="J10" s="19" t="s">
        <v>77</v>
      </c>
      <c r="K10" s="19" t="s">
        <v>138</v>
      </c>
      <c r="L10" s="19" t="s">
        <v>95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61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IF(A10="","",IFERROR(VLOOKUP(A10,DB_Customers!$A:$N,14,0),""))</f>
        <v/>
      </c>
      <c r="D12" s="46">
        <f t="shared" ca="1" si="0"/>
        <v>46137</v>
      </c>
      <c r="E12" s="33"/>
      <c r="F12" s="32"/>
      <c r="G12" s="47" t="str">
        <f t="shared" si="1"/>
        <v/>
      </c>
      <c r="H12" s="31" t="s">
        <v>61</v>
      </c>
      <c r="I12" s="45"/>
      <c r="J12" s="34" t="str">
        <f>IF(AND(A10&lt;&gt;"",E10&lt;&gt;""),IF(I10="","⚠️ Enter Code",IF(IFERROR(VLOOKUP(H10,DB_Agents!$B:$F,4,0),"")=TEXT(I10,"0"),IF(C10&gt;=E10,"✅ Successful","❌ Insufficient Funds"),"🔒 WRONG CODE")),"Pending")</f>
        <v>🔒 WRONG CODE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61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61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61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61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61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61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61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61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61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61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61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61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61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61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61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61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61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61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61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61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61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61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61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61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61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61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61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61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61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61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61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61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61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61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61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61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61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61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61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61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61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61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61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61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61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61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61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61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61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61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61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61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61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61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61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61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61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61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61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61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61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61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61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61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61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61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61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61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61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61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61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61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61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61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61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61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61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61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61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61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61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61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61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61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61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61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61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61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61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61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61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61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61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61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61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61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61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61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61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61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61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61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61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61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61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61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61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61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61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61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61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61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61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61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61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61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61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61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61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61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61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61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61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61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61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61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61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61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61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61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61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61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61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61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61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61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61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61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61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61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61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61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61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61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61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61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61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61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61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61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61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61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61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61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61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61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61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61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61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61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61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61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61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61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61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61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61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61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61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61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61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61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61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61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61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61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61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61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61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61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61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61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61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61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61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61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61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61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61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61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10" ca="1" si="18">IF(A201="","",TODAY())</f>
        <v/>
      </c>
      <c r="E203" s="33"/>
      <c r="F203" s="32"/>
      <c r="G203" s="47" t="str">
        <f t="shared" ref="G203:G210" si="19">IFERROR(IF(OR(A201="",E201=""),"",C201-E201),"")</f>
        <v/>
      </c>
      <c r="H203" s="31" t="s">
        <v>61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10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61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61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61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61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61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61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61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1:L1"/>
    <mergeCell ref="A2:L2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F5C6B"/>
  </sheetPr>
  <dimension ref="A1:N215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5" t="s">
        <v>214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1.75" customHeight="1" x14ac:dyDescent="0.25">
      <c r="A2" s="108" t="s">
        <v>215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4" ht="15" customHeight="1" x14ac:dyDescent="0.25">
      <c r="A3" s="58" t="s">
        <v>151</v>
      </c>
      <c r="D3" s="52" t="s">
        <v>152</v>
      </c>
      <c r="G3" s="58" t="s">
        <v>128</v>
      </c>
    </row>
    <row r="4" spans="1:14" ht="15.75" customHeight="1" x14ac:dyDescent="0.25">
      <c r="A4" s="59">
        <f ca="1">IFERROR(SUMIFS(DB_Loans!$E:$E,DB_Loans!$L:$L,"Agent 08",DB_Loans!$D:$D,TODAY()),0)</f>
        <v>0</v>
      </c>
      <c r="D4" s="59">
        <f ca="1">IFERROR(SUMIFS(DB_Loans!$E:$E,DB_Loans!$L:$L,"Agent 08",DB_Loans!$M:$M,YEAR(TODAY())),0)</f>
        <v>0</v>
      </c>
      <c r="G4" s="60" t="str">
        <f ca="1">TEXT(TODAY(),"DDDD, DD MMMM YYYY")</f>
        <v>Saturday, 25 April 2026</v>
      </c>
    </row>
    <row r="6" spans="1:14" ht="15" customHeight="1" x14ac:dyDescent="0.25">
      <c r="A6" s="61" t="s">
        <v>153</v>
      </c>
    </row>
    <row r="7" spans="1:14" ht="15" customHeight="1" x14ac:dyDescent="0.25">
      <c r="A7" s="62" t="s">
        <v>154</v>
      </c>
      <c r="B7" s="33"/>
    </row>
    <row r="8" spans="1:14" ht="15" customHeight="1" x14ac:dyDescent="0.25">
      <c r="A8" s="62" t="s">
        <v>155</v>
      </c>
      <c r="B8" s="63"/>
    </row>
    <row r="9" spans="1:14" ht="15" customHeight="1" x14ac:dyDescent="0.25">
      <c r="A9" s="62" t="s">
        <v>156</v>
      </c>
      <c r="B9" s="64">
        <v>2.5</v>
      </c>
    </row>
    <row r="10" spans="1:14" ht="15" customHeight="1" x14ac:dyDescent="0.25">
      <c r="A10" s="65" t="s">
        <v>157</v>
      </c>
      <c r="B10" s="47" t="str">
        <f>IF(B5="","",B5*B7/100*B6)</f>
        <v/>
      </c>
    </row>
    <row r="11" spans="1:14" ht="15" customHeight="1" x14ac:dyDescent="0.25">
      <c r="A11" s="65" t="s">
        <v>158</v>
      </c>
      <c r="B11" s="47" t="str">
        <f>IF(B5="","",B5+(B5*B7/100*B6))</f>
        <v/>
      </c>
    </row>
    <row r="12" spans="1:14" ht="21.75" customHeight="1" x14ac:dyDescent="0.25">
      <c r="A12" s="112" t="s">
        <v>159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</row>
    <row r="13" spans="1:14" ht="30" customHeight="1" x14ac:dyDescent="0.25"/>
    <row r="14" spans="1:14" ht="19.5" customHeight="1" x14ac:dyDescent="0.25">
      <c r="A14" s="44" t="s">
        <v>160</v>
      </c>
    </row>
    <row r="15" spans="1:14" ht="19.5" customHeight="1" x14ac:dyDescent="0.25">
      <c r="A15" s="19" t="s">
        <v>161</v>
      </c>
      <c r="B15" s="19" t="s">
        <v>134</v>
      </c>
      <c r="C15" s="19" t="s">
        <v>69</v>
      </c>
      <c r="D15" s="19" t="s">
        <v>162</v>
      </c>
      <c r="E15" s="19" t="s">
        <v>163</v>
      </c>
      <c r="F15" s="19" t="s">
        <v>109</v>
      </c>
      <c r="G15" s="19" t="s">
        <v>110</v>
      </c>
      <c r="H15" s="19" t="s">
        <v>164</v>
      </c>
      <c r="I15" s="19" t="s">
        <v>165</v>
      </c>
      <c r="J15" s="19" t="s">
        <v>166</v>
      </c>
      <c r="K15" s="19" t="s">
        <v>77</v>
      </c>
      <c r="L15" s="19" t="s">
        <v>45</v>
      </c>
      <c r="M15" s="19" t="s">
        <v>137</v>
      </c>
      <c r="N15" s="19" t="s">
        <v>95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61</v>
      </c>
      <c r="M16" s="45"/>
      <c r="N16" s="67"/>
    </row>
    <row r="17" spans="1:14" ht="19.5" customHeight="1" x14ac:dyDescent="0.25">
      <c r="A17" s="31" t="str">
        <f t="shared" si="0"/>
        <v>LNRequest Date0004</v>
      </c>
      <c r="B17" s="45"/>
      <c r="C17" s="38" t="str">
        <f>IF(B15="","",IFERROR(VLOOKUP(B15,DB_Customers!$A:$B,2,0),"❌ Account Not Found"))</f>
        <v>❌ Account Not Found</v>
      </c>
      <c r="D17" s="46">
        <f t="shared" ca="1" si="1"/>
        <v>46137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tr">
        <f>IF(B15="","Pending",IF(M15="","⚠️ Enter Code",IF(IFERROR(VLOOKUP(L15,DB_Agents!$B:$F,4,0),"")=TEXT(M15,"0"),"Pending Approval","🔒 WRONG CODE")))</f>
        <v>🔒 WRONG CODE</v>
      </c>
      <c r="L17" s="31" t="s">
        <v>61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61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61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61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61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61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61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61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61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61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61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61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61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61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61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61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61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61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61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61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61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61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61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61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61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61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61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61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61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61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61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61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61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61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61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61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61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61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61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61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61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61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61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61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61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61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61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61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61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61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61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61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61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61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61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61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61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61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61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61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61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61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61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61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61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61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61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61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61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61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61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61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61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61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61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61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61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61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61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61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61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61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61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61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61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61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61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61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61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61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61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61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61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61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61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61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61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61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61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61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61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61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61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61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61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61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61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61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61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61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61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61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61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61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61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61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61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61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61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61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61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61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61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61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61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61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61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61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61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61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61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61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61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61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61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61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61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61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61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61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61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61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61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61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61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61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61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61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61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61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61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61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61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61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61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61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61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61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61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61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61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61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61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61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61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61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61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61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61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61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61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61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61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61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61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61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61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61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61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61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61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61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61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61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61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61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61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61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61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61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61</v>
      </c>
      <c r="M207" s="45"/>
      <c r="N207" s="22"/>
    </row>
    <row r="208" spans="1:14" ht="19.5" customHeight="1" x14ac:dyDescent="0.25">
      <c r="A208" s="31" t="str">
        <f t="shared" ref="A208:A215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15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15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61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61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15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61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61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61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61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61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61</v>
      </c>
      <c r="M215" s="45"/>
      <c r="N215" s="22"/>
    </row>
  </sheetData>
  <mergeCells count="3">
    <mergeCell ref="A1:N1"/>
    <mergeCell ref="A2:N2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75623"/>
  </sheetPr>
  <dimension ref="A1:K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03" t="s">
        <v>216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1.75" customHeight="1" x14ac:dyDescent="0.25">
      <c r="A2" s="108" t="s">
        <v>217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9.5" customHeight="1" x14ac:dyDescent="0.25">
      <c r="A3" s="48" t="s">
        <v>126</v>
      </c>
      <c r="D3" s="48" t="s">
        <v>127</v>
      </c>
      <c r="G3" s="48" t="s">
        <v>128</v>
      </c>
    </row>
    <row r="4" spans="1:11" ht="24" customHeight="1" x14ac:dyDescent="0.25">
      <c r="A4" s="49">
        <f ca="1">IFERROR(SUMIFS(DB_Savings!$F:$F,DB_Savings!$D:$D,"Agent 09",DB_Savings!$E:$E,TODAY()),0)</f>
        <v>0</v>
      </c>
      <c r="D4" s="49">
        <f ca="1">IFERROR(COUNTIFS(DB_Savings!$D:$D,"Agent 09",DB_Savings!$E:$E,TODAY()),0)</f>
        <v>0</v>
      </c>
      <c r="G4" s="49" t="str">
        <f ca="1">TEXT(TODAY(),"DDDD, DD MMMM YYYY")</f>
        <v>Saturday, 25 April 2026</v>
      </c>
    </row>
    <row r="5" spans="1:11" ht="15" customHeight="1" x14ac:dyDescent="0.25">
      <c r="A5" s="50" t="s">
        <v>129</v>
      </c>
      <c r="D5" s="51" t="s">
        <v>130</v>
      </c>
      <c r="G5" s="52" t="s">
        <v>131</v>
      </c>
    </row>
    <row r="6" spans="1:11" ht="25.5" customHeight="1" x14ac:dyDescent="0.25">
      <c r="A6" s="109">
        <f ca="1">IFERROR(SUMIFS(DB_Withdrawals!$G:$G,DB_Withdrawals!$I:$I,"Agent 09",DB_Withdrawals!$E:$E,TODAY()),0)</f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1" ht="21.7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30" customHeight="1" x14ac:dyDescent="0.25">
      <c r="A8" s="44" t="s">
        <v>132</v>
      </c>
    </row>
    <row r="9" spans="1:11" ht="19.5" customHeight="1" x14ac:dyDescent="0.25">
      <c r="A9" s="30" t="s">
        <v>218</v>
      </c>
    </row>
    <row r="10" spans="1:11" ht="19.5" customHeight="1" x14ac:dyDescent="0.25">
      <c r="A10" s="19" t="s">
        <v>134</v>
      </c>
      <c r="B10" s="19" t="s">
        <v>69</v>
      </c>
      <c r="C10" s="19" t="s">
        <v>84</v>
      </c>
      <c r="D10" s="19" t="s">
        <v>91</v>
      </c>
      <c r="E10" s="19" t="s">
        <v>135</v>
      </c>
      <c r="F10" s="19" t="s">
        <v>136</v>
      </c>
      <c r="G10" s="19" t="s">
        <v>45</v>
      </c>
      <c r="H10" s="19" t="s">
        <v>137</v>
      </c>
      <c r="I10" s="19" t="s">
        <v>77</v>
      </c>
      <c r="J10" s="19" t="s">
        <v>138</v>
      </c>
      <c r="K10" s="19" t="s">
        <v>95</v>
      </c>
    </row>
    <row r="11" spans="1:11" ht="19.5" customHeight="1" x14ac:dyDescent="0.25">
      <c r="A11" s="45"/>
      <c r="B11" s="38" t="str">
        <f>IF(A9="","",IFERROR(VLOOKUP(A9,DB_Customers!$A:$B,2,0),"❌ Account Not Found"))</f>
        <v>❌ Account Not Found</v>
      </c>
      <c r="C11" s="47" t="str">
        <f>IF(A9="","",IFERROR(VLOOKUP(A9,DB_Customers!$A:$M,13,0),""))</f>
        <v/>
      </c>
      <c r="D11" s="46">
        <f t="shared" ref="D11:D42" ca="1" si="0">IF(A9="","",TODAY())</f>
        <v>46137</v>
      </c>
      <c r="E11" s="33"/>
      <c r="F11" s="47" t="str">
        <f t="shared" ref="F11:F42" si="1">IFERROR(IF(OR(A9="",E9=""),"",C9+E9),"")</f>
        <v/>
      </c>
      <c r="G11" s="31" t="s">
        <v>62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IF(A10="","",IFERROR(VLOOKUP(A10,DB_Customers!$A:$M,13,0),""))</f>
        <v/>
      </c>
      <c r="D12" s="46">
        <f t="shared" ca="1" si="0"/>
        <v>46137</v>
      </c>
      <c r="E12" s="33"/>
      <c r="F12" s="47" t="str">
        <f t="shared" si="1"/>
        <v/>
      </c>
      <c r="G12" s="31" t="s">
        <v>62</v>
      </c>
      <c r="H12" s="45"/>
      <c r="I12" s="34" t="str">
        <f>IF(A10="","",IF(H10="","⚠️ Enter Agent Code",IF(IFERROR(VLOOKUP(G10,DB_Agents!$B:$F,4,0),"")=TEXT(H10,"0"),IF(AND(A10&lt;&gt;"",E10&lt;&gt;""),"✅ Saved","Pending"),"🔒 WRONG CODE")))</f>
        <v>🔒 WRONG CODE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62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62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62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62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62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62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62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62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62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62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62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62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62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62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62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62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62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62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62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62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62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62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62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62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62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62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62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62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62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62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62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62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62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62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62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62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62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62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62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62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62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62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62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62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62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62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62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62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62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62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62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62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62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62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62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62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62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62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62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62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62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62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62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62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62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62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62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62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62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62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62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62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62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62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62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62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62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62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62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62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62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62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62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62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62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62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62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62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62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62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62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62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62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62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62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62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62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62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62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62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62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62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62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62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62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62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62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62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62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62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62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62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62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62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62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62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62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62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62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62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62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62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62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62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62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62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62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62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62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62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62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62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62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62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62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62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62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62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62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62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62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62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62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62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62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62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62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62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62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62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62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62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62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62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62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62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62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62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62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62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62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62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62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62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62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62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62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62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62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62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62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62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62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62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62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62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62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62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62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62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62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62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62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62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62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62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62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62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62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62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10" ca="1" si="18">IF(A201="","",TODAY())</f>
        <v/>
      </c>
      <c r="E203" s="33"/>
      <c r="F203" s="47" t="str">
        <f t="shared" ref="F203:F210" si="19">IFERROR(IF(OR(A201="",E201=""),"",C201+E201),"")</f>
        <v/>
      </c>
      <c r="G203" s="31" t="s">
        <v>62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10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62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62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62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62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62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62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62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1:K1"/>
    <mergeCell ref="A2:K2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55A11"/>
  </sheetPr>
  <dimension ref="A1:L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04" t="s">
        <v>219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5.5" customHeight="1" x14ac:dyDescent="0.25">
      <c r="A2" s="108" t="s">
        <v>220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9.5" customHeight="1" x14ac:dyDescent="0.25">
      <c r="A3" s="54" t="s">
        <v>141</v>
      </c>
      <c r="D3" s="48" t="s">
        <v>142</v>
      </c>
      <c r="G3" s="55" t="s">
        <v>143</v>
      </c>
      <c r="J3" s="54" t="s">
        <v>128</v>
      </c>
    </row>
    <row r="4" spans="1:12" ht="24" customHeight="1" x14ac:dyDescent="0.25">
      <c r="A4" s="56">
        <f ca="1">IFERROR(SUMIFS(DB_Withdrawals!$G:$G,DB_Withdrawals!$I:$I,"Agent 09",DB_Withdrawals!$E:$E,TODAY()),0)</f>
        <v>0</v>
      </c>
      <c r="D4" s="56">
        <f ca="1">IFERROR(COUNTIFS(DB_Withdrawals!$I:$I,"Agent 09",DB_Withdrawals!$J:$J,"✅ Successful",DB_Withdrawals!$E:$E,TODAY()),0)</f>
        <v>0</v>
      </c>
      <c r="G4" s="56">
        <f ca="1">IFERROR(COUNTIFS(DB_Withdrawals!$I:$I,"Agent 09",DB_Withdrawals!$J:$J,"❌ Insufficient Funds",DB_Withdrawals!$E:$E,TODAY()),0)</f>
        <v>0</v>
      </c>
      <c r="J4" s="56" t="str">
        <f ca="1">TEXT(TODAY(),"DD MMM YYYY")</f>
        <v>25 Apr 2026</v>
      </c>
    </row>
    <row r="5" spans="1:12" ht="15" customHeight="1" x14ac:dyDescent="0.25">
      <c r="A5" s="51" t="s">
        <v>144</v>
      </c>
      <c r="D5" s="51" t="s">
        <v>130</v>
      </c>
      <c r="G5" s="52" t="s">
        <v>145</v>
      </c>
    </row>
    <row r="6" spans="1:12" ht="25.5" customHeight="1" x14ac:dyDescent="0.25">
      <c r="A6" s="111">
        <f ca="1">IFERROR(SUMIFS(DB_Savings!$F:$F,DB_Savings!$D:$D,"Agent 09",DB_Savings!$E:$E,TODAY()),0)</f>
        <v>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8" spans="1:12" ht="30" customHeight="1" x14ac:dyDescent="0.25">
      <c r="A8" s="30" t="s">
        <v>146</v>
      </c>
    </row>
    <row r="9" spans="1:12" ht="19.5" customHeight="1" x14ac:dyDescent="0.25"/>
    <row r="10" spans="1:12" ht="19.5" customHeight="1" x14ac:dyDescent="0.25">
      <c r="A10" s="19" t="s">
        <v>134</v>
      </c>
      <c r="B10" s="19" t="s">
        <v>69</v>
      </c>
      <c r="C10" s="19" t="s">
        <v>85</v>
      </c>
      <c r="D10" s="19" t="s">
        <v>91</v>
      </c>
      <c r="E10" s="19" t="s">
        <v>147</v>
      </c>
      <c r="F10" s="19" t="s">
        <v>148</v>
      </c>
      <c r="G10" s="19" t="s">
        <v>136</v>
      </c>
      <c r="H10" s="19" t="s">
        <v>45</v>
      </c>
      <c r="I10" s="19" t="s">
        <v>137</v>
      </c>
      <c r="J10" s="19" t="s">
        <v>77</v>
      </c>
      <c r="K10" s="19" t="s">
        <v>138</v>
      </c>
      <c r="L10" s="19" t="s">
        <v>95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62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IF(A10="","",IFERROR(VLOOKUP(A10,DB_Customers!$A:$N,14,0),""))</f>
        <v/>
      </c>
      <c r="D12" s="46">
        <f t="shared" ca="1" si="0"/>
        <v>46137</v>
      </c>
      <c r="E12" s="33"/>
      <c r="F12" s="32"/>
      <c r="G12" s="47" t="str">
        <f t="shared" si="1"/>
        <v/>
      </c>
      <c r="H12" s="31" t="s">
        <v>62</v>
      </c>
      <c r="I12" s="45"/>
      <c r="J12" s="34" t="str">
        <f>IF(AND(A10&lt;&gt;"",E10&lt;&gt;""),IF(I10="","⚠️ Enter Code",IF(IFERROR(VLOOKUP(H10,DB_Agents!$B:$F,4,0),"")=TEXT(I10,"0"),IF(C10&gt;=E10,"✅ Successful","❌ Insufficient Funds"),"🔒 WRONG CODE")),"Pending")</f>
        <v>🔒 WRONG CODE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62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62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62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62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62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62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62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62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62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62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62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62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62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62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62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62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62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62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62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62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62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62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62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62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62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62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62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62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62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62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62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62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62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62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62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62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62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62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62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62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62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62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62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62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62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62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62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62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62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62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62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62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62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62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62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62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62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62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62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62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62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62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62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62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62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62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62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62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62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62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62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62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62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62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62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62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62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62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62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62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62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62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62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62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62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62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62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62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62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62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62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62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62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62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62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62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62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62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62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62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62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62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62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62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62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62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62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62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62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62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62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62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62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62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62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62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62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62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62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62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62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62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62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62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62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62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62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62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62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62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62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62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62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62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62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62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62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62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62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62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62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62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62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62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62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62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62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62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62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62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62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62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62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62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62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62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62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62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62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62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62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62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62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62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62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62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62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62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62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62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62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62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62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62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62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62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62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62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62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62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62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62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62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62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62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62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62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62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62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62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10" ca="1" si="18">IF(A201="","",TODAY())</f>
        <v/>
      </c>
      <c r="E203" s="33"/>
      <c r="F203" s="32"/>
      <c r="G203" s="47" t="str">
        <f t="shared" ref="G203:G210" si="19">IFERROR(IF(OR(A201="",E201=""),"",C201-E201),"")</f>
        <v/>
      </c>
      <c r="H203" s="31" t="s">
        <v>62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10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62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62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62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62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62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62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62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1:L1"/>
    <mergeCell ref="A2:L2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F5C6B"/>
  </sheetPr>
  <dimension ref="A1:N215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5" t="s">
        <v>221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1.75" customHeight="1" x14ac:dyDescent="0.25">
      <c r="A2" s="108" t="s">
        <v>222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4" ht="15" customHeight="1" x14ac:dyDescent="0.25">
      <c r="A3" s="58" t="s">
        <v>151</v>
      </c>
      <c r="D3" s="52" t="s">
        <v>152</v>
      </c>
      <c r="G3" s="58" t="s">
        <v>128</v>
      </c>
    </row>
    <row r="4" spans="1:14" ht="15.75" customHeight="1" x14ac:dyDescent="0.25">
      <c r="A4" s="59">
        <f ca="1">IFERROR(SUMIFS(DB_Loans!$E:$E,DB_Loans!$L:$L,"Agent 09",DB_Loans!$D:$D,TODAY()),0)</f>
        <v>0</v>
      </c>
      <c r="D4" s="59">
        <f ca="1">IFERROR(SUMIFS(DB_Loans!$E:$E,DB_Loans!$L:$L,"Agent 09",DB_Loans!$M:$M,YEAR(TODAY())),0)</f>
        <v>0</v>
      </c>
      <c r="G4" s="60" t="str">
        <f ca="1">TEXT(TODAY(),"DDDD, DD MMMM YYYY")</f>
        <v>Saturday, 25 April 2026</v>
      </c>
    </row>
    <row r="6" spans="1:14" ht="15" customHeight="1" x14ac:dyDescent="0.25">
      <c r="A6" s="61" t="s">
        <v>153</v>
      </c>
    </row>
    <row r="7" spans="1:14" ht="15" customHeight="1" x14ac:dyDescent="0.25">
      <c r="A7" s="62" t="s">
        <v>154</v>
      </c>
      <c r="B7" s="33"/>
    </row>
    <row r="8" spans="1:14" ht="15" customHeight="1" x14ac:dyDescent="0.25">
      <c r="A8" s="62" t="s">
        <v>155</v>
      </c>
      <c r="B8" s="63"/>
    </row>
    <row r="9" spans="1:14" ht="15" customHeight="1" x14ac:dyDescent="0.25">
      <c r="A9" s="62" t="s">
        <v>156</v>
      </c>
      <c r="B9" s="64">
        <v>2.5</v>
      </c>
    </row>
    <row r="10" spans="1:14" ht="15" customHeight="1" x14ac:dyDescent="0.25">
      <c r="A10" s="65" t="s">
        <v>157</v>
      </c>
      <c r="B10" s="47" t="str">
        <f>IF(B5="","",B5*B7/100*B6)</f>
        <v/>
      </c>
    </row>
    <row r="11" spans="1:14" ht="15" customHeight="1" x14ac:dyDescent="0.25">
      <c r="A11" s="65" t="s">
        <v>158</v>
      </c>
      <c r="B11" s="47" t="str">
        <f>IF(B5="","",B5+(B5*B7/100*B6))</f>
        <v/>
      </c>
    </row>
    <row r="12" spans="1:14" ht="21.75" customHeight="1" x14ac:dyDescent="0.25">
      <c r="A12" s="112" t="s">
        <v>159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</row>
    <row r="13" spans="1:14" ht="30" customHeight="1" x14ac:dyDescent="0.25"/>
    <row r="14" spans="1:14" ht="19.5" customHeight="1" x14ac:dyDescent="0.25">
      <c r="A14" s="44" t="s">
        <v>160</v>
      </c>
    </row>
    <row r="15" spans="1:14" ht="19.5" customHeight="1" x14ac:dyDescent="0.25">
      <c r="A15" s="19" t="s">
        <v>161</v>
      </c>
      <c r="B15" s="19" t="s">
        <v>134</v>
      </c>
      <c r="C15" s="19" t="s">
        <v>69</v>
      </c>
      <c r="D15" s="19" t="s">
        <v>162</v>
      </c>
      <c r="E15" s="19" t="s">
        <v>163</v>
      </c>
      <c r="F15" s="19" t="s">
        <v>109</v>
      </c>
      <c r="G15" s="19" t="s">
        <v>110</v>
      </c>
      <c r="H15" s="19" t="s">
        <v>164</v>
      </c>
      <c r="I15" s="19" t="s">
        <v>165</v>
      </c>
      <c r="J15" s="19" t="s">
        <v>166</v>
      </c>
      <c r="K15" s="19" t="s">
        <v>77</v>
      </c>
      <c r="L15" s="19" t="s">
        <v>45</v>
      </c>
      <c r="M15" s="19" t="s">
        <v>137</v>
      </c>
      <c r="N15" s="19" t="s">
        <v>95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62</v>
      </c>
      <c r="M16" s="45"/>
      <c r="N16" s="67"/>
    </row>
    <row r="17" spans="1:14" ht="19.5" customHeight="1" x14ac:dyDescent="0.25">
      <c r="A17" s="31" t="str">
        <f t="shared" si="0"/>
        <v>LNRequest Date0004</v>
      </c>
      <c r="B17" s="45"/>
      <c r="C17" s="38" t="str">
        <f>IF(B15="","",IFERROR(VLOOKUP(B15,DB_Customers!$A:$B,2,0),"❌ Account Not Found"))</f>
        <v>❌ Account Not Found</v>
      </c>
      <c r="D17" s="46">
        <f t="shared" ca="1" si="1"/>
        <v>46137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tr">
        <f>IF(B15="","Pending",IF(M15="","⚠️ Enter Code",IF(IFERROR(VLOOKUP(L15,DB_Agents!$B:$F,4,0),"")=TEXT(M15,"0"),"Pending Approval","🔒 WRONG CODE")))</f>
        <v>🔒 WRONG CODE</v>
      </c>
      <c r="L17" s="31" t="s">
        <v>62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62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62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62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62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62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62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62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62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62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62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62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62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62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62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62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62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62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62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62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62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62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62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62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62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62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62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62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62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62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62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62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62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62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62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62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62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62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62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62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62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62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62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62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62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62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62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62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62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62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62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62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62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62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62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62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62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62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62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62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62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62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62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62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62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62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62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62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62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62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62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62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62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62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62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62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62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62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62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62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62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62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62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62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62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62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62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62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62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62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62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62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62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62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62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62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62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62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62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62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62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62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62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62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62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62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62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62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62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62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62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62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62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62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62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62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62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62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62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62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62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62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62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62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62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62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62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62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62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62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62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62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62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62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62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62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62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62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62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62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62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62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62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62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62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62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62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62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62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62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62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62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62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62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62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62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62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62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62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62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62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62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62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62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62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62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62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62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62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62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62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62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62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62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62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62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62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62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62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62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62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62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62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62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62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62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62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62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62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62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62</v>
      </c>
      <c r="M207" s="45"/>
      <c r="N207" s="22"/>
    </row>
    <row r="208" spans="1:14" ht="19.5" customHeight="1" x14ac:dyDescent="0.25">
      <c r="A208" s="31" t="str">
        <f t="shared" ref="A208:A215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15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15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62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62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15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62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62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62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62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62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62</v>
      </c>
      <c r="M215" s="45"/>
      <c r="N215" s="22"/>
    </row>
  </sheetData>
  <mergeCells count="3">
    <mergeCell ref="A1:N1"/>
    <mergeCell ref="A2:N2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75623"/>
  </sheetPr>
  <dimension ref="A1:K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03" t="s">
        <v>223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21.75" customHeight="1" x14ac:dyDescent="0.25">
      <c r="A2" s="108" t="s">
        <v>224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9.5" customHeight="1" x14ac:dyDescent="0.25">
      <c r="A3" s="48" t="s">
        <v>126</v>
      </c>
      <c r="D3" s="48" t="s">
        <v>127</v>
      </c>
      <c r="G3" s="48" t="s">
        <v>128</v>
      </c>
    </row>
    <row r="4" spans="1:11" ht="24" customHeight="1" x14ac:dyDescent="0.25">
      <c r="A4" s="49">
        <f ca="1">IFERROR(SUMIFS(DB_Savings!$F:$F,DB_Savings!$D:$D,"Agent 10",DB_Savings!$E:$E,TODAY()),0)</f>
        <v>0</v>
      </c>
      <c r="D4" s="49">
        <f ca="1">IFERROR(COUNTIFS(DB_Savings!$D:$D,"Agent 10",DB_Savings!$E:$E,TODAY()),0)</f>
        <v>0</v>
      </c>
      <c r="G4" s="49" t="str">
        <f ca="1">TEXT(TODAY(),"DDDD, DD MMMM YYYY")</f>
        <v>Saturday, 25 April 2026</v>
      </c>
    </row>
    <row r="5" spans="1:11" ht="15" customHeight="1" x14ac:dyDescent="0.25">
      <c r="A5" s="50" t="s">
        <v>129</v>
      </c>
      <c r="D5" s="51" t="s">
        <v>130</v>
      </c>
      <c r="G5" s="52" t="s">
        <v>131</v>
      </c>
    </row>
    <row r="6" spans="1:11" ht="25.5" customHeight="1" x14ac:dyDescent="0.25">
      <c r="A6" s="109">
        <f ca="1">IFERROR(SUMIFS(DB_Withdrawals!$G:$G,DB_Withdrawals!$I:$I,"Agent 10",DB_Withdrawals!$E:$E,TODAY()),0)</f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1" ht="21.7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30" customHeight="1" x14ac:dyDescent="0.25">
      <c r="A8" s="44" t="s">
        <v>132</v>
      </c>
    </row>
    <row r="9" spans="1:11" ht="19.5" customHeight="1" x14ac:dyDescent="0.25">
      <c r="A9" s="30" t="s">
        <v>225</v>
      </c>
    </row>
    <row r="10" spans="1:11" ht="19.5" customHeight="1" x14ac:dyDescent="0.25">
      <c r="A10" s="19" t="s">
        <v>134</v>
      </c>
      <c r="B10" s="19" t="s">
        <v>69</v>
      </c>
      <c r="C10" s="19" t="s">
        <v>84</v>
      </c>
      <c r="D10" s="19" t="s">
        <v>91</v>
      </c>
      <c r="E10" s="19" t="s">
        <v>135</v>
      </c>
      <c r="F10" s="19" t="s">
        <v>136</v>
      </c>
      <c r="G10" s="19" t="s">
        <v>45</v>
      </c>
      <c r="H10" s="19" t="s">
        <v>137</v>
      </c>
      <c r="I10" s="19" t="s">
        <v>77</v>
      </c>
      <c r="J10" s="19" t="s">
        <v>138</v>
      </c>
      <c r="K10" s="19" t="s">
        <v>95</v>
      </c>
    </row>
    <row r="11" spans="1:11" ht="19.5" customHeight="1" x14ac:dyDescent="0.25">
      <c r="A11" s="45"/>
      <c r="B11" s="38" t="str">
        <f>IF(A9="","",IFERROR(VLOOKUP(A9,DB_Customers!$A:$B,2,0),"❌ Account Not Found"))</f>
        <v>❌ Account Not Found</v>
      </c>
      <c r="C11" s="47" t="str">
        <f>IF(A9="","",IFERROR(VLOOKUP(A9,DB_Customers!$A:$M,13,0),""))</f>
        <v/>
      </c>
      <c r="D11" s="46">
        <f t="shared" ref="D11:D42" ca="1" si="0">IF(A9="","",TODAY())</f>
        <v>46137</v>
      </c>
      <c r="E11" s="33"/>
      <c r="F11" s="47" t="str">
        <f t="shared" ref="F11:F42" si="1">IFERROR(IF(OR(A9="",E9=""),"",C9+E9),"")</f>
        <v/>
      </c>
      <c r="G11" s="31" t="s">
        <v>63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IF(A10="","",IFERROR(VLOOKUP(A10,DB_Customers!$A:$M,13,0),""))</f>
        <v/>
      </c>
      <c r="D12" s="46">
        <f t="shared" ca="1" si="0"/>
        <v>46137</v>
      </c>
      <c r="E12" s="33"/>
      <c r="F12" s="47" t="str">
        <f t="shared" si="1"/>
        <v/>
      </c>
      <c r="G12" s="31" t="s">
        <v>63</v>
      </c>
      <c r="H12" s="45"/>
      <c r="I12" s="34" t="str">
        <f>IF(A10="","",IF(H10="","⚠️ Enter Agent Code",IF(IFERROR(VLOOKUP(G10,DB_Agents!$B:$F,4,0),"")=TEXT(H10,"0"),IF(AND(A10&lt;&gt;"",E10&lt;&gt;""),"✅ Saved","Pending"),"🔒 WRONG CODE")))</f>
        <v>🔒 WRONG CODE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63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63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63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63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63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63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63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63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63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63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63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63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63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63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63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63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63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63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63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63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63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63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63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63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63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63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63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63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63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63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63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63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63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63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63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63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63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63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63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63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63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63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63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63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63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63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63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63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63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63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63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63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63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63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63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63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63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63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63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63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63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63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63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63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63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63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63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63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63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63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63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63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63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63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63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63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63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63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63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63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63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63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63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63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63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63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63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63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63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63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63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63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63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63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63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63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63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63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63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63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63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63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63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63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63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63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63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63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63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63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63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63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63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63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63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63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63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63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63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63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63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63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63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63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63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63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63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63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63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63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63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63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63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63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63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63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63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63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63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63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63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63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63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63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63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63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63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63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63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63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63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63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63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63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63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63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63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63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63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63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63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63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63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63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63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63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63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63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63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63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63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63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63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63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63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63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63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63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63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63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63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63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63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63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63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63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63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63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63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63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10" ca="1" si="18">IF(A201="","",TODAY())</f>
        <v/>
      </c>
      <c r="E203" s="33"/>
      <c r="F203" s="47" t="str">
        <f t="shared" ref="F203:F210" si="19">IFERROR(IF(OR(A201="",E201=""),"",C201+E201),"")</f>
        <v/>
      </c>
      <c r="G203" s="31" t="s">
        <v>63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10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63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63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63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63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63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63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63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1:K1"/>
    <mergeCell ref="A2:K2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C55A11"/>
  </sheetPr>
  <dimension ref="A1:L210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04" t="s">
        <v>226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5.5" customHeight="1" x14ac:dyDescent="0.25">
      <c r="A2" s="108" t="s">
        <v>227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9.5" customHeight="1" x14ac:dyDescent="0.25">
      <c r="A3" s="54" t="s">
        <v>141</v>
      </c>
      <c r="D3" s="48" t="s">
        <v>142</v>
      </c>
      <c r="G3" s="55" t="s">
        <v>143</v>
      </c>
      <c r="J3" s="54" t="s">
        <v>128</v>
      </c>
    </row>
    <row r="4" spans="1:12" ht="24" customHeight="1" x14ac:dyDescent="0.25">
      <c r="A4" s="56">
        <f ca="1">IFERROR(SUMIFS(DB_Withdrawals!$G:$G,DB_Withdrawals!$I:$I,"Agent 10",DB_Withdrawals!$E:$E,TODAY()),0)</f>
        <v>0</v>
      </c>
      <c r="D4" s="56">
        <f ca="1">IFERROR(COUNTIFS(DB_Withdrawals!$I:$I,"Agent 10",DB_Withdrawals!$J:$J,"✅ Successful",DB_Withdrawals!$E:$E,TODAY()),0)</f>
        <v>0</v>
      </c>
      <c r="G4" s="56">
        <f ca="1">IFERROR(COUNTIFS(DB_Withdrawals!$I:$I,"Agent 10",DB_Withdrawals!$J:$J,"❌ Insufficient Funds",DB_Withdrawals!$E:$E,TODAY()),0)</f>
        <v>0</v>
      </c>
      <c r="J4" s="56" t="str">
        <f ca="1">TEXT(TODAY(),"DD MMM YYYY")</f>
        <v>25 Apr 2026</v>
      </c>
    </row>
    <row r="5" spans="1:12" ht="15" customHeight="1" x14ac:dyDescent="0.25">
      <c r="A5" s="51" t="s">
        <v>144</v>
      </c>
      <c r="D5" s="51" t="s">
        <v>130</v>
      </c>
      <c r="G5" s="52" t="s">
        <v>145</v>
      </c>
    </row>
    <row r="6" spans="1:12" ht="25.5" customHeight="1" x14ac:dyDescent="0.25">
      <c r="A6" s="111">
        <f ca="1">IFERROR(SUMIFS(DB_Savings!$F:$F,DB_Savings!$D:$D,"Agent 10",DB_Savings!$E:$E,TODAY()),0)</f>
        <v>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8" spans="1:12" ht="30" customHeight="1" x14ac:dyDescent="0.25">
      <c r="A8" s="30" t="s">
        <v>146</v>
      </c>
    </row>
    <row r="9" spans="1:12" ht="19.5" customHeight="1" x14ac:dyDescent="0.25"/>
    <row r="10" spans="1:12" ht="19.5" customHeight="1" x14ac:dyDescent="0.25">
      <c r="A10" s="19" t="s">
        <v>134</v>
      </c>
      <c r="B10" s="19" t="s">
        <v>69</v>
      </c>
      <c r="C10" s="19" t="s">
        <v>85</v>
      </c>
      <c r="D10" s="19" t="s">
        <v>91</v>
      </c>
      <c r="E10" s="19" t="s">
        <v>147</v>
      </c>
      <c r="F10" s="19" t="s">
        <v>148</v>
      </c>
      <c r="G10" s="19" t="s">
        <v>136</v>
      </c>
      <c r="H10" s="19" t="s">
        <v>45</v>
      </c>
      <c r="I10" s="19" t="s">
        <v>137</v>
      </c>
      <c r="J10" s="19" t="s">
        <v>77</v>
      </c>
      <c r="K10" s="19" t="s">
        <v>138</v>
      </c>
      <c r="L10" s="19" t="s">
        <v>95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63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tr">
        <f>IF(A10="","",IFERROR(VLOOKUP(A10,DB_Customers!$A:$B,2,0),"❌ Account Not Found"))</f>
        <v>❌ Account Not Found</v>
      </c>
      <c r="C12" s="47" t="str">
        <f>IF(A10="","",IFERROR(VLOOKUP(A10,DB_Customers!$A:$N,14,0),""))</f>
        <v/>
      </c>
      <c r="D12" s="46">
        <f t="shared" ca="1" si="0"/>
        <v>46137</v>
      </c>
      <c r="E12" s="33"/>
      <c r="F12" s="32"/>
      <c r="G12" s="47" t="str">
        <f t="shared" si="1"/>
        <v/>
      </c>
      <c r="H12" s="31" t="s">
        <v>63</v>
      </c>
      <c r="I12" s="45"/>
      <c r="J12" s="34" t="str">
        <f>IF(AND(A10&lt;&gt;"",E10&lt;&gt;""),IF(I10="","⚠️ Enter Code",IF(IFERROR(VLOOKUP(H10,DB_Agents!$B:$F,4,0),"")=TEXT(I10,"0"),IF(C10&gt;=E10,"✅ Successful","❌ Insufficient Funds"),"🔒 WRONG CODE")),"Pending")</f>
        <v>🔒 WRONG CODE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63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63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63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63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63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63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63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63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63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63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63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63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63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63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63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63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63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63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63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63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63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63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63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63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63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63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63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63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63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63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63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63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63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63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63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63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63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63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63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63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63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63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63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63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63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63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63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63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63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63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63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63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63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63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63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63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63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63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63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63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63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63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63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63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63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63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63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63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63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63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63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63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63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63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63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63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63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63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63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63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63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63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63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63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63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63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63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63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63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63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63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63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63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63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63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63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63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63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63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63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63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63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63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63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63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63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63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63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63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63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63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63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63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63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63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63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63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63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63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63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63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63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63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63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63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63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63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63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63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63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63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63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63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63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63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63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63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63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63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63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63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63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63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63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63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63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63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63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63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63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63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63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63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63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63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63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63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63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63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63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63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63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63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63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63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63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63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63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63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63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63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63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63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63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63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63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63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63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63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63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63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63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63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63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63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63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63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63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63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63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10" ca="1" si="18">IF(A201="","",TODAY())</f>
        <v/>
      </c>
      <c r="E203" s="33"/>
      <c r="F203" s="32"/>
      <c r="G203" s="47" t="str">
        <f t="shared" ref="G203:G210" si="19">IFERROR(IF(OR(A201="",E201=""),"",C201-E201),"")</f>
        <v/>
      </c>
      <c r="H203" s="31" t="s">
        <v>63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10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63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63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63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63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63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63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63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1:L1"/>
    <mergeCell ref="A2:L2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F5C6B"/>
  </sheetPr>
  <dimension ref="A1:N215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5" t="s">
        <v>228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1.75" customHeight="1" x14ac:dyDescent="0.25">
      <c r="A2" s="108" t="s">
        <v>229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spans="1:14" ht="15" customHeight="1" x14ac:dyDescent="0.25">
      <c r="A3" s="58" t="s">
        <v>151</v>
      </c>
      <c r="D3" s="52" t="s">
        <v>152</v>
      </c>
      <c r="G3" s="58" t="s">
        <v>128</v>
      </c>
    </row>
    <row r="4" spans="1:14" ht="15.75" customHeight="1" x14ac:dyDescent="0.25">
      <c r="A4" s="59">
        <f ca="1">IFERROR(SUMIFS(DB_Loans!$E:$E,DB_Loans!$L:$L,"Agent 10",DB_Loans!$D:$D,TODAY()),0)</f>
        <v>0</v>
      </c>
      <c r="D4" s="59">
        <f ca="1">IFERROR(SUMIFS(DB_Loans!$E:$E,DB_Loans!$L:$L,"Agent 10",DB_Loans!$M:$M,YEAR(TODAY())),0)</f>
        <v>0</v>
      </c>
      <c r="G4" s="60" t="str">
        <f ca="1">TEXT(TODAY(),"DDDD, DD MMMM YYYY")</f>
        <v>Saturday, 25 April 2026</v>
      </c>
    </row>
    <row r="6" spans="1:14" ht="15" customHeight="1" x14ac:dyDescent="0.25">
      <c r="A6" s="61" t="s">
        <v>153</v>
      </c>
    </row>
    <row r="7" spans="1:14" ht="15" customHeight="1" x14ac:dyDescent="0.25">
      <c r="A7" s="62" t="s">
        <v>154</v>
      </c>
      <c r="B7" s="33"/>
    </row>
    <row r="8" spans="1:14" ht="15" customHeight="1" x14ac:dyDescent="0.25">
      <c r="A8" s="62" t="s">
        <v>155</v>
      </c>
      <c r="B8" s="63"/>
    </row>
    <row r="9" spans="1:14" ht="15" customHeight="1" x14ac:dyDescent="0.25">
      <c r="A9" s="62" t="s">
        <v>156</v>
      </c>
      <c r="B9" s="64">
        <v>2.5</v>
      </c>
    </row>
    <row r="10" spans="1:14" ht="15" customHeight="1" x14ac:dyDescent="0.25">
      <c r="A10" s="65" t="s">
        <v>157</v>
      </c>
      <c r="B10" s="47" t="str">
        <f>IF(B5="","",B5*B7/100*B6)</f>
        <v/>
      </c>
    </row>
    <row r="11" spans="1:14" ht="15" customHeight="1" x14ac:dyDescent="0.25">
      <c r="A11" s="65" t="s">
        <v>158</v>
      </c>
      <c r="B11" s="47" t="str">
        <f>IF(B5="","",B5+(B5*B7/100*B6))</f>
        <v/>
      </c>
    </row>
    <row r="12" spans="1:14" ht="21.75" customHeight="1" x14ac:dyDescent="0.25">
      <c r="A12" s="112" t="s">
        <v>159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</row>
    <row r="13" spans="1:14" ht="30" customHeight="1" x14ac:dyDescent="0.25"/>
    <row r="14" spans="1:14" ht="19.5" customHeight="1" x14ac:dyDescent="0.25">
      <c r="A14" s="44" t="s">
        <v>160</v>
      </c>
    </row>
    <row r="15" spans="1:14" ht="19.5" customHeight="1" x14ac:dyDescent="0.25">
      <c r="A15" s="19" t="s">
        <v>161</v>
      </c>
      <c r="B15" s="19" t="s">
        <v>134</v>
      </c>
      <c r="C15" s="19" t="s">
        <v>69</v>
      </c>
      <c r="D15" s="19" t="s">
        <v>162</v>
      </c>
      <c r="E15" s="19" t="s">
        <v>163</v>
      </c>
      <c r="F15" s="19" t="s">
        <v>109</v>
      </c>
      <c r="G15" s="19" t="s">
        <v>110</v>
      </c>
      <c r="H15" s="19" t="s">
        <v>164</v>
      </c>
      <c r="I15" s="19" t="s">
        <v>165</v>
      </c>
      <c r="J15" s="19" t="s">
        <v>166</v>
      </c>
      <c r="K15" s="19" t="s">
        <v>77</v>
      </c>
      <c r="L15" s="19" t="s">
        <v>45</v>
      </c>
      <c r="M15" s="19" t="s">
        <v>137</v>
      </c>
      <c r="N15" s="19" t="s">
        <v>95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63</v>
      </c>
      <c r="M16" s="45"/>
      <c r="N16" s="67"/>
    </row>
    <row r="17" spans="1:14" ht="19.5" customHeight="1" x14ac:dyDescent="0.25">
      <c r="A17" s="31" t="str">
        <f t="shared" si="0"/>
        <v>LNRequest Date0004</v>
      </c>
      <c r="B17" s="45"/>
      <c r="C17" s="38" t="str">
        <f>IF(B15="","",IFERROR(VLOOKUP(B15,DB_Customers!$A:$B,2,0),"❌ Account Not Found"))</f>
        <v>❌ Account Not Found</v>
      </c>
      <c r="D17" s="46">
        <f t="shared" ca="1" si="1"/>
        <v>46137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tr">
        <f>IF(B15="","Pending",IF(M15="","⚠️ Enter Code",IF(IFERROR(VLOOKUP(L15,DB_Agents!$B:$F,4,0),"")=TEXT(M15,"0"),"Pending Approval","🔒 WRONG CODE")))</f>
        <v>🔒 WRONG CODE</v>
      </c>
      <c r="L17" s="31" t="s">
        <v>63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63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63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63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63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63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63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63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63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63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63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63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63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63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63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63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63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63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63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63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63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63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63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63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63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63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63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63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63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63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63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63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63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63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63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63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63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63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63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63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63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63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63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63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63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63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63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63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63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63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63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63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63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63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63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63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63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63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63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63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63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63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63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63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63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63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63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63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63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63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63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63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63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63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63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63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63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63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63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63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63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63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63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63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63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63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63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63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63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63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63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63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63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63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63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63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63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63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63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63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63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63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63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63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63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63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63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63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63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63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63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63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63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63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63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63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63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63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63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63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63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63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63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63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63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63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63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63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63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63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63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63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63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63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63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63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63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63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63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63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63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63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63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63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63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63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63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63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63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63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63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63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63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63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63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63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63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63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63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63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63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63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63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63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63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63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63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63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63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63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63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63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63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63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63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63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63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63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63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63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63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63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63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63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63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63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63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63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63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63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63</v>
      </c>
      <c r="M207" s="45"/>
      <c r="N207" s="22"/>
    </row>
    <row r="208" spans="1:14" ht="19.5" customHeight="1" x14ac:dyDescent="0.25">
      <c r="A208" s="31" t="str">
        <f t="shared" ref="A208:A215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15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15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63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63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15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63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63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63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63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63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63</v>
      </c>
      <c r="M215" s="45"/>
      <c r="N215" s="22"/>
    </row>
  </sheetData>
  <mergeCells count="3">
    <mergeCell ref="A1:N1"/>
    <mergeCell ref="A2:N2"/>
    <mergeCell ref="A12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D700"/>
  </sheetPr>
  <dimension ref="A1:F31"/>
  <sheetViews>
    <sheetView showGridLines="0" zoomScaleNormal="100" workbookViewId="0"/>
  </sheetViews>
  <sheetFormatPr defaultColWidth="8.7109375" defaultRowHeight="15" x14ac:dyDescent="0.25"/>
  <cols>
    <col min="1" max="1" width="4" customWidth="1"/>
    <col min="2" max="2" width="40" customWidth="1"/>
    <col min="3" max="3" width="4" customWidth="1"/>
    <col min="4" max="4" width="28" customWidth="1"/>
    <col min="5" max="6" width="4" customWidth="1"/>
  </cols>
  <sheetData>
    <row r="1" spans="1:6" ht="33.75" customHeight="1" x14ac:dyDescent="0.25">
      <c r="A1" s="114" t="s">
        <v>230</v>
      </c>
      <c r="B1" s="114"/>
      <c r="C1" s="114"/>
      <c r="D1" s="114"/>
      <c r="E1" s="114"/>
      <c r="F1" s="114"/>
    </row>
    <row r="2" spans="1:6" ht="15" customHeight="1" x14ac:dyDescent="0.25">
      <c r="A2" s="115" t="str">
        <f ca="1">"Report generated: "&amp;TEXT(TODAY(),"dddd d mmmm yyyy")</f>
        <v>Report generated: Saturday 25 April 2026</v>
      </c>
      <c r="B2" s="115"/>
      <c r="C2" s="115"/>
      <c r="D2" s="115"/>
      <c r="E2" s="115"/>
      <c r="F2" s="115"/>
    </row>
    <row r="4" spans="1:6" ht="25.5" customHeight="1" x14ac:dyDescent="0.25">
      <c r="B4" s="101" t="s">
        <v>231</v>
      </c>
      <c r="C4" s="101"/>
      <c r="D4" s="101"/>
    </row>
    <row r="5" spans="1:6" ht="24" customHeight="1" x14ac:dyDescent="0.25">
      <c r="B5" s="68" t="s">
        <v>232</v>
      </c>
      <c r="D5" s="69">
        <f>IFERROR(COUNTA(DB_Customers!A:A)-3,0)</f>
        <v>2000</v>
      </c>
    </row>
    <row r="6" spans="1:6" ht="24" customHeight="1" x14ac:dyDescent="0.25">
      <c r="B6" s="68" t="s">
        <v>51</v>
      </c>
      <c r="D6" s="69">
        <f>IFERROR(COUNTIF(DB_Customers!J:J,"✅ Active"),0)</f>
        <v>1</v>
      </c>
    </row>
    <row r="8" spans="1:6" ht="25.5" customHeight="1" x14ac:dyDescent="0.25">
      <c r="B8" s="101" t="s">
        <v>233</v>
      </c>
      <c r="C8" s="101"/>
      <c r="D8" s="101"/>
    </row>
    <row r="9" spans="1:6" ht="24" customHeight="1" x14ac:dyDescent="0.25">
      <c r="B9" s="68" t="s">
        <v>234</v>
      </c>
      <c r="D9" s="69">
        <f>IFERROR(SUM(DB_Savings!F:F),0)</f>
        <v>0</v>
      </c>
    </row>
    <row r="10" spans="1:6" ht="24" customHeight="1" x14ac:dyDescent="0.25">
      <c r="B10" s="68" t="s">
        <v>83</v>
      </c>
      <c r="D10" s="69">
        <f>IFERROR(SUM(DB_Withdrawals!G:G),0)</f>
        <v>0</v>
      </c>
    </row>
    <row r="11" spans="1:6" ht="24" customHeight="1" x14ac:dyDescent="0.25">
      <c r="B11" s="68" t="s">
        <v>235</v>
      </c>
      <c r="D11" s="69">
        <f>D9-D10</f>
        <v>0</v>
      </c>
    </row>
    <row r="13" spans="1:6" ht="25.5" customHeight="1" x14ac:dyDescent="0.25">
      <c r="B13" s="101" t="s">
        <v>236</v>
      </c>
      <c r="C13" s="101"/>
      <c r="D13" s="101"/>
    </row>
    <row r="14" spans="1:6" ht="24" customHeight="1" x14ac:dyDescent="0.25">
      <c r="B14" s="68" t="s">
        <v>237</v>
      </c>
      <c r="D14" s="69">
        <f>IFERROR(SUM(DB_Loans!E:E),0)</f>
        <v>0</v>
      </c>
    </row>
    <row r="15" spans="1:6" ht="24" customHeight="1" x14ac:dyDescent="0.25">
      <c r="B15" s="68" t="s">
        <v>238</v>
      </c>
      <c r="D15" s="69">
        <f>IFERROR(COUNTA(DB_Loans!A:A)-3,0)</f>
        <v>2000</v>
      </c>
    </row>
    <row r="16" spans="1:6" ht="24" customHeight="1" x14ac:dyDescent="0.25">
      <c r="B16" s="68" t="s">
        <v>239</v>
      </c>
      <c r="D16" s="69">
        <f>IFERROR(SUM('LOAN TOPUP'!E:E),0)</f>
        <v>0</v>
      </c>
    </row>
    <row r="17" spans="2:4" ht="24" customHeight="1" x14ac:dyDescent="0.25">
      <c r="B17" s="68" t="s">
        <v>240</v>
      </c>
      <c r="D17" s="69">
        <f>D14+D16</f>
        <v>0</v>
      </c>
    </row>
    <row r="19" spans="2:4" ht="25.5" customHeight="1" x14ac:dyDescent="0.25">
      <c r="B19" s="101" t="s">
        <v>241</v>
      </c>
      <c r="C19" s="101"/>
      <c r="D19" s="101"/>
    </row>
    <row r="20" spans="2:4" ht="24" customHeight="1" x14ac:dyDescent="0.25">
      <c r="B20" s="68" t="s">
        <v>242</v>
      </c>
      <c r="D20" s="69">
        <f>IFERROR(SUMIF(DB_Savings!$D:$D,"Agent 01",DB_Savings!$F:$F),0)</f>
        <v>0</v>
      </c>
    </row>
    <row r="21" spans="2:4" ht="24" customHeight="1" x14ac:dyDescent="0.25">
      <c r="B21" s="68" t="s">
        <v>243</v>
      </c>
      <c r="D21" s="69">
        <f>IFERROR(SUMIF(DB_Savings!$D:$D,"Agent 02",DB_Savings!$F:$F),0)</f>
        <v>0</v>
      </c>
    </row>
    <row r="22" spans="2:4" ht="24" customHeight="1" x14ac:dyDescent="0.25">
      <c r="B22" s="68" t="s">
        <v>244</v>
      </c>
      <c r="D22" s="69">
        <f>IFERROR(SUMIF(DB_Savings!$D:$D,"Agent 03",DB_Savings!$F:$F),0)</f>
        <v>0</v>
      </c>
    </row>
    <row r="23" spans="2:4" ht="24" customHeight="1" x14ac:dyDescent="0.25">
      <c r="B23" s="68" t="s">
        <v>245</v>
      </c>
      <c r="D23" s="69">
        <f>IFERROR(SUMIF(DB_Savings!$D:$D,"Agent 04",DB_Savings!$F:$F),0)</f>
        <v>0</v>
      </c>
    </row>
    <row r="24" spans="2:4" ht="24" customHeight="1" x14ac:dyDescent="0.25">
      <c r="B24" s="68" t="s">
        <v>246</v>
      </c>
      <c r="D24" s="69">
        <f>IFERROR(SUMIF(DB_Savings!$D:$D,"Agent 05",DB_Savings!$F:$F),0)</f>
        <v>0</v>
      </c>
    </row>
    <row r="25" spans="2:4" ht="24" customHeight="1" x14ac:dyDescent="0.25">
      <c r="B25" s="68" t="s">
        <v>247</v>
      </c>
      <c r="D25" s="69">
        <f>IFERROR(SUMIF(DB_Savings!$D:$D,"Agent 06",DB_Savings!$F:$F),0)</f>
        <v>0</v>
      </c>
    </row>
    <row r="26" spans="2:4" ht="24" customHeight="1" x14ac:dyDescent="0.25">
      <c r="B26" s="68" t="s">
        <v>248</v>
      </c>
      <c r="D26" s="69">
        <f>IFERROR(SUMIF(DB_Savings!$D:$D,"Agent 07",DB_Savings!$F:$F),0)</f>
        <v>0</v>
      </c>
    </row>
    <row r="27" spans="2:4" ht="24" customHeight="1" x14ac:dyDescent="0.25">
      <c r="B27" s="68" t="s">
        <v>249</v>
      </c>
      <c r="D27" s="69">
        <f>IFERROR(SUMIF(DB_Savings!$D:$D,"Agent 08",DB_Savings!$F:$F),0)</f>
        <v>0</v>
      </c>
    </row>
    <row r="28" spans="2:4" ht="24" customHeight="1" x14ac:dyDescent="0.25">
      <c r="B28" s="68" t="s">
        <v>250</v>
      </c>
      <c r="D28" s="69">
        <f>IFERROR(SUMIF(DB_Savings!$D:$D,"Agent 09",DB_Savings!$F:$F),0)</f>
        <v>0</v>
      </c>
    </row>
    <row r="29" spans="2:4" ht="24" customHeight="1" x14ac:dyDescent="0.25">
      <c r="B29" s="68" t="s">
        <v>251</v>
      </c>
      <c r="D29" s="69">
        <f>IFERROR(SUMIF(DB_Savings!$D:$D,"Agent 10",DB_Savings!$F:$F),0)</f>
        <v>0</v>
      </c>
    </row>
    <row r="31" spans="2:4" ht="15" customHeight="1" x14ac:dyDescent="0.25">
      <c r="B31" s="113" t="s">
        <v>252</v>
      </c>
      <c r="C31" s="113"/>
      <c r="D31" s="113"/>
    </row>
  </sheetData>
  <mergeCells count="7">
    <mergeCell ref="B19:D19"/>
    <mergeCell ref="B31:D31"/>
    <mergeCell ref="A1:F1"/>
    <mergeCell ref="A2:F2"/>
    <mergeCell ref="B4:D4"/>
    <mergeCell ref="B8:D8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404040"/>
  </sheetPr>
  <dimension ref="A1:D35"/>
  <sheetViews>
    <sheetView showGridLines="0" zoomScaleNormal="100" workbookViewId="0"/>
  </sheetViews>
  <sheetFormatPr defaultColWidth="8.7109375" defaultRowHeight="15" x14ac:dyDescent="0.25"/>
  <cols>
    <col min="1" max="1" width="40" customWidth="1"/>
    <col min="2" max="2" width="14" customWidth="1"/>
    <col min="3" max="3" width="12" customWidth="1"/>
    <col min="4" max="4" width="20" customWidth="1"/>
  </cols>
  <sheetData>
    <row r="1" spans="1:4" ht="30" customHeight="1" x14ac:dyDescent="0.25">
      <c r="A1" s="122" t="s">
        <v>253</v>
      </c>
      <c r="B1" s="122"/>
      <c r="C1" s="122"/>
      <c r="D1" s="122"/>
    </row>
    <row r="3" spans="1:4" ht="15" customHeight="1" x14ac:dyDescent="0.25">
      <c r="A3" s="70" t="s">
        <v>254</v>
      </c>
      <c r="B3" s="71" t="s">
        <v>255</v>
      </c>
    </row>
    <row r="4" spans="1:4" ht="15" customHeight="1" x14ac:dyDescent="0.25">
      <c r="A4" s="70" t="s">
        <v>256</v>
      </c>
      <c r="B4" s="71" t="s">
        <v>257</v>
      </c>
    </row>
    <row r="5" spans="1:4" ht="15" customHeight="1" x14ac:dyDescent="0.25">
      <c r="A5" s="70" t="s">
        <v>258</v>
      </c>
      <c r="B5" s="71" t="s">
        <v>259</v>
      </c>
    </row>
    <row r="6" spans="1:4" ht="15" customHeight="1" x14ac:dyDescent="0.25">
      <c r="A6" s="70" t="s">
        <v>260</v>
      </c>
      <c r="B6" s="71" t="s">
        <v>261</v>
      </c>
    </row>
    <row r="7" spans="1:4" ht="15" customHeight="1" x14ac:dyDescent="0.25">
      <c r="A7" s="70" t="s">
        <v>262</v>
      </c>
      <c r="B7" s="71" t="s">
        <v>263</v>
      </c>
    </row>
    <row r="8" spans="1:4" ht="15" customHeight="1" x14ac:dyDescent="0.25">
      <c r="A8" s="70" t="s">
        <v>264</v>
      </c>
      <c r="B8" s="71" t="s">
        <v>265</v>
      </c>
    </row>
    <row r="9" spans="1:4" ht="15" customHeight="1" x14ac:dyDescent="0.25">
      <c r="A9" s="70" t="s">
        <v>266</v>
      </c>
      <c r="B9" s="71">
        <v>10</v>
      </c>
    </row>
    <row r="10" spans="1:4" ht="15" customHeight="1" x14ac:dyDescent="0.25">
      <c r="A10" s="70" t="s">
        <v>267</v>
      </c>
      <c r="B10" s="71" t="s">
        <v>268</v>
      </c>
    </row>
    <row r="11" spans="1:4" ht="15" customHeight="1" x14ac:dyDescent="0.25">
      <c r="A11" s="70" t="s">
        <v>269</v>
      </c>
      <c r="B11" s="71" t="s">
        <v>270</v>
      </c>
    </row>
    <row r="12" spans="1:4" ht="15" customHeight="1" x14ac:dyDescent="0.25">
      <c r="A12" s="70" t="s">
        <v>271</v>
      </c>
      <c r="B12" s="71" t="s">
        <v>272</v>
      </c>
    </row>
    <row r="14" spans="1:4" ht="25.5" customHeight="1" x14ac:dyDescent="0.25">
      <c r="A14" s="116" t="s">
        <v>273</v>
      </c>
      <c r="B14" s="116"/>
      <c r="C14" s="116"/>
      <c r="D14" s="116"/>
    </row>
    <row r="15" spans="1:4" ht="21.75" customHeight="1" x14ac:dyDescent="0.25">
      <c r="A15" s="123" t="s">
        <v>274</v>
      </c>
      <c r="B15" s="123"/>
      <c r="C15" s="123"/>
      <c r="D15" s="123"/>
    </row>
    <row r="16" spans="1:4" ht="21.75" customHeight="1" x14ac:dyDescent="0.25">
      <c r="A16" s="124" t="s">
        <v>275</v>
      </c>
      <c r="B16" s="124"/>
      <c r="C16" s="124"/>
      <c r="D16" s="124"/>
    </row>
    <row r="17" spans="1:4" ht="21.75" customHeight="1" x14ac:dyDescent="0.25">
      <c r="A17" s="125" t="s">
        <v>276</v>
      </c>
      <c r="B17" s="125"/>
      <c r="C17" s="125"/>
      <c r="D17" s="125"/>
    </row>
    <row r="18" spans="1:4" ht="21.75" customHeight="1" x14ac:dyDescent="0.25">
      <c r="A18" s="117" t="s">
        <v>277</v>
      </c>
      <c r="B18" s="117"/>
      <c r="C18" s="117"/>
      <c r="D18" s="117"/>
    </row>
    <row r="19" spans="1:4" ht="21.75" customHeight="1" x14ac:dyDescent="0.25">
      <c r="A19" s="118" t="s">
        <v>278</v>
      </c>
      <c r="B19" s="118"/>
      <c r="C19" s="118"/>
      <c r="D19" s="118"/>
    </row>
    <row r="20" spans="1:4" ht="21.75" customHeight="1" x14ac:dyDescent="0.25">
      <c r="A20" s="119" t="s">
        <v>279</v>
      </c>
      <c r="B20" s="119"/>
      <c r="C20" s="119"/>
      <c r="D20" s="119"/>
    </row>
    <row r="21" spans="1:4" ht="21.75" customHeight="1" x14ac:dyDescent="0.25">
      <c r="A21" s="120" t="s">
        <v>280</v>
      </c>
      <c r="B21" s="120"/>
      <c r="C21" s="120"/>
      <c r="D21" s="120"/>
    </row>
    <row r="22" spans="1:4" ht="21.75" customHeight="1" x14ac:dyDescent="0.25">
      <c r="A22" s="121" t="s">
        <v>281</v>
      </c>
      <c r="B22" s="121"/>
      <c r="C22" s="121"/>
      <c r="D22" s="121"/>
    </row>
    <row r="24" spans="1:4" ht="25.5" customHeight="1" x14ac:dyDescent="0.25">
      <c r="A24" s="116" t="s">
        <v>282</v>
      </c>
      <c r="B24" s="116"/>
      <c r="C24" s="116"/>
      <c r="D24" s="116"/>
    </row>
    <row r="25" spans="1:4" ht="24" customHeight="1" x14ac:dyDescent="0.25">
      <c r="A25" s="19" t="s">
        <v>283</v>
      </c>
      <c r="B25" s="19" t="s">
        <v>284</v>
      </c>
      <c r="C25" s="19" t="s">
        <v>77</v>
      </c>
      <c r="D25" s="19" t="s">
        <v>285</v>
      </c>
    </row>
    <row r="26" spans="1:4" ht="15" customHeight="1" x14ac:dyDescent="0.25">
      <c r="A26" s="72" t="s">
        <v>54</v>
      </c>
      <c r="B26" s="73" t="s">
        <v>286</v>
      </c>
      <c r="C26" s="73" t="s">
        <v>287</v>
      </c>
      <c r="D26" s="73" t="s">
        <v>288</v>
      </c>
    </row>
    <row r="27" spans="1:4" ht="15" customHeight="1" x14ac:dyDescent="0.25">
      <c r="A27" s="74" t="s">
        <v>55</v>
      </c>
      <c r="B27" s="75" t="s">
        <v>289</v>
      </c>
      <c r="C27" s="75" t="s">
        <v>287</v>
      </c>
      <c r="D27" s="75" t="s">
        <v>290</v>
      </c>
    </row>
    <row r="28" spans="1:4" ht="15" customHeight="1" x14ac:dyDescent="0.25">
      <c r="A28" s="72" t="s">
        <v>56</v>
      </c>
      <c r="B28" s="73" t="s">
        <v>291</v>
      </c>
      <c r="C28" s="73" t="s">
        <v>287</v>
      </c>
      <c r="D28" s="73" t="s">
        <v>292</v>
      </c>
    </row>
    <row r="29" spans="1:4" ht="15" customHeight="1" x14ac:dyDescent="0.25">
      <c r="A29" s="74" t="s">
        <v>57</v>
      </c>
      <c r="B29" s="75" t="s">
        <v>293</v>
      </c>
      <c r="C29" s="75" t="s">
        <v>287</v>
      </c>
      <c r="D29" s="75" t="s">
        <v>294</v>
      </c>
    </row>
    <row r="30" spans="1:4" ht="15" customHeight="1" x14ac:dyDescent="0.25">
      <c r="A30" s="72" t="s">
        <v>58</v>
      </c>
      <c r="B30" s="73" t="s">
        <v>295</v>
      </c>
      <c r="C30" s="73" t="s">
        <v>287</v>
      </c>
      <c r="D30" s="73" t="s">
        <v>296</v>
      </c>
    </row>
    <row r="31" spans="1:4" ht="15" customHeight="1" x14ac:dyDescent="0.25">
      <c r="A31" s="74" t="s">
        <v>59</v>
      </c>
      <c r="B31" s="75" t="s">
        <v>297</v>
      </c>
      <c r="C31" s="75" t="s">
        <v>287</v>
      </c>
      <c r="D31" s="75" t="s">
        <v>298</v>
      </c>
    </row>
    <row r="32" spans="1:4" ht="15" customHeight="1" x14ac:dyDescent="0.25">
      <c r="A32" s="72" t="s">
        <v>60</v>
      </c>
      <c r="B32" s="73" t="s">
        <v>299</v>
      </c>
      <c r="C32" s="73" t="s">
        <v>287</v>
      </c>
      <c r="D32" s="73" t="s">
        <v>300</v>
      </c>
    </row>
    <row r="33" spans="1:4" ht="15" customHeight="1" x14ac:dyDescent="0.25">
      <c r="A33" s="74" t="s">
        <v>61</v>
      </c>
      <c r="B33" s="75" t="s">
        <v>301</v>
      </c>
      <c r="C33" s="75" t="s">
        <v>287</v>
      </c>
      <c r="D33" s="75" t="s">
        <v>302</v>
      </c>
    </row>
    <row r="34" spans="1:4" ht="15" customHeight="1" x14ac:dyDescent="0.25">
      <c r="A34" s="72" t="s">
        <v>62</v>
      </c>
      <c r="B34" s="73" t="s">
        <v>303</v>
      </c>
      <c r="C34" s="73" t="s">
        <v>287</v>
      </c>
      <c r="D34" s="73" t="s">
        <v>304</v>
      </c>
    </row>
    <row r="35" spans="1:4" ht="15" customHeight="1" x14ac:dyDescent="0.25">
      <c r="A35" s="74" t="s">
        <v>63</v>
      </c>
      <c r="B35" s="75" t="s">
        <v>305</v>
      </c>
      <c r="C35" s="75" t="s">
        <v>287</v>
      </c>
      <c r="D35" s="75" t="s">
        <v>306</v>
      </c>
    </row>
  </sheetData>
  <mergeCells count="11">
    <mergeCell ref="A1:D1"/>
    <mergeCell ref="A14:D14"/>
    <mergeCell ref="A15:D15"/>
    <mergeCell ref="A16:D16"/>
    <mergeCell ref="A17:D17"/>
    <mergeCell ref="A24:D24"/>
    <mergeCell ref="A18:D18"/>
    <mergeCell ref="A19:D19"/>
    <mergeCell ref="A20:D20"/>
    <mergeCell ref="A21:D21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404040"/>
  </sheetPr>
  <dimension ref="A1:H13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4" customWidth="1"/>
    <col min="3" max="3" width="10" customWidth="1"/>
    <col min="4" max="4" width="30" customWidth="1"/>
    <col min="5" max="7" width="18" customWidth="1"/>
    <col min="8" max="8" width="26" customWidth="1"/>
  </cols>
  <sheetData>
    <row r="1" spans="1:8" ht="30" customHeight="1" x14ac:dyDescent="0.25">
      <c r="A1" s="92" t="s">
        <v>307</v>
      </c>
      <c r="B1" s="92"/>
      <c r="C1" s="92"/>
      <c r="D1" s="92"/>
      <c r="E1" s="92"/>
      <c r="F1" s="92"/>
      <c r="G1" s="92"/>
      <c r="H1" s="92"/>
    </row>
    <row r="2" spans="1:8" ht="21.75" customHeight="1" x14ac:dyDescent="0.25">
      <c r="A2" s="83" t="s">
        <v>308</v>
      </c>
      <c r="B2" s="83"/>
      <c r="C2" s="83"/>
      <c r="D2" s="83"/>
      <c r="E2" s="83"/>
      <c r="F2" s="83"/>
      <c r="G2" s="83"/>
      <c r="H2" s="83"/>
    </row>
    <row r="3" spans="1:8" ht="30" customHeight="1" x14ac:dyDescent="0.25">
      <c r="A3" s="19" t="s">
        <v>309</v>
      </c>
      <c r="B3" s="19" t="s">
        <v>310</v>
      </c>
      <c r="C3" s="19" t="s">
        <v>77</v>
      </c>
      <c r="D3" s="19" t="s">
        <v>311</v>
      </c>
      <c r="E3" s="19" t="s">
        <v>312</v>
      </c>
      <c r="F3" s="19" t="s">
        <v>313</v>
      </c>
      <c r="G3" s="19" t="s">
        <v>314</v>
      </c>
      <c r="H3" s="19" t="s">
        <v>95</v>
      </c>
    </row>
    <row r="4" spans="1:8" ht="15" customHeight="1" x14ac:dyDescent="0.25">
      <c r="A4" s="76" t="s">
        <v>315</v>
      </c>
      <c r="B4" s="77" t="s">
        <v>54</v>
      </c>
      <c r="C4" s="76" t="s">
        <v>287</v>
      </c>
      <c r="D4" s="76" t="s">
        <v>316</v>
      </c>
      <c r="E4" s="78" t="s">
        <v>286</v>
      </c>
      <c r="F4" s="76" t="s">
        <v>288</v>
      </c>
      <c r="G4" s="76" t="s">
        <v>265</v>
      </c>
      <c r="H4" s="76" t="s">
        <v>317</v>
      </c>
    </row>
    <row r="5" spans="1:8" ht="15" customHeight="1" x14ac:dyDescent="0.25">
      <c r="A5" s="22" t="s">
        <v>318</v>
      </c>
      <c r="B5" s="20" t="s">
        <v>55</v>
      </c>
      <c r="C5" s="22" t="s">
        <v>287</v>
      </c>
      <c r="D5" s="22" t="s">
        <v>319</v>
      </c>
      <c r="E5" s="79" t="s">
        <v>289</v>
      </c>
      <c r="F5" s="22" t="s">
        <v>290</v>
      </c>
      <c r="G5" s="22" t="s">
        <v>265</v>
      </c>
      <c r="H5" s="22" t="s">
        <v>317</v>
      </c>
    </row>
    <row r="6" spans="1:8" ht="15" customHeight="1" x14ac:dyDescent="0.25">
      <c r="A6" s="76" t="s">
        <v>320</v>
      </c>
      <c r="B6" s="77" t="s">
        <v>56</v>
      </c>
      <c r="C6" s="76" t="s">
        <v>287</v>
      </c>
      <c r="D6" s="76" t="s">
        <v>321</v>
      </c>
      <c r="E6" s="78" t="s">
        <v>291</v>
      </c>
      <c r="F6" s="76" t="s">
        <v>292</v>
      </c>
      <c r="G6" s="76" t="s">
        <v>265</v>
      </c>
      <c r="H6" s="76" t="s">
        <v>317</v>
      </c>
    </row>
    <row r="7" spans="1:8" ht="15" customHeight="1" x14ac:dyDescent="0.25">
      <c r="A7" s="22" t="s">
        <v>322</v>
      </c>
      <c r="B7" s="20" t="s">
        <v>57</v>
      </c>
      <c r="C7" s="22" t="s">
        <v>287</v>
      </c>
      <c r="D7" s="22" t="s">
        <v>323</v>
      </c>
      <c r="E7" s="79" t="s">
        <v>293</v>
      </c>
      <c r="F7" s="22" t="s">
        <v>294</v>
      </c>
      <c r="G7" s="22" t="s">
        <v>265</v>
      </c>
      <c r="H7" s="22" t="s">
        <v>317</v>
      </c>
    </row>
    <row r="8" spans="1:8" ht="15" customHeight="1" x14ac:dyDescent="0.25">
      <c r="A8" s="76" t="s">
        <v>324</v>
      </c>
      <c r="B8" s="77" t="s">
        <v>58</v>
      </c>
      <c r="C8" s="76" t="s">
        <v>287</v>
      </c>
      <c r="D8" s="76" t="s">
        <v>325</v>
      </c>
      <c r="E8" s="78" t="s">
        <v>295</v>
      </c>
      <c r="F8" s="76" t="s">
        <v>296</v>
      </c>
      <c r="G8" s="76" t="s">
        <v>265</v>
      </c>
      <c r="H8" s="76" t="s">
        <v>317</v>
      </c>
    </row>
    <row r="9" spans="1:8" ht="15" customHeight="1" x14ac:dyDescent="0.25">
      <c r="A9" s="22" t="s">
        <v>326</v>
      </c>
      <c r="B9" s="20" t="s">
        <v>59</v>
      </c>
      <c r="C9" s="22" t="s">
        <v>287</v>
      </c>
      <c r="D9" s="22" t="s">
        <v>327</v>
      </c>
      <c r="E9" s="79" t="s">
        <v>297</v>
      </c>
      <c r="F9" s="22" t="s">
        <v>298</v>
      </c>
      <c r="G9" s="22" t="s">
        <v>265</v>
      </c>
      <c r="H9" s="22" t="s">
        <v>317</v>
      </c>
    </row>
    <row r="10" spans="1:8" ht="15" customHeight="1" x14ac:dyDescent="0.25">
      <c r="A10" s="76" t="s">
        <v>328</v>
      </c>
      <c r="B10" s="77" t="s">
        <v>60</v>
      </c>
      <c r="C10" s="76" t="s">
        <v>287</v>
      </c>
      <c r="D10" s="76" t="s">
        <v>329</v>
      </c>
      <c r="E10" s="78" t="s">
        <v>299</v>
      </c>
      <c r="F10" s="76" t="s">
        <v>300</v>
      </c>
      <c r="G10" s="76" t="s">
        <v>265</v>
      </c>
      <c r="H10" s="76" t="s">
        <v>317</v>
      </c>
    </row>
    <row r="11" spans="1:8" ht="15" customHeight="1" x14ac:dyDescent="0.25">
      <c r="A11" s="22" t="s">
        <v>330</v>
      </c>
      <c r="B11" s="20" t="s">
        <v>61</v>
      </c>
      <c r="C11" s="22" t="s">
        <v>287</v>
      </c>
      <c r="D11" s="22" t="s">
        <v>331</v>
      </c>
      <c r="E11" s="79" t="s">
        <v>301</v>
      </c>
      <c r="F11" s="22" t="s">
        <v>302</v>
      </c>
      <c r="G11" s="22" t="s">
        <v>265</v>
      </c>
      <c r="H11" s="22" t="s">
        <v>317</v>
      </c>
    </row>
    <row r="12" spans="1:8" ht="15" customHeight="1" x14ac:dyDescent="0.25">
      <c r="A12" s="76" t="s">
        <v>332</v>
      </c>
      <c r="B12" s="77" t="s">
        <v>62</v>
      </c>
      <c r="C12" s="76" t="s">
        <v>287</v>
      </c>
      <c r="D12" s="76" t="s">
        <v>333</v>
      </c>
      <c r="E12" s="78" t="s">
        <v>303</v>
      </c>
      <c r="F12" s="76" t="s">
        <v>304</v>
      </c>
      <c r="G12" s="76" t="s">
        <v>265</v>
      </c>
      <c r="H12" s="76" t="s">
        <v>317</v>
      </c>
    </row>
    <row r="13" spans="1:8" ht="15" customHeight="1" x14ac:dyDescent="0.25">
      <c r="A13" s="22" t="s">
        <v>334</v>
      </c>
      <c r="B13" s="20" t="s">
        <v>63</v>
      </c>
      <c r="C13" s="22" t="s">
        <v>287</v>
      </c>
      <c r="D13" s="22" t="s">
        <v>335</v>
      </c>
      <c r="E13" s="79" t="s">
        <v>305</v>
      </c>
      <c r="F13" s="22" t="s">
        <v>306</v>
      </c>
      <c r="G13" s="22" t="s">
        <v>265</v>
      </c>
      <c r="H13" s="22" t="s">
        <v>317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🏠 DASHBOARD</vt:lpstr>
      <vt:lpstr>DEVELOPER</vt:lpstr>
      <vt:lpstr>ACKNOWLEDGEMENT</vt:lpstr>
      <vt:lpstr>🏦 MANAGER DASHBOARD</vt:lpstr>
      <vt:lpstr>NEW ACCOUNT</vt:lpstr>
      <vt:lpstr>DB_Customers</vt:lpstr>
      <vt:lpstr>DB_Savings</vt:lpstr>
      <vt:lpstr>DB_Withdrawals</vt:lpstr>
      <vt:lpstr>DB_Loans</vt:lpstr>
      <vt:lpstr>LOAN TOPUP</vt:lpstr>
      <vt:lpstr>Agent01_Savings</vt:lpstr>
      <vt:lpstr>Agent01_Withdrawals</vt:lpstr>
      <vt:lpstr>Agent01_Loans</vt:lpstr>
      <vt:lpstr>Agent02_Savings</vt:lpstr>
      <vt:lpstr>Agent02_Withdrawals</vt:lpstr>
      <vt:lpstr>Agent02_Loans</vt:lpstr>
      <vt:lpstr>Agent03_Savings</vt:lpstr>
      <vt:lpstr>Agent03_Withdrawals</vt:lpstr>
      <vt:lpstr>Agent03_Loans</vt:lpstr>
      <vt:lpstr>Agent04_Savings</vt:lpstr>
      <vt:lpstr>Agent04_Withdrawals</vt:lpstr>
      <vt:lpstr>Agent04_Loans</vt:lpstr>
      <vt:lpstr>Agent05_Savings</vt:lpstr>
      <vt:lpstr>Agent05_Withdrawals</vt:lpstr>
      <vt:lpstr>Agent05_Loans</vt:lpstr>
      <vt:lpstr>Agent06_Savings</vt:lpstr>
      <vt:lpstr>Agent06_Withdrawals</vt:lpstr>
      <vt:lpstr>Agent06_Loans</vt:lpstr>
      <vt:lpstr>Agent07_Savings</vt:lpstr>
      <vt:lpstr>Agent07_Withdrawals</vt:lpstr>
      <vt:lpstr>Agent07_Loans</vt:lpstr>
      <vt:lpstr>Agent08_Savings</vt:lpstr>
      <vt:lpstr>Agent08_Withdrawals</vt:lpstr>
      <vt:lpstr>Agent08_Loans</vt:lpstr>
      <vt:lpstr>Agent09_Savings</vt:lpstr>
      <vt:lpstr>Agent09_Withdrawals</vt:lpstr>
      <vt:lpstr>Agent09_Loans</vt:lpstr>
      <vt:lpstr>Agent10_Savings</vt:lpstr>
      <vt:lpstr>Agent10_Withdrawals</vt:lpstr>
      <vt:lpstr>Agent10_Loans</vt:lpstr>
      <vt:lpstr>REPORTS</vt:lpstr>
      <vt:lpstr>System_Config</vt:lpstr>
      <vt:lpstr>DB_Agents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FRANK ABBAN</cp:lastModifiedBy>
  <cp:revision>0</cp:revision>
  <dcterms:created xsi:type="dcterms:W3CDTF">2026-04-25T05:55:37Z</dcterms:created>
  <dcterms:modified xsi:type="dcterms:W3CDTF">2026-04-25T21:53:01Z</dcterms:modified>
  <dc:language>en-US</dc:language>
</cp:coreProperties>
</file>